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4400" windowHeight="8775" activeTab="3"/>
  </bookViews>
  <sheets>
    <sheet name="base" sheetId="4" r:id="rId1"/>
    <sheet name="criterios" sheetId="9" r:id="rId2"/>
    <sheet name="Comprobación" sheetId="3" r:id="rId3"/>
    <sheet name="Cobranza" sheetId="2" r:id="rId4"/>
    <sheet name="Recibos" sheetId="1" r:id="rId5"/>
    <sheet name="Gasto" sheetId="8" r:id="rId6"/>
    <sheet name="chequera" sheetId="5" r:id="rId7"/>
    <sheet name="financiero" sheetId="7" r:id="rId8"/>
    <sheet name="Hoja1" sheetId="10" r:id="rId9"/>
  </sheets>
  <definedNames>
    <definedName name="_xlnm._FilterDatabase" localSheetId="0" hidden="1">base!$B$5:$E$468</definedName>
    <definedName name="_xlnm._FilterDatabase" localSheetId="6" hidden="1">chequera!$B$3:$J$303</definedName>
    <definedName name="_xlnm._FilterDatabase" localSheetId="3" hidden="1">Cobranza!$B$1:$AX$469</definedName>
    <definedName name="_xlnm._FilterDatabase" localSheetId="7" hidden="1">financiero!$A$6:$A$57</definedName>
    <definedName name="_xlnm._FilterDatabase" localSheetId="5" hidden="1">Gasto!$B$3256:$H$3552</definedName>
    <definedName name="_xlnm._FilterDatabase" localSheetId="4" hidden="1">Recibos!$B$3:$Y$7497</definedName>
    <definedName name="ABR_2016">Recibos!$B$590:$H$785</definedName>
    <definedName name="ABR_2017">Recibos!$B$3786:$AX$4044</definedName>
    <definedName name="ABR_2018">Recibos!$B$6111:$AW$6361</definedName>
    <definedName name="AGO_2016">Recibos!$B$1806:$H$2081</definedName>
    <definedName name="AGO_2017">Recibos!$B$4571:$AX$4736</definedName>
    <definedName name="AGO_2018">Recibos!$B$6906:$AW$7093</definedName>
    <definedName name="_xlnm.Print_Area" localSheetId="7">financiero!$C$1:$CA$57</definedName>
    <definedName name="_xlnm.Print_Area" localSheetId="5">Gasto!$B$2934:$H$3058</definedName>
    <definedName name="BASE">base!$B$5:$D$469</definedName>
    <definedName name="DIC_2016">Recibos!$B$2779:$AJ$2975</definedName>
    <definedName name="DIC_2017">Recibos!$B$5278:$AW$5478</definedName>
    <definedName name="ENE_2016">Recibos!$B$24:$H$274</definedName>
    <definedName name="ENE_2017">Recibos!$B$2976:$AJ$3245</definedName>
    <definedName name="ENE_2018">Recibos!$B$5479:$AW$5691</definedName>
    <definedName name="FEB_2016">Recibos!$B$275:$H$432</definedName>
    <definedName name="FEB_2017">Recibos!$B$3246:$AJ$3491</definedName>
    <definedName name="FEB_2018">Recibos!$B$5692:$AW$5901</definedName>
    <definedName name="G_ABR_2016">Gasto!$B$321:$H$414</definedName>
    <definedName name="G_ABR_2017">Gasto!$B$1861:$H$2020</definedName>
    <definedName name="G_ABR_2018">Gasto!$B$3256:$H$3352</definedName>
    <definedName name="G_ADQ">criterios!$P$3:$P$4</definedName>
    <definedName name="G_AGO_2016">Gasto!$B$748:$H$875</definedName>
    <definedName name="G_AGO_2017">Gasto!$B$2361:$H$2497</definedName>
    <definedName name="G_AGO_2018">Gasto!$B$3681:$H$3780</definedName>
    <definedName name="G_AGUA">criterios!$Q$3:$Q$4</definedName>
    <definedName name="G_ALMVG">criterios!$R$3:$R$4</definedName>
    <definedName name="G_ASLE">criterios!$S$3:$S$4</definedName>
    <definedName name="G_CBR">criterios!$T$3:$T$4</definedName>
    <definedName name="G_DIC_2016">Gasto!$B$1277:$H$1434</definedName>
    <definedName name="G_DIC_2017">Gasto!$B$2802:$H$2932</definedName>
    <definedName name="G_DIF">criterios!$U$3:$U$4</definedName>
    <definedName name="G_ENE_2016">Gasto!$B$3:$H$96</definedName>
    <definedName name="G_ENE_2017">Gasto!$B$1435:$H$1569</definedName>
    <definedName name="G_ENE_2018">Gasto!$B$2933:$H$3058</definedName>
    <definedName name="G_FEB_2016">Gasto!$B$97:$H$204</definedName>
    <definedName name="G_FEB_2017">Gasto!$B$1570:$H$1710</definedName>
    <definedName name="G_FEB_2018">Gasto!$B$3059:$H$3156</definedName>
    <definedName name="G_HCTB">criterios!$V$3:$V$4</definedName>
    <definedName name="G_HJRD">criterios!$W$3:$W$4</definedName>
    <definedName name="G_INFRA">criterios!$X$3:$X$4</definedName>
    <definedName name="G_IVA">criterios!$Y$3:$Y$4</definedName>
    <definedName name="G_JDN">criterios!$Z$3:$Z$4</definedName>
    <definedName name="G_JUL_2016">Gasto!$B$629:$H$747</definedName>
    <definedName name="G_JUL_2017">Gasto!$B$2257:$H$2360</definedName>
    <definedName name="G_JUL_2018">Gasto!$B$3567:$H$3680</definedName>
    <definedName name="G_JUN_2016">Gasto!$B$514:$H$628</definedName>
    <definedName name="G_JUN_2017">Gasto!$B$2159:$H$2256</definedName>
    <definedName name="G_JUN_2018">Gasto!$B$3449:$H$3566</definedName>
    <definedName name="G_MAR_2016">Gasto!$B$205:$H$320</definedName>
    <definedName name="G_MAR_2017">Gasto!$B$1711:$H$1860</definedName>
    <definedName name="G_MAR_2018">Gasto!$B$3157:$H$3255</definedName>
    <definedName name="G_MAY_2016">Gasto!$B$415:$H$513</definedName>
    <definedName name="G_MAY_2017">Gasto!$B$2021:$H$2158</definedName>
    <definedName name="G_MAY_2018">Gasto!$B$3353:$H$3448</definedName>
    <definedName name="G_MDC">criterios!$AA$3:$AA$4</definedName>
    <definedName name="G_MTCBQ">criterios!$AB$3:$AB$4</definedName>
    <definedName name="G_MTCP">criterios!$AC$3:$AC$4</definedName>
    <definedName name="G_MTCST">criterios!$AD$3:$AD$4</definedName>
    <definedName name="G_MTCYP">criterios!$AE$3:$AE$4</definedName>
    <definedName name="G_MTILM">criterios!$AF$3:$AF$4</definedName>
    <definedName name="G_MTLPZ">criterios!$AG$3:$AG$4</definedName>
    <definedName name="G_MTPTA">criterios!$AH$3:$AH$4</definedName>
    <definedName name="G_NMNVG">criterios!$AI$3:$AI$4</definedName>
    <definedName name="G_NOV_2016">Gasto!$B$1139:$H$1274</definedName>
    <definedName name="G_NOV_2017">Gasto!$B$2705:$H$2801</definedName>
    <definedName name="G_OCT_2016">Gasto!$B$1003:$H$1138</definedName>
    <definedName name="G_OCT_2017">Gasto!$B$2612:$H$2704</definedName>
    <definedName name="G_ORG">criterios!$AJ$3:$AJ$4</definedName>
    <definedName name="G_P_FIN">criterios!$AK$3:$AK$4</definedName>
    <definedName name="G_P_IVA">criterios!$AL$3:$AL$4</definedName>
    <definedName name="G_PAPE">criterios!$AM$3:$AM$4</definedName>
    <definedName name="G_SEP_2016">Gasto!$B$876:$H$1002</definedName>
    <definedName name="G_SEP_2017">Gasto!$B$2498:$H$2611</definedName>
    <definedName name="G_SEP_2018">Gasto!$B$3781:$H$3878</definedName>
    <definedName name="G_SÑ">criterios!$AN$3:$AN$4</definedName>
    <definedName name="G_TLF">criterios!$AO$3:$AO$4</definedName>
    <definedName name="G_TOTAL">criterios!$AT$3:$AT$4</definedName>
    <definedName name="G_TRSP">criterios!$AP$3:$AP$4</definedName>
    <definedName name="G_UNF">criterios!$AQ$3:$AQ$4</definedName>
    <definedName name="G_USB">criterios!$AR$3:$AR$4</definedName>
    <definedName name="G_VRS">criterios!$AS$3:$AS$4</definedName>
    <definedName name="GASTO">Gasto!$F$3</definedName>
    <definedName name="importe">Recibos!$H$24</definedName>
    <definedName name="ING_CUOTAS">criterios!$G$3:$G$4</definedName>
    <definedName name="ING_EXTRA">criterios!$H$3:$H$4</definedName>
    <definedName name="ING_LLAVES">criterios!$I$3:$I$4</definedName>
    <definedName name="ING_OTROS">criterios!$M$3:$M$4</definedName>
    <definedName name="ING_TAR">criterios!$K$3:$K$4</definedName>
    <definedName name="ING_TELE">criterios!$J$3:$J$4</definedName>
    <definedName name="IVA">Gasto!$G$3</definedName>
    <definedName name="JUL_2016">Recibos!$B$1424:$H$1805</definedName>
    <definedName name="JUL_2017">Recibos!$B$4384:$AX$4570</definedName>
    <definedName name="JUL_2018">Recibos!$B$6715:$AW$6905</definedName>
    <definedName name="JUN_2016">Recibos!$B$1019:$H$1423</definedName>
    <definedName name="JUN_2017">Recibos!$B$4229:$AX$4383</definedName>
    <definedName name="JUN_2018">Recibos!$B$6524:$AW$6714</definedName>
    <definedName name="MAR_2016">Recibos!$B$433:$H$589</definedName>
    <definedName name="MAR_2017">Recibos!$B$3492:$AJ$3785</definedName>
    <definedName name="MAR_2018">Recibos!$B$5902:$AW$6110</definedName>
    <definedName name="MAY_2016">Recibos!$B$786:$H$1018</definedName>
    <definedName name="MAY_2017">Recibos!$B$4045:$AX$4228</definedName>
    <definedName name="MAY_2018">Recibos!$B$6362:$AW$6523</definedName>
    <definedName name="NOV_2016">Recibos!$B$2561:$AX$2778</definedName>
    <definedName name="NOV_2017">Recibos!$B$5092:$AW$5277</definedName>
    <definedName name="OCT_2016">Recibos!$C$2342:$H$2557</definedName>
    <definedName name="OCT_2017">Recibos!$B$4888:$AJ$5091</definedName>
    <definedName name="SEP_2016">Recibos!$B$2082:$H$2341</definedName>
    <definedName name="SEP_2017">Recibos!$B$4737:$AJ$4887</definedName>
    <definedName name="SEP_2018">Recibos!$B$7094:$AW$7312</definedName>
  </definedNames>
  <calcPr calcId="144525"/>
</workbook>
</file>

<file path=xl/calcChain.xml><?xml version="1.0" encoding="utf-8"?>
<calcChain xmlns="http://schemas.openxmlformats.org/spreadsheetml/2006/main">
  <c r="H3987" i="8" l="1"/>
  <c r="H3986" i="8"/>
  <c r="H3985" i="8"/>
  <c r="H3984" i="8"/>
  <c r="H3982" i="8"/>
  <c r="H3981" i="8"/>
  <c r="H3880" i="8"/>
  <c r="H3946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E7480" i="1" l="1"/>
  <c r="F7480" i="1"/>
  <c r="J7480" i="1"/>
  <c r="W7480" i="1"/>
  <c r="AJ7480" i="1"/>
  <c r="AW7480" i="1"/>
  <c r="E7481" i="1"/>
  <c r="F7481" i="1"/>
  <c r="J7481" i="1"/>
  <c r="W7481" i="1"/>
  <c r="AJ7481" i="1"/>
  <c r="AW7481" i="1"/>
  <c r="E7482" i="1"/>
  <c r="F7482" i="1"/>
  <c r="J7482" i="1"/>
  <c r="W7482" i="1"/>
  <c r="AJ7482" i="1"/>
  <c r="AW7482" i="1"/>
  <c r="E7483" i="1"/>
  <c r="F7483" i="1"/>
  <c r="J7483" i="1"/>
  <c r="W7483" i="1"/>
  <c r="AJ7483" i="1"/>
  <c r="AW7483" i="1"/>
  <c r="E7484" i="1"/>
  <c r="F7484" i="1"/>
  <c r="J7484" i="1"/>
  <c r="W7484" i="1"/>
  <c r="AJ7484" i="1"/>
  <c r="AW7484" i="1"/>
  <c r="E7485" i="1"/>
  <c r="F7485" i="1"/>
  <c r="J7485" i="1"/>
  <c r="W7485" i="1"/>
  <c r="AJ7485" i="1"/>
  <c r="AW7485" i="1"/>
  <c r="E7486" i="1"/>
  <c r="F7486" i="1"/>
  <c r="J7486" i="1"/>
  <c r="W7486" i="1"/>
  <c r="AJ7486" i="1"/>
  <c r="AW7486" i="1"/>
  <c r="E7477" i="1"/>
  <c r="F7477" i="1"/>
  <c r="J7477" i="1"/>
  <c r="W7477" i="1"/>
  <c r="AJ7477" i="1"/>
  <c r="AW7477" i="1"/>
  <c r="E7478" i="1"/>
  <c r="F7478" i="1"/>
  <c r="J7478" i="1"/>
  <c r="W7478" i="1"/>
  <c r="AJ7478" i="1"/>
  <c r="AW7478" i="1"/>
  <c r="E7479" i="1"/>
  <c r="F7479" i="1"/>
  <c r="J7479" i="1"/>
  <c r="W7479" i="1"/>
  <c r="AJ7479" i="1"/>
  <c r="AW7479" i="1"/>
  <c r="E7487" i="1"/>
  <c r="F7487" i="1"/>
  <c r="J7487" i="1"/>
  <c r="W7487" i="1"/>
  <c r="AJ7487" i="1"/>
  <c r="AW7487" i="1"/>
  <c r="E7488" i="1"/>
  <c r="F7488" i="1"/>
  <c r="J7488" i="1"/>
  <c r="W7488" i="1"/>
  <c r="AJ7488" i="1"/>
  <c r="AW7488" i="1"/>
  <c r="E7489" i="1"/>
  <c r="F7489" i="1"/>
  <c r="J7489" i="1"/>
  <c r="W7489" i="1"/>
  <c r="AJ7489" i="1"/>
  <c r="AW7489" i="1"/>
  <c r="E7490" i="1"/>
  <c r="F7490" i="1"/>
  <c r="J7490" i="1"/>
  <c r="W7490" i="1"/>
  <c r="AJ7490" i="1"/>
  <c r="AW7490" i="1"/>
  <c r="E7491" i="1"/>
  <c r="F7491" i="1"/>
  <c r="J7491" i="1"/>
  <c r="W7491" i="1"/>
  <c r="AJ7491" i="1"/>
  <c r="AW7491" i="1"/>
  <c r="BY408" i="2" l="1"/>
  <c r="BZ408" i="2"/>
  <c r="CA408" i="2"/>
  <c r="CB408" i="2"/>
  <c r="CC408" i="2"/>
  <c r="CD408" i="2"/>
  <c r="CE408" i="2"/>
  <c r="CF408" i="2"/>
  <c r="CG408" i="2"/>
  <c r="CH408" i="2"/>
  <c r="CI408" i="2"/>
  <c r="CJ408" i="2"/>
  <c r="CK408" i="2" l="1"/>
  <c r="AY7474" i="1"/>
  <c r="E7472" i="1"/>
  <c r="E7469" i="1"/>
  <c r="F7469" i="1"/>
  <c r="J7469" i="1"/>
  <c r="W7469" i="1"/>
  <c r="AJ7469" i="1"/>
  <c r="AW7469" i="1"/>
  <c r="E7470" i="1"/>
  <c r="F7470" i="1"/>
  <c r="W7470" i="1"/>
  <c r="AJ7470" i="1"/>
  <c r="J7470" i="1" s="1"/>
  <c r="AW7470" i="1"/>
  <c r="E7471" i="1"/>
  <c r="F7471" i="1"/>
  <c r="J7471" i="1"/>
  <c r="W7471" i="1"/>
  <c r="AJ7471" i="1"/>
  <c r="AW7471" i="1"/>
  <c r="F7472" i="1"/>
  <c r="J7472" i="1"/>
  <c r="W7472" i="1"/>
  <c r="AJ7472" i="1"/>
  <c r="AW7472" i="1"/>
  <c r="E7473" i="1"/>
  <c r="F7473" i="1"/>
  <c r="W7473" i="1"/>
  <c r="AJ7473" i="1"/>
  <c r="AW7473" i="1"/>
  <c r="E7474" i="1"/>
  <c r="F7474" i="1"/>
  <c r="J7474" i="1"/>
  <c r="W7474" i="1"/>
  <c r="AJ7474" i="1"/>
  <c r="AW7474" i="1"/>
  <c r="E7475" i="1"/>
  <c r="F7475" i="1"/>
  <c r="J7475" i="1"/>
  <c r="W7475" i="1"/>
  <c r="AJ7475" i="1"/>
  <c r="AW7475" i="1"/>
  <c r="E7476" i="1"/>
  <c r="F7476" i="1"/>
  <c r="J7476" i="1"/>
  <c r="W7476" i="1"/>
  <c r="AJ7476" i="1"/>
  <c r="AW7476" i="1"/>
  <c r="E7492" i="1"/>
  <c r="F7492" i="1"/>
  <c r="J7492" i="1"/>
  <c r="W7492" i="1"/>
  <c r="AJ7492" i="1"/>
  <c r="AW7492" i="1"/>
  <c r="F7457" i="1"/>
  <c r="F7442" i="1"/>
  <c r="E7441" i="1"/>
  <c r="F7441" i="1"/>
  <c r="J7441" i="1"/>
  <c r="W7441" i="1"/>
  <c r="AJ7441" i="1"/>
  <c r="AW7441" i="1"/>
  <c r="E7442" i="1"/>
  <c r="J7442" i="1"/>
  <c r="W7442" i="1"/>
  <c r="AJ7442" i="1"/>
  <c r="AW7442" i="1"/>
  <c r="E7443" i="1"/>
  <c r="F7443" i="1"/>
  <c r="W7443" i="1"/>
  <c r="AJ7443" i="1"/>
  <c r="AW7443" i="1"/>
  <c r="J7443" i="1" s="1"/>
  <c r="E7444" i="1"/>
  <c r="F7444" i="1"/>
  <c r="J7444" i="1"/>
  <c r="W7444" i="1"/>
  <c r="AJ7444" i="1"/>
  <c r="AW7444" i="1"/>
  <c r="E7445" i="1"/>
  <c r="F7445" i="1"/>
  <c r="W7445" i="1"/>
  <c r="AJ7445" i="1"/>
  <c r="AW7445" i="1"/>
  <c r="J7445" i="1" s="1"/>
  <c r="E7446" i="1"/>
  <c r="F7446" i="1"/>
  <c r="W7446" i="1"/>
  <c r="AJ7446" i="1"/>
  <c r="AW7446" i="1"/>
  <c r="J7446" i="1" s="1"/>
  <c r="E7447" i="1"/>
  <c r="F7447" i="1"/>
  <c r="J7447" i="1"/>
  <c r="W7447" i="1"/>
  <c r="AJ7447" i="1"/>
  <c r="AW7447" i="1"/>
  <c r="E7448" i="1"/>
  <c r="F7448" i="1"/>
  <c r="J7448" i="1"/>
  <c r="W7448" i="1"/>
  <c r="AJ7448" i="1"/>
  <c r="AW7448" i="1"/>
  <c r="E7449" i="1"/>
  <c r="F7449" i="1"/>
  <c r="J7449" i="1"/>
  <c r="W7449" i="1"/>
  <c r="AJ7449" i="1"/>
  <c r="AW7449" i="1"/>
  <c r="E7450" i="1"/>
  <c r="F7450" i="1"/>
  <c r="J7450" i="1"/>
  <c r="W7450" i="1"/>
  <c r="AJ7450" i="1"/>
  <c r="AW7450" i="1"/>
  <c r="E7451" i="1"/>
  <c r="F7451" i="1"/>
  <c r="J7451" i="1"/>
  <c r="W7451" i="1"/>
  <c r="AJ7451" i="1"/>
  <c r="AW7451" i="1"/>
  <c r="E7452" i="1"/>
  <c r="F7452" i="1"/>
  <c r="J7452" i="1"/>
  <c r="W7452" i="1"/>
  <c r="AJ7452" i="1"/>
  <c r="AW7452" i="1"/>
  <c r="E7453" i="1"/>
  <c r="F7453" i="1"/>
  <c r="J7453" i="1"/>
  <c r="W7453" i="1"/>
  <c r="AJ7453" i="1"/>
  <c r="AW7453" i="1"/>
  <c r="E7454" i="1"/>
  <c r="F7454" i="1"/>
  <c r="J7454" i="1"/>
  <c r="W7454" i="1"/>
  <c r="AJ7454" i="1"/>
  <c r="AW7454" i="1"/>
  <c r="E7455" i="1"/>
  <c r="F7455" i="1"/>
  <c r="J7455" i="1"/>
  <c r="W7455" i="1"/>
  <c r="AJ7455" i="1"/>
  <c r="AW7455" i="1"/>
  <c r="E7456" i="1"/>
  <c r="F7456" i="1"/>
  <c r="J7456" i="1"/>
  <c r="W7456" i="1"/>
  <c r="AJ7456" i="1"/>
  <c r="AW7456" i="1"/>
  <c r="E7457" i="1"/>
  <c r="W7457" i="1"/>
  <c r="AJ7457" i="1"/>
  <c r="AW7457" i="1"/>
  <c r="J7457" i="1" s="1"/>
  <c r="E7458" i="1"/>
  <c r="F7458" i="1"/>
  <c r="J7458" i="1"/>
  <c r="W7458" i="1"/>
  <c r="AJ7458" i="1"/>
  <c r="AW7458" i="1"/>
  <c r="E7459" i="1"/>
  <c r="F7459" i="1"/>
  <c r="W7459" i="1"/>
  <c r="AJ7459" i="1"/>
  <c r="AW7459" i="1"/>
  <c r="J7459" i="1" s="1"/>
  <c r="E7460" i="1"/>
  <c r="F7460" i="1"/>
  <c r="J7460" i="1"/>
  <c r="W7460" i="1"/>
  <c r="AJ7460" i="1"/>
  <c r="AW7460" i="1"/>
  <c r="E7461" i="1"/>
  <c r="F7461" i="1"/>
  <c r="J7461" i="1"/>
  <c r="W7461" i="1"/>
  <c r="AJ7461" i="1"/>
  <c r="AW7461" i="1"/>
  <c r="E7462" i="1"/>
  <c r="F7462" i="1"/>
  <c r="W7462" i="1"/>
  <c r="AJ7462" i="1"/>
  <c r="J7462" i="1" s="1"/>
  <c r="AW7462" i="1"/>
  <c r="E7463" i="1"/>
  <c r="F7463" i="1"/>
  <c r="J7463" i="1"/>
  <c r="W7463" i="1"/>
  <c r="AJ7463" i="1"/>
  <c r="AW7463" i="1"/>
  <c r="E7464" i="1"/>
  <c r="F7464" i="1"/>
  <c r="J7464" i="1"/>
  <c r="W7464" i="1"/>
  <c r="AJ7464" i="1"/>
  <c r="AW7464" i="1"/>
  <c r="E7465" i="1"/>
  <c r="F7465" i="1"/>
  <c r="J7465" i="1"/>
  <c r="W7465" i="1"/>
  <c r="AJ7465" i="1"/>
  <c r="AW7465" i="1"/>
  <c r="E7466" i="1"/>
  <c r="F7466" i="1"/>
  <c r="J7466" i="1"/>
  <c r="W7466" i="1"/>
  <c r="AJ7466" i="1"/>
  <c r="AW7466" i="1"/>
  <c r="E7467" i="1"/>
  <c r="F7467" i="1"/>
  <c r="J7467" i="1"/>
  <c r="W7467" i="1"/>
  <c r="AJ7467" i="1"/>
  <c r="AW7467" i="1"/>
  <c r="J7473" i="1" l="1"/>
  <c r="AX7438" i="1"/>
  <c r="E7437" i="1"/>
  <c r="F7437" i="1"/>
  <c r="J7437" i="1"/>
  <c r="W7437" i="1"/>
  <c r="AJ7437" i="1"/>
  <c r="AW7437" i="1"/>
  <c r="E7438" i="1"/>
  <c r="F7438" i="1"/>
  <c r="W7438" i="1"/>
  <c r="J7438" i="1" s="1"/>
  <c r="AJ7438" i="1"/>
  <c r="AW7438" i="1"/>
  <c r="E7439" i="1"/>
  <c r="F7439" i="1"/>
  <c r="J7439" i="1"/>
  <c r="W7439" i="1"/>
  <c r="AJ7439" i="1"/>
  <c r="AW7439" i="1"/>
  <c r="E7440" i="1"/>
  <c r="F7440" i="1"/>
  <c r="J7440" i="1"/>
  <c r="W7440" i="1"/>
  <c r="AJ7440" i="1"/>
  <c r="AW7440" i="1"/>
  <c r="E7425" i="1"/>
  <c r="F7425" i="1"/>
  <c r="W7425" i="1"/>
  <c r="AJ7425" i="1"/>
  <c r="AW7425" i="1"/>
  <c r="J7425" i="1" s="1"/>
  <c r="E7426" i="1"/>
  <c r="F7426" i="1"/>
  <c r="J7426" i="1"/>
  <c r="W7426" i="1"/>
  <c r="AJ7426" i="1"/>
  <c r="AW7426" i="1"/>
  <c r="E7427" i="1"/>
  <c r="F7427" i="1"/>
  <c r="W7427" i="1"/>
  <c r="AJ7427" i="1"/>
  <c r="AW7427" i="1"/>
  <c r="J7427" i="1" s="1"/>
  <c r="E7428" i="1"/>
  <c r="F7428" i="1"/>
  <c r="J7428" i="1"/>
  <c r="W7428" i="1"/>
  <c r="AJ7428" i="1"/>
  <c r="AW7428" i="1"/>
  <c r="E7429" i="1"/>
  <c r="F7429" i="1"/>
  <c r="J7429" i="1"/>
  <c r="W7429" i="1"/>
  <c r="AJ7429" i="1"/>
  <c r="AW7429" i="1"/>
  <c r="E7430" i="1"/>
  <c r="F7430" i="1"/>
  <c r="J7430" i="1"/>
  <c r="W7430" i="1"/>
  <c r="AJ7430" i="1"/>
  <c r="AW7430" i="1"/>
  <c r="E7431" i="1"/>
  <c r="F7431" i="1"/>
  <c r="J7431" i="1"/>
  <c r="W7431" i="1"/>
  <c r="AJ7431" i="1"/>
  <c r="AW7431" i="1"/>
  <c r="E7432" i="1"/>
  <c r="F7432" i="1"/>
  <c r="J7432" i="1"/>
  <c r="W7432" i="1"/>
  <c r="AJ7432" i="1"/>
  <c r="AW7432" i="1"/>
  <c r="E7433" i="1"/>
  <c r="F7433" i="1"/>
  <c r="J7433" i="1"/>
  <c r="W7433" i="1"/>
  <c r="AJ7433" i="1"/>
  <c r="AW7433" i="1"/>
  <c r="E7434" i="1"/>
  <c r="F7434" i="1"/>
  <c r="J7434" i="1"/>
  <c r="W7434" i="1"/>
  <c r="AJ7434" i="1"/>
  <c r="AW7434" i="1"/>
  <c r="BA7422" i="1" l="1"/>
  <c r="AX7377" i="1"/>
  <c r="AJ7359" i="1"/>
  <c r="AX7422" i="1" l="1"/>
  <c r="AW7392" i="1"/>
  <c r="J7392" i="1" s="1"/>
  <c r="AJ7392" i="1"/>
  <c r="W7392" i="1"/>
  <c r="F7392" i="1"/>
  <c r="E7392" i="1"/>
  <c r="AW7391" i="1"/>
  <c r="AJ7391" i="1"/>
  <c r="W7391" i="1"/>
  <c r="J7391" i="1"/>
  <c r="F7391" i="1"/>
  <c r="E7391" i="1"/>
  <c r="AW7390" i="1"/>
  <c r="AJ7390" i="1"/>
  <c r="W7390" i="1"/>
  <c r="J7390" i="1"/>
  <c r="F7390" i="1"/>
  <c r="E7390" i="1"/>
  <c r="AW7389" i="1"/>
  <c r="J7389" i="1" s="1"/>
  <c r="AJ7389" i="1"/>
  <c r="W7389" i="1"/>
  <c r="F7389" i="1"/>
  <c r="E7389" i="1"/>
  <c r="AW7388" i="1"/>
  <c r="J7388" i="1" s="1"/>
  <c r="AJ7388" i="1"/>
  <c r="W7388" i="1"/>
  <c r="F7388" i="1"/>
  <c r="E7388" i="1"/>
  <c r="AW7387" i="1"/>
  <c r="J7387" i="1" s="1"/>
  <c r="AJ7387" i="1"/>
  <c r="W7387" i="1"/>
  <c r="F7387" i="1"/>
  <c r="E7387" i="1"/>
  <c r="AW7386" i="1"/>
  <c r="AJ7386" i="1"/>
  <c r="W7386" i="1"/>
  <c r="J7386" i="1"/>
  <c r="F7386" i="1"/>
  <c r="E7386" i="1"/>
  <c r="AW7385" i="1"/>
  <c r="J7385" i="1" s="1"/>
  <c r="AJ7385" i="1"/>
  <c r="W7385" i="1"/>
  <c r="F7385" i="1"/>
  <c r="E7385" i="1"/>
  <c r="AW7384" i="1"/>
  <c r="AJ7384" i="1"/>
  <c r="W7384" i="1"/>
  <c r="J7384" i="1"/>
  <c r="F7384" i="1"/>
  <c r="E7384" i="1"/>
  <c r="AW7383" i="1"/>
  <c r="AJ7383" i="1"/>
  <c r="W7383" i="1"/>
  <c r="J7383" i="1"/>
  <c r="F7383" i="1"/>
  <c r="E7383" i="1"/>
  <c r="AW7382" i="1"/>
  <c r="AJ7382" i="1"/>
  <c r="W7382" i="1"/>
  <c r="J7382" i="1"/>
  <c r="F7382" i="1"/>
  <c r="E7382" i="1"/>
  <c r="AW7381" i="1"/>
  <c r="AJ7381" i="1"/>
  <c r="W7381" i="1"/>
  <c r="J7381" i="1"/>
  <c r="F7381" i="1"/>
  <c r="E7381" i="1"/>
  <c r="AW7380" i="1"/>
  <c r="J7380" i="1" s="1"/>
  <c r="AJ7380" i="1"/>
  <c r="W7380" i="1"/>
  <c r="F7380" i="1"/>
  <c r="E7380" i="1"/>
  <c r="AW7379" i="1"/>
  <c r="AJ7379" i="1"/>
  <c r="W7379" i="1"/>
  <c r="J7379" i="1"/>
  <c r="F7379" i="1"/>
  <c r="E7379" i="1"/>
  <c r="AW7378" i="1"/>
  <c r="AJ7378" i="1"/>
  <c r="W7378" i="1"/>
  <c r="J7378" i="1"/>
  <c r="F7378" i="1"/>
  <c r="E7378" i="1"/>
  <c r="AW7377" i="1"/>
  <c r="J7377" i="1" s="1"/>
  <c r="AJ7377" i="1"/>
  <c r="W7377" i="1"/>
  <c r="F7377" i="1"/>
  <c r="E7377" i="1"/>
  <c r="AW7376" i="1"/>
  <c r="AJ7376" i="1"/>
  <c r="W7376" i="1"/>
  <c r="J7376" i="1"/>
  <c r="F7376" i="1"/>
  <c r="E7376" i="1"/>
  <c r="AW7375" i="1"/>
  <c r="J7375" i="1" s="1"/>
  <c r="AJ7375" i="1"/>
  <c r="W7375" i="1"/>
  <c r="F7375" i="1"/>
  <c r="E7375" i="1"/>
  <c r="AW7374" i="1"/>
  <c r="J7374" i="1" s="1"/>
  <c r="AJ7374" i="1"/>
  <c r="W7374" i="1"/>
  <c r="F7374" i="1"/>
  <c r="E7374" i="1"/>
  <c r="AW7373" i="1"/>
  <c r="J7373" i="1" s="1"/>
  <c r="AJ7373" i="1"/>
  <c r="W7373" i="1"/>
  <c r="F7373" i="1"/>
  <c r="E7373" i="1"/>
  <c r="E7370" i="1"/>
  <c r="F7370" i="1"/>
  <c r="W7370" i="1"/>
  <c r="AJ7370" i="1"/>
  <c r="J7370" i="1" s="1"/>
  <c r="AW7370" i="1"/>
  <c r="E7371" i="1"/>
  <c r="F7371" i="1"/>
  <c r="W7371" i="1"/>
  <c r="AJ7371" i="1"/>
  <c r="AW7371" i="1"/>
  <c r="E7372" i="1"/>
  <c r="F7372" i="1"/>
  <c r="J7372" i="1"/>
  <c r="W7372" i="1"/>
  <c r="AJ7372" i="1"/>
  <c r="AW7372" i="1"/>
  <c r="E7393" i="1"/>
  <c r="F7393" i="1"/>
  <c r="W7393" i="1"/>
  <c r="AJ7393" i="1"/>
  <c r="AW7393" i="1"/>
  <c r="E7394" i="1"/>
  <c r="F7394" i="1"/>
  <c r="W7394" i="1"/>
  <c r="AJ7394" i="1"/>
  <c r="J7394" i="1" s="1"/>
  <c r="AW7394" i="1"/>
  <c r="E7395" i="1"/>
  <c r="F7395" i="1"/>
  <c r="J7395" i="1"/>
  <c r="W7395" i="1"/>
  <c r="AJ7395" i="1"/>
  <c r="AW7395" i="1"/>
  <c r="E7396" i="1"/>
  <c r="F7396" i="1"/>
  <c r="W7396" i="1"/>
  <c r="AJ7396" i="1"/>
  <c r="AW7396" i="1"/>
  <c r="E7397" i="1"/>
  <c r="F7397" i="1"/>
  <c r="W7397" i="1"/>
  <c r="AJ7397" i="1"/>
  <c r="AW7397" i="1"/>
  <c r="E7398" i="1"/>
  <c r="F7398" i="1"/>
  <c r="W7398" i="1"/>
  <c r="AJ7398" i="1"/>
  <c r="AW7398" i="1"/>
  <c r="E7399" i="1"/>
  <c r="F7399" i="1"/>
  <c r="J7399" i="1"/>
  <c r="W7399" i="1"/>
  <c r="AJ7399" i="1"/>
  <c r="AW7399" i="1"/>
  <c r="E7400" i="1"/>
  <c r="F7400" i="1"/>
  <c r="W7400" i="1"/>
  <c r="AJ7400" i="1"/>
  <c r="AW7400" i="1"/>
  <c r="J7400" i="1" s="1"/>
  <c r="E7401" i="1"/>
  <c r="F7401" i="1"/>
  <c r="W7401" i="1"/>
  <c r="AJ7401" i="1"/>
  <c r="AW7401" i="1"/>
  <c r="E7402" i="1"/>
  <c r="F7402" i="1"/>
  <c r="W7402" i="1"/>
  <c r="AJ7402" i="1"/>
  <c r="AW7402" i="1"/>
  <c r="J7402" i="1" s="1"/>
  <c r="E7403" i="1"/>
  <c r="F7403" i="1"/>
  <c r="W7403" i="1"/>
  <c r="AJ7403" i="1"/>
  <c r="AW7403" i="1"/>
  <c r="E7404" i="1"/>
  <c r="F7404" i="1"/>
  <c r="J7404" i="1"/>
  <c r="W7404" i="1"/>
  <c r="AJ7404" i="1"/>
  <c r="AW7404" i="1"/>
  <c r="E7405" i="1"/>
  <c r="F7405" i="1"/>
  <c r="W7405" i="1"/>
  <c r="AJ7405" i="1"/>
  <c r="AW7405" i="1"/>
  <c r="E7406" i="1"/>
  <c r="F7406" i="1"/>
  <c r="W7406" i="1"/>
  <c r="AJ7406" i="1"/>
  <c r="AW7406" i="1"/>
  <c r="E7407" i="1"/>
  <c r="F7407" i="1"/>
  <c r="W7407" i="1"/>
  <c r="AJ7407" i="1"/>
  <c r="AW7407" i="1"/>
  <c r="E7408" i="1"/>
  <c r="F7408" i="1"/>
  <c r="W7408" i="1"/>
  <c r="AJ7408" i="1"/>
  <c r="AW7408" i="1"/>
  <c r="E7409" i="1"/>
  <c r="F7409" i="1"/>
  <c r="W7409" i="1"/>
  <c r="AJ7409" i="1"/>
  <c r="AW7409" i="1"/>
  <c r="J7409" i="1" s="1"/>
  <c r="E7410" i="1"/>
  <c r="F7410" i="1"/>
  <c r="J7410" i="1"/>
  <c r="W7410" i="1"/>
  <c r="AJ7410" i="1"/>
  <c r="AW7410" i="1"/>
  <c r="E7411" i="1"/>
  <c r="F7411" i="1"/>
  <c r="W7411" i="1"/>
  <c r="AJ7411" i="1"/>
  <c r="AW7411" i="1"/>
  <c r="E7412" i="1"/>
  <c r="F7412" i="1"/>
  <c r="W7412" i="1"/>
  <c r="AJ7412" i="1"/>
  <c r="AW7412" i="1"/>
  <c r="E7413" i="1"/>
  <c r="F7413" i="1"/>
  <c r="W7413" i="1"/>
  <c r="AJ7413" i="1"/>
  <c r="J7413" i="1" s="1"/>
  <c r="AW7413" i="1"/>
  <c r="E7414" i="1"/>
  <c r="F7414" i="1"/>
  <c r="J7414" i="1"/>
  <c r="W7414" i="1"/>
  <c r="AJ7414" i="1"/>
  <c r="AW7414" i="1"/>
  <c r="E7415" i="1"/>
  <c r="F7415" i="1"/>
  <c r="W7415" i="1"/>
  <c r="AJ7415" i="1"/>
  <c r="AW7415" i="1"/>
  <c r="E7416" i="1"/>
  <c r="F7416" i="1"/>
  <c r="W7416" i="1"/>
  <c r="AJ7416" i="1"/>
  <c r="J7416" i="1" s="1"/>
  <c r="AW7416" i="1"/>
  <c r="E7417" i="1"/>
  <c r="F7417" i="1"/>
  <c r="W7417" i="1"/>
  <c r="AJ7417" i="1"/>
  <c r="AW7417" i="1"/>
  <c r="J7417" i="1" s="1"/>
  <c r="E7418" i="1"/>
  <c r="F7418" i="1"/>
  <c r="W7418" i="1"/>
  <c r="AJ7418" i="1"/>
  <c r="AW7418" i="1"/>
  <c r="E7419" i="1"/>
  <c r="F7419" i="1"/>
  <c r="W7419" i="1"/>
  <c r="AJ7419" i="1"/>
  <c r="AW7419" i="1"/>
  <c r="E7420" i="1"/>
  <c r="F7420" i="1"/>
  <c r="W7420" i="1"/>
  <c r="AJ7420" i="1"/>
  <c r="J7420" i="1" s="1"/>
  <c r="AW7420" i="1"/>
  <c r="E7421" i="1"/>
  <c r="F7421" i="1"/>
  <c r="W7421" i="1"/>
  <c r="AJ7421" i="1"/>
  <c r="AW7421" i="1"/>
  <c r="E7422" i="1"/>
  <c r="F7422" i="1"/>
  <c r="W7422" i="1"/>
  <c r="AJ7422" i="1"/>
  <c r="AW7422" i="1"/>
  <c r="E7423" i="1"/>
  <c r="F7423" i="1"/>
  <c r="J7423" i="1"/>
  <c r="W7423" i="1"/>
  <c r="AJ7423" i="1"/>
  <c r="AW7423" i="1"/>
  <c r="E7424" i="1"/>
  <c r="F7424" i="1"/>
  <c r="J7424" i="1"/>
  <c r="W7424" i="1"/>
  <c r="AJ7424" i="1"/>
  <c r="AW7424" i="1"/>
  <c r="E7435" i="1"/>
  <c r="F7435" i="1"/>
  <c r="J7435" i="1"/>
  <c r="W7435" i="1"/>
  <c r="AJ7435" i="1"/>
  <c r="AW7435" i="1"/>
  <c r="E7436" i="1"/>
  <c r="F7436" i="1"/>
  <c r="W7436" i="1"/>
  <c r="AJ7436" i="1"/>
  <c r="AW7436" i="1"/>
  <c r="J7436" i="1" s="1"/>
  <c r="E7468" i="1"/>
  <c r="F7468" i="1"/>
  <c r="J7468" i="1"/>
  <c r="W7468" i="1"/>
  <c r="AJ7468" i="1"/>
  <c r="AW7468" i="1"/>
  <c r="J7422" i="1" l="1"/>
  <c r="J7421" i="1"/>
  <c r="J7418" i="1"/>
  <c r="J7415" i="1"/>
  <c r="J7411" i="1"/>
  <c r="J7406" i="1"/>
  <c r="J7403" i="1"/>
  <c r="J7398" i="1"/>
  <c r="J7396" i="1"/>
  <c r="J7371" i="1"/>
  <c r="J7419" i="1"/>
  <c r="J7412" i="1"/>
  <c r="J7407" i="1"/>
  <c r="J7405" i="1"/>
  <c r="J7393" i="1"/>
  <c r="J7408" i="1"/>
  <c r="J7401" i="1"/>
  <c r="J7397" i="1"/>
  <c r="AX7366" i="1"/>
  <c r="AY7325" i="1"/>
  <c r="E7320" i="1"/>
  <c r="F7320" i="1"/>
  <c r="J7320" i="1"/>
  <c r="W7320" i="1"/>
  <c r="AJ7320" i="1"/>
  <c r="AW7320" i="1"/>
  <c r="E7321" i="1"/>
  <c r="F7321" i="1"/>
  <c r="W7321" i="1"/>
  <c r="AJ7321" i="1"/>
  <c r="AW7321" i="1"/>
  <c r="J7321" i="1" s="1"/>
  <c r="E7322" i="1"/>
  <c r="F7322" i="1"/>
  <c r="W7322" i="1"/>
  <c r="AJ7322" i="1"/>
  <c r="AW7322" i="1"/>
  <c r="J7322" i="1" s="1"/>
  <c r="E7323" i="1"/>
  <c r="F7323" i="1"/>
  <c r="J7323" i="1"/>
  <c r="W7323" i="1"/>
  <c r="AJ7323" i="1"/>
  <c r="AW7323" i="1"/>
  <c r="E7324" i="1"/>
  <c r="F7324" i="1"/>
  <c r="J7324" i="1"/>
  <c r="W7324" i="1"/>
  <c r="AJ7324" i="1"/>
  <c r="AW7324" i="1"/>
  <c r="E7325" i="1"/>
  <c r="F7325" i="1"/>
  <c r="J7325" i="1"/>
  <c r="W7325" i="1"/>
  <c r="AJ7325" i="1"/>
  <c r="AW7325" i="1"/>
  <c r="E7326" i="1"/>
  <c r="F7326" i="1"/>
  <c r="W7326" i="1"/>
  <c r="AJ7326" i="1"/>
  <c r="AW7326" i="1"/>
  <c r="J7326" i="1" s="1"/>
  <c r="E7327" i="1"/>
  <c r="F7327" i="1"/>
  <c r="W7327" i="1"/>
  <c r="AJ7327" i="1"/>
  <c r="AW7327" i="1"/>
  <c r="J7327" i="1" s="1"/>
  <c r="E7328" i="1"/>
  <c r="F7328" i="1"/>
  <c r="W7328" i="1"/>
  <c r="AJ7328" i="1"/>
  <c r="AW7328" i="1"/>
  <c r="J7328" i="1" s="1"/>
  <c r="E7329" i="1"/>
  <c r="F7329" i="1"/>
  <c r="W7329" i="1"/>
  <c r="AJ7329" i="1"/>
  <c r="AW7329" i="1"/>
  <c r="J7329" i="1" s="1"/>
  <c r="E7330" i="1"/>
  <c r="F7330" i="1"/>
  <c r="J7330" i="1"/>
  <c r="W7330" i="1"/>
  <c r="AJ7330" i="1"/>
  <c r="AW7330" i="1"/>
  <c r="E7331" i="1"/>
  <c r="F7331" i="1"/>
  <c r="J7331" i="1"/>
  <c r="W7331" i="1"/>
  <c r="AJ7331" i="1"/>
  <c r="AW7331" i="1"/>
  <c r="E7332" i="1"/>
  <c r="F7332" i="1"/>
  <c r="J7332" i="1"/>
  <c r="W7332" i="1"/>
  <c r="AJ7332" i="1"/>
  <c r="AW7332" i="1"/>
  <c r="E7333" i="1"/>
  <c r="F7333" i="1"/>
  <c r="J7333" i="1"/>
  <c r="W7333" i="1"/>
  <c r="AJ7333" i="1"/>
  <c r="AW7333" i="1"/>
  <c r="E7334" i="1"/>
  <c r="F7334" i="1"/>
  <c r="W7334" i="1"/>
  <c r="AJ7334" i="1"/>
  <c r="AW7334" i="1"/>
  <c r="J7334" i="1" s="1"/>
  <c r="E7335" i="1"/>
  <c r="F7335" i="1"/>
  <c r="J7335" i="1"/>
  <c r="W7335" i="1"/>
  <c r="AJ7335" i="1"/>
  <c r="AW7335" i="1"/>
  <c r="E7317" i="1"/>
  <c r="F7317" i="1"/>
  <c r="W7317" i="1"/>
  <c r="AJ7317" i="1"/>
  <c r="AW7317" i="1"/>
  <c r="E7318" i="1"/>
  <c r="F7318" i="1"/>
  <c r="W7318" i="1"/>
  <c r="AJ7318" i="1"/>
  <c r="J7318" i="1" s="1"/>
  <c r="AW7318" i="1"/>
  <c r="E7319" i="1"/>
  <c r="F7319" i="1"/>
  <c r="W7319" i="1"/>
  <c r="AJ7319" i="1"/>
  <c r="AW7319" i="1"/>
  <c r="J7319" i="1" s="1"/>
  <c r="E7336" i="1"/>
  <c r="F7336" i="1"/>
  <c r="W7336" i="1"/>
  <c r="AJ7336" i="1"/>
  <c r="AW7336" i="1"/>
  <c r="E7337" i="1"/>
  <c r="F7337" i="1"/>
  <c r="W7337" i="1"/>
  <c r="AJ7337" i="1"/>
  <c r="AW7337" i="1"/>
  <c r="E7338" i="1"/>
  <c r="F7338" i="1"/>
  <c r="W7338" i="1"/>
  <c r="AJ7338" i="1"/>
  <c r="AW7338" i="1"/>
  <c r="E7339" i="1"/>
  <c r="F7339" i="1"/>
  <c r="W7339" i="1"/>
  <c r="AJ7339" i="1"/>
  <c r="AW7339" i="1"/>
  <c r="E7340" i="1"/>
  <c r="F7340" i="1"/>
  <c r="J7340" i="1"/>
  <c r="W7340" i="1"/>
  <c r="AJ7340" i="1"/>
  <c r="AW7340" i="1"/>
  <c r="E7341" i="1"/>
  <c r="F7341" i="1"/>
  <c r="W7341" i="1"/>
  <c r="AJ7341" i="1"/>
  <c r="AW7341" i="1"/>
  <c r="E7342" i="1"/>
  <c r="F7342" i="1"/>
  <c r="W7342" i="1"/>
  <c r="AJ7342" i="1"/>
  <c r="AW7342" i="1"/>
  <c r="E7343" i="1"/>
  <c r="F7343" i="1"/>
  <c r="W7343" i="1"/>
  <c r="AJ7343" i="1"/>
  <c r="J7343" i="1" s="1"/>
  <c r="AW7343" i="1"/>
  <c r="E7344" i="1"/>
  <c r="F7344" i="1"/>
  <c r="W7344" i="1"/>
  <c r="AJ7344" i="1"/>
  <c r="AW7344" i="1"/>
  <c r="J7344" i="1" s="1"/>
  <c r="E7345" i="1"/>
  <c r="F7345" i="1"/>
  <c r="W7345" i="1"/>
  <c r="AJ7345" i="1"/>
  <c r="AW7345" i="1"/>
  <c r="E7346" i="1"/>
  <c r="F7346" i="1"/>
  <c r="W7346" i="1"/>
  <c r="AJ7346" i="1"/>
  <c r="AW7346" i="1"/>
  <c r="E7347" i="1"/>
  <c r="F7347" i="1"/>
  <c r="W7347" i="1"/>
  <c r="AJ7347" i="1"/>
  <c r="AW7347" i="1"/>
  <c r="E7348" i="1"/>
  <c r="F7348" i="1"/>
  <c r="W7348" i="1"/>
  <c r="AJ7348" i="1"/>
  <c r="AW7348" i="1"/>
  <c r="E7349" i="1"/>
  <c r="F7349" i="1"/>
  <c r="W7349" i="1"/>
  <c r="AJ7349" i="1"/>
  <c r="AW7349" i="1"/>
  <c r="E7350" i="1"/>
  <c r="F7350" i="1"/>
  <c r="W7350" i="1"/>
  <c r="AJ7350" i="1"/>
  <c r="AW7350" i="1"/>
  <c r="E7351" i="1"/>
  <c r="F7351" i="1"/>
  <c r="W7351" i="1"/>
  <c r="AJ7351" i="1"/>
  <c r="AW7351" i="1"/>
  <c r="E7352" i="1"/>
  <c r="F7352" i="1"/>
  <c r="W7352" i="1"/>
  <c r="AJ7352" i="1"/>
  <c r="AW7352" i="1"/>
  <c r="E7353" i="1"/>
  <c r="F7353" i="1"/>
  <c r="W7353" i="1"/>
  <c r="AJ7353" i="1"/>
  <c r="AW7353" i="1"/>
  <c r="E7354" i="1"/>
  <c r="F7354" i="1"/>
  <c r="W7354" i="1"/>
  <c r="AJ7354" i="1"/>
  <c r="AW7354" i="1"/>
  <c r="E7355" i="1"/>
  <c r="F7355" i="1"/>
  <c r="W7355" i="1"/>
  <c r="AJ7355" i="1"/>
  <c r="AW7355" i="1"/>
  <c r="E7356" i="1"/>
  <c r="F7356" i="1"/>
  <c r="W7356" i="1"/>
  <c r="AJ7356" i="1"/>
  <c r="AW7356" i="1"/>
  <c r="E7357" i="1"/>
  <c r="F7357" i="1"/>
  <c r="J7357" i="1"/>
  <c r="W7357" i="1"/>
  <c r="AJ7357" i="1"/>
  <c r="AW7357" i="1"/>
  <c r="E7358" i="1"/>
  <c r="F7358" i="1"/>
  <c r="J7358" i="1"/>
  <c r="W7358" i="1"/>
  <c r="AJ7358" i="1"/>
  <c r="AW7358" i="1"/>
  <c r="E7359" i="1"/>
  <c r="F7359" i="1"/>
  <c r="W7359" i="1"/>
  <c r="AW7359" i="1"/>
  <c r="E7360" i="1"/>
  <c r="F7360" i="1"/>
  <c r="W7360" i="1"/>
  <c r="AJ7360" i="1"/>
  <c r="AW7360" i="1"/>
  <c r="J7360" i="1" s="1"/>
  <c r="E7361" i="1"/>
  <c r="F7361" i="1"/>
  <c r="J7361" i="1"/>
  <c r="W7361" i="1"/>
  <c r="AJ7361" i="1"/>
  <c r="AW7361" i="1"/>
  <c r="E7362" i="1"/>
  <c r="F7362" i="1"/>
  <c r="W7362" i="1"/>
  <c r="AJ7362" i="1"/>
  <c r="AW7362" i="1"/>
  <c r="E7363" i="1"/>
  <c r="F7363" i="1"/>
  <c r="W7363" i="1"/>
  <c r="AJ7363" i="1"/>
  <c r="AW7363" i="1"/>
  <c r="E7364" i="1"/>
  <c r="F7364" i="1"/>
  <c r="W7364" i="1"/>
  <c r="AJ7364" i="1"/>
  <c r="J7364" i="1" s="1"/>
  <c r="AW7364" i="1"/>
  <c r="E7365" i="1"/>
  <c r="F7365" i="1"/>
  <c r="W7365" i="1"/>
  <c r="AJ7365" i="1"/>
  <c r="AW7365" i="1"/>
  <c r="J7365" i="1" s="1"/>
  <c r="E7366" i="1"/>
  <c r="F7366" i="1"/>
  <c r="W7366" i="1"/>
  <c r="AJ7366" i="1"/>
  <c r="AW7366" i="1"/>
  <c r="E7367" i="1"/>
  <c r="F7367" i="1"/>
  <c r="J7367" i="1"/>
  <c r="W7367" i="1"/>
  <c r="AJ7367" i="1"/>
  <c r="AW7367" i="1"/>
  <c r="E7368" i="1"/>
  <c r="F7368" i="1"/>
  <c r="J7368" i="1"/>
  <c r="W7368" i="1"/>
  <c r="AJ7368" i="1"/>
  <c r="AW7368" i="1"/>
  <c r="E7369" i="1"/>
  <c r="F7369" i="1"/>
  <c r="J7369" i="1"/>
  <c r="W7369" i="1"/>
  <c r="AJ7369" i="1"/>
  <c r="AW7369" i="1"/>
  <c r="J7356" i="1" l="1"/>
  <c r="J7354" i="1"/>
  <c r="J7352" i="1"/>
  <c r="J7350" i="1"/>
  <c r="J7346" i="1"/>
  <c r="J7339" i="1"/>
  <c r="J7366" i="1"/>
  <c r="J7363" i="1"/>
  <c r="J7362" i="1"/>
  <c r="J7355" i="1"/>
  <c r="J7353" i="1"/>
  <c r="J7351" i="1"/>
  <c r="J7349" i="1"/>
  <c r="J7347" i="1"/>
  <c r="J7345" i="1"/>
  <c r="J7342" i="1"/>
  <c r="J7338" i="1"/>
  <c r="J7337" i="1"/>
  <c r="J7317" i="1"/>
  <c r="J7359" i="1"/>
  <c r="J7348" i="1"/>
  <c r="J7341" i="1"/>
  <c r="J7336" i="1"/>
  <c r="J853" i="5"/>
  <c r="CA47" i="7" l="1"/>
  <c r="CA46" i="7" s="1"/>
  <c r="BZ47" i="7"/>
  <c r="BY47" i="7"/>
  <c r="BW47" i="7"/>
  <c r="BX47" i="7"/>
  <c r="CA44" i="7"/>
  <c r="CA45" i="7"/>
  <c r="CA43" i="7"/>
  <c r="CA42" i="7"/>
  <c r="CA40" i="7"/>
  <c r="CA39" i="7"/>
  <c r="CA38" i="7"/>
  <c r="CA37" i="7"/>
  <c r="CA35" i="7"/>
  <c r="CA34" i="7"/>
  <c r="CA33" i="7"/>
  <c r="CA32" i="7"/>
  <c r="CA30" i="7"/>
  <c r="CA29" i="7"/>
  <c r="CA27" i="7"/>
  <c r="CA26" i="7"/>
  <c r="CA25" i="7"/>
  <c r="CA22" i="7"/>
  <c r="CA24" i="7"/>
  <c r="CA21" i="7"/>
  <c r="CA20" i="7"/>
  <c r="CA19" i="7"/>
  <c r="CA18" i="7"/>
  <c r="CA17" i="7"/>
  <c r="CA16" i="7"/>
  <c r="CA11" i="7"/>
  <c r="CA10" i="7"/>
  <c r="CA9" i="7"/>
  <c r="CA8" i="7"/>
  <c r="CA7" i="7"/>
  <c r="CA6" i="7"/>
  <c r="CA41" i="7" l="1"/>
  <c r="CA31" i="7"/>
  <c r="H3882" i="8"/>
  <c r="H3875" i="8"/>
  <c r="H3881" i="8"/>
  <c r="H3883" i="8"/>
  <c r="H3884" i="8"/>
  <c r="H3885" i="8"/>
  <c r="H3886" i="8"/>
  <c r="H3887" i="8"/>
  <c r="H3888" i="8"/>
  <c r="H3872" i="8"/>
  <c r="CA36" i="7" l="1"/>
  <c r="CA28" i="7"/>
  <c r="CA23" i="7"/>
  <c r="CA15" i="7"/>
  <c r="CA13" i="7"/>
  <c r="E7312" i="1"/>
  <c r="F7312" i="1"/>
  <c r="J7312" i="1"/>
  <c r="W7312" i="1"/>
  <c r="AJ7312" i="1"/>
  <c r="AW7312" i="1"/>
  <c r="E7314" i="1"/>
  <c r="F7314" i="1"/>
  <c r="W7314" i="1"/>
  <c r="AJ7314" i="1"/>
  <c r="AW7314" i="1"/>
  <c r="E7315" i="1"/>
  <c r="F7315" i="1"/>
  <c r="W7315" i="1"/>
  <c r="AJ7315" i="1"/>
  <c r="AW7315" i="1"/>
  <c r="J7315" i="1" s="1"/>
  <c r="E7316" i="1"/>
  <c r="F7316" i="1"/>
  <c r="W7316" i="1"/>
  <c r="AJ7316" i="1"/>
  <c r="AW7316" i="1"/>
  <c r="J7316" i="1" s="1"/>
  <c r="AY7308" i="1"/>
  <c r="AY7275" i="1"/>
  <c r="AY7309" i="1"/>
  <c r="AX7309" i="1"/>
  <c r="E7306" i="1"/>
  <c r="F7306" i="1"/>
  <c r="W7306" i="1"/>
  <c r="J7306" i="1" s="1"/>
  <c r="AJ7306" i="1"/>
  <c r="AW7306" i="1"/>
  <c r="E7307" i="1"/>
  <c r="F7307" i="1"/>
  <c r="W7307" i="1"/>
  <c r="AJ7307" i="1"/>
  <c r="J7307" i="1" s="1"/>
  <c r="AW7307" i="1"/>
  <c r="E7308" i="1"/>
  <c r="F7308" i="1"/>
  <c r="J7308" i="1"/>
  <c r="W7308" i="1"/>
  <c r="AJ7308" i="1"/>
  <c r="AW7308" i="1"/>
  <c r="E7309" i="1"/>
  <c r="F7309" i="1"/>
  <c r="J7309" i="1"/>
  <c r="W7309" i="1"/>
  <c r="AJ7309" i="1"/>
  <c r="AW7309" i="1"/>
  <c r="E7310" i="1"/>
  <c r="F7310" i="1"/>
  <c r="W7310" i="1"/>
  <c r="AJ7310" i="1"/>
  <c r="J7310" i="1" s="1"/>
  <c r="AW7310" i="1"/>
  <c r="E7311" i="1"/>
  <c r="F7311" i="1"/>
  <c r="J7311" i="1"/>
  <c r="W7311" i="1"/>
  <c r="AJ7311" i="1"/>
  <c r="AW7311" i="1"/>
  <c r="E7294" i="1"/>
  <c r="F7294" i="1"/>
  <c r="J7294" i="1"/>
  <c r="W7294" i="1"/>
  <c r="AJ7294" i="1"/>
  <c r="AW7294" i="1"/>
  <c r="E7295" i="1"/>
  <c r="F7295" i="1"/>
  <c r="W7295" i="1"/>
  <c r="AJ7295" i="1"/>
  <c r="AW7295" i="1"/>
  <c r="J7295" i="1" s="1"/>
  <c r="E7296" i="1"/>
  <c r="F7296" i="1"/>
  <c r="W7296" i="1"/>
  <c r="J7296" i="1" s="1"/>
  <c r="AJ7296" i="1"/>
  <c r="AW7296" i="1"/>
  <c r="E7297" i="1"/>
  <c r="F7297" i="1"/>
  <c r="W7297" i="1"/>
  <c r="AJ7297" i="1"/>
  <c r="AW7297" i="1"/>
  <c r="E7298" i="1"/>
  <c r="F7298" i="1"/>
  <c r="W7298" i="1"/>
  <c r="AJ7298" i="1"/>
  <c r="AW7298" i="1"/>
  <c r="J7298" i="1" s="1"/>
  <c r="E7299" i="1"/>
  <c r="F7299" i="1"/>
  <c r="W7299" i="1"/>
  <c r="AJ7299" i="1"/>
  <c r="AW7299" i="1"/>
  <c r="E7300" i="1"/>
  <c r="F7300" i="1"/>
  <c r="W7300" i="1"/>
  <c r="AJ7300" i="1"/>
  <c r="J7300" i="1" s="1"/>
  <c r="AW7300" i="1"/>
  <c r="E7301" i="1"/>
  <c r="F7301" i="1"/>
  <c r="W7301" i="1"/>
  <c r="AJ7301" i="1"/>
  <c r="J7301" i="1" s="1"/>
  <c r="AW7301" i="1"/>
  <c r="E7302" i="1"/>
  <c r="F7302" i="1"/>
  <c r="W7302" i="1"/>
  <c r="AJ7302" i="1"/>
  <c r="J7302" i="1" s="1"/>
  <c r="AW7302" i="1"/>
  <c r="E7268" i="1"/>
  <c r="F7268" i="1"/>
  <c r="J7268" i="1"/>
  <c r="W7268" i="1"/>
  <c r="AJ7268" i="1"/>
  <c r="AW7268" i="1"/>
  <c r="E7269" i="1"/>
  <c r="F7269" i="1"/>
  <c r="W7269" i="1"/>
  <c r="AJ7269" i="1"/>
  <c r="AW7269" i="1"/>
  <c r="E7270" i="1"/>
  <c r="F7270" i="1"/>
  <c r="J7270" i="1"/>
  <c r="W7270" i="1"/>
  <c r="AJ7270" i="1"/>
  <c r="AW7270" i="1"/>
  <c r="E7271" i="1"/>
  <c r="F7271" i="1"/>
  <c r="W7271" i="1"/>
  <c r="AJ7271" i="1"/>
  <c r="AW7271" i="1"/>
  <c r="E7272" i="1"/>
  <c r="F7272" i="1"/>
  <c r="W7272" i="1"/>
  <c r="AJ7272" i="1"/>
  <c r="AW7272" i="1"/>
  <c r="E7273" i="1"/>
  <c r="F7273" i="1"/>
  <c r="J7273" i="1"/>
  <c r="W7273" i="1"/>
  <c r="AJ7273" i="1"/>
  <c r="AW7273" i="1"/>
  <c r="E7274" i="1"/>
  <c r="F7274" i="1"/>
  <c r="W7274" i="1"/>
  <c r="AJ7274" i="1"/>
  <c r="AW7274" i="1"/>
  <c r="E7275" i="1"/>
  <c r="F7275" i="1"/>
  <c r="W7275" i="1"/>
  <c r="AJ7275" i="1"/>
  <c r="AW7275" i="1"/>
  <c r="E7276" i="1"/>
  <c r="F7276" i="1"/>
  <c r="W7276" i="1"/>
  <c r="AJ7276" i="1"/>
  <c r="AW7276" i="1"/>
  <c r="E7277" i="1"/>
  <c r="F7277" i="1"/>
  <c r="W7277" i="1"/>
  <c r="AJ7277" i="1"/>
  <c r="AW7277" i="1"/>
  <c r="E7278" i="1"/>
  <c r="F7278" i="1"/>
  <c r="W7278" i="1"/>
  <c r="AJ7278" i="1"/>
  <c r="AW7278" i="1"/>
  <c r="E7279" i="1"/>
  <c r="F7279" i="1"/>
  <c r="J7279" i="1"/>
  <c r="W7279" i="1"/>
  <c r="AJ7279" i="1"/>
  <c r="AW7279" i="1"/>
  <c r="E7280" i="1"/>
  <c r="F7280" i="1"/>
  <c r="W7280" i="1"/>
  <c r="AJ7280" i="1"/>
  <c r="AW7280" i="1"/>
  <c r="E7281" i="1"/>
  <c r="F7281" i="1"/>
  <c r="W7281" i="1"/>
  <c r="AJ7281" i="1"/>
  <c r="AW7281" i="1"/>
  <c r="E7282" i="1"/>
  <c r="F7282" i="1"/>
  <c r="W7282" i="1"/>
  <c r="AJ7282" i="1"/>
  <c r="AW7282" i="1"/>
  <c r="E7283" i="1"/>
  <c r="F7283" i="1"/>
  <c r="J7283" i="1"/>
  <c r="W7283" i="1"/>
  <c r="AJ7283" i="1"/>
  <c r="AW7283" i="1"/>
  <c r="E7284" i="1"/>
  <c r="F7284" i="1"/>
  <c r="J7284" i="1"/>
  <c r="W7284" i="1"/>
  <c r="AJ7284" i="1"/>
  <c r="AW7284" i="1"/>
  <c r="E7285" i="1"/>
  <c r="F7285" i="1"/>
  <c r="J7285" i="1"/>
  <c r="W7285" i="1"/>
  <c r="AJ7285" i="1"/>
  <c r="AW7285" i="1"/>
  <c r="E7286" i="1"/>
  <c r="F7286" i="1"/>
  <c r="W7286" i="1"/>
  <c r="AJ7286" i="1"/>
  <c r="AW7286" i="1"/>
  <c r="E7287" i="1"/>
  <c r="F7287" i="1"/>
  <c r="W7287" i="1"/>
  <c r="AJ7287" i="1"/>
  <c r="AW7287" i="1"/>
  <c r="E7288" i="1"/>
  <c r="F7288" i="1"/>
  <c r="J7288" i="1"/>
  <c r="W7288" i="1"/>
  <c r="AJ7288" i="1"/>
  <c r="AW7288" i="1"/>
  <c r="E7289" i="1"/>
  <c r="F7289" i="1"/>
  <c r="W7289" i="1"/>
  <c r="AJ7289" i="1"/>
  <c r="AW7289" i="1"/>
  <c r="E7290" i="1"/>
  <c r="F7290" i="1"/>
  <c r="W7290" i="1"/>
  <c r="AJ7290" i="1"/>
  <c r="AW7290" i="1"/>
  <c r="E7291" i="1"/>
  <c r="F7291" i="1"/>
  <c r="W7291" i="1"/>
  <c r="AJ7291" i="1"/>
  <c r="AW7291" i="1"/>
  <c r="E7292" i="1"/>
  <c r="F7292" i="1"/>
  <c r="W7292" i="1"/>
  <c r="AJ7292" i="1"/>
  <c r="AW7292" i="1"/>
  <c r="E7293" i="1"/>
  <c r="F7293" i="1"/>
  <c r="W7293" i="1"/>
  <c r="AJ7293" i="1"/>
  <c r="AW7293" i="1"/>
  <c r="E7303" i="1"/>
  <c r="F7303" i="1"/>
  <c r="W7303" i="1"/>
  <c r="AJ7303" i="1"/>
  <c r="AW7303" i="1"/>
  <c r="E7304" i="1"/>
  <c r="F7304" i="1"/>
  <c r="W7304" i="1"/>
  <c r="AJ7304" i="1"/>
  <c r="AW7304" i="1"/>
  <c r="E7305" i="1"/>
  <c r="F7305" i="1"/>
  <c r="J7305" i="1"/>
  <c r="W7305" i="1"/>
  <c r="AJ7305" i="1"/>
  <c r="AW7305" i="1"/>
  <c r="J7314" i="1" l="1"/>
  <c r="J7299" i="1"/>
  <c r="J7297" i="1"/>
  <c r="CA48" i="7"/>
  <c r="CA49" i="7" s="1"/>
  <c r="CA54" i="7" s="1"/>
  <c r="CA57" i="7" s="1"/>
  <c r="J7304" i="1"/>
  <c r="J7293" i="1"/>
  <c r="J7291" i="1"/>
  <c r="J7269" i="1"/>
  <c r="J7303" i="1"/>
  <c r="J7292" i="1"/>
  <c r="J7289" i="1"/>
  <c r="J7286" i="1"/>
  <c r="J7282" i="1"/>
  <c r="J7278" i="1"/>
  <c r="J7276" i="1"/>
  <c r="J7274" i="1"/>
  <c r="J7271" i="1"/>
  <c r="J7280" i="1"/>
  <c r="J7290" i="1"/>
  <c r="J7287" i="1"/>
  <c r="J7281" i="1"/>
  <c r="J7277" i="1"/>
  <c r="J7275" i="1"/>
  <c r="J7272" i="1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3" i="8"/>
  <c r="H3876" i="8"/>
  <c r="H3877" i="8"/>
  <c r="H3878" i="8"/>
  <c r="AY7225" i="1" l="1"/>
  <c r="AZ7224" i="1"/>
  <c r="AX7265" i="1" l="1"/>
  <c r="E7230" i="1"/>
  <c r="F7230" i="1"/>
  <c r="W7230" i="1"/>
  <c r="AJ7230" i="1"/>
  <c r="AW7230" i="1"/>
  <c r="E7231" i="1"/>
  <c r="F7231" i="1"/>
  <c r="W7231" i="1"/>
  <c r="AJ7231" i="1"/>
  <c r="AW7231" i="1"/>
  <c r="J7231" i="1" s="1"/>
  <c r="E7232" i="1"/>
  <c r="F7232" i="1"/>
  <c r="W7232" i="1"/>
  <c r="AJ7232" i="1"/>
  <c r="AW7232" i="1"/>
  <c r="E7233" i="1"/>
  <c r="F7233" i="1"/>
  <c r="W7233" i="1"/>
  <c r="AJ7233" i="1"/>
  <c r="AW7233" i="1"/>
  <c r="E7234" i="1"/>
  <c r="F7234" i="1"/>
  <c r="W7234" i="1"/>
  <c r="AJ7234" i="1"/>
  <c r="AW7234" i="1"/>
  <c r="E7235" i="1"/>
  <c r="F7235" i="1"/>
  <c r="W7235" i="1"/>
  <c r="AJ7235" i="1"/>
  <c r="AW7235" i="1"/>
  <c r="E7236" i="1"/>
  <c r="F7236" i="1"/>
  <c r="W7236" i="1"/>
  <c r="AJ7236" i="1"/>
  <c r="AW7236" i="1"/>
  <c r="E7237" i="1"/>
  <c r="F7237" i="1"/>
  <c r="W7237" i="1"/>
  <c r="AJ7237" i="1"/>
  <c r="AW7237" i="1"/>
  <c r="E7238" i="1"/>
  <c r="F7238" i="1"/>
  <c r="W7238" i="1"/>
  <c r="AJ7238" i="1"/>
  <c r="AW7238" i="1"/>
  <c r="E7239" i="1"/>
  <c r="F7239" i="1"/>
  <c r="W7239" i="1"/>
  <c r="AJ7239" i="1"/>
  <c r="AW7239" i="1"/>
  <c r="E7240" i="1"/>
  <c r="F7240" i="1"/>
  <c r="W7240" i="1"/>
  <c r="AJ7240" i="1"/>
  <c r="AW7240" i="1"/>
  <c r="E7241" i="1"/>
  <c r="F7241" i="1"/>
  <c r="W7241" i="1"/>
  <c r="AJ7241" i="1"/>
  <c r="AW7241" i="1"/>
  <c r="E7242" i="1"/>
  <c r="F7242" i="1"/>
  <c r="W7242" i="1"/>
  <c r="AJ7242" i="1"/>
  <c r="AW7242" i="1"/>
  <c r="E7243" i="1"/>
  <c r="F7243" i="1"/>
  <c r="W7243" i="1"/>
  <c r="AJ7243" i="1"/>
  <c r="AW7243" i="1"/>
  <c r="E7244" i="1"/>
  <c r="F7244" i="1"/>
  <c r="W7244" i="1"/>
  <c r="AJ7244" i="1"/>
  <c r="AW7244" i="1"/>
  <c r="E7245" i="1"/>
  <c r="F7245" i="1"/>
  <c r="W7245" i="1"/>
  <c r="AJ7245" i="1"/>
  <c r="AW7245" i="1"/>
  <c r="E7246" i="1"/>
  <c r="F7246" i="1"/>
  <c r="W7246" i="1"/>
  <c r="AJ7246" i="1"/>
  <c r="AW7246" i="1"/>
  <c r="E7247" i="1"/>
  <c r="F7247" i="1"/>
  <c r="J7247" i="1"/>
  <c r="W7247" i="1"/>
  <c r="AJ7247" i="1"/>
  <c r="AW7247" i="1"/>
  <c r="E7248" i="1"/>
  <c r="F7248" i="1"/>
  <c r="W7248" i="1"/>
  <c r="AJ7248" i="1"/>
  <c r="AW7248" i="1"/>
  <c r="E7249" i="1"/>
  <c r="F7249" i="1"/>
  <c r="W7249" i="1"/>
  <c r="AJ7249" i="1"/>
  <c r="AW7249" i="1"/>
  <c r="E7250" i="1"/>
  <c r="F7250" i="1"/>
  <c r="J7250" i="1"/>
  <c r="W7250" i="1"/>
  <c r="AJ7250" i="1"/>
  <c r="AW7250" i="1"/>
  <c r="E7251" i="1"/>
  <c r="F7251" i="1"/>
  <c r="W7251" i="1"/>
  <c r="AJ7251" i="1"/>
  <c r="AW7251" i="1"/>
  <c r="E7252" i="1"/>
  <c r="F7252" i="1"/>
  <c r="J7252" i="1"/>
  <c r="W7252" i="1"/>
  <c r="AJ7252" i="1"/>
  <c r="AW7252" i="1"/>
  <c r="E7253" i="1"/>
  <c r="F7253" i="1"/>
  <c r="W7253" i="1"/>
  <c r="AJ7253" i="1"/>
  <c r="AW7253" i="1"/>
  <c r="E7254" i="1"/>
  <c r="F7254" i="1"/>
  <c r="W7254" i="1"/>
  <c r="AJ7254" i="1"/>
  <c r="AW7254" i="1"/>
  <c r="E7255" i="1"/>
  <c r="F7255" i="1"/>
  <c r="W7255" i="1"/>
  <c r="AJ7255" i="1"/>
  <c r="AW7255" i="1"/>
  <c r="E7228" i="1"/>
  <c r="F7228" i="1"/>
  <c r="W7228" i="1"/>
  <c r="AJ7228" i="1"/>
  <c r="AW7228" i="1"/>
  <c r="E7229" i="1"/>
  <c r="F7229" i="1"/>
  <c r="W7229" i="1"/>
  <c r="AJ7229" i="1"/>
  <c r="AW7229" i="1"/>
  <c r="E7256" i="1"/>
  <c r="F7256" i="1"/>
  <c r="W7256" i="1"/>
  <c r="AJ7256" i="1"/>
  <c r="AW7256" i="1"/>
  <c r="E7257" i="1"/>
  <c r="F7257" i="1"/>
  <c r="W7257" i="1"/>
  <c r="AJ7257" i="1"/>
  <c r="AW7257" i="1"/>
  <c r="E7258" i="1"/>
  <c r="F7258" i="1"/>
  <c r="W7258" i="1"/>
  <c r="AJ7258" i="1"/>
  <c r="AW7258" i="1"/>
  <c r="E7259" i="1"/>
  <c r="F7259" i="1"/>
  <c r="W7259" i="1"/>
  <c r="AJ7259" i="1"/>
  <c r="AW7259" i="1"/>
  <c r="E7260" i="1"/>
  <c r="F7260" i="1"/>
  <c r="W7260" i="1"/>
  <c r="AJ7260" i="1"/>
  <c r="AW7260" i="1"/>
  <c r="E7261" i="1"/>
  <c r="F7261" i="1"/>
  <c r="W7261" i="1"/>
  <c r="AJ7261" i="1"/>
  <c r="AW7261" i="1"/>
  <c r="E7262" i="1"/>
  <c r="F7262" i="1"/>
  <c r="W7262" i="1"/>
  <c r="AJ7262" i="1"/>
  <c r="AW7262" i="1"/>
  <c r="E7263" i="1"/>
  <c r="F7263" i="1"/>
  <c r="W7263" i="1"/>
  <c r="AJ7263" i="1"/>
  <c r="AW7263" i="1"/>
  <c r="E7264" i="1"/>
  <c r="F7264" i="1"/>
  <c r="W7264" i="1"/>
  <c r="AJ7264" i="1"/>
  <c r="AW7264" i="1"/>
  <c r="E7265" i="1"/>
  <c r="F7265" i="1"/>
  <c r="W7265" i="1"/>
  <c r="AJ7265" i="1"/>
  <c r="AW7265" i="1"/>
  <c r="E7266" i="1"/>
  <c r="F7266" i="1"/>
  <c r="W7266" i="1"/>
  <c r="AJ7266" i="1"/>
  <c r="AW7266" i="1"/>
  <c r="E7267" i="1"/>
  <c r="F7267" i="1"/>
  <c r="W7267" i="1"/>
  <c r="AJ7267" i="1"/>
  <c r="AW7267" i="1"/>
  <c r="J7239" i="1" l="1"/>
  <c r="J7267" i="1"/>
  <c r="J7266" i="1"/>
  <c r="J7265" i="1"/>
  <c r="J7259" i="1"/>
  <c r="J7258" i="1"/>
  <c r="J7229" i="1"/>
  <c r="J7242" i="1"/>
  <c r="J7248" i="1"/>
  <c r="J7234" i="1"/>
  <c r="J7233" i="1"/>
  <c r="J7263" i="1"/>
  <c r="J7261" i="1"/>
  <c r="J7228" i="1"/>
  <c r="J7253" i="1"/>
  <c r="J7249" i="1"/>
  <c r="J7244" i="1"/>
  <c r="J7240" i="1"/>
  <c r="J7262" i="1"/>
  <c r="J7260" i="1"/>
  <c r="J7257" i="1"/>
  <c r="J7254" i="1"/>
  <c r="J7251" i="1"/>
  <c r="J7246" i="1"/>
  <c r="J7243" i="1"/>
  <c r="J7237" i="1"/>
  <c r="J7235" i="1"/>
  <c r="J7264" i="1"/>
  <c r="J7256" i="1"/>
  <c r="J7255" i="1"/>
  <c r="J7245" i="1"/>
  <c r="J7241" i="1"/>
  <c r="J7238" i="1"/>
  <c r="J7236" i="1"/>
  <c r="J7232" i="1"/>
  <c r="J7230" i="1"/>
  <c r="AY7224" i="1"/>
  <c r="AX7224" i="1"/>
  <c r="AX7199" i="1"/>
  <c r="AX7200" i="1"/>
  <c r="E7194" i="1"/>
  <c r="F7194" i="1"/>
  <c r="J7194" i="1"/>
  <c r="W7194" i="1"/>
  <c r="AJ7194" i="1"/>
  <c r="AW7194" i="1"/>
  <c r="E7195" i="1"/>
  <c r="F7195" i="1"/>
  <c r="W7195" i="1"/>
  <c r="AJ7195" i="1"/>
  <c r="AW7195" i="1"/>
  <c r="E7196" i="1"/>
  <c r="F7196" i="1"/>
  <c r="W7196" i="1"/>
  <c r="AJ7196" i="1"/>
  <c r="AW7196" i="1"/>
  <c r="E7197" i="1"/>
  <c r="F7197" i="1"/>
  <c r="W7197" i="1"/>
  <c r="AJ7197" i="1"/>
  <c r="AW7197" i="1"/>
  <c r="E7198" i="1"/>
  <c r="F7198" i="1"/>
  <c r="W7198" i="1"/>
  <c r="AJ7198" i="1"/>
  <c r="AW7198" i="1"/>
  <c r="E7199" i="1"/>
  <c r="F7199" i="1"/>
  <c r="W7199" i="1"/>
  <c r="AJ7199" i="1"/>
  <c r="AW7199" i="1"/>
  <c r="E7200" i="1"/>
  <c r="F7200" i="1"/>
  <c r="W7200" i="1"/>
  <c r="AJ7200" i="1"/>
  <c r="AW7200" i="1"/>
  <c r="E7201" i="1"/>
  <c r="F7201" i="1"/>
  <c r="W7201" i="1"/>
  <c r="AJ7201" i="1"/>
  <c r="AW7201" i="1"/>
  <c r="E7202" i="1"/>
  <c r="F7202" i="1"/>
  <c r="W7202" i="1"/>
  <c r="AJ7202" i="1"/>
  <c r="AW7202" i="1"/>
  <c r="E7203" i="1"/>
  <c r="F7203" i="1"/>
  <c r="W7203" i="1"/>
  <c r="AJ7203" i="1"/>
  <c r="AW7203" i="1"/>
  <c r="E7204" i="1"/>
  <c r="F7204" i="1"/>
  <c r="W7204" i="1"/>
  <c r="AJ7204" i="1"/>
  <c r="AW7204" i="1"/>
  <c r="E7205" i="1"/>
  <c r="F7205" i="1"/>
  <c r="W7205" i="1"/>
  <c r="AJ7205" i="1"/>
  <c r="AW7205" i="1"/>
  <c r="E7206" i="1"/>
  <c r="F7206" i="1"/>
  <c r="W7206" i="1"/>
  <c r="AJ7206" i="1"/>
  <c r="AW7206" i="1"/>
  <c r="E7207" i="1"/>
  <c r="F7207" i="1"/>
  <c r="W7207" i="1"/>
  <c r="AJ7207" i="1"/>
  <c r="AW7207" i="1"/>
  <c r="E7208" i="1"/>
  <c r="F7208" i="1"/>
  <c r="W7208" i="1"/>
  <c r="AJ7208" i="1"/>
  <c r="AW7208" i="1"/>
  <c r="E7209" i="1"/>
  <c r="F7209" i="1"/>
  <c r="W7209" i="1"/>
  <c r="AJ7209" i="1"/>
  <c r="AW7209" i="1"/>
  <c r="E7210" i="1"/>
  <c r="F7210" i="1"/>
  <c r="W7210" i="1"/>
  <c r="AJ7210" i="1"/>
  <c r="AW7210" i="1"/>
  <c r="E7211" i="1"/>
  <c r="F7211" i="1"/>
  <c r="W7211" i="1"/>
  <c r="AJ7211" i="1"/>
  <c r="AW7211" i="1"/>
  <c r="E7212" i="1"/>
  <c r="F7212" i="1"/>
  <c r="W7212" i="1"/>
  <c r="AJ7212" i="1"/>
  <c r="AW7212" i="1"/>
  <c r="E7213" i="1"/>
  <c r="F7213" i="1"/>
  <c r="J7213" i="1"/>
  <c r="W7213" i="1"/>
  <c r="AJ7213" i="1"/>
  <c r="AW7213" i="1"/>
  <c r="E7214" i="1"/>
  <c r="F7214" i="1"/>
  <c r="J7214" i="1"/>
  <c r="W7214" i="1"/>
  <c r="AJ7214" i="1"/>
  <c r="AW7214" i="1"/>
  <c r="E7215" i="1"/>
  <c r="F7215" i="1"/>
  <c r="W7215" i="1"/>
  <c r="AJ7215" i="1"/>
  <c r="AW7215" i="1"/>
  <c r="E7216" i="1"/>
  <c r="F7216" i="1"/>
  <c r="W7216" i="1"/>
  <c r="AJ7216" i="1"/>
  <c r="AW7216" i="1"/>
  <c r="E7217" i="1"/>
  <c r="F7217" i="1"/>
  <c r="W7217" i="1"/>
  <c r="AJ7217" i="1"/>
  <c r="AW7217" i="1"/>
  <c r="E7218" i="1"/>
  <c r="F7218" i="1"/>
  <c r="W7218" i="1"/>
  <c r="AJ7218" i="1"/>
  <c r="AW7218" i="1"/>
  <c r="E7219" i="1"/>
  <c r="F7219" i="1"/>
  <c r="W7219" i="1"/>
  <c r="AJ7219" i="1"/>
  <c r="AW7219" i="1"/>
  <c r="E7220" i="1"/>
  <c r="F7220" i="1"/>
  <c r="W7220" i="1"/>
  <c r="AJ7220" i="1"/>
  <c r="AW7220" i="1"/>
  <c r="E7221" i="1"/>
  <c r="F7221" i="1"/>
  <c r="W7221" i="1"/>
  <c r="AJ7221" i="1"/>
  <c r="AW7221" i="1"/>
  <c r="E7222" i="1"/>
  <c r="F7222" i="1"/>
  <c r="W7222" i="1"/>
  <c r="AJ7222" i="1"/>
  <c r="AW7222" i="1"/>
  <c r="E7223" i="1"/>
  <c r="F7223" i="1"/>
  <c r="W7223" i="1"/>
  <c r="AJ7223" i="1"/>
  <c r="AW7223" i="1"/>
  <c r="E7224" i="1"/>
  <c r="F7224" i="1"/>
  <c r="W7224" i="1"/>
  <c r="AJ7224" i="1"/>
  <c r="AW7224" i="1"/>
  <c r="E7225" i="1"/>
  <c r="F7225" i="1"/>
  <c r="W7225" i="1"/>
  <c r="AJ7225" i="1"/>
  <c r="AW7225" i="1"/>
  <c r="E7226" i="1"/>
  <c r="F7226" i="1"/>
  <c r="J7226" i="1"/>
  <c r="W7226" i="1"/>
  <c r="AJ7226" i="1"/>
  <c r="AW7226" i="1"/>
  <c r="E7227" i="1"/>
  <c r="F7227" i="1"/>
  <c r="W7227" i="1"/>
  <c r="AJ7227" i="1"/>
  <c r="AW7227" i="1"/>
  <c r="J7225" i="1" l="1"/>
  <c r="J7224" i="1"/>
  <c r="J7221" i="1"/>
  <c r="J7220" i="1"/>
  <c r="J7212" i="1"/>
  <c r="J7208" i="1"/>
  <c r="J7206" i="1"/>
  <c r="J7204" i="1"/>
  <c r="J7195" i="1"/>
  <c r="J7217" i="1"/>
  <c r="J7203" i="1"/>
  <c r="J7201" i="1"/>
  <c r="J7227" i="1"/>
  <c r="J7223" i="1"/>
  <c r="J7219" i="1"/>
  <c r="J7216" i="1"/>
  <c r="J7215" i="1"/>
  <c r="J7210" i="1"/>
  <c r="J7209" i="1"/>
  <c r="J7207" i="1"/>
  <c r="J7205" i="1"/>
  <c r="J7202" i="1"/>
  <c r="J7200" i="1"/>
  <c r="J7198" i="1"/>
  <c r="J7197" i="1"/>
  <c r="J7196" i="1"/>
  <c r="J7222" i="1"/>
  <c r="J7218" i="1"/>
  <c r="J7211" i="1"/>
  <c r="J7199" i="1"/>
  <c r="J843" i="5"/>
  <c r="J830" i="5"/>
  <c r="AX7190" i="1" l="1"/>
  <c r="E7188" i="1"/>
  <c r="F7188" i="1"/>
  <c r="J7188" i="1"/>
  <c r="W7188" i="1"/>
  <c r="AJ7188" i="1"/>
  <c r="AW7188" i="1"/>
  <c r="E7189" i="1"/>
  <c r="F7189" i="1"/>
  <c r="W7189" i="1"/>
  <c r="AJ7189" i="1"/>
  <c r="AW7189" i="1"/>
  <c r="E7190" i="1"/>
  <c r="F7190" i="1"/>
  <c r="W7190" i="1"/>
  <c r="AJ7190" i="1"/>
  <c r="AW7190" i="1"/>
  <c r="E7191" i="1"/>
  <c r="F7191" i="1"/>
  <c r="W7191" i="1"/>
  <c r="AJ7191" i="1"/>
  <c r="AW7191" i="1"/>
  <c r="E7192" i="1"/>
  <c r="F7192" i="1"/>
  <c r="W7192" i="1"/>
  <c r="AJ7192" i="1"/>
  <c r="AW7192" i="1"/>
  <c r="E7193" i="1"/>
  <c r="F7193" i="1"/>
  <c r="W7193" i="1"/>
  <c r="AJ7193" i="1"/>
  <c r="AW7193" i="1"/>
  <c r="E7154" i="1"/>
  <c r="F7154" i="1"/>
  <c r="J7154" i="1"/>
  <c r="W7154" i="1"/>
  <c r="AJ7154" i="1"/>
  <c r="AW7154" i="1"/>
  <c r="E7155" i="1"/>
  <c r="F7155" i="1"/>
  <c r="W7155" i="1"/>
  <c r="AJ7155" i="1"/>
  <c r="AW7155" i="1"/>
  <c r="E7156" i="1"/>
  <c r="F7156" i="1"/>
  <c r="W7156" i="1"/>
  <c r="AJ7156" i="1"/>
  <c r="AW7156" i="1"/>
  <c r="E7157" i="1"/>
  <c r="F7157" i="1"/>
  <c r="J7157" i="1"/>
  <c r="W7157" i="1"/>
  <c r="AJ7157" i="1"/>
  <c r="AW7157" i="1"/>
  <c r="E7158" i="1"/>
  <c r="F7158" i="1"/>
  <c r="W7158" i="1"/>
  <c r="AJ7158" i="1"/>
  <c r="AW7158" i="1"/>
  <c r="J7191" i="1" l="1"/>
  <c r="J7190" i="1"/>
  <c r="J7193" i="1"/>
  <c r="J7158" i="1"/>
  <c r="J7156" i="1"/>
  <c r="J7192" i="1"/>
  <c r="J7155" i="1"/>
  <c r="J7189" i="1"/>
  <c r="E7151" i="1"/>
  <c r="F7151" i="1"/>
  <c r="W7151" i="1"/>
  <c r="AJ7151" i="1"/>
  <c r="AW7151" i="1"/>
  <c r="E7152" i="1"/>
  <c r="F7152" i="1"/>
  <c r="W7152" i="1"/>
  <c r="AJ7152" i="1"/>
  <c r="AW7152" i="1"/>
  <c r="E7153" i="1"/>
  <c r="F7153" i="1"/>
  <c r="J7153" i="1"/>
  <c r="W7153" i="1"/>
  <c r="AJ7153" i="1"/>
  <c r="AW7153" i="1"/>
  <c r="E7159" i="1"/>
  <c r="F7159" i="1"/>
  <c r="W7159" i="1"/>
  <c r="AJ7159" i="1"/>
  <c r="AW7159" i="1"/>
  <c r="E7160" i="1"/>
  <c r="F7160" i="1"/>
  <c r="W7160" i="1"/>
  <c r="AJ7160" i="1"/>
  <c r="AW7160" i="1"/>
  <c r="E7161" i="1"/>
  <c r="F7161" i="1"/>
  <c r="W7161" i="1"/>
  <c r="AJ7161" i="1"/>
  <c r="AW7161" i="1"/>
  <c r="E7162" i="1"/>
  <c r="F7162" i="1"/>
  <c r="W7162" i="1"/>
  <c r="AJ7162" i="1"/>
  <c r="AW7162" i="1"/>
  <c r="E7163" i="1"/>
  <c r="F7163" i="1"/>
  <c r="W7163" i="1"/>
  <c r="AJ7163" i="1"/>
  <c r="AW7163" i="1"/>
  <c r="E7164" i="1"/>
  <c r="F7164" i="1"/>
  <c r="W7164" i="1"/>
  <c r="AJ7164" i="1"/>
  <c r="AW7164" i="1"/>
  <c r="E7165" i="1"/>
  <c r="F7165" i="1"/>
  <c r="W7165" i="1"/>
  <c r="AJ7165" i="1"/>
  <c r="AW7165" i="1"/>
  <c r="E7166" i="1"/>
  <c r="F7166" i="1"/>
  <c r="W7166" i="1"/>
  <c r="AJ7166" i="1"/>
  <c r="AW7166" i="1"/>
  <c r="E7167" i="1"/>
  <c r="F7167" i="1"/>
  <c r="J7167" i="1"/>
  <c r="W7167" i="1"/>
  <c r="AJ7167" i="1"/>
  <c r="AW7167" i="1"/>
  <c r="E7168" i="1"/>
  <c r="F7168" i="1"/>
  <c r="J7168" i="1"/>
  <c r="W7168" i="1"/>
  <c r="AJ7168" i="1"/>
  <c r="AW7168" i="1"/>
  <c r="E7169" i="1"/>
  <c r="F7169" i="1"/>
  <c r="W7169" i="1"/>
  <c r="AJ7169" i="1"/>
  <c r="AW7169" i="1"/>
  <c r="E7170" i="1"/>
  <c r="F7170" i="1"/>
  <c r="W7170" i="1"/>
  <c r="AJ7170" i="1"/>
  <c r="AW7170" i="1"/>
  <c r="E7171" i="1"/>
  <c r="F7171" i="1"/>
  <c r="W7171" i="1"/>
  <c r="AJ7171" i="1"/>
  <c r="AW7171" i="1"/>
  <c r="E7172" i="1"/>
  <c r="F7172" i="1"/>
  <c r="W7172" i="1"/>
  <c r="AJ7172" i="1"/>
  <c r="AW7172" i="1"/>
  <c r="E7173" i="1"/>
  <c r="F7173" i="1"/>
  <c r="W7173" i="1"/>
  <c r="AJ7173" i="1"/>
  <c r="AW7173" i="1"/>
  <c r="E7174" i="1"/>
  <c r="F7174" i="1"/>
  <c r="W7174" i="1"/>
  <c r="AJ7174" i="1"/>
  <c r="AW7174" i="1"/>
  <c r="E7175" i="1"/>
  <c r="F7175" i="1"/>
  <c r="W7175" i="1"/>
  <c r="AJ7175" i="1"/>
  <c r="AW7175" i="1"/>
  <c r="E7176" i="1"/>
  <c r="F7176" i="1"/>
  <c r="W7176" i="1"/>
  <c r="AJ7176" i="1"/>
  <c r="AW7176" i="1"/>
  <c r="E7177" i="1"/>
  <c r="F7177" i="1"/>
  <c r="W7177" i="1"/>
  <c r="AJ7177" i="1"/>
  <c r="AW7177" i="1"/>
  <c r="E7178" i="1"/>
  <c r="F7178" i="1"/>
  <c r="W7178" i="1"/>
  <c r="AJ7178" i="1"/>
  <c r="AW7178" i="1"/>
  <c r="E7179" i="1"/>
  <c r="F7179" i="1"/>
  <c r="W7179" i="1"/>
  <c r="AJ7179" i="1"/>
  <c r="AW7179" i="1"/>
  <c r="E7180" i="1"/>
  <c r="F7180" i="1"/>
  <c r="W7180" i="1"/>
  <c r="AJ7180" i="1"/>
  <c r="AW7180" i="1"/>
  <c r="E7181" i="1"/>
  <c r="F7181" i="1"/>
  <c r="W7181" i="1"/>
  <c r="AJ7181" i="1"/>
  <c r="AW7181" i="1"/>
  <c r="E7182" i="1"/>
  <c r="F7182" i="1"/>
  <c r="W7182" i="1"/>
  <c r="AJ7182" i="1"/>
  <c r="AW7182" i="1"/>
  <c r="E7183" i="1"/>
  <c r="F7183" i="1"/>
  <c r="W7183" i="1"/>
  <c r="AJ7183" i="1"/>
  <c r="AW7183" i="1"/>
  <c r="E7184" i="1"/>
  <c r="F7184" i="1"/>
  <c r="W7184" i="1"/>
  <c r="AJ7184" i="1"/>
  <c r="AW7184" i="1"/>
  <c r="E7185" i="1"/>
  <c r="F7185" i="1"/>
  <c r="W7185" i="1"/>
  <c r="AJ7185" i="1"/>
  <c r="AW7185" i="1"/>
  <c r="E7186" i="1"/>
  <c r="F7186" i="1"/>
  <c r="W7186" i="1"/>
  <c r="AJ7186" i="1"/>
  <c r="AW7186" i="1"/>
  <c r="E7187" i="1"/>
  <c r="F7187" i="1"/>
  <c r="W7187" i="1"/>
  <c r="AJ7187" i="1"/>
  <c r="AW7187" i="1"/>
  <c r="J7187" i="1" l="1"/>
  <c r="J7185" i="1"/>
  <c r="J7183" i="1"/>
  <c r="J7181" i="1"/>
  <c r="J7179" i="1"/>
  <c r="J7177" i="1"/>
  <c r="J7174" i="1"/>
  <c r="J7173" i="1"/>
  <c r="J7170" i="1"/>
  <c r="J7169" i="1"/>
  <c r="J7165" i="1"/>
  <c r="J7159" i="1"/>
  <c r="J7186" i="1"/>
  <c r="J7184" i="1"/>
  <c r="J7182" i="1"/>
  <c r="J7180" i="1"/>
  <c r="J7178" i="1"/>
  <c r="J7176" i="1"/>
  <c r="J7172" i="1"/>
  <c r="J7166" i="1"/>
  <c r="J7163" i="1"/>
  <c r="J7161" i="1"/>
  <c r="J7160" i="1"/>
  <c r="J7152" i="1"/>
  <c r="J7175" i="1"/>
  <c r="J7171" i="1"/>
  <c r="J7164" i="1"/>
  <c r="J7162" i="1"/>
  <c r="J7151" i="1"/>
  <c r="AX7147" i="1"/>
  <c r="E7149" i="1"/>
  <c r="F7149" i="1"/>
  <c r="W7149" i="1"/>
  <c r="AJ7149" i="1"/>
  <c r="AW7149" i="1"/>
  <c r="E7150" i="1"/>
  <c r="F7150" i="1"/>
  <c r="W7150" i="1"/>
  <c r="AJ7150" i="1"/>
  <c r="AW7150" i="1"/>
  <c r="E7102" i="1"/>
  <c r="F7102" i="1"/>
  <c r="W7102" i="1"/>
  <c r="AJ7102" i="1"/>
  <c r="AW7102" i="1"/>
  <c r="E7103" i="1"/>
  <c r="F7103" i="1"/>
  <c r="W7103" i="1"/>
  <c r="AJ7103" i="1"/>
  <c r="AW7103" i="1"/>
  <c r="E7104" i="1"/>
  <c r="F7104" i="1"/>
  <c r="W7104" i="1"/>
  <c r="AJ7104" i="1"/>
  <c r="AW7104" i="1"/>
  <c r="E7105" i="1"/>
  <c r="F7105" i="1"/>
  <c r="W7105" i="1"/>
  <c r="AJ7105" i="1"/>
  <c r="AW7105" i="1"/>
  <c r="E7106" i="1"/>
  <c r="F7106" i="1"/>
  <c r="W7106" i="1"/>
  <c r="AJ7106" i="1"/>
  <c r="AW7106" i="1"/>
  <c r="E7107" i="1"/>
  <c r="F7107" i="1"/>
  <c r="W7107" i="1"/>
  <c r="AJ7107" i="1"/>
  <c r="AW7107" i="1"/>
  <c r="E7108" i="1"/>
  <c r="F7108" i="1"/>
  <c r="W7108" i="1"/>
  <c r="AJ7108" i="1"/>
  <c r="AW7108" i="1"/>
  <c r="E7109" i="1"/>
  <c r="F7109" i="1"/>
  <c r="W7109" i="1"/>
  <c r="AJ7109" i="1"/>
  <c r="AW7109" i="1"/>
  <c r="E7110" i="1"/>
  <c r="F7110" i="1"/>
  <c r="W7110" i="1"/>
  <c r="AJ7110" i="1"/>
  <c r="AW7110" i="1"/>
  <c r="E7111" i="1"/>
  <c r="F7111" i="1"/>
  <c r="J7111" i="1"/>
  <c r="W7111" i="1"/>
  <c r="AJ7111" i="1"/>
  <c r="AW7111" i="1"/>
  <c r="E7112" i="1"/>
  <c r="F7112" i="1"/>
  <c r="W7112" i="1"/>
  <c r="AJ7112" i="1"/>
  <c r="AW7112" i="1"/>
  <c r="E7113" i="1"/>
  <c r="F7113" i="1"/>
  <c r="W7113" i="1"/>
  <c r="AJ7113" i="1"/>
  <c r="AW7113" i="1"/>
  <c r="E7114" i="1"/>
  <c r="F7114" i="1"/>
  <c r="W7114" i="1"/>
  <c r="AJ7114" i="1"/>
  <c r="AW7114" i="1"/>
  <c r="E7115" i="1"/>
  <c r="F7115" i="1"/>
  <c r="W7115" i="1"/>
  <c r="AJ7115" i="1"/>
  <c r="AW7115" i="1"/>
  <c r="E7116" i="1"/>
  <c r="F7116" i="1"/>
  <c r="W7116" i="1"/>
  <c r="AJ7116" i="1"/>
  <c r="AW7116" i="1"/>
  <c r="E7117" i="1"/>
  <c r="F7117" i="1"/>
  <c r="W7117" i="1"/>
  <c r="AJ7117" i="1"/>
  <c r="AW7117" i="1"/>
  <c r="E7118" i="1"/>
  <c r="F7118" i="1"/>
  <c r="J7118" i="1"/>
  <c r="W7118" i="1"/>
  <c r="AJ7118" i="1"/>
  <c r="AW7118" i="1"/>
  <c r="E7119" i="1"/>
  <c r="F7119" i="1"/>
  <c r="J7119" i="1"/>
  <c r="W7119" i="1"/>
  <c r="AJ7119" i="1"/>
  <c r="AW7119" i="1"/>
  <c r="E7120" i="1"/>
  <c r="F7120" i="1"/>
  <c r="W7120" i="1"/>
  <c r="AJ7120" i="1"/>
  <c r="AW7120" i="1"/>
  <c r="E7121" i="1"/>
  <c r="F7121" i="1"/>
  <c r="W7121" i="1"/>
  <c r="AJ7121" i="1"/>
  <c r="AW7121" i="1"/>
  <c r="E7122" i="1"/>
  <c r="F7122" i="1"/>
  <c r="W7122" i="1"/>
  <c r="AJ7122" i="1"/>
  <c r="AW7122" i="1"/>
  <c r="E7123" i="1"/>
  <c r="F7123" i="1"/>
  <c r="W7123" i="1"/>
  <c r="AJ7123" i="1"/>
  <c r="AW7123" i="1"/>
  <c r="E7124" i="1"/>
  <c r="F7124" i="1"/>
  <c r="W7124" i="1"/>
  <c r="AJ7124" i="1"/>
  <c r="AW7124" i="1"/>
  <c r="E7125" i="1"/>
  <c r="F7125" i="1"/>
  <c r="W7125" i="1"/>
  <c r="AJ7125" i="1"/>
  <c r="AW7125" i="1"/>
  <c r="E7126" i="1"/>
  <c r="F7126" i="1"/>
  <c r="W7126" i="1"/>
  <c r="AJ7126" i="1"/>
  <c r="AW7126" i="1"/>
  <c r="E7127" i="1"/>
  <c r="F7127" i="1"/>
  <c r="W7127" i="1"/>
  <c r="AJ7127" i="1"/>
  <c r="AW7127" i="1"/>
  <c r="E7128" i="1"/>
  <c r="F7128" i="1"/>
  <c r="W7128" i="1"/>
  <c r="AJ7128" i="1"/>
  <c r="AW7128" i="1"/>
  <c r="E7129" i="1"/>
  <c r="F7129" i="1"/>
  <c r="W7129" i="1"/>
  <c r="AJ7129" i="1"/>
  <c r="AW7129" i="1"/>
  <c r="E7130" i="1"/>
  <c r="F7130" i="1"/>
  <c r="W7130" i="1"/>
  <c r="AJ7130" i="1"/>
  <c r="AW7130" i="1"/>
  <c r="E7131" i="1"/>
  <c r="F7131" i="1"/>
  <c r="W7131" i="1"/>
  <c r="AJ7131" i="1"/>
  <c r="AW7131" i="1"/>
  <c r="E7132" i="1"/>
  <c r="F7132" i="1"/>
  <c r="J7132" i="1"/>
  <c r="W7132" i="1"/>
  <c r="AJ7132" i="1"/>
  <c r="AW7132" i="1"/>
  <c r="E7133" i="1"/>
  <c r="F7133" i="1"/>
  <c r="W7133" i="1"/>
  <c r="AJ7133" i="1"/>
  <c r="AW7133" i="1"/>
  <c r="E7134" i="1"/>
  <c r="F7134" i="1"/>
  <c r="W7134" i="1"/>
  <c r="AJ7134" i="1"/>
  <c r="AW7134" i="1"/>
  <c r="E7135" i="1"/>
  <c r="F7135" i="1"/>
  <c r="W7135" i="1"/>
  <c r="AJ7135" i="1"/>
  <c r="AW7135" i="1"/>
  <c r="E7136" i="1"/>
  <c r="F7136" i="1"/>
  <c r="J7136" i="1"/>
  <c r="W7136" i="1"/>
  <c r="AJ7136" i="1"/>
  <c r="AW7136" i="1"/>
  <c r="E7137" i="1"/>
  <c r="F7137" i="1"/>
  <c r="W7137" i="1"/>
  <c r="AJ7137" i="1"/>
  <c r="AW7137" i="1"/>
  <c r="E7138" i="1"/>
  <c r="F7138" i="1"/>
  <c r="W7138" i="1"/>
  <c r="AJ7138" i="1"/>
  <c r="AW7138" i="1"/>
  <c r="E7139" i="1"/>
  <c r="F7139" i="1"/>
  <c r="J7139" i="1"/>
  <c r="W7139" i="1"/>
  <c r="AJ7139" i="1"/>
  <c r="AW7139" i="1"/>
  <c r="E7140" i="1"/>
  <c r="F7140" i="1"/>
  <c r="J7140" i="1"/>
  <c r="W7140" i="1"/>
  <c r="AJ7140" i="1"/>
  <c r="AW7140" i="1"/>
  <c r="E7141" i="1"/>
  <c r="F7141" i="1"/>
  <c r="W7141" i="1"/>
  <c r="AJ7141" i="1"/>
  <c r="AW7141" i="1"/>
  <c r="E7142" i="1"/>
  <c r="F7142" i="1"/>
  <c r="W7142" i="1"/>
  <c r="AJ7142" i="1"/>
  <c r="AW7142" i="1"/>
  <c r="E7143" i="1"/>
  <c r="F7143" i="1"/>
  <c r="W7143" i="1"/>
  <c r="AJ7143" i="1"/>
  <c r="AW7143" i="1"/>
  <c r="E7144" i="1"/>
  <c r="F7144" i="1"/>
  <c r="W7144" i="1"/>
  <c r="AJ7144" i="1"/>
  <c r="AW7144" i="1"/>
  <c r="E7145" i="1"/>
  <c r="F7145" i="1"/>
  <c r="W7145" i="1"/>
  <c r="AJ7145" i="1"/>
  <c r="AW7145" i="1"/>
  <c r="J7138" i="1" l="1"/>
  <c r="J7135" i="1"/>
  <c r="J7134" i="1"/>
  <c r="J7130" i="1"/>
  <c r="J7129" i="1"/>
  <c r="J7126" i="1"/>
  <c r="J7125" i="1"/>
  <c r="J7123" i="1"/>
  <c r="J7120" i="1"/>
  <c r="J7117" i="1"/>
  <c r="J7115" i="1"/>
  <c r="J7113" i="1"/>
  <c r="J7110" i="1"/>
  <c r="J7108" i="1"/>
  <c r="J7106" i="1"/>
  <c r="J7104" i="1"/>
  <c r="J7145" i="1"/>
  <c r="J7143" i="1"/>
  <c r="J7142" i="1"/>
  <c r="J7133" i="1"/>
  <c r="J7128" i="1"/>
  <c r="J7124" i="1"/>
  <c r="J7122" i="1"/>
  <c r="J7116" i="1"/>
  <c r="J7114" i="1"/>
  <c r="J7112" i="1"/>
  <c r="J7109" i="1"/>
  <c r="J7107" i="1"/>
  <c r="J7105" i="1"/>
  <c r="J7103" i="1"/>
  <c r="J7144" i="1"/>
  <c r="J7141" i="1"/>
  <c r="J7137" i="1"/>
  <c r="J7131" i="1"/>
  <c r="J7127" i="1"/>
  <c r="J7121" i="1"/>
  <c r="J7102" i="1"/>
  <c r="J7150" i="1"/>
  <c r="J7149" i="1"/>
  <c r="BZ45" i="7"/>
  <c r="BZ44" i="7"/>
  <c r="BZ43" i="7"/>
  <c r="BZ42" i="7"/>
  <c r="BZ41" i="7"/>
  <c r="BZ40" i="7"/>
  <c r="BZ39" i="7"/>
  <c r="BZ38" i="7"/>
  <c r="BZ37" i="7"/>
  <c r="BZ35" i="7"/>
  <c r="BZ34" i="7"/>
  <c r="BZ33" i="7"/>
  <c r="BZ32" i="7"/>
  <c r="BZ31" i="7"/>
  <c r="BZ30" i="7"/>
  <c r="BZ29" i="7"/>
  <c r="BZ27" i="7"/>
  <c r="BZ26" i="7"/>
  <c r="BZ25" i="7"/>
  <c r="BZ24" i="7"/>
  <c r="BZ22" i="7"/>
  <c r="BZ21" i="7"/>
  <c r="BZ20" i="7"/>
  <c r="BZ19" i="7"/>
  <c r="BZ18" i="7"/>
  <c r="BZ17" i="7"/>
  <c r="BZ16" i="7"/>
  <c r="BZ11" i="7"/>
  <c r="BZ10" i="7"/>
  <c r="BZ9" i="7"/>
  <c r="BZ8" i="7"/>
  <c r="BZ7" i="7"/>
  <c r="BZ6" i="7"/>
  <c r="BZ46" i="7"/>
  <c r="E7088" i="1"/>
  <c r="F7088" i="1"/>
  <c r="W7088" i="1"/>
  <c r="AJ7088" i="1"/>
  <c r="AW7088" i="1"/>
  <c r="E7089" i="1"/>
  <c r="F7089" i="1"/>
  <c r="W7089" i="1"/>
  <c r="AJ7089" i="1"/>
  <c r="AW7089" i="1"/>
  <c r="E7090" i="1"/>
  <c r="F7090" i="1"/>
  <c r="W7090" i="1"/>
  <c r="AJ7090" i="1"/>
  <c r="AW7090" i="1"/>
  <c r="E7091" i="1"/>
  <c r="F7091" i="1"/>
  <c r="J7091" i="1"/>
  <c r="W7091" i="1"/>
  <c r="AJ7091" i="1"/>
  <c r="AW7091" i="1"/>
  <c r="E7092" i="1"/>
  <c r="F7092" i="1"/>
  <c r="J7092" i="1"/>
  <c r="W7092" i="1"/>
  <c r="AJ7092" i="1"/>
  <c r="AW7092" i="1"/>
  <c r="E7093" i="1"/>
  <c r="F7093" i="1"/>
  <c r="J7093" i="1"/>
  <c r="W7093" i="1"/>
  <c r="AJ7093" i="1"/>
  <c r="AW7093" i="1"/>
  <c r="E7095" i="1"/>
  <c r="F7095" i="1"/>
  <c r="W7095" i="1"/>
  <c r="AJ7095" i="1"/>
  <c r="AW7095" i="1"/>
  <c r="E7096" i="1"/>
  <c r="F7096" i="1"/>
  <c r="W7096" i="1"/>
  <c r="AJ7096" i="1"/>
  <c r="AW7096" i="1"/>
  <c r="E7097" i="1"/>
  <c r="F7097" i="1"/>
  <c r="W7097" i="1"/>
  <c r="AJ7097" i="1"/>
  <c r="AW7097" i="1"/>
  <c r="E7098" i="1"/>
  <c r="F7098" i="1"/>
  <c r="W7098" i="1"/>
  <c r="AJ7098" i="1"/>
  <c r="AW7098" i="1"/>
  <c r="E7099" i="1"/>
  <c r="F7099" i="1"/>
  <c r="W7099" i="1"/>
  <c r="AJ7099" i="1"/>
  <c r="AW7099" i="1"/>
  <c r="E7100" i="1"/>
  <c r="F7100" i="1"/>
  <c r="W7100" i="1"/>
  <c r="AJ7100" i="1"/>
  <c r="AW7100" i="1"/>
  <c r="E7101" i="1"/>
  <c r="F7101" i="1"/>
  <c r="W7101" i="1"/>
  <c r="AJ7101" i="1"/>
  <c r="AW7101" i="1"/>
  <c r="E7146" i="1"/>
  <c r="F7146" i="1"/>
  <c r="W7146" i="1"/>
  <c r="AJ7146" i="1"/>
  <c r="AW7146" i="1"/>
  <c r="E7147" i="1"/>
  <c r="F7147" i="1"/>
  <c r="W7147" i="1"/>
  <c r="AJ7147" i="1"/>
  <c r="AW7147" i="1"/>
  <c r="E7148" i="1"/>
  <c r="F7148" i="1"/>
  <c r="J7148" i="1"/>
  <c r="W7148" i="1"/>
  <c r="AJ7148" i="1"/>
  <c r="AW7148" i="1"/>
  <c r="J7146" i="1" l="1"/>
  <c r="J7101" i="1"/>
  <c r="J7097" i="1"/>
  <c r="J7099" i="1"/>
  <c r="J7098" i="1"/>
  <c r="J7096" i="1"/>
  <c r="J7090" i="1"/>
  <c r="J7147" i="1"/>
  <c r="J7100" i="1"/>
  <c r="J7095" i="1"/>
  <c r="J7089" i="1"/>
  <c r="J7088" i="1"/>
  <c r="BZ36" i="7"/>
  <c r="BZ28" i="7"/>
  <c r="BZ23" i="7"/>
  <c r="BZ15" i="7"/>
  <c r="BZ48" i="7" s="1"/>
  <c r="BZ13" i="7"/>
  <c r="AW7061" i="1"/>
  <c r="AJ7061" i="1"/>
  <c r="W7061" i="1"/>
  <c r="J7061" i="1"/>
  <c r="F7061" i="1"/>
  <c r="E7061" i="1"/>
  <c r="BZ49" i="7" l="1"/>
  <c r="BZ54" i="7" s="1"/>
  <c r="BZ57" i="7" s="1"/>
  <c r="AY7086" i="1"/>
  <c r="AX7086" i="1"/>
  <c r="E7082" i="1"/>
  <c r="F7082" i="1"/>
  <c r="W7082" i="1"/>
  <c r="AJ7082" i="1"/>
  <c r="AW7082" i="1"/>
  <c r="E7083" i="1"/>
  <c r="F7083" i="1"/>
  <c r="W7083" i="1"/>
  <c r="AJ7083" i="1"/>
  <c r="AW7083" i="1"/>
  <c r="E7084" i="1"/>
  <c r="F7084" i="1"/>
  <c r="W7084" i="1"/>
  <c r="AJ7084" i="1"/>
  <c r="AW7084" i="1"/>
  <c r="E7085" i="1"/>
  <c r="F7085" i="1"/>
  <c r="J7085" i="1"/>
  <c r="W7085" i="1"/>
  <c r="AJ7085" i="1"/>
  <c r="AW7085" i="1"/>
  <c r="E7086" i="1"/>
  <c r="F7086" i="1"/>
  <c r="W7086" i="1"/>
  <c r="AJ7086" i="1"/>
  <c r="AW7086" i="1"/>
  <c r="E7087" i="1"/>
  <c r="F7087" i="1"/>
  <c r="W7087" i="1"/>
  <c r="AJ7087" i="1"/>
  <c r="AW7087" i="1"/>
  <c r="AX7063" i="1"/>
  <c r="AX7064" i="1"/>
  <c r="E7058" i="1"/>
  <c r="F7058" i="1"/>
  <c r="J7058" i="1"/>
  <c r="W7058" i="1"/>
  <c r="AJ7058" i="1"/>
  <c r="AW7058" i="1"/>
  <c r="E7059" i="1"/>
  <c r="F7059" i="1"/>
  <c r="W7059" i="1"/>
  <c r="AJ7059" i="1"/>
  <c r="AW7059" i="1"/>
  <c r="E7060" i="1"/>
  <c r="F7060" i="1"/>
  <c r="W7060" i="1"/>
  <c r="AJ7060" i="1"/>
  <c r="AW7060" i="1"/>
  <c r="E7062" i="1"/>
  <c r="F7062" i="1"/>
  <c r="W7062" i="1"/>
  <c r="AJ7062" i="1"/>
  <c r="AW7062" i="1"/>
  <c r="E7063" i="1"/>
  <c r="F7063" i="1"/>
  <c r="W7063" i="1"/>
  <c r="AJ7063" i="1"/>
  <c r="AW7063" i="1"/>
  <c r="E7064" i="1"/>
  <c r="F7064" i="1"/>
  <c r="W7064" i="1"/>
  <c r="AJ7064" i="1"/>
  <c r="AW7064" i="1"/>
  <c r="E7065" i="1"/>
  <c r="F7065" i="1"/>
  <c r="W7065" i="1"/>
  <c r="AJ7065" i="1"/>
  <c r="AW7065" i="1"/>
  <c r="E7066" i="1"/>
  <c r="F7066" i="1"/>
  <c r="W7066" i="1"/>
  <c r="AJ7066" i="1"/>
  <c r="AW7066" i="1"/>
  <c r="E7067" i="1"/>
  <c r="F7067" i="1"/>
  <c r="W7067" i="1"/>
  <c r="AJ7067" i="1"/>
  <c r="AW7067" i="1"/>
  <c r="E7068" i="1"/>
  <c r="F7068" i="1"/>
  <c r="W7068" i="1"/>
  <c r="AJ7068" i="1"/>
  <c r="AW7068" i="1"/>
  <c r="E7069" i="1"/>
  <c r="F7069" i="1"/>
  <c r="W7069" i="1"/>
  <c r="AJ7069" i="1"/>
  <c r="AW7069" i="1"/>
  <c r="E7070" i="1"/>
  <c r="F7070" i="1"/>
  <c r="W7070" i="1"/>
  <c r="AJ7070" i="1"/>
  <c r="AW7070" i="1"/>
  <c r="E7071" i="1"/>
  <c r="F7071" i="1"/>
  <c r="J7071" i="1"/>
  <c r="W7071" i="1"/>
  <c r="AJ7071" i="1"/>
  <c r="AW7071" i="1"/>
  <c r="E7072" i="1"/>
  <c r="F7072" i="1"/>
  <c r="W7072" i="1"/>
  <c r="AJ7072" i="1"/>
  <c r="AW7072" i="1"/>
  <c r="E7073" i="1"/>
  <c r="F7073" i="1"/>
  <c r="W7073" i="1"/>
  <c r="AJ7073" i="1"/>
  <c r="AW7073" i="1"/>
  <c r="E7074" i="1"/>
  <c r="F7074" i="1"/>
  <c r="W7074" i="1"/>
  <c r="AJ7074" i="1"/>
  <c r="AW7074" i="1"/>
  <c r="E7075" i="1"/>
  <c r="F7075" i="1"/>
  <c r="W7075" i="1"/>
  <c r="AJ7075" i="1"/>
  <c r="AW7075" i="1"/>
  <c r="E7076" i="1"/>
  <c r="F7076" i="1"/>
  <c r="W7076" i="1"/>
  <c r="AJ7076" i="1"/>
  <c r="AW7076" i="1"/>
  <c r="E7077" i="1"/>
  <c r="F7077" i="1"/>
  <c r="W7077" i="1"/>
  <c r="AJ7077" i="1"/>
  <c r="AW7077" i="1"/>
  <c r="E7078" i="1"/>
  <c r="F7078" i="1"/>
  <c r="W7078" i="1"/>
  <c r="AJ7078" i="1"/>
  <c r="AW7078" i="1"/>
  <c r="E7079" i="1"/>
  <c r="F7079" i="1"/>
  <c r="W7079" i="1"/>
  <c r="AJ7079" i="1"/>
  <c r="AW7079" i="1"/>
  <c r="J7076" i="1" l="1"/>
  <c r="J7074" i="1"/>
  <c r="J7072" i="1"/>
  <c r="J7064" i="1"/>
  <c r="J7059" i="1"/>
  <c r="J7078" i="1"/>
  <c r="J7069" i="1"/>
  <c r="J7067" i="1"/>
  <c r="J7079" i="1"/>
  <c r="J7077" i="1"/>
  <c r="J7068" i="1"/>
  <c r="J7066" i="1"/>
  <c r="J7065" i="1"/>
  <c r="J7062" i="1"/>
  <c r="J7060" i="1"/>
  <c r="J7086" i="1"/>
  <c r="J7083" i="1"/>
  <c r="J7082" i="1"/>
  <c r="J7075" i="1"/>
  <c r="J7073" i="1"/>
  <c r="J7070" i="1"/>
  <c r="J7063" i="1"/>
  <c r="J7087" i="1"/>
  <c r="J7084" i="1"/>
  <c r="AX7055" i="1"/>
  <c r="E7042" i="1"/>
  <c r="F7042" i="1"/>
  <c r="J7042" i="1"/>
  <c r="W7042" i="1"/>
  <c r="AJ7042" i="1"/>
  <c r="AW7042" i="1"/>
  <c r="E7043" i="1"/>
  <c r="F7043" i="1"/>
  <c r="J7043" i="1"/>
  <c r="W7043" i="1"/>
  <c r="AJ7043" i="1"/>
  <c r="AW7043" i="1"/>
  <c r="E7044" i="1"/>
  <c r="F7044" i="1"/>
  <c r="W7044" i="1"/>
  <c r="AJ7044" i="1"/>
  <c r="AW7044" i="1"/>
  <c r="E7045" i="1"/>
  <c r="F7045" i="1"/>
  <c r="W7045" i="1"/>
  <c r="AJ7045" i="1"/>
  <c r="AW7045" i="1"/>
  <c r="E7046" i="1"/>
  <c r="F7046" i="1"/>
  <c r="J7046" i="1"/>
  <c r="W7046" i="1"/>
  <c r="AJ7046" i="1"/>
  <c r="AW7046" i="1"/>
  <c r="E7047" i="1"/>
  <c r="F7047" i="1"/>
  <c r="W7047" i="1"/>
  <c r="AJ7047" i="1"/>
  <c r="AW7047" i="1"/>
  <c r="E7048" i="1"/>
  <c r="F7048" i="1"/>
  <c r="W7048" i="1"/>
  <c r="AJ7048" i="1"/>
  <c r="AW7048" i="1"/>
  <c r="E7049" i="1"/>
  <c r="F7049" i="1"/>
  <c r="W7049" i="1"/>
  <c r="AJ7049" i="1"/>
  <c r="AW7049" i="1"/>
  <c r="E7050" i="1"/>
  <c r="F7050" i="1"/>
  <c r="J7050" i="1"/>
  <c r="W7050" i="1"/>
  <c r="AJ7050" i="1"/>
  <c r="AW7050" i="1"/>
  <c r="E7051" i="1"/>
  <c r="F7051" i="1"/>
  <c r="W7051" i="1"/>
  <c r="AJ7051" i="1"/>
  <c r="AW7051" i="1"/>
  <c r="E7052" i="1"/>
  <c r="F7052" i="1"/>
  <c r="W7052" i="1"/>
  <c r="AJ7052" i="1"/>
  <c r="AW7052" i="1"/>
  <c r="E7053" i="1"/>
  <c r="F7053" i="1"/>
  <c r="J7053" i="1"/>
  <c r="W7053" i="1"/>
  <c r="AJ7053" i="1"/>
  <c r="AW7053" i="1"/>
  <c r="J7051" i="1" l="1"/>
  <c r="J7052" i="1"/>
  <c r="J7049" i="1"/>
  <c r="J7047" i="1"/>
  <c r="J7044" i="1"/>
  <c r="J7048" i="1"/>
  <c r="J7045" i="1"/>
  <c r="AY7030" i="1"/>
  <c r="AX7030" i="1"/>
  <c r="E7018" i="1"/>
  <c r="F7018" i="1"/>
  <c r="W7018" i="1"/>
  <c r="AJ7018" i="1"/>
  <c r="AW7018" i="1"/>
  <c r="E7019" i="1"/>
  <c r="F7019" i="1"/>
  <c r="W7019" i="1"/>
  <c r="AJ7019" i="1"/>
  <c r="AW7019" i="1"/>
  <c r="E7020" i="1"/>
  <c r="F7020" i="1"/>
  <c r="W7020" i="1"/>
  <c r="AJ7020" i="1"/>
  <c r="AW7020" i="1"/>
  <c r="E7021" i="1"/>
  <c r="F7021" i="1"/>
  <c r="W7021" i="1"/>
  <c r="AJ7021" i="1"/>
  <c r="AW7021" i="1"/>
  <c r="E7022" i="1"/>
  <c r="F7022" i="1"/>
  <c r="W7022" i="1"/>
  <c r="AJ7022" i="1"/>
  <c r="AW7022" i="1"/>
  <c r="E7023" i="1"/>
  <c r="F7023" i="1"/>
  <c r="J7023" i="1"/>
  <c r="W7023" i="1"/>
  <c r="AJ7023" i="1"/>
  <c r="AW7023" i="1"/>
  <c r="E7024" i="1"/>
  <c r="F7024" i="1"/>
  <c r="W7024" i="1"/>
  <c r="AJ7024" i="1"/>
  <c r="AW7024" i="1"/>
  <c r="E7025" i="1"/>
  <c r="F7025" i="1"/>
  <c r="J7025" i="1"/>
  <c r="W7025" i="1"/>
  <c r="AJ7025" i="1"/>
  <c r="AW7025" i="1"/>
  <c r="E7026" i="1"/>
  <c r="F7026" i="1"/>
  <c r="W7026" i="1"/>
  <c r="AJ7026" i="1"/>
  <c r="AW7026" i="1"/>
  <c r="E7027" i="1"/>
  <c r="F7027" i="1"/>
  <c r="W7027" i="1"/>
  <c r="AJ7027" i="1"/>
  <c r="AW7027" i="1"/>
  <c r="E7028" i="1"/>
  <c r="F7028" i="1"/>
  <c r="W7028" i="1"/>
  <c r="AJ7028" i="1"/>
  <c r="AW7028" i="1"/>
  <c r="AY6987" i="1"/>
  <c r="E6978" i="1"/>
  <c r="F6978" i="1"/>
  <c r="W6978" i="1"/>
  <c r="AJ6978" i="1"/>
  <c r="AW6978" i="1"/>
  <c r="E6979" i="1"/>
  <c r="F6979" i="1"/>
  <c r="W6979" i="1"/>
  <c r="AJ6979" i="1"/>
  <c r="AW6979" i="1"/>
  <c r="E6980" i="1"/>
  <c r="F6980" i="1"/>
  <c r="J6980" i="1"/>
  <c r="W6980" i="1"/>
  <c r="AJ6980" i="1"/>
  <c r="AW6980" i="1"/>
  <c r="E6981" i="1"/>
  <c r="F6981" i="1"/>
  <c r="W6981" i="1"/>
  <c r="AJ6981" i="1"/>
  <c r="AW6981" i="1"/>
  <c r="E6982" i="1"/>
  <c r="F6982" i="1"/>
  <c r="W6982" i="1"/>
  <c r="AJ6982" i="1"/>
  <c r="AW6982" i="1"/>
  <c r="E6983" i="1"/>
  <c r="F6983" i="1"/>
  <c r="W6983" i="1"/>
  <c r="AJ6983" i="1"/>
  <c r="AW6983" i="1"/>
  <c r="E6984" i="1"/>
  <c r="F6984" i="1"/>
  <c r="W6984" i="1"/>
  <c r="AJ6984" i="1"/>
  <c r="AW6984" i="1"/>
  <c r="E6985" i="1"/>
  <c r="F6985" i="1"/>
  <c r="W6985" i="1"/>
  <c r="AJ6985" i="1"/>
  <c r="AW6985" i="1"/>
  <c r="E6986" i="1"/>
  <c r="F6986" i="1"/>
  <c r="W6986" i="1"/>
  <c r="AJ6986" i="1"/>
  <c r="AW6986" i="1"/>
  <c r="E6987" i="1"/>
  <c r="F6987" i="1"/>
  <c r="J6987" i="1"/>
  <c r="W6987" i="1"/>
  <c r="AJ6987" i="1"/>
  <c r="AW6987" i="1"/>
  <c r="E6988" i="1"/>
  <c r="F6988" i="1"/>
  <c r="W6988" i="1"/>
  <c r="AJ6988" i="1"/>
  <c r="AW6988" i="1"/>
  <c r="E6989" i="1"/>
  <c r="F6989" i="1"/>
  <c r="W6989" i="1"/>
  <c r="AJ6989" i="1"/>
  <c r="AW6989" i="1"/>
  <c r="E6990" i="1"/>
  <c r="F6990" i="1"/>
  <c r="W6990" i="1"/>
  <c r="AJ6990" i="1"/>
  <c r="AW6990" i="1"/>
  <c r="E6991" i="1"/>
  <c r="F6991" i="1"/>
  <c r="W6991" i="1"/>
  <c r="AJ6991" i="1"/>
  <c r="AW6991" i="1"/>
  <c r="E6992" i="1"/>
  <c r="F6992" i="1"/>
  <c r="W6992" i="1"/>
  <c r="AJ6992" i="1"/>
  <c r="AW6992" i="1"/>
  <c r="E6993" i="1"/>
  <c r="F6993" i="1"/>
  <c r="W6993" i="1"/>
  <c r="AJ6993" i="1"/>
  <c r="AW6993" i="1"/>
  <c r="E6994" i="1"/>
  <c r="F6994" i="1"/>
  <c r="W6994" i="1"/>
  <c r="AJ6994" i="1"/>
  <c r="AW6994" i="1"/>
  <c r="E6995" i="1"/>
  <c r="F6995" i="1"/>
  <c r="J6995" i="1"/>
  <c r="W6995" i="1"/>
  <c r="AJ6995" i="1"/>
  <c r="AW6995" i="1"/>
  <c r="E6996" i="1"/>
  <c r="F6996" i="1"/>
  <c r="W6996" i="1"/>
  <c r="AJ6996" i="1"/>
  <c r="AW6996" i="1"/>
  <c r="E6997" i="1"/>
  <c r="F6997" i="1"/>
  <c r="W6997" i="1"/>
  <c r="AJ6997" i="1"/>
  <c r="AW6997" i="1"/>
  <c r="E6998" i="1"/>
  <c r="F6998" i="1"/>
  <c r="W6998" i="1"/>
  <c r="AJ6998" i="1"/>
  <c r="AW6998" i="1"/>
  <c r="E6999" i="1"/>
  <c r="F6999" i="1"/>
  <c r="W6999" i="1"/>
  <c r="AJ6999" i="1"/>
  <c r="AW6999" i="1"/>
  <c r="E7000" i="1"/>
  <c r="F7000" i="1"/>
  <c r="J7000" i="1"/>
  <c r="W7000" i="1"/>
  <c r="AJ7000" i="1"/>
  <c r="AW7000" i="1"/>
  <c r="E7001" i="1"/>
  <c r="F7001" i="1"/>
  <c r="W7001" i="1"/>
  <c r="AJ7001" i="1"/>
  <c r="AW7001" i="1"/>
  <c r="E7002" i="1"/>
  <c r="F7002" i="1"/>
  <c r="W7002" i="1"/>
  <c r="AJ7002" i="1"/>
  <c r="AW7002" i="1"/>
  <c r="E7003" i="1"/>
  <c r="F7003" i="1"/>
  <c r="W7003" i="1"/>
  <c r="AJ7003" i="1"/>
  <c r="AW7003" i="1"/>
  <c r="E7004" i="1"/>
  <c r="F7004" i="1"/>
  <c r="W7004" i="1"/>
  <c r="AJ7004" i="1"/>
  <c r="AW7004" i="1"/>
  <c r="E7005" i="1"/>
  <c r="F7005" i="1"/>
  <c r="W7005" i="1"/>
  <c r="AJ7005" i="1"/>
  <c r="AW7005" i="1"/>
  <c r="E7006" i="1"/>
  <c r="F7006" i="1"/>
  <c r="W7006" i="1"/>
  <c r="AJ7006" i="1"/>
  <c r="AW7006" i="1"/>
  <c r="E7007" i="1"/>
  <c r="F7007" i="1"/>
  <c r="W7007" i="1"/>
  <c r="AJ7007" i="1"/>
  <c r="AW7007" i="1"/>
  <c r="E7008" i="1"/>
  <c r="F7008" i="1"/>
  <c r="W7008" i="1"/>
  <c r="AJ7008" i="1"/>
  <c r="AW7008" i="1"/>
  <c r="E7009" i="1"/>
  <c r="F7009" i="1"/>
  <c r="W7009" i="1"/>
  <c r="AJ7009" i="1"/>
  <c r="AW7009" i="1"/>
  <c r="E7010" i="1"/>
  <c r="F7010" i="1"/>
  <c r="W7010" i="1"/>
  <c r="AJ7010" i="1"/>
  <c r="AW7010" i="1"/>
  <c r="E7011" i="1"/>
  <c r="F7011" i="1"/>
  <c r="J7011" i="1"/>
  <c r="W7011" i="1"/>
  <c r="AJ7011" i="1"/>
  <c r="AW7011" i="1"/>
  <c r="E7012" i="1"/>
  <c r="F7012" i="1"/>
  <c r="W7012" i="1"/>
  <c r="AJ7012" i="1"/>
  <c r="AW7012" i="1"/>
  <c r="E7013" i="1"/>
  <c r="F7013" i="1"/>
  <c r="J7013" i="1"/>
  <c r="W7013" i="1"/>
  <c r="AJ7013" i="1"/>
  <c r="AW7013" i="1"/>
  <c r="E7014" i="1"/>
  <c r="F7014" i="1"/>
  <c r="W7014" i="1"/>
  <c r="AJ7014" i="1"/>
  <c r="AW7014" i="1"/>
  <c r="E7015" i="1"/>
  <c r="F7015" i="1"/>
  <c r="W7015" i="1"/>
  <c r="AJ7015" i="1"/>
  <c r="AW7015" i="1"/>
  <c r="E7016" i="1"/>
  <c r="F7016" i="1"/>
  <c r="W7016" i="1"/>
  <c r="AJ7016" i="1"/>
  <c r="AW7016" i="1"/>
  <c r="E7017" i="1"/>
  <c r="F7017" i="1"/>
  <c r="W7017" i="1"/>
  <c r="AJ7017" i="1"/>
  <c r="AW7017" i="1"/>
  <c r="E7029" i="1"/>
  <c r="F7029" i="1"/>
  <c r="W7029" i="1"/>
  <c r="AJ7029" i="1"/>
  <c r="AW7029" i="1"/>
  <c r="E7030" i="1"/>
  <c r="F7030" i="1"/>
  <c r="W7030" i="1"/>
  <c r="AJ7030" i="1"/>
  <c r="AW7030" i="1"/>
  <c r="E7031" i="1"/>
  <c r="F7031" i="1"/>
  <c r="W7031" i="1"/>
  <c r="AJ7031" i="1"/>
  <c r="AW7031" i="1"/>
  <c r="E7032" i="1"/>
  <c r="F7032" i="1"/>
  <c r="W7032" i="1"/>
  <c r="AJ7032" i="1"/>
  <c r="AW7032" i="1"/>
  <c r="E7033" i="1"/>
  <c r="F7033" i="1"/>
  <c r="W7033" i="1"/>
  <c r="AJ7033" i="1"/>
  <c r="AW7033" i="1"/>
  <c r="E7034" i="1"/>
  <c r="F7034" i="1"/>
  <c r="W7034" i="1"/>
  <c r="AJ7034" i="1"/>
  <c r="AW7034" i="1"/>
  <c r="E7035" i="1"/>
  <c r="F7035" i="1"/>
  <c r="W7035" i="1"/>
  <c r="AJ7035" i="1"/>
  <c r="AW7035" i="1"/>
  <c r="E7036" i="1"/>
  <c r="F7036" i="1"/>
  <c r="J7036" i="1"/>
  <c r="W7036" i="1"/>
  <c r="AJ7036" i="1"/>
  <c r="AW7036" i="1"/>
  <c r="E7037" i="1"/>
  <c r="F7037" i="1"/>
  <c r="W7037" i="1"/>
  <c r="AJ7037" i="1"/>
  <c r="AW7037" i="1"/>
  <c r="E7038" i="1"/>
  <c r="F7038" i="1"/>
  <c r="J7038" i="1"/>
  <c r="W7038" i="1"/>
  <c r="AJ7038" i="1"/>
  <c r="AW7038" i="1"/>
  <c r="E7039" i="1"/>
  <c r="F7039" i="1"/>
  <c r="W7039" i="1"/>
  <c r="AJ7039" i="1"/>
  <c r="AW7039" i="1"/>
  <c r="E7040" i="1"/>
  <c r="F7040" i="1"/>
  <c r="J7040" i="1"/>
  <c r="W7040" i="1"/>
  <c r="AJ7040" i="1"/>
  <c r="AW7040" i="1"/>
  <c r="E7041" i="1"/>
  <c r="F7041" i="1"/>
  <c r="W7041" i="1"/>
  <c r="AJ7041" i="1"/>
  <c r="AW7041" i="1"/>
  <c r="E7054" i="1"/>
  <c r="F7054" i="1"/>
  <c r="W7054" i="1"/>
  <c r="AJ7054" i="1"/>
  <c r="AW7054" i="1"/>
  <c r="E7055" i="1"/>
  <c r="F7055" i="1"/>
  <c r="W7055" i="1"/>
  <c r="AJ7055" i="1"/>
  <c r="AW7055" i="1"/>
  <c r="E7056" i="1"/>
  <c r="F7056" i="1"/>
  <c r="J7056" i="1"/>
  <c r="W7056" i="1"/>
  <c r="AJ7056" i="1"/>
  <c r="AW7056" i="1"/>
  <c r="E7057" i="1"/>
  <c r="F7057" i="1"/>
  <c r="J7057" i="1"/>
  <c r="W7057" i="1"/>
  <c r="AJ7057" i="1"/>
  <c r="AW7057" i="1"/>
  <c r="J7055" i="1" l="1"/>
  <c r="J7041" i="1"/>
  <c r="J7037" i="1"/>
  <c r="J7054" i="1"/>
  <c r="J7039" i="1"/>
  <c r="J7032" i="1"/>
  <c r="J7034" i="1"/>
  <c r="J7035" i="1"/>
  <c r="J7033" i="1"/>
  <c r="J7031" i="1"/>
  <c r="J7029" i="1"/>
  <c r="J7017" i="1"/>
  <c r="J7015" i="1"/>
  <c r="J7012" i="1"/>
  <c r="J7009" i="1"/>
  <c r="J6999" i="1"/>
  <c r="J6998" i="1"/>
  <c r="J6993" i="1"/>
  <c r="J6990" i="1"/>
  <c r="J6989" i="1"/>
  <c r="J6986" i="1"/>
  <c r="J6984" i="1"/>
  <c r="J7022" i="1"/>
  <c r="J7021" i="1"/>
  <c r="J7018" i="1"/>
  <c r="J7016" i="1"/>
  <c r="J7014" i="1"/>
  <c r="J7010" i="1"/>
  <c r="J7007" i="1"/>
  <c r="J7006" i="1"/>
  <c r="J7003" i="1"/>
  <c r="J7002" i="1"/>
  <c r="J6996" i="1"/>
  <c r="J6994" i="1"/>
  <c r="J6992" i="1"/>
  <c r="J6988" i="1"/>
  <c r="J6985" i="1"/>
  <c r="J6983" i="1"/>
  <c r="J7027" i="1"/>
  <c r="J7024" i="1"/>
  <c r="J7020" i="1"/>
  <c r="J7004" i="1"/>
  <c r="J6981" i="1"/>
  <c r="J7030" i="1"/>
  <c r="J7008" i="1"/>
  <c r="J7005" i="1"/>
  <c r="J7001" i="1"/>
  <c r="J6997" i="1"/>
  <c r="J6991" i="1"/>
  <c r="J6982" i="1"/>
  <c r="J6978" i="1"/>
  <c r="J7028" i="1"/>
  <c r="J7026" i="1"/>
  <c r="J7019" i="1"/>
  <c r="J6979" i="1"/>
  <c r="BY46" i="7"/>
  <c r="BY45" i="7"/>
  <c r="BY44" i="7"/>
  <c r="BY43" i="7"/>
  <c r="BY42" i="7"/>
  <c r="BY41" i="7"/>
  <c r="BY40" i="7"/>
  <c r="BY39" i="7"/>
  <c r="BY38" i="7"/>
  <c r="BY37" i="7"/>
  <c r="BY35" i="7"/>
  <c r="BY34" i="7"/>
  <c r="BY33" i="7"/>
  <c r="BY32" i="7"/>
  <c r="BY31" i="7"/>
  <c r="BY30" i="7"/>
  <c r="BY29" i="7"/>
  <c r="BY27" i="7"/>
  <c r="BY26" i="7"/>
  <c r="BY25" i="7"/>
  <c r="BY24" i="7"/>
  <c r="BY22" i="7"/>
  <c r="BY21" i="7"/>
  <c r="BY20" i="7"/>
  <c r="BY19" i="7"/>
  <c r="BY18" i="7"/>
  <c r="BY17" i="7"/>
  <c r="BY16" i="7"/>
  <c r="BY11" i="7"/>
  <c r="BY10" i="7"/>
  <c r="BY9" i="7"/>
  <c r="BY8" i="7"/>
  <c r="BY7" i="7"/>
  <c r="BY6" i="7"/>
  <c r="H3677" i="8"/>
  <c r="H3679" i="8"/>
  <c r="H3678" i="8"/>
  <c r="H3676" i="8"/>
  <c r="BY28" i="7" l="1"/>
  <c r="BY23" i="7"/>
  <c r="BY15" i="7"/>
  <c r="BY13" i="7"/>
  <c r="BY36" i="7"/>
  <c r="AX6972" i="1"/>
  <c r="E6910" i="1"/>
  <c r="F6910" i="1"/>
  <c r="W6910" i="1"/>
  <c r="AJ6910" i="1"/>
  <c r="AW6910" i="1"/>
  <c r="E6911" i="1"/>
  <c r="F6911" i="1"/>
  <c r="W6911" i="1"/>
  <c r="AJ6911" i="1"/>
  <c r="AW6911" i="1"/>
  <c r="E6912" i="1"/>
  <c r="F6912" i="1"/>
  <c r="W6912" i="1"/>
  <c r="AJ6912" i="1"/>
  <c r="AW6912" i="1"/>
  <c r="E6913" i="1"/>
  <c r="F6913" i="1"/>
  <c r="W6913" i="1"/>
  <c r="AJ6913" i="1"/>
  <c r="AW6913" i="1"/>
  <c r="E6914" i="1"/>
  <c r="F6914" i="1"/>
  <c r="W6914" i="1"/>
  <c r="AJ6914" i="1"/>
  <c r="AW6914" i="1"/>
  <c r="E6915" i="1"/>
  <c r="F6915" i="1"/>
  <c r="W6915" i="1"/>
  <c r="AJ6915" i="1"/>
  <c r="AW6915" i="1"/>
  <c r="E6916" i="1"/>
  <c r="F6916" i="1"/>
  <c r="W6916" i="1"/>
  <c r="AJ6916" i="1"/>
  <c r="AW6916" i="1"/>
  <c r="E6917" i="1"/>
  <c r="F6917" i="1"/>
  <c r="W6917" i="1"/>
  <c r="AJ6917" i="1"/>
  <c r="AW6917" i="1"/>
  <c r="E6918" i="1"/>
  <c r="F6918" i="1"/>
  <c r="W6918" i="1"/>
  <c r="AJ6918" i="1"/>
  <c r="AW6918" i="1"/>
  <c r="E6919" i="1"/>
  <c r="F6919" i="1"/>
  <c r="W6919" i="1"/>
  <c r="AJ6919" i="1"/>
  <c r="AW6919" i="1"/>
  <c r="E6920" i="1"/>
  <c r="F6920" i="1"/>
  <c r="W6920" i="1"/>
  <c r="AJ6920" i="1"/>
  <c r="AW6920" i="1"/>
  <c r="E6921" i="1"/>
  <c r="F6921" i="1"/>
  <c r="W6921" i="1"/>
  <c r="AJ6921" i="1"/>
  <c r="AW6921" i="1"/>
  <c r="E6922" i="1"/>
  <c r="F6922" i="1"/>
  <c r="W6922" i="1"/>
  <c r="AJ6922" i="1"/>
  <c r="AW6922" i="1"/>
  <c r="E6923" i="1"/>
  <c r="F6923" i="1"/>
  <c r="W6923" i="1"/>
  <c r="AJ6923" i="1"/>
  <c r="AW6923" i="1"/>
  <c r="E6924" i="1"/>
  <c r="F6924" i="1"/>
  <c r="W6924" i="1"/>
  <c r="AJ6924" i="1"/>
  <c r="AW6924" i="1"/>
  <c r="E6925" i="1"/>
  <c r="F6925" i="1"/>
  <c r="W6925" i="1"/>
  <c r="AJ6925" i="1"/>
  <c r="AW6925" i="1"/>
  <c r="E6926" i="1"/>
  <c r="F6926" i="1"/>
  <c r="W6926" i="1"/>
  <c r="AJ6926" i="1"/>
  <c r="AW6926" i="1"/>
  <c r="E6927" i="1"/>
  <c r="F6927" i="1"/>
  <c r="W6927" i="1"/>
  <c r="AJ6927" i="1"/>
  <c r="AW6927" i="1"/>
  <c r="E6928" i="1"/>
  <c r="F6928" i="1"/>
  <c r="J6928" i="1"/>
  <c r="W6928" i="1"/>
  <c r="AJ6928" i="1"/>
  <c r="AW6928" i="1"/>
  <c r="E6929" i="1"/>
  <c r="F6929" i="1"/>
  <c r="W6929" i="1"/>
  <c r="AJ6929" i="1"/>
  <c r="AW6929" i="1"/>
  <c r="E6930" i="1"/>
  <c r="F6930" i="1"/>
  <c r="W6930" i="1"/>
  <c r="AJ6930" i="1"/>
  <c r="AW6930" i="1"/>
  <c r="E6909" i="1"/>
  <c r="F6909" i="1"/>
  <c r="W6909" i="1"/>
  <c r="AJ6909" i="1"/>
  <c r="AW6909" i="1"/>
  <c r="E6931" i="1"/>
  <c r="F6931" i="1"/>
  <c r="W6931" i="1"/>
  <c r="AJ6931" i="1"/>
  <c r="AW6931" i="1"/>
  <c r="E6932" i="1"/>
  <c r="F6932" i="1"/>
  <c r="W6932" i="1"/>
  <c r="AJ6932" i="1"/>
  <c r="AW6932" i="1"/>
  <c r="E6933" i="1"/>
  <c r="F6933" i="1"/>
  <c r="W6933" i="1"/>
  <c r="AJ6933" i="1"/>
  <c r="AW6933" i="1"/>
  <c r="E6934" i="1"/>
  <c r="F6934" i="1"/>
  <c r="W6934" i="1"/>
  <c r="AJ6934" i="1"/>
  <c r="AW6934" i="1"/>
  <c r="E6935" i="1"/>
  <c r="F6935" i="1"/>
  <c r="W6935" i="1"/>
  <c r="AJ6935" i="1"/>
  <c r="AW6935" i="1"/>
  <c r="E6936" i="1"/>
  <c r="F6936" i="1"/>
  <c r="W6936" i="1"/>
  <c r="AJ6936" i="1"/>
  <c r="AW6936" i="1"/>
  <c r="E6937" i="1"/>
  <c r="F6937" i="1"/>
  <c r="W6937" i="1"/>
  <c r="AJ6937" i="1"/>
  <c r="AW6937" i="1"/>
  <c r="E6938" i="1"/>
  <c r="F6938" i="1"/>
  <c r="J6938" i="1"/>
  <c r="W6938" i="1"/>
  <c r="AJ6938" i="1"/>
  <c r="AW6938" i="1"/>
  <c r="E6939" i="1"/>
  <c r="F6939" i="1"/>
  <c r="W6939" i="1"/>
  <c r="AJ6939" i="1"/>
  <c r="AW6939" i="1"/>
  <c r="E6940" i="1"/>
  <c r="F6940" i="1"/>
  <c r="W6940" i="1"/>
  <c r="AJ6940" i="1"/>
  <c r="AW6940" i="1"/>
  <c r="E6941" i="1"/>
  <c r="F6941" i="1"/>
  <c r="W6941" i="1"/>
  <c r="AJ6941" i="1"/>
  <c r="AW6941" i="1"/>
  <c r="E6942" i="1"/>
  <c r="F6942" i="1"/>
  <c r="W6942" i="1"/>
  <c r="AJ6942" i="1"/>
  <c r="AW6942" i="1"/>
  <c r="E6943" i="1"/>
  <c r="F6943" i="1"/>
  <c r="W6943" i="1"/>
  <c r="AJ6943" i="1"/>
  <c r="AW6943" i="1"/>
  <c r="E6944" i="1"/>
  <c r="F6944" i="1"/>
  <c r="W6944" i="1"/>
  <c r="AJ6944" i="1"/>
  <c r="AW6944" i="1"/>
  <c r="E6945" i="1"/>
  <c r="F6945" i="1"/>
  <c r="W6945" i="1"/>
  <c r="AJ6945" i="1"/>
  <c r="AW6945" i="1"/>
  <c r="E6946" i="1"/>
  <c r="F6946" i="1"/>
  <c r="W6946" i="1"/>
  <c r="AJ6946" i="1"/>
  <c r="AW6946" i="1"/>
  <c r="E6947" i="1"/>
  <c r="F6947" i="1"/>
  <c r="W6947" i="1"/>
  <c r="AJ6947" i="1"/>
  <c r="AW6947" i="1"/>
  <c r="E6948" i="1"/>
  <c r="F6948" i="1"/>
  <c r="W6948" i="1"/>
  <c r="AJ6948" i="1"/>
  <c r="AW6948" i="1"/>
  <c r="E6949" i="1"/>
  <c r="F6949" i="1"/>
  <c r="W6949" i="1"/>
  <c r="AJ6949" i="1"/>
  <c r="AW6949" i="1"/>
  <c r="E6950" i="1"/>
  <c r="F6950" i="1"/>
  <c r="W6950" i="1"/>
  <c r="AJ6950" i="1"/>
  <c r="AW6950" i="1"/>
  <c r="E6951" i="1"/>
  <c r="F6951" i="1"/>
  <c r="W6951" i="1"/>
  <c r="AJ6951" i="1"/>
  <c r="AW6951" i="1"/>
  <c r="E6952" i="1"/>
  <c r="F6952" i="1"/>
  <c r="W6952" i="1"/>
  <c r="AJ6952" i="1"/>
  <c r="AW6952" i="1"/>
  <c r="E6953" i="1"/>
  <c r="F6953" i="1"/>
  <c r="W6953" i="1"/>
  <c r="AJ6953" i="1"/>
  <c r="AW6953" i="1"/>
  <c r="E6954" i="1"/>
  <c r="F6954" i="1"/>
  <c r="W6954" i="1"/>
  <c r="AJ6954" i="1"/>
  <c r="AW6954" i="1"/>
  <c r="E6955" i="1"/>
  <c r="F6955" i="1"/>
  <c r="W6955" i="1"/>
  <c r="AJ6955" i="1"/>
  <c r="AW6955" i="1"/>
  <c r="E6956" i="1"/>
  <c r="F6956" i="1"/>
  <c r="W6956" i="1"/>
  <c r="AJ6956" i="1"/>
  <c r="AW6956" i="1"/>
  <c r="E6957" i="1"/>
  <c r="F6957" i="1"/>
  <c r="W6957" i="1"/>
  <c r="AJ6957" i="1"/>
  <c r="AW6957" i="1"/>
  <c r="E6958" i="1"/>
  <c r="F6958" i="1"/>
  <c r="W6958" i="1"/>
  <c r="AJ6958" i="1"/>
  <c r="AW6958" i="1"/>
  <c r="E6959" i="1"/>
  <c r="F6959" i="1"/>
  <c r="W6959" i="1"/>
  <c r="AJ6959" i="1"/>
  <c r="AW6959" i="1"/>
  <c r="E6960" i="1"/>
  <c r="F6960" i="1"/>
  <c r="W6960" i="1"/>
  <c r="AJ6960" i="1"/>
  <c r="AW6960" i="1"/>
  <c r="E6961" i="1"/>
  <c r="F6961" i="1"/>
  <c r="J6961" i="1"/>
  <c r="W6961" i="1"/>
  <c r="AJ6961" i="1"/>
  <c r="AW6961" i="1"/>
  <c r="E6962" i="1"/>
  <c r="F6962" i="1"/>
  <c r="W6962" i="1"/>
  <c r="AJ6962" i="1"/>
  <c r="AW6962" i="1"/>
  <c r="E6963" i="1"/>
  <c r="F6963" i="1"/>
  <c r="W6963" i="1"/>
  <c r="AJ6963" i="1"/>
  <c r="AW6963" i="1"/>
  <c r="E6964" i="1"/>
  <c r="F6964" i="1"/>
  <c r="J6964" i="1"/>
  <c r="W6964" i="1"/>
  <c r="AJ6964" i="1"/>
  <c r="AW6964" i="1"/>
  <c r="E6965" i="1"/>
  <c r="F6965" i="1"/>
  <c r="J6965" i="1"/>
  <c r="W6965" i="1"/>
  <c r="AJ6965" i="1"/>
  <c r="AW6965" i="1"/>
  <c r="E6966" i="1"/>
  <c r="F6966" i="1"/>
  <c r="W6966" i="1"/>
  <c r="AJ6966" i="1"/>
  <c r="AW6966" i="1"/>
  <c r="E6967" i="1"/>
  <c r="F6967" i="1"/>
  <c r="W6967" i="1"/>
  <c r="AJ6967" i="1"/>
  <c r="AW6967" i="1"/>
  <c r="E6968" i="1"/>
  <c r="F6968" i="1"/>
  <c r="W6968" i="1"/>
  <c r="AJ6968" i="1"/>
  <c r="AW6968" i="1"/>
  <c r="E6969" i="1"/>
  <c r="F6969" i="1"/>
  <c r="W6969" i="1"/>
  <c r="AJ6969" i="1"/>
  <c r="AW6969" i="1"/>
  <c r="E6970" i="1"/>
  <c r="F6970" i="1"/>
  <c r="W6970" i="1"/>
  <c r="AJ6970" i="1"/>
  <c r="AW6970" i="1"/>
  <c r="E6971" i="1"/>
  <c r="F6971" i="1"/>
  <c r="W6971" i="1"/>
  <c r="AJ6971" i="1"/>
  <c r="AW6971" i="1"/>
  <c r="E6972" i="1"/>
  <c r="F6972" i="1"/>
  <c r="W6972" i="1"/>
  <c r="AJ6972" i="1"/>
  <c r="AW6972" i="1"/>
  <c r="E6973" i="1"/>
  <c r="F6973" i="1"/>
  <c r="J6973" i="1"/>
  <c r="W6973" i="1"/>
  <c r="AJ6973" i="1"/>
  <c r="AW6973" i="1"/>
  <c r="E6974" i="1"/>
  <c r="F6974" i="1"/>
  <c r="W6974" i="1"/>
  <c r="AJ6974" i="1"/>
  <c r="AW6974" i="1"/>
  <c r="E6975" i="1"/>
  <c r="F6975" i="1"/>
  <c r="W6975" i="1"/>
  <c r="AJ6975" i="1"/>
  <c r="AW6975" i="1"/>
  <c r="E6976" i="1"/>
  <c r="F6976" i="1"/>
  <c r="J6976" i="1"/>
  <c r="W6976" i="1"/>
  <c r="AJ6976" i="1"/>
  <c r="AW6976" i="1"/>
  <c r="E6977" i="1"/>
  <c r="F6977" i="1"/>
  <c r="J6977" i="1"/>
  <c r="W6977" i="1"/>
  <c r="AJ6977" i="1"/>
  <c r="AW6977" i="1"/>
  <c r="E7080" i="1"/>
  <c r="F7080" i="1"/>
  <c r="W7080" i="1"/>
  <c r="AJ7080" i="1"/>
  <c r="AW7080" i="1"/>
  <c r="E7081" i="1"/>
  <c r="F7081" i="1"/>
  <c r="J7081" i="1"/>
  <c r="W7081" i="1"/>
  <c r="AJ7081" i="1"/>
  <c r="AW7081" i="1"/>
  <c r="J6939" i="1" l="1"/>
  <c r="J6935" i="1"/>
  <c r="J6931" i="1"/>
  <c r="J6930" i="1"/>
  <c r="J6927" i="1"/>
  <c r="J6920" i="1"/>
  <c r="J6919" i="1"/>
  <c r="J6916" i="1"/>
  <c r="J7080" i="1"/>
  <c r="J6974" i="1"/>
  <c r="J6971" i="1"/>
  <c r="J6970" i="1"/>
  <c r="J6967" i="1"/>
  <c r="J6966" i="1"/>
  <c r="J6958" i="1"/>
  <c r="BY48" i="7"/>
  <c r="BY49" i="7" s="1"/>
  <c r="BY54" i="7" s="1"/>
  <c r="BY57" i="7" s="1"/>
  <c r="J6975" i="1"/>
  <c r="J6960" i="1"/>
  <c r="J6956" i="1"/>
  <c r="J6952" i="1"/>
  <c r="J6948" i="1"/>
  <c r="J6946" i="1"/>
  <c r="J6942" i="1"/>
  <c r="J6933" i="1"/>
  <c r="J6925" i="1"/>
  <c r="J6913" i="1"/>
  <c r="J6911" i="1"/>
  <c r="J6969" i="1"/>
  <c r="J6963" i="1"/>
  <c r="J6959" i="1"/>
  <c r="J6955" i="1"/>
  <c r="J6953" i="1"/>
  <c r="J6951" i="1"/>
  <c r="J6950" i="1"/>
  <c r="J6947" i="1"/>
  <c r="J6945" i="1"/>
  <c r="J6944" i="1"/>
  <c r="J6941" i="1"/>
  <c r="J6940" i="1"/>
  <c r="J6937" i="1"/>
  <c r="J6936" i="1"/>
  <c r="J6932" i="1"/>
  <c r="J6924" i="1"/>
  <c r="J6922" i="1"/>
  <c r="J6921" i="1"/>
  <c r="J6918" i="1"/>
  <c r="J6917" i="1"/>
  <c r="J6915" i="1"/>
  <c r="J6914" i="1"/>
  <c r="J6912" i="1"/>
  <c r="J6910" i="1"/>
  <c r="J6972" i="1"/>
  <c r="J6968" i="1"/>
  <c r="J6962" i="1"/>
  <c r="J6957" i="1"/>
  <c r="J6954" i="1"/>
  <c r="J6949" i="1"/>
  <c r="J6943" i="1"/>
  <c r="J6934" i="1"/>
  <c r="J6909" i="1"/>
  <c r="J6929" i="1"/>
  <c r="J6926" i="1"/>
  <c r="J6923" i="1"/>
  <c r="AY6902" i="1"/>
  <c r="H3524" i="8" l="1"/>
  <c r="H3575" i="8" l="1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80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J3877" i="8" l="1"/>
  <c r="I3743" i="8"/>
  <c r="E6905" i="1"/>
  <c r="F6905" i="1"/>
  <c r="J6905" i="1"/>
  <c r="W6905" i="1"/>
  <c r="AJ6905" i="1"/>
  <c r="AW6905" i="1"/>
  <c r="E6907" i="1"/>
  <c r="F6907" i="1"/>
  <c r="J6907" i="1"/>
  <c r="W6907" i="1"/>
  <c r="AJ6907" i="1"/>
  <c r="AW6907" i="1"/>
  <c r="E6908" i="1"/>
  <c r="F6908" i="1"/>
  <c r="J6908" i="1"/>
  <c r="W6908" i="1"/>
  <c r="AJ6908" i="1"/>
  <c r="AW6908" i="1"/>
  <c r="AX6902" i="1"/>
  <c r="E6904" i="1"/>
  <c r="F6904" i="1"/>
  <c r="J6904" i="1"/>
  <c r="W6904" i="1"/>
  <c r="AJ6904" i="1"/>
  <c r="AW6904" i="1"/>
  <c r="AX6882" i="1"/>
  <c r="E6880" i="1"/>
  <c r="F6880" i="1"/>
  <c r="W6880" i="1"/>
  <c r="AJ6880" i="1"/>
  <c r="AW6880" i="1"/>
  <c r="E6881" i="1"/>
  <c r="F6881" i="1"/>
  <c r="W6881" i="1"/>
  <c r="AJ6881" i="1"/>
  <c r="AW6881" i="1"/>
  <c r="E6882" i="1"/>
  <c r="F6882" i="1"/>
  <c r="W6882" i="1"/>
  <c r="AJ6882" i="1"/>
  <c r="AW6882" i="1"/>
  <c r="E6883" i="1"/>
  <c r="F6883" i="1"/>
  <c r="W6883" i="1"/>
  <c r="AJ6883" i="1"/>
  <c r="AW6883" i="1"/>
  <c r="E6884" i="1"/>
  <c r="F6884" i="1"/>
  <c r="W6884" i="1"/>
  <c r="AJ6884" i="1"/>
  <c r="AW6884" i="1"/>
  <c r="E6885" i="1"/>
  <c r="F6885" i="1"/>
  <c r="J6885" i="1"/>
  <c r="W6885" i="1"/>
  <c r="AJ6885" i="1"/>
  <c r="AW6885" i="1"/>
  <c r="E6886" i="1"/>
  <c r="F6886" i="1"/>
  <c r="W6886" i="1"/>
  <c r="AJ6886" i="1"/>
  <c r="AW6886" i="1"/>
  <c r="E6876" i="1"/>
  <c r="F6876" i="1"/>
  <c r="W6876" i="1"/>
  <c r="AJ6876" i="1"/>
  <c r="AW6876" i="1"/>
  <c r="E6877" i="1"/>
  <c r="F6877" i="1"/>
  <c r="W6877" i="1"/>
  <c r="AJ6877" i="1"/>
  <c r="AW6877" i="1"/>
  <c r="E6878" i="1"/>
  <c r="F6878" i="1"/>
  <c r="W6878" i="1"/>
  <c r="AJ6878" i="1"/>
  <c r="AW6878" i="1"/>
  <c r="E6879" i="1"/>
  <c r="F6879" i="1"/>
  <c r="J6879" i="1"/>
  <c r="W6879" i="1"/>
  <c r="AJ6879" i="1"/>
  <c r="AW6879" i="1"/>
  <c r="E6887" i="1"/>
  <c r="F6887" i="1"/>
  <c r="W6887" i="1"/>
  <c r="AJ6887" i="1"/>
  <c r="AW6887" i="1"/>
  <c r="E6888" i="1"/>
  <c r="F6888" i="1"/>
  <c r="J6888" i="1"/>
  <c r="W6888" i="1"/>
  <c r="AJ6888" i="1"/>
  <c r="AW6888" i="1"/>
  <c r="E6889" i="1"/>
  <c r="F6889" i="1"/>
  <c r="W6889" i="1"/>
  <c r="AJ6889" i="1"/>
  <c r="AW6889" i="1"/>
  <c r="E6890" i="1"/>
  <c r="F6890" i="1"/>
  <c r="J6890" i="1"/>
  <c r="W6890" i="1"/>
  <c r="AJ6890" i="1"/>
  <c r="AW6890" i="1"/>
  <c r="E6891" i="1"/>
  <c r="F6891" i="1"/>
  <c r="W6891" i="1"/>
  <c r="AJ6891" i="1"/>
  <c r="AW6891" i="1"/>
  <c r="E6892" i="1"/>
  <c r="F6892" i="1"/>
  <c r="W6892" i="1"/>
  <c r="AJ6892" i="1"/>
  <c r="AW6892" i="1"/>
  <c r="E6893" i="1"/>
  <c r="F6893" i="1"/>
  <c r="W6893" i="1"/>
  <c r="AJ6893" i="1"/>
  <c r="AW6893" i="1"/>
  <c r="E6894" i="1"/>
  <c r="F6894" i="1"/>
  <c r="J6894" i="1"/>
  <c r="W6894" i="1"/>
  <c r="AJ6894" i="1"/>
  <c r="AW6894" i="1"/>
  <c r="E6895" i="1"/>
  <c r="F6895" i="1"/>
  <c r="W6895" i="1"/>
  <c r="AJ6895" i="1"/>
  <c r="AW6895" i="1"/>
  <c r="E6896" i="1"/>
  <c r="F6896" i="1"/>
  <c r="W6896" i="1"/>
  <c r="AJ6896" i="1"/>
  <c r="AW6896" i="1"/>
  <c r="E6897" i="1"/>
  <c r="F6897" i="1"/>
  <c r="W6897" i="1"/>
  <c r="AJ6897" i="1"/>
  <c r="AW6897" i="1"/>
  <c r="E6898" i="1"/>
  <c r="F6898" i="1"/>
  <c r="J6898" i="1"/>
  <c r="W6898" i="1"/>
  <c r="AJ6898" i="1"/>
  <c r="AW6898" i="1"/>
  <c r="E6899" i="1"/>
  <c r="F6899" i="1"/>
  <c r="W6899" i="1"/>
  <c r="AJ6899" i="1"/>
  <c r="AW6899" i="1"/>
  <c r="E6900" i="1"/>
  <c r="F6900" i="1"/>
  <c r="W6900" i="1"/>
  <c r="AJ6900" i="1"/>
  <c r="AW6900" i="1"/>
  <c r="E6901" i="1"/>
  <c r="F6901" i="1"/>
  <c r="J6901" i="1"/>
  <c r="W6901" i="1"/>
  <c r="AJ6901" i="1"/>
  <c r="AW6901" i="1"/>
  <c r="E6902" i="1"/>
  <c r="F6902" i="1"/>
  <c r="W6902" i="1"/>
  <c r="AJ6902" i="1"/>
  <c r="AW6902" i="1"/>
  <c r="E6903" i="1"/>
  <c r="F6903" i="1"/>
  <c r="W6903" i="1"/>
  <c r="AJ6903" i="1"/>
  <c r="AW6903" i="1"/>
  <c r="J6903" i="1" l="1"/>
  <c r="J6896" i="1"/>
  <c r="J6876" i="1"/>
  <c r="J6886" i="1"/>
  <c r="J6881" i="1"/>
  <c r="J6883" i="1"/>
  <c r="J6882" i="1"/>
  <c r="J6880" i="1"/>
  <c r="J6899" i="1"/>
  <c r="J6897" i="1"/>
  <c r="J6893" i="1"/>
  <c r="J6891" i="1"/>
  <c r="J6887" i="1"/>
  <c r="J6877" i="1"/>
  <c r="J6884" i="1"/>
  <c r="J6900" i="1"/>
  <c r="J6889" i="1"/>
  <c r="J6878" i="1"/>
  <c r="J6902" i="1"/>
  <c r="J6895" i="1"/>
  <c r="J6892" i="1"/>
  <c r="AX6874" i="1"/>
  <c r="E6852" i="1"/>
  <c r="F6852" i="1"/>
  <c r="W6852" i="1"/>
  <c r="AJ6852" i="1"/>
  <c r="AW6852" i="1"/>
  <c r="E6853" i="1"/>
  <c r="F6853" i="1"/>
  <c r="W6853" i="1"/>
  <c r="AJ6853" i="1"/>
  <c r="AW6853" i="1"/>
  <c r="E6854" i="1"/>
  <c r="F6854" i="1"/>
  <c r="W6854" i="1"/>
  <c r="AJ6854" i="1"/>
  <c r="AW6854" i="1"/>
  <c r="E6855" i="1"/>
  <c r="F6855" i="1"/>
  <c r="W6855" i="1"/>
  <c r="AJ6855" i="1"/>
  <c r="AW6855" i="1"/>
  <c r="E6856" i="1"/>
  <c r="F6856" i="1"/>
  <c r="W6856" i="1"/>
  <c r="AJ6856" i="1"/>
  <c r="AW6856" i="1"/>
  <c r="E6857" i="1"/>
  <c r="F6857" i="1"/>
  <c r="J6857" i="1"/>
  <c r="W6857" i="1"/>
  <c r="AJ6857" i="1"/>
  <c r="AW6857" i="1"/>
  <c r="E6858" i="1"/>
  <c r="F6858" i="1"/>
  <c r="J6858" i="1"/>
  <c r="W6858" i="1"/>
  <c r="AJ6858" i="1"/>
  <c r="AW6858" i="1"/>
  <c r="E6859" i="1"/>
  <c r="F6859" i="1"/>
  <c r="W6859" i="1"/>
  <c r="AJ6859" i="1"/>
  <c r="AW6859" i="1"/>
  <c r="E6860" i="1"/>
  <c r="F6860" i="1"/>
  <c r="W6860" i="1"/>
  <c r="AJ6860" i="1"/>
  <c r="AW6860" i="1"/>
  <c r="E6861" i="1"/>
  <c r="F6861" i="1"/>
  <c r="W6861" i="1"/>
  <c r="AJ6861" i="1"/>
  <c r="AW6861" i="1"/>
  <c r="E6862" i="1"/>
  <c r="F6862" i="1"/>
  <c r="W6862" i="1"/>
  <c r="AJ6862" i="1"/>
  <c r="AW6862" i="1"/>
  <c r="E6863" i="1"/>
  <c r="F6863" i="1"/>
  <c r="W6863" i="1"/>
  <c r="AJ6863" i="1"/>
  <c r="AW6863" i="1"/>
  <c r="E6864" i="1"/>
  <c r="F6864" i="1"/>
  <c r="W6864" i="1"/>
  <c r="AJ6864" i="1"/>
  <c r="AW6864" i="1"/>
  <c r="E6865" i="1"/>
  <c r="F6865" i="1"/>
  <c r="W6865" i="1"/>
  <c r="AJ6865" i="1"/>
  <c r="AW6865" i="1"/>
  <c r="E6866" i="1"/>
  <c r="F6866" i="1"/>
  <c r="J6866" i="1"/>
  <c r="W6866" i="1"/>
  <c r="AJ6866" i="1"/>
  <c r="AW6866" i="1"/>
  <c r="E6867" i="1"/>
  <c r="F6867" i="1"/>
  <c r="W6867" i="1"/>
  <c r="AJ6867" i="1"/>
  <c r="AW6867" i="1"/>
  <c r="E6868" i="1"/>
  <c r="F6868" i="1"/>
  <c r="W6868" i="1"/>
  <c r="AJ6868" i="1"/>
  <c r="AW6868" i="1"/>
  <c r="E6869" i="1"/>
  <c r="F6869" i="1"/>
  <c r="W6869" i="1"/>
  <c r="AJ6869" i="1"/>
  <c r="AW6869" i="1"/>
  <c r="E6870" i="1"/>
  <c r="F6870" i="1"/>
  <c r="W6870" i="1"/>
  <c r="AJ6870" i="1"/>
  <c r="AW6870" i="1"/>
  <c r="E6871" i="1"/>
  <c r="F6871" i="1"/>
  <c r="W6871" i="1"/>
  <c r="AJ6871" i="1"/>
  <c r="AW6871" i="1"/>
  <c r="E6872" i="1"/>
  <c r="F6872" i="1"/>
  <c r="W6872" i="1"/>
  <c r="AJ6872" i="1"/>
  <c r="AW6872" i="1"/>
  <c r="E6873" i="1"/>
  <c r="F6873" i="1"/>
  <c r="W6873" i="1"/>
  <c r="AJ6873" i="1"/>
  <c r="AW6873" i="1"/>
  <c r="E6874" i="1"/>
  <c r="F6874" i="1"/>
  <c r="W6874" i="1"/>
  <c r="AJ6874" i="1"/>
  <c r="AW6874" i="1"/>
  <c r="E6875" i="1"/>
  <c r="F6875" i="1"/>
  <c r="W6875" i="1"/>
  <c r="AJ6875" i="1"/>
  <c r="AW6875" i="1"/>
  <c r="J6875" i="1" l="1"/>
  <c r="J6860" i="1"/>
  <c r="J6856" i="1"/>
  <c r="J6855" i="1"/>
  <c r="J6854" i="1"/>
  <c r="J6874" i="1"/>
  <c r="J6872" i="1"/>
  <c r="J6865" i="1"/>
  <c r="J6863" i="1"/>
  <c r="J6853" i="1"/>
  <c r="J6873" i="1"/>
  <c r="J6871" i="1"/>
  <c r="J6868" i="1"/>
  <c r="J6864" i="1"/>
  <c r="J6862" i="1"/>
  <c r="J6861" i="1"/>
  <c r="J6852" i="1"/>
  <c r="J6867" i="1"/>
  <c r="J6859" i="1"/>
  <c r="J6870" i="1"/>
  <c r="J6869" i="1"/>
  <c r="AY6828" i="1"/>
  <c r="AY6850" i="1" l="1"/>
  <c r="AW6827" i="1"/>
  <c r="AJ6827" i="1"/>
  <c r="W6827" i="1"/>
  <c r="F6827" i="1"/>
  <c r="E6827" i="1"/>
  <c r="J6827" i="1" l="1"/>
  <c r="AX6850" i="1"/>
  <c r="E6849" i="1"/>
  <c r="F6849" i="1"/>
  <c r="J6849" i="1"/>
  <c r="W6849" i="1"/>
  <c r="AJ6849" i="1"/>
  <c r="AW6849" i="1"/>
  <c r="E6850" i="1"/>
  <c r="F6850" i="1"/>
  <c r="W6850" i="1"/>
  <c r="AJ6850" i="1"/>
  <c r="AW6850" i="1"/>
  <c r="E6851" i="1"/>
  <c r="F6851" i="1"/>
  <c r="W6851" i="1"/>
  <c r="AJ6851" i="1"/>
  <c r="AW6851" i="1"/>
  <c r="F6831" i="1"/>
  <c r="E6821" i="1"/>
  <c r="F6821" i="1"/>
  <c r="W6821" i="1"/>
  <c r="AJ6821" i="1"/>
  <c r="AW6821" i="1"/>
  <c r="E6822" i="1"/>
  <c r="F6822" i="1"/>
  <c r="W6822" i="1"/>
  <c r="AJ6822" i="1"/>
  <c r="AW6822" i="1"/>
  <c r="E6823" i="1"/>
  <c r="F6823" i="1"/>
  <c r="W6823" i="1"/>
  <c r="AJ6823" i="1"/>
  <c r="AW6823" i="1"/>
  <c r="E6824" i="1"/>
  <c r="F6824" i="1"/>
  <c r="J6824" i="1"/>
  <c r="W6824" i="1"/>
  <c r="AJ6824" i="1"/>
  <c r="AW6824" i="1"/>
  <c r="E6825" i="1"/>
  <c r="F6825" i="1"/>
  <c r="W6825" i="1"/>
  <c r="AJ6825" i="1"/>
  <c r="AW6825" i="1"/>
  <c r="E6826" i="1"/>
  <c r="F6826" i="1"/>
  <c r="J6826" i="1"/>
  <c r="W6826" i="1"/>
  <c r="AJ6826" i="1"/>
  <c r="AW6826" i="1"/>
  <c r="E6828" i="1"/>
  <c r="F6828" i="1"/>
  <c r="J6828" i="1"/>
  <c r="W6828" i="1"/>
  <c r="AJ6828" i="1"/>
  <c r="AW6828" i="1"/>
  <c r="E6829" i="1"/>
  <c r="F6829" i="1"/>
  <c r="W6829" i="1"/>
  <c r="AJ6829" i="1"/>
  <c r="AW6829" i="1"/>
  <c r="E6830" i="1"/>
  <c r="F6830" i="1"/>
  <c r="J6830" i="1"/>
  <c r="W6830" i="1"/>
  <c r="AJ6830" i="1"/>
  <c r="AW6830" i="1"/>
  <c r="E6831" i="1"/>
  <c r="W6831" i="1"/>
  <c r="AJ6831" i="1"/>
  <c r="AW6831" i="1"/>
  <c r="E6832" i="1"/>
  <c r="F6832" i="1"/>
  <c r="W6832" i="1"/>
  <c r="AJ6832" i="1"/>
  <c r="AW6832" i="1"/>
  <c r="E6833" i="1"/>
  <c r="F6833" i="1"/>
  <c r="W6833" i="1"/>
  <c r="AJ6833" i="1"/>
  <c r="AW6833" i="1"/>
  <c r="E6834" i="1"/>
  <c r="F6834" i="1"/>
  <c r="J6834" i="1"/>
  <c r="W6834" i="1"/>
  <c r="AJ6834" i="1"/>
  <c r="AW6834" i="1"/>
  <c r="E6835" i="1"/>
  <c r="F6835" i="1"/>
  <c r="W6835" i="1"/>
  <c r="AJ6835" i="1"/>
  <c r="AW6835" i="1"/>
  <c r="E6836" i="1"/>
  <c r="F6836" i="1"/>
  <c r="W6836" i="1"/>
  <c r="AJ6836" i="1"/>
  <c r="AW6836" i="1"/>
  <c r="E6837" i="1"/>
  <c r="F6837" i="1"/>
  <c r="W6837" i="1"/>
  <c r="AJ6837" i="1"/>
  <c r="AW6837" i="1"/>
  <c r="E6838" i="1"/>
  <c r="F6838" i="1"/>
  <c r="W6838" i="1"/>
  <c r="AJ6838" i="1"/>
  <c r="AW6838" i="1"/>
  <c r="E6839" i="1"/>
  <c r="F6839" i="1"/>
  <c r="W6839" i="1"/>
  <c r="AJ6839" i="1"/>
  <c r="AW6839" i="1"/>
  <c r="E6840" i="1"/>
  <c r="F6840" i="1"/>
  <c r="W6840" i="1"/>
  <c r="AJ6840" i="1"/>
  <c r="AW6840" i="1"/>
  <c r="E6841" i="1"/>
  <c r="F6841" i="1"/>
  <c r="W6841" i="1"/>
  <c r="AJ6841" i="1"/>
  <c r="AW6841" i="1"/>
  <c r="E6842" i="1"/>
  <c r="F6842" i="1"/>
  <c r="W6842" i="1"/>
  <c r="AJ6842" i="1"/>
  <c r="AW6842" i="1"/>
  <c r="E6843" i="1"/>
  <c r="F6843" i="1"/>
  <c r="W6843" i="1"/>
  <c r="AJ6843" i="1"/>
  <c r="AW6843" i="1"/>
  <c r="E6844" i="1"/>
  <c r="F6844" i="1"/>
  <c r="W6844" i="1"/>
  <c r="AJ6844" i="1"/>
  <c r="AW6844" i="1"/>
  <c r="E6845" i="1"/>
  <c r="F6845" i="1"/>
  <c r="W6845" i="1"/>
  <c r="AJ6845" i="1"/>
  <c r="AW6845" i="1"/>
  <c r="E6846" i="1"/>
  <c r="F6846" i="1"/>
  <c r="W6846" i="1"/>
  <c r="AJ6846" i="1"/>
  <c r="AW6846" i="1"/>
  <c r="E6847" i="1"/>
  <c r="F6847" i="1"/>
  <c r="W6847" i="1"/>
  <c r="AJ6847" i="1"/>
  <c r="AW6847" i="1"/>
  <c r="E6848" i="1"/>
  <c r="F6848" i="1"/>
  <c r="W6848" i="1"/>
  <c r="AJ6848" i="1"/>
  <c r="AW6848" i="1"/>
  <c r="J6847" i="1" l="1"/>
  <c r="J6845" i="1"/>
  <c r="J6843" i="1"/>
  <c r="J6841" i="1"/>
  <c r="J6838" i="1"/>
  <c r="J6837" i="1"/>
  <c r="J6831" i="1"/>
  <c r="J6829" i="1"/>
  <c r="J6825" i="1"/>
  <c r="J6822" i="1"/>
  <c r="J6851" i="1"/>
  <c r="J6833" i="1"/>
  <c r="J6848" i="1"/>
  <c r="J6846" i="1"/>
  <c r="J6844" i="1"/>
  <c r="J6842" i="1"/>
  <c r="J6840" i="1"/>
  <c r="J6836" i="1"/>
  <c r="J6832" i="1"/>
  <c r="J6850" i="1"/>
  <c r="J6839" i="1"/>
  <c r="J6835" i="1"/>
  <c r="J6823" i="1"/>
  <c r="J6821" i="1"/>
  <c r="AY6819" i="1"/>
  <c r="AX6819" i="1"/>
  <c r="E6811" i="1"/>
  <c r="F6811" i="1"/>
  <c r="W6811" i="1"/>
  <c r="AJ6811" i="1"/>
  <c r="AW6811" i="1"/>
  <c r="E6812" i="1"/>
  <c r="F6812" i="1"/>
  <c r="W6812" i="1"/>
  <c r="AJ6812" i="1"/>
  <c r="AW6812" i="1"/>
  <c r="E6813" i="1"/>
  <c r="F6813" i="1"/>
  <c r="W6813" i="1"/>
  <c r="AJ6813" i="1"/>
  <c r="AW6813" i="1"/>
  <c r="E6814" i="1"/>
  <c r="F6814" i="1"/>
  <c r="W6814" i="1"/>
  <c r="AJ6814" i="1"/>
  <c r="AW6814" i="1"/>
  <c r="E6815" i="1"/>
  <c r="F6815" i="1"/>
  <c r="W6815" i="1"/>
  <c r="AJ6815" i="1"/>
  <c r="AW6815" i="1"/>
  <c r="E6816" i="1"/>
  <c r="F6816" i="1"/>
  <c r="J6816" i="1"/>
  <c r="W6816" i="1"/>
  <c r="AJ6816" i="1"/>
  <c r="AW6816" i="1"/>
  <c r="E6794" i="1"/>
  <c r="F6794" i="1"/>
  <c r="W6794" i="1"/>
  <c r="AJ6794" i="1"/>
  <c r="AW6794" i="1"/>
  <c r="E6795" i="1"/>
  <c r="F6795" i="1"/>
  <c r="W6795" i="1"/>
  <c r="AJ6795" i="1"/>
  <c r="AW6795" i="1"/>
  <c r="E6796" i="1"/>
  <c r="F6796" i="1"/>
  <c r="J6796" i="1"/>
  <c r="W6796" i="1"/>
  <c r="AJ6796" i="1"/>
  <c r="AW6796" i="1"/>
  <c r="E6797" i="1"/>
  <c r="F6797" i="1"/>
  <c r="W6797" i="1"/>
  <c r="AJ6797" i="1"/>
  <c r="AW6797" i="1"/>
  <c r="E6798" i="1"/>
  <c r="F6798" i="1"/>
  <c r="W6798" i="1"/>
  <c r="AJ6798" i="1"/>
  <c r="AW6798" i="1"/>
  <c r="E6799" i="1"/>
  <c r="F6799" i="1"/>
  <c r="W6799" i="1"/>
  <c r="AJ6799" i="1"/>
  <c r="AW6799" i="1"/>
  <c r="E6800" i="1"/>
  <c r="F6800" i="1"/>
  <c r="W6800" i="1"/>
  <c r="AJ6800" i="1"/>
  <c r="AW6800" i="1"/>
  <c r="E6801" i="1"/>
  <c r="F6801" i="1"/>
  <c r="J6801" i="1"/>
  <c r="W6801" i="1"/>
  <c r="AJ6801" i="1"/>
  <c r="AW6801" i="1"/>
  <c r="E6802" i="1"/>
  <c r="F6802" i="1"/>
  <c r="W6802" i="1"/>
  <c r="AJ6802" i="1"/>
  <c r="AW6802" i="1"/>
  <c r="E6803" i="1"/>
  <c r="F6803" i="1"/>
  <c r="J6803" i="1"/>
  <c r="W6803" i="1"/>
  <c r="AJ6803" i="1"/>
  <c r="AW6803" i="1"/>
  <c r="E6804" i="1"/>
  <c r="F6804" i="1"/>
  <c r="W6804" i="1"/>
  <c r="AJ6804" i="1"/>
  <c r="AW6804" i="1"/>
  <c r="E6805" i="1"/>
  <c r="F6805" i="1"/>
  <c r="W6805" i="1"/>
  <c r="AJ6805" i="1"/>
  <c r="AW6805" i="1"/>
  <c r="E6806" i="1"/>
  <c r="F6806" i="1"/>
  <c r="W6806" i="1"/>
  <c r="AJ6806" i="1"/>
  <c r="AW6806" i="1"/>
  <c r="E6807" i="1"/>
  <c r="F6807" i="1"/>
  <c r="W6807" i="1"/>
  <c r="AJ6807" i="1"/>
  <c r="AW6807" i="1"/>
  <c r="E6808" i="1"/>
  <c r="F6808" i="1"/>
  <c r="W6808" i="1"/>
  <c r="AJ6808" i="1"/>
  <c r="AW6808" i="1"/>
  <c r="E6785" i="1"/>
  <c r="F6785" i="1"/>
  <c r="J6785" i="1"/>
  <c r="W6785" i="1"/>
  <c r="AJ6785" i="1"/>
  <c r="AW6785" i="1"/>
  <c r="E6786" i="1"/>
  <c r="F6786" i="1"/>
  <c r="W6786" i="1"/>
  <c r="AJ6786" i="1"/>
  <c r="AW6786" i="1"/>
  <c r="E6787" i="1"/>
  <c r="F6787" i="1"/>
  <c r="W6787" i="1"/>
  <c r="AJ6787" i="1"/>
  <c r="AW6787" i="1"/>
  <c r="E6788" i="1"/>
  <c r="F6788" i="1"/>
  <c r="W6788" i="1"/>
  <c r="AJ6788" i="1"/>
  <c r="AW6788" i="1"/>
  <c r="E6789" i="1"/>
  <c r="F6789" i="1"/>
  <c r="W6789" i="1"/>
  <c r="AJ6789" i="1"/>
  <c r="AW6789" i="1"/>
  <c r="E6790" i="1"/>
  <c r="F6790" i="1"/>
  <c r="W6790" i="1"/>
  <c r="AJ6790" i="1"/>
  <c r="AW6790" i="1"/>
  <c r="E6791" i="1"/>
  <c r="F6791" i="1"/>
  <c r="W6791" i="1"/>
  <c r="AJ6791" i="1"/>
  <c r="AW6791" i="1"/>
  <c r="E6792" i="1"/>
  <c r="F6792" i="1"/>
  <c r="W6792" i="1"/>
  <c r="AJ6792" i="1"/>
  <c r="AW6792" i="1"/>
  <c r="E6793" i="1"/>
  <c r="F6793" i="1"/>
  <c r="W6793" i="1"/>
  <c r="AJ6793" i="1"/>
  <c r="AW6793" i="1"/>
  <c r="E6809" i="1"/>
  <c r="F6809" i="1"/>
  <c r="J6809" i="1"/>
  <c r="W6809" i="1"/>
  <c r="AJ6809" i="1"/>
  <c r="AW6809" i="1"/>
  <c r="AX6764" i="1"/>
  <c r="E6772" i="1"/>
  <c r="E6766" i="1"/>
  <c r="F6766" i="1"/>
  <c r="J6766" i="1"/>
  <c r="W6766" i="1"/>
  <c r="AJ6766" i="1"/>
  <c r="AW6766" i="1"/>
  <c r="E6767" i="1"/>
  <c r="F6767" i="1"/>
  <c r="W6767" i="1"/>
  <c r="AJ6767" i="1"/>
  <c r="AW6767" i="1"/>
  <c r="E6768" i="1"/>
  <c r="F6768" i="1"/>
  <c r="W6768" i="1"/>
  <c r="AJ6768" i="1"/>
  <c r="AW6768" i="1"/>
  <c r="E6769" i="1"/>
  <c r="F6769" i="1"/>
  <c r="W6769" i="1"/>
  <c r="AJ6769" i="1"/>
  <c r="AW6769" i="1"/>
  <c r="E6770" i="1"/>
  <c r="F6770" i="1"/>
  <c r="W6770" i="1"/>
  <c r="AJ6770" i="1"/>
  <c r="AW6770" i="1"/>
  <c r="E6771" i="1"/>
  <c r="F6771" i="1"/>
  <c r="W6771" i="1"/>
  <c r="AJ6771" i="1"/>
  <c r="AW6771" i="1"/>
  <c r="F6772" i="1"/>
  <c r="W6772" i="1"/>
  <c r="AJ6772" i="1"/>
  <c r="AW6772" i="1"/>
  <c r="E6773" i="1"/>
  <c r="F6773" i="1"/>
  <c r="W6773" i="1"/>
  <c r="AJ6773" i="1"/>
  <c r="AW6773" i="1"/>
  <c r="E6774" i="1"/>
  <c r="F6774" i="1"/>
  <c r="J6774" i="1"/>
  <c r="W6774" i="1"/>
  <c r="AJ6774" i="1"/>
  <c r="AW6774" i="1"/>
  <c r="E6775" i="1"/>
  <c r="F6775" i="1"/>
  <c r="W6775" i="1"/>
  <c r="AJ6775" i="1"/>
  <c r="AW6775" i="1"/>
  <c r="E6776" i="1"/>
  <c r="F6776" i="1"/>
  <c r="W6776" i="1"/>
  <c r="AJ6776" i="1"/>
  <c r="AW6776" i="1"/>
  <c r="E6777" i="1"/>
  <c r="F6777" i="1"/>
  <c r="J6777" i="1"/>
  <c r="W6777" i="1"/>
  <c r="AJ6777" i="1"/>
  <c r="AW6777" i="1"/>
  <c r="E6778" i="1"/>
  <c r="F6778" i="1"/>
  <c r="W6778" i="1"/>
  <c r="AJ6778" i="1"/>
  <c r="AW6778" i="1"/>
  <c r="E6779" i="1"/>
  <c r="F6779" i="1"/>
  <c r="W6779" i="1"/>
  <c r="AJ6779" i="1"/>
  <c r="AW6779" i="1"/>
  <c r="E6780" i="1"/>
  <c r="F6780" i="1"/>
  <c r="W6780" i="1"/>
  <c r="AJ6780" i="1"/>
  <c r="AW6780" i="1"/>
  <c r="E6781" i="1"/>
  <c r="F6781" i="1"/>
  <c r="W6781" i="1"/>
  <c r="AJ6781" i="1"/>
  <c r="AW6781" i="1"/>
  <c r="E6782" i="1"/>
  <c r="F6782" i="1"/>
  <c r="W6782" i="1"/>
  <c r="AJ6782" i="1"/>
  <c r="AW6782" i="1"/>
  <c r="E6783" i="1"/>
  <c r="F6783" i="1"/>
  <c r="W6783" i="1"/>
  <c r="AJ6783" i="1"/>
  <c r="AW6783" i="1"/>
  <c r="E6784" i="1"/>
  <c r="F6784" i="1"/>
  <c r="W6784" i="1"/>
  <c r="AJ6784" i="1"/>
  <c r="AW6784" i="1"/>
  <c r="E6810" i="1"/>
  <c r="F6810" i="1"/>
  <c r="W6810" i="1"/>
  <c r="AJ6810" i="1"/>
  <c r="AW6810" i="1"/>
  <c r="E6817" i="1"/>
  <c r="F6817" i="1"/>
  <c r="W6817" i="1"/>
  <c r="AJ6817" i="1"/>
  <c r="AW6817" i="1"/>
  <c r="J6792" i="1" l="1"/>
  <c r="J6790" i="1"/>
  <c r="J6788" i="1"/>
  <c r="J6807" i="1"/>
  <c r="J6798" i="1"/>
  <c r="J6794" i="1"/>
  <c r="J6813" i="1"/>
  <c r="J6812" i="1"/>
  <c r="J6811" i="1"/>
  <c r="J6793" i="1"/>
  <c r="J6817" i="1"/>
  <c r="J6791" i="1"/>
  <c r="J6789" i="1"/>
  <c r="J6808" i="1"/>
  <c r="J6802" i="1"/>
  <c r="J6799" i="1"/>
  <c r="J6814" i="1"/>
  <c r="J6810" i="1"/>
  <c r="J6800" i="1"/>
  <c r="J6787" i="1"/>
  <c r="J6786" i="1"/>
  <c r="J6806" i="1"/>
  <c r="J6804" i="1"/>
  <c r="J6797" i="1"/>
  <c r="J6795" i="1"/>
  <c r="J6815" i="1"/>
  <c r="J6805" i="1"/>
  <c r="J6784" i="1"/>
  <c r="J6781" i="1"/>
  <c r="J6780" i="1"/>
  <c r="J6778" i="1"/>
  <c r="J6775" i="1"/>
  <c r="J6770" i="1"/>
  <c r="J6782" i="1"/>
  <c r="J6779" i="1"/>
  <c r="J6776" i="1"/>
  <c r="J6773" i="1"/>
  <c r="J6771" i="1"/>
  <c r="J6769" i="1"/>
  <c r="J6767" i="1"/>
  <c r="J6783" i="1"/>
  <c r="J6772" i="1"/>
  <c r="J6768" i="1"/>
  <c r="H3562" i="8"/>
  <c r="BX34" i="7" l="1"/>
  <c r="BX32" i="7"/>
  <c r="BX31" i="7"/>
  <c r="BX30" i="7"/>
  <c r="BX29" i="7"/>
  <c r="BX27" i="7"/>
  <c r="BX26" i="7"/>
  <c r="BX25" i="7"/>
  <c r="BX24" i="7"/>
  <c r="BX22" i="7"/>
  <c r="BX21" i="7"/>
  <c r="BX20" i="7"/>
  <c r="BX19" i="7"/>
  <c r="BX18" i="7"/>
  <c r="BX17" i="7"/>
  <c r="BX16" i="7"/>
  <c r="BX11" i="7"/>
  <c r="BX10" i="7"/>
  <c r="BX9" i="7"/>
  <c r="BX8" i="7"/>
  <c r="BX7" i="7"/>
  <c r="BX6" i="7"/>
  <c r="BX46" i="7"/>
  <c r="H3551" i="8" l="1"/>
  <c r="BX45" i="7"/>
  <c r="BX44" i="7"/>
  <c r="BX43" i="7"/>
  <c r="BX42" i="7"/>
  <c r="BX41" i="7"/>
  <c r="BX40" i="7"/>
  <c r="BX39" i="7"/>
  <c r="BX38" i="7"/>
  <c r="BX37" i="7"/>
  <c r="BX35" i="7"/>
  <c r="BX33" i="7"/>
  <c r="E6712" i="1"/>
  <c r="F6712" i="1"/>
  <c r="W6712" i="1"/>
  <c r="AJ6712" i="1"/>
  <c r="AW6712" i="1"/>
  <c r="E6713" i="1"/>
  <c r="F6713" i="1"/>
  <c r="W6713" i="1"/>
  <c r="AJ6713" i="1"/>
  <c r="AW6713" i="1"/>
  <c r="H3558" i="8"/>
  <c r="H3565" i="8"/>
  <c r="J6713" i="1" l="1"/>
  <c r="BX36" i="7"/>
  <c r="J6712" i="1"/>
  <c r="BX13" i="7"/>
  <c r="BX23" i="7" l="1"/>
  <c r="BX15" i="7"/>
  <c r="BX28" i="7"/>
  <c r="H3564" i="8"/>
  <c r="H3563" i="8"/>
  <c r="H3561" i="8"/>
  <c r="H3560" i="8"/>
  <c r="H3559" i="8"/>
  <c r="H3566" i="8"/>
  <c r="H3568" i="8"/>
  <c r="H3569" i="8"/>
  <c r="H3570" i="8"/>
  <c r="H3571" i="8"/>
  <c r="H3572" i="8"/>
  <c r="H3573" i="8"/>
  <c r="H3574" i="8"/>
  <c r="I3675" i="8" l="1"/>
  <c r="BX48" i="7"/>
  <c r="AX6754" i="1"/>
  <c r="E6730" i="1"/>
  <c r="F6730" i="1"/>
  <c r="W6730" i="1"/>
  <c r="AJ6730" i="1"/>
  <c r="AW6730" i="1"/>
  <c r="E6731" i="1"/>
  <c r="F6731" i="1"/>
  <c r="W6731" i="1"/>
  <c r="AJ6731" i="1"/>
  <c r="AW6731" i="1"/>
  <c r="E6732" i="1"/>
  <c r="F6732" i="1"/>
  <c r="W6732" i="1"/>
  <c r="AJ6732" i="1"/>
  <c r="AW6732" i="1"/>
  <c r="E6733" i="1"/>
  <c r="F6733" i="1"/>
  <c r="W6733" i="1"/>
  <c r="AJ6733" i="1"/>
  <c r="AW6733" i="1"/>
  <c r="E6734" i="1"/>
  <c r="F6734" i="1"/>
  <c r="J6734" i="1"/>
  <c r="W6734" i="1"/>
  <c r="AJ6734" i="1"/>
  <c r="AW6734" i="1"/>
  <c r="E6735" i="1"/>
  <c r="F6735" i="1"/>
  <c r="W6735" i="1"/>
  <c r="AJ6735" i="1"/>
  <c r="AW6735" i="1"/>
  <c r="E6736" i="1"/>
  <c r="F6736" i="1"/>
  <c r="W6736" i="1"/>
  <c r="AJ6736" i="1"/>
  <c r="AW6736" i="1"/>
  <c r="E6737" i="1"/>
  <c r="F6737" i="1"/>
  <c r="W6737" i="1"/>
  <c r="AJ6737" i="1"/>
  <c r="AW6737" i="1"/>
  <c r="E6738" i="1"/>
  <c r="F6738" i="1"/>
  <c r="W6738" i="1"/>
  <c r="AJ6738" i="1"/>
  <c r="AW6738" i="1"/>
  <c r="E6739" i="1"/>
  <c r="F6739" i="1"/>
  <c r="W6739" i="1"/>
  <c r="AJ6739" i="1"/>
  <c r="AW6739" i="1"/>
  <c r="E6740" i="1"/>
  <c r="F6740" i="1"/>
  <c r="W6740" i="1"/>
  <c r="AJ6740" i="1"/>
  <c r="AW6740" i="1"/>
  <c r="E6741" i="1"/>
  <c r="F6741" i="1"/>
  <c r="W6741" i="1"/>
  <c r="AJ6741" i="1"/>
  <c r="AW6741" i="1"/>
  <c r="E6742" i="1"/>
  <c r="F6742" i="1"/>
  <c r="W6742" i="1"/>
  <c r="AJ6742" i="1"/>
  <c r="AW6742" i="1"/>
  <c r="E6743" i="1"/>
  <c r="F6743" i="1"/>
  <c r="W6743" i="1"/>
  <c r="AJ6743" i="1"/>
  <c r="AW6743" i="1"/>
  <c r="E6744" i="1"/>
  <c r="F6744" i="1"/>
  <c r="W6744" i="1"/>
  <c r="AJ6744" i="1"/>
  <c r="AW6744" i="1"/>
  <c r="E6745" i="1"/>
  <c r="F6745" i="1"/>
  <c r="J6745" i="1"/>
  <c r="W6745" i="1"/>
  <c r="AJ6745" i="1"/>
  <c r="AW6745" i="1"/>
  <c r="E6746" i="1"/>
  <c r="F6746" i="1"/>
  <c r="W6746" i="1"/>
  <c r="AJ6746" i="1"/>
  <c r="AW6746" i="1"/>
  <c r="E6747" i="1"/>
  <c r="F6747" i="1"/>
  <c r="W6747" i="1"/>
  <c r="AJ6747" i="1"/>
  <c r="AW6747" i="1"/>
  <c r="E6748" i="1"/>
  <c r="F6748" i="1"/>
  <c r="W6748" i="1"/>
  <c r="AJ6748" i="1"/>
  <c r="AW6748" i="1"/>
  <c r="E6749" i="1"/>
  <c r="F6749" i="1"/>
  <c r="W6749" i="1"/>
  <c r="AJ6749" i="1"/>
  <c r="AW6749" i="1"/>
  <c r="E6750" i="1"/>
  <c r="F6750" i="1"/>
  <c r="W6750" i="1"/>
  <c r="AJ6750" i="1"/>
  <c r="AW6750" i="1"/>
  <c r="E6751" i="1"/>
  <c r="F6751" i="1"/>
  <c r="W6751" i="1"/>
  <c r="AJ6751" i="1"/>
  <c r="AW6751" i="1"/>
  <c r="E6752" i="1"/>
  <c r="F6752" i="1"/>
  <c r="W6752" i="1"/>
  <c r="AJ6752" i="1"/>
  <c r="AW6752" i="1"/>
  <c r="E6753" i="1"/>
  <c r="F6753" i="1"/>
  <c r="W6753" i="1"/>
  <c r="AJ6753" i="1"/>
  <c r="AW6753" i="1"/>
  <c r="E6716" i="1"/>
  <c r="F6716" i="1"/>
  <c r="W6716" i="1"/>
  <c r="AJ6716" i="1"/>
  <c r="AW6716" i="1"/>
  <c r="E6717" i="1"/>
  <c r="F6717" i="1"/>
  <c r="W6717" i="1"/>
  <c r="AJ6717" i="1"/>
  <c r="AW6717" i="1"/>
  <c r="E6718" i="1"/>
  <c r="F6718" i="1"/>
  <c r="W6718" i="1"/>
  <c r="AJ6718" i="1"/>
  <c r="AW6718" i="1"/>
  <c r="E6719" i="1"/>
  <c r="F6719" i="1"/>
  <c r="W6719" i="1"/>
  <c r="AJ6719" i="1"/>
  <c r="AW6719" i="1"/>
  <c r="E6720" i="1"/>
  <c r="F6720" i="1"/>
  <c r="W6720" i="1"/>
  <c r="AJ6720" i="1"/>
  <c r="AW6720" i="1"/>
  <c r="E6721" i="1"/>
  <c r="F6721" i="1"/>
  <c r="W6721" i="1"/>
  <c r="AJ6721" i="1"/>
  <c r="AW6721" i="1"/>
  <c r="E6722" i="1"/>
  <c r="F6722" i="1"/>
  <c r="W6722" i="1"/>
  <c r="AJ6722" i="1"/>
  <c r="AW6722" i="1"/>
  <c r="E6723" i="1"/>
  <c r="F6723" i="1"/>
  <c r="J6723" i="1"/>
  <c r="W6723" i="1"/>
  <c r="AJ6723" i="1"/>
  <c r="AW6723" i="1"/>
  <c r="E6724" i="1"/>
  <c r="F6724" i="1"/>
  <c r="W6724" i="1"/>
  <c r="AJ6724" i="1"/>
  <c r="AW6724" i="1"/>
  <c r="E6725" i="1"/>
  <c r="F6725" i="1"/>
  <c r="J6725" i="1"/>
  <c r="W6725" i="1"/>
  <c r="AJ6725" i="1"/>
  <c r="AW6725" i="1"/>
  <c r="E6726" i="1"/>
  <c r="F6726" i="1"/>
  <c r="W6726" i="1"/>
  <c r="AJ6726" i="1"/>
  <c r="AW6726" i="1"/>
  <c r="E6727" i="1"/>
  <c r="F6727" i="1"/>
  <c r="W6727" i="1"/>
  <c r="AJ6727" i="1"/>
  <c r="AW6727" i="1"/>
  <c r="E6728" i="1"/>
  <c r="F6728" i="1"/>
  <c r="W6728" i="1"/>
  <c r="AJ6728" i="1"/>
  <c r="AW6728" i="1"/>
  <c r="E6729" i="1"/>
  <c r="F6729" i="1"/>
  <c r="W6729" i="1"/>
  <c r="AJ6729" i="1"/>
  <c r="AW6729" i="1"/>
  <c r="E6754" i="1"/>
  <c r="F6754" i="1"/>
  <c r="W6754" i="1"/>
  <c r="AJ6754" i="1"/>
  <c r="AW6754" i="1"/>
  <c r="E6755" i="1"/>
  <c r="F6755" i="1"/>
  <c r="J6755" i="1"/>
  <c r="W6755" i="1"/>
  <c r="AJ6755" i="1"/>
  <c r="AW6755" i="1"/>
  <c r="E6756" i="1"/>
  <c r="F6756" i="1"/>
  <c r="W6756" i="1"/>
  <c r="AJ6756" i="1"/>
  <c r="AW6756" i="1"/>
  <c r="E6757" i="1"/>
  <c r="F6757" i="1"/>
  <c r="W6757" i="1"/>
  <c r="AJ6757" i="1"/>
  <c r="AW6757" i="1"/>
  <c r="E6758" i="1"/>
  <c r="F6758" i="1"/>
  <c r="J6758" i="1"/>
  <c r="W6758" i="1"/>
  <c r="AJ6758" i="1"/>
  <c r="AW6758" i="1"/>
  <c r="E6759" i="1"/>
  <c r="F6759" i="1"/>
  <c r="W6759" i="1"/>
  <c r="AJ6759" i="1"/>
  <c r="AW6759" i="1"/>
  <c r="E6760" i="1"/>
  <c r="F6760" i="1"/>
  <c r="J6760" i="1"/>
  <c r="W6760" i="1"/>
  <c r="AJ6760" i="1"/>
  <c r="AW6760" i="1"/>
  <c r="E6761" i="1"/>
  <c r="F6761" i="1"/>
  <c r="J6761" i="1"/>
  <c r="W6761" i="1"/>
  <c r="AJ6761" i="1"/>
  <c r="AW6761" i="1"/>
  <c r="E6762" i="1"/>
  <c r="F6762" i="1"/>
  <c r="J6762" i="1"/>
  <c r="W6762" i="1"/>
  <c r="AJ6762" i="1"/>
  <c r="AW6762" i="1"/>
  <c r="E6763" i="1"/>
  <c r="F6763" i="1"/>
  <c r="W6763" i="1"/>
  <c r="AJ6763" i="1"/>
  <c r="AW6763" i="1"/>
  <c r="E6764" i="1"/>
  <c r="F6764" i="1"/>
  <c r="W6764" i="1"/>
  <c r="AJ6764" i="1"/>
  <c r="AW6764" i="1"/>
  <c r="E6765" i="1"/>
  <c r="F6765" i="1"/>
  <c r="W6765" i="1"/>
  <c r="AJ6765" i="1"/>
  <c r="AW6765" i="1"/>
  <c r="E6818" i="1"/>
  <c r="F6818" i="1"/>
  <c r="W6818" i="1"/>
  <c r="AJ6818" i="1"/>
  <c r="AW6818" i="1"/>
  <c r="E6819" i="1"/>
  <c r="F6819" i="1"/>
  <c r="W6819" i="1"/>
  <c r="AJ6819" i="1"/>
  <c r="AW6819" i="1"/>
  <c r="J6819" i="1" l="1"/>
  <c r="J6765" i="1"/>
  <c r="J6756" i="1"/>
  <c r="J6727" i="1"/>
  <c r="J6742" i="1"/>
  <c r="J6735" i="1"/>
  <c r="J6726" i="1"/>
  <c r="J6721" i="1"/>
  <c r="J6719" i="1"/>
  <c r="J6818" i="1"/>
  <c r="J6764" i="1"/>
  <c r="J6729" i="1"/>
  <c r="J6724" i="1"/>
  <c r="J6747" i="1"/>
  <c r="J6744" i="1"/>
  <c r="J6740" i="1"/>
  <c r="J6738" i="1"/>
  <c r="J6763" i="1"/>
  <c r="J6759" i="1"/>
  <c r="J6754" i="1"/>
  <c r="J6728" i="1"/>
  <c r="J6722" i="1"/>
  <c r="J6718" i="1"/>
  <c r="J6716" i="1"/>
  <c r="J6752" i="1"/>
  <c r="J6750" i="1"/>
  <c r="J6748" i="1"/>
  <c r="J6746" i="1"/>
  <c r="J6743" i="1"/>
  <c r="J6739" i="1"/>
  <c r="J6737" i="1"/>
  <c r="J6736" i="1"/>
  <c r="J6732" i="1"/>
  <c r="J6730" i="1"/>
  <c r="J6757" i="1"/>
  <c r="J6720" i="1"/>
  <c r="J6717" i="1"/>
  <c r="J6753" i="1"/>
  <c r="J6751" i="1"/>
  <c r="J6749" i="1"/>
  <c r="J6741" i="1"/>
  <c r="J6733" i="1"/>
  <c r="J6731" i="1"/>
  <c r="BX49" i="7"/>
  <c r="BX54" i="7" s="1"/>
  <c r="BX57" i="7" s="1"/>
  <c r="AZ6710" i="1"/>
  <c r="E6714" i="1"/>
  <c r="F6714" i="1"/>
  <c r="W6714" i="1"/>
  <c r="AJ6714" i="1"/>
  <c r="AW6714" i="1"/>
  <c r="E6820" i="1"/>
  <c r="F6820" i="1"/>
  <c r="W6820" i="1"/>
  <c r="AJ6820" i="1"/>
  <c r="AW6820" i="1"/>
  <c r="AX6710" i="1"/>
  <c r="E6706" i="1"/>
  <c r="F6706" i="1"/>
  <c r="W6706" i="1"/>
  <c r="AJ6706" i="1"/>
  <c r="AW6706" i="1"/>
  <c r="E6707" i="1"/>
  <c r="F6707" i="1"/>
  <c r="W6707" i="1"/>
  <c r="AJ6707" i="1"/>
  <c r="AW6707" i="1"/>
  <c r="E6708" i="1"/>
  <c r="F6708" i="1"/>
  <c r="W6708" i="1"/>
  <c r="AJ6708" i="1"/>
  <c r="AW6708" i="1"/>
  <c r="E6709" i="1"/>
  <c r="F6709" i="1"/>
  <c r="W6709" i="1"/>
  <c r="AJ6709" i="1"/>
  <c r="AW6709" i="1"/>
  <c r="E6710" i="1"/>
  <c r="F6710" i="1"/>
  <c r="W6710" i="1"/>
  <c r="AJ6710" i="1"/>
  <c r="AW6710" i="1"/>
  <c r="E6711" i="1"/>
  <c r="F6711" i="1"/>
  <c r="W6711" i="1"/>
  <c r="AJ6711" i="1"/>
  <c r="AW6711" i="1"/>
  <c r="E6698" i="1"/>
  <c r="F6698" i="1"/>
  <c r="W6698" i="1"/>
  <c r="AJ6698" i="1"/>
  <c r="AW6698" i="1"/>
  <c r="E6699" i="1"/>
  <c r="F6699" i="1"/>
  <c r="W6699" i="1"/>
  <c r="AJ6699" i="1"/>
  <c r="AW6699" i="1"/>
  <c r="E6700" i="1"/>
  <c r="F6700" i="1"/>
  <c r="W6700" i="1"/>
  <c r="AJ6700" i="1"/>
  <c r="AW6700" i="1"/>
  <c r="E6701" i="1"/>
  <c r="F6701" i="1"/>
  <c r="W6701" i="1"/>
  <c r="AJ6701" i="1"/>
  <c r="AW6701" i="1"/>
  <c r="E6702" i="1"/>
  <c r="F6702" i="1"/>
  <c r="W6702" i="1"/>
  <c r="AJ6702" i="1"/>
  <c r="AW6702" i="1"/>
  <c r="E6703" i="1"/>
  <c r="F6703" i="1"/>
  <c r="W6703" i="1"/>
  <c r="AJ6703" i="1"/>
  <c r="AW6703" i="1"/>
  <c r="E6704" i="1"/>
  <c r="F6704" i="1"/>
  <c r="W6704" i="1"/>
  <c r="AJ6704" i="1"/>
  <c r="AW6704" i="1"/>
  <c r="AY6677" i="1"/>
  <c r="E6687" i="1"/>
  <c r="F6687" i="1"/>
  <c r="J6687" i="1"/>
  <c r="W6687" i="1"/>
  <c r="AJ6687" i="1"/>
  <c r="AW6687" i="1"/>
  <c r="E6688" i="1"/>
  <c r="F6688" i="1"/>
  <c r="J6688" i="1"/>
  <c r="W6688" i="1"/>
  <c r="AJ6688" i="1"/>
  <c r="AW6688" i="1"/>
  <c r="E6689" i="1"/>
  <c r="F6689" i="1"/>
  <c r="W6689" i="1"/>
  <c r="AJ6689" i="1"/>
  <c r="AW6689" i="1"/>
  <c r="E6690" i="1"/>
  <c r="F6690" i="1"/>
  <c r="W6690" i="1"/>
  <c r="AJ6690" i="1"/>
  <c r="AW6690" i="1"/>
  <c r="E6691" i="1"/>
  <c r="F6691" i="1"/>
  <c r="W6691" i="1"/>
  <c r="AJ6691" i="1"/>
  <c r="AW6691" i="1"/>
  <c r="E6692" i="1"/>
  <c r="F6692" i="1"/>
  <c r="W6692" i="1"/>
  <c r="AJ6692" i="1"/>
  <c r="AW6692" i="1"/>
  <c r="E6693" i="1"/>
  <c r="F6693" i="1"/>
  <c r="W6693" i="1"/>
  <c r="AJ6693" i="1"/>
  <c r="AW6693" i="1"/>
  <c r="E6694" i="1"/>
  <c r="F6694" i="1"/>
  <c r="W6694" i="1"/>
  <c r="AJ6694" i="1"/>
  <c r="AW6694" i="1"/>
  <c r="E6695" i="1"/>
  <c r="F6695" i="1"/>
  <c r="W6695" i="1"/>
  <c r="AJ6695" i="1"/>
  <c r="AW6695" i="1"/>
  <c r="E6696" i="1"/>
  <c r="F6696" i="1"/>
  <c r="W6696" i="1"/>
  <c r="AJ6696" i="1"/>
  <c r="AW6696" i="1"/>
  <c r="E6697" i="1"/>
  <c r="F6697" i="1"/>
  <c r="W6697" i="1"/>
  <c r="AJ6697" i="1"/>
  <c r="AW6697" i="1"/>
  <c r="E6671" i="1"/>
  <c r="F6671" i="1"/>
  <c r="W6671" i="1"/>
  <c r="AJ6671" i="1"/>
  <c r="AW6671" i="1"/>
  <c r="E6672" i="1"/>
  <c r="F6672" i="1"/>
  <c r="W6672" i="1"/>
  <c r="AJ6672" i="1"/>
  <c r="AW6672" i="1"/>
  <c r="E6673" i="1"/>
  <c r="F6673" i="1"/>
  <c r="W6673" i="1"/>
  <c r="AJ6673" i="1"/>
  <c r="AW6673" i="1"/>
  <c r="E6674" i="1"/>
  <c r="F6674" i="1"/>
  <c r="W6674" i="1"/>
  <c r="AJ6674" i="1"/>
  <c r="AW6674" i="1"/>
  <c r="E6675" i="1"/>
  <c r="F6675" i="1"/>
  <c r="W6675" i="1"/>
  <c r="AJ6675" i="1"/>
  <c r="AW6675" i="1"/>
  <c r="E6676" i="1"/>
  <c r="F6676" i="1"/>
  <c r="W6676" i="1"/>
  <c r="AJ6676" i="1"/>
  <c r="AW6676" i="1"/>
  <c r="E6677" i="1"/>
  <c r="F6677" i="1"/>
  <c r="J6677" i="1"/>
  <c r="W6677" i="1"/>
  <c r="AJ6677" i="1"/>
  <c r="AW6677" i="1"/>
  <c r="E6678" i="1"/>
  <c r="F6678" i="1"/>
  <c r="W6678" i="1"/>
  <c r="AJ6678" i="1"/>
  <c r="AW6678" i="1"/>
  <c r="E6679" i="1"/>
  <c r="F6679" i="1"/>
  <c r="J6679" i="1"/>
  <c r="W6679" i="1"/>
  <c r="AJ6679" i="1"/>
  <c r="AW6679" i="1"/>
  <c r="E6680" i="1"/>
  <c r="F6680" i="1"/>
  <c r="J6680" i="1"/>
  <c r="W6680" i="1"/>
  <c r="AJ6680" i="1"/>
  <c r="AW6680" i="1"/>
  <c r="E6681" i="1"/>
  <c r="F6681" i="1"/>
  <c r="W6681" i="1"/>
  <c r="AJ6681" i="1"/>
  <c r="AW6681" i="1"/>
  <c r="E6682" i="1"/>
  <c r="F6682" i="1"/>
  <c r="W6682" i="1"/>
  <c r="AJ6682" i="1"/>
  <c r="AW6682" i="1"/>
  <c r="E6683" i="1"/>
  <c r="F6683" i="1"/>
  <c r="J6683" i="1"/>
  <c r="W6683" i="1"/>
  <c r="AJ6683" i="1"/>
  <c r="AW6683" i="1"/>
  <c r="E6684" i="1"/>
  <c r="F6684" i="1"/>
  <c r="W6684" i="1"/>
  <c r="AJ6684" i="1"/>
  <c r="AW6684" i="1"/>
  <c r="E6685" i="1"/>
  <c r="F6685" i="1"/>
  <c r="W6685" i="1"/>
  <c r="AJ6685" i="1"/>
  <c r="AW6685" i="1"/>
  <c r="E6686" i="1"/>
  <c r="F6686" i="1"/>
  <c r="W6686" i="1"/>
  <c r="AJ6686" i="1"/>
  <c r="AW6686" i="1"/>
  <c r="E6705" i="1"/>
  <c r="F6705" i="1"/>
  <c r="W6705" i="1"/>
  <c r="AJ6705" i="1"/>
  <c r="AW6705" i="1"/>
  <c r="J6706" i="1" l="1"/>
  <c r="J6711" i="1"/>
  <c r="J6820" i="1"/>
  <c r="J6695" i="1"/>
  <c r="J6676" i="1"/>
  <c r="J6675" i="1"/>
  <c r="J6697" i="1"/>
  <c r="J6692" i="1"/>
  <c r="J6700" i="1"/>
  <c r="J6710" i="1"/>
  <c r="J6708" i="1"/>
  <c r="J6714" i="1"/>
  <c r="J6696" i="1"/>
  <c r="J6694" i="1"/>
  <c r="J6689" i="1"/>
  <c r="J6703" i="1"/>
  <c r="J6698" i="1"/>
  <c r="J6693" i="1"/>
  <c r="J6690" i="1"/>
  <c r="J6704" i="1"/>
  <c r="J6702" i="1"/>
  <c r="J6707" i="1"/>
  <c r="J6691" i="1"/>
  <c r="J6701" i="1"/>
  <c r="J6699" i="1"/>
  <c r="J6709" i="1"/>
  <c r="J6684" i="1"/>
  <c r="J6681" i="1"/>
  <c r="J6674" i="1"/>
  <c r="J6705" i="1"/>
  <c r="J6686" i="1"/>
  <c r="J6682" i="1"/>
  <c r="J6678" i="1"/>
  <c r="J6673" i="1"/>
  <c r="J6671" i="1"/>
  <c r="J6685" i="1"/>
  <c r="J6672" i="1"/>
  <c r="H3553" i="8"/>
  <c r="H3554" i="8"/>
  <c r="H3555" i="8"/>
  <c r="H3556" i="8"/>
  <c r="H3557" i="8"/>
  <c r="AX6667" i="1" l="1"/>
  <c r="E6664" i="1"/>
  <c r="F6664" i="1"/>
  <c r="W6664" i="1"/>
  <c r="AJ6664" i="1"/>
  <c r="AW6664" i="1"/>
  <c r="E6665" i="1"/>
  <c r="F6665" i="1"/>
  <c r="W6665" i="1"/>
  <c r="AJ6665" i="1"/>
  <c r="AW6665" i="1"/>
  <c r="E6666" i="1"/>
  <c r="F6666" i="1"/>
  <c r="W6666" i="1"/>
  <c r="AJ6666" i="1"/>
  <c r="AW6666" i="1"/>
  <c r="E6667" i="1"/>
  <c r="F6667" i="1"/>
  <c r="W6667" i="1"/>
  <c r="AJ6667" i="1"/>
  <c r="AW6667" i="1"/>
  <c r="E6668" i="1"/>
  <c r="F6668" i="1"/>
  <c r="J6668" i="1"/>
  <c r="W6668" i="1"/>
  <c r="AJ6668" i="1"/>
  <c r="AW6668" i="1"/>
  <c r="E6669" i="1"/>
  <c r="F6669" i="1"/>
  <c r="W6669" i="1"/>
  <c r="AJ6669" i="1"/>
  <c r="AW6669" i="1"/>
  <c r="E6670" i="1"/>
  <c r="F6670" i="1"/>
  <c r="J6670" i="1"/>
  <c r="W6670" i="1"/>
  <c r="AJ6670" i="1"/>
  <c r="AW6670" i="1"/>
  <c r="E6653" i="1"/>
  <c r="F6653" i="1"/>
  <c r="W6653" i="1"/>
  <c r="AJ6653" i="1"/>
  <c r="AW6653" i="1"/>
  <c r="E6654" i="1"/>
  <c r="F6654" i="1"/>
  <c r="W6654" i="1"/>
  <c r="AJ6654" i="1"/>
  <c r="AW6654" i="1"/>
  <c r="E6655" i="1"/>
  <c r="F6655" i="1"/>
  <c r="W6655" i="1"/>
  <c r="AJ6655" i="1"/>
  <c r="AW6655" i="1"/>
  <c r="E6640" i="1"/>
  <c r="F6640" i="1"/>
  <c r="W6640" i="1"/>
  <c r="AJ6640" i="1"/>
  <c r="AW6640" i="1"/>
  <c r="E6641" i="1"/>
  <c r="F6641" i="1"/>
  <c r="W6641" i="1"/>
  <c r="AJ6641" i="1"/>
  <c r="AW6641" i="1"/>
  <c r="E6642" i="1"/>
  <c r="F6642" i="1"/>
  <c r="W6642" i="1"/>
  <c r="AJ6642" i="1"/>
  <c r="AW6642" i="1"/>
  <c r="E6643" i="1"/>
  <c r="F6643" i="1"/>
  <c r="J6643" i="1"/>
  <c r="W6643" i="1"/>
  <c r="AJ6643" i="1"/>
  <c r="AW6643" i="1"/>
  <c r="E6644" i="1"/>
  <c r="F6644" i="1"/>
  <c r="J6644" i="1"/>
  <c r="W6644" i="1"/>
  <c r="AJ6644" i="1"/>
  <c r="AW6644" i="1"/>
  <c r="E6645" i="1"/>
  <c r="F6645" i="1"/>
  <c r="W6645" i="1"/>
  <c r="AJ6645" i="1"/>
  <c r="AW6645" i="1"/>
  <c r="E6646" i="1"/>
  <c r="F6646" i="1"/>
  <c r="J6646" i="1"/>
  <c r="W6646" i="1"/>
  <c r="AJ6646" i="1"/>
  <c r="AW6646" i="1"/>
  <c r="E6647" i="1"/>
  <c r="F6647" i="1"/>
  <c r="W6647" i="1"/>
  <c r="AJ6647" i="1"/>
  <c r="AW6647" i="1"/>
  <c r="E6648" i="1"/>
  <c r="F6648" i="1"/>
  <c r="W6648" i="1"/>
  <c r="AJ6648" i="1"/>
  <c r="AW6648" i="1"/>
  <c r="E6649" i="1"/>
  <c r="F6649" i="1"/>
  <c r="W6649" i="1"/>
  <c r="AJ6649" i="1"/>
  <c r="AW6649" i="1"/>
  <c r="E6650" i="1"/>
  <c r="F6650" i="1"/>
  <c r="W6650" i="1"/>
  <c r="AJ6650" i="1"/>
  <c r="AW6650" i="1"/>
  <c r="E6651" i="1"/>
  <c r="F6651" i="1"/>
  <c r="W6651" i="1"/>
  <c r="AJ6651" i="1"/>
  <c r="AW6651" i="1"/>
  <c r="E6652" i="1"/>
  <c r="F6652" i="1"/>
  <c r="J6652" i="1"/>
  <c r="W6652" i="1"/>
  <c r="AJ6652" i="1"/>
  <c r="AW6652" i="1"/>
  <c r="E6656" i="1"/>
  <c r="F6656" i="1"/>
  <c r="W6656" i="1"/>
  <c r="AJ6656" i="1"/>
  <c r="AW6656" i="1"/>
  <c r="E6657" i="1"/>
  <c r="F6657" i="1"/>
  <c r="W6657" i="1"/>
  <c r="AJ6657" i="1"/>
  <c r="AW6657" i="1"/>
  <c r="E6658" i="1"/>
  <c r="F6658" i="1"/>
  <c r="W6658" i="1"/>
  <c r="AJ6658" i="1"/>
  <c r="AW6658" i="1"/>
  <c r="E6659" i="1"/>
  <c r="F6659" i="1"/>
  <c r="W6659" i="1"/>
  <c r="AJ6659" i="1"/>
  <c r="AW6659" i="1"/>
  <c r="J6651" i="1" l="1"/>
  <c r="J6654" i="1"/>
  <c r="J6653" i="1"/>
  <c r="J6666" i="1"/>
  <c r="J6669" i="1"/>
  <c r="J6657" i="1"/>
  <c r="J6659" i="1"/>
  <c r="J6658" i="1"/>
  <c r="J6656" i="1"/>
  <c r="J6655" i="1"/>
  <c r="J6665" i="1"/>
  <c r="J6664" i="1"/>
  <c r="J6667" i="1"/>
  <c r="J6650" i="1"/>
  <c r="J6647" i="1"/>
  <c r="J6642" i="1"/>
  <c r="J6640" i="1"/>
  <c r="J6649" i="1"/>
  <c r="J6648" i="1"/>
  <c r="J6645" i="1"/>
  <c r="J6641" i="1"/>
  <c r="AX6636" i="1"/>
  <c r="AX6582" i="1"/>
  <c r="E6593" i="1"/>
  <c r="F6593" i="1"/>
  <c r="W6593" i="1"/>
  <c r="AJ6593" i="1"/>
  <c r="AW6593" i="1"/>
  <c r="E6594" i="1"/>
  <c r="F6594" i="1"/>
  <c r="J6594" i="1"/>
  <c r="W6594" i="1"/>
  <c r="AJ6594" i="1"/>
  <c r="AW6594" i="1"/>
  <c r="E6595" i="1"/>
  <c r="F6595" i="1"/>
  <c r="W6595" i="1"/>
  <c r="AJ6595" i="1"/>
  <c r="AW6595" i="1"/>
  <c r="E6596" i="1"/>
  <c r="F6596" i="1"/>
  <c r="W6596" i="1"/>
  <c r="AJ6596" i="1"/>
  <c r="AW6596" i="1"/>
  <c r="E6597" i="1"/>
  <c r="F6597" i="1"/>
  <c r="W6597" i="1"/>
  <c r="AJ6597" i="1"/>
  <c r="AW6597" i="1"/>
  <c r="E6598" i="1"/>
  <c r="F6598" i="1"/>
  <c r="W6598" i="1"/>
  <c r="AJ6598" i="1"/>
  <c r="AW6598" i="1"/>
  <c r="E6599" i="1"/>
  <c r="F6599" i="1"/>
  <c r="W6599" i="1"/>
  <c r="AJ6599" i="1"/>
  <c r="AW6599" i="1"/>
  <c r="E6600" i="1"/>
  <c r="F6600" i="1"/>
  <c r="W6600" i="1"/>
  <c r="AJ6600" i="1"/>
  <c r="AW6600" i="1"/>
  <c r="E6601" i="1"/>
  <c r="F6601" i="1"/>
  <c r="W6601" i="1"/>
  <c r="AJ6601" i="1"/>
  <c r="AW6601" i="1"/>
  <c r="E6602" i="1"/>
  <c r="F6602" i="1"/>
  <c r="J6602" i="1"/>
  <c r="W6602" i="1"/>
  <c r="AJ6602" i="1"/>
  <c r="AW6602" i="1"/>
  <c r="E6603" i="1"/>
  <c r="F6603" i="1"/>
  <c r="W6603" i="1"/>
  <c r="AJ6603" i="1"/>
  <c r="AW6603" i="1"/>
  <c r="E6604" i="1"/>
  <c r="F6604" i="1"/>
  <c r="W6604" i="1"/>
  <c r="AJ6604" i="1"/>
  <c r="AW6604" i="1"/>
  <c r="E6605" i="1"/>
  <c r="F6605" i="1"/>
  <c r="W6605" i="1"/>
  <c r="AJ6605" i="1"/>
  <c r="AW6605" i="1"/>
  <c r="E6606" i="1"/>
  <c r="F6606" i="1"/>
  <c r="J6606" i="1"/>
  <c r="W6606" i="1"/>
  <c r="AJ6606" i="1"/>
  <c r="AW6606" i="1"/>
  <c r="E6607" i="1"/>
  <c r="F6607" i="1"/>
  <c r="W6607" i="1"/>
  <c r="AJ6607" i="1"/>
  <c r="AW6607" i="1"/>
  <c r="E6608" i="1"/>
  <c r="F6608" i="1"/>
  <c r="W6608" i="1"/>
  <c r="AJ6608" i="1"/>
  <c r="AW6608" i="1"/>
  <c r="E6609" i="1"/>
  <c r="F6609" i="1"/>
  <c r="W6609" i="1"/>
  <c r="AJ6609" i="1"/>
  <c r="AW6609" i="1"/>
  <c r="E6610" i="1"/>
  <c r="F6610" i="1"/>
  <c r="W6610" i="1"/>
  <c r="AJ6610" i="1"/>
  <c r="AW6610" i="1"/>
  <c r="E6611" i="1"/>
  <c r="F6611" i="1"/>
  <c r="W6611" i="1"/>
  <c r="AJ6611" i="1"/>
  <c r="AW6611" i="1"/>
  <c r="E6612" i="1"/>
  <c r="F6612" i="1"/>
  <c r="W6612" i="1"/>
  <c r="AJ6612" i="1"/>
  <c r="AW6612" i="1"/>
  <c r="E6613" i="1"/>
  <c r="F6613" i="1"/>
  <c r="W6613" i="1"/>
  <c r="AJ6613" i="1"/>
  <c r="AW6613" i="1"/>
  <c r="E6614" i="1"/>
  <c r="F6614" i="1"/>
  <c r="W6614" i="1"/>
  <c r="AJ6614" i="1"/>
  <c r="AW6614" i="1"/>
  <c r="E6615" i="1"/>
  <c r="F6615" i="1"/>
  <c r="W6615" i="1"/>
  <c r="AJ6615" i="1"/>
  <c r="AW6615" i="1"/>
  <c r="E6616" i="1"/>
  <c r="F6616" i="1"/>
  <c r="J6616" i="1"/>
  <c r="W6616" i="1"/>
  <c r="AJ6616" i="1"/>
  <c r="AW6616" i="1"/>
  <c r="E6617" i="1"/>
  <c r="F6617" i="1"/>
  <c r="W6617" i="1"/>
  <c r="AJ6617" i="1"/>
  <c r="AW6617" i="1"/>
  <c r="E6618" i="1"/>
  <c r="F6618" i="1"/>
  <c r="W6618" i="1"/>
  <c r="AJ6618" i="1"/>
  <c r="AW6618" i="1"/>
  <c r="E6619" i="1"/>
  <c r="F6619" i="1"/>
  <c r="W6619" i="1"/>
  <c r="AJ6619" i="1"/>
  <c r="AW6619" i="1"/>
  <c r="E6620" i="1"/>
  <c r="F6620" i="1"/>
  <c r="W6620" i="1"/>
  <c r="AJ6620" i="1"/>
  <c r="AW6620" i="1"/>
  <c r="E6621" i="1"/>
  <c r="F6621" i="1"/>
  <c r="W6621" i="1"/>
  <c r="AJ6621" i="1"/>
  <c r="AW6621" i="1"/>
  <c r="E6622" i="1"/>
  <c r="F6622" i="1"/>
  <c r="W6622" i="1"/>
  <c r="AJ6622" i="1"/>
  <c r="AW6622" i="1"/>
  <c r="E6623" i="1"/>
  <c r="F6623" i="1"/>
  <c r="W6623" i="1"/>
  <c r="AJ6623" i="1"/>
  <c r="AW6623" i="1"/>
  <c r="E6624" i="1"/>
  <c r="F6624" i="1"/>
  <c r="J6624" i="1"/>
  <c r="W6624" i="1"/>
  <c r="AJ6624" i="1"/>
  <c r="AW6624" i="1"/>
  <c r="E6625" i="1"/>
  <c r="F6625" i="1"/>
  <c r="W6625" i="1"/>
  <c r="AJ6625" i="1"/>
  <c r="AW6625" i="1"/>
  <c r="E6626" i="1"/>
  <c r="F6626" i="1"/>
  <c r="W6626" i="1"/>
  <c r="AJ6626" i="1"/>
  <c r="AW6626" i="1"/>
  <c r="E6627" i="1"/>
  <c r="F6627" i="1"/>
  <c r="W6627" i="1"/>
  <c r="AJ6627" i="1"/>
  <c r="AW6627" i="1"/>
  <c r="E6628" i="1"/>
  <c r="F6628" i="1"/>
  <c r="W6628" i="1"/>
  <c r="AJ6628" i="1"/>
  <c r="AW6628" i="1"/>
  <c r="E6571" i="1"/>
  <c r="F6571" i="1"/>
  <c r="W6571" i="1"/>
  <c r="AJ6571" i="1"/>
  <c r="AW6571" i="1"/>
  <c r="E6572" i="1"/>
  <c r="F6572" i="1"/>
  <c r="J6572" i="1"/>
  <c r="W6572" i="1"/>
  <c r="AJ6572" i="1"/>
  <c r="AW6572" i="1"/>
  <c r="E6573" i="1"/>
  <c r="F6573" i="1"/>
  <c r="W6573" i="1"/>
  <c r="AJ6573" i="1"/>
  <c r="AW6573" i="1"/>
  <c r="E6574" i="1"/>
  <c r="F6574" i="1"/>
  <c r="W6574" i="1"/>
  <c r="AJ6574" i="1"/>
  <c r="AW6574" i="1"/>
  <c r="E6575" i="1"/>
  <c r="F6575" i="1"/>
  <c r="W6575" i="1"/>
  <c r="AJ6575" i="1"/>
  <c r="AW6575" i="1"/>
  <c r="E6576" i="1"/>
  <c r="F6576" i="1"/>
  <c r="J6576" i="1"/>
  <c r="W6576" i="1"/>
  <c r="AJ6576" i="1"/>
  <c r="AW6576" i="1"/>
  <c r="E6577" i="1"/>
  <c r="F6577" i="1"/>
  <c r="W6577" i="1"/>
  <c r="AJ6577" i="1"/>
  <c r="AW6577" i="1"/>
  <c r="E6578" i="1"/>
  <c r="F6578" i="1"/>
  <c r="W6578" i="1"/>
  <c r="AJ6578" i="1"/>
  <c r="AW6578" i="1"/>
  <c r="E6579" i="1"/>
  <c r="F6579" i="1"/>
  <c r="W6579" i="1"/>
  <c r="AJ6579" i="1"/>
  <c r="AW6579" i="1"/>
  <c r="E6580" i="1"/>
  <c r="F6580" i="1"/>
  <c r="W6580" i="1"/>
  <c r="AJ6580" i="1"/>
  <c r="AW6580" i="1"/>
  <c r="E6581" i="1"/>
  <c r="F6581" i="1"/>
  <c r="W6581" i="1"/>
  <c r="AJ6581" i="1"/>
  <c r="AW6581" i="1"/>
  <c r="E6582" i="1"/>
  <c r="F6582" i="1"/>
  <c r="W6582" i="1"/>
  <c r="AJ6582" i="1"/>
  <c r="AW6582" i="1"/>
  <c r="E6583" i="1"/>
  <c r="F6583" i="1"/>
  <c r="W6583" i="1"/>
  <c r="AJ6583" i="1"/>
  <c r="AW6583" i="1"/>
  <c r="E6584" i="1"/>
  <c r="F6584" i="1"/>
  <c r="W6584" i="1"/>
  <c r="AJ6584" i="1"/>
  <c r="AW6584" i="1"/>
  <c r="E6585" i="1"/>
  <c r="F6585" i="1"/>
  <c r="J6585" i="1"/>
  <c r="W6585" i="1"/>
  <c r="AJ6585" i="1"/>
  <c r="AW6585" i="1"/>
  <c r="E6586" i="1"/>
  <c r="F6586" i="1"/>
  <c r="W6586" i="1"/>
  <c r="AJ6586" i="1"/>
  <c r="AW6586" i="1"/>
  <c r="E6587" i="1"/>
  <c r="F6587" i="1"/>
  <c r="W6587" i="1"/>
  <c r="AJ6587" i="1"/>
  <c r="AW6587" i="1"/>
  <c r="E6588" i="1"/>
  <c r="F6588" i="1"/>
  <c r="W6588" i="1"/>
  <c r="AJ6588" i="1"/>
  <c r="AW6588" i="1"/>
  <c r="E6589" i="1"/>
  <c r="F6589" i="1"/>
  <c r="W6589" i="1"/>
  <c r="AJ6589" i="1"/>
  <c r="AW6589" i="1"/>
  <c r="E6590" i="1"/>
  <c r="F6590" i="1"/>
  <c r="W6590" i="1"/>
  <c r="AJ6590" i="1"/>
  <c r="AW6590" i="1"/>
  <c r="E6591" i="1"/>
  <c r="F6591" i="1"/>
  <c r="W6591" i="1"/>
  <c r="AJ6591" i="1"/>
  <c r="AW6591" i="1"/>
  <c r="E6592" i="1"/>
  <c r="F6592" i="1"/>
  <c r="W6592" i="1"/>
  <c r="AJ6592" i="1"/>
  <c r="AW6592" i="1"/>
  <c r="E6629" i="1"/>
  <c r="F6629" i="1"/>
  <c r="J6629" i="1"/>
  <c r="W6629" i="1"/>
  <c r="AJ6629" i="1"/>
  <c r="AW6629" i="1"/>
  <c r="E6630" i="1"/>
  <c r="F6630" i="1"/>
  <c r="W6630" i="1"/>
  <c r="AJ6630" i="1"/>
  <c r="AW6630" i="1"/>
  <c r="E6631" i="1"/>
  <c r="F6631" i="1"/>
  <c r="W6631" i="1"/>
  <c r="AJ6631" i="1"/>
  <c r="AW6631" i="1"/>
  <c r="E6632" i="1"/>
  <c r="F6632" i="1"/>
  <c r="W6632" i="1"/>
  <c r="AJ6632" i="1"/>
  <c r="AW6632" i="1"/>
  <c r="E6633" i="1"/>
  <c r="F6633" i="1"/>
  <c r="W6633" i="1"/>
  <c r="AJ6633" i="1"/>
  <c r="AW6633" i="1"/>
  <c r="E6634" i="1"/>
  <c r="F6634" i="1"/>
  <c r="W6634" i="1"/>
  <c r="AJ6634" i="1"/>
  <c r="AW6634" i="1"/>
  <c r="E6635" i="1"/>
  <c r="F6635" i="1"/>
  <c r="W6635" i="1"/>
  <c r="AJ6635" i="1"/>
  <c r="AW6635" i="1"/>
  <c r="E6636" i="1"/>
  <c r="F6636" i="1"/>
  <c r="W6636" i="1"/>
  <c r="AJ6636" i="1"/>
  <c r="AW6636" i="1"/>
  <c r="E6637" i="1"/>
  <c r="F6637" i="1"/>
  <c r="J6637" i="1"/>
  <c r="W6637" i="1"/>
  <c r="AJ6637" i="1"/>
  <c r="AW6637" i="1"/>
  <c r="E6638" i="1"/>
  <c r="F6638" i="1"/>
  <c r="W6638" i="1"/>
  <c r="AJ6638" i="1"/>
  <c r="AW6638" i="1"/>
  <c r="E6639" i="1"/>
  <c r="F6639" i="1"/>
  <c r="W6639" i="1"/>
  <c r="AJ6639" i="1"/>
  <c r="AW6639" i="1"/>
  <c r="E6660" i="1"/>
  <c r="F6660" i="1"/>
  <c r="W6660" i="1"/>
  <c r="AJ6660" i="1"/>
  <c r="AW6660" i="1"/>
  <c r="E6661" i="1"/>
  <c r="F6661" i="1"/>
  <c r="W6661" i="1"/>
  <c r="AJ6661" i="1"/>
  <c r="AW6661" i="1"/>
  <c r="E6662" i="1"/>
  <c r="F6662" i="1"/>
  <c r="W6662" i="1"/>
  <c r="AJ6662" i="1"/>
  <c r="AW6662" i="1"/>
  <c r="E6663" i="1"/>
  <c r="F6663" i="1"/>
  <c r="W6663" i="1"/>
  <c r="AJ6663" i="1"/>
  <c r="AW6663" i="1"/>
  <c r="J6661" i="1" l="1"/>
  <c r="J6660" i="1"/>
  <c r="J6662" i="1"/>
  <c r="J6634" i="1"/>
  <c r="J6592" i="1"/>
  <c r="J6582" i="1"/>
  <c r="J6580" i="1"/>
  <c r="J6579" i="1"/>
  <c r="J6577" i="1"/>
  <c r="J6575" i="1"/>
  <c r="J6571" i="1"/>
  <c r="J6623" i="1"/>
  <c r="J6621" i="1"/>
  <c r="J6615" i="1"/>
  <c r="J6614" i="1"/>
  <c r="J6609" i="1"/>
  <c r="J6605" i="1"/>
  <c r="J6599" i="1"/>
  <c r="J6598" i="1"/>
  <c r="J6663" i="1"/>
  <c r="J6590" i="1"/>
  <c r="J6588" i="1"/>
  <c r="J6627" i="1"/>
  <c r="J6601" i="1"/>
  <c r="J6595" i="1"/>
  <c r="J6636" i="1"/>
  <c r="J6635" i="1"/>
  <c r="J6632" i="1"/>
  <c r="J6631" i="1"/>
  <c r="J6630" i="1"/>
  <c r="J6589" i="1"/>
  <c r="J6587" i="1"/>
  <c r="J6584" i="1"/>
  <c r="J6583" i="1"/>
  <c r="J6581" i="1"/>
  <c r="J6574" i="1"/>
  <c r="J6626" i="1"/>
  <c r="J6625" i="1"/>
  <c r="J6622" i="1"/>
  <c r="J6619" i="1"/>
  <c r="J6617" i="1"/>
  <c r="J6612" i="1"/>
  <c r="J6610" i="1"/>
  <c r="J6608" i="1"/>
  <c r="J6607" i="1"/>
  <c r="J6603" i="1"/>
  <c r="J6600" i="1"/>
  <c r="J6596" i="1"/>
  <c r="J6593" i="1"/>
  <c r="J6638" i="1"/>
  <c r="J6633" i="1"/>
  <c r="J6591" i="1"/>
  <c r="J6586" i="1"/>
  <c r="J6578" i="1"/>
  <c r="J6573" i="1"/>
  <c r="J6628" i="1"/>
  <c r="J6620" i="1"/>
  <c r="J6618" i="1"/>
  <c r="J6613" i="1"/>
  <c r="J6611" i="1"/>
  <c r="J6604" i="1"/>
  <c r="J6597" i="1"/>
  <c r="J6639" i="1"/>
  <c r="AX6569" i="1"/>
  <c r="E6569" i="1"/>
  <c r="F6569" i="1"/>
  <c r="W6569" i="1"/>
  <c r="AJ6569" i="1"/>
  <c r="AW6569" i="1"/>
  <c r="E6570" i="1"/>
  <c r="F6570" i="1"/>
  <c r="W6570" i="1"/>
  <c r="AJ6570" i="1"/>
  <c r="AW6570" i="1"/>
  <c r="E6553" i="1"/>
  <c r="F6553" i="1"/>
  <c r="J6553" i="1"/>
  <c r="W6553" i="1"/>
  <c r="AJ6553" i="1"/>
  <c r="AW6553" i="1"/>
  <c r="E6554" i="1"/>
  <c r="F6554" i="1"/>
  <c r="W6554" i="1"/>
  <c r="AJ6554" i="1"/>
  <c r="AW6554" i="1"/>
  <c r="E6555" i="1"/>
  <c r="F6555" i="1"/>
  <c r="W6555" i="1"/>
  <c r="AJ6555" i="1"/>
  <c r="AW6555" i="1"/>
  <c r="E6556" i="1"/>
  <c r="F6556" i="1"/>
  <c r="J6556" i="1"/>
  <c r="W6556" i="1"/>
  <c r="AJ6556" i="1"/>
  <c r="AW6556" i="1"/>
  <c r="E6557" i="1"/>
  <c r="F6557" i="1"/>
  <c r="W6557" i="1"/>
  <c r="AJ6557" i="1"/>
  <c r="AW6557" i="1"/>
  <c r="E6558" i="1"/>
  <c r="F6558" i="1"/>
  <c r="J6558" i="1"/>
  <c r="W6558" i="1"/>
  <c r="AJ6558" i="1"/>
  <c r="AW6558" i="1"/>
  <c r="E6559" i="1"/>
  <c r="F6559" i="1"/>
  <c r="W6559" i="1"/>
  <c r="AJ6559" i="1"/>
  <c r="AW6559" i="1"/>
  <c r="E6560" i="1"/>
  <c r="F6560" i="1"/>
  <c r="W6560" i="1"/>
  <c r="AJ6560" i="1"/>
  <c r="AW6560" i="1"/>
  <c r="E6561" i="1"/>
  <c r="F6561" i="1"/>
  <c r="J6561" i="1"/>
  <c r="W6561" i="1"/>
  <c r="AJ6561" i="1"/>
  <c r="AW6561" i="1"/>
  <c r="E6562" i="1"/>
  <c r="F6562" i="1"/>
  <c r="W6562" i="1"/>
  <c r="AJ6562" i="1"/>
  <c r="AW6562" i="1"/>
  <c r="E6563" i="1"/>
  <c r="F6563" i="1"/>
  <c r="W6563" i="1"/>
  <c r="AJ6563" i="1"/>
  <c r="AW6563" i="1"/>
  <c r="E6564" i="1"/>
  <c r="F6564" i="1"/>
  <c r="W6564" i="1"/>
  <c r="AJ6564" i="1"/>
  <c r="AW6564" i="1"/>
  <c r="E6565" i="1"/>
  <c r="F6565" i="1"/>
  <c r="W6565" i="1"/>
  <c r="AJ6565" i="1"/>
  <c r="AW6565" i="1"/>
  <c r="E6566" i="1"/>
  <c r="F6566" i="1"/>
  <c r="W6566" i="1"/>
  <c r="AJ6566" i="1"/>
  <c r="AW6566" i="1"/>
  <c r="E6539" i="1"/>
  <c r="F6539" i="1"/>
  <c r="W6539" i="1"/>
  <c r="AJ6539" i="1"/>
  <c r="AW6539" i="1"/>
  <c r="E6540" i="1"/>
  <c r="F6540" i="1"/>
  <c r="J6540" i="1"/>
  <c r="W6540" i="1"/>
  <c r="AJ6540" i="1"/>
  <c r="AW6540" i="1"/>
  <c r="E6541" i="1"/>
  <c r="F6541" i="1"/>
  <c r="J6541" i="1"/>
  <c r="W6541" i="1"/>
  <c r="AJ6541" i="1"/>
  <c r="AW6541" i="1"/>
  <c r="E6542" i="1"/>
  <c r="F6542" i="1"/>
  <c r="J6542" i="1"/>
  <c r="W6542" i="1"/>
  <c r="AJ6542" i="1"/>
  <c r="AW6542" i="1"/>
  <c r="E6543" i="1"/>
  <c r="F6543" i="1"/>
  <c r="W6543" i="1"/>
  <c r="AJ6543" i="1"/>
  <c r="AW6543" i="1"/>
  <c r="E6544" i="1"/>
  <c r="F6544" i="1"/>
  <c r="J6544" i="1"/>
  <c r="W6544" i="1"/>
  <c r="AJ6544" i="1"/>
  <c r="AW6544" i="1"/>
  <c r="E6545" i="1"/>
  <c r="F6545" i="1"/>
  <c r="W6545" i="1"/>
  <c r="AJ6545" i="1"/>
  <c r="AW6545" i="1"/>
  <c r="E6546" i="1"/>
  <c r="F6546" i="1"/>
  <c r="W6546" i="1"/>
  <c r="AJ6546" i="1"/>
  <c r="AW6546" i="1"/>
  <c r="E6547" i="1"/>
  <c r="F6547" i="1"/>
  <c r="W6547" i="1"/>
  <c r="AJ6547" i="1"/>
  <c r="AW6547" i="1"/>
  <c r="E6548" i="1"/>
  <c r="F6548" i="1"/>
  <c r="W6548" i="1"/>
  <c r="AJ6548" i="1"/>
  <c r="AW6548" i="1"/>
  <c r="E6549" i="1"/>
  <c r="F6549" i="1"/>
  <c r="W6549" i="1"/>
  <c r="AJ6549" i="1"/>
  <c r="AW6549" i="1"/>
  <c r="E6550" i="1"/>
  <c r="F6550" i="1"/>
  <c r="W6550" i="1"/>
  <c r="AJ6550" i="1"/>
  <c r="AW6550" i="1"/>
  <c r="E6551" i="1"/>
  <c r="F6551" i="1"/>
  <c r="W6551" i="1"/>
  <c r="AJ6551" i="1"/>
  <c r="AW6551" i="1"/>
  <c r="E6552" i="1"/>
  <c r="F6552" i="1"/>
  <c r="W6552" i="1"/>
  <c r="AJ6552" i="1"/>
  <c r="AW6552" i="1"/>
  <c r="J6548" i="1" l="1"/>
  <c r="J6546" i="1"/>
  <c r="J6564" i="1"/>
  <c r="J6562" i="1"/>
  <c r="J6554" i="1"/>
  <c r="J6570" i="1"/>
  <c r="J6551" i="1"/>
  <c r="J6549" i="1"/>
  <c r="J6539" i="1"/>
  <c r="J6565" i="1"/>
  <c r="J6547" i="1"/>
  <c r="J6545" i="1"/>
  <c r="J6563" i="1"/>
  <c r="J6559" i="1"/>
  <c r="J6555" i="1"/>
  <c r="J6552" i="1"/>
  <c r="J6550" i="1"/>
  <c r="J6543" i="1"/>
  <c r="J6566" i="1"/>
  <c r="J6560" i="1"/>
  <c r="J6557" i="1"/>
  <c r="J6569" i="1"/>
  <c r="H3443" i="8"/>
  <c r="H3442" i="8"/>
  <c r="BW45" i="7" l="1"/>
  <c r="BW44" i="7"/>
  <c r="BW43" i="7"/>
  <c r="BW42" i="7"/>
  <c r="BW41" i="7"/>
  <c r="BW40" i="7"/>
  <c r="BW39" i="7"/>
  <c r="BW38" i="7"/>
  <c r="BW37" i="7"/>
  <c r="BW35" i="7"/>
  <c r="BW34" i="7"/>
  <c r="BW33" i="7"/>
  <c r="BW32" i="7"/>
  <c r="BW31" i="7"/>
  <c r="BW30" i="7"/>
  <c r="BW29" i="7"/>
  <c r="BW27" i="7"/>
  <c r="BW26" i="7"/>
  <c r="BW25" i="7"/>
  <c r="BW24" i="7"/>
  <c r="BW22" i="7"/>
  <c r="BW21" i="7"/>
  <c r="BW20" i="7"/>
  <c r="BW19" i="7"/>
  <c r="BW18" i="7"/>
  <c r="BW17" i="7"/>
  <c r="BW16" i="7"/>
  <c r="BV16" i="7" l="1"/>
  <c r="BW10" i="7"/>
  <c r="H3436" i="8"/>
  <c r="H3437" i="8"/>
  <c r="H3438" i="8"/>
  <c r="H3439" i="8"/>
  <c r="BW11" i="7"/>
  <c r="BW9" i="7"/>
  <c r="BW8" i="7"/>
  <c r="BW7" i="7"/>
  <c r="BW6" i="7"/>
  <c r="E6528" i="1"/>
  <c r="F6528" i="1"/>
  <c r="W6528" i="1"/>
  <c r="AJ6528" i="1"/>
  <c r="AW6528" i="1"/>
  <c r="E6529" i="1"/>
  <c r="F6529" i="1"/>
  <c r="J6529" i="1"/>
  <c r="W6529" i="1"/>
  <c r="AJ6529" i="1"/>
  <c r="AW6529" i="1"/>
  <c r="E6530" i="1"/>
  <c r="F6530" i="1"/>
  <c r="J6530" i="1"/>
  <c r="W6530" i="1"/>
  <c r="AJ6530" i="1"/>
  <c r="AW6530" i="1"/>
  <c r="E6531" i="1"/>
  <c r="F6531" i="1"/>
  <c r="W6531" i="1"/>
  <c r="AJ6531" i="1"/>
  <c r="AW6531" i="1"/>
  <c r="E6532" i="1"/>
  <c r="F6532" i="1"/>
  <c r="W6532" i="1"/>
  <c r="AJ6532" i="1"/>
  <c r="AW6532" i="1"/>
  <c r="E6533" i="1"/>
  <c r="F6533" i="1"/>
  <c r="W6533" i="1"/>
  <c r="AJ6533" i="1"/>
  <c r="AW6533" i="1"/>
  <c r="E6534" i="1"/>
  <c r="F6534" i="1"/>
  <c r="W6534" i="1"/>
  <c r="AJ6534" i="1"/>
  <c r="AW6534" i="1"/>
  <c r="E6535" i="1"/>
  <c r="F6535" i="1"/>
  <c r="W6535" i="1"/>
  <c r="AJ6535" i="1"/>
  <c r="AW6535" i="1"/>
  <c r="E6536" i="1"/>
  <c r="F6536" i="1"/>
  <c r="W6536" i="1"/>
  <c r="AJ6536" i="1"/>
  <c r="AW6536" i="1"/>
  <c r="E6537" i="1"/>
  <c r="F6537" i="1"/>
  <c r="W6537" i="1"/>
  <c r="AJ6537" i="1"/>
  <c r="AW6537" i="1"/>
  <c r="E6538" i="1"/>
  <c r="F6538" i="1"/>
  <c r="W6538" i="1"/>
  <c r="AJ6538" i="1"/>
  <c r="AW6538" i="1"/>
  <c r="F6522" i="1"/>
  <c r="E6522" i="1"/>
  <c r="J6537" i="1" l="1"/>
  <c r="J6535" i="1"/>
  <c r="J6528" i="1"/>
  <c r="J6532" i="1"/>
  <c r="J6538" i="1"/>
  <c r="J6536" i="1"/>
  <c r="J6534" i="1"/>
  <c r="J6533" i="1"/>
  <c r="J6531" i="1"/>
  <c r="BW15" i="7"/>
  <c r="AX6521" i="1"/>
  <c r="AX6510" i="1" l="1"/>
  <c r="H3446" i="8" l="1"/>
  <c r="H3445" i="8"/>
  <c r="H3441" i="8"/>
  <c r="E6526" i="1"/>
  <c r="F6526" i="1"/>
  <c r="W6526" i="1"/>
  <c r="AJ6526" i="1"/>
  <c r="AW6526" i="1"/>
  <c r="E6527" i="1"/>
  <c r="F6527" i="1"/>
  <c r="W6527" i="1"/>
  <c r="AJ6527" i="1"/>
  <c r="AW6527" i="1"/>
  <c r="E6567" i="1"/>
  <c r="F6567" i="1"/>
  <c r="J6567" i="1"/>
  <c r="W6567" i="1"/>
  <c r="AJ6567" i="1"/>
  <c r="AW6567" i="1"/>
  <c r="E6568" i="1"/>
  <c r="F6568" i="1"/>
  <c r="W6568" i="1"/>
  <c r="AJ6568" i="1"/>
  <c r="AW6568" i="1"/>
  <c r="E6515" i="1"/>
  <c r="F6515" i="1"/>
  <c r="W6515" i="1"/>
  <c r="AJ6515" i="1"/>
  <c r="AW6515" i="1"/>
  <c r="E6516" i="1"/>
  <c r="F6516" i="1"/>
  <c r="W6516" i="1"/>
  <c r="AJ6516" i="1"/>
  <c r="AW6516" i="1"/>
  <c r="E6517" i="1"/>
  <c r="F6517" i="1"/>
  <c r="W6517" i="1"/>
  <c r="AJ6517" i="1"/>
  <c r="AW6517" i="1"/>
  <c r="E6518" i="1"/>
  <c r="F6518" i="1"/>
  <c r="W6518" i="1"/>
  <c r="AJ6518" i="1"/>
  <c r="J6518" i="1" s="1"/>
  <c r="AW6518" i="1"/>
  <c r="E6519" i="1"/>
  <c r="F6519" i="1"/>
  <c r="W6519" i="1"/>
  <c r="AJ6519" i="1"/>
  <c r="AW6519" i="1"/>
  <c r="E6520" i="1"/>
  <c r="F6520" i="1"/>
  <c r="W6520" i="1"/>
  <c r="AJ6520" i="1"/>
  <c r="AW6520" i="1"/>
  <c r="E6521" i="1"/>
  <c r="F6521" i="1"/>
  <c r="W6521" i="1"/>
  <c r="AJ6521" i="1"/>
  <c r="AW6521" i="1"/>
  <c r="W6522" i="1"/>
  <c r="AJ6522" i="1"/>
  <c r="AW6522" i="1"/>
  <c r="E6523" i="1"/>
  <c r="F6523" i="1"/>
  <c r="J6523" i="1"/>
  <c r="W6523" i="1"/>
  <c r="AJ6523" i="1"/>
  <c r="AW6523" i="1"/>
  <c r="J6515" i="1" l="1"/>
  <c r="J6527" i="1"/>
  <c r="J6526" i="1"/>
  <c r="J6520" i="1"/>
  <c r="J6519" i="1"/>
  <c r="J6517" i="1"/>
  <c r="J6568" i="1"/>
  <c r="J6521" i="1"/>
  <c r="J6522" i="1"/>
  <c r="J6516" i="1"/>
  <c r="AX6408" i="1"/>
  <c r="AI6408" i="1"/>
  <c r="BW46" i="7" l="1"/>
  <c r="BW28" i="7" l="1"/>
  <c r="BW23" i="7"/>
  <c r="BW36" i="7"/>
  <c r="BW13" i="7"/>
  <c r="H3420" i="8"/>
  <c r="H3419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40" i="8"/>
  <c r="H3447" i="8"/>
  <c r="H3448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2" i="8"/>
  <c r="I3557" i="8" l="1"/>
  <c r="I3529" i="8"/>
  <c r="BW48" i="7"/>
  <c r="BW49" i="7" s="1"/>
  <c r="BW54" i="7" s="1"/>
  <c r="BW57" i="7" s="1"/>
  <c r="E6504" i="1"/>
  <c r="F6504" i="1"/>
  <c r="W6504" i="1"/>
  <c r="AJ6504" i="1"/>
  <c r="AW6504" i="1"/>
  <c r="E6505" i="1"/>
  <c r="F6505" i="1"/>
  <c r="W6505" i="1"/>
  <c r="AJ6505" i="1"/>
  <c r="AW6505" i="1"/>
  <c r="E6506" i="1"/>
  <c r="F6506" i="1"/>
  <c r="W6506" i="1"/>
  <c r="AJ6506" i="1"/>
  <c r="AW6506" i="1"/>
  <c r="E6507" i="1"/>
  <c r="F6507" i="1"/>
  <c r="W6507" i="1"/>
  <c r="AJ6507" i="1"/>
  <c r="AW6507" i="1"/>
  <c r="E6508" i="1"/>
  <c r="F6508" i="1"/>
  <c r="W6508" i="1"/>
  <c r="AJ6508" i="1"/>
  <c r="AW6508" i="1"/>
  <c r="E6509" i="1"/>
  <c r="F6509" i="1"/>
  <c r="W6509" i="1"/>
  <c r="AJ6509" i="1"/>
  <c r="AW6509" i="1"/>
  <c r="AW6484" i="1"/>
  <c r="E6482" i="1"/>
  <c r="F6482" i="1"/>
  <c r="J6482" i="1"/>
  <c r="W6482" i="1"/>
  <c r="AJ6482" i="1"/>
  <c r="AW6482" i="1"/>
  <c r="E6483" i="1"/>
  <c r="F6483" i="1"/>
  <c r="J6483" i="1"/>
  <c r="W6483" i="1"/>
  <c r="AJ6483" i="1"/>
  <c r="AW6483" i="1"/>
  <c r="E6484" i="1"/>
  <c r="F6484" i="1"/>
  <c r="W6484" i="1"/>
  <c r="AJ6484" i="1"/>
  <c r="E6485" i="1"/>
  <c r="F6485" i="1"/>
  <c r="J6485" i="1"/>
  <c r="W6485" i="1"/>
  <c r="AJ6485" i="1"/>
  <c r="AW6485" i="1"/>
  <c r="E6486" i="1"/>
  <c r="F6486" i="1"/>
  <c r="W6486" i="1"/>
  <c r="AJ6486" i="1"/>
  <c r="AW6486" i="1"/>
  <c r="E6487" i="1"/>
  <c r="F6487" i="1"/>
  <c r="J6487" i="1"/>
  <c r="W6487" i="1"/>
  <c r="AJ6487" i="1"/>
  <c r="AW6487" i="1"/>
  <c r="E6488" i="1"/>
  <c r="F6488" i="1"/>
  <c r="J6488" i="1"/>
  <c r="W6488" i="1"/>
  <c r="AJ6488" i="1"/>
  <c r="AW6488" i="1"/>
  <c r="E6489" i="1"/>
  <c r="F6489" i="1"/>
  <c r="W6489" i="1"/>
  <c r="AJ6489" i="1"/>
  <c r="AW6489" i="1"/>
  <c r="E6490" i="1"/>
  <c r="F6490" i="1"/>
  <c r="W6490" i="1"/>
  <c r="AJ6490" i="1"/>
  <c r="AW6490" i="1"/>
  <c r="E6491" i="1"/>
  <c r="F6491" i="1"/>
  <c r="J6491" i="1"/>
  <c r="W6491" i="1"/>
  <c r="AJ6491" i="1"/>
  <c r="AW6491" i="1"/>
  <c r="E6492" i="1"/>
  <c r="F6492" i="1"/>
  <c r="W6492" i="1"/>
  <c r="AJ6492" i="1"/>
  <c r="AW6492" i="1"/>
  <c r="E6493" i="1"/>
  <c r="F6493" i="1"/>
  <c r="W6493" i="1"/>
  <c r="AJ6493" i="1"/>
  <c r="AW6493" i="1"/>
  <c r="E6494" i="1"/>
  <c r="F6494" i="1"/>
  <c r="W6494" i="1"/>
  <c r="AJ6494" i="1"/>
  <c r="AW6494" i="1"/>
  <c r="E6495" i="1"/>
  <c r="F6495" i="1"/>
  <c r="W6495" i="1"/>
  <c r="AJ6495" i="1"/>
  <c r="AW6495" i="1"/>
  <c r="E6496" i="1"/>
  <c r="F6496" i="1"/>
  <c r="W6496" i="1"/>
  <c r="AJ6496" i="1"/>
  <c r="AW6496" i="1"/>
  <c r="E6497" i="1"/>
  <c r="F6497" i="1"/>
  <c r="W6497" i="1"/>
  <c r="AJ6497" i="1"/>
  <c r="AW6497" i="1"/>
  <c r="E6498" i="1"/>
  <c r="F6498" i="1"/>
  <c r="W6498" i="1"/>
  <c r="AJ6498" i="1"/>
  <c r="AW6498" i="1"/>
  <c r="E6499" i="1"/>
  <c r="F6499" i="1"/>
  <c r="W6499" i="1"/>
  <c r="AJ6499" i="1"/>
  <c r="AW6499" i="1"/>
  <c r="E6500" i="1"/>
  <c r="F6500" i="1"/>
  <c r="W6500" i="1"/>
  <c r="AJ6500" i="1"/>
  <c r="AW6500" i="1"/>
  <c r="E6501" i="1"/>
  <c r="F6501" i="1"/>
  <c r="W6501" i="1"/>
  <c r="AJ6501" i="1"/>
  <c r="AW6501" i="1"/>
  <c r="E6502" i="1"/>
  <c r="F6502" i="1"/>
  <c r="W6502" i="1"/>
  <c r="AJ6502" i="1"/>
  <c r="AW6502" i="1"/>
  <c r="E6503" i="1"/>
  <c r="F6503" i="1"/>
  <c r="W6503" i="1"/>
  <c r="AJ6503" i="1"/>
  <c r="AW6503" i="1"/>
  <c r="E6510" i="1"/>
  <c r="F6510" i="1"/>
  <c r="J6510" i="1"/>
  <c r="W6510" i="1"/>
  <c r="AJ6510" i="1"/>
  <c r="AW6510" i="1"/>
  <c r="E6511" i="1"/>
  <c r="F6511" i="1"/>
  <c r="W6511" i="1"/>
  <c r="AJ6511" i="1"/>
  <c r="AW6511" i="1"/>
  <c r="E6512" i="1"/>
  <c r="F6512" i="1"/>
  <c r="W6512" i="1"/>
  <c r="AJ6512" i="1"/>
  <c r="AW6512" i="1"/>
  <c r="E6513" i="1"/>
  <c r="F6513" i="1"/>
  <c r="W6513" i="1"/>
  <c r="AJ6513" i="1"/>
  <c r="AW6513" i="1"/>
  <c r="E6514" i="1"/>
  <c r="F6514" i="1"/>
  <c r="W6514" i="1"/>
  <c r="AJ6514" i="1"/>
  <c r="AW6514" i="1"/>
  <c r="E6525" i="1"/>
  <c r="F6525" i="1"/>
  <c r="W6525" i="1"/>
  <c r="AJ6525" i="1"/>
  <c r="AW6525" i="1"/>
  <c r="J6514" i="1" l="1"/>
  <c r="J6513" i="1"/>
  <c r="J6502" i="1"/>
  <c r="J6509" i="1"/>
  <c r="J6525" i="1"/>
  <c r="J6489" i="1"/>
  <c r="J6504" i="1"/>
  <c r="J6500" i="1"/>
  <c r="J6495" i="1"/>
  <c r="J6506" i="1"/>
  <c r="J6512" i="1"/>
  <c r="J6511" i="1"/>
  <c r="J6498" i="1"/>
  <c r="J6494" i="1"/>
  <c r="J6486" i="1"/>
  <c r="J6508" i="1"/>
  <c r="J6505" i="1"/>
  <c r="J6501" i="1"/>
  <c r="J6497" i="1"/>
  <c r="J6492" i="1"/>
  <c r="J6490" i="1"/>
  <c r="J6507" i="1"/>
  <c r="J6499" i="1"/>
  <c r="J6503" i="1"/>
  <c r="J6496" i="1"/>
  <c r="J6493" i="1"/>
  <c r="J6484" i="1"/>
  <c r="AX6479" i="1"/>
  <c r="E6472" i="1"/>
  <c r="F6472" i="1"/>
  <c r="W6472" i="1"/>
  <c r="AJ6472" i="1"/>
  <c r="AW6472" i="1"/>
  <c r="E6473" i="1"/>
  <c r="F6473" i="1"/>
  <c r="J6473" i="1"/>
  <c r="W6473" i="1"/>
  <c r="AJ6473" i="1"/>
  <c r="AW6473" i="1"/>
  <c r="E6474" i="1"/>
  <c r="F6474" i="1"/>
  <c r="W6474" i="1"/>
  <c r="AJ6474" i="1"/>
  <c r="AW6474" i="1"/>
  <c r="E6475" i="1"/>
  <c r="F6475" i="1"/>
  <c r="W6475" i="1"/>
  <c r="AJ6475" i="1"/>
  <c r="AW6475" i="1"/>
  <c r="E6476" i="1"/>
  <c r="F6476" i="1"/>
  <c r="J6476" i="1"/>
  <c r="W6476" i="1"/>
  <c r="AJ6476" i="1"/>
  <c r="AW6476" i="1"/>
  <c r="E6477" i="1"/>
  <c r="F6477" i="1"/>
  <c r="W6477" i="1"/>
  <c r="AJ6477" i="1"/>
  <c r="AW6477" i="1"/>
  <c r="E6478" i="1"/>
  <c r="F6478" i="1"/>
  <c r="W6478" i="1"/>
  <c r="AJ6478" i="1"/>
  <c r="AW6478" i="1"/>
  <c r="E6479" i="1"/>
  <c r="F6479" i="1"/>
  <c r="J6479" i="1"/>
  <c r="W6479" i="1"/>
  <c r="AJ6479" i="1"/>
  <c r="AW6479" i="1"/>
  <c r="E6459" i="1"/>
  <c r="F6459" i="1"/>
  <c r="W6459" i="1"/>
  <c r="AJ6459" i="1"/>
  <c r="AW6459" i="1"/>
  <c r="E6460" i="1"/>
  <c r="F6460" i="1"/>
  <c r="J6460" i="1"/>
  <c r="W6460" i="1"/>
  <c r="AJ6460" i="1"/>
  <c r="AW6460" i="1"/>
  <c r="E6461" i="1"/>
  <c r="F6461" i="1"/>
  <c r="J6461" i="1"/>
  <c r="W6461" i="1"/>
  <c r="AJ6461" i="1"/>
  <c r="AW6461" i="1"/>
  <c r="E6462" i="1"/>
  <c r="F6462" i="1"/>
  <c r="W6462" i="1"/>
  <c r="AJ6462" i="1"/>
  <c r="AW6462" i="1"/>
  <c r="E6463" i="1"/>
  <c r="F6463" i="1"/>
  <c r="W6463" i="1"/>
  <c r="AJ6463" i="1"/>
  <c r="AW6463" i="1"/>
  <c r="E6464" i="1"/>
  <c r="F6464" i="1"/>
  <c r="J6464" i="1"/>
  <c r="W6464" i="1"/>
  <c r="AJ6464" i="1"/>
  <c r="AW6464" i="1"/>
  <c r="E6465" i="1"/>
  <c r="F6465" i="1"/>
  <c r="W6465" i="1"/>
  <c r="AJ6465" i="1"/>
  <c r="AW6465" i="1"/>
  <c r="E6466" i="1"/>
  <c r="F6466" i="1"/>
  <c r="J6466" i="1"/>
  <c r="W6466" i="1"/>
  <c r="AJ6466" i="1"/>
  <c r="AW6466" i="1"/>
  <c r="E6467" i="1"/>
  <c r="F6467" i="1"/>
  <c r="W6467" i="1"/>
  <c r="AJ6467" i="1"/>
  <c r="AW6467" i="1"/>
  <c r="E6468" i="1"/>
  <c r="F6468" i="1"/>
  <c r="W6468" i="1"/>
  <c r="AJ6468" i="1"/>
  <c r="AW6468" i="1"/>
  <c r="E6469" i="1"/>
  <c r="F6469" i="1"/>
  <c r="W6469" i="1"/>
  <c r="AJ6469" i="1"/>
  <c r="AW6469" i="1"/>
  <c r="E6470" i="1"/>
  <c r="F6470" i="1"/>
  <c r="W6470" i="1"/>
  <c r="AJ6470" i="1"/>
  <c r="AW6470" i="1"/>
  <c r="E6471" i="1"/>
  <c r="F6471" i="1"/>
  <c r="W6471" i="1"/>
  <c r="AJ6471" i="1"/>
  <c r="AW6471" i="1"/>
  <c r="E6480" i="1"/>
  <c r="F6480" i="1"/>
  <c r="W6480" i="1"/>
  <c r="AJ6480" i="1"/>
  <c r="AW6480" i="1"/>
  <c r="E6481" i="1"/>
  <c r="F6481" i="1"/>
  <c r="J6481" i="1"/>
  <c r="W6481" i="1"/>
  <c r="AJ6481" i="1"/>
  <c r="AW6481" i="1"/>
  <c r="J6478" i="1" l="1"/>
  <c r="J6472" i="1"/>
  <c r="J6480" i="1"/>
  <c r="J6475" i="1"/>
  <c r="J6474" i="1"/>
  <c r="J6467" i="1"/>
  <c r="J6462" i="1"/>
  <c r="J6477" i="1"/>
  <c r="J6470" i="1"/>
  <c r="J6469" i="1"/>
  <c r="J6471" i="1"/>
  <c r="J6468" i="1"/>
  <c r="J6465" i="1"/>
  <c r="J6459" i="1"/>
  <c r="J6463" i="1"/>
  <c r="AX6457" i="1"/>
  <c r="E6410" i="1"/>
  <c r="F6410" i="1"/>
  <c r="W6410" i="1"/>
  <c r="AJ6410" i="1"/>
  <c r="AW6410" i="1"/>
  <c r="E6411" i="1"/>
  <c r="F6411" i="1"/>
  <c r="W6411" i="1"/>
  <c r="AJ6411" i="1"/>
  <c r="AW6411" i="1"/>
  <c r="E6412" i="1"/>
  <c r="F6412" i="1"/>
  <c r="J6412" i="1"/>
  <c r="W6412" i="1"/>
  <c r="AJ6412" i="1"/>
  <c r="AW6412" i="1"/>
  <c r="E6413" i="1"/>
  <c r="F6413" i="1"/>
  <c r="W6413" i="1"/>
  <c r="AJ6413" i="1"/>
  <c r="AW6413" i="1"/>
  <c r="E6414" i="1"/>
  <c r="F6414" i="1"/>
  <c r="W6414" i="1"/>
  <c r="AJ6414" i="1"/>
  <c r="AW6414" i="1"/>
  <c r="E6415" i="1"/>
  <c r="F6415" i="1"/>
  <c r="W6415" i="1"/>
  <c r="AJ6415" i="1"/>
  <c r="AW6415" i="1"/>
  <c r="E6416" i="1"/>
  <c r="F6416" i="1"/>
  <c r="W6416" i="1"/>
  <c r="AJ6416" i="1"/>
  <c r="AW6416" i="1"/>
  <c r="E6417" i="1"/>
  <c r="F6417" i="1"/>
  <c r="W6417" i="1"/>
  <c r="AJ6417" i="1"/>
  <c r="AW6417" i="1"/>
  <c r="E6418" i="1"/>
  <c r="F6418" i="1"/>
  <c r="W6418" i="1"/>
  <c r="AJ6418" i="1"/>
  <c r="AW6418" i="1"/>
  <c r="E6419" i="1"/>
  <c r="F6419" i="1"/>
  <c r="W6419" i="1"/>
  <c r="AJ6419" i="1"/>
  <c r="AW6419" i="1"/>
  <c r="E6420" i="1"/>
  <c r="F6420" i="1"/>
  <c r="W6420" i="1"/>
  <c r="AJ6420" i="1"/>
  <c r="AW6420" i="1"/>
  <c r="E6421" i="1"/>
  <c r="F6421" i="1"/>
  <c r="W6421" i="1"/>
  <c r="AJ6421" i="1"/>
  <c r="AW6421" i="1"/>
  <c r="E6422" i="1"/>
  <c r="F6422" i="1"/>
  <c r="W6422" i="1"/>
  <c r="AJ6422" i="1"/>
  <c r="AW6422" i="1"/>
  <c r="E6423" i="1"/>
  <c r="F6423" i="1"/>
  <c r="W6423" i="1"/>
  <c r="AJ6423" i="1"/>
  <c r="AW6423" i="1"/>
  <c r="E6424" i="1"/>
  <c r="F6424" i="1"/>
  <c r="W6424" i="1"/>
  <c r="AJ6424" i="1"/>
  <c r="AW6424" i="1"/>
  <c r="E6425" i="1"/>
  <c r="F6425" i="1"/>
  <c r="W6425" i="1"/>
  <c r="AJ6425" i="1"/>
  <c r="AW6425" i="1"/>
  <c r="E6426" i="1"/>
  <c r="F6426" i="1"/>
  <c r="J6426" i="1"/>
  <c r="W6426" i="1"/>
  <c r="AJ6426" i="1"/>
  <c r="AW6426" i="1"/>
  <c r="E6427" i="1"/>
  <c r="F6427" i="1"/>
  <c r="W6427" i="1"/>
  <c r="AJ6427" i="1"/>
  <c r="AW6427" i="1"/>
  <c r="E6428" i="1"/>
  <c r="F6428" i="1"/>
  <c r="W6428" i="1"/>
  <c r="AJ6428" i="1"/>
  <c r="AW6428" i="1"/>
  <c r="E6429" i="1"/>
  <c r="F6429" i="1"/>
  <c r="W6429" i="1"/>
  <c r="AJ6429" i="1"/>
  <c r="AW6429" i="1"/>
  <c r="E6430" i="1"/>
  <c r="F6430" i="1"/>
  <c r="W6430" i="1"/>
  <c r="AJ6430" i="1"/>
  <c r="AW6430" i="1"/>
  <c r="E6431" i="1"/>
  <c r="F6431" i="1"/>
  <c r="W6431" i="1"/>
  <c r="AJ6431" i="1"/>
  <c r="AW6431" i="1"/>
  <c r="E6432" i="1"/>
  <c r="F6432" i="1"/>
  <c r="W6432" i="1"/>
  <c r="AJ6432" i="1"/>
  <c r="AW6432" i="1"/>
  <c r="E6433" i="1"/>
  <c r="F6433" i="1"/>
  <c r="W6433" i="1"/>
  <c r="AJ6433" i="1"/>
  <c r="AW6433" i="1"/>
  <c r="E6434" i="1"/>
  <c r="F6434" i="1"/>
  <c r="W6434" i="1"/>
  <c r="AJ6434" i="1"/>
  <c r="AW6434" i="1"/>
  <c r="E6435" i="1"/>
  <c r="F6435" i="1"/>
  <c r="W6435" i="1"/>
  <c r="AJ6435" i="1"/>
  <c r="AW6435" i="1"/>
  <c r="E6436" i="1"/>
  <c r="F6436" i="1"/>
  <c r="W6436" i="1"/>
  <c r="AJ6436" i="1"/>
  <c r="AW6436" i="1"/>
  <c r="E6437" i="1"/>
  <c r="F6437" i="1"/>
  <c r="W6437" i="1"/>
  <c r="AJ6437" i="1"/>
  <c r="AW6437" i="1"/>
  <c r="E6438" i="1"/>
  <c r="F6438" i="1"/>
  <c r="W6438" i="1"/>
  <c r="AJ6438" i="1"/>
  <c r="AW6438" i="1"/>
  <c r="E6439" i="1"/>
  <c r="F6439" i="1"/>
  <c r="J6439" i="1"/>
  <c r="W6439" i="1"/>
  <c r="AJ6439" i="1"/>
  <c r="AW6439" i="1"/>
  <c r="E6440" i="1"/>
  <c r="F6440" i="1"/>
  <c r="W6440" i="1"/>
  <c r="AJ6440" i="1"/>
  <c r="AW6440" i="1"/>
  <c r="E6441" i="1"/>
  <c r="F6441" i="1"/>
  <c r="W6441" i="1"/>
  <c r="AJ6441" i="1"/>
  <c r="AW6441" i="1"/>
  <c r="E6442" i="1"/>
  <c r="F6442" i="1"/>
  <c r="W6442" i="1"/>
  <c r="AJ6442" i="1"/>
  <c r="AW6442" i="1"/>
  <c r="E6443" i="1"/>
  <c r="F6443" i="1"/>
  <c r="W6443" i="1"/>
  <c r="AJ6443" i="1"/>
  <c r="AW6443" i="1"/>
  <c r="E6444" i="1"/>
  <c r="F6444" i="1"/>
  <c r="W6444" i="1"/>
  <c r="AJ6444" i="1"/>
  <c r="AW6444" i="1"/>
  <c r="E6445" i="1"/>
  <c r="F6445" i="1"/>
  <c r="W6445" i="1"/>
  <c r="AJ6445" i="1"/>
  <c r="AW6445" i="1"/>
  <c r="E6446" i="1"/>
  <c r="F6446" i="1"/>
  <c r="W6446" i="1"/>
  <c r="AJ6446" i="1"/>
  <c r="AW6446" i="1"/>
  <c r="E6447" i="1"/>
  <c r="F6447" i="1"/>
  <c r="W6447" i="1"/>
  <c r="AJ6447" i="1"/>
  <c r="AW6447" i="1"/>
  <c r="E6448" i="1"/>
  <c r="F6448" i="1"/>
  <c r="W6448" i="1"/>
  <c r="AJ6448" i="1"/>
  <c r="AW6448" i="1"/>
  <c r="E6449" i="1"/>
  <c r="F6449" i="1"/>
  <c r="W6449" i="1"/>
  <c r="AJ6449" i="1"/>
  <c r="AW6449" i="1"/>
  <c r="E6450" i="1"/>
  <c r="F6450" i="1"/>
  <c r="W6450" i="1"/>
  <c r="AJ6450" i="1"/>
  <c r="AW6450" i="1"/>
  <c r="E6451" i="1"/>
  <c r="F6451" i="1"/>
  <c r="W6451" i="1"/>
  <c r="AJ6451" i="1"/>
  <c r="AW6451" i="1"/>
  <c r="E6452" i="1"/>
  <c r="F6452" i="1"/>
  <c r="J6452" i="1"/>
  <c r="W6452" i="1"/>
  <c r="AJ6452" i="1"/>
  <c r="AW6452" i="1"/>
  <c r="E6453" i="1"/>
  <c r="F6453" i="1"/>
  <c r="W6453" i="1"/>
  <c r="AJ6453" i="1"/>
  <c r="AW6453" i="1"/>
  <c r="E6454" i="1"/>
  <c r="F6454" i="1"/>
  <c r="W6454" i="1"/>
  <c r="AJ6454" i="1"/>
  <c r="AW6454" i="1"/>
  <c r="E6455" i="1"/>
  <c r="F6455" i="1"/>
  <c r="W6455" i="1"/>
  <c r="AJ6455" i="1"/>
  <c r="AW6455" i="1"/>
  <c r="E6456" i="1"/>
  <c r="F6456" i="1"/>
  <c r="W6456" i="1"/>
  <c r="AJ6456" i="1"/>
  <c r="AW6456" i="1"/>
  <c r="E6457" i="1"/>
  <c r="F6457" i="1"/>
  <c r="W6457" i="1"/>
  <c r="AJ6457" i="1"/>
  <c r="AW6457" i="1"/>
  <c r="E6458" i="1"/>
  <c r="F6458" i="1"/>
  <c r="W6458" i="1"/>
  <c r="AJ6458" i="1"/>
  <c r="AW6458" i="1"/>
  <c r="J6444" i="1" l="1"/>
  <c r="J6434" i="1"/>
  <c r="J6448" i="1"/>
  <c r="J6428" i="1"/>
  <c r="J6425" i="1"/>
  <c r="J6421" i="1"/>
  <c r="J6458" i="1"/>
  <c r="J6437" i="1"/>
  <c r="J6432" i="1"/>
  <c r="J6411" i="1"/>
  <c r="J6416" i="1"/>
  <c r="J6453" i="1"/>
  <c r="J6449" i="1"/>
  <c r="J6446" i="1"/>
  <c r="J6429" i="1"/>
  <c r="J6423" i="1"/>
  <c r="J6415" i="1"/>
  <c r="J6441" i="1"/>
  <c r="J6430" i="1"/>
  <c r="J6427" i="1"/>
  <c r="J6424" i="1"/>
  <c r="J6422" i="1"/>
  <c r="J6420" i="1"/>
  <c r="J6417" i="1"/>
  <c r="J6414" i="1"/>
  <c r="J6456" i="1"/>
  <c r="J6457" i="1"/>
  <c r="J6455" i="1"/>
  <c r="J6454" i="1"/>
  <c r="J6451" i="1"/>
  <c r="J6447" i="1"/>
  <c r="J6445" i="1"/>
  <c r="J6443" i="1"/>
  <c r="J6440" i="1"/>
  <c r="J6438" i="1"/>
  <c r="J6436" i="1"/>
  <c r="J6418" i="1"/>
  <c r="J6413" i="1"/>
  <c r="J6450" i="1"/>
  <c r="J6442" i="1"/>
  <c r="J6435" i="1"/>
  <c r="J6433" i="1"/>
  <c r="J6431" i="1"/>
  <c r="J6419" i="1"/>
  <c r="J6410" i="1"/>
  <c r="E6398" i="1"/>
  <c r="F6398" i="1"/>
  <c r="W6398" i="1"/>
  <c r="AJ6398" i="1"/>
  <c r="AW6398" i="1"/>
  <c r="E6399" i="1"/>
  <c r="F6399" i="1"/>
  <c r="W6399" i="1"/>
  <c r="AJ6399" i="1"/>
  <c r="AW6399" i="1"/>
  <c r="E6400" i="1"/>
  <c r="F6400" i="1"/>
  <c r="W6400" i="1"/>
  <c r="AJ6400" i="1"/>
  <c r="AW6400" i="1"/>
  <c r="E6401" i="1"/>
  <c r="F6401" i="1"/>
  <c r="W6401" i="1"/>
  <c r="AJ6401" i="1"/>
  <c r="AW6401" i="1"/>
  <c r="E6402" i="1"/>
  <c r="F6402" i="1"/>
  <c r="W6402" i="1"/>
  <c r="AJ6402" i="1"/>
  <c r="AW6402" i="1"/>
  <c r="E6403" i="1"/>
  <c r="F6403" i="1"/>
  <c r="W6403" i="1"/>
  <c r="AJ6403" i="1"/>
  <c r="AW6403" i="1"/>
  <c r="E6404" i="1"/>
  <c r="F6404" i="1"/>
  <c r="W6404" i="1"/>
  <c r="AJ6404" i="1"/>
  <c r="AW6404" i="1"/>
  <c r="E6396" i="1"/>
  <c r="F6396" i="1"/>
  <c r="W6396" i="1"/>
  <c r="AJ6396" i="1"/>
  <c r="AW6396" i="1"/>
  <c r="E6397" i="1"/>
  <c r="F6397" i="1"/>
  <c r="W6397" i="1"/>
  <c r="AJ6397" i="1"/>
  <c r="AW6397" i="1"/>
  <c r="E6405" i="1"/>
  <c r="F6405" i="1"/>
  <c r="W6405" i="1"/>
  <c r="AJ6405" i="1"/>
  <c r="AW6405" i="1"/>
  <c r="E6406" i="1"/>
  <c r="F6406" i="1"/>
  <c r="W6406" i="1"/>
  <c r="AJ6406" i="1"/>
  <c r="AW6406" i="1"/>
  <c r="J6406" i="1" l="1"/>
  <c r="J6396" i="1"/>
  <c r="J6404" i="1"/>
  <c r="J6400" i="1"/>
  <c r="J6402" i="1"/>
  <c r="J6397" i="1"/>
  <c r="J6403" i="1"/>
  <c r="J6401" i="1"/>
  <c r="J6399" i="1"/>
  <c r="J6405" i="1"/>
  <c r="J6398" i="1"/>
  <c r="E6374" i="1"/>
  <c r="F6374" i="1"/>
  <c r="W6374" i="1"/>
  <c r="AJ6374" i="1"/>
  <c r="AW6374" i="1"/>
  <c r="E6375" i="1"/>
  <c r="F6375" i="1"/>
  <c r="W6375" i="1"/>
  <c r="AJ6375" i="1"/>
  <c r="AW6375" i="1"/>
  <c r="E6376" i="1"/>
  <c r="F6376" i="1"/>
  <c r="W6376" i="1"/>
  <c r="AJ6376" i="1"/>
  <c r="AW6376" i="1"/>
  <c r="E6377" i="1"/>
  <c r="F6377" i="1"/>
  <c r="W6377" i="1"/>
  <c r="AJ6377" i="1"/>
  <c r="AW6377" i="1"/>
  <c r="E6378" i="1"/>
  <c r="F6378" i="1"/>
  <c r="W6378" i="1"/>
  <c r="AJ6378" i="1"/>
  <c r="AW6378" i="1"/>
  <c r="E6379" i="1"/>
  <c r="F6379" i="1"/>
  <c r="W6379" i="1"/>
  <c r="AJ6379" i="1"/>
  <c r="AW6379" i="1"/>
  <c r="E6380" i="1"/>
  <c r="F6380" i="1"/>
  <c r="W6380" i="1"/>
  <c r="AJ6380" i="1"/>
  <c r="AW6380" i="1"/>
  <c r="E6381" i="1"/>
  <c r="F6381" i="1"/>
  <c r="W6381" i="1"/>
  <c r="AJ6381" i="1"/>
  <c r="AW6381" i="1"/>
  <c r="E6382" i="1"/>
  <c r="F6382" i="1"/>
  <c r="W6382" i="1"/>
  <c r="AJ6382" i="1"/>
  <c r="AW6382" i="1"/>
  <c r="E6383" i="1"/>
  <c r="F6383" i="1"/>
  <c r="W6383" i="1"/>
  <c r="AJ6383" i="1"/>
  <c r="AW6383" i="1"/>
  <c r="E6384" i="1"/>
  <c r="F6384" i="1"/>
  <c r="W6384" i="1"/>
  <c r="AJ6384" i="1"/>
  <c r="AW6384" i="1"/>
  <c r="E6385" i="1"/>
  <c r="F6385" i="1"/>
  <c r="W6385" i="1"/>
  <c r="AJ6385" i="1"/>
  <c r="AW6385" i="1"/>
  <c r="E6386" i="1"/>
  <c r="F6386" i="1"/>
  <c r="W6386" i="1"/>
  <c r="AJ6386" i="1"/>
  <c r="AW6386" i="1"/>
  <c r="E6369" i="1"/>
  <c r="F6369" i="1"/>
  <c r="W6369" i="1"/>
  <c r="AJ6369" i="1"/>
  <c r="AW6369" i="1"/>
  <c r="E6370" i="1"/>
  <c r="F6370" i="1"/>
  <c r="W6370" i="1"/>
  <c r="AJ6370" i="1"/>
  <c r="AW6370" i="1"/>
  <c r="E6371" i="1"/>
  <c r="F6371" i="1"/>
  <c r="W6371" i="1"/>
  <c r="AJ6371" i="1"/>
  <c r="AW6371" i="1"/>
  <c r="E6372" i="1"/>
  <c r="F6372" i="1"/>
  <c r="W6372" i="1"/>
  <c r="AJ6372" i="1"/>
  <c r="AW6372" i="1"/>
  <c r="E6373" i="1"/>
  <c r="F6373" i="1"/>
  <c r="W6373" i="1"/>
  <c r="AJ6373" i="1"/>
  <c r="AW6373" i="1"/>
  <c r="E6387" i="1"/>
  <c r="F6387" i="1"/>
  <c r="W6387" i="1"/>
  <c r="AJ6387" i="1"/>
  <c r="AW6387" i="1"/>
  <c r="E6388" i="1"/>
  <c r="F6388" i="1"/>
  <c r="W6388" i="1"/>
  <c r="AJ6388" i="1"/>
  <c r="AW6388" i="1"/>
  <c r="E6389" i="1"/>
  <c r="F6389" i="1"/>
  <c r="W6389" i="1"/>
  <c r="AJ6389" i="1"/>
  <c r="AW6389" i="1"/>
  <c r="E6390" i="1"/>
  <c r="F6390" i="1"/>
  <c r="J6390" i="1"/>
  <c r="W6390" i="1"/>
  <c r="AJ6390" i="1"/>
  <c r="AW6390" i="1"/>
  <c r="E6391" i="1"/>
  <c r="F6391" i="1"/>
  <c r="W6391" i="1"/>
  <c r="AJ6391" i="1"/>
  <c r="AW6391" i="1"/>
  <c r="E6392" i="1"/>
  <c r="F6392" i="1"/>
  <c r="W6392" i="1"/>
  <c r="AJ6392" i="1"/>
  <c r="AW6392" i="1"/>
  <c r="E6393" i="1"/>
  <c r="F6393" i="1"/>
  <c r="W6393" i="1"/>
  <c r="AJ6393" i="1"/>
  <c r="AW6393" i="1"/>
  <c r="E6394" i="1"/>
  <c r="F6394" i="1"/>
  <c r="W6394" i="1"/>
  <c r="AJ6394" i="1"/>
  <c r="AW6394" i="1"/>
  <c r="E6395" i="1"/>
  <c r="F6395" i="1"/>
  <c r="W6395" i="1"/>
  <c r="AJ6395" i="1"/>
  <c r="AW6395" i="1"/>
  <c r="E6407" i="1"/>
  <c r="F6407" i="1"/>
  <c r="W6407" i="1"/>
  <c r="AJ6407" i="1"/>
  <c r="AW6407" i="1"/>
  <c r="E6408" i="1"/>
  <c r="F6408" i="1"/>
  <c r="W6408" i="1"/>
  <c r="AJ6408" i="1"/>
  <c r="AW6408" i="1"/>
  <c r="J6380" i="1" l="1"/>
  <c r="J6374" i="1"/>
  <c r="J6373" i="1"/>
  <c r="J6407" i="1"/>
  <c r="J6387" i="1"/>
  <c r="J6370" i="1"/>
  <c r="J6391" i="1"/>
  <c r="J6388" i="1"/>
  <c r="J6372" i="1"/>
  <c r="J6371" i="1"/>
  <c r="J6369" i="1"/>
  <c r="J6385" i="1"/>
  <c r="J6383" i="1"/>
  <c r="J6381" i="1"/>
  <c r="J6377" i="1"/>
  <c r="J6375" i="1"/>
  <c r="J6393" i="1"/>
  <c r="J6408" i="1"/>
  <c r="J6395" i="1"/>
  <c r="J6394" i="1"/>
  <c r="J6392" i="1"/>
  <c r="J6389" i="1"/>
  <c r="J6386" i="1"/>
  <c r="J6384" i="1"/>
  <c r="J6382" i="1"/>
  <c r="J6378" i="1"/>
  <c r="J6376" i="1"/>
  <c r="J6379" i="1"/>
  <c r="BV47" i="7"/>
  <c r="BV46" i="7" s="1"/>
  <c r="BV45" i="7"/>
  <c r="BV44" i="7"/>
  <c r="BV43" i="7"/>
  <c r="BV42" i="7"/>
  <c r="BV41" i="7"/>
  <c r="BV40" i="7"/>
  <c r="BV39" i="7"/>
  <c r="BV38" i="7"/>
  <c r="BV37" i="7"/>
  <c r="BV35" i="7"/>
  <c r="BV34" i="7"/>
  <c r="BV33" i="7"/>
  <c r="BV32" i="7"/>
  <c r="BV31" i="7"/>
  <c r="BV30" i="7"/>
  <c r="BV29" i="7"/>
  <c r="BV22" i="7"/>
  <c r="BV21" i="7"/>
  <c r="BV20" i="7"/>
  <c r="BV18" i="7"/>
  <c r="BV17" i="7"/>
  <c r="BV11" i="7"/>
  <c r="BV10" i="7"/>
  <c r="BV9" i="7"/>
  <c r="BV8" i="7"/>
  <c r="BV7" i="7"/>
  <c r="BV6" i="7"/>
  <c r="BV27" i="7"/>
  <c r="BV26" i="7"/>
  <c r="BV25" i="7"/>
  <c r="BV24" i="7"/>
  <c r="BV19" i="7"/>
  <c r="H3350" i="8"/>
  <c r="H3349" i="8"/>
  <c r="H3347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51" i="8"/>
  <c r="H3352" i="8"/>
  <c r="H3354" i="8"/>
  <c r="H3355" i="8"/>
  <c r="H3356" i="8"/>
  <c r="H3357" i="8"/>
  <c r="H3358" i="8"/>
  <c r="BV15" i="7" l="1"/>
  <c r="I3418" i="8"/>
  <c r="BV36" i="7"/>
  <c r="BV28" i="7"/>
  <c r="BV23" i="7"/>
  <c r="BV13" i="7"/>
  <c r="AY6357" i="1"/>
  <c r="AX6357" i="1"/>
  <c r="AX6324" i="1"/>
  <c r="E6325" i="1"/>
  <c r="F6325" i="1"/>
  <c r="J6325" i="1"/>
  <c r="W6325" i="1"/>
  <c r="AJ6325" i="1"/>
  <c r="AW6325" i="1"/>
  <c r="E6326" i="1"/>
  <c r="F6326" i="1"/>
  <c r="W6326" i="1"/>
  <c r="AJ6326" i="1"/>
  <c r="AW6326" i="1"/>
  <c r="E6327" i="1"/>
  <c r="F6327" i="1"/>
  <c r="W6327" i="1"/>
  <c r="AJ6327" i="1"/>
  <c r="AW6327" i="1"/>
  <c r="E6328" i="1"/>
  <c r="F6328" i="1"/>
  <c r="W6328" i="1"/>
  <c r="AJ6328" i="1"/>
  <c r="AW6328" i="1"/>
  <c r="E6329" i="1"/>
  <c r="F6329" i="1"/>
  <c r="W6329" i="1"/>
  <c r="AJ6329" i="1"/>
  <c r="AW6329" i="1"/>
  <c r="E6330" i="1"/>
  <c r="F6330" i="1"/>
  <c r="W6330" i="1"/>
  <c r="AJ6330" i="1"/>
  <c r="AW6330" i="1"/>
  <c r="E6331" i="1"/>
  <c r="F6331" i="1"/>
  <c r="W6331" i="1"/>
  <c r="AJ6331" i="1"/>
  <c r="AW6331" i="1"/>
  <c r="E6318" i="1"/>
  <c r="F6318" i="1"/>
  <c r="W6318" i="1"/>
  <c r="AJ6318" i="1"/>
  <c r="AW6318" i="1"/>
  <c r="E6319" i="1"/>
  <c r="F6319" i="1"/>
  <c r="W6319" i="1"/>
  <c r="AJ6319" i="1"/>
  <c r="AW6319" i="1"/>
  <c r="E6320" i="1"/>
  <c r="F6320" i="1"/>
  <c r="J6320" i="1"/>
  <c r="W6320" i="1"/>
  <c r="AJ6320" i="1"/>
  <c r="AW6320" i="1"/>
  <c r="E6321" i="1"/>
  <c r="F6321" i="1"/>
  <c r="W6321" i="1"/>
  <c r="AJ6321" i="1"/>
  <c r="AW6321" i="1"/>
  <c r="E6322" i="1"/>
  <c r="F6322" i="1"/>
  <c r="J6322" i="1"/>
  <c r="W6322" i="1"/>
  <c r="AJ6322" i="1"/>
  <c r="AW6322" i="1"/>
  <c r="E6323" i="1"/>
  <c r="F6323" i="1"/>
  <c r="W6323" i="1"/>
  <c r="AJ6323" i="1"/>
  <c r="AW6323" i="1"/>
  <c r="E6324" i="1"/>
  <c r="F6324" i="1"/>
  <c r="J6324" i="1"/>
  <c r="W6324" i="1"/>
  <c r="AJ6324" i="1"/>
  <c r="AW6324" i="1"/>
  <c r="E6332" i="1"/>
  <c r="F6332" i="1"/>
  <c r="W6332" i="1"/>
  <c r="AJ6332" i="1"/>
  <c r="AW6332" i="1"/>
  <c r="E6333" i="1"/>
  <c r="F6333" i="1"/>
  <c r="J6333" i="1"/>
  <c r="W6333" i="1"/>
  <c r="AJ6333" i="1"/>
  <c r="AW6333" i="1"/>
  <c r="E6334" i="1"/>
  <c r="F6334" i="1"/>
  <c r="W6334" i="1"/>
  <c r="AJ6334" i="1"/>
  <c r="AW6334" i="1"/>
  <c r="E6335" i="1"/>
  <c r="F6335" i="1"/>
  <c r="W6335" i="1"/>
  <c r="AJ6335" i="1"/>
  <c r="AW6335" i="1"/>
  <c r="E6336" i="1"/>
  <c r="F6336" i="1"/>
  <c r="W6336" i="1"/>
  <c r="AJ6336" i="1"/>
  <c r="AW6336" i="1"/>
  <c r="E6337" i="1"/>
  <c r="F6337" i="1"/>
  <c r="W6337" i="1"/>
  <c r="AJ6337" i="1"/>
  <c r="AW6337" i="1"/>
  <c r="E6338" i="1"/>
  <c r="F6338" i="1"/>
  <c r="W6338" i="1"/>
  <c r="AJ6338" i="1"/>
  <c r="AW6338" i="1"/>
  <c r="E6339" i="1"/>
  <c r="F6339" i="1"/>
  <c r="W6339" i="1"/>
  <c r="AJ6339" i="1"/>
  <c r="AW6339" i="1"/>
  <c r="E6340" i="1"/>
  <c r="F6340" i="1"/>
  <c r="J6340" i="1"/>
  <c r="W6340" i="1"/>
  <c r="AJ6340" i="1"/>
  <c r="AW6340" i="1"/>
  <c r="E6341" i="1"/>
  <c r="F6341" i="1"/>
  <c r="J6341" i="1"/>
  <c r="W6341" i="1"/>
  <c r="AJ6341" i="1"/>
  <c r="AW6341" i="1"/>
  <c r="E6342" i="1"/>
  <c r="F6342" i="1"/>
  <c r="W6342" i="1"/>
  <c r="AJ6342" i="1"/>
  <c r="AW6342" i="1"/>
  <c r="E6343" i="1"/>
  <c r="F6343" i="1"/>
  <c r="W6343" i="1"/>
  <c r="AJ6343" i="1"/>
  <c r="AW6343" i="1"/>
  <c r="E6344" i="1"/>
  <c r="F6344" i="1"/>
  <c r="W6344" i="1"/>
  <c r="AJ6344" i="1"/>
  <c r="AW6344" i="1"/>
  <c r="E6345" i="1"/>
  <c r="F6345" i="1"/>
  <c r="W6345" i="1"/>
  <c r="AJ6345" i="1"/>
  <c r="AW6345" i="1"/>
  <c r="E6346" i="1"/>
  <c r="F6346" i="1"/>
  <c r="W6346" i="1"/>
  <c r="AJ6346" i="1"/>
  <c r="AW6346" i="1"/>
  <c r="E6347" i="1"/>
  <c r="F6347" i="1"/>
  <c r="W6347" i="1"/>
  <c r="AJ6347" i="1"/>
  <c r="AW6347" i="1"/>
  <c r="E6348" i="1"/>
  <c r="F6348" i="1"/>
  <c r="J6348" i="1"/>
  <c r="W6348" i="1"/>
  <c r="AJ6348" i="1"/>
  <c r="AW6348" i="1"/>
  <c r="E6349" i="1"/>
  <c r="F6349" i="1"/>
  <c r="W6349" i="1"/>
  <c r="AJ6349" i="1"/>
  <c r="AW6349" i="1"/>
  <c r="E6350" i="1"/>
  <c r="F6350" i="1"/>
  <c r="J6350" i="1"/>
  <c r="W6350" i="1"/>
  <c r="AJ6350" i="1"/>
  <c r="AW6350" i="1"/>
  <c r="E6351" i="1"/>
  <c r="F6351" i="1"/>
  <c r="J6351" i="1"/>
  <c r="W6351" i="1"/>
  <c r="AJ6351" i="1"/>
  <c r="AW6351" i="1"/>
  <c r="E6352" i="1"/>
  <c r="F6352" i="1"/>
  <c r="W6352" i="1"/>
  <c r="AJ6352" i="1"/>
  <c r="AW6352" i="1"/>
  <c r="E6353" i="1"/>
  <c r="F6353" i="1"/>
  <c r="J6353" i="1"/>
  <c r="W6353" i="1"/>
  <c r="AJ6353" i="1"/>
  <c r="AW6353" i="1"/>
  <c r="E6354" i="1"/>
  <c r="F6354" i="1"/>
  <c r="J6354" i="1"/>
  <c r="W6354" i="1"/>
  <c r="AJ6354" i="1"/>
  <c r="AW6354" i="1"/>
  <c r="E6355" i="1"/>
  <c r="F6355" i="1"/>
  <c r="W6355" i="1"/>
  <c r="AJ6355" i="1"/>
  <c r="AW6355" i="1"/>
  <c r="E6356" i="1"/>
  <c r="F6356" i="1"/>
  <c r="W6356" i="1"/>
  <c r="AJ6356" i="1"/>
  <c r="AW6356" i="1"/>
  <c r="E6357" i="1"/>
  <c r="F6357" i="1"/>
  <c r="W6357" i="1"/>
  <c r="AJ6357" i="1"/>
  <c r="AW6357" i="1"/>
  <c r="E6358" i="1"/>
  <c r="F6358" i="1"/>
  <c r="W6358" i="1"/>
  <c r="AJ6358" i="1"/>
  <c r="AW6358" i="1"/>
  <c r="F6359" i="1"/>
  <c r="W6359" i="1"/>
  <c r="AJ6359" i="1"/>
  <c r="AW6359" i="1"/>
  <c r="E6360" i="1"/>
  <c r="F6360" i="1"/>
  <c r="W6360" i="1"/>
  <c r="AJ6360" i="1"/>
  <c r="AW6360" i="1"/>
  <c r="E6361" i="1"/>
  <c r="F6361" i="1"/>
  <c r="J6361" i="1"/>
  <c r="W6361" i="1"/>
  <c r="AJ6361" i="1"/>
  <c r="AW6361" i="1"/>
  <c r="E6363" i="1"/>
  <c r="F6363" i="1"/>
  <c r="J6363" i="1"/>
  <c r="W6363" i="1"/>
  <c r="AJ6363" i="1"/>
  <c r="AW6363" i="1"/>
  <c r="E6364" i="1"/>
  <c r="F6364" i="1"/>
  <c r="W6364" i="1"/>
  <c r="AJ6364" i="1"/>
  <c r="AW6364" i="1"/>
  <c r="E6365" i="1"/>
  <c r="F6365" i="1"/>
  <c r="W6365" i="1"/>
  <c r="AJ6365" i="1"/>
  <c r="AW6365" i="1"/>
  <c r="E6366" i="1"/>
  <c r="F6366" i="1"/>
  <c r="J6366" i="1"/>
  <c r="W6366" i="1"/>
  <c r="AJ6366" i="1"/>
  <c r="AW6366" i="1"/>
  <c r="E6367" i="1"/>
  <c r="F6367" i="1"/>
  <c r="J6367" i="1"/>
  <c r="W6367" i="1"/>
  <c r="AJ6367" i="1"/>
  <c r="AW6367" i="1"/>
  <c r="E6368" i="1"/>
  <c r="F6368" i="1"/>
  <c r="W6368" i="1"/>
  <c r="AJ6368" i="1"/>
  <c r="AW6368" i="1"/>
  <c r="E6409" i="1"/>
  <c r="F6409" i="1"/>
  <c r="J6409" i="1"/>
  <c r="W6409" i="1"/>
  <c r="AJ6409" i="1"/>
  <c r="AW6409" i="1"/>
  <c r="J6364" i="1" l="1"/>
  <c r="J6368" i="1"/>
  <c r="J6365" i="1"/>
  <c r="BV48" i="7"/>
  <c r="BV49" i="7" s="1"/>
  <c r="BV54" i="7" s="1"/>
  <c r="BV57" i="7" s="1"/>
  <c r="J6360" i="1"/>
  <c r="J6355" i="1"/>
  <c r="J6338" i="1"/>
  <c r="J6336" i="1"/>
  <c r="J6334" i="1"/>
  <c r="J6332" i="1"/>
  <c r="J6321" i="1"/>
  <c r="J6326" i="1"/>
  <c r="J6352" i="1"/>
  <c r="J6359" i="1"/>
  <c r="J6357" i="1"/>
  <c r="J6358" i="1"/>
  <c r="J6356" i="1"/>
  <c r="J6347" i="1"/>
  <c r="J6345" i="1"/>
  <c r="J6343" i="1"/>
  <c r="J6339" i="1"/>
  <c r="J6323" i="1"/>
  <c r="J6318" i="1"/>
  <c r="J6328" i="1"/>
  <c r="J6346" i="1"/>
  <c r="J6344" i="1"/>
  <c r="J6342" i="1"/>
  <c r="J6331" i="1"/>
  <c r="J6329" i="1"/>
  <c r="J6349" i="1"/>
  <c r="J6337" i="1"/>
  <c r="J6335" i="1"/>
  <c r="J6319" i="1"/>
  <c r="J6330" i="1"/>
  <c r="J6327" i="1"/>
  <c r="H3308" i="8"/>
  <c r="H3309" i="8"/>
  <c r="H3314" i="8"/>
  <c r="H3274" i="8"/>
  <c r="AY6316" i="1" l="1"/>
  <c r="AX6316" i="1"/>
  <c r="E6306" i="1"/>
  <c r="F6306" i="1"/>
  <c r="W6306" i="1"/>
  <c r="AJ6306" i="1"/>
  <c r="AW6306" i="1"/>
  <c r="E6307" i="1"/>
  <c r="F6307" i="1"/>
  <c r="W6307" i="1"/>
  <c r="AJ6307" i="1"/>
  <c r="AW6307" i="1"/>
  <c r="E6308" i="1"/>
  <c r="F6308" i="1"/>
  <c r="W6308" i="1"/>
  <c r="AJ6308" i="1"/>
  <c r="AW6308" i="1"/>
  <c r="E6309" i="1"/>
  <c r="F6309" i="1"/>
  <c r="W6309" i="1"/>
  <c r="AJ6309" i="1"/>
  <c r="AW6309" i="1"/>
  <c r="E6310" i="1"/>
  <c r="F6310" i="1"/>
  <c r="W6310" i="1"/>
  <c r="AJ6310" i="1"/>
  <c r="AW6310" i="1"/>
  <c r="E6311" i="1"/>
  <c r="F6311" i="1"/>
  <c r="W6311" i="1"/>
  <c r="AJ6311" i="1"/>
  <c r="AW6311" i="1"/>
  <c r="E6312" i="1"/>
  <c r="F6312" i="1"/>
  <c r="W6312" i="1"/>
  <c r="AJ6312" i="1"/>
  <c r="AW6312" i="1"/>
  <c r="E6313" i="1"/>
  <c r="F6313" i="1"/>
  <c r="W6313" i="1"/>
  <c r="AJ6313" i="1"/>
  <c r="AW6313" i="1"/>
  <c r="E6314" i="1"/>
  <c r="F6314" i="1"/>
  <c r="J6314" i="1"/>
  <c r="W6314" i="1"/>
  <c r="AJ6314" i="1"/>
  <c r="AW6314" i="1"/>
  <c r="E6315" i="1"/>
  <c r="F6315" i="1"/>
  <c r="W6315" i="1"/>
  <c r="AJ6315" i="1"/>
  <c r="AW6315" i="1"/>
  <c r="AX6287" i="1"/>
  <c r="E6287" i="1"/>
  <c r="F6287" i="1"/>
  <c r="J6287" i="1"/>
  <c r="W6287" i="1"/>
  <c r="AJ6287" i="1"/>
  <c r="AW6287" i="1"/>
  <c r="E6288" i="1"/>
  <c r="F6288" i="1"/>
  <c r="W6288" i="1"/>
  <c r="AJ6288" i="1"/>
  <c r="AW6288" i="1"/>
  <c r="E6289" i="1"/>
  <c r="F6289" i="1"/>
  <c r="W6289" i="1"/>
  <c r="AJ6289" i="1"/>
  <c r="AW6289" i="1"/>
  <c r="E6290" i="1"/>
  <c r="F6290" i="1"/>
  <c r="W6290" i="1"/>
  <c r="AJ6290" i="1"/>
  <c r="AW6290" i="1"/>
  <c r="E6291" i="1"/>
  <c r="F6291" i="1"/>
  <c r="W6291" i="1"/>
  <c r="AJ6291" i="1"/>
  <c r="AW6291" i="1"/>
  <c r="E6292" i="1"/>
  <c r="F6292" i="1"/>
  <c r="W6292" i="1"/>
  <c r="AJ6292" i="1"/>
  <c r="AW6292" i="1"/>
  <c r="E6293" i="1"/>
  <c r="F6293" i="1"/>
  <c r="J6293" i="1"/>
  <c r="W6293" i="1"/>
  <c r="AJ6293" i="1"/>
  <c r="AW6293" i="1"/>
  <c r="E6294" i="1"/>
  <c r="F6294" i="1"/>
  <c r="J6294" i="1"/>
  <c r="W6294" i="1"/>
  <c r="AJ6294" i="1"/>
  <c r="AW6294" i="1"/>
  <c r="E6295" i="1"/>
  <c r="F6295" i="1"/>
  <c r="J6295" i="1"/>
  <c r="W6295" i="1"/>
  <c r="AJ6295" i="1"/>
  <c r="AW6295" i="1"/>
  <c r="E6296" i="1"/>
  <c r="F6296" i="1"/>
  <c r="W6296" i="1"/>
  <c r="AJ6296" i="1"/>
  <c r="AW6296" i="1"/>
  <c r="E6297" i="1"/>
  <c r="F6297" i="1"/>
  <c r="J6297" i="1"/>
  <c r="W6297" i="1"/>
  <c r="AJ6297" i="1"/>
  <c r="AW6297" i="1"/>
  <c r="E6298" i="1"/>
  <c r="F6298" i="1"/>
  <c r="W6298" i="1"/>
  <c r="AJ6298" i="1"/>
  <c r="AW6298" i="1"/>
  <c r="E6299" i="1"/>
  <c r="F6299" i="1"/>
  <c r="W6299" i="1"/>
  <c r="AJ6299" i="1"/>
  <c r="AW6299" i="1"/>
  <c r="E6300" i="1"/>
  <c r="F6300" i="1"/>
  <c r="W6300" i="1"/>
  <c r="AJ6300" i="1"/>
  <c r="AW6300" i="1"/>
  <c r="E6301" i="1"/>
  <c r="F6301" i="1"/>
  <c r="W6301" i="1"/>
  <c r="AJ6301" i="1"/>
  <c r="AW6301" i="1"/>
  <c r="E6302" i="1"/>
  <c r="F6302" i="1"/>
  <c r="W6302" i="1"/>
  <c r="AJ6302" i="1"/>
  <c r="AW6302" i="1"/>
  <c r="E6303" i="1"/>
  <c r="F6303" i="1"/>
  <c r="W6303" i="1"/>
  <c r="AJ6303" i="1"/>
  <c r="AW6303" i="1"/>
  <c r="E6304" i="1"/>
  <c r="F6304" i="1"/>
  <c r="J6304" i="1"/>
  <c r="W6304" i="1"/>
  <c r="AJ6304" i="1"/>
  <c r="AW6304" i="1"/>
  <c r="E6305" i="1"/>
  <c r="F6305" i="1"/>
  <c r="W6305" i="1"/>
  <c r="AJ6305" i="1"/>
  <c r="AW6305" i="1"/>
  <c r="J6306" i="1" l="1"/>
  <c r="J6300" i="1"/>
  <c r="J6312" i="1"/>
  <c r="J6309" i="1"/>
  <c r="J6305" i="1"/>
  <c r="J6303" i="1"/>
  <c r="J6302" i="1"/>
  <c r="J6298" i="1"/>
  <c r="J6290" i="1"/>
  <c r="J6289" i="1"/>
  <c r="J6301" i="1"/>
  <c r="J6288" i="1"/>
  <c r="J6315" i="1"/>
  <c r="J6310" i="1"/>
  <c r="J6307" i="1"/>
  <c r="J6311" i="1"/>
  <c r="J6292" i="1"/>
  <c r="J6299" i="1"/>
  <c r="J6296" i="1"/>
  <c r="J6291" i="1"/>
  <c r="J6313" i="1"/>
  <c r="J6308" i="1"/>
  <c r="H3302" i="8"/>
  <c r="H3301" i="8"/>
  <c r="H3316" i="8" l="1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00" i="8"/>
  <c r="H3303" i="8"/>
  <c r="H3304" i="8"/>
  <c r="H3305" i="8"/>
  <c r="H3306" i="8"/>
  <c r="H3307" i="8"/>
  <c r="H3310" i="8"/>
  <c r="H3311" i="8"/>
  <c r="H3312" i="8"/>
  <c r="H3313" i="8"/>
  <c r="H3315" i="8"/>
  <c r="H3292" i="8"/>
  <c r="H3293" i="8"/>
  <c r="H3294" i="8"/>
  <c r="H3295" i="8"/>
  <c r="H3296" i="8"/>
  <c r="H3297" i="8"/>
  <c r="H3298" i="8"/>
  <c r="H3299" i="8"/>
  <c r="H3265" i="8"/>
  <c r="H3266" i="8"/>
  <c r="H3267" i="8"/>
  <c r="H3268" i="8"/>
  <c r="H3269" i="8"/>
  <c r="H3270" i="8"/>
  <c r="H3271" i="8"/>
  <c r="H3272" i="8"/>
  <c r="H3273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AX6282" i="1" l="1"/>
  <c r="AX6249" i="1"/>
  <c r="E6244" i="1"/>
  <c r="F6244" i="1"/>
  <c r="J6244" i="1"/>
  <c r="W6244" i="1"/>
  <c r="AJ6244" i="1"/>
  <c r="AW6244" i="1"/>
  <c r="E6245" i="1"/>
  <c r="F6245" i="1"/>
  <c r="J6245" i="1"/>
  <c r="W6245" i="1"/>
  <c r="AJ6245" i="1"/>
  <c r="AW6245" i="1"/>
  <c r="E6246" i="1"/>
  <c r="F6246" i="1"/>
  <c r="W6246" i="1"/>
  <c r="AJ6246" i="1"/>
  <c r="AW6246" i="1"/>
  <c r="E6247" i="1"/>
  <c r="F6247" i="1"/>
  <c r="W6247" i="1"/>
  <c r="AJ6247" i="1"/>
  <c r="AW6247" i="1"/>
  <c r="E6248" i="1"/>
  <c r="F6248" i="1"/>
  <c r="W6248" i="1"/>
  <c r="AJ6248" i="1"/>
  <c r="AW6248" i="1"/>
  <c r="E6249" i="1"/>
  <c r="F6249" i="1"/>
  <c r="W6249" i="1"/>
  <c r="AJ6249" i="1"/>
  <c r="AW6249" i="1"/>
  <c r="E6250" i="1"/>
  <c r="F6250" i="1"/>
  <c r="W6250" i="1"/>
  <c r="AJ6250" i="1"/>
  <c r="AW6250" i="1"/>
  <c r="E6251" i="1"/>
  <c r="F6251" i="1"/>
  <c r="J6251" i="1"/>
  <c r="W6251" i="1"/>
  <c r="AJ6251" i="1"/>
  <c r="AW6251" i="1"/>
  <c r="E6252" i="1"/>
  <c r="F6252" i="1"/>
  <c r="W6252" i="1"/>
  <c r="AJ6252" i="1"/>
  <c r="AW6252" i="1"/>
  <c r="E6253" i="1"/>
  <c r="F6253" i="1"/>
  <c r="W6253" i="1"/>
  <c r="AJ6253" i="1"/>
  <c r="AW6253" i="1"/>
  <c r="E6254" i="1"/>
  <c r="F6254" i="1"/>
  <c r="W6254" i="1"/>
  <c r="AJ6254" i="1"/>
  <c r="AW6254" i="1"/>
  <c r="E6255" i="1"/>
  <c r="F6255" i="1"/>
  <c r="W6255" i="1"/>
  <c r="AJ6255" i="1"/>
  <c r="AW6255" i="1"/>
  <c r="E6256" i="1"/>
  <c r="F6256" i="1"/>
  <c r="W6256" i="1"/>
  <c r="AJ6256" i="1"/>
  <c r="AW6256" i="1"/>
  <c r="E6257" i="1"/>
  <c r="F6257" i="1"/>
  <c r="W6257" i="1"/>
  <c r="AJ6257" i="1"/>
  <c r="AW6257" i="1"/>
  <c r="E6258" i="1"/>
  <c r="F6258" i="1"/>
  <c r="W6258" i="1"/>
  <c r="AJ6258" i="1"/>
  <c r="AW6258" i="1"/>
  <c r="E6259" i="1"/>
  <c r="F6259" i="1"/>
  <c r="W6259" i="1"/>
  <c r="AJ6259" i="1"/>
  <c r="AW6259" i="1"/>
  <c r="E6260" i="1"/>
  <c r="F6260" i="1"/>
  <c r="W6260" i="1"/>
  <c r="AJ6260" i="1"/>
  <c r="AW6260" i="1"/>
  <c r="E6261" i="1"/>
  <c r="F6261" i="1"/>
  <c r="W6261" i="1"/>
  <c r="AJ6261" i="1"/>
  <c r="AW6261" i="1"/>
  <c r="E6262" i="1"/>
  <c r="F6262" i="1"/>
  <c r="W6262" i="1"/>
  <c r="AJ6262" i="1"/>
  <c r="AW6262" i="1"/>
  <c r="E6263" i="1"/>
  <c r="F6263" i="1"/>
  <c r="W6263" i="1"/>
  <c r="AJ6263" i="1"/>
  <c r="AW6263" i="1"/>
  <c r="E6264" i="1"/>
  <c r="F6264" i="1"/>
  <c r="W6264" i="1"/>
  <c r="AJ6264" i="1"/>
  <c r="AW6264" i="1"/>
  <c r="E6265" i="1"/>
  <c r="F6265" i="1"/>
  <c r="W6265" i="1"/>
  <c r="AJ6265" i="1"/>
  <c r="AW6265" i="1"/>
  <c r="E6266" i="1"/>
  <c r="F6266" i="1"/>
  <c r="W6266" i="1"/>
  <c r="AJ6266" i="1"/>
  <c r="AW6266" i="1"/>
  <c r="E6267" i="1"/>
  <c r="F6267" i="1"/>
  <c r="W6267" i="1"/>
  <c r="AJ6267" i="1"/>
  <c r="AW6267" i="1"/>
  <c r="E6268" i="1"/>
  <c r="F6268" i="1"/>
  <c r="W6268" i="1"/>
  <c r="AJ6268" i="1"/>
  <c r="AW6268" i="1"/>
  <c r="E6269" i="1"/>
  <c r="F6269" i="1"/>
  <c r="W6269" i="1"/>
  <c r="AJ6269" i="1"/>
  <c r="AW6269" i="1"/>
  <c r="E6270" i="1"/>
  <c r="F6270" i="1"/>
  <c r="W6270" i="1"/>
  <c r="AJ6270" i="1"/>
  <c r="AW6270" i="1"/>
  <c r="E6271" i="1"/>
  <c r="F6271" i="1"/>
  <c r="W6271" i="1"/>
  <c r="AJ6271" i="1"/>
  <c r="AW6271" i="1"/>
  <c r="E6272" i="1"/>
  <c r="F6272" i="1"/>
  <c r="W6272" i="1"/>
  <c r="AJ6272" i="1"/>
  <c r="AW6272" i="1"/>
  <c r="E6273" i="1"/>
  <c r="F6273" i="1"/>
  <c r="J6273" i="1"/>
  <c r="W6273" i="1"/>
  <c r="AJ6273" i="1"/>
  <c r="AW6273" i="1"/>
  <c r="E6274" i="1"/>
  <c r="F6274" i="1"/>
  <c r="W6274" i="1"/>
  <c r="AJ6274" i="1"/>
  <c r="AW6274" i="1"/>
  <c r="E6275" i="1"/>
  <c r="F6275" i="1"/>
  <c r="W6275" i="1"/>
  <c r="AJ6275" i="1"/>
  <c r="AW6275" i="1"/>
  <c r="E6276" i="1"/>
  <c r="F6276" i="1"/>
  <c r="W6276" i="1"/>
  <c r="AJ6276" i="1"/>
  <c r="AW6276" i="1"/>
  <c r="E6277" i="1"/>
  <c r="F6277" i="1"/>
  <c r="W6277" i="1"/>
  <c r="AJ6277" i="1"/>
  <c r="AW6277" i="1"/>
  <c r="E6278" i="1"/>
  <c r="F6278" i="1"/>
  <c r="W6278" i="1"/>
  <c r="AJ6278" i="1"/>
  <c r="AW6278" i="1"/>
  <c r="E6279" i="1"/>
  <c r="F6279" i="1"/>
  <c r="J6279" i="1"/>
  <c r="W6279" i="1"/>
  <c r="AJ6279" i="1"/>
  <c r="AW6279" i="1"/>
  <c r="E6280" i="1"/>
  <c r="F6280" i="1"/>
  <c r="W6280" i="1"/>
  <c r="AJ6280" i="1"/>
  <c r="AW6280" i="1"/>
  <c r="E6281" i="1"/>
  <c r="F6281" i="1"/>
  <c r="W6281" i="1"/>
  <c r="AJ6281" i="1"/>
  <c r="AW6281" i="1"/>
  <c r="E6282" i="1"/>
  <c r="F6282" i="1"/>
  <c r="J6282" i="1"/>
  <c r="W6282" i="1"/>
  <c r="AJ6282" i="1"/>
  <c r="AW6282" i="1"/>
  <c r="E6283" i="1"/>
  <c r="F6283" i="1"/>
  <c r="W6283" i="1"/>
  <c r="AJ6283" i="1"/>
  <c r="AW6283" i="1"/>
  <c r="E6284" i="1"/>
  <c r="F6284" i="1"/>
  <c r="W6284" i="1"/>
  <c r="AJ6284" i="1"/>
  <c r="AW6284" i="1"/>
  <c r="E6285" i="1"/>
  <c r="F6285" i="1"/>
  <c r="W6285" i="1"/>
  <c r="AJ6285" i="1"/>
  <c r="AW6285" i="1"/>
  <c r="J6281" i="1" l="1"/>
  <c r="J6280" i="1"/>
  <c r="J6270" i="1"/>
  <c r="J6267" i="1"/>
  <c r="J6247" i="1"/>
  <c r="J6285" i="1"/>
  <c r="J6256" i="1"/>
  <c r="J6266" i="1"/>
  <c r="J6254" i="1"/>
  <c r="J6283" i="1"/>
  <c r="J6278" i="1"/>
  <c r="J6276" i="1"/>
  <c r="J6274" i="1"/>
  <c r="J6271" i="1"/>
  <c r="J6264" i="1"/>
  <c r="J6262" i="1"/>
  <c r="J6260" i="1"/>
  <c r="J6258" i="1"/>
  <c r="J6255" i="1"/>
  <c r="J6284" i="1"/>
  <c r="J6277" i="1"/>
  <c r="J6268" i="1"/>
  <c r="J6265" i="1"/>
  <c r="J6263" i="1"/>
  <c r="J6261" i="1"/>
  <c r="J6259" i="1"/>
  <c r="J6257" i="1"/>
  <c r="J6252" i="1"/>
  <c r="J6250" i="1"/>
  <c r="J6248" i="1"/>
  <c r="J6246" i="1"/>
  <c r="J6275" i="1"/>
  <c r="J6269" i="1"/>
  <c r="J6272" i="1"/>
  <c r="J6253" i="1"/>
  <c r="J6249" i="1"/>
  <c r="AX6237" i="1"/>
  <c r="E6171" i="1" l="1"/>
  <c r="F6171" i="1"/>
  <c r="W6171" i="1"/>
  <c r="AJ6171" i="1"/>
  <c r="AW6171" i="1"/>
  <c r="E6172" i="1"/>
  <c r="F6172" i="1"/>
  <c r="W6172" i="1"/>
  <c r="AJ6172" i="1"/>
  <c r="AW6172" i="1"/>
  <c r="E6173" i="1"/>
  <c r="F6173" i="1"/>
  <c r="W6173" i="1"/>
  <c r="AJ6173" i="1"/>
  <c r="AW6173" i="1"/>
  <c r="E6174" i="1"/>
  <c r="F6174" i="1"/>
  <c r="W6174" i="1"/>
  <c r="AJ6174" i="1"/>
  <c r="AW6174" i="1"/>
  <c r="E6175" i="1"/>
  <c r="F6175" i="1"/>
  <c r="W6175" i="1"/>
  <c r="AJ6175" i="1"/>
  <c r="AW6175" i="1"/>
  <c r="E6176" i="1"/>
  <c r="F6176" i="1"/>
  <c r="W6176" i="1"/>
  <c r="AJ6176" i="1"/>
  <c r="AW6176" i="1"/>
  <c r="E6177" i="1"/>
  <c r="F6177" i="1"/>
  <c r="J6177" i="1"/>
  <c r="W6177" i="1"/>
  <c r="AJ6177" i="1"/>
  <c r="AW6177" i="1"/>
  <c r="E6178" i="1"/>
  <c r="F6178" i="1"/>
  <c r="W6178" i="1"/>
  <c r="AJ6178" i="1"/>
  <c r="AW6178" i="1"/>
  <c r="E6179" i="1"/>
  <c r="F6179" i="1"/>
  <c r="W6179" i="1"/>
  <c r="AJ6179" i="1"/>
  <c r="AW6179" i="1"/>
  <c r="E6180" i="1"/>
  <c r="F6180" i="1"/>
  <c r="W6180" i="1"/>
  <c r="AJ6180" i="1"/>
  <c r="AW6180" i="1"/>
  <c r="E6181" i="1"/>
  <c r="F6181" i="1"/>
  <c r="W6181" i="1"/>
  <c r="AJ6181" i="1"/>
  <c r="AW6181" i="1"/>
  <c r="E6182" i="1"/>
  <c r="F6182" i="1"/>
  <c r="J6182" i="1"/>
  <c r="W6182" i="1"/>
  <c r="AJ6182" i="1"/>
  <c r="AW6182" i="1"/>
  <c r="E6183" i="1"/>
  <c r="F6183" i="1"/>
  <c r="W6183" i="1"/>
  <c r="AJ6183" i="1"/>
  <c r="AW6183" i="1"/>
  <c r="E6184" i="1"/>
  <c r="F6184" i="1"/>
  <c r="W6184" i="1"/>
  <c r="AJ6184" i="1"/>
  <c r="AW6184" i="1"/>
  <c r="E6185" i="1"/>
  <c r="F6185" i="1"/>
  <c r="W6185" i="1"/>
  <c r="AJ6185" i="1"/>
  <c r="AW6185" i="1"/>
  <c r="E6186" i="1"/>
  <c r="F6186" i="1"/>
  <c r="W6186" i="1"/>
  <c r="AJ6186" i="1"/>
  <c r="AW6186" i="1"/>
  <c r="E6187" i="1"/>
  <c r="F6187" i="1"/>
  <c r="W6187" i="1"/>
  <c r="AJ6187" i="1"/>
  <c r="AW6187" i="1"/>
  <c r="E6188" i="1"/>
  <c r="F6188" i="1"/>
  <c r="W6188" i="1"/>
  <c r="AJ6188" i="1"/>
  <c r="AW6188" i="1"/>
  <c r="E6189" i="1"/>
  <c r="F6189" i="1"/>
  <c r="W6189" i="1"/>
  <c r="AJ6189" i="1"/>
  <c r="AW6189" i="1"/>
  <c r="E6190" i="1"/>
  <c r="F6190" i="1"/>
  <c r="W6190" i="1"/>
  <c r="AJ6190" i="1"/>
  <c r="AW6190" i="1"/>
  <c r="E6191" i="1"/>
  <c r="F6191" i="1"/>
  <c r="W6191" i="1"/>
  <c r="AJ6191" i="1"/>
  <c r="AW6191" i="1"/>
  <c r="E6192" i="1"/>
  <c r="F6192" i="1"/>
  <c r="W6192" i="1"/>
  <c r="AJ6192" i="1"/>
  <c r="AW6192" i="1"/>
  <c r="E6193" i="1"/>
  <c r="F6193" i="1"/>
  <c r="W6193" i="1"/>
  <c r="AJ6193" i="1"/>
  <c r="AW6193" i="1"/>
  <c r="E6194" i="1"/>
  <c r="F6194" i="1"/>
  <c r="J6194" i="1"/>
  <c r="W6194" i="1"/>
  <c r="AJ6194" i="1"/>
  <c r="AW6194" i="1"/>
  <c r="E6195" i="1"/>
  <c r="F6195" i="1"/>
  <c r="W6195" i="1"/>
  <c r="AJ6195" i="1"/>
  <c r="AW6195" i="1"/>
  <c r="E6196" i="1"/>
  <c r="F6196" i="1"/>
  <c r="J6196" i="1"/>
  <c r="W6196" i="1"/>
  <c r="AJ6196" i="1"/>
  <c r="AW6196" i="1"/>
  <c r="E6197" i="1"/>
  <c r="F6197" i="1"/>
  <c r="W6197" i="1"/>
  <c r="AJ6197" i="1"/>
  <c r="AW6197" i="1"/>
  <c r="E6198" i="1"/>
  <c r="F6198" i="1"/>
  <c r="W6198" i="1"/>
  <c r="AJ6198" i="1"/>
  <c r="AW6198" i="1"/>
  <c r="E6199" i="1"/>
  <c r="F6199" i="1"/>
  <c r="W6199" i="1"/>
  <c r="AJ6199" i="1"/>
  <c r="AW6199" i="1"/>
  <c r="E6200" i="1"/>
  <c r="F6200" i="1"/>
  <c r="J6200" i="1"/>
  <c r="W6200" i="1"/>
  <c r="AJ6200" i="1"/>
  <c r="AW6200" i="1"/>
  <c r="E6201" i="1"/>
  <c r="F6201" i="1"/>
  <c r="W6201" i="1"/>
  <c r="AJ6201" i="1"/>
  <c r="AW6201" i="1"/>
  <c r="E6202" i="1"/>
  <c r="F6202" i="1"/>
  <c r="W6202" i="1"/>
  <c r="AJ6202" i="1"/>
  <c r="AW6202" i="1"/>
  <c r="E6203" i="1"/>
  <c r="F6203" i="1"/>
  <c r="W6203" i="1"/>
  <c r="AJ6203" i="1"/>
  <c r="AW6203" i="1"/>
  <c r="E6204" i="1"/>
  <c r="F6204" i="1"/>
  <c r="W6204" i="1"/>
  <c r="AJ6204" i="1"/>
  <c r="AW6204" i="1"/>
  <c r="E6205" i="1"/>
  <c r="F6205" i="1"/>
  <c r="W6205" i="1"/>
  <c r="AJ6205" i="1"/>
  <c r="AW6205" i="1"/>
  <c r="E6206" i="1"/>
  <c r="F6206" i="1"/>
  <c r="W6206" i="1"/>
  <c r="AJ6206" i="1"/>
  <c r="AW6206" i="1"/>
  <c r="E6207" i="1"/>
  <c r="F6207" i="1"/>
  <c r="W6207" i="1"/>
  <c r="AJ6207" i="1"/>
  <c r="AW6207" i="1"/>
  <c r="E6208" i="1"/>
  <c r="F6208" i="1"/>
  <c r="W6208" i="1"/>
  <c r="AJ6208" i="1"/>
  <c r="AW6208" i="1"/>
  <c r="E6209" i="1"/>
  <c r="F6209" i="1"/>
  <c r="W6209" i="1"/>
  <c r="AJ6209" i="1"/>
  <c r="AW6209" i="1"/>
  <c r="E6210" i="1"/>
  <c r="F6210" i="1"/>
  <c r="J6210" i="1"/>
  <c r="W6210" i="1"/>
  <c r="AJ6210" i="1"/>
  <c r="AW6210" i="1"/>
  <c r="E6211" i="1"/>
  <c r="F6211" i="1"/>
  <c r="W6211" i="1"/>
  <c r="AJ6211" i="1"/>
  <c r="AW6211" i="1"/>
  <c r="E6212" i="1"/>
  <c r="F6212" i="1"/>
  <c r="W6212" i="1"/>
  <c r="AJ6212" i="1"/>
  <c r="AW6212" i="1"/>
  <c r="E6213" i="1"/>
  <c r="F6213" i="1"/>
  <c r="W6213" i="1"/>
  <c r="AJ6213" i="1"/>
  <c r="AW6213" i="1"/>
  <c r="E6214" i="1"/>
  <c r="F6214" i="1"/>
  <c r="W6214" i="1"/>
  <c r="AJ6214" i="1"/>
  <c r="AW6214" i="1"/>
  <c r="E6215" i="1"/>
  <c r="F6215" i="1"/>
  <c r="J6215" i="1"/>
  <c r="W6215" i="1"/>
  <c r="AJ6215" i="1"/>
  <c r="AW6215" i="1"/>
  <c r="E6216" i="1"/>
  <c r="F6216" i="1"/>
  <c r="W6216" i="1"/>
  <c r="AJ6216" i="1"/>
  <c r="AW6216" i="1"/>
  <c r="E6217" i="1"/>
  <c r="F6217" i="1"/>
  <c r="W6217" i="1"/>
  <c r="AJ6217" i="1"/>
  <c r="AW6217" i="1"/>
  <c r="E6218" i="1"/>
  <c r="F6218" i="1"/>
  <c r="W6218" i="1"/>
  <c r="AJ6218" i="1"/>
  <c r="AW6218" i="1"/>
  <c r="E6219" i="1"/>
  <c r="F6219" i="1"/>
  <c r="W6219" i="1"/>
  <c r="AJ6219" i="1"/>
  <c r="AW6219" i="1"/>
  <c r="E6220" i="1"/>
  <c r="F6220" i="1"/>
  <c r="W6220" i="1"/>
  <c r="AJ6220" i="1"/>
  <c r="AW6220" i="1"/>
  <c r="E6221" i="1"/>
  <c r="F6221" i="1"/>
  <c r="W6221" i="1"/>
  <c r="AJ6221" i="1"/>
  <c r="AW6221" i="1"/>
  <c r="E6222" i="1"/>
  <c r="F6222" i="1"/>
  <c r="J6222" i="1"/>
  <c r="W6222" i="1"/>
  <c r="AJ6222" i="1"/>
  <c r="AW6222" i="1"/>
  <c r="E6223" i="1"/>
  <c r="F6223" i="1"/>
  <c r="W6223" i="1"/>
  <c r="AJ6223" i="1"/>
  <c r="AW6223" i="1"/>
  <c r="E6224" i="1"/>
  <c r="F6224" i="1"/>
  <c r="W6224" i="1"/>
  <c r="AJ6224" i="1"/>
  <c r="AW6224" i="1"/>
  <c r="E6225" i="1"/>
  <c r="F6225" i="1"/>
  <c r="J6225" i="1"/>
  <c r="W6225" i="1"/>
  <c r="AJ6225" i="1"/>
  <c r="AW6225" i="1"/>
  <c r="E6226" i="1"/>
  <c r="F6226" i="1"/>
  <c r="W6226" i="1"/>
  <c r="AJ6226" i="1"/>
  <c r="AW6226" i="1"/>
  <c r="E6227" i="1"/>
  <c r="F6227" i="1"/>
  <c r="W6227" i="1"/>
  <c r="AJ6227" i="1"/>
  <c r="AW6227" i="1"/>
  <c r="E6228" i="1"/>
  <c r="F6228" i="1"/>
  <c r="J6228" i="1"/>
  <c r="W6228" i="1"/>
  <c r="AJ6228" i="1"/>
  <c r="AW6228" i="1"/>
  <c r="E6229" i="1"/>
  <c r="F6229" i="1"/>
  <c r="W6229" i="1"/>
  <c r="AJ6229" i="1"/>
  <c r="AW6229" i="1"/>
  <c r="E6230" i="1"/>
  <c r="F6230" i="1"/>
  <c r="W6230" i="1"/>
  <c r="AJ6230" i="1"/>
  <c r="AW6230" i="1"/>
  <c r="E6231" i="1"/>
  <c r="F6231" i="1"/>
  <c r="W6231" i="1"/>
  <c r="AJ6231" i="1"/>
  <c r="AW6231" i="1"/>
  <c r="E6232" i="1"/>
  <c r="F6232" i="1"/>
  <c r="W6232" i="1"/>
  <c r="AJ6232" i="1"/>
  <c r="AW6232" i="1"/>
  <c r="E6233" i="1"/>
  <c r="F6233" i="1"/>
  <c r="W6233" i="1"/>
  <c r="AJ6233" i="1"/>
  <c r="AW6233" i="1"/>
  <c r="E6234" i="1"/>
  <c r="F6234" i="1"/>
  <c r="W6234" i="1"/>
  <c r="AJ6234" i="1"/>
  <c r="AW6234" i="1"/>
  <c r="E6235" i="1"/>
  <c r="F6235" i="1"/>
  <c r="W6235" i="1"/>
  <c r="AJ6235" i="1"/>
  <c r="AW6235" i="1"/>
  <c r="E6236" i="1"/>
  <c r="F6236" i="1"/>
  <c r="W6236" i="1"/>
  <c r="AJ6236" i="1"/>
  <c r="AW6236" i="1"/>
  <c r="E6237" i="1"/>
  <c r="F6237" i="1"/>
  <c r="W6237" i="1"/>
  <c r="AJ6237" i="1"/>
  <c r="AW6237" i="1"/>
  <c r="E6238" i="1"/>
  <c r="F6238" i="1"/>
  <c r="W6238" i="1"/>
  <c r="AJ6238" i="1"/>
  <c r="AW6238" i="1"/>
  <c r="E6239" i="1"/>
  <c r="F6239" i="1"/>
  <c r="W6239" i="1"/>
  <c r="AJ6239" i="1"/>
  <c r="AW6239" i="1"/>
  <c r="E6240" i="1"/>
  <c r="F6240" i="1"/>
  <c r="W6240" i="1"/>
  <c r="AJ6240" i="1"/>
  <c r="AW6240" i="1"/>
  <c r="E6241" i="1"/>
  <c r="F6241" i="1"/>
  <c r="W6241" i="1"/>
  <c r="AJ6241" i="1"/>
  <c r="AW6241" i="1"/>
  <c r="E6242" i="1"/>
  <c r="F6242" i="1"/>
  <c r="W6242" i="1"/>
  <c r="AJ6242" i="1"/>
  <c r="AW6242" i="1"/>
  <c r="E6243" i="1"/>
  <c r="F6243" i="1"/>
  <c r="W6243" i="1"/>
  <c r="AJ6243" i="1"/>
  <c r="AW6243" i="1"/>
  <c r="E6286" i="1"/>
  <c r="F6286" i="1"/>
  <c r="W6286" i="1"/>
  <c r="AJ6286" i="1"/>
  <c r="AW6286" i="1"/>
  <c r="J6224" i="1" l="1"/>
  <c r="J6204" i="1"/>
  <c r="J6240" i="1"/>
  <c r="J6214" i="1"/>
  <c r="J6186" i="1"/>
  <c r="J6242" i="1"/>
  <c r="J6236" i="1"/>
  <c r="J6226" i="1"/>
  <c r="J6221" i="1"/>
  <c r="J6216" i="1"/>
  <c r="J6208" i="1"/>
  <c r="J6206" i="1"/>
  <c r="J6202" i="1"/>
  <c r="J6198" i="1"/>
  <c r="J6188" i="1"/>
  <c r="J6243" i="1"/>
  <c r="J6239" i="1"/>
  <c r="J6241" i="1"/>
  <c r="J6238" i="1"/>
  <c r="J6232" i="1"/>
  <c r="J6230" i="1"/>
  <c r="J6217" i="1"/>
  <c r="J6209" i="1"/>
  <c r="J6207" i="1"/>
  <c r="J6201" i="1"/>
  <c r="J6192" i="1"/>
  <c r="J6191" i="1"/>
  <c r="J6187" i="1"/>
  <c r="J6181" i="1"/>
  <c r="J6174" i="1"/>
  <c r="J6171" i="1"/>
  <c r="J6231" i="1"/>
  <c r="J6223" i="1"/>
  <c r="J6219" i="1"/>
  <c r="J6213" i="1"/>
  <c r="J6205" i="1"/>
  <c r="J6199" i="1"/>
  <c r="J6197" i="1"/>
  <c r="J6189" i="1"/>
  <c r="J6185" i="1"/>
  <c r="J6183" i="1"/>
  <c r="J6286" i="1"/>
  <c r="J6233" i="1"/>
  <c r="J6212" i="1"/>
  <c r="J6184" i="1"/>
  <c r="J6180" i="1"/>
  <c r="J6179" i="1"/>
  <c r="J6176" i="1"/>
  <c r="J6173" i="1"/>
  <c r="J6237" i="1"/>
  <c r="J6218" i="1"/>
  <c r="J6211" i="1"/>
  <c r="J6190" i="1"/>
  <c r="J6178" i="1"/>
  <c r="J6172" i="1"/>
  <c r="J6220" i="1"/>
  <c r="J6203" i="1"/>
  <c r="J6195" i="1"/>
  <c r="J6175" i="1"/>
  <c r="J6234" i="1"/>
  <c r="J6227" i="1"/>
  <c r="J6235" i="1"/>
  <c r="J6229" i="1"/>
  <c r="J6193" i="1"/>
  <c r="AY6022" i="1"/>
  <c r="AX5974" i="1"/>
  <c r="BU47" i="7"/>
  <c r="BU46" i="7" s="1"/>
  <c r="BU45" i="7"/>
  <c r="BU44" i="7"/>
  <c r="BU43" i="7"/>
  <c r="BU42" i="7"/>
  <c r="BU41" i="7"/>
  <c r="BU40" i="7"/>
  <c r="BU39" i="7"/>
  <c r="BU38" i="7"/>
  <c r="BU37" i="7"/>
  <c r="BU35" i="7"/>
  <c r="BU34" i="7"/>
  <c r="BU33" i="7"/>
  <c r="BU32" i="7"/>
  <c r="BU31" i="7"/>
  <c r="BU30" i="7"/>
  <c r="BU29" i="7"/>
  <c r="BU27" i="7"/>
  <c r="BU26" i="7"/>
  <c r="BU25" i="7"/>
  <c r="BU24" i="7"/>
  <c r="BU22" i="7"/>
  <c r="BU21" i="7"/>
  <c r="BU20" i="7"/>
  <c r="BU19" i="7"/>
  <c r="BU18" i="7"/>
  <c r="BU17" i="7"/>
  <c r="BU16" i="7"/>
  <c r="BU11" i="7"/>
  <c r="BU10" i="7"/>
  <c r="BU9" i="7"/>
  <c r="BU8" i="7"/>
  <c r="BU7" i="7"/>
  <c r="BU6" i="7"/>
  <c r="AX6107" i="1"/>
  <c r="AW6107" i="1"/>
  <c r="AJ6107" i="1"/>
  <c r="W6107" i="1"/>
  <c r="F6107" i="1"/>
  <c r="E6107" i="1"/>
  <c r="BU15" i="7" l="1"/>
  <c r="J6107" i="1"/>
  <c r="BU36" i="7"/>
  <c r="BU28" i="7"/>
  <c r="BU23" i="7"/>
  <c r="BU13" i="7"/>
  <c r="BU48" i="7" l="1"/>
  <c r="BU49" i="7" s="1"/>
  <c r="BU54" i="7" s="1"/>
  <c r="BU57" i="7" s="1"/>
  <c r="BC6108" i="1" l="1"/>
  <c r="BB6108" i="1"/>
  <c r="BA6108" i="1"/>
  <c r="AZ6108" i="1"/>
  <c r="AY6108" i="1"/>
  <c r="H3208" i="8"/>
  <c r="H3207" i="8"/>
  <c r="AX6168" i="1" l="1"/>
  <c r="AX6110" i="1"/>
  <c r="BT6" i="7"/>
  <c r="H3249" i="8" l="1"/>
  <c r="H3253" i="8"/>
  <c r="AX6106" i="1"/>
  <c r="E6105" i="1"/>
  <c r="F6105" i="1"/>
  <c r="W6105" i="1"/>
  <c r="AJ6105" i="1"/>
  <c r="AW6105" i="1"/>
  <c r="E6106" i="1"/>
  <c r="F6106" i="1"/>
  <c r="J6106" i="1"/>
  <c r="W6106" i="1"/>
  <c r="AJ6106" i="1"/>
  <c r="AW6106" i="1"/>
  <c r="E6108" i="1"/>
  <c r="F6108" i="1"/>
  <c r="W6108" i="1"/>
  <c r="AJ6108" i="1"/>
  <c r="AW6108" i="1"/>
  <c r="E6109" i="1"/>
  <c r="F6109" i="1"/>
  <c r="J6109" i="1"/>
  <c r="W6109" i="1"/>
  <c r="AJ6109" i="1"/>
  <c r="AW6109" i="1"/>
  <c r="E6110" i="1"/>
  <c r="F6110" i="1"/>
  <c r="J6110" i="1"/>
  <c r="W6110" i="1"/>
  <c r="AJ6110" i="1"/>
  <c r="AW6110" i="1"/>
  <c r="E6112" i="1"/>
  <c r="F6112" i="1"/>
  <c r="W6112" i="1"/>
  <c r="AJ6112" i="1"/>
  <c r="AW6112" i="1"/>
  <c r="E6113" i="1"/>
  <c r="F6113" i="1"/>
  <c r="W6113" i="1"/>
  <c r="AJ6113" i="1"/>
  <c r="AW6113" i="1"/>
  <c r="E6114" i="1"/>
  <c r="F6114" i="1"/>
  <c r="W6114" i="1"/>
  <c r="AJ6114" i="1"/>
  <c r="AW6114" i="1"/>
  <c r="E6115" i="1"/>
  <c r="F6115" i="1"/>
  <c r="W6115" i="1"/>
  <c r="AJ6115" i="1"/>
  <c r="AW6115" i="1"/>
  <c r="E6116" i="1"/>
  <c r="F6116" i="1"/>
  <c r="W6116" i="1"/>
  <c r="AJ6116" i="1"/>
  <c r="AW6116" i="1"/>
  <c r="E6117" i="1"/>
  <c r="F6117" i="1"/>
  <c r="W6117" i="1"/>
  <c r="AJ6117" i="1"/>
  <c r="AW6117" i="1"/>
  <c r="E6118" i="1"/>
  <c r="F6118" i="1"/>
  <c r="W6118" i="1"/>
  <c r="AJ6118" i="1"/>
  <c r="AW6118" i="1"/>
  <c r="E6119" i="1"/>
  <c r="F6119" i="1"/>
  <c r="W6119" i="1"/>
  <c r="AJ6119" i="1"/>
  <c r="AW6119" i="1"/>
  <c r="E6120" i="1"/>
  <c r="F6120" i="1"/>
  <c r="W6120" i="1"/>
  <c r="AJ6120" i="1"/>
  <c r="AW6120" i="1"/>
  <c r="E6121" i="1"/>
  <c r="F6121" i="1"/>
  <c r="W6121" i="1"/>
  <c r="AJ6121" i="1"/>
  <c r="AW6121" i="1"/>
  <c r="E6122" i="1"/>
  <c r="F6122" i="1"/>
  <c r="W6122" i="1"/>
  <c r="AJ6122" i="1"/>
  <c r="AW6122" i="1"/>
  <c r="E6123" i="1"/>
  <c r="F6123" i="1"/>
  <c r="W6123" i="1"/>
  <c r="AJ6123" i="1"/>
  <c r="AW6123" i="1"/>
  <c r="E6124" i="1"/>
  <c r="F6124" i="1"/>
  <c r="W6124" i="1"/>
  <c r="AJ6124" i="1"/>
  <c r="AW6124" i="1"/>
  <c r="E6125" i="1"/>
  <c r="F6125" i="1"/>
  <c r="J6125" i="1"/>
  <c r="W6125" i="1"/>
  <c r="AJ6125" i="1"/>
  <c r="AW6125" i="1"/>
  <c r="E6126" i="1"/>
  <c r="F6126" i="1"/>
  <c r="W6126" i="1"/>
  <c r="AJ6126" i="1"/>
  <c r="AW6126" i="1"/>
  <c r="E6127" i="1"/>
  <c r="F6127" i="1"/>
  <c r="W6127" i="1"/>
  <c r="AJ6127" i="1"/>
  <c r="AW6127" i="1"/>
  <c r="E6128" i="1"/>
  <c r="F6128" i="1"/>
  <c r="W6128" i="1"/>
  <c r="AJ6128" i="1"/>
  <c r="AW6128" i="1"/>
  <c r="E6129" i="1"/>
  <c r="F6129" i="1"/>
  <c r="W6129" i="1"/>
  <c r="AJ6129" i="1"/>
  <c r="AW6129" i="1"/>
  <c r="E6130" i="1"/>
  <c r="F6130" i="1"/>
  <c r="W6130" i="1"/>
  <c r="AJ6130" i="1"/>
  <c r="AW6130" i="1"/>
  <c r="E6131" i="1"/>
  <c r="F6131" i="1"/>
  <c r="W6131" i="1"/>
  <c r="AJ6131" i="1"/>
  <c r="AW6131" i="1"/>
  <c r="E6132" i="1"/>
  <c r="F6132" i="1"/>
  <c r="W6132" i="1"/>
  <c r="AJ6132" i="1"/>
  <c r="AW6132" i="1"/>
  <c r="E6133" i="1"/>
  <c r="F6133" i="1"/>
  <c r="W6133" i="1"/>
  <c r="AJ6133" i="1"/>
  <c r="AW6133" i="1"/>
  <c r="E6134" i="1"/>
  <c r="F6134" i="1"/>
  <c r="W6134" i="1"/>
  <c r="AJ6134" i="1"/>
  <c r="AW6134" i="1"/>
  <c r="E6135" i="1"/>
  <c r="F6135" i="1"/>
  <c r="W6135" i="1"/>
  <c r="AJ6135" i="1"/>
  <c r="AW6135" i="1"/>
  <c r="E6136" i="1"/>
  <c r="F6136" i="1"/>
  <c r="W6136" i="1"/>
  <c r="AJ6136" i="1"/>
  <c r="AW6136" i="1"/>
  <c r="E6137" i="1"/>
  <c r="F6137" i="1"/>
  <c r="W6137" i="1"/>
  <c r="AJ6137" i="1"/>
  <c r="AW6137" i="1"/>
  <c r="E6138" i="1"/>
  <c r="F6138" i="1"/>
  <c r="W6138" i="1"/>
  <c r="AJ6138" i="1"/>
  <c r="AW6138" i="1"/>
  <c r="E6139" i="1"/>
  <c r="F6139" i="1"/>
  <c r="W6139" i="1"/>
  <c r="AJ6139" i="1"/>
  <c r="AW6139" i="1"/>
  <c r="E6140" i="1"/>
  <c r="F6140" i="1"/>
  <c r="W6140" i="1"/>
  <c r="AJ6140" i="1"/>
  <c r="AW6140" i="1"/>
  <c r="E6141" i="1"/>
  <c r="F6141" i="1"/>
  <c r="W6141" i="1"/>
  <c r="AJ6141" i="1"/>
  <c r="AW6141" i="1"/>
  <c r="E6142" i="1"/>
  <c r="F6142" i="1"/>
  <c r="W6142" i="1"/>
  <c r="AJ6142" i="1"/>
  <c r="AW6142" i="1"/>
  <c r="E6143" i="1"/>
  <c r="F6143" i="1"/>
  <c r="W6143" i="1"/>
  <c r="AJ6143" i="1"/>
  <c r="AW6143" i="1"/>
  <c r="E6144" i="1"/>
  <c r="F6144" i="1"/>
  <c r="W6144" i="1"/>
  <c r="AJ6144" i="1"/>
  <c r="AW6144" i="1"/>
  <c r="E6145" i="1"/>
  <c r="F6145" i="1"/>
  <c r="W6145" i="1"/>
  <c r="AJ6145" i="1"/>
  <c r="AW6145" i="1"/>
  <c r="E6146" i="1"/>
  <c r="F6146" i="1"/>
  <c r="W6146" i="1"/>
  <c r="AJ6146" i="1"/>
  <c r="AW6146" i="1"/>
  <c r="E6147" i="1"/>
  <c r="F6147" i="1"/>
  <c r="W6147" i="1"/>
  <c r="AJ6147" i="1"/>
  <c r="AW6147" i="1"/>
  <c r="E6148" i="1"/>
  <c r="F6148" i="1"/>
  <c r="W6148" i="1"/>
  <c r="AJ6148" i="1"/>
  <c r="AW6148" i="1"/>
  <c r="E6149" i="1"/>
  <c r="F6149" i="1"/>
  <c r="W6149" i="1"/>
  <c r="AJ6149" i="1"/>
  <c r="AW6149" i="1"/>
  <c r="E6150" i="1"/>
  <c r="F6150" i="1"/>
  <c r="W6150" i="1"/>
  <c r="AJ6150" i="1"/>
  <c r="AW6150" i="1"/>
  <c r="E6151" i="1"/>
  <c r="F6151" i="1"/>
  <c r="W6151" i="1"/>
  <c r="AJ6151" i="1"/>
  <c r="AW6151" i="1"/>
  <c r="E6152" i="1"/>
  <c r="F6152" i="1"/>
  <c r="W6152" i="1"/>
  <c r="AJ6152" i="1"/>
  <c r="AW6152" i="1"/>
  <c r="E6153" i="1"/>
  <c r="F6153" i="1"/>
  <c r="W6153" i="1"/>
  <c r="AJ6153" i="1"/>
  <c r="AW6153" i="1"/>
  <c r="E6154" i="1"/>
  <c r="F6154" i="1"/>
  <c r="W6154" i="1"/>
  <c r="AJ6154" i="1"/>
  <c r="AW6154" i="1"/>
  <c r="E6155" i="1"/>
  <c r="F6155" i="1"/>
  <c r="W6155" i="1"/>
  <c r="AJ6155" i="1"/>
  <c r="AW6155" i="1"/>
  <c r="E6156" i="1"/>
  <c r="F6156" i="1"/>
  <c r="W6156" i="1"/>
  <c r="AJ6156" i="1"/>
  <c r="AW6156" i="1"/>
  <c r="E6157" i="1"/>
  <c r="F6157" i="1"/>
  <c r="W6157" i="1"/>
  <c r="AJ6157" i="1"/>
  <c r="AW6157" i="1"/>
  <c r="E6158" i="1"/>
  <c r="F6158" i="1"/>
  <c r="J6158" i="1"/>
  <c r="W6158" i="1"/>
  <c r="AJ6158" i="1"/>
  <c r="AW6158" i="1"/>
  <c r="E6159" i="1"/>
  <c r="F6159" i="1"/>
  <c r="W6159" i="1"/>
  <c r="AJ6159" i="1"/>
  <c r="AW6159" i="1"/>
  <c r="E6160" i="1"/>
  <c r="F6160" i="1"/>
  <c r="W6160" i="1"/>
  <c r="AJ6160" i="1"/>
  <c r="AW6160" i="1"/>
  <c r="E6161" i="1"/>
  <c r="F6161" i="1"/>
  <c r="W6161" i="1"/>
  <c r="AJ6161" i="1"/>
  <c r="AW6161" i="1"/>
  <c r="E6162" i="1"/>
  <c r="F6162" i="1"/>
  <c r="W6162" i="1"/>
  <c r="AJ6162" i="1"/>
  <c r="AW6162" i="1"/>
  <c r="E6163" i="1"/>
  <c r="F6163" i="1"/>
  <c r="W6163" i="1"/>
  <c r="AJ6163" i="1"/>
  <c r="AW6163" i="1"/>
  <c r="E6164" i="1"/>
  <c r="F6164" i="1"/>
  <c r="W6164" i="1"/>
  <c r="AJ6164" i="1"/>
  <c r="AW6164" i="1"/>
  <c r="E6165" i="1"/>
  <c r="F6165" i="1"/>
  <c r="J6165" i="1"/>
  <c r="W6165" i="1"/>
  <c r="AJ6165" i="1"/>
  <c r="AW6165" i="1"/>
  <c r="E6166" i="1"/>
  <c r="F6166" i="1"/>
  <c r="W6166" i="1"/>
  <c r="AJ6166" i="1"/>
  <c r="AW6166" i="1"/>
  <c r="E6167" i="1"/>
  <c r="F6167" i="1"/>
  <c r="W6167" i="1"/>
  <c r="AJ6167" i="1"/>
  <c r="AW6167" i="1"/>
  <c r="E6168" i="1"/>
  <c r="F6168" i="1"/>
  <c r="W6168" i="1"/>
  <c r="AJ6168" i="1"/>
  <c r="AW6168" i="1"/>
  <c r="E6169" i="1"/>
  <c r="F6169" i="1"/>
  <c r="W6169" i="1"/>
  <c r="AJ6169" i="1"/>
  <c r="AW6169" i="1"/>
  <c r="E6170" i="1"/>
  <c r="F6170" i="1"/>
  <c r="W6170" i="1"/>
  <c r="AJ6170" i="1"/>
  <c r="AW6170" i="1"/>
  <c r="J6142" i="1" l="1"/>
  <c r="J6163" i="1"/>
  <c r="J6161" i="1"/>
  <c r="J6138" i="1"/>
  <c r="J6126" i="1"/>
  <c r="J6124" i="1"/>
  <c r="J6122" i="1"/>
  <c r="J6121" i="1"/>
  <c r="J6119" i="1"/>
  <c r="J6118" i="1"/>
  <c r="J6115" i="1"/>
  <c r="J6160" i="1"/>
  <c r="J6114" i="1"/>
  <c r="J6157" i="1"/>
  <c r="J6156" i="1"/>
  <c r="J6134" i="1"/>
  <c r="J6130" i="1"/>
  <c r="J6112" i="1"/>
  <c r="J6164" i="1"/>
  <c r="J6162" i="1"/>
  <c r="J6145" i="1"/>
  <c r="J6143" i="1"/>
  <c r="J6129" i="1"/>
  <c r="J6127" i="1"/>
  <c r="J6105" i="1"/>
  <c r="J6170" i="1"/>
  <c r="J6168" i="1"/>
  <c r="J6167" i="1"/>
  <c r="J6166" i="1"/>
  <c r="J6159" i="1"/>
  <c r="J6155" i="1"/>
  <c r="J6154" i="1"/>
  <c r="J6153" i="1"/>
  <c r="J6152" i="1"/>
  <c r="J6151" i="1"/>
  <c r="J6150" i="1"/>
  <c r="J6149" i="1"/>
  <c r="J6148" i="1"/>
  <c r="J6147" i="1"/>
  <c r="J6140" i="1"/>
  <c r="J6137" i="1"/>
  <c r="J6136" i="1"/>
  <c r="J6135" i="1"/>
  <c r="J6133" i="1"/>
  <c r="J6132" i="1"/>
  <c r="J6131" i="1"/>
  <c r="J6128" i="1"/>
  <c r="J6123" i="1"/>
  <c r="J6120" i="1"/>
  <c r="J6108" i="1"/>
  <c r="J6144" i="1"/>
  <c r="J6169" i="1"/>
  <c r="J6146" i="1"/>
  <c r="J6141" i="1"/>
  <c r="J6139" i="1"/>
  <c r="J6117" i="1"/>
  <c r="J6113" i="1"/>
  <c r="J6116" i="1"/>
  <c r="H3213" i="8"/>
  <c r="H3193" i="8"/>
  <c r="AX6100" i="1" l="1"/>
  <c r="E6097" i="1"/>
  <c r="F6097" i="1"/>
  <c r="W6097" i="1"/>
  <c r="AJ6097" i="1"/>
  <c r="AW6097" i="1"/>
  <c r="E6098" i="1"/>
  <c r="F6098" i="1"/>
  <c r="W6098" i="1"/>
  <c r="AJ6098" i="1"/>
  <c r="AW6098" i="1"/>
  <c r="E6099" i="1"/>
  <c r="F6099" i="1"/>
  <c r="W6099" i="1"/>
  <c r="AJ6099" i="1"/>
  <c r="AW6099" i="1"/>
  <c r="E6100" i="1"/>
  <c r="F6100" i="1"/>
  <c r="W6100" i="1"/>
  <c r="AJ6100" i="1"/>
  <c r="AW6100" i="1"/>
  <c r="E6101" i="1"/>
  <c r="F6101" i="1"/>
  <c r="J6101" i="1"/>
  <c r="W6101" i="1"/>
  <c r="AJ6101" i="1"/>
  <c r="AW6101" i="1"/>
  <c r="E6102" i="1"/>
  <c r="F6102" i="1"/>
  <c r="W6102" i="1"/>
  <c r="AJ6102" i="1"/>
  <c r="AW6102" i="1"/>
  <c r="E6103" i="1"/>
  <c r="F6103" i="1"/>
  <c r="W6103" i="1"/>
  <c r="AJ6103" i="1"/>
  <c r="AW6103" i="1"/>
  <c r="E6104" i="1"/>
  <c r="F6104" i="1"/>
  <c r="J6104" i="1"/>
  <c r="W6104" i="1"/>
  <c r="AJ6104" i="1"/>
  <c r="AW6104" i="1"/>
  <c r="E6083" i="1"/>
  <c r="F6083" i="1"/>
  <c r="W6083" i="1"/>
  <c r="AJ6083" i="1"/>
  <c r="AW6083" i="1"/>
  <c r="E6084" i="1"/>
  <c r="F6084" i="1"/>
  <c r="J6084" i="1"/>
  <c r="W6084" i="1"/>
  <c r="AJ6084" i="1"/>
  <c r="AW6084" i="1"/>
  <c r="E6085" i="1"/>
  <c r="F6085" i="1"/>
  <c r="W6085" i="1"/>
  <c r="AJ6085" i="1"/>
  <c r="AW6085" i="1"/>
  <c r="E6086" i="1"/>
  <c r="F6086" i="1"/>
  <c r="W6086" i="1"/>
  <c r="AJ6086" i="1"/>
  <c r="AW6086" i="1"/>
  <c r="E6087" i="1"/>
  <c r="F6087" i="1"/>
  <c r="J6087" i="1"/>
  <c r="W6087" i="1"/>
  <c r="AJ6087" i="1"/>
  <c r="AW6087" i="1"/>
  <c r="E6088" i="1"/>
  <c r="F6088" i="1"/>
  <c r="W6088" i="1"/>
  <c r="AJ6088" i="1"/>
  <c r="AW6088" i="1"/>
  <c r="E6089" i="1"/>
  <c r="F6089" i="1"/>
  <c r="W6089" i="1"/>
  <c r="AJ6089" i="1"/>
  <c r="AW6089" i="1"/>
  <c r="E6090" i="1"/>
  <c r="F6090" i="1"/>
  <c r="W6090" i="1"/>
  <c r="AJ6090" i="1"/>
  <c r="AW6090" i="1"/>
  <c r="E6091" i="1"/>
  <c r="F6091" i="1"/>
  <c r="W6091" i="1"/>
  <c r="AJ6091" i="1"/>
  <c r="AW6091" i="1"/>
  <c r="E6092" i="1"/>
  <c r="F6092" i="1"/>
  <c r="W6092" i="1"/>
  <c r="AJ6092" i="1"/>
  <c r="AW6092" i="1"/>
  <c r="E6074" i="1"/>
  <c r="F6074" i="1"/>
  <c r="W6074" i="1"/>
  <c r="AJ6074" i="1"/>
  <c r="AW6074" i="1"/>
  <c r="E6075" i="1"/>
  <c r="F6075" i="1"/>
  <c r="W6075" i="1"/>
  <c r="AJ6075" i="1"/>
  <c r="AW6075" i="1"/>
  <c r="E6076" i="1"/>
  <c r="F6076" i="1"/>
  <c r="W6076" i="1"/>
  <c r="AJ6076" i="1"/>
  <c r="AW6076" i="1"/>
  <c r="E6077" i="1"/>
  <c r="F6077" i="1"/>
  <c r="J6077" i="1"/>
  <c r="W6077" i="1"/>
  <c r="AJ6077" i="1"/>
  <c r="AW6077" i="1"/>
  <c r="E6078" i="1"/>
  <c r="F6078" i="1"/>
  <c r="W6078" i="1"/>
  <c r="AJ6078" i="1"/>
  <c r="AW6078" i="1"/>
  <c r="E6079" i="1"/>
  <c r="F6079" i="1"/>
  <c r="W6079" i="1"/>
  <c r="AJ6079" i="1"/>
  <c r="AW6079" i="1"/>
  <c r="E6080" i="1"/>
  <c r="F6080" i="1"/>
  <c r="W6080" i="1"/>
  <c r="AJ6080" i="1"/>
  <c r="AW6080" i="1"/>
  <c r="E6081" i="1"/>
  <c r="F6081" i="1"/>
  <c r="W6081" i="1"/>
  <c r="AJ6081" i="1"/>
  <c r="AW6081" i="1"/>
  <c r="E6082" i="1"/>
  <c r="F6082" i="1"/>
  <c r="W6082" i="1"/>
  <c r="AJ6082" i="1"/>
  <c r="AW6082" i="1"/>
  <c r="E6093" i="1"/>
  <c r="F6093" i="1"/>
  <c r="W6093" i="1"/>
  <c r="AJ6093" i="1"/>
  <c r="AW6093" i="1"/>
  <c r="E6094" i="1"/>
  <c r="F6094" i="1"/>
  <c r="W6094" i="1"/>
  <c r="AJ6094" i="1"/>
  <c r="AW6094" i="1"/>
  <c r="E6095" i="1"/>
  <c r="F6095" i="1"/>
  <c r="W6095" i="1"/>
  <c r="AJ6095" i="1"/>
  <c r="AW6095" i="1"/>
  <c r="J6097" i="1" l="1"/>
  <c r="J6082" i="1"/>
  <c r="J6102" i="1"/>
  <c r="J6103" i="1"/>
  <c r="J6094" i="1"/>
  <c r="J6075" i="1"/>
  <c r="J6091" i="1"/>
  <c r="J6079" i="1"/>
  <c r="J6078" i="1"/>
  <c r="J6076" i="1"/>
  <c r="J6092" i="1"/>
  <c r="J6089" i="1"/>
  <c r="J6086" i="1"/>
  <c r="J6085" i="1"/>
  <c r="J6080" i="1"/>
  <c r="J6100" i="1"/>
  <c r="J6099" i="1"/>
  <c r="J6098" i="1"/>
  <c r="J6095" i="1"/>
  <c r="J6093" i="1"/>
  <c r="J6081" i="1"/>
  <c r="J6074" i="1"/>
  <c r="J6090" i="1"/>
  <c r="J6088" i="1"/>
  <c r="J6083" i="1"/>
  <c r="AX6065" i="1" l="1"/>
  <c r="E6027" i="1"/>
  <c r="F6027" i="1"/>
  <c r="J6027" i="1"/>
  <c r="W6027" i="1"/>
  <c r="AJ6027" i="1"/>
  <c r="AW6027" i="1"/>
  <c r="E6028" i="1"/>
  <c r="F6028" i="1"/>
  <c r="W6028" i="1"/>
  <c r="AJ6028" i="1"/>
  <c r="AW6028" i="1"/>
  <c r="E6029" i="1"/>
  <c r="F6029" i="1"/>
  <c r="W6029" i="1"/>
  <c r="AJ6029" i="1"/>
  <c r="AW6029" i="1"/>
  <c r="E6030" i="1"/>
  <c r="F6030" i="1"/>
  <c r="W6030" i="1"/>
  <c r="AJ6030" i="1"/>
  <c r="AW6030" i="1"/>
  <c r="E6031" i="1"/>
  <c r="F6031" i="1"/>
  <c r="W6031" i="1"/>
  <c r="AJ6031" i="1"/>
  <c r="AW6031" i="1"/>
  <c r="E6032" i="1"/>
  <c r="F6032" i="1"/>
  <c r="W6032" i="1"/>
  <c r="AJ6032" i="1"/>
  <c r="AW6032" i="1"/>
  <c r="E6033" i="1"/>
  <c r="F6033" i="1"/>
  <c r="W6033" i="1"/>
  <c r="AJ6033" i="1"/>
  <c r="AW6033" i="1"/>
  <c r="E6034" i="1"/>
  <c r="F6034" i="1"/>
  <c r="W6034" i="1"/>
  <c r="AJ6034" i="1"/>
  <c r="AW6034" i="1"/>
  <c r="E6035" i="1"/>
  <c r="F6035" i="1"/>
  <c r="W6035" i="1"/>
  <c r="AJ6035" i="1"/>
  <c r="AW6035" i="1"/>
  <c r="E6036" i="1"/>
  <c r="F6036" i="1"/>
  <c r="W6036" i="1"/>
  <c r="AJ6036" i="1"/>
  <c r="AW6036" i="1"/>
  <c r="E6037" i="1"/>
  <c r="F6037" i="1"/>
  <c r="W6037" i="1"/>
  <c r="AJ6037" i="1"/>
  <c r="AW6037" i="1"/>
  <c r="E6038" i="1"/>
  <c r="F6038" i="1"/>
  <c r="W6038" i="1"/>
  <c r="AJ6038" i="1"/>
  <c r="AW6038" i="1"/>
  <c r="E6039" i="1"/>
  <c r="F6039" i="1"/>
  <c r="J6039" i="1"/>
  <c r="W6039" i="1"/>
  <c r="AJ6039" i="1"/>
  <c r="AW6039" i="1"/>
  <c r="E6040" i="1"/>
  <c r="F6040" i="1"/>
  <c r="W6040" i="1"/>
  <c r="AJ6040" i="1"/>
  <c r="AW6040" i="1"/>
  <c r="E6041" i="1"/>
  <c r="F6041" i="1"/>
  <c r="W6041" i="1"/>
  <c r="AJ6041" i="1"/>
  <c r="AW6041" i="1"/>
  <c r="E6042" i="1"/>
  <c r="F6042" i="1"/>
  <c r="W6042" i="1"/>
  <c r="AJ6042" i="1"/>
  <c r="AW6042" i="1"/>
  <c r="E6043" i="1"/>
  <c r="F6043" i="1"/>
  <c r="W6043" i="1"/>
  <c r="AJ6043" i="1"/>
  <c r="AW6043" i="1"/>
  <c r="E6044" i="1"/>
  <c r="F6044" i="1"/>
  <c r="W6044" i="1"/>
  <c r="AJ6044" i="1"/>
  <c r="AW6044" i="1"/>
  <c r="E6045" i="1"/>
  <c r="F6045" i="1"/>
  <c r="W6045" i="1"/>
  <c r="AJ6045" i="1"/>
  <c r="AW6045" i="1"/>
  <c r="E6046" i="1"/>
  <c r="F6046" i="1"/>
  <c r="W6046" i="1"/>
  <c r="AJ6046" i="1"/>
  <c r="AW6046" i="1"/>
  <c r="E6047" i="1"/>
  <c r="F6047" i="1"/>
  <c r="W6047" i="1"/>
  <c r="AJ6047" i="1"/>
  <c r="AW6047" i="1"/>
  <c r="E6048" i="1"/>
  <c r="F6048" i="1"/>
  <c r="J6048" i="1"/>
  <c r="W6048" i="1"/>
  <c r="AJ6048" i="1"/>
  <c r="AW6048" i="1"/>
  <c r="E6049" i="1"/>
  <c r="F6049" i="1"/>
  <c r="W6049" i="1"/>
  <c r="AJ6049" i="1"/>
  <c r="AW6049" i="1"/>
  <c r="E6050" i="1"/>
  <c r="F6050" i="1"/>
  <c r="W6050" i="1"/>
  <c r="AJ6050" i="1"/>
  <c r="AW6050" i="1"/>
  <c r="E6051" i="1"/>
  <c r="F6051" i="1"/>
  <c r="W6051" i="1"/>
  <c r="AJ6051" i="1"/>
  <c r="AW6051" i="1"/>
  <c r="E6052" i="1"/>
  <c r="F6052" i="1"/>
  <c r="W6052" i="1"/>
  <c r="AJ6052" i="1"/>
  <c r="AW6052" i="1"/>
  <c r="E6053" i="1"/>
  <c r="F6053" i="1"/>
  <c r="J6053" i="1"/>
  <c r="W6053" i="1"/>
  <c r="AJ6053" i="1"/>
  <c r="AW6053" i="1"/>
  <c r="E6054" i="1"/>
  <c r="F6054" i="1"/>
  <c r="W6054" i="1"/>
  <c r="AJ6054" i="1"/>
  <c r="AW6054" i="1"/>
  <c r="E6055" i="1"/>
  <c r="F6055" i="1"/>
  <c r="W6055" i="1"/>
  <c r="AJ6055" i="1"/>
  <c r="AW6055" i="1"/>
  <c r="E6056" i="1"/>
  <c r="F6056" i="1"/>
  <c r="W6056" i="1"/>
  <c r="AJ6056" i="1"/>
  <c r="AW6056" i="1"/>
  <c r="E6057" i="1"/>
  <c r="F6057" i="1"/>
  <c r="J6057" i="1"/>
  <c r="W6057" i="1"/>
  <c r="AJ6057" i="1"/>
  <c r="AW6057" i="1"/>
  <c r="E6058" i="1"/>
  <c r="F6058" i="1"/>
  <c r="W6058" i="1"/>
  <c r="AJ6058" i="1"/>
  <c r="AW6058" i="1"/>
  <c r="E6059" i="1"/>
  <c r="F6059" i="1"/>
  <c r="W6059" i="1"/>
  <c r="AJ6059" i="1"/>
  <c r="AW6059" i="1"/>
  <c r="E6060" i="1"/>
  <c r="F6060" i="1"/>
  <c r="W6060" i="1"/>
  <c r="AJ6060" i="1"/>
  <c r="AW6060" i="1"/>
  <c r="E6024" i="1"/>
  <c r="F6024" i="1"/>
  <c r="J6024" i="1"/>
  <c r="W6024" i="1"/>
  <c r="AJ6024" i="1"/>
  <c r="AW6024" i="1"/>
  <c r="E6025" i="1"/>
  <c r="F6025" i="1"/>
  <c r="W6025" i="1"/>
  <c r="AJ6025" i="1"/>
  <c r="AW6025" i="1"/>
  <c r="E6026" i="1"/>
  <c r="F6026" i="1"/>
  <c r="W6026" i="1"/>
  <c r="AJ6026" i="1"/>
  <c r="AW6026" i="1"/>
  <c r="E6061" i="1"/>
  <c r="F6061" i="1"/>
  <c r="W6061" i="1"/>
  <c r="AJ6061" i="1"/>
  <c r="AW6061" i="1"/>
  <c r="E6062" i="1"/>
  <c r="F6062" i="1"/>
  <c r="W6062" i="1"/>
  <c r="AJ6062" i="1"/>
  <c r="AW6062" i="1"/>
  <c r="E6063" i="1"/>
  <c r="F6063" i="1"/>
  <c r="J6063" i="1"/>
  <c r="W6063" i="1"/>
  <c r="AJ6063" i="1"/>
  <c r="AW6063" i="1"/>
  <c r="E6064" i="1"/>
  <c r="F6064" i="1"/>
  <c r="W6064" i="1"/>
  <c r="AJ6064" i="1"/>
  <c r="AW6064" i="1"/>
  <c r="E6065" i="1"/>
  <c r="F6065" i="1"/>
  <c r="W6065" i="1"/>
  <c r="AJ6065" i="1"/>
  <c r="AW6065" i="1"/>
  <c r="E6066" i="1"/>
  <c r="F6066" i="1"/>
  <c r="J6066" i="1"/>
  <c r="W6066" i="1"/>
  <c r="AJ6066" i="1"/>
  <c r="AW6066" i="1"/>
  <c r="E6067" i="1"/>
  <c r="F6067" i="1"/>
  <c r="W6067" i="1"/>
  <c r="AJ6067" i="1"/>
  <c r="AW6067" i="1"/>
  <c r="E6068" i="1"/>
  <c r="F6068" i="1"/>
  <c r="W6068" i="1"/>
  <c r="AJ6068" i="1"/>
  <c r="AW6068" i="1"/>
  <c r="E6069" i="1"/>
  <c r="F6069" i="1"/>
  <c r="W6069" i="1"/>
  <c r="AJ6069" i="1"/>
  <c r="AW6069" i="1"/>
  <c r="E6070" i="1"/>
  <c r="F6070" i="1"/>
  <c r="W6070" i="1"/>
  <c r="AJ6070" i="1"/>
  <c r="AW6070" i="1"/>
  <c r="E6071" i="1"/>
  <c r="F6071" i="1"/>
  <c r="W6071" i="1"/>
  <c r="AJ6071" i="1"/>
  <c r="AW6071" i="1"/>
  <c r="E6072" i="1"/>
  <c r="F6072" i="1"/>
  <c r="W6072" i="1"/>
  <c r="AJ6072" i="1"/>
  <c r="AW6072" i="1"/>
  <c r="E6073" i="1"/>
  <c r="F6073" i="1"/>
  <c r="J6073" i="1"/>
  <c r="W6073" i="1"/>
  <c r="AJ6073" i="1"/>
  <c r="AW6073" i="1"/>
  <c r="E6096" i="1"/>
  <c r="F6096" i="1"/>
  <c r="W6096" i="1"/>
  <c r="AJ6096" i="1"/>
  <c r="AW6096" i="1"/>
  <c r="E6316" i="1"/>
  <c r="F6316" i="1"/>
  <c r="J6316" i="1"/>
  <c r="W6316" i="1"/>
  <c r="AJ6316" i="1"/>
  <c r="AW6316" i="1"/>
  <c r="J6096" i="1" l="1"/>
  <c r="J6069" i="1"/>
  <c r="J6026" i="1"/>
  <c r="J6072" i="1"/>
  <c r="J6068" i="1"/>
  <c r="J6071" i="1"/>
  <c r="J6067" i="1"/>
  <c r="J6070" i="1"/>
  <c r="J6025" i="1"/>
  <c r="J6065" i="1"/>
  <c r="J6062" i="1"/>
  <c r="J6058" i="1"/>
  <c r="J6055" i="1"/>
  <c r="J6050" i="1"/>
  <c r="J6045" i="1"/>
  <c r="J6043" i="1"/>
  <c r="J6041" i="1"/>
  <c r="J6036" i="1"/>
  <c r="J6032" i="1"/>
  <c r="J6031" i="1"/>
  <c r="J6030" i="1"/>
  <c r="J6028" i="1"/>
  <c r="J6064" i="1"/>
  <c r="J6060" i="1"/>
  <c r="J6056" i="1"/>
  <c r="J6054" i="1"/>
  <c r="J6051" i="1"/>
  <c r="J6049" i="1"/>
  <c r="J6047" i="1"/>
  <c r="J6044" i="1"/>
  <c r="J6042" i="1"/>
  <c r="J6038" i="1"/>
  <c r="J6035" i="1"/>
  <c r="J6034" i="1"/>
  <c r="J6033" i="1"/>
  <c r="J6029" i="1"/>
  <c r="J6059" i="1"/>
  <c r="J6052" i="1"/>
  <c r="J6046" i="1"/>
  <c r="J6040" i="1"/>
  <c r="J6061" i="1"/>
  <c r="J6037" i="1"/>
  <c r="H3191" i="8"/>
  <c r="H3185" i="8" l="1"/>
  <c r="H3186" i="8"/>
  <c r="H3187" i="8"/>
  <c r="H3188" i="8"/>
  <c r="H3189" i="8"/>
  <c r="H3190" i="8"/>
  <c r="H3192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9" i="8"/>
  <c r="H3210" i="8"/>
  <c r="H3211" i="8"/>
  <c r="H3212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51" i="8"/>
  <c r="H3252" i="8"/>
  <c r="H3254" i="8"/>
  <c r="H3255" i="8"/>
  <c r="H3257" i="8"/>
  <c r="H3258" i="8"/>
  <c r="H3259" i="8"/>
  <c r="H3260" i="8"/>
  <c r="H3261" i="8"/>
  <c r="H3262" i="8"/>
  <c r="H3263" i="8"/>
  <c r="H3264" i="8"/>
  <c r="I3346" i="8" l="1"/>
  <c r="I3319" i="8"/>
  <c r="AX6022" i="1"/>
  <c r="E6009" i="1"/>
  <c r="F6009" i="1"/>
  <c r="W6009" i="1"/>
  <c r="AJ6009" i="1"/>
  <c r="AW6009" i="1"/>
  <c r="E6010" i="1"/>
  <c r="F6010" i="1"/>
  <c r="W6010" i="1"/>
  <c r="AJ6010" i="1"/>
  <c r="AW6010" i="1"/>
  <c r="E6011" i="1"/>
  <c r="F6011" i="1"/>
  <c r="W6011" i="1"/>
  <c r="AJ6011" i="1"/>
  <c r="AW6011" i="1"/>
  <c r="E6012" i="1"/>
  <c r="F6012" i="1"/>
  <c r="W6012" i="1"/>
  <c r="AJ6012" i="1"/>
  <c r="AW6012" i="1"/>
  <c r="E6013" i="1"/>
  <c r="F6013" i="1"/>
  <c r="W6013" i="1"/>
  <c r="AJ6013" i="1"/>
  <c r="AW6013" i="1"/>
  <c r="E6014" i="1"/>
  <c r="F6014" i="1"/>
  <c r="W6014" i="1"/>
  <c r="AJ6014" i="1"/>
  <c r="AW6014" i="1"/>
  <c r="E6015" i="1"/>
  <c r="F6015" i="1"/>
  <c r="W6015" i="1"/>
  <c r="AJ6015" i="1"/>
  <c r="AW6015" i="1"/>
  <c r="E6016" i="1"/>
  <c r="F6016" i="1"/>
  <c r="W6016" i="1"/>
  <c r="AJ6016" i="1"/>
  <c r="AW6016" i="1"/>
  <c r="AY5974" i="1"/>
  <c r="F5974" i="1"/>
  <c r="AX5966" i="1"/>
  <c r="AW5905" i="1"/>
  <c r="E5907" i="1"/>
  <c r="F5907" i="1"/>
  <c r="W5907" i="1"/>
  <c r="AJ5907" i="1"/>
  <c r="AW5907" i="1"/>
  <c r="E5908" i="1"/>
  <c r="F5908" i="1"/>
  <c r="W5908" i="1"/>
  <c r="AJ5908" i="1"/>
  <c r="AW5908" i="1"/>
  <c r="E5909" i="1"/>
  <c r="F5909" i="1"/>
  <c r="W5909" i="1"/>
  <c r="AJ5909" i="1"/>
  <c r="AW5909" i="1"/>
  <c r="E5910" i="1"/>
  <c r="F5910" i="1"/>
  <c r="J5910" i="1"/>
  <c r="W5910" i="1"/>
  <c r="AJ5910" i="1"/>
  <c r="AW5910" i="1"/>
  <c r="E5911" i="1"/>
  <c r="F5911" i="1"/>
  <c r="J5911" i="1"/>
  <c r="W5911" i="1"/>
  <c r="AJ5911" i="1"/>
  <c r="AW5911" i="1"/>
  <c r="E5912" i="1"/>
  <c r="F5912" i="1"/>
  <c r="W5912" i="1"/>
  <c r="AJ5912" i="1"/>
  <c r="AW5912" i="1"/>
  <c r="E5913" i="1"/>
  <c r="F5913" i="1"/>
  <c r="J5913" i="1"/>
  <c r="W5913" i="1"/>
  <c r="AJ5913" i="1"/>
  <c r="AW5913" i="1"/>
  <c r="E5914" i="1"/>
  <c r="F5914" i="1"/>
  <c r="W5914" i="1"/>
  <c r="AJ5914" i="1"/>
  <c r="AW5914" i="1"/>
  <c r="E5915" i="1"/>
  <c r="F5915" i="1"/>
  <c r="W5915" i="1"/>
  <c r="AJ5915" i="1"/>
  <c r="AW5915" i="1"/>
  <c r="E5916" i="1"/>
  <c r="F5916" i="1"/>
  <c r="J5916" i="1"/>
  <c r="W5916" i="1"/>
  <c r="AJ5916" i="1"/>
  <c r="AW5916" i="1"/>
  <c r="E5917" i="1"/>
  <c r="F5917" i="1"/>
  <c r="J5917" i="1"/>
  <c r="W5917" i="1"/>
  <c r="AJ5917" i="1"/>
  <c r="AW5917" i="1"/>
  <c r="E5918" i="1"/>
  <c r="F5918" i="1"/>
  <c r="W5918" i="1"/>
  <c r="AJ5918" i="1"/>
  <c r="AW5918" i="1"/>
  <c r="E5919" i="1"/>
  <c r="F5919" i="1"/>
  <c r="W5919" i="1"/>
  <c r="AJ5919" i="1"/>
  <c r="AW5919" i="1"/>
  <c r="E5920" i="1"/>
  <c r="F5920" i="1"/>
  <c r="W5920" i="1"/>
  <c r="AJ5920" i="1"/>
  <c r="AW5920" i="1"/>
  <c r="E5921" i="1"/>
  <c r="F5921" i="1"/>
  <c r="W5921" i="1"/>
  <c r="AJ5921" i="1"/>
  <c r="AW5921" i="1"/>
  <c r="E5922" i="1"/>
  <c r="F5922" i="1"/>
  <c r="J5922" i="1"/>
  <c r="W5922" i="1"/>
  <c r="AJ5922" i="1"/>
  <c r="AW5922" i="1"/>
  <c r="E5923" i="1"/>
  <c r="F5923" i="1"/>
  <c r="J5923" i="1"/>
  <c r="W5923" i="1"/>
  <c r="AJ5923" i="1"/>
  <c r="AW5923" i="1"/>
  <c r="E5924" i="1"/>
  <c r="F5924" i="1"/>
  <c r="W5924" i="1"/>
  <c r="AJ5924" i="1"/>
  <c r="AW5924" i="1"/>
  <c r="E5925" i="1"/>
  <c r="F5925" i="1"/>
  <c r="W5925" i="1"/>
  <c r="AJ5925" i="1"/>
  <c r="AW5925" i="1"/>
  <c r="E5926" i="1"/>
  <c r="F5926" i="1"/>
  <c r="W5926" i="1"/>
  <c r="AJ5926" i="1"/>
  <c r="AW5926" i="1"/>
  <c r="E5927" i="1"/>
  <c r="F5927" i="1"/>
  <c r="J5927" i="1"/>
  <c r="W5927" i="1"/>
  <c r="AJ5927" i="1"/>
  <c r="AW5927" i="1"/>
  <c r="E5928" i="1"/>
  <c r="F5928" i="1"/>
  <c r="J5928" i="1"/>
  <c r="W5928" i="1"/>
  <c r="AJ5928" i="1"/>
  <c r="AW5928" i="1"/>
  <c r="E5929" i="1"/>
  <c r="F5929" i="1"/>
  <c r="W5929" i="1"/>
  <c r="AJ5929" i="1"/>
  <c r="AW5929" i="1"/>
  <c r="E5930" i="1"/>
  <c r="F5930" i="1"/>
  <c r="J5930" i="1"/>
  <c r="W5930" i="1"/>
  <c r="AJ5930" i="1"/>
  <c r="AW5930" i="1"/>
  <c r="E5931" i="1"/>
  <c r="F5931" i="1"/>
  <c r="J5931" i="1"/>
  <c r="W5931" i="1"/>
  <c r="AJ5931" i="1"/>
  <c r="AW5931" i="1"/>
  <c r="E5932" i="1"/>
  <c r="F5932" i="1"/>
  <c r="W5932" i="1"/>
  <c r="AJ5932" i="1"/>
  <c r="AW5932" i="1"/>
  <c r="E5933" i="1"/>
  <c r="F5933" i="1"/>
  <c r="W5933" i="1"/>
  <c r="AJ5933" i="1"/>
  <c r="AW5933" i="1"/>
  <c r="E5934" i="1"/>
  <c r="F5934" i="1"/>
  <c r="W5934" i="1"/>
  <c r="AJ5934" i="1"/>
  <c r="AW5934" i="1"/>
  <c r="E5935" i="1"/>
  <c r="F5935" i="1"/>
  <c r="W5935" i="1"/>
  <c r="AJ5935" i="1"/>
  <c r="AW5935" i="1"/>
  <c r="E5936" i="1"/>
  <c r="F5936" i="1"/>
  <c r="W5936" i="1"/>
  <c r="AJ5936" i="1"/>
  <c r="AW5936" i="1"/>
  <c r="E5937" i="1"/>
  <c r="F5937" i="1"/>
  <c r="W5937" i="1"/>
  <c r="AJ5937" i="1"/>
  <c r="AW5937" i="1"/>
  <c r="E5938" i="1"/>
  <c r="F5938" i="1"/>
  <c r="W5938" i="1"/>
  <c r="AJ5938" i="1"/>
  <c r="AW5938" i="1"/>
  <c r="E5939" i="1"/>
  <c r="F5939" i="1"/>
  <c r="J5939" i="1"/>
  <c r="W5939" i="1"/>
  <c r="AJ5939" i="1"/>
  <c r="AW5939" i="1"/>
  <c r="E5940" i="1"/>
  <c r="F5940" i="1"/>
  <c r="W5940" i="1"/>
  <c r="AJ5940" i="1"/>
  <c r="AW5940" i="1"/>
  <c r="E5905" i="1"/>
  <c r="F5905" i="1"/>
  <c r="W5905" i="1"/>
  <c r="AJ5905" i="1"/>
  <c r="E5906" i="1"/>
  <c r="F5906" i="1"/>
  <c r="J5906" i="1"/>
  <c r="W5906" i="1"/>
  <c r="AJ5906" i="1"/>
  <c r="AW5906" i="1"/>
  <c r="E5941" i="1"/>
  <c r="F5941" i="1"/>
  <c r="J5941" i="1"/>
  <c r="W5941" i="1"/>
  <c r="AJ5941" i="1"/>
  <c r="AW5941" i="1"/>
  <c r="E5942" i="1"/>
  <c r="F5942" i="1"/>
  <c r="W5942" i="1"/>
  <c r="AJ5942" i="1"/>
  <c r="AW5942" i="1"/>
  <c r="E5943" i="1"/>
  <c r="F5943" i="1"/>
  <c r="W5943" i="1"/>
  <c r="AJ5943" i="1"/>
  <c r="AW5943" i="1"/>
  <c r="E5944" i="1"/>
  <c r="F5944" i="1"/>
  <c r="W5944" i="1"/>
  <c r="AJ5944" i="1"/>
  <c r="AW5944" i="1"/>
  <c r="E5945" i="1"/>
  <c r="F5945" i="1"/>
  <c r="W5945" i="1"/>
  <c r="AJ5945" i="1"/>
  <c r="AW5945" i="1"/>
  <c r="E5946" i="1"/>
  <c r="F5946" i="1"/>
  <c r="W5946" i="1"/>
  <c r="AJ5946" i="1"/>
  <c r="AW5946" i="1"/>
  <c r="E5947" i="1"/>
  <c r="F5947" i="1"/>
  <c r="W5947" i="1"/>
  <c r="AJ5947" i="1"/>
  <c r="AW5947" i="1"/>
  <c r="E5948" i="1"/>
  <c r="F5948" i="1"/>
  <c r="W5948" i="1"/>
  <c r="AJ5948" i="1"/>
  <c r="AW5948" i="1"/>
  <c r="E5949" i="1"/>
  <c r="F5949" i="1"/>
  <c r="W5949" i="1"/>
  <c r="AJ5949" i="1"/>
  <c r="AW5949" i="1"/>
  <c r="E5950" i="1"/>
  <c r="F5950" i="1"/>
  <c r="W5950" i="1"/>
  <c r="AJ5950" i="1"/>
  <c r="AW5950" i="1"/>
  <c r="E5951" i="1"/>
  <c r="F5951" i="1"/>
  <c r="W5951" i="1"/>
  <c r="AJ5951" i="1"/>
  <c r="AW5951" i="1"/>
  <c r="E5952" i="1"/>
  <c r="F5952" i="1"/>
  <c r="W5952" i="1"/>
  <c r="AJ5952" i="1"/>
  <c r="AW5952" i="1"/>
  <c r="E5953" i="1"/>
  <c r="F5953" i="1"/>
  <c r="W5953" i="1"/>
  <c r="AJ5953" i="1"/>
  <c r="AW5953" i="1"/>
  <c r="E5954" i="1"/>
  <c r="F5954" i="1"/>
  <c r="W5954" i="1"/>
  <c r="AJ5954" i="1"/>
  <c r="AW5954" i="1"/>
  <c r="E5955" i="1"/>
  <c r="F5955" i="1"/>
  <c r="W5955" i="1"/>
  <c r="AJ5955" i="1"/>
  <c r="AW5955" i="1"/>
  <c r="E5956" i="1"/>
  <c r="F5956" i="1"/>
  <c r="J5956" i="1"/>
  <c r="W5956" i="1"/>
  <c r="AJ5956" i="1"/>
  <c r="AW5956" i="1"/>
  <c r="E5957" i="1"/>
  <c r="F5957" i="1"/>
  <c r="J5957" i="1"/>
  <c r="W5957" i="1"/>
  <c r="AJ5957" i="1"/>
  <c r="AW5957" i="1"/>
  <c r="E5958" i="1"/>
  <c r="F5958" i="1"/>
  <c r="W5958" i="1"/>
  <c r="AJ5958" i="1"/>
  <c r="AW5958" i="1"/>
  <c r="E5959" i="1"/>
  <c r="F5959" i="1"/>
  <c r="W5959" i="1"/>
  <c r="AJ5959" i="1"/>
  <c r="AW5959" i="1"/>
  <c r="E5960" i="1"/>
  <c r="F5960" i="1"/>
  <c r="W5960" i="1"/>
  <c r="AJ5960" i="1"/>
  <c r="AW5960" i="1"/>
  <c r="E5961" i="1"/>
  <c r="F5961" i="1"/>
  <c r="W5961" i="1"/>
  <c r="AJ5961" i="1"/>
  <c r="AW5961" i="1"/>
  <c r="E5962" i="1"/>
  <c r="F5962" i="1"/>
  <c r="W5962" i="1"/>
  <c r="AJ5962" i="1"/>
  <c r="AW5962" i="1"/>
  <c r="E5963" i="1"/>
  <c r="F5963" i="1"/>
  <c r="W5963" i="1"/>
  <c r="AJ5963" i="1"/>
  <c r="AW5963" i="1"/>
  <c r="E5964" i="1"/>
  <c r="F5964" i="1"/>
  <c r="W5964" i="1"/>
  <c r="AJ5964" i="1"/>
  <c r="AW5964" i="1"/>
  <c r="E5965" i="1"/>
  <c r="F5965" i="1"/>
  <c r="W5965" i="1"/>
  <c r="AJ5965" i="1"/>
  <c r="AW5965" i="1"/>
  <c r="E5966" i="1"/>
  <c r="F5966" i="1"/>
  <c r="W5966" i="1"/>
  <c r="AJ5966" i="1"/>
  <c r="AW5966" i="1"/>
  <c r="E5967" i="1"/>
  <c r="F5967" i="1"/>
  <c r="W5967" i="1"/>
  <c r="AJ5967" i="1"/>
  <c r="AW5967" i="1"/>
  <c r="E5968" i="1"/>
  <c r="F5968" i="1"/>
  <c r="W5968" i="1"/>
  <c r="AJ5968" i="1"/>
  <c r="AW5968" i="1"/>
  <c r="E5969" i="1"/>
  <c r="F5969" i="1"/>
  <c r="J5969" i="1"/>
  <c r="W5969" i="1"/>
  <c r="AJ5969" i="1"/>
  <c r="AW5969" i="1"/>
  <c r="E5970" i="1"/>
  <c r="F5970" i="1"/>
  <c r="J5970" i="1"/>
  <c r="W5970" i="1"/>
  <c r="AJ5970" i="1"/>
  <c r="AW5970" i="1"/>
  <c r="E5971" i="1"/>
  <c r="F5971" i="1"/>
  <c r="W5971" i="1"/>
  <c r="AJ5971" i="1"/>
  <c r="AW5971" i="1"/>
  <c r="E5972" i="1"/>
  <c r="F5972" i="1"/>
  <c r="W5972" i="1"/>
  <c r="AJ5972" i="1"/>
  <c r="AW5972" i="1"/>
  <c r="E5973" i="1"/>
  <c r="F5973" i="1"/>
  <c r="J5973" i="1"/>
  <c r="W5973" i="1"/>
  <c r="AJ5973" i="1"/>
  <c r="AW5973" i="1"/>
  <c r="E5974" i="1"/>
  <c r="W5974" i="1"/>
  <c r="AJ5974" i="1"/>
  <c r="AW5974" i="1"/>
  <c r="E5975" i="1"/>
  <c r="F5975" i="1"/>
  <c r="W5975" i="1"/>
  <c r="AJ5975" i="1"/>
  <c r="AW5975" i="1"/>
  <c r="E5976" i="1"/>
  <c r="F5976" i="1"/>
  <c r="W5976" i="1"/>
  <c r="AJ5976" i="1"/>
  <c r="AW5976" i="1"/>
  <c r="E5977" i="1"/>
  <c r="F5977" i="1"/>
  <c r="W5977" i="1"/>
  <c r="AJ5977" i="1"/>
  <c r="AW5977" i="1"/>
  <c r="E5978" i="1"/>
  <c r="F5978" i="1"/>
  <c r="W5978" i="1"/>
  <c r="AJ5978" i="1"/>
  <c r="AW5978" i="1"/>
  <c r="E5979" i="1"/>
  <c r="F5979" i="1"/>
  <c r="W5979" i="1"/>
  <c r="AJ5979" i="1"/>
  <c r="AW5979" i="1"/>
  <c r="E5980" i="1"/>
  <c r="F5980" i="1"/>
  <c r="W5980" i="1"/>
  <c r="AJ5980" i="1"/>
  <c r="AW5980" i="1"/>
  <c r="E5981" i="1"/>
  <c r="F5981" i="1"/>
  <c r="W5981" i="1"/>
  <c r="AJ5981" i="1"/>
  <c r="AW5981" i="1"/>
  <c r="E5982" i="1"/>
  <c r="F5982" i="1"/>
  <c r="W5982" i="1"/>
  <c r="AJ5982" i="1"/>
  <c r="AW5982" i="1"/>
  <c r="E5983" i="1"/>
  <c r="F5983" i="1"/>
  <c r="W5983" i="1"/>
  <c r="AJ5983" i="1"/>
  <c r="AW5983" i="1"/>
  <c r="E5984" i="1"/>
  <c r="F5984" i="1"/>
  <c r="J5984" i="1"/>
  <c r="W5984" i="1"/>
  <c r="AJ5984" i="1"/>
  <c r="AW5984" i="1"/>
  <c r="E5985" i="1"/>
  <c r="F5985" i="1"/>
  <c r="J5985" i="1"/>
  <c r="W5985" i="1"/>
  <c r="AJ5985" i="1"/>
  <c r="AW5985" i="1"/>
  <c r="E5986" i="1"/>
  <c r="F5986" i="1"/>
  <c r="W5986" i="1"/>
  <c r="AJ5986" i="1"/>
  <c r="AW5986" i="1"/>
  <c r="E5987" i="1"/>
  <c r="F5987" i="1"/>
  <c r="W5987" i="1"/>
  <c r="AJ5987" i="1"/>
  <c r="AW5987" i="1"/>
  <c r="E5988" i="1"/>
  <c r="F5988" i="1"/>
  <c r="J5988" i="1"/>
  <c r="W5988" i="1"/>
  <c r="AJ5988" i="1"/>
  <c r="AW5988" i="1"/>
  <c r="E5989" i="1"/>
  <c r="F5989" i="1"/>
  <c r="J5989" i="1"/>
  <c r="W5989" i="1"/>
  <c r="AJ5989" i="1"/>
  <c r="AW5989" i="1"/>
  <c r="E5990" i="1"/>
  <c r="F5990" i="1"/>
  <c r="W5990" i="1"/>
  <c r="AJ5990" i="1"/>
  <c r="AW5990" i="1"/>
  <c r="E5991" i="1"/>
  <c r="F5991" i="1"/>
  <c r="W5991" i="1"/>
  <c r="AJ5991" i="1"/>
  <c r="AW5991" i="1"/>
  <c r="E5992" i="1"/>
  <c r="F5992" i="1"/>
  <c r="W5992" i="1"/>
  <c r="AJ5992" i="1"/>
  <c r="AW5992" i="1"/>
  <c r="E5993" i="1"/>
  <c r="F5993" i="1"/>
  <c r="W5993" i="1"/>
  <c r="AJ5993" i="1"/>
  <c r="AW5993" i="1"/>
  <c r="E5994" i="1"/>
  <c r="F5994" i="1"/>
  <c r="W5994" i="1"/>
  <c r="AJ5994" i="1"/>
  <c r="AW5994" i="1"/>
  <c r="E5995" i="1"/>
  <c r="F5995" i="1"/>
  <c r="W5995" i="1"/>
  <c r="AJ5995" i="1"/>
  <c r="AW5995" i="1"/>
  <c r="E5996" i="1"/>
  <c r="F5996" i="1"/>
  <c r="W5996" i="1"/>
  <c r="AJ5996" i="1"/>
  <c r="AW5996" i="1"/>
  <c r="E5997" i="1"/>
  <c r="F5997" i="1"/>
  <c r="W5997" i="1"/>
  <c r="AJ5997" i="1"/>
  <c r="AW5997" i="1"/>
  <c r="E5998" i="1"/>
  <c r="F5998" i="1"/>
  <c r="W5998" i="1"/>
  <c r="AJ5998" i="1"/>
  <c r="AW5998" i="1"/>
  <c r="E5999" i="1"/>
  <c r="F5999" i="1"/>
  <c r="W5999" i="1"/>
  <c r="AJ5999" i="1"/>
  <c r="AW5999" i="1"/>
  <c r="E6000" i="1"/>
  <c r="F6000" i="1"/>
  <c r="W6000" i="1"/>
  <c r="AJ6000" i="1"/>
  <c r="AW6000" i="1"/>
  <c r="E6001" i="1"/>
  <c r="F6001" i="1"/>
  <c r="W6001" i="1"/>
  <c r="AJ6001" i="1"/>
  <c r="AW6001" i="1"/>
  <c r="E6002" i="1"/>
  <c r="F6002" i="1"/>
  <c r="J6002" i="1"/>
  <c r="W6002" i="1"/>
  <c r="AJ6002" i="1"/>
  <c r="AW6002" i="1"/>
  <c r="E6003" i="1"/>
  <c r="F6003" i="1"/>
  <c r="W6003" i="1"/>
  <c r="AJ6003" i="1"/>
  <c r="AW6003" i="1"/>
  <c r="E6004" i="1"/>
  <c r="F6004" i="1"/>
  <c r="W6004" i="1"/>
  <c r="AJ6004" i="1"/>
  <c r="AW6004" i="1"/>
  <c r="E6005" i="1"/>
  <c r="F6005" i="1"/>
  <c r="J6005" i="1"/>
  <c r="W6005" i="1"/>
  <c r="AJ6005" i="1"/>
  <c r="AW6005" i="1"/>
  <c r="E6006" i="1"/>
  <c r="F6006" i="1"/>
  <c r="J6006" i="1"/>
  <c r="W6006" i="1"/>
  <c r="AJ6006" i="1"/>
  <c r="AW6006" i="1"/>
  <c r="E6007" i="1"/>
  <c r="F6007" i="1"/>
  <c r="W6007" i="1"/>
  <c r="AJ6007" i="1"/>
  <c r="AW6007" i="1"/>
  <c r="E6008" i="1"/>
  <c r="F6008" i="1"/>
  <c r="J6008" i="1"/>
  <c r="W6008" i="1"/>
  <c r="AJ6008" i="1"/>
  <c r="AW6008" i="1"/>
  <c r="E6017" i="1"/>
  <c r="F6017" i="1"/>
  <c r="W6017" i="1"/>
  <c r="AJ6017" i="1"/>
  <c r="AW6017" i="1"/>
  <c r="E6018" i="1"/>
  <c r="F6018" i="1"/>
  <c r="J6018" i="1"/>
  <c r="W6018" i="1"/>
  <c r="AJ6018" i="1"/>
  <c r="AW6018" i="1"/>
  <c r="E6019" i="1"/>
  <c r="F6019" i="1"/>
  <c r="W6019" i="1"/>
  <c r="AJ6019" i="1"/>
  <c r="AW6019" i="1"/>
  <c r="E6020" i="1"/>
  <c r="F6020" i="1"/>
  <c r="W6020" i="1"/>
  <c r="AJ6020" i="1"/>
  <c r="AW6020" i="1"/>
  <c r="E6021" i="1"/>
  <c r="F6021" i="1"/>
  <c r="J6021" i="1"/>
  <c r="W6021" i="1"/>
  <c r="AJ6021" i="1"/>
  <c r="AW6021" i="1"/>
  <c r="E6022" i="1"/>
  <c r="F6022" i="1"/>
  <c r="W6022" i="1"/>
  <c r="AJ6022" i="1"/>
  <c r="AW6022" i="1"/>
  <c r="E6023" i="1"/>
  <c r="F6023" i="1"/>
  <c r="W6023" i="1"/>
  <c r="AJ6023" i="1"/>
  <c r="AW6023" i="1"/>
  <c r="J6023" i="1" l="1"/>
  <c r="J6011" i="1"/>
  <c r="J6009" i="1"/>
  <c r="J5987" i="1"/>
  <c r="J5986" i="1"/>
  <c r="J5979" i="1"/>
  <c r="J5972" i="1"/>
  <c r="J5968" i="1"/>
  <c r="J5965" i="1"/>
  <c r="J5964" i="1"/>
  <c r="J5962" i="1"/>
  <c r="J5955" i="1"/>
  <c r="J5953" i="1"/>
  <c r="J5952" i="1"/>
  <c r="J5946" i="1"/>
  <c r="J5942" i="1"/>
  <c r="J5936" i="1"/>
  <c r="J5934" i="1"/>
  <c r="J5932" i="1"/>
  <c r="J5909" i="1"/>
  <c r="J6015" i="1"/>
  <c r="J6013" i="1"/>
  <c r="J6020" i="1"/>
  <c r="J5997" i="1"/>
  <c r="J5996" i="1"/>
  <c r="J6019" i="1"/>
  <c r="J6022" i="1"/>
  <c r="J6007" i="1"/>
  <c r="J6003" i="1"/>
  <c r="J6000" i="1"/>
  <c r="J5998" i="1"/>
  <c r="J5995" i="1"/>
  <c r="J5992" i="1"/>
  <c r="J5990" i="1"/>
  <c r="J5983" i="1"/>
  <c r="J5982" i="1"/>
  <c r="J5980" i="1"/>
  <c r="J5976" i="1"/>
  <c r="J5974" i="1"/>
  <c r="J5971" i="1"/>
  <c r="J5967" i="1"/>
  <c r="J5963" i="1"/>
  <c r="J5961" i="1"/>
  <c r="J5958" i="1"/>
  <c r="J5951" i="1"/>
  <c r="J5948" i="1"/>
  <c r="J5947" i="1"/>
  <c r="J5944" i="1"/>
  <c r="J5943" i="1"/>
  <c r="J5938" i="1"/>
  <c r="J5937" i="1"/>
  <c r="J5935" i="1"/>
  <c r="J5933" i="1"/>
  <c r="J5924" i="1"/>
  <c r="J5920" i="1"/>
  <c r="J5918" i="1"/>
  <c r="J5914" i="1"/>
  <c r="J5907" i="1"/>
  <c r="J6016" i="1"/>
  <c r="J6014" i="1"/>
  <c r="J6012" i="1"/>
  <c r="J6010" i="1"/>
  <c r="J6004" i="1"/>
  <c r="J6001" i="1"/>
  <c r="J5999" i="1"/>
  <c r="J5993" i="1"/>
  <c r="J5991" i="1"/>
  <c r="J5981" i="1"/>
  <c r="J5977" i="1"/>
  <c r="J5975" i="1"/>
  <c r="J5959" i="1"/>
  <c r="J5949" i="1"/>
  <c r="J5921" i="1"/>
  <c r="J5919" i="1"/>
  <c r="J6017" i="1"/>
  <c r="J5994" i="1"/>
  <c r="J5978" i="1"/>
  <c r="J5960" i="1"/>
  <c r="J5954" i="1"/>
  <c r="J5950" i="1"/>
  <c r="J5945" i="1"/>
  <c r="J5940" i="1"/>
  <c r="J5929" i="1"/>
  <c r="J5926" i="1"/>
  <c r="J5925" i="1"/>
  <c r="J5915" i="1"/>
  <c r="J5912" i="1"/>
  <c r="J5908" i="1"/>
  <c r="J5905" i="1"/>
  <c r="J5966" i="1"/>
  <c r="AW5896" i="1"/>
  <c r="AJ5896" i="1"/>
  <c r="W5896" i="1"/>
  <c r="F5896" i="1"/>
  <c r="E5896" i="1"/>
  <c r="BT47" i="7"/>
  <c r="BT45" i="7"/>
  <c r="BT44" i="7"/>
  <c r="BT43" i="7"/>
  <c r="BT41" i="7"/>
  <c r="BT40" i="7"/>
  <c r="BT39" i="7"/>
  <c r="BT38" i="7"/>
  <c r="BT37" i="7"/>
  <c r="BT22" i="7"/>
  <c r="BT21" i="7"/>
  <c r="BT20" i="7"/>
  <c r="BT19" i="7"/>
  <c r="BT18" i="7"/>
  <c r="BT17" i="7"/>
  <c r="BT16" i="7"/>
  <c r="BT11" i="7"/>
  <c r="BT10" i="7"/>
  <c r="BT9" i="7"/>
  <c r="BT8" i="7"/>
  <c r="BT7" i="7"/>
  <c r="AY5895" i="1"/>
  <c r="AY5852" i="1"/>
  <c r="AY5899" i="1"/>
  <c r="AY5736" i="1"/>
  <c r="AX5901" i="1"/>
  <c r="AW5901" i="1"/>
  <c r="H3065" i="8"/>
  <c r="J5896" i="1" l="1"/>
  <c r="BT46" i="7"/>
  <c r="BT42" i="7"/>
  <c r="BT35" i="7"/>
  <c r="BT34" i="7"/>
  <c r="BT33" i="7"/>
  <c r="BT32" i="7"/>
  <c r="BT31" i="7"/>
  <c r="BT30" i="7"/>
  <c r="BT29" i="7"/>
  <c r="BT27" i="7"/>
  <c r="BT26" i="7"/>
  <c r="BT25" i="7"/>
  <c r="BT24" i="7"/>
  <c r="F5898" i="1"/>
  <c r="E5898" i="1"/>
  <c r="F5897" i="1"/>
  <c r="E5897" i="1"/>
  <c r="H3154" i="8"/>
  <c r="H3153" i="8"/>
  <c r="H3152" i="8"/>
  <c r="H3151" i="8"/>
  <c r="BT28" i="7" l="1"/>
  <c r="H3132" i="8"/>
  <c r="H3131" i="8"/>
  <c r="E5899" i="1"/>
  <c r="F5899" i="1"/>
  <c r="W5899" i="1"/>
  <c r="AJ5899" i="1"/>
  <c r="AW5899" i="1"/>
  <c r="E5900" i="1"/>
  <c r="F5900" i="1"/>
  <c r="J5900" i="1"/>
  <c r="W5900" i="1"/>
  <c r="AJ5900" i="1"/>
  <c r="AW5900" i="1"/>
  <c r="E5901" i="1"/>
  <c r="F5901" i="1"/>
  <c r="J5901" i="1"/>
  <c r="W5901" i="1"/>
  <c r="AJ5901" i="1"/>
  <c r="E5903" i="1"/>
  <c r="F5903" i="1"/>
  <c r="J5903" i="1"/>
  <c r="W5903" i="1"/>
  <c r="AJ5903" i="1"/>
  <c r="AW5903" i="1"/>
  <c r="E5904" i="1"/>
  <c r="F5904" i="1"/>
  <c r="W5904" i="1"/>
  <c r="AJ5904" i="1"/>
  <c r="AW5904" i="1"/>
  <c r="E6317" i="1"/>
  <c r="F6317" i="1"/>
  <c r="W6317" i="1"/>
  <c r="AJ6317" i="1"/>
  <c r="AW6317" i="1"/>
  <c r="AX5895" i="1"/>
  <c r="E5888" i="1"/>
  <c r="F5888" i="1"/>
  <c r="W5888" i="1"/>
  <c r="AJ5888" i="1"/>
  <c r="AW5888" i="1"/>
  <c r="E5889" i="1"/>
  <c r="F5889" i="1"/>
  <c r="W5889" i="1"/>
  <c r="AJ5889" i="1"/>
  <c r="AW5889" i="1"/>
  <c r="E5890" i="1"/>
  <c r="F5890" i="1"/>
  <c r="W5890" i="1"/>
  <c r="AJ5890" i="1"/>
  <c r="AW5890" i="1"/>
  <c r="E5891" i="1"/>
  <c r="F5891" i="1"/>
  <c r="W5891" i="1"/>
  <c r="AJ5891" i="1"/>
  <c r="AW5891" i="1"/>
  <c r="E5892" i="1"/>
  <c r="F5892" i="1"/>
  <c r="J5892" i="1"/>
  <c r="W5892" i="1"/>
  <c r="AJ5892" i="1"/>
  <c r="AW5892" i="1"/>
  <c r="E5893" i="1"/>
  <c r="F5893" i="1"/>
  <c r="W5893" i="1"/>
  <c r="AJ5893" i="1"/>
  <c r="AW5893" i="1"/>
  <c r="E5880" i="1"/>
  <c r="F5880" i="1"/>
  <c r="W5880" i="1"/>
  <c r="AJ5880" i="1"/>
  <c r="AW5880" i="1"/>
  <c r="E5881" i="1"/>
  <c r="F5881" i="1"/>
  <c r="W5881" i="1"/>
  <c r="AJ5881" i="1"/>
  <c r="AW5881" i="1"/>
  <c r="E5882" i="1"/>
  <c r="F5882" i="1"/>
  <c r="W5882" i="1"/>
  <c r="AJ5882" i="1"/>
  <c r="AW5882" i="1"/>
  <c r="E5883" i="1"/>
  <c r="F5883" i="1"/>
  <c r="W5883" i="1"/>
  <c r="AJ5883" i="1"/>
  <c r="AW5883" i="1"/>
  <c r="E5884" i="1"/>
  <c r="F5884" i="1"/>
  <c r="W5884" i="1"/>
  <c r="AJ5884" i="1"/>
  <c r="AW5884" i="1"/>
  <c r="E5885" i="1"/>
  <c r="F5885" i="1"/>
  <c r="W5885" i="1"/>
  <c r="AJ5885" i="1"/>
  <c r="AW5885" i="1"/>
  <c r="E5886" i="1"/>
  <c r="F5886" i="1"/>
  <c r="W5886" i="1"/>
  <c r="AJ5886" i="1"/>
  <c r="AW5886" i="1"/>
  <c r="E5871" i="1"/>
  <c r="F5871" i="1"/>
  <c r="W5871" i="1"/>
  <c r="AJ5871" i="1"/>
  <c r="AW5871" i="1"/>
  <c r="E5872" i="1"/>
  <c r="F5872" i="1"/>
  <c r="W5872" i="1"/>
  <c r="AJ5872" i="1"/>
  <c r="AW5872" i="1"/>
  <c r="E5873" i="1"/>
  <c r="F5873" i="1"/>
  <c r="W5873" i="1"/>
  <c r="AJ5873" i="1"/>
  <c r="AW5873" i="1"/>
  <c r="E5874" i="1"/>
  <c r="F5874" i="1"/>
  <c r="W5874" i="1"/>
  <c r="AJ5874" i="1"/>
  <c r="AW5874" i="1"/>
  <c r="E5875" i="1"/>
  <c r="F5875" i="1"/>
  <c r="W5875" i="1"/>
  <c r="AJ5875" i="1"/>
  <c r="AW5875" i="1"/>
  <c r="E5876" i="1"/>
  <c r="F5876" i="1"/>
  <c r="W5876" i="1"/>
  <c r="AJ5876" i="1"/>
  <c r="AW5876" i="1"/>
  <c r="E5877" i="1"/>
  <c r="F5877" i="1"/>
  <c r="W5877" i="1"/>
  <c r="AJ5877" i="1"/>
  <c r="AW5877" i="1"/>
  <c r="E5878" i="1"/>
  <c r="F5878" i="1"/>
  <c r="W5878" i="1"/>
  <c r="AJ5878" i="1"/>
  <c r="AW5878" i="1"/>
  <c r="E5879" i="1"/>
  <c r="F5879" i="1"/>
  <c r="W5879" i="1"/>
  <c r="AJ5879" i="1"/>
  <c r="AW5879" i="1"/>
  <c r="J6317" i="1" l="1"/>
  <c r="J5893" i="1"/>
  <c r="J5890" i="1"/>
  <c r="J5889" i="1"/>
  <c r="J5904" i="1"/>
  <c r="J5899" i="1"/>
  <c r="J5886" i="1"/>
  <c r="J5884" i="1"/>
  <c r="J5882" i="1"/>
  <c r="J5880" i="1"/>
  <c r="J5885" i="1"/>
  <c r="J5883" i="1"/>
  <c r="J5888" i="1"/>
  <c r="J5878" i="1"/>
  <c r="J5871" i="1"/>
  <c r="J5881" i="1"/>
  <c r="J5891" i="1"/>
  <c r="J5875" i="1"/>
  <c r="J5879" i="1"/>
  <c r="J5876" i="1"/>
  <c r="J5874" i="1"/>
  <c r="J5873" i="1"/>
  <c r="J5872" i="1"/>
  <c r="J5877" i="1"/>
  <c r="E5856" i="1"/>
  <c r="F5856" i="1"/>
  <c r="J5856" i="1"/>
  <c r="W5856" i="1"/>
  <c r="AJ5856" i="1"/>
  <c r="AW5856" i="1"/>
  <c r="E5857" i="1"/>
  <c r="F5857" i="1"/>
  <c r="W5857" i="1"/>
  <c r="AJ5857" i="1"/>
  <c r="AW5857" i="1"/>
  <c r="E5858" i="1"/>
  <c r="F5858" i="1"/>
  <c r="W5858" i="1"/>
  <c r="AJ5858" i="1"/>
  <c r="AW5858" i="1"/>
  <c r="E5859" i="1"/>
  <c r="F5859" i="1"/>
  <c r="W5859" i="1"/>
  <c r="AJ5859" i="1"/>
  <c r="AW5859" i="1"/>
  <c r="E5860" i="1"/>
  <c r="F5860" i="1"/>
  <c r="J5860" i="1"/>
  <c r="W5860" i="1"/>
  <c r="AJ5860" i="1"/>
  <c r="AW5860" i="1"/>
  <c r="E5861" i="1"/>
  <c r="F5861" i="1"/>
  <c r="J5861" i="1"/>
  <c r="W5861" i="1"/>
  <c r="AJ5861" i="1"/>
  <c r="AW5861" i="1"/>
  <c r="E5862" i="1"/>
  <c r="F5862" i="1"/>
  <c r="W5862" i="1"/>
  <c r="AJ5862" i="1"/>
  <c r="AW5862" i="1"/>
  <c r="E5863" i="1"/>
  <c r="F5863" i="1"/>
  <c r="W5863" i="1"/>
  <c r="AJ5863" i="1"/>
  <c r="AW5863" i="1"/>
  <c r="E5864" i="1"/>
  <c r="F5864" i="1"/>
  <c r="W5864" i="1"/>
  <c r="AJ5864" i="1"/>
  <c r="AW5864" i="1"/>
  <c r="E5865" i="1"/>
  <c r="F5865" i="1"/>
  <c r="J5865" i="1"/>
  <c r="W5865" i="1"/>
  <c r="AJ5865" i="1"/>
  <c r="AW5865" i="1"/>
  <c r="E5866" i="1"/>
  <c r="F5866" i="1"/>
  <c r="W5866" i="1"/>
  <c r="AJ5866" i="1"/>
  <c r="AW5866" i="1"/>
  <c r="E5867" i="1"/>
  <c r="F5867" i="1"/>
  <c r="W5867" i="1"/>
  <c r="AJ5867" i="1"/>
  <c r="AW5867" i="1"/>
  <c r="E5868" i="1"/>
  <c r="F5868" i="1"/>
  <c r="W5868" i="1"/>
  <c r="AJ5868" i="1"/>
  <c r="AW5868" i="1"/>
  <c r="E5869" i="1"/>
  <c r="F5869" i="1"/>
  <c r="W5869" i="1"/>
  <c r="AJ5869" i="1"/>
  <c r="AW5869" i="1"/>
  <c r="E5870" i="1"/>
  <c r="F5870" i="1"/>
  <c r="W5870" i="1"/>
  <c r="AJ5870" i="1"/>
  <c r="AW5870" i="1"/>
  <c r="E5887" i="1"/>
  <c r="F5887" i="1"/>
  <c r="W5887" i="1"/>
  <c r="AJ5887" i="1"/>
  <c r="AW5887" i="1"/>
  <c r="E5894" i="1"/>
  <c r="F5894" i="1"/>
  <c r="J5894" i="1"/>
  <c r="W5894" i="1"/>
  <c r="AJ5894" i="1"/>
  <c r="AW5894" i="1"/>
  <c r="E5895" i="1"/>
  <c r="F5895" i="1"/>
  <c r="W5895" i="1"/>
  <c r="AJ5895" i="1"/>
  <c r="AW5895" i="1"/>
  <c r="W5897" i="1"/>
  <c r="AJ5897" i="1"/>
  <c r="J5897" i="1" s="1"/>
  <c r="AW5897" i="1"/>
  <c r="W5898" i="1"/>
  <c r="AJ5898" i="1"/>
  <c r="AW5898" i="1"/>
  <c r="BT36" i="7"/>
  <c r="J5895" i="1" l="1"/>
  <c r="J5887" i="1"/>
  <c r="J5898" i="1"/>
  <c r="J5859" i="1"/>
  <c r="BT23" i="7"/>
  <c r="BT15" i="7"/>
  <c r="J5870" i="1"/>
  <c r="J5866" i="1"/>
  <c r="J5857" i="1"/>
  <c r="J5869" i="1"/>
  <c r="J5868" i="1"/>
  <c r="J5867" i="1"/>
  <c r="J5863" i="1"/>
  <c r="BT13" i="7"/>
  <c r="J5864" i="1"/>
  <c r="J5862" i="1"/>
  <c r="J5858" i="1"/>
  <c r="BT48" i="7" l="1"/>
  <c r="BT49" i="7" s="1"/>
  <c r="BT54" i="7" s="1"/>
  <c r="BT57" i="7" s="1"/>
  <c r="H3092" i="8"/>
  <c r="H3088" i="8"/>
  <c r="AX5852" i="1" l="1"/>
  <c r="E5850" i="1"/>
  <c r="F5850" i="1"/>
  <c r="W5850" i="1"/>
  <c r="AJ5850" i="1"/>
  <c r="AW5850" i="1"/>
  <c r="E5851" i="1"/>
  <c r="F5851" i="1"/>
  <c r="J5851" i="1"/>
  <c r="W5851" i="1"/>
  <c r="AJ5851" i="1"/>
  <c r="AW5851" i="1"/>
  <c r="E5852" i="1"/>
  <c r="F5852" i="1"/>
  <c r="J5852" i="1"/>
  <c r="W5852" i="1"/>
  <c r="AJ5852" i="1"/>
  <c r="AW5852" i="1"/>
  <c r="E5853" i="1"/>
  <c r="F5853" i="1"/>
  <c r="W5853" i="1"/>
  <c r="AJ5853" i="1"/>
  <c r="AW5853" i="1"/>
  <c r="E5854" i="1"/>
  <c r="F5854" i="1"/>
  <c r="W5854" i="1"/>
  <c r="AJ5854" i="1"/>
  <c r="AW5854" i="1"/>
  <c r="E5855" i="1"/>
  <c r="F5855" i="1"/>
  <c r="J5855" i="1"/>
  <c r="W5855" i="1"/>
  <c r="AJ5855" i="1"/>
  <c r="AW5855" i="1"/>
  <c r="E5841" i="1"/>
  <c r="F5841" i="1"/>
  <c r="J5841" i="1"/>
  <c r="W5841" i="1"/>
  <c r="AJ5841" i="1"/>
  <c r="AW5841" i="1"/>
  <c r="E5842" i="1"/>
  <c r="F5842" i="1"/>
  <c r="W5842" i="1"/>
  <c r="AJ5842" i="1"/>
  <c r="AW5842" i="1"/>
  <c r="E5843" i="1"/>
  <c r="F5843" i="1"/>
  <c r="W5843" i="1"/>
  <c r="AJ5843" i="1"/>
  <c r="AW5843" i="1"/>
  <c r="E5844" i="1"/>
  <c r="F5844" i="1"/>
  <c r="W5844" i="1"/>
  <c r="AJ5844" i="1"/>
  <c r="AW5844" i="1"/>
  <c r="E5845" i="1"/>
  <c r="F5845" i="1"/>
  <c r="W5845" i="1"/>
  <c r="AJ5845" i="1"/>
  <c r="AW5845" i="1"/>
  <c r="E5846" i="1"/>
  <c r="F5846" i="1"/>
  <c r="W5846" i="1"/>
  <c r="AJ5846" i="1"/>
  <c r="AW5846" i="1"/>
  <c r="E5847" i="1"/>
  <c r="F5847" i="1"/>
  <c r="W5847" i="1"/>
  <c r="AJ5847" i="1"/>
  <c r="AW5847" i="1"/>
  <c r="E5848" i="1"/>
  <c r="F5848" i="1"/>
  <c r="W5848" i="1"/>
  <c r="AJ5848" i="1"/>
  <c r="AW5848" i="1"/>
  <c r="E5836" i="1"/>
  <c r="F5836" i="1"/>
  <c r="W5836" i="1"/>
  <c r="AJ5836" i="1"/>
  <c r="AW5836" i="1"/>
  <c r="E5837" i="1"/>
  <c r="F5837" i="1"/>
  <c r="W5837" i="1"/>
  <c r="AJ5837" i="1"/>
  <c r="AW5837" i="1"/>
  <c r="E5838" i="1"/>
  <c r="F5838" i="1"/>
  <c r="W5838" i="1"/>
  <c r="AJ5838" i="1"/>
  <c r="AW5838" i="1"/>
  <c r="E5839" i="1"/>
  <c r="F5839" i="1"/>
  <c r="W5839" i="1"/>
  <c r="AJ5839" i="1"/>
  <c r="AW5839" i="1"/>
  <c r="E5840" i="1"/>
  <c r="F5840" i="1"/>
  <c r="W5840" i="1"/>
  <c r="AJ5840" i="1"/>
  <c r="AW5840" i="1"/>
  <c r="J5844" i="1" l="1"/>
  <c r="J5854" i="1"/>
  <c r="J5850" i="1"/>
  <c r="J5837" i="1"/>
  <c r="J5847" i="1"/>
  <c r="J5843" i="1"/>
  <c r="J5848" i="1"/>
  <c r="J5846" i="1"/>
  <c r="J5845" i="1"/>
  <c r="J5842" i="1"/>
  <c r="J5853" i="1"/>
  <c r="J5838" i="1"/>
  <c r="J5836" i="1"/>
  <c r="J5839" i="1"/>
  <c r="J5840" i="1"/>
  <c r="H3091" i="8"/>
  <c r="H3090" i="8"/>
  <c r="H3089" i="8"/>
  <c r="H3087" i="8" l="1"/>
  <c r="H3082" i="8"/>
  <c r="H3085" i="8" l="1"/>
  <c r="BA5754" i="1" l="1"/>
  <c r="E5815" i="1" l="1"/>
  <c r="F5815" i="1"/>
  <c r="J5815" i="1"/>
  <c r="W5815" i="1"/>
  <c r="AJ5815" i="1"/>
  <c r="AW5815" i="1"/>
  <c r="E5816" i="1"/>
  <c r="F5816" i="1"/>
  <c r="J5816" i="1"/>
  <c r="W5816" i="1"/>
  <c r="AJ5816" i="1"/>
  <c r="AW5816" i="1"/>
  <c r="E5817" i="1"/>
  <c r="F5817" i="1"/>
  <c r="W5817" i="1"/>
  <c r="AJ5817" i="1"/>
  <c r="AW5817" i="1"/>
  <c r="E5818" i="1"/>
  <c r="F5818" i="1"/>
  <c r="J5818" i="1"/>
  <c r="W5818" i="1"/>
  <c r="AJ5818" i="1"/>
  <c r="AW5818" i="1"/>
  <c r="E5819" i="1"/>
  <c r="F5819" i="1"/>
  <c r="J5819" i="1"/>
  <c r="W5819" i="1"/>
  <c r="AJ5819" i="1"/>
  <c r="AW5819" i="1"/>
  <c r="E5820" i="1"/>
  <c r="F5820" i="1"/>
  <c r="W5820" i="1"/>
  <c r="AJ5820" i="1"/>
  <c r="AW5820" i="1"/>
  <c r="E5821" i="1"/>
  <c r="F5821" i="1"/>
  <c r="J5821" i="1"/>
  <c r="W5821" i="1"/>
  <c r="AJ5821" i="1"/>
  <c r="AW5821" i="1"/>
  <c r="E5822" i="1"/>
  <c r="F5822" i="1"/>
  <c r="W5822" i="1"/>
  <c r="AJ5822" i="1"/>
  <c r="AW5822" i="1"/>
  <c r="E5823" i="1"/>
  <c r="F5823" i="1"/>
  <c r="W5823" i="1"/>
  <c r="AJ5823" i="1"/>
  <c r="AW5823" i="1"/>
  <c r="E5824" i="1"/>
  <c r="F5824" i="1"/>
  <c r="W5824" i="1"/>
  <c r="AJ5824" i="1"/>
  <c r="AW5824" i="1"/>
  <c r="E5825" i="1"/>
  <c r="F5825" i="1"/>
  <c r="J5825" i="1"/>
  <c r="W5825" i="1"/>
  <c r="AJ5825" i="1"/>
  <c r="AW5825" i="1"/>
  <c r="E5826" i="1"/>
  <c r="F5826" i="1"/>
  <c r="W5826" i="1"/>
  <c r="AJ5826" i="1"/>
  <c r="AW5826" i="1"/>
  <c r="E5827" i="1"/>
  <c r="F5827" i="1"/>
  <c r="W5827" i="1"/>
  <c r="AJ5827" i="1"/>
  <c r="AW5827" i="1"/>
  <c r="E5828" i="1"/>
  <c r="F5828" i="1"/>
  <c r="W5828" i="1"/>
  <c r="AJ5828" i="1"/>
  <c r="AW5828" i="1"/>
  <c r="E5829" i="1"/>
  <c r="F5829" i="1"/>
  <c r="W5829" i="1"/>
  <c r="AJ5829" i="1"/>
  <c r="AW5829" i="1"/>
  <c r="E5830" i="1"/>
  <c r="F5830" i="1"/>
  <c r="W5830" i="1"/>
  <c r="AJ5830" i="1"/>
  <c r="AW5830" i="1"/>
  <c r="E5831" i="1"/>
  <c r="F5831" i="1"/>
  <c r="J5831" i="1"/>
  <c r="W5831" i="1"/>
  <c r="AJ5831" i="1"/>
  <c r="AW5831" i="1"/>
  <c r="E5832" i="1"/>
  <c r="F5832" i="1"/>
  <c r="W5832" i="1"/>
  <c r="AJ5832" i="1"/>
  <c r="AW5832" i="1"/>
  <c r="E5833" i="1"/>
  <c r="F5833" i="1"/>
  <c r="W5833" i="1"/>
  <c r="AJ5833" i="1"/>
  <c r="AW5833" i="1"/>
  <c r="E5834" i="1"/>
  <c r="F5834" i="1"/>
  <c r="W5834" i="1"/>
  <c r="AJ5834" i="1"/>
  <c r="AW5834" i="1"/>
  <c r="E5835" i="1"/>
  <c r="F5835" i="1"/>
  <c r="W5835" i="1"/>
  <c r="AJ5835" i="1"/>
  <c r="AW5835" i="1"/>
  <c r="E5849" i="1"/>
  <c r="F5849" i="1"/>
  <c r="W5849" i="1"/>
  <c r="AJ5849" i="1"/>
  <c r="AW5849" i="1"/>
  <c r="J5849" i="1" l="1"/>
  <c r="J5835" i="1"/>
  <c r="J5833" i="1"/>
  <c r="J5830" i="1"/>
  <c r="J5826" i="1"/>
  <c r="J5823" i="1"/>
  <c r="J5817" i="1"/>
  <c r="J5834" i="1"/>
  <c r="J5832" i="1"/>
  <c r="J5829" i="1"/>
  <c r="J5824" i="1"/>
  <c r="J5820" i="1"/>
  <c r="J5828" i="1"/>
  <c r="J5827" i="1"/>
  <c r="J5822" i="1"/>
  <c r="AY5811" i="1"/>
  <c r="AY5897" i="1" s="1"/>
  <c r="AX5811" i="1"/>
  <c r="E5806" i="1"/>
  <c r="F5806" i="1"/>
  <c r="W5806" i="1"/>
  <c r="AJ5806" i="1"/>
  <c r="AW5806" i="1"/>
  <c r="E5807" i="1"/>
  <c r="F5807" i="1"/>
  <c r="W5807" i="1"/>
  <c r="AJ5807" i="1"/>
  <c r="AW5807" i="1"/>
  <c r="E5808" i="1"/>
  <c r="F5808" i="1"/>
  <c r="J5808" i="1"/>
  <c r="W5808" i="1"/>
  <c r="AJ5808" i="1"/>
  <c r="AW5808" i="1"/>
  <c r="E5809" i="1"/>
  <c r="F5809" i="1"/>
  <c r="W5809" i="1"/>
  <c r="AJ5809" i="1"/>
  <c r="AW5809" i="1"/>
  <c r="E5810" i="1"/>
  <c r="F5810" i="1"/>
  <c r="W5810" i="1"/>
  <c r="AJ5810" i="1"/>
  <c r="AW5810" i="1"/>
  <c r="E5798" i="1"/>
  <c r="F5798" i="1"/>
  <c r="J5798" i="1"/>
  <c r="W5798" i="1"/>
  <c r="AJ5798" i="1"/>
  <c r="AW5798" i="1"/>
  <c r="E5799" i="1"/>
  <c r="F5799" i="1"/>
  <c r="W5799" i="1"/>
  <c r="AJ5799" i="1"/>
  <c r="AW5799" i="1"/>
  <c r="E5800" i="1"/>
  <c r="F5800" i="1"/>
  <c r="W5800" i="1"/>
  <c r="AJ5800" i="1"/>
  <c r="AW5800" i="1"/>
  <c r="E5801" i="1"/>
  <c r="F5801" i="1"/>
  <c r="W5801" i="1"/>
  <c r="AJ5801" i="1"/>
  <c r="AW5801" i="1"/>
  <c r="E5802" i="1"/>
  <c r="F5802" i="1"/>
  <c r="W5802" i="1"/>
  <c r="AJ5802" i="1"/>
  <c r="AW5802" i="1"/>
  <c r="E5803" i="1"/>
  <c r="F5803" i="1"/>
  <c r="W5803" i="1"/>
  <c r="AJ5803" i="1"/>
  <c r="AW5803" i="1"/>
  <c r="E5789" i="1"/>
  <c r="F5789" i="1"/>
  <c r="J5789" i="1"/>
  <c r="W5789" i="1"/>
  <c r="AJ5789" i="1"/>
  <c r="AW5789" i="1"/>
  <c r="E5790" i="1"/>
  <c r="F5790" i="1"/>
  <c r="W5790" i="1"/>
  <c r="AJ5790" i="1"/>
  <c r="AW5790" i="1"/>
  <c r="E5791" i="1"/>
  <c r="F5791" i="1"/>
  <c r="W5791" i="1"/>
  <c r="AJ5791" i="1"/>
  <c r="AW5791" i="1"/>
  <c r="E5792" i="1"/>
  <c r="F5792" i="1"/>
  <c r="J5792" i="1"/>
  <c r="W5792" i="1"/>
  <c r="AJ5792" i="1"/>
  <c r="AW5792" i="1"/>
  <c r="E5793" i="1"/>
  <c r="F5793" i="1"/>
  <c r="W5793" i="1"/>
  <c r="AJ5793" i="1"/>
  <c r="AW5793" i="1"/>
  <c r="E5794" i="1"/>
  <c r="F5794" i="1"/>
  <c r="W5794" i="1"/>
  <c r="AJ5794" i="1"/>
  <c r="AW5794" i="1"/>
  <c r="E5795" i="1"/>
  <c r="F5795" i="1"/>
  <c r="J5795" i="1"/>
  <c r="W5795" i="1"/>
  <c r="AJ5795" i="1"/>
  <c r="AW5795" i="1"/>
  <c r="E5796" i="1"/>
  <c r="F5796" i="1"/>
  <c r="W5796" i="1"/>
  <c r="AJ5796" i="1"/>
  <c r="AW5796" i="1"/>
  <c r="E5797" i="1"/>
  <c r="F5797" i="1"/>
  <c r="W5797" i="1"/>
  <c r="AJ5797" i="1"/>
  <c r="AW5797" i="1"/>
  <c r="E5804" i="1"/>
  <c r="F5804" i="1"/>
  <c r="W5804" i="1"/>
  <c r="AJ5804" i="1"/>
  <c r="AW5804" i="1"/>
  <c r="E5805" i="1"/>
  <c r="F5805" i="1"/>
  <c r="J5805" i="1"/>
  <c r="W5805" i="1"/>
  <c r="AJ5805" i="1"/>
  <c r="AW5805" i="1"/>
  <c r="E5774" i="1"/>
  <c r="F5774" i="1"/>
  <c r="W5774" i="1"/>
  <c r="AJ5774" i="1"/>
  <c r="AW5774" i="1"/>
  <c r="E5775" i="1"/>
  <c r="F5775" i="1"/>
  <c r="W5775" i="1"/>
  <c r="AJ5775" i="1"/>
  <c r="AW5775" i="1"/>
  <c r="E5776" i="1"/>
  <c r="F5776" i="1"/>
  <c r="J5776" i="1"/>
  <c r="W5776" i="1"/>
  <c r="AJ5776" i="1"/>
  <c r="AW5776" i="1"/>
  <c r="E5777" i="1"/>
  <c r="F5777" i="1"/>
  <c r="J5777" i="1"/>
  <c r="W5777" i="1"/>
  <c r="AJ5777" i="1"/>
  <c r="AW5777" i="1"/>
  <c r="E5778" i="1"/>
  <c r="F5778" i="1"/>
  <c r="J5778" i="1"/>
  <c r="W5778" i="1"/>
  <c r="AJ5778" i="1"/>
  <c r="AW5778" i="1"/>
  <c r="E5779" i="1"/>
  <c r="F5779" i="1"/>
  <c r="W5779" i="1"/>
  <c r="AJ5779" i="1"/>
  <c r="AW5779" i="1"/>
  <c r="E5780" i="1"/>
  <c r="F5780" i="1"/>
  <c r="W5780" i="1"/>
  <c r="AJ5780" i="1"/>
  <c r="AW5780" i="1"/>
  <c r="E5781" i="1"/>
  <c r="F5781" i="1"/>
  <c r="W5781" i="1"/>
  <c r="AJ5781" i="1"/>
  <c r="AW5781" i="1"/>
  <c r="E5782" i="1"/>
  <c r="F5782" i="1"/>
  <c r="W5782" i="1"/>
  <c r="AJ5782" i="1"/>
  <c r="AW5782" i="1"/>
  <c r="E5783" i="1"/>
  <c r="F5783" i="1"/>
  <c r="W5783" i="1"/>
  <c r="AJ5783" i="1"/>
  <c r="AW5783" i="1"/>
  <c r="E5784" i="1"/>
  <c r="F5784" i="1"/>
  <c r="W5784" i="1"/>
  <c r="AJ5784" i="1"/>
  <c r="AW5784" i="1"/>
  <c r="E5785" i="1"/>
  <c r="F5785" i="1"/>
  <c r="W5785" i="1"/>
  <c r="AJ5785" i="1"/>
  <c r="AW5785" i="1"/>
  <c r="E5786" i="1"/>
  <c r="F5786" i="1"/>
  <c r="J5786" i="1"/>
  <c r="W5786" i="1"/>
  <c r="AJ5786" i="1"/>
  <c r="AW5786" i="1"/>
  <c r="E5787" i="1"/>
  <c r="F5787" i="1"/>
  <c r="J5787" i="1"/>
  <c r="W5787" i="1"/>
  <c r="AJ5787" i="1"/>
  <c r="AW5787" i="1"/>
  <c r="E5788" i="1"/>
  <c r="F5788" i="1"/>
  <c r="W5788" i="1"/>
  <c r="AJ5788" i="1"/>
  <c r="AW5788" i="1"/>
  <c r="J5803" i="1" l="1"/>
  <c r="J5802" i="1"/>
  <c r="J5810" i="1"/>
  <c r="J5809" i="1"/>
  <c r="J5793" i="1"/>
  <c r="J5790" i="1"/>
  <c r="J5807" i="1"/>
  <c r="J5779" i="1"/>
  <c r="J5804" i="1"/>
  <c r="J5801" i="1"/>
  <c r="J5806" i="1"/>
  <c r="J5781" i="1"/>
  <c r="J5796" i="1"/>
  <c r="J5783" i="1"/>
  <c r="J5788" i="1"/>
  <c r="J5780" i="1"/>
  <c r="J5775" i="1"/>
  <c r="J5774" i="1"/>
  <c r="J5794" i="1"/>
  <c r="J5800" i="1"/>
  <c r="J5791" i="1"/>
  <c r="J5799" i="1"/>
  <c r="J5785" i="1"/>
  <c r="J5784" i="1"/>
  <c r="J5782" i="1"/>
  <c r="AX5754" i="1" l="1"/>
  <c r="E5756" i="1"/>
  <c r="F5756" i="1"/>
  <c r="W5756" i="1"/>
  <c r="AJ5756" i="1"/>
  <c r="AW5756" i="1"/>
  <c r="E5757" i="1"/>
  <c r="F5757" i="1"/>
  <c r="W5757" i="1"/>
  <c r="AJ5757" i="1"/>
  <c r="AW5757" i="1"/>
  <c r="E5758" i="1"/>
  <c r="F5758" i="1"/>
  <c r="W5758" i="1"/>
  <c r="AJ5758" i="1"/>
  <c r="AW5758" i="1"/>
  <c r="E5759" i="1"/>
  <c r="F5759" i="1"/>
  <c r="W5759" i="1"/>
  <c r="AJ5759" i="1"/>
  <c r="AW5759" i="1"/>
  <c r="E5760" i="1"/>
  <c r="F5760" i="1"/>
  <c r="W5760" i="1"/>
  <c r="AJ5760" i="1"/>
  <c r="AW5760" i="1"/>
  <c r="E5761" i="1"/>
  <c r="F5761" i="1"/>
  <c r="W5761" i="1"/>
  <c r="AJ5761" i="1"/>
  <c r="AW5761" i="1"/>
  <c r="E5762" i="1"/>
  <c r="F5762" i="1"/>
  <c r="W5762" i="1"/>
  <c r="AJ5762" i="1"/>
  <c r="AW5762" i="1"/>
  <c r="E5763" i="1"/>
  <c r="F5763" i="1"/>
  <c r="W5763" i="1"/>
  <c r="AJ5763" i="1"/>
  <c r="AW5763" i="1"/>
  <c r="E5764" i="1"/>
  <c r="F5764" i="1"/>
  <c r="W5764" i="1"/>
  <c r="AJ5764" i="1"/>
  <c r="AW5764" i="1"/>
  <c r="E5765" i="1"/>
  <c r="F5765" i="1"/>
  <c r="W5765" i="1"/>
  <c r="AJ5765" i="1"/>
  <c r="AW5765" i="1"/>
  <c r="E5766" i="1"/>
  <c r="F5766" i="1"/>
  <c r="W5766" i="1"/>
  <c r="AJ5766" i="1"/>
  <c r="AW5766" i="1"/>
  <c r="E5767" i="1"/>
  <c r="F5767" i="1"/>
  <c r="W5767" i="1"/>
  <c r="AJ5767" i="1"/>
  <c r="AW5767" i="1"/>
  <c r="E5768" i="1"/>
  <c r="F5768" i="1"/>
  <c r="W5768" i="1"/>
  <c r="AJ5768" i="1"/>
  <c r="AW5768" i="1"/>
  <c r="E5769" i="1"/>
  <c r="F5769" i="1"/>
  <c r="W5769" i="1"/>
  <c r="AJ5769" i="1"/>
  <c r="AW5769" i="1"/>
  <c r="E5770" i="1"/>
  <c r="F5770" i="1"/>
  <c r="W5770" i="1"/>
  <c r="AJ5770" i="1"/>
  <c r="AW5770" i="1"/>
  <c r="E5771" i="1"/>
  <c r="F5771" i="1"/>
  <c r="J5771" i="1"/>
  <c r="W5771" i="1"/>
  <c r="AJ5771" i="1"/>
  <c r="AW5771" i="1"/>
  <c r="E5772" i="1"/>
  <c r="F5772" i="1"/>
  <c r="J5772" i="1"/>
  <c r="W5772" i="1"/>
  <c r="AJ5772" i="1"/>
  <c r="AW5772" i="1"/>
  <c r="E5773" i="1"/>
  <c r="F5773" i="1"/>
  <c r="W5773" i="1"/>
  <c r="AJ5773" i="1"/>
  <c r="AW5773" i="1"/>
  <c r="E5746" i="1"/>
  <c r="F5746" i="1"/>
  <c r="J5746" i="1"/>
  <c r="W5746" i="1"/>
  <c r="AJ5746" i="1"/>
  <c r="AW5746" i="1"/>
  <c r="E5747" i="1"/>
  <c r="F5747" i="1"/>
  <c r="W5747" i="1"/>
  <c r="AJ5747" i="1"/>
  <c r="AW5747" i="1"/>
  <c r="E5748" i="1"/>
  <c r="F5748" i="1"/>
  <c r="W5748" i="1"/>
  <c r="AJ5748" i="1"/>
  <c r="AW5748" i="1"/>
  <c r="E5749" i="1"/>
  <c r="F5749" i="1"/>
  <c r="W5749" i="1"/>
  <c r="AJ5749" i="1"/>
  <c r="AW5749" i="1"/>
  <c r="E5750" i="1"/>
  <c r="F5750" i="1"/>
  <c r="J5750" i="1"/>
  <c r="W5750" i="1"/>
  <c r="AJ5750" i="1"/>
  <c r="AW5750" i="1"/>
  <c r="E5751" i="1"/>
  <c r="F5751" i="1"/>
  <c r="W5751" i="1"/>
  <c r="AJ5751" i="1"/>
  <c r="AW5751" i="1"/>
  <c r="E5752" i="1"/>
  <c r="F5752" i="1"/>
  <c r="J5752" i="1"/>
  <c r="W5752" i="1"/>
  <c r="AJ5752" i="1"/>
  <c r="AW5752" i="1"/>
  <c r="E5753" i="1"/>
  <c r="F5753" i="1"/>
  <c r="W5753" i="1"/>
  <c r="AJ5753" i="1"/>
  <c r="AW5753" i="1"/>
  <c r="E5754" i="1"/>
  <c r="F5754" i="1"/>
  <c r="W5754" i="1"/>
  <c r="AJ5754" i="1"/>
  <c r="AW5754" i="1"/>
  <c r="E5755" i="1"/>
  <c r="F5755" i="1"/>
  <c r="W5755" i="1"/>
  <c r="AJ5755" i="1"/>
  <c r="AW5755" i="1"/>
  <c r="J5755" i="1" l="1"/>
  <c r="J5753" i="1"/>
  <c r="J5747" i="1"/>
  <c r="J5773" i="1"/>
  <c r="J5768" i="1"/>
  <c r="J5766" i="1"/>
  <c r="J5764" i="1"/>
  <c r="J5762" i="1"/>
  <c r="J5770" i="1"/>
  <c r="J5769" i="1"/>
  <c r="J5767" i="1"/>
  <c r="J5765" i="1"/>
  <c r="J5763" i="1"/>
  <c r="J5761" i="1"/>
  <c r="J5759" i="1"/>
  <c r="J5758" i="1"/>
  <c r="J5756" i="1"/>
  <c r="J5760" i="1"/>
  <c r="J5757" i="1"/>
  <c r="J5754" i="1"/>
  <c r="J5748" i="1"/>
  <c r="J5751" i="1"/>
  <c r="J5749" i="1"/>
  <c r="AX5736" i="1"/>
  <c r="E5735" i="1"/>
  <c r="F5735" i="1"/>
  <c r="W5735" i="1"/>
  <c r="AJ5735" i="1"/>
  <c r="AW5735" i="1"/>
  <c r="E5736" i="1"/>
  <c r="F5736" i="1"/>
  <c r="W5736" i="1"/>
  <c r="AJ5736" i="1"/>
  <c r="AW5736" i="1"/>
  <c r="E5737" i="1"/>
  <c r="F5737" i="1"/>
  <c r="J5737" i="1"/>
  <c r="W5737" i="1"/>
  <c r="AJ5737" i="1"/>
  <c r="AW5737" i="1"/>
  <c r="E5738" i="1"/>
  <c r="F5738" i="1"/>
  <c r="W5738" i="1"/>
  <c r="AJ5738" i="1"/>
  <c r="AW5738" i="1"/>
  <c r="E5739" i="1"/>
  <c r="F5739" i="1"/>
  <c r="W5739" i="1"/>
  <c r="AJ5739" i="1"/>
  <c r="AW5739" i="1"/>
  <c r="E5740" i="1"/>
  <c r="F5740" i="1"/>
  <c r="J5740" i="1"/>
  <c r="W5740" i="1"/>
  <c r="AJ5740" i="1"/>
  <c r="AW5740" i="1"/>
  <c r="E5741" i="1"/>
  <c r="F5741" i="1"/>
  <c r="W5741" i="1"/>
  <c r="AJ5741" i="1"/>
  <c r="AW5741" i="1"/>
  <c r="E5742" i="1"/>
  <c r="F5742" i="1"/>
  <c r="J5742" i="1"/>
  <c r="W5742" i="1"/>
  <c r="AJ5742" i="1"/>
  <c r="AW5742" i="1"/>
  <c r="E5743" i="1"/>
  <c r="F5743" i="1"/>
  <c r="J5743" i="1"/>
  <c r="W5743" i="1"/>
  <c r="AJ5743" i="1"/>
  <c r="AW5743" i="1"/>
  <c r="E5744" i="1"/>
  <c r="F5744" i="1"/>
  <c r="J5744" i="1"/>
  <c r="W5744" i="1"/>
  <c r="AJ5744" i="1"/>
  <c r="AW5744" i="1"/>
  <c r="E5745" i="1"/>
  <c r="F5745" i="1"/>
  <c r="J5745" i="1"/>
  <c r="W5745" i="1"/>
  <c r="AJ5745" i="1"/>
  <c r="AW5745" i="1"/>
  <c r="E5702" i="1"/>
  <c r="F5702" i="1"/>
  <c r="W5702" i="1"/>
  <c r="AJ5702" i="1"/>
  <c r="AW5702" i="1"/>
  <c r="E5703" i="1"/>
  <c r="F5703" i="1"/>
  <c r="W5703" i="1"/>
  <c r="AJ5703" i="1"/>
  <c r="AW5703" i="1"/>
  <c r="E5704" i="1"/>
  <c r="F5704" i="1"/>
  <c r="W5704" i="1"/>
  <c r="AJ5704" i="1"/>
  <c r="AW5704" i="1"/>
  <c r="E5705" i="1"/>
  <c r="F5705" i="1"/>
  <c r="W5705" i="1"/>
  <c r="AJ5705" i="1"/>
  <c r="AW5705" i="1"/>
  <c r="E5706" i="1"/>
  <c r="F5706" i="1"/>
  <c r="W5706" i="1"/>
  <c r="AJ5706" i="1"/>
  <c r="AW5706" i="1"/>
  <c r="E5707" i="1"/>
  <c r="F5707" i="1"/>
  <c r="J5707" i="1"/>
  <c r="W5707" i="1"/>
  <c r="AJ5707" i="1"/>
  <c r="AW5707" i="1"/>
  <c r="E5708" i="1"/>
  <c r="F5708" i="1"/>
  <c r="W5708" i="1"/>
  <c r="AJ5708" i="1"/>
  <c r="AW5708" i="1"/>
  <c r="E5709" i="1"/>
  <c r="F5709" i="1"/>
  <c r="W5709" i="1"/>
  <c r="AJ5709" i="1"/>
  <c r="AW5709" i="1"/>
  <c r="E5710" i="1"/>
  <c r="F5710" i="1"/>
  <c r="J5710" i="1"/>
  <c r="W5710" i="1"/>
  <c r="AJ5710" i="1"/>
  <c r="AW5710" i="1"/>
  <c r="E5711" i="1"/>
  <c r="F5711" i="1"/>
  <c r="W5711" i="1"/>
  <c r="AJ5711" i="1"/>
  <c r="AW5711" i="1"/>
  <c r="E5712" i="1"/>
  <c r="F5712" i="1"/>
  <c r="W5712" i="1"/>
  <c r="AJ5712" i="1"/>
  <c r="AW5712" i="1"/>
  <c r="E5713" i="1"/>
  <c r="F5713" i="1"/>
  <c r="W5713" i="1"/>
  <c r="AJ5713" i="1"/>
  <c r="AW5713" i="1"/>
  <c r="E5714" i="1"/>
  <c r="F5714" i="1"/>
  <c r="W5714" i="1"/>
  <c r="AJ5714" i="1"/>
  <c r="AW5714" i="1"/>
  <c r="E5715" i="1"/>
  <c r="F5715" i="1"/>
  <c r="W5715" i="1"/>
  <c r="AJ5715" i="1"/>
  <c r="AW5715" i="1"/>
  <c r="E5716" i="1"/>
  <c r="F5716" i="1"/>
  <c r="W5716" i="1"/>
  <c r="AJ5716" i="1"/>
  <c r="AW5716" i="1"/>
  <c r="E5717" i="1"/>
  <c r="F5717" i="1"/>
  <c r="W5717" i="1"/>
  <c r="AJ5717" i="1"/>
  <c r="AW5717" i="1"/>
  <c r="E5718" i="1"/>
  <c r="F5718" i="1"/>
  <c r="W5718" i="1"/>
  <c r="AJ5718" i="1"/>
  <c r="AW5718" i="1"/>
  <c r="E5719" i="1"/>
  <c r="F5719" i="1"/>
  <c r="W5719" i="1"/>
  <c r="AJ5719" i="1"/>
  <c r="AW5719" i="1"/>
  <c r="E5720" i="1"/>
  <c r="F5720" i="1"/>
  <c r="W5720" i="1"/>
  <c r="AJ5720" i="1"/>
  <c r="AW5720" i="1"/>
  <c r="E5721" i="1"/>
  <c r="F5721" i="1"/>
  <c r="W5721" i="1"/>
  <c r="AJ5721" i="1"/>
  <c r="AW5721" i="1"/>
  <c r="E5722" i="1"/>
  <c r="F5722" i="1"/>
  <c r="W5722" i="1"/>
  <c r="AJ5722" i="1"/>
  <c r="AW5722" i="1"/>
  <c r="E5723" i="1"/>
  <c r="F5723" i="1"/>
  <c r="W5723" i="1"/>
  <c r="AJ5723" i="1"/>
  <c r="AW5723" i="1"/>
  <c r="E5724" i="1"/>
  <c r="F5724" i="1"/>
  <c r="W5724" i="1"/>
  <c r="AJ5724" i="1"/>
  <c r="AW5724" i="1"/>
  <c r="E5725" i="1"/>
  <c r="F5725" i="1"/>
  <c r="W5725" i="1"/>
  <c r="AJ5725" i="1"/>
  <c r="AW5725" i="1"/>
  <c r="E5726" i="1"/>
  <c r="F5726" i="1"/>
  <c r="W5726" i="1"/>
  <c r="AJ5726" i="1"/>
  <c r="AW5726" i="1"/>
  <c r="E5727" i="1"/>
  <c r="F5727" i="1"/>
  <c r="W5727" i="1"/>
  <c r="AJ5727" i="1"/>
  <c r="AW5727" i="1"/>
  <c r="E5728" i="1"/>
  <c r="F5728" i="1"/>
  <c r="W5728" i="1"/>
  <c r="AJ5728" i="1"/>
  <c r="AW5728" i="1"/>
  <c r="E5729" i="1"/>
  <c r="F5729" i="1"/>
  <c r="W5729" i="1"/>
  <c r="AJ5729" i="1"/>
  <c r="AW5729" i="1"/>
  <c r="E5730" i="1"/>
  <c r="F5730" i="1"/>
  <c r="W5730" i="1"/>
  <c r="AJ5730" i="1"/>
  <c r="AW5730" i="1"/>
  <c r="E5731" i="1"/>
  <c r="F5731" i="1"/>
  <c r="W5731" i="1"/>
  <c r="AJ5731" i="1"/>
  <c r="AW5731" i="1"/>
  <c r="E5732" i="1"/>
  <c r="F5732" i="1"/>
  <c r="J5732" i="1"/>
  <c r="W5732" i="1"/>
  <c r="AJ5732" i="1"/>
  <c r="AW5732" i="1"/>
  <c r="E5733" i="1"/>
  <c r="F5733" i="1"/>
  <c r="W5733" i="1"/>
  <c r="AJ5733" i="1"/>
  <c r="AW5733" i="1"/>
  <c r="E5734" i="1"/>
  <c r="F5734" i="1"/>
  <c r="W5734" i="1"/>
  <c r="AJ5734" i="1"/>
  <c r="AW5734" i="1"/>
  <c r="E5811" i="1"/>
  <c r="F5811" i="1"/>
  <c r="W5811" i="1"/>
  <c r="AJ5811" i="1"/>
  <c r="AW5811" i="1"/>
  <c r="E5812" i="1"/>
  <c r="F5812" i="1"/>
  <c r="W5812" i="1"/>
  <c r="AJ5812" i="1"/>
  <c r="AW5812" i="1"/>
  <c r="E5813" i="1"/>
  <c r="F5813" i="1"/>
  <c r="J5813" i="1"/>
  <c r="W5813" i="1"/>
  <c r="AJ5813" i="1"/>
  <c r="AW5813" i="1"/>
  <c r="E5814" i="1"/>
  <c r="F5814" i="1"/>
  <c r="W5814" i="1"/>
  <c r="AJ5814" i="1"/>
  <c r="AW5814" i="1"/>
  <c r="J5702" i="1" l="1"/>
  <c r="J5741" i="1"/>
  <c r="J5812" i="1"/>
  <c r="J5739" i="1"/>
  <c r="J5738" i="1"/>
  <c r="J5814" i="1"/>
  <c r="J5811" i="1"/>
  <c r="J5735" i="1"/>
  <c r="J5731" i="1"/>
  <c r="J5727" i="1"/>
  <c r="J5725" i="1"/>
  <c r="J5723" i="1"/>
  <c r="J5721" i="1"/>
  <c r="J5719" i="1"/>
  <c r="J5716" i="1"/>
  <c r="J5714" i="1"/>
  <c r="J5712" i="1"/>
  <c r="J5709" i="1"/>
  <c r="J5706" i="1"/>
  <c r="J5704" i="1"/>
  <c r="J5703" i="1"/>
  <c r="J5736" i="1"/>
  <c r="J5733" i="1"/>
  <c r="J5730" i="1"/>
  <c r="J5729" i="1"/>
  <c r="J5726" i="1"/>
  <c r="J5724" i="1"/>
  <c r="J5722" i="1"/>
  <c r="J5720" i="1"/>
  <c r="J5718" i="1"/>
  <c r="J5717" i="1"/>
  <c r="J5715" i="1"/>
  <c r="J5713" i="1"/>
  <c r="J5711" i="1"/>
  <c r="J5708" i="1"/>
  <c r="J5705" i="1"/>
  <c r="J5734" i="1"/>
  <c r="J5728" i="1"/>
  <c r="H3038" i="8"/>
  <c r="H3037" i="8"/>
  <c r="H3036" i="8"/>
  <c r="H3035" i="8"/>
  <c r="H3052" i="8" l="1"/>
  <c r="H3054" i="8"/>
  <c r="H3053" i="8"/>
  <c r="BS47" i="7" l="1"/>
  <c r="BS46" i="7" s="1"/>
  <c r="BS45" i="7"/>
  <c r="BS44" i="7"/>
  <c r="BS43" i="7"/>
  <c r="BS42" i="7"/>
  <c r="BS41" i="7"/>
  <c r="BS40" i="7"/>
  <c r="BS39" i="7"/>
  <c r="BS38" i="7"/>
  <c r="BS37" i="7"/>
  <c r="BS35" i="7"/>
  <c r="BS34" i="7"/>
  <c r="BS33" i="7"/>
  <c r="BS32" i="7"/>
  <c r="BS31" i="7"/>
  <c r="BS30" i="7"/>
  <c r="BS29" i="7"/>
  <c r="BS27" i="7"/>
  <c r="BS26" i="7"/>
  <c r="BS25" i="7"/>
  <c r="BS24" i="7"/>
  <c r="BS22" i="7"/>
  <c r="BS21" i="7"/>
  <c r="BS20" i="7"/>
  <c r="BS19" i="7"/>
  <c r="BS18" i="7"/>
  <c r="BS17" i="7"/>
  <c r="BS16" i="7"/>
  <c r="H2936" i="8"/>
  <c r="H2935" i="8"/>
  <c r="H2934" i="8"/>
  <c r="H2990" i="8"/>
  <c r="H2984" i="8"/>
  <c r="H2952" i="8"/>
  <c r="H2947" i="8"/>
  <c r="H2946" i="8"/>
  <c r="H2945" i="8"/>
  <c r="H2944" i="8"/>
  <c r="H2943" i="8"/>
  <c r="H2942" i="8"/>
  <c r="H2941" i="8"/>
  <c r="H2939" i="8"/>
  <c r="H2938" i="8"/>
  <c r="H2937" i="8"/>
  <c r="H3051" i="8"/>
  <c r="H3049" i="8"/>
  <c r="BS23" i="7" l="1"/>
  <c r="BS11" i="7" l="1"/>
  <c r="BS10" i="7"/>
  <c r="BS9" i="7"/>
  <c r="BS8" i="7"/>
  <c r="BS7" i="7"/>
  <c r="BS6" i="7"/>
  <c r="AY5689" i="1" l="1"/>
  <c r="H3034" i="8" l="1"/>
  <c r="H3039" i="8"/>
  <c r="H3040" i="8"/>
  <c r="H3041" i="8"/>
  <c r="H3042" i="8"/>
  <c r="H3043" i="8"/>
  <c r="H3044" i="8"/>
  <c r="E5687" i="1" l="1"/>
  <c r="F5687" i="1"/>
  <c r="W5687" i="1"/>
  <c r="AJ5687" i="1"/>
  <c r="AW5687" i="1"/>
  <c r="E5688" i="1"/>
  <c r="F5688" i="1"/>
  <c r="W5688" i="1"/>
  <c r="AJ5688" i="1"/>
  <c r="AW5688" i="1"/>
  <c r="E5689" i="1"/>
  <c r="F5689" i="1"/>
  <c r="W5689" i="1"/>
  <c r="AJ5689" i="1"/>
  <c r="AW5689" i="1"/>
  <c r="E5690" i="1"/>
  <c r="F5690" i="1"/>
  <c r="W5690" i="1"/>
  <c r="AJ5690" i="1"/>
  <c r="AW5690" i="1"/>
  <c r="E5691" i="1"/>
  <c r="F5691" i="1"/>
  <c r="J5691" i="1"/>
  <c r="W5691" i="1"/>
  <c r="AJ5691" i="1"/>
  <c r="AW5691" i="1"/>
  <c r="E5693" i="1"/>
  <c r="F5693" i="1"/>
  <c r="W5693" i="1"/>
  <c r="AJ5693" i="1"/>
  <c r="AW5693" i="1"/>
  <c r="E5694" i="1"/>
  <c r="F5694" i="1"/>
  <c r="W5694" i="1"/>
  <c r="AJ5694" i="1"/>
  <c r="AW5694" i="1"/>
  <c r="E5695" i="1"/>
  <c r="F5695" i="1"/>
  <c r="J5695" i="1"/>
  <c r="W5695" i="1"/>
  <c r="AJ5695" i="1"/>
  <c r="AW5695" i="1"/>
  <c r="E5696" i="1"/>
  <c r="F5696" i="1"/>
  <c r="W5696" i="1"/>
  <c r="AJ5696" i="1"/>
  <c r="AW5696" i="1"/>
  <c r="E5697" i="1"/>
  <c r="F5697" i="1"/>
  <c r="W5697" i="1"/>
  <c r="AJ5697" i="1"/>
  <c r="AW5697" i="1"/>
  <c r="E5698" i="1"/>
  <c r="F5698" i="1"/>
  <c r="W5698" i="1"/>
  <c r="AJ5698" i="1"/>
  <c r="AW5698" i="1"/>
  <c r="E5699" i="1"/>
  <c r="F5699" i="1"/>
  <c r="W5699" i="1"/>
  <c r="AJ5699" i="1"/>
  <c r="AW5699" i="1"/>
  <c r="E5700" i="1"/>
  <c r="F5700" i="1"/>
  <c r="W5700" i="1"/>
  <c r="AJ5700" i="1"/>
  <c r="AW5700" i="1"/>
  <c r="E5701" i="1"/>
  <c r="F5701" i="1"/>
  <c r="W5701" i="1"/>
  <c r="AJ5701" i="1"/>
  <c r="AW5701" i="1"/>
  <c r="J5701" i="1" l="1"/>
  <c r="J5700" i="1"/>
  <c r="J5699" i="1"/>
  <c r="J5697" i="1"/>
  <c r="J5693" i="1"/>
  <c r="J5690" i="1"/>
  <c r="J5687" i="1"/>
  <c r="J5698" i="1"/>
  <c r="J5696" i="1"/>
  <c r="J5694" i="1"/>
  <c r="J5689" i="1"/>
  <c r="J5688" i="1"/>
  <c r="H2965" i="8"/>
  <c r="H2964" i="8"/>
  <c r="H2960" i="8"/>
  <c r="BS36" i="7"/>
  <c r="BS15" i="7"/>
  <c r="BR10" i="7"/>
  <c r="BR8" i="7"/>
  <c r="BS13" i="7"/>
  <c r="BR55" i="7"/>
  <c r="BR52" i="7"/>
  <c r="BR47" i="7"/>
  <c r="BR46" i="7" s="1"/>
  <c r="BR45" i="7"/>
  <c r="BR44" i="7"/>
  <c r="BR43" i="7"/>
  <c r="BR42" i="7"/>
  <c r="BR41" i="7"/>
  <c r="BR40" i="7"/>
  <c r="BR39" i="7"/>
  <c r="BR38" i="7"/>
  <c r="BR37" i="7"/>
  <c r="BR35" i="7"/>
  <c r="BR34" i="7"/>
  <c r="BR33" i="7"/>
  <c r="BR32" i="7"/>
  <c r="BR31" i="7"/>
  <c r="BR30" i="7"/>
  <c r="BR29" i="7"/>
  <c r="BR27" i="7"/>
  <c r="BR26" i="7"/>
  <c r="BR25" i="7"/>
  <c r="BR24" i="7"/>
  <c r="BR22" i="7"/>
  <c r="BR21" i="7"/>
  <c r="BR20" i="7"/>
  <c r="BR19" i="7"/>
  <c r="BR18" i="7"/>
  <c r="BR17" i="7"/>
  <c r="BR11" i="7"/>
  <c r="BR9" i="7"/>
  <c r="BR7" i="7"/>
  <c r="BR36" i="7" l="1"/>
  <c r="BR6" i="7"/>
  <c r="BR13" i="7" s="1"/>
  <c r="BS28" i="7"/>
  <c r="BS48" i="7" s="1"/>
  <c r="BS49" i="7" s="1"/>
  <c r="BR16" i="7"/>
  <c r="BR15" i="7" s="1"/>
  <c r="BR23" i="7"/>
  <c r="BR28" i="7"/>
  <c r="AY5684" i="1"/>
  <c r="AZ5684" i="1" s="1"/>
  <c r="E5683" i="1"/>
  <c r="F5683" i="1"/>
  <c r="W5683" i="1"/>
  <c r="AJ5683" i="1"/>
  <c r="AW5683" i="1"/>
  <c r="E5684" i="1"/>
  <c r="F5684" i="1"/>
  <c r="W5684" i="1"/>
  <c r="AJ5684" i="1"/>
  <c r="AW5684" i="1"/>
  <c r="E5685" i="1"/>
  <c r="F5685" i="1"/>
  <c r="W5685" i="1"/>
  <c r="AJ5685" i="1"/>
  <c r="AW5685" i="1"/>
  <c r="E5686" i="1"/>
  <c r="F5686" i="1"/>
  <c r="W5686" i="1"/>
  <c r="AJ5686" i="1"/>
  <c r="AW5686" i="1"/>
  <c r="E5674" i="1"/>
  <c r="F5674" i="1"/>
  <c r="W5674" i="1"/>
  <c r="AJ5674" i="1"/>
  <c r="AW5674" i="1"/>
  <c r="E5675" i="1"/>
  <c r="F5675" i="1"/>
  <c r="J5675" i="1"/>
  <c r="W5675" i="1"/>
  <c r="AJ5675" i="1"/>
  <c r="AW5675" i="1"/>
  <c r="E5676" i="1"/>
  <c r="F5676" i="1"/>
  <c r="W5676" i="1"/>
  <c r="AJ5676" i="1"/>
  <c r="AW5676" i="1"/>
  <c r="E5677" i="1"/>
  <c r="F5677" i="1"/>
  <c r="W5677" i="1"/>
  <c r="AJ5677" i="1"/>
  <c r="AW5677" i="1"/>
  <c r="E5678" i="1"/>
  <c r="F5678" i="1"/>
  <c r="W5678" i="1"/>
  <c r="AJ5678" i="1"/>
  <c r="AW5678" i="1"/>
  <c r="E5679" i="1"/>
  <c r="F5679" i="1"/>
  <c r="W5679" i="1"/>
  <c r="AJ5679" i="1"/>
  <c r="AW5679" i="1"/>
  <c r="E5680" i="1"/>
  <c r="F5680" i="1"/>
  <c r="W5680" i="1"/>
  <c r="AJ5680" i="1"/>
  <c r="AW5680" i="1"/>
  <c r="E5681" i="1"/>
  <c r="F5681" i="1"/>
  <c r="W5681" i="1"/>
  <c r="AJ5681" i="1"/>
  <c r="AW5681" i="1"/>
  <c r="AX5662" i="1"/>
  <c r="E5665" i="1"/>
  <c r="F5665" i="1"/>
  <c r="W5665" i="1"/>
  <c r="AJ5665" i="1"/>
  <c r="AW5665" i="1"/>
  <c r="E5666" i="1"/>
  <c r="F5666" i="1"/>
  <c r="W5666" i="1"/>
  <c r="AJ5666" i="1"/>
  <c r="AW5666" i="1"/>
  <c r="E5667" i="1"/>
  <c r="F5667" i="1"/>
  <c r="W5667" i="1"/>
  <c r="AJ5667" i="1"/>
  <c r="AW5667" i="1"/>
  <c r="E5668" i="1"/>
  <c r="F5668" i="1"/>
  <c r="W5668" i="1"/>
  <c r="AJ5668" i="1"/>
  <c r="AW5668" i="1"/>
  <c r="E5669" i="1"/>
  <c r="F5669" i="1"/>
  <c r="W5669" i="1"/>
  <c r="AJ5669" i="1"/>
  <c r="AW5669" i="1"/>
  <c r="E5670" i="1"/>
  <c r="F5670" i="1"/>
  <c r="W5670" i="1"/>
  <c r="AJ5670" i="1"/>
  <c r="AW5670" i="1"/>
  <c r="E5671" i="1"/>
  <c r="F5671" i="1"/>
  <c r="W5671" i="1"/>
  <c r="AJ5671" i="1"/>
  <c r="AW5671" i="1"/>
  <c r="E5672" i="1"/>
  <c r="F5672" i="1"/>
  <c r="W5672" i="1"/>
  <c r="AJ5672" i="1"/>
  <c r="AW5672" i="1"/>
  <c r="E5673" i="1"/>
  <c r="F5673" i="1"/>
  <c r="W5673" i="1"/>
  <c r="AJ5673" i="1"/>
  <c r="AW5673" i="1"/>
  <c r="J5674" i="1" l="1"/>
  <c r="J5684" i="1"/>
  <c r="J5678" i="1"/>
  <c r="J5677" i="1"/>
  <c r="J5683" i="1"/>
  <c r="J5673" i="1"/>
  <c r="J5679" i="1"/>
  <c r="J5686" i="1"/>
  <c r="J5685" i="1"/>
  <c r="J5680" i="1"/>
  <c r="J5676" i="1"/>
  <c r="J5672" i="1"/>
  <c r="J5671" i="1"/>
  <c r="J5670" i="1"/>
  <c r="J5666" i="1"/>
  <c r="J5681" i="1"/>
  <c r="BR48" i="7"/>
  <c r="BR49" i="7" s="1"/>
  <c r="BS54" i="7"/>
  <c r="BS57" i="7" s="1"/>
  <c r="J5668" i="1"/>
  <c r="J5667" i="1"/>
  <c r="J5665" i="1"/>
  <c r="J5669" i="1"/>
  <c r="AY5659" i="1"/>
  <c r="AX5659" i="1"/>
  <c r="E5647" i="1"/>
  <c r="F5647" i="1"/>
  <c r="J5647" i="1"/>
  <c r="W5647" i="1"/>
  <c r="AJ5647" i="1"/>
  <c r="AW5647" i="1"/>
  <c r="E5648" i="1"/>
  <c r="F5648" i="1"/>
  <c r="W5648" i="1"/>
  <c r="AJ5648" i="1"/>
  <c r="AW5648" i="1"/>
  <c r="E5649" i="1"/>
  <c r="F5649" i="1"/>
  <c r="W5649" i="1"/>
  <c r="AJ5649" i="1"/>
  <c r="AW5649" i="1"/>
  <c r="E5650" i="1"/>
  <c r="F5650" i="1"/>
  <c r="W5650" i="1"/>
  <c r="AJ5650" i="1"/>
  <c r="AW5650" i="1"/>
  <c r="E5651" i="1"/>
  <c r="F5651" i="1"/>
  <c r="W5651" i="1"/>
  <c r="AJ5651" i="1"/>
  <c r="AW5651" i="1"/>
  <c r="E5652" i="1"/>
  <c r="F5652" i="1"/>
  <c r="W5652" i="1"/>
  <c r="AJ5652" i="1"/>
  <c r="AW5652" i="1"/>
  <c r="E5653" i="1"/>
  <c r="F5653" i="1"/>
  <c r="W5653" i="1"/>
  <c r="AJ5653" i="1"/>
  <c r="AW5653" i="1"/>
  <c r="E5654" i="1"/>
  <c r="F5654" i="1"/>
  <c r="W5654" i="1"/>
  <c r="AJ5654" i="1"/>
  <c r="AW5654" i="1"/>
  <c r="E5655" i="1"/>
  <c r="F5655" i="1"/>
  <c r="W5655" i="1"/>
  <c r="AJ5655" i="1"/>
  <c r="AW5655" i="1"/>
  <c r="E5656" i="1"/>
  <c r="F5656" i="1"/>
  <c r="W5656" i="1"/>
  <c r="AJ5656" i="1"/>
  <c r="AW5656" i="1"/>
  <c r="E5657" i="1"/>
  <c r="F5657" i="1"/>
  <c r="W5657" i="1"/>
  <c r="AJ5657" i="1"/>
  <c r="AW5657" i="1"/>
  <c r="E5658" i="1"/>
  <c r="F5658" i="1"/>
  <c r="W5658" i="1"/>
  <c r="AJ5658" i="1"/>
  <c r="AW5658" i="1"/>
  <c r="E5659" i="1"/>
  <c r="F5659" i="1"/>
  <c r="J5659" i="1"/>
  <c r="W5659" i="1"/>
  <c r="AJ5659" i="1"/>
  <c r="AW5659" i="1"/>
  <c r="E5660" i="1"/>
  <c r="F5660" i="1"/>
  <c r="W5660" i="1"/>
  <c r="AJ5660" i="1"/>
  <c r="AW5660" i="1"/>
  <c r="E5661" i="1"/>
  <c r="F5661" i="1"/>
  <c r="W5661" i="1"/>
  <c r="AJ5661" i="1"/>
  <c r="AW5661" i="1"/>
  <c r="E5662" i="1"/>
  <c r="F5662" i="1"/>
  <c r="J5662" i="1"/>
  <c r="W5662" i="1"/>
  <c r="AJ5662" i="1"/>
  <c r="AW5662" i="1"/>
  <c r="E5623" i="1"/>
  <c r="F5623" i="1"/>
  <c r="J5623" i="1"/>
  <c r="W5623" i="1"/>
  <c r="AJ5623" i="1"/>
  <c r="AW5623" i="1"/>
  <c r="E5624" i="1"/>
  <c r="F5624" i="1"/>
  <c r="J5624" i="1"/>
  <c r="W5624" i="1"/>
  <c r="AJ5624" i="1"/>
  <c r="AW5624" i="1"/>
  <c r="E5625" i="1"/>
  <c r="F5625" i="1"/>
  <c r="J5625" i="1"/>
  <c r="W5625" i="1"/>
  <c r="AJ5625" i="1"/>
  <c r="AW5625" i="1"/>
  <c r="E5626" i="1"/>
  <c r="F5626" i="1"/>
  <c r="J5626" i="1"/>
  <c r="W5626" i="1"/>
  <c r="AJ5626" i="1"/>
  <c r="AW5626" i="1"/>
  <c r="E5627" i="1"/>
  <c r="F5627" i="1"/>
  <c r="J5627" i="1"/>
  <c r="W5627" i="1"/>
  <c r="AJ5627" i="1"/>
  <c r="AW5627" i="1"/>
  <c r="E5628" i="1"/>
  <c r="F5628" i="1"/>
  <c r="J5628" i="1"/>
  <c r="W5628" i="1"/>
  <c r="AJ5628" i="1"/>
  <c r="AW5628" i="1"/>
  <c r="E5629" i="1"/>
  <c r="F5629" i="1"/>
  <c r="J5629" i="1"/>
  <c r="W5629" i="1"/>
  <c r="AJ5629" i="1"/>
  <c r="AW5629" i="1"/>
  <c r="E5630" i="1"/>
  <c r="F5630" i="1"/>
  <c r="J5630" i="1"/>
  <c r="W5630" i="1"/>
  <c r="AJ5630" i="1"/>
  <c r="AW5630" i="1"/>
  <c r="E5631" i="1"/>
  <c r="F5631" i="1"/>
  <c r="J5631" i="1"/>
  <c r="W5631" i="1"/>
  <c r="AJ5631" i="1"/>
  <c r="AW5631" i="1"/>
  <c r="E5632" i="1"/>
  <c r="F5632" i="1"/>
  <c r="J5632" i="1"/>
  <c r="W5632" i="1"/>
  <c r="AJ5632" i="1"/>
  <c r="AW5632" i="1"/>
  <c r="E5633" i="1"/>
  <c r="F5633" i="1"/>
  <c r="W5633" i="1"/>
  <c r="AJ5633" i="1"/>
  <c r="AW5633" i="1"/>
  <c r="E5634" i="1"/>
  <c r="F5634" i="1"/>
  <c r="J5634" i="1"/>
  <c r="W5634" i="1"/>
  <c r="AJ5634" i="1"/>
  <c r="AW5634" i="1"/>
  <c r="E5635" i="1"/>
  <c r="F5635" i="1"/>
  <c r="W5635" i="1"/>
  <c r="AJ5635" i="1"/>
  <c r="AW5635" i="1"/>
  <c r="E5636" i="1"/>
  <c r="F5636" i="1"/>
  <c r="W5636" i="1"/>
  <c r="AJ5636" i="1"/>
  <c r="AW5636" i="1"/>
  <c r="E5637" i="1"/>
  <c r="F5637" i="1"/>
  <c r="J5637" i="1"/>
  <c r="W5637" i="1"/>
  <c r="AJ5637" i="1"/>
  <c r="AW5637" i="1"/>
  <c r="E5638" i="1"/>
  <c r="F5638" i="1"/>
  <c r="W5638" i="1"/>
  <c r="AJ5638" i="1"/>
  <c r="AW5638" i="1"/>
  <c r="E5639" i="1"/>
  <c r="F5639" i="1"/>
  <c r="W5639" i="1"/>
  <c r="AJ5639" i="1"/>
  <c r="AW5639" i="1"/>
  <c r="E5640" i="1"/>
  <c r="F5640" i="1"/>
  <c r="W5640" i="1"/>
  <c r="AJ5640" i="1"/>
  <c r="AW5640" i="1"/>
  <c r="E5641" i="1"/>
  <c r="F5641" i="1"/>
  <c r="J5641" i="1"/>
  <c r="W5641" i="1"/>
  <c r="AJ5641" i="1"/>
  <c r="AW5641" i="1"/>
  <c r="E5642" i="1"/>
  <c r="F5642" i="1"/>
  <c r="J5642" i="1"/>
  <c r="W5642" i="1"/>
  <c r="AJ5642" i="1"/>
  <c r="AW5642" i="1"/>
  <c r="E5643" i="1"/>
  <c r="F5643" i="1"/>
  <c r="W5643" i="1"/>
  <c r="AJ5643" i="1"/>
  <c r="AW5643" i="1"/>
  <c r="E5644" i="1"/>
  <c r="F5644" i="1"/>
  <c r="W5644" i="1"/>
  <c r="AJ5644" i="1"/>
  <c r="AW5644" i="1"/>
  <c r="E5645" i="1"/>
  <c r="F5645" i="1"/>
  <c r="W5645" i="1"/>
  <c r="AJ5645" i="1"/>
  <c r="AW5645" i="1"/>
  <c r="E5646" i="1"/>
  <c r="F5646" i="1"/>
  <c r="J5646" i="1"/>
  <c r="W5646" i="1"/>
  <c r="AJ5646" i="1"/>
  <c r="AW5646" i="1"/>
  <c r="E5663" i="1"/>
  <c r="F5663" i="1"/>
  <c r="W5663" i="1"/>
  <c r="AJ5663" i="1"/>
  <c r="AW5663" i="1"/>
  <c r="E5664" i="1"/>
  <c r="F5664" i="1"/>
  <c r="W5664" i="1"/>
  <c r="AJ5664" i="1"/>
  <c r="AW5664" i="1"/>
  <c r="E5682" i="1"/>
  <c r="F5682" i="1"/>
  <c r="W5682" i="1"/>
  <c r="AJ5682" i="1"/>
  <c r="AW5682" i="1"/>
  <c r="AX5592" i="1"/>
  <c r="E5590" i="1"/>
  <c r="F5590" i="1"/>
  <c r="W5590" i="1"/>
  <c r="AJ5590" i="1"/>
  <c r="AW5590" i="1"/>
  <c r="E5591" i="1"/>
  <c r="F5591" i="1"/>
  <c r="J5591" i="1"/>
  <c r="W5591" i="1"/>
  <c r="AJ5591" i="1"/>
  <c r="AW5591" i="1"/>
  <c r="E5592" i="1"/>
  <c r="F5592" i="1"/>
  <c r="W5592" i="1"/>
  <c r="AJ5592" i="1"/>
  <c r="AW5592" i="1"/>
  <c r="E5593" i="1"/>
  <c r="F5593" i="1"/>
  <c r="W5593" i="1"/>
  <c r="AJ5593" i="1"/>
  <c r="AW5593" i="1"/>
  <c r="E5594" i="1"/>
  <c r="F5594" i="1"/>
  <c r="W5594" i="1"/>
  <c r="AJ5594" i="1"/>
  <c r="AW5594" i="1"/>
  <c r="E5595" i="1"/>
  <c r="F5595" i="1"/>
  <c r="J5595" i="1"/>
  <c r="W5595" i="1"/>
  <c r="AJ5595" i="1"/>
  <c r="AW5595" i="1"/>
  <c r="E5596" i="1"/>
  <c r="F5596" i="1"/>
  <c r="W5596" i="1"/>
  <c r="AJ5596" i="1"/>
  <c r="AW5596" i="1"/>
  <c r="E5597" i="1"/>
  <c r="F5597" i="1"/>
  <c r="W5597" i="1"/>
  <c r="AJ5597" i="1"/>
  <c r="AW5597" i="1"/>
  <c r="E5598" i="1"/>
  <c r="F5598" i="1"/>
  <c r="W5598" i="1"/>
  <c r="AJ5598" i="1"/>
  <c r="AW5598" i="1"/>
  <c r="E5599" i="1"/>
  <c r="F5599" i="1"/>
  <c r="W5599" i="1"/>
  <c r="AJ5599" i="1"/>
  <c r="AW5599" i="1"/>
  <c r="E5600" i="1"/>
  <c r="F5600" i="1"/>
  <c r="J5600" i="1"/>
  <c r="W5600" i="1"/>
  <c r="AJ5600" i="1"/>
  <c r="AW5600" i="1"/>
  <c r="E5601" i="1"/>
  <c r="F5601" i="1"/>
  <c r="J5601" i="1"/>
  <c r="W5601" i="1"/>
  <c r="AJ5601" i="1"/>
  <c r="AW5601" i="1"/>
  <c r="E5602" i="1"/>
  <c r="F5602" i="1"/>
  <c r="J5602" i="1"/>
  <c r="W5602" i="1"/>
  <c r="AJ5602" i="1"/>
  <c r="AW5602" i="1"/>
  <c r="E5603" i="1"/>
  <c r="F5603" i="1"/>
  <c r="J5603" i="1"/>
  <c r="W5603" i="1"/>
  <c r="AJ5603" i="1"/>
  <c r="AW5603" i="1"/>
  <c r="E5604" i="1"/>
  <c r="F5604" i="1"/>
  <c r="J5604" i="1"/>
  <c r="W5604" i="1"/>
  <c r="AJ5604" i="1"/>
  <c r="AW5604" i="1"/>
  <c r="E5605" i="1"/>
  <c r="F5605" i="1"/>
  <c r="J5605" i="1"/>
  <c r="W5605" i="1"/>
  <c r="AJ5605" i="1"/>
  <c r="AW5605" i="1"/>
  <c r="E5606" i="1"/>
  <c r="F5606" i="1"/>
  <c r="J5606" i="1"/>
  <c r="W5606" i="1"/>
  <c r="AJ5606" i="1"/>
  <c r="AW5606" i="1"/>
  <c r="E5607" i="1"/>
  <c r="F5607" i="1"/>
  <c r="J5607" i="1"/>
  <c r="W5607" i="1"/>
  <c r="AJ5607" i="1"/>
  <c r="AW5607" i="1"/>
  <c r="E5608" i="1"/>
  <c r="F5608" i="1"/>
  <c r="J5608" i="1"/>
  <c r="W5608" i="1"/>
  <c r="AJ5608" i="1"/>
  <c r="AW5608" i="1"/>
  <c r="E5609" i="1"/>
  <c r="F5609" i="1"/>
  <c r="J5609" i="1"/>
  <c r="W5609" i="1"/>
  <c r="AJ5609" i="1"/>
  <c r="AW5609" i="1"/>
  <c r="E5610" i="1"/>
  <c r="F5610" i="1"/>
  <c r="J5610" i="1"/>
  <c r="W5610" i="1"/>
  <c r="AJ5610" i="1"/>
  <c r="AW5610" i="1"/>
  <c r="E5611" i="1"/>
  <c r="F5611" i="1"/>
  <c r="J5611" i="1"/>
  <c r="W5611" i="1"/>
  <c r="AJ5611" i="1"/>
  <c r="AW5611" i="1"/>
  <c r="E5612" i="1"/>
  <c r="F5612" i="1"/>
  <c r="J5612" i="1"/>
  <c r="W5612" i="1"/>
  <c r="AJ5612" i="1"/>
  <c r="AW5612" i="1"/>
  <c r="E5613" i="1"/>
  <c r="F5613" i="1"/>
  <c r="J5613" i="1"/>
  <c r="W5613" i="1"/>
  <c r="AJ5613" i="1"/>
  <c r="AW5613" i="1"/>
  <c r="E5614" i="1"/>
  <c r="F5614" i="1"/>
  <c r="J5614" i="1"/>
  <c r="W5614" i="1"/>
  <c r="AJ5614" i="1"/>
  <c r="AW5614" i="1"/>
  <c r="E5615" i="1"/>
  <c r="F5615" i="1"/>
  <c r="J5615" i="1"/>
  <c r="W5615" i="1"/>
  <c r="AJ5615" i="1"/>
  <c r="AW5615" i="1"/>
  <c r="E5616" i="1"/>
  <c r="F5616" i="1"/>
  <c r="J5616" i="1"/>
  <c r="W5616" i="1"/>
  <c r="AJ5616" i="1"/>
  <c r="AW5616" i="1"/>
  <c r="E5617" i="1"/>
  <c r="F5617" i="1"/>
  <c r="J5617" i="1"/>
  <c r="W5617" i="1"/>
  <c r="AJ5617" i="1"/>
  <c r="AW5617" i="1"/>
  <c r="E5618" i="1"/>
  <c r="F5618" i="1"/>
  <c r="J5618" i="1"/>
  <c r="W5618" i="1"/>
  <c r="AJ5618" i="1"/>
  <c r="AW5618" i="1"/>
  <c r="E5619" i="1"/>
  <c r="F5619" i="1"/>
  <c r="J5619" i="1"/>
  <c r="W5619" i="1"/>
  <c r="AJ5619" i="1"/>
  <c r="AW5619" i="1"/>
  <c r="E5620" i="1"/>
  <c r="F5620" i="1"/>
  <c r="J5620" i="1"/>
  <c r="W5620" i="1"/>
  <c r="AJ5620" i="1"/>
  <c r="AW5620" i="1"/>
  <c r="E5621" i="1"/>
  <c r="F5621" i="1"/>
  <c r="J5621" i="1"/>
  <c r="W5621" i="1"/>
  <c r="AJ5621" i="1"/>
  <c r="AW5621" i="1"/>
  <c r="E5622" i="1"/>
  <c r="F5622" i="1"/>
  <c r="J5622" i="1"/>
  <c r="W5622" i="1"/>
  <c r="AJ5622" i="1"/>
  <c r="AW5622" i="1"/>
  <c r="J5649" i="1" l="1"/>
  <c r="J5648" i="1"/>
  <c r="J5598" i="1"/>
  <c r="J5590" i="1"/>
  <c r="J5682" i="1"/>
  <c r="J5660" i="1"/>
  <c r="J5658" i="1"/>
  <c r="J5654" i="1"/>
  <c r="J5653" i="1"/>
  <c r="J5650" i="1"/>
  <c r="J5599" i="1"/>
  <c r="J5594" i="1"/>
  <c r="J5592" i="1"/>
  <c r="J5663" i="1"/>
  <c r="J5638" i="1"/>
  <c r="J5635" i="1"/>
  <c r="J5661" i="1"/>
  <c r="J5657" i="1"/>
  <c r="J5655" i="1"/>
  <c r="J5652" i="1"/>
  <c r="J5664" i="1"/>
  <c r="J5645" i="1"/>
  <c r="J5644" i="1"/>
  <c r="J5643" i="1"/>
  <c r="J5636" i="1"/>
  <c r="J5640" i="1"/>
  <c r="J5639" i="1"/>
  <c r="J5633" i="1"/>
  <c r="J5656" i="1"/>
  <c r="J5651" i="1"/>
  <c r="J5596" i="1"/>
  <c r="J5593" i="1"/>
  <c r="J5597" i="1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45" i="8"/>
  <c r="H3046" i="8"/>
  <c r="H3047" i="8"/>
  <c r="H3048" i="8"/>
  <c r="H3050" i="8"/>
  <c r="H3055" i="8"/>
  <c r="H3056" i="8"/>
  <c r="H3057" i="8"/>
  <c r="H3058" i="8"/>
  <c r="H3060" i="8"/>
  <c r="H3061" i="8"/>
  <c r="H3062" i="8"/>
  <c r="H3063" i="8"/>
  <c r="H3064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3" i="8"/>
  <c r="H3084" i="8"/>
  <c r="H3086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5" i="8"/>
  <c r="H3156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2940" i="8"/>
  <c r="H2948" i="8"/>
  <c r="H2949" i="8"/>
  <c r="H2950" i="8"/>
  <c r="H2951" i="8"/>
  <c r="H2953" i="8"/>
  <c r="H2954" i="8"/>
  <c r="H2955" i="8"/>
  <c r="H2956" i="8"/>
  <c r="H2957" i="8"/>
  <c r="H2958" i="8"/>
  <c r="H2959" i="8"/>
  <c r="H2961" i="8"/>
  <c r="H2962" i="8"/>
  <c r="H2963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5" i="8"/>
  <c r="H2986" i="8"/>
  <c r="H2987" i="8"/>
  <c r="H2988" i="8"/>
  <c r="H2989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I3191" i="8" l="1"/>
  <c r="I3248" i="8"/>
  <c r="I3220" i="8"/>
  <c r="I3151" i="8"/>
  <c r="I3155" i="8"/>
  <c r="I3128" i="8"/>
  <c r="I3113" i="8"/>
  <c r="I3088" i="8"/>
  <c r="I3050" i="8"/>
  <c r="I3054" i="8"/>
  <c r="AX5582" i="1"/>
  <c r="E5577" i="1"/>
  <c r="F5577" i="1"/>
  <c r="W5577" i="1"/>
  <c r="AJ5577" i="1"/>
  <c r="AW5577" i="1"/>
  <c r="E5578" i="1"/>
  <c r="F5578" i="1"/>
  <c r="W5578" i="1"/>
  <c r="AJ5578" i="1"/>
  <c r="AW5578" i="1"/>
  <c r="E5579" i="1"/>
  <c r="F5579" i="1"/>
  <c r="W5579" i="1"/>
  <c r="AJ5579" i="1"/>
  <c r="AW5579" i="1"/>
  <c r="E5580" i="1"/>
  <c r="F5580" i="1"/>
  <c r="W5580" i="1"/>
  <c r="AJ5580" i="1"/>
  <c r="AW5580" i="1"/>
  <c r="E5581" i="1"/>
  <c r="F5581" i="1"/>
  <c r="W5581" i="1"/>
  <c r="AJ5581" i="1"/>
  <c r="AW5581" i="1"/>
  <c r="E5582" i="1"/>
  <c r="F5582" i="1"/>
  <c r="W5582" i="1"/>
  <c r="AJ5582" i="1"/>
  <c r="AW5582" i="1"/>
  <c r="E5583" i="1"/>
  <c r="F5583" i="1"/>
  <c r="J5583" i="1"/>
  <c r="W5583" i="1"/>
  <c r="AJ5583" i="1"/>
  <c r="AW5583" i="1"/>
  <c r="E5584" i="1"/>
  <c r="F5584" i="1"/>
  <c r="J5584" i="1"/>
  <c r="W5584" i="1"/>
  <c r="AJ5584" i="1"/>
  <c r="AW5584" i="1"/>
  <c r="E5585" i="1"/>
  <c r="F5585" i="1"/>
  <c r="W5585" i="1"/>
  <c r="AJ5585" i="1"/>
  <c r="AW5585" i="1"/>
  <c r="E5586" i="1"/>
  <c r="F5586" i="1"/>
  <c r="W5586" i="1"/>
  <c r="AJ5586" i="1"/>
  <c r="AW5586" i="1"/>
  <c r="E5587" i="1"/>
  <c r="F5587" i="1"/>
  <c r="J5587" i="1"/>
  <c r="W5587" i="1"/>
  <c r="AJ5587" i="1"/>
  <c r="AW5587" i="1"/>
  <c r="E5588" i="1"/>
  <c r="F5588" i="1"/>
  <c r="J5588" i="1"/>
  <c r="W5588" i="1"/>
  <c r="AJ5588" i="1"/>
  <c r="AW5588" i="1"/>
  <c r="E5589" i="1"/>
  <c r="F5589" i="1"/>
  <c r="J5589" i="1"/>
  <c r="W5589" i="1"/>
  <c r="AJ5589" i="1"/>
  <c r="AW5589" i="1"/>
  <c r="E5542" i="1"/>
  <c r="F5542" i="1"/>
  <c r="W5542" i="1"/>
  <c r="AJ5542" i="1"/>
  <c r="AW5542" i="1"/>
  <c r="E5543" i="1"/>
  <c r="F5543" i="1"/>
  <c r="W5543" i="1"/>
  <c r="AJ5543" i="1"/>
  <c r="AW5543" i="1"/>
  <c r="E5544" i="1"/>
  <c r="F5544" i="1"/>
  <c r="W5544" i="1"/>
  <c r="AJ5544" i="1"/>
  <c r="AW5544" i="1"/>
  <c r="E5545" i="1"/>
  <c r="F5545" i="1"/>
  <c r="W5545" i="1"/>
  <c r="AJ5545" i="1"/>
  <c r="AW5545" i="1"/>
  <c r="E5546" i="1"/>
  <c r="F5546" i="1"/>
  <c r="J5546" i="1"/>
  <c r="W5546" i="1"/>
  <c r="AJ5546" i="1"/>
  <c r="AW5546" i="1"/>
  <c r="E5547" i="1"/>
  <c r="F5547" i="1"/>
  <c r="J5547" i="1"/>
  <c r="W5547" i="1"/>
  <c r="AJ5547" i="1"/>
  <c r="AW5547" i="1"/>
  <c r="E5548" i="1"/>
  <c r="F5548" i="1"/>
  <c r="W5548" i="1"/>
  <c r="AJ5548" i="1"/>
  <c r="AW5548" i="1"/>
  <c r="E5549" i="1"/>
  <c r="F5549" i="1"/>
  <c r="W5549" i="1"/>
  <c r="AJ5549" i="1"/>
  <c r="AW5549" i="1"/>
  <c r="E5550" i="1"/>
  <c r="F5550" i="1"/>
  <c r="J5550" i="1"/>
  <c r="W5550" i="1"/>
  <c r="AJ5550" i="1"/>
  <c r="AW5550" i="1"/>
  <c r="E5551" i="1"/>
  <c r="F5551" i="1"/>
  <c r="W5551" i="1"/>
  <c r="AJ5551" i="1"/>
  <c r="AW5551" i="1"/>
  <c r="E5552" i="1"/>
  <c r="F5552" i="1"/>
  <c r="W5552" i="1"/>
  <c r="AJ5552" i="1"/>
  <c r="AW5552" i="1"/>
  <c r="E5553" i="1"/>
  <c r="F5553" i="1"/>
  <c r="W5553" i="1"/>
  <c r="AJ5553" i="1"/>
  <c r="AW5553" i="1"/>
  <c r="E5554" i="1"/>
  <c r="F5554" i="1"/>
  <c r="W5554" i="1"/>
  <c r="AJ5554" i="1"/>
  <c r="AW5554" i="1"/>
  <c r="E5555" i="1"/>
  <c r="F5555" i="1"/>
  <c r="W5555" i="1"/>
  <c r="AJ5555" i="1"/>
  <c r="AW5555" i="1"/>
  <c r="E5556" i="1"/>
  <c r="F5556" i="1"/>
  <c r="W5556" i="1"/>
  <c r="AJ5556" i="1"/>
  <c r="AW5556" i="1"/>
  <c r="E5557" i="1"/>
  <c r="F5557" i="1"/>
  <c r="W5557" i="1"/>
  <c r="AJ5557" i="1"/>
  <c r="AW5557" i="1"/>
  <c r="E5558" i="1"/>
  <c r="F5558" i="1"/>
  <c r="W5558" i="1"/>
  <c r="AJ5558" i="1"/>
  <c r="AW5558" i="1"/>
  <c r="E5559" i="1"/>
  <c r="F5559" i="1"/>
  <c r="J5559" i="1"/>
  <c r="W5559" i="1"/>
  <c r="AJ5559" i="1"/>
  <c r="AW5559" i="1"/>
  <c r="E5560" i="1"/>
  <c r="F5560" i="1"/>
  <c r="W5560" i="1"/>
  <c r="AJ5560" i="1"/>
  <c r="AW5560" i="1"/>
  <c r="E5561" i="1"/>
  <c r="F5561" i="1"/>
  <c r="W5561" i="1"/>
  <c r="AJ5561" i="1"/>
  <c r="AW5561" i="1"/>
  <c r="E5562" i="1"/>
  <c r="F5562" i="1"/>
  <c r="W5562" i="1"/>
  <c r="AJ5562" i="1"/>
  <c r="AW5562" i="1"/>
  <c r="E5563" i="1"/>
  <c r="F5563" i="1"/>
  <c r="J5563" i="1"/>
  <c r="W5563" i="1"/>
  <c r="AJ5563" i="1"/>
  <c r="AW5563" i="1"/>
  <c r="E5564" i="1"/>
  <c r="F5564" i="1"/>
  <c r="W5564" i="1"/>
  <c r="AJ5564" i="1"/>
  <c r="AW5564" i="1"/>
  <c r="E5565" i="1"/>
  <c r="F5565" i="1"/>
  <c r="W5565" i="1"/>
  <c r="AJ5565" i="1"/>
  <c r="AW5565" i="1"/>
  <c r="E5566" i="1"/>
  <c r="F5566" i="1"/>
  <c r="W5566" i="1"/>
  <c r="AJ5566" i="1"/>
  <c r="AW5566" i="1"/>
  <c r="E5567" i="1"/>
  <c r="F5567" i="1"/>
  <c r="W5567" i="1"/>
  <c r="AJ5567" i="1"/>
  <c r="AW5567" i="1"/>
  <c r="E5568" i="1"/>
  <c r="F5568" i="1"/>
  <c r="W5568" i="1"/>
  <c r="AJ5568" i="1"/>
  <c r="AW5568" i="1"/>
  <c r="E5569" i="1"/>
  <c r="F5569" i="1"/>
  <c r="W5569" i="1"/>
  <c r="AJ5569" i="1"/>
  <c r="AW5569" i="1"/>
  <c r="E5570" i="1"/>
  <c r="F5570" i="1"/>
  <c r="W5570" i="1"/>
  <c r="AJ5570" i="1"/>
  <c r="AW5570" i="1"/>
  <c r="E5571" i="1"/>
  <c r="F5571" i="1"/>
  <c r="W5571" i="1"/>
  <c r="AJ5571" i="1"/>
  <c r="AW5571" i="1"/>
  <c r="E5572" i="1"/>
  <c r="F5572" i="1"/>
  <c r="W5572" i="1"/>
  <c r="AJ5572" i="1"/>
  <c r="AW5572" i="1"/>
  <c r="E5573" i="1"/>
  <c r="F5573" i="1"/>
  <c r="W5573" i="1"/>
  <c r="AJ5573" i="1"/>
  <c r="AW5573" i="1"/>
  <c r="E5574" i="1"/>
  <c r="F5574" i="1"/>
  <c r="W5574" i="1"/>
  <c r="AJ5574" i="1"/>
  <c r="AW5574" i="1"/>
  <c r="E5575" i="1"/>
  <c r="F5575" i="1"/>
  <c r="W5575" i="1"/>
  <c r="AJ5575" i="1"/>
  <c r="AW5575" i="1"/>
  <c r="E5576" i="1"/>
  <c r="F5576" i="1"/>
  <c r="W5576" i="1"/>
  <c r="AJ5576" i="1"/>
  <c r="AW5576" i="1"/>
  <c r="J5572" i="1" l="1"/>
  <c r="J5580" i="1"/>
  <c r="J5579" i="1"/>
  <c r="J5577" i="1"/>
  <c r="J5570" i="1"/>
  <c r="J5567" i="1"/>
  <c r="J5566" i="1"/>
  <c r="J5564" i="1"/>
  <c r="J5562" i="1"/>
  <c r="J5561" i="1"/>
  <c r="J5560" i="1"/>
  <c r="J5557" i="1"/>
  <c r="J5552" i="1"/>
  <c r="J5551" i="1"/>
  <c r="J5543" i="1"/>
  <c r="J5586" i="1"/>
  <c r="J5575" i="1"/>
  <c r="J5555" i="1"/>
  <c r="J5573" i="1"/>
  <c r="J5571" i="1"/>
  <c r="J5569" i="1"/>
  <c r="J5568" i="1"/>
  <c r="J5565" i="1"/>
  <c r="J5553" i="1"/>
  <c r="J5549" i="1"/>
  <c r="J5542" i="1"/>
  <c r="J5545" i="1"/>
  <c r="J5544" i="1"/>
  <c r="J5585" i="1"/>
  <c r="J5582" i="1"/>
  <c r="J5578" i="1"/>
  <c r="J5576" i="1"/>
  <c r="J5558" i="1"/>
  <c r="J5554" i="1"/>
  <c r="J5581" i="1"/>
  <c r="J5574" i="1"/>
  <c r="J5556" i="1"/>
  <c r="J5548" i="1"/>
  <c r="AX5540" i="1"/>
  <c r="AJ5529" i="1"/>
  <c r="E5491" i="1" l="1"/>
  <c r="F5491" i="1"/>
  <c r="W5491" i="1"/>
  <c r="AJ5491" i="1"/>
  <c r="AW5491" i="1"/>
  <c r="E5492" i="1"/>
  <c r="F5492" i="1"/>
  <c r="W5492" i="1"/>
  <c r="AJ5492" i="1"/>
  <c r="AW5492" i="1"/>
  <c r="E5493" i="1"/>
  <c r="F5493" i="1"/>
  <c r="W5493" i="1"/>
  <c r="AJ5493" i="1"/>
  <c r="AW5493" i="1"/>
  <c r="E5494" i="1"/>
  <c r="F5494" i="1"/>
  <c r="W5494" i="1"/>
  <c r="AJ5494" i="1"/>
  <c r="AW5494" i="1"/>
  <c r="E5495" i="1"/>
  <c r="F5495" i="1"/>
  <c r="W5495" i="1"/>
  <c r="AJ5495" i="1"/>
  <c r="AW5495" i="1"/>
  <c r="E5496" i="1"/>
  <c r="F5496" i="1"/>
  <c r="W5496" i="1"/>
  <c r="AJ5496" i="1"/>
  <c r="AW5496" i="1"/>
  <c r="E5497" i="1"/>
  <c r="F5497" i="1"/>
  <c r="W5497" i="1"/>
  <c r="AJ5497" i="1"/>
  <c r="AW5497" i="1"/>
  <c r="E5498" i="1"/>
  <c r="F5498" i="1"/>
  <c r="W5498" i="1"/>
  <c r="AJ5498" i="1"/>
  <c r="AW5498" i="1"/>
  <c r="E5499" i="1"/>
  <c r="F5499" i="1"/>
  <c r="W5499" i="1"/>
  <c r="AJ5499" i="1"/>
  <c r="AW5499" i="1"/>
  <c r="E5500" i="1"/>
  <c r="F5500" i="1"/>
  <c r="W5500" i="1"/>
  <c r="AJ5500" i="1"/>
  <c r="AW5500" i="1"/>
  <c r="E5501" i="1"/>
  <c r="F5501" i="1"/>
  <c r="W5501" i="1"/>
  <c r="AJ5501" i="1"/>
  <c r="AW5501" i="1"/>
  <c r="E5502" i="1"/>
  <c r="F5502" i="1"/>
  <c r="W5502" i="1"/>
  <c r="AJ5502" i="1"/>
  <c r="AW5502" i="1"/>
  <c r="E5503" i="1"/>
  <c r="F5503" i="1"/>
  <c r="W5503" i="1"/>
  <c r="AJ5503" i="1"/>
  <c r="AW5503" i="1"/>
  <c r="E5504" i="1"/>
  <c r="F5504" i="1"/>
  <c r="J5504" i="1"/>
  <c r="W5504" i="1"/>
  <c r="AJ5504" i="1"/>
  <c r="AW5504" i="1"/>
  <c r="E5505" i="1"/>
  <c r="F5505" i="1"/>
  <c r="W5505" i="1"/>
  <c r="AJ5505" i="1"/>
  <c r="AW5505" i="1"/>
  <c r="E5506" i="1"/>
  <c r="F5506" i="1"/>
  <c r="W5506" i="1"/>
  <c r="AJ5506" i="1"/>
  <c r="AW5506" i="1"/>
  <c r="E5507" i="1"/>
  <c r="F5507" i="1"/>
  <c r="W5507" i="1"/>
  <c r="AJ5507" i="1"/>
  <c r="AW5507" i="1"/>
  <c r="E5508" i="1"/>
  <c r="F5508" i="1"/>
  <c r="W5508" i="1"/>
  <c r="AJ5508" i="1"/>
  <c r="AW5508" i="1"/>
  <c r="E5509" i="1"/>
  <c r="F5509" i="1"/>
  <c r="W5509" i="1"/>
  <c r="AJ5509" i="1"/>
  <c r="AW5509" i="1"/>
  <c r="E5510" i="1"/>
  <c r="F5510" i="1"/>
  <c r="W5510" i="1"/>
  <c r="AJ5510" i="1"/>
  <c r="AW5510" i="1"/>
  <c r="E5511" i="1"/>
  <c r="F5511" i="1"/>
  <c r="W5511" i="1"/>
  <c r="AJ5511" i="1"/>
  <c r="AW5511" i="1"/>
  <c r="E5512" i="1"/>
  <c r="F5512" i="1"/>
  <c r="W5512" i="1"/>
  <c r="AJ5512" i="1"/>
  <c r="AW5512" i="1"/>
  <c r="E5513" i="1"/>
  <c r="F5513" i="1"/>
  <c r="W5513" i="1"/>
  <c r="AJ5513" i="1"/>
  <c r="AW5513" i="1"/>
  <c r="E5514" i="1"/>
  <c r="F5514" i="1"/>
  <c r="W5514" i="1"/>
  <c r="AJ5514" i="1"/>
  <c r="AW5514" i="1"/>
  <c r="E5515" i="1"/>
  <c r="F5515" i="1"/>
  <c r="W5515" i="1"/>
  <c r="AJ5515" i="1"/>
  <c r="AW5515" i="1"/>
  <c r="E5484" i="1"/>
  <c r="F5484" i="1"/>
  <c r="W5484" i="1"/>
  <c r="AJ5484" i="1"/>
  <c r="AW5484" i="1"/>
  <c r="E5485" i="1"/>
  <c r="F5485" i="1"/>
  <c r="W5485" i="1"/>
  <c r="AJ5485" i="1"/>
  <c r="AW5485" i="1"/>
  <c r="E5486" i="1"/>
  <c r="F5486" i="1"/>
  <c r="W5486" i="1"/>
  <c r="AJ5486" i="1"/>
  <c r="AW5486" i="1"/>
  <c r="E5487" i="1"/>
  <c r="F5487" i="1"/>
  <c r="W5487" i="1"/>
  <c r="AJ5487" i="1"/>
  <c r="AW5487" i="1"/>
  <c r="E5488" i="1"/>
  <c r="F5488" i="1"/>
  <c r="W5488" i="1"/>
  <c r="AJ5488" i="1"/>
  <c r="AW5488" i="1"/>
  <c r="E5489" i="1"/>
  <c r="F5489" i="1"/>
  <c r="W5489" i="1"/>
  <c r="AJ5489" i="1"/>
  <c r="AW5489" i="1"/>
  <c r="E5490" i="1"/>
  <c r="F5490" i="1"/>
  <c r="W5490" i="1"/>
  <c r="AJ5490" i="1"/>
  <c r="AW5490" i="1"/>
  <c r="E5516" i="1"/>
  <c r="F5516" i="1"/>
  <c r="W5516" i="1"/>
  <c r="AJ5516" i="1"/>
  <c r="AW5516" i="1"/>
  <c r="E5517" i="1"/>
  <c r="F5517" i="1"/>
  <c r="W5517" i="1"/>
  <c r="AJ5517" i="1"/>
  <c r="AW5517" i="1"/>
  <c r="E5518" i="1"/>
  <c r="F5518" i="1"/>
  <c r="W5518" i="1"/>
  <c r="AJ5518" i="1"/>
  <c r="AW5518" i="1"/>
  <c r="E5519" i="1"/>
  <c r="F5519" i="1"/>
  <c r="J5519" i="1"/>
  <c r="W5519" i="1"/>
  <c r="AJ5519" i="1"/>
  <c r="AW5519" i="1"/>
  <c r="E5520" i="1"/>
  <c r="F5520" i="1"/>
  <c r="W5520" i="1"/>
  <c r="AJ5520" i="1"/>
  <c r="AW5520" i="1"/>
  <c r="E5521" i="1"/>
  <c r="F5521" i="1"/>
  <c r="W5521" i="1"/>
  <c r="AJ5521" i="1"/>
  <c r="AW5521" i="1"/>
  <c r="E5522" i="1"/>
  <c r="F5522" i="1"/>
  <c r="W5522" i="1"/>
  <c r="AJ5522" i="1"/>
  <c r="AW5522" i="1"/>
  <c r="E5523" i="1"/>
  <c r="F5523" i="1"/>
  <c r="W5523" i="1"/>
  <c r="AJ5523" i="1"/>
  <c r="AW5523" i="1"/>
  <c r="E5524" i="1"/>
  <c r="F5524" i="1"/>
  <c r="W5524" i="1"/>
  <c r="AJ5524" i="1"/>
  <c r="AW5524" i="1"/>
  <c r="E5525" i="1"/>
  <c r="F5525" i="1"/>
  <c r="W5525" i="1"/>
  <c r="AJ5525" i="1"/>
  <c r="AW5525" i="1"/>
  <c r="E5526" i="1"/>
  <c r="F5526" i="1"/>
  <c r="W5526" i="1"/>
  <c r="AJ5526" i="1"/>
  <c r="AW5526" i="1"/>
  <c r="E5527" i="1"/>
  <c r="F5527" i="1"/>
  <c r="W5527" i="1"/>
  <c r="AJ5527" i="1"/>
  <c r="AW5527" i="1"/>
  <c r="E5528" i="1"/>
  <c r="F5528" i="1"/>
  <c r="W5528" i="1"/>
  <c r="AJ5528" i="1"/>
  <c r="AW5528" i="1"/>
  <c r="E5529" i="1"/>
  <c r="F5529" i="1"/>
  <c r="W5529" i="1"/>
  <c r="AW5529" i="1"/>
  <c r="E5530" i="1"/>
  <c r="F5530" i="1"/>
  <c r="W5530" i="1"/>
  <c r="AJ5530" i="1"/>
  <c r="AW5530" i="1"/>
  <c r="E5531" i="1"/>
  <c r="F5531" i="1"/>
  <c r="W5531" i="1"/>
  <c r="AJ5531" i="1"/>
  <c r="AW5531" i="1"/>
  <c r="E5532" i="1"/>
  <c r="F5532" i="1"/>
  <c r="W5532" i="1"/>
  <c r="AJ5532" i="1"/>
  <c r="AW5532" i="1"/>
  <c r="E5533" i="1"/>
  <c r="F5533" i="1"/>
  <c r="W5533" i="1"/>
  <c r="AJ5533" i="1"/>
  <c r="AW5533" i="1"/>
  <c r="E5534" i="1"/>
  <c r="F5534" i="1"/>
  <c r="W5534" i="1"/>
  <c r="AJ5534" i="1"/>
  <c r="AW5534" i="1"/>
  <c r="E5535" i="1"/>
  <c r="F5535" i="1"/>
  <c r="J5535" i="1"/>
  <c r="W5535" i="1"/>
  <c r="AJ5535" i="1"/>
  <c r="AW5535" i="1"/>
  <c r="E5536" i="1"/>
  <c r="F5536" i="1"/>
  <c r="W5536" i="1"/>
  <c r="AJ5536" i="1"/>
  <c r="AW5536" i="1"/>
  <c r="E5537" i="1"/>
  <c r="F5537" i="1"/>
  <c r="W5537" i="1"/>
  <c r="AJ5537" i="1"/>
  <c r="AW5537" i="1"/>
  <c r="E5538" i="1"/>
  <c r="F5538" i="1"/>
  <c r="W5538" i="1"/>
  <c r="AJ5538" i="1"/>
  <c r="AW5538" i="1"/>
  <c r="E5539" i="1"/>
  <c r="F5539" i="1"/>
  <c r="W5539" i="1"/>
  <c r="AJ5539" i="1"/>
  <c r="AW5539" i="1"/>
  <c r="E5540" i="1"/>
  <c r="F5540" i="1"/>
  <c r="W5540" i="1"/>
  <c r="AJ5540" i="1"/>
  <c r="AW5540" i="1"/>
  <c r="E5541" i="1"/>
  <c r="F5541" i="1"/>
  <c r="W5541" i="1"/>
  <c r="AJ5541" i="1"/>
  <c r="AW5541" i="1"/>
  <c r="J5511" i="1" l="1"/>
  <c r="J5515" i="1"/>
  <c r="J5502" i="1"/>
  <c r="J5496" i="1"/>
  <c r="J5494" i="1"/>
  <c r="J5491" i="1"/>
  <c r="J5513" i="1"/>
  <c r="J5512" i="1"/>
  <c r="J5508" i="1"/>
  <c r="J5505" i="1"/>
  <c r="J5500" i="1"/>
  <c r="J5499" i="1"/>
  <c r="J5495" i="1"/>
  <c r="J5492" i="1"/>
  <c r="J5529" i="1"/>
  <c r="J5528" i="1"/>
  <c r="J5490" i="1"/>
  <c r="J5489" i="1"/>
  <c r="J5488" i="1"/>
  <c r="J5484" i="1"/>
  <c r="J5514" i="1"/>
  <c r="J5510" i="1"/>
  <c r="J5509" i="1"/>
  <c r="J5503" i="1"/>
  <c r="J5501" i="1"/>
  <c r="J5498" i="1"/>
  <c r="J5497" i="1"/>
  <c r="J5541" i="1"/>
  <c r="J5539" i="1"/>
  <c r="J5537" i="1"/>
  <c r="J5523" i="1"/>
  <c r="J5518" i="1"/>
  <c r="J5540" i="1"/>
  <c r="J5538" i="1"/>
  <c r="J5533" i="1"/>
  <c r="J5531" i="1"/>
  <c r="J5527" i="1"/>
  <c r="J5526" i="1"/>
  <c r="J5524" i="1"/>
  <c r="J5522" i="1"/>
  <c r="J5520" i="1"/>
  <c r="J5517" i="1"/>
  <c r="J5486" i="1"/>
  <c r="J5536" i="1"/>
  <c r="J5534" i="1"/>
  <c r="J5532" i="1"/>
  <c r="J5530" i="1"/>
  <c r="J5525" i="1"/>
  <c r="J5516" i="1"/>
  <c r="J5487" i="1"/>
  <c r="J5485" i="1"/>
  <c r="J5521" i="1"/>
  <c r="J5507" i="1"/>
  <c r="J5506" i="1"/>
  <c r="J5493" i="1"/>
  <c r="AW5483" i="1"/>
  <c r="AJ5483" i="1"/>
  <c r="W5483" i="1"/>
  <c r="F5483" i="1"/>
  <c r="E5483" i="1"/>
  <c r="AW5482" i="1"/>
  <c r="AJ5482" i="1"/>
  <c r="W5482" i="1"/>
  <c r="F5482" i="1"/>
  <c r="E5482" i="1"/>
  <c r="AW5481" i="1"/>
  <c r="AJ5481" i="1"/>
  <c r="W5481" i="1"/>
  <c r="J5481" i="1"/>
  <c r="F5481" i="1"/>
  <c r="E5481" i="1"/>
  <c r="AW5480" i="1"/>
  <c r="AJ5480" i="1"/>
  <c r="W5480" i="1"/>
  <c r="F5480" i="1"/>
  <c r="E5480" i="1"/>
  <c r="BW366" i="2"/>
  <c r="AW5475" i="1"/>
  <c r="AJ5475" i="1"/>
  <c r="W5475" i="1"/>
  <c r="J5475" i="1"/>
  <c r="F5475" i="1"/>
  <c r="E5475" i="1"/>
  <c r="AW5474" i="1"/>
  <c r="AJ5474" i="1"/>
  <c r="W5474" i="1"/>
  <c r="J5474" i="1"/>
  <c r="F5474" i="1"/>
  <c r="E5474" i="1"/>
  <c r="BQ45" i="7"/>
  <c r="BQ47" i="7"/>
  <c r="BQ46" i="7" s="1"/>
  <c r="BQ44" i="7"/>
  <c r="BQ43" i="7"/>
  <c r="BQ42" i="7"/>
  <c r="BQ41" i="7"/>
  <c r="BQ40" i="7"/>
  <c r="BQ39" i="7"/>
  <c r="BQ38" i="7"/>
  <c r="BQ37" i="7"/>
  <c r="BQ35" i="7"/>
  <c r="BQ34" i="7"/>
  <c r="BQ33" i="7"/>
  <c r="BQ32" i="7"/>
  <c r="BQ31" i="7"/>
  <c r="BQ30" i="7"/>
  <c r="BQ29" i="7"/>
  <c r="BQ27" i="7"/>
  <c r="BQ26" i="7"/>
  <c r="BQ25" i="7"/>
  <c r="BQ24" i="7"/>
  <c r="BQ22" i="7"/>
  <c r="BQ21" i="7"/>
  <c r="BQ20" i="7"/>
  <c r="BQ19" i="7"/>
  <c r="BQ18" i="7"/>
  <c r="BQ17" i="7"/>
  <c r="BQ16" i="7"/>
  <c r="BQ11" i="7"/>
  <c r="BQ10" i="7"/>
  <c r="BQ9" i="7"/>
  <c r="BQ8" i="7"/>
  <c r="BQ7" i="7"/>
  <c r="BQ6" i="7"/>
  <c r="AY5477" i="1"/>
  <c r="AY5340" i="1"/>
  <c r="J5483" i="1" l="1"/>
  <c r="J5482" i="1"/>
  <c r="J5480" i="1"/>
  <c r="BP39" i="7"/>
  <c r="AY5476" i="1"/>
  <c r="H2923" i="8" l="1"/>
  <c r="H2922" i="8"/>
  <c r="H2928" i="8"/>
  <c r="H2927" i="8"/>
  <c r="H2926" i="8"/>
  <c r="H2925" i="8"/>
  <c r="H2924" i="8"/>
  <c r="H2918" i="8"/>
  <c r="H2919" i="8"/>
  <c r="H2920" i="8"/>
  <c r="H2921" i="8"/>
  <c r="H2929" i="8"/>
  <c r="H2909" i="8"/>
  <c r="H2908" i="8"/>
  <c r="H2907" i="8"/>
  <c r="AX5473" i="1"/>
  <c r="E5466" i="1"/>
  <c r="AJ5462" i="1"/>
  <c r="E5464" i="1"/>
  <c r="F5464" i="1"/>
  <c r="W5464" i="1"/>
  <c r="AJ5464" i="1"/>
  <c r="AW5464" i="1"/>
  <c r="E5465" i="1"/>
  <c r="F5465" i="1"/>
  <c r="W5465" i="1"/>
  <c r="AJ5465" i="1"/>
  <c r="AW5465" i="1"/>
  <c r="F5466" i="1"/>
  <c r="J5466" i="1"/>
  <c r="W5466" i="1"/>
  <c r="AJ5466" i="1"/>
  <c r="AW5466" i="1"/>
  <c r="E5467" i="1"/>
  <c r="F5467" i="1"/>
  <c r="W5467" i="1"/>
  <c r="AJ5467" i="1"/>
  <c r="AW5467" i="1"/>
  <c r="E5468" i="1"/>
  <c r="F5468" i="1"/>
  <c r="W5468" i="1"/>
  <c r="AJ5468" i="1"/>
  <c r="AW5468" i="1"/>
  <c r="E5469" i="1"/>
  <c r="F5469" i="1"/>
  <c r="W5469" i="1"/>
  <c r="AJ5469" i="1"/>
  <c r="AW5469" i="1"/>
  <c r="E5470" i="1"/>
  <c r="F5470" i="1"/>
  <c r="W5470" i="1"/>
  <c r="AJ5470" i="1"/>
  <c r="AW5470" i="1"/>
  <c r="E5471" i="1"/>
  <c r="F5471" i="1"/>
  <c r="W5471" i="1"/>
  <c r="AJ5471" i="1"/>
  <c r="AW5471" i="1"/>
  <c r="E5472" i="1"/>
  <c r="F5472" i="1"/>
  <c r="J5472" i="1"/>
  <c r="W5472" i="1"/>
  <c r="AJ5472" i="1"/>
  <c r="AW5472" i="1"/>
  <c r="E5473" i="1"/>
  <c r="F5473" i="1"/>
  <c r="W5473" i="1"/>
  <c r="AJ5473" i="1"/>
  <c r="AW5473" i="1"/>
  <c r="E5476" i="1"/>
  <c r="F5476" i="1"/>
  <c r="W5476" i="1"/>
  <c r="AJ5476" i="1"/>
  <c r="AW5476" i="1"/>
  <c r="E5477" i="1"/>
  <c r="F5477" i="1"/>
  <c r="W5477" i="1"/>
  <c r="AJ5477" i="1"/>
  <c r="AW5477" i="1"/>
  <c r="E7493" i="1"/>
  <c r="F7493" i="1"/>
  <c r="J7493" i="1"/>
  <c r="W7493" i="1"/>
  <c r="AJ7493" i="1"/>
  <c r="AW7493" i="1"/>
  <c r="J5477" i="1" l="1"/>
  <c r="J5476" i="1"/>
  <c r="J5473" i="1"/>
  <c r="J5470" i="1"/>
  <c r="J5469" i="1"/>
  <c r="J5468" i="1"/>
  <c r="J5464" i="1"/>
  <c r="J5471" i="1"/>
  <c r="J5467" i="1"/>
  <c r="J5465" i="1"/>
  <c r="H2911" i="8"/>
  <c r="H2912" i="8"/>
  <c r="H2913" i="8"/>
  <c r="H2914" i="8"/>
  <c r="H2915" i="8"/>
  <c r="H2916" i="8"/>
  <c r="H2917" i="8"/>
  <c r="H2930" i="8"/>
  <c r="H2931" i="8"/>
  <c r="H2932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854" i="8"/>
  <c r="H2853" i="8"/>
  <c r="H2821" i="8"/>
  <c r="BF18" i="7" l="1"/>
  <c r="H2893" i="8"/>
  <c r="H2910" i="8"/>
  <c r="H2843" i="8"/>
  <c r="I2967" i="8" l="1"/>
  <c r="I2986" i="8"/>
  <c r="BQ28" i="7"/>
  <c r="AX5460" i="1"/>
  <c r="E5458" i="1"/>
  <c r="F5458" i="1"/>
  <c r="W5458" i="1"/>
  <c r="AJ5458" i="1"/>
  <c r="AW5458" i="1"/>
  <c r="E5459" i="1"/>
  <c r="F5459" i="1"/>
  <c r="W5459" i="1"/>
  <c r="AJ5459" i="1"/>
  <c r="AW5459" i="1"/>
  <c r="E5460" i="1"/>
  <c r="F5460" i="1"/>
  <c r="J5460" i="1"/>
  <c r="W5460" i="1"/>
  <c r="AJ5460" i="1"/>
  <c r="AW5460" i="1"/>
  <c r="E5461" i="1"/>
  <c r="F5461" i="1"/>
  <c r="J5461" i="1"/>
  <c r="W5461" i="1"/>
  <c r="AJ5461" i="1"/>
  <c r="AW5461" i="1"/>
  <c r="E5462" i="1"/>
  <c r="F5462" i="1"/>
  <c r="W5462" i="1"/>
  <c r="AW5462" i="1"/>
  <c r="E5463" i="1"/>
  <c r="F5463" i="1"/>
  <c r="W5463" i="1"/>
  <c r="AJ5463" i="1"/>
  <c r="AW5463" i="1"/>
  <c r="AW5447" i="1"/>
  <c r="E5439" i="1"/>
  <c r="F5439" i="1"/>
  <c r="W5439" i="1"/>
  <c r="AJ5439" i="1"/>
  <c r="AW5439" i="1"/>
  <c r="E5440" i="1"/>
  <c r="F5440" i="1"/>
  <c r="W5440" i="1"/>
  <c r="AJ5440" i="1"/>
  <c r="AW5440" i="1"/>
  <c r="E5441" i="1"/>
  <c r="F5441" i="1"/>
  <c r="W5441" i="1"/>
  <c r="AJ5441" i="1"/>
  <c r="AW5441" i="1"/>
  <c r="E5442" i="1"/>
  <c r="F5442" i="1"/>
  <c r="J5442" i="1"/>
  <c r="W5442" i="1"/>
  <c r="AJ5442" i="1"/>
  <c r="AW5442" i="1"/>
  <c r="E5443" i="1"/>
  <c r="F5443" i="1"/>
  <c r="W5443" i="1"/>
  <c r="AJ5443" i="1"/>
  <c r="AW5443" i="1"/>
  <c r="E5444" i="1"/>
  <c r="F5444" i="1"/>
  <c r="W5444" i="1"/>
  <c r="AJ5444" i="1"/>
  <c r="AW5444" i="1"/>
  <c r="E5445" i="1"/>
  <c r="F5445" i="1"/>
  <c r="W5445" i="1"/>
  <c r="AJ5445" i="1"/>
  <c r="AW5445" i="1"/>
  <c r="E5446" i="1"/>
  <c r="F5446" i="1"/>
  <c r="W5446" i="1"/>
  <c r="AJ5446" i="1"/>
  <c r="AW5446" i="1"/>
  <c r="E5447" i="1"/>
  <c r="F5447" i="1"/>
  <c r="W5447" i="1"/>
  <c r="AJ5447" i="1"/>
  <c r="E5448" i="1"/>
  <c r="F5448" i="1"/>
  <c r="W5448" i="1"/>
  <c r="AJ5448" i="1"/>
  <c r="AW5448" i="1"/>
  <c r="E5449" i="1"/>
  <c r="F5449" i="1"/>
  <c r="W5449" i="1"/>
  <c r="AJ5449" i="1"/>
  <c r="AW5449" i="1"/>
  <c r="E5450" i="1"/>
  <c r="F5450" i="1"/>
  <c r="W5450" i="1"/>
  <c r="AJ5450" i="1"/>
  <c r="AW5450" i="1"/>
  <c r="E5451" i="1"/>
  <c r="F5451" i="1"/>
  <c r="W5451" i="1"/>
  <c r="AJ5451" i="1"/>
  <c r="AW5451" i="1"/>
  <c r="E5452" i="1"/>
  <c r="F5452" i="1"/>
  <c r="J5452" i="1"/>
  <c r="W5452" i="1"/>
  <c r="AJ5452" i="1"/>
  <c r="AW5452" i="1"/>
  <c r="E5453" i="1"/>
  <c r="F5453" i="1"/>
  <c r="W5453" i="1"/>
  <c r="AJ5453" i="1"/>
  <c r="AW5453" i="1"/>
  <c r="E5454" i="1"/>
  <c r="F5454" i="1"/>
  <c r="W5454" i="1"/>
  <c r="AJ5454" i="1"/>
  <c r="AW5454" i="1"/>
  <c r="E5455" i="1"/>
  <c r="F5455" i="1"/>
  <c r="W5455" i="1"/>
  <c r="AJ5455" i="1"/>
  <c r="AW5455" i="1"/>
  <c r="E5456" i="1"/>
  <c r="F5456" i="1"/>
  <c r="J5456" i="1"/>
  <c r="W5456" i="1"/>
  <c r="AJ5456" i="1"/>
  <c r="AW5456" i="1"/>
  <c r="E5457" i="1"/>
  <c r="F5457" i="1"/>
  <c r="W5457" i="1"/>
  <c r="AJ5457" i="1"/>
  <c r="AW5457" i="1"/>
  <c r="J5462" i="1" l="1"/>
  <c r="J5463" i="1"/>
  <c r="J5455" i="1"/>
  <c r="J5453" i="1"/>
  <c r="J5451" i="1"/>
  <c r="J5450" i="1"/>
  <c r="J5447" i="1"/>
  <c r="J5446" i="1"/>
  <c r="J5445" i="1"/>
  <c r="J5443" i="1"/>
  <c r="J5441" i="1"/>
  <c r="J5440" i="1"/>
  <c r="J5459" i="1"/>
  <c r="J5457" i="1"/>
  <c r="J5449" i="1"/>
  <c r="J5458" i="1"/>
  <c r="J5454" i="1"/>
  <c r="J5448" i="1"/>
  <c r="J5444" i="1"/>
  <c r="J5439" i="1"/>
  <c r="H2844" i="8"/>
  <c r="H2845" i="8"/>
  <c r="H2846" i="8"/>
  <c r="H2847" i="8"/>
  <c r="H2848" i="8"/>
  <c r="H2849" i="8"/>
  <c r="H2850" i="8"/>
  <c r="H2851" i="8"/>
  <c r="H2852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AX5435" i="1" l="1"/>
  <c r="E5422" i="1"/>
  <c r="F5422" i="1"/>
  <c r="W5422" i="1"/>
  <c r="AJ5422" i="1"/>
  <c r="AW5422" i="1"/>
  <c r="E5423" i="1"/>
  <c r="F5423" i="1"/>
  <c r="W5423" i="1"/>
  <c r="AJ5423" i="1"/>
  <c r="AW5423" i="1"/>
  <c r="E5424" i="1"/>
  <c r="F5424" i="1"/>
  <c r="W5424" i="1"/>
  <c r="AJ5424" i="1"/>
  <c r="AW5424" i="1"/>
  <c r="E5425" i="1"/>
  <c r="F5425" i="1"/>
  <c r="W5425" i="1"/>
  <c r="AJ5425" i="1"/>
  <c r="AW5425" i="1"/>
  <c r="E5426" i="1"/>
  <c r="F5426" i="1"/>
  <c r="W5426" i="1"/>
  <c r="AJ5426" i="1"/>
  <c r="AW5426" i="1"/>
  <c r="E5427" i="1"/>
  <c r="F5427" i="1"/>
  <c r="W5427" i="1"/>
  <c r="AJ5427" i="1"/>
  <c r="AW5427" i="1"/>
  <c r="E5428" i="1"/>
  <c r="F5428" i="1"/>
  <c r="W5428" i="1"/>
  <c r="AJ5428" i="1"/>
  <c r="AW5428" i="1"/>
  <c r="E5429" i="1"/>
  <c r="F5429" i="1"/>
  <c r="W5429" i="1"/>
  <c r="AJ5429" i="1"/>
  <c r="AW5429" i="1"/>
  <c r="AW5410" i="1"/>
  <c r="E5433" i="1"/>
  <c r="F5433" i="1"/>
  <c r="W5433" i="1"/>
  <c r="AJ5433" i="1"/>
  <c r="AW5433" i="1"/>
  <c r="E5434" i="1"/>
  <c r="F5434" i="1"/>
  <c r="W5434" i="1"/>
  <c r="AJ5434" i="1"/>
  <c r="AW5434" i="1"/>
  <c r="E5435" i="1"/>
  <c r="F5435" i="1"/>
  <c r="W5435" i="1"/>
  <c r="AJ5435" i="1"/>
  <c r="AW5435" i="1"/>
  <c r="E5436" i="1"/>
  <c r="F5436" i="1"/>
  <c r="J5436" i="1"/>
  <c r="W5436" i="1"/>
  <c r="AJ5436" i="1"/>
  <c r="AW5436" i="1"/>
  <c r="E5437" i="1"/>
  <c r="F5437" i="1"/>
  <c r="W5437" i="1"/>
  <c r="AJ5437" i="1"/>
  <c r="AW5437" i="1"/>
  <c r="E5438" i="1"/>
  <c r="F5438" i="1"/>
  <c r="W5438" i="1"/>
  <c r="AJ5438" i="1"/>
  <c r="AW5438" i="1"/>
  <c r="F5419" i="1"/>
  <c r="E5430" i="1"/>
  <c r="F5430" i="1"/>
  <c r="W5430" i="1"/>
  <c r="AJ5430" i="1"/>
  <c r="AW5430" i="1"/>
  <c r="E5431" i="1"/>
  <c r="F5431" i="1"/>
  <c r="W5431" i="1"/>
  <c r="AJ5431" i="1"/>
  <c r="AW5431" i="1"/>
  <c r="E5432" i="1"/>
  <c r="F5432" i="1"/>
  <c r="W5432" i="1"/>
  <c r="AJ5432" i="1"/>
  <c r="AW5432" i="1"/>
  <c r="E5382" i="1"/>
  <c r="F5382" i="1"/>
  <c r="W5382" i="1"/>
  <c r="AJ5382" i="1"/>
  <c r="AW5382" i="1"/>
  <c r="E5383" i="1"/>
  <c r="F5383" i="1"/>
  <c r="W5383" i="1"/>
  <c r="AJ5383" i="1"/>
  <c r="AW5383" i="1"/>
  <c r="E5384" i="1"/>
  <c r="F5384" i="1"/>
  <c r="J5384" i="1"/>
  <c r="W5384" i="1"/>
  <c r="AJ5384" i="1"/>
  <c r="AW5384" i="1"/>
  <c r="E5385" i="1"/>
  <c r="F5385" i="1"/>
  <c r="W5385" i="1"/>
  <c r="AJ5385" i="1"/>
  <c r="AW5385" i="1"/>
  <c r="E5386" i="1"/>
  <c r="F5386" i="1"/>
  <c r="J5386" i="1"/>
  <c r="W5386" i="1"/>
  <c r="AJ5386" i="1"/>
  <c r="AW5386" i="1"/>
  <c r="E5387" i="1"/>
  <c r="F5387" i="1"/>
  <c r="W5387" i="1"/>
  <c r="AJ5387" i="1"/>
  <c r="AW5387" i="1"/>
  <c r="E5388" i="1"/>
  <c r="F5388" i="1"/>
  <c r="W5388" i="1"/>
  <c r="AJ5388" i="1"/>
  <c r="AW5388" i="1"/>
  <c r="E5389" i="1"/>
  <c r="F5389" i="1"/>
  <c r="W5389" i="1"/>
  <c r="AJ5389" i="1"/>
  <c r="AW5389" i="1"/>
  <c r="E5390" i="1"/>
  <c r="F5390" i="1"/>
  <c r="W5390" i="1"/>
  <c r="AJ5390" i="1"/>
  <c r="AW5390" i="1"/>
  <c r="E5391" i="1"/>
  <c r="F5391" i="1"/>
  <c r="W5391" i="1"/>
  <c r="AJ5391" i="1"/>
  <c r="AW5391" i="1"/>
  <c r="E5392" i="1"/>
  <c r="F5392" i="1"/>
  <c r="W5392" i="1"/>
  <c r="AJ5392" i="1"/>
  <c r="AW5392" i="1"/>
  <c r="E5393" i="1"/>
  <c r="F5393" i="1"/>
  <c r="J5393" i="1"/>
  <c r="W5393" i="1"/>
  <c r="AJ5393" i="1"/>
  <c r="AW5393" i="1"/>
  <c r="E5394" i="1"/>
  <c r="F5394" i="1"/>
  <c r="W5394" i="1"/>
  <c r="AJ5394" i="1"/>
  <c r="AW5394" i="1"/>
  <c r="E5395" i="1"/>
  <c r="F5395" i="1"/>
  <c r="J5395" i="1"/>
  <c r="W5395" i="1"/>
  <c r="AJ5395" i="1"/>
  <c r="AW5395" i="1"/>
  <c r="E5396" i="1"/>
  <c r="F5396" i="1"/>
  <c r="W5396" i="1"/>
  <c r="AJ5396" i="1"/>
  <c r="AW5396" i="1"/>
  <c r="E5397" i="1"/>
  <c r="F5397" i="1"/>
  <c r="W5397" i="1"/>
  <c r="AJ5397" i="1"/>
  <c r="AW5397" i="1"/>
  <c r="E5398" i="1"/>
  <c r="F5398" i="1"/>
  <c r="W5398" i="1"/>
  <c r="AJ5398" i="1"/>
  <c r="AW5398" i="1"/>
  <c r="E5399" i="1"/>
  <c r="F5399" i="1"/>
  <c r="W5399" i="1"/>
  <c r="AJ5399" i="1"/>
  <c r="AW5399" i="1"/>
  <c r="E5400" i="1"/>
  <c r="F5400" i="1"/>
  <c r="W5400" i="1"/>
  <c r="AJ5400" i="1"/>
  <c r="AW5400" i="1"/>
  <c r="E5401" i="1"/>
  <c r="F5401" i="1"/>
  <c r="J5401" i="1"/>
  <c r="W5401" i="1"/>
  <c r="AJ5401" i="1"/>
  <c r="AW5401" i="1"/>
  <c r="E5402" i="1"/>
  <c r="F5402" i="1"/>
  <c r="W5402" i="1"/>
  <c r="AJ5402" i="1"/>
  <c r="AW5402" i="1"/>
  <c r="E5403" i="1"/>
  <c r="F5403" i="1"/>
  <c r="W5403" i="1"/>
  <c r="AJ5403" i="1"/>
  <c r="AW5403" i="1"/>
  <c r="E5404" i="1"/>
  <c r="F5404" i="1"/>
  <c r="W5404" i="1"/>
  <c r="AJ5404" i="1"/>
  <c r="AW5404" i="1"/>
  <c r="E5405" i="1"/>
  <c r="F5405" i="1"/>
  <c r="W5405" i="1"/>
  <c r="AJ5405" i="1"/>
  <c r="AW5405" i="1"/>
  <c r="E5406" i="1"/>
  <c r="F5406" i="1"/>
  <c r="W5406" i="1"/>
  <c r="AJ5406" i="1"/>
  <c r="AW5406" i="1"/>
  <c r="E5407" i="1"/>
  <c r="F5407" i="1"/>
  <c r="W5407" i="1"/>
  <c r="AJ5407" i="1"/>
  <c r="AW5407" i="1"/>
  <c r="E5408" i="1"/>
  <c r="F5408" i="1"/>
  <c r="W5408" i="1"/>
  <c r="AJ5408" i="1"/>
  <c r="AW5408" i="1"/>
  <c r="E5409" i="1"/>
  <c r="F5409" i="1"/>
  <c r="W5409" i="1"/>
  <c r="AJ5409" i="1"/>
  <c r="AW5409" i="1"/>
  <c r="E5410" i="1"/>
  <c r="F5410" i="1"/>
  <c r="W5410" i="1"/>
  <c r="AJ5410" i="1"/>
  <c r="E5411" i="1"/>
  <c r="F5411" i="1"/>
  <c r="J5411" i="1"/>
  <c r="W5411" i="1"/>
  <c r="AJ5411" i="1"/>
  <c r="AW5411" i="1"/>
  <c r="E5412" i="1"/>
  <c r="F5412" i="1"/>
  <c r="W5412" i="1"/>
  <c r="AJ5412" i="1"/>
  <c r="AW5412" i="1"/>
  <c r="E5413" i="1"/>
  <c r="F5413" i="1"/>
  <c r="W5413" i="1"/>
  <c r="AJ5413" i="1"/>
  <c r="AW5413" i="1"/>
  <c r="E5414" i="1"/>
  <c r="F5414" i="1"/>
  <c r="W5414" i="1"/>
  <c r="AJ5414" i="1"/>
  <c r="AW5414" i="1"/>
  <c r="E5415" i="1"/>
  <c r="F5415" i="1"/>
  <c r="W5415" i="1"/>
  <c r="AJ5415" i="1"/>
  <c r="AW5415" i="1"/>
  <c r="E5416" i="1"/>
  <c r="F5416" i="1"/>
  <c r="W5416" i="1"/>
  <c r="AJ5416" i="1"/>
  <c r="AW5416" i="1"/>
  <c r="E5417" i="1"/>
  <c r="F5417" i="1"/>
  <c r="W5417" i="1"/>
  <c r="AJ5417" i="1"/>
  <c r="AW5417" i="1"/>
  <c r="E5418" i="1"/>
  <c r="F5418" i="1"/>
  <c r="J5418" i="1"/>
  <c r="W5418" i="1"/>
  <c r="AJ5418" i="1"/>
  <c r="AW5418" i="1"/>
  <c r="E5419" i="1"/>
  <c r="J5419" i="1"/>
  <c r="W5419" i="1"/>
  <c r="AJ5419" i="1"/>
  <c r="AW5419" i="1"/>
  <c r="E5420" i="1"/>
  <c r="F5420" i="1"/>
  <c r="W5420" i="1"/>
  <c r="AJ5420" i="1"/>
  <c r="AW5420" i="1"/>
  <c r="E5421" i="1"/>
  <c r="F5421" i="1"/>
  <c r="W5421" i="1"/>
  <c r="AJ5421" i="1"/>
  <c r="AW5421" i="1"/>
  <c r="J5437" i="1" l="1"/>
  <c r="J5410" i="1"/>
  <c r="J5402" i="1"/>
  <c r="J5398" i="1"/>
  <c r="J5397" i="1"/>
  <c r="J5394" i="1"/>
  <c r="J5391" i="1"/>
  <c r="J5438" i="1"/>
  <c r="J5408" i="1"/>
  <c r="J5407" i="1"/>
  <c r="J5406" i="1"/>
  <c r="J5417" i="1"/>
  <c r="J5413" i="1"/>
  <c r="J5412" i="1"/>
  <c r="J5400" i="1"/>
  <c r="J5390" i="1"/>
  <c r="J5421" i="1"/>
  <c r="J5420" i="1"/>
  <c r="J5416" i="1"/>
  <c r="J5409" i="1"/>
  <c r="J5405" i="1"/>
  <c r="J5403" i="1"/>
  <c r="J5399" i="1"/>
  <c r="J5392" i="1"/>
  <c r="J5388" i="1"/>
  <c r="J5385" i="1"/>
  <c r="J5382" i="1"/>
  <c r="J5431" i="1"/>
  <c r="J5434" i="1"/>
  <c r="J5433" i="1"/>
  <c r="J5428" i="1"/>
  <c r="J5426" i="1"/>
  <c r="J5424" i="1"/>
  <c r="J5422" i="1"/>
  <c r="J5415" i="1"/>
  <c r="J5414" i="1"/>
  <c r="J5404" i="1"/>
  <c r="J5396" i="1"/>
  <c r="J5389" i="1"/>
  <c r="J5387" i="1"/>
  <c r="J5383" i="1"/>
  <c r="J5432" i="1"/>
  <c r="J5430" i="1"/>
  <c r="J5435" i="1"/>
  <c r="J5429" i="1"/>
  <c r="J5427" i="1"/>
  <c r="J5425" i="1"/>
  <c r="J5423" i="1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AY5379" i="1" l="1"/>
  <c r="AX5379" i="1" l="1"/>
  <c r="AW5334" i="1" l="1"/>
  <c r="E5365" i="1"/>
  <c r="F5365" i="1"/>
  <c r="W5365" i="1"/>
  <c r="AJ5365" i="1"/>
  <c r="AW5365" i="1"/>
  <c r="E5366" i="1"/>
  <c r="F5366" i="1"/>
  <c r="W5366" i="1"/>
  <c r="AJ5366" i="1"/>
  <c r="AW5366" i="1"/>
  <c r="E5367" i="1"/>
  <c r="F5367" i="1"/>
  <c r="W5367" i="1"/>
  <c r="AJ5367" i="1"/>
  <c r="AW5367" i="1"/>
  <c r="E5368" i="1"/>
  <c r="F5368" i="1"/>
  <c r="W5368" i="1"/>
  <c r="AJ5368" i="1"/>
  <c r="AW5368" i="1"/>
  <c r="E5369" i="1"/>
  <c r="F5369" i="1"/>
  <c r="W5369" i="1"/>
  <c r="AJ5369" i="1"/>
  <c r="AW5369" i="1"/>
  <c r="E5370" i="1"/>
  <c r="F5370" i="1"/>
  <c r="W5370" i="1"/>
  <c r="AJ5370" i="1"/>
  <c r="AW5370" i="1"/>
  <c r="E5371" i="1"/>
  <c r="F5371" i="1"/>
  <c r="W5371" i="1"/>
  <c r="AJ5371" i="1"/>
  <c r="AW5371" i="1"/>
  <c r="E5372" i="1"/>
  <c r="F5372" i="1"/>
  <c r="J5372" i="1"/>
  <c r="W5372" i="1"/>
  <c r="AJ5372" i="1"/>
  <c r="AW5372" i="1"/>
  <c r="E5373" i="1"/>
  <c r="F5373" i="1"/>
  <c r="W5373" i="1"/>
  <c r="AJ5373" i="1"/>
  <c r="AW5373" i="1"/>
  <c r="E5374" i="1"/>
  <c r="F5374" i="1"/>
  <c r="W5374" i="1"/>
  <c r="AJ5374" i="1"/>
  <c r="AW5374" i="1"/>
  <c r="E5375" i="1"/>
  <c r="F5375" i="1"/>
  <c r="J5375" i="1"/>
  <c r="W5375" i="1"/>
  <c r="AJ5375" i="1"/>
  <c r="AW5375" i="1"/>
  <c r="E5376" i="1"/>
  <c r="F5376" i="1"/>
  <c r="W5376" i="1"/>
  <c r="AJ5376" i="1"/>
  <c r="AW5376" i="1"/>
  <c r="E5377" i="1"/>
  <c r="F5377" i="1"/>
  <c r="W5377" i="1"/>
  <c r="AJ5377" i="1"/>
  <c r="AW5377" i="1"/>
  <c r="E5378" i="1"/>
  <c r="F5378" i="1"/>
  <c r="W5378" i="1"/>
  <c r="AJ5378" i="1"/>
  <c r="AW5378" i="1"/>
  <c r="E5379" i="1"/>
  <c r="F5379" i="1"/>
  <c r="W5379" i="1"/>
  <c r="AJ5379" i="1"/>
  <c r="AW5379" i="1"/>
  <c r="E5380" i="1"/>
  <c r="F5380" i="1"/>
  <c r="J5380" i="1"/>
  <c r="W5380" i="1"/>
  <c r="AJ5380" i="1"/>
  <c r="AW5380" i="1"/>
  <c r="E5381" i="1"/>
  <c r="F5381" i="1"/>
  <c r="W5381" i="1"/>
  <c r="AJ5381" i="1"/>
  <c r="AW5381" i="1"/>
  <c r="E5335" i="1"/>
  <c r="F5335" i="1"/>
  <c r="W5335" i="1"/>
  <c r="AJ5335" i="1"/>
  <c r="AW5335" i="1"/>
  <c r="E5336" i="1"/>
  <c r="F5336" i="1"/>
  <c r="W5336" i="1"/>
  <c r="AJ5336" i="1"/>
  <c r="AW5336" i="1"/>
  <c r="E5337" i="1"/>
  <c r="F5337" i="1"/>
  <c r="W5337" i="1"/>
  <c r="AJ5337" i="1"/>
  <c r="AW5337" i="1"/>
  <c r="E5338" i="1"/>
  <c r="F5338" i="1"/>
  <c r="J5338" i="1"/>
  <c r="W5338" i="1"/>
  <c r="AJ5338" i="1"/>
  <c r="AW5338" i="1"/>
  <c r="E5339" i="1"/>
  <c r="F5339" i="1"/>
  <c r="W5339" i="1"/>
  <c r="AJ5339" i="1"/>
  <c r="AW5339" i="1"/>
  <c r="E5340" i="1"/>
  <c r="F5340" i="1"/>
  <c r="J5340" i="1"/>
  <c r="W5340" i="1"/>
  <c r="AJ5340" i="1"/>
  <c r="AW5340" i="1"/>
  <c r="E5341" i="1"/>
  <c r="F5341" i="1"/>
  <c r="J5341" i="1"/>
  <c r="W5341" i="1"/>
  <c r="AJ5341" i="1"/>
  <c r="AW5341" i="1"/>
  <c r="E5342" i="1"/>
  <c r="F5342" i="1"/>
  <c r="J5342" i="1"/>
  <c r="W5342" i="1"/>
  <c r="AJ5342" i="1"/>
  <c r="AW5342" i="1"/>
  <c r="E5343" i="1"/>
  <c r="F5343" i="1"/>
  <c r="W5343" i="1"/>
  <c r="AJ5343" i="1"/>
  <c r="AW5343" i="1"/>
  <c r="E5344" i="1"/>
  <c r="F5344" i="1"/>
  <c r="W5344" i="1"/>
  <c r="AJ5344" i="1"/>
  <c r="AW5344" i="1"/>
  <c r="E5345" i="1"/>
  <c r="F5345" i="1"/>
  <c r="W5345" i="1"/>
  <c r="AJ5345" i="1"/>
  <c r="AW5345" i="1"/>
  <c r="E5346" i="1"/>
  <c r="F5346" i="1"/>
  <c r="J5346" i="1"/>
  <c r="W5346" i="1"/>
  <c r="AJ5346" i="1"/>
  <c r="AW5346" i="1"/>
  <c r="E5347" i="1"/>
  <c r="F5347" i="1"/>
  <c r="W5347" i="1"/>
  <c r="AJ5347" i="1"/>
  <c r="AW5347" i="1"/>
  <c r="E5348" i="1"/>
  <c r="F5348" i="1"/>
  <c r="W5348" i="1"/>
  <c r="AJ5348" i="1"/>
  <c r="AW5348" i="1"/>
  <c r="E5349" i="1"/>
  <c r="F5349" i="1"/>
  <c r="W5349" i="1"/>
  <c r="AJ5349" i="1"/>
  <c r="AW5349" i="1"/>
  <c r="E5350" i="1"/>
  <c r="F5350" i="1"/>
  <c r="W5350" i="1"/>
  <c r="AJ5350" i="1"/>
  <c r="AW5350" i="1"/>
  <c r="E5351" i="1"/>
  <c r="F5351" i="1"/>
  <c r="W5351" i="1"/>
  <c r="AJ5351" i="1"/>
  <c r="AW5351" i="1"/>
  <c r="E5352" i="1"/>
  <c r="F5352" i="1"/>
  <c r="W5352" i="1"/>
  <c r="AJ5352" i="1"/>
  <c r="AW5352" i="1"/>
  <c r="E5353" i="1"/>
  <c r="F5353" i="1"/>
  <c r="W5353" i="1"/>
  <c r="AJ5353" i="1"/>
  <c r="AW5353" i="1"/>
  <c r="E5354" i="1"/>
  <c r="F5354" i="1"/>
  <c r="W5354" i="1"/>
  <c r="AJ5354" i="1"/>
  <c r="AW5354" i="1"/>
  <c r="E5355" i="1"/>
  <c r="F5355" i="1"/>
  <c r="W5355" i="1"/>
  <c r="AJ5355" i="1"/>
  <c r="AW5355" i="1"/>
  <c r="E5356" i="1"/>
  <c r="F5356" i="1"/>
  <c r="W5356" i="1"/>
  <c r="AJ5356" i="1"/>
  <c r="AW5356" i="1"/>
  <c r="E5357" i="1"/>
  <c r="F5357" i="1"/>
  <c r="W5357" i="1"/>
  <c r="AJ5357" i="1"/>
  <c r="AW5357" i="1"/>
  <c r="E5358" i="1"/>
  <c r="F5358" i="1"/>
  <c r="W5358" i="1"/>
  <c r="AJ5358" i="1"/>
  <c r="AW5358" i="1"/>
  <c r="E5359" i="1"/>
  <c r="F5359" i="1"/>
  <c r="W5359" i="1"/>
  <c r="AJ5359" i="1"/>
  <c r="AW5359" i="1"/>
  <c r="E5360" i="1"/>
  <c r="F5360" i="1"/>
  <c r="W5360" i="1"/>
  <c r="AJ5360" i="1"/>
  <c r="AW5360" i="1"/>
  <c r="E5361" i="1"/>
  <c r="F5361" i="1"/>
  <c r="W5361" i="1"/>
  <c r="AJ5361" i="1"/>
  <c r="AW5361" i="1"/>
  <c r="E5362" i="1"/>
  <c r="F5362" i="1"/>
  <c r="W5362" i="1"/>
  <c r="AJ5362" i="1"/>
  <c r="AW5362" i="1"/>
  <c r="E5363" i="1"/>
  <c r="F5363" i="1"/>
  <c r="W5363" i="1"/>
  <c r="AJ5363" i="1"/>
  <c r="AW5363" i="1"/>
  <c r="E5364" i="1"/>
  <c r="F5364" i="1"/>
  <c r="W5364" i="1"/>
  <c r="AJ5364" i="1"/>
  <c r="AW5364" i="1"/>
  <c r="BQ36" i="7"/>
  <c r="BQ23" i="7"/>
  <c r="BQ15" i="7"/>
  <c r="BQ48" i="7" l="1"/>
  <c r="J5381" i="1"/>
  <c r="J5363" i="1"/>
  <c r="J5361" i="1"/>
  <c r="J5359" i="1"/>
  <c r="J5357" i="1"/>
  <c r="J5353" i="1"/>
  <c r="J5349" i="1"/>
  <c r="J5347" i="1"/>
  <c r="J5339" i="1"/>
  <c r="J5378" i="1"/>
  <c r="J5377" i="1"/>
  <c r="J5376" i="1"/>
  <c r="J5374" i="1"/>
  <c r="J5365" i="1"/>
  <c r="J5368" i="1"/>
  <c r="J5369" i="1"/>
  <c r="J5350" i="1"/>
  <c r="J5345" i="1"/>
  <c r="J5343" i="1"/>
  <c r="J5337" i="1"/>
  <c r="J5335" i="1"/>
  <c r="J5379" i="1"/>
  <c r="J5370" i="1"/>
  <c r="J5367" i="1"/>
  <c r="J5366" i="1"/>
  <c r="J5364" i="1"/>
  <c r="J5362" i="1"/>
  <c r="J5360" i="1"/>
  <c r="J5358" i="1"/>
  <c r="J5356" i="1"/>
  <c r="J5355" i="1"/>
  <c r="J5354" i="1"/>
  <c r="J5352" i="1"/>
  <c r="J5371" i="1"/>
  <c r="J5351" i="1"/>
  <c r="J5348" i="1"/>
  <c r="J5344" i="1"/>
  <c r="J5336" i="1"/>
  <c r="J5373" i="1"/>
  <c r="BQ13" i="7"/>
  <c r="H2796" i="8"/>
  <c r="H2795" i="8"/>
  <c r="H2793" i="8"/>
  <c r="H2792" i="8"/>
  <c r="BQ49" i="7" l="1"/>
  <c r="BQ54" i="7" s="1"/>
  <c r="AX5273" i="1"/>
  <c r="AW5273" i="1"/>
  <c r="AJ5273" i="1"/>
  <c r="W5273" i="1"/>
  <c r="F5273" i="1"/>
  <c r="E5273" i="1"/>
  <c r="E5272" i="1"/>
  <c r="F5272" i="1"/>
  <c r="W5272" i="1"/>
  <c r="AJ5272" i="1"/>
  <c r="AW5272" i="1"/>
  <c r="BQ57" i="7" l="1"/>
  <c r="BR51" i="7"/>
  <c r="J5273" i="1"/>
  <c r="J5272" i="1"/>
  <c r="AX5333" i="1"/>
  <c r="E5331" i="1"/>
  <c r="F5331" i="1"/>
  <c r="W5331" i="1"/>
  <c r="AJ5331" i="1"/>
  <c r="AW5331" i="1"/>
  <c r="E5332" i="1"/>
  <c r="F5332" i="1"/>
  <c r="J5332" i="1"/>
  <c r="W5332" i="1"/>
  <c r="AJ5332" i="1"/>
  <c r="AW5332" i="1"/>
  <c r="E5333" i="1"/>
  <c r="F5333" i="1"/>
  <c r="W5333" i="1"/>
  <c r="AJ5333" i="1"/>
  <c r="AW5333" i="1"/>
  <c r="E5334" i="1"/>
  <c r="F5334" i="1"/>
  <c r="W5334" i="1"/>
  <c r="AJ5334" i="1"/>
  <c r="E5322" i="1"/>
  <c r="F5322" i="1"/>
  <c r="W5322" i="1"/>
  <c r="AJ5322" i="1"/>
  <c r="AW5322" i="1"/>
  <c r="E5323" i="1"/>
  <c r="F5323" i="1"/>
  <c r="J5323" i="1"/>
  <c r="W5323" i="1"/>
  <c r="AJ5323" i="1"/>
  <c r="AW5323" i="1"/>
  <c r="E5324" i="1"/>
  <c r="F5324" i="1"/>
  <c r="W5324" i="1"/>
  <c r="AJ5324" i="1"/>
  <c r="AW5324" i="1"/>
  <c r="E5325" i="1"/>
  <c r="F5325" i="1"/>
  <c r="W5325" i="1"/>
  <c r="AJ5325" i="1"/>
  <c r="AW5325" i="1"/>
  <c r="E5326" i="1"/>
  <c r="F5326" i="1"/>
  <c r="W5326" i="1"/>
  <c r="AJ5326" i="1"/>
  <c r="AW5326" i="1"/>
  <c r="E5327" i="1"/>
  <c r="F5327" i="1"/>
  <c r="W5327" i="1"/>
  <c r="AJ5327" i="1"/>
  <c r="AW5327" i="1"/>
  <c r="E5328" i="1"/>
  <c r="F5328" i="1"/>
  <c r="W5328" i="1"/>
  <c r="AJ5328" i="1"/>
  <c r="AW5328" i="1"/>
  <c r="E5329" i="1"/>
  <c r="F5329" i="1"/>
  <c r="W5329" i="1"/>
  <c r="AJ5329" i="1"/>
  <c r="AW5329" i="1"/>
  <c r="E5330" i="1"/>
  <c r="F5330" i="1"/>
  <c r="W5330" i="1"/>
  <c r="AJ5330" i="1"/>
  <c r="AW5330" i="1"/>
  <c r="F5301" i="1"/>
  <c r="E5305" i="1"/>
  <c r="F5305" i="1"/>
  <c r="W5305" i="1"/>
  <c r="AJ5305" i="1"/>
  <c r="AW5305" i="1"/>
  <c r="E5306" i="1"/>
  <c r="F5306" i="1"/>
  <c r="W5306" i="1"/>
  <c r="AJ5306" i="1"/>
  <c r="AW5306" i="1"/>
  <c r="E5307" i="1"/>
  <c r="F5307" i="1"/>
  <c r="W5307" i="1"/>
  <c r="AJ5307" i="1"/>
  <c r="AW5307" i="1"/>
  <c r="E5308" i="1"/>
  <c r="F5308" i="1"/>
  <c r="W5308" i="1"/>
  <c r="AJ5308" i="1"/>
  <c r="AW5308" i="1"/>
  <c r="E5309" i="1"/>
  <c r="F5309" i="1"/>
  <c r="W5309" i="1"/>
  <c r="AJ5309" i="1"/>
  <c r="AW5309" i="1"/>
  <c r="E5310" i="1"/>
  <c r="F5310" i="1"/>
  <c r="W5310" i="1"/>
  <c r="AJ5310" i="1"/>
  <c r="AW5310" i="1"/>
  <c r="E5311" i="1"/>
  <c r="F5311" i="1"/>
  <c r="W5311" i="1"/>
  <c r="AJ5311" i="1"/>
  <c r="AW5311" i="1"/>
  <c r="E5312" i="1"/>
  <c r="F5312" i="1"/>
  <c r="W5312" i="1"/>
  <c r="AJ5312" i="1"/>
  <c r="AW5312" i="1"/>
  <c r="E5313" i="1"/>
  <c r="F5313" i="1"/>
  <c r="W5313" i="1"/>
  <c r="AJ5313" i="1"/>
  <c r="AW5313" i="1"/>
  <c r="E5314" i="1"/>
  <c r="F5314" i="1"/>
  <c r="W5314" i="1"/>
  <c r="AJ5314" i="1"/>
  <c r="AW5314" i="1"/>
  <c r="E5315" i="1"/>
  <c r="F5315" i="1"/>
  <c r="W5315" i="1"/>
  <c r="AJ5315" i="1"/>
  <c r="AW5315" i="1"/>
  <c r="E5316" i="1"/>
  <c r="F5316" i="1"/>
  <c r="W5316" i="1"/>
  <c r="AJ5316" i="1"/>
  <c r="AW5316" i="1"/>
  <c r="E5317" i="1"/>
  <c r="F5317" i="1"/>
  <c r="W5317" i="1"/>
  <c r="AJ5317" i="1"/>
  <c r="AW5317" i="1"/>
  <c r="E5318" i="1"/>
  <c r="F5318" i="1"/>
  <c r="W5318" i="1"/>
  <c r="AJ5318" i="1"/>
  <c r="AW5318" i="1"/>
  <c r="E5319" i="1"/>
  <c r="F5319" i="1"/>
  <c r="W5319" i="1"/>
  <c r="AJ5319" i="1"/>
  <c r="AW5319" i="1"/>
  <c r="E5320" i="1"/>
  <c r="F5320" i="1"/>
  <c r="J5320" i="1"/>
  <c r="W5320" i="1"/>
  <c r="AJ5320" i="1"/>
  <c r="AW5320" i="1"/>
  <c r="E5321" i="1"/>
  <c r="F5321" i="1"/>
  <c r="W5321" i="1"/>
  <c r="AJ5321" i="1"/>
  <c r="AW5321" i="1"/>
  <c r="E5282" i="1"/>
  <c r="F5282" i="1"/>
  <c r="W5282" i="1"/>
  <c r="AJ5282" i="1"/>
  <c r="AW5282" i="1"/>
  <c r="E5283" i="1"/>
  <c r="F5283" i="1"/>
  <c r="W5283" i="1"/>
  <c r="AJ5283" i="1"/>
  <c r="AW5283" i="1"/>
  <c r="E5284" i="1"/>
  <c r="F5284" i="1"/>
  <c r="W5284" i="1"/>
  <c r="AJ5284" i="1"/>
  <c r="AW5284" i="1"/>
  <c r="E5285" i="1"/>
  <c r="F5285" i="1"/>
  <c r="W5285" i="1"/>
  <c r="AJ5285" i="1"/>
  <c r="AW5285" i="1"/>
  <c r="E5286" i="1"/>
  <c r="F5286" i="1"/>
  <c r="W5286" i="1"/>
  <c r="AJ5286" i="1"/>
  <c r="AW5286" i="1"/>
  <c r="E5287" i="1"/>
  <c r="F5287" i="1"/>
  <c r="W5287" i="1"/>
  <c r="AJ5287" i="1"/>
  <c r="AW5287" i="1"/>
  <c r="E5288" i="1"/>
  <c r="F5288" i="1"/>
  <c r="W5288" i="1"/>
  <c r="AJ5288" i="1"/>
  <c r="AW5288" i="1"/>
  <c r="E5289" i="1"/>
  <c r="F5289" i="1"/>
  <c r="W5289" i="1"/>
  <c r="AJ5289" i="1"/>
  <c r="AW5289" i="1"/>
  <c r="E5290" i="1"/>
  <c r="F5290" i="1"/>
  <c r="J5290" i="1"/>
  <c r="W5290" i="1"/>
  <c r="AJ5290" i="1"/>
  <c r="AW5290" i="1"/>
  <c r="E5291" i="1"/>
  <c r="F5291" i="1"/>
  <c r="W5291" i="1"/>
  <c r="AJ5291" i="1"/>
  <c r="AW5291" i="1"/>
  <c r="E5292" i="1"/>
  <c r="F5292" i="1"/>
  <c r="W5292" i="1"/>
  <c r="AJ5292" i="1"/>
  <c r="AW5292" i="1"/>
  <c r="E5293" i="1"/>
  <c r="F5293" i="1"/>
  <c r="W5293" i="1"/>
  <c r="AJ5293" i="1"/>
  <c r="AW5293" i="1"/>
  <c r="E5294" i="1"/>
  <c r="F5294" i="1"/>
  <c r="W5294" i="1"/>
  <c r="AJ5294" i="1"/>
  <c r="AW5294" i="1"/>
  <c r="E5295" i="1"/>
  <c r="F5295" i="1"/>
  <c r="W5295" i="1"/>
  <c r="AJ5295" i="1"/>
  <c r="AW5295" i="1"/>
  <c r="E5296" i="1"/>
  <c r="F5296" i="1"/>
  <c r="J5296" i="1"/>
  <c r="W5296" i="1"/>
  <c r="AJ5296" i="1"/>
  <c r="AW5296" i="1"/>
  <c r="E5297" i="1"/>
  <c r="F5297" i="1"/>
  <c r="W5297" i="1"/>
  <c r="AJ5297" i="1"/>
  <c r="AW5297" i="1"/>
  <c r="E5298" i="1"/>
  <c r="F5298" i="1"/>
  <c r="W5298" i="1"/>
  <c r="AJ5298" i="1"/>
  <c r="AW5298" i="1"/>
  <c r="E5299" i="1"/>
  <c r="F5299" i="1"/>
  <c r="W5299" i="1"/>
  <c r="AJ5299" i="1"/>
  <c r="AW5299" i="1"/>
  <c r="E5300" i="1"/>
  <c r="F5300" i="1"/>
  <c r="W5300" i="1"/>
  <c r="AJ5300" i="1"/>
  <c r="AW5300" i="1"/>
  <c r="E5301" i="1"/>
  <c r="J5301" i="1"/>
  <c r="W5301" i="1"/>
  <c r="AJ5301" i="1"/>
  <c r="AW5301" i="1"/>
  <c r="E5302" i="1"/>
  <c r="F5302" i="1"/>
  <c r="W5302" i="1"/>
  <c r="AJ5302" i="1"/>
  <c r="AW5302" i="1"/>
  <c r="E5303" i="1"/>
  <c r="F5303" i="1"/>
  <c r="J5303" i="1"/>
  <c r="W5303" i="1"/>
  <c r="AJ5303" i="1"/>
  <c r="AW5303" i="1"/>
  <c r="E5304" i="1"/>
  <c r="F5304" i="1"/>
  <c r="W5304" i="1"/>
  <c r="AJ5304" i="1"/>
  <c r="AW5304" i="1"/>
  <c r="J5334" i="1" l="1"/>
  <c r="J5333" i="1"/>
  <c r="J5331" i="1"/>
  <c r="J5297" i="1"/>
  <c r="J5294" i="1"/>
  <c r="J5292" i="1"/>
  <c r="J5285" i="1"/>
  <c r="J5283" i="1"/>
  <c r="J5321" i="1"/>
  <c r="J5318" i="1"/>
  <c r="J5316" i="1"/>
  <c r="J5314" i="1"/>
  <c r="J5302" i="1"/>
  <c r="J5300" i="1"/>
  <c r="J5298" i="1"/>
  <c r="J5291" i="1"/>
  <c r="J5288" i="1"/>
  <c r="J5287" i="1"/>
  <c r="J5313" i="1"/>
  <c r="J5312" i="1"/>
  <c r="J5309" i="1"/>
  <c r="J5307" i="1"/>
  <c r="J5305" i="1"/>
  <c r="J5330" i="1"/>
  <c r="J5328" i="1"/>
  <c r="J5326" i="1"/>
  <c r="J5324" i="1"/>
  <c r="J5322" i="1"/>
  <c r="J5304" i="1"/>
  <c r="J5299" i="1"/>
  <c r="J5295" i="1"/>
  <c r="J5293" i="1"/>
  <c r="J5289" i="1"/>
  <c r="J5286" i="1"/>
  <c r="J5284" i="1"/>
  <c r="J5282" i="1"/>
  <c r="J5319" i="1"/>
  <c r="J5317" i="1"/>
  <c r="J5315" i="1"/>
  <c r="J5311" i="1"/>
  <c r="J5310" i="1"/>
  <c r="J5308" i="1"/>
  <c r="J5306" i="1"/>
  <c r="J5327" i="1"/>
  <c r="J5325" i="1"/>
  <c r="J5329" i="1"/>
  <c r="H2820" i="8"/>
  <c r="H2822" i="8"/>
  <c r="H2823" i="8"/>
  <c r="H2824" i="8"/>
  <c r="H2825" i="8"/>
  <c r="H2826" i="8"/>
  <c r="H2827" i="8"/>
  <c r="E5270" i="1" l="1"/>
  <c r="F5270" i="1"/>
  <c r="W5270" i="1"/>
  <c r="AJ5270" i="1"/>
  <c r="AW5270" i="1"/>
  <c r="E5271" i="1"/>
  <c r="F5271" i="1"/>
  <c r="W5271" i="1"/>
  <c r="AJ5271" i="1"/>
  <c r="AW5271" i="1"/>
  <c r="AW5269" i="1"/>
  <c r="AJ5269" i="1"/>
  <c r="W5269" i="1"/>
  <c r="F5269" i="1"/>
  <c r="E5269" i="1"/>
  <c r="H2813" i="8"/>
  <c r="H2814" i="8"/>
  <c r="H2815" i="8"/>
  <c r="H2816" i="8"/>
  <c r="H2817" i="8"/>
  <c r="H2818" i="8"/>
  <c r="H2819" i="8"/>
  <c r="H2809" i="8"/>
  <c r="H2810" i="8"/>
  <c r="H2811" i="8"/>
  <c r="H2812" i="8"/>
  <c r="H2787" i="8"/>
  <c r="H2784" i="8"/>
  <c r="H2785" i="8"/>
  <c r="H2786" i="8"/>
  <c r="H2783" i="8"/>
  <c r="H2782" i="8"/>
  <c r="H2780" i="8"/>
  <c r="H2775" i="8"/>
  <c r="AX5274" i="1"/>
  <c r="BP47" i="7"/>
  <c r="BP45" i="7"/>
  <c r="BP44" i="7"/>
  <c r="BP43" i="7"/>
  <c r="BP42" i="7"/>
  <c r="BP41" i="7"/>
  <c r="BP40" i="7"/>
  <c r="BP38" i="7"/>
  <c r="BP37" i="7"/>
  <c r="BP35" i="7"/>
  <c r="BP34" i="7"/>
  <c r="BP33" i="7"/>
  <c r="BP32" i="7"/>
  <c r="BP31" i="7"/>
  <c r="BP30" i="7"/>
  <c r="BP29" i="7"/>
  <c r="BP27" i="7"/>
  <c r="BO29" i="7"/>
  <c r="BP26" i="7"/>
  <c r="BP25" i="7"/>
  <c r="BP24" i="7"/>
  <c r="BP22" i="7"/>
  <c r="BP21" i="7"/>
  <c r="BP20" i="7"/>
  <c r="BP19" i="7"/>
  <c r="BP18" i="7"/>
  <c r="BP17" i="7"/>
  <c r="BP16" i="7"/>
  <c r="BP11" i="7"/>
  <c r="BP10" i="7"/>
  <c r="BP9" i="7"/>
  <c r="BP8" i="7"/>
  <c r="BP7" i="7"/>
  <c r="BP6" i="7"/>
  <c r="J5269" i="1" l="1"/>
  <c r="J5271" i="1"/>
  <c r="J5270" i="1"/>
  <c r="BP46" i="7"/>
  <c r="BP36" i="7"/>
  <c r="BP28" i="7"/>
  <c r="BP23" i="7"/>
  <c r="BP15" i="7"/>
  <c r="BP13" i="7"/>
  <c r="H2800" i="8"/>
  <c r="H2799" i="8"/>
  <c r="H2794" i="8"/>
  <c r="H2791" i="8"/>
  <c r="H2790" i="8"/>
  <c r="H2789" i="8"/>
  <c r="H2788" i="8"/>
  <c r="H2801" i="8"/>
  <c r="H2803" i="8"/>
  <c r="H2804" i="8"/>
  <c r="H2805" i="8"/>
  <c r="H2806" i="8"/>
  <c r="H2807" i="8"/>
  <c r="H2808" i="8"/>
  <c r="F5274" i="1"/>
  <c r="E5274" i="1"/>
  <c r="W5274" i="1"/>
  <c r="AJ5274" i="1"/>
  <c r="AW5274" i="1"/>
  <c r="E5275" i="1"/>
  <c r="F5275" i="1"/>
  <c r="J5275" i="1"/>
  <c r="W5275" i="1"/>
  <c r="AJ5275" i="1"/>
  <c r="AW5275" i="1"/>
  <c r="E5276" i="1"/>
  <c r="F5276" i="1"/>
  <c r="J5276" i="1"/>
  <c r="W5276" i="1"/>
  <c r="AJ5276" i="1"/>
  <c r="AW5276" i="1"/>
  <c r="I2906" i="8" l="1"/>
  <c r="I2875" i="8"/>
  <c r="I2810" i="8"/>
  <c r="J5274" i="1"/>
  <c r="BP48" i="7"/>
  <c r="H2735" i="8"/>
  <c r="H2770" i="8"/>
  <c r="H2771" i="8"/>
  <c r="H2772" i="8"/>
  <c r="H2773" i="8"/>
  <c r="H2774" i="8"/>
  <c r="H2776" i="8"/>
  <c r="H2777" i="8"/>
  <c r="H2778" i="8"/>
  <c r="H2779" i="8"/>
  <c r="H2781" i="8"/>
  <c r="BP49" i="7" l="1"/>
  <c r="BP54" i="7" s="1"/>
  <c r="BP57" i="7" s="1"/>
  <c r="AX5268" i="1"/>
  <c r="AW5281" i="1"/>
  <c r="AJ5281" i="1"/>
  <c r="W5281" i="1"/>
  <c r="F5281" i="1"/>
  <c r="E5281" i="1"/>
  <c r="AW5280" i="1"/>
  <c r="AJ5280" i="1"/>
  <c r="W5280" i="1"/>
  <c r="F5280" i="1"/>
  <c r="E5280" i="1"/>
  <c r="AW5279" i="1"/>
  <c r="AJ5279" i="1"/>
  <c r="W5279" i="1"/>
  <c r="F5279" i="1"/>
  <c r="E5279" i="1"/>
  <c r="AW5277" i="1"/>
  <c r="AJ5277" i="1"/>
  <c r="W5277" i="1"/>
  <c r="J5277" i="1"/>
  <c r="F5277" i="1"/>
  <c r="E5277" i="1"/>
  <c r="AW5268" i="1"/>
  <c r="AJ5268" i="1"/>
  <c r="W5268" i="1"/>
  <c r="J5268" i="1"/>
  <c r="F5268" i="1"/>
  <c r="E5268" i="1"/>
  <c r="AW5267" i="1"/>
  <c r="AJ5267" i="1"/>
  <c r="W5267" i="1"/>
  <c r="F5267" i="1"/>
  <c r="E5267" i="1"/>
  <c r="AW5266" i="1"/>
  <c r="AJ5266" i="1"/>
  <c r="W5266" i="1"/>
  <c r="F5266" i="1"/>
  <c r="E5266" i="1"/>
  <c r="AW5265" i="1"/>
  <c r="AJ5265" i="1"/>
  <c r="W5265" i="1"/>
  <c r="J5265" i="1"/>
  <c r="F5265" i="1"/>
  <c r="E5265" i="1"/>
  <c r="AW5264" i="1"/>
  <c r="AJ5264" i="1"/>
  <c r="W5264" i="1"/>
  <c r="F5264" i="1"/>
  <c r="E5264" i="1"/>
  <c r="AW5263" i="1"/>
  <c r="AJ5263" i="1"/>
  <c r="W5263" i="1"/>
  <c r="F5263" i="1"/>
  <c r="E5263" i="1"/>
  <c r="AW5262" i="1"/>
  <c r="AJ5262" i="1"/>
  <c r="W5262" i="1"/>
  <c r="F5262" i="1"/>
  <c r="E5262" i="1"/>
  <c r="AW5261" i="1"/>
  <c r="AJ5261" i="1"/>
  <c r="W5261" i="1"/>
  <c r="F5261" i="1"/>
  <c r="E5261" i="1"/>
  <c r="AW5260" i="1"/>
  <c r="AJ5260" i="1"/>
  <c r="W5260" i="1"/>
  <c r="F5260" i="1"/>
  <c r="E5260" i="1"/>
  <c r="AW5259" i="1"/>
  <c r="AJ5259" i="1"/>
  <c r="W5259" i="1"/>
  <c r="F5259" i="1"/>
  <c r="E5259" i="1"/>
  <c r="AW5258" i="1"/>
  <c r="AJ5258" i="1"/>
  <c r="W5258" i="1"/>
  <c r="F5258" i="1"/>
  <c r="E5258" i="1"/>
  <c r="AW5257" i="1"/>
  <c r="AJ5257" i="1"/>
  <c r="W5257" i="1"/>
  <c r="F5257" i="1"/>
  <c r="E5257" i="1"/>
  <c r="AW5256" i="1"/>
  <c r="AJ5256" i="1"/>
  <c r="W5256" i="1"/>
  <c r="F5256" i="1"/>
  <c r="E5256" i="1"/>
  <c r="AW5255" i="1"/>
  <c r="AJ5255" i="1"/>
  <c r="W5255" i="1"/>
  <c r="F5255" i="1"/>
  <c r="E5255" i="1"/>
  <c r="AW5254" i="1"/>
  <c r="AJ5254" i="1"/>
  <c r="W5254" i="1"/>
  <c r="F5254" i="1"/>
  <c r="E5254" i="1"/>
  <c r="AW5253" i="1"/>
  <c r="AJ5253" i="1"/>
  <c r="W5253" i="1"/>
  <c r="F5253" i="1"/>
  <c r="E5253" i="1"/>
  <c r="AW5252" i="1"/>
  <c r="AJ5252" i="1"/>
  <c r="W5252" i="1"/>
  <c r="F5252" i="1"/>
  <c r="E5252" i="1"/>
  <c r="AW5251" i="1"/>
  <c r="AJ5251" i="1"/>
  <c r="W5251" i="1"/>
  <c r="F5251" i="1"/>
  <c r="E5251" i="1"/>
  <c r="AW5250" i="1"/>
  <c r="AJ5250" i="1"/>
  <c r="W5250" i="1"/>
  <c r="F5250" i="1"/>
  <c r="E5250" i="1"/>
  <c r="AW5249" i="1"/>
  <c r="AJ5249" i="1"/>
  <c r="W5249" i="1"/>
  <c r="F5249" i="1"/>
  <c r="E5249" i="1"/>
  <c r="AW5248" i="1"/>
  <c r="AJ5248" i="1"/>
  <c r="W5248" i="1"/>
  <c r="F5248" i="1"/>
  <c r="E5248" i="1"/>
  <c r="AW5247" i="1"/>
  <c r="AJ5247" i="1"/>
  <c r="W5247" i="1"/>
  <c r="F5247" i="1"/>
  <c r="E5247" i="1"/>
  <c r="AW5246" i="1"/>
  <c r="AJ5246" i="1"/>
  <c r="W5246" i="1"/>
  <c r="F5246" i="1"/>
  <c r="E5246" i="1"/>
  <c r="AW5245" i="1"/>
  <c r="AJ5245" i="1"/>
  <c r="W5245" i="1"/>
  <c r="F5245" i="1"/>
  <c r="E5245" i="1"/>
  <c r="J5279" i="1" l="1"/>
  <c r="J5281" i="1"/>
  <c r="J5246" i="1"/>
  <c r="J5248" i="1"/>
  <c r="J5250" i="1"/>
  <c r="J5252" i="1"/>
  <c r="J5254" i="1"/>
  <c r="J5256" i="1"/>
  <c r="J5258" i="1"/>
  <c r="J5260" i="1"/>
  <c r="J5262" i="1"/>
  <c r="J5264" i="1"/>
  <c r="J5267" i="1"/>
  <c r="J5245" i="1"/>
  <c r="J5247" i="1"/>
  <c r="J5249" i="1"/>
  <c r="J5251" i="1"/>
  <c r="J5253" i="1"/>
  <c r="J5255" i="1"/>
  <c r="J5257" i="1"/>
  <c r="J5259" i="1"/>
  <c r="J5261" i="1"/>
  <c r="J5263" i="1"/>
  <c r="J5266" i="1"/>
  <c r="J5280" i="1"/>
  <c r="H2761" i="8"/>
  <c r="H2762" i="8"/>
  <c r="H2763" i="8"/>
  <c r="H2764" i="8"/>
  <c r="H2765" i="8"/>
  <c r="H2766" i="8"/>
  <c r="H2767" i="8"/>
  <c r="H2768" i="8"/>
  <c r="H2769" i="8"/>
  <c r="H2718" i="8"/>
  <c r="H2717" i="8"/>
  <c r="H2716" i="8"/>
  <c r="AW5221" i="1" l="1"/>
  <c r="AJ5221" i="1"/>
  <c r="W5221" i="1"/>
  <c r="J5221" i="1"/>
  <c r="F5221" i="1"/>
  <c r="E5221" i="1"/>
  <c r="AX5242" i="1"/>
  <c r="E5241" i="1"/>
  <c r="F5241" i="1"/>
  <c r="W5241" i="1"/>
  <c r="AJ5241" i="1"/>
  <c r="AW5241" i="1"/>
  <c r="E5242" i="1"/>
  <c r="F5242" i="1"/>
  <c r="W5242" i="1"/>
  <c r="AJ5242" i="1"/>
  <c r="AW5242" i="1"/>
  <c r="E5243" i="1"/>
  <c r="F5243" i="1"/>
  <c r="W5243" i="1"/>
  <c r="AJ5243" i="1"/>
  <c r="AW5243" i="1"/>
  <c r="E5244" i="1"/>
  <c r="F5244" i="1"/>
  <c r="J5244" i="1"/>
  <c r="W5244" i="1"/>
  <c r="AJ5244" i="1"/>
  <c r="AW5244" i="1"/>
  <c r="AJ5232" i="1"/>
  <c r="AW5227" i="1"/>
  <c r="E5227" i="1"/>
  <c r="F5227" i="1"/>
  <c r="W5227" i="1"/>
  <c r="AJ5227" i="1"/>
  <c r="E5228" i="1"/>
  <c r="F5228" i="1"/>
  <c r="W5228" i="1"/>
  <c r="AJ5228" i="1"/>
  <c r="AW5228" i="1"/>
  <c r="E5229" i="1"/>
  <c r="F5229" i="1"/>
  <c r="W5229" i="1"/>
  <c r="AJ5229" i="1"/>
  <c r="AW5229" i="1"/>
  <c r="E5230" i="1"/>
  <c r="F5230" i="1"/>
  <c r="W5230" i="1"/>
  <c r="AJ5230" i="1"/>
  <c r="AW5230" i="1"/>
  <c r="E5231" i="1"/>
  <c r="F5231" i="1"/>
  <c r="W5231" i="1"/>
  <c r="AJ5231" i="1"/>
  <c r="AW5231" i="1"/>
  <c r="E5232" i="1"/>
  <c r="F5232" i="1"/>
  <c r="W5232" i="1"/>
  <c r="AW5232" i="1"/>
  <c r="E5233" i="1"/>
  <c r="F5233" i="1"/>
  <c r="W5233" i="1"/>
  <c r="AJ5233" i="1"/>
  <c r="AW5233" i="1"/>
  <c r="E5234" i="1"/>
  <c r="F5234" i="1"/>
  <c r="W5234" i="1"/>
  <c r="AJ5234" i="1"/>
  <c r="AW5234" i="1"/>
  <c r="E5211" i="1"/>
  <c r="F5211" i="1"/>
  <c r="W5211" i="1"/>
  <c r="AJ5211" i="1"/>
  <c r="AW5211" i="1"/>
  <c r="E5212" i="1"/>
  <c r="F5212" i="1"/>
  <c r="W5212" i="1"/>
  <c r="AJ5212" i="1"/>
  <c r="AW5212" i="1"/>
  <c r="E5213" i="1"/>
  <c r="F5213" i="1"/>
  <c r="J5213" i="1"/>
  <c r="W5213" i="1"/>
  <c r="AJ5213" i="1"/>
  <c r="AW5213" i="1"/>
  <c r="E5214" i="1"/>
  <c r="F5214" i="1"/>
  <c r="W5214" i="1"/>
  <c r="AJ5214" i="1"/>
  <c r="AW5214" i="1"/>
  <c r="E5215" i="1"/>
  <c r="F5215" i="1"/>
  <c r="W5215" i="1"/>
  <c r="AJ5215" i="1"/>
  <c r="AW5215" i="1"/>
  <c r="E5216" i="1"/>
  <c r="F5216" i="1"/>
  <c r="W5216" i="1"/>
  <c r="AJ5216" i="1"/>
  <c r="AW5216" i="1"/>
  <c r="E5217" i="1"/>
  <c r="F5217" i="1"/>
  <c r="W5217" i="1"/>
  <c r="AJ5217" i="1"/>
  <c r="AW5217" i="1"/>
  <c r="E5218" i="1"/>
  <c r="F5218" i="1"/>
  <c r="W5218" i="1"/>
  <c r="AJ5218" i="1"/>
  <c r="AW5218" i="1"/>
  <c r="E5219" i="1"/>
  <c r="F5219" i="1"/>
  <c r="W5219" i="1"/>
  <c r="AJ5219" i="1"/>
  <c r="AW5219" i="1"/>
  <c r="E5220" i="1"/>
  <c r="F5220" i="1"/>
  <c r="J5220" i="1"/>
  <c r="W5220" i="1"/>
  <c r="AJ5220" i="1"/>
  <c r="AW5220" i="1"/>
  <c r="E5222" i="1"/>
  <c r="F5222" i="1"/>
  <c r="W5222" i="1"/>
  <c r="AJ5222" i="1"/>
  <c r="AW5222" i="1"/>
  <c r="E5223" i="1"/>
  <c r="F5223" i="1"/>
  <c r="W5223" i="1"/>
  <c r="AJ5223" i="1"/>
  <c r="AW5223" i="1"/>
  <c r="E5224" i="1"/>
  <c r="F5224" i="1"/>
  <c r="J5224" i="1"/>
  <c r="W5224" i="1"/>
  <c r="AJ5224" i="1"/>
  <c r="AW5224" i="1"/>
  <c r="E5225" i="1"/>
  <c r="F5225" i="1"/>
  <c r="W5225" i="1"/>
  <c r="AJ5225" i="1"/>
  <c r="AW5225" i="1"/>
  <c r="E5226" i="1"/>
  <c r="F5226" i="1"/>
  <c r="W5226" i="1"/>
  <c r="AJ5226" i="1"/>
  <c r="AW5226" i="1"/>
  <c r="E5235" i="1"/>
  <c r="F5235" i="1"/>
  <c r="W5235" i="1"/>
  <c r="AJ5235" i="1"/>
  <c r="AW5235" i="1"/>
  <c r="E5236" i="1"/>
  <c r="F5236" i="1"/>
  <c r="W5236" i="1"/>
  <c r="AJ5236" i="1"/>
  <c r="AW5236" i="1"/>
  <c r="E5237" i="1"/>
  <c r="F5237" i="1"/>
  <c r="W5237" i="1"/>
  <c r="AJ5237" i="1"/>
  <c r="AW5237" i="1"/>
  <c r="E5238" i="1"/>
  <c r="F5238" i="1"/>
  <c r="J5238" i="1"/>
  <c r="W5238" i="1"/>
  <c r="AJ5238" i="1"/>
  <c r="AW5238" i="1"/>
  <c r="E5239" i="1"/>
  <c r="F5239" i="1"/>
  <c r="W5239" i="1"/>
  <c r="AJ5239" i="1"/>
  <c r="AW5239" i="1"/>
  <c r="E5240" i="1"/>
  <c r="F5240" i="1"/>
  <c r="W5240" i="1"/>
  <c r="AJ5240" i="1"/>
  <c r="AW5240" i="1"/>
  <c r="J5219" i="1" l="1"/>
  <c r="J5212" i="1"/>
  <c r="J5234" i="1"/>
  <c r="J5233" i="1"/>
  <c r="J5231" i="1"/>
  <c r="J5243" i="1"/>
  <c r="J5241" i="1"/>
  <c r="J5227" i="1"/>
  <c r="J5237" i="1"/>
  <c r="J5230" i="1"/>
  <c r="J5240" i="1"/>
  <c r="J5211" i="1"/>
  <c r="J5242" i="1"/>
  <c r="J5235" i="1"/>
  <c r="J5225" i="1"/>
  <c r="J5223" i="1"/>
  <c r="J5218" i="1"/>
  <c r="J5216" i="1"/>
  <c r="J5215" i="1"/>
  <c r="J5232" i="1"/>
  <c r="J5229" i="1"/>
  <c r="J5222" i="1"/>
  <c r="J5217" i="1"/>
  <c r="J5214" i="1"/>
  <c r="J5239" i="1"/>
  <c r="J5236" i="1"/>
  <c r="J5226" i="1"/>
  <c r="J5228" i="1"/>
  <c r="H2759" i="8"/>
  <c r="H2760" i="8"/>
  <c r="H2752" i="8"/>
  <c r="H2753" i="8"/>
  <c r="H2754" i="8"/>
  <c r="H2755" i="8"/>
  <c r="H2756" i="8"/>
  <c r="H2757" i="8"/>
  <c r="H2758" i="8"/>
  <c r="H2714" i="8" l="1"/>
  <c r="H2715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AX5209" i="1" l="1"/>
  <c r="E5205" i="1"/>
  <c r="F5205" i="1"/>
  <c r="W5205" i="1"/>
  <c r="AJ5205" i="1"/>
  <c r="AW5205" i="1"/>
  <c r="E5206" i="1"/>
  <c r="F5206" i="1"/>
  <c r="W5206" i="1"/>
  <c r="AJ5206" i="1"/>
  <c r="AW5206" i="1"/>
  <c r="E5207" i="1"/>
  <c r="F5207" i="1"/>
  <c r="W5207" i="1"/>
  <c r="AJ5207" i="1"/>
  <c r="AW5207" i="1"/>
  <c r="E5208" i="1"/>
  <c r="F5208" i="1"/>
  <c r="W5208" i="1"/>
  <c r="AJ5208" i="1"/>
  <c r="AW5208" i="1"/>
  <c r="E5209" i="1"/>
  <c r="F5209" i="1"/>
  <c r="W5209" i="1"/>
  <c r="AJ5209" i="1"/>
  <c r="AW5209" i="1"/>
  <c r="E5210" i="1"/>
  <c r="F5210" i="1"/>
  <c r="W5210" i="1"/>
  <c r="AJ5210" i="1"/>
  <c r="AW5210" i="1"/>
  <c r="E5163" i="1"/>
  <c r="F5163" i="1"/>
  <c r="J5163" i="1"/>
  <c r="W5163" i="1"/>
  <c r="AJ5163" i="1"/>
  <c r="AW5163" i="1"/>
  <c r="E5164" i="1"/>
  <c r="F5164" i="1"/>
  <c r="W5164" i="1"/>
  <c r="AJ5164" i="1"/>
  <c r="AW5164" i="1"/>
  <c r="E5165" i="1"/>
  <c r="F5165" i="1"/>
  <c r="W5165" i="1"/>
  <c r="AJ5165" i="1"/>
  <c r="AW5165" i="1"/>
  <c r="E5166" i="1"/>
  <c r="F5166" i="1"/>
  <c r="W5166" i="1"/>
  <c r="AJ5166" i="1"/>
  <c r="AW5166" i="1"/>
  <c r="E5167" i="1"/>
  <c r="F5167" i="1"/>
  <c r="W5167" i="1"/>
  <c r="AJ5167" i="1"/>
  <c r="AW5167" i="1"/>
  <c r="E5168" i="1"/>
  <c r="F5168" i="1"/>
  <c r="W5168" i="1"/>
  <c r="AJ5168" i="1"/>
  <c r="AW5168" i="1"/>
  <c r="E5169" i="1"/>
  <c r="F5169" i="1"/>
  <c r="J5169" i="1"/>
  <c r="W5169" i="1"/>
  <c r="AJ5169" i="1"/>
  <c r="AW5169" i="1"/>
  <c r="E5170" i="1"/>
  <c r="F5170" i="1"/>
  <c r="W5170" i="1"/>
  <c r="AJ5170" i="1"/>
  <c r="AW5170" i="1"/>
  <c r="E5171" i="1"/>
  <c r="F5171" i="1"/>
  <c r="W5171" i="1"/>
  <c r="AJ5171" i="1"/>
  <c r="AW5171" i="1"/>
  <c r="E5172" i="1"/>
  <c r="F5172" i="1"/>
  <c r="W5172" i="1"/>
  <c r="AJ5172" i="1"/>
  <c r="AW5172" i="1"/>
  <c r="E5173" i="1"/>
  <c r="F5173" i="1"/>
  <c r="W5173" i="1"/>
  <c r="AJ5173" i="1"/>
  <c r="AW5173" i="1"/>
  <c r="E5174" i="1"/>
  <c r="F5174" i="1"/>
  <c r="W5174" i="1"/>
  <c r="AJ5174" i="1"/>
  <c r="AW5174" i="1"/>
  <c r="E5175" i="1"/>
  <c r="F5175" i="1"/>
  <c r="W5175" i="1"/>
  <c r="AJ5175" i="1"/>
  <c r="AW5175" i="1"/>
  <c r="E5176" i="1"/>
  <c r="F5176" i="1"/>
  <c r="W5176" i="1"/>
  <c r="AJ5176" i="1"/>
  <c r="AW5176" i="1"/>
  <c r="E5177" i="1"/>
  <c r="F5177" i="1"/>
  <c r="W5177" i="1"/>
  <c r="AJ5177" i="1"/>
  <c r="AW5177" i="1"/>
  <c r="E5178" i="1"/>
  <c r="F5178" i="1"/>
  <c r="W5178" i="1"/>
  <c r="AJ5178" i="1"/>
  <c r="AW5178" i="1"/>
  <c r="E5179" i="1"/>
  <c r="F5179" i="1"/>
  <c r="J5179" i="1"/>
  <c r="W5179" i="1"/>
  <c r="AJ5179" i="1"/>
  <c r="AW5179" i="1"/>
  <c r="E5180" i="1"/>
  <c r="F5180" i="1"/>
  <c r="W5180" i="1"/>
  <c r="AJ5180" i="1"/>
  <c r="AW5180" i="1"/>
  <c r="E5181" i="1"/>
  <c r="F5181" i="1"/>
  <c r="W5181" i="1"/>
  <c r="AJ5181" i="1"/>
  <c r="AW5181" i="1"/>
  <c r="E5182" i="1"/>
  <c r="F5182" i="1"/>
  <c r="W5182" i="1"/>
  <c r="AJ5182" i="1"/>
  <c r="AW5182" i="1"/>
  <c r="E5183" i="1"/>
  <c r="F5183" i="1"/>
  <c r="W5183" i="1"/>
  <c r="AJ5183" i="1"/>
  <c r="AW5183" i="1"/>
  <c r="E5184" i="1"/>
  <c r="F5184" i="1"/>
  <c r="W5184" i="1"/>
  <c r="AJ5184" i="1"/>
  <c r="AW5184" i="1"/>
  <c r="E5185" i="1"/>
  <c r="F5185" i="1"/>
  <c r="W5185" i="1"/>
  <c r="AJ5185" i="1"/>
  <c r="AW5185" i="1"/>
  <c r="E5186" i="1"/>
  <c r="F5186" i="1"/>
  <c r="W5186" i="1"/>
  <c r="AJ5186" i="1"/>
  <c r="AW5186" i="1"/>
  <c r="E5187" i="1"/>
  <c r="F5187" i="1"/>
  <c r="W5187" i="1"/>
  <c r="AJ5187" i="1"/>
  <c r="AW5187" i="1"/>
  <c r="E5188" i="1"/>
  <c r="F5188" i="1"/>
  <c r="W5188" i="1"/>
  <c r="AJ5188" i="1"/>
  <c r="AW5188" i="1"/>
  <c r="E5189" i="1"/>
  <c r="F5189" i="1"/>
  <c r="W5189" i="1"/>
  <c r="AJ5189" i="1"/>
  <c r="AW5189" i="1"/>
  <c r="E5190" i="1"/>
  <c r="F5190" i="1"/>
  <c r="W5190" i="1"/>
  <c r="AJ5190" i="1"/>
  <c r="AW5190" i="1"/>
  <c r="E5191" i="1"/>
  <c r="F5191" i="1"/>
  <c r="W5191" i="1"/>
  <c r="AJ5191" i="1"/>
  <c r="AW5191" i="1"/>
  <c r="E5192" i="1"/>
  <c r="F5192" i="1"/>
  <c r="J5192" i="1"/>
  <c r="W5192" i="1"/>
  <c r="AJ5192" i="1"/>
  <c r="AW5192" i="1"/>
  <c r="E5193" i="1"/>
  <c r="F5193" i="1"/>
  <c r="W5193" i="1"/>
  <c r="AJ5193" i="1"/>
  <c r="AW5193" i="1"/>
  <c r="E5194" i="1"/>
  <c r="F5194" i="1"/>
  <c r="W5194" i="1"/>
  <c r="AJ5194" i="1"/>
  <c r="AW5194" i="1"/>
  <c r="E5195" i="1"/>
  <c r="F5195" i="1"/>
  <c r="W5195" i="1"/>
  <c r="AJ5195" i="1"/>
  <c r="AW5195" i="1"/>
  <c r="E5196" i="1"/>
  <c r="F5196" i="1"/>
  <c r="W5196" i="1"/>
  <c r="AJ5196" i="1"/>
  <c r="AW5196" i="1"/>
  <c r="E5197" i="1"/>
  <c r="F5197" i="1"/>
  <c r="W5197" i="1"/>
  <c r="AJ5197" i="1"/>
  <c r="AW5197" i="1"/>
  <c r="E5198" i="1"/>
  <c r="F5198" i="1"/>
  <c r="W5198" i="1"/>
  <c r="AJ5198" i="1"/>
  <c r="AW5198" i="1"/>
  <c r="E5199" i="1"/>
  <c r="F5199" i="1"/>
  <c r="W5199" i="1"/>
  <c r="AJ5199" i="1"/>
  <c r="AW5199" i="1"/>
  <c r="E5200" i="1"/>
  <c r="F5200" i="1"/>
  <c r="W5200" i="1"/>
  <c r="AJ5200" i="1"/>
  <c r="AW5200" i="1"/>
  <c r="E5201" i="1"/>
  <c r="F5201" i="1"/>
  <c r="W5201" i="1"/>
  <c r="AJ5201" i="1"/>
  <c r="AW5201" i="1"/>
  <c r="E5202" i="1"/>
  <c r="F5202" i="1"/>
  <c r="W5202" i="1"/>
  <c r="AJ5202" i="1"/>
  <c r="AW5202" i="1"/>
  <c r="E5203" i="1"/>
  <c r="F5203" i="1"/>
  <c r="J5203" i="1"/>
  <c r="W5203" i="1"/>
  <c r="AJ5203" i="1"/>
  <c r="AW5203" i="1"/>
  <c r="E5204" i="1"/>
  <c r="F5204" i="1"/>
  <c r="J5204" i="1"/>
  <c r="W5204" i="1"/>
  <c r="AJ5204" i="1"/>
  <c r="AW5204" i="1"/>
  <c r="J5210" i="1" l="1"/>
  <c r="J5191" i="1"/>
  <c r="J5189" i="1"/>
  <c r="J5187" i="1"/>
  <c r="J5185" i="1"/>
  <c r="J5181" i="1"/>
  <c r="J5178" i="1"/>
  <c r="J5176" i="1"/>
  <c r="J5198" i="1"/>
  <c r="J5174" i="1"/>
  <c r="J5167" i="1"/>
  <c r="J5201" i="1"/>
  <c r="J5200" i="1"/>
  <c r="J5195" i="1"/>
  <c r="J5193" i="1"/>
  <c r="J5190" i="1"/>
  <c r="J5183" i="1"/>
  <c r="J5172" i="1"/>
  <c r="J5170" i="1"/>
  <c r="J5166" i="1"/>
  <c r="J5164" i="1"/>
  <c r="J5208" i="1"/>
  <c r="J5206" i="1"/>
  <c r="J5197" i="1"/>
  <c r="J5184" i="1"/>
  <c r="J5173" i="1"/>
  <c r="J5171" i="1"/>
  <c r="J5202" i="1"/>
  <c r="J5199" i="1"/>
  <c r="J5196" i="1"/>
  <c r="J5194" i="1"/>
  <c r="J5188" i="1"/>
  <c r="J5186" i="1"/>
  <c r="J5182" i="1"/>
  <c r="J5180" i="1"/>
  <c r="J5177" i="1"/>
  <c r="J5175" i="1"/>
  <c r="J5168" i="1"/>
  <c r="J5165" i="1"/>
  <c r="J5209" i="1"/>
  <c r="J5207" i="1"/>
  <c r="J5205" i="1"/>
  <c r="AX5159" i="1" l="1"/>
  <c r="E5140" i="1"/>
  <c r="F5140" i="1"/>
  <c r="W5140" i="1"/>
  <c r="AJ5140" i="1"/>
  <c r="AW5140" i="1"/>
  <c r="E5141" i="1"/>
  <c r="F5141" i="1"/>
  <c r="J5141" i="1"/>
  <c r="W5141" i="1"/>
  <c r="AJ5141" i="1"/>
  <c r="AW5141" i="1"/>
  <c r="E5142" i="1"/>
  <c r="F5142" i="1"/>
  <c r="J5142" i="1"/>
  <c r="W5142" i="1"/>
  <c r="AJ5142" i="1"/>
  <c r="AW5142" i="1"/>
  <c r="E5143" i="1"/>
  <c r="F5143" i="1"/>
  <c r="W5143" i="1"/>
  <c r="AJ5143" i="1"/>
  <c r="AW5143" i="1"/>
  <c r="E5144" i="1"/>
  <c r="F5144" i="1"/>
  <c r="W5144" i="1"/>
  <c r="AJ5144" i="1"/>
  <c r="AW5144" i="1"/>
  <c r="E5145" i="1"/>
  <c r="F5145" i="1"/>
  <c r="W5145" i="1"/>
  <c r="AJ5145" i="1"/>
  <c r="AW5145" i="1"/>
  <c r="E5146" i="1"/>
  <c r="F5146" i="1"/>
  <c r="J5146" i="1"/>
  <c r="W5146" i="1"/>
  <c r="AJ5146" i="1"/>
  <c r="AW5146" i="1"/>
  <c r="E5147" i="1"/>
  <c r="F5147" i="1"/>
  <c r="W5147" i="1"/>
  <c r="AJ5147" i="1"/>
  <c r="AW5147" i="1"/>
  <c r="E5148" i="1"/>
  <c r="F5148" i="1"/>
  <c r="W5148" i="1"/>
  <c r="AJ5148" i="1"/>
  <c r="AW5148" i="1"/>
  <c r="E5149" i="1"/>
  <c r="F5149" i="1"/>
  <c r="W5149" i="1"/>
  <c r="AJ5149" i="1"/>
  <c r="AW5149" i="1"/>
  <c r="E5150" i="1"/>
  <c r="F5150" i="1"/>
  <c r="W5150" i="1"/>
  <c r="AJ5150" i="1"/>
  <c r="AW5150" i="1"/>
  <c r="E5151" i="1"/>
  <c r="F5151" i="1"/>
  <c r="W5151" i="1"/>
  <c r="AJ5151" i="1"/>
  <c r="AW5151" i="1"/>
  <c r="E5152" i="1"/>
  <c r="F5152" i="1"/>
  <c r="W5152" i="1"/>
  <c r="AJ5152" i="1"/>
  <c r="AW5152" i="1"/>
  <c r="E5153" i="1"/>
  <c r="F5153" i="1"/>
  <c r="W5153" i="1"/>
  <c r="AJ5153" i="1"/>
  <c r="AW5153" i="1"/>
  <c r="E5154" i="1"/>
  <c r="F5154" i="1"/>
  <c r="W5154" i="1"/>
  <c r="AJ5154" i="1"/>
  <c r="AW5154" i="1"/>
  <c r="E5155" i="1"/>
  <c r="F5155" i="1"/>
  <c r="W5155" i="1"/>
  <c r="AJ5155" i="1"/>
  <c r="AW5155" i="1"/>
  <c r="E5156" i="1"/>
  <c r="F5156" i="1"/>
  <c r="W5156" i="1"/>
  <c r="AJ5156" i="1"/>
  <c r="AW5156" i="1"/>
  <c r="E5157" i="1"/>
  <c r="F5157" i="1"/>
  <c r="W5157" i="1"/>
  <c r="AJ5157" i="1"/>
  <c r="AW5157" i="1"/>
  <c r="E5158" i="1"/>
  <c r="F5158" i="1"/>
  <c r="W5158" i="1"/>
  <c r="AJ5158" i="1"/>
  <c r="AW5158" i="1"/>
  <c r="E5159" i="1"/>
  <c r="F5159" i="1"/>
  <c r="W5159" i="1"/>
  <c r="AJ5159" i="1"/>
  <c r="AW5159" i="1"/>
  <c r="J5147" i="1" l="1"/>
  <c r="J5144" i="1"/>
  <c r="J5140" i="1"/>
  <c r="J5158" i="1"/>
  <c r="J5156" i="1"/>
  <c r="J5154" i="1"/>
  <c r="J5152" i="1"/>
  <c r="J5150" i="1"/>
  <c r="J5149" i="1"/>
  <c r="J5159" i="1"/>
  <c r="J5157" i="1"/>
  <c r="J5155" i="1"/>
  <c r="J5153" i="1"/>
  <c r="J5151" i="1"/>
  <c r="J5148" i="1"/>
  <c r="J5145" i="1"/>
  <c r="J5143" i="1"/>
  <c r="E5098" i="1"/>
  <c r="F5098" i="1"/>
  <c r="W5098" i="1"/>
  <c r="AJ5098" i="1"/>
  <c r="AW5098" i="1"/>
  <c r="E5099" i="1"/>
  <c r="F5099" i="1"/>
  <c r="J5099" i="1"/>
  <c r="W5099" i="1"/>
  <c r="AJ5099" i="1"/>
  <c r="AW5099" i="1"/>
  <c r="E5100" i="1"/>
  <c r="F5100" i="1"/>
  <c r="W5100" i="1"/>
  <c r="AJ5100" i="1"/>
  <c r="AW5100" i="1"/>
  <c r="E5101" i="1"/>
  <c r="F5101" i="1"/>
  <c r="W5101" i="1"/>
  <c r="AJ5101" i="1"/>
  <c r="AW5101" i="1"/>
  <c r="E5102" i="1"/>
  <c r="F5102" i="1"/>
  <c r="W5102" i="1"/>
  <c r="AJ5102" i="1"/>
  <c r="AW5102" i="1"/>
  <c r="E5103" i="1"/>
  <c r="F5103" i="1"/>
  <c r="W5103" i="1"/>
  <c r="AJ5103" i="1"/>
  <c r="AW5103" i="1"/>
  <c r="E5104" i="1"/>
  <c r="F5104" i="1"/>
  <c r="J5104" i="1"/>
  <c r="W5104" i="1"/>
  <c r="AJ5104" i="1"/>
  <c r="AW5104" i="1"/>
  <c r="E5105" i="1"/>
  <c r="F5105" i="1"/>
  <c r="J5105" i="1"/>
  <c r="W5105" i="1"/>
  <c r="AJ5105" i="1"/>
  <c r="AW5105" i="1"/>
  <c r="E5106" i="1"/>
  <c r="F5106" i="1"/>
  <c r="W5106" i="1"/>
  <c r="AJ5106" i="1"/>
  <c r="AW5106" i="1"/>
  <c r="E5107" i="1"/>
  <c r="F5107" i="1"/>
  <c r="W5107" i="1"/>
  <c r="AJ5107" i="1"/>
  <c r="AW5107" i="1"/>
  <c r="E5108" i="1"/>
  <c r="F5108" i="1"/>
  <c r="W5108" i="1"/>
  <c r="AJ5108" i="1"/>
  <c r="AW5108" i="1"/>
  <c r="E5109" i="1"/>
  <c r="F5109" i="1"/>
  <c r="W5109" i="1"/>
  <c r="AJ5109" i="1"/>
  <c r="AW5109" i="1"/>
  <c r="E5110" i="1"/>
  <c r="F5110" i="1"/>
  <c r="W5110" i="1"/>
  <c r="AJ5110" i="1"/>
  <c r="AW5110" i="1"/>
  <c r="E5111" i="1"/>
  <c r="F5111" i="1"/>
  <c r="W5111" i="1"/>
  <c r="AJ5111" i="1"/>
  <c r="AW5111" i="1"/>
  <c r="E5112" i="1"/>
  <c r="F5112" i="1"/>
  <c r="W5112" i="1"/>
  <c r="AJ5112" i="1"/>
  <c r="AW5112" i="1"/>
  <c r="E5113" i="1"/>
  <c r="F5113" i="1"/>
  <c r="W5113" i="1"/>
  <c r="AJ5113" i="1"/>
  <c r="AW5113" i="1"/>
  <c r="E5114" i="1"/>
  <c r="F5114" i="1"/>
  <c r="W5114" i="1"/>
  <c r="AJ5114" i="1"/>
  <c r="AW5114" i="1"/>
  <c r="E5115" i="1"/>
  <c r="F5115" i="1"/>
  <c r="W5115" i="1"/>
  <c r="AJ5115" i="1"/>
  <c r="AW5115" i="1"/>
  <c r="E5116" i="1"/>
  <c r="F5116" i="1"/>
  <c r="W5116" i="1"/>
  <c r="AJ5116" i="1"/>
  <c r="AW5116" i="1"/>
  <c r="E5117" i="1"/>
  <c r="F5117" i="1"/>
  <c r="W5117" i="1"/>
  <c r="AJ5117" i="1"/>
  <c r="AW5117" i="1"/>
  <c r="E5118" i="1"/>
  <c r="F5118" i="1"/>
  <c r="W5118" i="1"/>
  <c r="AJ5118" i="1"/>
  <c r="AW5118" i="1"/>
  <c r="E5119" i="1"/>
  <c r="F5119" i="1"/>
  <c r="W5119" i="1"/>
  <c r="AJ5119" i="1"/>
  <c r="AW5119" i="1"/>
  <c r="E5120" i="1"/>
  <c r="F5120" i="1"/>
  <c r="W5120" i="1"/>
  <c r="AJ5120" i="1"/>
  <c r="AW5120" i="1"/>
  <c r="E5121" i="1"/>
  <c r="F5121" i="1"/>
  <c r="W5121" i="1"/>
  <c r="AJ5121" i="1"/>
  <c r="AW5121" i="1"/>
  <c r="E5122" i="1"/>
  <c r="F5122" i="1"/>
  <c r="W5122" i="1"/>
  <c r="AJ5122" i="1"/>
  <c r="AW5122" i="1"/>
  <c r="E5123" i="1"/>
  <c r="F5123" i="1"/>
  <c r="W5123" i="1"/>
  <c r="AJ5123" i="1"/>
  <c r="AW5123" i="1"/>
  <c r="E5124" i="1"/>
  <c r="F5124" i="1"/>
  <c r="W5124" i="1"/>
  <c r="AJ5124" i="1"/>
  <c r="AW5124" i="1"/>
  <c r="E5125" i="1"/>
  <c r="F5125" i="1"/>
  <c r="W5125" i="1"/>
  <c r="AJ5125" i="1"/>
  <c r="AW5125" i="1"/>
  <c r="E5126" i="1"/>
  <c r="F5126" i="1"/>
  <c r="W5126" i="1"/>
  <c r="AJ5126" i="1"/>
  <c r="AW5126" i="1"/>
  <c r="E5127" i="1"/>
  <c r="F5127" i="1"/>
  <c r="W5127" i="1"/>
  <c r="AJ5127" i="1"/>
  <c r="AW5127" i="1"/>
  <c r="E5128" i="1"/>
  <c r="F5128" i="1"/>
  <c r="W5128" i="1"/>
  <c r="AJ5128" i="1"/>
  <c r="AW5128" i="1"/>
  <c r="E5129" i="1"/>
  <c r="F5129" i="1"/>
  <c r="W5129" i="1"/>
  <c r="AJ5129" i="1"/>
  <c r="AW5129" i="1"/>
  <c r="E5130" i="1"/>
  <c r="F5130" i="1"/>
  <c r="W5130" i="1"/>
  <c r="AJ5130" i="1"/>
  <c r="AW5130" i="1"/>
  <c r="E5131" i="1"/>
  <c r="F5131" i="1"/>
  <c r="W5131" i="1"/>
  <c r="AJ5131" i="1"/>
  <c r="AW5131" i="1"/>
  <c r="E5132" i="1"/>
  <c r="F5132" i="1"/>
  <c r="W5132" i="1"/>
  <c r="AJ5132" i="1"/>
  <c r="AW5132" i="1"/>
  <c r="E5133" i="1"/>
  <c r="F5133" i="1"/>
  <c r="W5133" i="1"/>
  <c r="AJ5133" i="1"/>
  <c r="AW5133" i="1"/>
  <c r="E5134" i="1"/>
  <c r="F5134" i="1"/>
  <c r="W5134" i="1"/>
  <c r="AJ5134" i="1"/>
  <c r="AW5134" i="1"/>
  <c r="E5135" i="1"/>
  <c r="F5135" i="1"/>
  <c r="W5135" i="1"/>
  <c r="AJ5135" i="1"/>
  <c r="AW5135" i="1"/>
  <c r="E5136" i="1"/>
  <c r="F5136" i="1"/>
  <c r="J5136" i="1"/>
  <c r="W5136" i="1"/>
  <c r="AJ5136" i="1"/>
  <c r="AW5136" i="1"/>
  <c r="E5137" i="1"/>
  <c r="F5137" i="1"/>
  <c r="W5137" i="1"/>
  <c r="AJ5137" i="1"/>
  <c r="AW5137" i="1"/>
  <c r="E5138" i="1"/>
  <c r="F5138" i="1"/>
  <c r="W5138" i="1"/>
  <c r="AJ5138" i="1"/>
  <c r="AW5138" i="1"/>
  <c r="E5139" i="1"/>
  <c r="F5139" i="1"/>
  <c r="W5139" i="1"/>
  <c r="AJ5139" i="1"/>
  <c r="AW5139" i="1"/>
  <c r="E5160" i="1"/>
  <c r="F5160" i="1"/>
  <c r="W5160" i="1"/>
  <c r="AJ5160" i="1"/>
  <c r="AW5160" i="1"/>
  <c r="E5161" i="1"/>
  <c r="F5161" i="1"/>
  <c r="W5161" i="1"/>
  <c r="AJ5161" i="1"/>
  <c r="AW5161" i="1"/>
  <c r="E5162" i="1"/>
  <c r="F5162" i="1"/>
  <c r="J5162" i="1"/>
  <c r="W5162" i="1"/>
  <c r="AJ5162" i="1"/>
  <c r="AW5162" i="1"/>
  <c r="J5134" i="1" l="1"/>
  <c r="J5120" i="1"/>
  <c r="J5118" i="1"/>
  <c r="J5116" i="1"/>
  <c r="J5161" i="1"/>
  <c r="J5160" i="1"/>
  <c r="J5113" i="1"/>
  <c r="J5111" i="1"/>
  <c r="J5109" i="1"/>
  <c r="J5138" i="1"/>
  <c r="J5137" i="1"/>
  <c r="J5132" i="1"/>
  <c r="J5129" i="1"/>
  <c r="J5127" i="1"/>
  <c r="J5125" i="1"/>
  <c r="J5124" i="1"/>
  <c r="J5122" i="1"/>
  <c r="J5115" i="1"/>
  <c r="J5133" i="1"/>
  <c r="J5131" i="1"/>
  <c r="J5123" i="1"/>
  <c r="J5106" i="1"/>
  <c r="J5102" i="1"/>
  <c r="J5100" i="1"/>
  <c r="J5107" i="1"/>
  <c r="J5103" i="1"/>
  <c r="J5101" i="1"/>
  <c r="J5098" i="1"/>
  <c r="J5139" i="1"/>
  <c r="J5135" i="1"/>
  <c r="J5130" i="1"/>
  <c r="J5128" i="1"/>
  <c r="J5126" i="1"/>
  <c r="J5121" i="1"/>
  <c r="J5119" i="1"/>
  <c r="J5117" i="1"/>
  <c r="J5114" i="1"/>
  <c r="J5112" i="1"/>
  <c r="J5110" i="1"/>
  <c r="J5108" i="1"/>
  <c r="H2691" i="8" l="1"/>
  <c r="H2670" i="8"/>
  <c r="H2660" i="8"/>
  <c r="H2617" i="8"/>
  <c r="BO47" i="7"/>
  <c r="BO46" i="7" s="1"/>
  <c r="BO45" i="7"/>
  <c r="BO44" i="7"/>
  <c r="BO43" i="7"/>
  <c r="BO42" i="7"/>
  <c r="BO41" i="7"/>
  <c r="BO40" i="7"/>
  <c r="BO39" i="7"/>
  <c r="BO38" i="7"/>
  <c r="BO37" i="7"/>
  <c r="BO35" i="7"/>
  <c r="BO34" i="7"/>
  <c r="BO33" i="7"/>
  <c r="BO32" i="7"/>
  <c r="BO31" i="7"/>
  <c r="BO30" i="7"/>
  <c r="BO27" i="7"/>
  <c r="BO25" i="7"/>
  <c r="BO24" i="7"/>
  <c r="BO22" i="7"/>
  <c r="BO26" i="7"/>
  <c r="BO21" i="7"/>
  <c r="BO20" i="7"/>
  <c r="BO19" i="7"/>
  <c r="BO18" i="7"/>
  <c r="BO17" i="7"/>
  <c r="BO16" i="7"/>
  <c r="BO11" i="7"/>
  <c r="BO10" i="7"/>
  <c r="BO9" i="7"/>
  <c r="BO8" i="7"/>
  <c r="BO7" i="7"/>
  <c r="BO6" i="7"/>
  <c r="AW5097" i="1"/>
  <c r="AJ5097" i="1"/>
  <c r="W5097" i="1"/>
  <c r="F5097" i="1"/>
  <c r="E5097" i="1"/>
  <c r="AW5096" i="1"/>
  <c r="AJ5096" i="1"/>
  <c r="W5096" i="1"/>
  <c r="J5096" i="1"/>
  <c r="F5096" i="1"/>
  <c r="E5096" i="1"/>
  <c r="AW5095" i="1"/>
  <c r="AJ5095" i="1"/>
  <c r="W5095" i="1"/>
  <c r="F5095" i="1"/>
  <c r="E5095" i="1"/>
  <c r="AW5094" i="1"/>
  <c r="AJ5094" i="1"/>
  <c r="W5094" i="1"/>
  <c r="F5094" i="1"/>
  <c r="E5094" i="1"/>
  <c r="AW5093" i="1"/>
  <c r="AJ5093" i="1"/>
  <c r="W5093" i="1"/>
  <c r="J5093" i="1"/>
  <c r="F5093" i="1"/>
  <c r="E5093" i="1"/>
  <c r="AW5091" i="1"/>
  <c r="AJ5091" i="1"/>
  <c r="W5091" i="1"/>
  <c r="J5091" i="1"/>
  <c r="F5091" i="1"/>
  <c r="E5091" i="1"/>
  <c r="AW5090" i="1"/>
  <c r="AJ5090" i="1"/>
  <c r="W5090" i="1"/>
  <c r="J5090" i="1"/>
  <c r="F5090" i="1"/>
  <c r="E5090" i="1"/>
  <c r="AW5089" i="1"/>
  <c r="AJ5089" i="1"/>
  <c r="W5089" i="1"/>
  <c r="F5089" i="1"/>
  <c r="E5089" i="1"/>
  <c r="AY5088" i="1"/>
  <c r="AW5088" i="1"/>
  <c r="AJ5088" i="1"/>
  <c r="W5088" i="1"/>
  <c r="F5088" i="1"/>
  <c r="E5088" i="1"/>
  <c r="AX5087" i="1"/>
  <c r="AW5087" i="1"/>
  <c r="AJ5087" i="1"/>
  <c r="W5087" i="1"/>
  <c r="J5087" i="1"/>
  <c r="F5087" i="1"/>
  <c r="E5087" i="1"/>
  <c r="AW5086" i="1"/>
  <c r="AJ5086" i="1"/>
  <c r="W5086" i="1"/>
  <c r="F5086" i="1"/>
  <c r="E5086" i="1"/>
  <c r="AW5085" i="1"/>
  <c r="AJ5085" i="1"/>
  <c r="W5085" i="1"/>
  <c r="F5085" i="1"/>
  <c r="E5085" i="1"/>
  <c r="AW5084" i="1"/>
  <c r="AJ5084" i="1"/>
  <c r="W5084" i="1"/>
  <c r="F5084" i="1"/>
  <c r="E5084" i="1"/>
  <c r="AW5083" i="1"/>
  <c r="AJ5083" i="1"/>
  <c r="W5083" i="1"/>
  <c r="F5083" i="1"/>
  <c r="E5083" i="1"/>
  <c r="AW5082" i="1"/>
  <c r="AJ5082" i="1"/>
  <c r="W5082" i="1"/>
  <c r="F5082" i="1"/>
  <c r="E5082" i="1"/>
  <c r="AW5081" i="1"/>
  <c r="AJ5081" i="1"/>
  <c r="W5081" i="1"/>
  <c r="F5081" i="1"/>
  <c r="E5081" i="1"/>
  <c r="AW5080" i="1"/>
  <c r="AJ5080" i="1"/>
  <c r="W5080" i="1"/>
  <c r="F5080" i="1"/>
  <c r="E5080" i="1"/>
  <c r="AW5079" i="1"/>
  <c r="AJ5079" i="1"/>
  <c r="W5079" i="1"/>
  <c r="F5079" i="1"/>
  <c r="E5079" i="1"/>
  <c r="AW5078" i="1"/>
  <c r="AJ5078" i="1"/>
  <c r="W5078" i="1"/>
  <c r="F5078" i="1"/>
  <c r="E5078" i="1"/>
  <c r="AW5077" i="1"/>
  <c r="AJ5077" i="1"/>
  <c r="W5077" i="1"/>
  <c r="F5077" i="1"/>
  <c r="E5077" i="1"/>
  <c r="AW5076" i="1"/>
  <c r="AJ5076" i="1"/>
  <c r="W5076" i="1"/>
  <c r="J5076" i="1"/>
  <c r="F5076" i="1"/>
  <c r="E5076" i="1"/>
  <c r="AW5075" i="1"/>
  <c r="AJ5075" i="1"/>
  <c r="W5075" i="1"/>
  <c r="F5075" i="1"/>
  <c r="E5075" i="1"/>
  <c r="AW5074" i="1"/>
  <c r="AJ5074" i="1"/>
  <c r="W5074" i="1"/>
  <c r="F5074" i="1"/>
  <c r="E5074" i="1"/>
  <c r="AW5073" i="1"/>
  <c r="AJ5073" i="1"/>
  <c r="W5073" i="1"/>
  <c r="F5073" i="1"/>
  <c r="E5073" i="1"/>
  <c r="AW5072" i="1"/>
  <c r="AJ5072" i="1"/>
  <c r="W5072" i="1"/>
  <c r="J5072" i="1"/>
  <c r="F5072" i="1"/>
  <c r="E5072" i="1"/>
  <c r="AW5071" i="1"/>
  <c r="AJ5071" i="1"/>
  <c r="W5071" i="1"/>
  <c r="F5071" i="1"/>
  <c r="E5071" i="1"/>
  <c r="AW5070" i="1"/>
  <c r="AJ5070" i="1"/>
  <c r="W5070" i="1"/>
  <c r="F5070" i="1"/>
  <c r="E5070" i="1"/>
  <c r="AW5069" i="1"/>
  <c r="AJ5069" i="1"/>
  <c r="W5069" i="1"/>
  <c r="F5069" i="1"/>
  <c r="E5069" i="1"/>
  <c r="AW5068" i="1"/>
  <c r="AJ5068" i="1"/>
  <c r="W5068" i="1"/>
  <c r="F5068" i="1"/>
  <c r="E5068" i="1"/>
  <c r="AW5067" i="1"/>
  <c r="AJ5067" i="1"/>
  <c r="W5067" i="1"/>
  <c r="J5067" i="1"/>
  <c r="F5067" i="1"/>
  <c r="E5067" i="1"/>
  <c r="AW5066" i="1"/>
  <c r="AJ5066" i="1"/>
  <c r="W5066" i="1"/>
  <c r="F5066" i="1"/>
  <c r="E5066" i="1"/>
  <c r="AW5065" i="1"/>
  <c r="AJ5065" i="1"/>
  <c r="W5065" i="1"/>
  <c r="F5065" i="1"/>
  <c r="E5065" i="1"/>
  <c r="AW5064" i="1"/>
  <c r="AJ5064" i="1"/>
  <c r="W5064" i="1"/>
  <c r="F5064" i="1"/>
  <c r="E5064" i="1"/>
  <c r="AW5063" i="1"/>
  <c r="AJ5063" i="1"/>
  <c r="W5063" i="1"/>
  <c r="F5063" i="1"/>
  <c r="E5063" i="1"/>
  <c r="AW5062" i="1"/>
  <c r="AJ5062" i="1"/>
  <c r="W5062" i="1"/>
  <c r="F5062" i="1"/>
  <c r="E5062" i="1"/>
  <c r="AW5061" i="1"/>
  <c r="AJ5061" i="1"/>
  <c r="W5061" i="1"/>
  <c r="F5061" i="1"/>
  <c r="E5061" i="1"/>
  <c r="AW5060" i="1"/>
  <c r="AJ5060" i="1"/>
  <c r="W5060" i="1"/>
  <c r="F5060" i="1"/>
  <c r="E5060" i="1"/>
  <c r="AW5059" i="1"/>
  <c r="AJ5059" i="1"/>
  <c r="W5059" i="1"/>
  <c r="F5059" i="1"/>
  <c r="E5059" i="1"/>
  <c r="AW5058" i="1"/>
  <c r="AJ5058" i="1"/>
  <c r="W5058" i="1"/>
  <c r="F5058" i="1"/>
  <c r="E5058" i="1"/>
  <c r="AW5057" i="1"/>
  <c r="AJ5057" i="1"/>
  <c r="W5057" i="1"/>
  <c r="F5057" i="1"/>
  <c r="E5057" i="1"/>
  <c r="AX5056" i="1"/>
  <c r="AW5056" i="1"/>
  <c r="AJ5056" i="1"/>
  <c r="W5056" i="1"/>
  <c r="F5056" i="1"/>
  <c r="E5056" i="1"/>
  <c r="AW5055" i="1"/>
  <c r="AJ5055" i="1"/>
  <c r="W5055" i="1"/>
  <c r="F5055" i="1"/>
  <c r="E5055" i="1"/>
  <c r="AW5054" i="1"/>
  <c r="AJ5054" i="1"/>
  <c r="W5054" i="1"/>
  <c r="F5054" i="1"/>
  <c r="E5054" i="1"/>
  <c r="AW5053" i="1"/>
  <c r="AJ5053" i="1"/>
  <c r="W5053" i="1"/>
  <c r="F5053" i="1"/>
  <c r="E5053" i="1"/>
  <c r="AW5052" i="1"/>
  <c r="AJ5052" i="1"/>
  <c r="W5052" i="1"/>
  <c r="F5052" i="1"/>
  <c r="E5052" i="1"/>
  <c r="AW5051" i="1"/>
  <c r="AJ5051" i="1"/>
  <c r="W5051" i="1"/>
  <c r="J5051" i="1"/>
  <c r="F5051" i="1"/>
  <c r="E5051" i="1"/>
  <c r="AW5050" i="1"/>
  <c r="AJ5050" i="1"/>
  <c r="W5050" i="1"/>
  <c r="F5050" i="1"/>
  <c r="E5050" i="1"/>
  <c r="AW5049" i="1"/>
  <c r="AJ5049" i="1"/>
  <c r="W5049" i="1"/>
  <c r="F5049" i="1"/>
  <c r="E5049" i="1"/>
  <c r="AW5048" i="1"/>
  <c r="AJ5048" i="1"/>
  <c r="W5048" i="1"/>
  <c r="F5048" i="1"/>
  <c r="E5048" i="1"/>
  <c r="H2713" i="8"/>
  <c r="H2712" i="8"/>
  <c r="H2711" i="8"/>
  <c r="H2710" i="8"/>
  <c r="H2709" i="8"/>
  <c r="H2708" i="8"/>
  <c r="H2707" i="8"/>
  <c r="H2706" i="8"/>
  <c r="H2704" i="8"/>
  <c r="H2703" i="8"/>
  <c r="H2702" i="8"/>
  <c r="H2701" i="8"/>
  <c r="H2700" i="8"/>
  <c r="H2699" i="8"/>
  <c r="H2698" i="8"/>
  <c r="H2697" i="8"/>
  <c r="H2696" i="8"/>
  <c r="H2695" i="8"/>
  <c r="H2694" i="8"/>
  <c r="H2693" i="8"/>
  <c r="H2692" i="8"/>
  <c r="H2690" i="8"/>
  <c r="H2689" i="8"/>
  <c r="H2688" i="8"/>
  <c r="H2687" i="8"/>
  <c r="H2686" i="8"/>
  <c r="H2685" i="8"/>
  <c r="H2684" i="8"/>
  <c r="H2683" i="8"/>
  <c r="H2682" i="8"/>
  <c r="H2681" i="8"/>
  <c r="H2680" i="8"/>
  <c r="H2679" i="8"/>
  <c r="H2678" i="8"/>
  <c r="H2677" i="8"/>
  <c r="H2676" i="8"/>
  <c r="H2675" i="8"/>
  <c r="H2674" i="8"/>
  <c r="H2673" i="8"/>
  <c r="H2672" i="8"/>
  <c r="H2671" i="8"/>
  <c r="H2669" i="8"/>
  <c r="H2668" i="8"/>
  <c r="H2667" i="8"/>
  <c r="H2666" i="8"/>
  <c r="I2757" i="8" l="1"/>
  <c r="I2764" i="8"/>
  <c r="I2774" i="8"/>
  <c r="J5058" i="1"/>
  <c r="J5060" i="1"/>
  <c r="J5062" i="1"/>
  <c r="J5064" i="1"/>
  <c r="J5066" i="1"/>
  <c r="J5069" i="1"/>
  <c r="J5071" i="1"/>
  <c r="J5074" i="1"/>
  <c r="J5049" i="1"/>
  <c r="J5052" i="1"/>
  <c r="J5054" i="1"/>
  <c r="J5056" i="1"/>
  <c r="J5057" i="1"/>
  <c r="J5059" i="1"/>
  <c r="J5061" i="1"/>
  <c r="J5063" i="1"/>
  <c r="J5065" i="1"/>
  <c r="J5068" i="1"/>
  <c r="J5070" i="1"/>
  <c r="J5073" i="1"/>
  <c r="J5075" i="1"/>
  <c r="J5077" i="1"/>
  <c r="J5079" i="1"/>
  <c r="J5078" i="1"/>
  <c r="J5097" i="1"/>
  <c r="J5080" i="1"/>
  <c r="J5082" i="1"/>
  <c r="J5084" i="1"/>
  <c r="J5086" i="1"/>
  <c r="J5089" i="1"/>
  <c r="J5094" i="1"/>
  <c r="J5088" i="1"/>
  <c r="J5095" i="1"/>
  <c r="J5048" i="1"/>
  <c r="J5050" i="1"/>
  <c r="J5053" i="1"/>
  <c r="J5055" i="1"/>
  <c r="J5081" i="1"/>
  <c r="J5083" i="1"/>
  <c r="J5085" i="1"/>
  <c r="BO36" i="7"/>
  <c r="BO28" i="7"/>
  <c r="BO23" i="7"/>
  <c r="BO15" i="7"/>
  <c r="BO13" i="7"/>
  <c r="BO48" i="7" l="1"/>
  <c r="BO49" i="7" s="1"/>
  <c r="CJ469" i="2" l="1"/>
  <c r="CJ468" i="2"/>
  <c r="CJ467" i="2"/>
  <c r="CJ466" i="2"/>
  <c r="CJ465" i="2"/>
  <c r="CJ464" i="2"/>
  <c r="CJ463" i="2"/>
  <c r="CJ462" i="2"/>
  <c r="CJ461" i="2"/>
  <c r="CJ460" i="2"/>
  <c r="CJ459" i="2"/>
  <c r="CJ458" i="2"/>
  <c r="CJ457" i="2"/>
  <c r="CJ456" i="2"/>
  <c r="CJ455" i="2"/>
  <c r="CJ454" i="2"/>
  <c r="CJ453" i="2"/>
  <c r="CJ452" i="2"/>
  <c r="CJ451" i="2"/>
  <c r="CJ450" i="2"/>
  <c r="CJ449" i="2"/>
  <c r="CJ448" i="2"/>
  <c r="CJ447" i="2"/>
  <c r="CJ446" i="2"/>
  <c r="CJ445" i="2"/>
  <c r="CJ444" i="2"/>
  <c r="CJ443" i="2"/>
  <c r="CJ442" i="2"/>
  <c r="CJ441" i="2"/>
  <c r="CJ440" i="2"/>
  <c r="CJ439" i="2"/>
  <c r="CJ438" i="2"/>
  <c r="CJ437" i="2"/>
  <c r="CJ436" i="2"/>
  <c r="CJ435" i="2"/>
  <c r="CJ434" i="2"/>
  <c r="CJ433" i="2"/>
  <c r="CJ432" i="2"/>
  <c r="CJ431" i="2"/>
  <c r="CJ430" i="2"/>
  <c r="CJ429" i="2"/>
  <c r="CJ428" i="2"/>
  <c r="CJ427" i="2"/>
  <c r="CJ426" i="2"/>
  <c r="CJ425" i="2"/>
  <c r="CJ424" i="2"/>
  <c r="CJ423" i="2"/>
  <c r="CJ422" i="2"/>
  <c r="CJ421" i="2"/>
  <c r="CJ420" i="2"/>
  <c r="CJ419" i="2"/>
  <c r="CJ418" i="2"/>
  <c r="CJ417" i="2"/>
  <c r="CJ416" i="2"/>
  <c r="CJ415" i="2"/>
  <c r="CJ414" i="2"/>
  <c r="CJ413" i="2"/>
  <c r="CJ412" i="2"/>
  <c r="CJ411" i="2"/>
  <c r="CJ410" i="2"/>
  <c r="CJ409" i="2"/>
  <c r="CJ407" i="2"/>
  <c r="CJ406" i="2"/>
  <c r="CJ405" i="2"/>
  <c r="CJ404" i="2"/>
  <c r="CJ403" i="2"/>
  <c r="CJ402" i="2"/>
  <c r="CJ401" i="2"/>
  <c r="CJ400" i="2"/>
  <c r="CJ399" i="2"/>
  <c r="CJ398" i="2"/>
  <c r="CJ397" i="2"/>
  <c r="CJ396" i="2"/>
  <c r="CJ395" i="2"/>
  <c r="CJ394" i="2"/>
  <c r="CJ393" i="2"/>
  <c r="CJ392" i="2"/>
  <c r="CJ391" i="2"/>
  <c r="CJ390" i="2"/>
  <c r="CJ389" i="2"/>
  <c r="CJ388" i="2"/>
  <c r="CJ387" i="2"/>
  <c r="CJ386" i="2"/>
  <c r="CJ385" i="2"/>
  <c r="CJ384" i="2"/>
  <c r="CJ383" i="2"/>
  <c r="CJ382" i="2"/>
  <c r="CJ381" i="2"/>
  <c r="CJ380" i="2"/>
  <c r="CJ379" i="2"/>
  <c r="CJ378" i="2"/>
  <c r="CJ377" i="2"/>
  <c r="CJ376" i="2"/>
  <c r="CJ375" i="2"/>
  <c r="CJ374" i="2"/>
  <c r="CJ373" i="2"/>
  <c r="CJ372" i="2"/>
  <c r="CJ371" i="2"/>
  <c r="CJ370" i="2"/>
  <c r="CJ369" i="2"/>
  <c r="CJ368" i="2"/>
  <c r="CJ367" i="2"/>
  <c r="CJ366" i="2"/>
  <c r="CJ365" i="2"/>
  <c r="CJ364" i="2"/>
  <c r="CJ363" i="2"/>
  <c r="CJ362" i="2"/>
  <c r="CJ361" i="2"/>
  <c r="CJ360" i="2"/>
  <c r="CJ359" i="2"/>
  <c r="CJ358" i="2"/>
  <c r="CJ357" i="2"/>
  <c r="CJ356" i="2"/>
  <c r="CJ355" i="2"/>
  <c r="CJ354" i="2"/>
  <c r="CJ353" i="2"/>
  <c r="CJ352" i="2"/>
  <c r="CJ351" i="2"/>
  <c r="CJ350" i="2"/>
  <c r="CJ349" i="2"/>
  <c r="CJ348" i="2"/>
  <c r="CJ347" i="2"/>
  <c r="CJ346" i="2"/>
  <c r="CJ345" i="2"/>
  <c r="CJ344" i="2"/>
  <c r="CJ343" i="2"/>
  <c r="CJ342" i="2"/>
  <c r="CJ341" i="2"/>
  <c r="CJ340" i="2"/>
  <c r="CJ339" i="2"/>
  <c r="CJ338" i="2"/>
  <c r="CJ337" i="2"/>
  <c r="CJ336" i="2"/>
  <c r="CJ335" i="2"/>
  <c r="CJ334" i="2"/>
  <c r="CJ333" i="2"/>
  <c r="CJ332" i="2"/>
  <c r="CJ331" i="2"/>
  <c r="CJ330" i="2"/>
  <c r="CJ329" i="2"/>
  <c r="CJ328" i="2"/>
  <c r="CJ327" i="2"/>
  <c r="CJ326" i="2"/>
  <c r="CJ325" i="2"/>
  <c r="CJ324" i="2"/>
  <c r="CJ322" i="2"/>
  <c r="CJ321" i="2"/>
  <c r="CJ320" i="2"/>
  <c r="CJ319" i="2"/>
  <c r="CJ318" i="2"/>
  <c r="CJ317" i="2"/>
  <c r="CJ316" i="2"/>
  <c r="CJ315" i="2"/>
  <c r="CJ314" i="2"/>
  <c r="CJ313" i="2"/>
  <c r="CJ312" i="2"/>
  <c r="CJ311" i="2"/>
  <c r="CJ310" i="2"/>
  <c r="CJ309" i="2"/>
  <c r="CJ308" i="2"/>
  <c r="CJ307" i="2"/>
  <c r="CJ306" i="2"/>
  <c r="CJ305" i="2"/>
  <c r="CJ304" i="2"/>
  <c r="CJ303" i="2"/>
  <c r="CJ302" i="2"/>
  <c r="CJ301" i="2"/>
  <c r="CJ300" i="2"/>
  <c r="CJ299" i="2"/>
  <c r="CJ298" i="2"/>
  <c r="CJ297" i="2"/>
  <c r="CJ296" i="2"/>
  <c r="CJ295" i="2"/>
  <c r="CJ294" i="2"/>
  <c r="CJ293" i="2"/>
  <c r="CJ292" i="2"/>
  <c r="CJ291" i="2"/>
  <c r="CJ290" i="2"/>
  <c r="CJ289" i="2"/>
  <c r="CJ288" i="2"/>
  <c r="CJ287" i="2"/>
  <c r="CJ286" i="2"/>
  <c r="CJ285" i="2"/>
  <c r="CJ284" i="2"/>
  <c r="CJ283" i="2"/>
  <c r="CJ282" i="2"/>
  <c r="CJ281" i="2"/>
  <c r="CJ280" i="2"/>
  <c r="CJ279" i="2"/>
  <c r="CJ278" i="2"/>
  <c r="CJ277" i="2"/>
  <c r="CJ276" i="2"/>
  <c r="CJ275" i="2"/>
  <c r="CJ274" i="2"/>
  <c r="CJ273" i="2"/>
  <c r="CJ272" i="2"/>
  <c r="CJ271" i="2"/>
  <c r="CJ270" i="2"/>
  <c r="CJ269" i="2"/>
  <c r="CJ268" i="2"/>
  <c r="CJ267" i="2"/>
  <c r="CJ266" i="2"/>
  <c r="CJ265" i="2"/>
  <c r="CJ264" i="2"/>
  <c r="CJ263" i="2"/>
  <c r="CJ262" i="2"/>
  <c r="CJ261" i="2"/>
  <c r="CJ260" i="2"/>
  <c r="CJ259" i="2"/>
  <c r="CJ258" i="2"/>
  <c r="CJ257" i="2"/>
  <c r="CJ256" i="2"/>
  <c r="CJ255" i="2"/>
  <c r="CJ254" i="2"/>
  <c r="CJ253" i="2"/>
  <c r="CJ252" i="2"/>
  <c r="CJ251" i="2"/>
  <c r="CJ250" i="2"/>
  <c r="CJ249" i="2"/>
  <c r="CJ248" i="2"/>
  <c r="CJ247" i="2"/>
  <c r="CJ246" i="2"/>
  <c r="CJ245" i="2"/>
  <c r="CJ244" i="2"/>
  <c r="CJ243" i="2"/>
  <c r="CJ242" i="2"/>
  <c r="CJ241" i="2"/>
  <c r="CJ240" i="2"/>
  <c r="CJ239" i="2"/>
  <c r="CJ238" i="2"/>
  <c r="CJ237" i="2"/>
  <c r="CJ236" i="2"/>
  <c r="CJ235" i="2"/>
  <c r="CJ234" i="2"/>
  <c r="CJ233" i="2"/>
  <c r="CJ232" i="2"/>
  <c r="CJ231" i="2"/>
  <c r="CJ230" i="2"/>
  <c r="CJ229" i="2"/>
  <c r="CJ228" i="2"/>
  <c r="CJ227" i="2"/>
  <c r="CJ226" i="2"/>
  <c r="CJ225" i="2"/>
  <c r="CJ224" i="2"/>
  <c r="CJ223" i="2"/>
  <c r="CJ222" i="2"/>
  <c r="CJ221" i="2"/>
  <c r="CJ220" i="2"/>
  <c r="CJ219" i="2"/>
  <c r="CJ218" i="2"/>
  <c r="CJ217" i="2"/>
  <c r="CJ216" i="2"/>
  <c r="CJ215" i="2"/>
  <c r="CJ214" i="2"/>
  <c r="CJ213" i="2"/>
  <c r="CJ212" i="2"/>
  <c r="CJ211" i="2"/>
  <c r="CJ210" i="2"/>
  <c r="CJ209" i="2"/>
  <c r="CJ208" i="2"/>
  <c r="CJ207" i="2"/>
  <c r="CJ206" i="2"/>
  <c r="CJ205" i="2"/>
  <c r="CJ204" i="2"/>
  <c r="CJ203" i="2"/>
  <c r="CJ202" i="2"/>
  <c r="CJ201" i="2"/>
  <c r="CJ200" i="2"/>
  <c r="CJ199" i="2"/>
  <c r="CJ198" i="2"/>
  <c r="CJ197" i="2"/>
  <c r="CJ196" i="2"/>
  <c r="CJ195" i="2"/>
  <c r="CJ194" i="2"/>
  <c r="CJ193" i="2"/>
  <c r="CJ192" i="2"/>
  <c r="CJ191" i="2"/>
  <c r="CJ190" i="2"/>
  <c r="CJ189" i="2"/>
  <c r="CJ188" i="2"/>
  <c r="CJ187" i="2"/>
  <c r="CJ186" i="2"/>
  <c r="CJ185" i="2"/>
  <c r="CJ184" i="2"/>
  <c r="CJ183" i="2"/>
  <c r="CJ182" i="2"/>
  <c r="CJ181" i="2"/>
  <c r="CJ180" i="2"/>
  <c r="CJ179" i="2"/>
  <c r="CJ178" i="2"/>
  <c r="CJ177" i="2"/>
  <c r="CJ176" i="2"/>
  <c r="CJ175" i="2"/>
  <c r="CJ174" i="2"/>
  <c r="CJ173" i="2"/>
  <c r="CJ172" i="2"/>
  <c r="CJ171" i="2"/>
  <c r="CJ170" i="2"/>
  <c r="CJ169" i="2"/>
  <c r="CJ168" i="2"/>
  <c r="CJ167" i="2"/>
  <c r="CJ166" i="2"/>
  <c r="CJ165" i="2"/>
  <c r="CJ164" i="2"/>
  <c r="CJ163" i="2"/>
  <c r="CJ162" i="2"/>
  <c r="CJ161" i="2"/>
  <c r="CJ160" i="2"/>
  <c r="CJ159" i="2"/>
  <c r="CJ158" i="2"/>
  <c r="CJ157" i="2"/>
  <c r="CJ156" i="2"/>
  <c r="CJ155" i="2"/>
  <c r="CJ154" i="2"/>
  <c r="CJ153" i="2"/>
  <c r="CJ152" i="2"/>
  <c r="CJ151" i="2"/>
  <c r="CJ150" i="2"/>
  <c r="CJ149" i="2"/>
  <c r="CJ148" i="2"/>
  <c r="CJ147" i="2"/>
  <c r="CJ146" i="2"/>
  <c r="CJ145" i="2"/>
  <c r="CJ144" i="2"/>
  <c r="CJ143" i="2"/>
  <c r="CJ142" i="2"/>
  <c r="CJ141" i="2"/>
  <c r="CJ140" i="2"/>
  <c r="CJ139" i="2"/>
  <c r="CJ138" i="2"/>
  <c r="CJ137" i="2"/>
  <c r="CJ136" i="2"/>
  <c r="CJ135" i="2"/>
  <c r="CJ134" i="2"/>
  <c r="CJ133" i="2"/>
  <c r="CJ132" i="2"/>
  <c r="CJ131" i="2"/>
  <c r="CJ130" i="2"/>
  <c r="CJ129" i="2"/>
  <c r="CJ128" i="2"/>
  <c r="CJ127" i="2"/>
  <c r="CJ126" i="2"/>
  <c r="CJ125" i="2"/>
  <c r="CJ124" i="2"/>
  <c r="CJ123" i="2"/>
  <c r="CJ122" i="2"/>
  <c r="CJ121" i="2"/>
  <c r="CJ120" i="2"/>
  <c r="CJ119" i="2"/>
  <c r="CJ118" i="2"/>
  <c r="CJ117" i="2"/>
  <c r="CJ116" i="2"/>
  <c r="CJ115" i="2"/>
  <c r="CJ114" i="2"/>
  <c r="CJ113" i="2"/>
  <c r="CJ112" i="2"/>
  <c r="CJ111" i="2"/>
  <c r="CJ110" i="2"/>
  <c r="CJ109" i="2"/>
  <c r="CJ108" i="2"/>
  <c r="CJ107" i="2"/>
  <c r="CJ106" i="2"/>
  <c r="CJ105" i="2"/>
  <c r="CJ104" i="2"/>
  <c r="CJ103" i="2"/>
  <c r="CJ102" i="2"/>
  <c r="CJ101" i="2"/>
  <c r="CJ100" i="2"/>
  <c r="CJ99" i="2"/>
  <c r="CJ98" i="2"/>
  <c r="CJ97" i="2"/>
  <c r="CJ96" i="2"/>
  <c r="CJ95" i="2"/>
  <c r="CJ94" i="2"/>
  <c r="CJ93" i="2"/>
  <c r="CJ92" i="2"/>
  <c r="CJ91" i="2"/>
  <c r="CJ90" i="2"/>
  <c r="CJ89" i="2"/>
  <c r="CJ88" i="2"/>
  <c r="CJ87" i="2"/>
  <c r="CJ86" i="2"/>
  <c r="CJ85" i="2"/>
  <c r="CJ84" i="2"/>
  <c r="CJ83" i="2"/>
  <c r="CJ82" i="2"/>
  <c r="CJ81" i="2"/>
  <c r="CJ80" i="2"/>
  <c r="CJ79" i="2"/>
  <c r="CJ78" i="2"/>
  <c r="CJ77" i="2"/>
  <c r="CJ76" i="2"/>
  <c r="CJ75" i="2"/>
  <c r="CJ74" i="2"/>
  <c r="CJ73" i="2"/>
  <c r="CJ72" i="2"/>
  <c r="CJ71" i="2"/>
  <c r="CJ70" i="2"/>
  <c r="CJ69" i="2"/>
  <c r="CJ68" i="2"/>
  <c r="CJ67" i="2"/>
  <c r="CJ66" i="2"/>
  <c r="CJ65" i="2"/>
  <c r="CJ64" i="2"/>
  <c r="CJ63" i="2"/>
  <c r="CJ62" i="2"/>
  <c r="CJ61" i="2"/>
  <c r="CJ60" i="2"/>
  <c r="CJ59" i="2"/>
  <c r="CJ58" i="2"/>
  <c r="CJ57" i="2"/>
  <c r="CJ56" i="2"/>
  <c r="CJ55" i="2"/>
  <c r="CJ54" i="2"/>
  <c r="CJ53" i="2"/>
  <c r="CJ52" i="2"/>
  <c r="CJ51" i="2"/>
  <c r="CJ50" i="2"/>
  <c r="CJ49" i="2"/>
  <c r="CJ48" i="2"/>
  <c r="CJ47" i="2"/>
  <c r="CJ46" i="2"/>
  <c r="CJ45" i="2"/>
  <c r="CJ44" i="2"/>
  <c r="CJ43" i="2"/>
  <c r="CJ42" i="2"/>
  <c r="CJ41" i="2"/>
  <c r="CJ40" i="2"/>
  <c r="CJ39" i="2"/>
  <c r="CJ38" i="2"/>
  <c r="CJ37" i="2"/>
  <c r="CJ36" i="2"/>
  <c r="CJ35" i="2"/>
  <c r="CJ34" i="2"/>
  <c r="CJ33" i="2"/>
  <c r="CJ32" i="2"/>
  <c r="CJ31" i="2"/>
  <c r="CJ30" i="2"/>
  <c r="CJ29" i="2"/>
  <c r="CJ28" i="2"/>
  <c r="CJ27" i="2"/>
  <c r="CJ26" i="2"/>
  <c r="CJ25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I469" i="2"/>
  <c r="CI468" i="2"/>
  <c r="CI467" i="2"/>
  <c r="CI466" i="2"/>
  <c r="CI465" i="2"/>
  <c r="CI464" i="2"/>
  <c r="CI463" i="2"/>
  <c r="CI462" i="2"/>
  <c r="CI461" i="2"/>
  <c r="CI460" i="2"/>
  <c r="CI459" i="2"/>
  <c r="CI458" i="2"/>
  <c r="CI457" i="2"/>
  <c r="CI456" i="2"/>
  <c r="CI455" i="2"/>
  <c r="CI454" i="2"/>
  <c r="CI453" i="2"/>
  <c r="CI452" i="2"/>
  <c r="CI451" i="2"/>
  <c r="CI450" i="2"/>
  <c r="CI449" i="2"/>
  <c r="CI448" i="2"/>
  <c r="CI447" i="2"/>
  <c r="CI446" i="2"/>
  <c r="CI445" i="2"/>
  <c r="CI444" i="2"/>
  <c r="CI443" i="2"/>
  <c r="CI442" i="2"/>
  <c r="CI441" i="2"/>
  <c r="CI440" i="2"/>
  <c r="CI439" i="2"/>
  <c r="CI438" i="2"/>
  <c r="CI437" i="2"/>
  <c r="CI436" i="2"/>
  <c r="CI435" i="2"/>
  <c r="CI434" i="2"/>
  <c r="CI433" i="2"/>
  <c r="CI432" i="2"/>
  <c r="CI431" i="2"/>
  <c r="CI430" i="2"/>
  <c r="CI429" i="2"/>
  <c r="CI428" i="2"/>
  <c r="CI427" i="2"/>
  <c r="CI426" i="2"/>
  <c r="CI425" i="2"/>
  <c r="CI424" i="2"/>
  <c r="CI423" i="2"/>
  <c r="CI422" i="2"/>
  <c r="CI421" i="2"/>
  <c r="CI420" i="2"/>
  <c r="CI419" i="2"/>
  <c r="CI418" i="2"/>
  <c r="CI417" i="2"/>
  <c r="CI416" i="2"/>
  <c r="CI415" i="2"/>
  <c r="CI414" i="2"/>
  <c r="CI413" i="2"/>
  <c r="CI412" i="2"/>
  <c r="CI411" i="2"/>
  <c r="CI410" i="2"/>
  <c r="CI409" i="2"/>
  <c r="CI407" i="2"/>
  <c r="CI406" i="2"/>
  <c r="CI405" i="2"/>
  <c r="CI404" i="2"/>
  <c r="CI403" i="2"/>
  <c r="CI402" i="2"/>
  <c r="CI401" i="2"/>
  <c r="CI400" i="2"/>
  <c r="CI399" i="2"/>
  <c r="CI398" i="2"/>
  <c r="CI397" i="2"/>
  <c r="CI396" i="2"/>
  <c r="CI395" i="2"/>
  <c r="CI394" i="2"/>
  <c r="CI393" i="2"/>
  <c r="CI392" i="2"/>
  <c r="CI391" i="2"/>
  <c r="CI390" i="2"/>
  <c r="CI389" i="2"/>
  <c r="CI388" i="2"/>
  <c r="CI387" i="2"/>
  <c r="CI386" i="2"/>
  <c r="CI385" i="2"/>
  <c r="CI384" i="2"/>
  <c r="CI383" i="2"/>
  <c r="CI382" i="2"/>
  <c r="CI381" i="2"/>
  <c r="CI380" i="2"/>
  <c r="CI379" i="2"/>
  <c r="CI378" i="2"/>
  <c r="CI377" i="2"/>
  <c r="CI376" i="2"/>
  <c r="CI375" i="2"/>
  <c r="CI374" i="2"/>
  <c r="CI373" i="2"/>
  <c r="CI372" i="2"/>
  <c r="CI371" i="2"/>
  <c r="CI370" i="2"/>
  <c r="CI369" i="2"/>
  <c r="CI368" i="2"/>
  <c r="CI367" i="2"/>
  <c r="CI366" i="2"/>
  <c r="CI365" i="2"/>
  <c r="CI364" i="2"/>
  <c r="CI363" i="2"/>
  <c r="CI362" i="2"/>
  <c r="CI361" i="2"/>
  <c r="CI360" i="2"/>
  <c r="CI359" i="2"/>
  <c r="CI358" i="2"/>
  <c r="CI357" i="2"/>
  <c r="CI356" i="2"/>
  <c r="CI355" i="2"/>
  <c r="CI354" i="2"/>
  <c r="CI353" i="2"/>
  <c r="CI352" i="2"/>
  <c r="CI351" i="2"/>
  <c r="CI350" i="2"/>
  <c r="CI349" i="2"/>
  <c r="CI348" i="2"/>
  <c r="CI347" i="2"/>
  <c r="CI346" i="2"/>
  <c r="CI345" i="2"/>
  <c r="CI344" i="2"/>
  <c r="CI343" i="2"/>
  <c r="CI342" i="2"/>
  <c r="CI341" i="2"/>
  <c r="CI340" i="2"/>
  <c r="CI339" i="2"/>
  <c r="CI338" i="2"/>
  <c r="CI337" i="2"/>
  <c r="CI336" i="2"/>
  <c r="CI335" i="2"/>
  <c r="CI334" i="2"/>
  <c r="CI333" i="2"/>
  <c r="CI332" i="2"/>
  <c r="CI331" i="2"/>
  <c r="CI330" i="2"/>
  <c r="CI329" i="2"/>
  <c r="CI328" i="2"/>
  <c r="CI327" i="2"/>
  <c r="CI326" i="2"/>
  <c r="CI325" i="2"/>
  <c r="CI324" i="2"/>
  <c r="CI322" i="2"/>
  <c r="CI321" i="2"/>
  <c r="CI320" i="2"/>
  <c r="CI319" i="2"/>
  <c r="CI318" i="2"/>
  <c r="CI317" i="2"/>
  <c r="CI316" i="2"/>
  <c r="CI315" i="2"/>
  <c r="CI314" i="2"/>
  <c r="CI313" i="2"/>
  <c r="CI312" i="2"/>
  <c r="CI311" i="2"/>
  <c r="CI310" i="2"/>
  <c r="CI309" i="2"/>
  <c r="CI308" i="2"/>
  <c r="CI307" i="2"/>
  <c r="CI306" i="2"/>
  <c r="CI305" i="2"/>
  <c r="CI304" i="2"/>
  <c r="CI303" i="2"/>
  <c r="CI302" i="2"/>
  <c r="CI301" i="2"/>
  <c r="CI300" i="2"/>
  <c r="CI299" i="2"/>
  <c r="CI298" i="2"/>
  <c r="CI297" i="2"/>
  <c r="CI296" i="2"/>
  <c r="CI295" i="2"/>
  <c r="CI294" i="2"/>
  <c r="CI293" i="2"/>
  <c r="CI292" i="2"/>
  <c r="CI291" i="2"/>
  <c r="CI290" i="2"/>
  <c r="CI289" i="2"/>
  <c r="CI288" i="2"/>
  <c r="CI287" i="2"/>
  <c r="CI286" i="2"/>
  <c r="CI285" i="2"/>
  <c r="CI284" i="2"/>
  <c r="CI283" i="2"/>
  <c r="CI282" i="2"/>
  <c r="CI281" i="2"/>
  <c r="CI280" i="2"/>
  <c r="CI279" i="2"/>
  <c r="CI278" i="2"/>
  <c r="CI277" i="2"/>
  <c r="CI276" i="2"/>
  <c r="CI275" i="2"/>
  <c r="CI274" i="2"/>
  <c r="CI273" i="2"/>
  <c r="CI272" i="2"/>
  <c r="CI271" i="2"/>
  <c r="CI270" i="2"/>
  <c r="CI269" i="2"/>
  <c r="CI268" i="2"/>
  <c r="CI267" i="2"/>
  <c r="CI266" i="2"/>
  <c r="CI265" i="2"/>
  <c r="CI264" i="2"/>
  <c r="CI263" i="2"/>
  <c r="CI262" i="2"/>
  <c r="CI261" i="2"/>
  <c r="CI260" i="2"/>
  <c r="CI259" i="2"/>
  <c r="CI258" i="2"/>
  <c r="CI257" i="2"/>
  <c r="CI256" i="2"/>
  <c r="CI255" i="2"/>
  <c r="CI254" i="2"/>
  <c r="CI253" i="2"/>
  <c r="CI252" i="2"/>
  <c r="CI251" i="2"/>
  <c r="CI250" i="2"/>
  <c r="CI249" i="2"/>
  <c r="CI248" i="2"/>
  <c r="CI247" i="2"/>
  <c r="CI246" i="2"/>
  <c r="CI245" i="2"/>
  <c r="CI244" i="2"/>
  <c r="CI243" i="2"/>
  <c r="CI242" i="2"/>
  <c r="CI241" i="2"/>
  <c r="CI240" i="2"/>
  <c r="CI239" i="2"/>
  <c r="CI238" i="2"/>
  <c r="CI237" i="2"/>
  <c r="CI236" i="2"/>
  <c r="CI235" i="2"/>
  <c r="CI234" i="2"/>
  <c r="CI233" i="2"/>
  <c r="CI232" i="2"/>
  <c r="CI231" i="2"/>
  <c r="CI230" i="2"/>
  <c r="CI229" i="2"/>
  <c r="CI228" i="2"/>
  <c r="CI227" i="2"/>
  <c r="CI226" i="2"/>
  <c r="CI225" i="2"/>
  <c r="CI224" i="2"/>
  <c r="CI223" i="2"/>
  <c r="CI222" i="2"/>
  <c r="CI221" i="2"/>
  <c r="CI220" i="2"/>
  <c r="CI219" i="2"/>
  <c r="CI218" i="2"/>
  <c r="CI217" i="2"/>
  <c r="CI216" i="2"/>
  <c r="CI215" i="2"/>
  <c r="CI214" i="2"/>
  <c r="CI213" i="2"/>
  <c r="CI212" i="2"/>
  <c r="CI211" i="2"/>
  <c r="CI210" i="2"/>
  <c r="CI209" i="2"/>
  <c r="CI208" i="2"/>
  <c r="CI207" i="2"/>
  <c r="CI206" i="2"/>
  <c r="CI205" i="2"/>
  <c r="CI204" i="2"/>
  <c r="CI203" i="2"/>
  <c r="CI202" i="2"/>
  <c r="CI201" i="2"/>
  <c r="CI200" i="2"/>
  <c r="CI199" i="2"/>
  <c r="CI198" i="2"/>
  <c r="CI197" i="2"/>
  <c r="CI196" i="2"/>
  <c r="CI195" i="2"/>
  <c r="CI194" i="2"/>
  <c r="CI193" i="2"/>
  <c r="CI192" i="2"/>
  <c r="CI191" i="2"/>
  <c r="CI190" i="2"/>
  <c r="CI189" i="2"/>
  <c r="CI188" i="2"/>
  <c r="CI187" i="2"/>
  <c r="CI186" i="2"/>
  <c r="CI185" i="2"/>
  <c r="CI184" i="2"/>
  <c r="CI183" i="2"/>
  <c r="CI182" i="2"/>
  <c r="CI181" i="2"/>
  <c r="CI180" i="2"/>
  <c r="CI179" i="2"/>
  <c r="CI178" i="2"/>
  <c r="CI177" i="2"/>
  <c r="CI176" i="2"/>
  <c r="CI175" i="2"/>
  <c r="CI174" i="2"/>
  <c r="CI173" i="2"/>
  <c r="CI172" i="2"/>
  <c r="CI171" i="2"/>
  <c r="CI170" i="2"/>
  <c r="CI169" i="2"/>
  <c r="CI168" i="2"/>
  <c r="CI167" i="2"/>
  <c r="CI166" i="2"/>
  <c r="CI165" i="2"/>
  <c r="CI164" i="2"/>
  <c r="CI163" i="2"/>
  <c r="CI162" i="2"/>
  <c r="CI161" i="2"/>
  <c r="CI160" i="2"/>
  <c r="CI159" i="2"/>
  <c r="CI158" i="2"/>
  <c r="CI157" i="2"/>
  <c r="CI156" i="2"/>
  <c r="CI155" i="2"/>
  <c r="CI154" i="2"/>
  <c r="CI153" i="2"/>
  <c r="CI152" i="2"/>
  <c r="CI151" i="2"/>
  <c r="CI150" i="2"/>
  <c r="CI149" i="2"/>
  <c r="CI148" i="2"/>
  <c r="CI147" i="2"/>
  <c r="CI146" i="2"/>
  <c r="CI145" i="2"/>
  <c r="CI144" i="2"/>
  <c r="CI143" i="2"/>
  <c r="CI142" i="2"/>
  <c r="CI141" i="2"/>
  <c r="CI140" i="2"/>
  <c r="CI139" i="2"/>
  <c r="CI138" i="2"/>
  <c r="CI137" i="2"/>
  <c r="CI136" i="2"/>
  <c r="CI135" i="2"/>
  <c r="CI134" i="2"/>
  <c r="CI133" i="2"/>
  <c r="CI132" i="2"/>
  <c r="CI131" i="2"/>
  <c r="CI130" i="2"/>
  <c r="CI129" i="2"/>
  <c r="CI128" i="2"/>
  <c r="CI127" i="2"/>
  <c r="CI126" i="2"/>
  <c r="CI125" i="2"/>
  <c r="CI124" i="2"/>
  <c r="CI123" i="2"/>
  <c r="CI122" i="2"/>
  <c r="CI121" i="2"/>
  <c r="CI120" i="2"/>
  <c r="CI119" i="2"/>
  <c r="CI118" i="2"/>
  <c r="CI117" i="2"/>
  <c r="CI116" i="2"/>
  <c r="CI115" i="2"/>
  <c r="CI114" i="2"/>
  <c r="CI113" i="2"/>
  <c r="CI112" i="2"/>
  <c r="CI111" i="2"/>
  <c r="CI110" i="2"/>
  <c r="CI109" i="2"/>
  <c r="CI108" i="2"/>
  <c r="CI107" i="2"/>
  <c r="CI106" i="2"/>
  <c r="CI105" i="2"/>
  <c r="CI104" i="2"/>
  <c r="CI103" i="2"/>
  <c r="CI102" i="2"/>
  <c r="CI101" i="2"/>
  <c r="CI100" i="2"/>
  <c r="CI99" i="2"/>
  <c r="CI98" i="2"/>
  <c r="CI97" i="2"/>
  <c r="CI96" i="2"/>
  <c r="CI95" i="2"/>
  <c r="CI94" i="2"/>
  <c r="CI93" i="2"/>
  <c r="CI92" i="2"/>
  <c r="CI91" i="2"/>
  <c r="CI90" i="2"/>
  <c r="CI89" i="2"/>
  <c r="CI88" i="2"/>
  <c r="CI87" i="2"/>
  <c r="CI86" i="2"/>
  <c r="CI85" i="2"/>
  <c r="CI84" i="2"/>
  <c r="CI83" i="2"/>
  <c r="CI82" i="2"/>
  <c r="CI81" i="2"/>
  <c r="CI80" i="2"/>
  <c r="CI79" i="2"/>
  <c r="CI78" i="2"/>
  <c r="CI77" i="2"/>
  <c r="CI76" i="2"/>
  <c r="CI75" i="2"/>
  <c r="CI74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H469" i="2"/>
  <c r="CH468" i="2"/>
  <c r="CH467" i="2"/>
  <c r="CH466" i="2"/>
  <c r="CH465" i="2"/>
  <c r="CH464" i="2"/>
  <c r="CH463" i="2"/>
  <c r="CH462" i="2"/>
  <c r="CH461" i="2"/>
  <c r="CH460" i="2"/>
  <c r="CH459" i="2"/>
  <c r="CH458" i="2"/>
  <c r="CH457" i="2"/>
  <c r="CH456" i="2"/>
  <c r="CH455" i="2"/>
  <c r="CH454" i="2"/>
  <c r="CH453" i="2"/>
  <c r="CH452" i="2"/>
  <c r="CH451" i="2"/>
  <c r="CH450" i="2"/>
  <c r="CH449" i="2"/>
  <c r="CH448" i="2"/>
  <c r="CH447" i="2"/>
  <c r="CH446" i="2"/>
  <c r="CH445" i="2"/>
  <c r="CH444" i="2"/>
  <c r="CH443" i="2"/>
  <c r="CH442" i="2"/>
  <c r="CH441" i="2"/>
  <c r="CH440" i="2"/>
  <c r="CH439" i="2"/>
  <c r="CH438" i="2"/>
  <c r="CH437" i="2"/>
  <c r="CH436" i="2"/>
  <c r="CH435" i="2"/>
  <c r="CH434" i="2"/>
  <c r="CH433" i="2"/>
  <c r="CH432" i="2"/>
  <c r="CH431" i="2"/>
  <c r="CH430" i="2"/>
  <c r="CH429" i="2"/>
  <c r="CH428" i="2"/>
  <c r="CH427" i="2"/>
  <c r="CH426" i="2"/>
  <c r="CH425" i="2"/>
  <c r="CH424" i="2"/>
  <c r="CH423" i="2"/>
  <c r="CH422" i="2"/>
  <c r="CH421" i="2"/>
  <c r="CH420" i="2"/>
  <c r="CH419" i="2"/>
  <c r="CH418" i="2"/>
  <c r="CH417" i="2"/>
  <c r="CH416" i="2"/>
  <c r="CH415" i="2"/>
  <c r="CH414" i="2"/>
  <c r="CH413" i="2"/>
  <c r="CH412" i="2"/>
  <c r="CH411" i="2"/>
  <c r="CH410" i="2"/>
  <c r="CH409" i="2"/>
  <c r="CH407" i="2"/>
  <c r="CH406" i="2"/>
  <c r="CH405" i="2"/>
  <c r="CH404" i="2"/>
  <c r="CH403" i="2"/>
  <c r="CH402" i="2"/>
  <c r="CH401" i="2"/>
  <c r="CH400" i="2"/>
  <c r="CH399" i="2"/>
  <c r="CH398" i="2"/>
  <c r="CH397" i="2"/>
  <c r="CH396" i="2"/>
  <c r="CH395" i="2"/>
  <c r="CH394" i="2"/>
  <c r="CH393" i="2"/>
  <c r="CH392" i="2"/>
  <c r="CH391" i="2"/>
  <c r="CH390" i="2"/>
  <c r="CH389" i="2"/>
  <c r="CH388" i="2"/>
  <c r="CH387" i="2"/>
  <c r="CH386" i="2"/>
  <c r="CH385" i="2"/>
  <c r="CH384" i="2"/>
  <c r="CH383" i="2"/>
  <c r="CH382" i="2"/>
  <c r="CH381" i="2"/>
  <c r="CH380" i="2"/>
  <c r="CH379" i="2"/>
  <c r="CH378" i="2"/>
  <c r="CH377" i="2"/>
  <c r="CH376" i="2"/>
  <c r="CH375" i="2"/>
  <c r="CH374" i="2"/>
  <c r="CH373" i="2"/>
  <c r="CH372" i="2"/>
  <c r="CH371" i="2"/>
  <c r="CH370" i="2"/>
  <c r="CH369" i="2"/>
  <c r="CH368" i="2"/>
  <c r="CH367" i="2"/>
  <c r="CH366" i="2"/>
  <c r="CH365" i="2"/>
  <c r="CH364" i="2"/>
  <c r="CH363" i="2"/>
  <c r="CH362" i="2"/>
  <c r="CH361" i="2"/>
  <c r="CH360" i="2"/>
  <c r="CH359" i="2"/>
  <c r="CH358" i="2"/>
  <c r="CH357" i="2"/>
  <c r="CH356" i="2"/>
  <c r="CH355" i="2"/>
  <c r="CH354" i="2"/>
  <c r="CH353" i="2"/>
  <c r="CH352" i="2"/>
  <c r="CH351" i="2"/>
  <c r="CH350" i="2"/>
  <c r="CH349" i="2"/>
  <c r="CH348" i="2"/>
  <c r="CH347" i="2"/>
  <c r="CH346" i="2"/>
  <c r="CH345" i="2"/>
  <c r="CH344" i="2"/>
  <c r="CH343" i="2"/>
  <c r="CH342" i="2"/>
  <c r="CH341" i="2"/>
  <c r="CH340" i="2"/>
  <c r="CH339" i="2"/>
  <c r="CH338" i="2"/>
  <c r="CH337" i="2"/>
  <c r="CH336" i="2"/>
  <c r="CH335" i="2"/>
  <c r="CH334" i="2"/>
  <c r="CH333" i="2"/>
  <c r="CH332" i="2"/>
  <c r="CH331" i="2"/>
  <c r="CH330" i="2"/>
  <c r="CH329" i="2"/>
  <c r="CH328" i="2"/>
  <c r="CH327" i="2"/>
  <c r="CH326" i="2"/>
  <c r="CH325" i="2"/>
  <c r="CH324" i="2"/>
  <c r="CH322" i="2"/>
  <c r="CH321" i="2"/>
  <c r="CH320" i="2"/>
  <c r="CH319" i="2"/>
  <c r="CH318" i="2"/>
  <c r="CH317" i="2"/>
  <c r="CH316" i="2"/>
  <c r="CH315" i="2"/>
  <c r="CH314" i="2"/>
  <c r="CH313" i="2"/>
  <c r="CH312" i="2"/>
  <c r="CH311" i="2"/>
  <c r="CH310" i="2"/>
  <c r="CH309" i="2"/>
  <c r="CH308" i="2"/>
  <c r="CH307" i="2"/>
  <c r="CH306" i="2"/>
  <c r="CH305" i="2"/>
  <c r="CH304" i="2"/>
  <c r="CH303" i="2"/>
  <c r="CH302" i="2"/>
  <c r="CH301" i="2"/>
  <c r="CH300" i="2"/>
  <c r="CH299" i="2"/>
  <c r="CH298" i="2"/>
  <c r="CH297" i="2"/>
  <c r="CH296" i="2"/>
  <c r="CH295" i="2"/>
  <c r="CH294" i="2"/>
  <c r="CH293" i="2"/>
  <c r="CH292" i="2"/>
  <c r="CH291" i="2"/>
  <c r="CH290" i="2"/>
  <c r="CH289" i="2"/>
  <c r="CH288" i="2"/>
  <c r="CH287" i="2"/>
  <c r="CH286" i="2"/>
  <c r="CH285" i="2"/>
  <c r="CH284" i="2"/>
  <c r="CH283" i="2"/>
  <c r="CH282" i="2"/>
  <c r="CH281" i="2"/>
  <c r="CH280" i="2"/>
  <c r="CH279" i="2"/>
  <c r="CH278" i="2"/>
  <c r="CH277" i="2"/>
  <c r="CH276" i="2"/>
  <c r="CH275" i="2"/>
  <c r="CH274" i="2"/>
  <c r="CH273" i="2"/>
  <c r="CH272" i="2"/>
  <c r="CH271" i="2"/>
  <c r="CH270" i="2"/>
  <c r="CH269" i="2"/>
  <c r="CH268" i="2"/>
  <c r="CH267" i="2"/>
  <c r="CH266" i="2"/>
  <c r="CH265" i="2"/>
  <c r="CH264" i="2"/>
  <c r="CH263" i="2"/>
  <c r="CH262" i="2"/>
  <c r="CH261" i="2"/>
  <c r="CH260" i="2"/>
  <c r="CH259" i="2"/>
  <c r="CH258" i="2"/>
  <c r="CH257" i="2"/>
  <c r="CH256" i="2"/>
  <c r="CH255" i="2"/>
  <c r="CH254" i="2"/>
  <c r="CH253" i="2"/>
  <c r="CH252" i="2"/>
  <c r="CH251" i="2"/>
  <c r="CH250" i="2"/>
  <c r="CH249" i="2"/>
  <c r="CH248" i="2"/>
  <c r="CH247" i="2"/>
  <c r="CH246" i="2"/>
  <c r="CH245" i="2"/>
  <c r="CH244" i="2"/>
  <c r="CH243" i="2"/>
  <c r="CH242" i="2"/>
  <c r="CH241" i="2"/>
  <c r="CH240" i="2"/>
  <c r="CH239" i="2"/>
  <c r="CH238" i="2"/>
  <c r="CH237" i="2"/>
  <c r="CH236" i="2"/>
  <c r="CH235" i="2"/>
  <c r="CH234" i="2"/>
  <c r="CH233" i="2"/>
  <c r="CH232" i="2"/>
  <c r="CH231" i="2"/>
  <c r="CH230" i="2"/>
  <c r="CH229" i="2"/>
  <c r="CH228" i="2"/>
  <c r="CH227" i="2"/>
  <c r="CH226" i="2"/>
  <c r="CH225" i="2"/>
  <c r="CH224" i="2"/>
  <c r="CH223" i="2"/>
  <c r="CH222" i="2"/>
  <c r="CH221" i="2"/>
  <c r="CH220" i="2"/>
  <c r="CH219" i="2"/>
  <c r="CH218" i="2"/>
  <c r="CH217" i="2"/>
  <c r="CH216" i="2"/>
  <c r="CH215" i="2"/>
  <c r="CH214" i="2"/>
  <c r="CH213" i="2"/>
  <c r="CH212" i="2"/>
  <c r="CH211" i="2"/>
  <c r="CH210" i="2"/>
  <c r="CH209" i="2"/>
  <c r="CH208" i="2"/>
  <c r="CH207" i="2"/>
  <c r="CH206" i="2"/>
  <c r="CH205" i="2"/>
  <c r="CH204" i="2"/>
  <c r="CH203" i="2"/>
  <c r="CH202" i="2"/>
  <c r="CH201" i="2"/>
  <c r="CH200" i="2"/>
  <c r="CH199" i="2"/>
  <c r="CH198" i="2"/>
  <c r="CH197" i="2"/>
  <c r="CH196" i="2"/>
  <c r="CH195" i="2"/>
  <c r="CH194" i="2"/>
  <c r="CH193" i="2"/>
  <c r="CH192" i="2"/>
  <c r="CH191" i="2"/>
  <c r="CH190" i="2"/>
  <c r="CH189" i="2"/>
  <c r="CH188" i="2"/>
  <c r="CH187" i="2"/>
  <c r="CH186" i="2"/>
  <c r="CH185" i="2"/>
  <c r="CH184" i="2"/>
  <c r="CH183" i="2"/>
  <c r="CH182" i="2"/>
  <c r="CH181" i="2"/>
  <c r="CH180" i="2"/>
  <c r="CH179" i="2"/>
  <c r="CH178" i="2"/>
  <c r="CH177" i="2"/>
  <c r="CH176" i="2"/>
  <c r="CH175" i="2"/>
  <c r="CH174" i="2"/>
  <c r="CH173" i="2"/>
  <c r="CH172" i="2"/>
  <c r="CH171" i="2"/>
  <c r="CH170" i="2"/>
  <c r="CH169" i="2"/>
  <c r="CH168" i="2"/>
  <c r="CH167" i="2"/>
  <c r="CH166" i="2"/>
  <c r="CH165" i="2"/>
  <c r="CH164" i="2"/>
  <c r="CH163" i="2"/>
  <c r="CH162" i="2"/>
  <c r="CH161" i="2"/>
  <c r="CH160" i="2"/>
  <c r="CH159" i="2"/>
  <c r="CH158" i="2"/>
  <c r="CH157" i="2"/>
  <c r="CH156" i="2"/>
  <c r="CH155" i="2"/>
  <c r="CH154" i="2"/>
  <c r="CH153" i="2"/>
  <c r="CH152" i="2"/>
  <c r="CH151" i="2"/>
  <c r="CH150" i="2"/>
  <c r="CH149" i="2"/>
  <c r="CH148" i="2"/>
  <c r="CH147" i="2"/>
  <c r="CH146" i="2"/>
  <c r="CH145" i="2"/>
  <c r="CH144" i="2"/>
  <c r="CH143" i="2"/>
  <c r="CH142" i="2"/>
  <c r="CH141" i="2"/>
  <c r="CH140" i="2"/>
  <c r="CH139" i="2"/>
  <c r="CH138" i="2"/>
  <c r="CH137" i="2"/>
  <c r="CH136" i="2"/>
  <c r="CH135" i="2"/>
  <c r="CH134" i="2"/>
  <c r="CH133" i="2"/>
  <c r="CH132" i="2"/>
  <c r="CH131" i="2"/>
  <c r="CH130" i="2"/>
  <c r="CH129" i="2"/>
  <c r="CH128" i="2"/>
  <c r="CH127" i="2"/>
  <c r="CH126" i="2"/>
  <c r="CH125" i="2"/>
  <c r="CH124" i="2"/>
  <c r="CH123" i="2"/>
  <c r="CH122" i="2"/>
  <c r="CH121" i="2"/>
  <c r="CH120" i="2"/>
  <c r="CH119" i="2"/>
  <c r="CH118" i="2"/>
  <c r="CH117" i="2"/>
  <c r="CH116" i="2"/>
  <c r="CH115" i="2"/>
  <c r="CH114" i="2"/>
  <c r="CH113" i="2"/>
  <c r="CH112" i="2"/>
  <c r="CH111" i="2"/>
  <c r="CH110" i="2"/>
  <c r="CH109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G469" i="2"/>
  <c r="CG468" i="2"/>
  <c r="CG467" i="2"/>
  <c r="CG466" i="2"/>
  <c r="CG465" i="2"/>
  <c r="CG464" i="2"/>
  <c r="CG463" i="2"/>
  <c r="CG462" i="2"/>
  <c r="CG461" i="2"/>
  <c r="CG460" i="2"/>
  <c r="CG459" i="2"/>
  <c r="CG458" i="2"/>
  <c r="CG457" i="2"/>
  <c r="CG456" i="2"/>
  <c r="CG455" i="2"/>
  <c r="CG454" i="2"/>
  <c r="CG453" i="2"/>
  <c r="CG452" i="2"/>
  <c r="CG451" i="2"/>
  <c r="CG450" i="2"/>
  <c r="CG449" i="2"/>
  <c r="CG448" i="2"/>
  <c r="CG447" i="2"/>
  <c r="CG446" i="2"/>
  <c r="CG445" i="2"/>
  <c r="CG444" i="2"/>
  <c r="CG443" i="2"/>
  <c r="CG442" i="2"/>
  <c r="CG441" i="2"/>
  <c r="CG440" i="2"/>
  <c r="CG439" i="2"/>
  <c r="CG438" i="2"/>
  <c r="CG437" i="2"/>
  <c r="CG436" i="2"/>
  <c r="CG435" i="2"/>
  <c r="CG434" i="2"/>
  <c r="CG433" i="2"/>
  <c r="CG432" i="2"/>
  <c r="CG431" i="2"/>
  <c r="CG430" i="2"/>
  <c r="CG429" i="2"/>
  <c r="CG428" i="2"/>
  <c r="CG427" i="2"/>
  <c r="CG426" i="2"/>
  <c r="CG425" i="2"/>
  <c r="CG424" i="2"/>
  <c r="CG423" i="2"/>
  <c r="CG422" i="2"/>
  <c r="CG421" i="2"/>
  <c r="CG420" i="2"/>
  <c r="CG419" i="2"/>
  <c r="CG418" i="2"/>
  <c r="CG417" i="2"/>
  <c r="CG416" i="2"/>
  <c r="CG415" i="2"/>
  <c r="CG414" i="2"/>
  <c r="CG413" i="2"/>
  <c r="CG412" i="2"/>
  <c r="CG411" i="2"/>
  <c r="CG410" i="2"/>
  <c r="CG409" i="2"/>
  <c r="CG407" i="2"/>
  <c r="CG406" i="2"/>
  <c r="CG405" i="2"/>
  <c r="CG404" i="2"/>
  <c r="CG403" i="2"/>
  <c r="CG402" i="2"/>
  <c r="CG401" i="2"/>
  <c r="CG400" i="2"/>
  <c r="CG399" i="2"/>
  <c r="CG398" i="2"/>
  <c r="CG397" i="2"/>
  <c r="CG396" i="2"/>
  <c r="CG395" i="2"/>
  <c r="CG394" i="2"/>
  <c r="CG393" i="2"/>
  <c r="CG392" i="2"/>
  <c r="CG391" i="2"/>
  <c r="CG390" i="2"/>
  <c r="CG389" i="2"/>
  <c r="CG388" i="2"/>
  <c r="CG387" i="2"/>
  <c r="CG386" i="2"/>
  <c r="CG385" i="2"/>
  <c r="CG384" i="2"/>
  <c r="CG383" i="2"/>
  <c r="CG382" i="2"/>
  <c r="CG381" i="2"/>
  <c r="CG380" i="2"/>
  <c r="CG379" i="2"/>
  <c r="CG378" i="2"/>
  <c r="CG377" i="2"/>
  <c r="CG376" i="2"/>
  <c r="CG375" i="2"/>
  <c r="CG374" i="2"/>
  <c r="CG373" i="2"/>
  <c r="CG372" i="2"/>
  <c r="CG371" i="2"/>
  <c r="CG370" i="2"/>
  <c r="CG369" i="2"/>
  <c r="CG368" i="2"/>
  <c r="CG367" i="2"/>
  <c r="CG366" i="2"/>
  <c r="CG365" i="2"/>
  <c r="CG364" i="2"/>
  <c r="CG363" i="2"/>
  <c r="CG362" i="2"/>
  <c r="CG361" i="2"/>
  <c r="CG360" i="2"/>
  <c r="CG359" i="2"/>
  <c r="CG358" i="2"/>
  <c r="CG357" i="2"/>
  <c r="CG356" i="2"/>
  <c r="CG355" i="2"/>
  <c r="CG354" i="2"/>
  <c r="CG353" i="2"/>
  <c r="CG352" i="2"/>
  <c r="CG351" i="2"/>
  <c r="CG350" i="2"/>
  <c r="CG349" i="2"/>
  <c r="CG348" i="2"/>
  <c r="CG347" i="2"/>
  <c r="CG346" i="2"/>
  <c r="CG345" i="2"/>
  <c r="CG344" i="2"/>
  <c r="CG343" i="2"/>
  <c r="CG342" i="2"/>
  <c r="CG341" i="2"/>
  <c r="CG340" i="2"/>
  <c r="CG339" i="2"/>
  <c r="CG338" i="2"/>
  <c r="CG337" i="2"/>
  <c r="CG336" i="2"/>
  <c r="CG335" i="2"/>
  <c r="CG334" i="2"/>
  <c r="CG333" i="2"/>
  <c r="CG332" i="2"/>
  <c r="CG331" i="2"/>
  <c r="CG330" i="2"/>
  <c r="CG329" i="2"/>
  <c r="CG328" i="2"/>
  <c r="CG327" i="2"/>
  <c r="CG326" i="2"/>
  <c r="CG325" i="2"/>
  <c r="CG324" i="2"/>
  <c r="CG322" i="2"/>
  <c r="CG321" i="2"/>
  <c r="CG320" i="2"/>
  <c r="CG319" i="2"/>
  <c r="CG318" i="2"/>
  <c r="CG317" i="2"/>
  <c r="CG316" i="2"/>
  <c r="CG315" i="2"/>
  <c r="CG314" i="2"/>
  <c r="CG313" i="2"/>
  <c r="CG312" i="2"/>
  <c r="CG311" i="2"/>
  <c r="CG310" i="2"/>
  <c r="CG309" i="2"/>
  <c r="CG308" i="2"/>
  <c r="CG307" i="2"/>
  <c r="CG306" i="2"/>
  <c r="CG305" i="2"/>
  <c r="CG304" i="2"/>
  <c r="CG303" i="2"/>
  <c r="CG302" i="2"/>
  <c r="CG301" i="2"/>
  <c r="CG300" i="2"/>
  <c r="CG299" i="2"/>
  <c r="CG298" i="2"/>
  <c r="CG297" i="2"/>
  <c r="CG296" i="2"/>
  <c r="CG295" i="2"/>
  <c r="CG294" i="2"/>
  <c r="CG293" i="2"/>
  <c r="CG292" i="2"/>
  <c r="CG291" i="2"/>
  <c r="CG290" i="2"/>
  <c r="CG289" i="2"/>
  <c r="CG288" i="2"/>
  <c r="CG287" i="2"/>
  <c r="CG286" i="2"/>
  <c r="CG285" i="2"/>
  <c r="CG284" i="2"/>
  <c r="CG283" i="2"/>
  <c r="CG282" i="2"/>
  <c r="CG281" i="2"/>
  <c r="CG280" i="2"/>
  <c r="CG279" i="2"/>
  <c r="CG278" i="2"/>
  <c r="CG277" i="2"/>
  <c r="CG276" i="2"/>
  <c r="CG275" i="2"/>
  <c r="CG274" i="2"/>
  <c r="CG273" i="2"/>
  <c r="CG272" i="2"/>
  <c r="CG271" i="2"/>
  <c r="CG270" i="2"/>
  <c r="CG269" i="2"/>
  <c r="CG268" i="2"/>
  <c r="CG267" i="2"/>
  <c r="CG266" i="2"/>
  <c r="CG265" i="2"/>
  <c r="CG264" i="2"/>
  <c r="CG263" i="2"/>
  <c r="CG262" i="2"/>
  <c r="CG261" i="2"/>
  <c r="CG260" i="2"/>
  <c r="CG259" i="2"/>
  <c r="CG258" i="2"/>
  <c r="CG257" i="2"/>
  <c r="CG256" i="2"/>
  <c r="CG255" i="2"/>
  <c r="CG254" i="2"/>
  <c r="CG253" i="2"/>
  <c r="CG252" i="2"/>
  <c r="CG251" i="2"/>
  <c r="CG250" i="2"/>
  <c r="CG249" i="2"/>
  <c r="CG248" i="2"/>
  <c r="CG247" i="2"/>
  <c r="CG246" i="2"/>
  <c r="CG245" i="2"/>
  <c r="CG244" i="2"/>
  <c r="CG243" i="2"/>
  <c r="CG242" i="2"/>
  <c r="CG241" i="2"/>
  <c r="CG240" i="2"/>
  <c r="CG239" i="2"/>
  <c r="CG238" i="2"/>
  <c r="CG237" i="2"/>
  <c r="CG236" i="2"/>
  <c r="CG235" i="2"/>
  <c r="CG234" i="2"/>
  <c r="CG233" i="2"/>
  <c r="CG232" i="2"/>
  <c r="CG231" i="2"/>
  <c r="CG230" i="2"/>
  <c r="CG229" i="2"/>
  <c r="CG228" i="2"/>
  <c r="CG227" i="2"/>
  <c r="CG226" i="2"/>
  <c r="CG225" i="2"/>
  <c r="CG224" i="2"/>
  <c r="CG223" i="2"/>
  <c r="CG222" i="2"/>
  <c r="CG221" i="2"/>
  <c r="CG220" i="2"/>
  <c r="CG219" i="2"/>
  <c r="CG218" i="2"/>
  <c r="CG217" i="2"/>
  <c r="CG216" i="2"/>
  <c r="CG215" i="2"/>
  <c r="CG214" i="2"/>
  <c r="CG213" i="2"/>
  <c r="CG212" i="2"/>
  <c r="CG211" i="2"/>
  <c r="CG210" i="2"/>
  <c r="CG209" i="2"/>
  <c r="CG208" i="2"/>
  <c r="CG207" i="2"/>
  <c r="CG206" i="2"/>
  <c r="CG205" i="2"/>
  <c r="CG204" i="2"/>
  <c r="CG203" i="2"/>
  <c r="CG202" i="2"/>
  <c r="CG201" i="2"/>
  <c r="CG200" i="2"/>
  <c r="CG199" i="2"/>
  <c r="CG198" i="2"/>
  <c r="CG197" i="2"/>
  <c r="CG196" i="2"/>
  <c r="CG195" i="2"/>
  <c r="CG194" i="2"/>
  <c r="CG193" i="2"/>
  <c r="CG192" i="2"/>
  <c r="CG191" i="2"/>
  <c r="CG190" i="2"/>
  <c r="CG189" i="2"/>
  <c r="CG188" i="2"/>
  <c r="CG187" i="2"/>
  <c r="CG186" i="2"/>
  <c r="CG185" i="2"/>
  <c r="CG184" i="2"/>
  <c r="CG183" i="2"/>
  <c r="CG182" i="2"/>
  <c r="CG181" i="2"/>
  <c r="CG180" i="2"/>
  <c r="CG179" i="2"/>
  <c r="CG178" i="2"/>
  <c r="CG177" i="2"/>
  <c r="CG176" i="2"/>
  <c r="CG175" i="2"/>
  <c r="CG174" i="2"/>
  <c r="CG173" i="2"/>
  <c r="CG172" i="2"/>
  <c r="CG171" i="2"/>
  <c r="CG170" i="2"/>
  <c r="CG169" i="2"/>
  <c r="CG168" i="2"/>
  <c r="CG167" i="2"/>
  <c r="CG166" i="2"/>
  <c r="CG165" i="2"/>
  <c r="CG164" i="2"/>
  <c r="CG163" i="2"/>
  <c r="CG162" i="2"/>
  <c r="CG161" i="2"/>
  <c r="CG160" i="2"/>
  <c r="CG159" i="2"/>
  <c r="CG158" i="2"/>
  <c r="CG157" i="2"/>
  <c r="CG156" i="2"/>
  <c r="CG155" i="2"/>
  <c r="CG154" i="2"/>
  <c r="CG153" i="2"/>
  <c r="CG152" i="2"/>
  <c r="CG151" i="2"/>
  <c r="CG150" i="2"/>
  <c r="CG149" i="2"/>
  <c r="CG148" i="2"/>
  <c r="CG147" i="2"/>
  <c r="CG146" i="2"/>
  <c r="CG145" i="2"/>
  <c r="CG144" i="2"/>
  <c r="CG143" i="2"/>
  <c r="CG142" i="2"/>
  <c r="CG141" i="2"/>
  <c r="CG140" i="2"/>
  <c r="CG139" i="2"/>
  <c r="CG138" i="2"/>
  <c r="CG137" i="2"/>
  <c r="CG136" i="2"/>
  <c r="CG135" i="2"/>
  <c r="CG134" i="2"/>
  <c r="CG133" i="2"/>
  <c r="CG132" i="2"/>
  <c r="CG131" i="2"/>
  <c r="CG130" i="2"/>
  <c r="CG129" i="2"/>
  <c r="CG128" i="2"/>
  <c r="CG127" i="2"/>
  <c r="CG126" i="2"/>
  <c r="CG125" i="2"/>
  <c r="CG124" i="2"/>
  <c r="CG123" i="2"/>
  <c r="CG122" i="2"/>
  <c r="CG121" i="2"/>
  <c r="CG120" i="2"/>
  <c r="CG119" i="2"/>
  <c r="CG118" i="2"/>
  <c r="CG117" i="2"/>
  <c r="CG116" i="2"/>
  <c r="CG115" i="2"/>
  <c r="CG114" i="2"/>
  <c r="CG113" i="2"/>
  <c r="CG112" i="2"/>
  <c r="CG111" i="2"/>
  <c r="CG110" i="2"/>
  <c r="CG109" i="2"/>
  <c r="CG108" i="2"/>
  <c r="CG107" i="2"/>
  <c r="CG106" i="2"/>
  <c r="CG105" i="2"/>
  <c r="CG104" i="2"/>
  <c r="CG103" i="2"/>
  <c r="CG102" i="2"/>
  <c r="CG101" i="2"/>
  <c r="CG100" i="2"/>
  <c r="CG99" i="2"/>
  <c r="CG98" i="2"/>
  <c r="CG97" i="2"/>
  <c r="CG96" i="2"/>
  <c r="CG95" i="2"/>
  <c r="CG94" i="2"/>
  <c r="CG93" i="2"/>
  <c r="CG92" i="2"/>
  <c r="CG91" i="2"/>
  <c r="CG90" i="2"/>
  <c r="CG89" i="2"/>
  <c r="CG88" i="2"/>
  <c r="CG87" i="2"/>
  <c r="CG86" i="2"/>
  <c r="CG85" i="2"/>
  <c r="CG84" i="2"/>
  <c r="CG83" i="2"/>
  <c r="CG82" i="2"/>
  <c r="CG81" i="2"/>
  <c r="CG80" i="2"/>
  <c r="CG79" i="2"/>
  <c r="CG78" i="2"/>
  <c r="CG77" i="2"/>
  <c r="CG76" i="2"/>
  <c r="CG75" i="2"/>
  <c r="CG74" i="2"/>
  <c r="CG73" i="2"/>
  <c r="CG72" i="2"/>
  <c r="CG71" i="2"/>
  <c r="CG70" i="2"/>
  <c r="CG69" i="2"/>
  <c r="CG68" i="2"/>
  <c r="CG67" i="2"/>
  <c r="CG66" i="2"/>
  <c r="CG65" i="2"/>
  <c r="CG64" i="2"/>
  <c r="CG63" i="2"/>
  <c r="CG62" i="2"/>
  <c r="CG61" i="2"/>
  <c r="CG60" i="2"/>
  <c r="CG59" i="2"/>
  <c r="CG58" i="2"/>
  <c r="CG57" i="2"/>
  <c r="CG56" i="2"/>
  <c r="CG55" i="2"/>
  <c r="CG54" i="2"/>
  <c r="CG53" i="2"/>
  <c r="CG52" i="2"/>
  <c r="CG51" i="2"/>
  <c r="CG50" i="2"/>
  <c r="CG49" i="2"/>
  <c r="CG48" i="2"/>
  <c r="CG47" i="2"/>
  <c r="CG46" i="2"/>
  <c r="CG45" i="2"/>
  <c r="CG44" i="2"/>
  <c r="CG43" i="2"/>
  <c r="CG42" i="2"/>
  <c r="CG41" i="2"/>
  <c r="CG40" i="2"/>
  <c r="CG39" i="2"/>
  <c r="CG38" i="2"/>
  <c r="CG37" i="2"/>
  <c r="CG36" i="2"/>
  <c r="CG35" i="2"/>
  <c r="CG34" i="2"/>
  <c r="CG33" i="2"/>
  <c r="CG32" i="2"/>
  <c r="CG31" i="2"/>
  <c r="CG30" i="2"/>
  <c r="CG29" i="2"/>
  <c r="CG28" i="2"/>
  <c r="CG27" i="2"/>
  <c r="CG26" i="2"/>
  <c r="CG25" i="2"/>
  <c r="CG24" i="2"/>
  <c r="CG23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F469" i="2"/>
  <c r="CF468" i="2"/>
  <c r="CF467" i="2"/>
  <c r="CF466" i="2"/>
  <c r="CF465" i="2"/>
  <c r="CF464" i="2"/>
  <c r="CF463" i="2"/>
  <c r="CF462" i="2"/>
  <c r="CF461" i="2"/>
  <c r="CF460" i="2"/>
  <c r="CF459" i="2"/>
  <c r="CF458" i="2"/>
  <c r="CF457" i="2"/>
  <c r="CF456" i="2"/>
  <c r="CF455" i="2"/>
  <c r="CF454" i="2"/>
  <c r="CF453" i="2"/>
  <c r="CF452" i="2"/>
  <c r="CF451" i="2"/>
  <c r="CF450" i="2"/>
  <c r="CF449" i="2"/>
  <c r="CF448" i="2"/>
  <c r="CF447" i="2"/>
  <c r="CF446" i="2"/>
  <c r="CF445" i="2"/>
  <c r="CF444" i="2"/>
  <c r="CF443" i="2"/>
  <c r="CF442" i="2"/>
  <c r="CF441" i="2"/>
  <c r="CF440" i="2"/>
  <c r="CF439" i="2"/>
  <c r="CF438" i="2"/>
  <c r="CF437" i="2"/>
  <c r="CF436" i="2"/>
  <c r="CF435" i="2"/>
  <c r="CF434" i="2"/>
  <c r="CF433" i="2"/>
  <c r="CF432" i="2"/>
  <c r="CF431" i="2"/>
  <c r="CF430" i="2"/>
  <c r="CF429" i="2"/>
  <c r="CF428" i="2"/>
  <c r="CF427" i="2"/>
  <c r="CF426" i="2"/>
  <c r="CF425" i="2"/>
  <c r="CF424" i="2"/>
  <c r="CF423" i="2"/>
  <c r="CF422" i="2"/>
  <c r="CF421" i="2"/>
  <c r="CF420" i="2"/>
  <c r="CF419" i="2"/>
  <c r="CF418" i="2"/>
  <c r="CF417" i="2"/>
  <c r="CF416" i="2"/>
  <c r="CF415" i="2"/>
  <c r="CF414" i="2"/>
  <c r="CF413" i="2"/>
  <c r="CF412" i="2"/>
  <c r="CF411" i="2"/>
  <c r="CF410" i="2"/>
  <c r="CF409" i="2"/>
  <c r="CF407" i="2"/>
  <c r="CF406" i="2"/>
  <c r="CF405" i="2"/>
  <c r="CF404" i="2"/>
  <c r="CF403" i="2"/>
  <c r="CF402" i="2"/>
  <c r="CF401" i="2"/>
  <c r="CF400" i="2"/>
  <c r="CF399" i="2"/>
  <c r="CF398" i="2"/>
  <c r="CF397" i="2"/>
  <c r="CF396" i="2"/>
  <c r="CF395" i="2"/>
  <c r="CF394" i="2"/>
  <c r="CF393" i="2"/>
  <c r="CF392" i="2"/>
  <c r="CF391" i="2"/>
  <c r="CF390" i="2"/>
  <c r="CF389" i="2"/>
  <c r="CF388" i="2"/>
  <c r="CF387" i="2"/>
  <c r="CF386" i="2"/>
  <c r="CF385" i="2"/>
  <c r="CF384" i="2"/>
  <c r="CF383" i="2"/>
  <c r="CF382" i="2"/>
  <c r="CF381" i="2"/>
  <c r="CF380" i="2"/>
  <c r="CF379" i="2"/>
  <c r="CF378" i="2"/>
  <c r="CF377" i="2"/>
  <c r="CF376" i="2"/>
  <c r="CF375" i="2"/>
  <c r="CF374" i="2"/>
  <c r="CF373" i="2"/>
  <c r="CF372" i="2"/>
  <c r="CF371" i="2"/>
  <c r="CF370" i="2"/>
  <c r="CF369" i="2"/>
  <c r="CF368" i="2"/>
  <c r="CF367" i="2"/>
  <c r="CF366" i="2"/>
  <c r="CF365" i="2"/>
  <c r="CF364" i="2"/>
  <c r="CF363" i="2"/>
  <c r="CF362" i="2"/>
  <c r="CF361" i="2"/>
  <c r="CF360" i="2"/>
  <c r="CF359" i="2"/>
  <c r="CF358" i="2"/>
  <c r="CF357" i="2"/>
  <c r="CF356" i="2"/>
  <c r="CF355" i="2"/>
  <c r="CF354" i="2"/>
  <c r="CF353" i="2"/>
  <c r="CF352" i="2"/>
  <c r="CF351" i="2"/>
  <c r="CF350" i="2"/>
  <c r="CF349" i="2"/>
  <c r="CF348" i="2"/>
  <c r="CF347" i="2"/>
  <c r="CF346" i="2"/>
  <c r="CF345" i="2"/>
  <c r="CF344" i="2"/>
  <c r="CF343" i="2"/>
  <c r="CF342" i="2"/>
  <c r="CF341" i="2"/>
  <c r="CF340" i="2"/>
  <c r="CF339" i="2"/>
  <c r="CF338" i="2"/>
  <c r="CF337" i="2"/>
  <c r="CF336" i="2"/>
  <c r="CF335" i="2"/>
  <c r="CF334" i="2"/>
  <c r="CF333" i="2"/>
  <c r="CF332" i="2"/>
  <c r="CF331" i="2"/>
  <c r="CF330" i="2"/>
  <c r="CF329" i="2"/>
  <c r="CF328" i="2"/>
  <c r="CF327" i="2"/>
  <c r="CF326" i="2"/>
  <c r="CF325" i="2"/>
  <c r="CF324" i="2"/>
  <c r="CF322" i="2"/>
  <c r="CF321" i="2"/>
  <c r="CF320" i="2"/>
  <c r="CF319" i="2"/>
  <c r="CF318" i="2"/>
  <c r="CF317" i="2"/>
  <c r="CF316" i="2"/>
  <c r="CF315" i="2"/>
  <c r="CF314" i="2"/>
  <c r="CF313" i="2"/>
  <c r="CF312" i="2"/>
  <c r="CF311" i="2"/>
  <c r="CF310" i="2"/>
  <c r="CF309" i="2"/>
  <c r="CF308" i="2"/>
  <c r="CF307" i="2"/>
  <c r="CF306" i="2"/>
  <c r="CF305" i="2"/>
  <c r="CF304" i="2"/>
  <c r="CF303" i="2"/>
  <c r="CF302" i="2"/>
  <c r="CF301" i="2"/>
  <c r="CF300" i="2"/>
  <c r="CF299" i="2"/>
  <c r="CF298" i="2"/>
  <c r="CF297" i="2"/>
  <c r="CF296" i="2"/>
  <c r="CF295" i="2"/>
  <c r="CF294" i="2"/>
  <c r="CF293" i="2"/>
  <c r="CF292" i="2"/>
  <c r="CF291" i="2"/>
  <c r="CF290" i="2"/>
  <c r="CF289" i="2"/>
  <c r="CF288" i="2"/>
  <c r="CF287" i="2"/>
  <c r="CF286" i="2"/>
  <c r="CF285" i="2"/>
  <c r="CF284" i="2"/>
  <c r="CF283" i="2"/>
  <c r="CF282" i="2"/>
  <c r="CF281" i="2"/>
  <c r="CF280" i="2"/>
  <c r="CF279" i="2"/>
  <c r="CF278" i="2"/>
  <c r="CF277" i="2"/>
  <c r="CF276" i="2"/>
  <c r="CF275" i="2"/>
  <c r="CF274" i="2"/>
  <c r="CF273" i="2"/>
  <c r="CF272" i="2"/>
  <c r="CF271" i="2"/>
  <c r="CF270" i="2"/>
  <c r="CF269" i="2"/>
  <c r="CF268" i="2"/>
  <c r="CF267" i="2"/>
  <c r="CF266" i="2"/>
  <c r="CF265" i="2"/>
  <c r="CF264" i="2"/>
  <c r="CF263" i="2"/>
  <c r="CF262" i="2"/>
  <c r="CF261" i="2"/>
  <c r="CF260" i="2"/>
  <c r="CF259" i="2"/>
  <c r="CF258" i="2"/>
  <c r="CF257" i="2"/>
  <c r="CF256" i="2"/>
  <c r="CF255" i="2"/>
  <c r="CF254" i="2"/>
  <c r="CF253" i="2"/>
  <c r="CF252" i="2"/>
  <c r="CF251" i="2"/>
  <c r="CF250" i="2"/>
  <c r="CF249" i="2"/>
  <c r="CF248" i="2"/>
  <c r="CF247" i="2"/>
  <c r="CF246" i="2"/>
  <c r="CF245" i="2"/>
  <c r="CF244" i="2"/>
  <c r="CF243" i="2"/>
  <c r="CF242" i="2"/>
  <c r="CF241" i="2"/>
  <c r="CF240" i="2"/>
  <c r="CF239" i="2"/>
  <c r="CF238" i="2"/>
  <c r="CF237" i="2"/>
  <c r="CF236" i="2"/>
  <c r="CF235" i="2"/>
  <c r="CF234" i="2"/>
  <c r="CF233" i="2"/>
  <c r="CF232" i="2"/>
  <c r="CF231" i="2"/>
  <c r="CF230" i="2"/>
  <c r="CF229" i="2"/>
  <c r="CF228" i="2"/>
  <c r="CF227" i="2"/>
  <c r="CF226" i="2"/>
  <c r="CF225" i="2"/>
  <c r="CF224" i="2"/>
  <c r="CF223" i="2"/>
  <c r="CF222" i="2"/>
  <c r="CF221" i="2"/>
  <c r="CF220" i="2"/>
  <c r="CF219" i="2"/>
  <c r="CF218" i="2"/>
  <c r="CF217" i="2"/>
  <c r="CF216" i="2"/>
  <c r="CF215" i="2"/>
  <c r="CF214" i="2"/>
  <c r="CF213" i="2"/>
  <c r="CF212" i="2"/>
  <c r="CF211" i="2"/>
  <c r="CF210" i="2"/>
  <c r="CF209" i="2"/>
  <c r="CF208" i="2"/>
  <c r="CF207" i="2"/>
  <c r="CF206" i="2"/>
  <c r="CF205" i="2"/>
  <c r="CF204" i="2"/>
  <c r="CF203" i="2"/>
  <c r="CF202" i="2"/>
  <c r="CF201" i="2"/>
  <c r="CF200" i="2"/>
  <c r="CF199" i="2"/>
  <c r="CF198" i="2"/>
  <c r="CF197" i="2"/>
  <c r="CF196" i="2"/>
  <c r="CF195" i="2"/>
  <c r="CF194" i="2"/>
  <c r="CF193" i="2"/>
  <c r="CF192" i="2"/>
  <c r="CF191" i="2"/>
  <c r="CF190" i="2"/>
  <c r="CF189" i="2"/>
  <c r="CF188" i="2"/>
  <c r="CF187" i="2"/>
  <c r="CF186" i="2"/>
  <c r="CF185" i="2"/>
  <c r="CF184" i="2"/>
  <c r="CF183" i="2"/>
  <c r="CF182" i="2"/>
  <c r="CF181" i="2"/>
  <c r="CF180" i="2"/>
  <c r="CF179" i="2"/>
  <c r="CF178" i="2"/>
  <c r="CF177" i="2"/>
  <c r="CF176" i="2"/>
  <c r="CF175" i="2"/>
  <c r="CF174" i="2"/>
  <c r="CF173" i="2"/>
  <c r="CF172" i="2"/>
  <c r="CF171" i="2"/>
  <c r="CF170" i="2"/>
  <c r="CF169" i="2"/>
  <c r="CF168" i="2"/>
  <c r="CF167" i="2"/>
  <c r="CF166" i="2"/>
  <c r="CF165" i="2"/>
  <c r="CF164" i="2"/>
  <c r="CF163" i="2"/>
  <c r="CF162" i="2"/>
  <c r="CF161" i="2"/>
  <c r="CF160" i="2"/>
  <c r="CF159" i="2"/>
  <c r="CF158" i="2"/>
  <c r="CF157" i="2"/>
  <c r="CF156" i="2"/>
  <c r="CF155" i="2"/>
  <c r="CF154" i="2"/>
  <c r="CF153" i="2"/>
  <c r="CF152" i="2"/>
  <c r="CF151" i="2"/>
  <c r="CF150" i="2"/>
  <c r="CF149" i="2"/>
  <c r="CF148" i="2"/>
  <c r="CF147" i="2"/>
  <c r="CF146" i="2"/>
  <c r="CF145" i="2"/>
  <c r="CF144" i="2"/>
  <c r="CF143" i="2"/>
  <c r="CF142" i="2"/>
  <c r="CF141" i="2"/>
  <c r="CF140" i="2"/>
  <c r="CF139" i="2"/>
  <c r="CF138" i="2"/>
  <c r="CF137" i="2"/>
  <c r="CF136" i="2"/>
  <c r="CF135" i="2"/>
  <c r="CF134" i="2"/>
  <c r="CF133" i="2"/>
  <c r="CF132" i="2"/>
  <c r="CF131" i="2"/>
  <c r="CF130" i="2"/>
  <c r="CF129" i="2"/>
  <c r="CF128" i="2"/>
  <c r="CF127" i="2"/>
  <c r="CF126" i="2"/>
  <c r="CF125" i="2"/>
  <c r="CF124" i="2"/>
  <c r="CF123" i="2"/>
  <c r="CF122" i="2"/>
  <c r="CF121" i="2"/>
  <c r="CF120" i="2"/>
  <c r="CF119" i="2"/>
  <c r="CF118" i="2"/>
  <c r="CF117" i="2"/>
  <c r="CF116" i="2"/>
  <c r="CF115" i="2"/>
  <c r="CF114" i="2"/>
  <c r="CF113" i="2"/>
  <c r="CF112" i="2"/>
  <c r="CF111" i="2"/>
  <c r="CF110" i="2"/>
  <c r="CF109" i="2"/>
  <c r="CF108" i="2"/>
  <c r="CF107" i="2"/>
  <c r="CF106" i="2"/>
  <c r="CF105" i="2"/>
  <c r="CF104" i="2"/>
  <c r="CF103" i="2"/>
  <c r="CF102" i="2"/>
  <c r="CF101" i="2"/>
  <c r="CF100" i="2"/>
  <c r="CF99" i="2"/>
  <c r="CF98" i="2"/>
  <c r="CF97" i="2"/>
  <c r="CF96" i="2"/>
  <c r="CF95" i="2"/>
  <c r="CF94" i="2"/>
  <c r="CF93" i="2"/>
  <c r="CF92" i="2"/>
  <c r="CF91" i="2"/>
  <c r="CF90" i="2"/>
  <c r="CF89" i="2"/>
  <c r="CF88" i="2"/>
  <c r="CF87" i="2"/>
  <c r="CF86" i="2"/>
  <c r="CF85" i="2"/>
  <c r="CF84" i="2"/>
  <c r="CF83" i="2"/>
  <c r="CF82" i="2"/>
  <c r="CF81" i="2"/>
  <c r="CF80" i="2"/>
  <c r="CF79" i="2"/>
  <c r="CF78" i="2"/>
  <c r="CF77" i="2"/>
  <c r="CF76" i="2"/>
  <c r="CF75" i="2"/>
  <c r="CF74" i="2"/>
  <c r="CF73" i="2"/>
  <c r="CF72" i="2"/>
  <c r="CF71" i="2"/>
  <c r="CF70" i="2"/>
  <c r="CF69" i="2"/>
  <c r="CF68" i="2"/>
  <c r="CF67" i="2"/>
  <c r="CF66" i="2"/>
  <c r="CF65" i="2"/>
  <c r="CF64" i="2"/>
  <c r="CF63" i="2"/>
  <c r="CF62" i="2"/>
  <c r="CF61" i="2"/>
  <c r="CF60" i="2"/>
  <c r="CF59" i="2"/>
  <c r="CF58" i="2"/>
  <c r="CF57" i="2"/>
  <c r="CF56" i="2"/>
  <c r="CF55" i="2"/>
  <c r="CF54" i="2"/>
  <c r="CF53" i="2"/>
  <c r="CF52" i="2"/>
  <c r="CF51" i="2"/>
  <c r="CF50" i="2"/>
  <c r="CF49" i="2"/>
  <c r="CF48" i="2"/>
  <c r="CF47" i="2"/>
  <c r="CF46" i="2"/>
  <c r="CF45" i="2"/>
  <c r="CF44" i="2"/>
  <c r="CF43" i="2"/>
  <c r="CF42" i="2"/>
  <c r="CF41" i="2"/>
  <c r="CF40" i="2"/>
  <c r="CF39" i="2"/>
  <c r="CF38" i="2"/>
  <c r="CF37" i="2"/>
  <c r="CF36" i="2"/>
  <c r="CF35" i="2"/>
  <c r="CF34" i="2"/>
  <c r="CF33" i="2"/>
  <c r="CF32" i="2"/>
  <c r="CF31" i="2"/>
  <c r="CF30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E469" i="2"/>
  <c r="CE468" i="2"/>
  <c r="CE467" i="2"/>
  <c r="CE466" i="2"/>
  <c r="CE465" i="2"/>
  <c r="CE464" i="2"/>
  <c r="CE463" i="2"/>
  <c r="CE462" i="2"/>
  <c r="CE461" i="2"/>
  <c r="CE460" i="2"/>
  <c r="CE459" i="2"/>
  <c r="CE458" i="2"/>
  <c r="CE457" i="2"/>
  <c r="CE456" i="2"/>
  <c r="CE455" i="2"/>
  <c r="CE454" i="2"/>
  <c r="CE453" i="2"/>
  <c r="CE452" i="2"/>
  <c r="CE451" i="2"/>
  <c r="CE450" i="2"/>
  <c r="CE449" i="2"/>
  <c r="CE448" i="2"/>
  <c r="CE447" i="2"/>
  <c r="CE446" i="2"/>
  <c r="CE445" i="2"/>
  <c r="CE444" i="2"/>
  <c r="CE443" i="2"/>
  <c r="CE442" i="2"/>
  <c r="CE441" i="2"/>
  <c r="CE440" i="2"/>
  <c r="CE439" i="2"/>
  <c r="CE438" i="2"/>
  <c r="CE437" i="2"/>
  <c r="CE436" i="2"/>
  <c r="CE435" i="2"/>
  <c r="CE434" i="2"/>
  <c r="CE433" i="2"/>
  <c r="CE432" i="2"/>
  <c r="CE431" i="2"/>
  <c r="CE430" i="2"/>
  <c r="CE429" i="2"/>
  <c r="CE428" i="2"/>
  <c r="CE427" i="2"/>
  <c r="CE426" i="2"/>
  <c r="CE425" i="2"/>
  <c r="CE424" i="2"/>
  <c r="CE423" i="2"/>
  <c r="CE422" i="2"/>
  <c r="CE421" i="2"/>
  <c r="CE420" i="2"/>
  <c r="CE419" i="2"/>
  <c r="CE418" i="2"/>
  <c r="CE417" i="2"/>
  <c r="CE416" i="2"/>
  <c r="CE415" i="2"/>
  <c r="CE414" i="2"/>
  <c r="CE413" i="2"/>
  <c r="CE412" i="2"/>
  <c r="CE411" i="2"/>
  <c r="CE410" i="2"/>
  <c r="CE409" i="2"/>
  <c r="CE407" i="2"/>
  <c r="CE406" i="2"/>
  <c r="CE405" i="2"/>
  <c r="CE404" i="2"/>
  <c r="CE403" i="2"/>
  <c r="CE402" i="2"/>
  <c r="CE401" i="2"/>
  <c r="CE400" i="2"/>
  <c r="CE399" i="2"/>
  <c r="CE398" i="2"/>
  <c r="CE397" i="2"/>
  <c r="CE396" i="2"/>
  <c r="CE395" i="2"/>
  <c r="CE394" i="2"/>
  <c r="CE393" i="2"/>
  <c r="CE392" i="2"/>
  <c r="CE391" i="2"/>
  <c r="CE390" i="2"/>
  <c r="CE389" i="2"/>
  <c r="CE388" i="2"/>
  <c r="CE387" i="2"/>
  <c r="CE386" i="2"/>
  <c r="CE385" i="2"/>
  <c r="CE384" i="2"/>
  <c r="CE383" i="2"/>
  <c r="CE382" i="2"/>
  <c r="CE381" i="2"/>
  <c r="CE380" i="2"/>
  <c r="CE379" i="2"/>
  <c r="CE378" i="2"/>
  <c r="CE377" i="2"/>
  <c r="CE376" i="2"/>
  <c r="CE375" i="2"/>
  <c r="CE374" i="2"/>
  <c r="CE373" i="2"/>
  <c r="CE372" i="2"/>
  <c r="CE371" i="2"/>
  <c r="CE370" i="2"/>
  <c r="CE369" i="2"/>
  <c r="CE368" i="2"/>
  <c r="CE367" i="2"/>
  <c r="CE366" i="2"/>
  <c r="CE365" i="2"/>
  <c r="CE364" i="2"/>
  <c r="CE363" i="2"/>
  <c r="CE362" i="2"/>
  <c r="CE361" i="2"/>
  <c r="CE360" i="2"/>
  <c r="CE359" i="2"/>
  <c r="CE358" i="2"/>
  <c r="CE357" i="2"/>
  <c r="CE356" i="2"/>
  <c r="CE355" i="2"/>
  <c r="CE354" i="2"/>
  <c r="CE353" i="2"/>
  <c r="CE352" i="2"/>
  <c r="CE351" i="2"/>
  <c r="CE350" i="2"/>
  <c r="CE349" i="2"/>
  <c r="CE348" i="2"/>
  <c r="CE347" i="2"/>
  <c r="CE346" i="2"/>
  <c r="CE345" i="2"/>
  <c r="CE344" i="2"/>
  <c r="CE343" i="2"/>
  <c r="CE342" i="2"/>
  <c r="CE341" i="2"/>
  <c r="CE340" i="2"/>
  <c r="CE339" i="2"/>
  <c r="CE338" i="2"/>
  <c r="CE337" i="2"/>
  <c r="CE336" i="2"/>
  <c r="CE335" i="2"/>
  <c r="CE334" i="2"/>
  <c r="CE333" i="2"/>
  <c r="CE332" i="2"/>
  <c r="CE331" i="2"/>
  <c r="CE330" i="2"/>
  <c r="CE329" i="2"/>
  <c r="CE328" i="2"/>
  <c r="CE327" i="2"/>
  <c r="CE326" i="2"/>
  <c r="CE325" i="2"/>
  <c r="CE324" i="2"/>
  <c r="CE322" i="2"/>
  <c r="CE321" i="2"/>
  <c r="CE320" i="2"/>
  <c r="CE319" i="2"/>
  <c r="CE318" i="2"/>
  <c r="CE317" i="2"/>
  <c r="CE316" i="2"/>
  <c r="CE315" i="2"/>
  <c r="CE314" i="2"/>
  <c r="CE313" i="2"/>
  <c r="CE312" i="2"/>
  <c r="CE311" i="2"/>
  <c r="CE310" i="2"/>
  <c r="CE309" i="2"/>
  <c r="CE308" i="2"/>
  <c r="CE307" i="2"/>
  <c r="CE306" i="2"/>
  <c r="CE305" i="2"/>
  <c r="CE304" i="2"/>
  <c r="CE303" i="2"/>
  <c r="CE302" i="2"/>
  <c r="CE301" i="2"/>
  <c r="CE300" i="2"/>
  <c r="CE299" i="2"/>
  <c r="CE298" i="2"/>
  <c r="CE297" i="2"/>
  <c r="CE296" i="2"/>
  <c r="CE295" i="2"/>
  <c r="CE294" i="2"/>
  <c r="CE293" i="2"/>
  <c r="CE292" i="2"/>
  <c r="CE291" i="2"/>
  <c r="CE290" i="2"/>
  <c r="CE289" i="2"/>
  <c r="CE288" i="2"/>
  <c r="CE287" i="2"/>
  <c r="CE286" i="2"/>
  <c r="CE285" i="2"/>
  <c r="CE284" i="2"/>
  <c r="CE283" i="2"/>
  <c r="CE282" i="2"/>
  <c r="CE281" i="2"/>
  <c r="CE280" i="2"/>
  <c r="CE279" i="2"/>
  <c r="CE278" i="2"/>
  <c r="CE277" i="2"/>
  <c r="CE276" i="2"/>
  <c r="CE275" i="2"/>
  <c r="CE274" i="2"/>
  <c r="CE273" i="2"/>
  <c r="CE272" i="2"/>
  <c r="CE271" i="2"/>
  <c r="CE270" i="2"/>
  <c r="CE269" i="2"/>
  <c r="CE268" i="2"/>
  <c r="CE267" i="2"/>
  <c r="CE266" i="2"/>
  <c r="CE265" i="2"/>
  <c r="CE264" i="2"/>
  <c r="CE263" i="2"/>
  <c r="CE262" i="2"/>
  <c r="CE261" i="2"/>
  <c r="CE260" i="2"/>
  <c r="CE259" i="2"/>
  <c r="CE258" i="2"/>
  <c r="CE257" i="2"/>
  <c r="CE256" i="2"/>
  <c r="CE255" i="2"/>
  <c r="CE254" i="2"/>
  <c r="CE253" i="2"/>
  <c r="CE252" i="2"/>
  <c r="CE251" i="2"/>
  <c r="CE250" i="2"/>
  <c r="CE249" i="2"/>
  <c r="CE248" i="2"/>
  <c r="CE247" i="2"/>
  <c r="CE246" i="2"/>
  <c r="CE245" i="2"/>
  <c r="CE244" i="2"/>
  <c r="CE243" i="2"/>
  <c r="CE242" i="2"/>
  <c r="CE241" i="2"/>
  <c r="CE240" i="2"/>
  <c r="CE239" i="2"/>
  <c r="CE238" i="2"/>
  <c r="CE237" i="2"/>
  <c r="CE236" i="2"/>
  <c r="CE235" i="2"/>
  <c r="CE234" i="2"/>
  <c r="CE233" i="2"/>
  <c r="CE232" i="2"/>
  <c r="CE231" i="2"/>
  <c r="CE230" i="2"/>
  <c r="CE229" i="2"/>
  <c r="CE228" i="2"/>
  <c r="CE227" i="2"/>
  <c r="CE226" i="2"/>
  <c r="CE225" i="2"/>
  <c r="CE224" i="2"/>
  <c r="CE223" i="2"/>
  <c r="CE222" i="2"/>
  <c r="CE221" i="2"/>
  <c r="CE220" i="2"/>
  <c r="CE219" i="2"/>
  <c r="CE218" i="2"/>
  <c r="CE217" i="2"/>
  <c r="CE216" i="2"/>
  <c r="CE215" i="2"/>
  <c r="CE214" i="2"/>
  <c r="CE213" i="2"/>
  <c r="CE212" i="2"/>
  <c r="CE211" i="2"/>
  <c r="CE210" i="2"/>
  <c r="CE209" i="2"/>
  <c r="CE208" i="2"/>
  <c r="CE207" i="2"/>
  <c r="CE206" i="2"/>
  <c r="CE205" i="2"/>
  <c r="CE204" i="2"/>
  <c r="CE203" i="2"/>
  <c r="CE202" i="2"/>
  <c r="CE201" i="2"/>
  <c r="CE200" i="2"/>
  <c r="CE199" i="2"/>
  <c r="CE198" i="2"/>
  <c r="CE197" i="2"/>
  <c r="CE196" i="2"/>
  <c r="CE195" i="2"/>
  <c r="CE194" i="2"/>
  <c r="CE193" i="2"/>
  <c r="CE192" i="2"/>
  <c r="CE191" i="2"/>
  <c r="CE190" i="2"/>
  <c r="CE189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6" i="2"/>
  <c r="CE175" i="2"/>
  <c r="CE174" i="2"/>
  <c r="CE173" i="2"/>
  <c r="CE172" i="2"/>
  <c r="CE171" i="2"/>
  <c r="CE170" i="2"/>
  <c r="CE169" i="2"/>
  <c r="CE16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4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8" i="2"/>
  <c r="CE7" i="2"/>
  <c r="CE6" i="2"/>
  <c r="CD469" i="2"/>
  <c r="CD468" i="2"/>
  <c r="CD467" i="2"/>
  <c r="CD466" i="2"/>
  <c r="CD465" i="2"/>
  <c r="CD464" i="2"/>
  <c r="CD463" i="2"/>
  <c r="CD462" i="2"/>
  <c r="CD461" i="2"/>
  <c r="CD460" i="2"/>
  <c r="CD459" i="2"/>
  <c r="CD458" i="2"/>
  <c r="CD457" i="2"/>
  <c r="CD456" i="2"/>
  <c r="CD455" i="2"/>
  <c r="CD454" i="2"/>
  <c r="CD453" i="2"/>
  <c r="CD452" i="2"/>
  <c r="CD451" i="2"/>
  <c r="CD450" i="2"/>
  <c r="CD449" i="2"/>
  <c r="CD448" i="2"/>
  <c r="CD447" i="2"/>
  <c r="CD446" i="2"/>
  <c r="CD445" i="2"/>
  <c r="CD444" i="2"/>
  <c r="CD443" i="2"/>
  <c r="CD442" i="2"/>
  <c r="CD441" i="2"/>
  <c r="CD440" i="2"/>
  <c r="CD439" i="2"/>
  <c r="CD438" i="2"/>
  <c r="CD437" i="2"/>
  <c r="CD436" i="2"/>
  <c r="CD435" i="2"/>
  <c r="CD434" i="2"/>
  <c r="CD433" i="2"/>
  <c r="CD432" i="2"/>
  <c r="CD431" i="2"/>
  <c r="CD430" i="2"/>
  <c r="CD429" i="2"/>
  <c r="CD428" i="2"/>
  <c r="CD427" i="2"/>
  <c r="CD426" i="2"/>
  <c r="CD425" i="2"/>
  <c r="CD424" i="2"/>
  <c r="CD423" i="2"/>
  <c r="CD422" i="2"/>
  <c r="CD421" i="2"/>
  <c r="CD420" i="2"/>
  <c r="CD419" i="2"/>
  <c r="CD418" i="2"/>
  <c r="CD417" i="2"/>
  <c r="CD416" i="2"/>
  <c r="CD415" i="2"/>
  <c r="CD414" i="2"/>
  <c r="CD413" i="2"/>
  <c r="CD412" i="2"/>
  <c r="CD411" i="2"/>
  <c r="CD410" i="2"/>
  <c r="CD409" i="2"/>
  <c r="CD407" i="2"/>
  <c r="CD406" i="2"/>
  <c r="CD405" i="2"/>
  <c r="CD404" i="2"/>
  <c r="CD403" i="2"/>
  <c r="CD402" i="2"/>
  <c r="CD401" i="2"/>
  <c r="CD400" i="2"/>
  <c r="CD399" i="2"/>
  <c r="CD398" i="2"/>
  <c r="CD397" i="2"/>
  <c r="CD396" i="2"/>
  <c r="CD395" i="2"/>
  <c r="CD394" i="2"/>
  <c r="CD393" i="2"/>
  <c r="CD392" i="2"/>
  <c r="CD391" i="2"/>
  <c r="CD390" i="2"/>
  <c r="CD389" i="2"/>
  <c r="CD388" i="2"/>
  <c r="CD387" i="2"/>
  <c r="CD386" i="2"/>
  <c r="CD385" i="2"/>
  <c r="CD384" i="2"/>
  <c r="CD383" i="2"/>
  <c r="CD382" i="2"/>
  <c r="CD381" i="2"/>
  <c r="CD380" i="2"/>
  <c r="CD379" i="2"/>
  <c r="CD378" i="2"/>
  <c r="CD377" i="2"/>
  <c r="CD376" i="2"/>
  <c r="CD375" i="2"/>
  <c r="CD374" i="2"/>
  <c r="CD373" i="2"/>
  <c r="CD372" i="2"/>
  <c r="CD371" i="2"/>
  <c r="CD370" i="2"/>
  <c r="CD369" i="2"/>
  <c r="CD368" i="2"/>
  <c r="CD367" i="2"/>
  <c r="CD366" i="2"/>
  <c r="CD365" i="2"/>
  <c r="CD364" i="2"/>
  <c r="CD363" i="2"/>
  <c r="CD362" i="2"/>
  <c r="CD361" i="2"/>
  <c r="CD360" i="2"/>
  <c r="CD359" i="2"/>
  <c r="CD358" i="2"/>
  <c r="CD357" i="2"/>
  <c r="CD356" i="2"/>
  <c r="CD355" i="2"/>
  <c r="CD354" i="2"/>
  <c r="CD353" i="2"/>
  <c r="CD352" i="2"/>
  <c r="CD351" i="2"/>
  <c r="CD350" i="2"/>
  <c r="CD349" i="2"/>
  <c r="CD348" i="2"/>
  <c r="CD347" i="2"/>
  <c r="CD346" i="2"/>
  <c r="CD345" i="2"/>
  <c r="CD344" i="2"/>
  <c r="CD343" i="2"/>
  <c r="CD342" i="2"/>
  <c r="CD341" i="2"/>
  <c r="CD340" i="2"/>
  <c r="CD339" i="2"/>
  <c r="CD338" i="2"/>
  <c r="CD337" i="2"/>
  <c r="CD336" i="2"/>
  <c r="CD335" i="2"/>
  <c r="CD334" i="2"/>
  <c r="CD333" i="2"/>
  <c r="CD332" i="2"/>
  <c r="CD331" i="2"/>
  <c r="CD330" i="2"/>
  <c r="CD329" i="2"/>
  <c r="CD328" i="2"/>
  <c r="CD327" i="2"/>
  <c r="CD326" i="2"/>
  <c r="CD325" i="2"/>
  <c r="CD324" i="2"/>
  <c r="CD322" i="2"/>
  <c r="CD321" i="2"/>
  <c r="CD320" i="2"/>
  <c r="CD319" i="2"/>
  <c r="CD318" i="2"/>
  <c r="CD317" i="2"/>
  <c r="CD316" i="2"/>
  <c r="CD315" i="2"/>
  <c r="CD314" i="2"/>
  <c r="CD313" i="2"/>
  <c r="CD312" i="2"/>
  <c r="CD311" i="2"/>
  <c r="CD310" i="2"/>
  <c r="CD309" i="2"/>
  <c r="CD308" i="2"/>
  <c r="CD307" i="2"/>
  <c r="CD306" i="2"/>
  <c r="CD305" i="2"/>
  <c r="CD304" i="2"/>
  <c r="CD303" i="2"/>
  <c r="CD302" i="2"/>
  <c r="CD301" i="2"/>
  <c r="CD300" i="2"/>
  <c r="CD299" i="2"/>
  <c r="CD298" i="2"/>
  <c r="CD297" i="2"/>
  <c r="CD296" i="2"/>
  <c r="CD295" i="2"/>
  <c r="CD294" i="2"/>
  <c r="CD293" i="2"/>
  <c r="CD292" i="2"/>
  <c r="CD291" i="2"/>
  <c r="CD290" i="2"/>
  <c r="CD289" i="2"/>
  <c r="CD288" i="2"/>
  <c r="CD287" i="2"/>
  <c r="CD286" i="2"/>
  <c r="CD285" i="2"/>
  <c r="CD284" i="2"/>
  <c r="CD283" i="2"/>
  <c r="CD282" i="2"/>
  <c r="CD281" i="2"/>
  <c r="CD280" i="2"/>
  <c r="CD279" i="2"/>
  <c r="CD278" i="2"/>
  <c r="CD277" i="2"/>
  <c r="CD276" i="2"/>
  <c r="CD275" i="2"/>
  <c r="CD274" i="2"/>
  <c r="CD273" i="2"/>
  <c r="CD272" i="2"/>
  <c r="CD271" i="2"/>
  <c r="CD270" i="2"/>
  <c r="CD269" i="2"/>
  <c r="CD268" i="2"/>
  <c r="CD267" i="2"/>
  <c r="CD266" i="2"/>
  <c r="CD265" i="2"/>
  <c r="CD264" i="2"/>
  <c r="CD263" i="2"/>
  <c r="CD262" i="2"/>
  <c r="CD261" i="2"/>
  <c r="CD260" i="2"/>
  <c r="CD259" i="2"/>
  <c r="CD258" i="2"/>
  <c r="CD257" i="2"/>
  <c r="CD256" i="2"/>
  <c r="CD255" i="2"/>
  <c r="CD254" i="2"/>
  <c r="CD253" i="2"/>
  <c r="CD252" i="2"/>
  <c r="CD251" i="2"/>
  <c r="CD250" i="2"/>
  <c r="CD249" i="2"/>
  <c r="CD248" i="2"/>
  <c r="CD247" i="2"/>
  <c r="CD246" i="2"/>
  <c r="CD245" i="2"/>
  <c r="CD244" i="2"/>
  <c r="CD243" i="2"/>
  <c r="CD242" i="2"/>
  <c r="CD241" i="2"/>
  <c r="CD240" i="2"/>
  <c r="CD239" i="2"/>
  <c r="CD238" i="2"/>
  <c r="CD237" i="2"/>
  <c r="CD236" i="2"/>
  <c r="CD235" i="2"/>
  <c r="CD234" i="2"/>
  <c r="CD233" i="2"/>
  <c r="CD232" i="2"/>
  <c r="CD231" i="2"/>
  <c r="CD230" i="2"/>
  <c r="CD229" i="2"/>
  <c r="CD228" i="2"/>
  <c r="CD227" i="2"/>
  <c r="CD226" i="2"/>
  <c r="CD225" i="2"/>
  <c r="CD224" i="2"/>
  <c r="CD223" i="2"/>
  <c r="CD222" i="2"/>
  <c r="CD221" i="2"/>
  <c r="CD220" i="2"/>
  <c r="CD219" i="2"/>
  <c r="CD218" i="2"/>
  <c r="CD217" i="2"/>
  <c r="CD216" i="2"/>
  <c r="CD215" i="2"/>
  <c r="CD214" i="2"/>
  <c r="CD213" i="2"/>
  <c r="CD212" i="2"/>
  <c r="CD211" i="2"/>
  <c r="CD210" i="2"/>
  <c r="CD209" i="2"/>
  <c r="CD208" i="2"/>
  <c r="CD207" i="2"/>
  <c r="CD206" i="2"/>
  <c r="CD205" i="2"/>
  <c r="CD204" i="2"/>
  <c r="CD203" i="2"/>
  <c r="CD202" i="2"/>
  <c r="CD201" i="2"/>
  <c r="CD200" i="2"/>
  <c r="CD199" i="2"/>
  <c r="CD198" i="2"/>
  <c r="CD197" i="2"/>
  <c r="CD196" i="2"/>
  <c r="CD195" i="2"/>
  <c r="CD194" i="2"/>
  <c r="CD193" i="2"/>
  <c r="CD192" i="2"/>
  <c r="CD191" i="2"/>
  <c r="CD190" i="2"/>
  <c r="CD189" i="2"/>
  <c r="CD188" i="2"/>
  <c r="CD187" i="2"/>
  <c r="CD186" i="2"/>
  <c r="CD185" i="2"/>
  <c r="CD184" i="2"/>
  <c r="CD183" i="2"/>
  <c r="CD182" i="2"/>
  <c r="CD181" i="2"/>
  <c r="CD180" i="2"/>
  <c r="CD179" i="2"/>
  <c r="CD178" i="2"/>
  <c r="CD177" i="2"/>
  <c r="CD176" i="2"/>
  <c r="CD175" i="2"/>
  <c r="CD174" i="2"/>
  <c r="CD173" i="2"/>
  <c r="CD172" i="2"/>
  <c r="CD171" i="2"/>
  <c r="CD170" i="2"/>
  <c r="CD169" i="2"/>
  <c r="CD168" i="2"/>
  <c r="CD167" i="2"/>
  <c r="CD166" i="2"/>
  <c r="CD165" i="2"/>
  <c r="CD164" i="2"/>
  <c r="CD163" i="2"/>
  <c r="CD162" i="2"/>
  <c r="CD161" i="2"/>
  <c r="CD160" i="2"/>
  <c r="CD159" i="2"/>
  <c r="CD158" i="2"/>
  <c r="CD157" i="2"/>
  <c r="CD156" i="2"/>
  <c r="CD155" i="2"/>
  <c r="CD154" i="2"/>
  <c r="CD153" i="2"/>
  <c r="CD152" i="2"/>
  <c r="CD151" i="2"/>
  <c r="CD150" i="2"/>
  <c r="CD149" i="2"/>
  <c r="CD148" i="2"/>
  <c r="CD147" i="2"/>
  <c r="CD146" i="2"/>
  <c r="CD145" i="2"/>
  <c r="CD144" i="2"/>
  <c r="CD143" i="2"/>
  <c r="CD142" i="2"/>
  <c r="CD141" i="2"/>
  <c r="CD140" i="2"/>
  <c r="CD139" i="2"/>
  <c r="CD138" i="2"/>
  <c r="CD137" i="2"/>
  <c r="CD136" i="2"/>
  <c r="CD135" i="2"/>
  <c r="CD134" i="2"/>
  <c r="CD133" i="2"/>
  <c r="CD132" i="2"/>
  <c r="CD131" i="2"/>
  <c r="CD130" i="2"/>
  <c r="CD129" i="2"/>
  <c r="CD128" i="2"/>
  <c r="CD127" i="2"/>
  <c r="CD126" i="2"/>
  <c r="CD125" i="2"/>
  <c r="CD124" i="2"/>
  <c r="CD123" i="2"/>
  <c r="CD122" i="2"/>
  <c r="CD121" i="2"/>
  <c r="CD120" i="2"/>
  <c r="CD119" i="2"/>
  <c r="CD118" i="2"/>
  <c r="CD117" i="2"/>
  <c r="CD116" i="2"/>
  <c r="CD115" i="2"/>
  <c r="CD114" i="2"/>
  <c r="CD113" i="2"/>
  <c r="CD112" i="2"/>
  <c r="CD111" i="2"/>
  <c r="CD110" i="2"/>
  <c r="CD109" i="2"/>
  <c r="CD108" i="2"/>
  <c r="CD107" i="2"/>
  <c r="CD106" i="2"/>
  <c r="CD105" i="2"/>
  <c r="CD104" i="2"/>
  <c r="CD103" i="2"/>
  <c r="CD102" i="2"/>
  <c r="CD101" i="2"/>
  <c r="CD100" i="2"/>
  <c r="CD99" i="2"/>
  <c r="CD98" i="2"/>
  <c r="CD97" i="2"/>
  <c r="CD96" i="2"/>
  <c r="CD95" i="2"/>
  <c r="CD94" i="2"/>
  <c r="CD93" i="2"/>
  <c r="CD92" i="2"/>
  <c r="CD91" i="2"/>
  <c r="CD90" i="2"/>
  <c r="CD89" i="2"/>
  <c r="CD88" i="2"/>
  <c r="CD87" i="2"/>
  <c r="CD86" i="2"/>
  <c r="CD85" i="2"/>
  <c r="CD84" i="2"/>
  <c r="CD83" i="2"/>
  <c r="CD82" i="2"/>
  <c r="CD81" i="2"/>
  <c r="CD80" i="2"/>
  <c r="CD79" i="2"/>
  <c r="CD78" i="2"/>
  <c r="CD77" i="2"/>
  <c r="CD76" i="2"/>
  <c r="CD75" i="2"/>
  <c r="CD74" i="2"/>
  <c r="CD73" i="2"/>
  <c r="CD72" i="2"/>
  <c r="CD71" i="2"/>
  <c r="CD70" i="2"/>
  <c r="CD69" i="2"/>
  <c r="CD68" i="2"/>
  <c r="CD67" i="2"/>
  <c r="CD66" i="2"/>
  <c r="CD65" i="2"/>
  <c r="CD64" i="2"/>
  <c r="CD63" i="2"/>
  <c r="CD62" i="2"/>
  <c r="CD61" i="2"/>
  <c r="CD60" i="2"/>
  <c r="CD59" i="2"/>
  <c r="CD58" i="2"/>
  <c r="CD57" i="2"/>
  <c r="CD56" i="2"/>
  <c r="CD55" i="2"/>
  <c r="CD54" i="2"/>
  <c r="CD53" i="2"/>
  <c r="CD52" i="2"/>
  <c r="CD51" i="2"/>
  <c r="CD50" i="2"/>
  <c r="CD49" i="2"/>
  <c r="CD48" i="2"/>
  <c r="CD47" i="2"/>
  <c r="CD46" i="2"/>
  <c r="CD45" i="2"/>
  <c r="CD44" i="2"/>
  <c r="CD43" i="2"/>
  <c r="CD42" i="2"/>
  <c r="CD41" i="2"/>
  <c r="CD40" i="2"/>
  <c r="CD39" i="2"/>
  <c r="CD38" i="2"/>
  <c r="CD37" i="2"/>
  <c r="CD36" i="2"/>
  <c r="CD35" i="2"/>
  <c r="CD34" i="2"/>
  <c r="CD33" i="2"/>
  <c r="CD32" i="2"/>
  <c r="CD31" i="2"/>
  <c r="CD30" i="2"/>
  <c r="CD29" i="2"/>
  <c r="CD28" i="2"/>
  <c r="CD27" i="2"/>
  <c r="CD26" i="2"/>
  <c r="CD25" i="2"/>
  <c r="CD24" i="2"/>
  <c r="CD23" i="2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C469" i="2"/>
  <c r="CC468" i="2"/>
  <c r="CC467" i="2"/>
  <c r="CC466" i="2"/>
  <c r="CC465" i="2"/>
  <c r="CC464" i="2"/>
  <c r="CC463" i="2"/>
  <c r="CC462" i="2"/>
  <c r="CC461" i="2"/>
  <c r="CC460" i="2"/>
  <c r="CC459" i="2"/>
  <c r="CC458" i="2"/>
  <c r="CC457" i="2"/>
  <c r="CC456" i="2"/>
  <c r="CC455" i="2"/>
  <c r="CC454" i="2"/>
  <c r="CC453" i="2"/>
  <c r="CC452" i="2"/>
  <c r="CC451" i="2"/>
  <c r="CC450" i="2"/>
  <c r="CC449" i="2"/>
  <c r="CC448" i="2"/>
  <c r="CC447" i="2"/>
  <c r="CC446" i="2"/>
  <c r="CC445" i="2"/>
  <c r="CC444" i="2"/>
  <c r="CC443" i="2"/>
  <c r="CC442" i="2"/>
  <c r="CC441" i="2"/>
  <c r="CC440" i="2"/>
  <c r="CC439" i="2"/>
  <c r="CC438" i="2"/>
  <c r="CC437" i="2"/>
  <c r="CC436" i="2"/>
  <c r="CC435" i="2"/>
  <c r="CC434" i="2"/>
  <c r="CC433" i="2"/>
  <c r="CC432" i="2"/>
  <c r="CC431" i="2"/>
  <c r="CC430" i="2"/>
  <c r="CC429" i="2"/>
  <c r="CC428" i="2"/>
  <c r="CC427" i="2"/>
  <c r="CC426" i="2"/>
  <c r="CC425" i="2"/>
  <c r="CC424" i="2"/>
  <c r="CC423" i="2"/>
  <c r="CC422" i="2"/>
  <c r="CC421" i="2"/>
  <c r="CC420" i="2"/>
  <c r="CC419" i="2"/>
  <c r="CC418" i="2"/>
  <c r="CC417" i="2"/>
  <c r="CC416" i="2"/>
  <c r="CC415" i="2"/>
  <c r="CC414" i="2"/>
  <c r="CC413" i="2"/>
  <c r="CC412" i="2"/>
  <c r="CC411" i="2"/>
  <c r="CC410" i="2"/>
  <c r="CC409" i="2"/>
  <c r="CC407" i="2"/>
  <c r="CC406" i="2"/>
  <c r="CC405" i="2"/>
  <c r="CC404" i="2"/>
  <c r="CC403" i="2"/>
  <c r="CC402" i="2"/>
  <c r="CC401" i="2"/>
  <c r="CC400" i="2"/>
  <c r="CC399" i="2"/>
  <c r="CC398" i="2"/>
  <c r="CC397" i="2"/>
  <c r="CC396" i="2"/>
  <c r="CC395" i="2"/>
  <c r="CC394" i="2"/>
  <c r="CC393" i="2"/>
  <c r="CC392" i="2"/>
  <c r="CC391" i="2"/>
  <c r="CC390" i="2"/>
  <c r="CC389" i="2"/>
  <c r="CC388" i="2"/>
  <c r="CC387" i="2"/>
  <c r="CC386" i="2"/>
  <c r="CC385" i="2"/>
  <c r="CC384" i="2"/>
  <c r="CC383" i="2"/>
  <c r="CC382" i="2"/>
  <c r="CC381" i="2"/>
  <c r="CC380" i="2"/>
  <c r="CC379" i="2"/>
  <c r="CC378" i="2"/>
  <c r="CC377" i="2"/>
  <c r="CC376" i="2"/>
  <c r="CC375" i="2"/>
  <c r="CC374" i="2"/>
  <c r="CC373" i="2"/>
  <c r="CC372" i="2"/>
  <c r="CC371" i="2"/>
  <c r="CC370" i="2"/>
  <c r="CC369" i="2"/>
  <c r="CC368" i="2"/>
  <c r="CC367" i="2"/>
  <c r="CC366" i="2"/>
  <c r="CC365" i="2"/>
  <c r="CC364" i="2"/>
  <c r="CC363" i="2"/>
  <c r="CC362" i="2"/>
  <c r="CC361" i="2"/>
  <c r="CC360" i="2"/>
  <c r="CC359" i="2"/>
  <c r="CC358" i="2"/>
  <c r="CC357" i="2"/>
  <c r="CC356" i="2"/>
  <c r="CC355" i="2"/>
  <c r="CC354" i="2"/>
  <c r="CC353" i="2"/>
  <c r="CC352" i="2"/>
  <c r="CC351" i="2"/>
  <c r="CC350" i="2"/>
  <c r="CC349" i="2"/>
  <c r="CC348" i="2"/>
  <c r="CC347" i="2"/>
  <c r="CC346" i="2"/>
  <c r="CC345" i="2"/>
  <c r="CC344" i="2"/>
  <c r="CC343" i="2"/>
  <c r="CC342" i="2"/>
  <c r="CC341" i="2"/>
  <c r="CC340" i="2"/>
  <c r="CC339" i="2"/>
  <c r="CC338" i="2"/>
  <c r="CC337" i="2"/>
  <c r="CC336" i="2"/>
  <c r="CC335" i="2"/>
  <c r="CC334" i="2"/>
  <c r="CC333" i="2"/>
  <c r="CC332" i="2"/>
  <c r="CC331" i="2"/>
  <c r="CC330" i="2"/>
  <c r="CC329" i="2"/>
  <c r="CC328" i="2"/>
  <c r="CC327" i="2"/>
  <c r="CC326" i="2"/>
  <c r="CC325" i="2"/>
  <c r="CC324" i="2"/>
  <c r="CC322" i="2"/>
  <c r="CC321" i="2"/>
  <c r="CC320" i="2"/>
  <c r="CC319" i="2"/>
  <c r="CC318" i="2"/>
  <c r="CC317" i="2"/>
  <c r="CC316" i="2"/>
  <c r="CC315" i="2"/>
  <c r="CC314" i="2"/>
  <c r="CC313" i="2"/>
  <c r="CC312" i="2"/>
  <c r="CC311" i="2"/>
  <c r="CC310" i="2"/>
  <c r="CC309" i="2"/>
  <c r="CC308" i="2"/>
  <c r="CC307" i="2"/>
  <c r="CC306" i="2"/>
  <c r="CC305" i="2"/>
  <c r="CC304" i="2"/>
  <c r="CC303" i="2"/>
  <c r="CC302" i="2"/>
  <c r="CC301" i="2"/>
  <c r="CC300" i="2"/>
  <c r="CC299" i="2"/>
  <c r="CC298" i="2"/>
  <c r="CC297" i="2"/>
  <c r="CC296" i="2"/>
  <c r="CC295" i="2"/>
  <c r="CC294" i="2"/>
  <c r="CC293" i="2"/>
  <c r="CC292" i="2"/>
  <c r="CC291" i="2"/>
  <c r="CC290" i="2"/>
  <c r="CC289" i="2"/>
  <c r="CC288" i="2"/>
  <c r="CC287" i="2"/>
  <c r="CC286" i="2"/>
  <c r="CC285" i="2"/>
  <c r="CC284" i="2"/>
  <c r="CC283" i="2"/>
  <c r="CC282" i="2"/>
  <c r="CC281" i="2"/>
  <c r="CC280" i="2"/>
  <c r="CC279" i="2"/>
  <c r="CC278" i="2"/>
  <c r="CC277" i="2"/>
  <c r="CC276" i="2"/>
  <c r="CC275" i="2"/>
  <c r="CC274" i="2"/>
  <c r="CC273" i="2"/>
  <c r="CC272" i="2"/>
  <c r="CC271" i="2"/>
  <c r="CC270" i="2"/>
  <c r="CC269" i="2"/>
  <c r="CC268" i="2"/>
  <c r="CC267" i="2"/>
  <c r="CC266" i="2"/>
  <c r="CC265" i="2"/>
  <c r="CC264" i="2"/>
  <c r="CC263" i="2"/>
  <c r="CC262" i="2"/>
  <c r="CC261" i="2"/>
  <c r="CC260" i="2"/>
  <c r="CC259" i="2"/>
  <c r="CC258" i="2"/>
  <c r="CC257" i="2"/>
  <c r="CC256" i="2"/>
  <c r="CC255" i="2"/>
  <c r="CC254" i="2"/>
  <c r="CC253" i="2"/>
  <c r="CC252" i="2"/>
  <c r="CC251" i="2"/>
  <c r="CC250" i="2"/>
  <c r="CC249" i="2"/>
  <c r="CC248" i="2"/>
  <c r="CC247" i="2"/>
  <c r="CC246" i="2"/>
  <c r="CC245" i="2"/>
  <c r="CC244" i="2"/>
  <c r="CC243" i="2"/>
  <c r="CC242" i="2"/>
  <c r="CC241" i="2"/>
  <c r="CC240" i="2"/>
  <c r="CC239" i="2"/>
  <c r="CC238" i="2"/>
  <c r="CC237" i="2"/>
  <c r="CC236" i="2"/>
  <c r="CC235" i="2"/>
  <c r="CC234" i="2"/>
  <c r="CC233" i="2"/>
  <c r="CC232" i="2"/>
  <c r="CC231" i="2"/>
  <c r="CC230" i="2"/>
  <c r="CC229" i="2"/>
  <c r="CC228" i="2"/>
  <c r="CC227" i="2"/>
  <c r="CC226" i="2"/>
  <c r="CC225" i="2"/>
  <c r="CC224" i="2"/>
  <c r="CC223" i="2"/>
  <c r="CC222" i="2"/>
  <c r="CC221" i="2"/>
  <c r="CC220" i="2"/>
  <c r="CC219" i="2"/>
  <c r="CC218" i="2"/>
  <c r="CC217" i="2"/>
  <c r="CC216" i="2"/>
  <c r="CC215" i="2"/>
  <c r="CC214" i="2"/>
  <c r="CC213" i="2"/>
  <c r="CC212" i="2"/>
  <c r="CC211" i="2"/>
  <c r="CC210" i="2"/>
  <c r="CC209" i="2"/>
  <c r="CC208" i="2"/>
  <c r="CC207" i="2"/>
  <c r="CC206" i="2"/>
  <c r="CC205" i="2"/>
  <c r="CC204" i="2"/>
  <c r="CC203" i="2"/>
  <c r="CC202" i="2"/>
  <c r="CC201" i="2"/>
  <c r="CC200" i="2"/>
  <c r="CC199" i="2"/>
  <c r="CC198" i="2"/>
  <c r="CC197" i="2"/>
  <c r="CC196" i="2"/>
  <c r="CC195" i="2"/>
  <c r="CC194" i="2"/>
  <c r="CC193" i="2"/>
  <c r="CC192" i="2"/>
  <c r="CC191" i="2"/>
  <c r="CC190" i="2"/>
  <c r="CC189" i="2"/>
  <c r="CC188" i="2"/>
  <c r="CC187" i="2"/>
  <c r="CC186" i="2"/>
  <c r="CC185" i="2"/>
  <c r="CC184" i="2"/>
  <c r="CC183" i="2"/>
  <c r="CC182" i="2"/>
  <c r="CC181" i="2"/>
  <c r="CC180" i="2"/>
  <c r="CC179" i="2"/>
  <c r="CC178" i="2"/>
  <c r="CC177" i="2"/>
  <c r="CC176" i="2"/>
  <c r="CC175" i="2"/>
  <c r="CC174" i="2"/>
  <c r="CC173" i="2"/>
  <c r="CC172" i="2"/>
  <c r="CC171" i="2"/>
  <c r="CC170" i="2"/>
  <c r="CC169" i="2"/>
  <c r="CC168" i="2"/>
  <c r="CC167" i="2"/>
  <c r="CC166" i="2"/>
  <c r="CC165" i="2"/>
  <c r="CC164" i="2"/>
  <c r="CC163" i="2"/>
  <c r="CC162" i="2"/>
  <c r="CC161" i="2"/>
  <c r="CC160" i="2"/>
  <c r="CC159" i="2"/>
  <c r="CC158" i="2"/>
  <c r="CC157" i="2"/>
  <c r="CC156" i="2"/>
  <c r="CC155" i="2"/>
  <c r="CC154" i="2"/>
  <c r="CC153" i="2"/>
  <c r="CC152" i="2"/>
  <c r="CC151" i="2"/>
  <c r="CC150" i="2"/>
  <c r="CC149" i="2"/>
  <c r="CC148" i="2"/>
  <c r="CC147" i="2"/>
  <c r="CC146" i="2"/>
  <c r="CC145" i="2"/>
  <c r="CC144" i="2"/>
  <c r="CC143" i="2"/>
  <c r="CC142" i="2"/>
  <c r="CC141" i="2"/>
  <c r="CC140" i="2"/>
  <c r="CC139" i="2"/>
  <c r="CC138" i="2"/>
  <c r="CC137" i="2"/>
  <c r="CC136" i="2"/>
  <c r="CC135" i="2"/>
  <c r="CC134" i="2"/>
  <c r="CC133" i="2"/>
  <c r="CC132" i="2"/>
  <c r="CC131" i="2"/>
  <c r="CC130" i="2"/>
  <c r="CC129" i="2"/>
  <c r="CC128" i="2"/>
  <c r="CC127" i="2"/>
  <c r="CC126" i="2"/>
  <c r="CC125" i="2"/>
  <c r="CC124" i="2"/>
  <c r="CC123" i="2"/>
  <c r="CC122" i="2"/>
  <c r="CC121" i="2"/>
  <c r="CC120" i="2"/>
  <c r="CC119" i="2"/>
  <c r="CC118" i="2"/>
  <c r="CC117" i="2"/>
  <c r="CC116" i="2"/>
  <c r="CC115" i="2"/>
  <c r="CC114" i="2"/>
  <c r="CC113" i="2"/>
  <c r="CC112" i="2"/>
  <c r="CC111" i="2"/>
  <c r="CC110" i="2"/>
  <c r="CC109" i="2"/>
  <c r="CC108" i="2"/>
  <c r="CC107" i="2"/>
  <c r="CC106" i="2"/>
  <c r="CC105" i="2"/>
  <c r="CC104" i="2"/>
  <c r="CC103" i="2"/>
  <c r="CC102" i="2"/>
  <c r="CC101" i="2"/>
  <c r="CC100" i="2"/>
  <c r="CC99" i="2"/>
  <c r="CC98" i="2"/>
  <c r="CC97" i="2"/>
  <c r="CC96" i="2"/>
  <c r="CC95" i="2"/>
  <c r="CC94" i="2"/>
  <c r="CC93" i="2"/>
  <c r="CC92" i="2"/>
  <c r="CC91" i="2"/>
  <c r="CC90" i="2"/>
  <c r="CC89" i="2"/>
  <c r="CC88" i="2"/>
  <c r="CC87" i="2"/>
  <c r="CC86" i="2"/>
  <c r="CC85" i="2"/>
  <c r="CC84" i="2"/>
  <c r="CC83" i="2"/>
  <c r="CC82" i="2"/>
  <c r="CC81" i="2"/>
  <c r="CC80" i="2"/>
  <c r="CC79" i="2"/>
  <c r="CC78" i="2"/>
  <c r="CC77" i="2"/>
  <c r="CC76" i="2"/>
  <c r="CC75" i="2"/>
  <c r="CC74" i="2"/>
  <c r="CC73" i="2"/>
  <c r="CC72" i="2"/>
  <c r="CC71" i="2"/>
  <c r="CC70" i="2"/>
  <c r="CC69" i="2"/>
  <c r="CC68" i="2"/>
  <c r="CC67" i="2"/>
  <c r="CC66" i="2"/>
  <c r="CC65" i="2"/>
  <c r="CC64" i="2"/>
  <c r="CC63" i="2"/>
  <c r="CC62" i="2"/>
  <c r="CC61" i="2"/>
  <c r="CC60" i="2"/>
  <c r="CC59" i="2"/>
  <c r="CC58" i="2"/>
  <c r="CC57" i="2"/>
  <c r="CC56" i="2"/>
  <c r="CC55" i="2"/>
  <c r="CC54" i="2"/>
  <c r="CC53" i="2"/>
  <c r="CC52" i="2"/>
  <c r="CC51" i="2"/>
  <c r="CC50" i="2"/>
  <c r="CC49" i="2"/>
  <c r="CC48" i="2"/>
  <c r="CC47" i="2"/>
  <c r="CC46" i="2"/>
  <c r="CC45" i="2"/>
  <c r="CC44" i="2"/>
  <c r="CC43" i="2"/>
  <c r="CC42" i="2"/>
  <c r="CC41" i="2"/>
  <c r="CC40" i="2"/>
  <c r="CC39" i="2"/>
  <c r="CC38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B469" i="2"/>
  <c r="CB468" i="2"/>
  <c r="CB467" i="2"/>
  <c r="CB466" i="2"/>
  <c r="CB465" i="2"/>
  <c r="CB464" i="2"/>
  <c r="CB463" i="2"/>
  <c r="CB462" i="2"/>
  <c r="CB461" i="2"/>
  <c r="CB460" i="2"/>
  <c r="CB459" i="2"/>
  <c r="CB458" i="2"/>
  <c r="CB457" i="2"/>
  <c r="CB456" i="2"/>
  <c r="CB455" i="2"/>
  <c r="CB454" i="2"/>
  <c r="CB453" i="2"/>
  <c r="CB452" i="2"/>
  <c r="CB451" i="2"/>
  <c r="CB450" i="2"/>
  <c r="CB449" i="2"/>
  <c r="CB448" i="2"/>
  <c r="CB447" i="2"/>
  <c r="CB446" i="2"/>
  <c r="CB445" i="2"/>
  <c r="CB444" i="2"/>
  <c r="CB443" i="2"/>
  <c r="CB442" i="2"/>
  <c r="CB441" i="2"/>
  <c r="CB440" i="2"/>
  <c r="CB439" i="2"/>
  <c r="CB438" i="2"/>
  <c r="CB437" i="2"/>
  <c r="CB436" i="2"/>
  <c r="CB435" i="2"/>
  <c r="CB434" i="2"/>
  <c r="CB433" i="2"/>
  <c r="CB432" i="2"/>
  <c r="CB431" i="2"/>
  <c r="CB430" i="2"/>
  <c r="CB429" i="2"/>
  <c r="CB428" i="2"/>
  <c r="CB427" i="2"/>
  <c r="CB426" i="2"/>
  <c r="CB425" i="2"/>
  <c r="CB424" i="2"/>
  <c r="CB423" i="2"/>
  <c r="CB422" i="2"/>
  <c r="CB421" i="2"/>
  <c r="CB420" i="2"/>
  <c r="CB419" i="2"/>
  <c r="CB418" i="2"/>
  <c r="CB417" i="2"/>
  <c r="CB416" i="2"/>
  <c r="CB415" i="2"/>
  <c r="CB414" i="2"/>
  <c r="CB413" i="2"/>
  <c r="CB412" i="2"/>
  <c r="CB411" i="2"/>
  <c r="CB410" i="2"/>
  <c r="CB409" i="2"/>
  <c r="CB407" i="2"/>
  <c r="CB406" i="2"/>
  <c r="CB405" i="2"/>
  <c r="CB404" i="2"/>
  <c r="CB403" i="2"/>
  <c r="CB402" i="2"/>
  <c r="CB401" i="2"/>
  <c r="CB400" i="2"/>
  <c r="CB399" i="2"/>
  <c r="CB398" i="2"/>
  <c r="CB397" i="2"/>
  <c r="CB396" i="2"/>
  <c r="CB395" i="2"/>
  <c r="CB394" i="2"/>
  <c r="CB393" i="2"/>
  <c r="CB392" i="2"/>
  <c r="CB391" i="2"/>
  <c r="CB390" i="2"/>
  <c r="CB389" i="2"/>
  <c r="CB388" i="2"/>
  <c r="CB387" i="2"/>
  <c r="CB386" i="2"/>
  <c r="CB385" i="2"/>
  <c r="CB384" i="2"/>
  <c r="CB383" i="2"/>
  <c r="CB382" i="2"/>
  <c r="CB381" i="2"/>
  <c r="CB380" i="2"/>
  <c r="CB379" i="2"/>
  <c r="CB378" i="2"/>
  <c r="CB377" i="2"/>
  <c r="CB376" i="2"/>
  <c r="CB375" i="2"/>
  <c r="CB374" i="2"/>
  <c r="CB373" i="2"/>
  <c r="CB372" i="2"/>
  <c r="CB371" i="2"/>
  <c r="CB370" i="2"/>
  <c r="CB369" i="2"/>
  <c r="CB368" i="2"/>
  <c r="CB367" i="2"/>
  <c r="CB366" i="2"/>
  <c r="CB365" i="2"/>
  <c r="CB364" i="2"/>
  <c r="CB363" i="2"/>
  <c r="CB362" i="2"/>
  <c r="CB361" i="2"/>
  <c r="CB360" i="2"/>
  <c r="CB359" i="2"/>
  <c r="CB358" i="2"/>
  <c r="CB357" i="2"/>
  <c r="CB356" i="2"/>
  <c r="CB355" i="2"/>
  <c r="CB354" i="2"/>
  <c r="CB353" i="2"/>
  <c r="CB352" i="2"/>
  <c r="CB351" i="2"/>
  <c r="CB350" i="2"/>
  <c r="CB349" i="2"/>
  <c r="CB348" i="2"/>
  <c r="CB347" i="2"/>
  <c r="CB346" i="2"/>
  <c r="CB345" i="2"/>
  <c r="CB344" i="2"/>
  <c r="CB343" i="2"/>
  <c r="CB342" i="2"/>
  <c r="CB341" i="2"/>
  <c r="CB340" i="2"/>
  <c r="CB339" i="2"/>
  <c r="CB338" i="2"/>
  <c r="CB337" i="2"/>
  <c r="CB336" i="2"/>
  <c r="CB335" i="2"/>
  <c r="CB334" i="2"/>
  <c r="CB333" i="2"/>
  <c r="CB332" i="2"/>
  <c r="CB331" i="2"/>
  <c r="CB330" i="2"/>
  <c r="CB329" i="2"/>
  <c r="CB328" i="2"/>
  <c r="CB327" i="2"/>
  <c r="CB326" i="2"/>
  <c r="CB325" i="2"/>
  <c r="CB324" i="2"/>
  <c r="CB322" i="2"/>
  <c r="CB321" i="2"/>
  <c r="CB320" i="2"/>
  <c r="CB319" i="2"/>
  <c r="CB318" i="2"/>
  <c r="CB317" i="2"/>
  <c r="CB316" i="2"/>
  <c r="CB315" i="2"/>
  <c r="CB314" i="2"/>
  <c r="CB313" i="2"/>
  <c r="CB312" i="2"/>
  <c r="CB311" i="2"/>
  <c r="CB310" i="2"/>
  <c r="CB309" i="2"/>
  <c r="CB308" i="2"/>
  <c r="CB307" i="2"/>
  <c r="CB306" i="2"/>
  <c r="CB305" i="2"/>
  <c r="CB304" i="2"/>
  <c r="CB303" i="2"/>
  <c r="CB302" i="2"/>
  <c r="CB301" i="2"/>
  <c r="CB300" i="2"/>
  <c r="CB299" i="2"/>
  <c r="CB298" i="2"/>
  <c r="CB297" i="2"/>
  <c r="CB296" i="2"/>
  <c r="CB295" i="2"/>
  <c r="CB294" i="2"/>
  <c r="CB293" i="2"/>
  <c r="CB292" i="2"/>
  <c r="CB291" i="2"/>
  <c r="CB290" i="2"/>
  <c r="CB289" i="2"/>
  <c r="CB288" i="2"/>
  <c r="CB287" i="2"/>
  <c r="CB286" i="2"/>
  <c r="CB285" i="2"/>
  <c r="CB284" i="2"/>
  <c r="CB283" i="2"/>
  <c r="CB282" i="2"/>
  <c r="CB281" i="2"/>
  <c r="CB280" i="2"/>
  <c r="CB279" i="2"/>
  <c r="CB278" i="2"/>
  <c r="CB277" i="2"/>
  <c r="CB276" i="2"/>
  <c r="CB275" i="2"/>
  <c r="CB274" i="2"/>
  <c r="CB273" i="2"/>
  <c r="CB272" i="2"/>
  <c r="CB271" i="2"/>
  <c r="CB270" i="2"/>
  <c r="CB269" i="2"/>
  <c r="CB268" i="2"/>
  <c r="CB267" i="2"/>
  <c r="CB266" i="2"/>
  <c r="CB265" i="2"/>
  <c r="CB264" i="2"/>
  <c r="CB263" i="2"/>
  <c r="CB262" i="2"/>
  <c r="CB261" i="2"/>
  <c r="CB260" i="2"/>
  <c r="CB259" i="2"/>
  <c r="CB258" i="2"/>
  <c r="CB257" i="2"/>
  <c r="CB256" i="2"/>
  <c r="CB255" i="2"/>
  <c r="CB254" i="2"/>
  <c r="CB253" i="2"/>
  <c r="CB252" i="2"/>
  <c r="CB251" i="2"/>
  <c r="CB250" i="2"/>
  <c r="CB249" i="2"/>
  <c r="CB248" i="2"/>
  <c r="CB247" i="2"/>
  <c r="CB246" i="2"/>
  <c r="CB245" i="2"/>
  <c r="CB244" i="2"/>
  <c r="CB243" i="2"/>
  <c r="CB242" i="2"/>
  <c r="CB241" i="2"/>
  <c r="CB240" i="2"/>
  <c r="CB239" i="2"/>
  <c r="CB238" i="2"/>
  <c r="CB237" i="2"/>
  <c r="CB236" i="2"/>
  <c r="CB235" i="2"/>
  <c r="CB234" i="2"/>
  <c r="CB233" i="2"/>
  <c r="CB232" i="2"/>
  <c r="CB231" i="2"/>
  <c r="CB230" i="2"/>
  <c r="CB229" i="2"/>
  <c r="CB228" i="2"/>
  <c r="CB227" i="2"/>
  <c r="CB226" i="2"/>
  <c r="CB225" i="2"/>
  <c r="CB224" i="2"/>
  <c r="CB223" i="2"/>
  <c r="CB222" i="2"/>
  <c r="CB221" i="2"/>
  <c r="CB220" i="2"/>
  <c r="CB219" i="2"/>
  <c r="CB218" i="2"/>
  <c r="CB217" i="2"/>
  <c r="CB216" i="2"/>
  <c r="CB215" i="2"/>
  <c r="CB214" i="2"/>
  <c r="CB213" i="2"/>
  <c r="CB212" i="2"/>
  <c r="CB211" i="2"/>
  <c r="CB210" i="2"/>
  <c r="CB209" i="2"/>
  <c r="CB208" i="2"/>
  <c r="CB207" i="2"/>
  <c r="CB206" i="2"/>
  <c r="CB205" i="2"/>
  <c r="CB204" i="2"/>
  <c r="CB203" i="2"/>
  <c r="CB202" i="2"/>
  <c r="CB201" i="2"/>
  <c r="CB200" i="2"/>
  <c r="CB199" i="2"/>
  <c r="CB198" i="2"/>
  <c r="CB197" i="2"/>
  <c r="CB196" i="2"/>
  <c r="CB195" i="2"/>
  <c r="CB194" i="2"/>
  <c r="CB193" i="2"/>
  <c r="CB192" i="2"/>
  <c r="CB191" i="2"/>
  <c r="CB190" i="2"/>
  <c r="CB189" i="2"/>
  <c r="CB188" i="2"/>
  <c r="CB187" i="2"/>
  <c r="CB186" i="2"/>
  <c r="CB185" i="2"/>
  <c r="CB184" i="2"/>
  <c r="CB183" i="2"/>
  <c r="CB182" i="2"/>
  <c r="CB181" i="2"/>
  <c r="CB180" i="2"/>
  <c r="CB179" i="2"/>
  <c r="CB178" i="2"/>
  <c r="CB177" i="2"/>
  <c r="CB176" i="2"/>
  <c r="CB175" i="2"/>
  <c r="CB174" i="2"/>
  <c r="CB173" i="2"/>
  <c r="CB172" i="2"/>
  <c r="CB171" i="2"/>
  <c r="CB170" i="2"/>
  <c r="CB169" i="2"/>
  <c r="CB168" i="2"/>
  <c r="CB167" i="2"/>
  <c r="CB166" i="2"/>
  <c r="CB165" i="2"/>
  <c r="CB164" i="2"/>
  <c r="CB163" i="2"/>
  <c r="CB162" i="2"/>
  <c r="CB161" i="2"/>
  <c r="CB160" i="2"/>
  <c r="CB159" i="2"/>
  <c r="CB158" i="2"/>
  <c r="CB157" i="2"/>
  <c r="CB156" i="2"/>
  <c r="CB155" i="2"/>
  <c r="CB154" i="2"/>
  <c r="CB153" i="2"/>
  <c r="CB152" i="2"/>
  <c r="CB151" i="2"/>
  <c r="CB150" i="2"/>
  <c r="CB149" i="2"/>
  <c r="CB148" i="2"/>
  <c r="CB147" i="2"/>
  <c r="CB146" i="2"/>
  <c r="CB145" i="2"/>
  <c r="CB144" i="2"/>
  <c r="CB143" i="2"/>
  <c r="CB142" i="2"/>
  <c r="CB141" i="2"/>
  <c r="CB140" i="2"/>
  <c r="CB139" i="2"/>
  <c r="CB138" i="2"/>
  <c r="CB137" i="2"/>
  <c r="CB136" i="2"/>
  <c r="CB135" i="2"/>
  <c r="CB134" i="2"/>
  <c r="CB133" i="2"/>
  <c r="CB132" i="2"/>
  <c r="CB131" i="2"/>
  <c r="CB130" i="2"/>
  <c r="CB129" i="2"/>
  <c r="CB128" i="2"/>
  <c r="CB127" i="2"/>
  <c r="CB126" i="2"/>
  <c r="CB125" i="2"/>
  <c r="CB124" i="2"/>
  <c r="CB123" i="2"/>
  <c r="CB122" i="2"/>
  <c r="CB121" i="2"/>
  <c r="CB120" i="2"/>
  <c r="CB119" i="2"/>
  <c r="CB118" i="2"/>
  <c r="CB117" i="2"/>
  <c r="CB116" i="2"/>
  <c r="CB115" i="2"/>
  <c r="CB114" i="2"/>
  <c r="CB113" i="2"/>
  <c r="CB112" i="2"/>
  <c r="CB111" i="2"/>
  <c r="CB110" i="2"/>
  <c r="CB109" i="2"/>
  <c r="CB108" i="2"/>
  <c r="CB107" i="2"/>
  <c r="CB106" i="2"/>
  <c r="CB105" i="2"/>
  <c r="CB104" i="2"/>
  <c r="CB103" i="2"/>
  <c r="CB102" i="2"/>
  <c r="CB101" i="2"/>
  <c r="CB100" i="2"/>
  <c r="CB99" i="2"/>
  <c r="CB98" i="2"/>
  <c r="CB97" i="2"/>
  <c r="CB96" i="2"/>
  <c r="CB95" i="2"/>
  <c r="CB94" i="2"/>
  <c r="CB93" i="2"/>
  <c r="CB92" i="2"/>
  <c r="CB91" i="2"/>
  <c r="CB90" i="2"/>
  <c r="CB89" i="2"/>
  <c r="CB88" i="2"/>
  <c r="CB87" i="2"/>
  <c r="CB86" i="2"/>
  <c r="CB85" i="2"/>
  <c r="CB84" i="2"/>
  <c r="CB83" i="2"/>
  <c r="CB82" i="2"/>
  <c r="CB81" i="2"/>
  <c r="CB80" i="2"/>
  <c r="CB79" i="2"/>
  <c r="CB78" i="2"/>
  <c r="CB77" i="2"/>
  <c r="CB76" i="2"/>
  <c r="CB75" i="2"/>
  <c r="CB74" i="2"/>
  <c r="CB73" i="2"/>
  <c r="CB72" i="2"/>
  <c r="CB71" i="2"/>
  <c r="CB70" i="2"/>
  <c r="CB69" i="2"/>
  <c r="CB68" i="2"/>
  <c r="CB67" i="2"/>
  <c r="CB66" i="2"/>
  <c r="CB65" i="2"/>
  <c r="CB64" i="2"/>
  <c r="CB63" i="2"/>
  <c r="CB62" i="2"/>
  <c r="CB61" i="2"/>
  <c r="CB60" i="2"/>
  <c r="CB59" i="2"/>
  <c r="CB58" i="2"/>
  <c r="CB57" i="2"/>
  <c r="CB56" i="2"/>
  <c r="CB55" i="2"/>
  <c r="CB54" i="2"/>
  <c r="CB53" i="2"/>
  <c r="CB52" i="2"/>
  <c r="CB51" i="2"/>
  <c r="CB50" i="2"/>
  <c r="CB49" i="2"/>
  <c r="CB48" i="2"/>
  <c r="CB47" i="2"/>
  <c r="CB46" i="2"/>
  <c r="CB45" i="2"/>
  <c r="CB44" i="2"/>
  <c r="CB43" i="2"/>
  <c r="CB42" i="2"/>
  <c r="CB41" i="2"/>
  <c r="CB40" i="2"/>
  <c r="CB39" i="2"/>
  <c r="CB38" i="2"/>
  <c r="CB37" i="2"/>
  <c r="CB36" i="2"/>
  <c r="CB35" i="2"/>
  <c r="CB34" i="2"/>
  <c r="CB33" i="2"/>
  <c r="CB32" i="2"/>
  <c r="CB31" i="2"/>
  <c r="CB30" i="2"/>
  <c r="CB29" i="2"/>
  <c r="CB28" i="2"/>
  <c r="CB27" i="2"/>
  <c r="CB26" i="2"/>
  <c r="CB25" i="2"/>
  <c r="CB24" i="2"/>
  <c r="CB23" i="2"/>
  <c r="CB22" i="2"/>
  <c r="CB21" i="2"/>
  <c r="CB20" i="2"/>
  <c r="CB19" i="2"/>
  <c r="CB18" i="2"/>
  <c r="CB17" i="2"/>
  <c r="CB16" i="2"/>
  <c r="CB15" i="2"/>
  <c r="CB14" i="2"/>
  <c r="CB13" i="2"/>
  <c r="CB12" i="2"/>
  <c r="CB11" i="2"/>
  <c r="CB10" i="2"/>
  <c r="CB9" i="2"/>
  <c r="CB8" i="2"/>
  <c r="CB7" i="2"/>
  <c r="CB6" i="2"/>
  <c r="CA469" i="2"/>
  <c r="CA468" i="2"/>
  <c r="CA467" i="2"/>
  <c r="CA466" i="2"/>
  <c r="CA465" i="2"/>
  <c r="CA464" i="2"/>
  <c r="CA463" i="2"/>
  <c r="CA462" i="2"/>
  <c r="CA461" i="2"/>
  <c r="CA460" i="2"/>
  <c r="CA459" i="2"/>
  <c r="CA458" i="2"/>
  <c r="CA457" i="2"/>
  <c r="CA456" i="2"/>
  <c r="CA455" i="2"/>
  <c r="CA454" i="2"/>
  <c r="CA453" i="2"/>
  <c r="CA452" i="2"/>
  <c r="CA451" i="2"/>
  <c r="CA450" i="2"/>
  <c r="CA449" i="2"/>
  <c r="CA448" i="2"/>
  <c r="CA447" i="2"/>
  <c r="CA446" i="2"/>
  <c r="CA445" i="2"/>
  <c r="CA444" i="2"/>
  <c r="CA443" i="2"/>
  <c r="CA442" i="2"/>
  <c r="CA441" i="2"/>
  <c r="CA440" i="2"/>
  <c r="CA439" i="2"/>
  <c r="CA438" i="2"/>
  <c r="CA437" i="2"/>
  <c r="CA436" i="2"/>
  <c r="CA435" i="2"/>
  <c r="CA434" i="2"/>
  <c r="CA433" i="2"/>
  <c r="CA432" i="2"/>
  <c r="CA431" i="2"/>
  <c r="CA430" i="2"/>
  <c r="CA429" i="2"/>
  <c r="CA428" i="2"/>
  <c r="CA427" i="2"/>
  <c r="CA426" i="2"/>
  <c r="CA425" i="2"/>
  <c r="CA424" i="2"/>
  <c r="CA423" i="2"/>
  <c r="CA422" i="2"/>
  <c r="CA421" i="2"/>
  <c r="CA420" i="2"/>
  <c r="CA419" i="2"/>
  <c r="CA418" i="2"/>
  <c r="CA417" i="2"/>
  <c r="CA416" i="2"/>
  <c r="CA415" i="2"/>
  <c r="CA414" i="2"/>
  <c r="CA413" i="2"/>
  <c r="CA412" i="2"/>
  <c r="CA411" i="2"/>
  <c r="CA410" i="2"/>
  <c r="CA409" i="2"/>
  <c r="CA407" i="2"/>
  <c r="CA406" i="2"/>
  <c r="CA405" i="2"/>
  <c r="CA404" i="2"/>
  <c r="CA403" i="2"/>
  <c r="CA402" i="2"/>
  <c r="CA401" i="2"/>
  <c r="CA400" i="2"/>
  <c r="CA399" i="2"/>
  <c r="CA398" i="2"/>
  <c r="CA397" i="2"/>
  <c r="CA396" i="2"/>
  <c r="CA395" i="2"/>
  <c r="CA394" i="2"/>
  <c r="CA393" i="2"/>
  <c r="CA392" i="2"/>
  <c r="CA391" i="2"/>
  <c r="CA390" i="2"/>
  <c r="CA389" i="2"/>
  <c r="CA388" i="2"/>
  <c r="CA387" i="2"/>
  <c r="CA386" i="2"/>
  <c r="CA385" i="2"/>
  <c r="CA384" i="2"/>
  <c r="CA383" i="2"/>
  <c r="CA382" i="2"/>
  <c r="CA381" i="2"/>
  <c r="CA380" i="2"/>
  <c r="CA379" i="2"/>
  <c r="CA378" i="2"/>
  <c r="CA377" i="2"/>
  <c r="CA376" i="2"/>
  <c r="CA375" i="2"/>
  <c r="CA374" i="2"/>
  <c r="CA373" i="2"/>
  <c r="CA372" i="2"/>
  <c r="CA371" i="2"/>
  <c r="CA370" i="2"/>
  <c r="CA369" i="2"/>
  <c r="CA368" i="2"/>
  <c r="CA367" i="2"/>
  <c r="CA366" i="2"/>
  <c r="CA365" i="2"/>
  <c r="CA364" i="2"/>
  <c r="CA363" i="2"/>
  <c r="CA362" i="2"/>
  <c r="CA361" i="2"/>
  <c r="CA360" i="2"/>
  <c r="CA359" i="2"/>
  <c r="CA358" i="2"/>
  <c r="CA357" i="2"/>
  <c r="CA356" i="2"/>
  <c r="CA355" i="2"/>
  <c r="CA354" i="2"/>
  <c r="CA353" i="2"/>
  <c r="CA352" i="2"/>
  <c r="CA351" i="2"/>
  <c r="CA350" i="2"/>
  <c r="CA349" i="2"/>
  <c r="CA348" i="2"/>
  <c r="CA347" i="2"/>
  <c r="CA346" i="2"/>
  <c r="CA345" i="2"/>
  <c r="CA344" i="2"/>
  <c r="CA343" i="2"/>
  <c r="CA342" i="2"/>
  <c r="CA341" i="2"/>
  <c r="CA340" i="2"/>
  <c r="CA339" i="2"/>
  <c r="CA338" i="2"/>
  <c r="CA337" i="2"/>
  <c r="CA336" i="2"/>
  <c r="CA335" i="2"/>
  <c r="CA334" i="2"/>
  <c r="CA333" i="2"/>
  <c r="CA332" i="2"/>
  <c r="CA331" i="2"/>
  <c r="CA330" i="2"/>
  <c r="CA329" i="2"/>
  <c r="CA328" i="2"/>
  <c r="CA327" i="2"/>
  <c r="CA326" i="2"/>
  <c r="CA325" i="2"/>
  <c r="CA324" i="2"/>
  <c r="CA322" i="2"/>
  <c r="CA321" i="2"/>
  <c r="CA320" i="2"/>
  <c r="CA319" i="2"/>
  <c r="CA318" i="2"/>
  <c r="CA317" i="2"/>
  <c r="CA316" i="2"/>
  <c r="CA315" i="2"/>
  <c r="CA314" i="2"/>
  <c r="CA313" i="2"/>
  <c r="CA312" i="2"/>
  <c r="CA311" i="2"/>
  <c r="CA310" i="2"/>
  <c r="CA309" i="2"/>
  <c r="CA308" i="2"/>
  <c r="CA307" i="2"/>
  <c r="CA306" i="2"/>
  <c r="CA305" i="2"/>
  <c r="CA304" i="2"/>
  <c r="CA303" i="2"/>
  <c r="CA302" i="2"/>
  <c r="CA301" i="2"/>
  <c r="CA300" i="2"/>
  <c r="CA299" i="2"/>
  <c r="CA298" i="2"/>
  <c r="CA297" i="2"/>
  <c r="CA296" i="2"/>
  <c r="CA295" i="2"/>
  <c r="CA294" i="2"/>
  <c r="CA293" i="2"/>
  <c r="CA292" i="2"/>
  <c r="CA291" i="2"/>
  <c r="CA290" i="2"/>
  <c r="CA289" i="2"/>
  <c r="CA288" i="2"/>
  <c r="CA287" i="2"/>
  <c r="CA286" i="2"/>
  <c r="CA285" i="2"/>
  <c r="CA284" i="2"/>
  <c r="CA283" i="2"/>
  <c r="CA282" i="2"/>
  <c r="CA281" i="2"/>
  <c r="CA280" i="2"/>
  <c r="CA279" i="2"/>
  <c r="CA278" i="2"/>
  <c r="CA277" i="2"/>
  <c r="CA276" i="2"/>
  <c r="CA275" i="2"/>
  <c r="CA274" i="2"/>
  <c r="CA273" i="2"/>
  <c r="CA272" i="2"/>
  <c r="CA271" i="2"/>
  <c r="CA270" i="2"/>
  <c r="CA269" i="2"/>
  <c r="CA268" i="2"/>
  <c r="CA267" i="2"/>
  <c r="CA266" i="2"/>
  <c r="CA265" i="2"/>
  <c r="CA264" i="2"/>
  <c r="CA263" i="2"/>
  <c r="CA262" i="2"/>
  <c r="CA261" i="2"/>
  <c r="CA260" i="2"/>
  <c r="CA259" i="2"/>
  <c r="CA258" i="2"/>
  <c r="CA257" i="2"/>
  <c r="CA256" i="2"/>
  <c r="CA255" i="2"/>
  <c r="CA254" i="2"/>
  <c r="CA253" i="2"/>
  <c r="CA252" i="2"/>
  <c r="CA251" i="2"/>
  <c r="CA250" i="2"/>
  <c r="CA249" i="2"/>
  <c r="CA248" i="2"/>
  <c r="CA247" i="2"/>
  <c r="CA246" i="2"/>
  <c r="CA245" i="2"/>
  <c r="CA244" i="2"/>
  <c r="CA243" i="2"/>
  <c r="CA242" i="2"/>
  <c r="CA241" i="2"/>
  <c r="CA240" i="2"/>
  <c r="CA239" i="2"/>
  <c r="CA238" i="2"/>
  <c r="CA237" i="2"/>
  <c r="CA236" i="2"/>
  <c r="CA235" i="2"/>
  <c r="CA234" i="2"/>
  <c r="CA233" i="2"/>
  <c r="CA232" i="2"/>
  <c r="CA231" i="2"/>
  <c r="CA230" i="2"/>
  <c r="CA229" i="2"/>
  <c r="CA228" i="2"/>
  <c r="CA227" i="2"/>
  <c r="CA226" i="2"/>
  <c r="CA225" i="2"/>
  <c r="CA224" i="2"/>
  <c r="CA223" i="2"/>
  <c r="CA222" i="2"/>
  <c r="CA221" i="2"/>
  <c r="CA220" i="2"/>
  <c r="CA219" i="2"/>
  <c r="CA218" i="2"/>
  <c r="CA217" i="2"/>
  <c r="CA216" i="2"/>
  <c r="CA215" i="2"/>
  <c r="CA214" i="2"/>
  <c r="CA213" i="2"/>
  <c r="CA212" i="2"/>
  <c r="CA211" i="2"/>
  <c r="CA210" i="2"/>
  <c r="CA209" i="2"/>
  <c r="CA208" i="2"/>
  <c r="CA207" i="2"/>
  <c r="CA206" i="2"/>
  <c r="CA205" i="2"/>
  <c r="CA204" i="2"/>
  <c r="CA203" i="2"/>
  <c r="CA202" i="2"/>
  <c r="CA201" i="2"/>
  <c r="CA200" i="2"/>
  <c r="CA199" i="2"/>
  <c r="CA198" i="2"/>
  <c r="CA197" i="2"/>
  <c r="CA196" i="2"/>
  <c r="CA195" i="2"/>
  <c r="CA194" i="2"/>
  <c r="CA193" i="2"/>
  <c r="CA192" i="2"/>
  <c r="CA191" i="2"/>
  <c r="CA190" i="2"/>
  <c r="CA189" i="2"/>
  <c r="CA188" i="2"/>
  <c r="CA187" i="2"/>
  <c r="CA186" i="2"/>
  <c r="CA185" i="2"/>
  <c r="CA184" i="2"/>
  <c r="CA183" i="2"/>
  <c r="CA182" i="2"/>
  <c r="CA181" i="2"/>
  <c r="CA180" i="2"/>
  <c r="CA179" i="2"/>
  <c r="CA178" i="2"/>
  <c r="CA177" i="2"/>
  <c r="CA176" i="2"/>
  <c r="CA175" i="2"/>
  <c r="CA174" i="2"/>
  <c r="CA173" i="2"/>
  <c r="CA172" i="2"/>
  <c r="CA171" i="2"/>
  <c r="CA170" i="2"/>
  <c r="CA169" i="2"/>
  <c r="CA168" i="2"/>
  <c r="CA167" i="2"/>
  <c r="CA166" i="2"/>
  <c r="CA165" i="2"/>
  <c r="CA164" i="2"/>
  <c r="CA163" i="2"/>
  <c r="CA162" i="2"/>
  <c r="CA161" i="2"/>
  <c r="CA160" i="2"/>
  <c r="CA159" i="2"/>
  <c r="CA158" i="2"/>
  <c r="CA157" i="2"/>
  <c r="CA156" i="2"/>
  <c r="CA155" i="2"/>
  <c r="CA154" i="2"/>
  <c r="CA153" i="2"/>
  <c r="CA152" i="2"/>
  <c r="CA151" i="2"/>
  <c r="CA150" i="2"/>
  <c r="CA149" i="2"/>
  <c r="CA148" i="2"/>
  <c r="CA147" i="2"/>
  <c r="CA146" i="2"/>
  <c r="CA145" i="2"/>
  <c r="CA144" i="2"/>
  <c r="CA143" i="2"/>
  <c r="CA142" i="2"/>
  <c r="CA141" i="2"/>
  <c r="CA140" i="2"/>
  <c r="CA139" i="2"/>
  <c r="CA138" i="2"/>
  <c r="CA137" i="2"/>
  <c r="CA136" i="2"/>
  <c r="CA135" i="2"/>
  <c r="CA134" i="2"/>
  <c r="CA133" i="2"/>
  <c r="CA132" i="2"/>
  <c r="CA131" i="2"/>
  <c r="CA130" i="2"/>
  <c r="CA129" i="2"/>
  <c r="CA128" i="2"/>
  <c r="CA127" i="2"/>
  <c r="CA126" i="2"/>
  <c r="CA125" i="2"/>
  <c r="CA124" i="2"/>
  <c r="CA123" i="2"/>
  <c r="CA122" i="2"/>
  <c r="CA121" i="2"/>
  <c r="CA120" i="2"/>
  <c r="CA119" i="2"/>
  <c r="CA118" i="2"/>
  <c r="CA117" i="2"/>
  <c r="CA116" i="2"/>
  <c r="CA115" i="2"/>
  <c r="CA114" i="2"/>
  <c r="CA113" i="2"/>
  <c r="CA112" i="2"/>
  <c r="CA111" i="2"/>
  <c r="CA110" i="2"/>
  <c r="CA109" i="2"/>
  <c r="CA108" i="2"/>
  <c r="CA107" i="2"/>
  <c r="CA106" i="2"/>
  <c r="CA105" i="2"/>
  <c r="CA104" i="2"/>
  <c r="CA103" i="2"/>
  <c r="CA102" i="2"/>
  <c r="CA101" i="2"/>
  <c r="CA100" i="2"/>
  <c r="CA99" i="2"/>
  <c r="CA98" i="2"/>
  <c r="CA97" i="2"/>
  <c r="CA96" i="2"/>
  <c r="CA95" i="2"/>
  <c r="CA94" i="2"/>
  <c r="CA93" i="2"/>
  <c r="CA92" i="2"/>
  <c r="CA91" i="2"/>
  <c r="CA90" i="2"/>
  <c r="CA89" i="2"/>
  <c r="CA88" i="2"/>
  <c r="CA87" i="2"/>
  <c r="CA86" i="2"/>
  <c r="CA85" i="2"/>
  <c r="CA84" i="2"/>
  <c r="CA83" i="2"/>
  <c r="CA82" i="2"/>
  <c r="CA81" i="2"/>
  <c r="CA80" i="2"/>
  <c r="CA79" i="2"/>
  <c r="CA78" i="2"/>
  <c r="CA77" i="2"/>
  <c r="CA76" i="2"/>
  <c r="CA75" i="2"/>
  <c r="CA74" i="2"/>
  <c r="CA73" i="2"/>
  <c r="CA72" i="2"/>
  <c r="CA71" i="2"/>
  <c r="CA70" i="2"/>
  <c r="CA69" i="2"/>
  <c r="CA68" i="2"/>
  <c r="CA67" i="2"/>
  <c r="CA66" i="2"/>
  <c r="CA65" i="2"/>
  <c r="CA64" i="2"/>
  <c r="CA63" i="2"/>
  <c r="CA62" i="2"/>
  <c r="CA61" i="2"/>
  <c r="CA60" i="2"/>
  <c r="CA59" i="2"/>
  <c r="CA58" i="2"/>
  <c r="CA57" i="2"/>
  <c r="CA56" i="2"/>
  <c r="CA55" i="2"/>
  <c r="CA54" i="2"/>
  <c r="CA53" i="2"/>
  <c r="CA52" i="2"/>
  <c r="CA51" i="2"/>
  <c r="CA50" i="2"/>
  <c r="CA49" i="2"/>
  <c r="CA48" i="2"/>
  <c r="CA47" i="2"/>
  <c r="CA46" i="2"/>
  <c r="CA45" i="2"/>
  <c r="CA44" i="2"/>
  <c r="CA43" i="2"/>
  <c r="CA42" i="2"/>
  <c r="CA41" i="2"/>
  <c r="CA40" i="2"/>
  <c r="CA39" i="2"/>
  <c r="CA38" i="2"/>
  <c r="CA37" i="2"/>
  <c r="CA36" i="2"/>
  <c r="CA35" i="2"/>
  <c r="CA34" i="2"/>
  <c r="CA33" i="2"/>
  <c r="CA32" i="2"/>
  <c r="CA31" i="2"/>
  <c r="CA30" i="2"/>
  <c r="CA29" i="2"/>
  <c r="CA28" i="2"/>
  <c r="CA27" i="2"/>
  <c r="CA26" i="2"/>
  <c r="CA25" i="2"/>
  <c r="CA24" i="2"/>
  <c r="CA23" i="2"/>
  <c r="CA22" i="2"/>
  <c r="CA21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BZ469" i="2"/>
  <c r="BZ468" i="2"/>
  <c r="BZ467" i="2"/>
  <c r="BZ466" i="2"/>
  <c r="BZ465" i="2"/>
  <c r="BZ464" i="2"/>
  <c r="BZ463" i="2"/>
  <c r="BZ462" i="2"/>
  <c r="BZ461" i="2"/>
  <c r="BZ460" i="2"/>
  <c r="BZ459" i="2"/>
  <c r="BZ458" i="2"/>
  <c r="BZ457" i="2"/>
  <c r="BZ456" i="2"/>
  <c r="BZ455" i="2"/>
  <c r="BZ454" i="2"/>
  <c r="BZ453" i="2"/>
  <c r="BZ452" i="2"/>
  <c r="BZ451" i="2"/>
  <c r="BZ450" i="2"/>
  <c r="BZ449" i="2"/>
  <c r="BZ448" i="2"/>
  <c r="BZ447" i="2"/>
  <c r="BZ446" i="2"/>
  <c r="BZ445" i="2"/>
  <c r="BZ444" i="2"/>
  <c r="BZ443" i="2"/>
  <c r="BZ442" i="2"/>
  <c r="BZ441" i="2"/>
  <c r="BZ440" i="2"/>
  <c r="BZ439" i="2"/>
  <c r="BZ438" i="2"/>
  <c r="BZ437" i="2"/>
  <c r="BZ436" i="2"/>
  <c r="BZ435" i="2"/>
  <c r="BZ434" i="2"/>
  <c r="BZ433" i="2"/>
  <c r="BZ432" i="2"/>
  <c r="BZ431" i="2"/>
  <c r="BZ430" i="2"/>
  <c r="BZ429" i="2"/>
  <c r="BZ428" i="2"/>
  <c r="BZ427" i="2"/>
  <c r="BZ426" i="2"/>
  <c r="BZ425" i="2"/>
  <c r="BZ424" i="2"/>
  <c r="BZ423" i="2"/>
  <c r="BZ422" i="2"/>
  <c r="BZ421" i="2"/>
  <c r="BZ420" i="2"/>
  <c r="BZ419" i="2"/>
  <c r="BZ418" i="2"/>
  <c r="BZ417" i="2"/>
  <c r="BZ416" i="2"/>
  <c r="BZ415" i="2"/>
  <c r="BZ414" i="2"/>
  <c r="BZ413" i="2"/>
  <c r="BZ412" i="2"/>
  <c r="BZ411" i="2"/>
  <c r="BZ410" i="2"/>
  <c r="BZ409" i="2"/>
  <c r="BZ407" i="2"/>
  <c r="BZ406" i="2"/>
  <c r="BZ405" i="2"/>
  <c r="BZ404" i="2"/>
  <c r="BZ403" i="2"/>
  <c r="BZ402" i="2"/>
  <c r="BZ401" i="2"/>
  <c r="BZ400" i="2"/>
  <c r="BZ399" i="2"/>
  <c r="BZ398" i="2"/>
  <c r="BZ397" i="2"/>
  <c r="BZ396" i="2"/>
  <c r="BZ395" i="2"/>
  <c r="BZ394" i="2"/>
  <c r="BZ393" i="2"/>
  <c r="BZ392" i="2"/>
  <c r="BZ391" i="2"/>
  <c r="BZ390" i="2"/>
  <c r="BZ389" i="2"/>
  <c r="BZ388" i="2"/>
  <c r="BZ387" i="2"/>
  <c r="BZ386" i="2"/>
  <c r="BZ385" i="2"/>
  <c r="BZ384" i="2"/>
  <c r="BZ383" i="2"/>
  <c r="BZ382" i="2"/>
  <c r="BZ381" i="2"/>
  <c r="BZ380" i="2"/>
  <c r="BZ379" i="2"/>
  <c r="BZ378" i="2"/>
  <c r="BZ377" i="2"/>
  <c r="BZ376" i="2"/>
  <c r="BZ375" i="2"/>
  <c r="BZ374" i="2"/>
  <c r="BZ373" i="2"/>
  <c r="BZ372" i="2"/>
  <c r="BZ371" i="2"/>
  <c r="BZ370" i="2"/>
  <c r="BZ369" i="2"/>
  <c r="BZ368" i="2"/>
  <c r="BZ367" i="2"/>
  <c r="BZ366" i="2"/>
  <c r="BZ365" i="2"/>
  <c r="BZ364" i="2"/>
  <c r="BZ363" i="2"/>
  <c r="BZ362" i="2"/>
  <c r="BZ361" i="2"/>
  <c r="BZ360" i="2"/>
  <c r="BZ359" i="2"/>
  <c r="BZ358" i="2"/>
  <c r="BZ357" i="2"/>
  <c r="BZ356" i="2"/>
  <c r="BZ355" i="2"/>
  <c r="BZ354" i="2"/>
  <c r="BZ353" i="2"/>
  <c r="BZ352" i="2"/>
  <c r="BZ351" i="2"/>
  <c r="BZ350" i="2"/>
  <c r="BZ349" i="2"/>
  <c r="BZ348" i="2"/>
  <c r="BZ347" i="2"/>
  <c r="BZ346" i="2"/>
  <c r="BZ345" i="2"/>
  <c r="BZ344" i="2"/>
  <c r="BZ343" i="2"/>
  <c r="BZ342" i="2"/>
  <c r="BZ341" i="2"/>
  <c r="BZ340" i="2"/>
  <c r="BZ339" i="2"/>
  <c r="BZ338" i="2"/>
  <c r="BZ337" i="2"/>
  <c r="BZ336" i="2"/>
  <c r="BZ335" i="2"/>
  <c r="BZ334" i="2"/>
  <c r="BZ333" i="2"/>
  <c r="BZ332" i="2"/>
  <c r="BZ331" i="2"/>
  <c r="BZ330" i="2"/>
  <c r="BZ329" i="2"/>
  <c r="BZ328" i="2"/>
  <c r="BZ327" i="2"/>
  <c r="BZ326" i="2"/>
  <c r="BZ325" i="2"/>
  <c r="BZ324" i="2"/>
  <c r="BZ322" i="2"/>
  <c r="BZ321" i="2"/>
  <c r="BZ320" i="2"/>
  <c r="BZ319" i="2"/>
  <c r="BZ318" i="2"/>
  <c r="BZ317" i="2"/>
  <c r="BZ316" i="2"/>
  <c r="BZ315" i="2"/>
  <c r="BZ314" i="2"/>
  <c r="BZ313" i="2"/>
  <c r="BZ312" i="2"/>
  <c r="BZ311" i="2"/>
  <c r="BZ310" i="2"/>
  <c r="BZ309" i="2"/>
  <c r="BZ308" i="2"/>
  <c r="BZ307" i="2"/>
  <c r="BZ306" i="2"/>
  <c r="BZ305" i="2"/>
  <c r="BZ304" i="2"/>
  <c r="BZ303" i="2"/>
  <c r="BZ302" i="2"/>
  <c r="BZ301" i="2"/>
  <c r="BZ300" i="2"/>
  <c r="BZ299" i="2"/>
  <c r="BZ298" i="2"/>
  <c r="BZ297" i="2"/>
  <c r="BZ296" i="2"/>
  <c r="BZ295" i="2"/>
  <c r="BZ29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6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1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Y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K128" i="2"/>
  <c r="X128" i="2"/>
  <c r="K128" i="2"/>
  <c r="BY469" i="2"/>
  <c r="BY468" i="2"/>
  <c r="CK468" i="2" s="1"/>
  <c r="BY467" i="2"/>
  <c r="BY466" i="2"/>
  <c r="CK466" i="2" s="1"/>
  <c r="BY465" i="2"/>
  <c r="BY464" i="2"/>
  <c r="CK464" i="2" s="1"/>
  <c r="BY463" i="2"/>
  <c r="BY462" i="2"/>
  <c r="CK462" i="2" s="1"/>
  <c r="BY461" i="2"/>
  <c r="BY460" i="2"/>
  <c r="CK460" i="2" s="1"/>
  <c r="BY459" i="2"/>
  <c r="BY458" i="2"/>
  <c r="CK458" i="2" s="1"/>
  <c r="BY457" i="2"/>
  <c r="BY456" i="2"/>
  <c r="CK456" i="2" s="1"/>
  <c r="BY455" i="2"/>
  <c r="BY454" i="2"/>
  <c r="CK454" i="2" s="1"/>
  <c r="BY453" i="2"/>
  <c r="CK453" i="2" s="1"/>
  <c r="BY452" i="2"/>
  <c r="CK452" i="2" s="1"/>
  <c r="BY451" i="2"/>
  <c r="CK451" i="2" s="1"/>
  <c r="BY450" i="2"/>
  <c r="CK450" i="2" s="1"/>
  <c r="BY449" i="2"/>
  <c r="CK449" i="2" s="1"/>
  <c r="BY448" i="2"/>
  <c r="CK448" i="2" s="1"/>
  <c r="BY447" i="2"/>
  <c r="CK447" i="2" s="1"/>
  <c r="BY446" i="2"/>
  <c r="CK446" i="2" s="1"/>
  <c r="BY445" i="2"/>
  <c r="CK445" i="2" s="1"/>
  <c r="BY444" i="2"/>
  <c r="CK444" i="2" s="1"/>
  <c r="BY443" i="2"/>
  <c r="CK443" i="2" s="1"/>
  <c r="BY442" i="2"/>
  <c r="CK442" i="2" s="1"/>
  <c r="BY441" i="2"/>
  <c r="CK441" i="2" s="1"/>
  <c r="BY440" i="2"/>
  <c r="CK440" i="2" s="1"/>
  <c r="BY439" i="2"/>
  <c r="CK439" i="2" s="1"/>
  <c r="BY438" i="2"/>
  <c r="CK438" i="2" s="1"/>
  <c r="BY437" i="2"/>
  <c r="CK437" i="2" s="1"/>
  <c r="BY436" i="2"/>
  <c r="CK436" i="2" s="1"/>
  <c r="BY435" i="2"/>
  <c r="CK435" i="2" s="1"/>
  <c r="BY434" i="2"/>
  <c r="CK434" i="2" s="1"/>
  <c r="BY433" i="2"/>
  <c r="CK433" i="2" s="1"/>
  <c r="BY432" i="2"/>
  <c r="CK432" i="2" s="1"/>
  <c r="BY431" i="2"/>
  <c r="CK431" i="2" s="1"/>
  <c r="BY430" i="2"/>
  <c r="CK430" i="2" s="1"/>
  <c r="BY429" i="2"/>
  <c r="CK429" i="2" s="1"/>
  <c r="BY428" i="2"/>
  <c r="CK428" i="2" s="1"/>
  <c r="BY427" i="2"/>
  <c r="CK427" i="2" s="1"/>
  <c r="BY426" i="2"/>
  <c r="CK426" i="2" s="1"/>
  <c r="BY425" i="2"/>
  <c r="CK425" i="2" s="1"/>
  <c r="BY424" i="2"/>
  <c r="CK424" i="2" s="1"/>
  <c r="BY423" i="2"/>
  <c r="CK423" i="2" s="1"/>
  <c r="BY422" i="2"/>
  <c r="CK422" i="2" s="1"/>
  <c r="BY421" i="2"/>
  <c r="CK421" i="2" s="1"/>
  <c r="BY420" i="2"/>
  <c r="CK420" i="2" s="1"/>
  <c r="BY419" i="2"/>
  <c r="CK419" i="2" s="1"/>
  <c r="BY418" i="2"/>
  <c r="CK418" i="2" s="1"/>
  <c r="BY417" i="2"/>
  <c r="CK417" i="2" s="1"/>
  <c r="BY416" i="2"/>
  <c r="CK416" i="2" s="1"/>
  <c r="BY415" i="2"/>
  <c r="CK415" i="2" s="1"/>
  <c r="BY414" i="2"/>
  <c r="CK414" i="2" s="1"/>
  <c r="BY413" i="2"/>
  <c r="CK413" i="2" s="1"/>
  <c r="BY412" i="2"/>
  <c r="CK412" i="2" s="1"/>
  <c r="BY411" i="2"/>
  <c r="CK411" i="2" s="1"/>
  <c r="BY410" i="2"/>
  <c r="CK410" i="2" s="1"/>
  <c r="BY409" i="2"/>
  <c r="CK409" i="2" s="1"/>
  <c r="BY407" i="2"/>
  <c r="BY406" i="2"/>
  <c r="CK406" i="2" s="1"/>
  <c r="BY405" i="2"/>
  <c r="CK405" i="2" s="1"/>
  <c r="BY404" i="2"/>
  <c r="CK404" i="2" s="1"/>
  <c r="BY403" i="2"/>
  <c r="CK403" i="2" s="1"/>
  <c r="BY402" i="2"/>
  <c r="CK402" i="2" s="1"/>
  <c r="BY401" i="2"/>
  <c r="CK401" i="2" s="1"/>
  <c r="BY400" i="2"/>
  <c r="CK400" i="2" s="1"/>
  <c r="BY399" i="2"/>
  <c r="CK399" i="2" s="1"/>
  <c r="BY398" i="2"/>
  <c r="CK398" i="2" s="1"/>
  <c r="BY397" i="2"/>
  <c r="CK397" i="2" s="1"/>
  <c r="BY396" i="2"/>
  <c r="CK396" i="2" s="1"/>
  <c r="BY395" i="2"/>
  <c r="CK395" i="2" s="1"/>
  <c r="BY394" i="2"/>
  <c r="CK394" i="2" s="1"/>
  <c r="BY393" i="2"/>
  <c r="CK393" i="2" s="1"/>
  <c r="BY392" i="2"/>
  <c r="CK392" i="2" s="1"/>
  <c r="BY391" i="2"/>
  <c r="CK391" i="2" s="1"/>
  <c r="BY390" i="2"/>
  <c r="CK390" i="2" s="1"/>
  <c r="BY389" i="2"/>
  <c r="CK389" i="2" s="1"/>
  <c r="BY388" i="2"/>
  <c r="CK388" i="2" s="1"/>
  <c r="BY387" i="2"/>
  <c r="CK387" i="2" s="1"/>
  <c r="BY386" i="2"/>
  <c r="CK386" i="2" s="1"/>
  <c r="BY385" i="2"/>
  <c r="CK385" i="2" s="1"/>
  <c r="BY384" i="2"/>
  <c r="CK384" i="2" s="1"/>
  <c r="BY383" i="2"/>
  <c r="CK383" i="2" s="1"/>
  <c r="BY382" i="2"/>
  <c r="CK382" i="2" s="1"/>
  <c r="BY381" i="2"/>
  <c r="CK381" i="2" s="1"/>
  <c r="BY380" i="2"/>
  <c r="CK380" i="2" s="1"/>
  <c r="BY379" i="2"/>
  <c r="CK379" i="2" s="1"/>
  <c r="BY378" i="2"/>
  <c r="CK378" i="2" s="1"/>
  <c r="BY377" i="2"/>
  <c r="CK377" i="2" s="1"/>
  <c r="BY376" i="2"/>
  <c r="CK376" i="2" s="1"/>
  <c r="BY375" i="2"/>
  <c r="CK375" i="2" s="1"/>
  <c r="BY374" i="2"/>
  <c r="CK374" i="2" s="1"/>
  <c r="BY373" i="2"/>
  <c r="CK373" i="2" s="1"/>
  <c r="BY372" i="2"/>
  <c r="CK372" i="2" s="1"/>
  <c r="BY371" i="2"/>
  <c r="CK371" i="2" s="1"/>
  <c r="BY370" i="2"/>
  <c r="CK370" i="2" s="1"/>
  <c r="BY369" i="2"/>
  <c r="CK369" i="2" s="1"/>
  <c r="BY368" i="2"/>
  <c r="CK368" i="2" s="1"/>
  <c r="BY367" i="2"/>
  <c r="CK367" i="2" s="1"/>
  <c r="BY366" i="2"/>
  <c r="CK366" i="2" s="1"/>
  <c r="BY365" i="2"/>
  <c r="CK365" i="2" s="1"/>
  <c r="BY364" i="2"/>
  <c r="CK364" i="2" s="1"/>
  <c r="BY363" i="2"/>
  <c r="CK363" i="2" s="1"/>
  <c r="BY362" i="2"/>
  <c r="CK362" i="2" s="1"/>
  <c r="BY361" i="2"/>
  <c r="CK361" i="2" s="1"/>
  <c r="BY360" i="2"/>
  <c r="CK360" i="2" s="1"/>
  <c r="BY359" i="2"/>
  <c r="CK359" i="2" s="1"/>
  <c r="BY358" i="2"/>
  <c r="CK358" i="2" s="1"/>
  <c r="BY357" i="2"/>
  <c r="CK357" i="2" s="1"/>
  <c r="BY356" i="2"/>
  <c r="CK356" i="2" s="1"/>
  <c r="BY355" i="2"/>
  <c r="CK355" i="2" s="1"/>
  <c r="BY354" i="2"/>
  <c r="CK354" i="2" s="1"/>
  <c r="BY353" i="2"/>
  <c r="CK353" i="2" s="1"/>
  <c r="BY352" i="2"/>
  <c r="CK352" i="2" s="1"/>
  <c r="BY351" i="2"/>
  <c r="CK351" i="2" s="1"/>
  <c r="BY350" i="2"/>
  <c r="CK350" i="2" s="1"/>
  <c r="BY349" i="2"/>
  <c r="CK349" i="2" s="1"/>
  <c r="BY348" i="2"/>
  <c r="CK348" i="2" s="1"/>
  <c r="BY347" i="2"/>
  <c r="CK347" i="2" s="1"/>
  <c r="BY346" i="2"/>
  <c r="CK346" i="2" s="1"/>
  <c r="BY345" i="2"/>
  <c r="CK345" i="2" s="1"/>
  <c r="BY344" i="2"/>
  <c r="CK344" i="2" s="1"/>
  <c r="BY343" i="2"/>
  <c r="CK343" i="2" s="1"/>
  <c r="BY342" i="2"/>
  <c r="CK342" i="2" s="1"/>
  <c r="BY341" i="2"/>
  <c r="CK341" i="2" s="1"/>
  <c r="BY340" i="2"/>
  <c r="CK340" i="2" s="1"/>
  <c r="BY339" i="2"/>
  <c r="CK339" i="2" s="1"/>
  <c r="BY338" i="2"/>
  <c r="CK338" i="2" s="1"/>
  <c r="BY337" i="2"/>
  <c r="CK337" i="2" s="1"/>
  <c r="BY336" i="2"/>
  <c r="CK336" i="2" s="1"/>
  <c r="BY335" i="2"/>
  <c r="CK335" i="2" s="1"/>
  <c r="BY334" i="2"/>
  <c r="CK334" i="2" s="1"/>
  <c r="BY333" i="2"/>
  <c r="CK333" i="2" s="1"/>
  <c r="BY332" i="2"/>
  <c r="CK332" i="2" s="1"/>
  <c r="BY331" i="2"/>
  <c r="CK331" i="2" s="1"/>
  <c r="BY330" i="2"/>
  <c r="CK330" i="2" s="1"/>
  <c r="BY329" i="2"/>
  <c r="CK329" i="2" s="1"/>
  <c r="BY328" i="2"/>
  <c r="CK328" i="2" s="1"/>
  <c r="BY327" i="2"/>
  <c r="CK327" i="2" s="1"/>
  <c r="BY326" i="2"/>
  <c r="CK326" i="2" s="1"/>
  <c r="BY325" i="2"/>
  <c r="CK325" i="2" s="1"/>
  <c r="BY324" i="2"/>
  <c r="CK324" i="2" s="1"/>
  <c r="BY322" i="2"/>
  <c r="CK322" i="2" s="1"/>
  <c r="BY321" i="2"/>
  <c r="CK321" i="2" s="1"/>
  <c r="BY320" i="2"/>
  <c r="CK320" i="2" s="1"/>
  <c r="BY319" i="2"/>
  <c r="CK319" i="2" s="1"/>
  <c r="BY318" i="2"/>
  <c r="CK318" i="2" s="1"/>
  <c r="BY317" i="2"/>
  <c r="CK317" i="2" s="1"/>
  <c r="BY316" i="2"/>
  <c r="CK316" i="2" s="1"/>
  <c r="BY315" i="2"/>
  <c r="CK315" i="2" s="1"/>
  <c r="BY314" i="2"/>
  <c r="CK314" i="2" s="1"/>
  <c r="BY313" i="2"/>
  <c r="CK313" i="2" s="1"/>
  <c r="BY312" i="2"/>
  <c r="CK312" i="2" s="1"/>
  <c r="BY311" i="2"/>
  <c r="CK311" i="2" s="1"/>
  <c r="BY310" i="2"/>
  <c r="CK310" i="2" s="1"/>
  <c r="BY309" i="2"/>
  <c r="CK309" i="2" s="1"/>
  <c r="BY308" i="2"/>
  <c r="CK308" i="2" s="1"/>
  <c r="BY307" i="2"/>
  <c r="CK307" i="2" s="1"/>
  <c r="BY306" i="2"/>
  <c r="CK306" i="2" s="1"/>
  <c r="BY305" i="2"/>
  <c r="CK305" i="2" s="1"/>
  <c r="BY304" i="2"/>
  <c r="CK304" i="2" s="1"/>
  <c r="BY303" i="2"/>
  <c r="CK303" i="2" s="1"/>
  <c r="BY302" i="2"/>
  <c r="CK302" i="2" s="1"/>
  <c r="BY301" i="2"/>
  <c r="CK301" i="2" s="1"/>
  <c r="BY300" i="2"/>
  <c r="CK300" i="2" s="1"/>
  <c r="BY299" i="2"/>
  <c r="CK299" i="2" s="1"/>
  <c r="BY298" i="2"/>
  <c r="CK298" i="2" s="1"/>
  <c r="BY297" i="2"/>
  <c r="CK297" i="2" s="1"/>
  <c r="BY296" i="2"/>
  <c r="CK296" i="2" s="1"/>
  <c r="BY295" i="2"/>
  <c r="CK295" i="2" s="1"/>
  <c r="BY294" i="2"/>
  <c r="CK294" i="2" s="1"/>
  <c r="BY293" i="2"/>
  <c r="CK293" i="2" s="1"/>
  <c r="BY292" i="2"/>
  <c r="CK292" i="2" s="1"/>
  <c r="BY291" i="2"/>
  <c r="CK291" i="2" s="1"/>
  <c r="BY290" i="2"/>
  <c r="CK290" i="2" s="1"/>
  <c r="BY289" i="2"/>
  <c r="CK289" i="2" s="1"/>
  <c r="BY288" i="2"/>
  <c r="CK288" i="2" s="1"/>
  <c r="BY287" i="2"/>
  <c r="CK287" i="2" s="1"/>
  <c r="BY286" i="2"/>
  <c r="CK286" i="2" s="1"/>
  <c r="BY285" i="2"/>
  <c r="CK285" i="2" s="1"/>
  <c r="BY284" i="2"/>
  <c r="CK284" i="2" s="1"/>
  <c r="BY283" i="2"/>
  <c r="CK283" i="2" s="1"/>
  <c r="BY282" i="2"/>
  <c r="CK282" i="2" s="1"/>
  <c r="BY281" i="2"/>
  <c r="CK281" i="2" s="1"/>
  <c r="BY280" i="2"/>
  <c r="CK280" i="2" s="1"/>
  <c r="BY279" i="2"/>
  <c r="CK279" i="2" s="1"/>
  <c r="BY278" i="2"/>
  <c r="CK278" i="2" s="1"/>
  <c r="BY277" i="2"/>
  <c r="CK277" i="2" s="1"/>
  <c r="BY276" i="2"/>
  <c r="CK276" i="2" s="1"/>
  <c r="BY275" i="2"/>
  <c r="CK275" i="2" s="1"/>
  <c r="BY274" i="2"/>
  <c r="CK274" i="2" s="1"/>
  <c r="BY273" i="2"/>
  <c r="CK273" i="2" s="1"/>
  <c r="BY272" i="2"/>
  <c r="CK272" i="2" s="1"/>
  <c r="BY271" i="2"/>
  <c r="CK271" i="2" s="1"/>
  <c r="BY270" i="2"/>
  <c r="CK270" i="2" s="1"/>
  <c r="BY269" i="2"/>
  <c r="CK269" i="2" s="1"/>
  <c r="BY268" i="2"/>
  <c r="CK268" i="2" s="1"/>
  <c r="BY267" i="2"/>
  <c r="CK267" i="2" s="1"/>
  <c r="BY266" i="2"/>
  <c r="CK266" i="2" s="1"/>
  <c r="BY265" i="2"/>
  <c r="CK265" i="2" s="1"/>
  <c r="BY264" i="2"/>
  <c r="CK264" i="2" s="1"/>
  <c r="BY263" i="2"/>
  <c r="CK263" i="2" s="1"/>
  <c r="BY262" i="2"/>
  <c r="CK262" i="2" s="1"/>
  <c r="BY261" i="2"/>
  <c r="CK261" i="2" s="1"/>
  <c r="BY260" i="2"/>
  <c r="CK260" i="2" s="1"/>
  <c r="BY259" i="2"/>
  <c r="CK259" i="2" s="1"/>
  <c r="BY258" i="2"/>
  <c r="CK258" i="2" s="1"/>
  <c r="BY257" i="2"/>
  <c r="CK257" i="2" s="1"/>
  <c r="BY256" i="2"/>
  <c r="CK256" i="2" s="1"/>
  <c r="BY255" i="2"/>
  <c r="CK255" i="2" s="1"/>
  <c r="BY254" i="2"/>
  <c r="CK254" i="2" s="1"/>
  <c r="BY253" i="2"/>
  <c r="CK253" i="2" s="1"/>
  <c r="BY252" i="2"/>
  <c r="CK252" i="2" s="1"/>
  <c r="BY251" i="2"/>
  <c r="CK251" i="2" s="1"/>
  <c r="BY250" i="2"/>
  <c r="CK250" i="2" s="1"/>
  <c r="BY249" i="2"/>
  <c r="CK249" i="2" s="1"/>
  <c r="BY248" i="2"/>
  <c r="CK248" i="2" s="1"/>
  <c r="BY247" i="2"/>
  <c r="CK247" i="2" s="1"/>
  <c r="BY246" i="2"/>
  <c r="CK246" i="2" s="1"/>
  <c r="BY245" i="2"/>
  <c r="CK245" i="2" s="1"/>
  <c r="BY244" i="2"/>
  <c r="CK244" i="2" s="1"/>
  <c r="BY243" i="2"/>
  <c r="CK243" i="2" s="1"/>
  <c r="BY242" i="2"/>
  <c r="CK242" i="2" s="1"/>
  <c r="BY241" i="2"/>
  <c r="CK241" i="2" s="1"/>
  <c r="BY240" i="2"/>
  <c r="CK240" i="2" s="1"/>
  <c r="BY239" i="2"/>
  <c r="CK239" i="2" s="1"/>
  <c r="BY238" i="2"/>
  <c r="CK238" i="2" s="1"/>
  <c r="BY237" i="2"/>
  <c r="CK237" i="2" s="1"/>
  <c r="BY236" i="2"/>
  <c r="CK236" i="2" s="1"/>
  <c r="BY235" i="2"/>
  <c r="CK235" i="2" s="1"/>
  <c r="BY234" i="2"/>
  <c r="CK234" i="2" s="1"/>
  <c r="BY233" i="2"/>
  <c r="CK233" i="2" s="1"/>
  <c r="BY232" i="2"/>
  <c r="CK232" i="2" s="1"/>
  <c r="BY231" i="2"/>
  <c r="CK231" i="2" s="1"/>
  <c r="BY230" i="2"/>
  <c r="CK230" i="2" s="1"/>
  <c r="BY229" i="2"/>
  <c r="CK229" i="2" s="1"/>
  <c r="BY228" i="2"/>
  <c r="CK228" i="2" s="1"/>
  <c r="BY227" i="2"/>
  <c r="CK227" i="2" s="1"/>
  <c r="BY226" i="2"/>
  <c r="CK226" i="2" s="1"/>
  <c r="BY225" i="2"/>
  <c r="CK225" i="2" s="1"/>
  <c r="BY224" i="2"/>
  <c r="CK224" i="2" s="1"/>
  <c r="BY223" i="2"/>
  <c r="CK223" i="2" s="1"/>
  <c r="BY222" i="2"/>
  <c r="CK222" i="2" s="1"/>
  <c r="BY221" i="2"/>
  <c r="CK221" i="2" s="1"/>
  <c r="BY220" i="2"/>
  <c r="CK220" i="2" s="1"/>
  <c r="BY219" i="2"/>
  <c r="CK219" i="2" s="1"/>
  <c r="BY218" i="2"/>
  <c r="CK218" i="2" s="1"/>
  <c r="BY217" i="2"/>
  <c r="BY216" i="2"/>
  <c r="CK216" i="2" s="1"/>
  <c r="BY215" i="2"/>
  <c r="BY214" i="2"/>
  <c r="CK214" i="2" s="1"/>
  <c r="BY213" i="2"/>
  <c r="BY212" i="2"/>
  <c r="CK212" i="2" s="1"/>
  <c r="BY211" i="2"/>
  <c r="BY210" i="2"/>
  <c r="CK210" i="2" s="1"/>
  <c r="BY209" i="2"/>
  <c r="BY208" i="2"/>
  <c r="CK208" i="2" s="1"/>
  <c r="BY207" i="2"/>
  <c r="BY206" i="2"/>
  <c r="CK206" i="2" s="1"/>
  <c r="BY205" i="2"/>
  <c r="BY204" i="2"/>
  <c r="CK204" i="2" s="1"/>
  <c r="BY203" i="2"/>
  <c r="BY202" i="2"/>
  <c r="CK202" i="2" s="1"/>
  <c r="BY201" i="2"/>
  <c r="BY200" i="2"/>
  <c r="CK200" i="2" s="1"/>
  <c r="BY199" i="2"/>
  <c r="BY198" i="2"/>
  <c r="CK198" i="2" s="1"/>
  <c r="BY197" i="2"/>
  <c r="BY196" i="2"/>
  <c r="CK196" i="2" s="1"/>
  <c r="BY195" i="2"/>
  <c r="BY194" i="2"/>
  <c r="CK194" i="2" s="1"/>
  <c r="BY193" i="2"/>
  <c r="BY192" i="2"/>
  <c r="CK192" i="2" s="1"/>
  <c r="BY191" i="2"/>
  <c r="BY190" i="2"/>
  <c r="CK190" i="2" s="1"/>
  <c r="BY189" i="2"/>
  <c r="BY188" i="2"/>
  <c r="CK188" i="2" s="1"/>
  <c r="BY187" i="2"/>
  <c r="BY186" i="2"/>
  <c r="CK186" i="2" s="1"/>
  <c r="BY185" i="2"/>
  <c r="BY184" i="2"/>
  <c r="CK184" i="2" s="1"/>
  <c r="BY183" i="2"/>
  <c r="BY182" i="2"/>
  <c r="CK182" i="2" s="1"/>
  <c r="BY181" i="2"/>
  <c r="BY180" i="2"/>
  <c r="CK180" i="2" s="1"/>
  <c r="BY179" i="2"/>
  <c r="BY178" i="2"/>
  <c r="CK178" i="2" s="1"/>
  <c r="BY177" i="2"/>
  <c r="BY176" i="2"/>
  <c r="CK176" i="2" s="1"/>
  <c r="BY175" i="2"/>
  <c r="BY174" i="2"/>
  <c r="CK174" i="2" s="1"/>
  <c r="BY173" i="2"/>
  <c r="BY172" i="2"/>
  <c r="CK172" i="2" s="1"/>
  <c r="BY171" i="2"/>
  <c r="BY170" i="2"/>
  <c r="CK170" i="2" s="1"/>
  <c r="BY169" i="2"/>
  <c r="BY168" i="2"/>
  <c r="CK168" i="2" s="1"/>
  <c r="BY167" i="2"/>
  <c r="BY166" i="2"/>
  <c r="CK166" i="2" s="1"/>
  <c r="BY165" i="2"/>
  <c r="BY164" i="2"/>
  <c r="CK164" i="2" s="1"/>
  <c r="BY163" i="2"/>
  <c r="BY162" i="2"/>
  <c r="CK162" i="2" s="1"/>
  <c r="BY161" i="2"/>
  <c r="BY160" i="2"/>
  <c r="CK160" i="2" s="1"/>
  <c r="BY159" i="2"/>
  <c r="BY158" i="2"/>
  <c r="CK158" i="2" s="1"/>
  <c r="BY157" i="2"/>
  <c r="BY156" i="2"/>
  <c r="CK156" i="2" s="1"/>
  <c r="BY155" i="2"/>
  <c r="BY154" i="2"/>
  <c r="CK154" i="2" s="1"/>
  <c r="BY153" i="2"/>
  <c r="BY152" i="2"/>
  <c r="CK152" i="2" s="1"/>
  <c r="BY151" i="2"/>
  <c r="BY150" i="2"/>
  <c r="CK150" i="2" s="1"/>
  <c r="BY149" i="2"/>
  <c r="BY148" i="2"/>
  <c r="CK148" i="2" s="1"/>
  <c r="BY147" i="2"/>
  <c r="BY146" i="2"/>
  <c r="CK146" i="2" s="1"/>
  <c r="BY145" i="2"/>
  <c r="BY144" i="2"/>
  <c r="CK144" i="2" s="1"/>
  <c r="BY143" i="2"/>
  <c r="BY142" i="2"/>
  <c r="CK142" i="2" s="1"/>
  <c r="BY141" i="2"/>
  <c r="BY140" i="2"/>
  <c r="CK140" i="2" s="1"/>
  <c r="BY139" i="2"/>
  <c r="BY138" i="2"/>
  <c r="CK138" i="2" s="1"/>
  <c r="BY137" i="2"/>
  <c r="BY136" i="2"/>
  <c r="CK136" i="2" s="1"/>
  <c r="BY135" i="2"/>
  <c r="BY134" i="2"/>
  <c r="CK134" i="2" s="1"/>
  <c r="BY133" i="2"/>
  <c r="BY132" i="2"/>
  <c r="CK132" i="2" s="1"/>
  <c r="BY131" i="2"/>
  <c r="BY130" i="2"/>
  <c r="CK130" i="2" s="1"/>
  <c r="BY129" i="2"/>
  <c r="BY127" i="2"/>
  <c r="CK127" i="2" s="1"/>
  <c r="BY126" i="2"/>
  <c r="CK126" i="2" s="1"/>
  <c r="BY125" i="2"/>
  <c r="CK125" i="2" s="1"/>
  <c r="BY124" i="2"/>
  <c r="CK124" i="2" s="1"/>
  <c r="BY123" i="2"/>
  <c r="CK123" i="2" s="1"/>
  <c r="BY122" i="2"/>
  <c r="CK122" i="2" s="1"/>
  <c r="BY121" i="2"/>
  <c r="CK121" i="2" s="1"/>
  <c r="BY120" i="2"/>
  <c r="CK120" i="2" s="1"/>
  <c r="BY119" i="2"/>
  <c r="CK119" i="2" s="1"/>
  <c r="BY118" i="2"/>
  <c r="CK118" i="2" s="1"/>
  <c r="BY117" i="2"/>
  <c r="CK117" i="2" s="1"/>
  <c r="BY116" i="2"/>
  <c r="CK116" i="2" s="1"/>
  <c r="BY115" i="2"/>
  <c r="CK115" i="2" s="1"/>
  <c r="BY114" i="2"/>
  <c r="CK114" i="2" s="1"/>
  <c r="BY113" i="2"/>
  <c r="CK113" i="2" s="1"/>
  <c r="BY112" i="2"/>
  <c r="CK112" i="2" s="1"/>
  <c r="BY111" i="2"/>
  <c r="CK111" i="2" s="1"/>
  <c r="BY110" i="2"/>
  <c r="CK110" i="2" s="1"/>
  <c r="BY109" i="2"/>
  <c r="CK109" i="2" s="1"/>
  <c r="BY108" i="2"/>
  <c r="CK108" i="2" s="1"/>
  <c r="BY107" i="2"/>
  <c r="CK107" i="2" s="1"/>
  <c r="BY106" i="2"/>
  <c r="CK106" i="2" s="1"/>
  <c r="BY105" i="2"/>
  <c r="CK105" i="2" s="1"/>
  <c r="BY104" i="2"/>
  <c r="CK104" i="2" s="1"/>
  <c r="BY103" i="2"/>
  <c r="CK103" i="2" s="1"/>
  <c r="BY102" i="2"/>
  <c r="CK102" i="2" s="1"/>
  <c r="BY101" i="2"/>
  <c r="CK101" i="2" s="1"/>
  <c r="BY100" i="2"/>
  <c r="CK100" i="2" s="1"/>
  <c r="BY99" i="2"/>
  <c r="CK99" i="2" s="1"/>
  <c r="BY98" i="2"/>
  <c r="CK98" i="2" s="1"/>
  <c r="BY97" i="2"/>
  <c r="CK97" i="2" s="1"/>
  <c r="BY96" i="2"/>
  <c r="CK96" i="2" s="1"/>
  <c r="BY95" i="2"/>
  <c r="CK95" i="2" s="1"/>
  <c r="BY94" i="2"/>
  <c r="CK94" i="2" s="1"/>
  <c r="BY93" i="2"/>
  <c r="CK93" i="2" s="1"/>
  <c r="BY92" i="2"/>
  <c r="CK92" i="2" s="1"/>
  <c r="BY91" i="2"/>
  <c r="CK91" i="2" s="1"/>
  <c r="BY90" i="2"/>
  <c r="CK90" i="2" s="1"/>
  <c r="BY89" i="2"/>
  <c r="CK89" i="2" s="1"/>
  <c r="BY88" i="2"/>
  <c r="CK88" i="2" s="1"/>
  <c r="BY87" i="2"/>
  <c r="CK87" i="2" s="1"/>
  <c r="BY86" i="2"/>
  <c r="CK86" i="2" s="1"/>
  <c r="BY85" i="2"/>
  <c r="CK85" i="2" s="1"/>
  <c r="BY84" i="2"/>
  <c r="CK84" i="2" s="1"/>
  <c r="BY83" i="2"/>
  <c r="CK83" i="2" s="1"/>
  <c r="BY82" i="2"/>
  <c r="CK82" i="2" s="1"/>
  <c r="BY81" i="2"/>
  <c r="CK81" i="2" s="1"/>
  <c r="BY80" i="2"/>
  <c r="CK80" i="2" s="1"/>
  <c r="BY79" i="2"/>
  <c r="CK79" i="2" s="1"/>
  <c r="BY78" i="2"/>
  <c r="CK78" i="2" s="1"/>
  <c r="BY77" i="2"/>
  <c r="CK77" i="2" s="1"/>
  <c r="BY76" i="2"/>
  <c r="CK76" i="2" s="1"/>
  <c r="BY75" i="2"/>
  <c r="CK75" i="2" s="1"/>
  <c r="BY74" i="2"/>
  <c r="CK74" i="2" s="1"/>
  <c r="BY73" i="2"/>
  <c r="CK73" i="2" s="1"/>
  <c r="BY72" i="2"/>
  <c r="CK72" i="2" s="1"/>
  <c r="BY71" i="2"/>
  <c r="CK71" i="2" s="1"/>
  <c r="BY70" i="2"/>
  <c r="CK70" i="2" s="1"/>
  <c r="BY69" i="2"/>
  <c r="CK69" i="2" s="1"/>
  <c r="BY68" i="2"/>
  <c r="CK68" i="2" s="1"/>
  <c r="BY67" i="2"/>
  <c r="CK67" i="2" s="1"/>
  <c r="BY66" i="2"/>
  <c r="CK66" i="2" s="1"/>
  <c r="BY65" i="2"/>
  <c r="CK65" i="2" s="1"/>
  <c r="BY64" i="2"/>
  <c r="CK64" i="2" s="1"/>
  <c r="BY63" i="2"/>
  <c r="CK63" i="2" s="1"/>
  <c r="BY62" i="2"/>
  <c r="CK62" i="2" s="1"/>
  <c r="BY61" i="2"/>
  <c r="CK61" i="2" s="1"/>
  <c r="BY60" i="2"/>
  <c r="CK60" i="2" s="1"/>
  <c r="BY59" i="2"/>
  <c r="CK59" i="2" s="1"/>
  <c r="BY58" i="2"/>
  <c r="CK58" i="2" s="1"/>
  <c r="BY57" i="2"/>
  <c r="CK57" i="2" s="1"/>
  <c r="BY56" i="2"/>
  <c r="CK56" i="2" s="1"/>
  <c r="BY55" i="2"/>
  <c r="CK55" i="2" s="1"/>
  <c r="BY54" i="2"/>
  <c r="CK54" i="2" s="1"/>
  <c r="BY53" i="2"/>
  <c r="CK53" i="2" s="1"/>
  <c r="BY52" i="2"/>
  <c r="CK52" i="2" s="1"/>
  <c r="BY51" i="2"/>
  <c r="CK51" i="2" s="1"/>
  <c r="BY50" i="2"/>
  <c r="CK50" i="2" s="1"/>
  <c r="BY49" i="2"/>
  <c r="CK49" i="2" s="1"/>
  <c r="BY48" i="2"/>
  <c r="CK48" i="2" s="1"/>
  <c r="BY47" i="2"/>
  <c r="CK47" i="2" s="1"/>
  <c r="BY46" i="2"/>
  <c r="CK46" i="2" s="1"/>
  <c r="BY45" i="2"/>
  <c r="CK45" i="2" s="1"/>
  <c r="BY44" i="2"/>
  <c r="CK44" i="2" s="1"/>
  <c r="BY43" i="2"/>
  <c r="CK43" i="2" s="1"/>
  <c r="BY42" i="2"/>
  <c r="CK42" i="2" s="1"/>
  <c r="BY41" i="2"/>
  <c r="CK41" i="2" s="1"/>
  <c r="BY40" i="2"/>
  <c r="CK40" i="2" s="1"/>
  <c r="BY39" i="2"/>
  <c r="CK39" i="2" s="1"/>
  <c r="BY38" i="2"/>
  <c r="CK38" i="2" s="1"/>
  <c r="BY37" i="2"/>
  <c r="CK37" i="2" s="1"/>
  <c r="BY36" i="2"/>
  <c r="CK36" i="2" s="1"/>
  <c r="BY35" i="2"/>
  <c r="CK35" i="2" s="1"/>
  <c r="BY34" i="2"/>
  <c r="CK34" i="2" s="1"/>
  <c r="BY33" i="2"/>
  <c r="CK33" i="2" s="1"/>
  <c r="BY32" i="2"/>
  <c r="CK32" i="2" s="1"/>
  <c r="BY31" i="2"/>
  <c r="CK31" i="2" s="1"/>
  <c r="BY30" i="2"/>
  <c r="CK30" i="2" s="1"/>
  <c r="BY29" i="2"/>
  <c r="CK29" i="2" s="1"/>
  <c r="BY28" i="2"/>
  <c r="CK28" i="2" s="1"/>
  <c r="BY27" i="2"/>
  <c r="CK27" i="2" s="1"/>
  <c r="BY26" i="2"/>
  <c r="BY25" i="2"/>
  <c r="CK25" i="2" s="1"/>
  <c r="BY24" i="2"/>
  <c r="CK24" i="2" s="1"/>
  <c r="BY23" i="2"/>
  <c r="CK23" i="2" s="1"/>
  <c r="BY22" i="2"/>
  <c r="BY21" i="2"/>
  <c r="CK21" i="2" s="1"/>
  <c r="BY20" i="2"/>
  <c r="CK20" i="2" s="1"/>
  <c r="BY19" i="2"/>
  <c r="CK19" i="2" s="1"/>
  <c r="BY18" i="2"/>
  <c r="BY17" i="2"/>
  <c r="BY16" i="2"/>
  <c r="CK16" i="2" s="1"/>
  <c r="BY15" i="2"/>
  <c r="BY14" i="2"/>
  <c r="CK14" i="2" s="1"/>
  <c r="BY13" i="2"/>
  <c r="BY12" i="2"/>
  <c r="BY11" i="2"/>
  <c r="BY10" i="2"/>
  <c r="BY9" i="2"/>
  <c r="BY8" i="2"/>
  <c r="CK8" i="2" s="1"/>
  <c r="BY7" i="2"/>
  <c r="BY6" i="2"/>
  <c r="J4891" i="1"/>
  <c r="J4894" i="1"/>
  <c r="J4897" i="1"/>
  <c r="J4901" i="1"/>
  <c r="J4910" i="1"/>
  <c r="J4915" i="1"/>
  <c r="J4920" i="1"/>
  <c r="J4922" i="1"/>
  <c r="J4927" i="1"/>
  <c r="J4931" i="1"/>
  <c r="J4948" i="1"/>
  <c r="J4953" i="1"/>
  <c r="J4956" i="1"/>
  <c r="J4992" i="1"/>
  <c r="J4993" i="1"/>
  <c r="J4994" i="1"/>
  <c r="J5000" i="1"/>
  <c r="J5009" i="1"/>
  <c r="J5013" i="1"/>
  <c r="J5023" i="1"/>
  <c r="J5024" i="1"/>
  <c r="J5025" i="1"/>
  <c r="J5026" i="1"/>
  <c r="J5027" i="1"/>
  <c r="J5031" i="1"/>
  <c r="J5035" i="1"/>
  <c r="J5040" i="1"/>
  <c r="J5041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5045" i="1"/>
  <c r="AW5046" i="1"/>
  <c r="AW5047" i="1"/>
  <c r="CK407" i="2" l="1"/>
  <c r="CK13" i="2"/>
  <c r="CK11" i="2"/>
  <c r="CK22" i="2"/>
  <c r="CK129" i="2"/>
  <c r="CK131" i="2"/>
  <c r="CK133" i="2"/>
  <c r="CK135" i="2"/>
  <c r="CK137" i="2"/>
  <c r="CK139" i="2"/>
  <c r="CK141" i="2"/>
  <c r="CK143" i="2"/>
  <c r="CK145" i="2"/>
  <c r="CK147" i="2"/>
  <c r="CK149" i="2"/>
  <c r="CK151" i="2"/>
  <c r="CK153" i="2"/>
  <c r="CK155" i="2"/>
  <c r="CK157" i="2"/>
  <c r="CK159" i="2"/>
  <c r="CK161" i="2"/>
  <c r="CK163" i="2"/>
  <c r="CK165" i="2"/>
  <c r="CK167" i="2"/>
  <c r="CK169" i="2"/>
  <c r="CK171" i="2"/>
  <c r="CK173" i="2"/>
  <c r="CK175" i="2"/>
  <c r="CK177" i="2"/>
  <c r="CK179" i="2"/>
  <c r="CK181" i="2"/>
  <c r="CK183" i="2"/>
  <c r="CK185" i="2"/>
  <c r="CK187" i="2"/>
  <c r="CK189" i="2"/>
  <c r="CK191" i="2"/>
  <c r="CK193" i="2"/>
  <c r="CK195" i="2"/>
  <c r="CK197" i="2"/>
  <c r="CK199" i="2"/>
  <c r="CK201" i="2"/>
  <c r="CK203" i="2"/>
  <c r="CK205" i="2"/>
  <c r="CK207" i="2"/>
  <c r="CK209" i="2"/>
  <c r="CK211" i="2"/>
  <c r="CK213" i="2"/>
  <c r="CK215" i="2"/>
  <c r="CK217" i="2"/>
  <c r="CK18" i="2"/>
  <c r="CK15" i="2"/>
  <c r="CK26" i="2"/>
  <c r="CK17" i="2"/>
  <c r="CK9" i="2"/>
  <c r="CK10" i="2"/>
  <c r="CK12" i="2"/>
  <c r="CK6" i="2"/>
  <c r="CK455" i="2"/>
  <c r="CK457" i="2"/>
  <c r="CK459" i="2"/>
  <c r="CK461" i="2"/>
  <c r="CK463" i="2"/>
  <c r="CK465" i="2"/>
  <c r="CK467" i="2"/>
  <c r="CK469" i="2"/>
  <c r="CK7" i="2"/>
  <c r="CK128" i="2"/>
  <c r="BK128" i="2"/>
  <c r="BX128" i="2"/>
  <c r="AX5047" i="1"/>
  <c r="E5043" i="1"/>
  <c r="F5043" i="1"/>
  <c r="W5043" i="1"/>
  <c r="AJ5043" i="1"/>
  <c r="E5044" i="1"/>
  <c r="F5044" i="1"/>
  <c r="W5044" i="1"/>
  <c r="AJ5044" i="1"/>
  <c r="E5045" i="1"/>
  <c r="F5045" i="1"/>
  <c r="W5045" i="1"/>
  <c r="AJ5045" i="1"/>
  <c r="E5046" i="1"/>
  <c r="F5046" i="1"/>
  <c r="W5046" i="1"/>
  <c r="AJ5046" i="1"/>
  <c r="E5047" i="1"/>
  <c r="F5047" i="1"/>
  <c r="W5047" i="1"/>
  <c r="AJ5047" i="1"/>
  <c r="E5041" i="1"/>
  <c r="F5041" i="1"/>
  <c r="W5041" i="1"/>
  <c r="AJ5041" i="1"/>
  <c r="E5042" i="1"/>
  <c r="F5042" i="1"/>
  <c r="W5042" i="1"/>
  <c r="AJ5042" i="1"/>
  <c r="H2656" i="8"/>
  <c r="H2650" i="8"/>
  <c r="H2663" i="8"/>
  <c r="H2664" i="8"/>
  <c r="H2665" i="8"/>
  <c r="J5042" i="1" l="1"/>
  <c r="J5047" i="1"/>
  <c r="J5046" i="1"/>
  <c r="J5045" i="1"/>
  <c r="J5044" i="1"/>
  <c r="J5043" i="1"/>
  <c r="AX5023" i="1"/>
  <c r="AJ5038" i="1"/>
  <c r="W5038" i="1"/>
  <c r="F5038" i="1"/>
  <c r="E5038" i="1"/>
  <c r="AJ5037" i="1"/>
  <c r="W5037" i="1"/>
  <c r="F5037" i="1"/>
  <c r="E5037" i="1"/>
  <c r="AJ5036" i="1"/>
  <c r="W5036" i="1"/>
  <c r="F5036" i="1"/>
  <c r="E5036" i="1"/>
  <c r="AJ5035" i="1"/>
  <c r="W5035" i="1"/>
  <c r="F5035" i="1"/>
  <c r="E5035" i="1"/>
  <c r="AJ5034" i="1"/>
  <c r="W5034" i="1"/>
  <c r="F5034" i="1"/>
  <c r="E5034" i="1"/>
  <c r="AJ5033" i="1"/>
  <c r="W5033" i="1"/>
  <c r="F5033" i="1"/>
  <c r="E5033" i="1"/>
  <c r="AJ5032" i="1"/>
  <c r="W5032" i="1"/>
  <c r="F5032" i="1"/>
  <c r="E5032" i="1"/>
  <c r="AJ5031" i="1"/>
  <c r="W5031" i="1"/>
  <c r="F5031" i="1"/>
  <c r="E5031" i="1"/>
  <c r="AJ5030" i="1"/>
  <c r="W5030" i="1"/>
  <c r="F5030" i="1"/>
  <c r="E5030" i="1"/>
  <c r="AJ5029" i="1"/>
  <c r="W5029" i="1"/>
  <c r="F5029" i="1"/>
  <c r="E5029" i="1"/>
  <c r="AJ5028" i="1"/>
  <c r="W5028" i="1"/>
  <c r="F5028" i="1"/>
  <c r="E5028" i="1"/>
  <c r="AJ5027" i="1"/>
  <c r="W5027" i="1"/>
  <c r="F5027" i="1"/>
  <c r="E5027" i="1"/>
  <c r="AJ5026" i="1"/>
  <c r="W5026" i="1"/>
  <c r="F5026" i="1"/>
  <c r="E5026" i="1"/>
  <c r="AJ5025" i="1"/>
  <c r="W5025" i="1"/>
  <c r="F5025" i="1"/>
  <c r="E5025" i="1"/>
  <c r="AJ5024" i="1"/>
  <c r="W5024" i="1"/>
  <c r="F5024" i="1"/>
  <c r="E5024" i="1"/>
  <c r="AJ5023" i="1"/>
  <c r="W5023" i="1"/>
  <c r="F5023" i="1"/>
  <c r="E5023" i="1"/>
  <c r="AJ5022" i="1"/>
  <c r="W5022" i="1"/>
  <c r="F5022" i="1"/>
  <c r="E5022" i="1"/>
  <c r="AJ5021" i="1"/>
  <c r="W5021" i="1"/>
  <c r="F5021" i="1"/>
  <c r="E5021" i="1"/>
  <c r="AJ5020" i="1"/>
  <c r="W5020" i="1"/>
  <c r="F5020" i="1"/>
  <c r="E5020" i="1"/>
  <c r="AJ5019" i="1"/>
  <c r="W5019" i="1"/>
  <c r="F5019" i="1"/>
  <c r="E5019" i="1"/>
  <c r="AJ5018" i="1"/>
  <c r="W5018" i="1"/>
  <c r="F5018" i="1"/>
  <c r="E5018" i="1"/>
  <c r="AJ5017" i="1"/>
  <c r="W5017" i="1"/>
  <c r="F5017" i="1"/>
  <c r="E5017" i="1"/>
  <c r="AJ5016" i="1"/>
  <c r="W5016" i="1"/>
  <c r="F5016" i="1"/>
  <c r="E5016" i="1"/>
  <c r="AJ5015" i="1"/>
  <c r="W5015" i="1"/>
  <c r="F5015" i="1"/>
  <c r="E5015" i="1"/>
  <c r="AJ5014" i="1"/>
  <c r="W5014" i="1"/>
  <c r="F5014" i="1"/>
  <c r="E5014" i="1"/>
  <c r="AJ5012" i="1"/>
  <c r="W5012" i="1"/>
  <c r="F5012" i="1"/>
  <c r="E5012" i="1"/>
  <c r="AJ5010" i="1"/>
  <c r="W5010" i="1"/>
  <c r="F5010" i="1"/>
  <c r="E5010" i="1"/>
  <c r="AJ5013" i="1"/>
  <c r="W5013" i="1"/>
  <c r="F5013" i="1"/>
  <c r="E5013" i="1"/>
  <c r="AJ5011" i="1"/>
  <c r="W5011" i="1"/>
  <c r="F5011" i="1"/>
  <c r="E5011" i="1"/>
  <c r="AJ5009" i="1"/>
  <c r="W5009" i="1"/>
  <c r="F5009" i="1"/>
  <c r="E5009" i="1"/>
  <c r="AJ5008" i="1"/>
  <c r="W5008" i="1"/>
  <c r="F5008" i="1"/>
  <c r="E5008" i="1"/>
  <c r="AJ5007" i="1"/>
  <c r="W5007" i="1"/>
  <c r="F5007" i="1"/>
  <c r="E5007" i="1"/>
  <c r="AJ5006" i="1"/>
  <c r="W5006" i="1"/>
  <c r="F5006" i="1"/>
  <c r="E5006" i="1"/>
  <c r="J5006" i="1" l="1"/>
  <c r="J5007" i="1"/>
  <c r="J5008" i="1"/>
  <c r="J5011" i="1"/>
  <c r="J5010" i="1"/>
  <c r="J5012" i="1"/>
  <c r="J5014" i="1"/>
  <c r="J5015" i="1"/>
  <c r="J5016" i="1"/>
  <c r="J5017" i="1"/>
  <c r="J5018" i="1"/>
  <c r="J5019" i="1"/>
  <c r="J5020" i="1"/>
  <c r="J5021" i="1"/>
  <c r="J5022" i="1"/>
  <c r="J5028" i="1"/>
  <c r="J5029" i="1"/>
  <c r="J5030" i="1"/>
  <c r="J5032" i="1"/>
  <c r="J5033" i="1"/>
  <c r="J5034" i="1"/>
  <c r="J5036" i="1"/>
  <c r="J5037" i="1"/>
  <c r="J5038" i="1"/>
  <c r="H2657" i="8"/>
  <c r="H2658" i="8"/>
  <c r="H2659" i="8"/>
  <c r="H2661" i="8"/>
  <c r="H2662" i="8"/>
  <c r="H2648" i="8"/>
  <c r="H2649" i="8"/>
  <c r="H2651" i="8"/>
  <c r="H2652" i="8"/>
  <c r="H2653" i="8"/>
  <c r="H2654" i="8"/>
  <c r="H2655" i="8"/>
  <c r="H2632" i="8" l="1"/>
  <c r="H2630" i="8"/>
  <c r="AX5000" i="1" l="1"/>
  <c r="E4997" i="1"/>
  <c r="F4997" i="1"/>
  <c r="W4997" i="1"/>
  <c r="AJ4997" i="1"/>
  <c r="E4998" i="1"/>
  <c r="F4998" i="1"/>
  <c r="W4998" i="1"/>
  <c r="AJ4998" i="1"/>
  <c r="E4999" i="1"/>
  <c r="F4999" i="1"/>
  <c r="W4999" i="1"/>
  <c r="AJ4999" i="1"/>
  <c r="E5000" i="1"/>
  <c r="F5000" i="1"/>
  <c r="W5000" i="1"/>
  <c r="AJ5000" i="1"/>
  <c r="E5001" i="1"/>
  <c r="F5001" i="1"/>
  <c r="W5001" i="1"/>
  <c r="AJ5001" i="1"/>
  <c r="E5002" i="1"/>
  <c r="F5002" i="1"/>
  <c r="W5002" i="1"/>
  <c r="AJ5002" i="1"/>
  <c r="E5003" i="1"/>
  <c r="F5003" i="1"/>
  <c r="W5003" i="1"/>
  <c r="AJ5003" i="1"/>
  <c r="E5004" i="1"/>
  <c r="F5004" i="1"/>
  <c r="W5004" i="1"/>
  <c r="AJ5004" i="1"/>
  <c r="E5005" i="1"/>
  <c r="F5005" i="1"/>
  <c r="W5005" i="1"/>
  <c r="AJ5005" i="1"/>
  <c r="E5039" i="1"/>
  <c r="F5039" i="1"/>
  <c r="W5039" i="1"/>
  <c r="AJ5039" i="1"/>
  <c r="E4980" i="1"/>
  <c r="F4980" i="1"/>
  <c r="W4980" i="1"/>
  <c r="AJ4980" i="1"/>
  <c r="E4981" i="1"/>
  <c r="F4981" i="1"/>
  <c r="W4981" i="1"/>
  <c r="AJ4981" i="1"/>
  <c r="E4982" i="1"/>
  <c r="F4982" i="1"/>
  <c r="W4982" i="1"/>
  <c r="AJ4982" i="1"/>
  <c r="E4983" i="1"/>
  <c r="F4983" i="1"/>
  <c r="W4983" i="1"/>
  <c r="AJ4983" i="1"/>
  <c r="E4984" i="1"/>
  <c r="F4984" i="1"/>
  <c r="W4984" i="1"/>
  <c r="AJ4984" i="1"/>
  <c r="E4985" i="1"/>
  <c r="F4985" i="1"/>
  <c r="W4985" i="1"/>
  <c r="AJ4985" i="1"/>
  <c r="E4986" i="1"/>
  <c r="F4986" i="1"/>
  <c r="W4986" i="1"/>
  <c r="AJ4986" i="1"/>
  <c r="E4987" i="1"/>
  <c r="F4987" i="1"/>
  <c r="W4987" i="1"/>
  <c r="AJ4987" i="1"/>
  <c r="E4988" i="1"/>
  <c r="F4988" i="1"/>
  <c r="W4988" i="1"/>
  <c r="AJ4988" i="1"/>
  <c r="E4989" i="1"/>
  <c r="F4989" i="1"/>
  <c r="W4989" i="1"/>
  <c r="AJ4989" i="1"/>
  <c r="E4990" i="1"/>
  <c r="F4990" i="1"/>
  <c r="W4990" i="1"/>
  <c r="AJ4990" i="1"/>
  <c r="E4991" i="1"/>
  <c r="F4991" i="1"/>
  <c r="W4991" i="1"/>
  <c r="AJ4991" i="1"/>
  <c r="AJ4961" i="1"/>
  <c r="J4984" i="1" l="1"/>
  <c r="J4983" i="1"/>
  <c r="J4982" i="1"/>
  <c r="J4981" i="1"/>
  <c r="J4980" i="1"/>
  <c r="J5039" i="1"/>
  <c r="J5005" i="1"/>
  <c r="J5004" i="1"/>
  <c r="J5003" i="1"/>
  <c r="J5002" i="1"/>
  <c r="J5001" i="1"/>
  <c r="J4999" i="1"/>
  <c r="J4998" i="1"/>
  <c r="J4991" i="1"/>
  <c r="J4990" i="1"/>
  <c r="J4989" i="1"/>
  <c r="J4988" i="1"/>
  <c r="J4987" i="1"/>
  <c r="J4986" i="1"/>
  <c r="J4985" i="1"/>
  <c r="J4997" i="1"/>
  <c r="E4950" i="1"/>
  <c r="F4950" i="1"/>
  <c r="W4950" i="1"/>
  <c r="AJ4950" i="1"/>
  <c r="E4951" i="1"/>
  <c r="F4951" i="1"/>
  <c r="W4951" i="1"/>
  <c r="AJ4951" i="1"/>
  <c r="E4952" i="1"/>
  <c r="F4952" i="1"/>
  <c r="W4952" i="1"/>
  <c r="AJ4952" i="1"/>
  <c r="E4953" i="1"/>
  <c r="F4953" i="1"/>
  <c r="W4953" i="1"/>
  <c r="AJ4953" i="1"/>
  <c r="E4954" i="1"/>
  <c r="F4954" i="1"/>
  <c r="W4954" i="1"/>
  <c r="AJ4954" i="1"/>
  <c r="E4955" i="1"/>
  <c r="F4955" i="1"/>
  <c r="W4955" i="1"/>
  <c r="AJ4955" i="1"/>
  <c r="E4956" i="1"/>
  <c r="F4956" i="1"/>
  <c r="W4956" i="1"/>
  <c r="AJ4956" i="1"/>
  <c r="E4957" i="1"/>
  <c r="F4957" i="1"/>
  <c r="W4957" i="1"/>
  <c r="AJ4957" i="1"/>
  <c r="E4958" i="1"/>
  <c r="F4958" i="1"/>
  <c r="W4958" i="1"/>
  <c r="AJ4958" i="1"/>
  <c r="E4959" i="1"/>
  <c r="F4959" i="1"/>
  <c r="W4959" i="1"/>
  <c r="AJ4959" i="1"/>
  <c r="E4960" i="1"/>
  <c r="F4960" i="1"/>
  <c r="W4960" i="1"/>
  <c r="AJ4960" i="1"/>
  <c r="E4961" i="1"/>
  <c r="F4961" i="1"/>
  <c r="W4961" i="1"/>
  <c r="J4961" i="1" s="1"/>
  <c r="E4962" i="1"/>
  <c r="F4962" i="1"/>
  <c r="W4962" i="1"/>
  <c r="AJ4962" i="1"/>
  <c r="E4963" i="1"/>
  <c r="F4963" i="1"/>
  <c r="W4963" i="1"/>
  <c r="AJ4963" i="1"/>
  <c r="E4964" i="1"/>
  <c r="F4964" i="1"/>
  <c r="W4964" i="1"/>
  <c r="AJ4964" i="1"/>
  <c r="E4965" i="1"/>
  <c r="F4965" i="1"/>
  <c r="W4965" i="1"/>
  <c r="AJ4965" i="1"/>
  <c r="E4966" i="1"/>
  <c r="F4966" i="1"/>
  <c r="W4966" i="1"/>
  <c r="AJ4966" i="1"/>
  <c r="E4967" i="1"/>
  <c r="F4967" i="1"/>
  <c r="W4967" i="1"/>
  <c r="AJ4967" i="1"/>
  <c r="E4968" i="1"/>
  <c r="F4968" i="1"/>
  <c r="W4968" i="1"/>
  <c r="AJ4968" i="1"/>
  <c r="E4969" i="1"/>
  <c r="F4969" i="1"/>
  <c r="W4969" i="1"/>
  <c r="AJ4969" i="1"/>
  <c r="E4970" i="1"/>
  <c r="F4970" i="1"/>
  <c r="W4970" i="1"/>
  <c r="AJ4970" i="1"/>
  <c r="E4971" i="1"/>
  <c r="F4971" i="1"/>
  <c r="W4971" i="1"/>
  <c r="AJ4971" i="1"/>
  <c r="E4972" i="1"/>
  <c r="F4972" i="1"/>
  <c r="W4972" i="1"/>
  <c r="AJ4972" i="1"/>
  <c r="E4973" i="1"/>
  <c r="F4973" i="1"/>
  <c r="W4973" i="1"/>
  <c r="AJ4973" i="1"/>
  <c r="E4974" i="1"/>
  <c r="F4974" i="1"/>
  <c r="W4974" i="1"/>
  <c r="AJ4974" i="1"/>
  <c r="E4975" i="1"/>
  <c r="F4975" i="1"/>
  <c r="W4975" i="1"/>
  <c r="AJ4975" i="1"/>
  <c r="E4976" i="1"/>
  <c r="F4976" i="1"/>
  <c r="W4976" i="1"/>
  <c r="AJ4976" i="1"/>
  <c r="E4977" i="1"/>
  <c r="F4977" i="1"/>
  <c r="W4977" i="1"/>
  <c r="AJ4977" i="1"/>
  <c r="E4978" i="1"/>
  <c r="F4978" i="1"/>
  <c r="W4978" i="1"/>
  <c r="AJ4978" i="1"/>
  <c r="E4979" i="1"/>
  <c r="F4979" i="1"/>
  <c r="W4979" i="1"/>
  <c r="AJ4979" i="1"/>
  <c r="E4992" i="1"/>
  <c r="F4992" i="1"/>
  <c r="W4992" i="1"/>
  <c r="AJ4992" i="1"/>
  <c r="E4993" i="1"/>
  <c r="F4993" i="1"/>
  <c r="W4993" i="1"/>
  <c r="AJ4993" i="1"/>
  <c r="E4994" i="1"/>
  <c r="F4994" i="1"/>
  <c r="W4994" i="1"/>
  <c r="AJ4994" i="1"/>
  <c r="E4995" i="1"/>
  <c r="F4995" i="1"/>
  <c r="W4995" i="1"/>
  <c r="AJ4995" i="1"/>
  <c r="E4996" i="1"/>
  <c r="F4996" i="1"/>
  <c r="W4996" i="1"/>
  <c r="AJ4996" i="1"/>
  <c r="E5040" i="1"/>
  <c r="F5040" i="1"/>
  <c r="W5040" i="1"/>
  <c r="AJ5040" i="1"/>
  <c r="J4959" i="1" l="1"/>
  <c r="J4958" i="1"/>
  <c r="J4957" i="1"/>
  <c r="J4955" i="1"/>
  <c r="J4954" i="1"/>
  <c r="J4960" i="1"/>
  <c r="J4952" i="1"/>
  <c r="J4951" i="1"/>
  <c r="J4950" i="1"/>
  <c r="J4996" i="1"/>
  <c r="J4995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H2616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1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AX4947" i="1" l="1"/>
  <c r="E4941" i="1"/>
  <c r="F4941" i="1"/>
  <c r="W4941" i="1"/>
  <c r="AJ4941" i="1"/>
  <c r="E4942" i="1"/>
  <c r="F4942" i="1"/>
  <c r="W4942" i="1"/>
  <c r="AJ4942" i="1"/>
  <c r="E4943" i="1"/>
  <c r="F4943" i="1"/>
  <c r="W4943" i="1"/>
  <c r="AJ4943" i="1"/>
  <c r="E4944" i="1"/>
  <c r="F4944" i="1"/>
  <c r="W4944" i="1"/>
  <c r="AJ4944" i="1"/>
  <c r="E4945" i="1"/>
  <c r="F4945" i="1"/>
  <c r="W4945" i="1"/>
  <c r="AJ4945" i="1"/>
  <c r="E4946" i="1"/>
  <c r="F4946" i="1"/>
  <c r="W4946" i="1"/>
  <c r="AJ4946" i="1"/>
  <c r="E4947" i="1"/>
  <c r="F4947" i="1"/>
  <c r="W4947" i="1"/>
  <c r="AJ4947" i="1"/>
  <c r="E4902" i="1"/>
  <c r="AJ4367" i="1"/>
  <c r="W4367" i="1"/>
  <c r="F4367" i="1"/>
  <c r="E4367" i="1"/>
  <c r="E4923" i="1"/>
  <c r="F4923" i="1"/>
  <c r="W4923" i="1"/>
  <c r="AJ4923" i="1"/>
  <c r="E4924" i="1"/>
  <c r="F4924" i="1"/>
  <c r="W4924" i="1"/>
  <c r="AJ4924" i="1"/>
  <c r="E4925" i="1"/>
  <c r="F4925" i="1"/>
  <c r="W4925" i="1"/>
  <c r="AJ4925" i="1"/>
  <c r="E4926" i="1"/>
  <c r="F4926" i="1"/>
  <c r="W4926" i="1"/>
  <c r="AJ4926" i="1"/>
  <c r="E4927" i="1"/>
  <c r="F4927" i="1"/>
  <c r="W4927" i="1"/>
  <c r="AJ4927" i="1"/>
  <c r="E4928" i="1"/>
  <c r="F4928" i="1"/>
  <c r="W4928" i="1"/>
  <c r="AJ4928" i="1"/>
  <c r="E4929" i="1"/>
  <c r="F4929" i="1"/>
  <c r="W4929" i="1"/>
  <c r="AJ4929" i="1"/>
  <c r="E4930" i="1"/>
  <c r="F4930" i="1"/>
  <c r="W4930" i="1"/>
  <c r="AJ4930" i="1"/>
  <c r="E4931" i="1"/>
  <c r="F4931" i="1"/>
  <c r="W4931" i="1"/>
  <c r="AJ4931" i="1"/>
  <c r="E4932" i="1"/>
  <c r="F4932" i="1"/>
  <c r="W4932" i="1"/>
  <c r="AJ4932" i="1"/>
  <c r="E4933" i="1"/>
  <c r="F4933" i="1"/>
  <c r="W4933" i="1"/>
  <c r="AJ4933" i="1"/>
  <c r="E4934" i="1"/>
  <c r="F4934" i="1"/>
  <c r="W4934" i="1"/>
  <c r="AJ4934" i="1"/>
  <c r="E4935" i="1"/>
  <c r="F4935" i="1"/>
  <c r="W4935" i="1"/>
  <c r="AJ4935" i="1"/>
  <c r="E4936" i="1"/>
  <c r="F4936" i="1"/>
  <c r="W4936" i="1"/>
  <c r="AJ4936" i="1"/>
  <c r="E4937" i="1"/>
  <c r="F4937" i="1"/>
  <c r="W4937" i="1"/>
  <c r="AJ4937" i="1"/>
  <c r="E4938" i="1"/>
  <c r="F4938" i="1"/>
  <c r="W4938" i="1"/>
  <c r="AJ4938" i="1"/>
  <c r="E4939" i="1"/>
  <c r="F4939" i="1"/>
  <c r="W4939" i="1"/>
  <c r="AJ4939" i="1"/>
  <c r="E4940" i="1"/>
  <c r="F4940" i="1"/>
  <c r="W4940" i="1"/>
  <c r="AJ4940" i="1"/>
  <c r="E4895" i="1"/>
  <c r="F4895" i="1"/>
  <c r="W4895" i="1"/>
  <c r="AJ4895" i="1"/>
  <c r="E4896" i="1"/>
  <c r="F4896" i="1"/>
  <c r="W4896" i="1"/>
  <c r="AJ4896" i="1"/>
  <c r="E4897" i="1"/>
  <c r="F4897" i="1"/>
  <c r="W4897" i="1"/>
  <c r="AJ4897" i="1"/>
  <c r="E4898" i="1"/>
  <c r="F4898" i="1"/>
  <c r="W4898" i="1"/>
  <c r="AJ4898" i="1"/>
  <c r="E4899" i="1"/>
  <c r="F4899" i="1"/>
  <c r="W4899" i="1"/>
  <c r="AJ4899" i="1"/>
  <c r="E4900" i="1"/>
  <c r="F4900" i="1"/>
  <c r="W4900" i="1"/>
  <c r="AJ4900" i="1"/>
  <c r="E4901" i="1"/>
  <c r="F4901" i="1"/>
  <c r="W4901" i="1"/>
  <c r="AJ4901" i="1"/>
  <c r="F4902" i="1"/>
  <c r="W4902" i="1"/>
  <c r="AJ4902" i="1"/>
  <c r="E4903" i="1"/>
  <c r="F4903" i="1"/>
  <c r="W4903" i="1"/>
  <c r="AJ4903" i="1"/>
  <c r="E4904" i="1"/>
  <c r="F4904" i="1"/>
  <c r="W4904" i="1"/>
  <c r="AJ4904" i="1"/>
  <c r="E4905" i="1"/>
  <c r="F4905" i="1"/>
  <c r="W4905" i="1"/>
  <c r="AJ4905" i="1"/>
  <c r="E4906" i="1"/>
  <c r="F4906" i="1"/>
  <c r="W4906" i="1"/>
  <c r="AJ4906" i="1"/>
  <c r="E4907" i="1"/>
  <c r="F4907" i="1"/>
  <c r="W4907" i="1"/>
  <c r="AJ4907" i="1"/>
  <c r="E4908" i="1"/>
  <c r="F4908" i="1"/>
  <c r="W4908" i="1"/>
  <c r="AJ4908" i="1"/>
  <c r="E4909" i="1"/>
  <c r="F4909" i="1"/>
  <c r="W4909" i="1"/>
  <c r="AJ4909" i="1"/>
  <c r="E4910" i="1"/>
  <c r="F4910" i="1"/>
  <c r="W4910" i="1"/>
  <c r="AJ4910" i="1"/>
  <c r="E4911" i="1"/>
  <c r="F4911" i="1"/>
  <c r="W4911" i="1"/>
  <c r="AJ4911" i="1"/>
  <c r="E4912" i="1"/>
  <c r="F4912" i="1"/>
  <c r="W4912" i="1"/>
  <c r="AJ4912" i="1"/>
  <c r="E4913" i="1"/>
  <c r="F4913" i="1"/>
  <c r="W4913" i="1"/>
  <c r="AJ4913" i="1"/>
  <c r="E4914" i="1"/>
  <c r="F4914" i="1"/>
  <c r="W4914" i="1"/>
  <c r="AJ4914" i="1"/>
  <c r="E4915" i="1"/>
  <c r="F4915" i="1"/>
  <c r="W4915" i="1"/>
  <c r="AJ4915" i="1"/>
  <c r="E4916" i="1"/>
  <c r="F4916" i="1"/>
  <c r="W4916" i="1"/>
  <c r="AJ4916" i="1"/>
  <c r="E4917" i="1"/>
  <c r="F4917" i="1"/>
  <c r="W4917" i="1"/>
  <c r="AJ4917" i="1"/>
  <c r="E4918" i="1"/>
  <c r="F4918" i="1"/>
  <c r="W4918" i="1"/>
  <c r="AJ4918" i="1"/>
  <c r="E4919" i="1"/>
  <c r="F4919" i="1"/>
  <c r="W4919" i="1"/>
  <c r="AJ4919" i="1"/>
  <c r="E4920" i="1"/>
  <c r="F4920" i="1"/>
  <c r="W4920" i="1"/>
  <c r="AJ4920" i="1"/>
  <c r="E4921" i="1"/>
  <c r="F4921" i="1"/>
  <c r="W4921" i="1"/>
  <c r="AJ4921" i="1"/>
  <c r="E4922" i="1"/>
  <c r="F4922" i="1"/>
  <c r="W4922" i="1"/>
  <c r="AJ4922" i="1"/>
  <c r="J4947" i="1" l="1"/>
  <c r="J4946" i="1"/>
  <c r="J4945" i="1"/>
  <c r="J4944" i="1"/>
  <c r="J4900" i="1"/>
  <c r="J4899" i="1"/>
  <c r="J4916" i="1"/>
  <c r="J4914" i="1"/>
  <c r="J4913" i="1"/>
  <c r="J4912" i="1"/>
  <c r="J4911" i="1"/>
  <c r="J4943" i="1"/>
  <c r="J4921" i="1"/>
  <c r="J4919" i="1"/>
  <c r="J4918" i="1"/>
  <c r="J4917" i="1"/>
  <c r="J4909" i="1"/>
  <c r="J4908" i="1"/>
  <c r="J4907" i="1"/>
  <c r="J4906" i="1"/>
  <c r="J4905" i="1"/>
  <c r="J4904" i="1"/>
  <c r="J4903" i="1"/>
  <c r="J4902" i="1"/>
  <c r="J4942" i="1"/>
  <c r="J4941" i="1"/>
  <c r="J4898" i="1"/>
  <c r="J4896" i="1"/>
  <c r="J4895" i="1"/>
  <c r="J4940" i="1"/>
  <c r="J4939" i="1"/>
  <c r="J4938" i="1"/>
  <c r="J4937" i="1"/>
  <c r="J4936" i="1"/>
  <c r="J4935" i="1"/>
  <c r="J4934" i="1"/>
  <c r="J4933" i="1"/>
  <c r="J4932" i="1"/>
  <c r="J4930" i="1"/>
  <c r="J4929" i="1"/>
  <c r="J4928" i="1"/>
  <c r="J4926" i="1"/>
  <c r="J4925" i="1"/>
  <c r="J4924" i="1"/>
  <c r="J4923" i="1"/>
  <c r="J4367" i="1"/>
  <c r="AY4785" i="1"/>
  <c r="AX4883" i="1"/>
  <c r="H2605" i="8"/>
  <c r="H2491" i="8"/>
  <c r="H2577" i="8"/>
  <c r="H2576" i="8"/>
  <c r="BN11" i="7"/>
  <c r="AX4886" i="1"/>
  <c r="BN45" i="7"/>
  <c r="BN47" i="7"/>
  <c r="BN46" i="7" s="1"/>
  <c r="H2602" i="8" l="1"/>
  <c r="H2601" i="8"/>
  <c r="H2604" i="8"/>
  <c r="H2603" i="8"/>
  <c r="H2600" i="8"/>
  <c r="BN44" i="7" l="1"/>
  <c r="BN43" i="7"/>
  <c r="BN42" i="7"/>
  <c r="BN41" i="7"/>
  <c r="BN40" i="7"/>
  <c r="BN39" i="7"/>
  <c r="BN38" i="7"/>
  <c r="BN37" i="7"/>
  <c r="BN35" i="7"/>
  <c r="BN34" i="7"/>
  <c r="BN33" i="7"/>
  <c r="BN32" i="7"/>
  <c r="BN31" i="7"/>
  <c r="BN30" i="7"/>
  <c r="BN29" i="7"/>
  <c r="BN27" i="7"/>
  <c r="BN26" i="7"/>
  <c r="BN25" i="7"/>
  <c r="BN24" i="7"/>
  <c r="BN22" i="7"/>
  <c r="BN21" i="7"/>
  <c r="BN20" i="7"/>
  <c r="BN19" i="7"/>
  <c r="BN18" i="7"/>
  <c r="BN17" i="7"/>
  <c r="BN16" i="7"/>
  <c r="BN10" i="7"/>
  <c r="BN9" i="7"/>
  <c r="BN7" i="7"/>
  <c r="BN8" i="7"/>
  <c r="H2578" i="8"/>
  <c r="H2579" i="8"/>
  <c r="H2580" i="8"/>
  <c r="H2581" i="8"/>
  <c r="H2582" i="8"/>
  <c r="H2583" i="8"/>
  <c r="H2584" i="8"/>
  <c r="H2585" i="8"/>
  <c r="H2586" i="8"/>
  <c r="H2590" i="8"/>
  <c r="BN36" i="7" l="1"/>
  <c r="BN28" i="7"/>
  <c r="BN23" i="7"/>
  <c r="BN15" i="7"/>
  <c r="BN48" i="7" l="1"/>
  <c r="E4883" i="1"/>
  <c r="F4883" i="1"/>
  <c r="W4883" i="1"/>
  <c r="AJ4883" i="1"/>
  <c r="E4884" i="1"/>
  <c r="F4884" i="1"/>
  <c r="W4884" i="1"/>
  <c r="AJ4884" i="1"/>
  <c r="E4885" i="1"/>
  <c r="F4885" i="1"/>
  <c r="W4885" i="1"/>
  <c r="AJ4885" i="1"/>
  <c r="E4886" i="1"/>
  <c r="F4886" i="1"/>
  <c r="J4886" i="1"/>
  <c r="W4886" i="1"/>
  <c r="AJ4886" i="1"/>
  <c r="E4887" i="1"/>
  <c r="F4887" i="1"/>
  <c r="J4887" i="1"/>
  <c r="W4887" i="1"/>
  <c r="AJ4887" i="1"/>
  <c r="E4889" i="1"/>
  <c r="F4889" i="1"/>
  <c r="W4889" i="1"/>
  <c r="AJ4889" i="1"/>
  <c r="E4890" i="1"/>
  <c r="F4890" i="1"/>
  <c r="W4890" i="1"/>
  <c r="AJ4890" i="1"/>
  <c r="E4891" i="1"/>
  <c r="F4891" i="1"/>
  <c r="W4891" i="1"/>
  <c r="AJ4891" i="1"/>
  <c r="E4892" i="1"/>
  <c r="F4892" i="1"/>
  <c r="W4892" i="1"/>
  <c r="AJ4892" i="1"/>
  <c r="E4893" i="1"/>
  <c r="F4893" i="1"/>
  <c r="W4893" i="1"/>
  <c r="AJ4893" i="1"/>
  <c r="E4894" i="1"/>
  <c r="F4894" i="1"/>
  <c r="W4894" i="1"/>
  <c r="AJ4894" i="1"/>
  <c r="J4893" i="1" l="1"/>
  <c r="J4892" i="1"/>
  <c r="J4890" i="1"/>
  <c r="J4889" i="1"/>
  <c r="J4883" i="1"/>
  <c r="J4885" i="1"/>
  <c r="J4884" i="1"/>
  <c r="H2587" i="8"/>
  <c r="H2588" i="8"/>
  <c r="H2589" i="8"/>
  <c r="H2591" i="8"/>
  <c r="H2592" i="8"/>
  <c r="H2593" i="8"/>
  <c r="H2594" i="8"/>
  <c r="H2595" i="8"/>
  <c r="H2596" i="8"/>
  <c r="H2597" i="8"/>
  <c r="H2598" i="8"/>
  <c r="H2599" i="8"/>
  <c r="H2606" i="8"/>
  <c r="H2607" i="8"/>
  <c r="H2608" i="8"/>
  <c r="H2609" i="8"/>
  <c r="H2610" i="8"/>
  <c r="H2611" i="8"/>
  <c r="H2613" i="8"/>
  <c r="H2614" i="8"/>
  <c r="H2570" i="8" l="1"/>
  <c r="H2569" i="8"/>
  <c r="H2568" i="8"/>
  <c r="H2567" i="8"/>
  <c r="H2566" i="8"/>
  <c r="H2565" i="8"/>
  <c r="H2564" i="8"/>
  <c r="H2563" i="8"/>
  <c r="H2561" i="8"/>
  <c r="H2560" i="8" l="1"/>
  <c r="AX4863" i="1" l="1"/>
  <c r="H2538" i="8" l="1"/>
  <c r="H2537" i="8"/>
  <c r="E4846" i="1" l="1"/>
  <c r="F4846" i="1"/>
  <c r="W4846" i="1"/>
  <c r="AJ4846" i="1"/>
  <c r="E4847" i="1"/>
  <c r="F4847" i="1"/>
  <c r="W4847" i="1"/>
  <c r="AJ4847" i="1"/>
  <c r="E4848" i="1"/>
  <c r="F4848" i="1"/>
  <c r="W4848" i="1"/>
  <c r="AJ4848" i="1"/>
  <c r="E4849" i="1"/>
  <c r="F4849" i="1"/>
  <c r="W4849" i="1"/>
  <c r="AJ4849" i="1"/>
  <c r="E4850" i="1"/>
  <c r="F4850" i="1"/>
  <c r="W4850" i="1"/>
  <c r="AJ4850" i="1"/>
  <c r="E4851" i="1"/>
  <c r="F4851" i="1"/>
  <c r="J4851" i="1"/>
  <c r="W4851" i="1"/>
  <c r="AJ4851" i="1"/>
  <c r="E4852" i="1"/>
  <c r="F4852" i="1"/>
  <c r="W4852" i="1"/>
  <c r="AJ4852" i="1"/>
  <c r="AJ4845" i="1"/>
  <c r="W4845" i="1"/>
  <c r="F4845" i="1"/>
  <c r="E4845" i="1"/>
  <c r="E4837" i="1"/>
  <c r="F4837" i="1"/>
  <c r="J4837" i="1"/>
  <c r="W4837" i="1"/>
  <c r="AJ4837" i="1"/>
  <c r="E4838" i="1"/>
  <c r="F4838" i="1"/>
  <c r="W4838" i="1"/>
  <c r="AJ4838" i="1"/>
  <c r="E4839" i="1"/>
  <c r="F4839" i="1"/>
  <c r="J4839" i="1"/>
  <c r="W4839" i="1"/>
  <c r="AJ4839" i="1"/>
  <c r="E4840" i="1"/>
  <c r="F4840" i="1"/>
  <c r="W4840" i="1"/>
  <c r="AJ4840" i="1"/>
  <c r="E4841" i="1"/>
  <c r="F4841" i="1"/>
  <c r="W4841" i="1"/>
  <c r="AJ4841" i="1"/>
  <c r="E4842" i="1"/>
  <c r="F4842" i="1"/>
  <c r="W4842" i="1"/>
  <c r="AJ4842" i="1"/>
  <c r="E4843" i="1"/>
  <c r="F4843" i="1"/>
  <c r="W4843" i="1"/>
  <c r="AJ4843" i="1"/>
  <c r="E4844" i="1"/>
  <c r="F4844" i="1"/>
  <c r="W4844" i="1"/>
  <c r="AJ4844" i="1"/>
  <c r="E4853" i="1"/>
  <c r="F4853" i="1"/>
  <c r="W4853" i="1"/>
  <c r="AJ4853" i="1"/>
  <c r="E4831" i="1"/>
  <c r="F4831" i="1"/>
  <c r="J4831" i="1"/>
  <c r="W4831" i="1"/>
  <c r="AJ4831" i="1"/>
  <c r="E4832" i="1"/>
  <c r="F4832" i="1"/>
  <c r="W4832" i="1"/>
  <c r="AJ4832" i="1"/>
  <c r="E4833" i="1"/>
  <c r="F4833" i="1"/>
  <c r="W4833" i="1"/>
  <c r="AJ4833" i="1"/>
  <c r="E4834" i="1"/>
  <c r="F4834" i="1"/>
  <c r="W4834" i="1"/>
  <c r="AJ4834" i="1"/>
  <c r="E4835" i="1"/>
  <c r="F4835" i="1"/>
  <c r="J4835" i="1"/>
  <c r="W4835" i="1"/>
  <c r="AJ4835" i="1"/>
  <c r="E4836" i="1"/>
  <c r="F4836" i="1"/>
  <c r="W4836" i="1"/>
  <c r="AJ4836" i="1"/>
  <c r="E4854" i="1"/>
  <c r="F4854" i="1"/>
  <c r="J4854" i="1"/>
  <c r="W4854" i="1"/>
  <c r="AJ4854" i="1"/>
  <c r="AJ4830" i="1"/>
  <c r="W4830" i="1"/>
  <c r="F4830" i="1"/>
  <c r="E4830" i="1"/>
  <c r="E4826" i="1"/>
  <c r="F4826" i="1"/>
  <c r="W4826" i="1"/>
  <c r="AJ4826" i="1"/>
  <c r="E4827" i="1"/>
  <c r="F4827" i="1"/>
  <c r="J4827" i="1"/>
  <c r="W4827" i="1"/>
  <c r="AJ4827" i="1"/>
  <c r="E4828" i="1"/>
  <c r="F4828" i="1"/>
  <c r="J4828" i="1"/>
  <c r="W4828" i="1"/>
  <c r="AJ4828" i="1"/>
  <c r="E4829" i="1"/>
  <c r="F4829" i="1"/>
  <c r="W4829" i="1"/>
  <c r="AJ4829" i="1"/>
  <c r="E4855" i="1"/>
  <c r="F4855" i="1"/>
  <c r="W4855" i="1"/>
  <c r="AJ4855" i="1"/>
  <c r="E4856" i="1"/>
  <c r="F4856" i="1"/>
  <c r="W4856" i="1"/>
  <c r="AJ4856" i="1"/>
  <c r="J4856" i="1" s="1"/>
  <c r="E4857" i="1"/>
  <c r="F4857" i="1"/>
  <c r="W4857" i="1"/>
  <c r="AJ4857" i="1"/>
  <c r="J4857" i="1" s="1"/>
  <c r="E4858" i="1"/>
  <c r="F4858" i="1"/>
  <c r="W4858" i="1"/>
  <c r="AJ4858" i="1"/>
  <c r="E4859" i="1"/>
  <c r="F4859" i="1"/>
  <c r="W4859" i="1"/>
  <c r="AJ4859" i="1"/>
  <c r="E4860" i="1"/>
  <c r="F4860" i="1"/>
  <c r="W4860" i="1"/>
  <c r="AJ4860" i="1"/>
  <c r="E4861" i="1"/>
  <c r="F4861" i="1"/>
  <c r="W4861" i="1"/>
  <c r="AJ4861" i="1"/>
  <c r="E4862" i="1"/>
  <c r="F4862" i="1"/>
  <c r="W4862" i="1"/>
  <c r="AJ4862" i="1"/>
  <c r="E4863" i="1"/>
  <c r="F4863" i="1"/>
  <c r="W4863" i="1"/>
  <c r="AJ4863" i="1"/>
  <c r="E4864" i="1"/>
  <c r="F4864" i="1"/>
  <c r="W4864" i="1"/>
  <c r="AJ4864" i="1"/>
  <c r="E4865" i="1"/>
  <c r="F4865" i="1"/>
  <c r="W4865" i="1"/>
  <c r="AJ4865" i="1"/>
  <c r="E4866" i="1"/>
  <c r="F4866" i="1"/>
  <c r="W4866" i="1"/>
  <c r="AJ4866" i="1"/>
  <c r="E4867" i="1"/>
  <c r="F4867" i="1"/>
  <c r="W4867" i="1"/>
  <c r="AJ4867" i="1"/>
  <c r="E4868" i="1"/>
  <c r="F4868" i="1"/>
  <c r="W4868" i="1"/>
  <c r="AJ4868" i="1"/>
  <c r="E4869" i="1"/>
  <c r="F4869" i="1"/>
  <c r="W4869" i="1"/>
  <c r="AJ4869" i="1"/>
  <c r="E4870" i="1"/>
  <c r="F4870" i="1"/>
  <c r="W4870" i="1"/>
  <c r="AJ4870" i="1"/>
  <c r="E4871" i="1"/>
  <c r="F4871" i="1"/>
  <c r="W4871" i="1"/>
  <c r="AJ4871" i="1"/>
  <c r="E4872" i="1"/>
  <c r="F4872" i="1"/>
  <c r="W4872" i="1"/>
  <c r="AJ4872" i="1"/>
  <c r="E4873" i="1"/>
  <c r="F4873" i="1"/>
  <c r="W4873" i="1"/>
  <c r="AJ4873" i="1"/>
  <c r="E4874" i="1"/>
  <c r="F4874" i="1"/>
  <c r="W4874" i="1"/>
  <c r="AJ4874" i="1"/>
  <c r="E4875" i="1"/>
  <c r="F4875" i="1"/>
  <c r="J4875" i="1"/>
  <c r="W4875" i="1"/>
  <c r="AJ4875" i="1"/>
  <c r="E4876" i="1"/>
  <c r="F4876" i="1"/>
  <c r="W4876" i="1"/>
  <c r="AJ4876" i="1"/>
  <c r="E4877" i="1"/>
  <c r="F4877" i="1"/>
  <c r="W4877" i="1"/>
  <c r="AJ4877" i="1"/>
  <c r="E4878" i="1"/>
  <c r="F4878" i="1"/>
  <c r="W4878" i="1"/>
  <c r="AJ4878" i="1"/>
  <c r="E4879" i="1"/>
  <c r="F4879" i="1"/>
  <c r="W4879" i="1"/>
  <c r="AJ4879" i="1"/>
  <c r="E4880" i="1"/>
  <c r="F4880" i="1"/>
  <c r="W4880" i="1"/>
  <c r="AJ4880" i="1"/>
  <c r="E4881" i="1"/>
  <c r="F4881" i="1"/>
  <c r="J4881" i="1"/>
  <c r="W4881" i="1"/>
  <c r="AJ4881" i="1"/>
  <c r="E4882" i="1"/>
  <c r="F4882" i="1"/>
  <c r="W4882" i="1"/>
  <c r="AJ4882" i="1"/>
  <c r="H2530" i="8"/>
  <c r="J4845" i="1" l="1"/>
  <c r="J4841" i="1"/>
  <c r="J4840" i="1"/>
  <c r="J4850" i="1"/>
  <c r="J4849" i="1"/>
  <c r="J4848" i="1"/>
  <c r="J4847" i="1"/>
  <c r="J4846" i="1"/>
  <c r="J4882" i="1"/>
  <c r="J4877" i="1"/>
  <c r="J4880" i="1"/>
  <c r="J4879" i="1"/>
  <c r="J4878" i="1"/>
  <c r="J4876" i="1"/>
  <c r="J4830" i="1"/>
  <c r="J4834" i="1"/>
  <c r="J4833" i="1"/>
  <c r="J4832" i="1"/>
  <c r="J4842" i="1"/>
  <c r="J4874" i="1"/>
  <c r="J4873" i="1"/>
  <c r="J4872" i="1"/>
  <c r="J4871" i="1"/>
  <c r="J4870" i="1"/>
  <c r="J4869" i="1"/>
  <c r="J4867" i="1"/>
  <c r="J4866" i="1"/>
  <c r="J4865" i="1"/>
  <c r="J4864" i="1"/>
  <c r="J4863" i="1"/>
  <c r="J4862" i="1"/>
  <c r="J4861" i="1"/>
  <c r="J4860" i="1"/>
  <c r="J4859" i="1"/>
  <c r="J4858" i="1"/>
  <c r="J4855" i="1"/>
  <c r="J4829" i="1"/>
  <c r="J4826" i="1"/>
  <c r="J4853" i="1"/>
  <c r="J4844" i="1"/>
  <c r="J4843" i="1"/>
  <c r="J4838" i="1"/>
  <c r="J4852" i="1"/>
  <c r="J4836" i="1"/>
  <c r="H2536" i="8"/>
  <c r="H2535" i="8"/>
  <c r="H2501" i="8" l="1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1" i="8"/>
  <c r="H2532" i="8"/>
  <c r="H2533" i="8"/>
  <c r="H2534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2" i="8"/>
  <c r="H2571" i="8"/>
  <c r="H2572" i="8"/>
  <c r="H2573" i="8"/>
  <c r="H2574" i="8"/>
  <c r="H2575" i="8"/>
  <c r="H2615" i="8"/>
  <c r="I2699" i="8" s="1"/>
  <c r="I2631" i="8" l="1"/>
  <c r="I2647" i="8"/>
  <c r="AX4824" i="1"/>
  <c r="E4822" i="1"/>
  <c r="F4822" i="1"/>
  <c r="J4822" i="1"/>
  <c r="W4822" i="1"/>
  <c r="AJ4822" i="1"/>
  <c r="E4823" i="1"/>
  <c r="F4823" i="1"/>
  <c r="W4823" i="1"/>
  <c r="AJ4823" i="1"/>
  <c r="E4824" i="1"/>
  <c r="F4824" i="1"/>
  <c r="J4824" i="1"/>
  <c r="W4824" i="1"/>
  <c r="AJ4824" i="1"/>
  <c r="E4825" i="1"/>
  <c r="F4825" i="1"/>
  <c r="J4825" i="1"/>
  <c r="W4825" i="1"/>
  <c r="AJ4825" i="1"/>
  <c r="E4793" i="1"/>
  <c r="F4793" i="1"/>
  <c r="E4792" i="1"/>
  <c r="F4792" i="1"/>
  <c r="W4792" i="1"/>
  <c r="AJ4792" i="1"/>
  <c r="W4793" i="1"/>
  <c r="AJ4793" i="1"/>
  <c r="E4794" i="1"/>
  <c r="F4794" i="1"/>
  <c r="W4794" i="1"/>
  <c r="AJ4794" i="1"/>
  <c r="E4795" i="1"/>
  <c r="F4795" i="1"/>
  <c r="W4795" i="1"/>
  <c r="AJ4795" i="1"/>
  <c r="E4796" i="1"/>
  <c r="F4796" i="1"/>
  <c r="W4796" i="1"/>
  <c r="AJ4796" i="1"/>
  <c r="E4797" i="1"/>
  <c r="F4797" i="1"/>
  <c r="W4797" i="1"/>
  <c r="AJ4797" i="1"/>
  <c r="E4798" i="1"/>
  <c r="F4798" i="1"/>
  <c r="W4798" i="1"/>
  <c r="AJ4798" i="1"/>
  <c r="E4799" i="1"/>
  <c r="F4799" i="1"/>
  <c r="W4799" i="1"/>
  <c r="AJ4799" i="1"/>
  <c r="E4800" i="1"/>
  <c r="F4800" i="1"/>
  <c r="W4800" i="1"/>
  <c r="AJ4800" i="1"/>
  <c r="E4801" i="1"/>
  <c r="F4801" i="1"/>
  <c r="W4801" i="1"/>
  <c r="AJ4801" i="1"/>
  <c r="E4802" i="1"/>
  <c r="F4802" i="1"/>
  <c r="W4802" i="1"/>
  <c r="AJ4802" i="1"/>
  <c r="E4803" i="1"/>
  <c r="F4803" i="1"/>
  <c r="W4803" i="1"/>
  <c r="AJ4803" i="1"/>
  <c r="E4804" i="1"/>
  <c r="F4804" i="1"/>
  <c r="W4804" i="1"/>
  <c r="AJ4804" i="1"/>
  <c r="E4805" i="1"/>
  <c r="F4805" i="1"/>
  <c r="J4805" i="1"/>
  <c r="W4805" i="1"/>
  <c r="AJ4805" i="1"/>
  <c r="E4806" i="1"/>
  <c r="F4806" i="1"/>
  <c r="W4806" i="1"/>
  <c r="AJ4806" i="1"/>
  <c r="E4807" i="1"/>
  <c r="F4807" i="1"/>
  <c r="W4807" i="1"/>
  <c r="AJ4807" i="1"/>
  <c r="E4808" i="1"/>
  <c r="F4808" i="1"/>
  <c r="W4808" i="1"/>
  <c r="AJ4808" i="1"/>
  <c r="E4809" i="1"/>
  <c r="F4809" i="1"/>
  <c r="W4809" i="1"/>
  <c r="AJ4809" i="1"/>
  <c r="E4810" i="1"/>
  <c r="F4810" i="1"/>
  <c r="W4810" i="1"/>
  <c r="AJ4810" i="1"/>
  <c r="E4811" i="1"/>
  <c r="F4811" i="1"/>
  <c r="W4811" i="1"/>
  <c r="AJ4811" i="1"/>
  <c r="E4812" i="1"/>
  <c r="F4812" i="1"/>
  <c r="W4812" i="1"/>
  <c r="AJ4812" i="1"/>
  <c r="E4813" i="1"/>
  <c r="F4813" i="1"/>
  <c r="J4813" i="1"/>
  <c r="W4813" i="1"/>
  <c r="AJ4813" i="1"/>
  <c r="E4814" i="1"/>
  <c r="F4814" i="1"/>
  <c r="W4814" i="1"/>
  <c r="AJ4814" i="1"/>
  <c r="E4815" i="1"/>
  <c r="F4815" i="1"/>
  <c r="W4815" i="1"/>
  <c r="AJ4815" i="1"/>
  <c r="E4816" i="1"/>
  <c r="F4816" i="1"/>
  <c r="W4816" i="1"/>
  <c r="AJ4816" i="1"/>
  <c r="E4817" i="1"/>
  <c r="F4817" i="1"/>
  <c r="W4817" i="1"/>
  <c r="AJ4817" i="1"/>
  <c r="E4818" i="1"/>
  <c r="F4818" i="1"/>
  <c r="W4818" i="1"/>
  <c r="AJ4818" i="1"/>
  <c r="J4818" i="1" l="1"/>
  <c r="J4816" i="1"/>
  <c r="J4815" i="1"/>
  <c r="J4814" i="1"/>
  <c r="J4811" i="1"/>
  <c r="J4804" i="1"/>
  <c r="J4798" i="1"/>
  <c r="J4797" i="1"/>
  <c r="J4796" i="1"/>
  <c r="J4795" i="1"/>
  <c r="J4794" i="1"/>
  <c r="J4793" i="1"/>
  <c r="J4792" i="1"/>
  <c r="J4817" i="1"/>
  <c r="J4810" i="1"/>
  <c r="J4809" i="1"/>
  <c r="J4799" i="1"/>
  <c r="J4812" i="1"/>
  <c r="J4808" i="1"/>
  <c r="J4807" i="1"/>
  <c r="J4806" i="1"/>
  <c r="J4803" i="1"/>
  <c r="J4802" i="1"/>
  <c r="J4801" i="1"/>
  <c r="J4800" i="1"/>
  <c r="J4823" i="1"/>
  <c r="AX4785" i="1"/>
  <c r="F4769" i="1"/>
  <c r="E4741" i="1"/>
  <c r="F4741" i="1"/>
  <c r="W4741" i="1"/>
  <c r="AJ4741" i="1"/>
  <c r="E4742" i="1"/>
  <c r="F4742" i="1"/>
  <c r="J4742" i="1"/>
  <c r="W4742" i="1"/>
  <c r="AJ4742" i="1"/>
  <c r="E4743" i="1"/>
  <c r="F4743" i="1"/>
  <c r="J4743" i="1"/>
  <c r="W4743" i="1"/>
  <c r="AJ4743" i="1"/>
  <c r="E4744" i="1"/>
  <c r="F4744" i="1"/>
  <c r="W4744" i="1"/>
  <c r="AJ4744" i="1"/>
  <c r="E4745" i="1"/>
  <c r="F4745" i="1"/>
  <c r="W4745" i="1"/>
  <c r="AJ4745" i="1"/>
  <c r="E4746" i="1"/>
  <c r="F4746" i="1"/>
  <c r="W4746" i="1"/>
  <c r="AJ4746" i="1"/>
  <c r="E4747" i="1"/>
  <c r="F4747" i="1"/>
  <c r="W4747" i="1"/>
  <c r="AJ4747" i="1"/>
  <c r="E4748" i="1"/>
  <c r="F4748" i="1"/>
  <c r="W4748" i="1"/>
  <c r="AJ4748" i="1"/>
  <c r="E4749" i="1"/>
  <c r="F4749" i="1"/>
  <c r="W4749" i="1"/>
  <c r="AJ4749" i="1"/>
  <c r="E4750" i="1"/>
  <c r="F4750" i="1"/>
  <c r="W4750" i="1"/>
  <c r="AJ4750" i="1"/>
  <c r="E4751" i="1"/>
  <c r="F4751" i="1"/>
  <c r="W4751" i="1"/>
  <c r="AJ4751" i="1"/>
  <c r="E4752" i="1"/>
  <c r="F4752" i="1"/>
  <c r="W4752" i="1"/>
  <c r="AJ4752" i="1"/>
  <c r="E4753" i="1"/>
  <c r="F4753" i="1"/>
  <c r="W4753" i="1"/>
  <c r="AJ4753" i="1"/>
  <c r="E4754" i="1"/>
  <c r="F4754" i="1"/>
  <c r="W4754" i="1"/>
  <c r="AJ4754" i="1"/>
  <c r="E4755" i="1"/>
  <c r="F4755" i="1"/>
  <c r="W4755" i="1"/>
  <c r="AJ4755" i="1"/>
  <c r="E4756" i="1"/>
  <c r="F4756" i="1"/>
  <c r="W4756" i="1"/>
  <c r="AJ4756" i="1"/>
  <c r="E4757" i="1"/>
  <c r="F4757" i="1"/>
  <c r="W4757" i="1"/>
  <c r="AJ4757" i="1"/>
  <c r="E4758" i="1"/>
  <c r="F4758" i="1"/>
  <c r="W4758" i="1"/>
  <c r="AJ4758" i="1"/>
  <c r="E4759" i="1"/>
  <c r="F4759" i="1"/>
  <c r="W4759" i="1"/>
  <c r="AJ4759" i="1"/>
  <c r="E4760" i="1"/>
  <c r="F4760" i="1"/>
  <c r="J4760" i="1"/>
  <c r="W4760" i="1"/>
  <c r="AJ4760" i="1"/>
  <c r="E4761" i="1"/>
  <c r="F4761" i="1"/>
  <c r="W4761" i="1"/>
  <c r="AJ4761" i="1"/>
  <c r="E4762" i="1"/>
  <c r="F4762" i="1"/>
  <c r="W4762" i="1"/>
  <c r="AJ4762" i="1"/>
  <c r="E4763" i="1"/>
  <c r="F4763" i="1"/>
  <c r="W4763" i="1"/>
  <c r="AJ4763" i="1"/>
  <c r="E4764" i="1"/>
  <c r="F4764" i="1"/>
  <c r="W4764" i="1"/>
  <c r="AJ4764" i="1"/>
  <c r="E4765" i="1"/>
  <c r="F4765" i="1"/>
  <c r="W4765" i="1"/>
  <c r="AJ4765" i="1"/>
  <c r="E4766" i="1"/>
  <c r="F4766" i="1"/>
  <c r="W4766" i="1"/>
  <c r="AJ4766" i="1"/>
  <c r="E4767" i="1"/>
  <c r="F4767" i="1"/>
  <c r="W4767" i="1"/>
  <c r="AJ4767" i="1"/>
  <c r="E4768" i="1"/>
  <c r="F4768" i="1"/>
  <c r="W4768" i="1"/>
  <c r="AJ4768" i="1"/>
  <c r="E4769" i="1"/>
  <c r="W4769" i="1"/>
  <c r="AJ4769" i="1"/>
  <c r="E4770" i="1"/>
  <c r="F4770" i="1"/>
  <c r="W4770" i="1"/>
  <c r="AJ4770" i="1"/>
  <c r="E4771" i="1"/>
  <c r="F4771" i="1"/>
  <c r="W4771" i="1"/>
  <c r="AJ4771" i="1"/>
  <c r="E4772" i="1"/>
  <c r="F4772" i="1"/>
  <c r="W4772" i="1"/>
  <c r="AJ4772" i="1"/>
  <c r="E4773" i="1"/>
  <c r="F4773" i="1"/>
  <c r="W4773" i="1"/>
  <c r="AJ4773" i="1"/>
  <c r="E4774" i="1"/>
  <c r="F4774" i="1"/>
  <c r="W4774" i="1"/>
  <c r="AJ4774" i="1"/>
  <c r="E4775" i="1"/>
  <c r="F4775" i="1"/>
  <c r="W4775" i="1"/>
  <c r="AJ4775" i="1"/>
  <c r="E4776" i="1"/>
  <c r="F4776" i="1"/>
  <c r="W4776" i="1"/>
  <c r="AJ4776" i="1"/>
  <c r="E4777" i="1"/>
  <c r="F4777" i="1"/>
  <c r="W4777" i="1"/>
  <c r="AJ4777" i="1"/>
  <c r="E4778" i="1"/>
  <c r="F4778" i="1"/>
  <c r="W4778" i="1"/>
  <c r="AJ4778" i="1"/>
  <c r="E4779" i="1"/>
  <c r="F4779" i="1"/>
  <c r="W4779" i="1"/>
  <c r="AJ4779" i="1"/>
  <c r="E4780" i="1"/>
  <c r="F4780" i="1"/>
  <c r="W4780" i="1"/>
  <c r="AJ4780" i="1"/>
  <c r="E4781" i="1"/>
  <c r="F4781" i="1"/>
  <c r="W4781" i="1"/>
  <c r="AJ4781" i="1"/>
  <c r="E4782" i="1"/>
  <c r="F4782" i="1"/>
  <c r="W4782" i="1"/>
  <c r="AJ4782" i="1"/>
  <c r="E4783" i="1"/>
  <c r="F4783" i="1"/>
  <c r="W4783" i="1"/>
  <c r="AJ4783" i="1"/>
  <c r="E4784" i="1"/>
  <c r="F4784" i="1"/>
  <c r="W4784" i="1"/>
  <c r="AJ4784" i="1"/>
  <c r="E4785" i="1"/>
  <c r="F4785" i="1"/>
  <c r="W4785" i="1"/>
  <c r="AJ4785" i="1"/>
  <c r="E4786" i="1"/>
  <c r="F4786" i="1"/>
  <c r="W4786" i="1"/>
  <c r="AJ4786" i="1"/>
  <c r="E4787" i="1"/>
  <c r="F4787" i="1"/>
  <c r="W4787" i="1"/>
  <c r="AJ4787" i="1"/>
  <c r="E4788" i="1"/>
  <c r="F4788" i="1"/>
  <c r="W4788" i="1"/>
  <c r="AJ4788" i="1"/>
  <c r="E4789" i="1"/>
  <c r="F4789" i="1"/>
  <c r="W4789" i="1"/>
  <c r="AJ4789" i="1"/>
  <c r="E4790" i="1"/>
  <c r="F4790" i="1"/>
  <c r="W4790" i="1"/>
  <c r="AJ4790" i="1"/>
  <c r="E4791" i="1"/>
  <c r="F4791" i="1"/>
  <c r="W4791" i="1"/>
  <c r="AJ4791" i="1"/>
  <c r="E4819" i="1"/>
  <c r="F4819" i="1"/>
  <c r="W4819" i="1"/>
  <c r="AJ4819" i="1"/>
  <c r="E4820" i="1"/>
  <c r="F4820" i="1"/>
  <c r="W4820" i="1"/>
  <c r="AJ4820" i="1"/>
  <c r="E4821" i="1"/>
  <c r="F4821" i="1"/>
  <c r="W4821" i="1"/>
  <c r="AJ4821" i="1"/>
  <c r="E4948" i="1"/>
  <c r="F4948" i="1"/>
  <c r="W4948" i="1"/>
  <c r="AJ4948" i="1"/>
  <c r="J4741" i="1" l="1"/>
  <c r="J4744" i="1"/>
  <c r="J4820" i="1"/>
  <c r="J4819" i="1"/>
  <c r="J4789" i="1"/>
  <c r="J4788" i="1"/>
  <c r="J4787" i="1"/>
  <c r="J4786" i="1"/>
  <c r="J4767" i="1"/>
  <c r="J4821" i="1"/>
  <c r="J4790" i="1"/>
  <c r="J4791" i="1"/>
  <c r="J4770" i="1"/>
  <c r="J4769" i="1"/>
  <c r="J4763" i="1"/>
  <c r="J4771" i="1"/>
  <c r="J4762" i="1"/>
  <c r="J4761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68" i="1"/>
  <c r="J4766" i="1"/>
  <c r="J4765" i="1"/>
  <c r="J4764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H2488" i="8"/>
  <c r="H2487" i="8"/>
  <c r="H2486" i="8"/>
  <c r="H2485" i="8"/>
  <c r="H2482" i="8"/>
  <c r="BM29" i="7" l="1"/>
  <c r="BM27" i="7"/>
  <c r="BM26" i="7"/>
  <c r="BM25" i="7"/>
  <c r="BM24" i="7"/>
  <c r="BM22" i="7"/>
  <c r="BM21" i="7"/>
  <c r="BM20" i="7"/>
  <c r="BM19" i="7"/>
  <c r="BM18" i="7"/>
  <c r="BM17" i="7"/>
  <c r="BM16" i="7"/>
  <c r="BM11" i="7"/>
  <c r="BM10" i="7"/>
  <c r="BM9" i="7"/>
  <c r="BM8" i="7"/>
  <c r="BM7" i="7"/>
  <c r="BM6" i="7"/>
  <c r="BM30" i="7"/>
  <c r="BM31" i="7"/>
  <c r="BM32" i="7"/>
  <c r="BM33" i="7"/>
  <c r="BM34" i="7"/>
  <c r="BM35" i="7"/>
  <c r="BM37" i="7"/>
  <c r="BM38" i="7"/>
  <c r="BM39" i="7"/>
  <c r="BM40" i="7"/>
  <c r="BM41" i="7"/>
  <c r="BM42" i="7"/>
  <c r="BM43" i="7"/>
  <c r="BM44" i="7"/>
  <c r="BM45" i="7"/>
  <c r="BM47" i="7"/>
  <c r="BM46" i="7" s="1"/>
  <c r="H2492" i="8"/>
  <c r="H2490" i="8"/>
  <c r="H2494" i="8"/>
  <c r="H2493" i="8"/>
  <c r="H2489" i="8"/>
  <c r="H2497" i="8"/>
  <c r="H2496" i="8"/>
  <c r="H2495" i="8"/>
  <c r="BM13" i="7" l="1"/>
  <c r="BM23" i="7"/>
  <c r="BM15" i="7"/>
  <c r="AJ4733" i="1"/>
  <c r="W4733" i="1"/>
  <c r="J4733" i="1"/>
  <c r="F4733" i="1"/>
  <c r="E4733" i="1"/>
  <c r="AJ4736" i="1"/>
  <c r="W4736" i="1"/>
  <c r="J4736" i="1"/>
  <c r="F4736" i="1"/>
  <c r="E4736" i="1"/>
  <c r="AJ4735" i="1"/>
  <c r="W4735" i="1"/>
  <c r="J4735" i="1"/>
  <c r="F4735" i="1"/>
  <c r="E4735" i="1"/>
  <c r="AJ4734" i="1"/>
  <c r="W4734" i="1"/>
  <c r="F4734" i="1"/>
  <c r="E4734" i="1"/>
  <c r="AJ4732" i="1"/>
  <c r="W4732" i="1"/>
  <c r="J4732" i="1"/>
  <c r="F4732" i="1"/>
  <c r="E4732" i="1"/>
  <c r="AJ4731" i="1"/>
  <c r="W4731" i="1"/>
  <c r="F4731" i="1"/>
  <c r="E4731" i="1"/>
  <c r="AJ4730" i="1"/>
  <c r="W4730" i="1"/>
  <c r="F4730" i="1"/>
  <c r="E4730" i="1"/>
  <c r="AJ4729" i="1"/>
  <c r="W4729" i="1"/>
  <c r="F4729" i="1"/>
  <c r="E4729" i="1"/>
  <c r="AJ4728" i="1"/>
  <c r="W4728" i="1"/>
  <c r="F4728" i="1"/>
  <c r="E4728" i="1"/>
  <c r="J4728" i="1" l="1"/>
  <c r="J4729" i="1"/>
  <c r="J4730" i="1"/>
  <c r="J4731" i="1"/>
  <c r="J4734" i="1"/>
  <c r="H2499" i="8"/>
  <c r="H2500" i="8"/>
  <c r="H2471" i="8"/>
  <c r="H2472" i="8"/>
  <c r="H2473" i="8"/>
  <c r="H2474" i="8"/>
  <c r="H2475" i="8"/>
  <c r="H2476" i="8"/>
  <c r="H2477" i="8"/>
  <c r="H2478" i="8"/>
  <c r="H2479" i="8"/>
  <c r="H2480" i="8"/>
  <c r="H2481" i="8"/>
  <c r="H2483" i="8"/>
  <c r="H2484" i="8"/>
  <c r="BM36" i="7"/>
  <c r="BM28" i="7"/>
  <c r="I2607" i="8" l="1"/>
  <c r="I2599" i="8"/>
  <c r="I2566" i="8"/>
  <c r="I2560" i="8"/>
  <c r="BM48" i="7"/>
  <c r="BM49" i="7" s="1"/>
  <c r="H2460" i="8"/>
  <c r="H2461" i="8"/>
  <c r="H2462" i="8"/>
  <c r="H2463" i="8"/>
  <c r="H2464" i="8"/>
  <c r="H2465" i="8"/>
  <c r="H2466" i="8"/>
  <c r="H2467" i="8"/>
  <c r="H2468" i="8"/>
  <c r="H2469" i="8"/>
  <c r="H2470" i="8"/>
  <c r="H2445" i="8"/>
  <c r="H2444" i="8"/>
  <c r="H2443" i="8"/>
  <c r="H2442" i="8"/>
  <c r="AY4724" i="1" l="1"/>
  <c r="AX4724" i="1"/>
  <c r="AY4701" i="1"/>
  <c r="E4702" i="1"/>
  <c r="F4702" i="1"/>
  <c r="W4702" i="1"/>
  <c r="AJ4702" i="1"/>
  <c r="E4703" i="1"/>
  <c r="F4703" i="1"/>
  <c r="J4703" i="1"/>
  <c r="W4703" i="1"/>
  <c r="AJ4703" i="1"/>
  <c r="E4704" i="1"/>
  <c r="F4704" i="1"/>
  <c r="W4704" i="1"/>
  <c r="AJ4704" i="1"/>
  <c r="E4705" i="1"/>
  <c r="F4705" i="1"/>
  <c r="W4705" i="1"/>
  <c r="AJ4705" i="1"/>
  <c r="E4706" i="1"/>
  <c r="F4706" i="1"/>
  <c r="W4706" i="1"/>
  <c r="AJ4706" i="1"/>
  <c r="E4707" i="1"/>
  <c r="F4707" i="1"/>
  <c r="W4707" i="1"/>
  <c r="AJ4707" i="1"/>
  <c r="E4708" i="1"/>
  <c r="F4708" i="1"/>
  <c r="W4708" i="1"/>
  <c r="AJ4708" i="1"/>
  <c r="E4709" i="1"/>
  <c r="F4709" i="1"/>
  <c r="W4709" i="1"/>
  <c r="AJ4709" i="1"/>
  <c r="E4710" i="1"/>
  <c r="F4710" i="1"/>
  <c r="W4710" i="1"/>
  <c r="AJ4710" i="1"/>
  <c r="E4711" i="1"/>
  <c r="F4711" i="1"/>
  <c r="W4711" i="1"/>
  <c r="AJ4711" i="1"/>
  <c r="E4712" i="1"/>
  <c r="F4712" i="1"/>
  <c r="W4712" i="1"/>
  <c r="AJ4712" i="1"/>
  <c r="E4713" i="1"/>
  <c r="F4713" i="1"/>
  <c r="J4713" i="1"/>
  <c r="W4713" i="1"/>
  <c r="AJ4713" i="1"/>
  <c r="E4714" i="1"/>
  <c r="F4714" i="1"/>
  <c r="W4714" i="1"/>
  <c r="AJ4714" i="1"/>
  <c r="E4715" i="1"/>
  <c r="F4715" i="1"/>
  <c r="W4715" i="1"/>
  <c r="AJ4715" i="1"/>
  <c r="E4716" i="1"/>
  <c r="F4716" i="1"/>
  <c r="W4716" i="1"/>
  <c r="AJ4716" i="1"/>
  <c r="E4717" i="1"/>
  <c r="F4717" i="1"/>
  <c r="W4717" i="1"/>
  <c r="AJ4717" i="1"/>
  <c r="E4718" i="1"/>
  <c r="F4718" i="1"/>
  <c r="J4718" i="1"/>
  <c r="W4718" i="1"/>
  <c r="AJ4718" i="1"/>
  <c r="E4719" i="1"/>
  <c r="F4719" i="1"/>
  <c r="W4719" i="1"/>
  <c r="AJ4719" i="1"/>
  <c r="E4720" i="1"/>
  <c r="F4720" i="1"/>
  <c r="W4720" i="1"/>
  <c r="AJ4720" i="1"/>
  <c r="E4721" i="1"/>
  <c r="F4721" i="1"/>
  <c r="W4721" i="1"/>
  <c r="AJ4721" i="1"/>
  <c r="E4722" i="1"/>
  <c r="F4722" i="1"/>
  <c r="W4722" i="1"/>
  <c r="AJ4722" i="1"/>
  <c r="E4723" i="1"/>
  <c r="F4723" i="1"/>
  <c r="J4723" i="1"/>
  <c r="W4723" i="1"/>
  <c r="AJ4723" i="1"/>
  <c r="E4724" i="1"/>
  <c r="F4724" i="1"/>
  <c r="J4724" i="1"/>
  <c r="W4724" i="1"/>
  <c r="AJ4724" i="1"/>
  <c r="E4725" i="1"/>
  <c r="F4725" i="1"/>
  <c r="W4725" i="1"/>
  <c r="AJ4725" i="1"/>
  <c r="E4726" i="1"/>
  <c r="F4726" i="1"/>
  <c r="W4726" i="1"/>
  <c r="AJ4726" i="1"/>
  <c r="J4726" i="1" l="1"/>
  <c r="J4725" i="1"/>
  <c r="J4720" i="1"/>
  <c r="J4722" i="1"/>
  <c r="J4721" i="1"/>
  <c r="J4719" i="1"/>
  <c r="J4716" i="1"/>
  <c r="J4710" i="1"/>
  <c r="J4704" i="1"/>
  <c r="J4715" i="1"/>
  <c r="J4714" i="1"/>
  <c r="J4711" i="1"/>
  <c r="J4705" i="1"/>
  <c r="J4702" i="1"/>
  <c r="J4709" i="1"/>
  <c r="J4708" i="1"/>
  <c r="J4707" i="1"/>
  <c r="J4706" i="1"/>
  <c r="J4717" i="1"/>
  <c r="J4712" i="1"/>
  <c r="AX4670" i="1"/>
  <c r="AX4695" i="1"/>
  <c r="E4671" i="1"/>
  <c r="F4671" i="1"/>
  <c r="W4671" i="1"/>
  <c r="AJ4671" i="1"/>
  <c r="E4672" i="1"/>
  <c r="F4672" i="1"/>
  <c r="W4672" i="1"/>
  <c r="AJ4672" i="1"/>
  <c r="E4673" i="1"/>
  <c r="F4673" i="1"/>
  <c r="W4673" i="1"/>
  <c r="AJ4673" i="1"/>
  <c r="E4674" i="1"/>
  <c r="F4674" i="1"/>
  <c r="W4674" i="1"/>
  <c r="AJ4674" i="1"/>
  <c r="E4675" i="1"/>
  <c r="F4675" i="1"/>
  <c r="W4675" i="1"/>
  <c r="AJ4675" i="1"/>
  <c r="E4676" i="1"/>
  <c r="F4676" i="1"/>
  <c r="W4676" i="1"/>
  <c r="AJ4676" i="1"/>
  <c r="E4677" i="1"/>
  <c r="F4677" i="1"/>
  <c r="W4677" i="1"/>
  <c r="AJ4677" i="1"/>
  <c r="E4678" i="1"/>
  <c r="F4678" i="1"/>
  <c r="J4678" i="1"/>
  <c r="W4678" i="1"/>
  <c r="AJ4678" i="1"/>
  <c r="E4679" i="1"/>
  <c r="F4679" i="1"/>
  <c r="W4679" i="1"/>
  <c r="AJ4679" i="1"/>
  <c r="E4680" i="1"/>
  <c r="F4680" i="1"/>
  <c r="W4680" i="1"/>
  <c r="AJ4680" i="1"/>
  <c r="E4681" i="1"/>
  <c r="F4681" i="1"/>
  <c r="J4681" i="1"/>
  <c r="W4681" i="1"/>
  <c r="AJ4681" i="1"/>
  <c r="E4682" i="1"/>
  <c r="F4682" i="1"/>
  <c r="W4682" i="1"/>
  <c r="AJ4682" i="1"/>
  <c r="E4683" i="1"/>
  <c r="F4683" i="1"/>
  <c r="W4683" i="1"/>
  <c r="AJ4683" i="1"/>
  <c r="E4684" i="1"/>
  <c r="F4684" i="1"/>
  <c r="W4684" i="1"/>
  <c r="AJ4684" i="1"/>
  <c r="E4685" i="1"/>
  <c r="F4685" i="1"/>
  <c r="W4685" i="1"/>
  <c r="AJ4685" i="1"/>
  <c r="E4686" i="1"/>
  <c r="F4686" i="1"/>
  <c r="W4686" i="1"/>
  <c r="AJ4686" i="1"/>
  <c r="E4687" i="1"/>
  <c r="F4687" i="1"/>
  <c r="W4687" i="1"/>
  <c r="AJ4687" i="1"/>
  <c r="E4688" i="1"/>
  <c r="F4688" i="1"/>
  <c r="J4688" i="1"/>
  <c r="W4688" i="1"/>
  <c r="AJ4688" i="1"/>
  <c r="E4689" i="1"/>
  <c r="F4689" i="1"/>
  <c r="W4689" i="1"/>
  <c r="AJ4689" i="1"/>
  <c r="E4690" i="1"/>
  <c r="F4690" i="1"/>
  <c r="W4690" i="1"/>
  <c r="AJ4690" i="1"/>
  <c r="E4691" i="1"/>
  <c r="F4691" i="1"/>
  <c r="W4691" i="1"/>
  <c r="AJ4691" i="1"/>
  <c r="E4692" i="1"/>
  <c r="F4692" i="1"/>
  <c r="W4692" i="1"/>
  <c r="AJ4692" i="1"/>
  <c r="E4693" i="1"/>
  <c r="F4693" i="1"/>
  <c r="W4693" i="1"/>
  <c r="AJ4693" i="1"/>
  <c r="E4694" i="1"/>
  <c r="F4694" i="1"/>
  <c r="W4694" i="1"/>
  <c r="AJ4694" i="1"/>
  <c r="E4695" i="1"/>
  <c r="F4695" i="1"/>
  <c r="W4695" i="1"/>
  <c r="AJ4695" i="1"/>
  <c r="E4696" i="1"/>
  <c r="F4696" i="1"/>
  <c r="W4696" i="1"/>
  <c r="AJ4696" i="1"/>
  <c r="E4697" i="1"/>
  <c r="F4697" i="1"/>
  <c r="J4697" i="1"/>
  <c r="W4697" i="1"/>
  <c r="AJ4697" i="1"/>
  <c r="E4698" i="1"/>
  <c r="F4698" i="1"/>
  <c r="W4698" i="1"/>
  <c r="AJ4698" i="1"/>
  <c r="E4699" i="1"/>
  <c r="F4699" i="1"/>
  <c r="W4699" i="1"/>
  <c r="AJ4699" i="1"/>
  <c r="E4700" i="1"/>
  <c r="F4700" i="1"/>
  <c r="W4700" i="1"/>
  <c r="AJ4700" i="1"/>
  <c r="E4701" i="1"/>
  <c r="F4701" i="1"/>
  <c r="W4701" i="1"/>
  <c r="AJ4701" i="1"/>
  <c r="E4727" i="1"/>
  <c r="F4727" i="1"/>
  <c r="J4727" i="1"/>
  <c r="W4727" i="1"/>
  <c r="AJ4727" i="1"/>
  <c r="E4738" i="1"/>
  <c r="F4738" i="1"/>
  <c r="W4738" i="1"/>
  <c r="AJ4738" i="1"/>
  <c r="J4738" i="1" l="1"/>
  <c r="J4696" i="1"/>
  <c r="J4698" i="1"/>
  <c r="J4695" i="1"/>
  <c r="J4701" i="1"/>
  <c r="J4700" i="1"/>
  <c r="J4699" i="1"/>
  <c r="J4694" i="1"/>
  <c r="J4693" i="1"/>
  <c r="J4692" i="1"/>
  <c r="J4691" i="1"/>
  <c r="J4690" i="1"/>
  <c r="J4680" i="1"/>
  <c r="J4679" i="1"/>
  <c r="J4676" i="1"/>
  <c r="J4687" i="1"/>
  <c r="J4686" i="1"/>
  <c r="J4685" i="1"/>
  <c r="J4684" i="1"/>
  <c r="J4675" i="1"/>
  <c r="J4689" i="1"/>
  <c r="J4683" i="1"/>
  <c r="J4682" i="1"/>
  <c r="J4677" i="1"/>
  <c r="J4674" i="1"/>
  <c r="J4673" i="1"/>
  <c r="J4672" i="1"/>
  <c r="J4671" i="1"/>
  <c r="H2386" i="8"/>
  <c r="AX4667" i="1" l="1"/>
  <c r="AY4635" i="1"/>
  <c r="E4628" i="1" l="1"/>
  <c r="F4628" i="1"/>
  <c r="J4628" i="1"/>
  <c r="W4628" i="1"/>
  <c r="AJ4628" i="1"/>
  <c r="E4629" i="1"/>
  <c r="F4629" i="1"/>
  <c r="W4629" i="1"/>
  <c r="AJ4629" i="1"/>
  <c r="E4630" i="1"/>
  <c r="F4630" i="1"/>
  <c r="W4630" i="1"/>
  <c r="AJ4630" i="1"/>
  <c r="E4631" i="1"/>
  <c r="F4631" i="1"/>
  <c r="W4631" i="1"/>
  <c r="AJ4631" i="1"/>
  <c r="E4632" i="1"/>
  <c r="F4632" i="1"/>
  <c r="W4632" i="1"/>
  <c r="AJ4632" i="1"/>
  <c r="E4633" i="1"/>
  <c r="F4633" i="1"/>
  <c r="W4633" i="1"/>
  <c r="AJ4633" i="1"/>
  <c r="E4634" i="1"/>
  <c r="F4634" i="1"/>
  <c r="W4634" i="1"/>
  <c r="AJ4634" i="1"/>
  <c r="E4635" i="1"/>
  <c r="F4635" i="1"/>
  <c r="W4635" i="1"/>
  <c r="AJ4635" i="1"/>
  <c r="E4636" i="1"/>
  <c r="F4636" i="1"/>
  <c r="W4636" i="1"/>
  <c r="AJ4636" i="1"/>
  <c r="E4637" i="1"/>
  <c r="F4637" i="1"/>
  <c r="W4637" i="1"/>
  <c r="AJ4637" i="1"/>
  <c r="E4638" i="1"/>
  <c r="F4638" i="1"/>
  <c r="J4638" i="1"/>
  <c r="W4638" i="1"/>
  <c r="AJ4638" i="1"/>
  <c r="E4639" i="1"/>
  <c r="F4639" i="1"/>
  <c r="W4639" i="1"/>
  <c r="AJ4639" i="1"/>
  <c r="E4640" i="1"/>
  <c r="F4640" i="1"/>
  <c r="W4640" i="1"/>
  <c r="AJ4640" i="1"/>
  <c r="E4641" i="1"/>
  <c r="F4641" i="1"/>
  <c r="W4641" i="1"/>
  <c r="AJ4641" i="1"/>
  <c r="E4642" i="1"/>
  <c r="F4642" i="1"/>
  <c r="J4642" i="1"/>
  <c r="W4642" i="1"/>
  <c r="AJ4642" i="1"/>
  <c r="E4643" i="1"/>
  <c r="F4643" i="1"/>
  <c r="W4643" i="1"/>
  <c r="AJ4643" i="1"/>
  <c r="E4644" i="1"/>
  <c r="F4644" i="1"/>
  <c r="J4644" i="1"/>
  <c r="W4644" i="1"/>
  <c r="AJ4644" i="1"/>
  <c r="E4627" i="1"/>
  <c r="F4627" i="1"/>
  <c r="J4627" i="1"/>
  <c r="W4627" i="1"/>
  <c r="AJ4627" i="1"/>
  <c r="E4645" i="1"/>
  <c r="F4645" i="1"/>
  <c r="W4645" i="1"/>
  <c r="AJ4645" i="1"/>
  <c r="E4646" i="1"/>
  <c r="F4646" i="1"/>
  <c r="W4646" i="1"/>
  <c r="AJ4646" i="1"/>
  <c r="E4647" i="1"/>
  <c r="F4647" i="1"/>
  <c r="W4647" i="1"/>
  <c r="AJ4647" i="1"/>
  <c r="E4648" i="1"/>
  <c r="F4648" i="1"/>
  <c r="W4648" i="1"/>
  <c r="AJ4648" i="1"/>
  <c r="E4649" i="1"/>
  <c r="F4649" i="1"/>
  <c r="W4649" i="1"/>
  <c r="AJ4649" i="1"/>
  <c r="E4650" i="1"/>
  <c r="F4650" i="1"/>
  <c r="W4650" i="1"/>
  <c r="AJ4650" i="1"/>
  <c r="E4651" i="1"/>
  <c r="F4651" i="1"/>
  <c r="W4651" i="1"/>
  <c r="AJ4651" i="1"/>
  <c r="E4652" i="1"/>
  <c r="F4652" i="1"/>
  <c r="W4652" i="1"/>
  <c r="AJ4652" i="1"/>
  <c r="E4653" i="1"/>
  <c r="F4653" i="1"/>
  <c r="W4653" i="1"/>
  <c r="AJ4653" i="1"/>
  <c r="E4654" i="1"/>
  <c r="F4654" i="1"/>
  <c r="W4654" i="1"/>
  <c r="AJ4654" i="1"/>
  <c r="E4655" i="1"/>
  <c r="F4655" i="1"/>
  <c r="W4655" i="1"/>
  <c r="AJ4655" i="1"/>
  <c r="E4656" i="1"/>
  <c r="F4656" i="1"/>
  <c r="W4656" i="1"/>
  <c r="AJ4656" i="1"/>
  <c r="E4657" i="1"/>
  <c r="F4657" i="1"/>
  <c r="W4657" i="1"/>
  <c r="AJ4657" i="1"/>
  <c r="E4658" i="1"/>
  <c r="F4658" i="1"/>
  <c r="W4658" i="1"/>
  <c r="AJ4658" i="1"/>
  <c r="E4659" i="1"/>
  <c r="F4659" i="1"/>
  <c r="W4659" i="1"/>
  <c r="AJ4659" i="1"/>
  <c r="E4660" i="1"/>
  <c r="F4660" i="1"/>
  <c r="W4660" i="1"/>
  <c r="AJ4660" i="1"/>
  <c r="E4661" i="1"/>
  <c r="F4661" i="1"/>
  <c r="W4661" i="1"/>
  <c r="AJ4661" i="1"/>
  <c r="E4662" i="1"/>
  <c r="F4662" i="1"/>
  <c r="W4662" i="1"/>
  <c r="AJ4662" i="1"/>
  <c r="E4663" i="1"/>
  <c r="F4663" i="1"/>
  <c r="J4663" i="1"/>
  <c r="W4663" i="1"/>
  <c r="AJ4663" i="1"/>
  <c r="E4664" i="1"/>
  <c r="F4664" i="1"/>
  <c r="W4664" i="1"/>
  <c r="AJ4664" i="1"/>
  <c r="E4665" i="1"/>
  <c r="F4665" i="1"/>
  <c r="J4665" i="1"/>
  <c r="W4665" i="1"/>
  <c r="AJ4665" i="1"/>
  <c r="E4666" i="1"/>
  <c r="F4666" i="1"/>
  <c r="J4666" i="1"/>
  <c r="W4666" i="1"/>
  <c r="AJ4666" i="1"/>
  <c r="E4667" i="1"/>
  <c r="F4667" i="1"/>
  <c r="J4667" i="1"/>
  <c r="W4667" i="1"/>
  <c r="AJ4667" i="1"/>
  <c r="E4668" i="1"/>
  <c r="F4668" i="1"/>
  <c r="W4668" i="1"/>
  <c r="AJ4668" i="1"/>
  <c r="E4669" i="1"/>
  <c r="F4669" i="1"/>
  <c r="W4669" i="1"/>
  <c r="AJ4669" i="1"/>
  <c r="E4670" i="1"/>
  <c r="F4670" i="1"/>
  <c r="W4670" i="1"/>
  <c r="AJ4670" i="1"/>
  <c r="E4739" i="1"/>
  <c r="F4739" i="1"/>
  <c r="W4739" i="1"/>
  <c r="AJ4739" i="1"/>
  <c r="E4740" i="1"/>
  <c r="F4740" i="1"/>
  <c r="W4740" i="1"/>
  <c r="AJ4740" i="1"/>
  <c r="J4740" i="1" l="1"/>
  <c r="J4739" i="1"/>
  <c r="J4670" i="1"/>
  <c r="J4669" i="1"/>
  <c r="J4668" i="1"/>
  <c r="J4633" i="1"/>
  <c r="J4632" i="1"/>
  <c r="J4631" i="1"/>
  <c r="J4630" i="1"/>
  <c r="J4629" i="1"/>
  <c r="J4664" i="1"/>
  <c r="J4641" i="1"/>
  <c r="J4640" i="1"/>
  <c r="J4639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3" i="1"/>
  <c r="J4637" i="1"/>
  <c r="J4636" i="1"/>
  <c r="J4635" i="1"/>
  <c r="J4634" i="1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377" i="8" l="1"/>
  <c r="H2378" i="8"/>
  <c r="H2379" i="8"/>
  <c r="H2380" i="8"/>
  <c r="H2381" i="8"/>
  <c r="H2382" i="8"/>
  <c r="H2383" i="8"/>
  <c r="H2384" i="8"/>
  <c r="H2385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AX4625" i="1" l="1"/>
  <c r="E4576" i="1"/>
  <c r="F4576" i="1"/>
  <c r="W4576" i="1"/>
  <c r="AJ4576" i="1"/>
  <c r="E4577" i="1"/>
  <c r="F4577" i="1"/>
  <c r="J4577" i="1"/>
  <c r="W4577" i="1"/>
  <c r="AJ4577" i="1"/>
  <c r="E4578" i="1"/>
  <c r="F4578" i="1"/>
  <c r="J4578" i="1"/>
  <c r="W4578" i="1"/>
  <c r="AJ4578" i="1"/>
  <c r="E4579" i="1"/>
  <c r="F4579" i="1"/>
  <c r="W4579" i="1"/>
  <c r="AJ4579" i="1"/>
  <c r="E4580" i="1"/>
  <c r="F4580" i="1"/>
  <c r="W4580" i="1"/>
  <c r="AJ4580" i="1"/>
  <c r="E4581" i="1"/>
  <c r="F4581" i="1"/>
  <c r="J4581" i="1"/>
  <c r="W4581" i="1"/>
  <c r="AJ4581" i="1"/>
  <c r="E4582" i="1"/>
  <c r="F4582" i="1"/>
  <c r="W4582" i="1"/>
  <c r="AJ4582" i="1"/>
  <c r="E4583" i="1"/>
  <c r="F4583" i="1"/>
  <c r="W4583" i="1"/>
  <c r="AJ4583" i="1"/>
  <c r="E4584" i="1"/>
  <c r="F4584" i="1"/>
  <c r="W4584" i="1"/>
  <c r="AJ4584" i="1"/>
  <c r="E4585" i="1"/>
  <c r="F4585" i="1"/>
  <c r="W4585" i="1"/>
  <c r="AJ4585" i="1"/>
  <c r="E4586" i="1"/>
  <c r="F4586" i="1"/>
  <c r="W4586" i="1"/>
  <c r="AJ4586" i="1"/>
  <c r="E4587" i="1"/>
  <c r="F4587" i="1"/>
  <c r="W4587" i="1"/>
  <c r="AJ4587" i="1"/>
  <c r="E4588" i="1"/>
  <c r="F4588" i="1"/>
  <c r="W4588" i="1"/>
  <c r="AJ4588" i="1"/>
  <c r="E4589" i="1"/>
  <c r="F4589" i="1"/>
  <c r="W4589" i="1"/>
  <c r="AJ4589" i="1"/>
  <c r="E4590" i="1"/>
  <c r="F4590" i="1"/>
  <c r="W4590" i="1"/>
  <c r="AJ4590" i="1"/>
  <c r="E4591" i="1"/>
  <c r="F4591" i="1"/>
  <c r="W4591" i="1"/>
  <c r="AJ4591" i="1"/>
  <c r="E4592" i="1"/>
  <c r="F4592" i="1"/>
  <c r="J4592" i="1"/>
  <c r="W4592" i="1"/>
  <c r="AJ4592" i="1"/>
  <c r="E4593" i="1"/>
  <c r="F4593" i="1"/>
  <c r="W4593" i="1"/>
  <c r="AJ4593" i="1"/>
  <c r="E4594" i="1"/>
  <c r="F4594" i="1"/>
  <c r="W4594" i="1"/>
  <c r="AJ4594" i="1"/>
  <c r="E4595" i="1"/>
  <c r="F4595" i="1"/>
  <c r="J4595" i="1"/>
  <c r="W4595" i="1"/>
  <c r="AJ4595" i="1"/>
  <c r="E4596" i="1"/>
  <c r="F4596" i="1"/>
  <c r="W4596" i="1"/>
  <c r="AJ4596" i="1"/>
  <c r="E4597" i="1"/>
  <c r="F4597" i="1"/>
  <c r="W4597" i="1"/>
  <c r="AJ4597" i="1"/>
  <c r="E4598" i="1"/>
  <c r="F4598" i="1"/>
  <c r="W4598" i="1"/>
  <c r="AJ4598" i="1"/>
  <c r="E4599" i="1"/>
  <c r="F4599" i="1"/>
  <c r="W4599" i="1"/>
  <c r="AJ4599" i="1"/>
  <c r="E4600" i="1"/>
  <c r="F4600" i="1"/>
  <c r="J4600" i="1"/>
  <c r="W4600" i="1"/>
  <c r="AJ4600" i="1"/>
  <c r="E4601" i="1"/>
  <c r="F4601" i="1"/>
  <c r="W4601" i="1"/>
  <c r="AJ4601" i="1"/>
  <c r="E4602" i="1"/>
  <c r="F4602" i="1"/>
  <c r="W4602" i="1"/>
  <c r="AJ4602" i="1"/>
  <c r="E4603" i="1"/>
  <c r="F4603" i="1"/>
  <c r="J4603" i="1"/>
  <c r="W4603" i="1"/>
  <c r="AJ4603" i="1"/>
  <c r="E4604" i="1"/>
  <c r="F4604" i="1"/>
  <c r="W4604" i="1"/>
  <c r="AJ4604" i="1"/>
  <c r="E4605" i="1"/>
  <c r="F4605" i="1"/>
  <c r="W4605" i="1"/>
  <c r="AJ4605" i="1"/>
  <c r="E4606" i="1"/>
  <c r="F4606" i="1"/>
  <c r="W4606" i="1"/>
  <c r="AJ4606" i="1"/>
  <c r="E4607" i="1"/>
  <c r="F4607" i="1"/>
  <c r="W4607" i="1"/>
  <c r="AJ4607" i="1"/>
  <c r="E4608" i="1"/>
  <c r="F4608" i="1"/>
  <c r="W4608" i="1"/>
  <c r="AJ4608" i="1"/>
  <c r="E4609" i="1"/>
  <c r="F4609" i="1"/>
  <c r="W4609" i="1"/>
  <c r="AJ4609" i="1"/>
  <c r="E4610" i="1"/>
  <c r="F4610" i="1"/>
  <c r="W4610" i="1"/>
  <c r="AJ4610" i="1"/>
  <c r="E4611" i="1"/>
  <c r="F4611" i="1"/>
  <c r="W4611" i="1"/>
  <c r="AJ4611" i="1"/>
  <c r="E4612" i="1"/>
  <c r="F4612" i="1"/>
  <c r="W4612" i="1"/>
  <c r="AJ4612" i="1"/>
  <c r="E4613" i="1"/>
  <c r="F4613" i="1"/>
  <c r="W4613" i="1"/>
  <c r="AJ4613" i="1"/>
  <c r="E4614" i="1"/>
  <c r="F4614" i="1"/>
  <c r="W4614" i="1"/>
  <c r="AJ4614" i="1"/>
  <c r="E4615" i="1"/>
  <c r="F4615" i="1"/>
  <c r="W4615" i="1"/>
  <c r="AJ4615" i="1"/>
  <c r="E4616" i="1"/>
  <c r="F4616" i="1"/>
  <c r="W4616" i="1"/>
  <c r="AJ4616" i="1"/>
  <c r="E4617" i="1"/>
  <c r="F4617" i="1"/>
  <c r="W4617" i="1"/>
  <c r="AJ4617" i="1"/>
  <c r="E4618" i="1"/>
  <c r="F4618" i="1"/>
  <c r="W4618" i="1"/>
  <c r="AJ4618" i="1"/>
  <c r="E4619" i="1"/>
  <c r="F4619" i="1"/>
  <c r="W4619" i="1"/>
  <c r="AJ4619" i="1"/>
  <c r="E4620" i="1"/>
  <c r="F4620" i="1"/>
  <c r="W4620" i="1"/>
  <c r="AJ4620" i="1"/>
  <c r="E4621" i="1"/>
  <c r="F4621" i="1"/>
  <c r="W4621" i="1"/>
  <c r="AJ4621" i="1"/>
  <c r="E4622" i="1"/>
  <c r="F4622" i="1"/>
  <c r="W4622" i="1"/>
  <c r="AJ4622" i="1"/>
  <c r="E4623" i="1"/>
  <c r="F4623" i="1"/>
  <c r="J4623" i="1"/>
  <c r="W4623" i="1"/>
  <c r="AJ4623" i="1"/>
  <c r="E4624" i="1"/>
  <c r="F4624" i="1"/>
  <c r="W4624" i="1"/>
  <c r="AJ4624" i="1"/>
  <c r="E4625" i="1"/>
  <c r="F4625" i="1"/>
  <c r="W4625" i="1"/>
  <c r="AJ4625" i="1"/>
  <c r="E4626" i="1"/>
  <c r="F4626" i="1"/>
  <c r="W4626" i="1"/>
  <c r="AJ4626" i="1"/>
  <c r="J4622" i="1" l="1"/>
  <c r="J4621" i="1"/>
  <c r="J4620" i="1"/>
  <c r="J4619" i="1"/>
  <c r="J4618" i="1"/>
  <c r="J4613" i="1"/>
  <c r="J4626" i="1"/>
  <c r="J4612" i="1"/>
  <c r="J4611" i="1"/>
  <c r="J4610" i="1"/>
  <c r="J4609" i="1"/>
  <c r="J4608" i="1"/>
  <c r="J4607" i="1"/>
  <c r="J4599" i="1"/>
  <c r="J4614" i="1"/>
  <c r="J4602" i="1"/>
  <c r="J4601" i="1"/>
  <c r="J4594" i="1"/>
  <c r="J4593" i="1"/>
  <c r="J4580" i="1"/>
  <c r="J4579" i="1"/>
  <c r="J4625" i="1"/>
  <c r="J4624" i="1"/>
  <c r="J4617" i="1"/>
  <c r="J4616" i="1"/>
  <c r="J4615" i="1"/>
  <c r="J4606" i="1"/>
  <c r="J4605" i="1"/>
  <c r="J4604" i="1"/>
  <c r="J4598" i="1"/>
  <c r="J4597" i="1"/>
  <c r="J4596" i="1"/>
  <c r="J4591" i="1"/>
  <c r="J4590" i="1"/>
  <c r="J4589" i="1"/>
  <c r="J4588" i="1"/>
  <c r="J4587" i="1"/>
  <c r="J4586" i="1"/>
  <c r="J4585" i="1"/>
  <c r="J4584" i="1"/>
  <c r="J4583" i="1"/>
  <c r="J4582" i="1"/>
  <c r="J4576" i="1"/>
  <c r="BL32" i="7"/>
  <c r="BL33" i="7"/>
  <c r="BL35" i="7"/>
  <c r="BL37" i="7"/>
  <c r="BL38" i="7"/>
  <c r="BL39" i="7"/>
  <c r="BL40" i="7"/>
  <c r="BL41" i="7"/>
  <c r="BL42" i="7"/>
  <c r="BL43" i="7"/>
  <c r="BL44" i="7"/>
  <c r="BL45" i="7"/>
  <c r="BL47" i="7"/>
  <c r="AX4569" i="1" l="1"/>
  <c r="BL6" i="7" l="1"/>
  <c r="H2354" i="8" l="1"/>
  <c r="H2358" i="8"/>
  <c r="H2357" i="8"/>
  <c r="H2356" i="8"/>
  <c r="H2355" i="8"/>
  <c r="H2359" i="8" l="1"/>
  <c r="H2360" i="8"/>
  <c r="H2353" i="8"/>
  <c r="H2346" i="8"/>
  <c r="H2352" i="8"/>
  <c r="H2351" i="8"/>
  <c r="BL46" i="7"/>
  <c r="BK44" i="7"/>
  <c r="BJ44" i="7"/>
  <c r="BK45" i="7"/>
  <c r="BL34" i="7"/>
  <c r="BL31" i="7"/>
  <c r="BL30" i="7"/>
  <c r="BL29" i="7"/>
  <c r="BL27" i="7"/>
  <c r="BK27" i="7"/>
  <c r="BK26" i="7"/>
  <c r="BL26" i="7"/>
  <c r="BL25" i="7"/>
  <c r="BL24" i="7"/>
  <c r="BL22" i="7"/>
  <c r="BL21" i="7"/>
  <c r="BL20" i="7"/>
  <c r="BL19" i="7"/>
  <c r="BL18" i="7"/>
  <c r="BL17" i="7"/>
  <c r="BL16" i="7"/>
  <c r="BL11" i="7"/>
  <c r="BL10" i="7"/>
  <c r="BL9" i="7"/>
  <c r="BL8" i="7"/>
  <c r="BL7" i="7"/>
  <c r="E4569" i="1"/>
  <c r="F4569" i="1"/>
  <c r="W4569" i="1"/>
  <c r="AJ4569" i="1"/>
  <c r="E4570" i="1"/>
  <c r="F4570" i="1"/>
  <c r="J4570" i="1"/>
  <c r="W4570" i="1"/>
  <c r="AJ4570" i="1"/>
  <c r="E4572" i="1"/>
  <c r="F4572" i="1"/>
  <c r="W4572" i="1"/>
  <c r="AJ4572" i="1"/>
  <c r="E4573" i="1"/>
  <c r="F4573" i="1"/>
  <c r="W4573" i="1"/>
  <c r="AJ4573" i="1"/>
  <c r="E4574" i="1"/>
  <c r="F4574" i="1"/>
  <c r="W4574" i="1"/>
  <c r="AJ4574" i="1"/>
  <c r="E4575" i="1"/>
  <c r="F4575" i="1"/>
  <c r="W4575" i="1"/>
  <c r="AJ4575" i="1"/>
  <c r="AX4566" i="1"/>
  <c r="E4563" i="1"/>
  <c r="F4563" i="1"/>
  <c r="W4563" i="1"/>
  <c r="AJ4563" i="1"/>
  <c r="E4564" i="1"/>
  <c r="F4564" i="1"/>
  <c r="W4564" i="1"/>
  <c r="AJ4564" i="1"/>
  <c r="E4565" i="1"/>
  <c r="F4565" i="1"/>
  <c r="W4565" i="1"/>
  <c r="AJ4565" i="1"/>
  <c r="E4566" i="1"/>
  <c r="F4566" i="1"/>
  <c r="W4566" i="1"/>
  <c r="AJ4566" i="1"/>
  <c r="E4567" i="1"/>
  <c r="F4567" i="1"/>
  <c r="W4567" i="1"/>
  <c r="AJ4567" i="1"/>
  <c r="E4568" i="1"/>
  <c r="F4568" i="1"/>
  <c r="W4568" i="1"/>
  <c r="AJ4568" i="1"/>
  <c r="E4542" i="1"/>
  <c r="F4542" i="1"/>
  <c r="W4542" i="1"/>
  <c r="AJ4542" i="1"/>
  <c r="E4543" i="1"/>
  <c r="F4543" i="1"/>
  <c r="W4543" i="1"/>
  <c r="AJ4543" i="1"/>
  <c r="E4544" i="1"/>
  <c r="F4544" i="1"/>
  <c r="W4544" i="1"/>
  <c r="AJ4544" i="1"/>
  <c r="E4545" i="1"/>
  <c r="F4545" i="1"/>
  <c r="W4545" i="1"/>
  <c r="AJ4545" i="1"/>
  <c r="E4546" i="1"/>
  <c r="F4546" i="1"/>
  <c r="J4546" i="1"/>
  <c r="W4546" i="1"/>
  <c r="AJ4546" i="1"/>
  <c r="E4547" i="1"/>
  <c r="F4547" i="1"/>
  <c r="W4547" i="1"/>
  <c r="AJ4547" i="1"/>
  <c r="E4548" i="1"/>
  <c r="F4548" i="1"/>
  <c r="W4548" i="1"/>
  <c r="AJ4548" i="1"/>
  <c r="E4549" i="1"/>
  <c r="F4549" i="1"/>
  <c r="W4549" i="1"/>
  <c r="AJ4549" i="1"/>
  <c r="E4550" i="1"/>
  <c r="F4550" i="1"/>
  <c r="J4550" i="1"/>
  <c r="W4550" i="1"/>
  <c r="AJ4550" i="1"/>
  <c r="E4551" i="1"/>
  <c r="F4551" i="1"/>
  <c r="W4551" i="1"/>
  <c r="AJ4551" i="1"/>
  <c r="E4552" i="1"/>
  <c r="F4552" i="1"/>
  <c r="W4552" i="1"/>
  <c r="AJ4552" i="1"/>
  <c r="E4553" i="1"/>
  <c r="F4553" i="1"/>
  <c r="W4553" i="1"/>
  <c r="AJ4553" i="1"/>
  <c r="E4554" i="1"/>
  <c r="F4554" i="1"/>
  <c r="W4554" i="1"/>
  <c r="AJ4554" i="1"/>
  <c r="E4555" i="1"/>
  <c r="F4555" i="1"/>
  <c r="W4555" i="1"/>
  <c r="AJ4555" i="1"/>
  <c r="E4556" i="1"/>
  <c r="F4556" i="1"/>
  <c r="W4556" i="1"/>
  <c r="AJ4556" i="1"/>
  <c r="E4557" i="1"/>
  <c r="F4557" i="1"/>
  <c r="J4557" i="1"/>
  <c r="W4557" i="1"/>
  <c r="AJ4557" i="1"/>
  <c r="E4558" i="1"/>
  <c r="F4558" i="1"/>
  <c r="W4558" i="1"/>
  <c r="AJ4558" i="1"/>
  <c r="E4559" i="1"/>
  <c r="F4559" i="1"/>
  <c r="W4559" i="1"/>
  <c r="AJ4559" i="1"/>
  <c r="E4560" i="1"/>
  <c r="F4560" i="1"/>
  <c r="W4560" i="1"/>
  <c r="AJ4560" i="1"/>
  <c r="E4561" i="1"/>
  <c r="F4561" i="1"/>
  <c r="W4561" i="1"/>
  <c r="AJ4561" i="1"/>
  <c r="E4562" i="1"/>
  <c r="F4562" i="1"/>
  <c r="W4562" i="1"/>
  <c r="AJ4562" i="1"/>
  <c r="J4575" i="1" l="1"/>
  <c r="J4574" i="1"/>
  <c r="J4573" i="1"/>
  <c r="J4572" i="1"/>
  <c r="J4567" i="1"/>
  <c r="J4568" i="1"/>
  <c r="J4569" i="1"/>
  <c r="J4562" i="1"/>
  <c r="J4549" i="1"/>
  <c r="J4548" i="1"/>
  <c r="J4547" i="1"/>
  <c r="J4566" i="1"/>
  <c r="J4565" i="1"/>
  <c r="J4564" i="1"/>
  <c r="J4563" i="1"/>
  <c r="J4556" i="1"/>
  <c r="J4555" i="1"/>
  <c r="J4554" i="1"/>
  <c r="BL36" i="7"/>
  <c r="BL28" i="7"/>
  <c r="BL23" i="7"/>
  <c r="BL15" i="7"/>
  <c r="BL13" i="7"/>
  <c r="J4561" i="1"/>
  <c r="J4553" i="1"/>
  <c r="J4552" i="1"/>
  <c r="J4560" i="1"/>
  <c r="J4559" i="1"/>
  <c r="J4558" i="1"/>
  <c r="J4551" i="1"/>
  <c r="J4545" i="1"/>
  <c r="J4544" i="1"/>
  <c r="J4543" i="1"/>
  <c r="J4542" i="1"/>
  <c r="AX4540" i="1"/>
  <c r="E4536" i="1"/>
  <c r="F4536" i="1"/>
  <c r="W4536" i="1"/>
  <c r="AJ4536" i="1"/>
  <c r="E4537" i="1"/>
  <c r="F4537" i="1"/>
  <c r="W4537" i="1"/>
  <c r="AJ4537" i="1"/>
  <c r="E4538" i="1"/>
  <c r="F4538" i="1"/>
  <c r="W4538" i="1"/>
  <c r="AJ4538" i="1"/>
  <c r="E4539" i="1"/>
  <c r="F4539" i="1"/>
  <c r="W4539" i="1"/>
  <c r="AJ4539" i="1"/>
  <c r="E4540" i="1"/>
  <c r="F4540" i="1"/>
  <c r="W4540" i="1"/>
  <c r="AJ4540" i="1"/>
  <c r="E4541" i="1"/>
  <c r="F4541" i="1"/>
  <c r="W4541" i="1"/>
  <c r="AJ4541" i="1"/>
  <c r="BL48" i="7" l="1"/>
  <c r="BL49" i="7" s="1"/>
  <c r="J4541" i="1"/>
  <c r="J4540" i="1"/>
  <c r="J4539" i="1"/>
  <c r="J4538" i="1"/>
  <c r="J4537" i="1"/>
  <c r="J4536" i="1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23" i="8" l="1"/>
  <c r="H2307" i="8" l="1"/>
  <c r="H2322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7" i="8"/>
  <c r="H2348" i="8"/>
  <c r="H2349" i="8"/>
  <c r="H2350" i="8"/>
  <c r="H2362" i="8"/>
  <c r="H2363" i="8"/>
  <c r="H2364" i="8"/>
  <c r="I2484" i="8" l="1"/>
  <c r="I2462" i="8"/>
  <c r="I2445" i="8"/>
  <c r="I2381" i="8"/>
  <c r="I2420" i="8"/>
  <c r="AX4534" i="1"/>
  <c r="E4523" i="1"/>
  <c r="F4523" i="1"/>
  <c r="W4523" i="1"/>
  <c r="AJ4523" i="1"/>
  <c r="E4524" i="1"/>
  <c r="F4524" i="1"/>
  <c r="W4524" i="1"/>
  <c r="AJ4524" i="1"/>
  <c r="E4525" i="1"/>
  <c r="F4525" i="1"/>
  <c r="J4525" i="1"/>
  <c r="W4525" i="1"/>
  <c r="AJ4525" i="1"/>
  <c r="E4526" i="1"/>
  <c r="F4526" i="1"/>
  <c r="W4526" i="1"/>
  <c r="AJ4526" i="1"/>
  <c r="E4527" i="1"/>
  <c r="F4527" i="1"/>
  <c r="J4527" i="1"/>
  <c r="W4527" i="1"/>
  <c r="AJ4527" i="1"/>
  <c r="E4528" i="1"/>
  <c r="F4528" i="1"/>
  <c r="W4528" i="1"/>
  <c r="AJ4528" i="1"/>
  <c r="E4529" i="1"/>
  <c r="F4529" i="1"/>
  <c r="W4529" i="1"/>
  <c r="AJ4529" i="1"/>
  <c r="E4530" i="1"/>
  <c r="F4530" i="1"/>
  <c r="J4530" i="1"/>
  <c r="W4530" i="1"/>
  <c r="AJ4530" i="1"/>
  <c r="E4514" i="1"/>
  <c r="F4514" i="1"/>
  <c r="W4514" i="1"/>
  <c r="AJ4514" i="1"/>
  <c r="E4515" i="1"/>
  <c r="F4515" i="1"/>
  <c r="J4515" i="1"/>
  <c r="W4515" i="1"/>
  <c r="AJ4515" i="1"/>
  <c r="E4516" i="1"/>
  <c r="F4516" i="1"/>
  <c r="J4516" i="1"/>
  <c r="W4516" i="1"/>
  <c r="AJ4516" i="1"/>
  <c r="E4517" i="1"/>
  <c r="F4517" i="1"/>
  <c r="W4517" i="1"/>
  <c r="AJ4517" i="1"/>
  <c r="E4518" i="1"/>
  <c r="F4518" i="1"/>
  <c r="W4518" i="1"/>
  <c r="AJ4518" i="1"/>
  <c r="E4519" i="1"/>
  <c r="F4519" i="1"/>
  <c r="J4519" i="1"/>
  <c r="W4519" i="1"/>
  <c r="AJ4519" i="1"/>
  <c r="E4520" i="1"/>
  <c r="F4520" i="1"/>
  <c r="J4520" i="1"/>
  <c r="W4520" i="1"/>
  <c r="AJ4520" i="1"/>
  <c r="E4521" i="1"/>
  <c r="F4521" i="1"/>
  <c r="W4521" i="1"/>
  <c r="AJ4521" i="1"/>
  <c r="E4522" i="1"/>
  <c r="F4522" i="1"/>
  <c r="W4522" i="1"/>
  <c r="AJ4522" i="1"/>
  <c r="E4531" i="1"/>
  <c r="F4531" i="1"/>
  <c r="W4531" i="1"/>
  <c r="AJ4531" i="1"/>
  <c r="E4532" i="1"/>
  <c r="F4532" i="1"/>
  <c r="W4532" i="1"/>
  <c r="AJ4532" i="1"/>
  <c r="E4533" i="1"/>
  <c r="F4533" i="1"/>
  <c r="W4533" i="1"/>
  <c r="AJ4533" i="1"/>
  <c r="E4534" i="1"/>
  <c r="F4534" i="1"/>
  <c r="W4534" i="1"/>
  <c r="AJ4534" i="1"/>
  <c r="E4535" i="1"/>
  <c r="F4535" i="1"/>
  <c r="J4535" i="1"/>
  <c r="W4535" i="1"/>
  <c r="AJ4535" i="1"/>
  <c r="J4532" i="1" l="1"/>
  <c r="J4529" i="1"/>
  <c r="J4528" i="1"/>
  <c r="J4524" i="1"/>
  <c r="J4523" i="1"/>
  <c r="J4531" i="1"/>
  <c r="J4522" i="1"/>
  <c r="J4534" i="1"/>
  <c r="J4533" i="1"/>
  <c r="J4521" i="1"/>
  <c r="J4518" i="1"/>
  <c r="J4517" i="1"/>
  <c r="J4514" i="1"/>
  <c r="J4526" i="1"/>
  <c r="AX4511" i="1"/>
  <c r="E4482" i="1"/>
  <c r="F4482" i="1"/>
  <c r="J4482" i="1"/>
  <c r="W4482" i="1"/>
  <c r="AJ4482" i="1"/>
  <c r="E4483" i="1"/>
  <c r="F4483" i="1"/>
  <c r="W4483" i="1"/>
  <c r="AJ4483" i="1"/>
  <c r="E4484" i="1"/>
  <c r="F4484" i="1"/>
  <c r="W4484" i="1"/>
  <c r="AJ4484" i="1"/>
  <c r="E4485" i="1"/>
  <c r="F4485" i="1"/>
  <c r="W4485" i="1"/>
  <c r="AJ4485" i="1"/>
  <c r="E4486" i="1"/>
  <c r="F4486" i="1"/>
  <c r="W4486" i="1"/>
  <c r="AJ4486" i="1"/>
  <c r="E4487" i="1"/>
  <c r="F4487" i="1"/>
  <c r="W4487" i="1"/>
  <c r="AJ4487" i="1"/>
  <c r="E4488" i="1"/>
  <c r="F4488" i="1"/>
  <c r="J4488" i="1"/>
  <c r="W4488" i="1"/>
  <c r="AJ4488" i="1"/>
  <c r="E4489" i="1"/>
  <c r="F4489" i="1"/>
  <c r="W4489" i="1"/>
  <c r="AJ4489" i="1"/>
  <c r="E4490" i="1"/>
  <c r="F4490" i="1"/>
  <c r="W4490" i="1"/>
  <c r="AJ4490" i="1"/>
  <c r="E4491" i="1"/>
  <c r="F4491" i="1"/>
  <c r="J4491" i="1"/>
  <c r="W4491" i="1"/>
  <c r="AJ4491" i="1"/>
  <c r="E4492" i="1"/>
  <c r="F4492" i="1"/>
  <c r="W4492" i="1"/>
  <c r="AJ4492" i="1"/>
  <c r="E4493" i="1"/>
  <c r="F4493" i="1"/>
  <c r="W4493" i="1"/>
  <c r="AJ4493" i="1"/>
  <c r="E4494" i="1"/>
  <c r="F4494" i="1"/>
  <c r="W4494" i="1"/>
  <c r="AJ4494" i="1"/>
  <c r="E4495" i="1"/>
  <c r="F4495" i="1"/>
  <c r="W4495" i="1"/>
  <c r="AJ4495" i="1"/>
  <c r="E4496" i="1"/>
  <c r="F4496" i="1"/>
  <c r="J4496" i="1"/>
  <c r="W4496" i="1"/>
  <c r="AJ4496" i="1"/>
  <c r="E4497" i="1"/>
  <c r="F4497" i="1"/>
  <c r="J4497" i="1"/>
  <c r="W4497" i="1"/>
  <c r="AJ4497" i="1"/>
  <c r="E4498" i="1"/>
  <c r="F4498" i="1"/>
  <c r="W4498" i="1"/>
  <c r="AJ4498" i="1"/>
  <c r="E4499" i="1"/>
  <c r="F4499" i="1"/>
  <c r="W4499" i="1"/>
  <c r="AJ4499" i="1"/>
  <c r="E4500" i="1"/>
  <c r="F4500" i="1"/>
  <c r="W4500" i="1"/>
  <c r="AJ4500" i="1"/>
  <c r="E4501" i="1"/>
  <c r="F4501" i="1"/>
  <c r="W4501" i="1"/>
  <c r="AJ4501" i="1"/>
  <c r="E4502" i="1"/>
  <c r="F4502" i="1"/>
  <c r="W4502" i="1"/>
  <c r="AJ4502" i="1"/>
  <c r="E4503" i="1"/>
  <c r="F4503" i="1"/>
  <c r="W4503" i="1"/>
  <c r="AJ4503" i="1"/>
  <c r="E4504" i="1"/>
  <c r="F4504" i="1"/>
  <c r="W4504" i="1"/>
  <c r="AJ4504" i="1"/>
  <c r="E4505" i="1"/>
  <c r="F4505" i="1"/>
  <c r="W4505" i="1"/>
  <c r="AJ4505" i="1"/>
  <c r="E4506" i="1"/>
  <c r="F4506" i="1"/>
  <c r="W4506" i="1"/>
  <c r="AJ4506" i="1"/>
  <c r="E4507" i="1"/>
  <c r="F4507" i="1"/>
  <c r="W4507" i="1"/>
  <c r="AJ4507" i="1"/>
  <c r="E4508" i="1"/>
  <c r="F4508" i="1"/>
  <c r="W4508" i="1"/>
  <c r="AJ4508" i="1"/>
  <c r="E4509" i="1"/>
  <c r="F4509" i="1"/>
  <c r="W4509" i="1"/>
  <c r="AJ4509" i="1"/>
  <c r="E4510" i="1"/>
  <c r="F4510" i="1"/>
  <c r="W4510" i="1"/>
  <c r="AJ4510" i="1"/>
  <c r="E4511" i="1"/>
  <c r="F4511" i="1"/>
  <c r="W4511" i="1"/>
  <c r="AJ4511" i="1"/>
  <c r="E4512" i="1"/>
  <c r="F4512" i="1"/>
  <c r="W4512" i="1"/>
  <c r="AJ4512" i="1"/>
  <c r="E4513" i="1"/>
  <c r="F4513" i="1"/>
  <c r="J4513" i="1"/>
  <c r="W4513" i="1"/>
  <c r="AJ4513" i="1"/>
  <c r="J4512" i="1" l="1"/>
  <c r="J4508" i="1"/>
  <c r="J4490" i="1"/>
  <c r="J4507" i="1"/>
  <c r="J4506" i="1"/>
  <c r="J4505" i="1"/>
  <c r="J4504" i="1"/>
  <c r="J4503" i="1"/>
  <c r="J4502" i="1"/>
  <c r="J4501" i="1"/>
  <c r="J4500" i="1"/>
  <c r="J4492" i="1"/>
  <c r="J4511" i="1"/>
  <c r="J4510" i="1"/>
  <c r="J4509" i="1"/>
  <c r="J4499" i="1"/>
  <c r="J4498" i="1"/>
  <c r="J4495" i="1"/>
  <c r="J4494" i="1"/>
  <c r="J4493" i="1"/>
  <c r="J4487" i="1"/>
  <c r="J4486" i="1"/>
  <c r="J4485" i="1"/>
  <c r="J4484" i="1"/>
  <c r="J4483" i="1"/>
  <c r="J4489" i="1"/>
  <c r="H2296" i="8"/>
  <c r="H2295" i="8" l="1"/>
  <c r="H2283" i="8" l="1"/>
  <c r="H2282" i="8"/>
  <c r="H2284" i="8"/>
  <c r="H2281" i="8"/>
  <c r="H2280" i="8"/>
  <c r="H2279" i="8"/>
  <c r="E4481" i="1" l="1"/>
  <c r="F4481" i="1"/>
  <c r="W4481" i="1"/>
  <c r="AJ4481" i="1"/>
  <c r="E4949" i="1"/>
  <c r="F4949" i="1"/>
  <c r="W4949" i="1"/>
  <c r="AJ4949" i="1"/>
  <c r="AX4479" i="1"/>
  <c r="J4949" i="1" l="1"/>
  <c r="J4481" i="1"/>
  <c r="E4464" i="1"/>
  <c r="F4464" i="1"/>
  <c r="J4464" i="1"/>
  <c r="W4464" i="1"/>
  <c r="AJ4464" i="1"/>
  <c r="E4465" i="1"/>
  <c r="F4465" i="1"/>
  <c r="W4465" i="1"/>
  <c r="AJ4465" i="1"/>
  <c r="E4466" i="1"/>
  <c r="F4466" i="1"/>
  <c r="W4466" i="1"/>
  <c r="AJ4466" i="1"/>
  <c r="E4467" i="1"/>
  <c r="F4467" i="1"/>
  <c r="W4467" i="1"/>
  <c r="AJ4467" i="1"/>
  <c r="E4468" i="1"/>
  <c r="F4468" i="1"/>
  <c r="W4468" i="1"/>
  <c r="AJ4468" i="1"/>
  <c r="E4469" i="1"/>
  <c r="F4469" i="1"/>
  <c r="J4469" i="1"/>
  <c r="W4469" i="1"/>
  <c r="AJ4469" i="1"/>
  <c r="E4470" i="1"/>
  <c r="F4470" i="1"/>
  <c r="W4470" i="1"/>
  <c r="AJ4470" i="1"/>
  <c r="E4471" i="1"/>
  <c r="F4471" i="1"/>
  <c r="W4471" i="1"/>
  <c r="AJ4471" i="1"/>
  <c r="E4472" i="1"/>
  <c r="F4472" i="1"/>
  <c r="W4472" i="1"/>
  <c r="AJ4472" i="1"/>
  <c r="E4473" i="1"/>
  <c r="F4473" i="1"/>
  <c r="W4473" i="1"/>
  <c r="AJ4473" i="1"/>
  <c r="E4474" i="1"/>
  <c r="F4474" i="1"/>
  <c r="W4474" i="1"/>
  <c r="AJ4474" i="1"/>
  <c r="E4444" i="1"/>
  <c r="F4444" i="1"/>
  <c r="W4444" i="1"/>
  <c r="AJ4444" i="1"/>
  <c r="E4445" i="1"/>
  <c r="F4445" i="1"/>
  <c r="W4445" i="1"/>
  <c r="AJ4445" i="1"/>
  <c r="E4446" i="1"/>
  <c r="F4446" i="1"/>
  <c r="W4446" i="1"/>
  <c r="AJ4446" i="1"/>
  <c r="E4447" i="1"/>
  <c r="F4447" i="1"/>
  <c r="W4447" i="1"/>
  <c r="AJ4447" i="1"/>
  <c r="E4448" i="1"/>
  <c r="F4448" i="1"/>
  <c r="W4448" i="1"/>
  <c r="AJ4448" i="1"/>
  <c r="E4449" i="1"/>
  <c r="F4449" i="1"/>
  <c r="W4449" i="1"/>
  <c r="AJ4449" i="1"/>
  <c r="E4450" i="1"/>
  <c r="F4450" i="1"/>
  <c r="W4450" i="1"/>
  <c r="AJ4450" i="1"/>
  <c r="E4451" i="1"/>
  <c r="F4451" i="1"/>
  <c r="W4451" i="1"/>
  <c r="AJ4451" i="1"/>
  <c r="E4452" i="1"/>
  <c r="F4452" i="1"/>
  <c r="W4452" i="1"/>
  <c r="AJ4452" i="1"/>
  <c r="E4453" i="1"/>
  <c r="F4453" i="1"/>
  <c r="W4453" i="1"/>
  <c r="AJ4453" i="1"/>
  <c r="E4454" i="1"/>
  <c r="F4454" i="1"/>
  <c r="W4454" i="1"/>
  <c r="AJ4454" i="1"/>
  <c r="E4455" i="1"/>
  <c r="F4455" i="1"/>
  <c r="W4455" i="1"/>
  <c r="AJ4455" i="1"/>
  <c r="E4456" i="1"/>
  <c r="F4456" i="1"/>
  <c r="W4456" i="1"/>
  <c r="AJ4456" i="1"/>
  <c r="E4457" i="1"/>
  <c r="F4457" i="1"/>
  <c r="J4457" i="1"/>
  <c r="W4457" i="1"/>
  <c r="AJ4457" i="1"/>
  <c r="E4458" i="1"/>
  <c r="F4458" i="1"/>
  <c r="W4458" i="1"/>
  <c r="AJ4458" i="1"/>
  <c r="E4459" i="1"/>
  <c r="F4459" i="1"/>
  <c r="W4459" i="1"/>
  <c r="AJ4459" i="1"/>
  <c r="E4460" i="1"/>
  <c r="F4460" i="1"/>
  <c r="W4460" i="1"/>
  <c r="AJ4460" i="1"/>
  <c r="E4461" i="1"/>
  <c r="F4461" i="1"/>
  <c r="W4461" i="1"/>
  <c r="AJ4461" i="1"/>
  <c r="E4462" i="1"/>
  <c r="F4462" i="1"/>
  <c r="W4462" i="1"/>
  <c r="AJ4462" i="1"/>
  <c r="E4463" i="1"/>
  <c r="F4463" i="1"/>
  <c r="W4463" i="1"/>
  <c r="AJ4463" i="1"/>
  <c r="E4475" i="1"/>
  <c r="F4475" i="1"/>
  <c r="W4475" i="1"/>
  <c r="AJ4475" i="1"/>
  <c r="J4475" i="1" l="1"/>
  <c r="J4468" i="1"/>
  <c r="J4474" i="1"/>
  <c r="J4473" i="1"/>
  <c r="J4472" i="1"/>
  <c r="J4471" i="1"/>
  <c r="J4470" i="1"/>
  <c r="J4463" i="1"/>
  <c r="J4462" i="1"/>
  <c r="J4461" i="1"/>
  <c r="J4460" i="1"/>
  <c r="J4459" i="1"/>
  <c r="J4458" i="1"/>
  <c r="J4456" i="1"/>
  <c r="J4454" i="1"/>
  <c r="J4445" i="1"/>
  <c r="J4455" i="1"/>
  <c r="J4453" i="1"/>
  <c r="J4452" i="1"/>
  <c r="J4451" i="1"/>
  <c r="J4450" i="1"/>
  <c r="J4449" i="1"/>
  <c r="J4448" i="1"/>
  <c r="J4444" i="1"/>
  <c r="J4447" i="1"/>
  <c r="J4446" i="1"/>
  <c r="J4467" i="1"/>
  <c r="J4466" i="1"/>
  <c r="J4465" i="1"/>
  <c r="H2264" i="8"/>
  <c r="BW132" i="2" l="1"/>
  <c r="BV132" i="2"/>
  <c r="BU132" i="2"/>
  <c r="BT132" i="2"/>
  <c r="BS132" i="2"/>
  <c r="BR132" i="2"/>
  <c r="BQ132" i="2"/>
  <c r="BP132" i="2"/>
  <c r="BO132" i="2"/>
  <c r="BN132" i="2"/>
  <c r="BM132" i="2"/>
  <c r="BL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BK132" i="2" l="1"/>
  <c r="BX132" i="2"/>
  <c r="H2260" i="8"/>
  <c r="AX4437" i="1" l="1"/>
  <c r="E4430" i="1"/>
  <c r="F4430" i="1"/>
  <c r="W4430" i="1"/>
  <c r="AJ4430" i="1"/>
  <c r="E4431" i="1"/>
  <c r="F4431" i="1"/>
  <c r="W4431" i="1"/>
  <c r="AJ4431" i="1"/>
  <c r="E4432" i="1"/>
  <c r="F4432" i="1"/>
  <c r="J4432" i="1"/>
  <c r="W4432" i="1"/>
  <c r="AJ4432" i="1"/>
  <c r="E4433" i="1"/>
  <c r="F4433" i="1"/>
  <c r="W4433" i="1"/>
  <c r="AJ4433" i="1"/>
  <c r="E4434" i="1"/>
  <c r="F4434" i="1"/>
  <c r="W4434" i="1"/>
  <c r="AJ4434" i="1"/>
  <c r="E4435" i="1"/>
  <c r="F4435" i="1"/>
  <c r="W4435" i="1"/>
  <c r="AJ4435" i="1"/>
  <c r="E4436" i="1"/>
  <c r="F4436" i="1"/>
  <c r="W4436" i="1"/>
  <c r="AJ4436" i="1"/>
  <c r="E4437" i="1"/>
  <c r="F4437" i="1"/>
  <c r="W4437" i="1"/>
  <c r="AJ4437" i="1"/>
  <c r="E4438" i="1"/>
  <c r="F4438" i="1"/>
  <c r="W4438" i="1"/>
  <c r="AJ4438" i="1"/>
  <c r="E4439" i="1"/>
  <c r="F4439" i="1"/>
  <c r="W4439" i="1"/>
  <c r="AJ4439" i="1"/>
  <c r="E4440" i="1"/>
  <c r="F4440" i="1"/>
  <c r="W4440" i="1"/>
  <c r="AJ4440" i="1"/>
  <c r="E4441" i="1"/>
  <c r="F4441" i="1"/>
  <c r="W4441" i="1"/>
  <c r="AJ4441" i="1"/>
  <c r="E4442" i="1"/>
  <c r="F4442" i="1"/>
  <c r="W4442" i="1"/>
  <c r="AJ4442" i="1"/>
  <c r="E4443" i="1"/>
  <c r="F4443" i="1"/>
  <c r="W4443" i="1"/>
  <c r="AJ4443" i="1"/>
  <c r="E4476" i="1"/>
  <c r="F4476" i="1"/>
  <c r="W4476" i="1"/>
  <c r="AJ4476" i="1"/>
  <c r="E4477" i="1"/>
  <c r="F4477" i="1"/>
  <c r="W4477" i="1"/>
  <c r="AJ4477" i="1"/>
  <c r="E4478" i="1"/>
  <c r="F4478" i="1"/>
  <c r="W4478" i="1"/>
  <c r="AJ4478" i="1"/>
  <c r="E4479" i="1"/>
  <c r="F4479" i="1"/>
  <c r="W4479" i="1"/>
  <c r="AJ4479" i="1"/>
  <c r="E4480" i="1"/>
  <c r="F4480" i="1"/>
  <c r="W4480" i="1"/>
  <c r="AJ4480" i="1"/>
  <c r="E4396" i="1"/>
  <c r="F4396" i="1"/>
  <c r="W4396" i="1"/>
  <c r="AJ4396" i="1"/>
  <c r="E4397" i="1"/>
  <c r="F4397" i="1"/>
  <c r="W4397" i="1"/>
  <c r="AJ4397" i="1"/>
  <c r="E4398" i="1"/>
  <c r="F4398" i="1"/>
  <c r="J4398" i="1"/>
  <c r="W4398" i="1"/>
  <c r="AJ4398" i="1"/>
  <c r="E4399" i="1"/>
  <c r="F4399" i="1"/>
  <c r="W4399" i="1"/>
  <c r="AJ4399" i="1"/>
  <c r="E4400" i="1"/>
  <c r="F4400" i="1"/>
  <c r="W4400" i="1"/>
  <c r="AJ4400" i="1"/>
  <c r="E4401" i="1"/>
  <c r="F4401" i="1"/>
  <c r="W4401" i="1"/>
  <c r="AJ4401" i="1"/>
  <c r="E4402" i="1"/>
  <c r="F4402" i="1"/>
  <c r="W4402" i="1"/>
  <c r="AJ4402" i="1"/>
  <c r="E4403" i="1"/>
  <c r="F4403" i="1"/>
  <c r="W4403" i="1"/>
  <c r="AJ4403" i="1"/>
  <c r="E4404" i="1"/>
  <c r="F4404" i="1"/>
  <c r="W4404" i="1"/>
  <c r="AJ4404" i="1"/>
  <c r="E4405" i="1"/>
  <c r="F4405" i="1"/>
  <c r="W4405" i="1"/>
  <c r="AJ4405" i="1"/>
  <c r="E4406" i="1"/>
  <c r="F4406" i="1"/>
  <c r="W4406" i="1"/>
  <c r="AJ4406" i="1"/>
  <c r="E4394" i="1"/>
  <c r="F4394" i="1"/>
  <c r="W4394" i="1"/>
  <c r="AJ4394" i="1"/>
  <c r="E4395" i="1"/>
  <c r="F4395" i="1"/>
  <c r="W4395" i="1"/>
  <c r="AJ4395" i="1"/>
  <c r="E4407" i="1"/>
  <c r="F4407" i="1"/>
  <c r="J4407" i="1"/>
  <c r="W4407" i="1"/>
  <c r="AJ4407" i="1"/>
  <c r="E4408" i="1"/>
  <c r="F4408" i="1"/>
  <c r="W4408" i="1"/>
  <c r="AJ4408" i="1"/>
  <c r="E4409" i="1"/>
  <c r="F4409" i="1"/>
  <c r="W4409" i="1"/>
  <c r="AJ4409" i="1"/>
  <c r="E4410" i="1"/>
  <c r="F4410" i="1"/>
  <c r="W4410" i="1"/>
  <c r="AJ4410" i="1"/>
  <c r="E4411" i="1"/>
  <c r="F4411" i="1"/>
  <c r="J4411" i="1"/>
  <c r="W4411" i="1"/>
  <c r="AJ4411" i="1"/>
  <c r="E4412" i="1"/>
  <c r="F4412" i="1"/>
  <c r="W4412" i="1"/>
  <c r="AJ4412" i="1"/>
  <c r="E4413" i="1"/>
  <c r="F4413" i="1"/>
  <c r="W4413" i="1"/>
  <c r="AJ4413" i="1"/>
  <c r="E4414" i="1"/>
  <c r="F4414" i="1"/>
  <c r="W4414" i="1"/>
  <c r="AJ4414" i="1"/>
  <c r="E4415" i="1"/>
  <c r="F4415" i="1"/>
  <c r="W4415" i="1"/>
  <c r="AJ4415" i="1"/>
  <c r="E4416" i="1"/>
  <c r="F4416" i="1"/>
  <c r="J4416" i="1"/>
  <c r="W4416" i="1"/>
  <c r="AJ4416" i="1"/>
  <c r="E4417" i="1"/>
  <c r="F4417" i="1"/>
  <c r="W4417" i="1"/>
  <c r="AJ4417" i="1"/>
  <c r="E4418" i="1"/>
  <c r="F4418" i="1"/>
  <c r="W4418" i="1"/>
  <c r="AJ4418" i="1"/>
  <c r="E4419" i="1"/>
  <c r="F4419" i="1"/>
  <c r="W4419" i="1"/>
  <c r="AJ4419" i="1"/>
  <c r="E4420" i="1"/>
  <c r="F4420" i="1"/>
  <c r="W4420" i="1"/>
  <c r="AJ4420" i="1"/>
  <c r="E4382" i="1"/>
  <c r="F4382" i="1"/>
  <c r="W4382" i="1"/>
  <c r="AJ4382" i="1"/>
  <c r="E4378" i="1"/>
  <c r="F4378" i="1"/>
  <c r="J4477" i="1" l="1"/>
  <c r="J4479" i="1"/>
  <c r="J4476" i="1"/>
  <c r="J4480" i="1"/>
  <c r="J4478" i="1"/>
  <c r="J4443" i="1"/>
  <c r="J4442" i="1"/>
  <c r="J4441" i="1"/>
  <c r="J4440" i="1"/>
  <c r="J4439" i="1"/>
  <c r="J4438" i="1"/>
  <c r="J4437" i="1"/>
  <c r="J4436" i="1"/>
  <c r="J4382" i="1"/>
  <c r="J4420" i="1"/>
  <c r="J4419" i="1"/>
  <c r="J4415" i="1"/>
  <c r="J4413" i="1"/>
  <c r="J4412" i="1"/>
  <c r="J4394" i="1"/>
  <c r="J4406" i="1"/>
  <c r="J4405" i="1"/>
  <c r="J4404" i="1"/>
  <c r="J4403" i="1"/>
  <c r="J4400" i="1"/>
  <c r="J4399" i="1"/>
  <c r="J4435" i="1"/>
  <c r="J4434" i="1"/>
  <c r="J4433" i="1"/>
  <c r="J4417" i="1"/>
  <c r="J4414" i="1"/>
  <c r="J4410" i="1"/>
  <c r="J4409" i="1"/>
  <c r="J4408" i="1"/>
  <c r="J4431" i="1"/>
  <c r="J4430" i="1"/>
  <c r="J4418" i="1"/>
  <c r="J4395" i="1"/>
  <c r="J4401" i="1"/>
  <c r="J4397" i="1"/>
  <c r="J4396" i="1"/>
  <c r="J4402" i="1"/>
  <c r="BK47" i="7"/>
  <c r="BK46" i="7" s="1"/>
  <c r="BJ47" i="7"/>
  <c r="BK43" i="7"/>
  <c r="BK42" i="7"/>
  <c r="BK39" i="7"/>
  <c r="BK40" i="7"/>
  <c r="BK41" i="7"/>
  <c r="BK38" i="7"/>
  <c r="BK37" i="7"/>
  <c r="BK35" i="7"/>
  <c r="BK34" i="7"/>
  <c r="BK33" i="7"/>
  <c r="BK32" i="7"/>
  <c r="BK31" i="7"/>
  <c r="BK30" i="7"/>
  <c r="BK29" i="7"/>
  <c r="BK25" i="7"/>
  <c r="BK24" i="7"/>
  <c r="BK22" i="7"/>
  <c r="BK20" i="7"/>
  <c r="BK19" i="7"/>
  <c r="BK18" i="7"/>
  <c r="BK17" i="7"/>
  <c r="BK16" i="7"/>
  <c r="BK11" i="7"/>
  <c r="BK21" i="7"/>
  <c r="BK10" i="7"/>
  <c r="BK9" i="7"/>
  <c r="BK8" i="7"/>
  <c r="BK7" i="7"/>
  <c r="BK6" i="7"/>
  <c r="J4378" i="1"/>
  <c r="W4378" i="1"/>
  <c r="AJ4378" i="1"/>
  <c r="E4379" i="1"/>
  <c r="F4379" i="1"/>
  <c r="W4379" i="1"/>
  <c r="AJ4379" i="1"/>
  <c r="E4380" i="1"/>
  <c r="F4380" i="1"/>
  <c r="W4380" i="1"/>
  <c r="AJ4380" i="1"/>
  <c r="E4381" i="1"/>
  <c r="F4381" i="1"/>
  <c r="W4381" i="1"/>
  <c r="AJ4381" i="1"/>
  <c r="E4383" i="1"/>
  <c r="F4383" i="1"/>
  <c r="J4383" i="1"/>
  <c r="W4383" i="1"/>
  <c r="AJ4383" i="1"/>
  <c r="E4385" i="1"/>
  <c r="F4385" i="1"/>
  <c r="J4385" i="1"/>
  <c r="W4385" i="1"/>
  <c r="AJ4385" i="1"/>
  <c r="E4386" i="1"/>
  <c r="F4386" i="1"/>
  <c r="W4386" i="1"/>
  <c r="AJ4386" i="1"/>
  <c r="E4387" i="1"/>
  <c r="F4387" i="1"/>
  <c r="W4387" i="1"/>
  <c r="AJ4387" i="1"/>
  <c r="E4388" i="1"/>
  <c r="F4388" i="1"/>
  <c r="W4388" i="1"/>
  <c r="AJ4388" i="1"/>
  <c r="E4389" i="1"/>
  <c r="F4389" i="1"/>
  <c r="W4389" i="1"/>
  <c r="AJ4389" i="1"/>
  <c r="E4390" i="1"/>
  <c r="F4390" i="1"/>
  <c r="J4390" i="1"/>
  <c r="W4390" i="1"/>
  <c r="AJ4390" i="1"/>
  <c r="E4391" i="1"/>
  <c r="F4391" i="1"/>
  <c r="W4391" i="1"/>
  <c r="AJ4391" i="1"/>
  <c r="E4392" i="1"/>
  <c r="F4392" i="1"/>
  <c r="J4392" i="1"/>
  <c r="W4392" i="1"/>
  <c r="AJ4392" i="1"/>
  <c r="E4393" i="1"/>
  <c r="F4393" i="1"/>
  <c r="W4393" i="1"/>
  <c r="AJ4393" i="1"/>
  <c r="E4421" i="1"/>
  <c r="F4421" i="1"/>
  <c r="J4421" i="1"/>
  <c r="W4421" i="1"/>
  <c r="AJ4421" i="1"/>
  <c r="H2259" i="8"/>
  <c r="H2261" i="8"/>
  <c r="H2262" i="8"/>
  <c r="H2263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85" i="8"/>
  <c r="H2286" i="8"/>
  <c r="H2287" i="8"/>
  <c r="H2288" i="8"/>
  <c r="H2289" i="8"/>
  <c r="H2290" i="8"/>
  <c r="H2291" i="8"/>
  <c r="H2292" i="8"/>
  <c r="H2293" i="8"/>
  <c r="H2294" i="8"/>
  <c r="H2297" i="8"/>
  <c r="H2298" i="8"/>
  <c r="H2299" i="8"/>
  <c r="H2300" i="8"/>
  <c r="H2301" i="8"/>
  <c r="H2302" i="8"/>
  <c r="H2303" i="8"/>
  <c r="H2304" i="8"/>
  <c r="H2305" i="8"/>
  <c r="H2306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249" i="8"/>
  <c r="H2250" i="8"/>
  <c r="H2251" i="8"/>
  <c r="H2252" i="8"/>
  <c r="H2253" i="8"/>
  <c r="H2254" i="8"/>
  <c r="H2255" i="8"/>
  <c r="H2256" i="8"/>
  <c r="J4381" i="1" l="1"/>
  <c r="J4380" i="1"/>
  <c r="J4393" i="1"/>
  <c r="J4389" i="1"/>
  <c r="J4391" i="1"/>
  <c r="J4388" i="1"/>
  <c r="J4387" i="1"/>
  <c r="J4386" i="1"/>
  <c r="J4379" i="1"/>
  <c r="BK36" i="7"/>
  <c r="BK28" i="7"/>
  <c r="BK23" i="7"/>
  <c r="BK15" i="7"/>
  <c r="BK13" i="7"/>
  <c r="H2242" i="8"/>
  <c r="H2243" i="8"/>
  <c r="H2244" i="8"/>
  <c r="H2245" i="8"/>
  <c r="H2246" i="8"/>
  <c r="H2247" i="8"/>
  <c r="H2248" i="8"/>
  <c r="H2258" i="8"/>
  <c r="I2352" i="8" l="1"/>
  <c r="I2360" i="8"/>
  <c r="I2313" i="8"/>
  <c r="I2340" i="8"/>
  <c r="I2267" i="8"/>
  <c r="I2303" i="8"/>
  <c r="I2285" i="8"/>
  <c r="BK48" i="7"/>
  <c r="BK49" i="7" s="1"/>
  <c r="AJ4363" i="1"/>
  <c r="W4363" i="1"/>
  <c r="J4363" i="1"/>
  <c r="F4363" i="1"/>
  <c r="E4363" i="1"/>
  <c r="AX4376" i="1" l="1"/>
  <c r="F4370" i="1"/>
  <c r="E4352" i="1"/>
  <c r="F4352" i="1"/>
  <c r="W4352" i="1"/>
  <c r="AJ4352" i="1"/>
  <c r="E4353" i="1"/>
  <c r="F4353" i="1"/>
  <c r="W4353" i="1"/>
  <c r="AJ4353" i="1"/>
  <c r="E4354" i="1"/>
  <c r="F4354" i="1"/>
  <c r="W4354" i="1"/>
  <c r="AJ4354" i="1"/>
  <c r="E4355" i="1"/>
  <c r="F4355" i="1"/>
  <c r="J4355" i="1"/>
  <c r="W4355" i="1"/>
  <c r="AJ4355" i="1"/>
  <c r="E4356" i="1"/>
  <c r="F4356" i="1"/>
  <c r="W4356" i="1"/>
  <c r="AJ4356" i="1"/>
  <c r="E4357" i="1"/>
  <c r="F4357" i="1"/>
  <c r="W4357" i="1"/>
  <c r="AJ4357" i="1"/>
  <c r="E4358" i="1"/>
  <c r="F4358" i="1"/>
  <c r="W4358" i="1"/>
  <c r="AJ4358" i="1"/>
  <c r="E4359" i="1"/>
  <c r="F4359" i="1"/>
  <c r="W4359" i="1"/>
  <c r="AJ4359" i="1"/>
  <c r="E4360" i="1"/>
  <c r="F4360" i="1"/>
  <c r="W4360" i="1"/>
  <c r="AJ4360" i="1"/>
  <c r="E4361" i="1"/>
  <c r="F4361" i="1"/>
  <c r="W4361" i="1"/>
  <c r="AJ4361" i="1"/>
  <c r="E4362" i="1"/>
  <c r="F4362" i="1"/>
  <c r="W4362" i="1"/>
  <c r="AJ4362" i="1"/>
  <c r="E4364" i="1"/>
  <c r="F4364" i="1"/>
  <c r="W4364" i="1"/>
  <c r="AJ4364" i="1"/>
  <c r="E4365" i="1"/>
  <c r="F4365" i="1"/>
  <c r="W4365" i="1"/>
  <c r="AJ4365" i="1"/>
  <c r="E4366" i="1"/>
  <c r="F4366" i="1"/>
  <c r="W4366" i="1"/>
  <c r="AJ4366" i="1"/>
  <c r="E4368" i="1"/>
  <c r="F4368" i="1"/>
  <c r="W4368" i="1"/>
  <c r="AJ4368" i="1"/>
  <c r="E4369" i="1"/>
  <c r="F4369" i="1"/>
  <c r="W4369" i="1"/>
  <c r="AJ4369" i="1"/>
  <c r="E4370" i="1"/>
  <c r="W4370" i="1"/>
  <c r="AJ4370" i="1"/>
  <c r="E4371" i="1"/>
  <c r="F4371" i="1"/>
  <c r="W4371" i="1"/>
  <c r="AJ4371" i="1"/>
  <c r="E4372" i="1"/>
  <c r="F4372" i="1"/>
  <c r="W4372" i="1"/>
  <c r="AJ4372" i="1"/>
  <c r="E4373" i="1"/>
  <c r="F4373" i="1"/>
  <c r="W4373" i="1"/>
  <c r="AJ4373" i="1"/>
  <c r="E4374" i="1"/>
  <c r="F4374" i="1"/>
  <c r="W4374" i="1"/>
  <c r="AJ4374" i="1"/>
  <c r="E4375" i="1"/>
  <c r="F4375" i="1"/>
  <c r="W4375" i="1"/>
  <c r="AJ4375" i="1"/>
  <c r="E4376" i="1"/>
  <c r="F4376" i="1"/>
  <c r="W4376" i="1"/>
  <c r="AJ4376" i="1"/>
  <c r="E4377" i="1"/>
  <c r="F4377" i="1"/>
  <c r="W4377" i="1"/>
  <c r="AJ4377" i="1"/>
  <c r="J4365" i="1" l="1"/>
  <c r="J4377" i="1"/>
  <c r="J4376" i="1"/>
  <c r="J4364" i="1"/>
  <c r="J4370" i="1"/>
  <c r="J4369" i="1"/>
  <c r="J4371" i="1"/>
  <c r="J4368" i="1"/>
  <c r="J4361" i="1"/>
  <c r="J4360" i="1"/>
  <c r="J4359" i="1"/>
  <c r="J4358" i="1"/>
  <c r="J4366" i="1"/>
  <c r="J4375" i="1"/>
  <c r="J4374" i="1"/>
  <c r="J4373" i="1"/>
  <c r="J4372" i="1"/>
  <c r="J4357" i="1"/>
  <c r="J4362" i="1"/>
  <c r="J4354" i="1"/>
  <c r="J4353" i="1"/>
  <c r="J4352" i="1"/>
  <c r="J4356" i="1"/>
  <c r="H2237" i="8"/>
  <c r="H2238" i="8"/>
  <c r="H2239" i="8"/>
  <c r="H2240" i="8"/>
  <c r="H2241" i="8"/>
  <c r="H2231" i="8"/>
  <c r="H2232" i="8"/>
  <c r="H2233" i="8"/>
  <c r="H2234" i="8"/>
  <c r="H2235" i="8"/>
  <c r="H2236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14" i="8" l="1"/>
  <c r="H2215" i="8"/>
  <c r="AX4346" i="1" l="1"/>
  <c r="E4328" i="1"/>
  <c r="F4328" i="1"/>
  <c r="W4328" i="1"/>
  <c r="AJ4328" i="1"/>
  <c r="E4329" i="1"/>
  <c r="F4329" i="1"/>
  <c r="W4329" i="1"/>
  <c r="AJ4329" i="1"/>
  <c r="E4330" i="1"/>
  <c r="F4330" i="1"/>
  <c r="W4330" i="1"/>
  <c r="AJ4330" i="1"/>
  <c r="E4331" i="1"/>
  <c r="F4331" i="1"/>
  <c r="W4331" i="1"/>
  <c r="AJ4331" i="1"/>
  <c r="E4332" i="1"/>
  <c r="F4332" i="1"/>
  <c r="W4332" i="1"/>
  <c r="AJ4332" i="1"/>
  <c r="E4333" i="1"/>
  <c r="F4333" i="1"/>
  <c r="W4333" i="1"/>
  <c r="AJ4333" i="1"/>
  <c r="E4334" i="1"/>
  <c r="F4334" i="1"/>
  <c r="W4334" i="1"/>
  <c r="AJ4334" i="1"/>
  <c r="E4335" i="1"/>
  <c r="F4335" i="1"/>
  <c r="J4335" i="1"/>
  <c r="W4335" i="1"/>
  <c r="AJ4335" i="1"/>
  <c r="E4336" i="1"/>
  <c r="F4336" i="1"/>
  <c r="W4336" i="1"/>
  <c r="AJ4336" i="1"/>
  <c r="E4337" i="1"/>
  <c r="F4337" i="1"/>
  <c r="J4337" i="1"/>
  <c r="W4337" i="1"/>
  <c r="AJ4337" i="1"/>
  <c r="E4338" i="1"/>
  <c r="F4338" i="1"/>
  <c r="W4338" i="1"/>
  <c r="AJ4338" i="1"/>
  <c r="E4324" i="1"/>
  <c r="F4324" i="1"/>
  <c r="W4324" i="1"/>
  <c r="AJ4324" i="1"/>
  <c r="E4325" i="1"/>
  <c r="F4325" i="1"/>
  <c r="W4325" i="1"/>
  <c r="AJ4325" i="1"/>
  <c r="E4326" i="1"/>
  <c r="F4326" i="1"/>
  <c r="W4326" i="1"/>
  <c r="AJ4326" i="1"/>
  <c r="E4327" i="1"/>
  <c r="F4327" i="1"/>
  <c r="W4327" i="1"/>
  <c r="AJ4327" i="1"/>
  <c r="E4339" i="1"/>
  <c r="F4339" i="1"/>
  <c r="W4339" i="1"/>
  <c r="AJ4339" i="1"/>
  <c r="E4340" i="1"/>
  <c r="F4340" i="1"/>
  <c r="J4340" i="1"/>
  <c r="W4340" i="1"/>
  <c r="AJ4340" i="1"/>
  <c r="E4341" i="1"/>
  <c r="F4341" i="1"/>
  <c r="W4341" i="1"/>
  <c r="AJ4341" i="1"/>
  <c r="E4342" i="1"/>
  <c r="F4342" i="1"/>
  <c r="W4342" i="1"/>
  <c r="AJ4342" i="1"/>
  <c r="E4343" i="1"/>
  <c r="F4343" i="1"/>
  <c r="W4343" i="1"/>
  <c r="AJ4343" i="1"/>
  <c r="E4344" i="1"/>
  <c r="F4344" i="1"/>
  <c r="W4344" i="1"/>
  <c r="AJ4344" i="1"/>
  <c r="E4345" i="1"/>
  <c r="F4345" i="1"/>
  <c r="W4345" i="1"/>
  <c r="AJ4345" i="1"/>
  <c r="E4346" i="1"/>
  <c r="F4346" i="1"/>
  <c r="W4346" i="1"/>
  <c r="AJ4346" i="1"/>
  <c r="E4347" i="1"/>
  <c r="F4347" i="1"/>
  <c r="J4347" i="1"/>
  <c r="W4347" i="1"/>
  <c r="AJ4347" i="1"/>
  <c r="E4348" i="1"/>
  <c r="F4348" i="1"/>
  <c r="W4348" i="1"/>
  <c r="AJ4348" i="1"/>
  <c r="E4349" i="1"/>
  <c r="F4349" i="1"/>
  <c r="W4349" i="1"/>
  <c r="AJ4349" i="1"/>
  <c r="E4350" i="1"/>
  <c r="F4350" i="1"/>
  <c r="W4350" i="1"/>
  <c r="AJ4350" i="1"/>
  <c r="E4351" i="1"/>
  <c r="F4351" i="1"/>
  <c r="J4351" i="1"/>
  <c r="W4351" i="1"/>
  <c r="AJ4351" i="1"/>
  <c r="E4422" i="1"/>
  <c r="F4422" i="1"/>
  <c r="W4422" i="1"/>
  <c r="AJ4422" i="1"/>
  <c r="E4423" i="1"/>
  <c r="F4423" i="1"/>
  <c r="W4423" i="1"/>
  <c r="AJ4423" i="1"/>
  <c r="E4424" i="1"/>
  <c r="F4424" i="1"/>
  <c r="W4424" i="1"/>
  <c r="AJ4424" i="1"/>
  <c r="J4424" i="1" l="1"/>
  <c r="J4423" i="1"/>
  <c r="J4422" i="1"/>
  <c r="J4350" i="1"/>
  <c r="J4346" i="1"/>
  <c r="J4342" i="1"/>
  <c r="J4349" i="1"/>
  <c r="J4348" i="1"/>
  <c r="J4345" i="1"/>
  <c r="J4344" i="1"/>
  <c r="J4343" i="1"/>
  <c r="J4339" i="1"/>
  <c r="J4327" i="1"/>
  <c r="J4338" i="1"/>
  <c r="J4334" i="1"/>
  <c r="J4330" i="1"/>
  <c r="J4329" i="1"/>
  <c r="J4341" i="1"/>
  <c r="J4336" i="1"/>
  <c r="J4332" i="1"/>
  <c r="J4331" i="1"/>
  <c r="J4333" i="1"/>
  <c r="J4328" i="1"/>
  <c r="J4326" i="1"/>
  <c r="J4325" i="1"/>
  <c r="J4324" i="1"/>
  <c r="E4319" i="1"/>
  <c r="F4319" i="1"/>
  <c r="W4319" i="1"/>
  <c r="AJ4319" i="1"/>
  <c r="E4320" i="1"/>
  <c r="F4320" i="1"/>
  <c r="W4320" i="1"/>
  <c r="AJ4320" i="1"/>
  <c r="E4321" i="1"/>
  <c r="F4321" i="1"/>
  <c r="J4321" i="1"/>
  <c r="W4321" i="1"/>
  <c r="AJ4321" i="1"/>
  <c r="E4322" i="1"/>
  <c r="F4322" i="1"/>
  <c r="W4322" i="1"/>
  <c r="AJ4322" i="1"/>
  <c r="E4323" i="1"/>
  <c r="F4323" i="1"/>
  <c r="W4323" i="1"/>
  <c r="AJ4323" i="1"/>
  <c r="E4425" i="1"/>
  <c r="F4425" i="1"/>
  <c r="W4425" i="1"/>
  <c r="AJ4425" i="1"/>
  <c r="E4426" i="1"/>
  <c r="F4426" i="1"/>
  <c r="J4426" i="1"/>
  <c r="W4426" i="1"/>
  <c r="AJ4426" i="1"/>
  <c r="E4427" i="1"/>
  <c r="F4427" i="1"/>
  <c r="W4427" i="1"/>
  <c r="AJ4427" i="1"/>
  <c r="E4428" i="1"/>
  <c r="F4428" i="1"/>
  <c r="W4428" i="1"/>
  <c r="AJ4428" i="1"/>
  <c r="E4429" i="1"/>
  <c r="F4429" i="1"/>
  <c r="W4429" i="1"/>
  <c r="AJ4429" i="1"/>
  <c r="E4316" i="1"/>
  <c r="F4316" i="1"/>
  <c r="W4316" i="1"/>
  <c r="AJ4316" i="1"/>
  <c r="E4317" i="1"/>
  <c r="F4317" i="1"/>
  <c r="W4317" i="1"/>
  <c r="AJ4317" i="1"/>
  <c r="E4318" i="1"/>
  <c r="F4318" i="1"/>
  <c r="W4318" i="1"/>
  <c r="AJ4318" i="1"/>
  <c r="AJ4315" i="1"/>
  <c r="W4315" i="1"/>
  <c r="F4315" i="1"/>
  <c r="E4315" i="1"/>
  <c r="AX4314" i="1"/>
  <c r="AJ4314" i="1"/>
  <c r="W4314" i="1"/>
  <c r="F4314" i="1"/>
  <c r="E4314" i="1"/>
  <c r="AJ4313" i="1"/>
  <c r="W4313" i="1"/>
  <c r="F4313" i="1"/>
  <c r="E4313" i="1"/>
  <c r="AJ4312" i="1"/>
  <c r="W4312" i="1"/>
  <c r="F4312" i="1"/>
  <c r="E4312" i="1"/>
  <c r="AJ4311" i="1"/>
  <c r="W4311" i="1"/>
  <c r="F4311" i="1"/>
  <c r="E4311" i="1"/>
  <c r="AJ4310" i="1"/>
  <c r="W4310" i="1"/>
  <c r="F4310" i="1"/>
  <c r="E4310" i="1"/>
  <c r="AJ4309" i="1"/>
  <c r="W4309" i="1"/>
  <c r="F4309" i="1"/>
  <c r="E4309" i="1"/>
  <c r="AJ4308" i="1"/>
  <c r="W4308" i="1"/>
  <c r="F4308" i="1"/>
  <c r="E4308" i="1"/>
  <c r="AJ4307" i="1"/>
  <c r="W4307" i="1"/>
  <c r="J4307" i="1"/>
  <c r="F4307" i="1"/>
  <c r="E4307" i="1"/>
  <c r="AJ4306" i="1"/>
  <c r="W4306" i="1"/>
  <c r="F4306" i="1"/>
  <c r="E4306" i="1"/>
  <c r="AJ4305" i="1"/>
  <c r="W4305" i="1"/>
  <c r="F4305" i="1"/>
  <c r="E4305" i="1"/>
  <c r="AJ4304" i="1"/>
  <c r="W4304" i="1"/>
  <c r="F4304" i="1"/>
  <c r="E4304" i="1"/>
  <c r="AJ4303" i="1"/>
  <c r="W4303" i="1"/>
  <c r="F4303" i="1"/>
  <c r="E4303" i="1"/>
  <c r="AJ4302" i="1"/>
  <c r="W4302" i="1"/>
  <c r="F4302" i="1"/>
  <c r="E4302" i="1"/>
  <c r="AJ4301" i="1"/>
  <c r="W4301" i="1"/>
  <c r="F4301" i="1"/>
  <c r="E4301" i="1"/>
  <c r="AJ4300" i="1"/>
  <c r="W4300" i="1"/>
  <c r="F4300" i="1"/>
  <c r="E4300" i="1"/>
  <c r="AJ4299" i="1"/>
  <c r="W4299" i="1"/>
  <c r="F4299" i="1"/>
  <c r="E4299" i="1"/>
  <c r="AJ4298" i="1"/>
  <c r="W4298" i="1"/>
  <c r="F4298" i="1"/>
  <c r="E4298" i="1"/>
  <c r="AJ4297" i="1"/>
  <c r="W4297" i="1"/>
  <c r="F4297" i="1"/>
  <c r="E4297" i="1"/>
  <c r="AJ4296" i="1"/>
  <c r="W4296" i="1"/>
  <c r="F4296" i="1"/>
  <c r="E4296" i="1"/>
  <c r="AJ4295" i="1"/>
  <c r="W4295" i="1"/>
  <c r="F4295" i="1"/>
  <c r="E4295" i="1"/>
  <c r="AJ4294" i="1"/>
  <c r="W4294" i="1"/>
  <c r="F4294" i="1"/>
  <c r="E4294" i="1"/>
  <c r="AJ4293" i="1"/>
  <c r="W4293" i="1"/>
  <c r="F4293" i="1"/>
  <c r="E4293" i="1"/>
  <c r="AJ4292" i="1"/>
  <c r="W4292" i="1"/>
  <c r="J4292" i="1"/>
  <c r="F4292" i="1"/>
  <c r="E4292" i="1"/>
  <c r="AJ4291" i="1"/>
  <c r="W4291" i="1"/>
  <c r="F4291" i="1"/>
  <c r="E4291" i="1"/>
  <c r="AJ4290" i="1"/>
  <c r="W4290" i="1"/>
  <c r="F4290" i="1"/>
  <c r="E4290" i="1"/>
  <c r="AJ4289" i="1"/>
  <c r="W4289" i="1"/>
  <c r="F4289" i="1"/>
  <c r="E4289" i="1"/>
  <c r="AJ4288" i="1"/>
  <c r="W4288" i="1"/>
  <c r="F4288" i="1"/>
  <c r="E4288" i="1"/>
  <c r="AJ4287" i="1"/>
  <c r="W4287" i="1"/>
  <c r="F4287" i="1"/>
  <c r="E4287" i="1"/>
  <c r="AJ4286" i="1"/>
  <c r="W4286" i="1"/>
  <c r="F4286" i="1"/>
  <c r="E4286" i="1"/>
  <c r="AJ4285" i="1"/>
  <c r="W4285" i="1"/>
  <c r="F4285" i="1"/>
  <c r="E4285" i="1"/>
  <c r="AJ4284" i="1"/>
  <c r="W4284" i="1"/>
  <c r="F4284" i="1"/>
  <c r="E4284" i="1"/>
  <c r="AJ4283" i="1"/>
  <c r="W4283" i="1"/>
  <c r="J4283" i="1"/>
  <c r="F4283" i="1"/>
  <c r="E4283" i="1"/>
  <c r="AJ4282" i="1"/>
  <c r="W4282" i="1"/>
  <c r="J4282" i="1"/>
  <c r="F4282" i="1"/>
  <c r="E4282" i="1"/>
  <c r="AJ4281" i="1"/>
  <c r="W4281" i="1"/>
  <c r="J4281" i="1"/>
  <c r="F4281" i="1"/>
  <c r="E4281" i="1"/>
  <c r="AJ4280" i="1"/>
  <c r="W4280" i="1"/>
  <c r="J4280" i="1"/>
  <c r="F4280" i="1"/>
  <c r="E4280" i="1"/>
  <c r="J4425" i="1" l="1"/>
  <c r="J4429" i="1"/>
  <c r="J4428" i="1"/>
  <c r="J4427" i="1"/>
  <c r="J4315" i="1"/>
  <c r="J4323" i="1"/>
  <c r="J4322" i="1"/>
  <c r="J4318" i="1"/>
  <c r="J4317" i="1"/>
  <c r="J4316" i="1"/>
  <c r="J4320" i="1"/>
  <c r="J4319" i="1"/>
  <c r="J4304" i="1"/>
  <c r="J4296" i="1"/>
  <c r="J4301" i="1"/>
  <c r="J4302" i="1"/>
  <c r="J4303" i="1"/>
  <c r="J4308" i="1"/>
  <c r="J4309" i="1"/>
  <c r="J4310" i="1"/>
  <c r="J4290" i="1"/>
  <c r="J4314" i="1"/>
  <c r="J4286" i="1"/>
  <c r="J4289" i="1"/>
  <c r="J4294" i="1"/>
  <c r="J4295" i="1"/>
  <c r="J4285" i="1"/>
  <c r="J4291" i="1"/>
  <c r="J4298" i="1"/>
  <c r="J4299" i="1"/>
  <c r="J4300" i="1"/>
  <c r="J4306" i="1"/>
  <c r="J4288" i="1"/>
  <c r="J4311" i="1"/>
  <c r="J4312" i="1"/>
  <c r="J4313" i="1"/>
  <c r="J4284" i="1"/>
  <c r="J4287" i="1"/>
  <c r="J4293" i="1"/>
  <c r="J4297" i="1"/>
  <c r="J4305" i="1"/>
  <c r="H2186" i="8" l="1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AX4279" i="1" l="1"/>
  <c r="F4272" i="1"/>
  <c r="E4264" i="1"/>
  <c r="F4264" i="1"/>
  <c r="W4264" i="1"/>
  <c r="AJ4264" i="1"/>
  <c r="E4265" i="1"/>
  <c r="F4265" i="1"/>
  <c r="W4265" i="1"/>
  <c r="AJ4265" i="1"/>
  <c r="E4266" i="1"/>
  <c r="F4266" i="1"/>
  <c r="W4266" i="1"/>
  <c r="AJ4266" i="1"/>
  <c r="E4267" i="1"/>
  <c r="F4267" i="1"/>
  <c r="W4267" i="1"/>
  <c r="AJ4267" i="1"/>
  <c r="E4268" i="1"/>
  <c r="F4268" i="1"/>
  <c r="W4268" i="1"/>
  <c r="AJ4268" i="1"/>
  <c r="E4269" i="1"/>
  <c r="F4269" i="1"/>
  <c r="W4269" i="1"/>
  <c r="AJ4269" i="1"/>
  <c r="E4270" i="1"/>
  <c r="F4270" i="1"/>
  <c r="W4270" i="1"/>
  <c r="AJ4270" i="1"/>
  <c r="E4271" i="1"/>
  <c r="F4271" i="1"/>
  <c r="W4271" i="1"/>
  <c r="AJ4271" i="1"/>
  <c r="E4272" i="1"/>
  <c r="W4272" i="1"/>
  <c r="AJ4272" i="1"/>
  <c r="E4273" i="1"/>
  <c r="F4273" i="1"/>
  <c r="W4273" i="1"/>
  <c r="AJ4273" i="1"/>
  <c r="E4274" i="1"/>
  <c r="F4274" i="1"/>
  <c r="W4274" i="1"/>
  <c r="AJ4274" i="1"/>
  <c r="E4275" i="1"/>
  <c r="F4275" i="1"/>
  <c r="W4275" i="1"/>
  <c r="AJ4275" i="1"/>
  <c r="E4276" i="1"/>
  <c r="F4276" i="1"/>
  <c r="W4276" i="1"/>
  <c r="AJ4276" i="1"/>
  <c r="E4277" i="1"/>
  <c r="F4277" i="1"/>
  <c r="J4277" i="1"/>
  <c r="W4277" i="1"/>
  <c r="AJ4277" i="1"/>
  <c r="E4278" i="1"/>
  <c r="F4278" i="1"/>
  <c r="W4278" i="1"/>
  <c r="AJ4278" i="1"/>
  <c r="E4279" i="1"/>
  <c r="F4279" i="1"/>
  <c r="W4279" i="1"/>
  <c r="AJ4279" i="1"/>
  <c r="E4224" i="1"/>
  <c r="E4237" i="1"/>
  <c r="F4237" i="1"/>
  <c r="W4237" i="1"/>
  <c r="AJ4237" i="1"/>
  <c r="E4238" i="1"/>
  <c r="F4238" i="1"/>
  <c r="W4238" i="1"/>
  <c r="AJ4238" i="1"/>
  <c r="E4239" i="1"/>
  <c r="F4239" i="1"/>
  <c r="W4239" i="1"/>
  <c r="AJ4239" i="1"/>
  <c r="E4240" i="1"/>
  <c r="F4240" i="1"/>
  <c r="W4240" i="1"/>
  <c r="AJ4240" i="1"/>
  <c r="E4241" i="1"/>
  <c r="F4241" i="1"/>
  <c r="W4241" i="1"/>
  <c r="AJ4241" i="1"/>
  <c r="E4242" i="1"/>
  <c r="F4242" i="1"/>
  <c r="W4242" i="1"/>
  <c r="AJ4242" i="1"/>
  <c r="E4243" i="1"/>
  <c r="F4243" i="1"/>
  <c r="W4243" i="1"/>
  <c r="AJ4243" i="1"/>
  <c r="E4244" i="1"/>
  <c r="F4244" i="1"/>
  <c r="W4244" i="1"/>
  <c r="AJ4244" i="1"/>
  <c r="E4245" i="1"/>
  <c r="F4245" i="1"/>
  <c r="W4245" i="1"/>
  <c r="AJ4245" i="1"/>
  <c r="E4246" i="1"/>
  <c r="F4246" i="1"/>
  <c r="W4246" i="1"/>
  <c r="AJ4246" i="1"/>
  <c r="E4247" i="1"/>
  <c r="F4247" i="1"/>
  <c r="W4247" i="1"/>
  <c r="AJ4247" i="1"/>
  <c r="E4248" i="1"/>
  <c r="F4248" i="1"/>
  <c r="W4248" i="1"/>
  <c r="AJ4248" i="1"/>
  <c r="E4249" i="1"/>
  <c r="F4249" i="1"/>
  <c r="J4249" i="1"/>
  <c r="W4249" i="1"/>
  <c r="AJ4249" i="1"/>
  <c r="E4253" i="1"/>
  <c r="F4253" i="1"/>
  <c r="W4253" i="1"/>
  <c r="AJ4253" i="1"/>
  <c r="E4254" i="1"/>
  <c r="F4254" i="1"/>
  <c r="W4254" i="1"/>
  <c r="AJ4254" i="1"/>
  <c r="E4255" i="1"/>
  <c r="F4255" i="1"/>
  <c r="W4255" i="1"/>
  <c r="AJ4255" i="1"/>
  <c r="E4256" i="1"/>
  <c r="F4256" i="1"/>
  <c r="W4256" i="1"/>
  <c r="AJ4256" i="1"/>
  <c r="E4257" i="1"/>
  <c r="F4257" i="1"/>
  <c r="W4257" i="1"/>
  <c r="AJ4257" i="1"/>
  <c r="E4258" i="1"/>
  <c r="F4258" i="1"/>
  <c r="W4258" i="1"/>
  <c r="AJ4258" i="1"/>
  <c r="E4259" i="1"/>
  <c r="F4259" i="1"/>
  <c r="W4259" i="1"/>
  <c r="AJ4259" i="1"/>
  <c r="E4260" i="1"/>
  <c r="F4260" i="1"/>
  <c r="W4260" i="1"/>
  <c r="AJ4260" i="1"/>
  <c r="E4261" i="1"/>
  <c r="F4261" i="1"/>
  <c r="W4261" i="1"/>
  <c r="AJ4261" i="1"/>
  <c r="E4262" i="1"/>
  <c r="F4262" i="1"/>
  <c r="W4262" i="1"/>
  <c r="AJ4262" i="1"/>
  <c r="E4263" i="1"/>
  <c r="F4263" i="1"/>
  <c r="W4263" i="1"/>
  <c r="AJ4263" i="1"/>
  <c r="J4267" i="1" l="1"/>
  <c r="J4265" i="1"/>
  <c r="J4241" i="1"/>
  <c r="J4239" i="1"/>
  <c r="J4238" i="1"/>
  <c r="J4237" i="1"/>
  <c r="J4279" i="1"/>
  <c r="J4275" i="1"/>
  <c r="J4248" i="1"/>
  <c r="J4247" i="1"/>
  <c r="J4246" i="1"/>
  <c r="J4245" i="1"/>
  <c r="J4243" i="1"/>
  <c r="J4242" i="1"/>
  <c r="J4274" i="1"/>
  <c r="J4271" i="1"/>
  <c r="J4270" i="1"/>
  <c r="J4269" i="1"/>
  <c r="J4268" i="1"/>
  <c r="J4273" i="1"/>
  <c r="J4278" i="1"/>
  <c r="J4276" i="1"/>
  <c r="J4272" i="1"/>
  <c r="J4266" i="1"/>
  <c r="J4264" i="1"/>
  <c r="J4263" i="1"/>
  <c r="J4262" i="1"/>
  <c r="J4261" i="1"/>
  <c r="J4260" i="1"/>
  <c r="J4259" i="1"/>
  <c r="J4255" i="1"/>
  <c r="J4254" i="1"/>
  <c r="J4244" i="1"/>
  <c r="J4253" i="1"/>
  <c r="J4258" i="1"/>
  <c r="J4257" i="1"/>
  <c r="J4256" i="1"/>
  <c r="J4240" i="1"/>
  <c r="H2156" i="8" l="1"/>
  <c r="H2155" i="8"/>
  <c r="H2154" i="8"/>
  <c r="H2153" i="8"/>
  <c r="H2152" i="8"/>
  <c r="BJ46" i="7" l="1"/>
  <c r="BJ45" i="7"/>
  <c r="BJ43" i="7"/>
  <c r="BJ42" i="7"/>
  <c r="BJ41" i="7"/>
  <c r="BJ40" i="7"/>
  <c r="BJ39" i="7"/>
  <c r="BJ38" i="7"/>
  <c r="BJ37" i="7"/>
  <c r="BJ35" i="7"/>
  <c r="BJ34" i="7"/>
  <c r="BJ33" i="7"/>
  <c r="BJ32" i="7"/>
  <c r="BJ31" i="7"/>
  <c r="BJ30" i="7"/>
  <c r="BJ29" i="7"/>
  <c r="BJ27" i="7"/>
  <c r="BJ26" i="7"/>
  <c r="BJ25" i="7"/>
  <c r="BJ24" i="7"/>
  <c r="BJ22" i="7"/>
  <c r="BJ21" i="7"/>
  <c r="BJ20" i="7"/>
  <c r="BJ19" i="7"/>
  <c r="BJ18" i="7"/>
  <c r="BJ17" i="7"/>
  <c r="BJ16" i="7"/>
  <c r="BJ11" i="7"/>
  <c r="BJ10" i="7"/>
  <c r="BJ9" i="7"/>
  <c r="BJ8" i="7"/>
  <c r="BJ7" i="7"/>
  <c r="BJ6" i="7"/>
  <c r="E4230" i="1"/>
  <c r="F4230" i="1"/>
  <c r="W4230" i="1"/>
  <c r="AJ4230" i="1"/>
  <c r="E4231" i="1"/>
  <c r="F4231" i="1"/>
  <c r="J4231" i="1"/>
  <c r="W4231" i="1"/>
  <c r="AJ4231" i="1"/>
  <c r="E4232" i="1"/>
  <c r="F4232" i="1"/>
  <c r="W4232" i="1"/>
  <c r="AJ4232" i="1"/>
  <c r="E4233" i="1"/>
  <c r="F4233" i="1"/>
  <c r="W4233" i="1"/>
  <c r="AJ4233" i="1"/>
  <c r="E4234" i="1"/>
  <c r="F4234" i="1"/>
  <c r="W4234" i="1"/>
  <c r="AJ4234" i="1"/>
  <c r="E4235" i="1"/>
  <c r="F4235" i="1"/>
  <c r="J4235" i="1"/>
  <c r="W4235" i="1"/>
  <c r="AJ4235" i="1"/>
  <c r="E4236" i="1"/>
  <c r="F4236" i="1"/>
  <c r="W4236" i="1"/>
  <c r="AJ4236" i="1"/>
  <c r="E4250" i="1"/>
  <c r="F4250" i="1"/>
  <c r="W4250" i="1"/>
  <c r="AJ4250" i="1"/>
  <c r="E4251" i="1"/>
  <c r="F4251" i="1"/>
  <c r="W4251" i="1"/>
  <c r="AJ4251" i="1"/>
  <c r="E4252" i="1"/>
  <c r="F4252" i="1"/>
  <c r="W4252" i="1"/>
  <c r="AJ4252" i="1"/>
  <c r="J4252" i="1" l="1"/>
  <c r="J4251" i="1"/>
  <c r="J4250" i="1"/>
  <c r="J4236" i="1"/>
  <c r="J4230" i="1"/>
  <c r="J4234" i="1"/>
  <c r="J4233" i="1"/>
  <c r="J4232" i="1"/>
  <c r="BJ36" i="7"/>
  <c r="BJ28" i="7"/>
  <c r="BJ23" i="7"/>
  <c r="BJ15" i="7"/>
  <c r="BJ13" i="7"/>
  <c r="BJ48" i="7" l="1"/>
  <c r="BJ49" i="7" s="1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45" i="8"/>
  <c r="H2146" i="8"/>
  <c r="H2147" i="8"/>
  <c r="H2148" i="8"/>
  <c r="H2149" i="8"/>
  <c r="H2150" i="8"/>
  <c r="H2151" i="8"/>
  <c r="H2157" i="8"/>
  <c r="H2158" i="8"/>
  <c r="H2160" i="8"/>
  <c r="I2245" i="8" l="1"/>
  <c r="I2232" i="8"/>
  <c r="I2182" i="8"/>
  <c r="I2198" i="8"/>
  <c r="H2089" i="8"/>
  <c r="AX4223" i="1" l="1"/>
  <c r="E4213" i="1"/>
  <c r="E4198" i="1" l="1"/>
  <c r="E4194" i="1"/>
  <c r="F4194" i="1"/>
  <c r="W4194" i="1"/>
  <c r="AJ4194" i="1"/>
  <c r="E4195" i="1"/>
  <c r="F4195" i="1"/>
  <c r="W4195" i="1"/>
  <c r="AJ4195" i="1"/>
  <c r="E4196" i="1"/>
  <c r="F4196" i="1"/>
  <c r="J4196" i="1"/>
  <c r="W4196" i="1"/>
  <c r="AJ4196" i="1"/>
  <c r="E4197" i="1"/>
  <c r="F4197" i="1"/>
  <c r="W4197" i="1"/>
  <c r="AJ4197" i="1"/>
  <c r="F4198" i="1"/>
  <c r="J4198" i="1"/>
  <c r="W4198" i="1"/>
  <c r="AJ4198" i="1"/>
  <c r="E4199" i="1"/>
  <c r="F4199" i="1"/>
  <c r="W4199" i="1"/>
  <c r="AJ4199" i="1"/>
  <c r="E4200" i="1"/>
  <c r="F4200" i="1"/>
  <c r="J4200" i="1"/>
  <c r="W4200" i="1"/>
  <c r="AJ4200" i="1"/>
  <c r="E4201" i="1"/>
  <c r="F4201" i="1"/>
  <c r="W4201" i="1"/>
  <c r="AJ4201" i="1"/>
  <c r="E4202" i="1"/>
  <c r="F4202" i="1"/>
  <c r="W4202" i="1"/>
  <c r="AJ4202" i="1"/>
  <c r="E4203" i="1"/>
  <c r="F4203" i="1"/>
  <c r="W4203" i="1"/>
  <c r="AJ4203" i="1"/>
  <c r="E4204" i="1"/>
  <c r="F4204" i="1"/>
  <c r="W4204" i="1"/>
  <c r="AJ4204" i="1"/>
  <c r="E4205" i="1"/>
  <c r="F4205" i="1"/>
  <c r="W4205" i="1"/>
  <c r="AJ4205" i="1"/>
  <c r="E4206" i="1"/>
  <c r="F4206" i="1"/>
  <c r="W4206" i="1"/>
  <c r="AJ4206" i="1"/>
  <c r="E4207" i="1"/>
  <c r="F4207" i="1"/>
  <c r="W4207" i="1"/>
  <c r="AJ4207" i="1"/>
  <c r="E4208" i="1"/>
  <c r="F4208" i="1"/>
  <c r="J4208" i="1"/>
  <c r="W4208" i="1"/>
  <c r="AJ4208" i="1"/>
  <c r="E4209" i="1"/>
  <c r="F4209" i="1"/>
  <c r="W4209" i="1"/>
  <c r="AJ4209" i="1"/>
  <c r="E4210" i="1"/>
  <c r="F4210" i="1"/>
  <c r="W4210" i="1"/>
  <c r="AJ4210" i="1"/>
  <c r="E4211" i="1"/>
  <c r="F4211" i="1"/>
  <c r="J4211" i="1"/>
  <c r="W4211" i="1"/>
  <c r="AJ4211" i="1"/>
  <c r="E4212" i="1"/>
  <c r="F4212" i="1"/>
  <c r="W4212" i="1"/>
  <c r="AJ4212" i="1"/>
  <c r="F4213" i="1"/>
  <c r="W4213" i="1"/>
  <c r="AJ4213" i="1"/>
  <c r="E4214" i="1"/>
  <c r="F4214" i="1"/>
  <c r="W4214" i="1"/>
  <c r="AJ4214" i="1"/>
  <c r="E4215" i="1"/>
  <c r="F4215" i="1"/>
  <c r="W4215" i="1"/>
  <c r="AJ4215" i="1"/>
  <c r="E4216" i="1"/>
  <c r="F4216" i="1"/>
  <c r="W4216" i="1"/>
  <c r="AJ4216" i="1"/>
  <c r="E4217" i="1"/>
  <c r="F4217" i="1"/>
  <c r="J4217" i="1"/>
  <c r="W4217" i="1"/>
  <c r="AJ4217" i="1"/>
  <c r="E4218" i="1"/>
  <c r="F4218" i="1"/>
  <c r="W4218" i="1"/>
  <c r="AJ4218" i="1"/>
  <c r="E4219" i="1"/>
  <c r="F4219" i="1"/>
  <c r="W4219" i="1"/>
  <c r="AJ4219" i="1"/>
  <c r="E4220" i="1"/>
  <c r="F4220" i="1"/>
  <c r="J4220" i="1"/>
  <c r="W4220" i="1"/>
  <c r="AJ4220" i="1"/>
  <c r="E4221" i="1"/>
  <c r="F4221" i="1"/>
  <c r="W4221" i="1"/>
  <c r="AJ4221" i="1"/>
  <c r="E4222" i="1"/>
  <c r="F4222" i="1"/>
  <c r="W4222" i="1"/>
  <c r="AJ4222" i="1"/>
  <c r="E4223" i="1"/>
  <c r="F4223" i="1"/>
  <c r="W4223" i="1"/>
  <c r="AJ4223" i="1"/>
  <c r="F4224" i="1"/>
  <c r="J4224" i="1"/>
  <c r="W4224" i="1"/>
  <c r="AJ4224" i="1"/>
  <c r="E4225" i="1"/>
  <c r="F4225" i="1"/>
  <c r="W4225" i="1"/>
  <c r="AJ4225" i="1"/>
  <c r="E4226" i="1"/>
  <c r="F4226" i="1"/>
  <c r="W4226" i="1"/>
  <c r="AJ4226" i="1"/>
  <c r="E4227" i="1"/>
  <c r="F4227" i="1"/>
  <c r="W4227" i="1"/>
  <c r="AJ4227" i="1"/>
  <c r="E4228" i="1"/>
  <c r="F4228" i="1"/>
  <c r="J4228" i="1"/>
  <c r="W4228" i="1"/>
  <c r="AJ4228" i="1"/>
  <c r="J4226" i="1" l="1"/>
  <c r="J4207" i="1"/>
  <c r="J4206" i="1"/>
  <c r="J4205" i="1"/>
  <c r="J4225" i="1"/>
  <c r="J4221" i="1"/>
  <c r="J4227" i="1"/>
  <c r="J4223" i="1"/>
  <c r="J4222" i="1"/>
  <c r="J4216" i="1"/>
  <c r="J4215" i="1"/>
  <c r="J4214" i="1"/>
  <c r="J4213" i="1"/>
  <c r="J4210" i="1"/>
  <c r="J4209" i="1"/>
  <c r="J4219" i="1"/>
  <c r="J4218" i="1"/>
  <c r="J4212" i="1"/>
  <c r="J4195" i="1"/>
  <c r="J4194" i="1"/>
  <c r="J4203" i="1"/>
  <c r="J4202" i="1"/>
  <c r="J4201" i="1"/>
  <c r="J4199" i="1"/>
  <c r="J4197" i="1"/>
  <c r="J4204" i="1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AY4192" i="1" l="1"/>
  <c r="AJ4189" i="1" l="1"/>
  <c r="W4189" i="1"/>
  <c r="F4189" i="1"/>
  <c r="E4189" i="1"/>
  <c r="AJ4188" i="1"/>
  <c r="W4188" i="1"/>
  <c r="F4188" i="1"/>
  <c r="E4188" i="1"/>
  <c r="AJ4187" i="1"/>
  <c r="W4187" i="1"/>
  <c r="F4187" i="1"/>
  <c r="E4187" i="1"/>
  <c r="AJ4186" i="1"/>
  <c r="W4186" i="1"/>
  <c r="F4186" i="1"/>
  <c r="E4186" i="1"/>
  <c r="AJ4185" i="1"/>
  <c r="W4185" i="1"/>
  <c r="F4185" i="1"/>
  <c r="E4185" i="1"/>
  <c r="AJ4184" i="1"/>
  <c r="W4184" i="1"/>
  <c r="J4184" i="1"/>
  <c r="F4184" i="1"/>
  <c r="E4184" i="1"/>
  <c r="AJ4183" i="1"/>
  <c r="W4183" i="1"/>
  <c r="J4183" i="1"/>
  <c r="F4183" i="1"/>
  <c r="E4183" i="1"/>
  <c r="AJ4182" i="1"/>
  <c r="W4182" i="1"/>
  <c r="J4182" i="1"/>
  <c r="F4182" i="1"/>
  <c r="E4182" i="1"/>
  <c r="AJ4181" i="1"/>
  <c r="W4181" i="1"/>
  <c r="J4181" i="1"/>
  <c r="F4181" i="1"/>
  <c r="E4181" i="1"/>
  <c r="AJ4180" i="1"/>
  <c r="W4180" i="1"/>
  <c r="F4180" i="1"/>
  <c r="E4180" i="1"/>
  <c r="AJ4179" i="1"/>
  <c r="W4179" i="1"/>
  <c r="F4179" i="1"/>
  <c r="E4179" i="1"/>
  <c r="AJ4178" i="1"/>
  <c r="W4178" i="1"/>
  <c r="F4178" i="1"/>
  <c r="E4178" i="1"/>
  <c r="AJ4170" i="1"/>
  <c r="W4170" i="1"/>
  <c r="F4170" i="1"/>
  <c r="E4170" i="1"/>
  <c r="AJ4169" i="1"/>
  <c r="W4169" i="1"/>
  <c r="F4169" i="1"/>
  <c r="E4169" i="1"/>
  <c r="AJ4171" i="1"/>
  <c r="W4171" i="1"/>
  <c r="J4171" i="1"/>
  <c r="F4171" i="1"/>
  <c r="E4171" i="1"/>
  <c r="AJ4172" i="1"/>
  <c r="W4172" i="1"/>
  <c r="F4172" i="1"/>
  <c r="E4172" i="1"/>
  <c r="AJ4173" i="1"/>
  <c r="W4173" i="1"/>
  <c r="F4173" i="1"/>
  <c r="E4173" i="1"/>
  <c r="AJ4174" i="1"/>
  <c r="W4174" i="1"/>
  <c r="F4174" i="1"/>
  <c r="E4174" i="1"/>
  <c r="AJ4175" i="1"/>
  <c r="W4175" i="1"/>
  <c r="F4175" i="1"/>
  <c r="E4175" i="1"/>
  <c r="AJ4168" i="1"/>
  <c r="W4168" i="1"/>
  <c r="F4168" i="1"/>
  <c r="E4168" i="1"/>
  <c r="AJ4176" i="1"/>
  <c r="W4176" i="1"/>
  <c r="F4176" i="1"/>
  <c r="E4176" i="1"/>
  <c r="AJ4167" i="1"/>
  <c r="W4167" i="1"/>
  <c r="F4167" i="1"/>
  <c r="E4167" i="1"/>
  <c r="AJ4166" i="1"/>
  <c r="W4166" i="1"/>
  <c r="F4166" i="1"/>
  <c r="E4166" i="1"/>
  <c r="AJ4165" i="1"/>
  <c r="W4165" i="1"/>
  <c r="F4165" i="1"/>
  <c r="E4165" i="1"/>
  <c r="AJ4164" i="1"/>
  <c r="W4164" i="1"/>
  <c r="F4164" i="1"/>
  <c r="E4164" i="1"/>
  <c r="AJ4163" i="1"/>
  <c r="W4163" i="1"/>
  <c r="F4163" i="1"/>
  <c r="E4163" i="1"/>
  <c r="AJ4162" i="1"/>
  <c r="W4162" i="1"/>
  <c r="J4162" i="1"/>
  <c r="F4162" i="1"/>
  <c r="E4162" i="1"/>
  <c r="AJ4161" i="1"/>
  <c r="W4161" i="1"/>
  <c r="F4161" i="1"/>
  <c r="E4161" i="1"/>
  <c r="AJ4160" i="1"/>
  <c r="W4160" i="1"/>
  <c r="F4160" i="1"/>
  <c r="E4160" i="1"/>
  <c r="AJ4158" i="1"/>
  <c r="W4158" i="1"/>
  <c r="J4158" i="1"/>
  <c r="F4158" i="1"/>
  <c r="E4158" i="1"/>
  <c r="AJ4159" i="1"/>
  <c r="W4159" i="1"/>
  <c r="F4159" i="1"/>
  <c r="E4159" i="1"/>
  <c r="AJ4157" i="1"/>
  <c r="W4157" i="1"/>
  <c r="F4157" i="1"/>
  <c r="E4157" i="1"/>
  <c r="AJ4156" i="1"/>
  <c r="W4156" i="1"/>
  <c r="F4156" i="1"/>
  <c r="E4156" i="1"/>
  <c r="AJ4155" i="1"/>
  <c r="W4155" i="1"/>
  <c r="F4155" i="1"/>
  <c r="E4155" i="1"/>
  <c r="AJ4154" i="1"/>
  <c r="W4154" i="1"/>
  <c r="J4154" i="1"/>
  <c r="F4154" i="1"/>
  <c r="E4154" i="1"/>
  <c r="AJ4153" i="1"/>
  <c r="W4153" i="1"/>
  <c r="J4153" i="1"/>
  <c r="F4153" i="1"/>
  <c r="E4153" i="1"/>
  <c r="AJ4152" i="1"/>
  <c r="W4152" i="1"/>
  <c r="J4152" i="1"/>
  <c r="F4152" i="1"/>
  <c r="E4152" i="1"/>
  <c r="AJ4151" i="1"/>
  <c r="W4151" i="1"/>
  <c r="J4151" i="1"/>
  <c r="F4151" i="1"/>
  <c r="E4151" i="1"/>
  <c r="AJ4150" i="1"/>
  <c r="W4150" i="1"/>
  <c r="J4150" i="1"/>
  <c r="F4150" i="1"/>
  <c r="E4150" i="1"/>
  <c r="AJ4149" i="1"/>
  <c r="W4149" i="1"/>
  <c r="F4149" i="1"/>
  <c r="E4149" i="1"/>
  <c r="AJ4148" i="1"/>
  <c r="W4148" i="1"/>
  <c r="F4148" i="1"/>
  <c r="E4148" i="1"/>
  <c r="AJ4147" i="1"/>
  <c r="W4147" i="1"/>
  <c r="J4147" i="1"/>
  <c r="F4147" i="1"/>
  <c r="E4147" i="1"/>
  <c r="J4174" i="1" l="1"/>
  <c r="J4178" i="1"/>
  <c r="J4168" i="1"/>
  <c r="J4175" i="1"/>
  <c r="J4169" i="1"/>
  <c r="J4170" i="1"/>
  <c r="J4157" i="1"/>
  <c r="J4163" i="1"/>
  <c r="J4167" i="1"/>
  <c r="J4161" i="1"/>
  <c r="J4155" i="1"/>
  <c r="J4156" i="1"/>
  <c r="J4160" i="1"/>
  <c r="J4186" i="1"/>
  <c r="J4187" i="1"/>
  <c r="J4188" i="1"/>
  <c r="J4189" i="1"/>
  <c r="J4149" i="1"/>
  <c r="J4165" i="1"/>
  <c r="J4166" i="1"/>
  <c r="J4172" i="1"/>
  <c r="J4180" i="1"/>
  <c r="J4185" i="1"/>
  <c r="J4148" i="1"/>
  <c r="J4159" i="1"/>
  <c r="J4164" i="1"/>
  <c r="J4176" i="1"/>
  <c r="J4173" i="1"/>
  <c r="J4179" i="1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AX4146" i="1" l="1"/>
  <c r="H2033" i="8" l="1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78" i="8"/>
  <c r="H2079" i="8"/>
  <c r="H2080" i="8"/>
  <c r="H2081" i="8"/>
  <c r="H2082" i="8"/>
  <c r="H2083" i="8"/>
  <c r="H2084" i="8"/>
  <c r="H2085" i="8"/>
  <c r="H2086" i="8"/>
  <c r="H2087" i="8"/>
  <c r="H2088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AX4093" i="1" l="1"/>
  <c r="E4111" i="1"/>
  <c r="F4111" i="1"/>
  <c r="W4111" i="1"/>
  <c r="AJ4111" i="1"/>
  <c r="E4112" i="1"/>
  <c r="F4112" i="1"/>
  <c r="W4112" i="1"/>
  <c r="AJ4112" i="1"/>
  <c r="E4113" i="1"/>
  <c r="F4113" i="1"/>
  <c r="W4113" i="1"/>
  <c r="AJ4113" i="1"/>
  <c r="E4114" i="1"/>
  <c r="F4114" i="1"/>
  <c r="J4114" i="1"/>
  <c r="W4114" i="1"/>
  <c r="AJ4114" i="1"/>
  <c r="E4115" i="1"/>
  <c r="F4115" i="1"/>
  <c r="W4115" i="1"/>
  <c r="AJ4115" i="1"/>
  <c r="E4116" i="1"/>
  <c r="F4116" i="1"/>
  <c r="W4116" i="1"/>
  <c r="AJ4116" i="1"/>
  <c r="E4117" i="1"/>
  <c r="F4117" i="1"/>
  <c r="W4117" i="1"/>
  <c r="AJ4117" i="1"/>
  <c r="E4118" i="1"/>
  <c r="F4118" i="1"/>
  <c r="W4118" i="1"/>
  <c r="AJ4118" i="1"/>
  <c r="E4119" i="1"/>
  <c r="F4119" i="1"/>
  <c r="W4119" i="1"/>
  <c r="AJ4119" i="1"/>
  <c r="E4120" i="1"/>
  <c r="F4120" i="1"/>
  <c r="W4120" i="1"/>
  <c r="AJ4120" i="1"/>
  <c r="E4121" i="1"/>
  <c r="F4121" i="1"/>
  <c r="W4121" i="1"/>
  <c r="AJ4121" i="1"/>
  <c r="E4122" i="1"/>
  <c r="F4122" i="1"/>
  <c r="W4122" i="1"/>
  <c r="AJ4122" i="1"/>
  <c r="E4123" i="1"/>
  <c r="F4123" i="1"/>
  <c r="W4123" i="1"/>
  <c r="AJ4123" i="1"/>
  <c r="E4124" i="1"/>
  <c r="F4124" i="1"/>
  <c r="W4124" i="1"/>
  <c r="AJ4124" i="1"/>
  <c r="E4125" i="1"/>
  <c r="F4125" i="1"/>
  <c r="W4125" i="1"/>
  <c r="AJ4125" i="1"/>
  <c r="E4126" i="1"/>
  <c r="F4126" i="1"/>
  <c r="W4126" i="1"/>
  <c r="AJ4126" i="1"/>
  <c r="E4127" i="1"/>
  <c r="F4127" i="1"/>
  <c r="W4127" i="1"/>
  <c r="AJ4127" i="1"/>
  <c r="E4128" i="1"/>
  <c r="F4128" i="1"/>
  <c r="W4128" i="1"/>
  <c r="AJ4128" i="1"/>
  <c r="E4129" i="1"/>
  <c r="F4129" i="1"/>
  <c r="W4129" i="1"/>
  <c r="AJ4129" i="1"/>
  <c r="E4130" i="1"/>
  <c r="F4130" i="1"/>
  <c r="W4130" i="1"/>
  <c r="AJ4130" i="1"/>
  <c r="E4131" i="1"/>
  <c r="F4131" i="1"/>
  <c r="J4131" i="1"/>
  <c r="W4131" i="1"/>
  <c r="AJ4131" i="1"/>
  <c r="E4132" i="1"/>
  <c r="F4132" i="1"/>
  <c r="W4132" i="1"/>
  <c r="AJ4132" i="1"/>
  <c r="E4133" i="1"/>
  <c r="F4133" i="1"/>
  <c r="W4133" i="1"/>
  <c r="AJ4133" i="1"/>
  <c r="E4134" i="1"/>
  <c r="F4134" i="1"/>
  <c r="W4134" i="1"/>
  <c r="AJ4134" i="1"/>
  <c r="E4135" i="1"/>
  <c r="F4135" i="1"/>
  <c r="W4135" i="1"/>
  <c r="AJ4135" i="1"/>
  <c r="E4136" i="1"/>
  <c r="F4136" i="1"/>
  <c r="W4136" i="1"/>
  <c r="AJ4136" i="1"/>
  <c r="E4137" i="1"/>
  <c r="F4137" i="1"/>
  <c r="W4137" i="1"/>
  <c r="AJ4137" i="1"/>
  <c r="E4138" i="1"/>
  <c r="F4138" i="1"/>
  <c r="W4138" i="1"/>
  <c r="AJ4138" i="1"/>
  <c r="E4139" i="1"/>
  <c r="F4139" i="1"/>
  <c r="W4139" i="1"/>
  <c r="AJ4139" i="1"/>
  <c r="E4140" i="1"/>
  <c r="F4140" i="1"/>
  <c r="W4140" i="1"/>
  <c r="AJ4140" i="1"/>
  <c r="E4141" i="1"/>
  <c r="F4141" i="1"/>
  <c r="W4141" i="1"/>
  <c r="AJ4141" i="1"/>
  <c r="E4142" i="1"/>
  <c r="F4142" i="1"/>
  <c r="W4142" i="1"/>
  <c r="AJ4142" i="1"/>
  <c r="E4143" i="1"/>
  <c r="F4143" i="1"/>
  <c r="W4143" i="1"/>
  <c r="AJ4143" i="1"/>
  <c r="E4144" i="1"/>
  <c r="F4144" i="1"/>
  <c r="W4144" i="1"/>
  <c r="AJ4144" i="1"/>
  <c r="E4145" i="1"/>
  <c r="F4145" i="1"/>
  <c r="W4145" i="1"/>
  <c r="AJ4145" i="1"/>
  <c r="E4146" i="1"/>
  <c r="F4146" i="1"/>
  <c r="W4146" i="1"/>
  <c r="AJ4146" i="1"/>
  <c r="E4069" i="1"/>
  <c r="F4069" i="1"/>
  <c r="W4069" i="1"/>
  <c r="AJ4069" i="1"/>
  <c r="E4070" i="1"/>
  <c r="F4070" i="1"/>
  <c r="W4070" i="1"/>
  <c r="AJ4070" i="1"/>
  <c r="E4071" i="1"/>
  <c r="F4071" i="1"/>
  <c r="J4071" i="1"/>
  <c r="W4071" i="1"/>
  <c r="AJ4071" i="1"/>
  <c r="E4072" i="1"/>
  <c r="F4072" i="1"/>
  <c r="J4072" i="1"/>
  <c r="W4072" i="1"/>
  <c r="AJ4072" i="1"/>
  <c r="E4073" i="1"/>
  <c r="F4073" i="1"/>
  <c r="W4073" i="1"/>
  <c r="AJ4073" i="1"/>
  <c r="E4074" i="1"/>
  <c r="F4074" i="1"/>
  <c r="W4074" i="1"/>
  <c r="AJ4074" i="1"/>
  <c r="E4075" i="1"/>
  <c r="F4075" i="1"/>
  <c r="W4075" i="1"/>
  <c r="AJ4075" i="1"/>
  <c r="E4076" i="1"/>
  <c r="F4076" i="1"/>
  <c r="W4076" i="1"/>
  <c r="AJ4076" i="1"/>
  <c r="E4077" i="1"/>
  <c r="F4077" i="1"/>
  <c r="W4077" i="1"/>
  <c r="AJ4077" i="1"/>
  <c r="E4078" i="1"/>
  <c r="F4078" i="1"/>
  <c r="W4078" i="1"/>
  <c r="AJ4078" i="1"/>
  <c r="E4079" i="1"/>
  <c r="F4079" i="1"/>
  <c r="W4079" i="1"/>
  <c r="AJ4079" i="1"/>
  <c r="E4080" i="1"/>
  <c r="F4080" i="1"/>
  <c r="W4080" i="1"/>
  <c r="AJ4080" i="1"/>
  <c r="E4081" i="1"/>
  <c r="F4081" i="1"/>
  <c r="W4081" i="1"/>
  <c r="AJ4081" i="1"/>
  <c r="E4082" i="1"/>
  <c r="F4082" i="1"/>
  <c r="W4082" i="1"/>
  <c r="AJ4082" i="1"/>
  <c r="E4083" i="1"/>
  <c r="F4083" i="1"/>
  <c r="W4083" i="1"/>
  <c r="AJ4083" i="1"/>
  <c r="E4084" i="1"/>
  <c r="F4084" i="1"/>
  <c r="W4084" i="1"/>
  <c r="AJ4084" i="1"/>
  <c r="E4085" i="1"/>
  <c r="F4085" i="1"/>
  <c r="W4085" i="1"/>
  <c r="AJ4085" i="1"/>
  <c r="E4086" i="1"/>
  <c r="F4086" i="1"/>
  <c r="W4086" i="1"/>
  <c r="AJ4086" i="1"/>
  <c r="E4087" i="1"/>
  <c r="F4087" i="1"/>
  <c r="W4087" i="1"/>
  <c r="AJ4087" i="1"/>
  <c r="E4088" i="1"/>
  <c r="F4088" i="1"/>
  <c r="W4088" i="1"/>
  <c r="AJ4088" i="1"/>
  <c r="E4089" i="1"/>
  <c r="F4089" i="1"/>
  <c r="W4089" i="1"/>
  <c r="AJ4089" i="1"/>
  <c r="E4090" i="1"/>
  <c r="F4090" i="1"/>
  <c r="W4090" i="1"/>
  <c r="AJ4090" i="1"/>
  <c r="E4091" i="1"/>
  <c r="F4091" i="1"/>
  <c r="J4091" i="1"/>
  <c r="W4091" i="1"/>
  <c r="AJ4091" i="1"/>
  <c r="E4092" i="1"/>
  <c r="F4092" i="1"/>
  <c r="W4092" i="1"/>
  <c r="AJ4092" i="1"/>
  <c r="E4093" i="1"/>
  <c r="F4093" i="1"/>
  <c r="W4093" i="1"/>
  <c r="AJ4093" i="1"/>
  <c r="E4094" i="1"/>
  <c r="F4094" i="1"/>
  <c r="J4094" i="1"/>
  <c r="W4094" i="1"/>
  <c r="AJ4094" i="1"/>
  <c r="E4095" i="1"/>
  <c r="F4095" i="1"/>
  <c r="J4095" i="1"/>
  <c r="W4095" i="1"/>
  <c r="AJ4095" i="1"/>
  <c r="E4096" i="1"/>
  <c r="F4096" i="1"/>
  <c r="W4096" i="1"/>
  <c r="AJ4096" i="1"/>
  <c r="E4097" i="1"/>
  <c r="F4097" i="1"/>
  <c r="W4097" i="1"/>
  <c r="AJ4097" i="1"/>
  <c r="E4098" i="1"/>
  <c r="F4098" i="1"/>
  <c r="W4098" i="1"/>
  <c r="AJ4098" i="1"/>
  <c r="E4099" i="1"/>
  <c r="F4099" i="1"/>
  <c r="J4099" i="1"/>
  <c r="W4099" i="1"/>
  <c r="AJ4099" i="1"/>
  <c r="E4100" i="1"/>
  <c r="F4100" i="1"/>
  <c r="W4100" i="1"/>
  <c r="AJ4100" i="1"/>
  <c r="E4101" i="1"/>
  <c r="F4101" i="1"/>
  <c r="W4101" i="1"/>
  <c r="AJ4101" i="1"/>
  <c r="E4102" i="1"/>
  <c r="F4102" i="1"/>
  <c r="W4102" i="1"/>
  <c r="AJ4102" i="1"/>
  <c r="E4103" i="1"/>
  <c r="F4103" i="1"/>
  <c r="W4103" i="1"/>
  <c r="AJ4103" i="1"/>
  <c r="E4104" i="1"/>
  <c r="F4104" i="1"/>
  <c r="W4104" i="1"/>
  <c r="AJ4104" i="1"/>
  <c r="E4105" i="1"/>
  <c r="F4105" i="1"/>
  <c r="W4105" i="1"/>
  <c r="AJ4105" i="1"/>
  <c r="E4106" i="1"/>
  <c r="F4106" i="1"/>
  <c r="W4106" i="1"/>
  <c r="AJ4106" i="1"/>
  <c r="E4107" i="1"/>
  <c r="F4107" i="1"/>
  <c r="J4107" i="1"/>
  <c r="W4107" i="1"/>
  <c r="AJ4107" i="1"/>
  <c r="E4108" i="1"/>
  <c r="F4108" i="1"/>
  <c r="W4108" i="1"/>
  <c r="AJ4108" i="1"/>
  <c r="E4109" i="1"/>
  <c r="F4109" i="1"/>
  <c r="J4109" i="1"/>
  <c r="W4109" i="1"/>
  <c r="AJ4109" i="1"/>
  <c r="E4110" i="1"/>
  <c r="F4110" i="1"/>
  <c r="W4110" i="1"/>
  <c r="AJ4110" i="1"/>
  <c r="E4177" i="1"/>
  <c r="F4177" i="1"/>
  <c r="W4177" i="1"/>
  <c r="AJ4177" i="1"/>
  <c r="E4190" i="1"/>
  <c r="F4190" i="1"/>
  <c r="J4190" i="1"/>
  <c r="W4190" i="1"/>
  <c r="AJ4190" i="1"/>
  <c r="E4191" i="1"/>
  <c r="F4191" i="1"/>
  <c r="J4191" i="1"/>
  <c r="W4191" i="1"/>
  <c r="AJ4191" i="1"/>
  <c r="E4192" i="1"/>
  <c r="F4192" i="1"/>
  <c r="J4192" i="1"/>
  <c r="W4192" i="1"/>
  <c r="AJ4192" i="1"/>
  <c r="E4193" i="1"/>
  <c r="F4193" i="1"/>
  <c r="W4193" i="1"/>
  <c r="AJ4193" i="1"/>
  <c r="E4049" i="1"/>
  <c r="F4049" i="1"/>
  <c r="W4049" i="1"/>
  <c r="AJ4049" i="1"/>
  <c r="E4050" i="1"/>
  <c r="F4050" i="1"/>
  <c r="W4050" i="1"/>
  <c r="AJ4050" i="1"/>
  <c r="E4051" i="1"/>
  <c r="F4051" i="1"/>
  <c r="W4051" i="1"/>
  <c r="AJ4051" i="1"/>
  <c r="E4052" i="1"/>
  <c r="F4052" i="1"/>
  <c r="W4052" i="1"/>
  <c r="AJ4052" i="1"/>
  <c r="E4053" i="1"/>
  <c r="F4053" i="1"/>
  <c r="W4053" i="1"/>
  <c r="AJ4053" i="1"/>
  <c r="E4054" i="1"/>
  <c r="F4054" i="1"/>
  <c r="J4054" i="1"/>
  <c r="W4054" i="1"/>
  <c r="AJ4054" i="1"/>
  <c r="E4055" i="1"/>
  <c r="F4055" i="1"/>
  <c r="W4055" i="1"/>
  <c r="AJ4055" i="1"/>
  <c r="E4056" i="1"/>
  <c r="F4056" i="1"/>
  <c r="W4056" i="1"/>
  <c r="AJ4056" i="1"/>
  <c r="E4057" i="1"/>
  <c r="F4057" i="1"/>
  <c r="W4057" i="1"/>
  <c r="AJ4057" i="1"/>
  <c r="E4058" i="1"/>
  <c r="F4058" i="1"/>
  <c r="J4058" i="1"/>
  <c r="W4058" i="1"/>
  <c r="AJ4058" i="1"/>
  <c r="E4059" i="1"/>
  <c r="F4059" i="1"/>
  <c r="J4059" i="1"/>
  <c r="W4059" i="1"/>
  <c r="AJ4059" i="1"/>
  <c r="E4060" i="1"/>
  <c r="F4060" i="1"/>
  <c r="W4060" i="1"/>
  <c r="AJ4060" i="1"/>
  <c r="E4061" i="1"/>
  <c r="F4061" i="1"/>
  <c r="J4061" i="1"/>
  <c r="W4061" i="1"/>
  <c r="AJ4061" i="1"/>
  <c r="E4062" i="1"/>
  <c r="F4062" i="1"/>
  <c r="W4062" i="1"/>
  <c r="AJ4062" i="1"/>
  <c r="E4063" i="1"/>
  <c r="F4063" i="1"/>
  <c r="W4063" i="1"/>
  <c r="AJ4063" i="1"/>
  <c r="E4064" i="1"/>
  <c r="F4064" i="1"/>
  <c r="J4064" i="1"/>
  <c r="W4064" i="1"/>
  <c r="AJ4064" i="1"/>
  <c r="E4065" i="1"/>
  <c r="F4065" i="1"/>
  <c r="W4065" i="1"/>
  <c r="AJ4065" i="1"/>
  <c r="E4066" i="1"/>
  <c r="F4066" i="1"/>
  <c r="W4066" i="1"/>
  <c r="AJ4066" i="1"/>
  <c r="E4067" i="1"/>
  <c r="F4067" i="1"/>
  <c r="W4067" i="1"/>
  <c r="AJ4067" i="1"/>
  <c r="E4068" i="1"/>
  <c r="F4068" i="1"/>
  <c r="W4068" i="1"/>
  <c r="AJ4068" i="1"/>
  <c r="J4193" i="1" l="1"/>
  <c r="J4177" i="1"/>
  <c r="J4102" i="1"/>
  <c r="J4101" i="1"/>
  <c r="J4090" i="1"/>
  <c r="J4089" i="1"/>
  <c r="J4088" i="1"/>
  <c r="J4086" i="1"/>
  <c r="J4080" i="1"/>
  <c r="J4079" i="1"/>
  <c r="J4078" i="1"/>
  <c r="J4113" i="1"/>
  <c r="J4112" i="1"/>
  <c r="J4111" i="1"/>
  <c r="J4130" i="1"/>
  <c r="J4129" i="1"/>
  <c r="J4128" i="1"/>
  <c r="J4127" i="1"/>
  <c r="J4126" i="1"/>
  <c r="J4125" i="1"/>
  <c r="J4124" i="1"/>
  <c r="J4123" i="1"/>
  <c r="J4122" i="1"/>
  <c r="J4121" i="1"/>
  <c r="J4120" i="1"/>
  <c r="J4098" i="1"/>
  <c r="J4097" i="1"/>
  <c r="J4119" i="1"/>
  <c r="J4118" i="1"/>
  <c r="J4063" i="1"/>
  <c r="J4062" i="1"/>
  <c r="J4110" i="1"/>
  <c r="J4106" i="1"/>
  <c r="J4105" i="1"/>
  <c r="J4104" i="1"/>
  <c r="J4103" i="1"/>
  <c r="J4146" i="1"/>
  <c r="J4145" i="1"/>
  <c r="J4144" i="1"/>
  <c r="J4143" i="1"/>
  <c r="J4142" i="1"/>
  <c r="J4141" i="1"/>
  <c r="J4140" i="1"/>
  <c r="J4139" i="1"/>
  <c r="J4108" i="1"/>
  <c r="J4100" i="1"/>
  <c r="J4096" i="1"/>
  <c r="J4117" i="1"/>
  <c r="J4116" i="1"/>
  <c r="J4115" i="1"/>
  <c r="J4138" i="1"/>
  <c r="J4137" i="1"/>
  <c r="J4136" i="1"/>
  <c r="J4135" i="1"/>
  <c r="J4134" i="1"/>
  <c r="J4133" i="1"/>
  <c r="J4132" i="1"/>
  <c r="J4081" i="1"/>
  <c r="J4057" i="1"/>
  <c r="J4087" i="1"/>
  <c r="J4085" i="1"/>
  <c r="J4084" i="1"/>
  <c r="J4083" i="1"/>
  <c r="J4082" i="1"/>
  <c r="J4093" i="1"/>
  <c r="J4092" i="1"/>
  <c r="J4077" i="1"/>
  <c r="J4068" i="1"/>
  <c r="J4067" i="1"/>
  <c r="J4056" i="1"/>
  <c r="J4055" i="1"/>
  <c r="J4066" i="1"/>
  <c r="J4065" i="1"/>
  <c r="J4060" i="1"/>
  <c r="J4053" i="1"/>
  <c r="J4052" i="1"/>
  <c r="J4051" i="1"/>
  <c r="J4050" i="1"/>
  <c r="J4049" i="1"/>
  <c r="J4076" i="1"/>
  <c r="J4075" i="1"/>
  <c r="J4074" i="1"/>
  <c r="J4073" i="1"/>
  <c r="J4070" i="1"/>
  <c r="J4069" i="1"/>
  <c r="AX4043" i="1"/>
  <c r="BH47" i="7"/>
  <c r="BI47" i="7"/>
  <c r="BI46" i="7" s="1"/>
  <c r="BI45" i="7"/>
  <c r="BI44" i="7"/>
  <c r="BI43" i="7"/>
  <c r="BI42" i="7"/>
  <c r="BI41" i="7"/>
  <c r="BI40" i="7"/>
  <c r="BI39" i="7"/>
  <c r="BI38" i="7"/>
  <c r="BI37" i="7"/>
  <c r="BI35" i="7"/>
  <c r="BI34" i="7"/>
  <c r="BI33" i="7"/>
  <c r="BI32" i="7"/>
  <c r="BI31" i="7"/>
  <c r="BI30" i="7"/>
  <c r="BI29" i="7"/>
  <c r="BI27" i="7"/>
  <c r="BI26" i="7"/>
  <c r="BI25" i="7"/>
  <c r="BI24" i="7"/>
  <c r="BI22" i="7"/>
  <c r="BI21" i="7"/>
  <c r="BI19" i="7"/>
  <c r="BI18" i="7"/>
  <c r="BI17" i="7"/>
  <c r="BI16" i="7"/>
  <c r="BI11" i="7"/>
  <c r="BI10" i="7"/>
  <c r="BI9" i="7"/>
  <c r="BI8" i="7"/>
  <c r="BI6" i="7"/>
  <c r="H2018" i="8"/>
  <c r="H2017" i="8"/>
  <c r="H2016" i="8"/>
  <c r="BI20" i="7"/>
  <c r="BI7" i="7"/>
  <c r="BI15" i="7" l="1"/>
  <c r="AX4039" i="1"/>
  <c r="E4030" i="1"/>
  <c r="F4030" i="1"/>
  <c r="J4030" i="1"/>
  <c r="W4030" i="1"/>
  <c r="AJ4030" i="1"/>
  <c r="E4031" i="1"/>
  <c r="F4031" i="1"/>
  <c r="W4031" i="1"/>
  <c r="AJ4031" i="1"/>
  <c r="E4032" i="1"/>
  <c r="F4032" i="1"/>
  <c r="W4032" i="1"/>
  <c r="AJ4032" i="1"/>
  <c r="E4033" i="1"/>
  <c r="F4033" i="1"/>
  <c r="W4033" i="1"/>
  <c r="AJ4033" i="1"/>
  <c r="E4034" i="1"/>
  <c r="F4034" i="1"/>
  <c r="W4034" i="1"/>
  <c r="AJ4034" i="1"/>
  <c r="E4035" i="1"/>
  <c r="F4035" i="1"/>
  <c r="W4035" i="1"/>
  <c r="AJ4035" i="1"/>
  <c r="E4036" i="1"/>
  <c r="F4036" i="1"/>
  <c r="W4036" i="1"/>
  <c r="AJ4036" i="1"/>
  <c r="E4037" i="1"/>
  <c r="F4037" i="1"/>
  <c r="J4037" i="1"/>
  <c r="W4037" i="1"/>
  <c r="AJ4037" i="1"/>
  <c r="E4038" i="1"/>
  <c r="F4038" i="1"/>
  <c r="W4038" i="1"/>
  <c r="AJ4038" i="1"/>
  <c r="E4039" i="1"/>
  <c r="F4039" i="1"/>
  <c r="W4039" i="1"/>
  <c r="AJ4039" i="1"/>
  <c r="E4040" i="1"/>
  <c r="F4040" i="1"/>
  <c r="W4040" i="1"/>
  <c r="AJ4040" i="1"/>
  <c r="E4041" i="1"/>
  <c r="F4041" i="1"/>
  <c r="W4041" i="1"/>
  <c r="AJ4041" i="1"/>
  <c r="E4042" i="1"/>
  <c r="F4042" i="1"/>
  <c r="W4042" i="1"/>
  <c r="AJ4042" i="1"/>
  <c r="E4043" i="1"/>
  <c r="F4043" i="1"/>
  <c r="J4043" i="1"/>
  <c r="W4043" i="1"/>
  <c r="AJ4043" i="1"/>
  <c r="E4044" i="1"/>
  <c r="F4044" i="1"/>
  <c r="J4044" i="1"/>
  <c r="W4044" i="1"/>
  <c r="AJ4044" i="1"/>
  <c r="E4046" i="1"/>
  <c r="F4046" i="1"/>
  <c r="J4046" i="1"/>
  <c r="W4046" i="1"/>
  <c r="AJ4046" i="1"/>
  <c r="E4047" i="1"/>
  <c r="F4047" i="1"/>
  <c r="J4047" i="1"/>
  <c r="W4047" i="1"/>
  <c r="AJ4047" i="1"/>
  <c r="E4048" i="1"/>
  <c r="F4048" i="1"/>
  <c r="W4048" i="1"/>
  <c r="AJ4048" i="1"/>
  <c r="E3993" i="1"/>
  <c r="F3993" i="1"/>
  <c r="J3993" i="1"/>
  <c r="W3993" i="1"/>
  <c r="AJ3993" i="1"/>
  <c r="E3994" i="1"/>
  <c r="F3994" i="1"/>
  <c r="W3994" i="1"/>
  <c r="AJ3994" i="1"/>
  <c r="E3995" i="1"/>
  <c r="F3995" i="1"/>
  <c r="J3995" i="1"/>
  <c r="W3995" i="1"/>
  <c r="AJ3995" i="1"/>
  <c r="E3996" i="1"/>
  <c r="F3996" i="1"/>
  <c r="W3996" i="1"/>
  <c r="AJ3996" i="1"/>
  <c r="E3997" i="1"/>
  <c r="F3997" i="1"/>
  <c r="W3997" i="1"/>
  <c r="AJ3997" i="1"/>
  <c r="E3998" i="1"/>
  <c r="F3998" i="1"/>
  <c r="W3998" i="1"/>
  <c r="AJ3998" i="1"/>
  <c r="E3999" i="1"/>
  <c r="F3999" i="1"/>
  <c r="W3999" i="1"/>
  <c r="AJ3999" i="1"/>
  <c r="E4000" i="1"/>
  <c r="F4000" i="1"/>
  <c r="W4000" i="1"/>
  <c r="AJ4000" i="1"/>
  <c r="E4001" i="1"/>
  <c r="F4001" i="1"/>
  <c r="W4001" i="1"/>
  <c r="AJ4001" i="1"/>
  <c r="E4002" i="1"/>
  <c r="F4002" i="1"/>
  <c r="J4002" i="1"/>
  <c r="W4002" i="1"/>
  <c r="AJ4002" i="1"/>
  <c r="E4003" i="1"/>
  <c r="F4003" i="1"/>
  <c r="W4003" i="1"/>
  <c r="AJ4003" i="1"/>
  <c r="E4004" i="1"/>
  <c r="F4004" i="1"/>
  <c r="W4004" i="1"/>
  <c r="AJ4004" i="1"/>
  <c r="E4005" i="1"/>
  <c r="F4005" i="1"/>
  <c r="W4005" i="1"/>
  <c r="AJ4005" i="1"/>
  <c r="E4006" i="1"/>
  <c r="F4006" i="1"/>
  <c r="W4006" i="1"/>
  <c r="AJ4006" i="1"/>
  <c r="E4007" i="1"/>
  <c r="F4007" i="1"/>
  <c r="W4007" i="1"/>
  <c r="AJ4007" i="1"/>
  <c r="E4008" i="1"/>
  <c r="F4008" i="1"/>
  <c r="W4008" i="1"/>
  <c r="AJ4008" i="1"/>
  <c r="E4009" i="1"/>
  <c r="F4009" i="1"/>
  <c r="W4009" i="1"/>
  <c r="AJ4009" i="1"/>
  <c r="E4010" i="1"/>
  <c r="F4010" i="1"/>
  <c r="W4010" i="1"/>
  <c r="AJ4010" i="1"/>
  <c r="E4011" i="1"/>
  <c r="F4011" i="1"/>
  <c r="W4011" i="1"/>
  <c r="AJ4011" i="1"/>
  <c r="E4012" i="1"/>
  <c r="F4012" i="1"/>
  <c r="J4012" i="1"/>
  <c r="W4012" i="1"/>
  <c r="AJ4012" i="1"/>
  <c r="E4013" i="1"/>
  <c r="F4013" i="1"/>
  <c r="J4013" i="1"/>
  <c r="W4013" i="1"/>
  <c r="AJ4013" i="1"/>
  <c r="E4014" i="1"/>
  <c r="F4014" i="1"/>
  <c r="W4014" i="1"/>
  <c r="AJ4014" i="1"/>
  <c r="E4015" i="1"/>
  <c r="F4015" i="1"/>
  <c r="J4015" i="1"/>
  <c r="W4015" i="1"/>
  <c r="AJ4015" i="1"/>
  <c r="E4016" i="1"/>
  <c r="F4016" i="1"/>
  <c r="W4016" i="1"/>
  <c r="AJ4016" i="1"/>
  <c r="E4017" i="1"/>
  <c r="F4017" i="1"/>
  <c r="J4017" i="1"/>
  <c r="W4017" i="1"/>
  <c r="AJ4017" i="1"/>
  <c r="E4018" i="1"/>
  <c r="F4018" i="1"/>
  <c r="W4018" i="1"/>
  <c r="AJ4018" i="1"/>
  <c r="E4019" i="1"/>
  <c r="F4019" i="1"/>
  <c r="W4019" i="1"/>
  <c r="AJ4019" i="1"/>
  <c r="E4020" i="1"/>
  <c r="F4020" i="1"/>
  <c r="W4020" i="1"/>
  <c r="AJ4020" i="1"/>
  <c r="E4021" i="1"/>
  <c r="F4021" i="1"/>
  <c r="W4021" i="1"/>
  <c r="AJ4021" i="1"/>
  <c r="E4022" i="1"/>
  <c r="F4022" i="1"/>
  <c r="W4022" i="1"/>
  <c r="AJ4022" i="1"/>
  <c r="E4023" i="1"/>
  <c r="F4023" i="1"/>
  <c r="W4023" i="1"/>
  <c r="AJ4023" i="1"/>
  <c r="E4024" i="1"/>
  <c r="F4024" i="1"/>
  <c r="W4024" i="1"/>
  <c r="AJ4024" i="1"/>
  <c r="E4025" i="1"/>
  <c r="F4025" i="1"/>
  <c r="W4025" i="1"/>
  <c r="AJ4025" i="1"/>
  <c r="E4026" i="1"/>
  <c r="F4026" i="1"/>
  <c r="W4026" i="1"/>
  <c r="AJ4026" i="1"/>
  <c r="E4027" i="1"/>
  <c r="F4027" i="1"/>
  <c r="W4027" i="1"/>
  <c r="AJ4027" i="1"/>
  <c r="E4028" i="1"/>
  <c r="F4028" i="1"/>
  <c r="W4028" i="1"/>
  <c r="AJ4028" i="1"/>
  <c r="E4029" i="1"/>
  <c r="F4029" i="1"/>
  <c r="J4029" i="1"/>
  <c r="W4029" i="1"/>
  <c r="AJ4029" i="1"/>
  <c r="BI36" i="7"/>
  <c r="BI28" i="7"/>
  <c r="BI23" i="7"/>
  <c r="H2019" i="8"/>
  <c r="H2020" i="8"/>
  <c r="H2015" i="8"/>
  <c r="H2022" i="8"/>
  <c r="H2023" i="8"/>
  <c r="H2024" i="8"/>
  <c r="H2025" i="8"/>
  <c r="H2026" i="8"/>
  <c r="H2027" i="8"/>
  <c r="H2028" i="8"/>
  <c r="H2029" i="8"/>
  <c r="H2030" i="8"/>
  <c r="H2031" i="8"/>
  <c r="H2032" i="8"/>
  <c r="I2156" i="8" l="1"/>
  <c r="I2151" i="8"/>
  <c r="I2099" i="8"/>
  <c r="I2061" i="8"/>
  <c r="J4034" i="1"/>
  <c r="J4033" i="1"/>
  <c r="J4048" i="1"/>
  <c r="J4032" i="1"/>
  <c r="J4031" i="1"/>
  <c r="J4016" i="1"/>
  <c r="J4004" i="1"/>
  <c r="J4036" i="1"/>
  <c r="J4035" i="1"/>
  <c r="J4028" i="1"/>
  <c r="J4027" i="1"/>
  <c r="J4026" i="1"/>
  <c r="J4025" i="1"/>
  <c r="J4024" i="1"/>
  <c r="J4023" i="1"/>
  <c r="J4022" i="1"/>
  <c r="J4006" i="1"/>
  <c r="J4005" i="1"/>
  <c r="J4003" i="1"/>
  <c r="J3994" i="1"/>
  <c r="J4042" i="1"/>
  <c r="J4041" i="1"/>
  <c r="J4040" i="1"/>
  <c r="BI48" i="7"/>
  <c r="J4001" i="1"/>
  <c r="J4000" i="1"/>
  <c r="J3999" i="1"/>
  <c r="J3998" i="1"/>
  <c r="J3997" i="1"/>
  <c r="J3996" i="1"/>
  <c r="J4039" i="1"/>
  <c r="J4038" i="1"/>
  <c r="J4021" i="1"/>
  <c r="J4020" i="1"/>
  <c r="J4019" i="1"/>
  <c r="J4018" i="1"/>
  <c r="J4014" i="1"/>
  <c r="J4011" i="1"/>
  <c r="J4010" i="1"/>
  <c r="J4009" i="1"/>
  <c r="J4008" i="1"/>
  <c r="J4007" i="1"/>
  <c r="BI13" i="7"/>
  <c r="BI49" i="7" l="1"/>
  <c r="H2001" i="8" l="1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1984" i="8" l="1"/>
  <c r="H1996" i="8"/>
  <c r="H1997" i="8"/>
  <c r="H1998" i="8"/>
  <c r="H1999" i="8"/>
  <c r="H2000" i="8"/>
  <c r="H1986" i="8"/>
  <c r="H1987" i="8"/>
  <c r="H1988" i="8"/>
  <c r="H1989" i="8"/>
  <c r="H1990" i="8"/>
  <c r="H1991" i="8"/>
  <c r="H1992" i="8"/>
  <c r="H1993" i="8"/>
  <c r="H1994" i="8"/>
  <c r="H1995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5" i="8"/>
  <c r="H1924" i="8" l="1"/>
  <c r="H1923" i="8"/>
  <c r="H1922" i="8"/>
  <c r="H1921" i="8"/>
  <c r="H1920" i="8"/>
  <c r="H1919" i="8"/>
  <c r="H1918" i="8"/>
  <c r="H1917" i="8"/>
  <c r="H1916" i="8"/>
  <c r="H1915" i="8"/>
  <c r="H1911" i="8"/>
  <c r="H1912" i="8"/>
  <c r="H1914" i="8"/>
  <c r="H1929" i="8" l="1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AX3985" i="1" l="1"/>
  <c r="W3980" i="1"/>
  <c r="E3981" i="1"/>
  <c r="F3981" i="1"/>
  <c r="J3981" i="1"/>
  <c r="W3981" i="1"/>
  <c r="AJ3981" i="1"/>
  <c r="E3982" i="1"/>
  <c r="F3982" i="1"/>
  <c r="J3982" i="1"/>
  <c r="W3982" i="1"/>
  <c r="AJ3982" i="1"/>
  <c r="E3983" i="1"/>
  <c r="F3983" i="1"/>
  <c r="J3983" i="1"/>
  <c r="W3983" i="1"/>
  <c r="AJ3983" i="1"/>
  <c r="E3984" i="1"/>
  <c r="F3984" i="1"/>
  <c r="J3984" i="1"/>
  <c r="W3984" i="1"/>
  <c r="AJ3984" i="1"/>
  <c r="E3985" i="1"/>
  <c r="F3985" i="1"/>
  <c r="W3985" i="1"/>
  <c r="AJ3985" i="1"/>
  <c r="E3986" i="1"/>
  <c r="F3986" i="1"/>
  <c r="W3986" i="1"/>
  <c r="AJ3986" i="1"/>
  <c r="E3987" i="1"/>
  <c r="F3987" i="1"/>
  <c r="J3987" i="1"/>
  <c r="W3987" i="1"/>
  <c r="AJ3987" i="1"/>
  <c r="E3988" i="1"/>
  <c r="F3988" i="1"/>
  <c r="W3988" i="1"/>
  <c r="AJ3988" i="1"/>
  <c r="E3989" i="1"/>
  <c r="F3989" i="1"/>
  <c r="W3989" i="1"/>
  <c r="AJ3989" i="1"/>
  <c r="E3990" i="1"/>
  <c r="F3990" i="1"/>
  <c r="J3990" i="1"/>
  <c r="W3990" i="1"/>
  <c r="AJ3990" i="1"/>
  <c r="E3991" i="1"/>
  <c r="F3991" i="1"/>
  <c r="W3991" i="1"/>
  <c r="AJ3991" i="1"/>
  <c r="J3989" i="1" l="1"/>
  <c r="J3986" i="1"/>
  <c r="J3985" i="1"/>
  <c r="J3991" i="1"/>
  <c r="J3988" i="1"/>
  <c r="E3965" i="1"/>
  <c r="F3965" i="1"/>
  <c r="J3965" i="1"/>
  <c r="W3965" i="1"/>
  <c r="AJ3965" i="1"/>
  <c r="E3966" i="1"/>
  <c r="F3966" i="1"/>
  <c r="W3966" i="1"/>
  <c r="AJ3966" i="1"/>
  <c r="E3967" i="1"/>
  <c r="F3967" i="1"/>
  <c r="J3967" i="1"/>
  <c r="W3967" i="1"/>
  <c r="AJ3967" i="1"/>
  <c r="E3968" i="1"/>
  <c r="F3968" i="1"/>
  <c r="J3968" i="1"/>
  <c r="W3968" i="1"/>
  <c r="AJ3968" i="1"/>
  <c r="E3969" i="1"/>
  <c r="F3969" i="1"/>
  <c r="J3969" i="1"/>
  <c r="W3969" i="1"/>
  <c r="AJ3969" i="1"/>
  <c r="E3970" i="1"/>
  <c r="F3970" i="1"/>
  <c r="J3970" i="1"/>
  <c r="W3970" i="1"/>
  <c r="AJ3970" i="1"/>
  <c r="E3971" i="1"/>
  <c r="F3971" i="1"/>
  <c r="J3971" i="1"/>
  <c r="W3971" i="1"/>
  <c r="AJ3971" i="1"/>
  <c r="E3972" i="1"/>
  <c r="F3972" i="1"/>
  <c r="W3972" i="1"/>
  <c r="AJ3972" i="1"/>
  <c r="E3973" i="1"/>
  <c r="F3973" i="1"/>
  <c r="W3973" i="1"/>
  <c r="AJ3973" i="1"/>
  <c r="E3974" i="1"/>
  <c r="F3974" i="1"/>
  <c r="W3974" i="1"/>
  <c r="AJ3974" i="1"/>
  <c r="E3975" i="1"/>
  <c r="F3975" i="1"/>
  <c r="W3975" i="1"/>
  <c r="AJ3975" i="1"/>
  <c r="E3976" i="1"/>
  <c r="F3976" i="1"/>
  <c r="W3976" i="1"/>
  <c r="AJ3976" i="1"/>
  <c r="E3977" i="1"/>
  <c r="F3977" i="1"/>
  <c r="J3977" i="1"/>
  <c r="W3977" i="1"/>
  <c r="AJ3977" i="1"/>
  <c r="E3978" i="1"/>
  <c r="F3978" i="1"/>
  <c r="J3978" i="1"/>
  <c r="W3978" i="1"/>
  <c r="AJ3978" i="1"/>
  <c r="E3979" i="1"/>
  <c r="F3979" i="1"/>
  <c r="W3979" i="1"/>
  <c r="AJ3979" i="1"/>
  <c r="E3980" i="1"/>
  <c r="F3980" i="1"/>
  <c r="J3980" i="1"/>
  <c r="AJ3980" i="1"/>
  <c r="E3992" i="1"/>
  <c r="F3992" i="1"/>
  <c r="W3992" i="1"/>
  <c r="AJ3992" i="1"/>
  <c r="J3992" i="1" l="1"/>
  <c r="J3979" i="1"/>
  <c r="J3976" i="1"/>
  <c r="J3975" i="1"/>
  <c r="J3974" i="1"/>
  <c r="J3973" i="1"/>
  <c r="J3972" i="1"/>
  <c r="J3966" i="1"/>
  <c r="H1913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AX3939" i="1"/>
  <c r="AJ3939" i="1"/>
  <c r="W3939" i="1"/>
  <c r="J3939" i="1"/>
  <c r="F3939" i="1"/>
  <c r="E3939" i="1"/>
  <c r="AJ3938" i="1"/>
  <c r="W3938" i="1"/>
  <c r="J3938" i="1"/>
  <c r="F3938" i="1"/>
  <c r="E3938" i="1"/>
  <c r="AJ3937" i="1"/>
  <c r="W3937" i="1"/>
  <c r="F3937" i="1"/>
  <c r="E3937" i="1"/>
  <c r="AJ3936" i="1"/>
  <c r="W3936" i="1"/>
  <c r="F3936" i="1"/>
  <c r="E3936" i="1"/>
  <c r="AJ3935" i="1"/>
  <c r="W3935" i="1"/>
  <c r="F3935" i="1"/>
  <c r="E3935" i="1"/>
  <c r="AJ3934" i="1"/>
  <c r="W3934" i="1"/>
  <c r="F3934" i="1"/>
  <c r="E3934" i="1"/>
  <c r="AJ3933" i="1"/>
  <c r="W3933" i="1"/>
  <c r="F3933" i="1"/>
  <c r="E3933" i="1"/>
  <c r="AJ3932" i="1"/>
  <c r="W3932" i="1"/>
  <c r="F3932" i="1"/>
  <c r="E3932" i="1"/>
  <c r="AJ3931" i="1"/>
  <c r="W3931" i="1"/>
  <c r="F3931" i="1"/>
  <c r="E3931" i="1"/>
  <c r="AJ3930" i="1"/>
  <c r="W3930" i="1"/>
  <c r="J3930" i="1"/>
  <c r="F3930" i="1"/>
  <c r="E3930" i="1"/>
  <c r="AJ3929" i="1"/>
  <c r="W3929" i="1"/>
  <c r="F3929" i="1"/>
  <c r="E3929" i="1"/>
  <c r="AJ3928" i="1"/>
  <c r="W3928" i="1"/>
  <c r="F3928" i="1"/>
  <c r="E3928" i="1"/>
  <c r="AJ3927" i="1"/>
  <c r="W3927" i="1"/>
  <c r="J3927" i="1"/>
  <c r="F3927" i="1"/>
  <c r="E3927" i="1"/>
  <c r="AJ3926" i="1"/>
  <c r="W3926" i="1"/>
  <c r="F3926" i="1"/>
  <c r="E3926" i="1"/>
  <c r="AJ3925" i="1"/>
  <c r="W3925" i="1"/>
  <c r="F3925" i="1"/>
  <c r="E3925" i="1"/>
  <c r="AJ3924" i="1"/>
  <c r="W3924" i="1"/>
  <c r="J3924" i="1"/>
  <c r="F3924" i="1"/>
  <c r="E3924" i="1"/>
  <c r="AJ3923" i="1"/>
  <c r="W3923" i="1"/>
  <c r="F3923" i="1"/>
  <c r="E3923" i="1"/>
  <c r="AJ3922" i="1"/>
  <c r="W3922" i="1"/>
  <c r="F3922" i="1"/>
  <c r="E3922" i="1"/>
  <c r="AJ3921" i="1"/>
  <c r="W3921" i="1"/>
  <c r="F3921" i="1"/>
  <c r="E3921" i="1"/>
  <c r="AJ3920" i="1"/>
  <c r="W3920" i="1"/>
  <c r="F3920" i="1"/>
  <c r="E3920" i="1"/>
  <c r="AJ3919" i="1"/>
  <c r="W3919" i="1"/>
  <c r="F3919" i="1"/>
  <c r="E3919" i="1"/>
  <c r="AJ3918" i="1"/>
  <c r="W3918" i="1"/>
  <c r="J3918" i="1"/>
  <c r="F3918" i="1"/>
  <c r="E3918" i="1"/>
  <c r="AJ3917" i="1"/>
  <c r="W3917" i="1"/>
  <c r="F3917" i="1"/>
  <c r="E3917" i="1"/>
  <c r="AJ3916" i="1"/>
  <c r="W3916" i="1"/>
  <c r="J3916" i="1"/>
  <c r="F3916" i="1"/>
  <c r="E3916" i="1"/>
  <c r="AJ3915" i="1"/>
  <c r="W3915" i="1"/>
  <c r="F3915" i="1"/>
  <c r="E3915" i="1"/>
  <c r="AJ3914" i="1"/>
  <c r="W3914" i="1"/>
  <c r="F3914" i="1"/>
  <c r="E3914" i="1"/>
  <c r="AJ3913" i="1"/>
  <c r="W3913" i="1"/>
  <c r="F3913" i="1"/>
  <c r="E3913" i="1"/>
  <c r="AJ3912" i="1"/>
  <c r="W3912" i="1"/>
  <c r="J3912" i="1"/>
  <c r="F3912" i="1"/>
  <c r="E3912" i="1"/>
  <c r="AJ3911" i="1"/>
  <c r="W3911" i="1"/>
  <c r="F3911" i="1"/>
  <c r="E3911" i="1"/>
  <c r="AJ3910" i="1"/>
  <c r="W3910" i="1"/>
  <c r="F3910" i="1"/>
  <c r="E3910" i="1"/>
  <c r="AJ3909" i="1"/>
  <c r="W3909" i="1"/>
  <c r="F3909" i="1"/>
  <c r="E3909" i="1"/>
  <c r="E3957" i="1"/>
  <c r="F3957" i="1"/>
  <c r="J3957" i="1"/>
  <c r="W3957" i="1"/>
  <c r="AJ3957" i="1"/>
  <c r="E3958" i="1"/>
  <c r="F3958" i="1"/>
  <c r="J3958" i="1"/>
  <c r="W3958" i="1"/>
  <c r="AJ3958" i="1"/>
  <c r="E3959" i="1"/>
  <c r="F3959" i="1"/>
  <c r="J3959" i="1"/>
  <c r="W3959" i="1"/>
  <c r="AJ3959" i="1"/>
  <c r="E3960" i="1"/>
  <c r="F3960" i="1"/>
  <c r="J3960" i="1"/>
  <c r="W3960" i="1"/>
  <c r="AJ3960" i="1"/>
  <c r="E3961" i="1"/>
  <c r="F3961" i="1"/>
  <c r="W3961" i="1"/>
  <c r="AJ3961" i="1"/>
  <c r="E3962" i="1"/>
  <c r="F3962" i="1"/>
  <c r="W3962" i="1"/>
  <c r="AJ3962" i="1"/>
  <c r="E3963" i="1"/>
  <c r="F3963" i="1"/>
  <c r="W3963" i="1"/>
  <c r="AJ3963" i="1"/>
  <c r="E3964" i="1"/>
  <c r="F3964" i="1"/>
  <c r="W3964" i="1"/>
  <c r="AJ3964" i="1"/>
  <c r="J3964" i="1" l="1"/>
  <c r="J3963" i="1"/>
  <c r="J3962" i="1"/>
  <c r="J3961" i="1"/>
  <c r="J3920" i="1"/>
  <c r="J3914" i="1"/>
  <c r="J3915" i="1"/>
  <c r="J3919" i="1"/>
  <c r="J3934" i="1"/>
  <c r="J3936" i="1"/>
  <c r="J3937" i="1"/>
  <c r="J3928" i="1"/>
  <c r="J3929" i="1"/>
  <c r="J3926" i="1"/>
  <c r="J3910" i="1"/>
  <c r="J3911" i="1"/>
  <c r="J3922" i="1"/>
  <c r="J3923" i="1"/>
  <c r="J3932" i="1"/>
  <c r="J3933" i="1"/>
  <c r="J3909" i="1"/>
  <c r="J3913" i="1"/>
  <c r="J3917" i="1"/>
  <c r="J3921" i="1"/>
  <c r="J3925" i="1"/>
  <c r="J3931" i="1"/>
  <c r="J3935" i="1"/>
  <c r="E3940" i="1" l="1"/>
  <c r="F3940" i="1"/>
  <c r="J3940" i="1"/>
  <c r="W3940" i="1"/>
  <c r="AJ3940" i="1"/>
  <c r="E3941" i="1"/>
  <c r="F3941" i="1"/>
  <c r="J3941" i="1"/>
  <c r="W3941" i="1"/>
  <c r="AJ3941" i="1"/>
  <c r="E3942" i="1"/>
  <c r="F3942" i="1"/>
  <c r="J3942" i="1"/>
  <c r="W3942" i="1"/>
  <c r="AJ3942" i="1"/>
  <c r="E3943" i="1"/>
  <c r="F3943" i="1"/>
  <c r="W3943" i="1"/>
  <c r="AJ3943" i="1"/>
  <c r="E3944" i="1"/>
  <c r="F3944" i="1"/>
  <c r="J3944" i="1"/>
  <c r="W3944" i="1"/>
  <c r="AJ3944" i="1"/>
  <c r="E3945" i="1"/>
  <c r="F3945" i="1"/>
  <c r="W3945" i="1"/>
  <c r="AJ3945" i="1"/>
  <c r="E3946" i="1"/>
  <c r="F3946" i="1"/>
  <c r="W3946" i="1"/>
  <c r="AJ3946" i="1"/>
  <c r="E3947" i="1"/>
  <c r="F3947" i="1"/>
  <c r="W3947" i="1"/>
  <c r="AJ3947" i="1"/>
  <c r="E3948" i="1"/>
  <c r="F3948" i="1"/>
  <c r="W3948" i="1"/>
  <c r="AJ3948" i="1"/>
  <c r="E3949" i="1"/>
  <c r="F3949" i="1"/>
  <c r="W3949" i="1"/>
  <c r="AJ3949" i="1"/>
  <c r="E3950" i="1"/>
  <c r="F3950" i="1"/>
  <c r="W3950" i="1"/>
  <c r="AJ3950" i="1"/>
  <c r="J3948" i="1" l="1"/>
  <c r="J3950" i="1"/>
  <c r="J3947" i="1"/>
  <c r="J3943" i="1"/>
  <c r="J3949" i="1"/>
  <c r="J3946" i="1"/>
  <c r="J3945" i="1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BW412" i="2"/>
  <c r="BV412" i="2"/>
  <c r="BU412" i="2"/>
  <c r="BT412" i="2"/>
  <c r="BS412" i="2"/>
  <c r="BR412" i="2"/>
  <c r="BQ412" i="2"/>
  <c r="BP412" i="2"/>
  <c r="BO412" i="2"/>
  <c r="BN412" i="2"/>
  <c r="BM412" i="2"/>
  <c r="BL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BW403" i="2"/>
  <c r="BV403" i="2"/>
  <c r="BU403" i="2"/>
  <c r="BT403" i="2"/>
  <c r="BS403" i="2"/>
  <c r="BR403" i="2"/>
  <c r="BQ403" i="2"/>
  <c r="BP403" i="2"/>
  <c r="BO403" i="2"/>
  <c r="BN403" i="2"/>
  <c r="BM403" i="2"/>
  <c r="BL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BW395" i="2"/>
  <c r="BV395" i="2"/>
  <c r="BU395" i="2"/>
  <c r="BT395" i="2"/>
  <c r="BS395" i="2"/>
  <c r="BR395" i="2"/>
  <c r="BQ395" i="2"/>
  <c r="BP395" i="2"/>
  <c r="BO395" i="2"/>
  <c r="BN395" i="2"/>
  <c r="BM395" i="2"/>
  <c r="BL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BW394" i="2"/>
  <c r="BV394" i="2"/>
  <c r="BU394" i="2"/>
  <c r="BT394" i="2"/>
  <c r="BS394" i="2"/>
  <c r="BR394" i="2"/>
  <c r="BQ394" i="2"/>
  <c r="BP394" i="2"/>
  <c r="BO394" i="2"/>
  <c r="BN394" i="2"/>
  <c r="BM394" i="2"/>
  <c r="BL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BW393" i="2"/>
  <c r="BV393" i="2"/>
  <c r="BU393" i="2"/>
  <c r="BT393" i="2"/>
  <c r="BS393" i="2"/>
  <c r="BR393" i="2"/>
  <c r="BQ393" i="2"/>
  <c r="BP393" i="2"/>
  <c r="BO393" i="2"/>
  <c r="BN393" i="2"/>
  <c r="BM393" i="2"/>
  <c r="BL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BV366" i="2"/>
  <c r="BU366" i="2"/>
  <c r="BT366" i="2"/>
  <c r="BS366" i="2"/>
  <c r="BR366" i="2"/>
  <c r="BQ366" i="2"/>
  <c r="BP366" i="2"/>
  <c r="BO366" i="2"/>
  <c r="BN366" i="2"/>
  <c r="BM366" i="2"/>
  <c r="BL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BW363" i="2"/>
  <c r="BV363" i="2"/>
  <c r="BU363" i="2"/>
  <c r="BT363" i="2"/>
  <c r="BS363" i="2"/>
  <c r="BR363" i="2"/>
  <c r="BQ363" i="2"/>
  <c r="BP363" i="2"/>
  <c r="BO363" i="2"/>
  <c r="BN363" i="2"/>
  <c r="BM363" i="2"/>
  <c r="BL363" i="2"/>
  <c r="BJ363" i="2"/>
  <c r="BI363" i="2"/>
  <c r="BH363" i="2"/>
  <c r="BG363" i="2"/>
  <c r="BF363" i="2"/>
  <c r="BE363" i="2"/>
  <c r="BD363" i="2"/>
  <c r="BC363" i="2"/>
  <c r="BB363" i="2"/>
  <c r="BA363" i="2"/>
  <c r="AZ363" i="2"/>
  <c r="AY363" i="2"/>
  <c r="BW362" i="2"/>
  <c r="BV362" i="2"/>
  <c r="BU362" i="2"/>
  <c r="BT362" i="2"/>
  <c r="BS362" i="2"/>
  <c r="BR362" i="2"/>
  <c r="BQ362" i="2"/>
  <c r="BP362" i="2"/>
  <c r="BO362" i="2"/>
  <c r="BN362" i="2"/>
  <c r="BM362" i="2"/>
  <c r="BL362" i="2"/>
  <c r="BJ362" i="2"/>
  <c r="BI362" i="2"/>
  <c r="BH362" i="2"/>
  <c r="BG362" i="2"/>
  <c r="BF362" i="2"/>
  <c r="BE362" i="2"/>
  <c r="BD362" i="2"/>
  <c r="BC362" i="2"/>
  <c r="BB362" i="2"/>
  <c r="BA362" i="2"/>
  <c r="AZ362" i="2"/>
  <c r="AY362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BW327" i="2"/>
  <c r="BV327" i="2"/>
  <c r="BU327" i="2"/>
  <c r="BT327" i="2"/>
  <c r="BS327" i="2"/>
  <c r="BR327" i="2"/>
  <c r="BQ327" i="2"/>
  <c r="BP327" i="2"/>
  <c r="BO327" i="2"/>
  <c r="BN327" i="2"/>
  <c r="BM327" i="2"/>
  <c r="BL327" i="2"/>
  <c r="BJ327" i="2"/>
  <c r="BI327" i="2"/>
  <c r="BH327" i="2"/>
  <c r="BG327" i="2"/>
  <c r="BF327" i="2"/>
  <c r="BE327" i="2"/>
  <c r="BD327" i="2"/>
  <c r="BC327" i="2"/>
  <c r="BB327" i="2"/>
  <c r="BA327" i="2"/>
  <c r="AZ327" i="2"/>
  <c r="AY327" i="2"/>
  <c r="BW326" i="2"/>
  <c r="BV326" i="2"/>
  <c r="BU326" i="2"/>
  <c r="BT326" i="2"/>
  <c r="BS326" i="2"/>
  <c r="BR326" i="2"/>
  <c r="BQ326" i="2"/>
  <c r="BP326" i="2"/>
  <c r="BO326" i="2"/>
  <c r="BN326" i="2"/>
  <c r="BM326" i="2"/>
  <c r="BL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BW321" i="2"/>
  <c r="BV321" i="2"/>
  <c r="BU321" i="2"/>
  <c r="BT321" i="2"/>
  <c r="BS321" i="2"/>
  <c r="BR321" i="2"/>
  <c r="BQ321" i="2"/>
  <c r="BP321" i="2"/>
  <c r="BO321" i="2"/>
  <c r="BN321" i="2"/>
  <c r="BM321" i="2"/>
  <c r="BL321" i="2"/>
  <c r="BJ321" i="2"/>
  <c r="BI321" i="2"/>
  <c r="BH321" i="2"/>
  <c r="BG321" i="2"/>
  <c r="BF321" i="2"/>
  <c r="BE321" i="2"/>
  <c r="BD321" i="2"/>
  <c r="BC321" i="2"/>
  <c r="BB321" i="2"/>
  <c r="BA321" i="2"/>
  <c r="AZ321" i="2"/>
  <c r="AY321" i="2"/>
  <c r="BW320" i="2"/>
  <c r="BV320" i="2"/>
  <c r="BU320" i="2"/>
  <c r="BT320" i="2"/>
  <c r="BS320" i="2"/>
  <c r="BR320" i="2"/>
  <c r="BQ320" i="2"/>
  <c r="BP320" i="2"/>
  <c r="BO320" i="2"/>
  <c r="BN320" i="2"/>
  <c r="BM320" i="2"/>
  <c r="BL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BW319" i="2"/>
  <c r="BV319" i="2"/>
  <c r="BU319" i="2"/>
  <c r="BT319" i="2"/>
  <c r="BS319" i="2"/>
  <c r="BR319" i="2"/>
  <c r="BQ319" i="2"/>
  <c r="BP319" i="2"/>
  <c r="BO319" i="2"/>
  <c r="BN319" i="2"/>
  <c r="BM319" i="2"/>
  <c r="BL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BW318" i="2"/>
  <c r="BV318" i="2"/>
  <c r="BU318" i="2"/>
  <c r="BT318" i="2"/>
  <c r="BS318" i="2"/>
  <c r="BR318" i="2"/>
  <c r="BQ318" i="2"/>
  <c r="BP318" i="2"/>
  <c r="BO318" i="2"/>
  <c r="BN318" i="2"/>
  <c r="BM318" i="2"/>
  <c r="BL318" i="2"/>
  <c r="BJ318" i="2"/>
  <c r="BI318" i="2"/>
  <c r="BH318" i="2"/>
  <c r="BG318" i="2"/>
  <c r="BF318" i="2"/>
  <c r="BE318" i="2"/>
  <c r="BD318" i="2"/>
  <c r="BC318" i="2"/>
  <c r="BB318" i="2"/>
  <c r="BA318" i="2"/>
  <c r="AZ318" i="2"/>
  <c r="AY318" i="2"/>
  <c r="BW317" i="2"/>
  <c r="BV317" i="2"/>
  <c r="BU317" i="2"/>
  <c r="BT317" i="2"/>
  <c r="BS317" i="2"/>
  <c r="BR317" i="2"/>
  <c r="BQ317" i="2"/>
  <c r="BP317" i="2"/>
  <c r="BO317" i="2"/>
  <c r="BN317" i="2"/>
  <c r="BM317" i="2"/>
  <c r="BL317" i="2"/>
  <c r="BJ317" i="2"/>
  <c r="BI317" i="2"/>
  <c r="BH317" i="2"/>
  <c r="BG317" i="2"/>
  <c r="BF317" i="2"/>
  <c r="BE317" i="2"/>
  <c r="BD317" i="2"/>
  <c r="BC317" i="2"/>
  <c r="BB317" i="2"/>
  <c r="BA317" i="2"/>
  <c r="AZ317" i="2"/>
  <c r="AY317" i="2"/>
  <c r="BW316" i="2"/>
  <c r="BV316" i="2"/>
  <c r="BU316" i="2"/>
  <c r="BT316" i="2"/>
  <c r="BS316" i="2"/>
  <c r="BR316" i="2"/>
  <c r="BQ316" i="2"/>
  <c r="BP316" i="2"/>
  <c r="BO316" i="2"/>
  <c r="BN316" i="2"/>
  <c r="BM316" i="2"/>
  <c r="BL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BW314" i="2"/>
  <c r="BV314" i="2"/>
  <c r="BU314" i="2"/>
  <c r="BT314" i="2"/>
  <c r="BS314" i="2"/>
  <c r="BR314" i="2"/>
  <c r="BQ314" i="2"/>
  <c r="BP314" i="2"/>
  <c r="BO314" i="2"/>
  <c r="BN314" i="2"/>
  <c r="BM314" i="2"/>
  <c r="BL314" i="2"/>
  <c r="BJ314" i="2"/>
  <c r="BI314" i="2"/>
  <c r="BH314" i="2"/>
  <c r="BG314" i="2"/>
  <c r="BF314" i="2"/>
  <c r="BE314" i="2"/>
  <c r="BD314" i="2"/>
  <c r="BC314" i="2"/>
  <c r="BB314" i="2"/>
  <c r="BA314" i="2"/>
  <c r="AZ314" i="2"/>
  <c r="AY314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BW312" i="2"/>
  <c r="BV312" i="2"/>
  <c r="BU312" i="2"/>
  <c r="BT312" i="2"/>
  <c r="BS312" i="2"/>
  <c r="BR312" i="2"/>
  <c r="BQ312" i="2"/>
  <c r="BP312" i="2"/>
  <c r="BO312" i="2"/>
  <c r="BN312" i="2"/>
  <c r="BM312" i="2"/>
  <c r="BL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BW309" i="2"/>
  <c r="BV309" i="2"/>
  <c r="BU309" i="2"/>
  <c r="BT309" i="2"/>
  <c r="BS309" i="2"/>
  <c r="BR309" i="2"/>
  <c r="BQ309" i="2"/>
  <c r="BP309" i="2"/>
  <c r="BO309" i="2"/>
  <c r="BN309" i="2"/>
  <c r="BM309" i="2"/>
  <c r="BL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BW306" i="2"/>
  <c r="BV306" i="2"/>
  <c r="BU306" i="2"/>
  <c r="BT306" i="2"/>
  <c r="BS306" i="2"/>
  <c r="BR306" i="2"/>
  <c r="BQ306" i="2"/>
  <c r="BP306" i="2"/>
  <c r="BO306" i="2"/>
  <c r="BN306" i="2"/>
  <c r="BM306" i="2"/>
  <c r="BL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BW303" i="2"/>
  <c r="BV303" i="2"/>
  <c r="BU303" i="2"/>
  <c r="BT303" i="2"/>
  <c r="BS303" i="2"/>
  <c r="BR303" i="2"/>
  <c r="BQ303" i="2"/>
  <c r="BP303" i="2"/>
  <c r="BO303" i="2"/>
  <c r="BN303" i="2"/>
  <c r="BM303" i="2"/>
  <c r="BL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BW301" i="2"/>
  <c r="BV301" i="2"/>
  <c r="BU301" i="2"/>
  <c r="BT301" i="2"/>
  <c r="BS301" i="2"/>
  <c r="BR301" i="2"/>
  <c r="BQ301" i="2"/>
  <c r="BP301" i="2"/>
  <c r="BO301" i="2"/>
  <c r="BN301" i="2"/>
  <c r="BM301" i="2"/>
  <c r="BL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BW300" i="2"/>
  <c r="BV300" i="2"/>
  <c r="BU300" i="2"/>
  <c r="BT300" i="2"/>
  <c r="BS300" i="2"/>
  <c r="BR300" i="2"/>
  <c r="BQ300" i="2"/>
  <c r="BP300" i="2"/>
  <c r="BO300" i="2"/>
  <c r="BN300" i="2"/>
  <c r="BM300" i="2"/>
  <c r="BL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BW271" i="2"/>
  <c r="BV271" i="2"/>
  <c r="BU271" i="2"/>
  <c r="BT271" i="2"/>
  <c r="BS271" i="2"/>
  <c r="BR271" i="2"/>
  <c r="BQ271" i="2"/>
  <c r="BP271" i="2"/>
  <c r="BO271" i="2"/>
  <c r="BN271" i="2"/>
  <c r="BM271" i="2"/>
  <c r="BL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BW263" i="2"/>
  <c r="BV263" i="2"/>
  <c r="BU263" i="2"/>
  <c r="BT263" i="2"/>
  <c r="BS263" i="2"/>
  <c r="BR263" i="2"/>
  <c r="BQ263" i="2"/>
  <c r="BP263" i="2"/>
  <c r="BO263" i="2"/>
  <c r="BN263" i="2"/>
  <c r="BM263" i="2"/>
  <c r="BL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BW246" i="2"/>
  <c r="BV246" i="2"/>
  <c r="BU246" i="2"/>
  <c r="BT246" i="2"/>
  <c r="BS246" i="2"/>
  <c r="BR246" i="2"/>
  <c r="BQ246" i="2"/>
  <c r="BP246" i="2"/>
  <c r="BO246" i="2"/>
  <c r="BN246" i="2"/>
  <c r="BM246" i="2"/>
  <c r="BL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BW244" i="2"/>
  <c r="BV244" i="2"/>
  <c r="BU244" i="2"/>
  <c r="BT244" i="2"/>
  <c r="BS244" i="2"/>
  <c r="BR244" i="2"/>
  <c r="BQ244" i="2"/>
  <c r="BP244" i="2"/>
  <c r="BO244" i="2"/>
  <c r="BN244" i="2"/>
  <c r="BM244" i="2"/>
  <c r="BL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BW243" i="2"/>
  <c r="BV243" i="2"/>
  <c r="BU243" i="2"/>
  <c r="BT243" i="2"/>
  <c r="BS243" i="2"/>
  <c r="BR243" i="2"/>
  <c r="BQ243" i="2"/>
  <c r="BP243" i="2"/>
  <c r="BO243" i="2"/>
  <c r="BN243" i="2"/>
  <c r="BM243" i="2"/>
  <c r="BL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BW242" i="2"/>
  <c r="BV242" i="2"/>
  <c r="BU242" i="2"/>
  <c r="BT242" i="2"/>
  <c r="BS242" i="2"/>
  <c r="BR242" i="2"/>
  <c r="BQ242" i="2"/>
  <c r="BP242" i="2"/>
  <c r="BO242" i="2"/>
  <c r="BN242" i="2"/>
  <c r="BM242" i="2"/>
  <c r="BL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BW240" i="2"/>
  <c r="BV240" i="2"/>
  <c r="BU240" i="2"/>
  <c r="BT240" i="2"/>
  <c r="BS240" i="2"/>
  <c r="BR240" i="2"/>
  <c r="BQ240" i="2"/>
  <c r="BP240" i="2"/>
  <c r="BO240" i="2"/>
  <c r="BN240" i="2"/>
  <c r="BM240" i="2"/>
  <c r="BL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BW238" i="2"/>
  <c r="BV238" i="2"/>
  <c r="BU238" i="2"/>
  <c r="BT238" i="2"/>
  <c r="BS238" i="2"/>
  <c r="BR238" i="2"/>
  <c r="BQ238" i="2"/>
  <c r="BP238" i="2"/>
  <c r="BO238" i="2"/>
  <c r="BN238" i="2"/>
  <c r="BM238" i="2"/>
  <c r="BL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BW237" i="2"/>
  <c r="BV237" i="2"/>
  <c r="BU237" i="2"/>
  <c r="BT237" i="2"/>
  <c r="BS237" i="2"/>
  <c r="BR237" i="2"/>
  <c r="BQ237" i="2"/>
  <c r="BP237" i="2"/>
  <c r="BO237" i="2"/>
  <c r="BN237" i="2"/>
  <c r="BM237" i="2"/>
  <c r="BL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BW236" i="2"/>
  <c r="BV236" i="2"/>
  <c r="BU236" i="2"/>
  <c r="BT236" i="2"/>
  <c r="BS236" i="2"/>
  <c r="BR236" i="2"/>
  <c r="BQ236" i="2"/>
  <c r="BP236" i="2"/>
  <c r="BO236" i="2"/>
  <c r="BN236" i="2"/>
  <c r="BM236" i="2"/>
  <c r="BL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BW234" i="2"/>
  <c r="BV234" i="2"/>
  <c r="BU234" i="2"/>
  <c r="BT234" i="2"/>
  <c r="BS234" i="2"/>
  <c r="BR234" i="2"/>
  <c r="BQ234" i="2"/>
  <c r="BP234" i="2"/>
  <c r="BO234" i="2"/>
  <c r="BN234" i="2"/>
  <c r="BM234" i="2"/>
  <c r="BL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BW208" i="2"/>
  <c r="BV208" i="2"/>
  <c r="BU208" i="2"/>
  <c r="BT208" i="2"/>
  <c r="BS208" i="2"/>
  <c r="BR208" i="2"/>
  <c r="BQ208" i="2"/>
  <c r="BP208" i="2"/>
  <c r="BO208" i="2"/>
  <c r="BN208" i="2"/>
  <c r="BM208" i="2"/>
  <c r="BL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BW9" i="2"/>
  <c r="BV9" i="2"/>
  <c r="BU9" i="2"/>
  <c r="BT9" i="2"/>
  <c r="BS9" i="2"/>
  <c r="BR9" i="2"/>
  <c r="BQ9" i="2"/>
  <c r="BP9" i="2"/>
  <c r="BO9" i="2"/>
  <c r="BN9" i="2"/>
  <c r="BM9" i="2"/>
  <c r="BL9" i="2"/>
  <c r="BJ9" i="2"/>
  <c r="BI9" i="2"/>
  <c r="BH9" i="2"/>
  <c r="BG9" i="2"/>
  <c r="BF9" i="2"/>
  <c r="BE9" i="2"/>
  <c r="BD9" i="2"/>
  <c r="BC9" i="2"/>
  <c r="BB9" i="2"/>
  <c r="BA9" i="2"/>
  <c r="AZ9" i="2"/>
  <c r="AY9" i="2"/>
  <c r="BW8" i="2"/>
  <c r="BV8" i="2"/>
  <c r="BU8" i="2"/>
  <c r="BT8" i="2"/>
  <c r="BS8" i="2"/>
  <c r="BR8" i="2"/>
  <c r="BQ8" i="2"/>
  <c r="BP8" i="2"/>
  <c r="BO8" i="2"/>
  <c r="BN8" i="2"/>
  <c r="BM8" i="2"/>
  <c r="BL8" i="2"/>
  <c r="BJ8" i="2"/>
  <c r="BI8" i="2"/>
  <c r="BH8" i="2"/>
  <c r="BG8" i="2"/>
  <c r="BF8" i="2"/>
  <c r="BE8" i="2"/>
  <c r="BD8" i="2"/>
  <c r="BC8" i="2"/>
  <c r="BB8" i="2"/>
  <c r="BA8" i="2"/>
  <c r="AZ8" i="2"/>
  <c r="AY8" i="2"/>
  <c r="BW7" i="2"/>
  <c r="BV7" i="2"/>
  <c r="BU7" i="2"/>
  <c r="BT7" i="2"/>
  <c r="BS7" i="2"/>
  <c r="BR7" i="2"/>
  <c r="BQ7" i="2"/>
  <c r="BP7" i="2"/>
  <c r="BO7" i="2"/>
  <c r="BN7" i="2"/>
  <c r="BM7" i="2"/>
  <c r="BL7" i="2"/>
  <c r="BJ7" i="2"/>
  <c r="BI7" i="2"/>
  <c r="BH7" i="2"/>
  <c r="BG7" i="2"/>
  <c r="BF7" i="2"/>
  <c r="BE7" i="2"/>
  <c r="BD7" i="2"/>
  <c r="BC7" i="2"/>
  <c r="BB7" i="2"/>
  <c r="BA7" i="2"/>
  <c r="AZ7" i="2"/>
  <c r="AY7" i="2"/>
  <c r="BW6" i="2"/>
  <c r="BV6" i="2"/>
  <c r="BU6" i="2"/>
  <c r="BT6" i="2"/>
  <c r="BS6" i="2"/>
  <c r="BR6" i="2"/>
  <c r="BQ6" i="2"/>
  <c r="BP6" i="2"/>
  <c r="BO6" i="2"/>
  <c r="BN6" i="2"/>
  <c r="BM6" i="2"/>
  <c r="BL6" i="2"/>
  <c r="BJ6" i="2"/>
  <c r="BI6" i="2"/>
  <c r="BH6" i="2"/>
  <c r="BG6" i="2"/>
  <c r="BF6" i="2"/>
  <c r="BE6" i="2"/>
  <c r="BD6" i="2"/>
  <c r="BC6" i="2"/>
  <c r="BB6" i="2"/>
  <c r="BA6" i="2"/>
  <c r="AZ6" i="2"/>
  <c r="AY6" i="2"/>
  <c r="AX3908" i="1" l="1"/>
  <c r="F3865" i="1"/>
  <c r="E3861" i="1" l="1"/>
  <c r="F3861" i="1"/>
  <c r="W3861" i="1"/>
  <c r="AJ3861" i="1"/>
  <c r="E3862" i="1"/>
  <c r="F3862" i="1"/>
  <c r="W3862" i="1"/>
  <c r="AJ3862" i="1"/>
  <c r="E3863" i="1"/>
  <c r="F3863" i="1"/>
  <c r="J3863" i="1"/>
  <c r="W3863" i="1"/>
  <c r="AJ3863" i="1"/>
  <c r="E3864" i="1"/>
  <c r="F3864" i="1"/>
  <c r="W3864" i="1"/>
  <c r="AJ3864" i="1"/>
  <c r="E3865" i="1"/>
  <c r="W3865" i="1"/>
  <c r="AJ3865" i="1"/>
  <c r="E3866" i="1"/>
  <c r="F3866" i="1"/>
  <c r="W3866" i="1"/>
  <c r="AJ3866" i="1"/>
  <c r="E3867" i="1"/>
  <c r="F3867" i="1"/>
  <c r="W3867" i="1"/>
  <c r="AJ3867" i="1"/>
  <c r="E3868" i="1"/>
  <c r="F3868" i="1"/>
  <c r="J3868" i="1"/>
  <c r="W3868" i="1"/>
  <c r="AJ3868" i="1"/>
  <c r="E3869" i="1"/>
  <c r="F3869" i="1"/>
  <c r="W3869" i="1"/>
  <c r="AJ3869" i="1"/>
  <c r="E3870" i="1"/>
  <c r="F3870" i="1"/>
  <c r="J3870" i="1"/>
  <c r="W3870" i="1"/>
  <c r="AJ3870" i="1"/>
  <c r="E3871" i="1"/>
  <c r="F3871" i="1"/>
  <c r="W3871" i="1"/>
  <c r="AJ3871" i="1"/>
  <c r="E3872" i="1"/>
  <c r="F3872" i="1"/>
  <c r="W3872" i="1"/>
  <c r="AJ3872" i="1"/>
  <c r="E3873" i="1"/>
  <c r="F3873" i="1"/>
  <c r="W3873" i="1"/>
  <c r="AJ3873" i="1"/>
  <c r="E3874" i="1"/>
  <c r="F3874" i="1"/>
  <c r="J3874" i="1"/>
  <c r="W3874" i="1"/>
  <c r="AJ3874" i="1"/>
  <c r="E3875" i="1"/>
  <c r="F3875" i="1"/>
  <c r="W3875" i="1"/>
  <c r="AJ3875" i="1"/>
  <c r="E3876" i="1"/>
  <c r="F3876" i="1"/>
  <c r="W3876" i="1"/>
  <c r="AJ3876" i="1"/>
  <c r="E3877" i="1"/>
  <c r="F3877" i="1"/>
  <c r="W3877" i="1"/>
  <c r="AJ3877" i="1"/>
  <c r="E3878" i="1"/>
  <c r="F3878" i="1"/>
  <c r="W3878" i="1"/>
  <c r="AJ3878" i="1"/>
  <c r="E3879" i="1"/>
  <c r="F3879" i="1"/>
  <c r="W3879" i="1"/>
  <c r="AJ3879" i="1"/>
  <c r="E3880" i="1"/>
  <c r="F3880" i="1"/>
  <c r="W3880" i="1"/>
  <c r="AJ3880" i="1"/>
  <c r="E3881" i="1"/>
  <c r="F3881" i="1"/>
  <c r="J3881" i="1"/>
  <c r="W3881" i="1"/>
  <c r="AJ3881" i="1"/>
  <c r="E3882" i="1"/>
  <c r="F3882" i="1"/>
  <c r="J3882" i="1"/>
  <c r="W3882" i="1"/>
  <c r="AJ3882" i="1"/>
  <c r="E3883" i="1"/>
  <c r="F3883" i="1"/>
  <c r="W3883" i="1"/>
  <c r="AJ3883" i="1"/>
  <c r="E3884" i="1"/>
  <c r="F3884" i="1"/>
  <c r="W3884" i="1"/>
  <c r="AJ3884" i="1"/>
  <c r="E3885" i="1"/>
  <c r="F3885" i="1"/>
  <c r="J3885" i="1"/>
  <c r="W3885" i="1"/>
  <c r="AJ3885" i="1"/>
  <c r="E3886" i="1"/>
  <c r="F3886" i="1"/>
  <c r="W3886" i="1"/>
  <c r="AJ3886" i="1"/>
  <c r="E3887" i="1"/>
  <c r="F3887" i="1"/>
  <c r="W3887" i="1"/>
  <c r="AJ3887" i="1"/>
  <c r="E3888" i="1"/>
  <c r="F3888" i="1"/>
  <c r="W3888" i="1"/>
  <c r="AJ3888" i="1"/>
  <c r="E3889" i="1"/>
  <c r="F3889" i="1"/>
  <c r="W3889" i="1"/>
  <c r="AJ3889" i="1"/>
  <c r="E3890" i="1"/>
  <c r="F3890" i="1"/>
  <c r="J3890" i="1"/>
  <c r="W3890" i="1"/>
  <c r="AJ3890" i="1"/>
  <c r="E3891" i="1"/>
  <c r="F3891" i="1"/>
  <c r="W3891" i="1"/>
  <c r="AJ3891" i="1"/>
  <c r="E3892" i="1"/>
  <c r="F3892" i="1"/>
  <c r="J3892" i="1"/>
  <c r="W3892" i="1"/>
  <c r="AJ3892" i="1"/>
  <c r="E3893" i="1"/>
  <c r="F3893" i="1"/>
  <c r="W3893" i="1"/>
  <c r="AJ3893" i="1"/>
  <c r="E3894" i="1"/>
  <c r="F3894" i="1"/>
  <c r="J3894" i="1"/>
  <c r="W3894" i="1"/>
  <c r="AJ3894" i="1"/>
  <c r="E3895" i="1"/>
  <c r="F3895" i="1"/>
  <c r="W3895" i="1"/>
  <c r="AJ3895" i="1"/>
  <c r="E3896" i="1"/>
  <c r="F3896" i="1"/>
  <c r="W3896" i="1"/>
  <c r="AJ3896" i="1"/>
  <c r="E3897" i="1"/>
  <c r="F3897" i="1"/>
  <c r="W3897" i="1"/>
  <c r="AJ3897" i="1"/>
  <c r="E3898" i="1"/>
  <c r="F3898" i="1"/>
  <c r="W3898" i="1"/>
  <c r="AJ3898" i="1"/>
  <c r="E3899" i="1"/>
  <c r="F3899" i="1"/>
  <c r="J3899" i="1"/>
  <c r="W3899" i="1"/>
  <c r="AJ3899" i="1"/>
  <c r="E3900" i="1"/>
  <c r="F3900" i="1"/>
  <c r="W3900" i="1"/>
  <c r="AJ3900" i="1"/>
  <c r="E3901" i="1"/>
  <c r="F3901" i="1"/>
  <c r="W3901" i="1"/>
  <c r="AJ3901" i="1"/>
  <c r="E3902" i="1"/>
  <c r="F3902" i="1"/>
  <c r="W3902" i="1"/>
  <c r="AJ3902" i="1"/>
  <c r="E3903" i="1"/>
  <c r="F3903" i="1"/>
  <c r="J3903" i="1"/>
  <c r="W3903" i="1"/>
  <c r="AJ3903" i="1"/>
  <c r="E3904" i="1"/>
  <c r="F3904" i="1"/>
  <c r="W3904" i="1"/>
  <c r="AJ3904" i="1"/>
  <c r="E3905" i="1"/>
  <c r="F3905" i="1"/>
  <c r="W3905" i="1"/>
  <c r="AJ3905" i="1"/>
  <c r="E3906" i="1"/>
  <c r="F3906" i="1"/>
  <c r="J3906" i="1"/>
  <c r="W3906" i="1"/>
  <c r="AJ3906" i="1"/>
  <c r="E3907" i="1"/>
  <c r="F3907" i="1"/>
  <c r="W3907" i="1"/>
  <c r="AJ3907" i="1"/>
  <c r="E3908" i="1"/>
  <c r="F3908" i="1"/>
  <c r="W3908" i="1"/>
  <c r="AJ3908" i="1"/>
  <c r="E3951" i="1"/>
  <c r="F3951" i="1"/>
  <c r="W3951" i="1"/>
  <c r="AJ3951" i="1"/>
  <c r="E3952" i="1"/>
  <c r="F3952" i="1"/>
  <c r="J3952" i="1"/>
  <c r="W3952" i="1"/>
  <c r="AJ3952" i="1"/>
  <c r="E3953" i="1"/>
  <c r="F3953" i="1"/>
  <c r="W3953" i="1"/>
  <c r="AJ3953" i="1"/>
  <c r="E3954" i="1"/>
  <c r="F3954" i="1"/>
  <c r="J3954" i="1"/>
  <c r="W3954" i="1"/>
  <c r="AJ3954" i="1"/>
  <c r="E3955" i="1"/>
  <c r="F3955" i="1"/>
  <c r="J3955" i="1"/>
  <c r="W3955" i="1"/>
  <c r="AJ3955" i="1"/>
  <c r="E3956" i="1"/>
  <c r="F3956" i="1"/>
  <c r="W3956" i="1"/>
  <c r="AJ3956" i="1"/>
  <c r="J3951" i="1" l="1"/>
  <c r="J3956" i="1"/>
  <c r="J3953" i="1"/>
  <c r="J3902" i="1"/>
  <c r="J3901" i="1"/>
  <c r="J3900" i="1"/>
  <c r="J3893" i="1"/>
  <c r="J3889" i="1"/>
  <c r="J3888" i="1"/>
  <c r="J3887" i="1"/>
  <c r="J3886" i="1"/>
  <c r="J3880" i="1"/>
  <c r="J3867" i="1"/>
  <c r="J3866" i="1"/>
  <c r="J3865" i="1"/>
  <c r="J3862" i="1"/>
  <c r="J3861" i="1"/>
  <c r="J3905" i="1"/>
  <c r="J3904" i="1"/>
  <c r="J3891" i="1"/>
  <c r="J3879" i="1"/>
  <c r="J3878" i="1"/>
  <c r="J3877" i="1"/>
  <c r="J3876" i="1"/>
  <c r="J3875" i="1"/>
  <c r="J3907" i="1"/>
  <c r="J3869" i="1"/>
  <c r="J3864" i="1"/>
  <c r="J3908" i="1"/>
  <c r="J3898" i="1"/>
  <c r="J3897" i="1"/>
  <c r="J3896" i="1"/>
  <c r="J3895" i="1"/>
  <c r="J3884" i="1"/>
  <c r="J3883" i="1"/>
  <c r="J3873" i="1"/>
  <c r="J3872" i="1"/>
  <c r="J3871" i="1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925" i="8"/>
  <c r="H1926" i="8"/>
  <c r="H1927" i="8"/>
  <c r="H1928" i="8"/>
  <c r="H1856" i="8" l="1"/>
  <c r="H1859" i="8"/>
  <c r="H1858" i="8"/>
  <c r="H1857" i="8"/>
  <c r="H1855" i="8"/>
  <c r="H1854" i="8"/>
  <c r="AX3840" i="1" l="1"/>
  <c r="E3780" i="1" l="1"/>
  <c r="F3780" i="1"/>
  <c r="J3780" i="1"/>
  <c r="W3780" i="1"/>
  <c r="AJ3780" i="1"/>
  <c r="E3781" i="1"/>
  <c r="F3781" i="1"/>
  <c r="W3781" i="1"/>
  <c r="AJ3781" i="1"/>
  <c r="E3782" i="1"/>
  <c r="F3782" i="1"/>
  <c r="W3782" i="1"/>
  <c r="AJ3782" i="1"/>
  <c r="E3783" i="1"/>
  <c r="F3783" i="1"/>
  <c r="W3783" i="1"/>
  <c r="AJ3783" i="1"/>
  <c r="E3775" i="1"/>
  <c r="F3775" i="1"/>
  <c r="W3775" i="1"/>
  <c r="AJ3775" i="1"/>
  <c r="E3776" i="1"/>
  <c r="F3776" i="1"/>
  <c r="J3776" i="1"/>
  <c r="W3776" i="1"/>
  <c r="AJ3776" i="1"/>
  <c r="E3777" i="1"/>
  <c r="F3777" i="1"/>
  <c r="J3777" i="1"/>
  <c r="W3777" i="1"/>
  <c r="AJ3777" i="1"/>
  <c r="E3778" i="1"/>
  <c r="F3778" i="1"/>
  <c r="J3778" i="1"/>
  <c r="W3778" i="1"/>
  <c r="AJ3778" i="1"/>
  <c r="E3779" i="1"/>
  <c r="F3779" i="1"/>
  <c r="J3779" i="1"/>
  <c r="W3779" i="1"/>
  <c r="AJ3779" i="1"/>
  <c r="K1853" i="8"/>
  <c r="J3783" i="1" l="1"/>
  <c r="J3782" i="1"/>
  <c r="J3781" i="1"/>
  <c r="J3775" i="1"/>
  <c r="H1847" i="8"/>
  <c r="H1846" i="8"/>
  <c r="H1845" i="8"/>
  <c r="H1844" i="8"/>
  <c r="H1843" i="8"/>
  <c r="H1842" i="8"/>
  <c r="H1841" i="8"/>
  <c r="H1840" i="8"/>
  <c r="H1839" i="8"/>
  <c r="H1838" i="8"/>
  <c r="H1817" i="8" l="1"/>
  <c r="H1818" i="8"/>
  <c r="H1819" i="8"/>
  <c r="H1786" i="8" l="1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AZ3770" i="1"/>
  <c r="E3767" i="1"/>
  <c r="F3767" i="1"/>
  <c r="J3767" i="1"/>
  <c r="W3767" i="1"/>
  <c r="AJ3767" i="1"/>
  <c r="E3768" i="1"/>
  <c r="F3768" i="1"/>
  <c r="J3768" i="1"/>
  <c r="W3768" i="1"/>
  <c r="AJ3768" i="1"/>
  <c r="E3769" i="1"/>
  <c r="F3769" i="1"/>
  <c r="J3769" i="1"/>
  <c r="W3769" i="1"/>
  <c r="AJ3769" i="1"/>
  <c r="E3770" i="1"/>
  <c r="F3770" i="1"/>
  <c r="J3770" i="1"/>
  <c r="W3770" i="1"/>
  <c r="AJ3770" i="1"/>
  <c r="E3771" i="1"/>
  <c r="F3771" i="1"/>
  <c r="J3771" i="1"/>
  <c r="W3771" i="1"/>
  <c r="AJ3771" i="1"/>
  <c r="E3772" i="1"/>
  <c r="F3772" i="1"/>
  <c r="W3772" i="1"/>
  <c r="AJ3772" i="1"/>
  <c r="E3773" i="1"/>
  <c r="F3773" i="1"/>
  <c r="J3773" i="1"/>
  <c r="W3773" i="1"/>
  <c r="AJ3773" i="1"/>
  <c r="E3774" i="1"/>
  <c r="F3774" i="1"/>
  <c r="W3774" i="1"/>
  <c r="AJ3774" i="1"/>
  <c r="J3772" i="1" l="1"/>
  <c r="J3774" i="1"/>
  <c r="AX3760" i="1"/>
  <c r="E3761" i="1" l="1"/>
  <c r="F3761" i="1"/>
  <c r="J3761" i="1"/>
  <c r="W3761" i="1"/>
  <c r="AJ3761" i="1"/>
  <c r="E3762" i="1"/>
  <c r="F3762" i="1"/>
  <c r="J3762" i="1"/>
  <c r="W3762" i="1"/>
  <c r="AJ3762" i="1"/>
  <c r="E3763" i="1"/>
  <c r="F3763" i="1"/>
  <c r="J3763" i="1"/>
  <c r="W3763" i="1"/>
  <c r="AJ3763" i="1"/>
  <c r="E3764" i="1"/>
  <c r="F3764" i="1"/>
  <c r="J3764" i="1"/>
  <c r="W3764" i="1"/>
  <c r="AJ3764" i="1"/>
  <c r="E3765" i="1"/>
  <c r="F3765" i="1"/>
  <c r="J3765" i="1"/>
  <c r="W3765" i="1"/>
  <c r="AJ3765" i="1"/>
  <c r="E3766" i="1"/>
  <c r="F3766" i="1"/>
  <c r="J3766" i="1"/>
  <c r="W3766" i="1"/>
  <c r="AJ3766" i="1"/>
  <c r="E3784" i="1"/>
  <c r="F3784" i="1"/>
  <c r="W3784" i="1"/>
  <c r="AJ3784" i="1"/>
  <c r="E3785" i="1"/>
  <c r="F3785" i="1"/>
  <c r="J3785" i="1"/>
  <c r="W3785" i="1"/>
  <c r="AJ3785" i="1"/>
  <c r="E3787" i="1"/>
  <c r="F3787" i="1"/>
  <c r="W3787" i="1"/>
  <c r="AJ3787" i="1"/>
  <c r="E3788" i="1"/>
  <c r="F3788" i="1"/>
  <c r="J3788" i="1"/>
  <c r="W3788" i="1"/>
  <c r="AJ3788" i="1"/>
  <c r="E3789" i="1"/>
  <c r="F3789" i="1"/>
  <c r="W3789" i="1"/>
  <c r="AJ3789" i="1"/>
  <c r="E3790" i="1"/>
  <c r="F3790" i="1"/>
  <c r="W3790" i="1"/>
  <c r="AJ3790" i="1"/>
  <c r="E3791" i="1"/>
  <c r="F3791" i="1"/>
  <c r="W3791" i="1"/>
  <c r="AJ3791" i="1"/>
  <c r="E3792" i="1"/>
  <c r="F3792" i="1"/>
  <c r="J3792" i="1"/>
  <c r="W3792" i="1"/>
  <c r="AJ3792" i="1"/>
  <c r="E3793" i="1"/>
  <c r="F3793" i="1"/>
  <c r="W3793" i="1"/>
  <c r="AJ3793" i="1"/>
  <c r="E3794" i="1"/>
  <c r="F3794" i="1"/>
  <c r="W3794" i="1"/>
  <c r="AJ3794" i="1"/>
  <c r="E3795" i="1"/>
  <c r="F3795" i="1"/>
  <c r="W3795" i="1"/>
  <c r="AJ3795" i="1"/>
  <c r="E3796" i="1"/>
  <c r="F3796" i="1"/>
  <c r="W3796" i="1"/>
  <c r="AJ3796" i="1"/>
  <c r="E3797" i="1"/>
  <c r="F3797" i="1"/>
  <c r="W3797" i="1"/>
  <c r="AJ3797" i="1"/>
  <c r="E3798" i="1"/>
  <c r="F3798" i="1"/>
  <c r="W3798" i="1"/>
  <c r="AJ3798" i="1"/>
  <c r="E3799" i="1"/>
  <c r="F3799" i="1"/>
  <c r="W3799" i="1"/>
  <c r="AJ3799" i="1"/>
  <c r="E3800" i="1"/>
  <c r="F3800" i="1"/>
  <c r="W3800" i="1"/>
  <c r="AJ3800" i="1"/>
  <c r="E3801" i="1"/>
  <c r="F3801" i="1"/>
  <c r="W3801" i="1"/>
  <c r="AJ3801" i="1"/>
  <c r="E3802" i="1"/>
  <c r="F3802" i="1"/>
  <c r="W3802" i="1"/>
  <c r="AJ3802" i="1"/>
  <c r="E3803" i="1"/>
  <c r="F3803" i="1"/>
  <c r="W3803" i="1"/>
  <c r="AJ3803" i="1"/>
  <c r="E3804" i="1"/>
  <c r="F3804" i="1"/>
  <c r="J3804" i="1"/>
  <c r="W3804" i="1"/>
  <c r="AJ3804" i="1"/>
  <c r="E3805" i="1"/>
  <c r="F3805" i="1"/>
  <c r="W3805" i="1"/>
  <c r="AJ3805" i="1"/>
  <c r="E3806" i="1"/>
  <c r="F3806" i="1"/>
  <c r="W3806" i="1"/>
  <c r="AJ3806" i="1"/>
  <c r="E3807" i="1"/>
  <c r="F3807" i="1"/>
  <c r="J3807" i="1"/>
  <c r="W3807" i="1"/>
  <c r="AJ3807" i="1"/>
  <c r="E3808" i="1"/>
  <c r="F3808" i="1"/>
  <c r="W3808" i="1"/>
  <c r="AJ3808" i="1"/>
  <c r="E3809" i="1"/>
  <c r="F3809" i="1"/>
  <c r="W3809" i="1"/>
  <c r="AJ3809" i="1"/>
  <c r="E3810" i="1"/>
  <c r="F3810" i="1"/>
  <c r="W3810" i="1"/>
  <c r="AJ3810" i="1"/>
  <c r="E3811" i="1"/>
  <c r="F3811" i="1"/>
  <c r="J3811" i="1"/>
  <c r="W3811" i="1"/>
  <c r="AJ3811" i="1"/>
  <c r="E3812" i="1"/>
  <c r="F3812" i="1"/>
  <c r="W3812" i="1"/>
  <c r="AJ3812" i="1"/>
  <c r="E3813" i="1"/>
  <c r="F3813" i="1"/>
  <c r="W3813" i="1"/>
  <c r="AJ3813" i="1"/>
  <c r="E3814" i="1"/>
  <c r="F3814" i="1"/>
  <c r="J3814" i="1"/>
  <c r="W3814" i="1"/>
  <c r="AJ3814" i="1"/>
  <c r="E3815" i="1"/>
  <c r="F3815" i="1"/>
  <c r="W3815" i="1"/>
  <c r="AJ3815" i="1"/>
  <c r="E3816" i="1"/>
  <c r="F3816" i="1"/>
  <c r="W3816" i="1"/>
  <c r="AJ3816" i="1"/>
  <c r="E3817" i="1"/>
  <c r="F3817" i="1"/>
  <c r="W3817" i="1"/>
  <c r="AJ3817" i="1"/>
  <c r="E3818" i="1"/>
  <c r="F3818" i="1"/>
  <c r="W3818" i="1"/>
  <c r="AJ3818" i="1"/>
  <c r="E3819" i="1"/>
  <c r="F3819" i="1"/>
  <c r="W3819" i="1"/>
  <c r="AJ3819" i="1"/>
  <c r="E3820" i="1"/>
  <c r="F3820" i="1"/>
  <c r="W3820" i="1"/>
  <c r="AJ3820" i="1"/>
  <c r="E3821" i="1"/>
  <c r="F3821" i="1"/>
  <c r="J3821" i="1"/>
  <c r="W3821" i="1"/>
  <c r="AJ3821" i="1"/>
  <c r="E3822" i="1"/>
  <c r="F3822" i="1"/>
  <c r="W3822" i="1"/>
  <c r="AJ3822" i="1"/>
  <c r="E3823" i="1"/>
  <c r="F3823" i="1"/>
  <c r="J3823" i="1"/>
  <c r="W3823" i="1"/>
  <c r="AJ3823" i="1"/>
  <c r="E3824" i="1"/>
  <c r="F3824" i="1"/>
  <c r="W3824" i="1"/>
  <c r="AJ3824" i="1"/>
  <c r="E3825" i="1"/>
  <c r="F3825" i="1"/>
  <c r="W3825" i="1"/>
  <c r="AJ3825" i="1"/>
  <c r="E3826" i="1"/>
  <c r="F3826" i="1"/>
  <c r="W3826" i="1"/>
  <c r="AJ3826" i="1"/>
  <c r="E3827" i="1"/>
  <c r="F3827" i="1"/>
  <c r="W3827" i="1"/>
  <c r="AJ3827" i="1"/>
  <c r="E3828" i="1"/>
  <c r="F3828" i="1"/>
  <c r="W3828" i="1"/>
  <c r="AJ3828" i="1"/>
  <c r="E3829" i="1"/>
  <c r="F3829" i="1"/>
  <c r="W3829" i="1"/>
  <c r="AJ3829" i="1"/>
  <c r="E3830" i="1"/>
  <c r="F3830" i="1"/>
  <c r="J3830" i="1"/>
  <c r="W3830" i="1"/>
  <c r="AJ3830" i="1"/>
  <c r="E3831" i="1"/>
  <c r="F3831" i="1"/>
  <c r="W3831" i="1"/>
  <c r="AJ3831" i="1"/>
  <c r="E3832" i="1"/>
  <c r="F3832" i="1"/>
  <c r="W3832" i="1"/>
  <c r="AJ3832" i="1"/>
  <c r="E3833" i="1"/>
  <c r="F3833" i="1"/>
  <c r="W3833" i="1"/>
  <c r="AJ3833" i="1"/>
  <c r="E3834" i="1"/>
  <c r="F3834" i="1"/>
  <c r="W3834" i="1"/>
  <c r="AJ3834" i="1"/>
  <c r="E3835" i="1"/>
  <c r="F3835" i="1"/>
  <c r="W3835" i="1"/>
  <c r="AJ3835" i="1"/>
  <c r="E3836" i="1"/>
  <c r="F3836" i="1"/>
  <c r="W3836" i="1"/>
  <c r="AJ3836" i="1"/>
  <c r="E3837" i="1"/>
  <c r="F3837" i="1"/>
  <c r="W3837" i="1"/>
  <c r="AJ3837" i="1"/>
  <c r="E3838" i="1"/>
  <c r="F3838" i="1"/>
  <c r="W3838" i="1"/>
  <c r="AJ3838" i="1"/>
  <c r="E3839" i="1"/>
  <c r="F3839" i="1"/>
  <c r="W3839" i="1"/>
  <c r="AJ3839" i="1"/>
  <c r="E3840" i="1"/>
  <c r="F3840" i="1"/>
  <c r="W3840" i="1"/>
  <c r="AJ3840" i="1"/>
  <c r="E3841" i="1"/>
  <c r="F3841" i="1"/>
  <c r="W3841" i="1"/>
  <c r="AJ3841" i="1"/>
  <c r="E3842" i="1"/>
  <c r="F3842" i="1"/>
  <c r="J3842" i="1"/>
  <c r="W3842" i="1"/>
  <c r="AJ3842" i="1"/>
  <c r="E3843" i="1"/>
  <c r="F3843" i="1"/>
  <c r="J3843" i="1"/>
  <c r="W3843" i="1"/>
  <c r="AJ3843" i="1"/>
  <c r="E3844" i="1"/>
  <c r="F3844" i="1"/>
  <c r="J3844" i="1"/>
  <c r="W3844" i="1"/>
  <c r="AJ3844" i="1"/>
  <c r="E3845" i="1"/>
  <c r="F3845" i="1"/>
  <c r="J3845" i="1"/>
  <c r="W3845" i="1"/>
  <c r="AJ3845" i="1"/>
  <c r="E3846" i="1"/>
  <c r="F3846" i="1"/>
  <c r="J3846" i="1"/>
  <c r="W3846" i="1"/>
  <c r="AJ3846" i="1"/>
  <c r="E3847" i="1"/>
  <c r="F3847" i="1"/>
  <c r="W3847" i="1"/>
  <c r="AJ3847" i="1"/>
  <c r="E3848" i="1"/>
  <c r="F3848" i="1"/>
  <c r="J3848" i="1"/>
  <c r="W3848" i="1"/>
  <c r="AJ3848" i="1"/>
  <c r="E3849" i="1"/>
  <c r="F3849" i="1"/>
  <c r="J3849" i="1"/>
  <c r="W3849" i="1"/>
  <c r="AJ3849" i="1"/>
  <c r="E3850" i="1"/>
  <c r="F3850" i="1"/>
  <c r="J3850" i="1"/>
  <c r="W3850" i="1"/>
  <c r="AJ3850" i="1"/>
  <c r="E3851" i="1"/>
  <c r="F3851" i="1"/>
  <c r="J3851" i="1"/>
  <c r="W3851" i="1"/>
  <c r="AJ3851" i="1"/>
  <c r="E3852" i="1"/>
  <c r="F3852" i="1"/>
  <c r="J3852" i="1"/>
  <c r="W3852" i="1"/>
  <c r="AJ3852" i="1"/>
  <c r="E3853" i="1"/>
  <c r="F3853" i="1"/>
  <c r="W3853" i="1"/>
  <c r="AJ3853" i="1"/>
  <c r="E3854" i="1"/>
  <c r="F3854" i="1"/>
  <c r="J3854" i="1"/>
  <c r="W3854" i="1"/>
  <c r="AJ3854" i="1"/>
  <c r="E3855" i="1"/>
  <c r="F3855" i="1"/>
  <c r="J3855" i="1"/>
  <c r="W3855" i="1"/>
  <c r="AJ3855" i="1"/>
  <c r="E3856" i="1"/>
  <c r="F3856" i="1"/>
  <c r="J3856" i="1"/>
  <c r="W3856" i="1"/>
  <c r="AJ3856" i="1"/>
  <c r="E3857" i="1"/>
  <c r="F3857" i="1"/>
  <c r="J3857" i="1"/>
  <c r="W3857" i="1"/>
  <c r="AJ3857" i="1"/>
  <c r="E3858" i="1"/>
  <c r="F3858" i="1"/>
  <c r="J3858" i="1"/>
  <c r="W3858" i="1"/>
  <c r="AJ3858" i="1"/>
  <c r="E3859" i="1"/>
  <c r="F3859" i="1"/>
  <c r="J3859" i="1"/>
  <c r="W3859" i="1"/>
  <c r="AJ3859" i="1"/>
  <c r="E3860" i="1"/>
  <c r="F3860" i="1"/>
  <c r="J3860" i="1"/>
  <c r="W3860" i="1"/>
  <c r="AJ3860" i="1"/>
  <c r="BH46" i="7"/>
  <c r="BH45" i="7"/>
  <c r="BH44" i="7"/>
  <c r="BH43" i="7"/>
  <c r="BH42" i="7"/>
  <c r="BH41" i="7"/>
  <c r="BH40" i="7"/>
  <c r="BH39" i="7"/>
  <c r="BH38" i="7"/>
  <c r="BH37" i="7"/>
  <c r="BH35" i="7"/>
  <c r="BH34" i="7"/>
  <c r="BH33" i="7"/>
  <c r="BH32" i="7"/>
  <c r="BH31" i="7"/>
  <c r="BH30" i="7"/>
  <c r="BH29" i="7"/>
  <c r="BH27" i="7"/>
  <c r="BH26" i="7"/>
  <c r="BH25" i="7"/>
  <c r="BH24" i="7"/>
  <c r="BH22" i="7"/>
  <c r="BH21" i="7"/>
  <c r="BH20" i="7"/>
  <c r="BH19" i="7"/>
  <c r="BH18" i="7"/>
  <c r="BH17" i="7"/>
  <c r="BH16" i="7"/>
  <c r="BH11" i="7"/>
  <c r="BH10" i="7"/>
  <c r="BH9" i="7"/>
  <c r="BH8" i="7"/>
  <c r="BH7" i="7"/>
  <c r="BH6" i="7"/>
  <c r="E3714" i="1"/>
  <c r="F3714" i="1"/>
  <c r="W3714" i="1"/>
  <c r="AJ3714" i="1"/>
  <c r="E3715" i="1"/>
  <c r="F3715" i="1"/>
  <c r="J3715" i="1"/>
  <c r="W3715" i="1"/>
  <c r="AJ3715" i="1"/>
  <c r="E3716" i="1"/>
  <c r="F3716" i="1"/>
  <c r="W3716" i="1"/>
  <c r="AJ3716" i="1"/>
  <c r="E3717" i="1"/>
  <c r="F3717" i="1"/>
  <c r="W3717" i="1"/>
  <c r="AJ3717" i="1"/>
  <c r="E3718" i="1"/>
  <c r="F3718" i="1"/>
  <c r="W3718" i="1"/>
  <c r="AJ3718" i="1"/>
  <c r="E3719" i="1"/>
  <c r="F3719" i="1"/>
  <c r="J3719" i="1"/>
  <c r="W3719" i="1"/>
  <c r="AJ3719" i="1"/>
  <c r="E3720" i="1"/>
  <c r="F3720" i="1"/>
  <c r="J3720" i="1"/>
  <c r="W3720" i="1"/>
  <c r="AJ3720" i="1"/>
  <c r="E3721" i="1"/>
  <c r="F3721" i="1"/>
  <c r="W3721" i="1"/>
  <c r="AJ3721" i="1"/>
  <c r="E3722" i="1"/>
  <c r="F3722" i="1"/>
  <c r="J3722" i="1"/>
  <c r="W3722" i="1"/>
  <c r="AJ3722" i="1"/>
  <c r="E3723" i="1"/>
  <c r="F3723" i="1"/>
  <c r="W3723" i="1"/>
  <c r="AJ3723" i="1"/>
  <c r="E3724" i="1"/>
  <c r="F3724" i="1"/>
  <c r="W3724" i="1"/>
  <c r="AJ3724" i="1"/>
  <c r="E3725" i="1"/>
  <c r="F3725" i="1"/>
  <c r="W3725" i="1"/>
  <c r="AJ3725" i="1"/>
  <c r="E3726" i="1"/>
  <c r="F3726" i="1"/>
  <c r="W3726" i="1"/>
  <c r="AJ3726" i="1"/>
  <c r="E3727" i="1"/>
  <c r="F3727" i="1"/>
  <c r="J3727" i="1"/>
  <c r="W3727" i="1"/>
  <c r="AJ3727" i="1"/>
  <c r="E3728" i="1"/>
  <c r="F3728" i="1"/>
  <c r="W3728" i="1"/>
  <c r="AJ3728" i="1"/>
  <c r="E3729" i="1"/>
  <c r="F3729" i="1"/>
  <c r="W3729" i="1"/>
  <c r="AJ3729" i="1"/>
  <c r="E3730" i="1"/>
  <c r="F3730" i="1"/>
  <c r="J3730" i="1"/>
  <c r="W3730" i="1"/>
  <c r="AJ3730" i="1"/>
  <c r="E3731" i="1"/>
  <c r="F3731" i="1"/>
  <c r="J3731" i="1"/>
  <c r="W3731" i="1"/>
  <c r="AJ3731" i="1"/>
  <c r="E3732" i="1"/>
  <c r="F3732" i="1"/>
  <c r="W3732" i="1"/>
  <c r="AJ3732" i="1"/>
  <c r="E3733" i="1"/>
  <c r="F3733" i="1"/>
  <c r="J3733" i="1"/>
  <c r="W3733" i="1"/>
  <c r="AJ3733" i="1"/>
  <c r="E3734" i="1"/>
  <c r="F3734" i="1"/>
  <c r="W3734" i="1"/>
  <c r="AJ3734" i="1"/>
  <c r="E3735" i="1"/>
  <c r="F3735" i="1"/>
  <c r="J3735" i="1"/>
  <c r="W3735" i="1"/>
  <c r="AJ3735" i="1"/>
  <c r="E3736" i="1"/>
  <c r="F3736" i="1"/>
  <c r="W3736" i="1"/>
  <c r="AJ3736" i="1"/>
  <c r="E3737" i="1"/>
  <c r="F3737" i="1"/>
  <c r="W3737" i="1"/>
  <c r="AJ3737" i="1"/>
  <c r="E3738" i="1"/>
  <c r="F3738" i="1"/>
  <c r="J3738" i="1"/>
  <c r="W3738" i="1"/>
  <c r="AJ3738" i="1"/>
  <c r="E3739" i="1"/>
  <c r="F3739" i="1"/>
  <c r="W3739" i="1"/>
  <c r="AJ3739" i="1"/>
  <c r="E3740" i="1"/>
  <c r="F3740" i="1"/>
  <c r="J3740" i="1"/>
  <c r="W3740" i="1"/>
  <c r="AJ3740" i="1"/>
  <c r="E3741" i="1"/>
  <c r="F3741" i="1"/>
  <c r="W3741" i="1"/>
  <c r="AJ3741" i="1"/>
  <c r="E3742" i="1"/>
  <c r="F3742" i="1"/>
  <c r="J3742" i="1"/>
  <c r="W3742" i="1"/>
  <c r="AJ3742" i="1"/>
  <c r="E3743" i="1"/>
  <c r="F3743" i="1"/>
  <c r="J3743" i="1"/>
  <c r="W3743" i="1"/>
  <c r="AJ3743" i="1"/>
  <c r="E3744" i="1"/>
  <c r="F3744" i="1"/>
  <c r="W3744" i="1"/>
  <c r="AJ3744" i="1"/>
  <c r="E3745" i="1"/>
  <c r="F3745" i="1"/>
  <c r="W3745" i="1"/>
  <c r="AJ3745" i="1"/>
  <c r="E3746" i="1"/>
  <c r="F3746" i="1"/>
  <c r="W3746" i="1"/>
  <c r="AJ3746" i="1"/>
  <c r="E3747" i="1"/>
  <c r="F3747" i="1"/>
  <c r="J3747" i="1"/>
  <c r="W3747" i="1"/>
  <c r="AJ3747" i="1"/>
  <c r="E3748" i="1"/>
  <c r="F3748" i="1"/>
  <c r="W3748" i="1"/>
  <c r="AJ3748" i="1"/>
  <c r="E3749" i="1"/>
  <c r="F3749" i="1"/>
  <c r="J3749" i="1"/>
  <c r="W3749" i="1"/>
  <c r="AJ3749" i="1"/>
  <c r="E3750" i="1"/>
  <c r="F3750" i="1"/>
  <c r="W3750" i="1"/>
  <c r="AJ3750" i="1"/>
  <c r="E3751" i="1"/>
  <c r="F3751" i="1"/>
  <c r="J3751" i="1"/>
  <c r="W3751" i="1"/>
  <c r="AJ3751" i="1"/>
  <c r="E3752" i="1"/>
  <c r="F3752" i="1"/>
  <c r="W3752" i="1"/>
  <c r="AJ3752" i="1"/>
  <c r="E3753" i="1"/>
  <c r="F3753" i="1"/>
  <c r="W3753" i="1"/>
  <c r="AJ3753" i="1"/>
  <c r="E3754" i="1"/>
  <c r="F3754" i="1"/>
  <c r="W3754" i="1"/>
  <c r="AJ3754" i="1"/>
  <c r="E3755" i="1"/>
  <c r="F3755" i="1"/>
  <c r="J3755" i="1"/>
  <c r="W3755" i="1"/>
  <c r="AJ3755" i="1"/>
  <c r="E3756" i="1"/>
  <c r="F3756" i="1"/>
  <c r="J3756" i="1"/>
  <c r="W3756" i="1"/>
  <c r="AJ3756" i="1"/>
  <c r="E3757" i="1"/>
  <c r="F3757" i="1"/>
  <c r="W3757" i="1"/>
  <c r="AJ3757" i="1"/>
  <c r="E3758" i="1"/>
  <c r="F3758" i="1"/>
  <c r="W3758" i="1"/>
  <c r="AJ3758" i="1"/>
  <c r="E3759" i="1"/>
  <c r="F3759" i="1"/>
  <c r="J3759" i="1"/>
  <c r="W3759" i="1"/>
  <c r="AJ3759" i="1"/>
  <c r="E3760" i="1"/>
  <c r="F3760" i="1"/>
  <c r="W3760" i="1"/>
  <c r="AJ3760" i="1"/>
  <c r="J3847" i="1" l="1"/>
  <c r="J3853" i="1"/>
  <c r="J3841" i="1"/>
  <c r="J3790" i="1"/>
  <c r="J3806" i="1"/>
  <c r="J3805" i="1"/>
  <c r="J3791" i="1"/>
  <c r="J3789" i="1"/>
  <c r="J3784" i="1"/>
  <c r="J3839" i="1"/>
  <c r="J3838" i="1"/>
  <c r="J3837" i="1"/>
  <c r="J3836" i="1"/>
  <c r="J3835" i="1"/>
  <c r="J3833" i="1"/>
  <c r="J3832" i="1"/>
  <c r="J3829" i="1"/>
  <c r="J3828" i="1"/>
  <c r="J3827" i="1"/>
  <c r="J3826" i="1"/>
  <c r="J3825" i="1"/>
  <c r="J3824" i="1"/>
  <c r="J3820" i="1"/>
  <c r="J3819" i="1"/>
  <c r="J3818" i="1"/>
  <c r="J3817" i="1"/>
  <c r="J3816" i="1"/>
  <c r="J3815" i="1"/>
  <c r="J3810" i="1"/>
  <c r="J3809" i="1"/>
  <c r="J3808" i="1"/>
  <c r="J3840" i="1"/>
  <c r="J3831" i="1"/>
  <c r="J3822" i="1"/>
  <c r="J3813" i="1"/>
  <c r="J3812" i="1"/>
  <c r="J3803" i="1"/>
  <c r="J3802" i="1"/>
  <c r="J3801" i="1"/>
  <c r="J3800" i="1"/>
  <c r="J3799" i="1"/>
  <c r="J3798" i="1"/>
  <c r="J3797" i="1"/>
  <c r="J3796" i="1"/>
  <c r="J3795" i="1"/>
  <c r="J3794" i="1"/>
  <c r="J3793" i="1"/>
  <c r="J3787" i="1"/>
  <c r="J3834" i="1"/>
  <c r="BH36" i="7"/>
  <c r="BH15" i="7"/>
  <c r="BH28" i="7"/>
  <c r="BH13" i="7"/>
  <c r="J3760" i="1"/>
  <c r="J3750" i="1"/>
  <c r="J3746" i="1"/>
  <c r="J3745" i="1"/>
  <c r="J3744" i="1"/>
  <c r="J3741" i="1"/>
  <c r="J3737" i="1"/>
  <c r="J3736" i="1"/>
  <c r="J3732" i="1"/>
  <c r="J3729" i="1"/>
  <c r="J3728" i="1"/>
  <c r="J3725" i="1"/>
  <c r="J3714" i="1"/>
  <c r="J3724" i="1"/>
  <c r="J3723" i="1"/>
  <c r="J3758" i="1"/>
  <c r="J3757" i="1"/>
  <c r="J3754" i="1"/>
  <c r="J3753" i="1"/>
  <c r="J3752" i="1"/>
  <c r="J3748" i="1"/>
  <c r="J3739" i="1"/>
  <c r="J3734" i="1"/>
  <c r="J3726" i="1"/>
  <c r="J3721" i="1"/>
  <c r="J3718" i="1"/>
  <c r="J3717" i="1"/>
  <c r="J3716" i="1"/>
  <c r="BH23" i="7"/>
  <c r="AY3709" i="1"/>
  <c r="J3709" i="1"/>
  <c r="E3702" i="1"/>
  <c r="F3702" i="1"/>
  <c r="J3702" i="1"/>
  <c r="W3702" i="1"/>
  <c r="AJ3702" i="1"/>
  <c r="E3703" i="1"/>
  <c r="F3703" i="1"/>
  <c r="W3703" i="1"/>
  <c r="AJ3703" i="1"/>
  <c r="J3703" i="1" s="1"/>
  <c r="E3704" i="1"/>
  <c r="F3704" i="1"/>
  <c r="W3704" i="1"/>
  <c r="AJ3704" i="1"/>
  <c r="E3705" i="1"/>
  <c r="F3705" i="1"/>
  <c r="W3705" i="1"/>
  <c r="AJ3705" i="1"/>
  <c r="E3706" i="1"/>
  <c r="F3706" i="1"/>
  <c r="J3706" i="1"/>
  <c r="W3706" i="1"/>
  <c r="AJ3706" i="1"/>
  <c r="E3707" i="1"/>
  <c r="F3707" i="1"/>
  <c r="W3707" i="1"/>
  <c r="AJ3707" i="1"/>
  <c r="E3708" i="1"/>
  <c r="F3708" i="1"/>
  <c r="W3708" i="1"/>
  <c r="AJ3708" i="1"/>
  <c r="E3709" i="1"/>
  <c r="F3709" i="1"/>
  <c r="W3709" i="1"/>
  <c r="AJ3709" i="1"/>
  <c r="E3710" i="1"/>
  <c r="F3710" i="1"/>
  <c r="W3710" i="1"/>
  <c r="AJ3710" i="1"/>
  <c r="E3711" i="1"/>
  <c r="F3711" i="1"/>
  <c r="J3711" i="1"/>
  <c r="W3711" i="1"/>
  <c r="AJ3711" i="1"/>
  <c r="E3712" i="1"/>
  <c r="F3712" i="1"/>
  <c r="W3712" i="1"/>
  <c r="AJ3712" i="1"/>
  <c r="E3713" i="1"/>
  <c r="F3713" i="1"/>
  <c r="J3713" i="1"/>
  <c r="W3713" i="1"/>
  <c r="AJ3713" i="1"/>
  <c r="E3686" i="1"/>
  <c r="F3686" i="1"/>
  <c r="J3686" i="1"/>
  <c r="W3686" i="1"/>
  <c r="AJ3686" i="1"/>
  <c r="E3687" i="1"/>
  <c r="F3687" i="1"/>
  <c r="W3687" i="1"/>
  <c r="AJ3687" i="1"/>
  <c r="E3688" i="1"/>
  <c r="F3688" i="1"/>
  <c r="W3688" i="1"/>
  <c r="AJ3688" i="1"/>
  <c r="E3689" i="1"/>
  <c r="F3689" i="1"/>
  <c r="W3689" i="1"/>
  <c r="AJ3689" i="1"/>
  <c r="E3690" i="1"/>
  <c r="F3690" i="1"/>
  <c r="J3690" i="1"/>
  <c r="W3690" i="1"/>
  <c r="AJ3690" i="1"/>
  <c r="E3691" i="1"/>
  <c r="F3691" i="1"/>
  <c r="W3691" i="1"/>
  <c r="AJ3691" i="1"/>
  <c r="E3692" i="1"/>
  <c r="F3692" i="1"/>
  <c r="W3692" i="1"/>
  <c r="AJ3692" i="1"/>
  <c r="E3693" i="1"/>
  <c r="F3693" i="1"/>
  <c r="W3693" i="1"/>
  <c r="AJ3693" i="1"/>
  <c r="E3694" i="1"/>
  <c r="F3694" i="1"/>
  <c r="W3694" i="1"/>
  <c r="AJ3694" i="1"/>
  <c r="E3695" i="1"/>
  <c r="F3695" i="1"/>
  <c r="W3695" i="1"/>
  <c r="AJ3695" i="1"/>
  <c r="E3696" i="1"/>
  <c r="F3696" i="1"/>
  <c r="J3696" i="1"/>
  <c r="W3696" i="1"/>
  <c r="AJ3696" i="1"/>
  <c r="E3697" i="1"/>
  <c r="F3697" i="1"/>
  <c r="W3697" i="1"/>
  <c r="AJ3697" i="1"/>
  <c r="E3698" i="1"/>
  <c r="F3698" i="1"/>
  <c r="W3698" i="1"/>
  <c r="AJ3698" i="1"/>
  <c r="E3699" i="1"/>
  <c r="F3699" i="1"/>
  <c r="J3699" i="1"/>
  <c r="W3699" i="1"/>
  <c r="AJ3699" i="1"/>
  <c r="E3700" i="1"/>
  <c r="F3700" i="1"/>
  <c r="J3700" i="1"/>
  <c r="W3700" i="1"/>
  <c r="AJ3700" i="1"/>
  <c r="E3701" i="1"/>
  <c r="F3701" i="1"/>
  <c r="W3701" i="1"/>
  <c r="AJ3701" i="1"/>
  <c r="BH48" i="7" l="1"/>
  <c r="BH49" i="7" s="1"/>
  <c r="J3710" i="1"/>
  <c r="J3712" i="1"/>
  <c r="J3705" i="1"/>
  <c r="J3704" i="1"/>
  <c r="J3689" i="1"/>
  <c r="J3688" i="1"/>
  <c r="J3695" i="1"/>
  <c r="J3692" i="1"/>
  <c r="J3698" i="1"/>
  <c r="J3697" i="1"/>
  <c r="J3691" i="1"/>
  <c r="J3708" i="1"/>
  <c r="J3707" i="1"/>
  <c r="J3701" i="1"/>
  <c r="J3693" i="1"/>
  <c r="J3687" i="1"/>
  <c r="J3694" i="1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809" i="8"/>
  <c r="H1810" i="8"/>
  <c r="H1811" i="8"/>
  <c r="H1812" i="8"/>
  <c r="H1813" i="8"/>
  <c r="H1814" i="8"/>
  <c r="H1815" i="8"/>
  <c r="H1816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48" i="8"/>
  <c r="H1849" i="8"/>
  <c r="H1850" i="8"/>
  <c r="H1851" i="8"/>
  <c r="H1852" i="8"/>
  <c r="H1853" i="8"/>
  <c r="H1860" i="8"/>
  <c r="H1862" i="8"/>
  <c r="H1863" i="8"/>
  <c r="E3667" i="1"/>
  <c r="F3667" i="1"/>
  <c r="W3667" i="1"/>
  <c r="AJ3667" i="1"/>
  <c r="E3668" i="1"/>
  <c r="F3668" i="1"/>
  <c r="J3668" i="1"/>
  <c r="W3668" i="1"/>
  <c r="AJ3668" i="1"/>
  <c r="E3669" i="1"/>
  <c r="F3669" i="1"/>
  <c r="W3669" i="1"/>
  <c r="AJ3669" i="1"/>
  <c r="E3670" i="1"/>
  <c r="F3670" i="1"/>
  <c r="W3670" i="1"/>
  <c r="AJ3670" i="1"/>
  <c r="E3671" i="1"/>
  <c r="F3671" i="1"/>
  <c r="W3671" i="1"/>
  <c r="AJ3671" i="1"/>
  <c r="E3672" i="1"/>
  <c r="F3672" i="1"/>
  <c r="J3672" i="1"/>
  <c r="W3672" i="1"/>
  <c r="AJ3672" i="1"/>
  <c r="E3673" i="1"/>
  <c r="F3673" i="1"/>
  <c r="W3673" i="1"/>
  <c r="AJ3673" i="1"/>
  <c r="E3674" i="1"/>
  <c r="F3674" i="1"/>
  <c r="J3674" i="1"/>
  <c r="W3674" i="1"/>
  <c r="AJ3674" i="1"/>
  <c r="E3675" i="1"/>
  <c r="F3675" i="1"/>
  <c r="W3675" i="1"/>
  <c r="AJ3675" i="1"/>
  <c r="E3676" i="1"/>
  <c r="F3676" i="1"/>
  <c r="J3676" i="1"/>
  <c r="W3676" i="1"/>
  <c r="AJ3676" i="1"/>
  <c r="E3677" i="1"/>
  <c r="F3677" i="1"/>
  <c r="W3677" i="1"/>
  <c r="AJ3677" i="1"/>
  <c r="E3678" i="1"/>
  <c r="F3678" i="1"/>
  <c r="J3678" i="1"/>
  <c r="W3678" i="1"/>
  <c r="AJ3678" i="1"/>
  <c r="E3679" i="1"/>
  <c r="F3679" i="1"/>
  <c r="W3679" i="1"/>
  <c r="AJ3679" i="1"/>
  <c r="E3680" i="1"/>
  <c r="F3680" i="1"/>
  <c r="J3680" i="1"/>
  <c r="W3680" i="1"/>
  <c r="AJ3680" i="1"/>
  <c r="E3681" i="1"/>
  <c r="F3681" i="1"/>
  <c r="W3681" i="1"/>
  <c r="AJ3681" i="1"/>
  <c r="E3682" i="1"/>
  <c r="F3682" i="1"/>
  <c r="J3682" i="1"/>
  <c r="W3682" i="1"/>
  <c r="AJ3682" i="1"/>
  <c r="E3683" i="1"/>
  <c r="F3683" i="1"/>
  <c r="W3683" i="1"/>
  <c r="AJ3683" i="1"/>
  <c r="E3684" i="1"/>
  <c r="F3684" i="1"/>
  <c r="J3684" i="1"/>
  <c r="W3684" i="1"/>
  <c r="AJ3684" i="1"/>
  <c r="E3685" i="1"/>
  <c r="F3685" i="1"/>
  <c r="W3685" i="1"/>
  <c r="AJ3685" i="1"/>
  <c r="I2018" i="8" l="1"/>
  <c r="I2013" i="8"/>
  <c r="I1994" i="8"/>
  <c r="I1965" i="8"/>
  <c r="I1890" i="8"/>
  <c r="I1924" i="8"/>
  <c r="I1921" i="8"/>
  <c r="I1917" i="8"/>
  <c r="J3673" i="1"/>
  <c r="J3667" i="1"/>
  <c r="J3683" i="1"/>
  <c r="J3679" i="1"/>
  <c r="J3675" i="1"/>
  <c r="J3685" i="1"/>
  <c r="J3681" i="1"/>
  <c r="J3677" i="1"/>
  <c r="J3671" i="1"/>
  <c r="J3670" i="1"/>
  <c r="J3669" i="1"/>
  <c r="AX3658" i="1"/>
  <c r="E3654" i="1"/>
  <c r="F3654" i="1"/>
  <c r="J3654" i="1"/>
  <c r="W3654" i="1"/>
  <c r="AJ3654" i="1"/>
  <c r="E3655" i="1"/>
  <c r="F3655" i="1"/>
  <c r="J3655" i="1"/>
  <c r="W3655" i="1"/>
  <c r="AJ3655" i="1"/>
  <c r="E3656" i="1"/>
  <c r="F3656" i="1"/>
  <c r="W3656" i="1"/>
  <c r="AJ3656" i="1"/>
  <c r="E3657" i="1"/>
  <c r="F3657" i="1"/>
  <c r="J3657" i="1"/>
  <c r="W3657" i="1"/>
  <c r="AJ3657" i="1"/>
  <c r="E3658" i="1"/>
  <c r="F3658" i="1"/>
  <c r="W3658" i="1"/>
  <c r="AJ3658" i="1"/>
  <c r="E3659" i="1"/>
  <c r="F3659" i="1"/>
  <c r="W3659" i="1"/>
  <c r="AJ3659" i="1"/>
  <c r="E3660" i="1"/>
  <c r="F3660" i="1"/>
  <c r="J3660" i="1"/>
  <c r="W3660" i="1"/>
  <c r="AJ3660" i="1"/>
  <c r="E3661" i="1"/>
  <c r="F3661" i="1"/>
  <c r="W3661" i="1"/>
  <c r="AJ3661" i="1"/>
  <c r="E3662" i="1"/>
  <c r="F3662" i="1"/>
  <c r="W3662" i="1"/>
  <c r="AJ3662" i="1"/>
  <c r="E3663" i="1"/>
  <c r="F3663" i="1"/>
  <c r="J3663" i="1"/>
  <c r="W3663" i="1"/>
  <c r="AJ3663" i="1"/>
  <c r="E3664" i="1"/>
  <c r="F3664" i="1"/>
  <c r="J3664" i="1"/>
  <c r="W3664" i="1"/>
  <c r="AJ3664" i="1"/>
  <c r="E3665" i="1"/>
  <c r="F3665" i="1"/>
  <c r="W3665" i="1"/>
  <c r="AJ3665" i="1"/>
  <c r="E3666" i="1"/>
  <c r="F3666" i="1"/>
  <c r="J3666" i="1"/>
  <c r="W3666" i="1"/>
  <c r="AJ3666" i="1"/>
  <c r="E3639" i="1"/>
  <c r="F3639" i="1"/>
  <c r="W3639" i="1"/>
  <c r="AJ3639" i="1"/>
  <c r="E3640" i="1"/>
  <c r="F3640" i="1"/>
  <c r="J3640" i="1"/>
  <c r="W3640" i="1"/>
  <c r="AJ3640" i="1"/>
  <c r="E3641" i="1"/>
  <c r="F3641" i="1"/>
  <c r="W3641" i="1"/>
  <c r="AJ3641" i="1"/>
  <c r="E3642" i="1"/>
  <c r="F3642" i="1"/>
  <c r="W3642" i="1"/>
  <c r="AJ3642" i="1"/>
  <c r="E3643" i="1"/>
  <c r="F3643" i="1"/>
  <c r="J3643" i="1"/>
  <c r="W3643" i="1"/>
  <c r="AJ3643" i="1"/>
  <c r="E3644" i="1"/>
  <c r="F3644" i="1"/>
  <c r="W3644" i="1"/>
  <c r="AJ3644" i="1"/>
  <c r="E3645" i="1"/>
  <c r="F3645" i="1"/>
  <c r="J3645" i="1"/>
  <c r="W3645" i="1"/>
  <c r="AJ3645" i="1"/>
  <c r="E3646" i="1"/>
  <c r="F3646" i="1"/>
  <c r="W3646" i="1"/>
  <c r="AJ3646" i="1"/>
  <c r="E3647" i="1"/>
  <c r="F3647" i="1"/>
  <c r="J3647" i="1"/>
  <c r="W3647" i="1"/>
  <c r="AJ3647" i="1"/>
  <c r="E3648" i="1"/>
  <c r="F3648" i="1"/>
  <c r="W3648" i="1"/>
  <c r="AJ3648" i="1"/>
  <c r="E3649" i="1"/>
  <c r="F3649" i="1"/>
  <c r="J3649" i="1"/>
  <c r="W3649" i="1"/>
  <c r="AJ3649" i="1"/>
  <c r="E3650" i="1"/>
  <c r="F3650" i="1"/>
  <c r="W3650" i="1"/>
  <c r="AJ3650" i="1"/>
  <c r="E3651" i="1"/>
  <c r="F3651" i="1"/>
  <c r="J3651" i="1"/>
  <c r="W3651" i="1"/>
  <c r="AJ3651" i="1"/>
  <c r="E3652" i="1"/>
  <c r="F3652" i="1"/>
  <c r="W3652" i="1"/>
  <c r="AJ3652" i="1"/>
  <c r="E3653" i="1"/>
  <c r="F3653" i="1"/>
  <c r="W3653" i="1"/>
  <c r="AJ3653" i="1"/>
  <c r="J3658" i="1" l="1"/>
  <c r="J3650" i="1"/>
  <c r="J3646" i="1"/>
  <c r="J3642" i="1"/>
  <c r="J3641" i="1"/>
  <c r="J3665" i="1"/>
  <c r="J3662" i="1"/>
  <c r="J3661" i="1"/>
  <c r="J3659" i="1"/>
  <c r="J3639" i="1"/>
  <c r="J3656" i="1"/>
  <c r="J3653" i="1"/>
  <c r="J3652" i="1"/>
  <c r="J3648" i="1"/>
  <c r="J3644" i="1"/>
  <c r="E3261" i="1" l="1"/>
  <c r="E3260" i="1"/>
  <c r="BG11" i="7"/>
  <c r="BG10" i="7"/>
  <c r="BG8" i="7"/>
  <c r="BG7" i="7"/>
  <c r="BG6" i="7"/>
  <c r="BG44" i="7" l="1"/>
  <c r="BG43" i="7"/>
  <c r="BG42" i="7"/>
  <c r="BG40" i="7"/>
  <c r="BG39" i="7"/>
  <c r="BG38" i="7"/>
  <c r="BG37" i="7"/>
  <c r="BG32" i="7"/>
  <c r="BG33" i="7"/>
  <c r="BG34" i="7"/>
  <c r="BG35" i="7"/>
  <c r="BG30" i="7"/>
  <c r="BG31" i="7"/>
  <c r="BG29" i="7"/>
  <c r="BG27" i="7"/>
  <c r="BG26" i="7"/>
  <c r="BG25" i="7"/>
  <c r="BG24" i="7"/>
  <c r="BG22" i="7"/>
  <c r="BG21" i="7"/>
  <c r="BG19" i="7"/>
  <c r="BG17" i="7"/>
  <c r="BG16" i="7"/>
  <c r="BG9" i="7"/>
  <c r="BG47" i="7"/>
  <c r="BG46" i="7" s="1"/>
  <c r="BG45" i="7"/>
  <c r="BG41" i="7"/>
  <c r="BG20" i="7"/>
  <c r="BG18" i="7"/>
  <c r="BG36" i="7" l="1"/>
  <c r="BG28" i="7"/>
  <c r="BG23" i="7"/>
  <c r="BG15" i="7"/>
  <c r="BG13" i="7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08" i="8"/>
  <c r="H1707" i="8"/>
  <c r="BG48" i="7" l="1"/>
  <c r="BG49" i="7" s="1"/>
  <c r="H1702" i="8"/>
  <c r="H1701" i="8"/>
  <c r="H1700" i="8"/>
  <c r="H1699" i="8"/>
  <c r="H1703" i="8"/>
  <c r="H1704" i="8"/>
  <c r="H1705" i="8"/>
  <c r="H1698" i="8"/>
  <c r="H1697" i="8"/>
  <c r="H1696" i="8"/>
  <c r="H1695" i="8"/>
  <c r="H1694" i="8"/>
  <c r="H1706" i="8"/>
  <c r="H1709" i="8"/>
  <c r="H1710" i="8"/>
  <c r="H1712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I1782" i="8" l="1"/>
  <c r="I1852" i="8"/>
  <c r="AY3616" i="1"/>
  <c r="E3605" i="1"/>
  <c r="F3605" i="1"/>
  <c r="J3605" i="1"/>
  <c r="W3605" i="1"/>
  <c r="AJ3605" i="1"/>
  <c r="E3606" i="1"/>
  <c r="F3606" i="1"/>
  <c r="W3606" i="1"/>
  <c r="AJ3606" i="1"/>
  <c r="E3607" i="1"/>
  <c r="F3607" i="1"/>
  <c r="J3607" i="1"/>
  <c r="W3607" i="1"/>
  <c r="AJ3607" i="1"/>
  <c r="E3608" i="1"/>
  <c r="F3608" i="1"/>
  <c r="W3608" i="1"/>
  <c r="AJ3608" i="1"/>
  <c r="E3609" i="1"/>
  <c r="F3609" i="1"/>
  <c r="W3609" i="1"/>
  <c r="AJ3609" i="1"/>
  <c r="E3610" i="1"/>
  <c r="F3610" i="1"/>
  <c r="W3610" i="1"/>
  <c r="AJ3610" i="1"/>
  <c r="E3611" i="1"/>
  <c r="F3611" i="1"/>
  <c r="J3611" i="1"/>
  <c r="W3611" i="1"/>
  <c r="AJ3611" i="1"/>
  <c r="E3612" i="1"/>
  <c r="F3612" i="1"/>
  <c r="W3612" i="1"/>
  <c r="AJ3612" i="1"/>
  <c r="E3613" i="1"/>
  <c r="F3613" i="1"/>
  <c r="W3613" i="1"/>
  <c r="AJ3613" i="1"/>
  <c r="E3614" i="1"/>
  <c r="F3614" i="1"/>
  <c r="J3614" i="1"/>
  <c r="W3614" i="1"/>
  <c r="AJ3614" i="1"/>
  <c r="E3615" i="1"/>
  <c r="F3615" i="1"/>
  <c r="W3615" i="1"/>
  <c r="AJ3615" i="1"/>
  <c r="E3616" i="1"/>
  <c r="F3616" i="1"/>
  <c r="J3616" i="1"/>
  <c r="W3616" i="1"/>
  <c r="AJ3616" i="1"/>
  <c r="E3617" i="1"/>
  <c r="F3617" i="1"/>
  <c r="W3617" i="1"/>
  <c r="AJ3617" i="1"/>
  <c r="E3618" i="1"/>
  <c r="F3618" i="1"/>
  <c r="J3618" i="1"/>
  <c r="W3618" i="1"/>
  <c r="AJ3618" i="1"/>
  <c r="E3619" i="1"/>
  <c r="F3619" i="1"/>
  <c r="W3619" i="1"/>
  <c r="AJ3619" i="1"/>
  <c r="E3620" i="1"/>
  <c r="F3620" i="1"/>
  <c r="J3620" i="1"/>
  <c r="W3620" i="1"/>
  <c r="AJ3620" i="1"/>
  <c r="E3621" i="1"/>
  <c r="F3621" i="1"/>
  <c r="J3621" i="1"/>
  <c r="W3621" i="1"/>
  <c r="AJ3621" i="1"/>
  <c r="E3622" i="1"/>
  <c r="F3622" i="1"/>
  <c r="J3622" i="1"/>
  <c r="W3622" i="1"/>
  <c r="AJ3622" i="1"/>
  <c r="E3623" i="1"/>
  <c r="F3623" i="1"/>
  <c r="W3623" i="1"/>
  <c r="AJ3623" i="1"/>
  <c r="E3624" i="1"/>
  <c r="F3624" i="1"/>
  <c r="J3624" i="1"/>
  <c r="W3624" i="1"/>
  <c r="AJ3624" i="1"/>
  <c r="E3625" i="1"/>
  <c r="F3625" i="1"/>
  <c r="W3625" i="1"/>
  <c r="AJ3625" i="1"/>
  <c r="E3626" i="1"/>
  <c r="F3626" i="1"/>
  <c r="J3626" i="1"/>
  <c r="W3626" i="1"/>
  <c r="AJ3626" i="1"/>
  <c r="E3627" i="1"/>
  <c r="F3627" i="1"/>
  <c r="J3627" i="1"/>
  <c r="W3627" i="1"/>
  <c r="AJ3627" i="1"/>
  <c r="E3628" i="1"/>
  <c r="F3628" i="1"/>
  <c r="W3628" i="1"/>
  <c r="AJ3628" i="1"/>
  <c r="E3629" i="1"/>
  <c r="F3629" i="1"/>
  <c r="W3629" i="1"/>
  <c r="AJ3629" i="1"/>
  <c r="E3630" i="1"/>
  <c r="F3630" i="1"/>
  <c r="J3630" i="1"/>
  <c r="W3630" i="1"/>
  <c r="AJ3630" i="1"/>
  <c r="E3631" i="1"/>
  <c r="F3631" i="1"/>
  <c r="W3631" i="1"/>
  <c r="AJ3631" i="1"/>
  <c r="E3632" i="1"/>
  <c r="F3632" i="1"/>
  <c r="J3632" i="1"/>
  <c r="W3632" i="1"/>
  <c r="AJ3632" i="1"/>
  <c r="E3633" i="1"/>
  <c r="F3633" i="1"/>
  <c r="W3633" i="1"/>
  <c r="AJ3633" i="1"/>
  <c r="E3634" i="1"/>
  <c r="F3634" i="1"/>
  <c r="J3634" i="1"/>
  <c r="W3634" i="1"/>
  <c r="AJ3634" i="1"/>
  <c r="E3635" i="1"/>
  <c r="F3635" i="1"/>
  <c r="W3635" i="1"/>
  <c r="AJ3635" i="1"/>
  <c r="E3636" i="1"/>
  <c r="F3636" i="1"/>
  <c r="J3636" i="1"/>
  <c r="W3636" i="1"/>
  <c r="AJ3636" i="1"/>
  <c r="E3637" i="1"/>
  <c r="F3637" i="1"/>
  <c r="J3637" i="1"/>
  <c r="W3637" i="1"/>
  <c r="AJ3637" i="1"/>
  <c r="E3638" i="1"/>
  <c r="F3638" i="1"/>
  <c r="J3638" i="1"/>
  <c r="W3638" i="1"/>
  <c r="AJ3638" i="1"/>
  <c r="E3593" i="1"/>
  <c r="F3593" i="1"/>
  <c r="W3593" i="1"/>
  <c r="AJ3593" i="1"/>
  <c r="E3594" i="1"/>
  <c r="F3594" i="1"/>
  <c r="J3594" i="1"/>
  <c r="W3594" i="1"/>
  <c r="AJ3594" i="1"/>
  <c r="E3595" i="1"/>
  <c r="F3595" i="1"/>
  <c r="J3595" i="1"/>
  <c r="W3595" i="1"/>
  <c r="AJ3595" i="1"/>
  <c r="E3596" i="1"/>
  <c r="F3596" i="1"/>
  <c r="W3596" i="1"/>
  <c r="AJ3596" i="1"/>
  <c r="E3597" i="1"/>
  <c r="F3597" i="1"/>
  <c r="J3597" i="1"/>
  <c r="W3597" i="1"/>
  <c r="AJ3597" i="1"/>
  <c r="E3598" i="1"/>
  <c r="F3598" i="1"/>
  <c r="W3598" i="1"/>
  <c r="AJ3598" i="1"/>
  <c r="E3599" i="1"/>
  <c r="F3599" i="1"/>
  <c r="J3599" i="1"/>
  <c r="W3599" i="1"/>
  <c r="AJ3599" i="1"/>
  <c r="E3600" i="1"/>
  <c r="F3600" i="1"/>
  <c r="J3600" i="1"/>
  <c r="W3600" i="1"/>
  <c r="AJ3600" i="1"/>
  <c r="E3601" i="1"/>
  <c r="F3601" i="1"/>
  <c r="W3601" i="1"/>
  <c r="AJ3601" i="1"/>
  <c r="E3602" i="1"/>
  <c r="F3602" i="1"/>
  <c r="J3602" i="1"/>
  <c r="W3602" i="1"/>
  <c r="AJ3602" i="1"/>
  <c r="E3603" i="1"/>
  <c r="F3603" i="1"/>
  <c r="W3603" i="1"/>
  <c r="AJ3603" i="1"/>
  <c r="E3604" i="1"/>
  <c r="F3604" i="1"/>
  <c r="W3604" i="1"/>
  <c r="AJ3604" i="1"/>
  <c r="J3604" i="1" l="1"/>
  <c r="J3603" i="1"/>
  <c r="J3596" i="1"/>
  <c r="J3608" i="1"/>
  <c r="J3625" i="1"/>
  <c r="J3619" i="1"/>
  <c r="J3613" i="1"/>
  <c r="J3601" i="1"/>
  <c r="J3635" i="1"/>
  <c r="J3631" i="1"/>
  <c r="J3628" i="1"/>
  <c r="J3615" i="1"/>
  <c r="J3612" i="1"/>
  <c r="J3610" i="1"/>
  <c r="J3609" i="1"/>
  <c r="J3606" i="1"/>
  <c r="J3598" i="1"/>
  <c r="J3593" i="1"/>
  <c r="J3633" i="1"/>
  <c r="J3629" i="1"/>
  <c r="J3623" i="1"/>
  <c r="J3617" i="1"/>
  <c r="AY3485" i="1"/>
  <c r="AX3491" i="1"/>
  <c r="E3503" i="1"/>
  <c r="F3503" i="1"/>
  <c r="W3503" i="1"/>
  <c r="AJ3503" i="1"/>
  <c r="E3504" i="1"/>
  <c r="F3504" i="1"/>
  <c r="W3504" i="1"/>
  <c r="AJ3504" i="1"/>
  <c r="E3505" i="1"/>
  <c r="F3505" i="1"/>
  <c r="J3505" i="1"/>
  <c r="W3505" i="1"/>
  <c r="AJ3505" i="1"/>
  <c r="E3506" i="1"/>
  <c r="F3506" i="1"/>
  <c r="W3506" i="1"/>
  <c r="AJ3506" i="1"/>
  <c r="E3507" i="1"/>
  <c r="F3507" i="1"/>
  <c r="J3507" i="1"/>
  <c r="W3507" i="1"/>
  <c r="AJ3507" i="1"/>
  <c r="E3508" i="1"/>
  <c r="F3508" i="1"/>
  <c r="W3508" i="1"/>
  <c r="AJ3508" i="1"/>
  <c r="E3509" i="1"/>
  <c r="F3509" i="1"/>
  <c r="W3509" i="1"/>
  <c r="AJ3509" i="1"/>
  <c r="E3510" i="1"/>
  <c r="F3510" i="1"/>
  <c r="W3510" i="1"/>
  <c r="AJ3510" i="1"/>
  <c r="E3511" i="1"/>
  <c r="F3511" i="1"/>
  <c r="J3511" i="1"/>
  <c r="W3511" i="1"/>
  <c r="AJ3511" i="1"/>
  <c r="E3512" i="1"/>
  <c r="F3512" i="1"/>
  <c r="W3512" i="1"/>
  <c r="AJ3512" i="1"/>
  <c r="E3513" i="1"/>
  <c r="F3513" i="1"/>
  <c r="J3513" i="1"/>
  <c r="W3513" i="1"/>
  <c r="AJ3513" i="1"/>
  <c r="E3514" i="1"/>
  <c r="F3514" i="1"/>
  <c r="W3514" i="1"/>
  <c r="AJ3514" i="1"/>
  <c r="E3515" i="1"/>
  <c r="F3515" i="1"/>
  <c r="J3515" i="1"/>
  <c r="W3515" i="1"/>
  <c r="AJ3515" i="1"/>
  <c r="E3516" i="1"/>
  <c r="F3516" i="1"/>
  <c r="W3516" i="1"/>
  <c r="AJ3516" i="1"/>
  <c r="E3517" i="1"/>
  <c r="F3517" i="1"/>
  <c r="J3517" i="1"/>
  <c r="W3517" i="1"/>
  <c r="AJ3517" i="1"/>
  <c r="E3518" i="1"/>
  <c r="F3518" i="1"/>
  <c r="J3518" i="1"/>
  <c r="W3518" i="1"/>
  <c r="AJ3518" i="1"/>
  <c r="E3519" i="1"/>
  <c r="F3519" i="1"/>
  <c r="W3519" i="1"/>
  <c r="AJ3519" i="1"/>
  <c r="E3520" i="1"/>
  <c r="F3520" i="1"/>
  <c r="J3520" i="1"/>
  <c r="W3520" i="1"/>
  <c r="AJ3520" i="1"/>
  <c r="E3521" i="1"/>
  <c r="F3521" i="1"/>
  <c r="W3521" i="1"/>
  <c r="AJ3521" i="1"/>
  <c r="E3522" i="1"/>
  <c r="F3522" i="1"/>
  <c r="J3522" i="1"/>
  <c r="W3522" i="1"/>
  <c r="AJ3522" i="1"/>
  <c r="E3523" i="1"/>
  <c r="F3523" i="1"/>
  <c r="W3523" i="1"/>
  <c r="AJ3523" i="1"/>
  <c r="E3524" i="1"/>
  <c r="F3524" i="1"/>
  <c r="J3524" i="1"/>
  <c r="W3524" i="1"/>
  <c r="AJ3524" i="1"/>
  <c r="E3525" i="1"/>
  <c r="F3525" i="1"/>
  <c r="W3525" i="1"/>
  <c r="AJ3525" i="1"/>
  <c r="E3526" i="1"/>
  <c r="F3526" i="1"/>
  <c r="W3526" i="1"/>
  <c r="AJ3526" i="1"/>
  <c r="E3527" i="1"/>
  <c r="F3527" i="1"/>
  <c r="J3527" i="1"/>
  <c r="W3527" i="1"/>
  <c r="AJ3527" i="1"/>
  <c r="E3528" i="1"/>
  <c r="F3528" i="1"/>
  <c r="J3528" i="1"/>
  <c r="W3528" i="1"/>
  <c r="AJ3528" i="1"/>
  <c r="E3529" i="1"/>
  <c r="F3529" i="1"/>
  <c r="J3529" i="1"/>
  <c r="W3529" i="1"/>
  <c r="AJ3529" i="1"/>
  <c r="E3530" i="1"/>
  <c r="F3530" i="1"/>
  <c r="W3530" i="1"/>
  <c r="AJ3530" i="1"/>
  <c r="E3531" i="1"/>
  <c r="F3531" i="1"/>
  <c r="J3531" i="1"/>
  <c r="W3531" i="1"/>
  <c r="AJ3531" i="1"/>
  <c r="E3532" i="1"/>
  <c r="F3532" i="1"/>
  <c r="W3532" i="1"/>
  <c r="AJ3532" i="1"/>
  <c r="E3533" i="1"/>
  <c r="F3533" i="1"/>
  <c r="W3533" i="1"/>
  <c r="AJ3533" i="1"/>
  <c r="E3534" i="1"/>
  <c r="F3534" i="1"/>
  <c r="J3534" i="1"/>
  <c r="W3534" i="1"/>
  <c r="AJ3534" i="1"/>
  <c r="E3535" i="1"/>
  <c r="F3535" i="1"/>
  <c r="W3535" i="1"/>
  <c r="AJ3535" i="1"/>
  <c r="E3536" i="1"/>
  <c r="F3536" i="1"/>
  <c r="W3536" i="1"/>
  <c r="AJ3536" i="1"/>
  <c r="E3537" i="1"/>
  <c r="F3537" i="1"/>
  <c r="W3537" i="1"/>
  <c r="AJ3537" i="1"/>
  <c r="E3538" i="1"/>
  <c r="F3538" i="1"/>
  <c r="W3538" i="1"/>
  <c r="AJ3538" i="1"/>
  <c r="E3539" i="1"/>
  <c r="F3539" i="1"/>
  <c r="J3539" i="1"/>
  <c r="W3539" i="1"/>
  <c r="AJ3539" i="1"/>
  <c r="E3540" i="1"/>
  <c r="F3540" i="1"/>
  <c r="W3540" i="1"/>
  <c r="AJ3540" i="1"/>
  <c r="E3541" i="1"/>
  <c r="F3541" i="1"/>
  <c r="J3541" i="1"/>
  <c r="W3541" i="1"/>
  <c r="AJ3541" i="1"/>
  <c r="E3542" i="1"/>
  <c r="F3542" i="1"/>
  <c r="W3542" i="1"/>
  <c r="AJ3542" i="1"/>
  <c r="E3543" i="1"/>
  <c r="F3543" i="1"/>
  <c r="J3543" i="1"/>
  <c r="W3543" i="1"/>
  <c r="AJ3543" i="1"/>
  <c r="E3544" i="1"/>
  <c r="F3544" i="1"/>
  <c r="W3544" i="1"/>
  <c r="AJ3544" i="1"/>
  <c r="E3545" i="1"/>
  <c r="F3545" i="1"/>
  <c r="W3545" i="1"/>
  <c r="AJ3545" i="1"/>
  <c r="E3546" i="1"/>
  <c r="F3546" i="1"/>
  <c r="J3546" i="1"/>
  <c r="W3546" i="1"/>
  <c r="AJ3546" i="1"/>
  <c r="E3547" i="1"/>
  <c r="F3547" i="1"/>
  <c r="J3547" i="1"/>
  <c r="W3547" i="1"/>
  <c r="AJ3547" i="1"/>
  <c r="E3548" i="1"/>
  <c r="F3548" i="1"/>
  <c r="W3548" i="1"/>
  <c r="AJ3548" i="1"/>
  <c r="E3549" i="1"/>
  <c r="F3549" i="1"/>
  <c r="W3549" i="1"/>
  <c r="AJ3549" i="1"/>
  <c r="E3550" i="1"/>
  <c r="F3550" i="1"/>
  <c r="W3550" i="1"/>
  <c r="AJ3550" i="1"/>
  <c r="E3551" i="1"/>
  <c r="F3551" i="1"/>
  <c r="W3551" i="1"/>
  <c r="AJ3551" i="1"/>
  <c r="E3552" i="1"/>
  <c r="F3552" i="1"/>
  <c r="J3552" i="1"/>
  <c r="W3552" i="1"/>
  <c r="AJ3552" i="1"/>
  <c r="E3553" i="1"/>
  <c r="F3553" i="1"/>
  <c r="J3553" i="1"/>
  <c r="W3553" i="1"/>
  <c r="AJ3553" i="1"/>
  <c r="E3554" i="1"/>
  <c r="F3554" i="1"/>
  <c r="W3554" i="1"/>
  <c r="AJ3554" i="1"/>
  <c r="E3555" i="1"/>
  <c r="F3555" i="1"/>
  <c r="J3555" i="1"/>
  <c r="W3555" i="1"/>
  <c r="AJ3555" i="1"/>
  <c r="E3556" i="1"/>
  <c r="F3556" i="1"/>
  <c r="W3556" i="1"/>
  <c r="AJ3556" i="1"/>
  <c r="E3557" i="1"/>
  <c r="F3557" i="1"/>
  <c r="W3557" i="1"/>
  <c r="AJ3557" i="1"/>
  <c r="E3558" i="1"/>
  <c r="F3558" i="1"/>
  <c r="J3558" i="1"/>
  <c r="W3558" i="1"/>
  <c r="AJ3558" i="1"/>
  <c r="E3559" i="1"/>
  <c r="F3559" i="1"/>
  <c r="W3559" i="1"/>
  <c r="AJ3559" i="1"/>
  <c r="E3560" i="1"/>
  <c r="F3560" i="1"/>
  <c r="J3560" i="1"/>
  <c r="W3560" i="1"/>
  <c r="AJ3560" i="1"/>
  <c r="E3561" i="1"/>
  <c r="F3561" i="1"/>
  <c r="W3561" i="1"/>
  <c r="AJ3561" i="1"/>
  <c r="E3562" i="1"/>
  <c r="F3562" i="1"/>
  <c r="W3562" i="1"/>
  <c r="AJ3562" i="1"/>
  <c r="E3563" i="1"/>
  <c r="F3563" i="1"/>
  <c r="J3563" i="1"/>
  <c r="W3563" i="1"/>
  <c r="AJ3563" i="1"/>
  <c r="E3564" i="1"/>
  <c r="F3564" i="1"/>
  <c r="W3564" i="1"/>
  <c r="AJ3564" i="1"/>
  <c r="E3565" i="1"/>
  <c r="F3565" i="1"/>
  <c r="J3565" i="1"/>
  <c r="W3565" i="1"/>
  <c r="AJ3565" i="1"/>
  <c r="E3566" i="1"/>
  <c r="F3566" i="1"/>
  <c r="W3566" i="1"/>
  <c r="AJ3566" i="1"/>
  <c r="E3567" i="1"/>
  <c r="F3567" i="1"/>
  <c r="W3567" i="1"/>
  <c r="AJ3567" i="1"/>
  <c r="E3568" i="1"/>
  <c r="F3568" i="1"/>
  <c r="J3568" i="1"/>
  <c r="W3568" i="1"/>
  <c r="AJ3568" i="1"/>
  <c r="E3569" i="1"/>
  <c r="F3569" i="1"/>
  <c r="W3569" i="1"/>
  <c r="AJ3569" i="1"/>
  <c r="E3570" i="1"/>
  <c r="F3570" i="1"/>
  <c r="J3570" i="1"/>
  <c r="W3570" i="1"/>
  <c r="AJ3570" i="1"/>
  <c r="E3571" i="1"/>
  <c r="F3571" i="1"/>
  <c r="W3571" i="1"/>
  <c r="AJ3571" i="1"/>
  <c r="E3572" i="1"/>
  <c r="F3572" i="1"/>
  <c r="J3572" i="1"/>
  <c r="W3572" i="1"/>
  <c r="AJ3572" i="1"/>
  <c r="E3573" i="1"/>
  <c r="F3573" i="1"/>
  <c r="W3573" i="1"/>
  <c r="AJ3573" i="1"/>
  <c r="E3574" i="1"/>
  <c r="F3574" i="1"/>
  <c r="J3574" i="1"/>
  <c r="W3574" i="1"/>
  <c r="AJ3574" i="1"/>
  <c r="E3575" i="1"/>
  <c r="F3575" i="1"/>
  <c r="W3575" i="1"/>
  <c r="AJ3575" i="1"/>
  <c r="E3576" i="1"/>
  <c r="F3576" i="1"/>
  <c r="J3576" i="1"/>
  <c r="W3576" i="1"/>
  <c r="AJ3576" i="1"/>
  <c r="E3577" i="1"/>
  <c r="F3577" i="1"/>
  <c r="W3577" i="1"/>
  <c r="AJ3577" i="1"/>
  <c r="E3578" i="1"/>
  <c r="F3578" i="1"/>
  <c r="J3578" i="1"/>
  <c r="W3578" i="1"/>
  <c r="AJ3578" i="1"/>
  <c r="E3579" i="1"/>
  <c r="F3579" i="1"/>
  <c r="W3579" i="1"/>
  <c r="AJ3579" i="1"/>
  <c r="E3580" i="1"/>
  <c r="F3580" i="1"/>
  <c r="W3580" i="1"/>
  <c r="AJ3580" i="1"/>
  <c r="E3581" i="1"/>
  <c r="F3581" i="1"/>
  <c r="J3581" i="1"/>
  <c r="W3581" i="1"/>
  <c r="AJ3581" i="1"/>
  <c r="E3582" i="1"/>
  <c r="F3582" i="1"/>
  <c r="W3582" i="1"/>
  <c r="AJ3582" i="1"/>
  <c r="E3583" i="1"/>
  <c r="F3583" i="1"/>
  <c r="J3583" i="1"/>
  <c r="W3583" i="1"/>
  <c r="AJ3583" i="1"/>
  <c r="E3584" i="1"/>
  <c r="F3584" i="1"/>
  <c r="W3584" i="1"/>
  <c r="AJ3584" i="1"/>
  <c r="E3585" i="1"/>
  <c r="F3585" i="1"/>
  <c r="J3585" i="1"/>
  <c r="W3585" i="1"/>
  <c r="AJ3585" i="1"/>
  <c r="E3586" i="1"/>
  <c r="F3586" i="1"/>
  <c r="W3586" i="1"/>
  <c r="AJ3586" i="1"/>
  <c r="E3587" i="1"/>
  <c r="F3587" i="1"/>
  <c r="W3587" i="1"/>
  <c r="AJ3587" i="1"/>
  <c r="E3588" i="1"/>
  <c r="F3588" i="1"/>
  <c r="J3588" i="1"/>
  <c r="W3588" i="1"/>
  <c r="AJ3588" i="1"/>
  <c r="E3589" i="1"/>
  <c r="F3589" i="1"/>
  <c r="W3589" i="1"/>
  <c r="AJ3589" i="1"/>
  <c r="E3590" i="1"/>
  <c r="F3590" i="1"/>
  <c r="J3590" i="1"/>
  <c r="W3590" i="1"/>
  <c r="AJ3590" i="1"/>
  <c r="E3591" i="1"/>
  <c r="F3591" i="1"/>
  <c r="W3591" i="1"/>
  <c r="AJ3591" i="1"/>
  <c r="E3592" i="1"/>
  <c r="F3592" i="1"/>
  <c r="J3592" i="1"/>
  <c r="W3592" i="1"/>
  <c r="AJ3592" i="1"/>
  <c r="AY3484" i="1"/>
  <c r="W3457" i="1"/>
  <c r="E3454" i="1"/>
  <c r="F3454" i="1"/>
  <c r="W3454" i="1"/>
  <c r="AJ3454" i="1"/>
  <c r="E3455" i="1"/>
  <c r="F3455" i="1"/>
  <c r="J3455" i="1"/>
  <c r="W3455" i="1"/>
  <c r="AJ3455" i="1"/>
  <c r="E3456" i="1"/>
  <c r="F3456" i="1"/>
  <c r="J3456" i="1"/>
  <c r="W3456" i="1"/>
  <c r="AJ3456" i="1"/>
  <c r="E3457" i="1"/>
  <c r="F3457" i="1"/>
  <c r="AJ3457" i="1"/>
  <c r="E3458" i="1"/>
  <c r="F3458" i="1"/>
  <c r="J3458" i="1"/>
  <c r="W3458" i="1"/>
  <c r="AJ3458" i="1"/>
  <c r="E3459" i="1"/>
  <c r="F3459" i="1"/>
  <c r="W3459" i="1"/>
  <c r="AJ3459" i="1"/>
  <c r="E3460" i="1"/>
  <c r="F3460" i="1"/>
  <c r="J3460" i="1"/>
  <c r="W3460" i="1"/>
  <c r="AJ3460" i="1"/>
  <c r="E3461" i="1"/>
  <c r="F3461" i="1"/>
  <c r="W3461" i="1"/>
  <c r="AJ3461" i="1"/>
  <c r="E3462" i="1"/>
  <c r="F3462" i="1"/>
  <c r="J3462" i="1"/>
  <c r="W3462" i="1"/>
  <c r="AJ3462" i="1"/>
  <c r="E3463" i="1"/>
  <c r="F3463" i="1"/>
  <c r="W3463" i="1"/>
  <c r="AJ3463" i="1"/>
  <c r="E3464" i="1"/>
  <c r="F3464" i="1"/>
  <c r="J3464" i="1"/>
  <c r="W3464" i="1"/>
  <c r="AJ3464" i="1"/>
  <c r="E3465" i="1"/>
  <c r="F3465" i="1"/>
  <c r="J3465" i="1"/>
  <c r="W3465" i="1"/>
  <c r="AJ3465" i="1"/>
  <c r="E3466" i="1"/>
  <c r="F3466" i="1"/>
  <c r="J3466" i="1"/>
  <c r="W3466" i="1"/>
  <c r="AJ3466" i="1"/>
  <c r="E3467" i="1"/>
  <c r="F3467" i="1"/>
  <c r="W3467" i="1"/>
  <c r="AJ3467" i="1"/>
  <c r="E3468" i="1"/>
  <c r="F3468" i="1"/>
  <c r="J3468" i="1"/>
  <c r="W3468" i="1"/>
  <c r="AJ3468" i="1"/>
  <c r="E3469" i="1"/>
  <c r="F3469" i="1"/>
  <c r="W3469" i="1"/>
  <c r="AJ3469" i="1"/>
  <c r="E3470" i="1"/>
  <c r="F3470" i="1"/>
  <c r="W3470" i="1"/>
  <c r="AJ3470" i="1"/>
  <c r="E3471" i="1"/>
  <c r="F3471" i="1"/>
  <c r="J3471" i="1"/>
  <c r="W3471" i="1"/>
  <c r="AJ3471" i="1"/>
  <c r="E3472" i="1"/>
  <c r="F3472" i="1"/>
  <c r="J3472" i="1"/>
  <c r="W3472" i="1"/>
  <c r="AJ3472" i="1"/>
  <c r="E3473" i="1"/>
  <c r="F3473" i="1"/>
  <c r="J3473" i="1"/>
  <c r="W3473" i="1"/>
  <c r="AJ3473" i="1"/>
  <c r="E3474" i="1"/>
  <c r="F3474" i="1"/>
  <c r="J3474" i="1"/>
  <c r="W3474" i="1"/>
  <c r="AJ3474" i="1"/>
  <c r="E3475" i="1"/>
  <c r="F3475" i="1"/>
  <c r="W3475" i="1"/>
  <c r="AJ3475" i="1"/>
  <c r="E3476" i="1"/>
  <c r="F3476" i="1"/>
  <c r="J3476" i="1"/>
  <c r="W3476" i="1"/>
  <c r="AJ3476" i="1"/>
  <c r="E3477" i="1"/>
  <c r="F3477" i="1"/>
  <c r="W3477" i="1"/>
  <c r="AJ3477" i="1"/>
  <c r="E3478" i="1"/>
  <c r="F3478" i="1"/>
  <c r="J3478" i="1"/>
  <c r="W3478" i="1"/>
  <c r="AJ3478" i="1"/>
  <c r="E3479" i="1"/>
  <c r="F3479" i="1"/>
  <c r="W3479" i="1"/>
  <c r="AJ3479" i="1"/>
  <c r="E3480" i="1"/>
  <c r="F3480" i="1"/>
  <c r="J3480" i="1"/>
  <c r="W3480" i="1"/>
  <c r="AJ3480" i="1"/>
  <c r="E3481" i="1"/>
  <c r="F3481" i="1"/>
  <c r="W3481" i="1"/>
  <c r="AJ3481" i="1"/>
  <c r="E3482" i="1"/>
  <c r="F3482" i="1"/>
  <c r="J3482" i="1"/>
  <c r="W3482" i="1"/>
  <c r="AJ3482" i="1"/>
  <c r="E3483" i="1"/>
  <c r="F3483" i="1"/>
  <c r="W3483" i="1"/>
  <c r="AJ3483" i="1"/>
  <c r="E3484" i="1"/>
  <c r="F3484" i="1"/>
  <c r="J3484" i="1"/>
  <c r="W3484" i="1"/>
  <c r="AJ3484" i="1"/>
  <c r="E3485" i="1"/>
  <c r="F3485" i="1"/>
  <c r="J3485" i="1"/>
  <c r="W3485" i="1"/>
  <c r="AJ3485" i="1"/>
  <c r="E3486" i="1"/>
  <c r="F3486" i="1"/>
  <c r="J3486" i="1"/>
  <c r="W3486" i="1"/>
  <c r="AJ3486" i="1"/>
  <c r="E3487" i="1"/>
  <c r="F3487" i="1"/>
  <c r="J3487" i="1"/>
  <c r="W3487" i="1"/>
  <c r="AJ3487" i="1"/>
  <c r="E3488" i="1"/>
  <c r="F3488" i="1"/>
  <c r="J3488" i="1"/>
  <c r="W3488" i="1"/>
  <c r="AJ3488" i="1"/>
  <c r="E3489" i="1"/>
  <c r="F3489" i="1"/>
  <c r="W3489" i="1"/>
  <c r="AJ3489" i="1"/>
  <c r="E3490" i="1"/>
  <c r="F3490" i="1"/>
  <c r="W3490" i="1"/>
  <c r="AJ3490" i="1"/>
  <c r="E3491" i="1"/>
  <c r="F3491" i="1"/>
  <c r="W3491" i="1"/>
  <c r="AJ3491" i="1"/>
  <c r="E3493" i="1"/>
  <c r="F3493" i="1"/>
  <c r="J3493" i="1"/>
  <c r="W3493" i="1"/>
  <c r="AJ3493" i="1"/>
  <c r="E3494" i="1"/>
  <c r="F3494" i="1"/>
  <c r="J3494" i="1"/>
  <c r="W3494" i="1"/>
  <c r="AJ3494" i="1"/>
  <c r="E3495" i="1"/>
  <c r="F3495" i="1"/>
  <c r="J3495" i="1"/>
  <c r="W3495" i="1"/>
  <c r="AJ3495" i="1"/>
  <c r="E3496" i="1"/>
  <c r="F3496" i="1"/>
  <c r="J3496" i="1"/>
  <c r="W3496" i="1"/>
  <c r="AJ3496" i="1"/>
  <c r="E3497" i="1"/>
  <c r="F3497" i="1"/>
  <c r="W3497" i="1"/>
  <c r="AJ3497" i="1"/>
  <c r="E3498" i="1"/>
  <c r="F3498" i="1"/>
  <c r="W3498" i="1"/>
  <c r="AJ3498" i="1"/>
  <c r="E3499" i="1"/>
  <c r="F3499" i="1"/>
  <c r="J3499" i="1"/>
  <c r="W3499" i="1"/>
  <c r="AJ3499" i="1"/>
  <c r="E3500" i="1"/>
  <c r="F3500" i="1"/>
  <c r="W3500" i="1"/>
  <c r="AJ3500" i="1"/>
  <c r="E3501" i="1"/>
  <c r="F3501" i="1"/>
  <c r="J3501" i="1"/>
  <c r="W3501" i="1"/>
  <c r="AJ3501" i="1"/>
  <c r="E3502" i="1"/>
  <c r="F3502" i="1"/>
  <c r="W3502" i="1"/>
  <c r="AJ3502" i="1"/>
  <c r="AX3407" i="1"/>
  <c r="AJ3388" i="1"/>
  <c r="AY3486" i="1" l="1"/>
  <c r="J3504" i="1"/>
  <c r="J3503" i="1"/>
  <c r="J3559" i="1"/>
  <c r="J3554" i="1"/>
  <c r="J3551" i="1"/>
  <c r="J3550" i="1"/>
  <c r="J3549" i="1"/>
  <c r="J3548" i="1"/>
  <c r="J3545" i="1"/>
  <c r="J3544" i="1"/>
  <c r="J3540" i="1"/>
  <c r="J3533" i="1"/>
  <c r="J3532" i="1"/>
  <c r="J3526" i="1"/>
  <c r="J3525" i="1"/>
  <c r="J3521" i="1"/>
  <c r="J3514" i="1"/>
  <c r="J3510" i="1"/>
  <c r="J3509" i="1"/>
  <c r="J3490" i="1"/>
  <c r="J3582" i="1"/>
  <c r="J3577" i="1"/>
  <c r="J3573" i="1"/>
  <c r="J3569" i="1"/>
  <c r="J3564" i="1"/>
  <c r="J3479" i="1"/>
  <c r="J3475" i="1"/>
  <c r="J3470" i="1"/>
  <c r="J3469" i="1"/>
  <c r="J3459" i="1"/>
  <c r="J3454" i="1"/>
  <c r="J3589" i="1"/>
  <c r="J3584" i="1"/>
  <c r="J3562" i="1"/>
  <c r="J3502" i="1"/>
  <c r="J3500" i="1"/>
  <c r="J3489" i="1"/>
  <c r="J3483" i="1"/>
  <c r="J3498" i="1"/>
  <c r="J3497" i="1"/>
  <c r="J3491" i="1"/>
  <c r="J3481" i="1"/>
  <c r="J3477" i="1"/>
  <c r="J3467" i="1"/>
  <c r="J3461" i="1"/>
  <c r="J3457" i="1"/>
  <c r="J3591" i="1"/>
  <c r="J3587" i="1"/>
  <c r="J3586" i="1"/>
  <c r="J3580" i="1"/>
  <c r="J3579" i="1"/>
  <c r="J3575" i="1"/>
  <c r="J3571" i="1"/>
  <c r="J3567" i="1"/>
  <c r="J3566" i="1"/>
  <c r="J3561" i="1"/>
  <c r="J3557" i="1"/>
  <c r="J3556" i="1"/>
  <c r="J3542" i="1"/>
  <c r="J3538" i="1"/>
  <c r="J3537" i="1"/>
  <c r="J3536" i="1"/>
  <c r="J3535" i="1"/>
  <c r="J3523" i="1"/>
  <c r="J3519" i="1"/>
  <c r="J3516" i="1"/>
  <c r="J3512" i="1"/>
  <c r="J3508" i="1"/>
  <c r="J3506" i="1"/>
  <c r="J3530" i="1"/>
  <c r="J3463" i="1"/>
  <c r="E3376" i="1" l="1"/>
  <c r="F3376" i="1"/>
  <c r="J3376" i="1"/>
  <c r="W3376" i="1"/>
  <c r="AJ3376" i="1"/>
  <c r="E3377" i="1"/>
  <c r="F3377" i="1"/>
  <c r="J3377" i="1"/>
  <c r="W3377" i="1"/>
  <c r="AJ3377" i="1"/>
  <c r="E3378" i="1"/>
  <c r="F3378" i="1"/>
  <c r="W3378" i="1"/>
  <c r="AJ3378" i="1"/>
  <c r="E3379" i="1"/>
  <c r="F3379" i="1"/>
  <c r="W3379" i="1"/>
  <c r="AJ3379" i="1"/>
  <c r="E3380" i="1"/>
  <c r="F3380" i="1"/>
  <c r="W3380" i="1"/>
  <c r="AJ3380" i="1"/>
  <c r="E3381" i="1"/>
  <c r="F3381" i="1"/>
  <c r="W3381" i="1"/>
  <c r="AJ3381" i="1"/>
  <c r="E3382" i="1"/>
  <c r="F3382" i="1"/>
  <c r="W3382" i="1"/>
  <c r="AJ3382" i="1"/>
  <c r="E3383" i="1"/>
  <c r="F3383" i="1"/>
  <c r="W3383" i="1"/>
  <c r="AJ3383" i="1"/>
  <c r="E3384" i="1"/>
  <c r="F3384" i="1"/>
  <c r="J3384" i="1"/>
  <c r="W3384" i="1"/>
  <c r="AJ3384" i="1"/>
  <c r="E3385" i="1"/>
  <c r="F3385" i="1"/>
  <c r="J3385" i="1"/>
  <c r="W3385" i="1"/>
  <c r="AJ3385" i="1"/>
  <c r="E3386" i="1"/>
  <c r="F3386" i="1"/>
  <c r="W3386" i="1"/>
  <c r="AJ3386" i="1"/>
  <c r="E3387" i="1"/>
  <c r="F3387" i="1"/>
  <c r="W3387" i="1"/>
  <c r="AJ3387" i="1"/>
  <c r="E3388" i="1"/>
  <c r="F3388" i="1"/>
  <c r="W3388" i="1"/>
  <c r="J3388" i="1" s="1"/>
  <c r="E3389" i="1"/>
  <c r="F3389" i="1"/>
  <c r="W3389" i="1"/>
  <c r="AJ3389" i="1"/>
  <c r="E3390" i="1"/>
  <c r="F3390" i="1"/>
  <c r="W3390" i="1"/>
  <c r="AJ3390" i="1"/>
  <c r="E3391" i="1"/>
  <c r="F3391" i="1"/>
  <c r="W3391" i="1"/>
  <c r="AJ3391" i="1"/>
  <c r="E3392" i="1"/>
  <c r="F3392" i="1"/>
  <c r="J3392" i="1"/>
  <c r="W3392" i="1"/>
  <c r="AJ3392" i="1"/>
  <c r="E3393" i="1"/>
  <c r="F3393" i="1"/>
  <c r="W3393" i="1"/>
  <c r="AJ3393" i="1"/>
  <c r="E3394" i="1"/>
  <c r="F3394" i="1"/>
  <c r="W3394" i="1"/>
  <c r="AJ3394" i="1"/>
  <c r="E3395" i="1"/>
  <c r="F3395" i="1"/>
  <c r="W3395" i="1"/>
  <c r="AJ3395" i="1"/>
  <c r="E3396" i="1"/>
  <c r="F3396" i="1"/>
  <c r="W3396" i="1"/>
  <c r="AJ3396" i="1"/>
  <c r="E3397" i="1"/>
  <c r="F3397" i="1"/>
  <c r="W3397" i="1"/>
  <c r="AJ3397" i="1"/>
  <c r="E3398" i="1"/>
  <c r="F3398" i="1"/>
  <c r="W3398" i="1"/>
  <c r="AJ3398" i="1"/>
  <c r="E3399" i="1"/>
  <c r="F3399" i="1"/>
  <c r="J3399" i="1"/>
  <c r="W3399" i="1"/>
  <c r="AJ3399" i="1"/>
  <c r="E3400" i="1"/>
  <c r="F3400" i="1"/>
  <c r="W3400" i="1"/>
  <c r="AJ3400" i="1"/>
  <c r="E3401" i="1"/>
  <c r="F3401" i="1"/>
  <c r="W3401" i="1"/>
  <c r="AJ3401" i="1"/>
  <c r="E3402" i="1"/>
  <c r="F3402" i="1"/>
  <c r="W3402" i="1"/>
  <c r="AJ3402" i="1"/>
  <c r="E3403" i="1"/>
  <c r="F3403" i="1"/>
  <c r="W3403" i="1"/>
  <c r="AJ3403" i="1"/>
  <c r="E3404" i="1"/>
  <c r="F3404" i="1"/>
  <c r="W3404" i="1"/>
  <c r="AJ3404" i="1"/>
  <c r="E3405" i="1"/>
  <c r="F3405" i="1"/>
  <c r="J3405" i="1"/>
  <c r="W3405" i="1"/>
  <c r="AJ3405" i="1"/>
  <c r="E3406" i="1"/>
  <c r="F3406" i="1"/>
  <c r="W3406" i="1"/>
  <c r="AJ3406" i="1"/>
  <c r="E3407" i="1"/>
  <c r="F3407" i="1"/>
  <c r="W3407" i="1"/>
  <c r="AJ3407" i="1"/>
  <c r="E3408" i="1"/>
  <c r="F3408" i="1"/>
  <c r="W3408" i="1"/>
  <c r="AJ3408" i="1"/>
  <c r="E3409" i="1"/>
  <c r="F3409" i="1"/>
  <c r="W3409" i="1"/>
  <c r="AJ3409" i="1"/>
  <c r="E3410" i="1"/>
  <c r="F3410" i="1"/>
  <c r="J3410" i="1"/>
  <c r="W3410" i="1"/>
  <c r="AJ3410" i="1"/>
  <c r="E3411" i="1"/>
  <c r="F3411" i="1"/>
  <c r="W3411" i="1"/>
  <c r="AJ3411" i="1"/>
  <c r="E3412" i="1"/>
  <c r="F3412" i="1"/>
  <c r="J3412" i="1"/>
  <c r="W3412" i="1"/>
  <c r="AJ3412" i="1"/>
  <c r="E3413" i="1"/>
  <c r="F3413" i="1"/>
  <c r="J3413" i="1"/>
  <c r="W3413" i="1"/>
  <c r="AJ3413" i="1"/>
  <c r="E3414" i="1"/>
  <c r="F3414" i="1"/>
  <c r="W3414" i="1"/>
  <c r="AJ3414" i="1"/>
  <c r="E3415" i="1"/>
  <c r="F3415" i="1"/>
  <c r="W3415" i="1"/>
  <c r="AJ3415" i="1"/>
  <c r="E3416" i="1"/>
  <c r="F3416" i="1"/>
  <c r="J3416" i="1"/>
  <c r="W3416" i="1"/>
  <c r="AJ3416" i="1"/>
  <c r="E3417" i="1"/>
  <c r="F3417" i="1"/>
  <c r="J3417" i="1"/>
  <c r="W3417" i="1"/>
  <c r="AJ3417" i="1"/>
  <c r="E3418" i="1"/>
  <c r="F3418" i="1"/>
  <c r="W3418" i="1"/>
  <c r="AJ3418" i="1"/>
  <c r="E3419" i="1"/>
  <c r="F3419" i="1"/>
  <c r="J3419" i="1"/>
  <c r="W3419" i="1"/>
  <c r="AJ3419" i="1"/>
  <c r="E3420" i="1"/>
  <c r="F3420" i="1"/>
  <c r="J3420" i="1"/>
  <c r="W3420" i="1"/>
  <c r="AJ3420" i="1"/>
  <c r="E3421" i="1"/>
  <c r="F3421" i="1"/>
  <c r="J3421" i="1"/>
  <c r="W3421" i="1"/>
  <c r="AJ3421" i="1"/>
  <c r="E3422" i="1"/>
  <c r="F3422" i="1"/>
  <c r="W3422" i="1"/>
  <c r="AJ3422" i="1"/>
  <c r="E3423" i="1"/>
  <c r="F3423" i="1"/>
  <c r="J3423" i="1"/>
  <c r="W3423" i="1"/>
  <c r="AJ3423" i="1"/>
  <c r="E3424" i="1"/>
  <c r="F3424" i="1"/>
  <c r="J3424" i="1"/>
  <c r="W3424" i="1"/>
  <c r="AJ3424" i="1"/>
  <c r="E3425" i="1"/>
  <c r="F3425" i="1"/>
  <c r="W3425" i="1"/>
  <c r="AJ3425" i="1"/>
  <c r="E3426" i="1"/>
  <c r="F3426" i="1"/>
  <c r="J3426" i="1"/>
  <c r="W3426" i="1"/>
  <c r="AJ3426" i="1"/>
  <c r="E3427" i="1"/>
  <c r="F3427" i="1"/>
  <c r="J3427" i="1"/>
  <c r="W3427" i="1"/>
  <c r="AJ3427" i="1"/>
  <c r="E3428" i="1"/>
  <c r="F3428" i="1"/>
  <c r="W3428" i="1"/>
  <c r="AJ3428" i="1"/>
  <c r="E3429" i="1"/>
  <c r="F3429" i="1"/>
  <c r="J3429" i="1"/>
  <c r="W3429" i="1"/>
  <c r="AJ3429" i="1"/>
  <c r="E3430" i="1"/>
  <c r="F3430" i="1"/>
  <c r="W3430" i="1"/>
  <c r="AJ3430" i="1"/>
  <c r="E3431" i="1"/>
  <c r="F3431" i="1"/>
  <c r="J3431" i="1"/>
  <c r="W3431" i="1"/>
  <c r="AJ3431" i="1"/>
  <c r="E3432" i="1"/>
  <c r="F3432" i="1"/>
  <c r="J3432" i="1"/>
  <c r="W3432" i="1"/>
  <c r="AJ3432" i="1"/>
  <c r="E3433" i="1"/>
  <c r="F3433" i="1"/>
  <c r="W3433" i="1"/>
  <c r="AJ3433" i="1"/>
  <c r="E3434" i="1"/>
  <c r="F3434" i="1"/>
  <c r="J3434" i="1"/>
  <c r="W3434" i="1"/>
  <c r="AJ3434" i="1"/>
  <c r="E3435" i="1"/>
  <c r="F3435" i="1"/>
  <c r="J3435" i="1"/>
  <c r="W3435" i="1"/>
  <c r="AJ3435" i="1"/>
  <c r="E3436" i="1"/>
  <c r="F3436" i="1"/>
  <c r="W3436" i="1"/>
  <c r="AJ3436" i="1"/>
  <c r="E3437" i="1"/>
  <c r="F3437" i="1"/>
  <c r="J3437" i="1"/>
  <c r="W3437" i="1"/>
  <c r="AJ3437" i="1"/>
  <c r="E3438" i="1"/>
  <c r="F3438" i="1"/>
  <c r="J3438" i="1"/>
  <c r="W3438" i="1"/>
  <c r="AJ3438" i="1"/>
  <c r="E3439" i="1"/>
  <c r="F3439" i="1"/>
  <c r="J3439" i="1"/>
  <c r="W3439" i="1"/>
  <c r="AJ3439" i="1"/>
  <c r="E3440" i="1"/>
  <c r="F3440" i="1"/>
  <c r="W3440" i="1"/>
  <c r="AJ3440" i="1"/>
  <c r="E3441" i="1"/>
  <c r="F3441" i="1"/>
  <c r="J3441" i="1"/>
  <c r="W3441" i="1"/>
  <c r="AJ3441" i="1"/>
  <c r="E3442" i="1"/>
  <c r="F3442" i="1"/>
  <c r="W3442" i="1"/>
  <c r="AJ3442" i="1"/>
  <c r="E3443" i="1"/>
  <c r="F3443" i="1"/>
  <c r="J3443" i="1"/>
  <c r="W3443" i="1"/>
  <c r="AJ3443" i="1"/>
  <c r="E3444" i="1"/>
  <c r="F3444" i="1"/>
  <c r="W3444" i="1"/>
  <c r="AJ3444" i="1"/>
  <c r="E3445" i="1"/>
  <c r="F3445" i="1"/>
  <c r="J3445" i="1"/>
  <c r="W3445" i="1"/>
  <c r="AJ3445" i="1"/>
  <c r="E3446" i="1"/>
  <c r="F3446" i="1"/>
  <c r="W3446" i="1"/>
  <c r="AJ3446" i="1"/>
  <c r="E3447" i="1"/>
  <c r="F3447" i="1"/>
  <c r="J3447" i="1"/>
  <c r="W3447" i="1"/>
  <c r="AJ3447" i="1"/>
  <c r="E3448" i="1"/>
  <c r="F3448" i="1"/>
  <c r="W3448" i="1"/>
  <c r="AJ3448" i="1"/>
  <c r="E3449" i="1"/>
  <c r="F3449" i="1"/>
  <c r="J3449" i="1"/>
  <c r="W3449" i="1"/>
  <c r="AJ3449" i="1"/>
  <c r="E3450" i="1"/>
  <c r="F3450" i="1"/>
  <c r="W3450" i="1"/>
  <c r="AJ3450" i="1"/>
  <c r="E3451" i="1"/>
  <c r="F3451" i="1"/>
  <c r="J3451" i="1"/>
  <c r="W3451" i="1"/>
  <c r="AJ3451" i="1"/>
  <c r="E3452" i="1"/>
  <c r="F3452" i="1"/>
  <c r="W3452" i="1"/>
  <c r="AJ3452" i="1"/>
  <c r="E3453" i="1"/>
  <c r="F3453" i="1"/>
  <c r="J3453" i="1"/>
  <c r="W3453" i="1"/>
  <c r="AJ3453" i="1"/>
  <c r="AX3356" i="1"/>
  <c r="J3387" i="1" l="1"/>
  <c r="J3386" i="1"/>
  <c r="J3383" i="1"/>
  <c r="J3382" i="1"/>
  <c r="J3381" i="1"/>
  <c r="J3380" i="1"/>
  <c r="J3452" i="1"/>
  <c r="J3450" i="1"/>
  <c r="J3444" i="1"/>
  <c r="J3442" i="1"/>
  <c r="J3428" i="1"/>
  <c r="J3409" i="1"/>
  <c r="J3408" i="1"/>
  <c r="J3407" i="1"/>
  <c r="J3406" i="1"/>
  <c r="J3379" i="1"/>
  <c r="J3404" i="1"/>
  <c r="J3448" i="1"/>
  <c r="J3440" i="1"/>
  <c r="J3418" i="1"/>
  <c r="J3415" i="1"/>
  <c r="J3414" i="1"/>
  <c r="J3378" i="1"/>
  <c r="J3401" i="1"/>
  <c r="J3397" i="1"/>
  <c r="J3396" i="1"/>
  <c r="J3395" i="1"/>
  <c r="J3393" i="1"/>
  <c r="J3390" i="1"/>
  <c r="J3446" i="1"/>
  <c r="J3436" i="1"/>
  <c r="J3433" i="1"/>
  <c r="J3430" i="1"/>
  <c r="J3425" i="1"/>
  <c r="J3422" i="1"/>
  <c r="J3411" i="1"/>
  <c r="J3403" i="1"/>
  <c r="J3402" i="1"/>
  <c r="J3400" i="1"/>
  <c r="J3398" i="1"/>
  <c r="J3394" i="1"/>
  <c r="J3391" i="1"/>
  <c r="J3389" i="1"/>
  <c r="E3342" i="1"/>
  <c r="F3342" i="1"/>
  <c r="J3342" i="1"/>
  <c r="W3342" i="1"/>
  <c r="AJ3342" i="1"/>
  <c r="E3343" i="1"/>
  <c r="F3343" i="1"/>
  <c r="W3343" i="1"/>
  <c r="AJ3343" i="1"/>
  <c r="E3344" i="1"/>
  <c r="F3344" i="1"/>
  <c r="W3344" i="1"/>
  <c r="AJ3344" i="1"/>
  <c r="E3345" i="1"/>
  <c r="F3345" i="1"/>
  <c r="W3345" i="1"/>
  <c r="AJ3345" i="1"/>
  <c r="E3346" i="1"/>
  <c r="F3346" i="1"/>
  <c r="W3346" i="1"/>
  <c r="AJ3346" i="1"/>
  <c r="E3347" i="1"/>
  <c r="F3347" i="1"/>
  <c r="W3347" i="1"/>
  <c r="AJ3347" i="1"/>
  <c r="E3348" i="1"/>
  <c r="F3348" i="1"/>
  <c r="W3348" i="1"/>
  <c r="AJ3348" i="1"/>
  <c r="E3349" i="1"/>
  <c r="F3349" i="1"/>
  <c r="J3349" i="1"/>
  <c r="W3349" i="1"/>
  <c r="AJ3349" i="1"/>
  <c r="E3350" i="1"/>
  <c r="F3350" i="1"/>
  <c r="W3350" i="1"/>
  <c r="AJ3350" i="1"/>
  <c r="E3351" i="1"/>
  <c r="F3351" i="1"/>
  <c r="W3351" i="1"/>
  <c r="AJ3351" i="1"/>
  <c r="E3352" i="1"/>
  <c r="F3352" i="1"/>
  <c r="W3352" i="1"/>
  <c r="AJ3352" i="1"/>
  <c r="E3353" i="1"/>
  <c r="F3353" i="1"/>
  <c r="W3353" i="1"/>
  <c r="AJ3353" i="1"/>
  <c r="E3354" i="1"/>
  <c r="F3354" i="1"/>
  <c r="J3354" i="1"/>
  <c r="W3354" i="1"/>
  <c r="AJ3354" i="1"/>
  <c r="E3355" i="1"/>
  <c r="F3355" i="1"/>
  <c r="W3355" i="1"/>
  <c r="AJ3355" i="1"/>
  <c r="E3356" i="1"/>
  <c r="F3356" i="1"/>
  <c r="W3356" i="1"/>
  <c r="AJ3356" i="1"/>
  <c r="E3357" i="1"/>
  <c r="F3357" i="1"/>
  <c r="J3357" i="1"/>
  <c r="W3357" i="1"/>
  <c r="AJ3357" i="1"/>
  <c r="E3358" i="1"/>
  <c r="F3358" i="1"/>
  <c r="W3358" i="1"/>
  <c r="AJ3358" i="1"/>
  <c r="E3359" i="1"/>
  <c r="F3359" i="1"/>
  <c r="W3359" i="1"/>
  <c r="AJ3359" i="1"/>
  <c r="E3360" i="1"/>
  <c r="F3360" i="1"/>
  <c r="W3360" i="1"/>
  <c r="AJ3360" i="1"/>
  <c r="E3361" i="1"/>
  <c r="F3361" i="1"/>
  <c r="J3361" i="1"/>
  <c r="W3361" i="1"/>
  <c r="AJ3361" i="1"/>
  <c r="E3362" i="1"/>
  <c r="F3362" i="1"/>
  <c r="W3362" i="1"/>
  <c r="AJ3362" i="1"/>
  <c r="E3363" i="1"/>
  <c r="F3363" i="1"/>
  <c r="W3363" i="1"/>
  <c r="AJ3363" i="1"/>
  <c r="E3364" i="1"/>
  <c r="F3364" i="1"/>
  <c r="W3364" i="1"/>
  <c r="AJ3364" i="1"/>
  <c r="E3365" i="1"/>
  <c r="F3365" i="1"/>
  <c r="W3365" i="1"/>
  <c r="AJ3365" i="1"/>
  <c r="E3366" i="1"/>
  <c r="F3366" i="1"/>
  <c r="W3366" i="1"/>
  <c r="AJ3366" i="1"/>
  <c r="E3367" i="1"/>
  <c r="F3367" i="1"/>
  <c r="J3367" i="1"/>
  <c r="W3367" i="1"/>
  <c r="AJ3367" i="1"/>
  <c r="E3368" i="1"/>
  <c r="F3368" i="1"/>
  <c r="W3368" i="1"/>
  <c r="AJ3368" i="1"/>
  <c r="E3369" i="1"/>
  <c r="F3369" i="1"/>
  <c r="W3369" i="1"/>
  <c r="AJ3369" i="1"/>
  <c r="E3370" i="1"/>
  <c r="F3370" i="1"/>
  <c r="J3370" i="1"/>
  <c r="W3370" i="1"/>
  <c r="AJ3370" i="1"/>
  <c r="E3371" i="1"/>
  <c r="F3371" i="1"/>
  <c r="W3371" i="1"/>
  <c r="AJ3371" i="1"/>
  <c r="E3372" i="1"/>
  <c r="F3372" i="1"/>
  <c r="W3372" i="1"/>
  <c r="AJ3372" i="1"/>
  <c r="E3373" i="1"/>
  <c r="F3373" i="1"/>
  <c r="W3373" i="1"/>
  <c r="AJ3373" i="1"/>
  <c r="E3374" i="1"/>
  <c r="F3374" i="1"/>
  <c r="W3374" i="1"/>
  <c r="AJ3374" i="1"/>
  <c r="E3375" i="1"/>
  <c r="F3375" i="1"/>
  <c r="J3375" i="1"/>
  <c r="W3375" i="1"/>
  <c r="AJ3375" i="1"/>
  <c r="J3348" i="1" l="1"/>
  <c r="J3347" i="1"/>
  <c r="J3346" i="1"/>
  <c r="J3345" i="1"/>
  <c r="J3344" i="1"/>
  <c r="J3374" i="1"/>
  <c r="J3373" i="1"/>
  <c r="J3372" i="1"/>
  <c r="J3366" i="1"/>
  <c r="J3365" i="1"/>
  <c r="J3362" i="1"/>
  <c r="J3356" i="1"/>
  <c r="J3343" i="1"/>
  <c r="J3369" i="1"/>
  <c r="J3368" i="1"/>
  <c r="J3358" i="1"/>
  <c r="J3352" i="1"/>
  <c r="J3351" i="1"/>
  <c r="J3371" i="1"/>
  <c r="J3364" i="1"/>
  <c r="J3363" i="1"/>
  <c r="J3360" i="1"/>
  <c r="J3359" i="1"/>
  <c r="J3355" i="1"/>
  <c r="J3350" i="1"/>
  <c r="J3353" i="1"/>
  <c r="BF51" i="7"/>
  <c r="BF47" i="7"/>
  <c r="BF46" i="7" s="1"/>
  <c r="BF16" i="7"/>
  <c r="BF11" i="7"/>
  <c r="BF10" i="7"/>
  <c r="BF8" i="7"/>
  <c r="BF7" i="7"/>
  <c r="BF6" i="7"/>
  <c r="BE55" i="7"/>
  <c r="BF29" i="7"/>
  <c r="BF30" i="7"/>
  <c r="BF45" i="7"/>
  <c r="BF44" i="7"/>
  <c r="BF43" i="7"/>
  <c r="BF42" i="7"/>
  <c r="BF41" i="7"/>
  <c r="BF39" i="7"/>
  <c r="BF38" i="7"/>
  <c r="BF37" i="7"/>
  <c r="J1480" i="8"/>
  <c r="AX3245" i="1"/>
  <c r="H1564" i="8"/>
  <c r="AJ3244" i="1"/>
  <c r="W3244" i="1"/>
  <c r="F3244" i="1"/>
  <c r="E3244" i="1"/>
  <c r="J3244" i="1" l="1"/>
  <c r="BE52" i="7"/>
  <c r="E3320" i="1" l="1"/>
  <c r="F3320" i="1"/>
  <c r="J3320" i="1"/>
  <c r="W3320" i="1"/>
  <c r="AJ3320" i="1"/>
  <c r="E3321" i="1"/>
  <c r="F3321" i="1"/>
  <c r="W3321" i="1"/>
  <c r="AJ3321" i="1"/>
  <c r="E3322" i="1"/>
  <c r="F3322" i="1"/>
  <c r="W3322" i="1"/>
  <c r="AJ3322" i="1"/>
  <c r="E3323" i="1"/>
  <c r="F3323" i="1"/>
  <c r="W3323" i="1"/>
  <c r="AJ3323" i="1"/>
  <c r="E3324" i="1"/>
  <c r="F3324" i="1"/>
  <c r="W3324" i="1"/>
  <c r="AJ3324" i="1"/>
  <c r="E3325" i="1"/>
  <c r="F3325" i="1"/>
  <c r="W3325" i="1"/>
  <c r="AJ3325" i="1"/>
  <c r="E3326" i="1"/>
  <c r="F3326" i="1"/>
  <c r="W3326" i="1"/>
  <c r="AJ3326" i="1"/>
  <c r="E3327" i="1"/>
  <c r="F3327" i="1"/>
  <c r="W3327" i="1"/>
  <c r="AJ3327" i="1"/>
  <c r="E3328" i="1"/>
  <c r="F3328" i="1"/>
  <c r="W3328" i="1"/>
  <c r="AJ3328" i="1"/>
  <c r="E3329" i="1"/>
  <c r="F3329" i="1"/>
  <c r="W3329" i="1"/>
  <c r="AJ3329" i="1"/>
  <c r="E3330" i="1"/>
  <c r="F3330" i="1"/>
  <c r="W3330" i="1"/>
  <c r="AJ3330" i="1"/>
  <c r="E3331" i="1"/>
  <c r="F3331" i="1"/>
  <c r="W3331" i="1"/>
  <c r="AJ3331" i="1"/>
  <c r="E3332" i="1"/>
  <c r="F3332" i="1"/>
  <c r="W3332" i="1"/>
  <c r="AJ3332" i="1"/>
  <c r="E3333" i="1"/>
  <c r="F3333" i="1"/>
  <c r="W3333" i="1"/>
  <c r="AJ3333" i="1"/>
  <c r="E3334" i="1"/>
  <c r="F3334" i="1"/>
  <c r="W3334" i="1"/>
  <c r="AJ3334" i="1"/>
  <c r="E3335" i="1"/>
  <c r="F3335" i="1"/>
  <c r="W3335" i="1"/>
  <c r="AJ3335" i="1"/>
  <c r="E3336" i="1"/>
  <c r="F3336" i="1"/>
  <c r="W3336" i="1"/>
  <c r="AJ3336" i="1"/>
  <c r="E3337" i="1"/>
  <c r="F3337" i="1"/>
  <c r="W3337" i="1"/>
  <c r="AJ3337" i="1"/>
  <c r="E3338" i="1"/>
  <c r="F3338" i="1"/>
  <c r="W3338" i="1"/>
  <c r="AJ3338" i="1"/>
  <c r="E3339" i="1"/>
  <c r="F3339" i="1"/>
  <c r="W3339" i="1"/>
  <c r="AJ3339" i="1"/>
  <c r="E3340" i="1"/>
  <c r="F3340" i="1"/>
  <c r="W3340" i="1"/>
  <c r="AJ3340" i="1"/>
  <c r="E3341" i="1"/>
  <c r="F3341" i="1"/>
  <c r="J3341" i="1"/>
  <c r="W3341" i="1"/>
  <c r="AJ3341" i="1"/>
  <c r="E3308" i="1"/>
  <c r="F3308" i="1"/>
  <c r="J3308" i="1"/>
  <c r="W3308" i="1"/>
  <c r="AJ3308" i="1"/>
  <c r="E3309" i="1"/>
  <c r="F3309" i="1"/>
  <c r="J3309" i="1"/>
  <c r="W3309" i="1"/>
  <c r="AJ3309" i="1"/>
  <c r="E3310" i="1"/>
  <c r="F3310" i="1"/>
  <c r="J3310" i="1"/>
  <c r="W3310" i="1"/>
  <c r="AJ3310" i="1"/>
  <c r="E3311" i="1"/>
  <c r="F3311" i="1"/>
  <c r="J3311" i="1"/>
  <c r="W3311" i="1"/>
  <c r="AJ3311" i="1"/>
  <c r="E3312" i="1"/>
  <c r="F3312" i="1"/>
  <c r="W3312" i="1"/>
  <c r="AJ3312" i="1"/>
  <c r="E3313" i="1"/>
  <c r="F3313" i="1"/>
  <c r="J3313" i="1"/>
  <c r="W3313" i="1"/>
  <c r="AJ3313" i="1"/>
  <c r="E3314" i="1"/>
  <c r="F3314" i="1"/>
  <c r="J3314" i="1"/>
  <c r="W3314" i="1"/>
  <c r="AJ3314" i="1"/>
  <c r="E3315" i="1"/>
  <c r="F3315" i="1"/>
  <c r="W3315" i="1"/>
  <c r="AJ3315" i="1"/>
  <c r="E3316" i="1"/>
  <c r="F3316" i="1"/>
  <c r="J3316" i="1"/>
  <c r="W3316" i="1"/>
  <c r="AJ3316" i="1"/>
  <c r="E3317" i="1"/>
  <c r="F3317" i="1"/>
  <c r="J3317" i="1"/>
  <c r="W3317" i="1"/>
  <c r="AJ3317" i="1"/>
  <c r="E3318" i="1"/>
  <c r="F3318" i="1"/>
  <c r="W3318" i="1"/>
  <c r="AJ3318" i="1"/>
  <c r="E3319" i="1"/>
  <c r="F3319" i="1"/>
  <c r="W3319" i="1"/>
  <c r="AJ3319" i="1"/>
  <c r="J3319" i="1" l="1"/>
  <c r="J3318" i="1"/>
  <c r="J3315" i="1"/>
  <c r="J3312" i="1"/>
  <c r="J3334" i="1"/>
  <c r="J3329" i="1"/>
  <c r="J3324" i="1"/>
  <c r="J3340" i="1"/>
  <c r="J3338" i="1"/>
  <c r="J3337" i="1"/>
  <c r="J3336" i="1"/>
  <c r="J3335" i="1"/>
  <c r="J3333" i="1"/>
  <c r="J3332" i="1"/>
  <c r="J3331" i="1"/>
  <c r="J3330" i="1"/>
  <c r="J3328" i="1"/>
  <c r="J3327" i="1"/>
  <c r="J3326" i="1"/>
  <c r="J3325" i="1"/>
  <c r="J3323" i="1"/>
  <c r="J3322" i="1"/>
  <c r="J3321" i="1"/>
  <c r="J3339" i="1"/>
  <c r="AX3304" i="1"/>
  <c r="E3302" i="1"/>
  <c r="F3302" i="1"/>
  <c r="J3302" i="1"/>
  <c r="W3302" i="1"/>
  <c r="AJ3302" i="1"/>
  <c r="E3303" i="1"/>
  <c r="F3303" i="1"/>
  <c r="W3303" i="1"/>
  <c r="AJ3303" i="1"/>
  <c r="E3304" i="1"/>
  <c r="F3304" i="1"/>
  <c r="W3304" i="1"/>
  <c r="AJ3304" i="1"/>
  <c r="E3305" i="1"/>
  <c r="F3305" i="1"/>
  <c r="W3305" i="1"/>
  <c r="AJ3305" i="1"/>
  <c r="E3306" i="1"/>
  <c r="F3306" i="1"/>
  <c r="W3306" i="1"/>
  <c r="AJ3306" i="1"/>
  <c r="E3307" i="1"/>
  <c r="F3307" i="1"/>
  <c r="W3307" i="1"/>
  <c r="AJ3307" i="1"/>
  <c r="E3298" i="1"/>
  <c r="F3298" i="1"/>
  <c r="W3298" i="1"/>
  <c r="AJ3298" i="1"/>
  <c r="E3299" i="1"/>
  <c r="F3299" i="1"/>
  <c r="W3299" i="1"/>
  <c r="AJ3299" i="1"/>
  <c r="E3300" i="1"/>
  <c r="F3300" i="1"/>
  <c r="W3300" i="1"/>
  <c r="AJ3300" i="1"/>
  <c r="E3301" i="1"/>
  <c r="F3301" i="1"/>
  <c r="W3301" i="1"/>
  <c r="AJ3301" i="1"/>
  <c r="E3294" i="1"/>
  <c r="F3294" i="1"/>
  <c r="W3294" i="1"/>
  <c r="AJ3294" i="1"/>
  <c r="E3295" i="1"/>
  <c r="F3295" i="1"/>
  <c r="W3295" i="1"/>
  <c r="AJ3295" i="1"/>
  <c r="E3296" i="1"/>
  <c r="F3296" i="1"/>
  <c r="W3296" i="1"/>
  <c r="AJ3296" i="1"/>
  <c r="E3297" i="1"/>
  <c r="F3297" i="1"/>
  <c r="W3297" i="1"/>
  <c r="AJ3297" i="1"/>
  <c r="E3259" i="1"/>
  <c r="F3259" i="1"/>
  <c r="W3259" i="1"/>
  <c r="AJ3259" i="1"/>
  <c r="F3260" i="1"/>
  <c r="W3260" i="1"/>
  <c r="AJ3260" i="1"/>
  <c r="F3261" i="1"/>
  <c r="W3261" i="1"/>
  <c r="AJ3261" i="1"/>
  <c r="E3262" i="1"/>
  <c r="F3262" i="1"/>
  <c r="W3262" i="1"/>
  <c r="AJ3262" i="1"/>
  <c r="E3263" i="1"/>
  <c r="F3263" i="1"/>
  <c r="W3263" i="1"/>
  <c r="AJ3263" i="1"/>
  <c r="E3264" i="1"/>
  <c r="F3264" i="1"/>
  <c r="W3264" i="1"/>
  <c r="AJ3264" i="1"/>
  <c r="E3265" i="1"/>
  <c r="F3265" i="1"/>
  <c r="W3265" i="1"/>
  <c r="AJ3265" i="1"/>
  <c r="E3266" i="1"/>
  <c r="F3266" i="1"/>
  <c r="W3266" i="1"/>
  <c r="AJ3266" i="1"/>
  <c r="E3267" i="1"/>
  <c r="F3267" i="1"/>
  <c r="W3267" i="1"/>
  <c r="AJ3267" i="1"/>
  <c r="E3268" i="1"/>
  <c r="F3268" i="1"/>
  <c r="J3268" i="1"/>
  <c r="W3268" i="1"/>
  <c r="AJ3268" i="1"/>
  <c r="E3269" i="1"/>
  <c r="F3269" i="1"/>
  <c r="W3269" i="1"/>
  <c r="AJ3269" i="1"/>
  <c r="E3270" i="1"/>
  <c r="F3270" i="1"/>
  <c r="W3270" i="1"/>
  <c r="AJ3270" i="1"/>
  <c r="E3271" i="1"/>
  <c r="F3271" i="1"/>
  <c r="W3271" i="1"/>
  <c r="AJ3271" i="1"/>
  <c r="E3272" i="1"/>
  <c r="F3272" i="1"/>
  <c r="W3272" i="1"/>
  <c r="AJ3272" i="1"/>
  <c r="E3273" i="1"/>
  <c r="F3273" i="1"/>
  <c r="W3273" i="1"/>
  <c r="AJ3273" i="1"/>
  <c r="E3274" i="1"/>
  <c r="F3274" i="1"/>
  <c r="W3274" i="1"/>
  <c r="AJ3274" i="1"/>
  <c r="E3275" i="1"/>
  <c r="F3275" i="1"/>
  <c r="J3275" i="1"/>
  <c r="W3275" i="1"/>
  <c r="AJ3275" i="1"/>
  <c r="E3276" i="1"/>
  <c r="F3276" i="1"/>
  <c r="W3276" i="1"/>
  <c r="AJ3276" i="1"/>
  <c r="E3277" i="1"/>
  <c r="F3277" i="1"/>
  <c r="W3277" i="1"/>
  <c r="AJ3277" i="1"/>
  <c r="E3278" i="1"/>
  <c r="F3278" i="1"/>
  <c r="W3278" i="1"/>
  <c r="AJ3278" i="1"/>
  <c r="E3279" i="1"/>
  <c r="F3279" i="1"/>
  <c r="W3279" i="1"/>
  <c r="AJ3279" i="1"/>
  <c r="E3280" i="1"/>
  <c r="F3280" i="1"/>
  <c r="J3280" i="1"/>
  <c r="W3280" i="1"/>
  <c r="AJ3280" i="1"/>
  <c r="E3281" i="1"/>
  <c r="F3281" i="1"/>
  <c r="W3281" i="1"/>
  <c r="AJ3281" i="1"/>
  <c r="E3282" i="1"/>
  <c r="F3282" i="1"/>
  <c r="W3282" i="1"/>
  <c r="AJ3282" i="1"/>
  <c r="E3283" i="1"/>
  <c r="F3283" i="1"/>
  <c r="W3283" i="1"/>
  <c r="AJ3283" i="1"/>
  <c r="E3284" i="1"/>
  <c r="F3284" i="1"/>
  <c r="W3284" i="1"/>
  <c r="AJ3284" i="1"/>
  <c r="E3285" i="1"/>
  <c r="F3285" i="1"/>
  <c r="W3285" i="1"/>
  <c r="AJ3285" i="1"/>
  <c r="E3286" i="1"/>
  <c r="F3286" i="1"/>
  <c r="W3286" i="1"/>
  <c r="AJ3286" i="1"/>
  <c r="E3287" i="1"/>
  <c r="F3287" i="1"/>
  <c r="W3287" i="1"/>
  <c r="AJ3287" i="1"/>
  <c r="E3288" i="1"/>
  <c r="F3288" i="1"/>
  <c r="W3288" i="1"/>
  <c r="AJ3288" i="1"/>
  <c r="E3289" i="1"/>
  <c r="F3289" i="1"/>
  <c r="W3289" i="1"/>
  <c r="AJ3289" i="1"/>
  <c r="E3290" i="1"/>
  <c r="F3290" i="1"/>
  <c r="W3290" i="1"/>
  <c r="AJ3290" i="1"/>
  <c r="E3291" i="1"/>
  <c r="F3291" i="1"/>
  <c r="J3291" i="1"/>
  <c r="W3291" i="1"/>
  <c r="AJ3291" i="1"/>
  <c r="E3292" i="1"/>
  <c r="F3292" i="1"/>
  <c r="J3292" i="1"/>
  <c r="W3292" i="1"/>
  <c r="AJ3292" i="1"/>
  <c r="E3293" i="1"/>
  <c r="F3293" i="1"/>
  <c r="W3293" i="1"/>
  <c r="AJ3293" i="1"/>
  <c r="J3307" i="1" l="1"/>
  <c r="J3305" i="1"/>
  <c r="J3306" i="1"/>
  <c r="J3287" i="1"/>
  <c r="J3282" i="1"/>
  <c r="J3276" i="1"/>
  <c r="J3267" i="1"/>
  <c r="J3266" i="1"/>
  <c r="J3264" i="1"/>
  <c r="J3263" i="1"/>
  <c r="J3262" i="1"/>
  <c r="J3261" i="1"/>
  <c r="J3260" i="1"/>
  <c r="J3259" i="1"/>
  <c r="J3296" i="1"/>
  <c r="J3295" i="1"/>
  <c r="J3294" i="1"/>
  <c r="J3301" i="1"/>
  <c r="J3300" i="1"/>
  <c r="J3299" i="1"/>
  <c r="J3298" i="1"/>
  <c r="J3281" i="1"/>
  <c r="J3279" i="1"/>
  <c r="J3278" i="1"/>
  <c r="J3297" i="1"/>
  <c r="J3304" i="1"/>
  <c r="J3303" i="1"/>
  <c r="J3293" i="1"/>
  <c r="J3290" i="1"/>
  <c r="J3289" i="1"/>
  <c r="J3288" i="1"/>
  <c r="J3286" i="1"/>
  <c r="J3285" i="1"/>
  <c r="J3284" i="1"/>
  <c r="J3283" i="1"/>
  <c r="J3277" i="1"/>
  <c r="J3274" i="1"/>
  <c r="J3273" i="1"/>
  <c r="J3272" i="1"/>
  <c r="J3271" i="1"/>
  <c r="J3270" i="1"/>
  <c r="J3269" i="1"/>
  <c r="J3265" i="1"/>
  <c r="BE45" i="7"/>
  <c r="BE42" i="7"/>
  <c r="BE41" i="7"/>
  <c r="BF40" i="7"/>
  <c r="BE39" i="7"/>
  <c r="BE38" i="7"/>
  <c r="BF35" i="7"/>
  <c r="BE35" i="7" s="1"/>
  <c r="BF34" i="7"/>
  <c r="BE34" i="7" s="1"/>
  <c r="BF33" i="7"/>
  <c r="BE33" i="7" s="1"/>
  <c r="BF32" i="7"/>
  <c r="BE32" i="7" s="1"/>
  <c r="BF31" i="7"/>
  <c r="BE30" i="7"/>
  <c r="BF27" i="7"/>
  <c r="BE27" i="7" s="1"/>
  <c r="BF26" i="7"/>
  <c r="BE26" i="7" s="1"/>
  <c r="BF24" i="7"/>
  <c r="BF25" i="7"/>
  <c r="BE25" i="7" s="1"/>
  <c r="BA25" i="7"/>
  <c r="BB25" i="7"/>
  <c r="BC25" i="7"/>
  <c r="BF22" i="7"/>
  <c r="BF21" i="7"/>
  <c r="BE21" i="7" s="1"/>
  <c r="BF20" i="7"/>
  <c r="BE20" i="7" s="1"/>
  <c r="BF19" i="7"/>
  <c r="BE18" i="7"/>
  <c r="BF17" i="7"/>
  <c r="BE11" i="7"/>
  <c r="BE10" i="7"/>
  <c r="BF9" i="7"/>
  <c r="BE9" i="7" s="1"/>
  <c r="BE8" i="7"/>
  <c r="BE7" i="7"/>
  <c r="BE29" i="7"/>
  <c r="BE44" i="7"/>
  <c r="BE43" i="7"/>
  <c r="H1569" i="8"/>
  <c r="H1568" i="8"/>
  <c r="H1567" i="8"/>
  <c r="H1566" i="8"/>
  <c r="H1571" i="8"/>
  <c r="H1572" i="8"/>
  <c r="H1573" i="8"/>
  <c r="H1574" i="8"/>
  <c r="H1575" i="8"/>
  <c r="H1576" i="8"/>
  <c r="H1577" i="8"/>
  <c r="H1578" i="8"/>
  <c r="H1579" i="8"/>
  <c r="I1702" i="8" l="1"/>
  <c r="I1708" i="8"/>
  <c r="BF23" i="7"/>
  <c r="BE40" i="7"/>
  <c r="BF36" i="7"/>
  <c r="BE17" i="7"/>
  <c r="BF15" i="7"/>
  <c r="BE31" i="7"/>
  <c r="BE28" i="7" s="1"/>
  <c r="BF28" i="7"/>
  <c r="BF13" i="7"/>
  <c r="BE47" i="7"/>
  <c r="BE46" i="7" s="1"/>
  <c r="BE37" i="7"/>
  <c r="BE22" i="7"/>
  <c r="BE24" i="7"/>
  <c r="BE16" i="7"/>
  <c r="BE19" i="7"/>
  <c r="E3249" i="1"/>
  <c r="F3249" i="1"/>
  <c r="W3249" i="1"/>
  <c r="AJ3249" i="1"/>
  <c r="E3250" i="1"/>
  <c r="F3250" i="1"/>
  <c r="W3250" i="1"/>
  <c r="AJ3250" i="1"/>
  <c r="E3251" i="1"/>
  <c r="F3251" i="1"/>
  <c r="J3251" i="1"/>
  <c r="W3251" i="1"/>
  <c r="AJ3251" i="1"/>
  <c r="E3252" i="1"/>
  <c r="F3252" i="1"/>
  <c r="W3252" i="1"/>
  <c r="AJ3252" i="1"/>
  <c r="E3253" i="1"/>
  <c r="F3253" i="1"/>
  <c r="W3253" i="1"/>
  <c r="AJ3253" i="1"/>
  <c r="E3254" i="1"/>
  <c r="F3254" i="1"/>
  <c r="W3254" i="1"/>
  <c r="AJ3254" i="1"/>
  <c r="E3255" i="1"/>
  <c r="F3255" i="1"/>
  <c r="W3255" i="1"/>
  <c r="AJ3255" i="1"/>
  <c r="E3256" i="1"/>
  <c r="F3256" i="1"/>
  <c r="W3256" i="1"/>
  <c r="AJ3256" i="1"/>
  <c r="E3257" i="1"/>
  <c r="F3257" i="1"/>
  <c r="W3257" i="1"/>
  <c r="AJ3257" i="1"/>
  <c r="E3258" i="1"/>
  <c r="F3258" i="1"/>
  <c r="J3258" i="1"/>
  <c r="W3258" i="1"/>
  <c r="AJ3258" i="1"/>
  <c r="BF48" i="7" l="1"/>
  <c r="BF49" i="7" s="1"/>
  <c r="BE36" i="7"/>
  <c r="BE15" i="7"/>
  <c r="J3252" i="1"/>
  <c r="J3257" i="1"/>
  <c r="J3256" i="1"/>
  <c r="J3253" i="1"/>
  <c r="J3255" i="1"/>
  <c r="J3254" i="1"/>
  <c r="J3250" i="1"/>
  <c r="J3249" i="1"/>
  <c r="BE23" i="7"/>
  <c r="AX3241" i="1"/>
  <c r="E3240" i="1"/>
  <c r="F3240" i="1"/>
  <c r="W3240" i="1"/>
  <c r="AJ3240" i="1"/>
  <c r="E3241" i="1"/>
  <c r="F3241" i="1"/>
  <c r="W3241" i="1"/>
  <c r="AJ3241" i="1"/>
  <c r="E3242" i="1"/>
  <c r="F3242" i="1"/>
  <c r="W3242" i="1"/>
  <c r="AJ3242" i="1"/>
  <c r="E3243" i="1"/>
  <c r="F3243" i="1"/>
  <c r="W3243" i="1"/>
  <c r="AJ3243" i="1"/>
  <c r="E3245" i="1"/>
  <c r="F3245" i="1"/>
  <c r="W3245" i="1"/>
  <c r="AJ3245" i="1"/>
  <c r="E3247" i="1"/>
  <c r="F3247" i="1"/>
  <c r="W3247" i="1"/>
  <c r="AJ3247" i="1"/>
  <c r="E3248" i="1"/>
  <c r="F3248" i="1"/>
  <c r="W3248" i="1"/>
  <c r="AJ3248" i="1"/>
  <c r="J3243" i="1" l="1"/>
  <c r="J3242" i="1"/>
  <c r="J3245" i="1"/>
  <c r="BE48" i="7"/>
  <c r="J3248" i="1"/>
  <c r="J3247" i="1"/>
  <c r="J3241" i="1"/>
  <c r="J3240" i="1"/>
  <c r="H1544" i="8"/>
  <c r="H1545" i="8"/>
  <c r="H1553" i="8"/>
  <c r="H1554" i="8"/>
  <c r="H1555" i="8"/>
  <c r="H1556" i="8"/>
  <c r="H1557" i="8"/>
  <c r="H1558" i="8"/>
  <c r="H1559" i="8"/>
  <c r="H1560" i="8"/>
  <c r="H1552" i="8"/>
  <c r="H1547" i="8"/>
  <c r="H1548" i="8"/>
  <c r="H1549" i="8"/>
  <c r="H1550" i="8"/>
  <c r="H1546" i="8"/>
  <c r="H1533" i="8" l="1"/>
  <c r="H1565" i="8" l="1"/>
  <c r="H1563" i="8"/>
  <c r="H1562" i="8"/>
  <c r="H1561" i="8"/>
  <c r="H1551" i="8"/>
  <c r="H1539" i="8"/>
  <c r="H1540" i="8"/>
  <c r="H1541" i="8"/>
  <c r="H1542" i="8"/>
  <c r="H1543" i="8"/>
  <c r="H1521" i="8" l="1"/>
  <c r="H1522" i="8"/>
  <c r="H1523" i="8"/>
  <c r="H1524" i="8"/>
  <c r="H1525" i="8"/>
  <c r="H1526" i="8"/>
  <c r="H1527" i="8"/>
  <c r="H1528" i="8"/>
  <c r="H1529" i="8"/>
  <c r="H1530" i="8"/>
  <c r="H1531" i="8"/>
  <c r="H1532" i="8"/>
  <c r="H1534" i="8"/>
  <c r="H1535" i="8"/>
  <c r="H1536" i="8"/>
  <c r="H1537" i="8"/>
  <c r="H1538" i="8"/>
  <c r="H1513" i="8"/>
  <c r="H1515" i="8"/>
  <c r="AX3234" i="1" l="1"/>
  <c r="E3230" i="1"/>
  <c r="F3230" i="1"/>
  <c r="W3230" i="1"/>
  <c r="AJ3230" i="1"/>
  <c r="E3231" i="1"/>
  <c r="F3231" i="1"/>
  <c r="W3231" i="1"/>
  <c r="AJ3231" i="1"/>
  <c r="E3232" i="1"/>
  <c r="F3232" i="1"/>
  <c r="W3232" i="1"/>
  <c r="AJ3232" i="1"/>
  <c r="E3233" i="1"/>
  <c r="F3233" i="1"/>
  <c r="W3233" i="1"/>
  <c r="AJ3233" i="1"/>
  <c r="E3234" i="1"/>
  <c r="F3234" i="1"/>
  <c r="W3234" i="1"/>
  <c r="AJ3234" i="1"/>
  <c r="E3235" i="1"/>
  <c r="F3235" i="1"/>
  <c r="W3235" i="1"/>
  <c r="AJ3235" i="1"/>
  <c r="E3236" i="1"/>
  <c r="F3236" i="1"/>
  <c r="J3236" i="1"/>
  <c r="W3236" i="1"/>
  <c r="AJ3236" i="1"/>
  <c r="E3237" i="1"/>
  <c r="F3237" i="1"/>
  <c r="W3237" i="1"/>
  <c r="AJ3237" i="1"/>
  <c r="E3238" i="1"/>
  <c r="F3238" i="1"/>
  <c r="J3238" i="1"/>
  <c r="W3238" i="1"/>
  <c r="AJ3238" i="1"/>
  <c r="E3239" i="1"/>
  <c r="F3239" i="1"/>
  <c r="W3239" i="1"/>
  <c r="AJ3239" i="1"/>
  <c r="AJ3218" i="1"/>
  <c r="W3218" i="1"/>
  <c r="F3218" i="1"/>
  <c r="E3218" i="1"/>
  <c r="E3222" i="1"/>
  <c r="F3222" i="1"/>
  <c r="J3222" i="1"/>
  <c r="W3222" i="1"/>
  <c r="AJ3222" i="1"/>
  <c r="E3223" i="1"/>
  <c r="F3223" i="1"/>
  <c r="W3223" i="1"/>
  <c r="AJ3223" i="1"/>
  <c r="E3224" i="1"/>
  <c r="F3224" i="1"/>
  <c r="J3224" i="1"/>
  <c r="W3224" i="1"/>
  <c r="AJ3224" i="1"/>
  <c r="E3225" i="1"/>
  <c r="F3225" i="1"/>
  <c r="W3225" i="1"/>
  <c r="AJ3225" i="1"/>
  <c r="E3226" i="1"/>
  <c r="F3226" i="1"/>
  <c r="J3226" i="1"/>
  <c r="W3226" i="1"/>
  <c r="AJ3226" i="1"/>
  <c r="E3227" i="1"/>
  <c r="F3227" i="1"/>
  <c r="J3227" i="1"/>
  <c r="W3227" i="1"/>
  <c r="AJ3227" i="1"/>
  <c r="E3228" i="1"/>
  <c r="F3228" i="1"/>
  <c r="W3228" i="1"/>
  <c r="AJ3228" i="1"/>
  <c r="E3229" i="1"/>
  <c r="F3229" i="1"/>
  <c r="J3229" i="1"/>
  <c r="W3229" i="1"/>
  <c r="AJ3229" i="1"/>
  <c r="E3210" i="1"/>
  <c r="F3210" i="1"/>
  <c r="W3210" i="1"/>
  <c r="AJ3210" i="1"/>
  <c r="E3211" i="1"/>
  <c r="F3211" i="1"/>
  <c r="J3211" i="1"/>
  <c r="W3211" i="1"/>
  <c r="AJ3211" i="1"/>
  <c r="E3212" i="1"/>
  <c r="F3212" i="1"/>
  <c r="J3212" i="1"/>
  <c r="W3212" i="1"/>
  <c r="AJ3212" i="1"/>
  <c r="E3213" i="1"/>
  <c r="F3213" i="1"/>
  <c r="W3213" i="1"/>
  <c r="AJ3213" i="1"/>
  <c r="E3214" i="1"/>
  <c r="F3214" i="1"/>
  <c r="W3214" i="1"/>
  <c r="AJ3214" i="1"/>
  <c r="E3215" i="1"/>
  <c r="F3215" i="1"/>
  <c r="W3215" i="1"/>
  <c r="AJ3215" i="1"/>
  <c r="E3216" i="1"/>
  <c r="F3216" i="1"/>
  <c r="J3216" i="1"/>
  <c r="W3216" i="1"/>
  <c r="AJ3216" i="1"/>
  <c r="E3217" i="1"/>
  <c r="F3217" i="1"/>
  <c r="W3217" i="1"/>
  <c r="AJ3217" i="1"/>
  <c r="E3219" i="1"/>
  <c r="F3219" i="1"/>
  <c r="W3219" i="1"/>
  <c r="AJ3219" i="1"/>
  <c r="E3220" i="1"/>
  <c r="F3220" i="1"/>
  <c r="W3220" i="1"/>
  <c r="AJ3220" i="1"/>
  <c r="E3221" i="1"/>
  <c r="F3221" i="1"/>
  <c r="W3221" i="1"/>
  <c r="AJ3221" i="1"/>
  <c r="AJ3198" i="1"/>
  <c r="E3200" i="1"/>
  <c r="F3200" i="1"/>
  <c r="J3200" i="1"/>
  <c r="W3200" i="1"/>
  <c r="AJ3200" i="1"/>
  <c r="E3201" i="1"/>
  <c r="F3201" i="1"/>
  <c r="J3201" i="1"/>
  <c r="W3201" i="1"/>
  <c r="AJ3201" i="1"/>
  <c r="E3202" i="1"/>
  <c r="F3202" i="1"/>
  <c r="W3202" i="1"/>
  <c r="AJ3202" i="1"/>
  <c r="E3203" i="1"/>
  <c r="F3203" i="1"/>
  <c r="J3203" i="1"/>
  <c r="W3203" i="1"/>
  <c r="AJ3203" i="1"/>
  <c r="E3204" i="1"/>
  <c r="F3204" i="1"/>
  <c r="W3204" i="1"/>
  <c r="AJ3204" i="1"/>
  <c r="E3205" i="1"/>
  <c r="F3205" i="1"/>
  <c r="W3205" i="1"/>
  <c r="AJ3205" i="1"/>
  <c r="E3206" i="1"/>
  <c r="F3206" i="1"/>
  <c r="W3206" i="1"/>
  <c r="AJ3206" i="1"/>
  <c r="E3207" i="1"/>
  <c r="F3207" i="1"/>
  <c r="W3207" i="1"/>
  <c r="AJ3207" i="1"/>
  <c r="E3208" i="1"/>
  <c r="F3208" i="1"/>
  <c r="W3208" i="1"/>
  <c r="AJ3208" i="1"/>
  <c r="E3209" i="1"/>
  <c r="F3209" i="1"/>
  <c r="W3209" i="1"/>
  <c r="AJ3209" i="1"/>
  <c r="E3178" i="1"/>
  <c r="F3178" i="1"/>
  <c r="J3178" i="1"/>
  <c r="W3178" i="1"/>
  <c r="AJ3178" i="1"/>
  <c r="E3179" i="1"/>
  <c r="F3179" i="1"/>
  <c r="J3179" i="1"/>
  <c r="W3179" i="1"/>
  <c r="AJ3179" i="1"/>
  <c r="E3180" i="1"/>
  <c r="F3180" i="1"/>
  <c r="J3180" i="1"/>
  <c r="W3180" i="1"/>
  <c r="AJ3180" i="1"/>
  <c r="E3181" i="1"/>
  <c r="F3181" i="1"/>
  <c r="W3181" i="1"/>
  <c r="AJ3181" i="1"/>
  <c r="E3182" i="1"/>
  <c r="F3182" i="1"/>
  <c r="W3182" i="1"/>
  <c r="AJ3182" i="1"/>
  <c r="E3183" i="1"/>
  <c r="F3183" i="1"/>
  <c r="J3183" i="1"/>
  <c r="W3183" i="1"/>
  <c r="AJ3183" i="1"/>
  <c r="E3184" i="1"/>
  <c r="F3184" i="1"/>
  <c r="W3184" i="1"/>
  <c r="AJ3184" i="1"/>
  <c r="E3185" i="1"/>
  <c r="F3185" i="1"/>
  <c r="W3185" i="1"/>
  <c r="AJ3185" i="1"/>
  <c r="E3186" i="1"/>
  <c r="F3186" i="1"/>
  <c r="J3186" i="1"/>
  <c r="W3186" i="1"/>
  <c r="AJ3186" i="1"/>
  <c r="E3187" i="1"/>
  <c r="F3187" i="1"/>
  <c r="W3187" i="1"/>
  <c r="AJ3187" i="1"/>
  <c r="E3188" i="1"/>
  <c r="F3188" i="1"/>
  <c r="W3188" i="1"/>
  <c r="AJ3188" i="1"/>
  <c r="E3189" i="1"/>
  <c r="F3189" i="1"/>
  <c r="W3189" i="1"/>
  <c r="AJ3189" i="1"/>
  <c r="E3190" i="1"/>
  <c r="F3190" i="1"/>
  <c r="J3190" i="1"/>
  <c r="W3190" i="1"/>
  <c r="AJ3190" i="1"/>
  <c r="E3191" i="1"/>
  <c r="F3191" i="1"/>
  <c r="W3191" i="1"/>
  <c r="AJ3191" i="1"/>
  <c r="E3192" i="1"/>
  <c r="F3192" i="1"/>
  <c r="W3192" i="1"/>
  <c r="AJ3192" i="1"/>
  <c r="E3193" i="1"/>
  <c r="F3193" i="1"/>
  <c r="W3193" i="1"/>
  <c r="AJ3193" i="1"/>
  <c r="E3194" i="1"/>
  <c r="F3194" i="1"/>
  <c r="W3194" i="1"/>
  <c r="AJ3194" i="1"/>
  <c r="E3195" i="1"/>
  <c r="F3195" i="1"/>
  <c r="W3195" i="1"/>
  <c r="AJ3195" i="1"/>
  <c r="E3196" i="1"/>
  <c r="F3196" i="1"/>
  <c r="W3196" i="1"/>
  <c r="AJ3196" i="1"/>
  <c r="E3197" i="1"/>
  <c r="F3197" i="1"/>
  <c r="J3197" i="1"/>
  <c r="W3197" i="1"/>
  <c r="AJ3197" i="1"/>
  <c r="E3198" i="1"/>
  <c r="F3198" i="1"/>
  <c r="J3198" i="1"/>
  <c r="W3198" i="1"/>
  <c r="E3199" i="1"/>
  <c r="F3199" i="1"/>
  <c r="J3199" i="1"/>
  <c r="W3199" i="1"/>
  <c r="AJ3199" i="1"/>
  <c r="J3218" i="1" l="1"/>
  <c r="J3239" i="1"/>
  <c r="J3235" i="1"/>
  <c r="J3237" i="1"/>
  <c r="J3228" i="1"/>
  <c r="J3225" i="1"/>
  <c r="J3234" i="1"/>
  <c r="J3233" i="1"/>
  <c r="J3232" i="1"/>
  <c r="J3187" i="1"/>
  <c r="J3185" i="1"/>
  <c r="J3184" i="1"/>
  <c r="J3209" i="1"/>
  <c r="J3208" i="1"/>
  <c r="J3220" i="1"/>
  <c r="J3219" i="1"/>
  <c r="J3217" i="1"/>
  <c r="J3191" i="1"/>
  <c r="J3202" i="1"/>
  <c r="J3221" i="1"/>
  <c r="J3196" i="1"/>
  <c r="J3195" i="1"/>
  <c r="J3194" i="1"/>
  <c r="J3193" i="1"/>
  <c r="J3192" i="1"/>
  <c r="J3189" i="1"/>
  <c r="J3188" i="1"/>
  <c r="J3207" i="1"/>
  <c r="J3206" i="1"/>
  <c r="J3205" i="1"/>
  <c r="J3204" i="1"/>
  <c r="J3215" i="1"/>
  <c r="J3214" i="1"/>
  <c r="J3213" i="1"/>
  <c r="J3210" i="1"/>
  <c r="J3223" i="1"/>
  <c r="J3231" i="1"/>
  <c r="J3230" i="1"/>
  <c r="J3182" i="1"/>
  <c r="J3181" i="1"/>
  <c r="AY3170" i="1" l="1"/>
  <c r="E3172" i="1"/>
  <c r="F3172" i="1"/>
  <c r="W3172" i="1"/>
  <c r="AJ3172" i="1"/>
  <c r="E3173" i="1"/>
  <c r="F3173" i="1"/>
  <c r="J3173" i="1"/>
  <c r="W3173" i="1"/>
  <c r="AJ3173" i="1"/>
  <c r="E3174" i="1"/>
  <c r="F3174" i="1"/>
  <c r="W3174" i="1"/>
  <c r="AJ3174" i="1"/>
  <c r="E3175" i="1"/>
  <c r="F3175" i="1"/>
  <c r="W3175" i="1"/>
  <c r="AJ3175" i="1"/>
  <c r="E3176" i="1"/>
  <c r="F3176" i="1"/>
  <c r="W3176" i="1"/>
  <c r="AJ3176" i="1"/>
  <c r="E3177" i="1"/>
  <c r="F3177" i="1"/>
  <c r="J3177" i="1"/>
  <c r="W3177" i="1"/>
  <c r="AJ3177" i="1"/>
  <c r="E3159" i="1"/>
  <c r="F3159" i="1"/>
  <c r="W3159" i="1"/>
  <c r="AJ3159" i="1"/>
  <c r="E3160" i="1"/>
  <c r="F3160" i="1"/>
  <c r="W3160" i="1"/>
  <c r="AJ3160" i="1"/>
  <c r="E3161" i="1"/>
  <c r="F3161" i="1"/>
  <c r="J3161" i="1"/>
  <c r="W3161" i="1"/>
  <c r="AJ3161" i="1"/>
  <c r="E3162" i="1"/>
  <c r="F3162" i="1"/>
  <c r="J3162" i="1"/>
  <c r="W3162" i="1"/>
  <c r="AJ3162" i="1"/>
  <c r="E3163" i="1"/>
  <c r="F3163" i="1"/>
  <c r="J3163" i="1"/>
  <c r="W3163" i="1"/>
  <c r="AJ3163" i="1"/>
  <c r="E3164" i="1"/>
  <c r="F3164" i="1"/>
  <c r="W3164" i="1"/>
  <c r="AJ3164" i="1"/>
  <c r="E3165" i="1"/>
  <c r="F3165" i="1"/>
  <c r="W3165" i="1"/>
  <c r="AJ3165" i="1"/>
  <c r="E3166" i="1"/>
  <c r="F3166" i="1"/>
  <c r="W3166" i="1"/>
  <c r="AJ3166" i="1"/>
  <c r="E3167" i="1"/>
  <c r="F3167" i="1"/>
  <c r="W3167" i="1"/>
  <c r="AJ3167" i="1"/>
  <c r="E3168" i="1"/>
  <c r="F3168" i="1"/>
  <c r="W3168" i="1"/>
  <c r="AJ3168" i="1"/>
  <c r="E3169" i="1"/>
  <c r="F3169" i="1"/>
  <c r="J3169" i="1"/>
  <c r="W3169" i="1"/>
  <c r="AJ3169" i="1"/>
  <c r="E3170" i="1"/>
  <c r="F3170" i="1"/>
  <c r="J3170" i="1"/>
  <c r="W3170" i="1"/>
  <c r="AJ3170" i="1"/>
  <c r="E3171" i="1"/>
  <c r="F3171" i="1"/>
  <c r="W3171" i="1"/>
  <c r="AJ3171" i="1"/>
  <c r="E3149" i="1"/>
  <c r="F3149" i="1"/>
  <c r="W3149" i="1"/>
  <c r="AJ3149" i="1"/>
  <c r="E3150" i="1"/>
  <c r="F3150" i="1"/>
  <c r="W3150" i="1"/>
  <c r="AJ3150" i="1"/>
  <c r="E3151" i="1"/>
  <c r="F3151" i="1"/>
  <c r="W3151" i="1"/>
  <c r="AJ3151" i="1"/>
  <c r="E3152" i="1"/>
  <c r="F3152" i="1"/>
  <c r="W3152" i="1"/>
  <c r="AJ3152" i="1"/>
  <c r="E3153" i="1"/>
  <c r="F3153" i="1"/>
  <c r="W3153" i="1"/>
  <c r="AJ3153" i="1"/>
  <c r="E3154" i="1"/>
  <c r="F3154" i="1"/>
  <c r="W3154" i="1"/>
  <c r="AJ3154" i="1"/>
  <c r="E3155" i="1"/>
  <c r="F3155" i="1"/>
  <c r="W3155" i="1"/>
  <c r="AJ3155" i="1"/>
  <c r="E3156" i="1"/>
  <c r="F3156" i="1"/>
  <c r="W3156" i="1"/>
  <c r="AJ3156" i="1"/>
  <c r="E3157" i="1"/>
  <c r="F3157" i="1"/>
  <c r="W3157" i="1"/>
  <c r="AJ3157" i="1"/>
  <c r="E3158" i="1"/>
  <c r="F3158" i="1"/>
  <c r="W3158" i="1"/>
  <c r="AJ3158" i="1"/>
  <c r="AY3125" i="1"/>
  <c r="E3129" i="1"/>
  <c r="F3129" i="1"/>
  <c r="W3129" i="1"/>
  <c r="AJ3129" i="1"/>
  <c r="E3130" i="1"/>
  <c r="F3130" i="1"/>
  <c r="W3130" i="1"/>
  <c r="AJ3130" i="1"/>
  <c r="E3131" i="1"/>
  <c r="F3131" i="1"/>
  <c r="W3131" i="1"/>
  <c r="AJ3131" i="1"/>
  <c r="E3132" i="1"/>
  <c r="F3132" i="1"/>
  <c r="W3132" i="1"/>
  <c r="AJ3132" i="1"/>
  <c r="E3133" i="1"/>
  <c r="F3133" i="1"/>
  <c r="W3133" i="1"/>
  <c r="AJ3133" i="1"/>
  <c r="E3134" i="1"/>
  <c r="F3134" i="1"/>
  <c r="W3134" i="1"/>
  <c r="AJ3134" i="1"/>
  <c r="E3135" i="1"/>
  <c r="F3135" i="1"/>
  <c r="W3135" i="1"/>
  <c r="AJ3135" i="1"/>
  <c r="E3136" i="1"/>
  <c r="F3136" i="1"/>
  <c r="W3136" i="1"/>
  <c r="AJ3136" i="1"/>
  <c r="E3137" i="1"/>
  <c r="F3137" i="1"/>
  <c r="W3137" i="1"/>
  <c r="AJ3137" i="1"/>
  <c r="E3138" i="1"/>
  <c r="F3138" i="1"/>
  <c r="W3138" i="1"/>
  <c r="AJ3138" i="1"/>
  <c r="E3139" i="1"/>
  <c r="F3139" i="1"/>
  <c r="W3139" i="1"/>
  <c r="AJ3139" i="1"/>
  <c r="E3140" i="1"/>
  <c r="F3140" i="1"/>
  <c r="W3140" i="1"/>
  <c r="AJ3140" i="1"/>
  <c r="E3141" i="1"/>
  <c r="F3141" i="1"/>
  <c r="J3141" i="1"/>
  <c r="W3141" i="1"/>
  <c r="AJ3141" i="1"/>
  <c r="E3142" i="1"/>
  <c r="F3142" i="1"/>
  <c r="J3142" i="1"/>
  <c r="W3142" i="1"/>
  <c r="AJ3142" i="1"/>
  <c r="E3143" i="1"/>
  <c r="F3143" i="1"/>
  <c r="W3143" i="1"/>
  <c r="AJ3143" i="1"/>
  <c r="E3144" i="1"/>
  <c r="F3144" i="1"/>
  <c r="W3144" i="1"/>
  <c r="AJ3144" i="1"/>
  <c r="E3145" i="1"/>
  <c r="F3145" i="1"/>
  <c r="J3145" i="1"/>
  <c r="W3145" i="1"/>
  <c r="AJ3145" i="1"/>
  <c r="E3146" i="1"/>
  <c r="F3146" i="1"/>
  <c r="J3146" i="1"/>
  <c r="W3146" i="1"/>
  <c r="AJ3146" i="1"/>
  <c r="E3147" i="1"/>
  <c r="F3147" i="1"/>
  <c r="W3147" i="1"/>
  <c r="AJ3147" i="1"/>
  <c r="E3148" i="1"/>
  <c r="F3148" i="1"/>
  <c r="W3148" i="1"/>
  <c r="AJ3148" i="1"/>
  <c r="J3176" i="1" l="1"/>
  <c r="J3175" i="1"/>
  <c r="J3171" i="1"/>
  <c r="J3174" i="1"/>
  <c r="J3172" i="1"/>
  <c r="J3144" i="1"/>
  <c r="J3143" i="1"/>
  <c r="J3140" i="1"/>
  <c r="J3138" i="1"/>
  <c r="J3137" i="1"/>
  <c r="J3148" i="1"/>
  <c r="J3147" i="1"/>
  <c r="J3134" i="1"/>
  <c r="J3133" i="1"/>
  <c r="J3132" i="1"/>
  <c r="J3150" i="1"/>
  <c r="J3149" i="1"/>
  <c r="J3166" i="1"/>
  <c r="J3165" i="1"/>
  <c r="J3160" i="1"/>
  <c r="J3159" i="1"/>
  <c r="J3131" i="1"/>
  <c r="J3130" i="1"/>
  <c r="J3129" i="1"/>
  <c r="J3139" i="1"/>
  <c r="J3158" i="1"/>
  <c r="J3157" i="1"/>
  <c r="J3156" i="1"/>
  <c r="J3155" i="1"/>
  <c r="J3154" i="1"/>
  <c r="J3153" i="1"/>
  <c r="J3151" i="1"/>
  <c r="J3168" i="1"/>
  <c r="J3167" i="1"/>
  <c r="J3164" i="1"/>
  <c r="J3152" i="1"/>
  <c r="J3136" i="1"/>
  <c r="J3135" i="1"/>
  <c r="H1485" i="8"/>
  <c r="H1484" i="8"/>
  <c r="H1483" i="8"/>
  <c r="H1482" i="8"/>
  <c r="H1479" i="8"/>
  <c r="H1478" i="8"/>
  <c r="H1486" i="8"/>
  <c r="H1481" i="8"/>
  <c r="H1480" i="8"/>
  <c r="H1477" i="8"/>
  <c r="H1476" i="8"/>
  <c r="H1475" i="8"/>
  <c r="H1474" i="8"/>
  <c r="AX3118" i="1" l="1"/>
  <c r="E3113" i="1"/>
  <c r="F3113" i="1"/>
  <c r="W3113" i="1"/>
  <c r="AJ3113" i="1"/>
  <c r="E3114" i="1"/>
  <c r="F3114" i="1"/>
  <c r="W3114" i="1"/>
  <c r="AJ3114" i="1"/>
  <c r="E3115" i="1"/>
  <c r="F3115" i="1"/>
  <c r="W3115" i="1"/>
  <c r="AJ3115" i="1"/>
  <c r="E3116" i="1"/>
  <c r="F3116" i="1"/>
  <c r="W3116" i="1"/>
  <c r="AJ3116" i="1"/>
  <c r="E3117" i="1"/>
  <c r="F3117" i="1"/>
  <c r="W3117" i="1"/>
  <c r="AJ3117" i="1"/>
  <c r="E3118" i="1"/>
  <c r="F3118" i="1"/>
  <c r="W3118" i="1"/>
  <c r="AJ3118" i="1"/>
  <c r="E3119" i="1"/>
  <c r="F3119" i="1"/>
  <c r="W3119" i="1"/>
  <c r="AJ3119" i="1"/>
  <c r="E3120" i="1"/>
  <c r="F3120" i="1"/>
  <c r="W3120" i="1"/>
  <c r="AJ3120" i="1"/>
  <c r="E3121" i="1"/>
  <c r="F3121" i="1"/>
  <c r="W3121" i="1"/>
  <c r="AJ3121" i="1"/>
  <c r="E3122" i="1"/>
  <c r="F3122" i="1"/>
  <c r="W3122" i="1"/>
  <c r="AJ3122" i="1"/>
  <c r="E3123" i="1"/>
  <c r="F3123" i="1"/>
  <c r="J3123" i="1"/>
  <c r="W3123" i="1"/>
  <c r="AJ3123" i="1"/>
  <c r="E3124" i="1"/>
  <c r="F3124" i="1"/>
  <c r="W3124" i="1"/>
  <c r="AJ3124" i="1"/>
  <c r="E3125" i="1"/>
  <c r="F3125" i="1"/>
  <c r="J3125" i="1"/>
  <c r="W3125" i="1"/>
  <c r="AJ3125" i="1"/>
  <c r="E3126" i="1"/>
  <c r="F3126" i="1"/>
  <c r="W3126" i="1"/>
  <c r="AJ3126" i="1"/>
  <c r="E3127" i="1"/>
  <c r="F3127" i="1"/>
  <c r="W3127" i="1"/>
  <c r="AJ3127" i="1"/>
  <c r="E3128" i="1"/>
  <c r="F3128" i="1"/>
  <c r="W3128" i="1"/>
  <c r="AJ3128" i="1"/>
  <c r="E3097" i="1"/>
  <c r="F3097" i="1"/>
  <c r="J3097" i="1"/>
  <c r="W3097" i="1"/>
  <c r="AJ3097" i="1"/>
  <c r="E3098" i="1"/>
  <c r="F3098" i="1"/>
  <c r="W3098" i="1"/>
  <c r="AJ3098" i="1"/>
  <c r="E3099" i="1"/>
  <c r="F3099" i="1"/>
  <c r="W3099" i="1"/>
  <c r="AJ3099" i="1"/>
  <c r="E3100" i="1"/>
  <c r="F3100" i="1"/>
  <c r="J3100" i="1"/>
  <c r="W3100" i="1"/>
  <c r="AJ3100" i="1"/>
  <c r="E3101" i="1"/>
  <c r="F3101" i="1"/>
  <c r="W3101" i="1"/>
  <c r="AJ3101" i="1"/>
  <c r="E3102" i="1"/>
  <c r="F3102" i="1"/>
  <c r="W3102" i="1"/>
  <c r="AJ3102" i="1"/>
  <c r="E3103" i="1"/>
  <c r="F3103" i="1"/>
  <c r="W3103" i="1"/>
  <c r="AJ3103" i="1"/>
  <c r="E3104" i="1"/>
  <c r="F3104" i="1"/>
  <c r="W3104" i="1"/>
  <c r="AJ3104" i="1"/>
  <c r="E3105" i="1"/>
  <c r="F3105" i="1"/>
  <c r="J3105" i="1"/>
  <c r="W3105" i="1"/>
  <c r="AJ3105" i="1"/>
  <c r="E3106" i="1"/>
  <c r="F3106" i="1"/>
  <c r="W3106" i="1"/>
  <c r="AJ3106" i="1"/>
  <c r="E3107" i="1"/>
  <c r="F3107" i="1"/>
  <c r="W3107" i="1"/>
  <c r="AJ3107" i="1"/>
  <c r="E3108" i="1"/>
  <c r="F3108" i="1"/>
  <c r="W3108" i="1"/>
  <c r="AJ3108" i="1"/>
  <c r="E3109" i="1"/>
  <c r="F3109" i="1"/>
  <c r="J3109" i="1"/>
  <c r="W3109" i="1"/>
  <c r="AJ3109" i="1"/>
  <c r="E3110" i="1"/>
  <c r="F3110" i="1"/>
  <c r="W3110" i="1"/>
  <c r="AJ3110" i="1"/>
  <c r="E3111" i="1"/>
  <c r="F3111" i="1"/>
  <c r="J3111" i="1"/>
  <c r="W3111" i="1"/>
  <c r="AJ3111" i="1"/>
  <c r="E3112" i="1"/>
  <c r="F3112" i="1"/>
  <c r="W3112" i="1"/>
  <c r="AJ3112" i="1"/>
  <c r="E3082" i="1"/>
  <c r="F3082" i="1"/>
  <c r="W3082" i="1"/>
  <c r="AJ3082" i="1"/>
  <c r="E3083" i="1"/>
  <c r="F3083" i="1"/>
  <c r="W3083" i="1"/>
  <c r="AJ3083" i="1"/>
  <c r="E3084" i="1"/>
  <c r="F3084" i="1"/>
  <c r="W3084" i="1"/>
  <c r="AJ3084" i="1"/>
  <c r="E3085" i="1"/>
  <c r="F3085" i="1"/>
  <c r="W3085" i="1"/>
  <c r="AJ3085" i="1"/>
  <c r="E3086" i="1"/>
  <c r="F3086" i="1"/>
  <c r="W3086" i="1"/>
  <c r="AJ3086" i="1"/>
  <c r="E3087" i="1"/>
  <c r="F3087" i="1"/>
  <c r="W3087" i="1"/>
  <c r="AJ3087" i="1"/>
  <c r="E3088" i="1"/>
  <c r="F3088" i="1"/>
  <c r="J3088" i="1"/>
  <c r="W3088" i="1"/>
  <c r="AJ3088" i="1"/>
  <c r="E3089" i="1"/>
  <c r="F3089" i="1"/>
  <c r="W3089" i="1"/>
  <c r="AJ3089" i="1"/>
  <c r="E3090" i="1"/>
  <c r="F3090" i="1"/>
  <c r="J3090" i="1"/>
  <c r="W3090" i="1"/>
  <c r="AJ3090" i="1"/>
  <c r="E3091" i="1"/>
  <c r="F3091" i="1"/>
  <c r="J3091" i="1"/>
  <c r="W3091" i="1"/>
  <c r="AJ3091" i="1"/>
  <c r="E3092" i="1"/>
  <c r="F3092" i="1"/>
  <c r="J3092" i="1"/>
  <c r="W3092" i="1"/>
  <c r="AJ3092" i="1"/>
  <c r="E3093" i="1"/>
  <c r="F3093" i="1"/>
  <c r="J3093" i="1"/>
  <c r="W3093" i="1"/>
  <c r="AJ3093" i="1"/>
  <c r="E3094" i="1"/>
  <c r="F3094" i="1"/>
  <c r="J3094" i="1"/>
  <c r="W3094" i="1"/>
  <c r="AJ3094" i="1"/>
  <c r="E3095" i="1"/>
  <c r="F3095" i="1"/>
  <c r="J3095" i="1"/>
  <c r="W3095" i="1"/>
  <c r="AJ3095" i="1"/>
  <c r="E3096" i="1"/>
  <c r="F3096" i="1"/>
  <c r="W3096" i="1"/>
  <c r="AJ3096" i="1"/>
  <c r="J3114" i="1" l="1"/>
  <c r="J3113" i="1"/>
  <c r="J3126" i="1"/>
  <c r="J3120" i="1"/>
  <c r="J3119" i="1"/>
  <c r="J3127" i="1"/>
  <c r="J3124" i="1"/>
  <c r="J3121" i="1"/>
  <c r="J3103" i="1"/>
  <c r="J3122" i="1"/>
  <c r="J3128" i="1"/>
  <c r="J3083" i="1"/>
  <c r="J3096" i="1"/>
  <c r="J3087" i="1"/>
  <c r="J3086" i="1"/>
  <c r="J3085" i="1"/>
  <c r="J3082" i="1"/>
  <c r="J3112" i="1"/>
  <c r="J3108" i="1"/>
  <c r="J3098" i="1"/>
  <c r="J3118" i="1"/>
  <c r="J3117" i="1"/>
  <c r="J3116" i="1"/>
  <c r="J3115" i="1"/>
  <c r="J3084" i="1"/>
  <c r="J3107" i="1"/>
  <c r="J3106" i="1"/>
  <c r="J3104" i="1"/>
  <c r="J3102" i="1"/>
  <c r="J3101" i="1"/>
  <c r="J3099" i="1"/>
  <c r="J3089" i="1"/>
  <c r="J3110" i="1"/>
  <c r="AJ3046" i="1"/>
  <c r="W3046" i="1"/>
  <c r="J3046" i="1"/>
  <c r="F3046" i="1"/>
  <c r="E3046" i="1"/>
  <c r="H1489" i="8" l="1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4" i="8"/>
  <c r="H1516" i="8"/>
  <c r="H1517" i="8"/>
  <c r="H1518" i="8"/>
  <c r="H1519" i="8"/>
  <c r="H1520" i="8"/>
  <c r="H1488" i="8"/>
  <c r="H1487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AX33" i="7"/>
  <c r="H1365" i="8"/>
  <c r="I1394" i="8"/>
  <c r="I1569" i="8" l="1"/>
  <c r="K1526" i="8"/>
  <c r="I1552" i="8"/>
  <c r="I1518" i="8"/>
  <c r="I1494" i="8"/>
  <c r="I1476" i="8"/>
  <c r="AX3062" i="1" l="1"/>
  <c r="E3059" i="1"/>
  <c r="E2995" i="1" l="1"/>
  <c r="F2995" i="1"/>
  <c r="W2995" i="1"/>
  <c r="AJ2995" i="1"/>
  <c r="E2996" i="1"/>
  <c r="F2996" i="1"/>
  <c r="J2996" i="1"/>
  <c r="W2996" i="1"/>
  <c r="AJ2996" i="1"/>
  <c r="E2997" i="1"/>
  <c r="F2997" i="1"/>
  <c r="J2997" i="1"/>
  <c r="W2997" i="1"/>
  <c r="AJ2997" i="1"/>
  <c r="E2998" i="1"/>
  <c r="F2998" i="1"/>
  <c r="W2998" i="1"/>
  <c r="AJ2998" i="1"/>
  <c r="E2999" i="1"/>
  <c r="F2999" i="1"/>
  <c r="W2999" i="1"/>
  <c r="AJ2999" i="1"/>
  <c r="E3000" i="1"/>
  <c r="F3000" i="1"/>
  <c r="J3000" i="1"/>
  <c r="W3000" i="1"/>
  <c r="AJ3000" i="1"/>
  <c r="E3001" i="1"/>
  <c r="F3001" i="1"/>
  <c r="W3001" i="1"/>
  <c r="AJ3001" i="1"/>
  <c r="E3002" i="1"/>
  <c r="F3002" i="1"/>
  <c r="W3002" i="1"/>
  <c r="AJ3002" i="1"/>
  <c r="E3003" i="1"/>
  <c r="F3003" i="1"/>
  <c r="W3003" i="1"/>
  <c r="AJ3003" i="1"/>
  <c r="E3004" i="1"/>
  <c r="F3004" i="1"/>
  <c r="W3004" i="1"/>
  <c r="AJ3004" i="1"/>
  <c r="E3005" i="1"/>
  <c r="F3005" i="1"/>
  <c r="W3005" i="1"/>
  <c r="AJ3005" i="1"/>
  <c r="E3006" i="1"/>
  <c r="F3006" i="1"/>
  <c r="W3006" i="1"/>
  <c r="AJ3006" i="1"/>
  <c r="E3007" i="1"/>
  <c r="F3007" i="1"/>
  <c r="W3007" i="1"/>
  <c r="AJ3007" i="1"/>
  <c r="E3008" i="1"/>
  <c r="F3008" i="1"/>
  <c r="W3008" i="1"/>
  <c r="AJ3008" i="1"/>
  <c r="E3009" i="1"/>
  <c r="F3009" i="1"/>
  <c r="W3009" i="1"/>
  <c r="AJ3009" i="1"/>
  <c r="E3010" i="1"/>
  <c r="F3010" i="1"/>
  <c r="W3010" i="1"/>
  <c r="AJ3010" i="1"/>
  <c r="E3011" i="1"/>
  <c r="F3011" i="1"/>
  <c r="W3011" i="1"/>
  <c r="AJ3011" i="1"/>
  <c r="E3012" i="1"/>
  <c r="F3012" i="1"/>
  <c r="J3012" i="1"/>
  <c r="W3012" i="1"/>
  <c r="AJ3012" i="1"/>
  <c r="E3013" i="1"/>
  <c r="F3013" i="1"/>
  <c r="W3013" i="1"/>
  <c r="AJ3013" i="1"/>
  <c r="E3014" i="1"/>
  <c r="F3014" i="1"/>
  <c r="W3014" i="1"/>
  <c r="AJ3014" i="1"/>
  <c r="E3015" i="1"/>
  <c r="F3015" i="1"/>
  <c r="W3015" i="1"/>
  <c r="AJ3015" i="1"/>
  <c r="E3016" i="1"/>
  <c r="F3016" i="1"/>
  <c r="W3016" i="1"/>
  <c r="AJ3016" i="1"/>
  <c r="E3017" i="1"/>
  <c r="F3017" i="1"/>
  <c r="W3017" i="1"/>
  <c r="AJ3017" i="1"/>
  <c r="E3018" i="1"/>
  <c r="F3018" i="1"/>
  <c r="W3018" i="1"/>
  <c r="AJ3018" i="1"/>
  <c r="E3019" i="1"/>
  <c r="F3019" i="1"/>
  <c r="W3019" i="1"/>
  <c r="AJ3019" i="1"/>
  <c r="E3020" i="1"/>
  <c r="F3020" i="1"/>
  <c r="W3020" i="1"/>
  <c r="AJ3020" i="1"/>
  <c r="E3021" i="1"/>
  <c r="F3021" i="1"/>
  <c r="W3021" i="1"/>
  <c r="AJ3021" i="1"/>
  <c r="E3022" i="1"/>
  <c r="F3022" i="1"/>
  <c r="W3022" i="1"/>
  <c r="AJ3022" i="1"/>
  <c r="E3023" i="1"/>
  <c r="F3023" i="1"/>
  <c r="W3023" i="1"/>
  <c r="AJ3023" i="1"/>
  <c r="E3024" i="1"/>
  <c r="F3024" i="1"/>
  <c r="W3024" i="1"/>
  <c r="AJ3024" i="1"/>
  <c r="E3025" i="1"/>
  <c r="F3025" i="1"/>
  <c r="W3025" i="1"/>
  <c r="AJ3025" i="1"/>
  <c r="E3026" i="1"/>
  <c r="F3026" i="1"/>
  <c r="W3026" i="1"/>
  <c r="AJ3026" i="1"/>
  <c r="E3027" i="1"/>
  <c r="F3027" i="1"/>
  <c r="W3027" i="1"/>
  <c r="AJ3027" i="1"/>
  <c r="E3028" i="1"/>
  <c r="F3028" i="1"/>
  <c r="W3028" i="1"/>
  <c r="AJ3028" i="1"/>
  <c r="E3029" i="1"/>
  <c r="F3029" i="1"/>
  <c r="W3029" i="1"/>
  <c r="AJ3029" i="1"/>
  <c r="E3030" i="1"/>
  <c r="F3030" i="1"/>
  <c r="W3030" i="1"/>
  <c r="AJ3030" i="1"/>
  <c r="E3031" i="1"/>
  <c r="F3031" i="1"/>
  <c r="W3031" i="1"/>
  <c r="AJ3031" i="1"/>
  <c r="E3032" i="1"/>
  <c r="F3032" i="1"/>
  <c r="W3032" i="1"/>
  <c r="AJ3032" i="1"/>
  <c r="E3033" i="1"/>
  <c r="F3033" i="1"/>
  <c r="W3033" i="1"/>
  <c r="AJ3033" i="1"/>
  <c r="E3034" i="1"/>
  <c r="F3034" i="1"/>
  <c r="W3034" i="1"/>
  <c r="AJ3034" i="1"/>
  <c r="E3035" i="1"/>
  <c r="F3035" i="1"/>
  <c r="J3035" i="1"/>
  <c r="W3035" i="1"/>
  <c r="AJ3035" i="1"/>
  <c r="E3036" i="1"/>
  <c r="F3036" i="1"/>
  <c r="W3036" i="1"/>
  <c r="AJ3036" i="1"/>
  <c r="E3037" i="1"/>
  <c r="F3037" i="1"/>
  <c r="W3037" i="1"/>
  <c r="AJ3037" i="1"/>
  <c r="E3038" i="1"/>
  <c r="F3038" i="1"/>
  <c r="W3038" i="1"/>
  <c r="AJ3038" i="1"/>
  <c r="E3039" i="1"/>
  <c r="F3039" i="1"/>
  <c r="W3039" i="1"/>
  <c r="AJ3039" i="1"/>
  <c r="E3040" i="1"/>
  <c r="F3040" i="1"/>
  <c r="W3040" i="1"/>
  <c r="AJ3040" i="1"/>
  <c r="E3041" i="1"/>
  <c r="F3041" i="1"/>
  <c r="W3041" i="1"/>
  <c r="AJ3041" i="1"/>
  <c r="E3042" i="1"/>
  <c r="F3042" i="1"/>
  <c r="W3042" i="1"/>
  <c r="AJ3042" i="1"/>
  <c r="E3043" i="1"/>
  <c r="F3043" i="1"/>
  <c r="W3043" i="1"/>
  <c r="AJ3043" i="1"/>
  <c r="E3044" i="1"/>
  <c r="F3044" i="1"/>
  <c r="J3044" i="1"/>
  <c r="W3044" i="1"/>
  <c r="AJ3044" i="1"/>
  <c r="E3045" i="1"/>
  <c r="F3045" i="1"/>
  <c r="J3045" i="1"/>
  <c r="W3045" i="1"/>
  <c r="AJ3045" i="1"/>
  <c r="E3047" i="1"/>
  <c r="F3047" i="1"/>
  <c r="W3047" i="1"/>
  <c r="AJ3047" i="1"/>
  <c r="E3048" i="1"/>
  <c r="F3048" i="1"/>
  <c r="W3048" i="1"/>
  <c r="AJ3048" i="1"/>
  <c r="E3049" i="1"/>
  <c r="F3049" i="1"/>
  <c r="J3049" i="1"/>
  <c r="W3049" i="1"/>
  <c r="AJ3049" i="1"/>
  <c r="E3050" i="1"/>
  <c r="F3050" i="1"/>
  <c r="W3050" i="1"/>
  <c r="AJ3050" i="1"/>
  <c r="E3051" i="1"/>
  <c r="F3051" i="1"/>
  <c r="W3051" i="1"/>
  <c r="AJ3051" i="1"/>
  <c r="E3052" i="1"/>
  <c r="F3052" i="1"/>
  <c r="W3052" i="1"/>
  <c r="AJ3052" i="1"/>
  <c r="E3053" i="1"/>
  <c r="F3053" i="1"/>
  <c r="W3053" i="1"/>
  <c r="AJ3053" i="1"/>
  <c r="E3054" i="1"/>
  <c r="F3054" i="1"/>
  <c r="J3054" i="1"/>
  <c r="W3054" i="1"/>
  <c r="AJ3054" i="1"/>
  <c r="E3055" i="1"/>
  <c r="F3055" i="1"/>
  <c r="W3055" i="1"/>
  <c r="AJ3055" i="1"/>
  <c r="E3056" i="1"/>
  <c r="F3056" i="1"/>
  <c r="W3056" i="1"/>
  <c r="AJ3056" i="1"/>
  <c r="E3057" i="1"/>
  <c r="F3057" i="1"/>
  <c r="W3057" i="1"/>
  <c r="AJ3057" i="1"/>
  <c r="E3058" i="1"/>
  <c r="F3058" i="1"/>
  <c r="J3058" i="1"/>
  <c r="W3058" i="1"/>
  <c r="AJ3058" i="1"/>
  <c r="F3059" i="1"/>
  <c r="W3059" i="1"/>
  <c r="AJ3059" i="1"/>
  <c r="E3060" i="1"/>
  <c r="F3060" i="1"/>
  <c r="W3060" i="1"/>
  <c r="AJ3060" i="1"/>
  <c r="E3061" i="1"/>
  <c r="F3061" i="1"/>
  <c r="W3061" i="1"/>
  <c r="AJ3061" i="1"/>
  <c r="E3062" i="1"/>
  <c r="F3062" i="1"/>
  <c r="W3062" i="1"/>
  <c r="AJ3062" i="1"/>
  <c r="E3063" i="1"/>
  <c r="F3063" i="1"/>
  <c r="W3063" i="1"/>
  <c r="AJ3063" i="1"/>
  <c r="E3064" i="1"/>
  <c r="F3064" i="1"/>
  <c r="W3064" i="1"/>
  <c r="AJ3064" i="1"/>
  <c r="E3065" i="1"/>
  <c r="F3065" i="1"/>
  <c r="W3065" i="1"/>
  <c r="AJ3065" i="1"/>
  <c r="E3066" i="1"/>
  <c r="F3066" i="1"/>
  <c r="W3066" i="1"/>
  <c r="AJ3066" i="1"/>
  <c r="J3064" i="1" l="1"/>
  <c r="J3061" i="1"/>
  <c r="J3060" i="1"/>
  <c r="J3055" i="1"/>
  <c r="J3053" i="1"/>
  <c r="J3052" i="1"/>
  <c r="J3038" i="1"/>
  <c r="J3037" i="1"/>
  <c r="J3036" i="1"/>
  <c r="J3034" i="1"/>
  <c r="J3029" i="1"/>
  <c r="J3056" i="1"/>
  <c r="J3066" i="1"/>
  <c r="J3065" i="1"/>
  <c r="J3063" i="1"/>
  <c r="J3062" i="1"/>
  <c r="J3059" i="1"/>
  <c r="J3057" i="1"/>
  <c r="J3023" i="1"/>
  <c r="J3051" i="1"/>
  <c r="J3050" i="1"/>
  <c r="J3047" i="1"/>
  <c r="J3039" i="1"/>
  <c r="J3033" i="1"/>
  <c r="J3032" i="1"/>
  <c r="J3031" i="1"/>
  <c r="J3028" i="1"/>
  <c r="J3027" i="1"/>
  <c r="J3026" i="1"/>
  <c r="J3022" i="1"/>
  <c r="J3021" i="1"/>
  <c r="J3020" i="1"/>
  <c r="J3019" i="1"/>
  <c r="J3018" i="1"/>
  <c r="J3017" i="1"/>
  <c r="J3016" i="1"/>
  <c r="J3015" i="1"/>
  <c r="J3014" i="1"/>
  <c r="J3013" i="1"/>
  <c r="J3006" i="1"/>
  <c r="J3048" i="1"/>
  <c r="J3042" i="1"/>
  <c r="J3041" i="1"/>
  <c r="J3040" i="1"/>
  <c r="J3030" i="1"/>
  <c r="J3025" i="1"/>
  <c r="J3024" i="1"/>
  <c r="J3011" i="1"/>
  <c r="J3010" i="1"/>
  <c r="J3009" i="1"/>
  <c r="J3008" i="1"/>
  <c r="J3007" i="1"/>
  <c r="J3005" i="1"/>
  <c r="J3004" i="1"/>
  <c r="J3003" i="1"/>
  <c r="J3002" i="1"/>
  <c r="J3001" i="1"/>
  <c r="J2999" i="1"/>
  <c r="J2995" i="1"/>
  <c r="J3043" i="1"/>
  <c r="J2998" i="1"/>
  <c r="H1434" i="8"/>
  <c r="H1433" i="8"/>
  <c r="H1432" i="8"/>
  <c r="H1429" i="8"/>
  <c r="H1428" i="8"/>
  <c r="AX2993" i="1" l="1"/>
  <c r="BC38" i="7" l="1"/>
  <c r="BD38" i="7"/>
  <c r="H1431" i="8"/>
  <c r="H1430" i="8"/>
  <c r="BD47" i="7"/>
  <c r="BD46" i="7" s="1"/>
  <c r="BD45" i="7"/>
  <c r="BD44" i="7"/>
  <c r="BD43" i="7"/>
  <c r="BC42" i="7"/>
  <c r="BD42" i="7"/>
  <c r="BD41" i="7"/>
  <c r="BD40" i="7"/>
  <c r="BD39" i="7"/>
  <c r="BD37" i="7"/>
  <c r="BD35" i="7"/>
  <c r="BD34" i="7"/>
  <c r="BD33" i="7"/>
  <c r="BD32" i="7"/>
  <c r="BD31" i="7"/>
  <c r="BD30" i="7"/>
  <c r="BD29" i="7"/>
  <c r="BD27" i="7"/>
  <c r="BD26" i="7"/>
  <c r="BD25" i="7"/>
  <c r="BD24" i="7"/>
  <c r="BD22" i="7"/>
  <c r="BD21" i="7"/>
  <c r="BD20" i="7"/>
  <c r="BD19" i="7"/>
  <c r="BD18" i="7"/>
  <c r="BD17" i="7"/>
  <c r="BD16" i="7"/>
  <c r="BD11" i="7"/>
  <c r="BD10" i="7"/>
  <c r="BD9" i="7"/>
  <c r="BD8" i="7"/>
  <c r="BD7" i="7"/>
  <c r="BD6" i="7"/>
  <c r="AX2972" i="1"/>
  <c r="H1417" i="8"/>
  <c r="H1418" i="8"/>
  <c r="H1419" i="8"/>
  <c r="H1420" i="8"/>
  <c r="H1421" i="8"/>
  <c r="H1422" i="8"/>
  <c r="H1416" i="8"/>
  <c r="H1415" i="8"/>
  <c r="H1414" i="8"/>
  <c r="H1413" i="8"/>
  <c r="H1412" i="8"/>
  <c r="H1411" i="8"/>
  <c r="BD23" i="7" l="1"/>
  <c r="BD15" i="7"/>
  <c r="H1423" i="8" l="1"/>
  <c r="H1377" i="8" l="1"/>
  <c r="H1425" i="8" l="1"/>
  <c r="H1376" i="8" l="1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24" i="8"/>
  <c r="H1426" i="8"/>
  <c r="H1427" i="8"/>
  <c r="BB2965" i="1" l="1"/>
  <c r="AX2965" i="1"/>
  <c r="E2942" i="1" l="1"/>
  <c r="F2942" i="1"/>
  <c r="W2942" i="1"/>
  <c r="AJ2942" i="1"/>
  <c r="E2943" i="1"/>
  <c r="F2943" i="1"/>
  <c r="W2943" i="1"/>
  <c r="AJ2943" i="1"/>
  <c r="E2944" i="1"/>
  <c r="F2944" i="1"/>
  <c r="W2944" i="1"/>
  <c r="AJ2944" i="1"/>
  <c r="E2945" i="1"/>
  <c r="F2945" i="1"/>
  <c r="J2945" i="1"/>
  <c r="W2945" i="1"/>
  <c r="AJ2945" i="1"/>
  <c r="E2946" i="1"/>
  <c r="F2946" i="1"/>
  <c r="W2946" i="1"/>
  <c r="AJ2946" i="1"/>
  <c r="E2947" i="1"/>
  <c r="F2947" i="1"/>
  <c r="W2947" i="1"/>
  <c r="AJ2947" i="1"/>
  <c r="E2948" i="1"/>
  <c r="F2948" i="1"/>
  <c r="W2948" i="1"/>
  <c r="AJ2948" i="1"/>
  <c r="E2949" i="1"/>
  <c r="F2949" i="1"/>
  <c r="W2949" i="1"/>
  <c r="AJ2949" i="1"/>
  <c r="E2950" i="1"/>
  <c r="F2950" i="1"/>
  <c r="W2950" i="1"/>
  <c r="AJ2950" i="1"/>
  <c r="J2950" i="1" l="1"/>
  <c r="J2949" i="1"/>
  <c r="J2942" i="1"/>
  <c r="J2944" i="1"/>
  <c r="J2948" i="1"/>
  <c r="J2947" i="1"/>
  <c r="J2943" i="1"/>
  <c r="J2946" i="1"/>
  <c r="H1369" i="8"/>
  <c r="H1370" i="8"/>
  <c r="H1371" i="8"/>
  <c r="H1372" i="8"/>
  <c r="H1373" i="8"/>
  <c r="H1374" i="8"/>
  <c r="H1375" i="8"/>
  <c r="H1355" i="8"/>
  <c r="H1348" i="8"/>
  <c r="H1346" i="8" l="1"/>
  <c r="AX2940" i="1" l="1"/>
  <c r="H1356" i="8" l="1"/>
  <c r="H1357" i="8"/>
  <c r="H1358" i="8"/>
  <c r="H1359" i="8"/>
  <c r="H1360" i="8"/>
  <c r="H1361" i="8"/>
  <c r="H1362" i="8"/>
  <c r="H1363" i="8"/>
  <c r="H1364" i="8"/>
  <c r="H1366" i="8"/>
  <c r="H1367" i="8"/>
  <c r="H1368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7" i="8"/>
  <c r="H1349" i="8"/>
  <c r="H1350" i="8"/>
  <c r="H1351" i="8"/>
  <c r="H1352" i="8"/>
  <c r="H1353" i="8"/>
  <c r="H1354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276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22" i="8"/>
  <c r="H1323" i="8"/>
  <c r="H1324" i="8"/>
  <c r="H1325" i="8"/>
  <c r="H1326" i="8"/>
  <c r="H1275" i="8"/>
  <c r="I1433" i="8" l="1"/>
  <c r="I1426" i="8"/>
  <c r="I1382" i="8"/>
  <c r="AX2894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5" i="1"/>
  <c r="F2975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2850" i="1"/>
  <c r="F2850" i="1"/>
  <c r="E2849" i="1"/>
  <c r="F2849" i="1"/>
  <c r="W2849" i="1"/>
  <c r="AJ2849" i="1"/>
  <c r="J2850" i="1"/>
  <c r="W2850" i="1"/>
  <c r="AJ2850" i="1"/>
  <c r="W2851" i="1"/>
  <c r="AJ2851" i="1"/>
  <c r="W2852" i="1"/>
  <c r="J2852" i="1" s="1"/>
  <c r="AJ2852" i="1"/>
  <c r="W2853" i="1"/>
  <c r="AJ2853" i="1"/>
  <c r="W2854" i="1"/>
  <c r="AJ2854" i="1"/>
  <c r="W2855" i="1"/>
  <c r="AJ2855" i="1"/>
  <c r="J2856" i="1"/>
  <c r="W2856" i="1"/>
  <c r="AJ2856" i="1"/>
  <c r="J2857" i="1"/>
  <c r="W2857" i="1"/>
  <c r="AJ2857" i="1"/>
  <c r="W2858" i="1"/>
  <c r="AJ2858" i="1"/>
  <c r="W2859" i="1"/>
  <c r="AJ2859" i="1"/>
  <c r="W2860" i="1"/>
  <c r="AJ2860" i="1"/>
  <c r="W2861" i="1"/>
  <c r="AJ2861" i="1"/>
  <c r="W2862" i="1"/>
  <c r="AJ2862" i="1"/>
  <c r="W2863" i="1"/>
  <c r="AJ2863" i="1"/>
  <c r="W2864" i="1"/>
  <c r="AJ2864" i="1"/>
  <c r="W2865" i="1"/>
  <c r="AJ2865" i="1"/>
  <c r="W2866" i="1"/>
  <c r="AJ2866" i="1"/>
  <c r="J2867" i="1"/>
  <c r="W2867" i="1"/>
  <c r="AJ2867" i="1"/>
  <c r="W2868" i="1"/>
  <c r="AJ2868" i="1"/>
  <c r="W2869" i="1"/>
  <c r="AJ2869" i="1"/>
  <c r="W2870" i="1"/>
  <c r="AJ2870" i="1"/>
  <c r="W2871" i="1"/>
  <c r="AJ2871" i="1"/>
  <c r="W2872" i="1"/>
  <c r="AJ2872" i="1"/>
  <c r="W2873" i="1"/>
  <c r="AJ2873" i="1"/>
  <c r="W2874" i="1"/>
  <c r="AJ2874" i="1"/>
  <c r="W2875" i="1"/>
  <c r="AJ2875" i="1"/>
  <c r="W2876" i="1"/>
  <c r="AJ2876" i="1"/>
  <c r="W2877" i="1"/>
  <c r="AJ2877" i="1"/>
  <c r="W2878" i="1"/>
  <c r="AJ2878" i="1"/>
  <c r="W2879" i="1"/>
  <c r="AJ2879" i="1"/>
  <c r="W2880" i="1"/>
  <c r="AJ2880" i="1"/>
  <c r="W2881" i="1"/>
  <c r="AJ2881" i="1"/>
  <c r="W2882" i="1"/>
  <c r="AJ2882" i="1"/>
  <c r="J2883" i="1"/>
  <c r="W2883" i="1"/>
  <c r="AJ2883" i="1"/>
  <c r="J2884" i="1"/>
  <c r="W2884" i="1"/>
  <c r="AJ2884" i="1"/>
  <c r="W2885" i="1"/>
  <c r="AJ2885" i="1"/>
  <c r="W2886" i="1"/>
  <c r="AJ2886" i="1"/>
  <c r="W2887" i="1"/>
  <c r="AJ2887" i="1"/>
  <c r="W2888" i="1"/>
  <c r="AJ2888" i="1"/>
  <c r="W2889" i="1"/>
  <c r="AJ2889" i="1"/>
  <c r="W2890" i="1"/>
  <c r="AJ2890" i="1"/>
  <c r="W2891" i="1"/>
  <c r="AJ2891" i="1"/>
  <c r="W2892" i="1"/>
  <c r="AJ2892" i="1"/>
  <c r="J2893" i="1"/>
  <c r="W2893" i="1"/>
  <c r="AJ2893" i="1"/>
  <c r="W2894" i="1"/>
  <c r="AJ2894" i="1"/>
  <c r="W2895" i="1"/>
  <c r="AJ2895" i="1"/>
  <c r="W2896" i="1"/>
  <c r="AJ2896" i="1"/>
  <c r="W2897" i="1"/>
  <c r="AJ2897" i="1"/>
  <c r="W2898" i="1"/>
  <c r="AJ2898" i="1"/>
  <c r="J2899" i="1"/>
  <c r="W2899" i="1"/>
  <c r="AJ2899" i="1"/>
  <c r="W2900" i="1"/>
  <c r="AJ2900" i="1"/>
  <c r="W2901" i="1"/>
  <c r="AJ2901" i="1"/>
  <c r="W2902" i="1"/>
  <c r="AJ2902" i="1"/>
  <c r="W2903" i="1"/>
  <c r="AJ2903" i="1"/>
  <c r="J2904" i="1"/>
  <c r="W2904" i="1"/>
  <c r="AJ2904" i="1"/>
  <c r="W2905" i="1"/>
  <c r="AJ2905" i="1"/>
  <c r="W2906" i="1"/>
  <c r="AJ2906" i="1"/>
  <c r="W2907" i="1"/>
  <c r="AJ2907" i="1"/>
  <c r="W2908" i="1"/>
  <c r="AJ2908" i="1"/>
  <c r="W2909" i="1"/>
  <c r="AJ2909" i="1"/>
  <c r="W2910" i="1"/>
  <c r="AJ2910" i="1"/>
  <c r="W2911" i="1"/>
  <c r="AJ2911" i="1"/>
  <c r="J2912" i="1"/>
  <c r="W2912" i="1"/>
  <c r="AJ2912" i="1"/>
  <c r="W2913" i="1"/>
  <c r="AJ2913" i="1"/>
  <c r="J2914" i="1"/>
  <c r="W2914" i="1"/>
  <c r="AJ2914" i="1"/>
  <c r="W2915" i="1"/>
  <c r="AJ2915" i="1"/>
  <c r="W2916" i="1"/>
  <c r="AJ2916" i="1"/>
  <c r="W2917" i="1"/>
  <c r="AJ2917" i="1"/>
  <c r="W2918" i="1"/>
  <c r="AJ2918" i="1"/>
  <c r="W2919" i="1"/>
  <c r="AJ2919" i="1"/>
  <c r="W2920" i="1"/>
  <c r="AJ2920" i="1"/>
  <c r="J2921" i="1"/>
  <c r="W2921" i="1"/>
  <c r="AJ2921" i="1"/>
  <c r="J2922" i="1"/>
  <c r="W2922" i="1"/>
  <c r="AJ2922" i="1"/>
  <c r="W2923" i="1"/>
  <c r="AJ2923" i="1"/>
  <c r="J2924" i="1"/>
  <c r="W2924" i="1"/>
  <c r="AJ2924" i="1"/>
  <c r="W2925" i="1"/>
  <c r="AJ2925" i="1"/>
  <c r="W2926" i="1"/>
  <c r="AJ2926" i="1"/>
  <c r="J2927" i="1"/>
  <c r="W2927" i="1"/>
  <c r="AJ2927" i="1"/>
  <c r="W2928" i="1"/>
  <c r="AJ2928" i="1"/>
  <c r="W2929" i="1"/>
  <c r="AJ2929" i="1"/>
  <c r="W2930" i="1"/>
  <c r="AJ2930" i="1"/>
  <c r="W2931" i="1"/>
  <c r="AJ2931" i="1"/>
  <c r="W2932" i="1"/>
  <c r="AJ2932" i="1"/>
  <c r="J2933" i="1"/>
  <c r="W2933" i="1"/>
  <c r="AJ2933" i="1"/>
  <c r="W2934" i="1"/>
  <c r="AJ2934" i="1"/>
  <c r="W2935" i="1"/>
  <c r="AJ2935" i="1"/>
  <c r="W2936" i="1"/>
  <c r="AJ2936" i="1"/>
  <c r="W2937" i="1"/>
  <c r="AJ2937" i="1"/>
  <c r="J2938" i="1"/>
  <c r="W2938" i="1"/>
  <c r="AJ2938" i="1"/>
  <c r="W2939" i="1"/>
  <c r="AJ2939" i="1"/>
  <c r="W2940" i="1"/>
  <c r="AJ2940" i="1"/>
  <c r="J2941" i="1"/>
  <c r="W2941" i="1"/>
  <c r="AJ2941" i="1"/>
  <c r="W2951" i="1"/>
  <c r="AJ2951" i="1"/>
  <c r="W2952" i="1"/>
  <c r="AJ2952" i="1"/>
  <c r="W2953" i="1"/>
  <c r="AJ2953" i="1"/>
  <c r="W2954" i="1"/>
  <c r="AJ2954" i="1"/>
  <c r="J2955" i="1"/>
  <c r="W2955" i="1"/>
  <c r="AJ2955" i="1"/>
  <c r="W2956" i="1"/>
  <c r="AJ2956" i="1"/>
  <c r="J2957" i="1"/>
  <c r="W2957" i="1"/>
  <c r="AJ2957" i="1"/>
  <c r="W2958" i="1"/>
  <c r="AJ2958" i="1"/>
  <c r="W2959" i="1"/>
  <c r="AJ2959" i="1"/>
  <c r="W2960" i="1"/>
  <c r="AJ2960" i="1"/>
  <c r="W2961" i="1"/>
  <c r="AJ2961" i="1"/>
  <c r="J2962" i="1"/>
  <c r="W2962" i="1"/>
  <c r="AJ2962" i="1"/>
  <c r="W2963" i="1"/>
  <c r="AJ2963" i="1"/>
  <c r="W2964" i="1"/>
  <c r="AJ2964" i="1"/>
  <c r="J2965" i="1"/>
  <c r="W2965" i="1"/>
  <c r="AJ2965" i="1"/>
  <c r="W2966" i="1"/>
  <c r="AJ2966" i="1"/>
  <c r="W2967" i="1"/>
  <c r="AJ2967" i="1"/>
  <c r="J2968" i="1"/>
  <c r="W2968" i="1"/>
  <c r="AJ2968" i="1"/>
  <c r="W2969" i="1"/>
  <c r="AJ2969" i="1"/>
  <c r="W2970" i="1"/>
  <c r="AJ2970" i="1"/>
  <c r="J2971" i="1"/>
  <c r="W2971" i="1"/>
  <c r="AJ2971" i="1"/>
  <c r="W2972" i="1"/>
  <c r="AJ2972" i="1"/>
  <c r="W2975" i="1"/>
  <c r="AJ2975" i="1"/>
  <c r="W2977" i="1"/>
  <c r="AJ2977" i="1"/>
  <c r="W2978" i="1"/>
  <c r="AJ2978" i="1"/>
  <c r="W2979" i="1"/>
  <c r="AJ2979" i="1"/>
  <c r="W2980" i="1"/>
  <c r="AJ2980" i="1"/>
  <c r="W2981" i="1"/>
  <c r="AJ2981" i="1"/>
  <c r="W2982" i="1"/>
  <c r="AJ2982" i="1"/>
  <c r="W2983" i="1"/>
  <c r="AJ2983" i="1"/>
  <c r="W2984" i="1"/>
  <c r="AJ2984" i="1"/>
  <c r="W2985" i="1"/>
  <c r="AJ2985" i="1"/>
  <c r="J2986" i="1"/>
  <c r="W2986" i="1"/>
  <c r="AJ2986" i="1"/>
  <c r="W2987" i="1"/>
  <c r="AJ2987" i="1"/>
  <c r="W2988" i="1"/>
  <c r="AJ2988" i="1"/>
  <c r="W2989" i="1"/>
  <c r="AJ2989" i="1"/>
  <c r="W2990" i="1"/>
  <c r="AJ2990" i="1"/>
  <c r="W2991" i="1"/>
  <c r="AJ2991" i="1"/>
  <c r="J2992" i="1"/>
  <c r="W2992" i="1"/>
  <c r="AJ2992" i="1"/>
  <c r="W2993" i="1"/>
  <c r="AJ2993" i="1"/>
  <c r="W2994" i="1"/>
  <c r="AJ2994" i="1"/>
  <c r="W3067" i="1"/>
  <c r="AJ3067" i="1"/>
  <c r="W3068" i="1"/>
  <c r="AJ3068" i="1"/>
  <c r="W3069" i="1"/>
  <c r="AJ3069" i="1"/>
  <c r="W3070" i="1"/>
  <c r="AJ3070" i="1"/>
  <c r="W3071" i="1"/>
  <c r="AJ3071" i="1"/>
  <c r="W3072" i="1"/>
  <c r="AJ3072" i="1"/>
  <c r="W3073" i="1"/>
  <c r="AJ3073" i="1"/>
  <c r="J3074" i="1"/>
  <c r="W3074" i="1"/>
  <c r="AJ3074" i="1"/>
  <c r="W3075" i="1"/>
  <c r="AJ3075" i="1"/>
  <c r="W3076" i="1"/>
  <c r="AJ3076" i="1"/>
  <c r="W3077" i="1"/>
  <c r="AJ3077" i="1"/>
  <c r="W3078" i="1"/>
  <c r="AJ3078" i="1"/>
  <c r="W3079" i="1"/>
  <c r="AJ3079" i="1"/>
  <c r="W3080" i="1"/>
  <c r="AJ3080" i="1"/>
  <c r="W3081" i="1"/>
  <c r="AJ3081" i="1"/>
  <c r="BD52" i="7"/>
  <c r="J3079" i="1" l="1"/>
  <c r="J3077" i="1"/>
  <c r="J3076" i="1"/>
  <c r="J3075" i="1"/>
  <c r="J3070" i="1"/>
  <c r="J3067" i="1"/>
  <c r="J3078" i="1"/>
  <c r="J3073" i="1"/>
  <c r="J3081" i="1"/>
  <c r="J3080" i="1"/>
  <c r="J3072" i="1"/>
  <c r="J3071" i="1"/>
  <c r="J3069" i="1"/>
  <c r="J3068" i="1"/>
  <c r="J2994" i="1"/>
  <c r="J2993" i="1"/>
  <c r="J2985" i="1"/>
  <c r="J2984" i="1"/>
  <c r="J2983" i="1"/>
  <c r="J2980" i="1"/>
  <c r="J2979" i="1"/>
  <c r="J2978" i="1"/>
  <c r="J2977" i="1"/>
  <c r="J2970" i="1"/>
  <c r="J2967" i="1"/>
  <c r="J2963" i="1"/>
  <c r="J2961" i="1"/>
  <c r="J2956" i="1"/>
  <c r="J2991" i="1"/>
  <c r="J2990" i="1"/>
  <c r="J2988" i="1"/>
  <c r="J2981" i="1"/>
  <c r="J2975" i="1"/>
  <c r="J2966" i="1"/>
  <c r="J2964" i="1"/>
  <c r="J2960" i="1"/>
  <c r="J2959" i="1"/>
  <c r="J2958" i="1"/>
  <c r="J2954" i="1"/>
  <c r="J2953" i="1"/>
  <c r="J2952" i="1"/>
  <c r="J2951" i="1"/>
  <c r="J2989" i="1"/>
  <c r="J2987" i="1"/>
  <c r="J2982" i="1"/>
  <c r="J2972" i="1"/>
  <c r="J2969" i="1"/>
  <c r="J2940" i="1"/>
  <c r="J2937" i="1"/>
  <c r="J2934" i="1"/>
  <c r="J2919" i="1"/>
  <c r="J2913" i="1"/>
  <c r="J2907" i="1"/>
  <c r="J2902" i="1"/>
  <c r="J2901" i="1"/>
  <c r="J2896" i="1"/>
  <c r="J2894" i="1"/>
  <c r="J2891" i="1"/>
  <c r="J2889" i="1"/>
  <c r="J2879" i="1"/>
  <c r="J2875" i="1"/>
  <c r="J2870" i="1"/>
  <c r="J2866" i="1"/>
  <c r="J2865" i="1"/>
  <c r="J2864" i="1"/>
  <c r="J2862" i="1"/>
  <c r="J2860" i="1"/>
  <c r="J2858" i="1"/>
  <c r="J2854" i="1"/>
  <c r="J2853" i="1"/>
  <c r="J2851" i="1"/>
  <c r="J2939" i="1"/>
  <c r="J2935" i="1"/>
  <c r="J2930" i="1"/>
  <c r="J2928" i="1"/>
  <c r="J2915" i="1"/>
  <c r="J2909" i="1"/>
  <c r="J2908" i="1"/>
  <c r="J2906" i="1"/>
  <c r="J2936" i="1"/>
  <c r="J2932" i="1"/>
  <c r="J2931" i="1"/>
  <c r="J2929" i="1"/>
  <c r="J2926" i="1"/>
  <c r="J2925" i="1"/>
  <c r="J2923" i="1"/>
  <c r="J2920" i="1"/>
  <c r="J2918" i="1"/>
  <c r="J2917" i="1"/>
  <c r="J2916" i="1"/>
  <c r="J2911" i="1"/>
  <c r="J2905" i="1"/>
  <c r="J2897" i="1"/>
  <c r="J2895" i="1"/>
  <c r="J2890" i="1"/>
  <c r="J2888" i="1"/>
  <c r="J2887" i="1"/>
  <c r="J2886" i="1"/>
  <c r="J2885" i="1"/>
  <c r="J2882" i="1"/>
  <c r="J2881" i="1"/>
  <c r="J2880" i="1"/>
  <c r="J2878" i="1"/>
  <c r="J2876" i="1"/>
  <c r="J2874" i="1"/>
  <c r="J2873" i="1"/>
  <c r="J2872" i="1"/>
  <c r="J2869" i="1"/>
  <c r="J2868" i="1"/>
  <c r="J2861" i="1"/>
  <c r="J2859" i="1"/>
  <c r="J2855" i="1"/>
  <c r="J2903" i="1"/>
  <c r="J2900" i="1"/>
  <c r="J2898" i="1"/>
  <c r="J2892" i="1"/>
  <c r="J2871" i="1"/>
  <c r="BD36" i="7"/>
  <c r="BD28" i="7"/>
  <c r="J2877" i="1"/>
  <c r="J2863" i="1"/>
  <c r="J2849" i="1"/>
  <c r="BD13" i="7"/>
  <c r="E2739" i="1"/>
  <c r="F2739" i="1"/>
  <c r="E2740" i="1"/>
  <c r="F2740" i="1"/>
  <c r="F1631" i="1"/>
  <c r="E1631" i="1"/>
  <c r="BC47" i="7"/>
  <c r="BC46" i="7" s="1"/>
  <c r="BC45" i="7"/>
  <c r="BC44" i="7"/>
  <c r="BC43" i="7"/>
  <c r="BC41" i="7"/>
  <c r="BC40" i="7"/>
  <c r="BC39" i="7"/>
  <c r="BC37" i="7"/>
  <c r="BC35" i="7"/>
  <c r="BC34" i="7"/>
  <c r="BC33" i="7"/>
  <c r="BC32" i="7"/>
  <c r="BC31" i="7"/>
  <c r="BC30" i="7"/>
  <c r="BC29" i="7"/>
  <c r="BC27" i="7"/>
  <c r="BC26" i="7"/>
  <c r="BC24" i="7"/>
  <c r="BC22" i="7"/>
  <c r="BC21" i="7"/>
  <c r="BC20" i="7"/>
  <c r="BC19" i="7"/>
  <c r="BC18" i="7"/>
  <c r="BC17" i="7"/>
  <c r="BC16" i="7"/>
  <c r="BC52" i="7"/>
  <c r="BC11" i="7"/>
  <c r="BC10" i="7"/>
  <c r="BC9" i="7"/>
  <c r="BC8" i="7"/>
  <c r="BC7" i="7"/>
  <c r="BC6" i="7"/>
  <c r="AY2848" i="1"/>
  <c r="AJ2848" i="1"/>
  <c r="W2848" i="1"/>
  <c r="J2848" i="1"/>
  <c r="F2848" i="1"/>
  <c r="E2848" i="1"/>
  <c r="AJ2847" i="1"/>
  <c r="W2847" i="1"/>
  <c r="F2847" i="1"/>
  <c r="E2847" i="1"/>
  <c r="AJ2846" i="1"/>
  <c r="W2846" i="1"/>
  <c r="F2846" i="1"/>
  <c r="E2846" i="1"/>
  <c r="AJ2845" i="1"/>
  <c r="W2845" i="1"/>
  <c r="F2845" i="1"/>
  <c r="E2845" i="1"/>
  <c r="AJ2844" i="1"/>
  <c r="W2844" i="1"/>
  <c r="F2844" i="1"/>
  <c r="E2844" i="1"/>
  <c r="AJ2843" i="1"/>
  <c r="W2843" i="1"/>
  <c r="F2843" i="1"/>
  <c r="E2843" i="1"/>
  <c r="AJ2842" i="1"/>
  <c r="W2842" i="1"/>
  <c r="F2842" i="1"/>
  <c r="E2842" i="1"/>
  <c r="AJ2841" i="1"/>
  <c r="W2841" i="1"/>
  <c r="F2841" i="1"/>
  <c r="E2841" i="1"/>
  <c r="AJ2840" i="1"/>
  <c r="W2840" i="1"/>
  <c r="F2840" i="1"/>
  <c r="E2840" i="1"/>
  <c r="AJ2839" i="1"/>
  <c r="W2839" i="1"/>
  <c r="F2839" i="1"/>
  <c r="E2839" i="1"/>
  <c r="AJ2838" i="1"/>
  <c r="W2838" i="1"/>
  <c r="J2838" i="1"/>
  <c r="F2838" i="1"/>
  <c r="E2838" i="1"/>
  <c r="AJ2837" i="1"/>
  <c r="W2837" i="1"/>
  <c r="F2837" i="1"/>
  <c r="E2837" i="1"/>
  <c r="AJ2836" i="1"/>
  <c r="W2836" i="1"/>
  <c r="F2836" i="1"/>
  <c r="E2836" i="1"/>
  <c r="AJ2835" i="1"/>
  <c r="W2835" i="1"/>
  <c r="J2835" i="1"/>
  <c r="F2835" i="1"/>
  <c r="E2835" i="1"/>
  <c r="AJ2834" i="1"/>
  <c r="W2834" i="1"/>
  <c r="F2834" i="1"/>
  <c r="E2834" i="1"/>
  <c r="AJ2833" i="1"/>
  <c r="W2833" i="1"/>
  <c r="F2833" i="1"/>
  <c r="E2833" i="1"/>
  <c r="AJ2832" i="1"/>
  <c r="W2832" i="1"/>
  <c r="F2832" i="1"/>
  <c r="E2832" i="1"/>
  <c r="AJ2831" i="1"/>
  <c r="W2831" i="1"/>
  <c r="F2831" i="1"/>
  <c r="E2831" i="1"/>
  <c r="AJ2830" i="1"/>
  <c r="W2830" i="1"/>
  <c r="F2830" i="1"/>
  <c r="E2830" i="1"/>
  <c r="AJ2829" i="1"/>
  <c r="W2829" i="1"/>
  <c r="F2829" i="1"/>
  <c r="E2829" i="1"/>
  <c r="AJ2828" i="1"/>
  <c r="W2828" i="1"/>
  <c r="F2828" i="1"/>
  <c r="E2828" i="1"/>
  <c r="AJ2827" i="1"/>
  <c r="W2827" i="1"/>
  <c r="F2827" i="1"/>
  <c r="E2827" i="1"/>
  <c r="AJ2826" i="1"/>
  <c r="W2826" i="1"/>
  <c r="F2826" i="1"/>
  <c r="E2826" i="1"/>
  <c r="AJ2825" i="1"/>
  <c r="W2825" i="1"/>
  <c r="F2825" i="1"/>
  <c r="E2825" i="1"/>
  <c r="AJ2824" i="1"/>
  <c r="W2824" i="1"/>
  <c r="F2824" i="1"/>
  <c r="E2824" i="1"/>
  <c r="AJ2823" i="1"/>
  <c r="W2823" i="1"/>
  <c r="F2823" i="1"/>
  <c r="E2823" i="1"/>
  <c r="AJ2822" i="1"/>
  <c r="W2822" i="1"/>
  <c r="J2822" i="1"/>
  <c r="F2822" i="1"/>
  <c r="E2822" i="1"/>
  <c r="AJ2821" i="1"/>
  <c r="W2821" i="1"/>
  <c r="F2821" i="1"/>
  <c r="E2821" i="1"/>
  <c r="AJ2820" i="1"/>
  <c r="W2820" i="1"/>
  <c r="F2820" i="1"/>
  <c r="E2820" i="1"/>
  <c r="AJ2819" i="1"/>
  <c r="W2819" i="1"/>
  <c r="F2819" i="1"/>
  <c r="E2819" i="1"/>
  <c r="AJ2818" i="1"/>
  <c r="W2818" i="1"/>
  <c r="F2818" i="1"/>
  <c r="E2818" i="1"/>
  <c r="AJ2817" i="1"/>
  <c r="W2817" i="1"/>
  <c r="F2817" i="1"/>
  <c r="E2817" i="1"/>
  <c r="AJ2816" i="1"/>
  <c r="W2816" i="1"/>
  <c r="J2816" i="1"/>
  <c r="F2816" i="1"/>
  <c r="E2816" i="1"/>
  <c r="AJ2815" i="1"/>
  <c r="W2815" i="1"/>
  <c r="J2815" i="1"/>
  <c r="F2815" i="1"/>
  <c r="E2815" i="1"/>
  <c r="AJ2814" i="1"/>
  <c r="W2814" i="1"/>
  <c r="F2814" i="1"/>
  <c r="E2814" i="1"/>
  <c r="AJ2813" i="1"/>
  <c r="W2813" i="1"/>
  <c r="F2813" i="1"/>
  <c r="E2813" i="1"/>
  <c r="AJ2812" i="1"/>
  <c r="W2812" i="1"/>
  <c r="F2812" i="1"/>
  <c r="E2812" i="1"/>
  <c r="AJ2811" i="1"/>
  <c r="W2811" i="1"/>
  <c r="F2811" i="1"/>
  <c r="E2811" i="1"/>
  <c r="AJ2810" i="1"/>
  <c r="W2810" i="1"/>
  <c r="F2810" i="1"/>
  <c r="E2810" i="1"/>
  <c r="AJ2809" i="1"/>
  <c r="W2809" i="1"/>
  <c r="F2809" i="1"/>
  <c r="E2809" i="1"/>
  <c r="AJ2808" i="1"/>
  <c r="W2808" i="1"/>
  <c r="J2808" i="1"/>
  <c r="F2808" i="1"/>
  <c r="E2808" i="1"/>
  <c r="AJ2807" i="1"/>
  <c r="W2807" i="1"/>
  <c r="F2807" i="1"/>
  <c r="E2807" i="1"/>
  <c r="AJ2806" i="1"/>
  <c r="W2806" i="1"/>
  <c r="F2806" i="1"/>
  <c r="E2806" i="1"/>
  <c r="AJ2805" i="1"/>
  <c r="W2805" i="1"/>
  <c r="J2805" i="1"/>
  <c r="F2805" i="1"/>
  <c r="E2805" i="1"/>
  <c r="AJ2804" i="1"/>
  <c r="W2804" i="1"/>
  <c r="F2804" i="1"/>
  <c r="E2804" i="1"/>
  <c r="AJ2803" i="1"/>
  <c r="W2803" i="1"/>
  <c r="F2803" i="1"/>
  <c r="E2803" i="1"/>
  <c r="AJ2802" i="1"/>
  <c r="W2802" i="1"/>
  <c r="F2802" i="1"/>
  <c r="E2802" i="1"/>
  <c r="AJ2801" i="1"/>
  <c r="W2801" i="1"/>
  <c r="F2801" i="1"/>
  <c r="E2801" i="1"/>
  <c r="AJ2800" i="1"/>
  <c r="W2800" i="1"/>
  <c r="F2800" i="1"/>
  <c r="E2800" i="1"/>
  <c r="AJ2799" i="1"/>
  <c r="W2799" i="1"/>
  <c r="F2799" i="1"/>
  <c r="E2799" i="1"/>
  <c r="AJ2798" i="1"/>
  <c r="W2798" i="1"/>
  <c r="J2798" i="1"/>
  <c r="F2798" i="1"/>
  <c r="E2798" i="1"/>
  <c r="AJ2797" i="1"/>
  <c r="W2797" i="1"/>
  <c r="F2797" i="1"/>
  <c r="E2797" i="1"/>
  <c r="AJ2796" i="1"/>
  <c r="W2796" i="1"/>
  <c r="F2796" i="1"/>
  <c r="E2796" i="1"/>
  <c r="AJ2795" i="1"/>
  <c r="W2795" i="1"/>
  <c r="F2795" i="1"/>
  <c r="E2795" i="1"/>
  <c r="AJ2794" i="1"/>
  <c r="W2794" i="1"/>
  <c r="F2794" i="1"/>
  <c r="E2794" i="1"/>
  <c r="AJ2793" i="1"/>
  <c r="W2793" i="1"/>
  <c r="F2793" i="1"/>
  <c r="E2793" i="1"/>
  <c r="AJ2792" i="1"/>
  <c r="W2792" i="1"/>
  <c r="F2792" i="1"/>
  <c r="E2792" i="1"/>
  <c r="AJ2791" i="1"/>
  <c r="W2791" i="1"/>
  <c r="F2791" i="1"/>
  <c r="E2791" i="1"/>
  <c r="AJ2790" i="1"/>
  <c r="W2790" i="1"/>
  <c r="F2790" i="1"/>
  <c r="E2790" i="1"/>
  <c r="AJ2789" i="1"/>
  <c r="W2789" i="1"/>
  <c r="F2789" i="1"/>
  <c r="E2789" i="1"/>
  <c r="AJ2788" i="1"/>
  <c r="W2788" i="1"/>
  <c r="F2788" i="1"/>
  <c r="E2788" i="1"/>
  <c r="AJ2787" i="1"/>
  <c r="W2787" i="1"/>
  <c r="F2787" i="1"/>
  <c r="E2787" i="1"/>
  <c r="AJ2786" i="1"/>
  <c r="W2786" i="1"/>
  <c r="F2786" i="1"/>
  <c r="E2786" i="1"/>
  <c r="AJ2785" i="1"/>
  <c r="W2785" i="1"/>
  <c r="F2785" i="1"/>
  <c r="E2785" i="1"/>
  <c r="AJ2784" i="1"/>
  <c r="W2784" i="1"/>
  <c r="J2784" i="1"/>
  <c r="F2784" i="1"/>
  <c r="E2784" i="1"/>
  <c r="AJ2783" i="1"/>
  <c r="W2783" i="1"/>
  <c r="F2783" i="1"/>
  <c r="E2783" i="1"/>
  <c r="AJ2782" i="1"/>
  <c r="W2782" i="1"/>
  <c r="F2782" i="1"/>
  <c r="E2782" i="1"/>
  <c r="AJ2781" i="1"/>
  <c r="W2781" i="1"/>
  <c r="F2781" i="1"/>
  <c r="E2781" i="1"/>
  <c r="AJ2780" i="1"/>
  <c r="W2780" i="1"/>
  <c r="F2780" i="1"/>
  <c r="E2780" i="1"/>
  <c r="AY2778" i="1"/>
  <c r="AJ2778" i="1"/>
  <c r="W2778" i="1"/>
  <c r="J2778" i="1"/>
  <c r="AJ2777" i="1"/>
  <c r="W2777" i="1"/>
  <c r="J2777" i="1"/>
  <c r="AJ2776" i="1"/>
  <c r="W2776" i="1"/>
  <c r="AJ2775" i="1"/>
  <c r="W2775" i="1"/>
  <c r="AY2774" i="1"/>
  <c r="AJ2774" i="1"/>
  <c r="W2774" i="1"/>
  <c r="AJ2773" i="1"/>
  <c r="W2773" i="1"/>
  <c r="J2773" i="1"/>
  <c r="AY2772" i="1"/>
  <c r="AJ2772" i="1"/>
  <c r="W2772" i="1"/>
  <c r="J2772" i="1"/>
  <c r="AJ2771" i="1"/>
  <c r="W2771" i="1"/>
  <c r="J2771" i="1"/>
  <c r="AJ2770" i="1"/>
  <c r="W2770" i="1"/>
  <c r="AJ2769" i="1"/>
  <c r="W2769" i="1"/>
  <c r="AJ2768" i="1"/>
  <c r="W2768" i="1"/>
  <c r="AJ2767" i="1"/>
  <c r="W2767" i="1"/>
  <c r="AJ2766" i="1"/>
  <c r="W2766" i="1"/>
  <c r="AJ2765" i="1"/>
  <c r="W2765" i="1"/>
  <c r="J2765" i="1"/>
  <c r="AJ2764" i="1"/>
  <c r="W2764" i="1"/>
  <c r="J2764" i="1"/>
  <c r="AJ2763" i="1"/>
  <c r="W2763" i="1"/>
  <c r="AJ2762" i="1"/>
  <c r="W2762" i="1"/>
  <c r="AJ2761" i="1"/>
  <c r="W2761" i="1"/>
  <c r="AJ2760" i="1"/>
  <c r="W2760" i="1"/>
  <c r="J2760" i="1"/>
  <c r="AJ2759" i="1"/>
  <c r="W2759" i="1"/>
  <c r="AJ2758" i="1"/>
  <c r="W2758" i="1"/>
  <c r="J2758" i="1"/>
  <c r="AJ2757" i="1"/>
  <c r="W2757" i="1"/>
  <c r="AJ2756" i="1"/>
  <c r="W2756" i="1"/>
  <c r="J2756" i="1"/>
  <c r="AJ2755" i="1"/>
  <c r="W2755" i="1"/>
  <c r="AJ2754" i="1"/>
  <c r="W2754" i="1"/>
  <c r="AJ2753" i="1"/>
  <c r="W2753" i="1"/>
  <c r="AJ2752" i="1"/>
  <c r="W2752" i="1"/>
  <c r="J2752" i="1"/>
  <c r="AJ2751" i="1"/>
  <c r="W2751" i="1"/>
  <c r="AJ2750" i="1"/>
  <c r="W2750" i="1"/>
  <c r="AJ2749" i="1"/>
  <c r="W2749" i="1"/>
  <c r="AJ2748" i="1"/>
  <c r="W2748" i="1"/>
  <c r="AJ2747" i="1"/>
  <c r="W2747" i="1"/>
  <c r="AJ2746" i="1"/>
  <c r="W2746" i="1"/>
  <c r="AJ2745" i="1"/>
  <c r="W2745" i="1"/>
  <c r="AJ2744" i="1"/>
  <c r="W2744" i="1"/>
  <c r="AJ2743" i="1"/>
  <c r="W2743" i="1"/>
  <c r="AJ2742" i="1"/>
  <c r="W2742" i="1"/>
  <c r="AJ2741" i="1"/>
  <c r="W2741" i="1"/>
  <c r="AJ2740" i="1"/>
  <c r="W2740" i="1"/>
  <c r="J2740" i="1"/>
  <c r="AJ2739" i="1"/>
  <c r="W2739" i="1"/>
  <c r="AJ2738" i="1"/>
  <c r="W2738" i="1"/>
  <c r="J2738" i="1"/>
  <c r="AJ2737" i="1"/>
  <c r="W2737" i="1"/>
  <c r="J2737" i="1"/>
  <c r="AJ2736" i="1"/>
  <c r="W2736" i="1"/>
  <c r="J2736" i="1"/>
  <c r="AJ2735" i="1"/>
  <c r="W2735" i="1"/>
  <c r="AJ2734" i="1"/>
  <c r="W2734" i="1"/>
  <c r="AJ2733" i="1"/>
  <c r="W2733" i="1"/>
  <c r="AJ2732" i="1"/>
  <c r="W2732" i="1"/>
  <c r="AJ2731" i="1"/>
  <c r="W2731" i="1"/>
  <c r="J2731" i="1"/>
  <c r="AJ2730" i="1"/>
  <c r="W2730" i="1"/>
  <c r="AJ2729" i="1"/>
  <c r="W2729" i="1"/>
  <c r="J2729" i="1"/>
  <c r="AJ2728" i="1"/>
  <c r="W2728" i="1"/>
  <c r="AJ2727" i="1"/>
  <c r="W2727" i="1"/>
  <c r="AJ2726" i="1"/>
  <c r="W2726" i="1"/>
  <c r="AJ2725" i="1"/>
  <c r="W2725" i="1"/>
  <c r="AJ2724" i="1"/>
  <c r="W2724" i="1"/>
  <c r="AX2723" i="1"/>
  <c r="AJ2723" i="1"/>
  <c r="W2723" i="1"/>
  <c r="AJ2722" i="1"/>
  <c r="W2722" i="1"/>
  <c r="J2722" i="1"/>
  <c r="AJ2721" i="1"/>
  <c r="W2721" i="1"/>
  <c r="AJ2720" i="1"/>
  <c r="W2720" i="1"/>
  <c r="AJ2719" i="1"/>
  <c r="W2719" i="1"/>
  <c r="AJ2718" i="1"/>
  <c r="W2718" i="1"/>
  <c r="J2718" i="1"/>
  <c r="AJ2717" i="1"/>
  <c r="W2717" i="1"/>
  <c r="J2717" i="1"/>
  <c r="AJ2716" i="1"/>
  <c r="W2716" i="1"/>
  <c r="AJ2715" i="1"/>
  <c r="W2715" i="1"/>
  <c r="AJ2714" i="1"/>
  <c r="W2714" i="1"/>
  <c r="AJ2713" i="1"/>
  <c r="W2713" i="1"/>
  <c r="AJ2712" i="1"/>
  <c r="W2712" i="1"/>
  <c r="J2712" i="1"/>
  <c r="AJ2711" i="1"/>
  <c r="W2711" i="1"/>
  <c r="AJ2710" i="1"/>
  <c r="W2710" i="1"/>
  <c r="AJ2709" i="1"/>
  <c r="W2709" i="1"/>
  <c r="AJ2708" i="1"/>
  <c r="W2708" i="1"/>
  <c r="J2708" i="1"/>
  <c r="AJ2707" i="1"/>
  <c r="W2707" i="1"/>
  <c r="AJ2706" i="1"/>
  <c r="W2706" i="1"/>
  <c r="AJ2705" i="1"/>
  <c r="W2705" i="1"/>
  <c r="J2705" i="1"/>
  <c r="AJ2704" i="1"/>
  <c r="W2704" i="1"/>
  <c r="AJ2703" i="1"/>
  <c r="W2703" i="1"/>
  <c r="J2703" i="1"/>
  <c r="AJ2702" i="1"/>
  <c r="W2702" i="1"/>
  <c r="AJ2701" i="1"/>
  <c r="W2701" i="1"/>
  <c r="AJ2700" i="1"/>
  <c r="W2700" i="1"/>
  <c r="AJ2699" i="1"/>
  <c r="W2699" i="1"/>
  <c r="AJ2698" i="1"/>
  <c r="W2698" i="1"/>
  <c r="J2698" i="1"/>
  <c r="AJ2697" i="1"/>
  <c r="W2697" i="1"/>
  <c r="AJ2696" i="1"/>
  <c r="W2696" i="1"/>
  <c r="J2696" i="1"/>
  <c r="AJ2695" i="1"/>
  <c r="W2695" i="1"/>
  <c r="J2695" i="1"/>
  <c r="AJ2694" i="1"/>
  <c r="W2694" i="1"/>
  <c r="AJ2693" i="1"/>
  <c r="W2693" i="1"/>
  <c r="AJ2692" i="1"/>
  <c r="W2692" i="1"/>
  <c r="AJ2691" i="1"/>
  <c r="W2691" i="1"/>
  <c r="AJ2690" i="1"/>
  <c r="W2690" i="1"/>
  <c r="J2690" i="1"/>
  <c r="AY2689" i="1"/>
  <c r="AJ2689" i="1"/>
  <c r="W2689" i="1"/>
  <c r="AJ2688" i="1"/>
  <c r="W2688" i="1"/>
  <c r="AJ2687" i="1"/>
  <c r="W2687" i="1"/>
  <c r="AJ2686" i="1"/>
  <c r="W2686" i="1"/>
  <c r="AJ2685" i="1"/>
  <c r="W2685" i="1"/>
  <c r="AJ2684" i="1"/>
  <c r="W2684" i="1"/>
  <c r="AJ2683" i="1"/>
  <c r="W2683" i="1"/>
  <c r="J2683" i="1"/>
  <c r="AJ2682" i="1"/>
  <c r="W2682" i="1"/>
  <c r="AJ2681" i="1"/>
  <c r="W2681" i="1"/>
  <c r="J2681" i="1"/>
  <c r="AJ2680" i="1"/>
  <c r="W2680" i="1"/>
  <c r="AJ2679" i="1"/>
  <c r="W2679" i="1"/>
  <c r="AJ2678" i="1"/>
  <c r="W2678" i="1"/>
  <c r="AJ2677" i="1"/>
  <c r="W2677" i="1"/>
  <c r="AJ2676" i="1"/>
  <c r="W2676" i="1"/>
  <c r="J2676" i="1"/>
  <c r="AJ2675" i="1"/>
  <c r="W2675" i="1"/>
  <c r="J2675" i="1"/>
  <c r="AJ2674" i="1"/>
  <c r="W2674" i="1"/>
  <c r="AJ2673" i="1"/>
  <c r="W2673" i="1"/>
  <c r="J2673" i="1"/>
  <c r="AJ2672" i="1"/>
  <c r="W2672" i="1"/>
  <c r="AJ2671" i="1"/>
  <c r="W2671" i="1"/>
  <c r="AJ2670" i="1"/>
  <c r="W2670" i="1"/>
  <c r="AJ2669" i="1"/>
  <c r="W2669" i="1"/>
  <c r="AJ2668" i="1"/>
  <c r="W2668" i="1"/>
  <c r="AJ2667" i="1"/>
  <c r="W2667" i="1"/>
  <c r="AJ2666" i="1"/>
  <c r="W2666" i="1"/>
  <c r="J2666" i="1"/>
  <c r="AJ2665" i="1"/>
  <c r="W2665" i="1"/>
  <c r="AJ2664" i="1"/>
  <c r="W2664" i="1"/>
  <c r="AJ2663" i="1"/>
  <c r="W2663" i="1"/>
  <c r="J2663" i="1"/>
  <c r="AJ2662" i="1"/>
  <c r="W2662" i="1"/>
  <c r="AJ2661" i="1"/>
  <c r="W2661" i="1"/>
  <c r="AJ2660" i="1"/>
  <c r="W2660" i="1"/>
  <c r="AJ2659" i="1"/>
  <c r="W2659" i="1"/>
  <c r="AJ2658" i="1"/>
  <c r="W2658" i="1"/>
  <c r="AJ2657" i="1"/>
  <c r="W2657" i="1"/>
  <c r="AJ2656" i="1"/>
  <c r="W2656" i="1"/>
  <c r="J2656" i="1"/>
  <c r="AJ2655" i="1"/>
  <c r="W2655" i="1"/>
  <c r="AJ2654" i="1"/>
  <c r="W2654" i="1"/>
  <c r="AJ2653" i="1"/>
  <c r="W2653" i="1"/>
  <c r="AJ2652" i="1"/>
  <c r="W2652" i="1"/>
  <c r="AJ2651" i="1"/>
  <c r="W2651" i="1"/>
  <c r="AJ2650" i="1"/>
  <c r="W2650" i="1"/>
  <c r="AJ2649" i="1"/>
  <c r="W2649" i="1"/>
  <c r="AJ2648" i="1"/>
  <c r="W2648" i="1"/>
  <c r="AJ2647" i="1"/>
  <c r="W2647" i="1"/>
  <c r="AJ2646" i="1"/>
  <c r="W2646" i="1"/>
  <c r="J2646" i="1"/>
  <c r="AJ2645" i="1"/>
  <c r="W2645" i="1"/>
  <c r="AJ2644" i="1"/>
  <c r="W2644" i="1"/>
  <c r="AJ2643" i="1"/>
  <c r="W2643" i="1"/>
  <c r="AJ2642" i="1"/>
  <c r="W2642" i="1"/>
  <c r="AJ2641" i="1"/>
  <c r="W2641" i="1"/>
  <c r="J2641" i="1"/>
  <c r="AJ2640" i="1"/>
  <c r="W2640" i="1"/>
  <c r="J2640" i="1"/>
  <c r="AJ2639" i="1"/>
  <c r="W2639" i="1"/>
  <c r="AJ2638" i="1"/>
  <c r="W2638" i="1"/>
  <c r="AJ2637" i="1"/>
  <c r="W2637" i="1"/>
  <c r="J2637" i="1"/>
  <c r="AJ2636" i="1"/>
  <c r="W2636" i="1"/>
  <c r="J2636" i="1"/>
  <c r="AJ2635" i="1"/>
  <c r="W2635" i="1"/>
  <c r="AJ2634" i="1"/>
  <c r="W2634" i="1"/>
  <c r="J2634" i="1"/>
  <c r="AJ2633" i="1"/>
  <c r="W2633" i="1"/>
  <c r="AJ2632" i="1"/>
  <c r="W2632" i="1"/>
  <c r="J2632" i="1"/>
  <c r="AY2631" i="1"/>
  <c r="AJ2631" i="1"/>
  <c r="W2631" i="1"/>
  <c r="AJ2630" i="1"/>
  <c r="W2630" i="1"/>
  <c r="AJ2629" i="1"/>
  <c r="W2629" i="1"/>
  <c r="J2629" i="1"/>
  <c r="AJ2628" i="1"/>
  <c r="W2628" i="1"/>
  <c r="AJ2627" i="1"/>
  <c r="W2627" i="1"/>
  <c r="AJ2626" i="1"/>
  <c r="W2626" i="1"/>
  <c r="AJ2625" i="1"/>
  <c r="W2625" i="1"/>
  <c r="J2625" i="1"/>
  <c r="AJ2624" i="1"/>
  <c r="W2624" i="1"/>
  <c r="J2624" i="1"/>
  <c r="AJ2623" i="1"/>
  <c r="W2623" i="1"/>
  <c r="AJ2622" i="1"/>
  <c r="W2622" i="1"/>
  <c r="AJ2621" i="1"/>
  <c r="W2621" i="1"/>
  <c r="AJ2620" i="1"/>
  <c r="W2620" i="1"/>
  <c r="AJ2619" i="1"/>
  <c r="W2619" i="1"/>
  <c r="AJ2618" i="1"/>
  <c r="W2618" i="1"/>
  <c r="AJ2617" i="1"/>
  <c r="W2617" i="1"/>
  <c r="AJ2616" i="1"/>
  <c r="W2616" i="1"/>
  <c r="AJ2615" i="1"/>
  <c r="W2615" i="1"/>
  <c r="AJ2614" i="1"/>
  <c r="W2614" i="1"/>
  <c r="AJ2613" i="1"/>
  <c r="W2613" i="1"/>
  <c r="AJ2612" i="1"/>
  <c r="W2612" i="1"/>
  <c r="AJ2611" i="1"/>
  <c r="W2611" i="1"/>
  <c r="AJ2610" i="1"/>
  <c r="W2610" i="1"/>
  <c r="AJ2609" i="1"/>
  <c r="W2609" i="1"/>
  <c r="AJ2608" i="1"/>
  <c r="W2608" i="1"/>
  <c r="AJ2607" i="1"/>
  <c r="W2607" i="1"/>
  <c r="AJ2606" i="1"/>
  <c r="W2606" i="1"/>
  <c r="AJ2605" i="1"/>
  <c r="W2605" i="1"/>
  <c r="AJ2604" i="1"/>
  <c r="W2604" i="1"/>
  <c r="AJ2603" i="1"/>
  <c r="W2603" i="1"/>
  <c r="AJ2602" i="1"/>
  <c r="W2602" i="1"/>
  <c r="J2602" i="1"/>
  <c r="AJ2601" i="1"/>
  <c r="W2601" i="1"/>
  <c r="AJ2600" i="1"/>
  <c r="W2600" i="1"/>
  <c r="AJ2599" i="1"/>
  <c r="W2599" i="1"/>
  <c r="AJ2598" i="1"/>
  <c r="W2598" i="1"/>
  <c r="AJ2597" i="1"/>
  <c r="W2597" i="1"/>
  <c r="AJ2596" i="1"/>
  <c r="W2596" i="1"/>
  <c r="AJ2595" i="1"/>
  <c r="W2595" i="1"/>
  <c r="J2595" i="1"/>
  <c r="AJ2594" i="1"/>
  <c r="W2594" i="1"/>
  <c r="AJ2593" i="1"/>
  <c r="W2593" i="1"/>
  <c r="AJ2592" i="1"/>
  <c r="W2592" i="1"/>
  <c r="AJ2591" i="1"/>
  <c r="W2591" i="1"/>
  <c r="AJ2590" i="1"/>
  <c r="W2590" i="1"/>
  <c r="AJ2589" i="1"/>
  <c r="W2589" i="1"/>
  <c r="AJ2588" i="1"/>
  <c r="W2588" i="1"/>
  <c r="AJ2587" i="1"/>
  <c r="W2587" i="1"/>
  <c r="J2587" i="1"/>
  <c r="AJ2586" i="1"/>
  <c r="W2586" i="1"/>
  <c r="J2586" i="1"/>
  <c r="AJ2585" i="1"/>
  <c r="W2585" i="1"/>
  <c r="AJ2584" i="1"/>
  <c r="W2584" i="1"/>
  <c r="AJ2583" i="1"/>
  <c r="W2583" i="1"/>
  <c r="AJ2582" i="1"/>
  <c r="W2582" i="1"/>
  <c r="AJ2581" i="1"/>
  <c r="W2581" i="1"/>
  <c r="J2581" i="1"/>
  <c r="AJ2580" i="1"/>
  <c r="W2580" i="1"/>
  <c r="AJ2579" i="1"/>
  <c r="W2579" i="1"/>
  <c r="AJ2578" i="1"/>
  <c r="W2578" i="1"/>
  <c r="AJ2577" i="1"/>
  <c r="W2577" i="1"/>
  <c r="AJ2576" i="1"/>
  <c r="W2576" i="1"/>
  <c r="AJ2575" i="1"/>
  <c r="W2575" i="1"/>
  <c r="J2575" i="1"/>
  <c r="AJ2574" i="1"/>
  <c r="W2574" i="1"/>
  <c r="AJ2573" i="1"/>
  <c r="W2573" i="1"/>
  <c r="AJ2572" i="1"/>
  <c r="W2572" i="1"/>
  <c r="AJ2571" i="1"/>
  <c r="W2571" i="1"/>
  <c r="AJ2570" i="1"/>
  <c r="W2570" i="1"/>
  <c r="J2570" i="1"/>
  <c r="AJ2569" i="1"/>
  <c r="W2569" i="1"/>
  <c r="AJ2568" i="1"/>
  <c r="W2568" i="1"/>
  <c r="AJ2567" i="1"/>
  <c r="W2567" i="1"/>
  <c r="J2567" i="1"/>
  <c r="AJ2566" i="1"/>
  <c r="W2566" i="1"/>
  <c r="AJ2565" i="1"/>
  <c r="W2565" i="1"/>
  <c r="J2565" i="1"/>
  <c r="AJ2564" i="1"/>
  <c r="W2564" i="1"/>
  <c r="AJ2563" i="1"/>
  <c r="W2563" i="1"/>
  <c r="AJ2562" i="1"/>
  <c r="W2562" i="1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BD48" i="7" l="1"/>
  <c r="BD49" i="7" s="1"/>
  <c r="I1274" i="8"/>
  <c r="J2564" i="1"/>
  <c r="J2576" i="1"/>
  <c r="J2580" i="1"/>
  <c r="J2584" i="1"/>
  <c r="J2597" i="1"/>
  <c r="J2599" i="1"/>
  <c r="J2601" i="1"/>
  <c r="J2651" i="1"/>
  <c r="J2639" i="1"/>
  <c r="BC23" i="7"/>
  <c r="BC28" i="7"/>
  <c r="BC15" i="7"/>
  <c r="BC36" i="7"/>
  <c r="J2588" i="1"/>
  <c r="J2592" i="1"/>
  <c r="J2608" i="1"/>
  <c r="J2612" i="1"/>
  <c r="J2617" i="1"/>
  <c r="J2619" i="1"/>
  <c r="J2628" i="1"/>
  <c r="J2647" i="1"/>
  <c r="J2660" i="1"/>
  <c r="J2662" i="1"/>
  <c r="J2671" i="1"/>
  <c r="J2715" i="1"/>
  <c r="J2732" i="1"/>
  <c r="J2742" i="1"/>
  <c r="J2746" i="1"/>
  <c r="J2748" i="1"/>
  <c r="J2761" i="1"/>
  <c r="J2770" i="1"/>
  <c r="J2776" i="1"/>
  <c r="J2801" i="1"/>
  <c r="J2804" i="1"/>
  <c r="J2817" i="1"/>
  <c r="J2585" i="1"/>
  <c r="J2604" i="1"/>
  <c r="J2642" i="1"/>
  <c r="J2644" i="1"/>
  <c r="J2655" i="1"/>
  <c r="J2679" i="1"/>
  <c r="J2684" i="1"/>
  <c r="J2694" i="1"/>
  <c r="J2697" i="1"/>
  <c r="J2710" i="1"/>
  <c r="J2797" i="1"/>
  <c r="J2824" i="1"/>
  <c r="J2828" i="1"/>
  <c r="J2832" i="1"/>
  <c r="J2834" i="1"/>
  <c r="J2839" i="1"/>
  <c r="J2841" i="1"/>
  <c r="J2750" i="1"/>
  <c r="J2840" i="1"/>
  <c r="J2573" i="1"/>
  <c r="J2616" i="1"/>
  <c r="J2659" i="1"/>
  <c r="J2661" i="1"/>
  <c r="J2674" i="1"/>
  <c r="J2682" i="1"/>
  <c r="J2706" i="1"/>
  <c r="J2713" i="1"/>
  <c r="J2730" i="1"/>
  <c r="J2753" i="1"/>
  <c r="J2780" i="1"/>
  <c r="J2796" i="1"/>
  <c r="J2809" i="1"/>
  <c r="J2812" i="1"/>
  <c r="J2836" i="1"/>
  <c r="J2593" i="1"/>
  <c r="J2598" i="1"/>
  <c r="J2613" i="1"/>
  <c r="J2716" i="1"/>
  <c r="J2726" i="1"/>
  <c r="J2747" i="1"/>
  <c r="J2759" i="1"/>
  <c r="J2688" i="1"/>
  <c r="J2691" i="1"/>
  <c r="J2785" i="1"/>
  <c r="J2789" i="1"/>
  <c r="J2844" i="1"/>
  <c r="J2837" i="1"/>
  <c r="J2563" i="1"/>
  <c r="J2568" i="1"/>
  <c r="J2577" i="1"/>
  <c r="J2579" i="1"/>
  <c r="J2603" i="1"/>
  <c r="J2620" i="1"/>
  <c r="J2627" i="1"/>
  <c r="J2668" i="1"/>
  <c r="J2670" i="1"/>
  <c r="J2672" i="1"/>
  <c r="J2680" i="1"/>
  <c r="J2707" i="1"/>
  <c r="J2762" i="1"/>
  <c r="J2769" i="1"/>
  <c r="J2782" i="1"/>
  <c r="J2783" i="1"/>
  <c r="J2821" i="1"/>
  <c r="J2823" i="1"/>
  <c r="BK89" i="2"/>
  <c r="BX89" i="2"/>
  <c r="J2813" i="1"/>
  <c r="J2626" i="1"/>
  <c r="J2766" i="1"/>
  <c r="J2774" i="1"/>
  <c r="J2572" i="1"/>
  <c r="J2610" i="1"/>
  <c r="J2667" i="1"/>
  <c r="J2689" i="1"/>
  <c r="J2702" i="1"/>
  <c r="J2800" i="1"/>
  <c r="J2825" i="1"/>
  <c r="J2829" i="1"/>
  <c r="J2843" i="1"/>
  <c r="J2845" i="1"/>
  <c r="J2847" i="1"/>
  <c r="J2578" i="1"/>
  <c r="J2621" i="1"/>
  <c r="J2687" i="1"/>
  <c r="J2723" i="1"/>
  <c r="J2751" i="1"/>
  <c r="J2590" i="1"/>
  <c r="J2653" i="1"/>
  <c r="J2720" i="1"/>
  <c r="J2734" i="1"/>
  <c r="J2562" i="1"/>
  <c r="J2569" i="1"/>
  <c r="J2574" i="1"/>
  <c r="J2589" i="1"/>
  <c r="J2591" i="1"/>
  <c r="J2596" i="1"/>
  <c r="J2600" i="1"/>
  <c r="J2605" i="1"/>
  <c r="J2609" i="1"/>
  <c r="J2611" i="1"/>
  <c r="J2618" i="1"/>
  <c r="J2635" i="1"/>
  <c r="J2643" i="1"/>
  <c r="J2648" i="1"/>
  <c r="J2652" i="1"/>
  <c r="J2654" i="1"/>
  <c r="J2664" i="1"/>
  <c r="J2669" i="1"/>
  <c r="J2699" i="1"/>
  <c r="J2704" i="1"/>
  <c r="J2709" i="1"/>
  <c r="J2711" i="1"/>
  <c r="J2719" i="1"/>
  <c r="J2721" i="1"/>
  <c r="J2724" i="1"/>
  <c r="J2739" i="1"/>
  <c r="J2741" i="1"/>
  <c r="J2745" i="1"/>
  <c r="J2754" i="1"/>
  <c r="J2788" i="1"/>
  <c r="J2792" i="1"/>
  <c r="J2794" i="1"/>
  <c r="J2795" i="1"/>
  <c r="J2802" i="1"/>
  <c r="J2803" i="1"/>
  <c r="J2810" i="1"/>
  <c r="J2811" i="1"/>
  <c r="J2820" i="1"/>
  <c r="BC13" i="7"/>
  <c r="J2594" i="1"/>
  <c r="J2606" i="1"/>
  <c r="J2614" i="1"/>
  <c r="J2622" i="1"/>
  <c r="J2630" i="1"/>
  <c r="J2633" i="1"/>
  <c r="J2649" i="1"/>
  <c r="J2657" i="1"/>
  <c r="J2665" i="1"/>
  <c r="J2677" i="1"/>
  <c r="J2692" i="1"/>
  <c r="J2727" i="1"/>
  <c r="J2735" i="1"/>
  <c r="J2767" i="1"/>
  <c r="J2793" i="1"/>
  <c r="J2826" i="1"/>
  <c r="J2827" i="1"/>
  <c r="J2833" i="1"/>
  <c r="J2846" i="1"/>
  <c r="J2582" i="1"/>
  <c r="J2566" i="1"/>
  <c r="J2583" i="1"/>
  <c r="J2607" i="1"/>
  <c r="J2615" i="1"/>
  <c r="J2623" i="1"/>
  <c r="J2631" i="1"/>
  <c r="J2638" i="1"/>
  <c r="J2645" i="1"/>
  <c r="J2650" i="1"/>
  <c r="J2658" i="1"/>
  <c r="J2678" i="1"/>
  <c r="J2685" i="1"/>
  <c r="J2693" i="1"/>
  <c r="J2700" i="1"/>
  <c r="J2714" i="1"/>
  <c r="J2728" i="1"/>
  <c r="J2743" i="1"/>
  <c r="J2749" i="1"/>
  <c r="J2755" i="1"/>
  <c r="J2757" i="1"/>
  <c r="J2763" i="1"/>
  <c r="J2768" i="1"/>
  <c r="J2775" i="1"/>
  <c r="J2781" i="1"/>
  <c r="J2786" i="1"/>
  <c r="J2787" i="1"/>
  <c r="J2818" i="1"/>
  <c r="J2819" i="1"/>
  <c r="J2571" i="1"/>
  <c r="J2686" i="1"/>
  <c r="J2701" i="1"/>
  <c r="J2725" i="1"/>
  <c r="J2733" i="1"/>
  <c r="J2744" i="1"/>
  <c r="J2790" i="1"/>
  <c r="J2791" i="1"/>
  <c r="J2799" i="1"/>
  <c r="J2806" i="1"/>
  <c r="J2807" i="1"/>
  <c r="J2814" i="1"/>
  <c r="J2830" i="1"/>
  <c r="J2831" i="1"/>
  <c r="J2842" i="1"/>
  <c r="BC48" i="7" l="1"/>
  <c r="BC49" i="7" s="1"/>
  <c r="H1137" i="8"/>
  <c r="H1138" i="8" l="1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I1002" i="8" l="1"/>
  <c r="AY1018" i="1" l="1"/>
  <c r="AY849" i="1" l="1"/>
  <c r="AY901" i="1" l="1"/>
  <c r="AY942" i="1"/>
  <c r="AY990" i="1"/>
  <c r="AY1014" i="1"/>
  <c r="I513" i="8" l="1"/>
  <c r="I509" i="8"/>
  <c r="I628" i="8"/>
  <c r="AJ2556" i="1" l="1"/>
  <c r="W2556" i="1"/>
  <c r="J2556" i="1" l="1"/>
  <c r="I1136" i="8"/>
  <c r="I1097" i="8"/>
  <c r="I1131" i="8"/>
  <c r="AY2560" i="1"/>
  <c r="BB47" i="7"/>
  <c r="BB46" i="7" s="1"/>
  <c r="BB52" i="7"/>
  <c r="BB45" i="7"/>
  <c r="BB44" i="7"/>
  <c r="BB43" i="7"/>
  <c r="BB41" i="7"/>
  <c r="BB40" i="7"/>
  <c r="BB39" i="7"/>
  <c r="BB38" i="7"/>
  <c r="BB37" i="7"/>
  <c r="BB35" i="7"/>
  <c r="BB34" i="7"/>
  <c r="BB33" i="7"/>
  <c r="BB32" i="7"/>
  <c r="BB31" i="7"/>
  <c r="BB30" i="7"/>
  <c r="BB29" i="7"/>
  <c r="BB27" i="7"/>
  <c r="BB26" i="7"/>
  <c r="BB24" i="7"/>
  <c r="BB22" i="7"/>
  <c r="BB21" i="7"/>
  <c r="BB20" i="7"/>
  <c r="BB19" i="7"/>
  <c r="BB18" i="7"/>
  <c r="BB17" i="7"/>
  <c r="BB16" i="7"/>
  <c r="BB42" i="7"/>
  <c r="BB23" i="7" l="1"/>
  <c r="BB36" i="7"/>
  <c r="BB15" i="7"/>
  <c r="BB28" i="7"/>
  <c r="AJ2550" i="1"/>
  <c r="W2550" i="1"/>
  <c r="J2550" i="1"/>
  <c r="BB48" i="7" l="1"/>
  <c r="AX2555" i="1"/>
  <c r="J2558" i="1"/>
  <c r="W2558" i="1"/>
  <c r="AJ2558" i="1"/>
  <c r="J2559" i="1"/>
  <c r="W2559" i="1"/>
  <c r="AJ2559" i="1"/>
  <c r="W2551" i="1"/>
  <c r="AJ2551" i="1"/>
  <c r="J2552" i="1"/>
  <c r="W2552" i="1"/>
  <c r="AJ2552" i="1"/>
  <c r="J2539" i="1"/>
  <c r="W2539" i="1"/>
  <c r="AJ2539" i="1"/>
  <c r="W2540" i="1"/>
  <c r="AJ2540" i="1"/>
  <c r="J2541" i="1"/>
  <c r="W2541" i="1"/>
  <c r="AJ2541" i="1"/>
  <c r="W2542" i="1"/>
  <c r="AJ2542" i="1"/>
  <c r="J2543" i="1"/>
  <c r="W2543" i="1"/>
  <c r="AJ2543" i="1"/>
  <c r="W2544" i="1"/>
  <c r="AJ2544" i="1"/>
  <c r="W2545" i="1"/>
  <c r="AJ2545" i="1"/>
  <c r="W2546" i="1"/>
  <c r="AJ2546" i="1"/>
  <c r="W2547" i="1"/>
  <c r="AJ2547" i="1"/>
  <c r="J2548" i="1"/>
  <c r="W2548" i="1"/>
  <c r="AJ2548" i="1"/>
  <c r="AJ2555" i="1"/>
  <c r="W2555" i="1"/>
  <c r="J2555" i="1"/>
  <c r="AJ2554" i="1"/>
  <c r="W2554" i="1"/>
  <c r="AJ2553" i="1"/>
  <c r="W2553" i="1"/>
  <c r="AJ2549" i="1"/>
  <c r="W2549" i="1"/>
  <c r="AJ2538" i="1"/>
  <c r="W2538" i="1"/>
  <c r="AJ2537" i="1"/>
  <c r="W2537" i="1"/>
  <c r="J2537" i="1"/>
  <c r="AJ2536" i="1"/>
  <c r="W2536" i="1"/>
  <c r="AJ2535" i="1"/>
  <c r="W2535" i="1"/>
  <c r="J2535" i="1"/>
  <c r="AJ2534" i="1"/>
  <c r="W2534" i="1"/>
  <c r="AJ2533" i="1"/>
  <c r="W2533" i="1"/>
  <c r="AJ2532" i="1"/>
  <c r="W2532" i="1"/>
  <c r="AJ2531" i="1"/>
  <c r="W2531" i="1"/>
  <c r="AJ2530" i="1"/>
  <c r="W2530" i="1"/>
  <c r="J2530" i="1"/>
  <c r="AJ2529" i="1"/>
  <c r="W2529" i="1"/>
  <c r="AJ2528" i="1"/>
  <c r="W2528" i="1"/>
  <c r="AJ2527" i="1"/>
  <c r="W2527" i="1"/>
  <c r="AJ2526" i="1"/>
  <c r="W2526" i="1"/>
  <c r="AJ2525" i="1"/>
  <c r="W2525" i="1"/>
  <c r="AJ2524" i="1"/>
  <c r="W2524" i="1"/>
  <c r="AJ2523" i="1"/>
  <c r="W2523" i="1"/>
  <c r="AJ2522" i="1"/>
  <c r="W2522" i="1"/>
  <c r="AJ2521" i="1"/>
  <c r="W2521" i="1"/>
  <c r="AJ2520" i="1"/>
  <c r="W2520" i="1"/>
  <c r="J2520" i="1"/>
  <c r="AJ2519" i="1"/>
  <c r="W2519" i="1"/>
  <c r="J2519" i="1"/>
  <c r="AJ2518" i="1"/>
  <c r="W2518" i="1"/>
  <c r="AJ2517" i="1"/>
  <c r="W2517" i="1"/>
  <c r="J2517" i="1"/>
  <c r="AJ2516" i="1"/>
  <c r="W2516" i="1"/>
  <c r="J2516" i="1"/>
  <c r="AJ2515" i="1"/>
  <c r="W2515" i="1"/>
  <c r="AJ2514" i="1"/>
  <c r="W2514" i="1"/>
  <c r="J2514" i="1"/>
  <c r="AJ2513" i="1"/>
  <c r="W2513" i="1"/>
  <c r="AJ2512" i="1"/>
  <c r="W2512" i="1"/>
  <c r="J2512" i="1"/>
  <c r="AJ2511" i="1"/>
  <c r="W2511" i="1"/>
  <c r="J2511" i="1"/>
  <c r="AJ2510" i="1"/>
  <c r="W2510" i="1"/>
  <c r="AJ2509" i="1"/>
  <c r="W2509" i="1"/>
  <c r="J2536" i="1" l="1"/>
  <c r="J2553" i="1"/>
  <c r="J2551" i="1"/>
  <c r="J2521" i="1"/>
  <c r="J2532" i="1"/>
  <c r="J2518" i="1"/>
  <c r="J2531" i="1"/>
  <c r="J2538" i="1"/>
  <c r="J2549" i="1"/>
  <c r="J2547" i="1"/>
  <c r="J2546" i="1"/>
  <c r="J2545" i="1"/>
  <c r="J2544" i="1"/>
  <c r="J2540" i="1"/>
  <c r="J2554" i="1"/>
  <c r="J2542" i="1"/>
  <c r="J2513" i="1"/>
  <c r="J2515" i="1"/>
  <c r="J2522" i="1"/>
  <c r="J2523" i="1"/>
  <c r="J2524" i="1"/>
  <c r="J2526" i="1"/>
  <c r="J2527" i="1"/>
  <c r="J2528" i="1"/>
  <c r="J2529" i="1"/>
  <c r="J2533" i="1"/>
  <c r="J2534" i="1"/>
  <c r="J2510" i="1"/>
  <c r="J2509" i="1"/>
  <c r="J2525" i="1"/>
  <c r="AX2508" i="1" l="1"/>
  <c r="W2498" i="1"/>
  <c r="AJ2498" i="1"/>
  <c r="W2499" i="1"/>
  <c r="AJ2499" i="1"/>
  <c r="J2500" i="1"/>
  <c r="W2500" i="1"/>
  <c r="AJ2500" i="1"/>
  <c r="W2501" i="1"/>
  <c r="AJ2501" i="1"/>
  <c r="W2502" i="1"/>
  <c r="AJ2502" i="1"/>
  <c r="W2503" i="1"/>
  <c r="AJ2503" i="1"/>
  <c r="W2504" i="1"/>
  <c r="AJ2504" i="1"/>
  <c r="W2505" i="1"/>
  <c r="AJ2505" i="1"/>
  <c r="W2506" i="1"/>
  <c r="AJ2506" i="1"/>
  <c r="J2507" i="1"/>
  <c r="W2507" i="1"/>
  <c r="AJ2507" i="1"/>
  <c r="W2484" i="1"/>
  <c r="AJ2484" i="1"/>
  <c r="W2485" i="1"/>
  <c r="AJ2485" i="1"/>
  <c r="J2486" i="1"/>
  <c r="W2486" i="1"/>
  <c r="AJ2486" i="1"/>
  <c r="W2487" i="1"/>
  <c r="AJ2487" i="1"/>
  <c r="W2488" i="1"/>
  <c r="AJ2488" i="1"/>
  <c r="J2489" i="1"/>
  <c r="W2489" i="1"/>
  <c r="AJ2489" i="1"/>
  <c r="W2490" i="1"/>
  <c r="AJ2490" i="1"/>
  <c r="W2491" i="1"/>
  <c r="AJ2491" i="1"/>
  <c r="W2492" i="1"/>
  <c r="AJ2492" i="1"/>
  <c r="W2493" i="1"/>
  <c r="AJ2493" i="1"/>
  <c r="W2494" i="1"/>
  <c r="AJ2494" i="1"/>
  <c r="W2495" i="1"/>
  <c r="AJ2495" i="1"/>
  <c r="W2496" i="1"/>
  <c r="AJ2496" i="1"/>
  <c r="W2497" i="1"/>
  <c r="AJ2497" i="1"/>
  <c r="J2508" i="1"/>
  <c r="W2508" i="1"/>
  <c r="AJ2508" i="1"/>
  <c r="J2501" i="1" l="1"/>
  <c r="J2497" i="1"/>
  <c r="J2496" i="1"/>
  <c r="J2494" i="1"/>
  <c r="J2492" i="1"/>
  <c r="J2491" i="1"/>
  <c r="J2490" i="1"/>
  <c r="J2487" i="1"/>
  <c r="J2484" i="1"/>
  <c r="J2502" i="1"/>
  <c r="J2495" i="1"/>
  <c r="J2493" i="1"/>
  <c r="J2488" i="1"/>
  <c r="J2485" i="1"/>
  <c r="J2506" i="1"/>
  <c r="J2499" i="1"/>
  <c r="J2498" i="1"/>
  <c r="J2505" i="1"/>
  <c r="J2504" i="1"/>
  <c r="J2503" i="1"/>
  <c r="BB11" i="7"/>
  <c r="BB10" i="7"/>
  <c r="BB9" i="7"/>
  <c r="BB8" i="7"/>
  <c r="BB7" i="7"/>
  <c r="BB6" i="7"/>
  <c r="BB13" i="7" l="1"/>
  <c r="BB49" i="7" s="1"/>
  <c r="J2479" i="1"/>
  <c r="J2482" i="1"/>
  <c r="J2483" i="1"/>
  <c r="J2560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557" i="1"/>
  <c r="AJ2560" i="1"/>
  <c r="W2479" i="1"/>
  <c r="W2480" i="1"/>
  <c r="J2480" i="1" l="1"/>
  <c r="C14" i="3"/>
  <c r="AS6" i="7" l="1"/>
  <c r="AT6" i="7"/>
  <c r="AU11" i="7" l="1"/>
  <c r="AT10" i="7"/>
  <c r="AT9" i="7"/>
  <c r="AT8" i="7"/>
  <c r="AT7" i="7"/>
  <c r="AR56" i="7" l="1"/>
  <c r="AR55" i="7"/>
  <c r="BA52" i="7"/>
  <c r="AZ52" i="7"/>
  <c r="AY52" i="7"/>
  <c r="AX52" i="7"/>
  <c r="AW52" i="7"/>
  <c r="AV52" i="7"/>
  <c r="AU52" i="7"/>
  <c r="AT52" i="7"/>
  <c r="AS52" i="7"/>
  <c r="AR52" i="7"/>
  <c r="AS51" i="7"/>
  <c r="AR51" i="7"/>
  <c r="BA47" i="7"/>
  <c r="AZ47" i="7"/>
  <c r="AY47" i="7"/>
  <c r="AX47" i="7"/>
  <c r="AW47" i="7"/>
  <c r="AV47" i="7"/>
  <c r="AU47" i="7"/>
  <c r="AT47" i="7"/>
  <c r="AS47" i="7"/>
  <c r="BA45" i="7"/>
  <c r="AZ45" i="7"/>
  <c r="AY45" i="7"/>
  <c r="AX45" i="7"/>
  <c r="AW45" i="7"/>
  <c r="AV45" i="7"/>
  <c r="AU45" i="7"/>
  <c r="AT45" i="7"/>
  <c r="AS45" i="7"/>
  <c r="BA44" i="7"/>
  <c r="AZ44" i="7"/>
  <c r="AY44" i="7"/>
  <c r="AX44" i="7"/>
  <c r="AW44" i="7"/>
  <c r="AV44" i="7"/>
  <c r="AU44" i="7"/>
  <c r="AT44" i="7"/>
  <c r="AS44" i="7"/>
  <c r="BA43" i="7"/>
  <c r="AZ43" i="7"/>
  <c r="AY43" i="7"/>
  <c r="AX43" i="7"/>
  <c r="AW43" i="7"/>
  <c r="AV43" i="7"/>
  <c r="AU43" i="7"/>
  <c r="AT43" i="7"/>
  <c r="AS43" i="7"/>
  <c r="BA42" i="7"/>
  <c r="AZ42" i="7"/>
  <c r="AY42" i="7"/>
  <c r="AX42" i="7"/>
  <c r="AW42" i="7"/>
  <c r="AV42" i="7"/>
  <c r="AU42" i="7"/>
  <c r="AT42" i="7"/>
  <c r="AS42" i="7"/>
  <c r="BA41" i="7"/>
  <c r="AZ41" i="7"/>
  <c r="AY41" i="7"/>
  <c r="AX41" i="7"/>
  <c r="AW41" i="7"/>
  <c r="AV41" i="7"/>
  <c r="AU41" i="7"/>
  <c r="AT41" i="7"/>
  <c r="AS41" i="7"/>
  <c r="BA40" i="7"/>
  <c r="AZ40" i="7"/>
  <c r="AY40" i="7"/>
  <c r="AX40" i="7"/>
  <c r="AW40" i="7"/>
  <c r="AV40" i="7"/>
  <c r="AU40" i="7"/>
  <c r="AT40" i="7"/>
  <c r="AS40" i="7"/>
  <c r="BA39" i="7"/>
  <c r="AZ39" i="7"/>
  <c r="AY39" i="7"/>
  <c r="AX39" i="7"/>
  <c r="AW39" i="7"/>
  <c r="AV39" i="7"/>
  <c r="AU39" i="7"/>
  <c r="AT39" i="7"/>
  <c r="AS39" i="7"/>
  <c r="BA38" i="7"/>
  <c r="AZ38" i="7"/>
  <c r="AY38" i="7"/>
  <c r="AX38" i="7"/>
  <c r="AW38" i="7"/>
  <c r="AV38" i="7"/>
  <c r="AU38" i="7"/>
  <c r="AT38" i="7"/>
  <c r="AS38" i="7"/>
  <c r="BA37" i="7"/>
  <c r="AZ37" i="7"/>
  <c r="AY37" i="7"/>
  <c r="AX37" i="7"/>
  <c r="AW37" i="7"/>
  <c r="AV37" i="7"/>
  <c r="AU37" i="7"/>
  <c r="AT37" i="7"/>
  <c r="AS37" i="7"/>
  <c r="BA35" i="7"/>
  <c r="AZ35" i="7"/>
  <c r="AY35" i="7"/>
  <c r="AX35" i="7"/>
  <c r="AW35" i="7"/>
  <c r="AV35" i="7"/>
  <c r="AU35" i="7"/>
  <c r="AT35" i="7"/>
  <c r="AS35" i="7"/>
  <c r="BA34" i="7"/>
  <c r="AZ34" i="7"/>
  <c r="AY34" i="7"/>
  <c r="AX34" i="7"/>
  <c r="AW34" i="7"/>
  <c r="AV34" i="7"/>
  <c r="AU34" i="7"/>
  <c r="AT34" i="7"/>
  <c r="AS34" i="7"/>
  <c r="BA33" i="7"/>
  <c r="AZ33" i="7"/>
  <c r="AY33" i="7"/>
  <c r="AW33" i="7"/>
  <c r="AV33" i="7"/>
  <c r="AU33" i="7"/>
  <c r="AT33" i="7"/>
  <c r="AS33" i="7"/>
  <c r="BA32" i="7"/>
  <c r="AZ32" i="7"/>
  <c r="AY32" i="7"/>
  <c r="AX32" i="7"/>
  <c r="AW32" i="7"/>
  <c r="AV32" i="7"/>
  <c r="AU32" i="7"/>
  <c r="AT32" i="7"/>
  <c r="AS32" i="7"/>
  <c r="BA31" i="7"/>
  <c r="AZ31" i="7"/>
  <c r="AY31" i="7"/>
  <c r="AX31" i="7"/>
  <c r="AW31" i="7"/>
  <c r="AV31" i="7"/>
  <c r="AU31" i="7"/>
  <c r="AT31" i="7"/>
  <c r="AS31" i="7"/>
  <c r="BA30" i="7"/>
  <c r="AZ30" i="7"/>
  <c r="AY30" i="7"/>
  <c r="AX30" i="7"/>
  <c r="AW30" i="7"/>
  <c r="AV30" i="7"/>
  <c r="AU30" i="7"/>
  <c r="AT30" i="7"/>
  <c r="AS30" i="7"/>
  <c r="BA29" i="7"/>
  <c r="AZ29" i="7"/>
  <c r="AY29" i="7"/>
  <c r="AX29" i="7"/>
  <c r="AW29" i="7"/>
  <c r="AV29" i="7"/>
  <c r="AU29" i="7"/>
  <c r="AT29" i="7"/>
  <c r="AS29" i="7"/>
  <c r="BA27" i="7"/>
  <c r="AZ27" i="7"/>
  <c r="AY27" i="7"/>
  <c r="AX27" i="7"/>
  <c r="AW27" i="7"/>
  <c r="AV27" i="7"/>
  <c r="AU27" i="7"/>
  <c r="AT27" i="7"/>
  <c r="AS27" i="7"/>
  <c r="BA26" i="7"/>
  <c r="AZ26" i="7"/>
  <c r="AY26" i="7"/>
  <c r="AX26" i="7"/>
  <c r="AW26" i="7"/>
  <c r="AV26" i="7"/>
  <c r="AU26" i="7"/>
  <c r="AT26" i="7"/>
  <c r="AS26" i="7"/>
  <c r="AZ25" i="7"/>
  <c r="AY25" i="7"/>
  <c r="AX25" i="7"/>
  <c r="AW25" i="7"/>
  <c r="AV25" i="7"/>
  <c r="AU25" i="7"/>
  <c r="AT25" i="7"/>
  <c r="AS25" i="7"/>
  <c r="BA24" i="7"/>
  <c r="AZ24" i="7"/>
  <c r="AY24" i="7"/>
  <c r="AX24" i="7"/>
  <c r="AW24" i="7"/>
  <c r="AV24" i="7"/>
  <c r="AU24" i="7"/>
  <c r="AT24" i="7"/>
  <c r="AS24" i="7"/>
  <c r="BA22" i="7"/>
  <c r="AZ22" i="7"/>
  <c r="AY22" i="7"/>
  <c r="AX22" i="7"/>
  <c r="AW22" i="7"/>
  <c r="AV22" i="7"/>
  <c r="AU22" i="7"/>
  <c r="AT22" i="7"/>
  <c r="AS22" i="7"/>
  <c r="BA21" i="7"/>
  <c r="AZ21" i="7"/>
  <c r="AY21" i="7"/>
  <c r="AX21" i="7"/>
  <c r="AW21" i="7"/>
  <c r="AV21" i="7"/>
  <c r="AU21" i="7"/>
  <c r="AT21" i="7"/>
  <c r="AS21" i="7"/>
  <c r="BA20" i="7"/>
  <c r="AZ20" i="7"/>
  <c r="AY20" i="7"/>
  <c r="AX20" i="7"/>
  <c r="AW20" i="7"/>
  <c r="AV20" i="7"/>
  <c r="AU20" i="7"/>
  <c r="AT20" i="7"/>
  <c r="AS20" i="7"/>
  <c r="BA19" i="7"/>
  <c r="AZ19" i="7"/>
  <c r="AY19" i="7"/>
  <c r="AX19" i="7"/>
  <c r="AW19" i="7"/>
  <c r="AV19" i="7"/>
  <c r="AU19" i="7"/>
  <c r="AT19" i="7"/>
  <c r="AS19" i="7"/>
  <c r="BA18" i="7"/>
  <c r="AZ18" i="7"/>
  <c r="AY18" i="7"/>
  <c r="AX18" i="7"/>
  <c r="AW18" i="7"/>
  <c r="AV18" i="7"/>
  <c r="AU18" i="7"/>
  <c r="AT18" i="7"/>
  <c r="AS18" i="7"/>
  <c r="BA17" i="7"/>
  <c r="AZ17" i="7"/>
  <c r="AY17" i="7"/>
  <c r="AX17" i="7"/>
  <c r="AW17" i="7"/>
  <c r="AV17" i="7"/>
  <c r="AU17" i="7"/>
  <c r="AT17" i="7"/>
  <c r="AS17" i="7"/>
  <c r="BA16" i="7"/>
  <c r="AZ16" i="7"/>
  <c r="AY16" i="7"/>
  <c r="AX16" i="7"/>
  <c r="AW16" i="7"/>
  <c r="AV16" i="7"/>
  <c r="AU16" i="7"/>
  <c r="AT16" i="7"/>
  <c r="AS16" i="7"/>
  <c r="BA11" i="7"/>
  <c r="AZ11" i="7"/>
  <c r="AY11" i="7"/>
  <c r="AX11" i="7"/>
  <c r="AW11" i="7"/>
  <c r="AV11" i="7"/>
  <c r="AT11" i="7"/>
  <c r="AT13" i="7" s="1"/>
  <c r="AS11" i="7"/>
  <c r="BA10" i="7"/>
  <c r="AZ10" i="7"/>
  <c r="AY10" i="7"/>
  <c r="AX10" i="7"/>
  <c r="AW10" i="7"/>
  <c r="AV10" i="7"/>
  <c r="AU10" i="7"/>
  <c r="AS10" i="7"/>
  <c r="BA9" i="7"/>
  <c r="AZ9" i="7"/>
  <c r="AY9" i="7"/>
  <c r="AX9" i="7"/>
  <c r="AW9" i="7"/>
  <c r="AV9" i="7"/>
  <c r="AU9" i="7"/>
  <c r="AS9" i="7"/>
  <c r="BA8" i="7"/>
  <c r="AZ8" i="7"/>
  <c r="AY8" i="7"/>
  <c r="AX8" i="7"/>
  <c r="AW8" i="7"/>
  <c r="AV8" i="7"/>
  <c r="AU8" i="7"/>
  <c r="AS8" i="7"/>
  <c r="BA7" i="7"/>
  <c r="AZ7" i="7"/>
  <c r="AY7" i="7"/>
  <c r="AX7" i="7"/>
  <c r="AW7" i="7"/>
  <c r="AV7" i="7"/>
  <c r="AU7" i="7"/>
  <c r="AS7" i="7"/>
  <c r="BA6" i="7"/>
  <c r="AZ6" i="7"/>
  <c r="AY6" i="7"/>
  <c r="AX6" i="7"/>
  <c r="AW6" i="7"/>
  <c r="AV6" i="7"/>
  <c r="AV13" i="7" s="1"/>
  <c r="AU6" i="7"/>
  <c r="J448" i="5"/>
  <c r="J449" i="5" s="1"/>
  <c r="J450" i="5" s="1"/>
  <c r="J451" i="5" s="1"/>
  <c r="J452" i="5" s="1"/>
  <c r="J453" i="5" s="1"/>
  <c r="J454" i="5" s="1"/>
  <c r="J455" i="5" s="1"/>
  <c r="J456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20" i="5" s="1"/>
  <c r="J521" i="5" s="1"/>
  <c r="J522" i="5" s="1"/>
  <c r="J523" i="5" s="1"/>
  <c r="J524" i="5" s="1"/>
  <c r="J525" i="5" s="1"/>
  <c r="J526" i="5" s="1"/>
  <c r="J527" i="5" s="1"/>
  <c r="J528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8" i="5" s="1"/>
  <c r="J559" i="5" s="1"/>
  <c r="K148" i="5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3" i="5" s="1"/>
  <c r="J54" i="5" s="1"/>
  <c r="J55" i="5" s="1"/>
  <c r="J56" i="5" s="1"/>
  <c r="J57" i="5" s="1"/>
  <c r="J58" i="5" s="1"/>
  <c r="J59" i="5" s="1"/>
  <c r="J60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5" i="5" s="1"/>
  <c r="J76" i="5" s="1"/>
  <c r="J77" i="5" s="1"/>
  <c r="J78" i="5" s="1"/>
  <c r="J79" i="5" s="1"/>
  <c r="J80" i="5" s="1"/>
  <c r="J81" i="5" s="1"/>
  <c r="J82" i="5" s="1"/>
  <c r="J84" i="5" s="1"/>
  <c r="J85" i="5" s="1"/>
  <c r="J86" i="5" s="1"/>
  <c r="J87" i="5" s="1"/>
  <c r="J88" i="5" s="1"/>
  <c r="J89" i="5" s="1"/>
  <c r="J90" i="5" s="1"/>
  <c r="J92" i="5" s="1"/>
  <c r="J93" i="5" s="1"/>
  <c r="J94" i="5" s="1"/>
  <c r="J95" i="5" s="1"/>
  <c r="J96" i="5" s="1"/>
  <c r="J98" i="5" s="1"/>
  <c r="J99" i="5" s="1"/>
  <c r="J100" i="5" s="1"/>
  <c r="J101" i="5" s="1"/>
  <c r="J102" i="5" s="1"/>
  <c r="J103" i="5" s="1"/>
  <c r="J104" i="5" s="1"/>
  <c r="J105" i="5" s="1"/>
  <c r="J106" i="5" s="1"/>
  <c r="J108" i="5" s="1"/>
  <c r="J109" i="5" s="1"/>
  <c r="J110" i="5" s="1"/>
  <c r="J111" i="5" s="1"/>
  <c r="J112" i="5" s="1"/>
  <c r="J114" i="5" s="1"/>
  <c r="J115" i="5" s="1"/>
  <c r="J116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4" i="5" s="1"/>
  <c r="J235" i="5" s="1"/>
  <c r="J236" i="5" s="1"/>
  <c r="J237" i="5" s="1"/>
  <c r="J239" i="5" s="1"/>
  <c r="J240" i="5" s="1"/>
  <c r="J241" i="5" s="1"/>
  <c r="J242" i="5" s="1"/>
  <c r="J243" i="5" s="1"/>
  <c r="J244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6" i="5" s="1"/>
  <c r="J267" i="5" s="1"/>
  <c r="J268" i="5" s="1"/>
  <c r="J269" i="5" s="1"/>
  <c r="J272" i="5" s="1"/>
  <c r="J273" i="5" s="1"/>
  <c r="J274" i="5" s="1"/>
  <c r="J275" i="5" s="1"/>
  <c r="J276" i="5" s="1"/>
  <c r="J277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3" i="5" s="1"/>
  <c r="J304" i="5" s="1"/>
  <c r="J305" i="5" s="1"/>
  <c r="J306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9" i="5" s="1"/>
  <c r="J320" i="5" s="1"/>
  <c r="J321" i="5" s="1"/>
  <c r="J322" i="5" s="1"/>
  <c r="J323" i="5" s="1"/>
  <c r="J324" i="5" s="1"/>
  <c r="J325" i="5" s="1"/>
  <c r="J326" i="5" s="1"/>
  <c r="J327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W2560" i="1"/>
  <c r="W2557" i="1"/>
  <c r="J2557" i="1" s="1"/>
  <c r="W2483" i="1"/>
  <c r="W2482" i="1"/>
  <c r="W2481" i="1"/>
  <c r="J2481" i="1" s="1"/>
  <c r="W2478" i="1"/>
  <c r="J2478" i="1" s="1"/>
  <c r="W2477" i="1"/>
  <c r="J2477" i="1" s="1"/>
  <c r="W2476" i="1"/>
  <c r="J2476" i="1" s="1"/>
  <c r="W2475" i="1"/>
  <c r="J2475" i="1" s="1"/>
  <c r="W2474" i="1"/>
  <c r="J2474" i="1" s="1"/>
  <c r="W2473" i="1"/>
  <c r="J2473" i="1"/>
  <c r="W2472" i="1"/>
  <c r="J2472" i="1" s="1"/>
  <c r="W2471" i="1"/>
  <c r="J2471" i="1" s="1"/>
  <c r="W2470" i="1"/>
  <c r="J2470" i="1" s="1"/>
  <c r="W2469" i="1"/>
  <c r="J2469" i="1" s="1"/>
  <c r="W2468" i="1"/>
  <c r="J2468" i="1" s="1"/>
  <c r="W2467" i="1"/>
  <c r="J2467" i="1" s="1"/>
  <c r="W2466" i="1"/>
  <c r="J2466" i="1" s="1"/>
  <c r="W2465" i="1"/>
  <c r="J2465" i="1" s="1"/>
  <c r="W2464" i="1"/>
  <c r="J2464" i="1" s="1"/>
  <c r="W2463" i="1"/>
  <c r="J2463" i="1" s="1"/>
  <c r="W2462" i="1"/>
  <c r="J2462" i="1" s="1"/>
  <c r="W2461" i="1"/>
  <c r="J2461" i="1" s="1"/>
  <c r="W2460" i="1"/>
  <c r="J2460" i="1" s="1"/>
  <c r="W2459" i="1"/>
  <c r="J2459" i="1" s="1"/>
  <c r="W2458" i="1"/>
  <c r="J2458" i="1" s="1"/>
  <c r="W2457" i="1"/>
  <c r="J2457" i="1" s="1"/>
  <c r="W2456" i="1"/>
  <c r="J2456" i="1" s="1"/>
  <c r="W2455" i="1"/>
  <c r="J2455" i="1" s="1"/>
  <c r="W2454" i="1"/>
  <c r="J2454" i="1" s="1"/>
  <c r="W2453" i="1"/>
  <c r="J2453" i="1"/>
  <c r="W2452" i="1"/>
  <c r="J2452" i="1" s="1"/>
  <c r="W2451" i="1"/>
  <c r="J2451" i="1"/>
  <c r="W2450" i="1"/>
  <c r="J2450" i="1"/>
  <c r="W2449" i="1"/>
  <c r="J2449" i="1" s="1"/>
  <c r="W2448" i="1"/>
  <c r="J2448" i="1" s="1"/>
  <c r="W2447" i="1"/>
  <c r="J2447" i="1" s="1"/>
  <c r="W2446" i="1"/>
  <c r="J2446" i="1" s="1"/>
  <c r="W2445" i="1"/>
  <c r="J2445" i="1"/>
  <c r="W2444" i="1"/>
  <c r="J2444" i="1"/>
  <c r="W2443" i="1"/>
  <c r="J2443" i="1" s="1"/>
  <c r="W2442" i="1"/>
  <c r="J2442" i="1" s="1"/>
  <c r="W2441" i="1"/>
  <c r="J2441" i="1" s="1"/>
  <c r="W2440" i="1"/>
  <c r="J2440" i="1" s="1"/>
  <c r="W2439" i="1"/>
  <c r="J2439" i="1" s="1"/>
  <c r="W2438" i="1"/>
  <c r="J2438" i="1" s="1"/>
  <c r="W2437" i="1"/>
  <c r="J2437" i="1" s="1"/>
  <c r="W2436" i="1"/>
  <c r="J2436" i="1"/>
  <c r="W2435" i="1"/>
  <c r="J2435" i="1" s="1"/>
  <c r="W2434" i="1"/>
  <c r="J2434" i="1" s="1"/>
  <c r="W2433" i="1"/>
  <c r="J2433" i="1" s="1"/>
  <c r="W2432" i="1"/>
  <c r="J2432" i="1"/>
  <c r="W2431" i="1"/>
  <c r="J2431" i="1" s="1"/>
  <c r="W2430" i="1"/>
  <c r="J2430" i="1" s="1"/>
  <c r="W2429" i="1"/>
  <c r="J2429" i="1"/>
  <c r="W2428" i="1"/>
  <c r="J2428" i="1" s="1"/>
  <c r="W2427" i="1"/>
  <c r="J2427" i="1" s="1"/>
  <c r="W2426" i="1"/>
  <c r="J2426" i="1" s="1"/>
  <c r="W2425" i="1"/>
  <c r="J2425" i="1" s="1"/>
  <c r="W2424" i="1"/>
  <c r="J2424" i="1" s="1"/>
  <c r="W2423" i="1"/>
  <c r="J2423" i="1" s="1"/>
  <c r="W2422" i="1"/>
  <c r="J2422" i="1" s="1"/>
  <c r="W2421" i="1"/>
  <c r="J2421" i="1" s="1"/>
  <c r="W2420" i="1"/>
  <c r="J2420" i="1" s="1"/>
  <c r="W2419" i="1"/>
  <c r="J2419" i="1" s="1"/>
  <c r="W2418" i="1"/>
  <c r="J2418" i="1" s="1"/>
  <c r="W2417" i="1"/>
  <c r="J2417" i="1" s="1"/>
  <c r="W2416" i="1"/>
  <c r="J2416" i="1" s="1"/>
  <c r="W2415" i="1"/>
  <c r="J2415" i="1" s="1"/>
  <c r="W2414" i="1"/>
  <c r="J2414" i="1" s="1"/>
  <c r="W2413" i="1"/>
  <c r="J2413" i="1"/>
  <c r="W2412" i="1"/>
  <c r="J2412" i="1" s="1"/>
  <c r="W2411" i="1"/>
  <c r="J2411" i="1"/>
  <c r="W2410" i="1"/>
  <c r="J2410" i="1" s="1"/>
  <c r="W2409" i="1"/>
  <c r="J2409" i="1" s="1"/>
  <c r="W2408" i="1"/>
  <c r="J2408" i="1" s="1"/>
  <c r="AJ2407" i="1"/>
  <c r="W2407" i="1"/>
  <c r="AJ2406" i="1"/>
  <c r="W2406" i="1"/>
  <c r="J2406" i="1"/>
  <c r="AJ2405" i="1"/>
  <c r="W2405" i="1"/>
  <c r="J2405" i="1"/>
  <c r="AJ2404" i="1"/>
  <c r="W2404" i="1"/>
  <c r="J2404" i="1"/>
  <c r="AJ2403" i="1"/>
  <c r="W2403" i="1"/>
  <c r="J2403" i="1"/>
  <c r="AJ2402" i="1"/>
  <c r="W2402" i="1"/>
  <c r="J2402" i="1"/>
  <c r="AJ2401" i="1"/>
  <c r="W2401" i="1"/>
  <c r="J2401" i="1"/>
  <c r="AJ2400" i="1"/>
  <c r="W2400" i="1"/>
  <c r="AJ2399" i="1"/>
  <c r="W2399" i="1"/>
  <c r="AJ2398" i="1"/>
  <c r="W2398" i="1"/>
  <c r="J2398" i="1"/>
  <c r="AJ2397" i="1"/>
  <c r="W2397" i="1"/>
  <c r="AJ2396" i="1"/>
  <c r="W2396" i="1"/>
  <c r="J2396" i="1"/>
  <c r="AJ2395" i="1"/>
  <c r="W2395" i="1"/>
  <c r="J2395" i="1"/>
  <c r="AJ2394" i="1"/>
  <c r="W2394" i="1"/>
  <c r="AJ2393" i="1"/>
  <c r="W2393" i="1"/>
  <c r="AJ2392" i="1"/>
  <c r="W2392" i="1"/>
  <c r="AJ2391" i="1"/>
  <c r="W2391" i="1"/>
  <c r="AJ2390" i="1"/>
  <c r="W2390" i="1"/>
  <c r="AJ2389" i="1"/>
  <c r="W2389" i="1"/>
  <c r="AJ2388" i="1"/>
  <c r="W2388" i="1"/>
  <c r="AJ2387" i="1"/>
  <c r="W2387" i="1"/>
  <c r="AJ2386" i="1"/>
  <c r="W2386" i="1"/>
  <c r="J2386" i="1"/>
  <c r="AJ2385" i="1"/>
  <c r="W2385" i="1"/>
  <c r="AJ2384" i="1"/>
  <c r="W2384" i="1"/>
  <c r="AJ2383" i="1"/>
  <c r="W2383" i="1"/>
  <c r="AJ2382" i="1"/>
  <c r="W2382" i="1"/>
  <c r="AJ2381" i="1"/>
  <c r="W2381" i="1"/>
  <c r="AJ2380" i="1"/>
  <c r="W2380" i="1"/>
  <c r="AJ2379" i="1"/>
  <c r="W2379" i="1"/>
  <c r="AJ2378" i="1"/>
  <c r="W2378" i="1"/>
  <c r="J2378" i="1"/>
  <c r="AJ2377" i="1"/>
  <c r="W2377" i="1"/>
  <c r="AJ2376" i="1"/>
  <c r="W2376" i="1"/>
  <c r="AJ2375" i="1"/>
  <c r="W2375" i="1"/>
  <c r="AJ2374" i="1"/>
  <c r="W2374" i="1"/>
  <c r="AJ2373" i="1"/>
  <c r="W2373" i="1"/>
  <c r="AJ2372" i="1"/>
  <c r="W2372" i="1"/>
  <c r="AJ2371" i="1"/>
  <c r="W2371" i="1"/>
  <c r="AJ2370" i="1"/>
  <c r="W2370" i="1"/>
  <c r="AJ2369" i="1"/>
  <c r="W2369" i="1"/>
  <c r="AJ2368" i="1"/>
  <c r="W2368" i="1"/>
  <c r="AJ2367" i="1"/>
  <c r="W2367" i="1"/>
  <c r="AJ2366" i="1"/>
  <c r="W2366" i="1"/>
  <c r="AJ2365" i="1"/>
  <c r="W2365" i="1"/>
  <c r="AJ2364" i="1"/>
  <c r="W2364" i="1"/>
  <c r="AJ2363" i="1"/>
  <c r="W2363" i="1"/>
  <c r="AJ2362" i="1"/>
  <c r="W2362" i="1"/>
  <c r="J2362" i="1"/>
  <c r="AJ2361" i="1"/>
  <c r="W2361" i="1"/>
  <c r="AJ2360" i="1"/>
  <c r="W2360" i="1"/>
  <c r="AJ2359" i="1"/>
  <c r="W2359" i="1"/>
  <c r="AJ2358" i="1"/>
  <c r="W2358" i="1"/>
  <c r="AJ2357" i="1"/>
  <c r="W2357" i="1"/>
  <c r="J2357" i="1"/>
  <c r="AJ2356" i="1"/>
  <c r="W2356" i="1"/>
  <c r="AJ2355" i="1"/>
  <c r="W2355" i="1"/>
  <c r="AJ2354" i="1"/>
  <c r="W2354" i="1"/>
  <c r="AJ2353" i="1"/>
  <c r="W2353" i="1"/>
  <c r="AJ2352" i="1"/>
  <c r="W2352" i="1"/>
  <c r="J2352" i="1"/>
  <c r="AJ2351" i="1"/>
  <c r="W2351" i="1"/>
  <c r="AJ2350" i="1"/>
  <c r="W2350" i="1"/>
  <c r="AJ2349" i="1"/>
  <c r="W2349" i="1"/>
  <c r="AJ2348" i="1"/>
  <c r="W2348" i="1"/>
  <c r="AJ2347" i="1"/>
  <c r="W2347" i="1"/>
  <c r="AJ2346" i="1"/>
  <c r="W2346" i="1"/>
  <c r="J2346" i="1"/>
  <c r="AJ2345" i="1"/>
  <c r="W2345" i="1"/>
  <c r="AJ2344" i="1"/>
  <c r="W2344" i="1"/>
  <c r="J2344" i="1"/>
  <c r="AJ2343" i="1"/>
  <c r="W2343" i="1"/>
  <c r="W2341" i="1"/>
  <c r="J2341" i="1"/>
  <c r="W2340" i="1"/>
  <c r="J2340" i="1"/>
  <c r="W2339" i="1"/>
  <c r="J2339" i="1"/>
  <c r="W2338" i="1"/>
  <c r="J2338" i="1" s="1"/>
  <c r="W2337" i="1"/>
  <c r="J2337" i="1" s="1"/>
  <c r="W2336" i="1"/>
  <c r="J2336" i="1" s="1"/>
  <c r="W2335" i="1"/>
  <c r="J2335" i="1"/>
  <c r="W2334" i="1"/>
  <c r="J2334" i="1" s="1"/>
  <c r="W2333" i="1"/>
  <c r="J2333" i="1"/>
  <c r="W2332" i="1"/>
  <c r="J2332" i="1" s="1"/>
  <c r="W2331" i="1"/>
  <c r="J2331" i="1"/>
  <c r="W2330" i="1"/>
  <c r="J2330" i="1" s="1"/>
  <c r="W2329" i="1"/>
  <c r="J2329" i="1" s="1"/>
  <c r="W2328" i="1"/>
  <c r="J2328" i="1"/>
  <c r="W2327" i="1"/>
  <c r="J2327" i="1"/>
  <c r="W2326" i="1"/>
  <c r="J2326" i="1"/>
  <c r="W2325" i="1"/>
  <c r="J2325" i="1" s="1"/>
  <c r="W2324" i="1"/>
  <c r="J2324" i="1"/>
  <c r="W2323" i="1"/>
  <c r="J2323" i="1"/>
  <c r="W2322" i="1"/>
  <c r="J2322" i="1"/>
  <c r="W2321" i="1"/>
  <c r="J2321" i="1" s="1"/>
  <c r="W2320" i="1"/>
  <c r="J2320" i="1" s="1"/>
  <c r="W2319" i="1"/>
  <c r="J2319" i="1" s="1"/>
  <c r="W2318" i="1"/>
  <c r="J2318" i="1" s="1"/>
  <c r="W2317" i="1"/>
  <c r="J2317" i="1"/>
  <c r="W2316" i="1"/>
  <c r="J2316" i="1"/>
  <c r="W2315" i="1"/>
  <c r="J2315" i="1" s="1"/>
  <c r="W2314" i="1"/>
  <c r="J2314" i="1"/>
  <c r="W2313" i="1"/>
  <c r="J2313" i="1" s="1"/>
  <c r="W2312" i="1"/>
  <c r="J2312" i="1" s="1"/>
  <c r="W2311" i="1"/>
  <c r="J2311" i="1"/>
  <c r="W2310" i="1"/>
  <c r="J2310" i="1" s="1"/>
  <c r="W2309" i="1"/>
  <c r="J2309" i="1"/>
  <c r="W2308" i="1"/>
  <c r="J2308" i="1" s="1"/>
  <c r="W2307" i="1"/>
  <c r="J2307" i="1"/>
  <c r="W2306" i="1"/>
  <c r="J2306" i="1" s="1"/>
  <c r="W2305" i="1"/>
  <c r="J2305" i="1"/>
  <c r="W2304" i="1"/>
  <c r="J2304" i="1" s="1"/>
  <c r="W2303" i="1"/>
  <c r="J2303" i="1"/>
  <c r="W2302" i="1"/>
  <c r="J2302" i="1" s="1"/>
  <c r="W2301" i="1"/>
  <c r="J2301" i="1" s="1"/>
  <c r="W2300" i="1"/>
  <c r="J2300" i="1" s="1"/>
  <c r="W2299" i="1"/>
  <c r="J2299" i="1"/>
  <c r="W2298" i="1"/>
  <c r="J2298" i="1" s="1"/>
  <c r="W2297" i="1"/>
  <c r="J2297" i="1" s="1"/>
  <c r="W2296" i="1"/>
  <c r="J2296" i="1"/>
  <c r="W2295" i="1"/>
  <c r="J2295" i="1" s="1"/>
  <c r="W2294" i="1"/>
  <c r="J2294" i="1" s="1"/>
  <c r="W2293" i="1"/>
  <c r="J2293" i="1" s="1"/>
  <c r="W2292" i="1"/>
  <c r="J2292" i="1" s="1"/>
  <c r="W2291" i="1"/>
  <c r="J2291" i="1" s="1"/>
  <c r="W2290" i="1"/>
  <c r="J2290" i="1" s="1"/>
  <c r="W2289" i="1"/>
  <c r="J2289" i="1" s="1"/>
  <c r="W2288" i="1"/>
  <c r="J2288" i="1" s="1"/>
  <c r="W2287" i="1"/>
  <c r="J2287" i="1" s="1"/>
  <c r="W2286" i="1"/>
  <c r="J2286" i="1"/>
  <c r="W2285" i="1"/>
  <c r="J2285" i="1" s="1"/>
  <c r="W2284" i="1"/>
  <c r="J2284" i="1"/>
  <c r="W2283" i="1"/>
  <c r="J2283" i="1"/>
  <c r="W2282" i="1"/>
  <c r="J2282" i="1" s="1"/>
  <c r="W2281" i="1"/>
  <c r="J2281" i="1" s="1"/>
  <c r="W2280" i="1"/>
  <c r="J2280" i="1" s="1"/>
  <c r="W2279" i="1"/>
  <c r="J2279" i="1" s="1"/>
  <c r="W2278" i="1"/>
  <c r="J2278" i="1"/>
  <c r="W2277" i="1"/>
  <c r="J2277" i="1"/>
  <c r="W2276" i="1"/>
  <c r="J2276" i="1" s="1"/>
  <c r="W2275" i="1"/>
  <c r="J2275" i="1"/>
  <c r="W2274" i="1"/>
  <c r="J2274" i="1"/>
  <c r="W2273" i="1"/>
  <c r="J2273" i="1"/>
  <c r="W2272" i="1"/>
  <c r="J2272" i="1" s="1"/>
  <c r="W2271" i="1"/>
  <c r="J2271" i="1"/>
  <c r="W2270" i="1"/>
  <c r="J2270" i="1"/>
  <c r="W2269" i="1"/>
  <c r="J2269" i="1" s="1"/>
  <c r="W2268" i="1"/>
  <c r="J2268" i="1" s="1"/>
  <c r="W2267" i="1"/>
  <c r="J2267" i="1" s="1"/>
  <c r="W2266" i="1"/>
  <c r="J2266" i="1"/>
  <c r="W2265" i="1"/>
  <c r="J2265" i="1" s="1"/>
  <c r="W2264" i="1"/>
  <c r="J2264" i="1" s="1"/>
  <c r="W2263" i="1"/>
  <c r="J2263" i="1" s="1"/>
  <c r="W2262" i="1"/>
  <c r="J2262" i="1" s="1"/>
  <c r="W2261" i="1"/>
  <c r="J2261" i="1" s="1"/>
  <c r="W2260" i="1"/>
  <c r="J2260" i="1" s="1"/>
  <c r="W2259" i="1"/>
  <c r="J2259" i="1"/>
  <c r="W2258" i="1"/>
  <c r="J2258" i="1" s="1"/>
  <c r="W2257" i="1"/>
  <c r="J2257" i="1" s="1"/>
  <c r="W2256" i="1"/>
  <c r="J2256" i="1"/>
  <c r="W2255" i="1"/>
  <c r="J2255" i="1" s="1"/>
  <c r="W2254" i="1"/>
  <c r="J2254" i="1" s="1"/>
  <c r="W2253" i="1"/>
  <c r="J2253" i="1"/>
  <c r="W2252" i="1"/>
  <c r="J2252" i="1" s="1"/>
  <c r="W2251" i="1"/>
  <c r="J2251" i="1" s="1"/>
  <c r="W2250" i="1"/>
  <c r="J2250" i="1" s="1"/>
  <c r="W2249" i="1"/>
  <c r="J2249" i="1" s="1"/>
  <c r="W2248" i="1"/>
  <c r="J2248" i="1"/>
  <c r="W2247" i="1"/>
  <c r="J2247" i="1" s="1"/>
  <c r="W2246" i="1"/>
  <c r="J2246" i="1" s="1"/>
  <c r="W2245" i="1"/>
  <c r="J2245" i="1" s="1"/>
  <c r="W2244" i="1"/>
  <c r="J2244" i="1" s="1"/>
  <c r="W2243" i="1"/>
  <c r="J2243" i="1" s="1"/>
  <c r="W2242" i="1"/>
  <c r="J2242" i="1" s="1"/>
  <c r="W2241" i="1"/>
  <c r="J2241" i="1" s="1"/>
  <c r="W2240" i="1"/>
  <c r="J2240" i="1" s="1"/>
  <c r="W2239" i="1"/>
  <c r="J2239" i="1"/>
  <c r="W2238" i="1"/>
  <c r="J2238" i="1"/>
  <c r="W2237" i="1"/>
  <c r="J2237" i="1" s="1"/>
  <c r="W2236" i="1"/>
  <c r="J2236" i="1" s="1"/>
  <c r="W2235" i="1"/>
  <c r="J2235" i="1" s="1"/>
  <c r="W2234" i="1"/>
  <c r="J2234" i="1" s="1"/>
  <c r="W2233" i="1"/>
  <c r="J2233" i="1" s="1"/>
  <c r="W2232" i="1"/>
  <c r="J2232" i="1" s="1"/>
  <c r="W2231" i="1"/>
  <c r="J2231" i="1"/>
  <c r="W2230" i="1"/>
  <c r="J2230" i="1"/>
  <c r="W2229" i="1"/>
  <c r="J2229" i="1" s="1"/>
  <c r="W2228" i="1"/>
  <c r="J2228" i="1" s="1"/>
  <c r="W2227" i="1"/>
  <c r="J2227" i="1"/>
  <c r="W2226" i="1"/>
  <c r="J2226" i="1" s="1"/>
  <c r="W2225" i="1"/>
  <c r="J2225" i="1"/>
  <c r="W2224" i="1"/>
  <c r="J2224" i="1" s="1"/>
  <c r="W2223" i="1"/>
  <c r="J2223" i="1"/>
  <c r="W2222" i="1"/>
  <c r="J2222" i="1"/>
  <c r="W2221" i="1"/>
  <c r="J2221" i="1" s="1"/>
  <c r="W2220" i="1"/>
  <c r="J2220" i="1"/>
  <c r="W2219" i="1"/>
  <c r="J2219" i="1" s="1"/>
  <c r="W2218" i="1"/>
  <c r="J2218" i="1"/>
  <c r="W2217" i="1"/>
  <c r="J2217" i="1" s="1"/>
  <c r="W2216" i="1"/>
  <c r="J2216" i="1"/>
  <c r="W2215" i="1"/>
  <c r="J2215" i="1" s="1"/>
  <c r="W2214" i="1"/>
  <c r="J2214" i="1" s="1"/>
  <c r="W2213" i="1"/>
  <c r="J2213" i="1"/>
  <c r="W2212" i="1"/>
  <c r="J2212" i="1" s="1"/>
  <c r="W2211" i="1"/>
  <c r="J2211" i="1"/>
  <c r="W2210" i="1"/>
  <c r="J2210" i="1"/>
  <c r="W2209" i="1"/>
  <c r="J2209" i="1" s="1"/>
  <c r="W2208" i="1"/>
  <c r="J2208" i="1" s="1"/>
  <c r="W2207" i="1"/>
  <c r="J2207" i="1" s="1"/>
  <c r="W2206" i="1"/>
  <c r="J2206" i="1" s="1"/>
  <c r="W2205" i="1"/>
  <c r="J2205" i="1" s="1"/>
  <c r="W2204" i="1"/>
  <c r="J2204" i="1" s="1"/>
  <c r="W2203" i="1"/>
  <c r="J2203" i="1"/>
  <c r="W2202" i="1"/>
  <c r="J2202" i="1" s="1"/>
  <c r="W2201" i="1"/>
  <c r="J2201" i="1"/>
  <c r="W2200" i="1"/>
  <c r="J2200" i="1" s="1"/>
  <c r="W2199" i="1"/>
  <c r="J2199" i="1"/>
  <c r="W2198" i="1"/>
  <c r="J2198" i="1" s="1"/>
  <c r="W2197" i="1"/>
  <c r="J2197" i="1" s="1"/>
  <c r="W2196" i="1"/>
  <c r="J2196" i="1" s="1"/>
  <c r="W2195" i="1"/>
  <c r="J2195" i="1" s="1"/>
  <c r="W2194" i="1"/>
  <c r="J2194" i="1"/>
  <c r="W2193" i="1"/>
  <c r="J2193" i="1"/>
  <c r="W2192" i="1"/>
  <c r="J2192" i="1" s="1"/>
  <c r="W2191" i="1"/>
  <c r="J2191" i="1"/>
  <c r="W2190" i="1"/>
  <c r="J2190" i="1" s="1"/>
  <c r="W2189" i="1"/>
  <c r="J2189" i="1"/>
  <c r="W2188" i="1"/>
  <c r="J2188" i="1" s="1"/>
  <c r="W2187" i="1"/>
  <c r="J2187" i="1"/>
  <c r="W2186" i="1"/>
  <c r="J2186" i="1" s="1"/>
  <c r="W2185" i="1"/>
  <c r="J2185" i="1"/>
  <c r="W2184" i="1"/>
  <c r="J2184" i="1" s="1"/>
  <c r="W2183" i="1"/>
  <c r="J2183" i="1" s="1"/>
  <c r="W2182" i="1"/>
  <c r="J2182" i="1"/>
  <c r="W2181" i="1"/>
  <c r="J2181" i="1" s="1"/>
  <c r="W2180" i="1"/>
  <c r="J2180" i="1" s="1"/>
  <c r="W2179" i="1"/>
  <c r="J2179" i="1"/>
  <c r="W2178" i="1"/>
  <c r="J2178" i="1"/>
  <c r="W2177" i="1"/>
  <c r="J2177" i="1" s="1"/>
  <c r="W2176" i="1"/>
  <c r="J2176" i="1" s="1"/>
  <c r="W2175" i="1"/>
  <c r="J2175" i="1"/>
  <c r="W2174" i="1"/>
  <c r="J2174" i="1" s="1"/>
  <c r="W2173" i="1"/>
  <c r="J2173" i="1" s="1"/>
  <c r="W2172" i="1"/>
  <c r="J2172" i="1"/>
  <c r="W2171" i="1"/>
  <c r="J2171" i="1" s="1"/>
  <c r="W2170" i="1"/>
  <c r="J2170" i="1" s="1"/>
  <c r="W2169" i="1"/>
  <c r="J2169" i="1" s="1"/>
  <c r="W2168" i="1"/>
  <c r="J2168" i="1" s="1"/>
  <c r="W2167" i="1"/>
  <c r="J2167" i="1" s="1"/>
  <c r="W2166" i="1"/>
  <c r="J2166" i="1"/>
  <c r="W2165" i="1"/>
  <c r="J2165" i="1"/>
  <c r="W2164" i="1"/>
  <c r="J2164" i="1" s="1"/>
  <c r="W2163" i="1"/>
  <c r="J2163" i="1" s="1"/>
  <c r="W2162" i="1"/>
  <c r="J2162" i="1" s="1"/>
  <c r="W2161" i="1"/>
  <c r="J2161" i="1"/>
  <c r="W2160" i="1"/>
  <c r="J2160" i="1" s="1"/>
  <c r="W2159" i="1"/>
  <c r="J2159" i="1" s="1"/>
  <c r="W2158" i="1"/>
  <c r="J2158" i="1"/>
  <c r="W2157" i="1"/>
  <c r="J2157" i="1" s="1"/>
  <c r="W2156" i="1"/>
  <c r="J2156" i="1"/>
  <c r="W2155" i="1"/>
  <c r="J2155" i="1" s="1"/>
  <c r="W2154" i="1"/>
  <c r="J2154" i="1"/>
  <c r="W2153" i="1"/>
  <c r="J2153" i="1"/>
  <c r="W2152" i="1"/>
  <c r="J2152" i="1" s="1"/>
  <c r="W2151" i="1"/>
  <c r="J2151" i="1"/>
  <c r="W2150" i="1"/>
  <c r="J2150" i="1" s="1"/>
  <c r="W2149" i="1"/>
  <c r="J2149" i="1"/>
  <c r="W2148" i="1"/>
  <c r="J2148" i="1"/>
  <c r="W2147" i="1"/>
  <c r="J2147" i="1" s="1"/>
  <c r="W2146" i="1"/>
  <c r="J2146" i="1"/>
  <c r="W2145" i="1"/>
  <c r="J2145" i="1"/>
  <c r="W2144" i="1"/>
  <c r="J2144" i="1" s="1"/>
  <c r="W2143" i="1"/>
  <c r="J2143" i="1" s="1"/>
  <c r="W2142" i="1"/>
  <c r="J2142" i="1"/>
  <c r="W2141" i="1"/>
  <c r="J2141" i="1" s="1"/>
  <c r="W2140" i="1"/>
  <c r="J2140" i="1" s="1"/>
  <c r="W2139" i="1"/>
  <c r="J2139" i="1" s="1"/>
  <c r="W2138" i="1"/>
  <c r="J2138" i="1" s="1"/>
  <c r="W2137" i="1"/>
  <c r="J2137" i="1" s="1"/>
  <c r="W2136" i="1"/>
  <c r="J2136" i="1"/>
  <c r="W2135" i="1"/>
  <c r="J2135" i="1"/>
  <c r="W2134" i="1"/>
  <c r="J2134" i="1" s="1"/>
  <c r="W2133" i="1"/>
  <c r="J2133" i="1" s="1"/>
  <c r="W2132" i="1"/>
  <c r="J2132" i="1" s="1"/>
  <c r="W2131" i="1"/>
  <c r="J2131" i="1"/>
  <c r="W2130" i="1"/>
  <c r="J2130" i="1"/>
  <c r="W2129" i="1"/>
  <c r="J2129" i="1" s="1"/>
  <c r="W2128" i="1"/>
  <c r="J2128" i="1" s="1"/>
  <c r="W2127" i="1"/>
  <c r="J2127" i="1"/>
  <c r="W2126" i="1"/>
  <c r="J2126" i="1"/>
  <c r="W2125" i="1"/>
  <c r="J2125" i="1" s="1"/>
  <c r="W2124" i="1"/>
  <c r="J2124" i="1"/>
  <c r="W2123" i="1"/>
  <c r="J2123" i="1" s="1"/>
  <c r="W2122" i="1"/>
  <c r="J2122" i="1" s="1"/>
  <c r="W2121" i="1"/>
  <c r="J2121" i="1" s="1"/>
  <c r="W2120" i="1"/>
  <c r="J2120" i="1"/>
  <c r="W2119" i="1"/>
  <c r="J2119" i="1" s="1"/>
  <c r="W2118" i="1"/>
  <c r="J2118" i="1" s="1"/>
  <c r="W2117" i="1"/>
  <c r="J2117" i="1" s="1"/>
  <c r="W2116" i="1"/>
  <c r="J2116" i="1" s="1"/>
  <c r="W2115" i="1"/>
  <c r="J2115" i="1"/>
  <c r="W2114" i="1"/>
  <c r="J2114" i="1" s="1"/>
  <c r="W2113" i="1"/>
  <c r="J2113" i="1" s="1"/>
  <c r="W2112" i="1"/>
  <c r="J2112" i="1" s="1"/>
  <c r="W2111" i="1"/>
  <c r="J2111" i="1" s="1"/>
  <c r="W2110" i="1"/>
  <c r="J2110" i="1" s="1"/>
  <c r="W2109" i="1"/>
  <c r="J2109" i="1"/>
  <c r="W2108" i="1"/>
  <c r="J2108" i="1" s="1"/>
  <c r="W2107" i="1"/>
  <c r="J2107" i="1" s="1"/>
  <c r="W2106" i="1"/>
  <c r="J2106" i="1" s="1"/>
  <c r="W2105" i="1"/>
  <c r="J2105" i="1" s="1"/>
  <c r="W2104" i="1"/>
  <c r="J2104" i="1" s="1"/>
  <c r="W2103" i="1"/>
  <c r="J2103" i="1" s="1"/>
  <c r="W2102" i="1"/>
  <c r="J2102" i="1"/>
  <c r="W2101" i="1"/>
  <c r="J2101" i="1" s="1"/>
  <c r="W2100" i="1"/>
  <c r="J2100" i="1" s="1"/>
  <c r="W2099" i="1"/>
  <c r="J2099" i="1" s="1"/>
  <c r="W2098" i="1"/>
  <c r="J2098" i="1"/>
  <c r="W2097" i="1"/>
  <c r="J2097" i="1" s="1"/>
  <c r="W2096" i="1"/>
  <c r="J2096" i="1" s="1"/>
  <c r="W2095" i="1"/>
  <c r="J2095" i="1" s="1"/>
  <c r="W2094" i="1"/>
  <c r="J2094" i="1"/>
  <c r="W2093" i="1"/>
  <c r="J2093" i="1" s="1"/>
  <c r="W2092" i="1"/>
  <c r="J2092" i="1" s="1"/>
  <c r="W2091" i="1"/>
  <c r="J2091" i="1"/>
  <c r="W2090" i="1"/>
  <c r="J2090" i="1"/>
  <c r="W2089" i="1"/>
  <c r="J2089" i="1" s="1"/>
  <c r="W2088" i="1"/>
  <c r="J2088" i="1"/>
  <c r="W2087" i="1"/>
  <c r="J2087" i="1" s="1"/>
  <c r="W2086" i="1"/>
  <c r="J2086" i="1" s="1"/>
  <c r="W2085" i="1"/>
  <c r="J2085" i="1" s="1"/>
  <c r="W2084" i="1"/>
  <c r="J2084" i="1"/>
  <c r="W2083" i="1"/>
  <c r="J2083" i="1"/>
  <c r="W2081" i="1"/>
  <c r="J2081" i="1"/>
  <c r="W2080" i="1"/>
  <c r="J2080" i="1"/>
  <c r="W2079" i="1"/>
  <c r="J2079" i="1" s="1"/>
  <c r="W2078" i="1"/>
  <c r="J2078" i="1" s="1"/>
  <c r="W2077" i="1"/>
  <c r="J2077" i="1" s="1"/>
  <c r="W2076" i="1"/>
  <c r="J2076" i="1"/>
  <c r="W2075" i="1"/>
  <c r="J2075" i="1" s="1"/>
  <c r="W2074" i="1"/>
  <c r="J2074" i="1"/>
  <c r="W2073" i="1"/>
  <c r="J2073" i="1"/>
  <c r="W2072" i="1"/>
  <c r="J2072" i="1" s="1"/>
  <c r="W2071" i="1"/>
  <c r="J2071" i="1" s="1"/>
  <c r="W2070" i="1"/>
  <c r="J2070" i="1"/>
  <c r="W2069" i="1"/>
  <c r="J2069" i="1" s="1"/>
  <c r="W2068" i="1"/>
  <c r="J2068" i="1"/>
  <c r="W2067" i="1"/>
  <c r="J2067" i="1"/>
  <c r="W2066" i="1"/>
  <c r="J2066" i="1"/>
  <c r="W2065" i="1"/>
  <c r="J2065" i="1" s="1"/>
  <c r="W2064" i="1"/>
  <c r="J2064" i="1" s="1"/>
  <c r="W2063" i="1"/>
  <c r="J2063" i="1"/>
  <c r="W2062" i="1"/>
  <c r="J2062" i="1" s="1"/>
  <c r="W2061" i="1"/>
  <c r="J2061" i="1"/>
  <c r="W2060" i="1"/>
  <c r="J2060" i="1"/>
  <c r="W2059" i="1"/>
  <c r="J2059" i="1"/>
  <c r="W2058" i="1"/>
  <c r="J2058" i="1" s="1"/>
  <c r="W2057" i="1"/>
  <c r="J2057" i="1" s="1"/>
  <c r="W2056" i="1"/>
  <c r="J2056" i="1" s="1"/>
  <c r="W2055" i="1"/>
  <c r="J2055" i="1"/>
  <c r="W2054" i="1"/>
  <c r="J2054" i="1"/>
  <c r="W2053" i="1"/>
  <c r="J2053" i="1" s="1"/>
  <c r="W2052" i="1"/>
  <c r="J2052" i="1" s="1"/>
  <c r="W2051" i="1"/>
  <c r="J2051" i="1"/>
  <c r="W2050" i="1"/>
  <c r="J2050" i="1"/>
  <c r="W2049" i="1"/>
  <c r="J2049" i="1" s="1"/>
  <c r="W2048" i="1"/>
  <c r="J2048" i="1"/>
  <c r="W2047" i="1"/>
  <c r="J2047" i="1" s="1"/>
  <c r="W2046" i="1"/>
  <c r="J2046" i="1"/>
  <c r="W2045" i="1"/>
  <c r="J2045" i="1"/>
  <c r="W2044" i="1"/>
  <c r="J2044" i="1"/>
  <c r="W2043" i="1"/>
  <c r="J2043" i="1"/>
  <c r="W2042" i="1"/>
  <c r="J2042" i="1" s="1"/>
  <c r="W2041" i="1"/>
  <c r="J2041" i="1"/>
  <c r="W2040" i="1"/>
  <c r="J2040" i="1"/>
  <c r="W2039" i="1"/>
  <c r="J2039" i="1" s="1"/>
  <c r="W2038" i="1"/>
  <c r="J2038" i="1"/>
  <c r="W2037" i="1"/>
  <c r="J2037" i="1" s="1"/>
  <c r="W2036" i="1"/>
  <c r="J2036" i="1" s="1"/>
  <c r="W2035" i="1"/>
  <c r="J2035" i="1"/>
  <c r="W2034" i="1"/>
  <c r="J2034" i="1"/>
  <c r="W2033" i="1"/>
  <c r="J2033" i="1"/>
  <c r="W2032" i="1"/>
  <c r="J2032" i="1"/>
  <c r="W2031" i="1"/>
  <c r="J2031" i="1" s="1"/>
  <c r="W2030" i="1"/>
  <c r="J2030" i="1"/>
  <c r="W2029" i="1"/>
  <c r="J2029" i="1"/>
  <c r="W2028" i="1"/>
  <c r="J2028" i="1" s="1"/>
  <c r="W2027" i="1"/>
  <c r="J2027" i="1" s="1"/>
  <c r="W2026" i="1"/>
  <c r="J2026" i="1"/>
  <c r="W2025" i="1"/>
  <c r="J2025" i="1" s="1"/>
  <c r="W2024" i="1"/>
  <c r="J2024" i="1" s="1"/>
  <c r="W2023" i="1"/>
  <c r="J2023" i="1"/>
  <c r="W2022" i="1"/>
  <c r="J2022" i="1" s="1"/>
  <c r="W2021" i="1"/>
  <c r="J2021" i="1"/>
  <c r="W2020" i="1"/>
  <c r="J2020" i="1"/>
  <c r="W2019" i="1"/>
  <c r="J2019" i="1"/>
  <c r="W2018" i="1"/>
  <c r="J2018" i="1" s="1"/>
  <c r="W2017" i="1"/>
  <c r="J2017" i="1"/>
  <c r="W2016" i="1"/>
  <c r="J2016" i="1" s="1"/>
  <c r="W2015" i="1"/>
  <c r="J2015" i="1" s="1"/>
  <c r="W2014" i="1"/>
  <c r="J2014" i="1" s="1"/>
  <c r="W2013" i="1"/>
  <c r="J2013" i="1" s="1"/>
  <c r="W2012" i="1"/>
  <c r="J2012" i="1" s="1"/>
  <c r="W2011" i="1"/>
  <c r="J2011" i="1" s="1"/>
  <c r="W2010" i="1"/>
  <c r="J2010" i="1" s="1"/>
  <c r="W2009" i="1"/>
  <c r="J2009" i="1" s="1"/>
  <c r="W2008" i="1"/>
  <c r="J2008" i="1"/>
  <c r="W2007" i="1"/>
  <c r="J2007" i="1" s="1"/>
  <c r="W2006" i="1"/>
  <c r="J2006" i="1" s="1"/>
  <c r="W2005" i="1"/>
  <c r="J2005" i="1"/>
  <c r="W2004" i="1"/>
  <c r="J2004" i="1" s="1"/>
  <c r="W2003" i="1"/>
  <c r="J2003" i="1" s="1"/>
  <c r="W2002" i="1"/>
  <c r="J2002" i="1"/>
  <c r="W2001" i="1"/>
  <c r="J2001" i="1"/>
  <c r="W2000" i="1"/>
  <c r="J2000" i="1" s="1"/>
  <c r="W1999" i="1"/>
  <c r="J1999" i="1" s="1"/>
  <c r="W1998" i="1"/>
  <c r="J1998" i="1" s="1"/>
  <c r="W1997" i="1"/>
  <c r="J1997" i="1"/>
  <c r="W1996" i="1"/>
  <c r="J1996" i="1" s="1"/>
  <c r="W1995" i="1"/>
  <c r="J1995" i="1" s="1"/>
  <c r="W1994" i="1"/>
  <c r="J1994" i="1" s="1"/>
  <c r="W1993" i="1"/>
  <c r="J1993" i="1" s="1"/>
  <c r="W1992" i="1"/>
  <c r="J1992" i="1" s="1"/>
  <c r="W1991" i="1"/>
  <c r="J1991" i="1" s="1"/>
  <c r="W1990" i="1"/>
  <c r="J1990" i="1" s="1"/>
  <c r="W1989" i="1"/>
  <c r="J1989" i="1"/>
  <c r="W1988" i="1"/>
  <c r="J1988" i="1"/>
  <c r="W1987" i="1"/>
  <c r="J1987" i="1"/>
  <c r="W1986" i="1"/>
  <c r="J1986" i="1" s="1"/>
  <c r="W1985" i="1"/>
  <c r="J1985" i="1" s="1"/>
  <c r="W1984" i="1"/>
  <c r="J1984" i="1" s="1"/>
  <c r="W1983" i="1"/>
  <c r="J1983" i="1"/>
  <c r="W1982" i="1"/>
  <c r="J1982" i="1"/>
  <c r="W1981" i="1"/>
  <c r="J1981" i="1" s="1"/>
  <c r="W1980" i="1"/>
  <c r="J1980" i="1"/>
  <c r="W1979" i="1"/>
  <c r="J1979" i="1"/>
  <c r="W1978" i="1"/>
  <c r="J1978" i="1" s="1"/>
  <c r="W1977" i="1"/>
  <c r="J1977" i="1" s="1"/>
  <c r="W1976" i="1"/>
  <c r="J1976" i="1"/>
  <c r="W1975" i="1"/>
  <c r="J1975" i="1" s="1"/>
  <c r="W1974" i="1"/>
  <c r="J1974" i="1" s="1"/>
  <c r="W1973" i="1"/>
  <c r="J1973" i="1" s="1"/>
  <c r="W1972" i="1"/>
  <c r="J1972" i="1" s="1"/>
  <c r="W1971" i="1"/>
  <c r="J1971" i="1" s="1"/>
  <c r="W1970" i="1"/>
  <c r="J1970" i="1"/>
  <c r="W1969" i="1"/>
  <c r="J1969" i="1" s="1"/>
  <c r="W1968" i="1"/>
  <c r="J1968" i="1" s="1"/>
  <c r="W1967" i="1"/>
  <c r="J1967" i="1" s="1"/>
  <c r="W1966" i="1"/>
  <c r="J1966" i="1"/>
  <c r="W1965" i="1"/>
  <c r="J1965" i="1" s="1"/>
  <c r="W1964" i="1"/>
  <c r="J1964" i="1" s="1"/>
  <c r="W1963" i="1"/>
  <c r="J1963" i="1"/>
  <c r="W1962" i="1"/>
  <c r="J1962" i="1" s="1"/>
  <c r="W1961" i="1"/>
  <c r="J1961" i="1" s="1"/>
  <c r="W1960" i="1"/>
  <c r="J1960" i="1" s="1"/>
  <c r="W1959" i="1"/>
  <c r="J1959" i="1"/>
  <c r="W1958" i="1"/>
  <c r="J1958" i="1" s="1"/>
  <c r="W1957" i="1"/>
  <c r="J1957" i="1" s="1"/>
  <c r="W1956" i="1"/>
  <c r="J1956" i="1"/>
  <c r="W1955" i="1"/>
  <c r="J1955" i="1"/>
  <c r="W1954" i="1"/>
  <c r="J1954" i="1" s="1"/>
  <c r="W1953" i="1"/>
  <c r="J1953" i="1"/>
  <c r="W1952" i="1"/>
  <c r="J1952" i="1" s="1"/>
  <c r="W1951" i="1"/>
  <c r="J1951" i="1"/>
  <c r="W1950" i="1"/>
  <c r="J1950" i="1"/>
  <c r="W1949" i="1"/>
  <c r="J1949" i="1" s="1"/>
  <c r="W1948" i="1"/>
  <c r="J1948" i="1" s="1"/>
  <c r="W1947" i="1"/>
  <c r="J1947" i="1"/>
  <c r="W1946" i="1"/>
  <c r="J1946" i="1" s="1"/>
  <c r="W1945" i="1"/>
  <c r="J1945" i="1"/>
  <c r="W1944" i="1"/>
  <c r="J1944" i="1" s="1"/>
  <c r="W1943" i="1"/>
  <c r="J1943" i="1" s="1"/>
  <c r="W1942" i="1"/>
  <c r="J1942" i="1" s="1"/>
  <c r="W1941" i="1"/>
  <c r="J1941" i="1"/>
  <c r="W1940" i="1"/>
  <c r="J1940" i="1"/>
  <c r="W1939" i="1"/>
  <c r="J1939" i="1"/>
  <c r="W1938" i="1"/>
  <c r="J1938" i="1" s="1"/>
  <c r="W1937" i="1"/>
  <c r="J1937" i="1" s="1"/>
  <c r="W1936" i="1"/>
  <c r="J1936" i="1" s="1"/>
  <c r="W1935" i="1"/>
  <c r="J1935" i="1" s="1"/>
  <c r="W1934" i="1"/>
  <c r="J1934" i="1"/>
  <c r="W1933" i="1"/>
  <c r="J1933" i="1" s="1"/>
  <c r="W1932" i="1"/>
  <c r="J1932" i="1" s="1"/>
  <c r="W1931" i="1"/>
  <c r="J1931" i="1" s="1"/>
  <c r="W1930" i="1"/>
  <c r="J1930" i="1" s="1"/>
  <c r="W1929" i="1"/>
  <c r="J1929" i="1"/>
  <c r="W1928" i="1"/>
  <c r="J1928" i="1" s="1"/>
  <c r="W1927" i="1"/>
  <c r="J1927" i="1"/>
  <c r="W1926" i="1"/>
  <c r="J1926" i="1" s="1"/>
  <c r="W1925" i="1"/>
  <c r="J1925" i="1" s="1"/>
  <c r="W1924" i="1"/>
  <c r="J1924" i="1"/>
  <c r="W1923" i="1"/>
  <c r="J1923" i="1" s="1"/>
  <c r="W1922" i="1"/>
  <c r="J1922" i="1"/>
  <c r="W1921" i="1"/>
  <c r="J1921" i="1" s="1"/>
  <c r="W1920" i="1"/>
  <c r="J1920" i="1" s="1"/>
  <c r="W1919" i="1"/>
  <c r="J1919" i="1" s="1"/>
  <c r="W1918" i="1"/>
  <c r="J1918" i="1" s="1"/>
  <c r="W1917" i="1"/>
  <c r="J1917" i="1" s="1"/>
  <c r="W1916" i="1"/>
  <c r="J1916" i="1" s="1"/>
  <c r="W1915" i="1"/>
  <c r="J1915" i="1"/>
  <c r="W1914" i="1"/>
  <c r="J1914" i="1" s="1"/>
  <c r="W1913" i="1"/>
  <c r="J1913" i="1"/>
  <c r="W1912" i="1"/>
  <c r="J1912" i="1" s="1"/>
  <c r="W1911" i="1"/>
  <c r="J1911" i="1" s="1"/>
  <c r="W1910" i="1"/>
  <c r="J1910" i="1" s="1"/>
  <c r="W1909" i="1"/>
  <c r="J1909" i="1"/>
  <c r="W1908" i="1"/>
  <c r="J1908" i="1" s="1"/>
  <c r="W1907" i="1"/>
  <c r="J1907" i="1" s="1"/>
  <c r="W1906" i="1"/>
  <c r="J1906" i="1" s="1"/>
  <c r="W1905" i="1"/>
  <c r="J1905" i="1" s="1"/>
  <c r="W1904" i="1"/>
  <c r="J1904" i="1" s="1"/>
  <c r="W1903" i="1"/>
  <c r="J1903" i="1" s="1"/>
  <c r="W1902" i="1"/>
  <c r="J1902" i="1" s="1"/>
  <c r="W1901" i="1"/>
  <c r="J1901" i="1"/>
  <c r="W1900" i="1"/>
  <c r="J1900" i="1" s="1"/>
  <c r="W1899" i="1"/>
  <c r="J1899" i="1" s="1"/>
  <c r="W1898" i="1"/>
  <c r="J1898" i="1"/>
  <c r="W1897" i="1"/>
  <c r="J1897" i="1" s="1"/>
  <c r="W1896" i="1"/>
  <c r="J1896" i="1" s="1"/>
  <c r="W1895" i="1"/>
  <c r="J1895" i="1"/>
  <c r="W1894" i="1"/>
  <c r="J1894" i="1" s="1"/>
  <c r="W1893" i="1"/>
  <c r="J1893" i="1" s="1"/>
  <c r="W1892" i="1"/>
  <c r="J1892" i="1" s="1"/>
  <c r="W1891" i="1"/>
  <c r="J1891" i="1" s="1"/>
  <c r="W1890" i="1"/>
  <c r="J1890" i="1" s="1"/>
  <c r="W1889" i="1"/>
  <c r="J1889" i="1" s="1"/>
  <c r="W1888" i="1"/>
  <c r="J1888" i="1" s="1"/>
  <c r="W1887" i="1"/>
  <c r="J1887" i="1"/>
  <c r="W1886" i="1"/>
  <c r="J1886" i="1" s="1"/>
  <c r="W1885" i="1"/>
  <c r="J1885" i="1"/>
  <c r="W1884" i="1"/>
  <c r="J1884" i="1" s="1"/>
  <c r="W1883" i="1"/>
  <c r="J1883" i="1"/>
  <c r="W1882" i="1"/>
  <c r="J1882" i="1"/>
  <c r="W1881" i="1"/>
  <c r="J1881" i="1" s="1"/>
  <c r="W1880" i="1"/>
  <c r="J1880" i="1"/>
  <c r="W1879" i="1"/>
  <c r="J1879" i="1" s="1"/>
  <c r="W1878" i="1"/>
  <c r="J1878" i="1"/>
  <c r="W1877" i="1"/>
  <c r="J1877" i="1" s="1"/>
  <c r="W1876" i="1"/>
  <c r="J1876" i="1"/>
  <c r="W1875" i="1"/>
  <c r="J1875" i="1"/>
  <c r="W1874" i="1"/>
  <c r="J1874" i="1" s="1"/>
  <c r="W1873" i="1"/>
  <c r="J1873" i="1"/>
  <c r="W1872" i="1"/>
  <c r="J1872" i="1" s="1"/>
  <c r="W1871" i="1"/>
  <c r="J1871" i="1"/>
  <c r="W1870" i="1"/>
  <c r="J1870" i="1" s="1"/>
  <c r="W1869" i="1"/>
  <c r="J1869" i="1"/>
  <c r="W1868" i="1"/>
  <c r="J1868" i="1"/>
  <c r="W1867" i="1"/>
  <c r="J1867" i="1" s="1"/>
  <c r="W1866" i="1"/>
  <c r="J1866" i="1"/>
  <c r="W1865" i="1"/>
  <c r="J1865" i="1"/>
  <c r="W1864" i="1"/>
  <c r="J1864" i="1" s="1"/>
  <c r="W1863" i="1"/>
  <c r="J1863" i="1" s="1"/>
  <c r="W1862" i="1"/>
  <c r="J1862" i="1" s="1"/>
  <c r="W1861" i="1"/>
  <c r="J1861" i="1" s="1"/>
  <c r="W1860" i="1"/>
  <c r="J1860" i="1" s="1"/>
  <c r="W1859" i="1"/>
  <c r="J1859" i="1" s="1"/>
  <c r="W1858" i="1"/>
  <c r="J1858" i="1"/>
  <c r="W1857" i="1"/>
  <c r="J1857" i="1" s="1"/>
  <c r="W1856" i="1"/>
  <c r="J1856" i="1" s="1"/>
  <c r="W1855" i="1"/>
  <c r="J1855" i="1" s="1"/>
  <c r="W1854" i="1"/>
  <c r="J1854" i="1" s="1"/>
  <c r="W1853" i="1"/>
  <c r="J1853" i="1" s="1"/>
  <c r="W1852" i="1"/>
  <c r="J1852" i="1" s="1"/>
  <c r="W1851" i="1"/>
  <c r="J1851" i="1" s="1"/>
  <c r="W1850" i="1"/>
  <c r="J1850" i="1" s="1"/>
  <c r="W1849" i="1"/>
  <c r="J1849" i="1" s="1"/>
  <c r="W1848" i="1"/>
  <c r="J1848" i="1"/>
  <c r="W1847" i="1"/>
  <c r="J1847" i="1" s="1"/>
  <c r="W1846" i="1"/>
  <c r="J1846" i="1" s="1"/>
  <c r="W1845" i="1"/>
  <c r="J1845" i="1" s="1"/>
  <c r="W1844" i="1"/>
  <c r="J1844" i="1" s="1"/>
  <c r="W1843" i="1"/>
  <c r="J1843" i="1" s="1"/>
  <c r="W1842" i="1"/>
  <c r="J1842" i="1" s="1"/>
  <c r="W1841" i="1"/>
  <c r="J1841" i="1"/>
  <c r="W1840" i="1"/>
  <c r="J1840" i="1" s="1"/>
  <c r="W1839" i="1"/>
  <c r="J1839" i="1" s="1"/>
  <c r="W1838" i="1"/>
  <c r="J1838" i="1"/>
  <c r="W1837" i="1"/>
  <c r="J1837" i="1" s="1"/>
  <c r="W1836" i="1"/>
  <c r="J1836" i="1" s="1"/>
  <c r="W1835" i="1"/>
  <c r="J1835" i="1" s="1"/>
  <c r="W1834" i="1"/>
  <c r="J1834" i="1" s="1"/>
  <c r="W1833" i="1"/>
  <c r="J1833" i="1" s="1"/>
  <c r="W1832" i="1"/>
  <c r="J1832" i="1"/>
  <c r="W1831" i="1"/>
  <c r="J1831" i="1"/>
  <c r="W1830" i="1"/>
  <c r="J1830" i="1" s="1"/>
  <c r="W1829" i="1"/>
  <c r="J1829" i="1" s="1"/>
  <c r="W1828" i="1"/>
  <c r="J1828" i="1"/>
  <c r="W1827" i="1"/>
  <c r="J1827" i="1" s="1"/>
  <c r="W1826" i="1"/>
  <c r="J1826" i="1"/>
  <c r="W1825" i="1"/>
  <c r="J1825" i="1" s="1"/>
  <c r="W1824" i="1"/>
  <c r="J1824" i="1" s="1"/>
  <c r="W1823" i="1"/>
  <c r="J1823" i="1" s="1"/>
  <c r="W1822" i="1"/>
  <c r="J1822" i="1"/>
  <c r="W1821" i="1"/>
  <c r="J1821" i="1" s="1"/>
  <c r="W1820" i="1"/>
  <c r="J1820" i="1"/>
  <c r="W1819" i="1"/>
  <c r="J1819" i="1" s="1"/>
  <c r="W1818" i="1"/>
  <c r="J1818" i="1" s="1"/>
  <c r="W1817" i="1"/>
  <c r="J1817" i="1" s="1"/>
  <c r="W1816" i="1"/>
  <c r="J1816" i="1" s="1"/>
  <c r="W1815" i="1"/>
  <c r="J1815" i="1" s="1"/>
  <c r="W1814" i="1"/>
  <c r="J1814" i="1"/>
  <c r="W1813" i="1"/>
  <c r="J1813" i="1" s="1"/>
  <c r="W1812" i="1"/>
  <c r="J1812" i="1" s="1"/>
  <c r="W1811" i="1"/>
  <c r="J1811" i="1"/>
  <c r="W1810" i="1"/>
  <c r="J1810" i="1" s="1"/>
  <c r="W1809" i="1"/>
  <c r="J1809" i="1"/>
  <c r="W1808" i="1"/>
  <c r="J1808" i="1"/>
  <c r="W1807" i="1"/>
  <c r="J1807" i="1" s="1"/>
  <c r="W1805" i="1"/>
  <c r="J1805" i="1"/>
  <c r="W1804" i="1"/>
  <c r="J1804" i="1"/>
  <c r="W1803" i="1"/>
  <c r="J1803" i="1"/>
  <c r="W1802" i="1"/>
  <c r="J1802" i="1" s="1"/>
  <c r="W1801" i="1"/>
  <c r="J1801" i="1"/>
  <c r="W1800" i="1"/>
  <c r="J1800" i="1" s="1"/>
  <c r="W1799" i="1"/>
  <c r="J1799" i="1"/>
  <c r="W1798" i="1"/>
  <c r="J1798" i="1"/>
  <c r="W1797" i="1"/>
  <c r="J1797" i="1"/>
  <c r="W1796" i="1"/>
  <c r="J1796" i="1" s="1"/>
  <c r="W1795" i="1"/>
  <c r="J1795" i="1" s="1"/>
  <c r="W1794" i="1"/>
  <c r="J1794" i="1" s="1"/>
  <c r="W1793" i="1"/>
  <c r="J1793" i="1" s="1"/>
  <c r="W1792" i="1"/>
  <c r="J1792" i="1"/>
  <c r="W1791" i="1"/>
  <c r="J1791" i="1" s="1"/>
  <c r="W1790" i="1"/>
  <c r="J1790" i="1"/>
  <c r="W1789" i="1"/>
  <c r="J1789" i="1"/>
  <c r="W1788" i="1"/>
  <c r="J1788" i="1"/>
  <c r="W1787" i="1"/>
  <c r="J1787" i="1"/>
  <c r="W1786" i="1"/>
  <c r="J1786" i="1" s="1"/>
  <c r="W1785" i="1"/>
  <c r="J1785" i="1" s="1"/>
  <c r="W1784" i="1"/>
  <c r="J1784" i="1" s="1"/>
  <c r="W1783" i="1"/>
  <c r="J1783" i="1"/>
  <c r="W1782" i="1"/>
  <c r="J1782" i="1" s="1"/>
  <c r="W1781" i="1"/>
  <c r="J1781" i="1" s="1"/>
  <c r="W1780" i="1"/>
  <c r="J1780" i="1"/>
  <c r="W1779" i="1"/>
  <c r="J1779" i="1" s="1"/>
  <c r="W1778" i="1"/>
  <c r="J1778" i="1"/>
  <c r="W1777" i="1"/>
  <c r="J1777" i="1"/>
  <c r="W1776" i="1"/>
  <c r="J1776" i="1" s="1"/>
  <c r="W1775" i="1"/>
  <c r="J1775" i="1"/>
  <c r="W1774" i="1"/>
  <c r="J1774" i="1"/>
  <c r="W1773" i="1"/>
  <c r="J1773" i="1" s="1"/>
  <c r="W1772" i="1"/>
  <c r="J1772" i="1" s="1"/>
  <c r="W1771" i="1"/>
  <c r="J1771" i="1"/>
  <c r="W1770" i="1"/>
  <c r="J1770" i="1" s="1"/>
  <c r="W1769" i="1"/>
  <c r="J1769" i="1" s="1"/>
  <c r="W1768" i="1"/>
  <c r="J1768" i="1"/>
  <c r="W1767" i="1"/>
  <c r="J1767" i="1"/>
  <c r="W1766" i="1"/>
  <c r="J1766" i="1" s="1"/>
  <c r="W1765" i="1"/>
  <c r="J1765" i="1"/>
  <c r="W1764" i="1"/>
  <c r="J1764" i="1"/>
  <c r="W1763" i="1"/>
  <c r="J1763" i="1" s="1"/>
  <c r="W1762" i="1"/>
  <c r="J1762" i="1" s="1"/>
  <c r="W1761" i="1"/>
  <c r="J1761" i="1"/>
  <c r="W1760" i="1"/>
  <c r="J1760" i="1"/>
  <c r="W1759" i="1"/>
  <c r="J1759" i="1" s="1"/>
  <c r="W1758" i="1"/>
  <c r="J1758" i="1" s="1"/>
  <c r="W1757" i="1"/>
  <c r="J1757" i="1"/>
  <c r="W1756" i="1"/>
  <c r="J1756" i="1" s="1"/>
  <c r="W1755" i="1"/>
  <c r="J1755" i="1" s="1"/>
  <c r="W1754" i="1"/>
  <c r="J1754" i="1" s="1"/>
  <c r="W1753" i="1"/>
  <c r="J1753" i="1" s="1"/>
  <c r="W1752" i="1"/>
  <c r="J1752" i="1" s="1"/>
  <c r="W1751" i="1"/>
  <c r="J1751" i="1" s="1"/>
  <c r="W1750" i="1"/>
  <c r="J1750" i="1" s="1"/>
  <c r="W1749" i="1"/>
  <c r="J1749" i="1"/>
  <c r="W1748" i="1"/>
  <c r="J1748" i="1" s="1"/>
  <c r="W1747" i="1"/>
  <c r="J1747" i="1"/>
  <c r="W1746" i="1"/>
  <c r="J1746" i="1" s="1"/>
  <c r="W1745" i="1"/>
  <c r="J1745" i="1"/>
  <c r="W1744" i="1"/>
  <c r="J1744" i="1" s="1"/>
  <c r="W1743" i="1"/>
  <c r="J1743" i="1"/>
  <c r="W1742" i="1"/>
  <c r="J1742" i="1"/>
  <c r="W1741" i="1"/>
  <c r="J1741" i="1" s="1"/>
  <c r="W1740" i="1"/>
  <c r="J1740" i="1" s="1"/>
  <c r="W1739" i="1"/>
  <c r="J1739" i="1"/>
  <c r="W1738" i="1"/>
  <c r="J1738" i="1"/>
  <c r="W1737" i="1"/>
  <c r="J1737" i="1"/>
  <c r="W1736" i="1"/>
  <c r="J1736" i="1"/>
  <c r="W1735" i="1"/>
  <c r="J1735" i="1"/>
  <c r="W1734" i="1"/>
  <c r="J1734" i="1" s="1"/>
  <c r="W1733" i="1"/>
  <c r="J1733" i="1"/>
  <c r="W1732" i="1"/>
  <c r="J1732" i="1"/>
  <c r="W1731" i="1"/>
  <c r="J1731" i="1" s="1"/>
  <c r="W1730" i="1"/>
  <c r="J1730" i="1" s="1"/>
  <c r="W1729" i="1"/>
  <c r="J1729" i="1"/>
  <c r="W1728" i="1"/>
  <c r="J1728" i="1"/>
  <c r="W1727" i="1"/>
  <c r="J1727" i="1" s="1"/>
  <c r="W1726" i="1"/>
  <c r="J1726" i="1"/>
  <c r="W1725" i="1"/>
  <c r="J1725" i="1"/>
  <c r="W1724" i="1"/>
  <c r="J1724" i="1"/>
  <c r="W1723" i="1"/>
  <c r="J1723" i="1" s="1"/>
  <c r="W1722" i="1"/>
  <c r="J1722" i="1"/>
  <c r="W1721" i="1"/>
  <c r="J1721" i="1" s="1"/>
  <c r="W1720" i="1"/>
  <c r="J1720" i="1" s="1"/>
  <c r="W1719" i="1"/>
  <c r="J1719" i="1"/>
  <c r="W1718" i="1"/>
  <c r="J1718" i="1" s="1"/>
  <c r="W1717" i="1"/>
  <c r="J1717" i="1"/>
  <c r="W1716" i="1"/>
  <c r="J1716" i="1"/>
  <c r="W1715" i="1"/>
  <c r="J1715" i="1"/>
  <c r="W1714" i="1"/>
  <c r="J1714" i="1"/>
  <c r="W1713" i="1"/>
  <c r="J1713" i="1"/>
  <c r="W1712" i="1"/>
  <c r="J1712" i="1"/>
  <c r="W1711" i="1"/>
  <c r="J1711" i="1"/>
  <c r="W1710" i="1"/>
  <c r="J1710" i="1"/>
  <c r="W1709" i="1"/>
  <c r="J1709" i="1"/>
  <c r="W1708" i="1"/>
  <c r="J1708" i="1"/>
  <c r="W1707" i="1"/>
  <c r="J1707" i="1"/>
  <c r="W1706" i="1"/>
  <c r="J1706" i="1"/>
  <c r="W1705" i="1"/>
  <c r="J1705" i="1"/>
  <c r="W1704" i="1"/>
  <c r="J1704" i="1" s="1"/>
  <c r="W1703" i="1"/>
  <c r="J1703" i="1" s="1"/>
  <c r="W1702" i="1"/>
  <c r="J1702" i="1" s="1"/>
  <c r="W1701" i="1"/>
  <c r="J1701" i="1"/>
  <c r="W1700" i="1"/>
  <c r="J1700" i="1"/>
  <c r="W1699" i="1"/>
  <c r="J1699" i="1"/>
  <c r="W1698" i="1"/>
  <c r="J1698" i="1"/>
  <c r="W1697" i="1"/>
  <c r="J1697" i="1"/>
  <c r="W1696" i="1"/>
  <c r="J1696" i="1" s="1"/>
  <c r="W1695" i="1"/>
  <c r="J1695" i="1"/>
  <c r="W1694" i="1"/>
  <c r="J1694" i="1"/>
  <c r="W1693" i="1"/>
  <c r="J1693" i="1" s="1"/>
  <c r="W1692" i="1"/>
  <c r="J1692" i="1"/>
  <c r="W1691" i="1"/>
  <c r="J1691" i="1"/>
  <c r="W1690" i="1"/>
  <c r="J1690" i="1"/>
  <c r="W1689" i="1"/>
  <c r="J1689" i="1" s="1"/>
  <c r="W1688" i="1"/>
  <c r="J1688" i="1"/>
  <c r="W1687" i="1"/>
  <c r="J1687" i="1" s="1"/>
  <c r="W1686" i="1"/>
  <c r="J1686" i="1" s="1"/>
  <c r="W1685" i="1"/>
  <c r="J1685" i="1"/>
  <c r="W1684" i="1"/>
  <c r="J1684" i="1"/>
  <c r="W1683" i="1"/>
  <c r="J1683" i="1" s="1"/>
  <c r="W1682" i="1"/>
  <c r="J1682" i="1"/>
  <c r="W1681" i="1"/>
  <c r="J1681" i="1" s="1"/>
  <c r="W1680" i="1"/>
  <c r="J1680" i="1"/>
  <c r="W1679" i="1"/>
  <c r="J1679" i="1" s="1"/>
  <c r="W1678" i="1"/>
  <c r="J1678" i="1" s="1"/>
  <c r="W1677" i="1"/>
  <c r="J1677" i="1"/>
  <c r="W1676" i="1"/>
  <c r="J1676" i="1" s="1"/>
  <c r="W1675" i="1"/>
  <c r="J1675" i="1"/>
  <c r="W1674" i="1"/>
  <c r="J1674" i="1"/>
  <c r="W1673" i="1"/>
  <c r="J1673" i="1" s="1"/>
  <c r="W1672" i="1"/>
  <c r="J1672" i="1"/>
  <c r="W1671" i="1"/>
  <c r="J1671" i="1" s="1"/>
  <c r="W1670" i="1"/>
  <c r="J1670" i="1"/>
  <c r="W1669" i="1"/>
  <c r="J1669" i="1" s="1"/>
  <c r="W1668" i="1"/>
  <c r="J1668" i="1" s="1"/>
  <c r="W1667" i="1"/>
  <c r="J1667" i="1" s="1"/>
  <c r="W1666" i="1"/>
  <c r="J1666" i="1"/>
  <c r="W1665" i="1"/>
  <c r="J1665" i="1" s="1"/>
  <c r="W1664" i="1"/>
  <c r="J1664" i="1"/>
  <c r="W1663" i="1"/>
  <c r="J1663" i="1"/>
  <c r="W1662" i="1"/>
  <c r="J1662" i="1" s="1"/>
  <c r="W1661" i="1"/>
  <c r="J1661" i="1" s="1"/>
  <c r="W1660" i="1"/>
  <c r="J1660" i="1"/>
  <c r="W1659" i="1"/>
  <c r="J1659" i="1"/>
  <c r="W1658" i="1"/>
  <c r="J1658" i="1"/>
  <c r="W1657" i="1"/>
  <c r="J1657" i="1" s="1"/>
  <c r="W1656" i="1"/>
  <c r="J1656" i="1"/>
  <c r="W1655" i="1"/>
  <c r="J1655" i="1" s="1"/>
  <c r="W1654" i="1"/>
  <c r="J1654" i="1" s="1"/>
  <c r="W1653" i="1"/>
  <c r="J1653" i="1" s="1"/>
  <c r="W1652" i="1"/>
  <c r="J1652" i="1" s="1"/>
  <c r="W1651" i="1"/>
  <c r="J1651" i="1"/>
  <c r="W1650" i="1"/>
  <c r="J1650" i="1" s="1"/>
  <c r="W1649" i="1"/>
  <c r="J1649" i="1" s="1"/>
  <c r="W1648" i="1"/>
  <c r="J1648" i="1"/>
  <c r="W1647" i="1"/>
  <c r="J1647" i="1"/>
  <c r="W1646" i="1"/>
  <c r="J1646" i="1" s="1"/>
  <c r="W1645" i="1"/>
  <c r="J1645" i="1" s="1"/>
  <c r="W1644" i="1"/>
  <c r="J1644" i="1"/>
  <c r="W1643" i="1"/>
  <c r="J1643" i="1"/>
  <c r="W1642" i="1"/>
  <c r="J1642" i="1" s="1"/>
  <c r="W1641" i="1"/>
  <c r="J1641" i="1" s="1"/>
  <c r="W1640" i="1"/>
  <c r="J1640" i="1" s="1"/>
  <c r="W1639" i="1"/>
  <c r="J1639" i="1"/>
  <c r="W1638" i="1"/>
  <c r="J1638" i="1" s="1"/>
  <c r="W1637" i="1"/>
  <c r="J1637" i="1"/>
  <c r="W1636" i="1"/>
  <c r="J1636" i="1" s="1"/>
  <c r="W1635" i="1"/>
  <c r="J1635" i="1" s="1"/>
  <c r="W1634" i="1"/>
  <c r="J1634" i="1"/>
  <c r="W1633" i="1"/>
  <c r="J1633" i="1"/>
  <c r="W1632" i="1"/>
  <c r="J1632" i="1" s="1"/>
  <c r="W1631" i="1"/>
  <c r="J1631" i="1"/>
  <c r="W1630" i="1"/>
  <c r="J1630" i="1" s="1"/>
  <c r="W1629" i="1"/>
  <c r="J1629" i="1" s="1"/>
  <c r="W1628" i="1"/>
  <c r="J1628" i="1" s="1"/>
  <c r="W1627" i="1"/>
  <c r="J1627" i="1" s="1"/>
  <c r="W1626" i="1"/>
  <c r="J1626" i="1" s="1"/>
  <c r="W1625" i="1"/>
  <c r="J1625" i="1" s="1"/>
  <c r="W1624" i="1"/>
  <c r="J1624" i="1"/>
  <c r="W1623" i="1"/>
  <c r="J1623" i="1"/>
  <c r="W1622" i="1"/>
  <c r="J1622" i="1" s="1"/>
  <c r="W1621" i="1"/>
  <c r="J1621" i="1"/>
  <c r="W1620" i="1"/>
  <c r="J1620" i="1"/>
  <c r="W1619" i="1"/>
  <c r="J1619" i="1" s="1"/>
  <c r="W1618" i="1"/>
  <c r="J1618" i="1" s="1"/>
  <c r="W1617" i="1"/>
  <c r="J1617" i="1" s="1"/>
  <c r="W1616" i="1"/>
  <c r="J1616" i="1" s="1"/>
  <c r="W1615" i="1"/>
  <c r="J1615" i="1"/>
  <c r="W1614" i="1"/>
  <c r="J1614" i="1" s="1"/>
  <c r="W1613" i="1"/>
  <c r="J1613" i="1" s="1"/>
  <c r="W1612" i="1"/>
  <c r="J1612" i="1"/>
  <c r="W1611" i="1"/>
  <c r="J1611" i="1" s="1"/>
  <c r="W1610" i="1"/>
  <c r="J1610" i="1"/>
  <c r="W1609" i="1"/>
  <c r="J1609" i="1"/>
  <c r="W1608" i="1"/>
  <c r="J1608" i="1" s="1"/>
  <c r="W1607" i="1"/>
  <c r="J1607" i="1"/>
  <c r="W1606" i="1"/>
  <c r="J1606" i="1"/>
  <c r="W1605" i="1"/>
  <c r="J1605" i="1" s="1"/>
  <c r="W1604" i="1"/>
  <c r="J1604" i="1" s="1"/>
  <c r="W1603" i="1"/>
  <c r="J1603" i="1" s="1"/>
  <c r="W1602" i="1"/>
  <c r="J1602" i="1" s="1"/>
  <c r="W1601" i="1"/>
  <c r="J1601" i="1" s="1"/>
  <c r="W1600" i="1"/>
  <c r="J1600" i="1" s="1"/>
  <c r="W1599" i="1"/>
  <c r="J1599" i="1" s="1"/>
  <c r="W1598" i="1"/>
  <c r="J1598" i="1" s="1"/>
  <c r="W1597" i="1"/>
  <c r="J1597" i="1" s="1"/>
  <c r="W1596" i="1"/>
  <c r="J1596" i="1" s="1"/>
  <c r="W1595" i="1"/>
  <c r="J1595" i="1" s="1"/>
  <c r="W1594" i="1"/>
  <c r="J1594" i="1" s="1"/>
  <c r="W1593" i="1"/>
  <c r="J1593" i="1" s="1"/>
  <c r="W1592" i="1"/>
  <c r="J1592" i="1" s="1"/>
  <c r="W1591" i="1"/>
  <c r="J1591" i="1" s="1"/>
  <c r="W1590" i="1"/>
  <c r="J1590" i="1" s="1"/>
  <c r="W1589" i="1"/>
  <c r="J1589" i="1" s="1"/>
  <c r="W1588" i="1"/>
  <c r="J1588" i="1" s="1"/>
  <c r="W1587" i="1"/>
  <c r="J1587" i="1" s="1"/>
  <c r="W1586" i="1"/>
  <c r="J1586" i="1" s="1"/>
  <c r="W1585" i="1"/>
  <c r="J1585" i="1" s="1"/>
  <c r="W1584" i="1"/>
  <c r="J1584" i="1" s="1"/>
  <c r="W1583" i="1"/>
  <c r="J1583" i="1" s="1"/>
  <c r="W1582" i="1"/>
  <c r="J1582" i="1" s="1"/>
  <c r="W1581" i="1"/>
  <c r="J1581" i="1" s="1"/>
  <c r="W1580" i="1"/>
  <c r="J1580" i="1" s="1"/>
  <c r="W1579" i="1"/>
  <c r="J1579" i="1"/>
  <c r="W1578" i="1"/>
  <c r="J1578" i="1" s="1"/>
  <c r="W1577" i="1"/>
  <c r="J1577" i="1" s="1"/>
  <c r="W1576" i="1"/>
  <c r="J1576" i="1"/>
  <c r="W1575" i="1"/>
  <c r="J1575" i="1" s="1"/>
  <c r="W1574" i="1"/>
  <c r="J1574" i="1" s="1"/>
  <c r="W1573" i="1"/>
  <c r="J1573" i="1" s="1"/>
  <c r="W1572" i="1"/>
  <c r="J1572" i="1" s="1"/>
  <c r="W1571" i="1"/>
  <c r="J1571" i="1" s="1"/>
  <c r="W1570" i="1"/>
  <c r="J1570" i="1" s="1"/>
  <c r="W1569" i="1"/>
  <c r="J1569" i="1"/>
  <c r="W1568" i="1"/>
  <c r="J1568" i="1"/>
  <c r="W1567" i="1"/>
  <c r="J1567" i="1"/>
  <c r="W1566" i="1"/>
  <c r="J1566" i="1"/>
  <c r="W1565" i="1"/>
  <c r="J1565" i="1"/>
  <c r="W1564" i="1"/>
  <c r="J1564" i="1"/>
  <c r="W1563" i="1"/>
  <c r="J1563" i="1"/>
  <c r="W1562" i="1"/>
  <c r="J1562" i="1"/>
  <c r="W1561" i="1"/>
  <c r="J1561" i="1"/>
  <c r="W1560" i="1"/>
  <c r="J1560" i="1"/>
  <c r="W1559" i="1"/>
  <c r="J1559" i="1"/>
  <c r="W1558" i="1"/>
  <c r="J1558" i="1"/>
  <c r="W1557" i="1"/>
  <c r="J1557" i="1"/>
  <c r="W1556" i="1"/>
  <c r="J1556" i="1"/>
  <c r="W1555" i="1"/>
  <c r="J1555" i="1"/>
  <c r="W1554" i="1"/>
  <c r="J1554" i="1"/>
  <c r="W1553" i="1"/>
  <c r="J1553" i="1"/>
  <c r="W1552" i="1"/>
  <c r="J1552" i="1"/>
  <c r="W1551" i="1"/>
  <c r="J1551" i="1"/>
  <c r="W1550" i="1"/>
  <c r="J1550" i="1" s="1"/>
  <c r="W1549" i="1"/>
  <c r="J1549" i="1"/>
  <c r="W1548" i="1"/>
  <c r="J1548" i="1" s="1"/>
  <c r="W1547" i="1"/>
  <c r="J1547" i="1" s="1"/>
  <c r="W1546" i="1"/>
  <c r="J1546" i="1" s="1"/>
  <c r="W1545" i="1"/>
  <c r="J1545" i="1"/>
  <c r="W1544" i="1"/>
  <c r="J1544" i="1" s="1"/>
  <c r="W1543" i="1"/>
  <c r="J1543" i="1" s="1"/>
  <c r="W1542" i="1"/>
  <c r="J1542" i="1"/>
  <c r="W1541" i="1"/>
  <c r="J1541" i="1"/>
  <c r="W1540" i="1"/>
  <c r="J1540" i="1" s="1"/>
  <c r="W1539" i="1"/>
  <c r="J1539" i="1"/>
  <c r="W1538" i="1"/>
  <c r="J1538" i="1"/>
  <c r="W1537" i="1"/>
  <c r="J1537" i="1"/>
  <c r="W1536" i="1"/>
  <c r="J1536" i="1"/>
  <c r="W1535" i="1"/>
  <c r="J1535" i="1" s="1"/>
  <c r="W1534" i="1"/>
  <c r="J1534" i="1" s="1"/>
  <c r="W1533" i="1"/>
  <c r="J1533" i="1" s="1"/>
  <c r="W1532" i="1"/>
  <c r="J1532" i="1" s="1"/>
  <c r="W1531" i="1"/>
  <c r="J1531" i="1" s="1"/>
  <c r="W1530" i="1"/>
  <c r="J1530" i="1" s="1"/>
  <c r="W1529" i="1"/>
  <c r="J1529" i="1" s="1"/>
  <c r="W1528" i="1"/>
  <c r="J1528" i="1"/>
  <c r="W1527" i="1"/>
  <c r="J1527" i="1" s="1"/>
  <c r="W1526" i="1"/>
  <c r="J1526" i="1" s="1"/>
  <c r="W1525" i="1"/>
  <c r="J1525" i="1" s="1"/>
  <c r="W1524" i="1"/>
  <c r="J1524" i="1" s="1"/>
  <c r="W1523" i="1"/>
  <c r="J1523" i="1" s="1"/>
  <c r="W1522" i="1"/>
  <c r="J1522" i="1" s="1"/>
  <c r="W1521" i="1"/>
  <c r="J1521" i="1"/>
  <c r="W1520" i="1"/>
  <c r="J1520" i="1" s="1"/>
  <c r="W1519" i="1"/>
  <c r="J1519" i="1" s="1"/>
  <c r="W1518" i="1"/>
  <c r="J1518" i="1" s="1"/>
  <c r="W1517" i="1"/>
  <c r="J1517" i="1" s="1"/>
  <c r="W1516" i="1"/>
  <c r="J1516" i="1" s="1"/>
  <c r="W1515" i="1"/>
  <c r="J1515" i="1" s="1"/>
  <c r="W1514" i="1"/>
  <c r="J1514" i="1" s="1"/>
  <c r="W1513" i="1"/>
  <c r="J1513" i="1"/>
  <c r="W1512" i="1"/>
  <c r="J1512" i="1"/>
  <c r="W1511" i="1"/>
  <c r="J1511" i="1"/>
  <c r="W1510" i="1"/>
  <c r="J1510" i="1"/>
  <c r="W1509" i="1"/>
  <c r="J1509" i="1"/>
  <c r="W1508" i="1"/>
  <c r="J1508" i="1"/>
  <c r="W1507" i="1"/>
  <c r="J1507" i="1"/>
  <c r="W1506" i="1"/>
  <c r="J1506" i="1"/>
  <c r="W1505" i="1"/>
  <c r="J1505" i="1"/>
  <c r="W1504" i="1"/>
  <c r="J1504" i="1"/>
  <c r="W1503" i="1"/>
  <c r="J1503" i="1"/>
  <c r="W1502" i="1"/>
  <c r="J1502" i="1"/>
  <c r="W1501" i="1"/>
  <c r="J1501" i="1"/>
  <c r="W1500" i="1"/>
  <c r="J1500" i="1"/>
  <c r="W1499" i="1"/>
  <c r="J1499" i="1"/>
  <c r="W1498" i="1"/>
  <c r="J1498" i="1"/>
  <c r="W1497" i="1"/>
  <c r="J1497" i="1"/>
  <c r="W1496" i="1"/>
  <c r="J1496" i="1"/>
  <c r="W1495" i="1"/>
  <c r="J1495" i="1"/>
  <c r="W1494" i="1"/>
  <c r="J1494" i="1" s="1"/>
  <c r="W1493" i="1"/>
  <c r="J1493" i="1" s="1"/>
  <c r="W1492" i="1"/>
  <c r="J1492" i="1" s="1"/>
  <c r="W1491" i="1"/>
  <c r="J1491" i="1" s="1"/>
  <c r="W1490" i="1"/>
  <c r="J1490" i="1" s="1"/>
  <c r="W1489" i="1"/>
  <c r="J1489" i="1" s="1"/>
  <c r="W1488" i="1"/>
  <c r="J1488" i="1" s="1"/>
  <c r="W1487" i="1"/>
  <c r="J1487" i="1" s="1"/>
  <c r="W1486" i="1"/>
  <c r="J1486" i="1" s="1"/>
  <c r="W1485" i="1"/>
  <c r="J1485" i="1" s="1"/>
  <c r="W1484" i="1"/>
  <c r="J1484" i="1" s="1"/>
  <c r="W1483" i="1"/>
  <c r="J1483" i="1" s="1"/>
  <c r="W1482" i="1"/>
  <c r="J1482" i="1" s="1"/>
  <c r="W1481" i="1"/>
  <c r="J1481" i="1" s="1"/>
  <c r="W1480" i="1"/>
  <c r="J1480" i="1"/>
  <c r="W1479" i="1"/>
  <c r="J1479" i="1"/>
  <c r="W1478" i="1"/>
  <c r="J1478" i="1" s="1"/>
  <c r="W1477" i="1"/>
  <c r="J1477" i="1"/>
  <c r="W1476" i="1"/>
  <c r="J1476" i="1" s="1"/>
  <c r="W1475" i="1"/>
  <c r="J1475" i="1" s="1"/>
  <c r="W1474" i="1"/>
  <c r="J1474" i="1" s="1"/>
  <c r="W1473" i="1"/>
  <c r="J1473" i="1" s="1"/>
  <c r="W1472" i="1"/>
  <c r="J1472" i="1" s="1"/>
  <c r="W1471" i="1"/>
  <c r="J1471" i="1" s="1"/>
  <c r="W1470" i="1"/>
  <c r="J1470" i="1" s="1"/>
  <c r="W1469" i="1"/>
  <c r="J1469" i="1" s="1"/>
  <c r="W1468" i="1"/>
  <c r="J1468" i="1" s="1"/>
  <c r="W1467" i="1"/>
  <c r="J1467" i="1" s="1"/>
  <c r="W1466" i="1"/>
  <c r="J1466" i="1" s="1"/>
  <c r="W1465" i="1"/>
  <c r="J1465" i="1" s="1"/>
  <c r="W1464" i="1"/>
  <c r="J1464" i="1"/>
  <c r="W1463" i="1"/>
  <c r="J1463" i="1" s="1"/>
  <c r="W1462" i="1"/>
  <c r="J1462" i="1" s="1"/>
  <c r="W1461" i="1"/>
  <c r="J1461" i="1" s="1"/>
  <c r="W1460" i="1"/>
  <c r="J1460" i="1" s="1"/>
  <c r="W1459" i="1"/>
  <c r="J1459" i="1" s="1"/>
  <c r="W1458" i="1"/>
  <c r="J1458" i="1" s="1"/>
  <c r="W1457" i="1"/>
  <c r="J1457" i="1"/>
  <c r="W1456" i="1"/>
  <c r="J1456" i="1"/>
  <c r="W1455" i="1"/>
  <c r="J1455" i="1"/>
  <c r="W1454" i="1"/>
  <c r="J1454" i="1"/>
  <c r="W1453" i="1"/>
  <c r="J1453" i="1"/>
  <c r="W1452" i="1"/>
  <c r="J1452" i="1"/>
  <c r="W1451" i="1"/>
  <c r="J1451" i="1"/>
  <c r="W1450" i="1"/>
  <c r="J1450" i="1"/>
  <c r="W1449" i="1"/>
  <c r="J1449" i="1"/>
  <c r="W1448" i="1"/>
  <c r="J1448" i="1"/>
  <c r="W1447" i="1"/>
  <c r="J1447" i="1"/>
  <c r="W1446" i="1"/>
  <c r="J1446" i="1"/>
  <c r="W1445" i="1"/>
  <c r="J1445" i="1"/>
  <c r="W1444" i="1"/>
  <c r="J1444" i="1"/>
  <c r="W1443" i="1"/>
  <c r="J1443" i="1"/>
  <c r="W1442" i="1"/>
  <c r="J1442" i="1"/>
  <c r="W1441" i="1"/>
  <c r="J1441" i="1"/>
  <c r="W1440" i="1"/>
  <c r="J1440" i="1"/>
  <c r="W1439" i="1"/>
  <c r="J1439" i="1"/>
  <c r="W1438" i="1"/>
  <c r="J1438" i="1"/>
  <c r="W1437" i="1"/>
  <c r="J1437" i="1"/>
  <c r="W1436" i="1"/>
  <c r="J1436" i="1"/>
  <c r="W1435" i="1"/>
  <c r="J1435" i="1"/>
  <c r="W1434" i="1"/>
  <c r="J1434" i="1"/>
  <c r="W1433" i="1"/>
  <c r="J1433" i="1" s="1"/>
  <c r="W1432" i="1"/>
  <c r="J1432" i="1"/>
  <c r="W1431" i="1"/>
  <c r="J1431" i="1"/>
  <c r="W1430" i="1"/>
  <c r="J1430" i="1" s="1"/>
  <c r="W1429" i="1"/>
  <c r="J1429" i="1"/>
  <c r="W1428" i="1"/>
  <c r="J1428" i="1" s="1"/>
  <c r="W1427" i="1"/>
  <c r="J1427" i="1"/>
  <c r="W1426" i="1"/>
  <c r="J1426" i="1" s="1"/>
  <c r="W1425" i="1"/>
  <c r="J1425" i="1" s="1"/>
  <c r="W1422" i="1"/>
  <c r="J1422" i="1"/>
  <c r="W1421" i="1"/>
  <c r="J1421" i="1"/>
  <c r="W1420" i="1"/>
  <c r="J1420" i="1" s="1"/>
  <c r="W1419" i="1"/>
  <c r="J1419" i="1" s="1"/>
  <c r="W1418" i="1"/>
  <c r="J1418" i="1" s="1"/>
  <c r="W1417" i="1"/>
  <c r="J1417" i="1" s="1"/>
  <c r="W1416" i="1"/>
  <c r="J1416" i="1"/>
  <c r="W1415" i="1"/>
  <c r="J1415" i="1"/>
  <c r="W1414" i="1"/>
  <c r="J1414" i="1"/>
  <c r="W1413" i="1"/>
  <c r="J1413" i="1"/>
  <c r="W1412" i="1"/>
  <c r="J1412" i="1"/>
  <c r="W1411" i="1"/>
  <c r="J1411" i="1"/>
  <c r="W1410" i="1"/>
  <c r="J1410" i="1"/>
  <c r="W1409" i="1"/>
  <c r="J1409" i="1"/>
  <c r="W1408" i="1"/>
  <c r="J1408" i="1"/>
  <c r="W1407" i="1"/>
  <c r="J1407" i="1"/>
  <c r="W1406" i="1"/>
  <c r="J1406" i="1"/>
  <c r="W1405" i="1"/>
  <c r="J1405" i="1"/>
  <c r="W1404" i="1"/>
  <c r="J1404" i="1"/>
  <c r="W1403" i="1"/>
  <c r="J1403" i="1"/>
  <c r="W1402" i="1"/>
  <c r="J1402" i="1"/>
  <c r="W1401" i="1"/>
  <c r="J1401" i="1"/>
  <c r="W1400" i="1"/>
  <c r="J1400" i="1"/>
  <c r="W1399" i="1"/>
  <c r="J1399" i="1"/>
  <c r="W1398" i="1"/>
  <c r="J1398" i="1"/>
  <c r="W1397" i="1"/>
  <c r="J1397" i="1"/>
  <c r="W1396" i="1"/>
  <c r="J1396" i="1"/>
  <c r="W1395" i="1"/>
  <c r="J1395" i="1"/>
  <c r="W1394" i="1"/>
  <c r="J1394" i="1"/>
  <c r="W1393" i="1"/>
  <c r="J1393" i="1"/>
  <c r="W1392" i="1"/>
  <c r="J1392" i="1"/>
  <c r="W1391" i="1"/>
  <c r="J1391" i="1"/>
  <c r="W1390" i="1"/>
  <c r="J1390" i="1"/>
  <c r="W1389" i="1"/>
  <c r="J1389" i="1"/>
  <c r="W1388" i="1"/>
  <c r="J1388" i="1"/>
  <c r="W1387" i="1"/>
  <c r="J1387" i="1"/>
  <c r="W1386" i="1"/>
  <c r="J1386" i="1"/>
  <c r="W1385" i="1"/>
  <c r="J1385" i="1"/>
  <c r="W1384" i="1"/>
  <c r="J1384" i="1"/>
  <c r="W1383" i="1"/>
  <c r="J1383" i="1"/>
  <c r="W1382" i="1"/>
  <c r="J1382" i="1"/>
  <c r="W1381" i="1"/>
  <c r="J1381" i="1"/>
  <c r="W1380" i="1"/>
  <c r="J1380" i="1"/>
  <c r="W1379" i="1"/>
  <c r="J1379" i="1"/>
  <c r="W1378" i="1"/>
  <c r="J1378" i="1"/>
  <c r="W1377" i="1"/>
  <c r="J1377" i="1"/>
  <c r="W1376" i="1"/>
  <c r="J1376" i="1"/>
  <c r="W1375" i="1"/>
  <c r="J1375" i="1"/>
  <c r="W1374" i="1"/>
  <c r="J1374" i="1" s="1"/>
  <c r="W1373" i="1"/>
  <c r="J1373" i="1"/>
  <c r="W1372" i="1"/>
  <c r="J1372" i="1"/>
  <c r="W1371" i="1"/>
  <c r="J1371" i="1"/>
  <c r="W1370" i="1"/>
  <c r="J1370" i="1" s="1"/>
  <c r="W1369" i="1"/>
  <c r="J1369" i="1" s="1"/>
  <c r="W1368" i="1"/>
  <c r="J1368" i="1" s="1"/>
  <c r="W1367" i="1"/>
  <c r="J1367" i="1" s="1"/>
  <c r="W1366" i="1"/>
  <c r="J1366" i="1" s="1"/>
  <c r="W1365" i="1"/>
  <c r="J1365" i="1" s="1"/>
  <c r="W1364" i="1"/>
  <c r="J1364" i="1" s="1"/>
  <c r="W1363" i="1"/>
  <c r="J1363" i="1" s="1"/>
  <c r="W1362" i="1"/>
  <c r="J1362" i="1"/>
  <c r="W1361" i="1"/>
  <c r="J1361" i="1" s="1"/>
  <c r="W1360" i="1"/>
  <c r="J1360" i="1" s="1"/>
  <c r="W1359" i="1"/>
  <c r="J1359" i="1" s="1"/>
  <c r="W1358" i="1"/>
  <c r="J1358" i="1" s="1"/>
  <c r="W1357" i="1"/>
  <c r="J1357" i="1" s="1"/>
  <c r="W1356" i="1"/>
  <c r="J1356" i="1" s="1"/>
  <c r="W1355" i="1"/>
  <c r="J1355" i="1"/>
  <c r="W1354" i="1"/>
  <c r="J1354" i="1" s="1"/>
  <c r="W1353" i="1"/>
  <c r="J1353" i="1" s="1"/>
  <c r="W1352" i="1"/>
  <c r="J1352" i="1" s="1"/>
  <c r="W1351" i="1"/>
  <c r="J1351" i="1"/>
  <c r="W1350" i="1"/>
  <c r="J1350" i="1" s="1"/>
  <c r="W1349" i="1"/>
  <c r="J1349" i="1" s="1"/>
  <c r="W1348" i="1"/>
  <c r="J1348" i="1" s="1"/>
  <c r="W1347" i="1"/>
  <c r="J1347" i="1"/>
  <c r="W1346" i="1"/>
  <c r="J1346" i="1" s="1"/>
  <c r="W1345" i="1"/>
  <c r="J1345" i="1" s="1"/>
  <c r="W1344" i="1"/>
  <c r="J1344" i="1" s="1"/>
  <c r="W1343" i="1"/>
  <c r="J1343" i="1" s="1"/>
  <c r="W1342" i="1"/>
  <c r="J1342" i="1" s="1"/>
  <c r="W1341" i="1"/>
  <c r="J1341" i="1"/>
  <c r="W1340" i="1"/>
  <c r="J1340" i="1" s="1"/>
  <c r="W1339" i="1"/>
  <c r="J1339" i="1"/>
  <c r="W1338" i="1"/>
  <c r="J1338" i="1"/>
  <c r="W1337" i="1"/>
  <c r="J1337" i="1"/>
  <c r="W1336" i="1"/>
  <c r="J1336" i="1"/>
  <c r="W1335" i="1"/>
  <c r="J1335" i="1"/>
  <c r="W1334" i="1"/>
  <c r="J1334" i="1"/>
  <c r="W1333" i="1"/>
  <c r="J1333" i="1"/>
  <c r="W1332" i="1"/>
  <c r="J1332" i="1" s="1"/>
  <c r="W1331" i="1"/>
  <c r="J1331" i="1" s="1"/>
  <c r="W1330" i="1"/>
  <c r="J1330" i="1" s="1"/>
  <c r="W1329" i="1"/>
  <c r="J1329" i="1" s="1"/>
  <c r="W1328" i="1"/>
  <c r="J1328" i="1"/>
  <c r="W1327" i="1"/>
  <c r="J1327" i="1"/>
  <c r="W1326" i="1"/>
  <c r="J1326" i="1"/>
  <c r="W1325" i="1"/>
  <c r="J1325" i="1"/>
  <c r="W1324" i="1"/>
  <c r="J1324" i="1"/>
  <c r="W1323" i="1"/>
  <c r="J1323" i="1"/>
  <c r="W1322" i="1"/>
  <c r="J1322" i="1"/>
  <c r="W1321" i="1"/>
  <c r="J1321" i="1"/>
  <c r="W1320" i="1"/>
  <c r="J1320" i="1"/>
  <c r="W1319" i="1"/>
  <c r="J1319" i="1" s="1"/>
  <c r="W1318" i="1"/>
  <c r="J1318" i="1"/>
  <c r="W1317" i="1"/>
  <c r="J1317" i="1" s="1"/>
  <c r="W1316" i="1"/>
  <c r="J1316" i="1" s="1"/>
  <c r="W1315" i="1"/>
  <c r="J1315" i="1" s="1"/>
  <c r="W1314" i="1"/>
  <c r="J1314" i="1" s="1"/>
  <c r="W1313" i="1"/>
  <c r="J1313" i="1"/>
  <c r="W1312" i="1"/>
  <c r="J1312" i="1" s="1"/>
  <c r="W1311" i="1"/>
  <c r="J1311" i="1" s="1"/>
  <c r="W1310" i="1"/>
  <c r="J1310" i="1" s="1"/>
  <c r="W1309" i="1"/>
  <c r="J1309" i="1" s="1"/>
  <c r="W1308" i="1"/>
  <c r="J1308" i="1" s="1"/>
  <c r="W1307" i="1"/>
  <c r="J1307" i="1" s="1"/>
  <c r="W1306" i="1"/>
  <c r="J1306" i="1" s="1"/>
  <c r="W1305" i="1"/>
  <c r="J1305" i="1" s="1"/>
  <c r="W1304" i="1"/>
  <c r="J1304" i="1" s="1"/>
  <c r="W1303" i="1"/>
  <c r="J1303" i="1" s="1"/>
  <c r="W1302" i="1"/>
  <c r="J1302" i="1" s="1"/>
  <c r="W1301" i="1"/>
  <c r="J1301" i="1" s="1"/>
  <c r="W1300" i="1"/>
  <c r="J1300" i="1" s="1"/>
  <c r="W1299" i="1"/>
  <c r="J1299" i="1" s="1"/>
  <c r="W1298" i="1"/>
  <c r="J1298" i="1" s="1"/>
  <c r="W1297" i="1"/>
  <c r="J1297" i="1" s="1"/>
  <c r="W1296" i="1"/>
  <c r="J1296" i="1" s="1"/>
  <c r="W1295" i="1"/>
  <c r="J1295" i="1" s="1"/>
  <c r="W1294" i="1"/>
  <c r="J1294" i="1" s="1"/>
  <c r="W1293" i="1"/>
  <c r="J1293" i="1"/>
  <c r="W1292" i="1"/>
  <c r="J1292" i="1" s="1"/>
  <c r="W1291" i="1"/>
  <c r="J1291" i="1" s="1"/>
  <c r="W1290" i="1"/>
  <c r="J1290" i="1" s="1"/>
  <c r="W1289" i="1"/>
  <c r="J1289" i="1" s="1"/>
  <c r="W1288" i="1"/>
  <c r="J1288" i="1" s="1"/>
  <c r="W1287" i="1"/>
  <c r="J1287" i="1" s="1"/>
  <c r="W1286" i="1"/>
  <c r="J1286" i="1" s="1"/>
  <c r="W1285" i="1"/>
  <c r="J1285" i="1" s="1"/>
  <c r="W1284" i="1"/>
  <c r="J1284" i="1"/>
  <c r="W1283" i="1"/>
  <c r="J1283" i="1" s="1"/>
  <c r="W1282" i="1"/>
  <c r="J1282" i="1" s="1"/>
  <c r="W1281" i="1"/>
  <c r="J1281" i="1" s="1"/>
  <c r="W1280" i="1"/>
  <c r="J1280" i="1" s="1"/>
  <c r="W1279" i="1"/>
  <c r="J1279" i="1" s="1"/>
  <c r="W1278" i="1"/>
  <c r="J1278" i="1"/>
  <c r="W1277" i="1"/>
  <c r="J1277" i="1"/>
  <c r="W1276" i="1"/>
  <c r="J1276" i="1"/>
  <c r="W1275" i="1"/>
  <c r="J1275" i="1"/>
  <c r="W1274" i="1"/>
  <c r="J1274" i="1"/>
  <c r="W1273" i="1"/>
  <c r="J1273" i="1"/>
  <c r="W1272" i="1"/>
  <c r="J1272" i="1"/>
  <c r="W1271" i="1"/>
  <c r="J1271" i="1"/>
  <c r="W1270" i="1"/>
  <c r="J1270" i="1"/>
  <c r="W1269" i="1"/>
  <c r="J1269" i="1"/>
  <c r="W1268" i="1"/>
  <c r="J1268" i="1"/>
  <c r="W1267" i="1"/>
  <c r="J1267" i="1"/>
  <c r="W1266" i="1"/>
  <c r="J1266" i="1"/>
  <c r="W1265" i="1"/>
  <c r="J1265" i="1"/>
  <c r="W1264" i="1"/>
  <c r="J1264" i="1"/>
  <c r="W1263" i="1"/>
  <c r="J1263" i="1"/>
  <c r="W1262" i="1"/>
  <c r="J1262" i="1"/>
  <c r="W1261" i="1"/>
  <c r="J1261" i="1"/>
  <c r="W1260" i="1"/>
  <c r="J1260" i="1"/>
  <c r="W1259" i="1"/>
  <c r="J1259" i="1"/>
  <c r="W1258" i="1"/>
  <c r="J1258" i="1"/>
  <c r="W1257" i="1"/>
  <c r="J1257" i="1"/>
  <c r="W1256" i="1"/>
  <c r="J1256" i="1"/>
  <c r="W1255" i="1"/>
  <c r="J1255" i="1"/>
  <c r="W1254" i="1"/>
  <c r="J1254" i="1"/>
  <c r="W1253" i="1"/>
  <c r="J1253" i="1"/>
  <c r="W1252" i="1"/>
  <c r="J1252" i="1"/>
  <c r="W1251" i="1"/>
  <c r="J1251" i="1"/>
  <c r="W1250" i="1"/>
  <c r="J1250" i="1"/>
  <c r="W1249" i="1"/>
  <c r="J1249" i="1"/>
  <c r="W1248" i="1"/>
  <c r="J1248" i="1"/>
  <c r="W1247" i="1"/>
  <c r="J1247" i="1"/>
  <c r="W1246" i="1"/>
  <c r="J1246" i="1"/>
  <c r="W1245" i="1"/>
  <c r="J1245" i="1"/>
  <c r="W1244" i="1"/>
  <c r="J1244" i="1"/>
  <c r="W1243" i="1"/>
  <c r="J1243" i="1"/>
  <c r="W1242" i="1"/>
  <c r="J1242" i="1"/>
  <c r="W1241" i="1"/>
  <c r="J1241" i="1" s="1"/>
  <c r="W1240" i="1"/>
  <c r="J1240" i="1"/>
  <c r="W1239" i="1"/>
  <c r="J1239" i="1"/>
  <c r="W1238" i="1"/>
  <c r="J1238" i="1" s="1"/>
  <c r="W1237" i="1"/>
  <c r="J1237" i="1" s="1"/>
  <c r="W1236" i="1"/>
  <c r="J1236" i="1"/>
  <c r="W1235" i="1"/>
  <c r="J1235" i="1"/>
  <c r="W1234" i="1"/>
  <c r="J1234" i="1"/>
  <c r="W1233" i="1"/>
  <c r="J1233" i="1"/>
  <c r="W1232" i="1"/>
  <c r="J1232" i="1" s="1"/>
  <c r="W1231" i="1"/>
  <c r="J1231" i="1" s="1"/>
  <c r="W1230" i="1"/>
  <c r="J1230" i="1"/>
  <c r="W1229" i="1"/>
  <c r="J1229" i="1"/>
  <c r="W1228" i="1"/>
  <c r="J1228" i="1" s="1"/>
  <c r="W1227" i="1"/>
  <c r="J1227" i="1" s="1"/>
  <c r="W1226" i="1"/>
  <c r="J1226" i="1"/>
  <c r="W1225" i="1"/>
  <c r="J1225" i="1"/>
  <c r="W1224" i="1"/>
  <c r="J1224" i="1" s="1"/>
  <c r="W1223" i="1"/>
  <c r="J1223" i="1"/>
  <c r="W1222" i="1"/>
  <c r="J1222" i="1"/>
  <c r="W1221" i="1"/>
  <c r="J1221" i="1" s="1"/>
  <c r="W1220" i="1"/>
  <c r="J1220" i="1"/>
  <c r="W1219" i="1"/>
  <c r="J1219" i="1"/>
  <c r="W1218" i="1"/>
  <c r="J1218" i="1"/>
  <c r="W1217" i="1"/>
  <c r="J1217" i="1"/>
  <c r="W1216" i="1"/>
  <c r="J1216" i="1"/>
  <c r="W1215" i="1"/>
  <c r="J1215" i="1"/>
  <c r="W1214" i="1"/>
  <c r="J1214" i="1"/>
  <c r="W1213" i="1"/>
  <c r="J1213" i="1"/>
  <c r="W1212" i="1"/>
  <c r="J1212" i="1"/>
  <c r="W1211" i="1"/>
  <c r="J1211" i="1"/>
  <c r="W1210" i="1"/>
  <c r="J1210" i="1"/>
  <c r="W1209" i="1"/>
  <c r="J1209" i="1"/>
  <c r="W1208" i="1"/>
  <c r="J1208" i="1"/>
  <c r="W1207" i="1"/>
  <c r="J1207" i="1"/>
  <c r="W1206" i="1"/>
  <c r="J1206" i="1"/>
  <c r="W1205" i="1"/>
  <c r="J1205" i="1"/>
  <c r="W1204" i="1"/>
  <c r="J1204" i="1"/>
  <c r="W1203" i="1"/>
  <c r="J1203" i="1"/>
  <c r="W1202" i="1"/>
  <c r="J1202" i="1"/>
  <c r="W1201" i="1"/>
  <c r="J1201" i="1"/>
  <c r="W1200" i="1"/>
  <c r="J1200" i="1"/>
  <c r="W1199" i="1"/>
  <c r="J1199" i="1"/>
  <c r="W1198" i="1"/>
  <c r="J1198" i="1"/>
  <c r="W1197" i="1"/>
  <c r="J1197" i="1"/>
  <c r="W1196" i="1"/>
  <c r="J1196" i="1"/>
  <c r="W1195" i="1"/>
  <c r="J1195" i="1"/>
  <c r="W1194" i="1"/>
  <c r="J1194" i="1"/>
  <c r="W1193" i="1"/>
  <c r="J1193" i="1"/>
  <c r="W1192" i="1"/>
  <c r="J1192" i="1"/>
  <c r="W1191" i="1"/>
  <c r="J1191" i="1"/>
  <c r="W1190" i="1"/>
  <c r="J1190" i="1"/>
  <c r="W1189" i="1"/>
  <c r="J1189" i="1"/>
  <c r="W1188" i="1"/>
  <c r="J1188" i="1"/>
  <c r="W1187" i="1"/>
  <c r="J1187" i="1"/>
  <c r="W1186" i="1"/>
  <c r="J1186" i="1"/>
  <c r="W1185" i="1"/>
  <c r="J1185" i="1"/>
  <c r="W1184" i="1"/>
  <c r="J1184" i="1"/>
  <c r="W1183" i="1"/>
  <c r="J1183" i="1"/>
  <c r="W1182" i="1"/>
  <c r="J1182" i="1"/>
  <c r="W1181" i="1"/>
  <c r="J1181" i="1"/>
  <c r="W1180" i="1"/>
  <c r="J1180" i="1"/>
  <c r="W1179" i="1"/>
  <c r="J1179" i="1"/>
  <c r="W1178" i="1"/>
  <c r="J1178" i="1"/>
  <c r="W1177" i="1"/>
  <c r="J1177" i="1"/>
  <c r="W1176" i="1"/>
  <c r="J1176" i="1"/>
  <c r="W1175" i="1"/>
  <c r="J1175" i="1"/>
  <c r="W1174" i="1"/>
  <c r="J1174" i="1"/>
  <c r="W1173" i="1"/>
  <c r="J1173" i="1"/>
  <c r="W1172" i="1"/>
  <c r="J1172" i="1"/>
  <c r="W1171" i="1"/>
  <c r="J1171" i="1"/>
  <c r="W1170" i="1"/>
  <c r="J1170" i="1"/>
  <c r="W1169" i="1"/>
  <c r="J1169" i="1"/>
  <c r="W1168" i="1"/>
  <c r="J1168" i="1"/>
  <c r="W1167" i="1"/>
  <c r="J1167" i="1"/>
  <c r="W1166" i="1"/>
  <c r="J1166" i="1"/>
  <c r="W1165" i="1"/>
  <c r="J1165" i="1"/>
  <c r="W1164" i="1"/>
  <c r="J1164" i="1"/>
  <c r="W1163" i="1"/>
  <c r="J1163" i="1"/>
  <c r="W1162" i="1"/>
  <c r="J1162" i="1"/>
  <c r="W1161" i="1"/>
  <c r="J1161" i="1"/>
  <c r="W1160" i="1"/>
  <c r="J1160" i="1"/>
  <c r="W1159" i="1"/>
  <c r="J1159" i="1"/>
  <c r="W1158" i="1"/>
  <c r="J1158" i="1"/>
  <c r="W1157" i="1"/>
  <c r="J1157" i="1"/>
  <c r="W1156" i="1"/>
  <c r="J1156" i="1"/>
  <c r="W1155" i="1"/>
  <c r="J1155" i="1"/>
  <c r="W1154" i="1"/>
  <c r="J1154" i="1"/>
  <c r="W1153" i="1"/>
  <c r="J1153" i="1"/>
  <c r="W1152" i="1"/>
  <c r="J1152" i="1"/>
  <c r="W1151" i="1"/>
  <c r="J1151" i="1"/>
  <c r="W1150" i="1"/>
  <c r="J1150" i="1"/>
  <c r="W1149" i="1"/>
  <c r="J1149" i="1"/>
  <c r="W1148" i="1"/>
  <c r="J1148" i="1"/>
  <c r="W1147" i="1"/>
  <c r="J1147" i="1"/>
  <c r="W1146" i="1"/>
  <c r="J1146" i="1" s="1"/>
  <c r="W1145" i="1"/>
  <c r="J1145" i="1"/>
  <c r="W1144" i="1"/>
  <c r="J1144" i="1"/>
  <c r="W1143" i="1"/>
  <c r="J1143" i="1"/>
  <c r="W1142" i="1"/>
  <c r="J1142" i="1" s="1"/>
  <c r="W1141" i="1"/>
  <c r="J1141" i="1"/>
  <c r="W1140" i="1"/>
  <c r="J1140" i="1" s="1"/>
  <c r="W1139" i="1"/>
  <c r="J1139" i="1"/>
  <c r="W1138" i="1"/>
  <c r="J1138" i="1" s="1"/>
  <c r="W1137" i="1"/>
  <c r="J1137" i="1" s="1"/>
  <c r="W1136" i="1"/>
  <c r="J1136" i="1" s="1"/>
  <c r="W1135" i="1"/>
  <c r="J1135" i="1"/>
  <c r="W1134" i="1"/>
  <c r="J1134" i="1"/>
  <c r="W1133" i="1"/>
  <c r="J1133" i="1" s="1"/>
  <c r="W1132" i="1"/>
  <c r="J1132" i="1" s="1"/>
  <c r="W1131" i="1"/>
  <c r="J1131" i="1" s="1"/>
  <c r="W1130" i="1"/>
  <c r="J1130" i="1" s="1"/>
  <c r="W1129" i="1"/>
  <c r="J1129" i="1" s="1"/>
  <c r="W1128" i="1"/>
  <c r="J1128" i="1" s="1"/>
  <c r="W1127" i="1"/>
  <c r="J1127" i="1" s="1"/>
  <c r="W1126" i="1"/>
  <c r="J1126" i="1" s="1"/>
  <c r="W1125" i="1"/>
  <c r="J1125" i="1" s="1"/>
  <c r="W1124" i="1"/>
  <c r="J1124" i="1"/>
  <c r="W1123" i="1"/>
  <c r="J1123" i="1"/>
  <c r="W1122" i="1"/>
  <c r="J1122" i="1"/>
  <c r="W1121" i="1"/>
  <c r="J1121" i="1"/>
  <c r="W1120" i="1"/>
  <c r="J1120" i="1" s="1"/>
  <c r="W1119" i="1"/>
  <c r="J1119" i="1" s="1"/>
  <c r="W1118" i="1"/>
  <c r="J1118" i="1" s="1"/>
  <c r="W1117" i="1"/>
  <c r="J1117" i="1" s="1"/>
  <c r="W1116" i="1"/>
  <c r="J1116" i="1" s="1"/>
  <c r="W1115" i="1"/>
  <c r="J1115" i="1" s="1"/>
  <c r="W1114" i="1"/>
  <c r="J1114" i="1" s="1"/>
  <c r="W1113" i="1"/>
  <c r="J1113" i="1" s="1"/>
  <c r="W1112" i="1"/>
  <c r="J1112" i="1" s="1"/>
  <c r="W1111" i="1"/>
  <c r="J1111" i="1" s="1"/>
  <c r="W1110" i="1"/>
  <c r="J1110" i="1" s="1"/>
  <c r="W1109" i="1"/>
  <c r="J1109" i="1" s="1"/>
  <c r="W1108" i="1"/>
  <c r="J1108" i="1" s="1"/>
  <c r="W1107" i="1"/>
  <c r="J1107" i="1" s="1"/>
  <c r="W1106" i="1"/>
  <c r="J1106" i="1" s="1"/>
  <c r="W1105" i="1"/>
  <c r="J1105" i="1" s="1"/>
  <c r="W1104" i="1"/>
  <c r="J1104" i="1" s="1"/>
  <c r="W1103" i="1"/>
  <c r="J1103" i="1" s="1"/>
  <c r="W1102" i="1"/>
  <c r="J1102" i="1" s="1"/>
  <c r="W1101" i="1"/>
  <c r="J1101" i="1" s="1"/>
  <c r="W1100" i="1"/>
  <c r="J1100" i="1" s="1"/>
  <c r="W1099" i="1"/>
  <c r="J1099" i="1" s="1"/>
  <c r="W1098" i="1"/>
  <c r="J1098" i="1" s="1"/>
  <c r="W1097" i="1"/>
  <c r="J1097" i="1"/>
  <c r="W1096" i="1"/>
  <c r="J1096" i="1" s="1"/>
  <c r="W1095" i="1"/>
  <c r="J1095" i="1" s="1"/>
  <c r="W1094" i="1"/>
  <c r="J1094" i="1"/>
  <c r="W1093" i="1"/>
  <c r="J1093" i="1"/>
  <c r="W1092" i="1"/>
  <c r="J1092" i="1"/>
  <c r="W1091" i="1"/>
  <c r="J1091" i="1" s="1"/>
  <c r="W1090" i="1"/>
  <c r="J1090" i="1" s="1"/>
  <c r="W1089" i="1"/>
  <c r="J1089" i="1" s="1"/>
  <c r="W1088" i="1"/>
  <c r="J1088" i="1" s="1"/>
  <c r="W1087" i="1"/>
  <c r="J1087" i="1"/>
  <c r="W1086" i="1"/>
  <c r="J1086" i="1" s="1"/>
  <c r="W1085" i="1"/>
  <c r="J1085" i="1" s="1"/>
  <c r="W1084" i="1"/>
  <c r="J1084" i="1" s="1"/>
  <c r="W1083" i="1"/>
  <c r="J1083" i="1"/>
  <c r="W1082" i="1"/>
  <c r="J1082" i="1" s="1"/>
  <c r="W1081" i="1"/>
  <c r="J1081" i="1" s="1"/>
  <c r="W1080" i="1"/>
  <c r="J1080" i="1" s="1"/>
  <c r="W1079" i="1"/>
  <c r="J1079" i="1" s="1"/>
  <c r="W1078" i="1"/>
  <c r="J1078" i="1" s="1"/>
  <c r="W1077" i="1"/>
  <c r="J1077" i="1" s="1"/>
  <c r="W1076" i="1"/>
  <c r="J1076" i="1" s="1"/>
  <c r="W1075" i="1"/>
  <c r="J1075" i="1" s="1"/>
  <c r="W1074" i="1"/>
  <c r="J1074" i="1" s="1"/>
  <c r="W1073" i="1"/>
  <c r="J1073" i="1" s="1"/>
  <c r="W1072" i="1"/>
  <c r="J1072" i="1" s="1"/>
  <c r="W1071" i="1"/>
  <c r="J1071" i="1"/>
  <c r="W1070" i="1"/>
  <c r="J1070" i="1" s="1"/>
  <c r="W1069" i="1"/>
  <c r="J1069" i="1" s="1"/>
  <c r="W1068" i="1"/>
  <c r="J1068" i="1" s="1"/>
  <c r="W1067" i="1"/>
  <c r="J1067" i="1" s="1"/>
  <c r="W1066" i="1"/>
  <c r="J1066" i="1" s="1"/>
  <c r="W1065" i="1"/>
  <c r="J1065" i="1" s="1"/>
  <c r="W1064" i="1"/>
  <c r="J1064" i="1" s="1"/>
  <c r="W1063" i="1"/>
  <c r="J1063" i="1" s="1"/>
  <c r="W1062" i="1"/>
  <c r="J1062" i="1" s="1"/>
  <c r="W1061" i="1"/>
  <c r="J1061" i="1" s="1"/>
  <c r="W1060" i="1"/>
  <c r="J1060" i="1" s="1"/>
  <c r="W1059" i="1"/>
  <c r="J1059" i="1" s="1"/>
  <c r="W1058" i="1"/>
  <c r="J1058" i="1" s="1"/>
  <c r="W1057" i="1"/>
  <c r="J1057" i="1" s="1"/>
  <c r="W1056" i="1"/>
  <c r="J1056" i="1" s="1"/>
  <c r="W1055" i="1"/>
  <c r="J1055" i="1" s="1"/>
  <c r="W1054" i="1"/>
  <c r="J1054" i="1" s="1"/>
  <c r="W1053" i="1"/>
  <c r="J1053" i="1" s="1"/>
  <c r="W1052" i="1"/>
  <c r="J1052" i="1" s="1"/>
  <c r="W1051" i="1"/>
  <c r="J1051" i="1" s="1"/>
  <c r="W1050" i="1"/>
  <c r="J1050" i="1" s="1"/>
  <c r="W1049" i="1"/>
  <c r="J1049" i="1" s="1"/>
  <c r="W1048" i="1"/>
  <c r="J1048" i="1" s="1"/>
  <c r="W1047" i="1"/>
  <c r="J1047" i="1" s="1"/>
  <c r="W1046" i="1"/>
  <c r="J1046" i="1" s="1"/>
  <c r="W1045" i="1"/>
  <c r="J1045" i="1" s="1"/>
  <c r="W1044" i="1"/>
  <c r="J1044" i="1" s="1"/>
  <c r="W1043" i="1"/>
  <c r="J1043" i="1" s="1"/>
  <c r="W1042" i="1"/>
  <c r="J1042" i="1" s="1"/>
  <c r="W1041" i="1"/>
  <c r="J1041" i="1" s="1"/>
  <c r="W1040" i="1"/>
  <c r="J1040" i="1" s="1"/>
  <c r="W1039" i="1"/>
  <c r="J1039" i="1" s="1"/>
  <c r="W1038" i="1"/>
  <c r="J1038" i="1" s="1"/>
  <c r="W1037" i="1"/>
  <c r="J1037" i="1" s="1"/>
  <c r="W1036" i="1"/>
  <c r="J1036" i="1" s="1"/>
  <c r="W1035" i="1"/>
  <c r="J1035" i="1" s="1"/>
  <c r="W1034" i="1"/>
  <c r="J1034" i="1" s="1"/>
  <c r="W1033" i="1"/>
  <c r="J1033" i="1" s="1"/>
  <c r="W1032" i="1"/>
  <c r="J1032" i="1" s="1"/>
  <c r="W1031" i="1"/>
  <c r="J1031" i="1" s="1"/>
  <c r="W1030" i="1"/>
  <c r="J1030" i="1" s="1"/>
  <c r="W1029" i="1"/>
  <c r="J1029" i="1"/>
  <c r="W1028" i="1"/>
  <c r="J1028" i="1"/>
  <c r="W1027" i="1"/>
  <c r="J1027" i="1" s="1"/>
  <c r="W1026" i="1"/>
  <c r="J1026" i="1" s="1"/>
  <c r="W1025" i="1"/>
  <c r="J1025" i="1" s="1"/>
  <c r="W1024" i="1"/>
  <c r="J1024" i="1" s="1"/>
  <c r="W1023" i="1"/>
  <c r="J1023" i="1"/>
  <c r="W1022" i="1"/>
  <c r="J1022" i="1" s="1"/>
  <c r="W1021" i="1"/>
  <c r="J1021" i="1" s="1"/>
  <c r="W1020" i="1"/>
  <c r="J1020" i="1" s="1"/>
  <c r="W1017" i="1"/>
  <c r="J1017" i="1"/>
  <c r="W1016" i="1"/>
  <c r="J1016" i="1" s="1"/>
  <c r="W1015" i="1"/>
  <c r="J1015" i="1" s="1"/>
  <c r="W1014" i="1"/>
  <c r="J1014" i="1" s="1"/>
  <c r="W1013" i="1"/>
  <c r="J1013" i="1" s="1"/>
  <c r="W1012" i="1"/>
  <c r="J1012" i="1" s="1"/>
  <c r="W1011" i="1"/>
  <c r="J1011" i="1" s="1"/>
  <c r="W1010" i="1"/>
  <c r="J1010" i="1" s="1"/>
  <c r="W1009" i="1"/>
  <c r="J1009" i="1"/>
  <c r="W1008" i="1"/>
  <c r="J1008" i="1" s="1"/>
  <c r="W1007" i="1"/>
  <c r="J1007" i="1" s="1"/>
  <c r="W1006" i="1"/>
  <c r="J1006" i="1" s="1"/>
  <c r="W1005" i="1"/>
  <c r="J1005" i="1"/>
  <c r="W1004" i="1"/>
  <c r="J1004" i="1" s="1"/>
  <c r="W1003" i="1"/>
  <c r="J1003" i="1" s="1"/>
  <c r="W1002" i="1"/>
  <c r="J1002" i="1" s="1"/>
  <c r="W1001" i="1"/>
  <c r="J1001" i="1"/>
  <c r="W1000" i="1"/>
  <c r="J1000" i="1" s="1"/>
  <c r="W999" i="1"/>
  <c r="J999" i="1" s="1"/>
  <c r="W998" i="1"/>
  <c r="J998" i="1" s="1"/>
  <c r="W997" i="1"/>
  <c r="J997" i="1" s="1"/>
  <c r="W996" i="1"/>
  <c r="J996" i="1" s="1"/>
  <c r="W995" i="1"/>
  <c r="J995" i="1" s="1"/>
  <c r="W994" i="1"/>
  <c r="J994" i="1" s="1"/>
  <c r="W993" i="1"/>
  <c r="J993" i="1" s="1"/>
  <c r="W992" i="1"/>
  <c r="J992" i="1"/>
  <c r="W991" i="1"/>
  <c r="J991" i="1" s="1"/>
  <c r="W990" i="1"/>
  <c r="J990" i="1" s="1"/>
  <c r="W989" i="1"/>
  <c r="J989" i="1"/>
  <c r="W988" i="1"/>
  <c r="J988" i="1" s="1"/>
  <c r="W987" i="1"/>
  <c r="J987" i="1" s="1"/>
  <c r="W986" i="1"/>
  <c r="J986" i="1" s="1"/>
  <c r="W985" i="1"/>
  <c r="J985" i="1" s="1"/>
  <c r="W984" i="1"/>
  <c r="J984" i="1" s="1"/>
  <c r="W983" i="1"/>
  <c r="J983" i="1"/>
  <c r="W982" i="1"/>
  <c r="J982" i="1"/>
  <c r="W981" i="1"/>
  <c r="J981" i="1" s="1"/>
  <c r="W980" i="1"/>
  <c r="J980" i="1" s="1"/>
  <c r="W979" i="1"/>
  <c r="J979" i="1" s="1"/>
  <c r="W978" i="1"/>
  <c r="J978" i="1" s="1"/>
  <c r="W977" i="1"/>
  <c r="J977" i="1" s="1"/>
  <c r="W976" i="1"/>
  <c r="J976" i="1" s="1"/>
  <c r="W975" i="1"/>
  <c r="J975" i="1" s="1"/>
  <c r="W974" i="1"/>
  <c r="J974" i="1" s="1"/>
  <c r="W973" i="1"/>
  <c r="J973" i="1" s="1"/>
  <c r="W972" i="1"/>
  <c r="J972" i="1" s="1"/>
  <c r="W971" i="1"/>
  <c r="J971" i="1" s="1"/>
  <c r="W970" i="1"/>
  <c r="J970" i="1" s="1"/>
  <c r="W969" i="1"/>
  <c r="J969" i="1" s="1"/>
  <c r="W968" i="1"/>
  <c r="J968" i="1" s="1"/>
  <c r="W967" i="1"/>
  <c r="J967" i="1" s="1"/>
  <c r="W966" i="1"/>
  <c r="J966" i="1" s="1"/>
  <c r="W965" i="1"/>
  <c r="J965" i="1" s="1"/>
  <c r="W964" i="1"/>
  <c r="J964" i="1" s="1"/>
  <c r="W963" i="1"/>
  <c r="J963" i="1" s="1"/>
  <c r="W962" i="1"/>
  <c r="J962" i="1" s="1"/>
  <c r="W961" i="1"/>
  <c r="J961" i="1" s="1"/>
  <c r="W960" i="1"/>
  <c r="J960" i="1" s="1"/>
  <c r="W959" i="1"/>
  <c r="J959" i="1" s="1"/>
  <c r="W958" i="1"/>
  <c r="J958" i="1" s="1"/>
  <c r="W957" i="1"/>
  <c r="J957" i="1" s="1"/>
  <c r="W956" i="1"/>
  <c r="J956" i="1" s="1"/>
  <c r="W955" i="1"/>
  <c r="J955" i="1"/>
  <c r="W954" i="1"/>
  <c r="J954" i="1" s="1"/>
  <c r="W953" i="1"/>
  <c r="J953" i="1"/>
  <c r="W952" i="1"/>
  <c r="J952" i="1"/>
  <c r="W951" i="1"/>
  <c r="J951" i="1" s="1"/>
  <c r="W950" i="1"/>
  <c r="J950" i="1" s="1"/>
  <c r="W949" i="1"/>
  <c r="J949" i="1"/>
  <c r="W948" i="1"/>
  <c r="J948" i="1" s="1"/>
  <c r="W947" i="1"/>
  <c r="J947" i="1" s="1"/>
  <c r="W946" i="1"/>
  <c r="J946" i="1"/>
  <c r="W945" i="1"/>
  <c r="J945" i="1" s="1"/>
  <c r="W944" i="1"/>
  <c r="J944" i="1" s="1"/>
  <c r="W943" i="1"/>
  <c r="J943" i="1" s="1"/>
  <c r="W942" i="1"/>
  <c r="J942" i="1"/>
  <c r="W941" i="1"/>
  <c r="J941" i="1"/>
  <c r="W940" i="1"/>
  <c r="J940" i="1" s="1"/>
  <c r="W939" i="1"/>
  <c r="J939" i="1"/>
  <c r="W938" i="1"/>
  <c r="J938" i="1" s="1"/>
  <c r="W937" i="1"/>
  <c r="J937" i="1" s="1"/>
  <c r="W936" i="1"/>
  <c r="J936" i="1" s="1"/>
  <c r="W935" i="1"/>
  <c r="J935" i="1" s="1"/>
  <c r="W934" i="1"/>
  <c r="J934" i="1"/>
  <c r="W933" i="1"/>
  <c r="J933" i="1" s="1"/>
  <c r="W932" i="1"/>
  <c r="J932" i="1" s="1"/>
  <c r="W931" i="1"/>
  <c r="J931" i="1" s="1"/>
  <c r="W930" i="1"/>
  <c r="J930" i="1" s="1"/>
  <c r="W929" i="1"/>
  <c r="J929" i="1" s="1"/>
  <c r="W928" i="1"/>
  <c r="J928" i="1" s="1"/>
  <c r="W927" i="1"/>
  <c r="J927" i="1" s="1"/>
  <c r="W926" i="1"/>
  <c r="J926" i="1"/>
  <c r="W925" i="1"/>
  <c r="J925" i="1" s="1"/>
  <c r="W924" i="1"/>
  <c r="J924" i="1" s="1"/>
  <c r="W923" i="1"/>
  <c r="J923" i="1" s="1"/>
  <c r="W922" i="1"/>
  <c r="J922" i="1"/>
  <c r="W921" i="1"/>
  <c r="J921" i="1" s="1"/>
  <c r="W920" i="1"/>
  <c r="J920" i="1" s="1"/>
  <c r="W919" i="1"/>
  <c r="J919" i="1" s="1"/>
  <c r="W918" i="1"/>
  <c r="J918" i="1"/>
  <c r="W917" i="1"/>
  <c r="J917" i="1" s="1"/>
  <c r="W916" i="1"/>
  <c r="J916" i="1" s="1"/>
  <c r="W915" i="1"/>
  <c r="J915" i="1" s="1"/>
  <c r="W914" i="1"/>
  <c r="J914" i="1" s="1"/>
  <c r="W913" i="1"/>
  <c r="J913" i="1" s="1"/>
  <c r="W912" i="1"/>
  <c r="J912" i="1" s="1"/>
  <c r="W911" i="1"/>
  <c r="J911" i="1" s="1"/>
  <c r="W910" i="1"/>
  <c r="J910" i="1"/>
  <c r="W909" i="1"/>
  <c r="J909" i="1"/>
  <c r="W908" i="1"/>
  <c r="J908" i="1" s="1"/>
  <c r="W907" i="1"/>
  <c r="J907" i="1" s="1"/>
  <c r="W906" i="1"/>
  <c r="J906" i="1" s="1"/>
  <c r="W905" i="1"/>
  <c r="J905" i="1"/>
  <c r="W904" i="1"/>
  <c r="J904" i="1" s="1"/>
  <c r="W903" i="1"/>
  <c r="J903" i="1"/>
  <c r="W902" i="1"/>
  <c r="J902" i="1" s="1"/>
  <c r="W901" i="1"/>
  <c r="J901" i="1" s="1"/>
  <c r="W900" i="1"/>
  <c r="J900" i="1" s="1"/>
  <c r="W899" i="1"/>
  <c r="J899" i="1" s="1"/>
  <c r="W898" i="1"/>
  <c r="J898" i="1" s="1"/>
  <c r="W897" i="1"/>
  <c r="J897" i="1"/>
  <c r="W896" i="1"/>
  <c r="J896" i="1" s="1"/>
  <c r="W895" i="1"/>
  <c r="J895" i="1" s="1"/>
  <c r="W894" i="1"/>
  <c r="J894" i="1" s="1"/>
  <c r="W893" i="1"/>
  <c r="J893" i="1" s="1"/>
  <c r="W892" i="1"/>
  <c r="J892" i="1"/>
  <c r="W891" i="1"/>
  <c r="J891" i="1" s="1"/>
  <c r="W890" i="1"/>
  <c r="J890" i="1" s="1"/>
  <c r="W889" i="1"/>
  <c r="J889" i="1" s="1"/>
  <c r="W888" i="1"/>
  <c r="J888" i="1" s="1"/>
  <c r="W887" i="1"/>
  <c r="J887" i="1" s="1"/>
  <c r="W886" i="1"/>
  <c r="J886" i="1" s="1"/>
  <c r="W885" i="1"/>
  <c r="J885" i="1" s="1"/>
  <c r="W884" i="1"/>
  <c r="J884" i="1" s="1"/>
  <c r="W883" i="1"/>
  <c r="J883" i="1" s="1"/>
  <c r="W882" i="1"/>
  <c r="J882" i="1" s="1"/>
  <c r="W881" i="1"/>
  <c r="J881" i="1" s="1"/>
  <c r="W880" i="1"/>
  <c r="J880" i="1"/>
  <c r="W879" i="1"/>
  <c r="J879" i="1" s="1"/>
  <c r="W878" i="1"/>
  <c r="J878" i="1" s="1"/>
  <c r="W877" i="1"/>
  <c r="J877" i="1"/>
  <c r="W876" i="1"/>
  <c r="J876" i="1" s="1"/>
  <c r="W875" i="1"/>
  <c r="J875" i="1" s="1"/>
  <c r="W874" i="1"/>
  <c r="J874" i="1"/>
  <c r="W873" i="1"/>
  <c r="J873" i="1" s="1"/>
  <c r="W872" i="1"/>
  <c r="J872" i="1" s="1"/>
  <c r="W871" i="1"/>
  <c r="J871" i="1" s="1"/>
  <c r="W870" i="1"/>
  <c r="J870" i="1" s="1"/>
  <c r="W869" i="1"/>
  <c r="J869" i="1" s="1"/>
  <c r="W868" i="1"/>
  <c r="J868" i="1"/>
  <c r="W867" i="1"/>
  <c r="J867" i="1" s="1"/>
  <c r="W866" i="1"/>
  <c r="J866" i="1" s="1"/>
  <c r="W865" i="1"/>
  <c r="J865" i="1" s="1"/>
  <c r="W864" i="1"/>
  <c r="J864" i="1" s="1"/>
  <c r="W863" i="1"/>
  <c r="J863" i="1" s="1"/>
  <c r="W862" i="1"/>
  <c r="J862" i="1" s="1"/>
  <c r="W861" i="1"/>
  <c r="J861" i="1" s="1"/>
  <c r="W860" i="1"/>
  <c r="J860" i="1" s="1"/>
  <c r="W859" i="1"/>
  <c r="J859" i="1"/>
  <c r="W858" i="1"/>
  <c r="J858" i="1" s="1"/>
  <c r="W857" i="1"/>
  <c r="J857" i="1"/>
  <c r="W856" i="1"/>
  <c r="J856" i="1" s="1"/>
  <c r="W855" i="1"/>
  <c r="J855" i="1"/>
  <c r="W854" i="1"/>
  <c r="J854" i="1"/>
  <c r="W853" i="1"/>
  <c r="J853" i="1" s="1"/>
  <c r="W852" i="1"/>
  <c r="J852" i="1"/>
  <c r="W851" i="1"/>
  <c r="J851" i="1" s="1"/>
  <c r="W850" i="1"/>
  <c r="J850" i="1" s="1"/>
  <c r="W849" i="1"/>
  <c r="J849" i="1" s="1"/>
  <c r="W848" i="1"/>
  <c r="J848" i="1"/>
  <c r="W847" i="1"/>
  <c r="J847" i="1" s="1"/>
  <c r="W846" i="1"/>
  <c r="J846" i="1" s="1"/>
  <c r="W845" i="1"/>
  <c r="J845" i="1" s="1"/>
  <c r="W844" i="1"/>
  <c r="J844" i="1" s="1"/>
  <c r="W843" i="1"/>
  <c r="J843" i="1" s="1"/>
  <c r="W842" i="1"/>
  <c r="J842" i="1" s="1"/>
  <c r="W841" i="1"/>
  <c r="J841" i="1" s="1"/>
  <c r="W840" i="1"/>
  <c r="J840" i="1" s="1"/>
  <c r="W839" i="1"/>
  <c r="J839" i="1" s="1"/>
  <c r="W838" i="1"/>
  <c r="J838" i="1" s="1"/>
  <c r="W837" i="1"/>
  <c r="J837" i="1" s="1"/>
  <c r="W836" i="1"/>
  <c r="J836" i="1" s="1"/>
  <c r="W835" i="1"/>
  <c r="J835" i="1" s="1"/>
  <c r="W834" i="1"/>
  <c r="J834" i="1"/>
  <c r="W833" i="1"/>
  <c r="J833" i="1" s="1"/>
  <c r="W832" i="1"/>
  <c r="J832" i="1" s="1"/>
  <c r="W831" i="1"/>
  <c r="J831" i="1" s="1"/>
  <c r="W830" i="1"/>
  <c r="J830" i="1"/>
  <c r="W829" i="1"/>
  <c r="J829" i="1" s="1"/>
  <c r="W828" i="1"/>
  <c r="J828" i="1"/>
  <c r="W827" i="1"/>
  <c r="J827" i="1" s="1"/>
  <c r="W826" i="1"/>
  <c r="J826" i="1" s="1"/>
  <c r="W825" i="1"/>
  <c r="J825" i="1" s="1"/>
  <c r="W824" i="1"/>
  <c r="J824" i="1" s="1"/>
  <c r="W823" i="1"/>
  <c r="J823" i="1" s="1"/>
  <c r="W822" i="1"/>
  <c r="J822" i="1" s="1"/>
  <c r="W821" i="1"/>
  <c r="J821" i="1"/>
  <c r="W820" i="1"/>
  <c r="J820" i="1" s="1"/>
  <c r="W819" i="1"/>
  <c r="J819" i="1" s="1"/>
  <c r="W818" i="1"/>
  <c r="J818" i="1" s="1"/>
  <c r="W817" i="1"/>
  <c r="J817" i="1" s="1"/>
  <c r="W816" i="1"/>
  <c r="J816" i="1" s="1"/>
  <c r="W815" i="1"/>
  <c r="J815" i="1"/>
  <c r="W814" i="1"/>
  <c r="J814" i="1"/>
  <c r="W813" i="1"/>
  <c r="J813" i="1" s="1"/>
  <c r="W812" i="1"/>
  <c r="J812" i="1" s="1"/>
  <c r="W811" i="1"/>
  <c r="J811" i="1" s="1"/>
  <c r="W810" i="1"/>
  <c r="J810" i="1"/>
  <c r="W809" i="1"/>
  <c r="J809" i="1" s="1"/>
  <c r="W808" i="1"/>
  <c r="J808" i="1" s="1"/>
  <c r="W807" i="1"/>
  <c r="J807" i="1" s="1"/>
  <c r="W806" i="1"/>
  <c r="J806" i="1" s="1"/>
  <c r="W805" i="1"/>
  <c r="J805" i="1" s="1"/>
  <c r="W804" i="1"/>
  <c r="J804" i="1" s="1"/>
  <c r="W803" i="1"/>
  <c r="J803" i="1" s="1"/>
  <c r="W802" i="1"/>
  <c r="J802" i="1" s="1"/>
  <c r="W801" i="1"/>
  <c r="J801" i="1" s="1"/>
  <c r="W800" i="1"/>
  <c r="J800" i="1" s="1"/>
  <c r="W799" i="1"/>
  <c r="J799" i="1" s="1"/>
  <c r="W798" i="1"/>
  <c r="J798" i="1" s="1"/>
  <c r="W797" i="1"/>
  <c r="J797" i="1" s="1"/>
  <c r="W796" i="1"/>
  <c r="J796" i="1" s="1"/>
  <c r="W795" i="1"/>
  <c r="J795" i="1" s="1"/>
  <c r="W794" i="1"/>
  <c r="J794" i="1" s="1"/>
  <c r="W793" i="1"/>
  <c r="J793" i="1" s="1"/>
  <c r="W792" i="1"/>
  <c r="J792" i="1" s="1"/>
  <c r="W791" i="1"/>
  <c r="J791" i="1" s="1"/>
  <c r="W790" i="1"/>
  <c r="J790" i="1" s="1"/>
  <c r="W789" i="1"/>
  <c r="J789" i="1" s="1"/>
  <c r="W788" i="1"/>
  <c r="J788" i="1" s="1"/>
  <c r="W787" i="1"/>
  <c r="J787" i="1" s="1"/>
  <c r="J784" i="1"/>
  <c r="W783" i="1"/>
  <c r="J783" i="1" s="1"/>
  <c r="W782" i="1"/>
  <c r="J782" i="1" s="1"/>
  <c r="W781" i="1"/>
  <c r="J781" i="1" s="1"/>
  <c r="W780" i="1"/>
  <c r="J780" i="1" s="1"/>
  <c r="W779" i="1"/>
  <c r="J779" i="1" s="1"/>
  <c r="W778" i="1"/>
  <c r="J778" i="1" s="1"/>
  <c r="W777" i="1"/>
  <c r="J777" i="1" s="1"/>
  <c r="W776" i="1"/>
  <c r="J776" i="1"/>
  <c r="W775" i="1"/>
  <c r="J775" i="1" s="1"/>
  <c r="W774" i="1"/>
  <c r="J774" i="1" s="1"/>
  <c r="W773" i="1"/>
  <c r="J773" i="1" s="1"/>
  <c r="W772" i="1"/>
  <c r="J772" i="1" s="1"/>
  <c r="W771" i="1"/>
  <c r="J771" i="1" s="1"/>
  <c r="W770" i="1"/>
  <c r="J770" i="1" s="1"/>
  <c r="W769" i="1"/>
  <c r="J769" i="1" s="1"/>
  <c r="W768" i="1"/>
  <c r="J768" i="1" s="1"/>
  <c r="W767" i="1"/>
  <c r="J767" i="1" s="1"/>
  <c r="W766" i="1"/>
  <c r="J766" i="1"/>
  <c r="W765" i="1"/>
  <c r="J765" i="1"/>
  <c r="W764" i="1"/>
  <c r="J764" i="1" s="1"/>
  <c r="W763" i="1"/>
  <c r="J763" i="1" s="1"/>
  <c r="W762" i="1"/>
  <c r="J762" i="1" s="1"/>
  <c r="W761" i="1"/>
  <c r="J761" i="1"/>
  <c r="W760" i="1"/>
  <c r="J760" i="1" s="1"/>
  <c r="W759" i="1"/>
  <c r="J759" i="1"/>
  <c r="W758" i="1"/>
  <c r="J758" i="1" s="1"/>
  <c r="W757" i="1"/>
  <c r="J757" i="1" s="1"/>
  <c r="W756" i="1"/>
  <c r="J756" i="1" s="1"/>
  <c r="W755" i="1"/>
  <c r="J755" i="1" s="1"/>
  <c r="W754" i="1"/>
  <c r="J754" i="1" s="1"/>
  <c r="W753" i="1"/>
  <c r="J753" i="1" s="1"/>
  <c r="W752" i="1"/>
  <c r="J752" i="1"/>
  <c r="W751" i="1"/>
  <c r="J751" i="1" s="1"/>
  <c r="W750" i="1"/>
  <c r="J750" i="1" s="1"/>
  <c r="W749" i="1"/>
  <c r="J749" i="1" s="1"/>
  <c r="W748" i="1"/>
  <c r="J748" i="1" s="1"/>
  <c r="W747" i="1"/>
  <c r="J747" i="1"/>
  <c r="W746" i="1"/>
  <c r="J746" i="1"/>
  <c r="W745" i="1"/>
  <c r="J745" i="1" s="1"/>
  <c r="W744" i="1"/>
  <c r="J744" i="1"/>
  <c r="W743" i="1"/>
  <c r="J743" i="1"/>
  <c r="W742" i="1"/>
  <c r="J742" i="1" s="1"/>
  <c r="W741" i="1"/>
  <c r="J741" i="1" s="1"/>
  <c r="W740" i="1"/>
  <c r="J740" i="1" s="1"/>
  <c r="W739" i="1"/>
  <c r="J739" i="1" s="1"/>
  <c r="W738" i="1"/>
  <c r="J738" i="1" s="1"/>
  <c r="W737" i="1"/>
  <c r="J737" i="1"/>
  <c r="W736" i="1"/>
  <c r="J736" i="1" s="1"/>
  <c r="W735" i="1"/>
  <c r="J735" i="1" s="1"/>
  <c r="W734" i="1"/>
  <c r="J734" i="1" s="1"/>
  <c r="W733" i="1"/>
  <c r="J733" i="1" s="1"/>
  <c r="W732" i="1"/>
  <c r="J732" i="1" s="1"/>
  <c r="W731" i="1"/>
  <c r="J731" i="1" s="1"/>
  <c r="W730" i="1"/>
  <c r="J730" i="1" s="1"/>
  <c r="W729" i="1"/>
  <c r="J729" i="1" s="1"/>
  <c r="W728" i="1"/>
  <c r="J728" i="1" s="1"/>
  <c r="W727" i="1"/>
  <c r="J727" i="1" s="1"/>
  <c r="W726" i="1"/>
  <c r="J726" i="1" s="1"/>
  <c r="W725" i="1"/>
  <c r="J725" i="1" s="1"/>
  <c r="W724" i="1"/>
  <c r="J724" i="1" s="1"/>
  <c r="W723" i="1"/>
  <c r="J723" i="1" s="1"/>
  <c r="W722" i="1"/>
  <c r="J722" i="1"/>
  <c r="W721" i="1"/>
  <c r="J721" i="1" s="1"/>
  <c r="W720" i="1"/>
  <c r="J720" i="1" s="1"/>
  <c r="W719" i="1"/>
  <c r="J719" i="1" s="1"/>
  <c r="W718" i="1"/>
  <c r="J718" i="1" s="1"/>
  <c r="W717" i="1"/>
  <c r="J717" i="1" s="1"/>
  <c r="W716" i="1"/>
  <c r="J716" i="1" s="1"/>
  <c r="W715" i="1"/>
  <c r="J715" i="1" s="1"/>
  <c r="W714" i="1"/>
  <c r="J714" i="1" s="1"/>
  <c r="W713" i="1"/>
  <c r="J713" i="1" s="1"/>
  <c r="W712" i="1"/>
  <c r="J712" i="1" s="1"/>
  <c r="W711" i="1"/>
  <c r="J711" i="1" s="1"/>
  <c r="W710" i="1"/>
  <c r="J710" i="1" s="1"/>
  <c r="W709" i="1"/>
  <c r="J709" i="1"/>
  <c r="W708" i="1"/>
  <c r="J708" i="1" s="1"/>
  <c r="W707" i="1"/>
  <c r="J707" i="1"/>
  <c r="W706" i="1"/>
  <c r="J706" i="1"/>
  <c r="W705" i="1"/>
  <c r="J705" i="1" s="1"/>
  <c r="W704" i="1"/>
  <c r="J704" i="1" s="1"/>
  <c r="W703" i="1"/>
  <c r="J703" i="1" s="1"/>
  <c r="W702" i="1"/>
  <c r="J702" i="1" s="1"/>
  <c r="W701" i="1"/>
  <c r="J701" i="1" s="1"/>
  <c r="W700" i="1"/>
  <c r="J700" i="1"/>
  <c r="W699" i="1"/>
  <c r="J699" i="1" s="1"/>
  <c r="W698" i="1"/>
  <c r="J698" i="1" s="1"/>
  <c r="W697" i="1"/>
  <c r="J697" i="1" s="1"/>
  <c r="W696" i="1"/>
  <c r="J696" i="1"/>
  <c r="W695" i="1"/>
  <c r="J695" i="1" s="1"/>
  <c r="W694" i="1"/>
  <c r="J694" i="1"/>
  <c r="W693" i="1"/>
  <c r="J693" i="1"/>
  <c r="W692" i="1"/>
  <c r="J692" i="1"/>
  <c r="W691" i="1"/>
  <c r="J691" i="1" s="1"/>
  <c r="W690" i="1"/>
  <c r="J690" i="1" s="1"/>
  <c r="W689" i="1"/>
  <c r="J689" i="1"/>
  <c r="W688" i="1"/>
  <c r="J688" i="1" s="1"/>
  <c r="W687" i="1"/>
  <c r="J687" i="1" s="1"/>
  <c r="W686" i="1"/>
  <c r="J686" i="1" s="1"/>
  <c r="W685" i="1"/>
  <c r="J685" i="1" s="1"/>
  <c r="W684" i="1"/>
  <c r="J684" i="1" s="1"/>
  <c r="W683" i="1"/>
  <c r="J683" i="1"/>
  <c r="W682" i="1"/>
  <c r="J682" i="1" s="1"/>
  <c r="W681" i="1"/>
  <c r="J681" i="1" s="1"/>
  <c r="W680" i="1"/>
  <c r="J680" i="1" s="1"/>
  <c r="W679" i="1"/>
  <c r="J679" i="1" s="1"/>
  <c r="W678" i="1"/>
  <c r="J678" i="1" s="1"/>
  <c r="W677" i="1"/>
  <c r="J677" i="1" s="1"/>
  <c r="W676" i="1"/>
  <c r="J676" i="1" s="1"/>
  <c r="W675" i="1"/>
  <c r="J675" i="1"/>
  <c r="W674" i="1"/>
  <c r="J674" i="1" s="1"/>
  <c r="W673" i="1"/>
  <c r="J673" i="1" s="1"/>
  <c r="W672" i="1"/>
  <c r="J672" i="1" s="1"/>
  <c r="W671" i="1"/>
  <c r="J671" i="1"/>
  <c r="W670" i="1"/>
  <c r="J670" i="1" s="1"/>
  <c r="W669" i="1"/>
  <c r="J669" i="1" s="1"/>
  <c r="W668" i="1"/>
  <c r="J668" i="1" s="1"/>
  <c r="W667" i="1"/>
  <c r="J667" i="1" s="1"/>
  <c r="W666" i="1"/>
  <c r="J666" i="1" s="1"/>
  <c r="W665" i="1"/>
  <c r="J665" i="1" s="1"/>
  <c r="W664" i="1"/>
  <c r="J664" i="1" s="1"/>
  <c r="W663" i="1"/>
  <c r="J663" i="1" s="1"/>
  <c r="W662" i="1"/>
  <c r="J662" i="1" s="1"/>
  <c r="W661" i="1"/>
  <c r="J661" i="1"/>
  <c r="W660" i="1"/>
  <c r="J660" i="1" s="1"/>
  <c r="W659" i="1"/>
  <c r="J659" i="1" s="1"/>
  <c r="W658" i="1"/>
  <c r="J658" i="1" s="1"/>
  <c r="W657" i="1"/>
  <c r="J657" i="1" s="1"/>
  <c r="W656" i="1"/>
  <c r="J656" i="1" s="1"/>
  <c r="W655" i="1"/>
  <c r="J655" i="1" s="1"/>
  <c r="W654" i="1"/>
  <c r="J654" i="1"/>
  <c r="W653" i="1"/>
  <c r="J653" i="1" s="1"/>
  <c r="W652" i="1"/>
  <c r="J652" i="1" s="1"/>
  <c r="W651" i="1"/>
  <c r="J651" i="1"/>
  <c r="W650" i="1"/>
  <c r="J650" i="1"/>
  <c r="W649" i="1"/>
  <c r="J649" i="1"/>
  <c r="W648" i="1"/>
  <c r="J648" i="1"/>
  <c r="W647" i="1"/>
  <c r="J647" i="1"/>
  <c r="W646" i="1"/>
  <c r="J646" i="1" s="1"/>
  <c r="W645" i="1"/>
  <c r="J645" i="1" s="1"/>
  <c r="W644" i="1"/>
  <c r="J644" i="1" s="1"/>
  <c r="W643" i="1"/>
  <c r="J643" i="1" s="1"/>
  <c r="W642" i="1"/>
  <c r="J642" i="1" s="1"/>
  <c r="W641" i="1"/>
  <c r="J641" i="1" s="1"/>
  <c r="W640" i="1"/>
  <c r="J640" i="1" s="1"/>
  <c r="W639" i="1"/>
  <c r="J639" i="1" s="1"/>
  <c r="W638" i="1"/>
  <c r="J638" i="1" s="1"/>
  <c r="W637" i="1"/>
  <c r="J637" i="1" s="1"/>
  <c r="W636" i="1"/>
  <c r="J636" i="1" s="1"/>
  <c r="W635" i="1"/>
  <c r="J635" i="1" s="1"/>
  <c r="W634" i="1"/>
  <c r="J634" i="1" s="1"/>
  <c r="W633" i="1"/>
  <c r="J633" i="1" s="1"/>
  <c r="W632" i="1"/>
  <c r="J632" i="1" s="1"/>
  <c r="W631" i="1"/>
  <c r="J631" i="1" s="1"/>
  <c r="W630" i="1"/>
  <c r="J630" i="1" s="1"/>
  <c r="W629" i="1"/>
  <c r="J629" i="1" s="1"/>
  <c r="W628" i="1"/>
  <c r="J628" i="1" s="1"/>
  <c r="W627" i="1"/>
  <c r="J627" i="1" s="1"/>
  <c r="W626" i="1"/>
  <c r="J626" i="1" s="1"/>
  <c r="W625" i="1"/>
  <c r="J625" i="1" s="1"/>
  <c r="W624" i="1"/>
  <c r="J624" i="1" s="1"/>
  <c r="W623" i="1"/>
  <c r="J623" i="1" s="1"/>
  <c r="W622" i="1"/>
  <c r="J622" i="1" s="1"/>
  <c r="W621" i="1"/>
  <c r="J621" i="1" s="1"/>
  <c r="W620" i="1"/>
  <c r="J620" i="1"/>
  <c r="W619" i="1"/>
  <c r="J619" i="1" s="1"/>
  <c r="W618" i="1"/>
  <c r="J618" i="1" s="1"/>
  <c r="W617" i="1"/>
  <c r="J617" i="1" s="1"/>
  <c r="W616" i="1"/>
  <c r="J616" i="1" s="1"/>
  <c r="W615" i="1"/>
  <c r="J615" i="1" s="1"/>
  <c r="W614" i="1"/>
  <c r="J614" i="1"/>
  <c r="W613" i="1"/>
  <c r="J613" i="1" s="1"/>
  <c r="W612" i="1"/>
  <c r="J612" i="1" s="1"/>
  <c r="W611" i="1"/>
  <c r="J611" i="1" s="1"/>
  <c r="W610" i="1"/>
  <c r="J610" i="1" s="1"/>
  <c r="W609" i="1"/>
  <c r="J609" i="1" s="1"/>
  <c r="W608" i="1"/>
  <c r="J608" i="1" s="1"/>
  <c r="W607" i="1"/>
  <c r="J607" i="1" s="1"/>
  <c r="W606" i="1"/>
  <c r="J606" i="1" s="1"/>
  <c r="W605" i="1"/>
  <c r="J605" i="1" s="1"/>
  <c r="W604" i="1"/>
  <c r="J604" i="1" s="1"/>
  <c r="W603" i="1"/>
  <c r="J603" i="1" s="1"/>
  <c r="W602" i="1"/>
  <c r="J602" i="1" s="1"/>
  <c r="W601" i="1"/>
  <c r="J601" i="1" s="1"/>
  <c r="W600" i="1"/>
  <c r="J600" i="1" s="1"/>
  <c r="W599" i="1"/>
  <c r="J599" i="1" s="1"/>
  <c r="W598" i="1"/>
  <c r="J598" i="1" s="1"/>
  <c r="W597" i="1"/>
  <c r="J597" i="1" s="1"/>
  <c r="W596" i="1"/>
  <c r="J596" i="1"/>
  <c r="W595" i="1"/>
  <c r="J595" i="1"/>
  <c r="W594" i="1"/>
  <c r="J594" i="1" s="1"/>
  <c r="W593" i="1"/>
  <c r="J593" i="1" s="1"/>
  <c r="W592" i="1"/>
  <c r="J592" i="1" s="1"/>
  <c r="W591" i="1"/>
  <c r="J591" i="1"/>
  <c r="W588" i="1"/>
  <c r="J588" i="1" s="1"/>
  <c r="W587" i="1"/>
  <c r="J587" i="1" s="1"/>
  <c r="W586" i="1"/>
  <c r="J586" i="1" s="1"/>
  <c r="W585" i="1"/>
  <c r="J585" i="1" s="1"/>
  <c r="W584" i="1"/>
  <c r="J584" i="1" s="1"/>
  <c r="W583" i="1"/>
  <c r="J583" i="1" s="1"/>
  <c r="W582" i="1"/>
  <c r="J582" i="1" s="1"/>
  <c r="W581" i="1"/>
  <c r="J581" i="1" s="1"/>
  <c r="W580" i="1"/>
  <c r="J580" i="1" s="1"/>
  <c r="W579" i="1"/>
  <c r="J579" i="1" s="1"/>
  <c r="W578" i="1"/>
  <c r="J578" i="1" s="1"/>
  <c r="W577" i="1"/>
  <c r="J577" i="1" s="1"/>
  <c r="W576" i="1"/>
  <c r="J576" i="1" s="1"/>
  <c r="W575" i="1"/>
  <c r="J575" i="1" s="1"/>
  <c r="W574" i="1"/>
  <c r="J574" i="1" s="1"/>
  <c r="W573" i="1"/>
  <c r="J573" i="1" s="1"/>
  <c r="W572" i="1"/>
  <c r="J572" i="1" s="1"/>
  <c r="W571" i="1"/>
  <c r="J571" i="1" s="1"/>
  <c r="W570" i="1"/>
  <c r="J570" i="1"/>
  <c r="W569" i="1"/>
  <c r="J569" i="1" s="1"/>
  <c r="W568" i="1"/>
  <c r="J568" i="1" s="1"/>
  <c r="W567" i="1"/>
  <c r="J567" i="1" s="1"/>
  <c r="W566" i="1"/>
  <c r="J566" i="1" s="1"/>
  <c r="W565" i="1"/>
  <c r="J565" i="1"/>
  <c r="W564" i="1"/>
  <c r="J564" i="1"/>
  <c r="W563" i="1"/>
  <c r="J563" i="1" s="1"/>
  <c r="W562" i="1"/>
  <c r="J562" i="1" s="1"/>
  <c r="W561" i="1"/>
  <c r="J561" i="1"/>
  <c r="W560" i="1"/>
  <c r="J560" i="1" s="1"/>
  <c r="W559" i="1"/>
  <c r="J559" i="1" s="1"/>
  <c r="W558" i="1"/>
  <c r="J558" i="1" s="1"/>
  <c r="W557" i="1"/>
  <c r="J557" i="1" s="1"/>
  <c r="W556" i="1"/>
  <c r="J556" i="1" s="1"/>
  <c r="W555" i="1"/>
  <c r="J555" i="1" s="1"/>
  <c r="W554" i="1"/>
  <c r="J554" i="1" s="1"/>
  <c r="W553" i="1"/>
  <c r="J553" i="1"/>
  <c r="W552" i="1"/>
  <c r="J552" i="1" s="1"/>
  <c r="W551" i="1"/>
  <c r="J551" i="1" s="1"/>
  <c r="W550" i="1"/>
  <c r="J550" i="1" s="1"/>
  <c r="W549" i="1"/>
  <c r="J549" i="1" s="1"/>
  <c r="W548" i="1"/>
  <c r="J548" i="1" s="1"/>
  <c r="W547" i="1"/>
  <c r="J547" i="1" s="1"/>
  <c r="W546" i="1"/>
  <c r="J546" i="1" s="1"/>
  <c r="W545" i="1"/>
  <c r="J545" i="1" s="1"/>
  <c r="W544" i="1"/>
  <c r="J544" i="1" s="1"/>
  <c r="W543" i="1"/>
  <c r="J543" i="1" s="1"/>
  <c r="W542" i="1"/>
  <c r="J542" i="1" s="1"/>
  <c r="W541" i="1"/>
  <c r="J541" i="1"/>
  <c r="W540" i="1"/>
  <c r="J540" i="1" s="1"/>
  <c r="W539" i="1"/>
  <c r="J539" i="1" s="1"/>
  <c r="W538" i="1"/>
  <c r="J538" i="1"/>
  <c r="W537" i="1"/>
  <c r="J537" i="1" s="1"/>
  <c r="W536" i="1"/>
  <c r="J536" i="1" s="1"/>
  <c r="W535" i="1"/>
  <c r="J535" i="1" s="1"/>
  <c r="W534" i="1"/>
  <c r="J534" i="1"/>
  <c r="W533" i="1"/>
  <c r="J533" i="1" s="1"/>
  <c r="W532" i="1"/>
  <c r="J532" i="1" s="1"/>
  <c r="W531" i="1"/>
  <c r="J531" i="1" s="1"/>
  <c r="W530" i="1"/>
  <c r="J530" i="1"/>
  <c r="W529" i="1"/>
  <c r="J529" i="1" s="1"/>
  <c r="W528" i="1"/>
  <c r="J528" i="1" s="1"/>
  <c r="W527" i="1"/>
  <c r="J527" i="1" s="1"/>
  <c r="W526" i="1"/>
  <c r="J526" i="1" s="1"/>
  <c r="W525" i="1"/>
  <c r="J525" i="1" s="1"/>
  <c r="W524" i="1"/>
  <c r="J524" i="1" s="1"/>
  <c r="W523" i="1"/>
  <c r="J523" i="1" s="1"/>
  <c r="W522" i="1"/>
  <c r="J522" i="1" s="1"/>
  <c r="W521" i="1"/>
  <c r="J521" i="1" s="1"/>
  <c r="W520" i="1"/>
  <c r="J520" i="1" s="1"/>
  <c r="W519" i="1"/>
  <c r="J519" i="1"/>
  <c r="W518" i="1"/>
  <c r="J518" i="1" s="1"/>
  <c r="W517" i="1"/>
  <c r="J517" i="1" s="1"/>
  <c r="W516" i="1"/>
  <c r="J516" i="1" s="1"/>
  <c r="W515" i="1"/>
  <c r="J515" i="1" s="1"/>
  <c r="W514" i="1"/>
  <c r="J514" i="1" s="1"/>
  <c r="W513" i="1"/>
  <c r="J513" i="1" s="1"/>
  <c r="W512" i="1"/>
  <c r="J512" i="1" s="1"/>
  <c r="W511" i="1"/>
  <c r="J511" i="1" s="1"/>
  <c r="W510" i="1"/>
  <c r="J510" i="1" s="1"/>
  <c r="W509" i="1"/>
  <c r="J509" i="1" s="1"/>
  <c r="W508" i="1"/>
  <c r="J508" i="1" s="1"/>
  <c r="W507" i="1"/>
  <c r="J507" i="1" s="1"/>
  <c r="W506" i="1"/>
  <c r="J506" i="1"/>
  <c r="W505" i="1"/>
  <c r="J505" i="1" s="1"/>
  <c r="W504" i="1"/>
  <c r="J504" i="1" s="1"/>
  <c r="W503" i="1"/>
  <c r="J503" i="1" s="1"/>
  <c r="W502" i="1"/>
  <c r="J502" i="1" s="1"/>
  <c r="W501" i="1"/>
  <c r="J501" i="1" s="1"/>
  <c r="W500" i="1"/>
  <c r="J500" i="1"/>
  <c r="W499" i="1"/>
  <c r="J499" i="1" s="1"/>
  <c r="W498" i="1"/>
  <c r="J498" i="1" s="1"/>
  <c r="W497" i="1"/>
  <c r="J497" i="1" s="1"/>
  <c r="W496" i="1"/>
  <c r="J496" i="1" s="1"/>
  <c r="W495" i="1"/>
  <c r="J495" i="1" s="1"/>
  <c r="W494" i="1"/>
  <c r="J494" i="1" s="1"/>
  <c r="W493" i="1"/>
  <c r="J493" i="1" s="1"/>
  <c r="W492" i="1"/>
  <c r="J492" i="1" s="1"/>
  <c r="W491" i="1"/>
  <c r="J491" i="1" s="1"/>
  <c r="W490" i="1"/>
  <c r="J490" i="1" s="1"/>
  <c r="W489" i="1"/>
  <c r="J489" i="1" s="1"/>
  <c r="W488" i="1"/>
  <c r="J488" i="1" s="1"/>
  <c r="W487" i="1"/>
  <c r="J487" i="1" s="1"/>
  <c r="W486" i="1"/>
  <c r="J486" i="1" s="1"/>
  <c r="W485" i="1"/>
  <c r="J485" i="1" s="1"/>
  <c r="W484" i="1"/>
  <c r="J484" i="1" s="1"/>
  <c r="W483" i="1"/>
  <c r="J483" i="1" s="1"/>
  <c r="W482" i="1"/>
  <c r="J482" i="1"/>
  <c r="W481" i="1"/>
  <c r="J481" i="1" s="1"/>
  <c r="W480" i="1"/>
  <c r="J480" i="1" s="1"/>
  <c r="W479" i="1"/>
  <c r="J479" i="1" s="1"/>
  <c r="W478" i="1"/>
  <c r="J478" i="1" s="1"/>
  <c r="W477" i="1"/>
  <c r="J477" i="1" s="1"/>
  <c r="W476" i="1"/>
  <c r="J476" i="1" s="1"/>
  <c r="W475" i="1"/>
  <c r="J475" i="1" s="1"/>
  <c r="W474" i="1"/>
  <c r="J474" i="1" s="1"/>
  <c r="W473" i="1"/>
  <c r="J473" i="1" s="1"/>
  <c r="W472" i="1"/>
  <c r="J472" i="1" s="1"/>
  <c r="W471" i="1"/>
  <c r="J471" i="1" s="1"/>
  <c r="W470" i="1"/>
  <c r="J470" i="1" s="1"/>
  <c r="W469" i="1"/>
  <c r="J469" i="1" s="1"/>
  <c r="W468" i="1"/>
  <c r="J468" i="1" s="1"/>
  <c r="W467" i="1"/>
  <c r="J467" i="1" s="1"/>
  <c r="W466" i="1"/>
  <c r="J466" i="1" s="1"/>
  <c r="W465" i="1"/>
  <c r="J465" i="1" s="1"/>
  <c r="W464" i="1"/>
  <c r="J464" i="1" s="1"/>
  <c r="W463" i="1"/>
  <c r="J463" i="1" s="1"/>
  <c r="W462" i="1"/>
  <c r="J462" i="1" s="1"/>
  <c r="W461" i="1"/>
  <c r="J461" i="1" s="1"/>
  <c r="W460" i="1"/>
  <c r="J460" i="1" s="1"/>
  <c r="W459" i="1"/>
  <c r="J459" i="1" s="1"/>
  <c r="W458" i="1"/>
  <c r="J458" i="1" s="1"/>
  <c r="W457" i="1"/>
  <c r="J457" i="1" s="1"/>
  <c r="W456" i="1"/>
  <c r="J456" i="1" s="1"/>
  <c r="W455" i="1"/>
  <c r="J455" i="1" s="1"/>
  <c r="W454" i="1"/>
  <c r="J454" i="1" s="1"/>
  <c r="W453" i="1"/>
  <c r="J453" i="1" s="1"/>
  <c r="W452" i="1"/>
  <c r="J452" i="1" s="1"/>
  <c r="W451" i="1"/>
  <c r="J451" i="1" s="1"/>
  <c r="W450" i="1"/>
  <c r="J450" i="1" s="1"/>
  <c r="W449" i="1"/>
  <c r="J449" i="1"/>
  <c r="W448" i="1"/>
  <c r="J448" i="1" s="1"/>
  <c r="W447" i="1"/>
  <c r="J447" i="1" s="1"/>
  <c r="W446" i="1"/>
  <c r="J446" i="1" s="1"/>
  <c r="W445" i="1"/>
  <c r="J445" i="1" s="1"/>
  <c r="W444" i="1"/>
  <c r="J444" i="1" s="1"/>
  <c r="W443" i="1"/>
  <c r="J443" i="1" s="1"/>
  <c r="W442" i="1"/>
  <c r="J442" i="1" s="1"/>
  <c r="W441" i="1"/>
  <c r="J441" i="1" s="1"/>
  <c r="W440" i="1"/>
  <c r="J440" i="1" s="1"/>
  <c r="W439" i="1"/>
  <c r="J439" i="1" s="1"/>
  <c r="W438" i="1"/>
  <c r="J438" i="1" s="1"/>
  <c r="W437" i="1"/>
  <c r="J437" i="1"/>
  <c r="W436" i="1"/>
  <c r="J436" i="1" s="1"/>
  <c r="W435" i="1"/>
  <c r="J435" i="1" s="1"/>
  <c r="W434" i="1"/>
  <c r="J434" i="1" s="1"/>
  <c r="W431" i="1"/>
  <c r="J431" i="1" s="1"/>
  <c r="F431" i="1"/>
  <c r="E431" i="1"/>
  <c r="W430" i="1"/>
  <c r="J430" i="1" s="1"/>
  <c r="F430" i="1"/>
  <c r="E430" i="1"/>
  <c r="W429" i="1"/>
  <c r="J429" i="1" s="1"/>
  <c r="W428" i="1"/>
  <c r="J428" i="1" s="1"/>
  <c r="W427" i="1"/>
  <c r="J427" i="1"/>
  <c r="W426" i="1"/>
  <c r="J426" i="1" s="1"/>
  <c r="W425" i="1"/>
  <c r="J425" i="1"/>
  <c r="W424" i="1"/>
  <c r="J424" i="1" s="1"/>
  <c r="W423" i="1"/>
  <c r="J423" i="1" s="1"/>
  <c r="W422" i="1"/>
  <c r="J422" i="1" s="1"/>
  <c r="W421" i="1"/>
  <c r="J421" i="1" s="1"/>
  <c r="W420" i="1"/>
  <c r="J420" i="1"/>
  <c r="W419" i="1"/>
  <c r="J419" i="1" s="1"/>
  <c r="W418" i="1"/>
  <c r="J418" i="1" s="1"/>
  <c r="W417" i="1"/>
  <c r="J417" i="1" s="1"/>
  <c r="W416" i="1"/>
  <c r="J416" i="1" s="1"/>
  <c r="W415" i="1"/>
  <c r="J415" i="1" s="1"/>
  <c r="W414" i="1"/>
  <c r="J414" i="1" s="1"/>
  <c r="W413" i="1"/>
  <c r="J413" i="1" s="1"/>
  <c r="W412" i="1"/>
  <c r="J412" i="1" s="1"/>
  <c r="W411" i="1"/>
  <c r="J411" i="1" s="1"/>
  <c r="W410" i="1"/>
  <c r="J410" i="1" s="1"/>
  <c r="W409" i="1"/>
  <c r="J409" i="1" s="1"/>
  <c r="W408" i="1"/>
  <c r="J408" i="1" s="1"/>
  <c r="W407" i="1"/>
  <c r="J407" i="1" s="1"/>
  <c r="W406" i="1"/>
  <c r="J406" i="1" s="1"/>
  <c r="W405" i="1"/>
  <c r="J405" i="1" s="1"/>
  <c r="W404" i="1"/>
  <c r="J404" i="1" s="1"/>
  <c r="W403" i="1"/>
  <c r="J403" i="1" s="1"/>
  <c r="W402" i="1"/>
  <c r="J402" i="1" s="1"/>
  <c r="W401" i="1"/>
  <c r="J401" i="1" s="1"/>
  <c r="W400" i="1"/>
  <c r="J400" i="1" s="1"/>
  <c r="W399" i="1"/>
  <c r="J399" i="1" s="1"/>
  <c r="W398" i="1"/>
  <c r="J398" i="1" s="1"/>
  <c r="W397" i="1"/>
  <c r="J397" i="1" s="1"/>
  <c r="W396" i="1"/>
  <c r="J396" i="1"/>
  <c r="W395" i="1"/>
  <c r="J395" i="1" s="1"/>
  <c r="W394" i="1"/>
  <c r="J394" i="1" s="1"/>
  <c r="W393" i="1"/>
  <c r="J393" i="1" s="1"/>
  <c r="W392" i="1"/>
  <c r="J392" i="1" s="1"/>
  <c r="W391" i="1"/>
  <c r="J391" i="1" s="1"/>
  <c r="W390" i="1"/>
  <c r="J390" i="1" s="1"/>
  <c r="W389" i="1"/>
  <c r="J389" i="1" s="1"/>
  <c r="W388" i="1"/>
  <c r="J388" i="1" s="1"/>
  <c r="W387" i="1"/>
  <c r="J387" i="1"/>
  <c r="W386" i="1"/>
  <c r="J386" i="1" s="1"/>
  <c r="W385" i="1"/>
  <c r="J385" i="1"/>
  <c r="W384" i="1"/>
  <c r="J384" i="1" s="1"/>
  <c r="W383" i="1"/>
  <c r="J383" i="1" s="1"/>
  <c r="W382" i="1"/>
  <c r="J382" i="1" s="1"/>
  <c r="W381" i="1"/>
  <c r="J381" i="1" s="1"/>
  <c r="W380" i="1"/>
  <c r="J380" i="1" s="1"/>
  <c r="W379" i="1"/>
  <c r="J379" i="1" s="1"/>
  <c r="W378" i="1"/>
  <c r="J378" i="1" s="1"/>
  <c r="W377" i="1"/>
  <c r="J377" i="1" s="1"/>
  <c r="W376" i="1"/>
  <c r="J376" i="1"/>
  <c r="W375" i="1"/>
  <c r="J375" i="1" s="1"/>
  <c r="W374" i="1"/>
  <c r="J374" i="1" s="1"/>
  <c r="W373" i="1"/>
  <c r="J373" i="1"/>
  <c r="W372" i="1"/>
  <c r="J372" i="1" s="1"/>
  <c r="W371" i="1"/>
  <c r="J371" i="1" s="1"/>
  <c r="W370" i="1"/>
  <c r="J370" i="1" s="1"/>
  <c r="W369" i="1"/>
  <c r="J369" i="1" s="1"/>
  <c r="W368" i="1"/>
  <c r="J368" i="1"/>
  <c r="W367" i="1"/>
  <c r="J367" i="1" s="1"/>
  <c r="W366" i="1"/>
  <c r="J366" i="1" s="1"/>
  <c r="W365" i="1"/>
  <c r="J365" i="1" s="1"/>
  <c r="W364" i="1"/>
  <c r="J364" i="1" s="1"/>
  <c r="W363" i="1"/>
  <c r="J363" i="1" s="1"/>
  <c r="W362" i="1"/>
  <c r="J362" i="1" s="1"/>
  <c r="W361" i="1"/>
  <c r="J361" i="1" s="1"/>
  <c r="W360" i="1"/>
  <c r="J360" i="1" s="1"/>
  <c r="W359" i="1"/>
  <c r="J359" i="1"/>
  <c r="W358" i="1"/>
  <c r="J358" i="1" s="1"/>
  <c r="W357" i="1"/>
  <c r="J357" i="1"/>
  <c r="W356" i="1"/>
  <c r="J356" i="1" s="1"/>
  <c r="W355" i="1"/>
  <c r="J355" i="1" s="1"/>
  <c r="W354" i="1"/>
  <c r="J354" i="1" s="1"/>
  <c r="W353" i="1"/>
  <c r="J353" i="1" s="1"/>
  <c r="W352" i="1"/>
  <c r="J352" i="1" s="1"/>
  <c r="W351" i="1"/>
  <c r="J351" i="1" s="1"/>
  <c r="W350" i="1"/>
  <c r="J350" i="1" s="1"/>
  <c r="W349" i="1"/>
  <c r="J349" i="1" s="1"/>
  <c r="W348" i="1"/>
  <c r="J348" i="1"/>
  <c r="W347" i="1"/>
  <c r="J347" i="1" s="1"/>
  <c r="W346" i="1"/>
  <c r="J346" i="1"/>
  <c r="W345" i="1"/>
  <c r="J345" i="1"/>
  <c r="W344" i="1"/>
  <c r="J344" i="1" s="1"/>
  <c r="W343" i="1"/>
  <c r="J343" i="1" s="1"/>
  <c r="W342" i="1"/>
  <c r="J342" i="1" s="1"/>
  <c r="W341" i="1"/>
  <c r="J341" i="1" s="1"/>
  <c r="W340" i="1"/>
  <c r="J340" i="1"/>
  <c r="W339" i="1"/>
  <c r="J339" i="1" s="1"/>
  <c r="W338" i="1"/>
  <c r="J338" i="1" s="1"/>
  <c r="W337" i="1"/>
  <c r="J337" i="1" s="1"/>
  <c r="W336" i="1"/>
  <c r="J336" i="1" s="1"/>
  <c r="W335" i="1"/>
  <c r="J335" i="1" s="1"/>
  <c r="W334" i="1"/>
  <c r="J334" i="1" s="1"/>
  <c r="W333" i="1"/>
  <c r="J333" i="1" s="1"/>
  <c r="W332" i="1"/>
  <c r="J332" i="1" s="1"/>
  <c r="W331" i="1"/>
  <c r="J331" i="1" s="1"/>
  <c r="W330" i="1"/>
  <c r="J330" i="1"/>
  <c r="W329" i="1"/>
  <c r="J329" i="1"/>
  <c r="W328" i="1"/>
  <c r="J328" i="1"/>
  <c r="W327" i="1"/>
  <c r="J327" i="1" s="1"/>
  <c r="W326" i="1"/>
  <c r="J326" i="1" s="1"/>
  <c r="W325" i="1"/>
  <c r="J325" i="1" s="1"/>
  <c r="W324" i="1"/>
  <c r="J324" i="1" s="1"/>
  <c r="W323" i="1"/>
  <c r="J323" i="1" s="1"/>
  <c r="W322" i="1"/>
  <c r="J322" i="1" s="1"/>
  <c r="W321" i="1"/>
  <c r="J321" i="1" s="1"/>
  <c r="W320" i="1"/>
  <c r="J320" i="1" s="1"/>
  <c r="W319" i="1"/>
  <c r="J319" i="1" s="1"/>
  <c r="W318" i="1"/>
  <c r="J318" i="1" s="1"/>
  <c r="W317" i="1"/>
  <c r="J317" i="1" s="1"/>
  <c r="W316" i="1"/>
  <c r="J316" i="1" s="1"/>
  <c r="W315" i="1"/>
  <c r="J315" i="1" s="1"/>
  <c r="W314" i="1"/>
  <c r="J314" i="1" s="1"/>
  <c r="W313" i="1"/>
  <c r="J313" i="1" s="1"/>
  <c r="W312" i="1"/>
  <c r="J312" i="1" s="1"/>
  <c r="W311" i="1"/>
  <c r="J311" i="1" s="1"/>
  <c r="W310" i="1"/>
  <c r="J310" i="1" s="1"/>
  <c r="W309" i="1"/>
  <c r="J309" i="1" s="1"/>
  <c r="W308" i="1"/>
  <c r="J308" i="1" s="1"/>
  <c r="W307" i="1"/>
  <c r="J307" i="1" s="1"/>
  <c r="W306" i="1"/>
  <c r="J306" i="1" s="1"/>
  <c r="W305" i="1"/>
  <c r="J305" i="1" s="1"/>
  <c r="W304" i="1"/>
  <c r="J304" i="1" s="1"/>
  <c r="W303" i="1"/>
  <c r="J303" i="1" s="1"/>
  <c r="W302" i="1"/>
  <c r="J302" i="1" s="1"/>
  <c r="W301" i="1"/>
  <c r="J301" i="1" s="1"/>
  <c r="W300" i="1"/>
  <c r="J300" i="1" s="1"/>
  <c r="W299" i="1"/>
  <c r="J299" i="1" s="1"/>
  <c r="W298" i="1"/>
  <c r="J298" i="1"/>
  <c r="W297" i="1"/>
  <c r="J297" i="1" s="1"/>
  <c r="W296" i="1"/>
  <c r="J296" i="1" s="1"/>
  <c r="W295" i="1"/>
  <c r="J295" i="1" s="1"/>
  <c r="W294" i="1"/>
  <c r="J294" i="1" s="1"/>
  <c r="W293" i="1"/>
  <c r="J293" i="1"/>
  <c r="W292" i="1"/>
  <c r="J292" i="1" s="1"/>
  <c r="W291" i="1"/>
  <c r="J291" i="1" s="1"/>
  <c r="W290" i="1"/>
  <c r="J290" i="1" s="1"/>
  <c r="W289" i="1"/>
  <c r="J289" i="1" s="1"/>
  <c r="W288" i="1"/>
  <c r="J288" i="1" s="1"/>
  <c r="W287" i="1"/>
  <c r="J287" i="1" s="1"/>
  <c r="W286" i="1"/>
  <c r="J286" i="1" s="1"/>
  <c r="W285" i="1"/>
  <c r="J285" i="1" s="1"/>
  <c r="W284" i="1"/>
  <c r="J284" i="1" s="1"/>
  <c r="W283" i="1"/>
  <c r="J283" i="1"/>
  <c r="W282" i="1"/>
  <c r="J282" i="1"/>
  <c r="W281" i="1"/>
  <c r="J281" i="1" s="1"/>
  <c r="W280" i="1"/>
  <c r="J280" i="1" s="1"/>
  <c r="W279" i="1"/>
  <c r="J279" i="1" s="1"/>
  <c r="W278" i="1"/>
  <c r="J278" i="1" s="1"/>
  <c r="W277" i="1"/>
  <c r="J277" i="1" s="1"/>
  <c r="W276" i="1"/>
  <c r="J276" i="1" s="1"/>
  <c r="W273" i="1"/>
  <c r="J273" i="1"/>
  <c r="W272" i="1"/>
  <c r="J272" i="1" s="1"/>
  <c r="W271" i="1"/>
  <c r="J271" i="1" s="1"/>
  <c r="W270" i="1"/>
  <c r="J270" i="1" s="1"/>
  <c r="W269" i="1"/>
  <c r="J269" i="1" s="1"/>
  <c r="W268" i="1"/>
  <c r="J268" i="1" s="1"/>
  <c r="W267" i="1"/>
  <c r="J267" i="1" s="1"/>
  <c r="W266" i="1"/>
  <c r="J266" i="1"/>
  <c r="W265" i="1"/>
  <c r="J265" i="1" s="1"/>
  <c r="W264" i="1"/>
  <c r="J264" i="1" s="1"/>
  <c r="W263" i="1"/>
  <c r="J263" i="1" s="1"/>
  <c r="W262" i="1"/>
  <c r="J262" i="1" s="1"/>
  <c r="W261" i="1"/>
  <c r="J261" i="1" s="1"/>
  <c r="W260" i="1"/>
  <c r="J260" i="1" s="1"/>
  <c r="W259" i="1"/>
  <c r="J259" i="1" s="1"/>
  <c r="W258" i="1"/>
  <c r="J258" i="1" s="1"/>
  <c r="W257" i="1"/>
  <c r="J257" i="1"/>
  <c r="W256" i="1"/>
  <c r="J256" i="1" s="1"/>
  <c r="W255" i="1"/>
  <c r="J255" i="1" s="1"/>
  <c r="W254" i="1"/>
  <c r="J254" i="1" s="1"/>
  <c r="W253" i="1"/>
  <c r="J253" i="1" s="1"/>
  <c r="W252" i="1"/>
  <c r="J252" i="1" s="1"/>
  <c r="W251" i="1"/>
  <c r="J251" i="1" s="1"/>
  <c r="W250" i="1"/>
  <c r="J250" i="1" s="1"/>
  <c r="W249" i="1"/>
  <c r="J249" i="1" s="1"/>
  <c r="W248" i="1"/>
  <c r="J248" i="1"/>
  <c r="W247" i="1"/>
  <c r="J247" i="1" s="1"/>
  <c r="W246" i="1"/>
  <c r="J246" i="1" s="1"/>
  <c r="W245" i="1"/>
  <c r="J245" i="1" s="1"/>
  <c r="W244" i="1"/>
  <c r="J244" i="1" s="1"/>
  <c r="W243" i="1"/>
  <c r="J243" i="1" s="1"/>
  <c r="W242" i="1"/>
  <c r="J242" i="1" s="1"/>
  <c r="W241" i="1"/>
  <c r="J241" i="1" s="1"/>
  <c r="W240" i="1"/>
  <c r="J240" i="1" s="1"/>
  <c r="W239" i="1"/>
  <c r="J239" i="1" s="1"/>
  <c r="W238" i="1"/>
  <c r="J238" i="1" s="1"/>
  <c r="W237" i="1"/>
  <c r="J237" i="1" s="1"/>
  <c r="W236" i="1"/>
  <c r="J236" i="1" s="1"/>
  <c r="W235" i="1"/>
  <c r="J235" i="1"/>
  <c r="W234" i="1"/>
  <c r="J234" i="1" s="1"/>
  <c r="W233" i="1"/>
  <c r="J233" i="1" s="1"/>
  <c r="W232" i="1"/>
  <c r="J232" i="1" s="1"/>
  <c r="W231" i="1"/>
  <c r="J231" i="1"/>
  <c r="W230" i="1"/>
  <c r="J230" i="1" s="1"/>
  <c r="W229" i="1"/>
  <c r="J229" i="1" s="1"/>
  <c r="W228" i="1"/>
  <c r="J228" i="1"/>
  <c r="W227" i="1"/>
  <c r="J227" i="1" s="1"/>
  <c r="W226" i="1"/>
  <c r="J226" i="1"/>
  <c r="W225" i="1"/>
  <c r="J225" i="1" s="1"/>
  <c r="W224" i="1"/>
  <c r="J224" i="1"/>
  <c r="W223" i="1"/>
  <c r="J223" i="1" s="1"/>
  <c r="W222" i="1"/>
  <c r="J222" i="1" s="1"/>
  <c r="W221" i="1"/>
  <c r="J221" i="1"/>
  <c r="W220" i="1"/>
  <c r="J220" i="1" s="1"/>
  <c r="W219" i="1"/>
  <c r="J219" i="1" s="1"/>
  <c r="W218" i="1"/>
  <c r="J218" i="1" s="1"/>
  <c r="W217" i="1"/>
  <c r="J217" i="1" s="1"/>
  <c r="W216" i="1"/>
  <c r="J216" i="1" s="1"/>
  <c r="W215" i="1"/>
  <c r="J215" i="1" s="1"/>
  <c r="W214" i="1"/>
  <c r="J214" i="1" s="1"/>
  <c r="W213" i="1"/>
  <c r="J213" i="1" s="1"/>
  <c r="W212" i="1"/>
  <c r="J212" i="1" s="1"/>
  <c r="W211" i="1"/>
  <c r="J211" i="1"/>
  <c r="W210" i="1"/>
  <c r="J210" i="1" s="1"/>
  <c r="W209" i="1"/>
  <c r="J209" i="1" s="1"/>
  <c r="W208" i="1"/>
  <c r="J208" i="1" s="1"/>
  <c r="W207" i="1"/>
  <c r="J207" i="1"/>
  <c r="W206" i="1"/>
  <c r="J206" i="1" s="1"/>
  <c r="W205" i="1"/>
  <c r="J205" i="1" s="1"/>
  <c r="W204" i="1"/>
  <c r="J204" i="1" s="1"/>
  <c r="W203" i="1"/>
  <c r="J203" i="1" s="1"/>
  <c r="W202" i="1"/>
  <c r="J202" i="1" s="1"/>
  <c r="W201" i="1"/>
  <c r="J201" i="1" s="1"/>
  <c r="W200" i="1"/>
  <c r="J200" i="1" s="1"/>
  <c r="W199" i="1"/>
  <c r="J199" i="1" s="1"/>
  <c r="W198" i="1"/>
  <c r="J198" i="1" s="1"/>
  <c r="W197" i="1"/>
  <c r="J197" i="1" s="1"/>
  <c r="W196" i="1"/>
  <c r="J196" i="1" s="1"/>
  <c r="W195" i="1"/>
  <c r="J195" i="1" s="1"/>
  <c r="W194" i="1"/>
  <c r="J194" i="1" s="1"/>
  <c r="W193" i="1"/>
  <c r="J193" i="1" s="1"/>
  <c r="W192" i="1"/>
  <c r="J192" i="1"/>
  <c r="W191" i="1"/>
  <c r="J191" i="1" s="1"/>
  <c r="W190" i="1"/>
  <c r="J190" i="1" s="1"/>
  <c r="W189" i="1"/>
  <c r="J189" i="1"/>
  <c r="W188" i="1"/>
  <c r="J188" i="1" s="1"/>
  <c r="W187" i="1"/>
  <c r="J187" i="1" s="1"/>
  <c r="W186" i="1"/>
  <c r="J186" i="1" s="1"/>
  <c r="W185" i="1"/>
  <c r="J185" i="1" s="1"/>
  <c r="W184" i="1"/>
  <c r="J184" i="1" s="1"/>
  <c r="W183" i="1"/>
  <c r="J183" i="1" s="1"/>
  <c r="W182" i="1"/>
  <c r="J182" i="1" s="1"/>
  <c r="W181" i="1"/>
  <c r="J181" i="1" s="1"/>
  <c r="W180" i="1"/>
  <c r="J180" i="1" s="1"/>
  <c r="W179" i="1"/>
  <c r="J179" i="1" s="1"/>
  <c r="W178" i="1"/>
  <c r="J178" i="1" s="1"/>
  <c r="W177" i="1"/>
  <c r="J177" i="1" s="1"/>
  <c r="W176" i="1"/>
  <c r="J176" i="1" s="1"/>
  <c r="W175" i="1"/>
  <c r="J175" i="1" s="1"/>
  <c r="W174" i="1"/>
  <c r="J174" i="1" s="1"/>
  <c r="W173" i="1"/>
  <c r="J173" i="1" s="1"/>
  <c r="W172" i="1"/>
  <c r="J172" i="1" s="1"/>
  <c r="W171" i="1"/>
  <c r="J171" i="1" s="1"/>
  <c r="W170" i="1"/>
  <c r="J170" i="1" s="1"/>
  <c r="W169" i="1"/>
  <c r="J169" i="1" s="1"/>
  <c r="W168" i="1"/>
  <c r="J168" i="1" s="1"/>
  <c r="W167" i="1"/>
  <c r="J167" i="1" s="1"/>
  <c r="W166" i="1"/>
  <c r="J166" i="1"/>
  <c r="W165" i="1"/>
  <c r="J165" i="1"/>
  <c r="W164" i="1"/>
  <c r="J164" i="1" s="1"/>
  <c r="W163" i="1"/>
  <c r="J163" i="1" s="1"/>
  <c r="W162" i="1"/>
  <c r="J162" i="1" s="1"/>
  <c r="W161" i="1"/>
  <c r="J161" i="1" s="1"/>
  <c r="W160" i="1"/>
  <c r="J160" i="1"/>
  <c r="W159" i="1"/>
  <c r="J159" i="1" s="1"/>
  <c r="W158" i="1"/>
  <c r="J158" i="1"/>
  <c r="W157" i="1"/>
  <c r="J157" i="1"/>
  <c r="W156" i="1"/>
  <c r="J156" i="1" s="1"/>
  <c r="W155" i="1"/>
  <c r="J155" i="1" s="1"/>
  <c r="W154" i="1"/>
  <c r="J154" i="1"/>
  <c r="W153" i="1"/>
  <c r="J153" i="1" s="1"/>
  <c r="W152" i="1"/>
  <c r="J152" i="1" s="1"/>
  <c r="W151" i="1"/>
  <c r="J151" i="1" s="1"/>
  <c r="W150" i="1"/>
  <c r="J150" i="1" s="1"/>
  <c r="W149" i="1"/>
  <c r="J149" i="1" s="1"/>
  <c r="W148" i="1"/>
  <c r="J148" i="1" s="1"/>
  <c r="W147" i="1"/>
  <c r="J147" i="1" s="1"/>
  <c r="W146" i="1"/>
  <c r="J146" i="1" s="1"/>
  <c r="W145" i="1"/>
  <c r="J145" i="1"/>
  <c r="W144" i="1"/>
  <c r="J144" i="1" s="1"/>
  <c r="W143" i="1"/>
  <c r="J143" i="1"/>
  <c r="W142" i="1"/>
  <c r="J142" i="1" s="1"/>
  <c r="W141" i="1"/>
  <c r="J141" i="1" s="1"/>
  <c r="W140" i="1"/>
  <c r="J140" i="1" s="1"/>
  <c r="W139" i="1"/>
  <c r="J139" i="1" s="1"/>
  <c r="W138" i="1"/>
  <c r="J138" i="1" s="1"/>
  <c r="W137" i="1"/>
  <c r="J137" i="1" s="1"/>
  <c r="W136" i="1"/>
  <c r="J136" i="1" s="1"/>
  <c r="W135" i="1"/>
  <c r="J135" i="1" s="1"/>
  <c r="W134" i="1"/>
  <c r="J134" i="1"/>
  <c r="W133" i="1"/>
  <c r="J133" i="1" s="1"/>
  <c r="W132" i="1"/>
  <c r="J132" i="1" s="1"/>
  <c r="W131" i="1"/>
  <c r="J131" i="1" s="1"/>
  <c r="W130" i="1"/>
  <c r="J130" i="1" s="1"/>
  <c r="W129" i="1"/>
  <c r="J129" i="1" s="1"/>
  <c r="W128" i="1"/>
  <c r="J128" i="1"/>
  <c r="W127" i="1"/>
  <c r="J127" i="1" s="1"/>
  <c r="W126" i="1"/>
  <c r="J126" i="1" s="1"/>
  <c r="W125" i="1"/>
  <c r="J125" i="1" s="1"/>
  <c r="W124" i="1"/>
  <c r="J124" i="1" s="1"/>
  <c r="W123" i="1"/>
  <c r="J123" i="1"/>
  <c r="W122" i="1"/>
  <c r="J122" i="1" s="1"/>
  <c r="W121" i="1"/>
  <c r="J121" i="1" s="1"/>
  <c r="W120" i="1"/>
  <c r="J120" i="1"/>
  <c r="W119" i="1"/>
  <c r="J119" i="1" s="1"/>
  <c r="W118" i="1"/>
  <c r="J118" i="1" s="1"/>
  <c r="W117" i="1"/>
  <c r="J117" i="1" s="1"/>
  <c r="W116" i="1"/>
  <c r="J116" i="1" s="1"/>
  <c r="W115" i="1"/>
  <c r="J115" i="1" s="1"/>
  <c r="W114" i="1"/>
  <c r="J114" i="1" s="1"/>
  <c r="W113" i="1"/>
  <c r="J113" i="1" s="1"/>
  <c r="W112" i="1"/>
  <c r="J112" i="1" s="1"/>
  <c r="W111" i="1"/>
  <c r="J111" i="1" s="1"/>
  <c r="W110" i="1"/>
  <c r="J110" i="1" s="1"/>
  <c r="W109" i="1"/>
  <c r="J109" i="1" s="1"/>
  <c r="W108" i="1"/>
  <c r="J108" i="1" s="1"/>
  <c r="W107" i="1"/>
  <c r="J107" i="1" s="1"/>
  <c r="W106" i="1"/>
  <c r="J106" i="1" s="1"/>
  <c r="W105" i="1"/>
  <c r="J105" i="1" s="1"/>
  <c r="W104" i="1"/>
  <c r="J104" i="1" s="1"/>
  <c r="W103" i="1"/>
  <c r="J103" i="1" s="1"/>
  <c r="W102" i="1"/>
  <c r="J102" i="1" s="1"/>
  <c r="W101" i="1"/>
  <c r="J101" i="1" s="1"/>
  <c r="W100" i="1"/>
  <c r="J100" i="1" s="1"/>
  <c r="W99" i="1"/>
  <c r="J99" i="1" s="1"/>
  <c r="W98" i="1"/>
  <c r="J98" i="1" s="1"/>
  <c r="W97" i="1"/>
  <c r="J97" i="1" s="1"/>
  <c r="W96" i="1"/>
  <c r="J96" i="1" s="1"/>
  <c r="W95" i="1"/>
  <c r="J95" i="1" s="1"/>
  <c r="W94" i="1"/>
  <c r="J94" i="1" s="1"/>
  <c r="W93" i="1"/>
  <c r="J93" i="1" s="1"/>
  <c r="W92" i="1"/>
  <c r="J92" i="1" s="1"/>
  <c r="W91" i="1"/>
  <c r="J91" i="1" s="1"/>
  <c r="W90" i="1"/>
  <c r="J90" i="1" s="1"/>
  <c r="W89" i="1"/>
  <c r="J89" i="1" s="1"/>
  <c r="W88" i="1"/>
  <c r="J88" i="1" s="1"/>
  <c r="W87" i="1"/>
  <c r="J87" i="1" s="1"/>
  <c r="W86" i="1"/>
  <c r="J86" i="1" s="1"/>
  <c r="W85" i="1"/>
  <c r="J85" i="1" s="1"/>
  <c r="W84" i="1"/>
  <c r="J84" i="1" s="1"/>
  <c r="W83" i="1"/>
  <c r="J83" i="1" s="1"/>
  <c r="W82" i="1"/>
  <c r="J82" i="1" s="1"/>
  <c r="W81" i="1"/>
  <c r="J81" i="1" s="1"/>
  <c r="W80" i="1"/>
  <c r="J80" i="1" s="1"/>
  <c r="W79" i="1"/>
  <c r="J79" i="1" s="1"/>
  <c r="W78" i="1"/>
  <c r="J78" i="1" s="1"/>
  <c r="W77" i="1"/>
  <c r="J77" i="1" s="1"/>
  <c r="W76" i="1"/>
  <c r="J76" i="1" s="1"/>
  <c r="W75" i="1"/>
  <c r="J75" i="1" s="1"/>
  <c r="W74" i="1"/>
  <c r="J74" i="1"/>
  <c r="W73" i="1"/>
  <c r="J73" i="1" s="1"/>
  <c r="W72" i="1"/>
  <c r="J72" i="1" s="1"/>
  <c r="W71" i="1"/>
  <c r="J71" i="1" s="1"/>
  <c r="W70" i="1"/>
  <c r="J70" i="1" s="1"/>
  <c r="W69" i="1"/>
  <c r="J69" i="1"/>
  <c r="W68" i="1"/>
  <c r="J68" i="1"/>
  <c r="W67" i="1"/>
  <c r="J67" i="1" s="1"/>
  <c r="W66" i="1"/>
  <c r="J66" i="1" s="1"/>
  <c r="W65" i="1"/>
  <c r="J65" i="1"/>
  <c r="W64" i="1"/>
  <c r="J64" i="1" s="1"/>
  <c r="W63" i="1"/>
  <c r="J63" i="1" s="1"/>
  <c r="W62" i="1"/>
  <c r="J62" i="1" s="1"/>
  <c r="W61" i="1"/>
  <c r="J61" i="1"/>
  <c r="W60" i="1"/>
  <c r="J60" i="1" s="1"/>
  <c r="W59" i="1"/>
  <c r="J59" i="1" s="1"/>
  <c r="W58" i="1"/>
  <c r="J58" i="1" s="1"/>
  <c r="W57" i="1"/>
  <c r="J57" i="1" s="1"/>
  <c r="W56" i="1"/>
  <c r="J56" i="1" s="1"/>
  <c r="W55" i="1"/>
  <c r="J55" i="1" s="1"/>
  <c r="W54" i="1"/>
  <c r="J54" i="1" s="1"/>
  <c r="W53" i="1"/>
  <c r="J53" i="1"/>
  <c r="W52" i="1"/>
  <c r="J52" i="1" s="1"/>
  <c r="W51" i="1"/>
  <c r="J51" i="1" s="1"/>
  <c r="W50" i="1"/>
  <c r="J50" i="1" s="1"/>
  <c r="W49" i="1"/>
  <c r="J49" i="1" s="1"/>
  <c r="W48" i="1"/>
  <c r="J48" i="1" s="1"/>
  <c r="W47" i="1"/>
  <c r="J47" i="1" s="1"/>
  <c r="W46" i="1"/>
  <c r="J46" i="1" s="1"/>
  <c r="W45" i="1"/>
  <c r="J45" i="1" s="1"/>
  <c r="W44" i="1"/>
  <c r="J44" i="1" s="1"/>
  <c r="W43" i="1"/>
  <c r="J43" i="1" s="1"/>
  <c r="W42" i="1"/>
  <c r="J42" i="1" s="1"/>
  <c r="W41" i="1"/>
  <c r="J41" i="1" s="1"/>
  <c r="W40" i="1"/>
  <c r="J40" i="1" s="1"/>
  <c r="W39" i="1"/>
  <c r="J39" i="1"/>
  <c r="W38" i="1"/>
  <c r="J38" i="1" s="1"/>
  <c r="W37" i="1"/>
  <c r="J37" i="1" s="1"/>
  <c r="W36" i="1"/>
  <c r="J36" i="1" s="1"/>
  <c r="W35" i="1"/>
  <c r="J35" i="1" s="1"/>
  <c r="W34" i="1"/>
  <c r="J34" i="1" s="1"/>
  <c r="W33" i="1"/>
  <c r="J33" i="1" s="1"/>
  <c r="W32" i="1"/>
  <c r="J32" i="1" s="1"/>
  <c r="W31" i="1"/>
  <c r="J31" i="1" s="1"/>
  <c r="W30" i="1"/>
  <c r="J30" i="1" s="1"/>
  <c r="W29" i="1"/>
  <c r="J29" i="1" s="1"/>
  <c r="W28" i="1"/>
  <c r="J28" i="1" s="1"/>
  <c r="W27" i="1"/>
  <c r="J27" i="1" s="1"/>
  <c r="W26" i="1"/>
  <c r="J26" i="1" s="1"/>
  <c r="W25" i="1"/>
  <c r="J25" i="1"/>
  <c r="H23" i="1"/>
  <c r="D16" i="3" s="1"/>
  <c r="W22" i="1"/>
  <c r="J22" i="1" s="1"/>
  <c r="W21" i="1"/>
  <c r="J21" i="1" s="1"/>
  <c r="W20" i="1"/>
  <c r="J20" i="1" s="1"/>
  <c r="W19" i="1"/>
  <c r="J19" i="1" s="1"/>
  <c r="W18" i="1"/>
  <c r="J18" i="1" s="1"/>
  <c r="W17" i="1"/>
  <c r="J17" i="1" s="1"/>
  <c r="W16" i="1"/>
  <c r="J16" i="1" s="1"/>
  <c r="W15" i="1"/>
  <c r="J15" i="1" s="1"/>
  <c r="W14" i="1"/>
  <c r="J14" i="1" s="1"/>
  <c r="W13" i="1"/>
  <c r="J13" i="1" s="1"/>
  <c r="W12" i="1"/>
  <c r="J12" i="1" s="1"/>
  <c r="W11" i="1"/>
  <c r="J11" i="1" s="1"/>
  <c r="H10" i="1"/>
  <c r="D15" i="3" s="1"/>
  <c r="W9" i="1"/>
  <c r="J9" i="1" s="1"/>
  <c r="W8" i="1"/>
  <c r="J8" i="1" s="1"/>
  <c r="H7" i="1"/>
  <c r="D12" i="3" s="1"/>
  <c r="W6" i="1"/>
  <c r="J6" i="1" s="1"/>
  <c r="H5" i="1"/>
  <c r="D11" i="3" s="1"/>
  <c r="W4" i="1"/>
  <c r="J4" i="1" s="1"/>
  <c r="BX469" i="2"/>
  <c r="BK469" i="2"/>
  <c r="AX469" i="2"/>
  <c r="AK469" i="2"/>
  <c r="X469" i="2"/>
  <c r="K469" i="2"/>
  <c r="BX468" i="2"/>
  <c r="BK468" i="2"/>
  <c r="AX468" i="2"/>
  <c r="AK468" i="2"/>
  <c r="X468" i="2"/>
  <c r="K468" i="2"/>
  <c r="BX467" i="2"/>
  <c r="BK467" i="2"/>
  <c r="AX467" i="2"/>
  <c r="AK467" i="2"/>
  <c r="X467" i="2"/>
  <c r="K467" i="2"/>
  <c r="BX466" i="2"/>
  <c r="BK466" i="2"/>
  <c r="AX466" i="2"/>
  <c r="AK466" i="2"/>
  <c r="X466" i="2"/>
  <c r="K466" i="2"/>
  <c r="BX465" i="2"/>
  <c r="BK465" i="2"/>
  <c r="AX465" i="2"/>
  <c r="AK465" i="2"/>
  <c r="X465" i="2"/>
  <c r="K465" i="2"/>
  <c r="BX464" i="2"/>
  <c r="BK464" i="2"/>
  <c r="AX464" i="2"/>
  <c r="AK464" i="2"/>
  <c r="X464" i="2"/>
  <c r="K464" i="2"/>
  <c r="BX463" i="2"/>
  <c r="BK463" i="2"/>
  <c r="AX463" i="2"/>
  <c r="AK463" i="2"/>
  <c r="X463" i="2"/>
  <c r="K463" i="2"/>
  <c r="BX462" i="2"/>
  <c r="BK462" i="2"/>
  <c r="AX462" i="2"/>
  <c r="AK462" i="2"/>
  <c r="X462" i="2"/>
  <c r="K462" i="2"/>
  <c r="BX461" i="2"/>
  <c r="BK461" i="2"/>
  <c r="AX461" i="2"/>
  <c r="AK461" i="2"/>
  <c r="X461" i="2"/>
  <c r="K461" i="2"/>
  <c r="BX460" i="2"/>
  <c r="BK460" i="2"/>
  <c r="AX460" i="2"/>
  <c r="AK460" i="2"/>
  <c r="X460" i="2"/>
  <c r="K460" i="2"/>
  <c r="BX459" i="2"/>
  <c r="BK459" i="2"/>
  <c r="AX459" i="2"/>
  <c r="AK459" i="2"/>
  <c r="X459" i="2"/>
  <c r="K459" i="2"/>
  <c r="BX458" i="2"/>
  <c r="BK458" i="2"/>
  <c r="AX458" i="2"/>
  <c r="AK458" i="2"/>
  <c r="X458" i="2"/>
  <c r="K458" i="2"/>
  <c r="BX457" i="2"/>
  <c r="BK457" i="2"/>
  <c r="AX457" i="2"/>
  <c r="AK457" i="2"/>
  <c r="X457" i="2"/>
  <c r="K457" i="2"/>
  <c r="BX456" i="2"/>
  <c r="BK456" i="2"/>
  <c r="AX456" i="2"/>
  <c r="AK456" i="2"/>
  <c r="X456" i="2"/>
  <c r="K456" i="2"/>
  <c r="BX455" i="2"/>
  <c r="BK455" i="2"/>
  <c r="AX455" i="2"/>
  <c r="AK455" i="2"/>
  <c r="X455" i="2"/>
  <c r="K455" i="2"/>
  <c r="BX454" i="2"/>
  <c r="BK454" i="2"/>
  <c r="AX454" i="2"/>
  <c r="AK454" i="2"/>
  <c r="X454" i="2"/>
  <c r="K454" i="2"/>
  <c r="BX453" i="2"/>
  <c r="BK453" i="2"/>
  <c r="AX453" i="2"/>
  <c r="AK453" i="2"/>
  <c r="X453" i="2"/>
  <c r="K453" i="2"/>
  <c r="BX452" i="2"/>
  <c r="BK452" i="2"/>
  <c r="AX452" i="2"/>
  <c r="AK452" i="2"/>
  <c r="X452" i="2"/>
  <c r="K452" i="2"/>
  <c r="BX451" i="2"/>
  <c r="BK451" i="2"/>
  <c r="AX451" i="2"/>
  <c r="AK451" i="2"/>
  <c r="X451" i="2"/>
  <c r="K451" i="2"/>
  <c r="BX450" i="2"/>
  <c r="BK450" i="2"/>
  <c r="AX450" i="2"/>
  <c r="AK450" i="2"/>
  <c r="X450" i="2"/>
  <c r="K450" i="2"/>
  <c r="BX449" i="2"/>
  <c r="BK449" i="2"/>
  <c r="AX449" i="2"/>
  <c r="AK449" i="2"/>
  <c r="X449" i="2"/>
  <c r="K449" i="2"/>
  <c r="BX448" i="2"/>
  <c r="BK448" i="2"/>
  <c r="AX448" i="2"/>
  <c r="AK448" i="2"/>
  <c r="X448" i="2"/>
  <c r="K448" i="2"/>
  <c r="BX447" i="2"/>
  <c r="BK447" i="2"/>
  <c r="AX447" i="2"/>
  <c r="AK447" i="2"/>
  <c r="X447" i="2"/>
  <c r="K447" i="2"/>
  <c r="BX446" i="2"/>
  <c r="BK446" i="2"/>
  <c r="AX446" i="2"/>
  <c r="AK446" i="2"/>
  <c r="X446" i="2"/>
  <c r="K446" i="2"/>
  <c r="BX445" i="2"/>
  <c r="BK445" i="2"/>
  <c r="AX445" i="2"/>
  <c r="AK445" i="2"/>
  <c r="X445" i="2"/>
  <c r="K445" i="2"/>
  <c r="BX444" i="2"/>
  <c r="BK444" i="2"/>
  <c r="AX444" i="2"/>
  <c r="AK444" i="2"/>
  <c r="X444" i="2"/>
  <c r="K444" i="2"/>
  <c r="BX443" i="2"/>
  <c r="BK443" i="2"/>
  <c r="AX443" i="2"/>
  <c r="AK443" i="2"/>
  <c r="X443" i="2"/>
  <c r="K443" i="2"/>
  <c r="BX442" i="2"/>
  <c r="BK442" i="2"/>
  <c r="AX442" i="2"/>
  <c r="AK442" i="2"/>
  <c r="X442" i="2"/>
  <c r="K442" i="2"/>
  <c r="BX441" i="2"/>
  <c r="BK441" i="2"/>
  <c r="AX441" i="2"/>
  <c r="AK441" i="2"/>
  <c r="X441" i="2"/>
  <c r="K441" i="2"/>
  <c r="BX440" i="2"/>
  <c r="BK440" i="2"/>
  <c r="AX440" i="2"/>
  <c r="AK440" i="2"/>
  <c r="X440" i="2"/>
  <c r="K440" i="2"/>
  <c r="BX439" i="2"/>
  <c r="BK439" i="2"/>
  <c r="AX439" i="2"/>
  <c r="AK439" i="2"/>
  <c r="X439" i="2"/>
  <c r="K439" i="2"/>
  <c r="BX438" i="2"/>
  <c r="BK438" i="2"/>
  <c r="AX438" i="2"/>
  <c r="AK438" i="2"/>
  <c r="X438" i="2"/>
  <c r="K438" i="2"/>
  <c r="BX437" i="2"/>
  <c r="BK437" i="2"/>
  <c r="AX437" i="2"/>
  <c r="AK437" i="2"/>
  <c r="X437" i="2"/>
  <c r="K437" i="2"/>
  <c r="BX436" i="2"/>
  <c r="BK436" i="2"/>
  <c r="AX436" i="2"/>
  <c r="AK436" i="2"/>
  <c r="X436" i="2"/>
  <c r="K436" i="2"/>
  <c r="BX435" i="2"/>
  <c r="BK435" i="2"/>
  <c r="AX435" i="2"/>
  <c r="AK435" i="2"/>
  <c r="X435" i="2"/>
  <c r="K435" i="2"/>
  <c r="BX434" i="2"/>
  <c r="BK434" i="2"/>
  <c r="AX434" i="2"/>
  <c r="AK434" i="2"/>
  <c r="X434" i="2"/>
  <c r="K434" i="2"/>
  <c r="BX433" i="2"/>
  <c r="BK433" i="2"/>
  <c r="AX433" i="2"/>
  <c r="AK433" i="2"/>
  <c r="X433" i="2"/>
  <c r="K433" i="2"/>
  <c r="BX432" i="2"/>
  <c r="BK432" i="2"/>
  <c r="AX432" i="2"/>
  <c r="AK432" i="2"/>
  <c r="X432" i="2"/>
  <c r="K432" i="2"/>
  <c r="BX431" i="2"/>
  <c r="BK431" i="2"/>
  <c r="AX431" i="2"/>
  <c r="AK431" i="2"/>
  <c r="X431" i="2"/>
  <c r="K431" i="2"/>
  <c r="BX430" i="2"/>
  <c r="BK430" i="2"/>
  <c r="AX430" i="2"/>
  <c r="AK430" i="2"/>
  <c r="X430" i="2"/>
  <c r="K430" i="2"/>
  <c r="BX429" i="2"/>
  <c r="BK429" i="2"/>
  <c r="AX429" i="2"/>
  <c r="AK429" i="2"/>
  <c r="X429" i="2"/>
  <c r="K429" i="2"/>
  <c r="BX428" i="2"/>
  <c r="BK428" i="2"/>
  <c r="AX428" i="2"/>
  <c r="AK428" i="2"/>
  <c r="X428" i="2"/>
  <c r="K428" i="2"/>
  <c r="BX427" i="2"/>
  <c r="BK427" i="2"/>
  <c r="AX427" i="2"/>
  <c r="AK427" i="2"/>
  <c r="X427" i="2"/>
  <c r="K427" i="2"/>
  <c r="BX426" i="2"/>
  <c r="BK426" i="2"/>
  <c r="AX426" i="2"/>
  <c r="AK426" i="2"/>
  <c r="X426" i="2"/>
  <c r="K426" i="2"/>
  <c r="BX425" i="2"/>
  <c r="BK425" i="2"/>
  <c r="AX425" i="2"/>
  <c r="AK425" i="2"/>
  <c r="X425" i="2"/>
  <c r="K425" i="2"/>
  <c r="BX424" i="2"/>
  <c r="BK424" i="2"/>
  <c r="AX424" i="2"/>
  <c r="AK424" i="2"/>
  <c r="X424" i="2"/>
  <c r="K424" i="2"/>
  <c r="BX423" i="2"/>
  <c r="BK423" i="2"/>
  <c r="AX423" i="2"/>
  <c r="AK423" i="2"/>
  <c r="X423" i="2"/>
  <c r="K423" i="2"/>
  <c r="BX422" i="2"/>
  <c r="BK422" i="2"/>
  <c r="AX422" i="2"/>
  <c r="AK422" i="2"/>
  <c r="X422" i="2"/>
  <c r="K422" i="2"/>
  <c r="BX421" i="2"/>
  <c r="BK421" i="2"/>
  <c r="AX421" i="2"/>
  <c r="AK421" i="2"/>
  <c r="X421" i="2"/>
  <c r="K421" i="2"/>
  <c r="BX420" i="2"/>
  <c r="BK420" i="2"/>
  <c r="AX420" i="2"/>
  <c r="AK420" i="2"/>
  <c r="X420" i="2"/>
  <c r="K420" i="2"/>
  <c r="BX419" i="2"/>
  <c r="BK419" i="2"/>
  <c r="AX419" i="2"/>
  <c r="AK419" i="2"/>
  <c r="X419" i="2"/>
  <c r="K419" i="2"/>
  <c r="BX418" i="2"/>
  <c r="BK418" i="2"/>
  <c r="AX418" i="2"/>
  <c r="AK418" i="2"/>
  <c r="X418" i="2"/>
  <c r="K418" i="2"/>
  <c r="BX417" i="2"/>
  <c r="BK417" i="2"/>
  <c r="AX417" i="2"/>
  <c r="AK417" i="2"/>
  <c r="X417" i="2"/>
  <c r="K417" i="2"/>
  <c r="BX416" i="2"/>
  <c r="BK416" i="2"/>
  <c r="AX416" i="2"/>
  <c r="AK416" i="2"/>
  <c r="X416" i="2"/>
  <c r="K416" i="2"/>
  <c r="BX415" i="2"/>
  <c r="BK415" i="2"/>
  <c r="AX415" i="2"/>
  <c r="AK415" i="2"/>
  <c r="X415" i="2"/>
  <c r="K415" i="2"/>
  <c r="BX414" i="2"/>
  <c r="BK414" i="2"/>
  <c r="AX414" i="2"/>
  <c r="AK414" i="2"/>
  <c r="X414" i="2"/>
  <c r="K414" i="2"/>
  <c r="BX413" i="2"/>
  <c r="BK413" i="2"/>
  <c r="AX413" i="2"/>
  <c r="AK413" i="2"/>
  <c r="X413" i="2"/>
  <c r="K413" i="2"/>
  <c r="BX412" i="2"/>
  <c r="BK412" i="2"/>
  <c r="AX412" i="2"/>
  <c r="AK412" i="2"/>
  <c r="X412" i="2"/>
  <c r="K412" i="2"/>
  <c r="BX411" i="2"/>
  <c r="BK411" i="2"/>
  <c r="AX411" i="2"/>
  <c r="AK411" i="2"/>
  <c r="X411" i="2"/>
  <c r="K411" i="2"/>
  <c r="BX410" i="2"/>
  <c r="BK410" i="2"/>
  <c r="AX410" i="2"/>
  <c r="AK410" i="2"/>
  <c r="X410" i="2"/>
  <c r="K410" i="2"/>
  <c r="BX409" i="2"/>
  <c r="BK409" i="2"/>
  <c r="AX409" i="2"/>
  <c r="AK409" i="2"/>
  <c r="X409" i="2"/>
  <c r="K409" i="2"/>
  <c r="BX407" i="2"/>
  <c r="BK407" i="2"/>
  <c r="AX407" i="2"/>
  <c r="AK407" i="2"/>
  <c r="X407" i="2"/>
  <c r="K407" i="2"/>
  <c r="BX406" i="2"/>
  <c r="BK406" i="2"/>
  <c r="AX406" i="2"/>
  <c r="AK406" i="2"/>
  <c r="X406" i="2"/>
  <c r="K406" i="2"/>
  <c r="BX405" i="2"/>
  <c r="BK405" i="2"/>
  <c r="AX405" i="2"/>
  <c r="AK405" i="2"/>
  <c r="X405" i="2"/>
  <c r="K405" i="2"/>
  <c r="BX404" i="2"/>
  <c r="BK404" i="2"/>
  <c r="AX404" i="2"/>
  <c r="AK404" i="2"/>
  <c r="X404" i="2"/>
  <c r="K404" i="2"/>
  <c r="BX403" i="2"/>
  <c r="BK403" i="2"/>
  <c r="AX403" i="2"/>
  <c r="AK403" i="2"/>
  <c r="X403" i="2"/>
  <c r="K403" i="2"/>
  <c r="BX402" i="2"/>
  <c r="BK402" i="2"/>
  <c r="AX402" i="2"/>
  <c r="AK402" i="2"/>
  <c r="X402" i="2"/>
  <c r="K402" i="2"/>
  <c r="BX401" i="2"/>
  <c r="BK401" i="2"/>
  <c r="AX401" i="2"/>
  <c r="AK401" i="2"/>
  <c r="X401" i="2"/>
  <c r="K401" i="2"/>
  <c r="BX400" i="2"/>
  <c r="BK400" i="2"/>
  <c r="AX400" i="2"/>
  <c r="AK400" i="2"/>
  <c r="X400" i="2"/>
  <c r="K400" i="2"/>
  <c r="BX399" i="2"/>
  <c r="BK399" i="2"/>
  <c r="AX399" i="2"/>
  <c r="AK399" i="2"/>
  <c r="X399" i="2"/>
  <c r="K399" i="2"/>
  <c r="BX398" i="2"/>
  <c r="BK398" i="2"/>
  <c r="AX398" i="2"/>
  <c r="AK398" i="2"/>
  <c r="X398" i="2"/>
  <c r="K398" i="2"/>
  <c r="BX397" i="2"/>
  <c r="BK397" i="2"/>
  <c r="AX397" i="2"/>
  <c r="AK397" i="2"/>
  <c r="X397" i="2"/>
  <c r="K397" i="2"/>
  <c r="BX396" i="2"/>
  <c r="BK396" i="2"/>
  <c r="AX396" i="2"/>
  <c r="AK396" i="2"/>
  <c r="X396" i="2"/>
  <c r="K396" i="2"/>
  <c r="BX395" i="2"/>
  <c r="BK395" i="2"/>
  <c r="AX395" i="2"/>
  <c r="AK395" i="2"/>
  <c r="X395" i="2"/>
  <c r="K395" i="2"/>
  <c r="BX394" i="2"/>
  <c r="BK394" i="2"/>
  <c r="AX394" i="2"/>
  <c r="AK394" i="2"/>
  <c r="X394" i="2"/>
  <c r="K394" i="2"/>
  <c r="BX393" i="2"/>
  <c r="BK393" i="2"/>
  <c r="AX393" i="2"/>
  <c r="AK393" i="2"/>
  <c r="X393" i="2"/>
  <c r="K393" i="2"/>
  <c r="BX392" i="2"/>
  <c r="BK392" i="2"/>
  <c r="AX392" i="2"/>
  <c r="AK392" i="2"/>
  <c r="X392" i="2"/>
  <c r="K392" i="2"/>
  <c r="BX391" i="2"/>
  <c r="BK391" i="2"/>
  <c r="AX391" i="2"/>
  <c r="AK391" i="2"/>
  <c r="X391" i="2"/>
  <c r="K391" i="2"/>
  <c r="BX390" i="2"/>
  <c r="BK390" i="2"/>
  <c r="AX390" i="2"/>
  <c r="AK390" i="2"/>
  <c r="X390" i="2"/>
  <c r="K390" i="2"/>
  <c r="BX389" i="2"/>
  <c r="BK389" i="2"/>
  <c r="AX389" i="2"/>
  <c r="AK389" i="2"/>
  <c r="X389" i="2"/>
  <c r="K389" i="2"/>
  <c r="BX388" i="2"/>
  <c r="BK388" i="2"/>
  <c r="AX388" i="2"/>
  <c r="AK388" i="2"/>
  <c r="X388" i="2"/>
  <c r="K388" i="2"/>
  <c r="BX387" i="2"/>
  <c r="BK387" i="2"/>
  <c r="AX387" i="2"/>
  <c r="AK387" i="2"/>
  <c r="X387" i="2"/>
  <c r="K387" i="2"/>
  <c r="BX386" i="2"/>
  <c r="BK386" i="2"/>
  <c r="AX386" i="2"/>
  <c r="AK386" i="2"/>
  <c r="X386" i="2"/>
  <c r="K386" i="2"/>
  <c r="BX385" i="2"/>
  <c r="BK385" i="2"/>
  <c r="AX385" i="2"/>
  <c r="AK385" i="2"/>
  <c r="X385" i="2"/>
  <c r="K385" i="2"/>
  <c r="BX384" i="2"/>
  <c r="BK384" i="2"/>
  <c r="AX384" i="2"/>
  <c r="AK384" i="2"/>
  <c r="X384" i="2"/>
  <c r="K384" i="2"/>
  <c r="BX383" i="2"/>
  <c r="BK383" i="2"/>
  <c r="AX383" i="2"/>
  <c r="AK383" i="2"/>
  <c r="X383" i="2"/>
  <c r="K383" i="2"/>
  <c r="BX382" i="2"/>
  <c r="BK382" i="2"/>
  <c r="AX382" i="2"/>
  <c r="AK382" i="2"/>
  <c r="X382" i="2"/>
  <c r="K382" i="2"/>
  <c r="BX381" i="2"/>
  <c r="BK381" i="2"/>
  <c r="AX381" i="2"/>
  <c r="AK381" i="2"/>
  <c r="X381" i="2"/>
  <c r="K381" i="2"/>
  <c r="BX380" i="2"/>
  <c r="BK380" i="2"/>
  <c r="AX380" i="2"/>
  <c r="AK380" i="2"/>
  <c r="X380" i="2"/>
  <c r="K380" i="2"/>
  <c r="BX379" i="2"/>
  <c r="BK379" i="2"/>
  <c r="AX379" i="2"/>
  <c r="AK379" i="2"/>
  <c r="X379" i="2"/>
  <c r="K379" i="2"/>
  <c r="BX378" i="2"/>
  <c r="BK378" i="2"/>
  <c r="AX378" i="2"/>
  <c r="AK378" i="2"/>
  <c r="X378" i="2"/>
  <c r="K378" i="2"/>
  <c r="BX377" i="2"/>
  <c r="BK377" i="2"/>
  <c r="AX377" i="2"/>
  <c r="AK377" i="2"/>
  <c r="X377" i="2"/>
  <c r="K377" i="2"/>
  <c r="BX376" i="2"/>
  <c r="BK376" i="2"/>
  <c r="AX376" i="2"/>
  <c r="AK376" i="2"/>
  <c r="X376" i="2"/>
  <c r="K376" i="2"/>
  <c r="BX375" i="2"/>
  <c r="BK375" i="2"/>
  <c r="AX375" i="2"/>
  <c r="AK375" i="2"/>
  <c r="X375" i="2"/>
  <c r="K375" i="2"/>
  <c r="BX374" i="2"/>
  <c r="BK374" i="2"/>
  <c r="AX374" i="2"/>
  <c r="AK374" i="2"/>
  <c r="X374" i="2"/>
  <c r="K374" i="2"/>
  <c r="BX373" i="2"/>
  <c r="BK373" i="2"/>
  <c r="AX373" i="2"/>
  <c r="AK373" i="2"/>
  <c r="X373" i="2"/>
  <c r="K373" i="2"/>
  <c r="BX372" i="2"/>
  <c r="BK372" i="2"/>
  <c r="AX372" i="2"/>
  <c r="AK372" i="2"/>
  <c r="X372" i="2"/>
  <c r="K372" i="2"/>
  <c r="BX371" i="2"/>
  <c r="BK371" i="2"/>
  <c r="AX371" i="2"/>
  <c r="AK371" i="2"/>
  <c r="X371" i="2"/>
  <c r="K371" i="2"/>
  <c r="BX370" i="2"/>
  <c r="BK370" i="2"/>
  <c r="AX370" i="2"/>
  <c r="AK370" i="2"/>
  <c r="X370" i="2"/>
  <c r="K370" i="2"/>
  <c r="BX369" i="2"/>
  <c r="BK369" i="2"/>
  <c r="AX369" i="2"/>
  <c r="AK369" i="2"/>
  <c r="X369" i="2"/>
  <c r="K369" i="2"/>
  <c r="BX368" i="2"/>
  <c r="BK368" i="2"/>
  <c r="AX368" i="2"/>
  <c r="AK368" i="2"/>
  <c r="X368" i="2"/>
  <c r="K368" i="2"/>
  <c r="BX367" i="2"/>
  <c r="BK367" i="2"/>
  <c r="AX367" i="2"/>
  <c r="AK367" i="2"/>
  <c r="X367" i="2"/>
  <c r="K367" i="2"/>
  <c r="BX366" i="2"/>
  <c r="BK366" i="2"/>
  <c r="AX366" i="2"/>
  <c r="AK366" i="2"/>
  <c r="X366" i="2"/>
  <c r="K366" i="2"/>
  <c r="BX365" i="2"/>
  <c r="BK365" i="2"/>
  <c r="AX365" i="2"/>
  <c r="AK365" i="2"/>
  <c r="X365" i="2"/>
  <c r="K365" i="2"/>
  <c r="BX364" i="2"/>
  <c r="BK364" i="2"/>
  <c r="AX364" i="2"/>
  <c r="AK364" i="2"/>
  <c r="X364" i="2"/>
  <c r="K364" i="2"/>
  <c r="BX363" i="2"/>
  <c r="BK363" i="2"/>
  <c r="AX363" i="2"/>
  <c r="AK363" i="2"/>
  <c r="X363" i="2"/>
  <c r="K363" i="2"/>
  <c r="BX362" i="2"/>
  <c r="BK362" i="2"/>
  <c r="AX362" i="2"/>
  <c r="AK362" i="2"/>
  <c r="X362" i="2"/>
  <c r="K362" i="2"/>
  <c r="BX361" i="2"/>
  <c r="BK361" i="2"/>
  <c r="AX361" i="2"/>
  <c r="AK361" i="2"/>
  <c r="X361" i="2"/>
  <c r="K361" i="2"/>
  <c r="BX360" i="2"/>
  <c r="BK360" i="2"/>
  <c r="AX360" i="2"/>
  <c r="AK360" i="2"/>
  <c r="X360" i="2"/>
  <c r="K360" i="2"/>
  <c r="BX359" i="2"/>
  <c r="BK359" i="2"/>
  <c r="AX359" i="2"/>
  <c r="AK359" i="2"/>
  <c r="X359" i="2"/>
  <c r="K359" i="2"/>
  <c r="BX358" i="2"/>
  <c r="BK358" i="2"/>
  <c r="AX358" i="2"/>
  <c r="AK358" i="2"/>
  <c r="X358" i="2"/>
  <c r="K358" i="2"/>
  <c r="BX357" i="2"/>
  <c r="BK357" i="2"/>
  <c r="AX357" i="2"/>
  <c r="AK357" i="2"/>
  <c r="X357" i="2"/>
  <c r="K357" i="2"/>
  <c r="BX356" i="2"/>
  <c r="BK356" i="2"/>
  <c r="AX356" i="2"/>
  <c r="AK356" i="2"/>
  <c r="X356" i="2"/>
  <c r="K356" i="2"/>
  <c r="BX355" i="2"/>
  <c r="BK355" i="2"/>
  <c r="AX355" i="2"/>
  <c r="AK355" i="2"/>
  <c r="X355" i="2"/>
  <c r="K355" i="2"/>
  <c r="BX354" i="2"/>
  <c r="BK354" i="2"/>
  <c r="AX354" i="2"/>
  <c r="AK354" i="2"/>
  <c r="X354" i="2"/>
  <c r="K354" i="2"/>
  <c r="BX353" i="2"/>
  <c r="BK353" i="2"/>
  <c r="AX353" i="2"/>
  <c r="AK353" i="2"/>
  <c r="X353" i="2"/>
  <c r="K353" i="2"/>
  <c r="BX352" i="2"/>
  <c r="BK352" i="2"/>
  <c r="AX352" i="2"/>
  <c r="AK352" i="2"/>
  <c r="X352" i="2"/>
  <c r="K352" i="2"/>
  <c r="BX351" i="2"/>
  <c r="BK351" i="2"/>
  <c r="AX351" i="2"/>
  <c r="AK351" i="2"/>
  <c r="X351" i="2"/>
  <c r="K351" i="2"/>
  <c r="BX350" i="2"/>
  <c r="BK350" i="2"/>
  <c r="AX350" i="2"/>
  <c r="AK350" i="2"/>
  <c r="X350" i="2"/>
  <c r="K350" i="2"/>
  <c r="BX349" i="2"/>
  <c r="BK349" i="2"/>
  <c r="AX349" i="2"/>
  <c r="AK349" i="2"/>
  <c r="X349" i="2"/>
  <c r="K349" i="2"/>
  <c r="BX348" i="2"/>
  <c r="BK348" i="2"/>
  <c r="AX348" i="2"/>
  <c r="AK348" i="2"/>
  <c r="X348" i="2"/>
  <c r="K348" i="2"/>
  <c r="BX347" i="2"/>
  <c r="BK347" i="2"/>
  <c r="AX347" i="2"/>
  <c r="AK347" i="2"/>
  <c r="X347" i="2"/>
  <c r="K347" i="2"/>
  <c r="BX346" i="2"/>
  <c r="BK346" i="2"/>
  <c r="AX346" i="2"/>
  <c r="AK346" i="2"/>
  <c r="X346" i="2"/>
  <c r="K346" i="2"/>
  <c r="BX345" i="2"/>
  <c r="BK345" i="2"/>
  <c r="AX345" i="2"/>
  <c r="AK345" i="2"/>
  <c r="X345" i="2"/>
  <c r="K345" i="2"/>
  <c r="BX344" i="2"/>
  <c r="BK344" i="2"/>
  <c r="AX344" i="2"/>
  <c r="AK344" i="2"/>
  <c r="X344" i="2"/>
  <c r="K344" i="2"/>
  <c r="BX343" i="2"/>
  <c r="BK343" i="2"/>
  <c r="AX343" i="2"/>
  <c r="AK343" i="2"/>
  <c r="X343" i="2"/>
  <c r="K343" i="2"/>
  <c r="BX342" i="2"/>
  <c r="BK342" i="2"/>
  <c r="AX342" i="2"/>
  <c r="AK342" i="2"/>
  <c r="X342" i="2"/>
  <c r="K342" i="2"/>
  <c r="BX341" i="2"/>
  <c r="BK341" i="2"/>
  <c r="AX341" i="2"/>
  <c r="AK341" i="2"/>
  <c r="X341" i="2"/>
  <c r="K341" i="2"/>
  <c r="BX340" i="2"/>
  <c r="BK340" i="2"/>
  <c r="AX340" i="2"/>
  <c r="AK340" i="2"/>
  <c r="X340" i="2"/>
  <c r="K340" i="2"/>
  <c r="BX339" i="2"/>
  <c r="BK339" i="2"/>
  <c r="AX339" i="2"/>
  <c r="AK339" i="2"/>
  <c r="X339" i="2"/>
  <c r="K339" i="2"/>
  <c r="BX338" i="2"/>
  <c r="BK338" i="2"/>
  <c r="AX338" i="2"/>
  <c r="AK338" i="2"/>
  <c r="X338" i="2"/>
  <c r="K338" i="2"/>
  <c r="BX337" i="2"/>
  <c r="BK337" i="2"/>
  <c r="AX337" i="2"/>
  <c r="AK337" i="2"/>
  <c r="X337" i="2"/>
  <c r="K337" i="2"/>
  <c r="BX336" i="2"/>
  <c r="BK336" i="2"/>
  <c r="AX336" i="2"/>
  <c r="AK336" i="2"/>
  <c r="X336" i="2"/>
  <c r="K336" i="2"/>
  <c r="BX335" i="2"/>
  <c r="BK335" i="2"/>
  <c r="AX335" i="2"/>
  <c r="AK335" i="2"/>
  <c r="X335" i="2"/>
  <c r="K335" i="2"/>
  <c r="BX334" i="2"/>
  <c r="BK334" i="2"/>
  <c r="AX334" i="2"/>
  <c r="AK334" i="2"/>
  <c r="X334" i="2"/>
  <c r="K334" i="2"/>
  <c r="BX333" i="2"/>
  <c r="BK333" i="2"/>
  <c r="AX333" i="2"/>
  <c r="AK333" i="2"/>
  <c r="X333" i="2"/>
  <c r="K333" i="2"/>
  <c r="BX332" i="2"/>
  <c r="BK332" i="2"/>
  <c r="AX332" i="2"/>
  <c r="AK332" i="2"/>
  <c r="X332" i="2"/>
  <c r="K332" i="2"/>
  <c r="BX331" i="2"/>
  <c r="BK331" i="2"/>
  <c r="AX331" i="2"/>
  <c r="AK331" i="2"/>
  <c r="X331" i="2"/>
  <c r="K331" i="2"/>
  <c r="BX330" i="2"/>
  <c r="BK330" i="2"/>
  <c r="AX330" i="2"/>
  <c r="AK330" i="2"/>
  <c r="X330" i="2"/>
  <c r="K330" i="2"/>
  <c r="BX329" i="2"/>
  <c r="BK329" i="2"/>
  <c r="AX329" i="2"/>
  <c r="AK329" i="2"/>
  <c r="X329" i="2"/>
  <c r="K329" i="2"/>
  <c r="BX328" i="2"/>
  <c r="BK328" i="2"/>
  <c r="AX328" i="2"/>
  <c r="AK328" i="2"/>
  <c r="X328" i="2"/>
  <c r="K328" i="2"/>
  <c r="BX327" i="2"/>
  <c r="BK327" i="2"/>
  <c r="AX327" i="2"/>
  <c r="AK327" i="2"/>
  <c r="X327" i="2"/>
  <c r="K327" i="2"/>
  <c r="BX326" i="2"/>
  <c r="BK326" i="2"/>
  <c r="AX326" i="2"/>
  <c r="AK326" i="2"/>
  <c r="X326" i="2"/>
  <c r="K326" i="2"/>
  <c r="BX325" i="2"/>
  <c r="BK325" i="2"/>
  <c r="AX325" i="2"/>
  <c r="AK325" i="2"/>
  <c r="X325" i="2"/>
  <c r="K325" i="2"/>
  <c r="BX324" i="2"/>
  <c r="BK324" i="2"/>
  <c r="AX324" i="2"/>
  <c r="AK324" i="2"/>
  <c r="X324" i="2"/>
  <c r="K324" i="2"/>
  <c r="BX322" i="2"/>
  <c r="BK322" i="2"/>
  <c r="AX322" i="2"/>
  <c r="AK322" i="2"/>
  <c r="X322" i="2"/>
  <c r="K322" i="2"/>
  <c r="BX321" i="2"/>
  <c r="BK321" i="2"/>
  <c r="AX321" i="2"/>
  <c r="AK321" i="2"/>
  <c r="X321" i="2"/>
  <c r="K321" i="2"/>
  <c r="BX320" i="2"/>
  <c r="BK320" i="2"/>
  <c r="AX320" i="2"/>
  <c r="AK320" i="2"/>
  <c r="X320" i="2"/>
  <c r="K320" i="2"/>
  <c r="BX319" i="2"/>
  <c r="BK319" i="2"/>
  <c r="AX319" i="2"/>
  <c r="AK319" i="2"/>
  <c r="X319" i="2"/>
  <c r="K319" i="2"/>
  <c r="BX318" i="2"/>
  <c r="BK318" i="2"/>
  <c r="AX318" i="2"/>
  <c r="AK318" i="2"/>
  <c r="X318" i="2"/>
  <c r="K318" i="2"/>
  <c r="BX317" i="2"/>
  <c r="BK317" i="2"/>
  <c r="AX317" i="2"/>
  <c r="AK317" i="2"/>
  <c r="X317" i="2"/>
  <c r="K317" i="2"/>
  <c r="BX316" i="2"/>
  <c r="BK316" i="2"/>
  <c r="AX316" i="2"/>
  <c r="AK316" i="2"/>
  <c r="X316" i="2"/>
  <c r="K316" i="2"/>
  <c r="BX315" i="2"/>
  <c r="BK315" i="2"/>
  <c r="AX315" i="2"/>
  <c r="AK315" i="2"/>
  <c r="X315" i="2"/>
  <c r="K315" i="2"/>
  <c r="BX314" i="2"/>
  <c r="BK314" i="2"/>
  <c r="AX314" i="2"/>
  <c r="AK314" i="2"/>
  <c r="X314" i="2"/>
  <c r="K314" i="2"/>
  <c r="BX313" i="2"/>
  <c r="BK313" i="2"/>
  <c r="AX313" i="2"/>
  <c r="AK313" i="2"/>
  <c r="X313" i="2"/>
  <c r="K313" i="2"/>
  <c r="BX312" i="2"/>
  <c r="BK312" i="2"/>
  <c r="AX312" i="2"/>
  <c r="AK312" i="2"/>
  <c r="X312" i="2"/>
  <c r="K312" i="2"/>
  <c r="BX311" i="2"/>
  <c r="BK311" i="2"/>
  <c r="AX311" i="2"/>
  <c r="AK311" i="2"/>
  <c r="X311" i="2"/>
  <c r="K311" i="2"/>
  <c r="BX310" i="2"/>
  <c r="BK310" i="2"/>
  <c r="AX310" i="2"/>
  <c r="AK310" i="2"/>
  <c r="X310" i="2"/>
  <c r="K310" i="2"/>
  <c r="BX309" i="2"/>
  <c r="BK309" i="2"/>
  <c r="AX309" i="2"/>
  <c r="AK309" i="2"/>
  <c r="X309" i="2"/>
  <c r="K309" i="2"/>
  <c r="BX308" i="2"/>
  <c r="BK308" i="2"/>
  <c r="AX308" i="2"/>
  <c r="AK308" i="2"/>
  <c r="X308" i="2"/>
  <c r="K308" i="2"/>
  <c r="BX307" i="2"/>
  <c r="BK307" i="2"/>
  <c r="AX307" i="2"/>
  <c r="AK307" i="2"/>
  <c r="X307" i="2"/>
  <c r="K307" i="2"/>
  <c r="BX306" i="2"/>
  <c r="BK306" i="2"/>
  <c r="AX306" i="2"/>
  <c r="AK306" i="2"/>
  <c r="X306" i="2"/>
  <c r="K306" i="2"/>
  <c r="BX305" i="2"/>
  <c r="BK305" i="2"/>
  <c r="AX305" i="2"/>
  <c r="AK305" i="2"/>
  <c r="X305" i="2"/>
  <c r="K305" i="2"/>
  <c r="BX304" i="2"/>
  <c r="BK304" i="2"/>
  <c r="AX304" i="2"/>
  <c r="AK304" i="2"/>
  <c r="X304" i="2"/>
  <c r="K304" i="2"/>
  <c r="BX303" i="2"/>
  <c r="BK303" i="2"/>
  <c r="AX303" i="2"/>
  <c r="AK303" i="2"/>
  <c r="X303" i="2"/>
  <c r="K303" i="2"/>
  <c r="BX302" i="2"/>
  <c r="BK302" i="2"/>
  <c r="AX302" i="2"/>
  <c r="AK302" i="2"/>
  <c r="X302" i="2"/>
  <c r="K302" i="2"/>
  <c r="BX301" i="2"/>
  <c r="BK301" i="2"/>
  <c r="AX301" i="2"/>
  <c r="AK301" i="2"/>
  <c r="X301" i="2"/>
  <c r="K301" i="2"/>
  <c r="BX300" i="2"/>
  <c r="BK300" i="2"/>
  <c r="AX300" i="2"/>
  <c r="AK300" i="2"/>
  <c r="X300" i="2"/>
  <c r="K300" i="2"/>
  <c r="BX299" i="2"/>
  <c r="BK299" i="2"/>
  <c r="AX299" i="2"/>
  <c r="AK299" i="2"/>
  <c r="X299" i="2"/>
  <c r="K299" i="2"/>
  <c r="BX298" i="2"/>
  <c r="BK298" i="2"/>
  <c r="AX298" i="2"/>
  <c r="AK298" i="2"/>
  <c r="X298" i="2"/>
  <c r="K298" i="2"/>
  <c r="BX297" i="2"/>
  <c r="BK297" i="2"/>
  <c r="AX297" i="2"/>
  <c r="AK297" i="2"/>
  <c r="X297" i="2"/>
  <c r="K297" i="2"/>
  <c r="BX296" i="2"/>
  <c r="BK296" i="2"/>
  <c r="AX296" i="2"/>
  <c r="AK296" i="2"/>
  <c r="X296" i="2"/>
  <c r="K296" i="2"/>
  <c r="BX295" i="2"/>
  <c r="BK295" i="2"/>
  <c r="AX295" i="2"/>
  <c r="AK295" i="2"/>
  <c r="X295" i="2"/>
  <c r="K295" i="2"/>
  <c r="BX294" i="2"/>
  <c r="BK294" i="2"/>
  <c r="AX294" i="2"/>
  <c r="AK294" i="2"/>
  <c r="X294" i="2"/>
  <c r="K294" i="2"/>
  <c r="BX293" i="2"/>
  <c r="BK293" i="2"/>
  <c r="AX293" i="2"/>
  <c r="AK293" i="2"/>
  <c r="X293" i="2"/>
  <c r="K293" i="2"/>
  <c r="BX292" i="2"/>
  <c r="BK292" i="2"/>
  <c r="AX292" i="2"/>
  <c r="AK292" i="2"/>
  <c r="X292" i="2"/>
  <c r="K292" i="2"/>
  <c r="BX291" i="2"/>
  <c r="BK291" i="2"/>
  <c r="AX291" i="2"/>
  <c r="AK291" i="2"/>
  <c r="X291" i="2"/>
  <c r="K291" i="2"/>
  <c r="BX290" i="2"/>
  <c r="BK290" i="2"/>
  <c r="AX290" i="2"/>
  <c r="AK290" i="2"/>
  <c r="X290" i="2"/>
  <c r="K290" i="2"/>
  <c r="BX289" i="2"/>
  <c r="BK289" i="2"/>
  <c r="AX289" i="2"/>
  <c r="AK289" i="2"/>
  <c r="X289" i="2"/>
  <c r="K289" i="2"/>
  <c r="BX288" i="2"/>
  <c r="BK288" i="2"/>
  <c r="AX288" i="2"/>
  <c r="AK288" i="2"/>
  <c r="X288" i="2"/>
  <c r="K288" i="2"/>
  <c r="BX287" i="2"/>
  <c r="BK287" i="2"/>
  <c r="AX287" i="2"/>
  <c r="AK287" i="2"/>
  <c r="X287" i="2"/>
  <c r="K287" i="2"/>
  <c r="BX286" i="2"/>
  <c r="BK286" i="2"/>
  <c r="AX286" i="2"/>
  <c r="AK286" i="2"/>
  <c r="X286" i="2"/>
  <c r="K286" i="2"/>
  <c r="BX285" i="2"/>
  <c r="BK285" i="2"/>
  <c r="AX285" i="2"/>
  <c r="AK285" i="2"/>
  <c r="X285" i="2"/>
  <c r="K285" i="2"/>
  <c r="BX284" i="2"/>
  <c r="BK284" i="2"/>
  <c r="AX284" i="2"/>
  <c r="AK284" i="2"/>
  <c r="X284" i="2"/>
  <c r="K284" i="2"/>
  <c r="BX283" i="2"/>
  <c r="BK283" i="2"/>
  <c r="AX283" i="2"/>
  <c r="AK283" i="2"/>
  <c r="X283" i="2"/>
  <c r="K283" i="2"/>
  <c r="BX282" i="2"/>
  <c r="BK282" i="2"/>
  <c r="AX282" i="2"/>
  <c r="AK282" i="2"/>
  <c r="X282" i="2"/>
  <c r="K282" i="2"/>
  <c r="BX281" i="2"/>
  <c r="BK281" i="2"/>
  <c r="AX281" i="2"/>
  <c r="AK281" i="2"/>
  <c r="X281" i="2"/>
  <c r="K281" i="2"/>
  <c r="BX280" i="2"/>
  <c r="BK280" i="2"/>
  <c r="AX280" i="2"/>
  <c r="AK280" i="2"/>
  <c r="X280" i="2"/>
  <c r="K280" i="2"/>
  <c r="BX279" i="2"/>
  <c r="BK279" i="2"/>
  <c r="AX279" i="2"/>
  <c r="AK279" i="2"/>
  <c r="X279" i="2"/>
  <c r="K279" i="2"/>
  <c r="BX278" i="2"/>
  <c r="BK278" i="2"/>
  <c r="AX278" i="2"/>
  <c r="AK278" i="2"/>
  <c r="X278" i="2"/>
  <c r="K278" i="2"/>
  <c r="BX277" i="2"/>
  <c r="BK277" i="2"/>
  <c r="AX277" i="2"/>
  <c r="AK277" i="2"/>
  <c r="X277" i="2"/>
  <c r="K277" i="2"/>
  <c r="BX276" i="2"/>
  <c r="BK276" i="2"/>
  <c r="AX276" i="2"/>
  <c r="AK276" i="2"/>
  <c r="X276" i="2"/>
  <c r="K276" i="2"/>
  <c r="BX275" i="2"/>
  <c r="BK275" i="2"/>
  <c r="AX275" i="2"/>
  <c r="AK275" i="2"/>
  <c r="X275" i="2"/>
  <c r="K275" i="2"/>
  <c r="BX274" i="2"/>
  <c r="BK274" i="2"/>
  <c r="AX274" i="2"/>
  <c r="AK274" i="2"/>
  <c r="X274" i="2"/>
  <c r="K274" i="2"/>
  <c r="BX273" i="2"/>
  <c r="BK273" i="2"/>
  <c r="AX273" i="2"/>
  <c r="AK273" i="2"/>
  <c r="X273" i="2"/>
  <c r="K273" i="2"/>
  <c r="BX272" i="2"/>
  <c r="BK272" i="2"/>
  <c r="AX272" i="2"/>
  <c r="AK272" i="2"/>
  <c r="X272" i="2"/>
  <c r="K272" i="2"/>
  <c r="BX271" i="2"/>
  <c r="BK271" i="2"/>
  <c r="AX271" i="2"/>
  <c r="AK271" i="2"/>
  <c r="X271" i="2"/>
  <c r="K271" i="2"/>
  <c r="BX270" i="2"/>
  <c r="BK270" i="2"/>
  <c r="AX270" i="2"/>
  <c r="AK270" i="2"/>
  <c r="X270" i="2"/>
  <c r="K270" i="2"/>
  <c r="BX269" i="2"/>
  <c r="BK269" i="2"/>
  <c r="AX269" i="2"/>
  <c r="AK269" i="2"/>
  <c r="X269" i="2"/>
  <c r="K269" i="2"/>
  <c r="BX268" i="2"/>
  <c r="BK268" i="2"/>
  <c r="AX268" i="2"/>
  <c r="AK268" i="2"/>
  <c r="X268" i="2"/>
  <c r="K268" i="2"/>
  <c r="BX267" i="2"/>
  <c r="BK267" i="2"/>
  <c r="AX267" i="2"/>
  <c r="AK267" i="2"/>
  <c r="X267" i="2"/>
  <c r="K267" i="2"/>
  <c r="BX266" i="2"/>
  <c r="BK266" i="2"/>
  <c r="AX266" i="2"/>
  <c r="AK266" i="2"/>
  <c r="X266" i="2"/>
  <c r="K266" i="2"/>
  <c r="BX265" i="2"/>
  <c r="BK265" i="2"/>
  <c r="AX265" i="2"/>
  <c r="AK265" i="2"/>
  <c r="X265" i="2"/>
  <c r="K265" i="2"/>
  <c r="BX264" i="2"/>
  <c r="BK264" i="2"/>
  <c r="AX264" i="2"/>
  <c r="AK264" i="2"/>
  <c r="X264" i="2"/>
  <c r="K264" i="2"/>
  <c r="BX263" i="2"/>
  <c r="BK263" i="2"/>
  <c r="AX263" i="2"/>
  <c r="AK263" i="2"/>
  <c r="X263" i="2"/>
  <c r="K263" i="2"/>
  <c r="BX262" i="2"/>
  <c r="BK262" i="2"/>
  <c r="AX262" i="2"/>
  <c r="AK262" i="2"/>
  <c r="X262" i="2"/>
  <c r="K262" i="2"/>
  <c r="BX261" i="2"/>
  <c r="BK261" i="2"/>
  <c r="AX261" i="2"/>
  <c r="AK261" i="2"/>
  <c r="X261" i="2"/>
  <c r="K261" i="2"/>
  <c r="BX260" i="2"/>
  <c r="BK260" i="2"/>
  <c r="AX260" i="2"/>
  <c r="AK260" i="2"/>
  <c r="X260" i="2"/>
  <c r="K260" i="2"/>
  <c r="BX259" i="2"/>
  <c r="BK259" i="2"/>
  <c r="AX259" i="2"/>
  <c r="AK259" i="2"/>
  <c r="X259" i="2"/>
  <c r="K259" i="2"/>
  <c r="BX258" i="2"/>
  <c r="BK258" i="2"/>
  <c r="AX258" i="2"/>
  <c r="AK258" i="2"/>
  <c r="X258" i="2"/>
  <c r="K258" i="2"/>
  <c r="BX257" i="2"/>
  <c r="BK257" i="2"/>
  <c r="AX257" i="2"/>
  <c r="AK257" i="2"/>
  <c r="X257" i="2"/>
  <c r="K257" i="2"/>
  <c r="BX256" i="2"/>
  <c r="BK256" i="2"/>
  <c r="AX256" i="2"/>
  <c r="AK256" i="2"/>
  <c r="X256" i="2"/>
  <c r="K256" i="2"/>
  <c r="BX255" i="2"/>
  <c r="BK255" i="2"/>
  <c r="AX255" i="2"/>
  <c r="AK255" i="2"/>
  <c r="X255" i="2"/>
  <c r="K255" i="2"/>
  <c r="BX254" i="2"/>
  <c r="BK254" i="2"/>
  <c r="AX254" i="2"/>
  <c r="AK254" i="2"/>
  <c r="X254" i="2"/>
  <c r="K254" i="2"/>
  <c r="BX253" i="2"/>
  <c r="BK253" i="2"/>
  <c r="AX253" i="2"/>
  <c r="AK253" i="2"/>
  <c r="X253" i="2"/>
  <c r="K253" i="2"/>
  <c r="BX252" i="2"/>
  <c r="BK252" i="2"/>
  <c r="AX252" i="2"/>
  <c r="AK252" i="2"/>
  <c r="X252" i="2"/>
  <c r="K252" i="2"/>
  <c r="BX251" i="2"/>
  <c r="BK251" i="2"/>
  <c r="AX251" i="2"/>
  <c r="AK251" i="2"/>
  <c r="X251" i="2"/>
  <c r="K251" i="2"/>
  <c r="BX250" i="2"/>
  <c r="BK250" i="2"/>
  <c r="AX250" i="2"/>
  <c r="AK250" i="2"/>
  <c r="X250" i="2"/>
  <c r="K250" i="2"/>
  <c r="BX249" i="2"/>
  <c r="BK249" i="2"/>
  <c r="AX249" i="2"/>
  <c r="AK249" i="2"/>
  <c r="X249" i="2"/>
  <c r="K249" i="2"/>
  <c r="BX248" i="2"/>
  <c r="BK248" i="2"/>
  <c r="AX248" i="2"/>
  <c r="AK248" i="2"/>
  <c r="X248" i="2"/>
  <c r="K248" i="2"/>
  <c r="BX247" i="2"/>
  <c r="BK247" i="2"/>
  <c r="AX247" i="2"/>
  <c r="AK247" i="2"/>
  <c r="X247" i="2"/>
  <c r="K247" i="2"/>
  <c r="BX246" i="2"/>
  <c r="BK246" i="2"/>
  <c r="AX246" i="2"/>
  <c r="AK246" i="2"/>
  <c r="X246" i="2"/>
  <c r="K246" i="2"/>
  <c r="BX245" i="2"/>
  <c r="BK245" i="2"/>
  <c r="AX245" i="2"/>
  <c r="AK245" i="2"/>
  <c r="X245" i="2"/>
  <c r="K245" i="2"/>
  <c r="BX244" i="2"/>
  <c r="BK244" i="2"/>
  <c r="AX244" i="2"/>
  <c r="AK244" i="2"/>
  <c r="X244" i="2"/>
  <c r="K244" i="2"/>
  <c r="BX243" i="2"/>
  <c r="BK243" i="2"/>
  <c r="AX243" i="2"/>
  <c r="AK243" i="2"/>
  <c r="X243" i="2"/>
  <c r="K243" i="2"/>
  <c r="BX242" i="2"/>
  <c r="BK242" i="2"/>
  <c r="AX242" i="2"/>
  <c r="AK242" i="2"/>
  <c r="X242" i="2"/>
  <c r="K242" i="2"/>
  <c r="BX241" i="2"/>
  <c r="BK241" i="2"/>
  <c r="AX241" i="2"/>
  <c r="AK241" i="2"/>
  <c r="X241" i="2"/>
  <c r="K241" i="2"/>
  <c r="BX240" i="2"/>
  <c r="BK240" i="2"/>
  <c r="AX240" i="2"/>
  <c r="AK240" i="2"/>
  <c r="X240" i="2"/>
  <c r="K240" i="2"/>
  <c r="BX239" i="2"/>
  <c r="BK239" i="2"/>
  <c r="AX239" i="2"/>
  <c r="AK239" i="2"/>
  <c r="X239" i="2"/>
  <c r="K239" i="2"/>
  <c r="BX238" i="2"/>
  <c r="BK238" i="2"/>
  <c r="AX238" i="2"/>
  <c r="AK238" i="2"/>
  <c r="X238" i="2"/>
  <c r="K238" i="2"/>
  <c r="BX237" i="2"/>
  <c r="BK237" i="2"/>
  <c r="AX237" i="2"/>
  <c r="AK237" i="2"/>
  <c r="X237" i="2"/>
  <c r="K237" i="2"/>
  <c r="BX236" i="2"/>
  <c r="BK236" i="2"/>
  <c r="AX236" i="2"/>
  <c r="AK236" i="2"/>
  <c r="X236" i="2"/>
  <c r="K236" i="2"/>
  <c r="BX235" i="2"/>
  <c r="BK235" i="2"/>
  <c r="AX235" i="2"/>
  <c r="AK235" i="2"/>
  <c r="X235" i="2"/>
  <c r="K235" i="2"/>
  <c r="BX234" i="2"/>
  <c r="BK234" i="2"/>
  <c r="AX234" i="2"/>
  <c r="AK234" i="2"/>
  <c r="X234" i="2"/>
  <c r="K234" i="2"/>
  <c r="BX233" i="2"/>
  <c r="BK233" i="2"/>
  <c r="AX233" i="2"/>
  <c r="AK233" i="2"/>
  <c r="X233" i="2"/>
  <c r="K233" i="2"/>
  <c r="BX232" i="2"/>
  <c r="BK232" i="2"/>
  <c r="AX232" i="2"/>
  <c r="AK232" i="2"/>
  <c r="X232" i="2"/>
  <c r="K232" i="2"/>
  <c r="BX231" i="2"/>
  <c r="BK231" i="2"/>
  <c r="AX231" i="2"/>
  <c r="AK231" i="2"/>
  <c r="X231" i="2"/>
  <c r="K231" i="2"/>
  <c r="BX230" i="2"/>
  <c r="BK230" i="2"/>
  <c r="AX230" i="2"/>
  <c r="AK230" i="2"/>
  <c r="X230" i="2"/>
  <c r="K230" i="2"/>
  <c r="BX229" i="2"/>
  <c r="BK229" i="2"/>
  <c r="AX229" i="2"/>
  <c r="AK229" i="2"/>
  <c r="X229" i="2"/>
  <c r="K229" i="2"/>
  <c r="BX228" i="2"/>
  <c r="BK228" i="2"/>
  <c r="AX228" i="2"/>
  <c r="AK228" i="2"/>
  <c r="X228" i="2"/>
  <c r="K228" i="2"/>
  <c r="BX227" i="2"/>
  <c r="BK227" i="2"/>
  <c r="AX227" i="2"/>
  <c r="AK227" i="2"/>
  <c r="X227" i="2"/>
  <c r="K227" i="2"/>
  <c r="BX226" i="2"/>
  <c r="BK226" i="2"/>
  <c r="AX226" i="2"/>
  <c r="AK226" i="2"/>
  <c r="X226" i="2"/>
  <c r="K226" i="2"/>
  <c r="BX225" i="2"/>
  <c r="BK225" i="2"/>
  <c r="AX225" i="2"/>
  <c r="AK225" i="2"/>
  <c r="X225" i="2"/>
  <c r="K225" i="2"/>
  <c r="BX224" i="2"/>
  <c r="BK224" i="2"/>
  <c r="AX224" i="2"/>
  <c r="AK224" i="2"/>
  <c r="X224" i="2"/>
  <c r="K224" i="2"/>
  <c r="BX223" i="2"/>
  <c r="BK223" i="2"/>
  <c r="AX223" i="2"/>
  <c r="AK223" i="2"/>
  <c r="X223" i="2"/>
  <c r="K223" i="2"/>
  <c r="BX222" i="2"/>
  <c r="BK222" i="2"/>
  <c r="AX222" i="2"/>
  <c r="AK222" i="2"/>
  <c r="X222" i="2"/>
  <c r="K222" i="2"/>
  <c r="BX221" i="2"/>
  <c r="BK221" i="2"/>
  <c r="AX221" i="2"/>
  <c r="AK221" i="2"/>
  <c r="X221" i="2"/>
  <c r="K221" i="2"/>
  <c r="BX220" i="2"/>
  <c r="BK220" i="2"/>
  <c r="AX220" i="2"/>
  <c r="AK220" i="2"/>
  <c r="X220" i="2"/>
  <c r="K220" i="2"/>
  <c r="BX219" i="2"/>
  <c r="BK219" i="2"/>
  <c r="AX219" i="2"/>
  <c r="AK219" i="2"/>
  <c r="X219" i="2"/>
  <c r="K219" i="2"/>
  <c r="BX218" i="2"/>
  <c r="BK218" i="2"/>
  <c r="AX218" i="2"/>
  <c r="AK218" i="2"/>
  <c r="X218" i="2"/>
  <c r="K218" i="2"/>
  <c r="BX217" i="2"/>
  <c r="BK217" i="2"/>
  <c r="AX217" i="2"/>
  <c r="AK217" i="2"/>
  <c r="X217" i="2"/>
  <c r="K217" i="2"/>
  <c r="BX216" i="2"/>
  <c r="BK216" i="2"/>
  <c r="AX216" i="2"/>
  <c r="AK216" i="2"/>
  <c r="X216" i="2"/>
  <c r="K216" i="2"/>
  <c r="BX215" i="2"/>
  <c r="BK215" i="2"/>
  <c r="AX215" i="2"/>
  <c r="AK215" i="2"/>
  <c r="X215" i="2"/>
  <c r="K215" i="2"/>
  <c r="BX214" i="2"/>
  <c r="BK214" i="2"/>
  <c r="AX214" i="2"/>
  <c r="AK214" i="2"/>
  <c r="X214" i="2"/>
  <c r="K214" i="2"/>
  <c r="BX213" i="2"/>
  <c r="BK213" i="2"/>
  <c r="AX213" i="2"/>
  <c r="AK213" i="2"/>
  <c r="X213" i="2"/>
  <c r="K213" i="2"/>
  <c r="BX212" i="2"/>
  <c r="BK212" i="2"/>
  <c r="AX212" i="2"/>
  <c r="AK212" i="2"/>
  <c r="X212" i="2"/>
  <c r="K212" i="2"/>
  <c r="BX211" i="2"/>
  <c r="BK211" i="2"/>
  <c r="AX211" i="2"/>
  <c r="AK211" i="2"/>
  <c r="X211" i="2"/>
  <c r="K211" i="2"/>
  <c r="BX210" i="2"/>
  <c r="BK210" i="2"/>
  <c r="AX210" i="2"/>
  <c r="AK210" i="2"/>
  <c r="X210" i="2"/>
  <c r="K210" i="2"/>
  <c r="BX209" i="2"/>
  <c r="BK209" i="2"/>
  <c r="AX209" i="2"/>
  <c r="AK209" i="2"/>
  <c r="X209" i="2"/>
  <c r="K209" i="2"/>
  <c r="BX208" i="2"/>
  <c r="BK208" i="2"/>
  <c r="AX208" i="2"/>
  <c r="AK208" i="2"/>
  <c r="X208" i="2"/>
  <c r="K208" i="2"/>
  <c r="BX207" i="2"/>
  <c r="BK207" i="2"/>
  <c r="AX207" i="2"/>
  <c r="AK207" i="2"/>
  <c r="X207" i="2"/>
  <c r="K207" i="2"/>
  <c r="BX206" i="2"/>
  <c r="BK206" i="2"/>
  <c r="AX206" i="2"/>
  <c r="AK206" i="2"/>
  <c r="X206" i="2"/>
  <c r="K206" i="2"/>
  <c r="BX205" i="2"/>
  <c r="BK205" i="2"/>
  <c r="AX205" i="2"/>
  <c r="AK205" i="2"/>
  <c r="X205" i="2"/>
  <c r="K205" i="2"/>
  <c r="BX204" i="2"/>
  <c r="BK204" i="2"/>
  <c r="AX204" i="2"/>
  <c r="AK204" i="2"/>
  <c r="X204" i="2"/>
  <c r="K204" i="2"/>
  <c r="BX203" i="2"/>
  <c r="BK203" i="2"/>
  <c r="AX203" i="2"/>
  <c r="AK203" i="2"/>
  <c r="X203" i="2"/>
  <c r="K203" i="2"/>
  <c r="BX202" i="2"/>
  <c r="BK202" i="2"/>
  <c r="AX202" i="2"/>
  <c r="AK202" i="2"/>
  <c r="X202" i="2"/>
  <c r="K202" i="2"/>
  <c r="BX201" i="2"/>
  <c r="BK201" i="2"/>
  <c r="AX201" i="2"/>
  <c r="AK201" i="2"/>
  <c r="X201" i="2"/>
  <c r="K201" i="2"/>
  <c r="BX200" i="2"/>
  <c r="BK200" i="2"/>
  <c r="AX200" i="2"/>
  <c r="AK200" i="2"/>
  <c r="X200" i="2"/>
  <c r="K200" i="2"/>
  <c r="BX199" i="2"/>
  <c r="BK199" i="2"/>
  <c r="AX199" i="2"/>
  <c r="AK199" i="2"/>
  <c r="X199" i="2"/>
  <c r="K199" i="2"/>
  <c r="BX198" i="2"/>
  <c r="BK198" i="2"/>
  <c r="AX198" i="2"/>
  <c r="AK198" i="2"/>
  <c r="X198" i="2"/>
  <c r="K198" i="2"/>
  <c r="BX197" i="2"/>
  <c r="BK197" i="2"/>
  <c r="AX197" i="2"/>
  <c r="AK197" i="2"/>
  <c r="X197" i="2"/>
  <c r="K197" i="2"/>
  <c r="BX196" i="2"/>
  <c r="BK196" i="2"/>
  <c r="AX196" i="2"/>
  <c r="AK196" i="2"/>
  <c r="X196" i="2"/>
  <c r="K196" i="2"/>
  <c r="BX195" i="2"/>
  <c r="BK195" i="2"/>
  <c r="AX195" i="2"/>
  <c r="AK195" i="2"/>
  <c r="X195" i="2"/>
  <c r="K195" i="2"/>
  <c r="BX194" i="2"/>
  <c r="BK194" i="2"/>
  <c r="AX194" i="2"/>
  <c r="AK194" i="2"/>
  <c r="X194" i="2"/>
  <c r="K194" i="2"/>
  <c r="BX193" i="2"/>
  <c r="BK193" i="2"/>
  <c r="AX193" i="2"/>
  <c r="AK193" i="2"/>
  <c r="X193" i="2"/>
  <c r="K193" i="2"/>
  <c r="BX192" i="2"/>
  <c r="BK192" i="2"/>
  <c r="AX192" i="2"/>
  <c r="AK192" i="2"/>
  <c r="X192" i="2"/>
  <c r="K192" i="2"/>
  <c r="BX191" i="2"/>
  <c r="BK191" i="2"/>
  <c r="AX191" i="2"/>
  <c r="AK191" i="2"/>
  <c r="X191" i="2"/>
  <c r="K191" i="2"/>
  <c r="BX190" i="2"/>
  <c r="BK190" i="2"/>
  <c r="AX190" i="2"/>
  <c r="AK190" i="2"/>
  <c r="X190" i="2"/>
  <c r="K190" i="2"/>
  <c r="BX189" i="2"/>
  <c r="BK189" i="2"/>
  <c r="AX189" i="2"/>
  <c r="AK189" i="2"/>
  <c r="X189" i="2"/>
  <c r="K189" i="2"/>
  <c r="BX188" i="2"/>
  <c r="BK188" i="2"/>
  <c r="AX188" i="2"/>
  <c r="AK188" i="2"/>
  <c r="X188" i="2"/>
  <c r="K188" i="2"/>
  <c r="BX187" i="2"/>
  <c r="BK187" i="2"/>
  <c r="AX187" i="2"/>
  <c r="AK187" i="2"/>
  <c r="X187" i="2"/>
  <c r="K187" i="2"/>
  <c r="BX186" i="2"/>
  <c r="BK186" i="2"/>
  <c r="AX186" i="2"/>
  <c r="AK186" i="2"/>
  <c r="X186" i="2"/>
  <c r="K186" i="2"/>
  <c r="BX185" i="2"/>
  <c r="BK185" i="2"/>
  <c r="AX185" i="2"/>
  <c r="AK185" i="2"/>
  <c r="X185" i="2"/>
  <c r="K185" i="2"/>
  <c r="BX184" i="2"/>
  <c r="BK184" i="2"/>
  <c r="AX184" i="2"/>
  <c r="AK184" i="2"/>
  <c r="X184" i="2"/>
  <c r="K184" i="2"/>
  <c r="BX183" i="2"/>
  <c r="BK183" i="2"/>
  <c r="AX183" i="2"/>
  <c r="AK183" i="2"/>
  <c r="X183" i="2"/>
  <c r="K183" i="2"/>
  <c r="BX182" i="2"/>
  <c r="BK182" i="2"/>
  <c r="AX182" i="2"/>
  <c r="AK182" i="2"/>
  <c r="X182" i="2"/>
  <c r="K182" i="2"/>
  <c r="BX181" i="2"/>
  <c r="BK181" i="2"/>
  <c r="AX181" i="2"/>
  <c r="AK181" i="2"/>
  <c r="X181" i="2"/>
  <c r="K181" i="2"/>
  <c r="BX180" i="2"/>
  <c r="BK180" i="2"/>
  <c r="AX180" i="2"/>
  <c r="AK180" i="2"/>
  <c r="X180" i="2"/>
  <c r="K180" i="2"/>
  <c r="BX179" i="2"/>
  <c r="BK179" i="2"/>
  <c r="AX179" i="2"/>
  <c r="AK179" i="2"/>
  <c r="X179" i="2"/>
  <c r="K179" i="2"/>
  <c r="BX178" i="2"/>
  <c r="BK178" i="2"/>
  <c r="AX178" i="2"/>
  <c r="AK178" i="2"/>
  <c r="X178" i="2"/>
  <c r="K178" i="2"/>
  <c r="BX177" i="2"/>
  <c r="BK177" i="2"/>
  <c r="AX177" i="2"/>
  <c r="AK177" i="2"/>
  <c r="X177" i="2"/>
  <c r="K177" i="2"/>
  <c r="BX176" i="2"/>
  <c r="BK176" i="2"/>
  <c r="AX176" i="2"/>
  <c r="AK176" i="2"/>
  <c r="X176" i="2"/>
  <c r="K176" i="2"/>
  <c r="BX175" i="2"/>
  <c r="BK175" i="2"/>
  <c r="AX175" i="2"/>
  <c r="AK175" i="2"/>
  <c r="X175" i="2"/>
  <c r="K175" i="2"/>
  <c r="BX174" i="2"/>
  <c r="BK174" i="2"/>
  <c r="AX174" i="2"/>
  <c r="AK174" i="2"/>
  <c r="X174" i="2"/>
  <c r="K174" i="2"/>
  <c r="BX173" i="2"/>
  <c r="BK173" i="2"/>
  <c r="AX173" i="2"/>
  <c r="AK173" i="2"/>
  <c r="X173" i="2"/>
  <c r="K173" i="2"/>
  <c r="BX172" i="2"/>
  <c r="BK172" i="2"/>
  <c r="AX172" i="2"/>
  <c r="AK172" i="2"/>
  <c r="X172" i="2"/>
  <c r="K172" i="2"/>
  <c r="BX171" i="2"/>
  <c r="BK171" i="2"/>
  <c r="AX171" i="2"/>
  <c r="AK171" i="2"/>
  <c r="X171" i="2"/>
  <c r="K171" i="2"/>
  <c r="BX170" i="2"/>
  <c r="BK170" i="2"/>
  <c r="AX170" i="2"/>
  <c r="AK170" i="2"/>
  <c r="X170" i="2"/>
  <c r="K170" i="2"/>
  <c r="BX169" i="2"/>
  <c r="BK169" i="2"/>
  <c r="AX169" i="2"/>
  <c r="AK169" i="2"/>
  <c r="X169" i="2"/>
  <c r="K169" i="2"/>
  <c r="BX168" i="2"/>
  <c r="BK168" i="2"/>
  <c r="AX168" i="2"/>
  <c r="AK168" i="2"/>
  <c r="X168" i="2"/>
  <c r="K168" i="2"/>
  <c r="BX167" i="2"/>
  <c r="BK167" i="2"/>
  <c r="AX167" i="2"/>
  <c r="AK167" i="2"/>
  <c r="X167" i="2"/>
  <c r="K167" i="2"/>
  <c r="BX166" i="2"/>
  <c r="BK166" i="2"/>
  <c r="AX166" i="2"/>
  <c r="AK166" i="2"/>
  <c r="X166" i="2"/>
  <c r="K166" i="2"/>
  <c r="BX165" i="2"/>
  <c r="BK165" i="2"/>
  <c r="AX165" i="2"/>
  <c r="AK165" i="2"/>
  <c r="X165" i="2"/>
  <c r="K165" i="2"/>
  <c r="BX164" i="2"/>
  <c r="BK164" i="2"/>
  <c r="AX164" i="2"/>
  <c r="AK164" i="2"/>
  <c r="X164" i="2"/>
  <c r="K164" i="2"/>
  <c r="BX163" i="2"/>
  <c r="BK163" i="2"/>
  <c r="AX163" i="2"/>
  <c r="AK163" i="2"/>
  <c r="X163" i="2"/>
  <c r="K163" i="2"/>
  <c r="BX162" i="2"/>
  <c r="BK162" i="2"/>
  <c r="AX162" i="2"/>
  <c r="AK162" i="2"/>
  <c r="X162" i="2"/>
  <c r="K162" i="2"/>
  <c r="BX161" i="2"/>
  <c r="BK161" i="2"/>
  <c r="AX161" i="2"/>
  <c r="AK161" i="2"/>
  <c r="X161" i="2"/>
  <c r="K161" i="2"/>
  <c r="BX160" i="2"/>
  <c r="BK160" i="2"/>
  <c r="AX160" i="2"/>
  <c r="AK160" i="2"/>
  <c r="X160" i="2"/>
  <c r="K160" i="2"/>
  <c r="BX159" i="2"/>
  <c r="BK159" i="2"/>
  <c r="AX159" i="2"/>
  <c r="AK159" i="2"/>
  <c r="X159" i="2"/>
  <c r="K159" i="2"/>
  <c r="BX158" i="2"/>
  <c r="BK158" i="2"/>
  <c r="AX158" i="2"/>
  <c r="AK158" i="2"/>
  <c r="X158" i="2"/>
  <c r="K158" i="2"/>
  <c r="BX157" i="2"/>
  <c r="BK157" i="2"/>
  <c r="AX157" i="2"/>
  <c r="AK157" i="2"/>
  <c r="X157" i="2"/>
  <c r="K157" i="2"/>
  <c r="BX156" i="2"/>
  <c r="BK156" i="2"/>
  <c r="AX156" i="2"/>
  <c r="AK156" i="2"/>
  <c r="X156" i="2"/>
  <c r="K156" i="2"/>
  <c r="BX155" i="2"/>
  <c r="BK155" i="2"/>
  <c r="AX155" i="2"/>
  <c r="AK155" i="2"/>
  <c r="X155" i="2"/>
  <c r="K155" i="2"/>
  <c r="BX154" i="2"/>
  <c r="BK154" i="2"/>
  <c r="AX154" i="2"/>
  <c r="AK154" i="2"/>
  <c r="X154" i="2"/>
  <c r="K154" i="2"/>
  <c r="BX153" i="2"/>
  <c r="BK153" i="2"/>
  <c r="AX153" i="2"/>
  <c r="AK153" i="2"/>
  <c r="X153" i="2"/>
  <c r="K153" i="2"/>
  <c r="BX152" i="2"/>
  <c r="BK152" i="2"/>
  <c r="AX152" i="2"/>
  <c r="AK152" i="2"/>
  <c r="X152" i="2"/>
  <c r="K152" i="2"/>
  <c r="BX151" i="2"/>
  <c r="BK151" i="2"/>
  <c r="AX151" i="2"/>
  <c r="AK151" i="2"/>
  <c r="X151" i="2"/>
  <c r="K151" i="2"/>
  <c r="BX150" i="2"/>
  <c r="BK150" i="2"/>
  <c r="AX150" i="2"/>
  <c r="AK150" i="2"/>
  <c r="X150" i="2"/>
  <c r="K150" i="2"/>
  <c r="BX149" i="2"/>
  <c r="BK149" i="2"/>
  <c r="AX149" i="2"/>
  <c r="AK149" i="2"/>
  <c r="X149" i="2"/>
  <c r="K149" i="2"/>
  <c r="BX148" i="2"/>
  <c r="BK148" i="2"/>
  <c r="AX148" i="2"/>
  <c r="AK148" i="2"/>
  <c r="X148" i="2"/>
  <c r="K148" i="2"/>
  <c r="BX147" i="2"/>
  <c r="BK147" i="2"/>
  <c r="AX147" i="2"/>
  <c r="AK147" i="2"/>
  <c r="X147" i="2"/>
  <c r="K147" i="2"/>
  <c r="BX146" i="2"/>
  <c r="BK146" i="2"/>
  <c r="AX146" i="2"/>
  <c r="AK146" i="2"/>
  <c r="X146" i="2"/>
  <c r="K146" i="2"/>
  <c r="BX145" i="2"/>
  <c r="BK145" i="2"/>
  <c r="AX145" i="2"/>
  <c r="AK145" i="2"/>
  <c r="X145" i="2"/>
  <c r="K145" i="2"/>
  <c r="BX144" i="2"/>
  <c r="BK144" i="2"/>
  <c r="AX144" i="2"/>
  <c r="AK144" i="2"/>
  <c r="X144" i="2"/>
  <c r="K144" i="2"/>
  <c r="BX143" i="2"/>
  <c r="BK143" i="2"/>
  <c r="AX143" i="2"/>
  <c r="AK143" i="2"/>
  <c r="X143" i="2"/>
  <c r="K143" i="2"/>
  <c r="BX142" i="2"/>
  <c r="BK142" i="2"/>
  <c r="AX142" i="2"/>
  <c r="AK142" i="2"/>
  <c r="X142" i="2"/>
  <c r="K142" i="2"/>
  <c r="BX141" i="2"/>
  <c r="BK141" i="2"/>
  <c r="AX141" i="2"/>
  <c r="AK141" i="2"/>
  <c r="X141" i="2"/>
  <c r="K141" i="2"/>
  <c r="BX140" i="2"/>
  <c r="BK140" i="2"/>
  <c r="AX140" i="2"/>
  <c r="AK140" i="2"/>
  <c r="X140" i="2"/>
  <c r="K140" i="2"/>
  <c r="BX139" i="2"/>
  <c r="BK139" i="2"/>
  <c r="AX139" i="2"/>
  <c r="AK139" i="2"/>
  <c r="X139" i="2"/>
  <c r="K139" i="2"/>
  <c r="BX138" i="2"/>
  <c r="BK138" i="2"/>
  <c r="AX138" i="2"/>
  <c r="AK138" i="2"/>
  <c r="X138" i="2"/>
  <c r="K138" i="2"/>
  <c r="BX137" i="2"/>
  <c r="BK137" i="2"/>
  <c r="AX137" i="2"/>
  <c r="AK137" i="2"/>
  <c r="X137" i="2"/>
  <c r="K137" i="2"/>
  <c r="BX136" i="2"/>
  <c r="BK136" i="2"/>
  <c r="AX136" i="2"/>
  <c r="AK136" i="2"/>
  <c r="X136" i="2"/>
  <c r="K136" i="2"/>
  <c r="BX135" i="2"/>
  <c r="BK135" i="2"/>
  <c r="AX135" i="2"/>
  <c r="AK135" i="2"/>
  <c r="X135" i="2"/>
  <c r="K135" i="2"/>
  <c r="BX134" i="2"/>
  <c r="BK134" i="2"/>
  <c r="AX134" i="2"/>
  <c r="AK134" i="2"/>
  <c r="X134" i="2"/>
  <c r="K134" i="2"/>
  <c r="BX133" i="2"/>
  <c r="BK133" i="2"/>
  <c r="AX133" i="2"/>
  <c r="AK133" i="2"/>
  <c r="X133" i="2"/>
  <c r="K133" i="2"/>
  <c r="BX131" i="2"/>
  <c r="BK131" i="2"/>
  <c r="AX131" i="2"/>
  <c r="AK131" i="2"/>
  <c r="X131" i="2"/>
  <c r="K131" i="2"/>
  <c r="BX130" i="2"/>
  <c r="BK130" i="2"/>
  <c r="AX130" i="2"/>
  <c r="AK130" i="2"/>
  <c r="X130" i="2"/>
  <c r="K130" i="2"/>
  <c r="BX129" i="2"/>
  <c r="BK129" i="2"/>
  <c r="AX129" i="2"/>
  <c r="AK129" i="2"/>
  <c r="X129" i="2"/>
  <c r="K129" i="2"/>
  <c r="BX127" i="2"/>
  <c r="BK127" i="2"/>
  <c r="AX127" i="2"/>
  <c r="AK127" i="2"/>
  <c r="X127" i="2"/>
  <c r="K127" i="2"/>
  <c r="BX126" i="2"/>
  <c r="BK126" i="2"/>
  <c r="AX126" i="2"/>
  <c r="AK126" i="2"/>
  <c r="X126" i="2"/>
  <c r="K126" i="2"/>
  <c r="BX125" i="2"/>
  <c r="BK125" i="2"/>
  <c r="AX125" i="2"/>
  <c r="AK125" i="2"/>
  <c r="X125" i="2"/>
  <c r="K125" i="2"/>
  <c r="BX124" i="2"/>
  <c r="BK124" i="2"/>
  <c r="AX124" i="2"/>
  <c r="AK124" i="2"/>
  <c r="X124" i="2"/>
  <c r="K124" i="2"/>
  <c r="BX123" i="2"/>
  <c r="BK123" i="2"/>
  <c r="AX123" i="2"/>
  <c r="AK123" i="2"/>
  <c r="X123" i="2"/>
  <c r="K123" i="2"/>
  <c r="BX122" i="2"/>
  <c r="BK122" i="2"/>
  <c r="AX122" i="2"/>
  <c r="AK122" i="2"/>
  <c r="X122" i="2"/>
  <c r="K122" i="2"/>
  <c r="BX121" i="2"/>
  <c r="BK121" i="2"/>
  <c r="AX121" i="2"/>
  <c r="AK121" i="2"/>
  <c r="X121" i="2"/>
  <c r="K121" i="2"/>
  <c r="BX120" i="2"/>
  <c r="BK120" i="2"/>
  <c r="AX120" i="2"/>
  <c r="AK120" i="2"/>
  <c r="X120" i="2"/>
  <c r="K120" i="2"/>
  <c r="BX119" i="2"/>
  <c r="BK119" i="2"/>
  <c r="AX119" i="2"/>
  <c r="AK119" i="2"/>
  <c r="X119" i="2"/>
  <c r="K119" i="2"/>
  <c r="BX118" i="2"/>
  <c r="BK118" i="2"/>
  <c r="AX118" i="2"/>
  <c r="AK118" i="2"/>
  <c r="X118" i="2"/>
  <c r="K118" i="2"/>
  <c r="BX117" i="2"/>
  <c r="BK117" i="2"/>
  <c r="AX117" i="2"/>
  <c r="AK117" i="2"/>
  <c r="X117" i="2"/>
  <c r="K117" i="2"/>
  <c r="BX116" i="2"/>
  <c r="BK116" i="2"/>
  <c r="AX116" i="2"/>
  <c r="AK116" i="2"/>
  <c r="X116" i="2"/>
  <c r="K116" i="2"/>
  <c r="BX115" i="2"/>
  <c r="BK115" i="2"/>
  <c r="AX115" i="2"/>
  <c r="AK115" i="2"/>
  <c r="X115" i="2"/>
  <c r="K115" i="2"/>
  <c r="BX114" i="2"/>
  <c r="BK114" i="2"/>
  <c r="AX114" i="2"/>
  <c r="AK114" i="2"/>
  <c r="X114" i="2"/>
  <c r="K114" i="2"/>
  <c r="BX113" i="2"/>
  <c r="BK113" i="2"/>
  <c r="AX113" i="2"/>
  <c r="AK113" i="2"/>
  <c r="X113" i="2"/>
  <c r="K113" i="2"/>
  <c r="BX112" i="2"/>
  <c r="BK112" i="2"/>
  <c r="AX112" i="2"/>
  <c r="AK112" i="2"/>
  <c r="X112" i="2"/>
  <c r="K112" i="2"/>
  <c r="BX111" i="2"/>
  <c r="BK111" i="2"/>
  <c r="AX111" i="2"/>
  <c r="AK111" i="2"/>
  <c r="X111" i="2"/>
  <c r="K111" i="2"/>
  <c r="BX110" i="2"/>
  <c r="BK110" i="2"/>
  <c r="AX110" i="2"/>
  <c r="AK110" i="2"/>
  <c r="X110" i="2"/>
  <c r="K110" i="2"/>
  <c r="BX109" i="2"/>
  <c r="BK109" i="2"/>
  <c r="AX109" i="2"/>
  <c r="AK109" i="2"/>
  <c r="X109" i="2"/>
  <c r="K109" i="2"/>
  <c r="BX108" i="2"/>
  <c r="BK108" i="2"/>
  <c r="AX108" i="2"/>
  <c r="AK108" i="2"/>
  <c r="X108" i="2"/>
  <c r="K108" i="2"/>
  <c r="BX107" i="2"/>
  <c r="BK107" i="2"/>
  <c r="AX107" i="2"/>
  <c r="AK107" i="2"/>
  <c r="X107" i="2"/>
  <c r="K107" i="2"/>
  <c r="BX106" i="2"/>
  <c r="BK106" i="2"/>
  <c r="AX106" i="2"/>
  <c r="AK106" i="2"/>
  <c r="X106" i="2"/>
  <c r="K106" i="2"/>
  <c r="BX105" i="2"/>
  <c r="BK105" i="2"/>
  <c r="AX105" i="2"/>
  <c r="AK105" i="2"/>
  <c r="X105" i="2"/>
  <c r="K105" i="2"/>
  <c r="BX104" i="2"/>
  <c r="BK104" i="2"/>
  <c r="AX104" i="2"/>
  <c r="AK104" i="2"/>
  <c r="X104" i="2"/>
  <c r="K104" i="2"/>
  <c r="BX103" i="2"/>
  <c r="BK103" i="2"/>
  <c r="AX103" i="2"/>
  <c r="AK103" i="2"/>
  <c r="X103" i="2"/>
  <c r="K103" i="2"/>
  <c r="BX102" i="2"/>
  <c r="BK102" i="2"/>
  <c r="AX102" i="2"/>
  <c r="AK102" i="2"/>
  <c r="X102" i="2"/>
  <c r="K102" i="2"/>
  <c r="BX101" i="2"/>
  <c r="BK101" i="2"/>
  <c r="AX101" i="2"/>
  <c r="AK101" i="2"/>
  <c r="X101" i="2"/>
  <c r="K101" i="2"/>
  <c r="BX100" i="2"/>
  <c r="BK100" i="2"/>
  <c r="AX100" i="2"/>
  <c r="AK100" i="2"/>
  <c r="X100" i="2"/>
  <c r="K100" i="2"/>
  <c r="BX99" i="2"/>
  <c r="BK99" i="2"/>
  <c r="AX99" i="2"/>
  <c r="AK99" i="2"/>
  <c r="X99" i="2"/>
  <c r="K99" i="2"/>
  <c r="BX98" i="2"/>
  <c r="BK98" i="2"/>
  <c r="AX98" i="2"/>
  <c r="AK98" i="2"/>
  <c r="X98" i="2"/>
  <c r="K98" i="2"/>
  <c r="BX97" i="2"/>
  <c r="BK97" i="2"/>
  <c r="AX97" i="2"/>
  <c r="AK97" i="2"/>
  <c r="X97" i="2"/>
  <c r="K97" i="2"/>
  <c r="BX96" i="2"/>
  <c r="BK96" i="2"/>
  <c r="AX96" i="2"/>
  <c r="AK96" i="2"/>
  <c r="X96" i="2"/>
  <c r="K96" i="2"/>
  <c r="BX95" i="2"/>
  <c r="BK95" i="2"/>
  <c r="AX95" i="2"/>
  <c r="AK95" i="2"/>
  <c r="X95" i="2"/>
  <c r="K95" i="2"/>
  <c r="BX94" i="2"/>
  <c r="BK94" i="2"/>
  <c r="AX94" i="2"/>
  <c r="AK94" i="2"/>
  <c r="X94" i="2"/>
  <c r="K94" i="2"/>
  <c r="BX93" i="2"/>
  <c r="BK93" i="2"/>
  <c r="AX93" i="2"/>
  <c r="AK93" i="2"/>
  <c r="X93" i="2"/>
  <c r="K93" i="2"/>
  <c r="BX92" i="2"/>
  <c r="BK92" i="2"/>
  <c r="AX92" i="2"/>
  <c r="AK92" i="2"/>
  <c r="X92" i="2"/>
  <c r="K92" i="2"/>
  <c r="BX91" i="2"/>
  <c r="BK91" i="2"/>
  <c r="AX91" i="2"/>
  <c r="AK91" i="2"/>
  <c r="X91" i="2"/>
  <c r="K91" i="2"/>
  <c r="BX90" i="2"/>
  <c r="BK90" i="2"/>
  <c r="AX90" i="2"/>
  <c r="AK90" i="2"/>
  <c r="X90" i="2"/>
  <c r="K90" i="2"/>
  <c r="BX88" i="2"/>
  <c r="BK88" i="2"/>
  <c r="AX88" i="2"/>
  <c r="AK88" i="2"/>
  <c r="X88" i="2"/>
  <c r="K88" i="2"/>
  <c r="BX87" i="2"/>
  <c r="BK87" i="2"/>
  <c r="AX87" i="2"/>
  <c r="AK87" i="2"/>
  <c r="X87" i="2"/>
  <c r="K87" i="2"/>
  <c r="BX86" i="2"/>
  <c r="BK86" i="2"/>
  <c r="AX86" i="2"/>
  <c r="AK86" i="2"/>
  <c r="X86" i="2"/>
  <c r="K86" i="2"/>
  <c r="BX85" i="2"/>
  <c r="BK85" i="2"/>
  <c r="AX85" i="2"/>
  <c r="AK85" i="2"/>
  <c r="X85" i="2"/>
  <c r="K85" i="2"/>
  <c r="BX84" i="2"/>
  <c r="BK84" i="2"/>
  <c r="AX84" i="2"/>
  <c r="AK84" i="2"/>
  <c r="X84" i="2"/>
  <c r="K84" i="2"/>
  <c r="BX83" i="2"/>
  <c r="BK83" i="2"/>
  <c r="AX83" i="2"/>
  <c r="AK83" i="2"/>
  <c r="X83" i="2"/>
  <c r="K83" i="2"/>
  <c r="BX82" i="2"/>
  <c r="BK82" i="2"/>
  <c r="AX82" i="2"/>
  <c r="AK82" i="2"/>
  <c r="X82" i="2"/>
  <c r="K82" i="2"/>
  <c r="BX81" i="2"/>
  <c r="BK81" i="2"/>
  <c r="AX81" i="2"/>
  <c r="AK81" i="2"/>
  <c r="X81" i="2"/>
  <c r="K81" i="2"/>
  <c r="BX80" i="2"/>
  <c r="BK80" i="2"/>
  <c r="AX80" i="2"/>
  <c r="AK80" i="2"/>
  <c r="X80" i="2"/>
  <c r="K80" i="2"/>
  <c r="BX79" i="2"/>
  <c r="BK79" i="2"/>
  <c r="AX79" i="2"/>
  <c r="AK79" i="2"/>
  <c r="X79" i="2"/>
  <c r="K79" i="2"/>
  <c r="BX78" i="2"/>
  <c r="BK78" i="2"/>
  <c r="AX78" i="2"/>
  <c r="AK78" i="2"/>
  <c r="X78" i="2"/>
  <c r="K78" i="2"/>
  <c r="BX77" i="2"/>
  <c r="BK77" i="2"/>
  <c r="AX77" i="2"/>
  <c r="AK77" i="2"/>
  <c r="X77" i="2"/>
  <c r="K77" i="2"/>
  <c r="BX76" i="2"/>
  <c r="BK76" i="2"/>
  <c r="AX76" i="2"/>
  <c r="AK76" i="2"/>
  <c r="X76" i="2"/>
  <c r="K76" i="2"/>
  <c r="BX75" i="2"/>
  <c r="BK75" i="2"/>
  <c r="AX75" i="2"/>
  <c r="AK75" i="2"/>
  <c r="X75" i="2"/>
  <c r="K75" i="2"/>
  <c r="BX74" i="2"/>
  <c r="BK74" i="2"/>
  <c r="AX74" i="2"/>
  <c r="AK74" i="2"/>
  <c r="X74" i="2"/>
  <c r="K74" i="2"/>
  <c r="BX73" i="2"/>
  <c r="BK73" i="2"/>
  <c r="AX73" i="2"/>
  <c r="AK73" i="2"/>
  <c r="X73" i="2"/>
  <c r="K73" i="2"/>
  <c r="BX72" i="2"/>
  <c r="BK72" i="2"/>
  <c r="AX72" i="2"/>
  <c r="AK72" i="2"/>
  <c r="X72" i="2"/>
  <c r="K72" i="2"/>
  <c r="BX71" i="2"/>
  <c r="BK71" i="2"/>
  <c r="AX71" i="2"/>
  <c r="AK71" i="2"/>
  <c r="X71" i="2"/>
  <c r="K71" i="2"/>
  <c r="BX70" i="2"/>
  <c r="BK70" i="2"/>
  <c r="AX70" i="2"/>
  <c r="AK70" i="2"/>
  <c r="X70" i="2"/>
  <c r="K70" i="2"/>
  <c r="BX69" i="2"/>
  <c r="BK69" i="2"/>
  <c r="AX69" i="2"/>
  <c r="AK69" i="2"/>
  <c r="X69" i="2"/>
  <c r="K69" i="2"/>
  <c r="BX68" i="2"/>
  <c r="BK68" i="2"/>
  <c r="AX68" i="2"/>
  <c r="AK68" i="2"/>
  <c r="X68" i="2"/>
  <c r="K68" i="2"/>
  <c r="BX67" i="2"/>
  <c r="BK67" i="2"/>
  <c r="AX67" i="2"/>
  <c r="AK67" i="2"/>
  <c r="X67" i="2"/>
  <c r="K67" i="2"/>
  <c r="BX66" i="2"/>
  <c r="BK66" i="2"/>
  <c r="AX66" i="2"/>
  <c r="AK66" i="2"/>
  <c r="X66" i="2"/>
  <c r="K66" i="2"/>
  <c r="BX65" i="2"/>
  <c r="BK65" i="2"/>
  <c r="AX65" i="2"/>
  <c r="AK65" i="2"/>
  <c r="X65" i="2"/>
  <c r="K65" i="2"/>
  <c r="BX64" i="2"/>
  <c r="BK64" i="2"/>
  <c r="AX64" i="2"/>
  <c r="AK64" i="2"/>
  <c r="X64" i="2"/>
  <c r="K64" i="2"/>
  <c r="BX63" i="2"/>
  <c r="BK63" i="2"/>
  <c r="AX63" i="2"/>
  <c r="AK63" i="2"/>
  <c r="X63" i="2"/>
  <c r="K63" i="2"/>
  <c r="BX62" i="2"/>
  <c r="BK62" i="2"/>
  <c r="AX62" i="2"/>
  <c r="AK62" i="2"/>
  <c r="X62" i="2"/>
  <c r="K62" i="2"/>
  <c r="BX61" i="2"/>
  <c r="BK61" i="2"/>
  <c r="AX61" i="2"/>
  <c r="AK61" i="2"/>
  <c r="X61" i="2"/>
  <c r="K61" i="2"/>
  <c r="BX60" i="2"/>
  <c r="BK60" i="2"/>
  <c r="AX60" i="2"/>
  <c r="AK60" i="2"/>
  <c r="X60" i="2"/>
  <c r="K60" i="2"/>
  <c r="BX59" i="2"/>
  <c r="BK59" i="2"/>
  <c r="AX59" i="2"/>
  <c r="AK59" i="2"/>
  <c r="X59" i="2"/>
  <c r="K59" i="2"/>
  <c r="BX58" i="2"/>
  <c r="BK58" i="2"/>
  <c r="AX58" i="2"/>
  <c r="AK58" i="2"/>
  <c r="X58" i="2"/>
  <c r="K58" i="2"/>
  <c r="BX57" i="2"/>
  <c r="BK57" i="2"/>
  <c r="AX57" i="2"/>
  <c r="AK57" i="2"/>
  <c r="X57" i="2"/>
  <c r="K57" i="2"/>
  <c r="BX56" i="2"/>
  <c r="BK56" i="2"/>
  <c r="AX56" i="2"/>
  <c r="AK56" i="2"/>
  <c r="X56" i="2"/>
  <c r="K56" i="2"/>
  <c r="BX55" i="2"/>
  <c r="BK55" i="2"/>
  <c r="AX55" i="2"/>
  <c r="AK55" i="2"/>
  <c r="X55" i="2"/>
  <c r="K55" i="2"/>
  <c r="BX54" i="2"/>
  <c r="BK54" i="2"/>
  <c r="AX54" i="2"/>
  <c r="AK54" i="2"/>
  <c r="X54" i="2"/>
  <c r="K54" i="2"/>
  <c r="BX53" i="2"/>
  <c r="BK53" i="2"/>
  <c r="AX53" i="2"/>
  <c r="AK53" i="2"/>
  <c r="X53" i="2"/>
  <c r="K53" i="2"/>
  <c r="BX52" i="2"/>
  <c r="BK52" i="2"/>
  <c r="AX52" i="2"/>
  <c r="AK52" i="2"/>
  <c r="X52" i="2"/>
  <c r="K52" i="2"/>
  <c r="BX51" i="2"/>
  <c r="BK51" i="2"/>
  <c r="AX51" i="2"/>
  <c r="AK51" i="2"/>
  <c r="X51" i="2"/>
  <c r="K51" i="2"/>
  <c r="BX50" i="2"/>
  <c r="BK50" i="2"/>
  <c r="AX50" i="2"/>
  <c r="AK50" i="2"/>
  <c r="X50" i="2"/>
  <c r="K50" i="2"/>
  <c r="BX49" i="2"/>
  <c r="BK49" i="2"/>
  <c r="AX49" i="2"/>
  <c r="AK49" i="2"/>
  <c r="X49" i="2"/>
  <c r="K49" i="2"/>
  <c r="BX48" i="2"/>
  <c r="BK48" i="2"/>
  <c r="AX48" i="2"/>
  <c r="AK48" i="2"/>
  <c r="X48" i="2"/>
  <c r="K48" i="2"/>
  <c r="BX47" i="2"/>
  <c r="BK47" i="2"/>
  <c r="AX47" i="2"/>
  <c r="AK47" i="2"/>
  <c r="X47" i="2"/>
  <c r="K47" i="2"/>
  <c r="BX46" i="2"/>
  <c r="BK46" i="2"/>
  <c r="AX46" i="2"/>
  <c r="AK46" i="2"/>
  <c r="X46" i="2"/>
  <c r="K46" i="2"/>
  <c r="BX45" i="2"/>
  <c r="BK45" i="2"/>
  <c r="AX45" i="2"/>
  <c r="AK45" i="2"/>
  <c r="X45" i="2"/>
  <c r="K45" i="2"/>
  <c r="BX44" i="2"/>
  <c r="BK44" i="2"/>
  <c r="AX44" i="2"/>
  <c r="AK44" i="2"/>
  <c r="X44" i="2"/>
  <c r="K44" i="2"/>
  <c r="BX43" i="2"/>
  <c r="BK43" i="2"/>
  <c r="AX43" i="2"/>
  <c r="AK43" i="2"/>
  <c r="X43" i="2"/>
  <c r="K43" i="2"/>
  <c r="BX42" i="2"/>
  <c r="BK42" i="2"/>
  <c r="AX42" i="2"/>
  <c r="AK42" i="2"/>
  <c r="X42" i="2"/>
  <c r="K42" i="2"/>
  <c r="BX41" i="2"/>
  <c r="BK41" i="2"/>
  <c r="AX41" i="2"/>
  <c r="AK41" i="2"/>
  <c r="X41" i="2"/>
  <c r="K41" i="2"/>
  <c r="BX40" i="2"/>
  <c r="BK40" i="2"/>
  <c r="AX40" i="2"/>
  <c r="AK40" i="2"/>
  <c r="X40" i="2"/>
  <c r="K40" i="2"/>
  <c r="BX39" i="2"/>
  <c r="BK39" i="2"/>
  <c r="AX39" i="2"/>
  <c r="AK39" i="2"/>
  <c r="X39" i="2"/>
  <c r="K39" i="2"/>
  <c r="BX38" i="2"/>
  <c r="BK38" i="2"/>
  <c r="AX38" i="2"/>
  <c r="AK38" i="2"/>
  <c r="X38" i="2"/>
  <c r="K38" i="2"/>
  <c r="BX37" i="2"/>
  <c r="BK37" i="2"/>
  <c r="AX37" i="2"/>
  <c r="AK37" i="2"/>
  <c r="X37" i="2"/>
  <c r="K37" i="2"/>
  <c r="BX36" i="2"/>
  <c r="BK36" i="2"/>
  <c r="AX36" i="2"/>
  <c r="AK36" i="2"/>
  <c r="X36" i="2"/>
  <c r="K36" i="2"/>
  <c r="BX35" i="2"/>
  <c r="BK35" i="2"/>
  <c r="AX35" i="2"/>
  <c r="AK35" i="2"/>
  <c r="X35" i="2"/>
  <c r="K35" i="2"/>
  <c r="BX34" i="2"/>
  <c r="BK34" i="2"/>
  <c r="AX34" i="2"/>
  <c r="AK34" i="2"/>
  <c r="X34" i="2"/>
  <c r="K34" i="2"/>
  <c r="BX33" i="2"/>
  <c r="BK33" i="2"/>
  <c r="AX33" i="2"/>
  <c r="AK33" i="2"/>
  <c r="X33" i="2"/>
  <c r="K33" i="2"/>
  <c r="BX32" i="2"/>
  <c r="BK32" i="2"/>
  <c r="AX32" i="2"/>
  <c r="AK32" i="2"/>
  <c r="X32" i="2"/>
  <c r="K32" i="2"/>
  <c r="BX31" i="2"/>
  <c r="BK31" i="2"/>
  <c r="AX31" i="2"/>
  <c r="AK31" i="2"/>
  <c r="X31" i="2"/>
  <c r="K31" i="2"/>
  <c r="BX30" i="2"/>
  <c r="BK30" i="2"/>
  <c r="AX30" i="2"/>
  <c r="AK30" i="2"/>
  <c r="X30" i="2"/>
  <c r="K30" i="2"/>
  <c r="BX29" i="2"/>
  <c r="BK29" i="2"/>
  <c r="AX29" i="2"/>
  <c r="AK29" i="2"/>
  <c r="X29" i="2"/>
  <c r="K29" i="2"/>
  <c r="BX28" i="2"/>
  <c r="BK28" i="2"/>
  <c r="AX28" i="2"/>
  <c r="AK28" i="2"/>
  <c r="X28" i="2"/>
  <c r="K28" i="2"/>
  <c r="BX27" i="2"/>
  <c r="BK27" i="2"/>
  <c r="AX27" i="2"/>
  <c r="AK27" i="2"/>
  <c r="X27" i="2"/>
  <c r="K27" i="2"/>
  <c r="BX26" i="2"/>
  <c r="BK26" i="2"/>
  <c r="AX26" i="2"/>
  <c r="AK26" i="2"/>
  <c r="X26" i="2"/>
  <c r="K26" i="2"/>
  <c r="BX25" i="2"/>
  <c r="BK25" i="2"/>
  <c r="AX25" i="2"/>
  <c r="AK25" i="2"/>
  <c r="X25" i="2"/>
  <c r="K25" i="2"/>
  <c r="BX24" i="2"/>
  <c r="BK24" i="2"/>
  <c r="AX24" i="2"/>
  <c r="AK24" i="2"/>
  <c r="X24" i="2"/>
  <c r="K24" i="2"/>
  <c r="BX23" i="2"/>
  <c r="BK23" i="2"/>
  <c r="AX23" i="2"/>
  <c r="AK23" i="2"/>
  <c r="X23" i="2"/>
  <c r="K23" i="2"/>
  <c r="BX22" i="2"/>
  <c r="BK22" i="2"/>
  <c r="AX22" i="2"/>
  <c r="AK22" i="2"/>
  <c r="X22" i="2"/>
  <c r="K22" i="2"/>
  <c r="BX21" i="2"/>
  <c r="BK21" i="2"/>
  <c r="AX21" i="2"/>
  <c r="AK21" i="2"/>
  <c r="X21" i="2"/>
  <c r="K21" i="2"/>
  <c r="BX20" i="2"/>
  <c r="BK20" i="2"/>
  <c r="AX20" i="2"/>
  <c r="AK20" i="2"/>
  <c r="X20" i="2"/>
  <c r="K20" i="2"/>
  <c r="BX19" i="2"/>
  <c r="BK19" i="2"/>
  <c r="AX19" i="2"/>
  <c r="AK19" i="2"/>
  <c r="X19" i="2"/>
  <c r="K19" i="2"/>
  <c r="BX18" i="2"/>
  <c r="BK18" i="2"/>
  <c r="AX18" i="2"/>
  <c r="AK18" i="2"/>
  <c r="X18" i="2"/>
  <c r="K18" i="2"/>
  <c r="BX17" i="2"/>
  <c r="BK17" i="2"/>
  <c r="AX17" i="2"/>
  <c r="AK17" i="2"/>
  <c r="X17" i="2"/>
  <c r="K17" i="2"/>
  <c r="BX16" i="2"/>
  <c r="BK16" i="2"/>
  <c r="AX16" i="2"/>
  <c r="X16" i="2"/>
  <c r="K16" i="2"/>
  <c r="BX15" i="2"/>
  <c r="BK15" i="2"/>
  <c r="AX15" i="2"/>
  <c r="AK15" i="2"/>
  <c r="X15" i="2"/>
  <c r="K15" i="2"/>
  <c r="BX14" i="2"/>
  <c r="BK14" i="2"/>
  <c r="AX14" i="2"/>
  <c r="AK14" i="2"/>
  <c r="X14" i="2"/>
  <c r="K14" i="2"/>
  <c r="BX13" i="2"/>
  <c r="BK13" i="2"/>
  <c r="AX13" i="2"/>
  <c r="AK13" i="2"/>
  <c r="X13" i="2"/>
  <c r="K13" i="2"/>
  <c r="BX12" i="2"/>
  <c r="BK12" i="2"/>
  <c r="AX12" i="2"/>
  <c r="AK12" i="2"/>
  <c r="X12" i="2"/>
  <c r="K12" i="2"/>
  <c r="BX11" i="2"/>
  <c r="BK11" i="2"/>
  <c r="AX11" i="2"/>
  <c r="AK11" i="2"/>
  <c r="X11" i="2"/>
  <c r="K11" i="2"/>
  <c r="BX10" i="2"/>
  <c r="BK10" i="2"/>
  <c r="AX10" i="2"/>
  <c r="AK10" i="2"/>
  <c r="X10" i="2"/>
  <c r="K10" i="2"/>
  <c r="BX9" i="2"/>
  <c r="BK9" i="2"/>
  <c r="AX9" i="2"/>
  <c r="AK9" i="2"/>
  <c r="X9" i="2"/>
  <c r="K9" i="2"/>
  <c r="BX8" i="2"/>
  <c r="BK8" i="2"/>
  <c r="AX8" i="2"/>
  <c r="AK8" i="2"/>
  <c r="X8" i="2"/>
  <c r="K8" i="2"/>
  <c r="BX7" i="2"/>
  <c r="BK7" i="2"/>
  <c r="AX7" i="2"/>
  <c r="AK7" i="2"/>
  <c r="X7" i="2"/>
  <c r="K7" i="2"/>
  <c r="BX6" i="2"/>
  <c r="BK6" i="2"/>
  <c r="AX6" i="2"/>
  <c r="AK6" i="2"/>
  <c r="X6" i="2"/>
  <c r="K6" i="2"/>
  <c r="C13" i="3"/>
  <c r="C12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AR6" i="7" l="1"/>
  <c r="K4" i="2"/>
  <c r="AX4" i="2"/>
  <c r="AK4" i="2"/>
  <c r="X4" i="2"/>
  <c r="J560" i="5"/>
  <c r="J561" i="5" s="1"/>
  <c r="J562" i="5" s="1"/>
  <c r="J563" i="5" s="1"/>
  <c r="J564" i="5" s="1"/>
  <c r="J565" i="5" s="1"/>
  <c r="J566" i="5" s="1"/>
  <c r="J568" i="5" s="1"/>
  <c r="J2347" i="1"/>
  <c r="J2351" i="1"/>
  <c r="J2381" i="1"/>
  <c r="BA23" i="7"/>
  <c r="J2343" i="1"/>
  <c r="J2361" i="1"/>
  <c r="BA15" i="7"/>
  <c r="J2375" i="1"/>
  <c r="J2391" i="1"/>
  <c r="J2345" i="1"/>
  <c r="J2367" i="1"/>
  <c r="J2371" i="1"/>
  <c r="J2373" i="1"/>
  <c r="J2374" i="1"/>
  <c r="J2379" i="1"/>
  <c r="J2380" i="1"/>
  <c r="J2387" i="1"/>
  <c r="J2389" i="1"/>
  <c r="J2390" i="1"/>
  <c r="J2399" i="1"/>
  <c r="J2407" i="1"/>
  <c r="J2353" i="1"/>
  <c r="J2355" i="1"/>
  <c r="J2356" i="1"/>
  <c r="J2363" i="1"/>
  <c r="J2365" i="1"/>
  <c r="J2366" i="1"/>
  <c r="J2385" i="1"/>
  <c r="J2397" i="1"/>
  <c r="J2349" i="1"/>
  <c r="J2350" i="1"/>
  <c r="J2359" i="1"/>
  <c r="J2360" i="1"/>
  <c r="J2369" i="1"/>
  <c r="J2370" i="1"/>
  <c r="J2377" i="1"/>
  <c r="J2383" i="1"/>
  <c r="J2384" i="1"/>
  <c r="J2393" i="1"/>
  <c r="J2394" i="1"/>
  <c r="J2348" i="1"/>
  <c r="J2354" i="1"/>
  <c r="J2358" i="1"/>
  <c r="J2364" i="1"/>
  <c r="J2368" i="1"/>
  <c r="J2372" i="1"/>
  <c r="J2376" i="1"/>
  <c r="J2382" i="1"/>
  <c r="J2388" i="1"/>
  <c r="J2392" i="1"/>
  <c r="J2400" i="1"/>
  <c r="BX4" i="2"/>
  <c r="BK4" i="2"/>
  <c r="F17" i="3"/>
  <c r="W2" i="1"/>
  <c r="E17" i="3" s="1"/>
  <c r="C17" i="3"/>
  <c r="AS13" i="7"/>
  <c r="AU13" i="7"/>
  <c r="AY13" i="7"/>
  <c r="AS46" i="7"/>
  <c r="AW46" i="7"/>
  <c r="BA46" i="7"/>
  <c r="AZ46" i="7"/>
  <c r="AT46" i="7"/>
  <c r="AX46" i="7"/>
  <c r="AV46" i="7"/>
  <c r="AU46" i="7"/>
  <c r="AY46" i="7"/>
  <c r="BA13" i="7"/>
  <c r="AZ13" i="7"/>
  <c r="AX13" i="7"/>
  <c r="AW13" i="7"/>
  <c r="AR7" i="7"/>
  <c r="AR8" i="7"/>
  <c r="AR9" i="7"/>
  <c r="AR10" i="7"/>
  <c r="AR11" i="7"/>
  <c r="AR47" i="7"/>
  <c r="AR46" i="7" s="1"/>
  <c r="AR32" i="7"/>
  <c r="AR45" i="7"/>
  <c r="AR42" i="7"/>
  <c r="AZ36" i="7"/>
  <c r="AR22" i="7"/>
  <c r="AU15" i="7"/>
  <c r="AR20" i="7"/>
  <c r="AV28" i="7"/>
  <c r="AU23" i="7"/>
  <c r="AR34" i="7"/>
  <c r="AT15" i="7"/>
  <c r="AX15" i="7"/>
  <c r="AR17" i="7"/>
  <c r="AS23" i="7"/>
  <c r="AW23" i="7"/>
  <c r="AY23" i="7"/>
  <c r="AZ28" i="7"/>
  <c r="AU36" i="7"/>
  <c r="AY36" i="7"/>
  <c r="AR39" i="7"/>
  <c r="AW36" i="7"/>
  <c r="BA36" i="7"/>
  <c r="AT23" i="7"/>
  <c r="AR44" i="7"/>
  <c r="AR21" i="7"/>
  <c r="AY15" i="7"/>
  <c r="AR18" i="7"/>
  <c r="AX23" i="7"/>
  <c r="AR25" i="7"/>
  <c r="AR29" i="7"/>
  <c r="AW28" i="7"/>
  <c r="BA28" i="7"/>
  <c r="AR35" i="7"/>
  <c r="AV36" i="7"/>
  <c r="AR40" i="7"/>
  <c r="AR43" i="7"/>
  <c r="AR16" i="7"/>
  <c r="AV15" i="7"/>
  <c r="AZ15" i="7"/>
  <c r="AR19" i="7"/>
  <c r="AR26" i="7"/>
  <c r="AT28" i="7"/>
  <c r="AX28" i="7"/>
  <c r="AR30" i="7"/>
  <c r="AR33" i="7"/>
  <c r="AS36" i="7"/>
  <c r="AR37" i="7"/>
  <c r="AR41" i="7"/>
  <c r="AS15" i="7"/>
  <c r="AW15" i="7"/>
  <c r="AR24" i="7"/>
  <c r="AV23" i="7"/>
  <c r="AZ23" i="7"/>
  <c r="AR27" i="7"/>
  <c r="AU28" i="7"/>
  <c r="AY28" i="7"/>
  <c r="AR31" i="7"/>
  <c r="AT36" i="7"/>
  <c r="AX36" i="7"/>
  <c r="AR38" i="7"/>
  <c r="AS28" i="7"/>
  <c r="J569" i="5" l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1" i="5" s="1"/>
  <c r="AW48" i="7"/>
  <c r="F18" i="3"/>
  <c r="AR13" i="7"/>
  <c r="AV48" i="7"/>
  <c r="AY48" i="7"/>
  <c r="AT48" i="7"/>
  <c r="AS48" i="7"/>
  <c r="AU48" i="7"/>
  <c r="AU49" i="7" s="1"/>
  <c r="BA48" i="7"/>
  <c r="AZ48" i="7"/>
  <c r="AX48" i="7"/>
  <c r="AR23" i="7"/>
  <c r="AR28" i="7"/>
  <c r="AR36" i="7"/>
  <c r="AR15" i="7"/>
  <c r="BA49" i="7" l="1"/>
  <c r="AX49" i="7"/>
  <c r="AW49" i="7"/>
  <c r="AY49" i="7"/>
  <c r="AZ49" i="7"/>
  <c r="AR48" i="7"/>
  <c r="AR49" i="7" s="1"/>
  <c r="AR54" i="7" s="1"/>
  <c r="AV49" i="7"/>
  <c r="AS49" i="7"/>
  <c r="AT49" i="7"/>
  <c r="AS54" i="7" l="1"/>
  <c r="J612" i="5" l="1"/>
  <c r="J613" i="5" s="1"/>
  <c r="J614" i="5" s="1"/>
  <c r="J615" i="5" s="1"/>
  <c r="J616" i="5" s="1"/>
  <c r="J617" i="5" s="1"/>
  <c r="J618" i="5" s="1"/>
  <c r="J619" i="5" s="1"/>
  <c r="J620" i="5" s="1"/>
  <c r="AT51" i="7"/>
  <c r="AT54" i="7" s="1"/>
  <c r="J622" i="5" l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AU51" i="7"/>
  <c r="AU54" i="7" s="1"/>
  <c r="AT57" i="7"/>
  <c r="J636" i="5" l="1"/>
  <c r="J637" i="5" s="1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AU57" i="7"/>
  <c r="AV51" i="7"/>
  <c r="AV54" i="7" s="1"/>
  <c r="J649" i="5" l="1"/>
  <c r="J650" i="5" s="1"/>
  <c r="J651" i="5" s="1"/>
  <c r="J652" i="5" s="1"/>
  <c r="J653" i="5" s="1"/>
  <c r="J654" i="5" s="1"/>
  <c r="J655" i="5" s="1"/>
  <c r="J656" i="5" s="1"/>
  <c r="J657" i="5" s="1"/>
  <c r="AW51" i="7"/>
  <c r="AV57" i="7"/>
  <c r="J659" i="5" l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AW54" i="7"/>
  <c r="J671" i="5" l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AW57" i="7"/>
  <c r="AX51" i="7"/>
  <c r="J682" i="5" l="1"/>
  <c r="J683" i="5" s="1"/>
  <c r="J684" i="5" s="1"/>
  <c r="J685" i="5" s="1"/>
  <c r="J687" i="5" s="1"/>
  <c r="AX54" i="7"/>
  <c r="AX57" i="7" l="1"/>
  <c r="AY51" i="7"/>
  <c r="AY54" i="7" l="1"/>
  <c r="AY57" i="7" l="1"/>
  <c r="AZ51" i="7"/>
  <c r="AZ54" i="7" l="1"/>
  <c r="BA51" i="7" s="1"/>
  <c r="AZ57" i="7" l="1"/>
  <c r="BA54" i="7" l="1"/>
  <c r="BB51" i="7" s="1"/>
  <c r="BB54" i="7" s="1"/>
  <c r="BC51" i="7" s="1"/>
  <c r="BC54" i="7" s="1"/>
  <c r="BC57" i="7" l="1"/>
  <c r="BD51" i="7"/>
  <c r="BD54" i="7" s="1"/>
  <c r="BB57" i="7"/>
  <c r="BB61" i="7"/>
  <c r="BA57" i="7"/>
  <c r="BF54" i="7" l="1"/>
  <c r="BE51" i="7"/>
  <c r="BD57" i="7"/>
  <c r="BF57" i="7" l="1"/>
  <c r="BG51" i="7"/>
  <c r="BG54" i="7" s="1"/>
  <c r="BG57" i="7" l="1"/>
  <c r="BH51" i="7"/>
  <c r="BH54" i="7" s="1"/>
  <c r="BI51" i="7" s="1"/>
  <c r="BH57" i="7" l="1"/>
  <c r="BI54" i="7"/>
  <c r="BJ51" i="7" s="1"/>
  <c r="BI57" i="7" l="1"/>
  <c r="BJ54" i="7"/>
  <c r="BJ57" i="7" l="1"/>
  <c r="BK51" i="7"/>
  <c r="BK54" i="7" s="1"/>
  <c r="BL51" i="7" s="1"/>
  <c r="BK57" i="7" l="1"/>
  <c r="BL54" i="7"/>
  <c r="BM51" i="7" s="1"/>
  <c r="BM54" i="7" s="1"/>
  <c r="BN51" i="7" s="1"/>
  <c r="J688" i="5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3" i="5" l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BL57" i="7"/>
  <c r="BM57" i="7"/>
  <c r="J717" i="5" l="1"/>
  <c r="J718" i="5" s="1"/>
  <c r="J719" i="5" s="1"/>
  <c r="J720" i="5" s="1"/>
  <c r="J721" i="5" s="1"/>
  <c r="J722" i="5" s="1"/>
  <c r="J723" i="5" s="1"/>
  <c r="J724" i="5" s="1"/>
  <c r="J725" i="5" s="1"/>
  <c r="J4868" i="1"/>
  <c r="BN6" i="7"/>
  <c r="BE6" i="7" s="1"/>
  <c r="BN13" i="7" l="1"/>
  <c r="BN49" i="7" s="1"/>
  <c r="BN54" i="7" s="1"/>
  <c r="BN57" i="7" s="1"/>
  <c r="BE13" i="7"/>
  <c r="BE49" i="7" s="1"/>
  <c r="J727" i="5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BO54" i="7"/>
  <c r="BO57" i="7" s="1"/>
  <c r="J742" i="5" l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5797" i="1"/>
  <c r="J755" i="5" l="1"/>
  <c r="J756" i="5" s="1"/>
  <c r="J757" i="5" s="1"/>
  <c r="J758" i="5" s="1"/>
  <c r="J759" i="5" s="1"/>
  <c r="J760" i="5" s="1"/>
  <c r="J761" i="5" s="1"/>
  <c r="J763" i="5" s="1"/>
  <c r="J764" i="5" l="1"/>
  <c r="J765" i="5" s="1"/>
  <c r="J766" i="5" s="1"/>
  <c r="J767" i="5" s="1"/>
  <c r="J768" i="5" s="1"/>
  <c r="J769" i="5" s="1"/>
  <c r="J771" i="5" l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3" i="5" l="1"/>
  <c r="J784" i="5" s="1"/>
  <c r="J785" i="5" s="1"/>
  <c r="J786" i="5" s="1"/>
  <c r="J787" i="5" s="1"/>
  <c r="J788" i="5" s="1"/>
  <c r="J789" i="5" s="1"/>
  <c r="J790" i="5" s="1"/>
  <c r="J792" i="5" l="1"/>
  <c r="J793" i="5" s="1"/>
  <c r="J794" i="5" s="1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6" i="5" l="1"/>
  <c r="J807" i="5" s="1"/>
  <c r="J808" i="5" s="1"/>
  <c r="J809" i="5" s="1"/>
  <c r="J810" i="5" s="1"/>
  <c r="J811" i="5" s="1"/>
  <c r="J812" i="5" s="1"/>
  <c r="J813" i="5" s="1"/>
  <c r="J814" i="5" l="1"/>
  <c r="J815" i="5" s="1"/>
  <c r="J816" i="5" l="1"/>
  <c r="J817" i="5" s="1"/>
  <c r="J818" i="5" s="1"/>
  <c r="J819" i="5" s="1"/>
  <c r="J821" i="5" s="1"/>
  <c r="J822" i="5" s="1"/>
  <c r="J823" i="5" s="1"/>
  <c r="J824" i="5" s="1"/>
  <c r="J825" i="5" s="1"/>
  <c r="J826" i="5" s="1"/>
  <c r="J827" i="5" s="1"/>
  <c r="J828" i="5" s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J844" i="5" s="1"/>
  <c r="J845" i="5" s="1"/>
  <c r="J846" i="5" s="1"/>
  <c r="J847" i="5" s="1"/>
  <c r="J848" i="5" s="1"/>
  <c r="J849" i="5" s="1"/>
  <c r="J850" i="5" s="1"/>
  <c r="J851" i="5" s="1"/>
  <c r="J854" i="5" s="1"/>
  <c r="H3959" i="8" l="1"/>
  <c r="I3980" i="8" s="1"/>
</calcChain>
</file>

<file path=xl/comments1.xml><?xml version="1.0" encoding="utf-8"?>
<comments xmlns="http://schemas.openxmlformats.org/spreadsheetml/2006/main">
  <authors>
    <author>ERamírez Lepe</author>
    <author>Baldemar Sala Bay</author>
  </authors>
  <commentList>
    <comment ref="D40" authorId="0">
      <text>
        <r>
          <rPr>
            <b/>
            <sz val="9"/>
            <color indexed="81"/>
            <rFont val="Tahoma"/>
            <family val="2"/>
          </rPr>
          <t>¿Es Estévez, únicamente?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0">
      <text>
        <r>
          <rPr>
            <i/>
            <sz val="9"/>
            <color indexed="81"/>
            <rFont val="Tahoma"/>
            <family val="2"/>
          </rPr>
          <t>El registro original es Edgar Mendoza</t>
        </r>
      </text>
    </comment>
    <comment ref="D166" authorId="0">
      <text>
        <r>
          <rPr>
            <sz val="9"/>
            <color indexed="81"/>
            <rFont val="Tahoma"/>
            <family val="2"/>
          </rPr>
          <t xml:space="preserve">El registro original es García María del C.
José Luis Salcedo es su esposo.
</t>
        </r>
      </text>
    </comment>
    <comment ref="D193" authorId="0">
      <text>
        <r>
          <rPr>
            <sz val="9"/>
            <color indexed="81"/>
            <rFont val="Tahoma"/>
            <family val="2"/>
          </rPr>
          <t>Conserje del colegio</t>
        </r>
      </text>
    </comment>
    <comment ref="D229" authorId="0">
      <text>
        <r>
          <rPr>
            <b/>
            <sz val="9"/>
            <color indexed="81"/>
            <rFont val="Tahoma"/>
            <family val="2"/>
          </rPr>
          <t>¿Es Zamudio - Pineda o Zamora Vera?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número 53 se dio de baja. BS 14JUN13</t>
        </r>
      </text>
    </comment>
    <comment ref="D270" authorId="0">
      <text>
        <r>
          <rPr>
            <i/>
            <sz val="9"/>
            <color indexed="81"/>
            <rFont val="Tahoma"/>
            <family val="2"/>
          </rPr>
          <t>El registro original es Castillo Hernández.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6" authorId="0">
      <text>
        <r>
          <rPr>
            <b/>
            <sz val="9"/>
            <color indexed="81"/>
            <rFont val="Tahoma"/>
            <family val="2"/>
          </rPr>
          <t>¿Es González Alba?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4" authorId="0">
      <text>
        <r>
          <rPr>
            <b/>
            <sz val="9"/>
            <color indexed="81"/>
            <rFont val="Tahoma"/>
            <family val="2"/>
          </rPr>
          <t>¿Es Calderón o García Calderón?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7" authorId="0">
      <text>
        <r>
          <rPr>
            <sz val="9"/>
            <color indexed="81"/>
            <rFont val="Tahoma"/>
            <family val="2"/>
          </rPr>
          <t xml:space="preserve">El registro original es Torices González (arrendador).
</t>
        </r>
      </text>
    </comment>
    <comment ref="D334" authorId="1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residente era Calz. Del hueso 828 fam cervantes</t>
        </r>
      </text>
    </comment>
    <comment ref="D383" authorId="0">
      <text>
        <r>
          <rPr>
            <b/>
            <sz val="9"/>
            <color indexed="81"/>
            <rFont val="Tahoma"/>
            <family val="2"/>
          </rPr>
          <t>¿Es Lozano o Torres o Romero?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12" authorId="0">
      <text>
        <r>
          <rPr>
            <b/>
            <sz val="9"/>
            <color indexed="81"/>
            <rFont val="Tahoma"/>
            <family val="2"/>
          </rPr>
          <t>¿Es Carrasco o Chávez Cenieros?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9" authorId="0">
      <text>
        <r>
          <rPr>
            <b/>
            <sz val="9"/>
            <color indexed="81"/>
            <rFont val="Tahoma"/>
            <family val="2"/>
          </rPr>
          <t>¿Es SP Endoscopic, S. A. de C. V.?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0" authorId="0">
      <text>
        <r>
          <rPr>
            <b/>
            <sz val="9"/>
            <color indexed="81"/>
            <rFont val="Tahoma"/>
            <family val="2"/>
          </rPr>
          <t>¿Es García Reyes Guadalupe o Familia García Reyes</t>
        </r>
      </text>
    </comment>
  </commentList>
</comments>
</file>

<file path=xl/comments2.xml><?xml version="1.0" encoding="utf-8"?>
<comments xmlns="http://schemas.openxmlformats.org/spreadsheetml/2006/main">
  <authors>
    <author>Bsala</author>
    <author>Hacienda de Coyoacan</author>
  </authors>
  <commentList>
    <comment ref="D68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DICIEMBRE/15 POR TRANSFERENCIA BANCARIA</t>
        </r>
      </text>
    </comment>
    <comment ref="D69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 POR TRANSFERENCIA BANCARIA
</t>
        </r>
      </text>
    </comment>
    <comment ref="C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febrero por transferencia bancaria
</t>
        </r>
      </text>
    </comment>
    <comment ref="C648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MARZO POR TRANSFERENCIA BANCARIA
</t>
        </r>
      </text>
    </comment>
    <comment ref="C64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DESCONTAR LOS MESES QUE HABIAN PAGADO POR DEVOLUCIÒN DE CHEQUE</t>
        </r>
      </text>
    </comment>
    <comment ref="C65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EL MES DE MARZO PAGO POR TRANSFERENCIA BANCARIA
</t>
        </r>
      </text>
    </comment>
    <comment ref="C68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0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4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CANCELO POR QUE DUPLICARON LOS PAGOS DEL MES DE MARZO Y ABRIL/16
</t>
        </r>
      </text>
    </comment>
    <comment ref="C76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CANCELA POR LA RAZON DE QUE EL VECINO NO DIO EL DINERO PERO LOS MESES MENCIONADOS QUE SON FEBRERO Y ABRIL QUEDAN PAGAGOS POR ERROR.
</t>
        </r>
      </text>
    </comment>
    <comment ref="C855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ABRIL, PORQUE HICIERON MAL EL RECIBO DUPLICARON PAGO DE MARZO Y ABRIL/16
</t>
        </r>
      </text>
    </comment>
    <comment ref="C85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abril por transferencia bancarìa</t>
        </r>
      </text>
    </comment>
    <comment ref="C141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es consecutivo del mes de julio se uso por transferencia bancaria</t>
        </r>
      </text>
    </comment>
    <comment ref="C142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junio por transferencia bancaria el 7 de junio/16</t>
        </r>
      </text>
    </comment>
    <comment ref="C181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APLICO EN EL MES DE JULIO/16
</t>
        </r>
      </text>
    </comment>
    <comment ref="C2077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pertenece a la numeraciòn del mes de septiembre, se hizo por transferencia bancaria
</t>
        </r>
      </text>
    </comment>
    <comment ref="C2094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SE APLICO EN EL MES DE AGOSTO/16 POR TRANSFERENCIA BANCARIA
</t>
        </r>
      </text>
    </comment>
    <comment ref="C214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SE EQUIVOCARON DE TALONARIO Y AGARRARON ESTA NUMERACIÒN 
</t>
        </r>
      </text>
    </comment>
    <comment ref="C2343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ESTA NUMERACIÓN SE QUEDO RESAGADA POR QUE LOS TENIAN LOS MIEMBROS DE LA MESA DIRECTIVA PARA COBRAR CASA POR CASA
</t>
        </r>
      </text>
    </comment>
    <comment ref="C240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el mes de septiembre por transferencia bancaria
</t>
        </r>
      </text>
    </comment>
    <comment ref="C255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pertenece a la numeración del mes de noviembre fue transferencia bancaria
</t>
        </r>
      </text>
    </comment>
    <comment ref="C2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el mes de octubre por transferencia bancaria
</t>
        </r>
      </text>
    </comment>
    <comment ref="B278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TRANSFERENCIA BANCARIA EN EL MES NOVIEMBRE/16</t>
        </r>
      </text>
    </comment>
  </commentList>
</comments>
</file>

<file path=xl/sharedStrings.xml><?xml version="1.0" encoding="utf-8"?>
<sst xmlns="http://schemas.openxmlformats.org/spreadsheetml/2006/main" count="35088" uniqueCount="5777">
  <si>
    <t>aa</t>
  </si>
  <si>
    <t>CALLE</t>
  </si>
  <si>
    <t>NÚMERO</t>
  </si>
  <si>
    <t>CASA</t>
  </si>
  <si>
    <t>DOMICILIO</t>
  </si>
  <si>
    <t>FAMILIA</t>
  </si>
  <si>
    <t>C_ING</t>
  </si>
  <si>
    <t>IMPORTE</t>
  </si>
  <si>
    <t>FECHA</t>
  </si>
  <si>
    <t>CHK</t>
  </si>
  <si>
    <t>ENE
2016</t>
  </si>
  <si>
    <t>FEB
2016</t>
  </si>
  <si>
    <t>MAR
2016</t>
  </si>
  <si>
    <t>ABR
2016</t>
  </si>
  <si>
    <t>MAY
2016</t>
  </si>
  <si>
    <t>JUN
2016</t>
  </si>
  <si>
    <t>JUL
2016</t>
  </si>
  <si>
    <t>AGO
2016</t>
  </si>
  <si>
    <t>SEP
2016</t>
  </si>
  <si>
    <t>OCT
2016</t>
  </si>
  <si>
    <t>NOV
2016</t>
  </si>
  <si>
    <t>DIC
2016</t>
  </si>
  <si>
    <t>SUMA
2016</t>
  </si>
  <si>
    <t>ENE
2017</t>
  </si>
  <si>
    <t>FEB
2017</t>
  </si>
  <si>
    <t>MAR
2017</t>
  </si>
  <si>
    <t>ABR
2017</t>
  </si>
  <si>
    <t>MAY
2017</t>
  </si>
  <si>
    <t>JUN
2017</t>
  </si>
  <si>
    <t>JUL
2017</t>
  </si>
  <si>
    <t>AGO
2017</t>
  </si>
  <si>
    <t>SEP
2017</t>
  </si>
  <si>
    <t>OCT
2017</t>
  </si>
  <si>
    <t>NOV
2017</t>
  </si>
  <si>
    <t>DIC
2017</t>
  </si>
  <si>
    <t>SUMA
2017</t>
  </si>
  <si>
    <t>OBSERVACIONES</t>
  </si>
  <si>
    <t>Rancho Landero</t>
  </si>
  <si>
    <t>LD_2_3</t>
  </si>
  <si>
    <t>Rancho Landero No. 2, A</t>
  </si>
  <si>
    <t>Zepeda</t>
  </si>
  <si>
    <t>LD_54_2</t>
  </si>
  <si>
    <t>Rancho Landero No. 54, 2</t>
  </si>
  <si>
    <t>Montemayor Santana</t>
  </si>
  <si>
    <t>LD_14_</t>
  </si>
  <si>
    <t>Rancho Landero No. 14</t>
  </si>
  <si>
    <t xml:space="preserve">Castrejón  </t>
  </si>
  <si>
    <t>Rancho La Cuchilla</t>
  </si>
  <si>
    <t>CL_110_</t>
  </si>
  <si>
    <t>Rancho La Cuchilla No. 110</t>
  </si>
  <si>
    <t>Domínguez Canudas</t>
  </si>
  <si>
    <t>LD_22_</t>
  </si>
  <si>
    <t>Rancho Landero No. 22</t>
  </si>
  <si>
    <t>Reyes</t>
  </si>
  <si>
    <t>CL_80_</t>
  </si>
  <si>
    <t>Rancho La Cuchilla No. 80</t>
  </si>
  <si>
    <t>Aparicio</t>
  </si>
  <si>
    <t>Se condonó el mes de diciembre por pago de anualidad</t>
  </si>
  <si>
    <t>LD_19_</t>
  </si>
  <si>
    <t>Rancho Landero No. 19</t>
  </si>
  <si>
    <t>Jiménez Guadarrama</t>
  </si>
  <si>
    <t>Rancho Romeral</t>
  </si>
  <si>
    <t>RM_10_A</t>
  </si>
  <si>
    <t>Rancho Romeral No. 10, A</t>
  </si>
  <si>
    <t>Casillas Álvarez</t>
  </si>
  <si>
    <t>CL_141_</t>
  </si>
  <si>
    <t>Rancho La Cuchilla No. 141</t>
  </si>
  <si>
    <t>Salazar Torres</t>
  </si>
  <si>
    <t>Se condonó el mes de diciembre por pago de anualidad. Ch. # 2184 Bancomer</t>
  </si>
  <si>
    <t>Rancho Upácuaro</t>
  </si>
  <si>
    <t>UP_63_</t>
  </si>
  <si>
    <t>Rancho Upácuaro No. 63</t>
  </si>
  <si>
    <t>González Benavides</t>
  </si>
  <si>
    <t>Rancho Estanzuela</t>
  </si>
  <si>
    <t>EZ_9_B</t>
  </si>
  <si>
    <t>Rancho Estanzuela No. 9, B</t>
  </si>
  <si>
    <t>Velasco Rojas</t>
  </si>
  <si>
    <t>Rancho Zinamba</t>
  </si>
  <si>
    <t>ZB_12_</t>
  </si>
  <si>
    <t>Rancho Zinamba No. 12</t>
  </si>
  <si>
    <t>Ramírez Soto</t>
  </si>
  <si>
    <t>EZ_3_</t>
  </si>
  <si>
    <t>Rancho Estanzuela No. 3</t>
  </si>
  <si>
    <t>Villanueva Nájera</t>
  </si>
  <si>
    <t>CL_139_</t>
  </si>
  <si>
    <t>Rancho La Cuchilla No. 139</t>
  </si>
  <si>
    <t>Garcia</t>
  </si>
  <si>
    <t>ZB_36_</t>
  </si>
  <si>
    <t>Rancho Zinamba No. 36</t>
  </si>
  <si>
    <t>Rodríguez Ortiz</t>
  </si>
  <si>
    <t>EZ_69_</t>
  </si>
  <si>
    <t>Rancho Estanzuela No. 69</t>
  </si>
  <si>
    <t>Apaez</t>
  </si>
  <si>
    <t/>
  </si>
  <si>
    <t>LD_42_</t>
  </si>
  <si>
    <t>Rancho Landero No. 42</t>
  </si>
  <si>
    <t>Ávila Fidel</t>
  </si>
  <si>
    <t>CL_78_</t>
  </si>
  <si>
    <t>Rancho La Cuchilla No. 78</t>
  </si>
  <si>
    <t>García</t>
  </si>
  <si>
    <t>UP_32_</t>
  </si>
  <si>
    <t>Rancho Upácuaro No. 32</t>
  </si>
  <si>
    <t>Sairafi Carmen</t>
  </si>
  <si>
    <t>CL_41_</t>
  </si>
  <si>
    <t>Rancho La Cuchilla No. 41</t>
  </si>
  <si>
    <t>Arriaga Lemus</t>
  </si>
  <si>
    <t>CL_45_</t>
  </si>
  <si>
    <t>Rancho La Cuchilla No. 45</t>
  </si>
  <si>
    <t>Estévez Hernández</t>
  </si>
  <si>
    <t>EZ_31_</t>
  </si>
  <si>
    <t>Rancho Estanzuela No. 31</t>
  </si>
  <si>
    <t>Chávez Valdés</t>
  </si>
  <si>
    <t>EZ_129_</t>
  </si>
  <si>
    <t>Rancho Estanzuela No. 129</t>
  </si>
  <si>
    <t>Sta. María Mendoza</t>
  </si>
  <si>
    <t>EZ_127_</t>
  </si>
  <si>
    <t>Rancho Estanzuela No. 127</t>
  </si>
  <si>
    <t>Luna Zepeda</t>
  </si>
  <si>
    <t>Se condonó el mes de diciembre por pago de anualidad. CH.#42 IXE</t>
  </si>
  <si>
    <t>LD_25_</t>
  </si>
  <si>
    <t>Rancho Landero No. 25</t>
  </si>
  <si>
    <t>Escamilla Martínez</t>
  </si>
  <si>
    <t>Rancho Recoveco</t>
  </si>
  <si>
    <t>RV_175_B</t>
  </si>
  <si>
    <t>Rancho Recoveco No. 175, B</t>
  </si>
  <si>
    <t>García Calderón</t>
  </si>
  <si>
    <t>EZ_65_</t>
  </si>
  <si>
    <t>Rancho Estanzuela No. 65</t>
  </si>
  <si>
    <t>López Becerril</t>
  </si>
  <si>
    <t>ZB_44_</t>
  </si>
  <si>
    <t>Rancho Zinamba No. 44</t>
  </si>
  <si>
    <t>Canales</t>
  </si>
  <si>
    <t>CL_129_</t>
  </si>
  <si>
    <t>Rancho La Cuchilla No. 129</t>
  </si>
  <si>
    <t>Gamboa Rueda</t>
  </si>
  <si>
    <t>UP_70_</t>
  </si>
  <si>
    <t>Rancho Upácuaro No. 70</t>
  </si>
  <si>
    <t>Ramírez Tejeda</t>
  </si>
  <si>
    <t>CL_135_</t>
  </si>
  <si>
    <t>Rancho La Cuchilla No. 135</t>
  </si>
  <si>
    <t>Juárez Sánchez</t>
  </si>
  <si>
    <t>EZ_91_</t>
  </si>
  <si>
    <t>Rancho Estanzuela No. 91</t>
  </si>
  <si>
    <t>Lobato Torres</t>
  </si>
  <si>
    <t>CL_19_</t>
  </si>
  <si>
    <t>Rancho La Cuchilla No. 19</t>
  </si>
  <si>
    <t>Tapia Vázquez</t>
  </si>
  <si>
    <t>UP_37_</t>
  </si>
  <si>
    <t>Rancho Upácuaro No. 37</t>
  </si>
  <si>
    <t>García Valdés</t>
  </si>
  <si>
    <t>CL_33_</t>
  </si>
  <si>
    <t>Rancho La Cuchilla No. 33</t>
  </si>
  <si>
    <t>Tanús</t>
  </si>
  <si>
    <t>CL_92_</t>
  </si>
  <si>
    <t>Rancho La Cuchilla No. 92</t>
  </si>
  <si>
    <t>Cabrera</t>
  </si>
  <si>
    <t>ZB_80_</t>
  </si>
  <si>
    <t>Rancho Zinamba No. 80</t>
  </si>
  <si>
    <t>Vázquez</t>
  </si>
  <si>
    <t>ZB_24_</t>
  </si>
  <si>
    <t>Rancho Zinamba No. 24</t>
  </si>
  <si>
    <t>Monroy García</t>
  </si>
  <si>
    <t>CL_20_</t>
  </si>
  <si>
    <t>Rancho La Cuchilla No. 20</t>
  </si>
  <si>
    <t>Sánchez López</t>
  </si>
  <si>
    <t>UP_23_</t>
  </si>
  <si>
    <t>Rancho Upácuaro No. 23</t>
  </si>
  <si>
    <t>Arredondo</t>
  </si>
  <si>
    <t>UP_73_A</t>
  </si>
  <si>
    <t>Rancho Upácuaro No. 73, A</t>
  </si>
  <si>
    <t>Ortega</t>
  </si>
  <si>
    <t>CL_72_</t>
  </si>
  <si>
    <t>Rancho La Cuchilla No. 72</t>
  </si>
  <si>
    <t>Ortiz González</t>
  </si>
  <si>
    <t>UP_18_</t>
  </si>
  <si>
    <t>Rancho Upácuaro No. 18</t>
  </si>
  <si>
    <t>Guzmán</t>
  </si>
  <si>
    <t>LD_71_</t>
  </si>
  <si>
    <t>Rancho Landero No. 71</t>
  </si>
  <si>
    <t>Cabrera Balcázar</t>
  </si>
  <si>
    <t>LD_80_</t>
  </si>
  <si>
    <t>Rancho Landero No. 80</t>
  </si>
  <si>
    <t>Villaseñor Sánchez</t>
  </si>
  <si>
    <t>CL_54_</t>
  </si>
  <si>
    <t>Rancho La Cuchilla No. 54</t>
  </si>
  <si>
    <t>Mendoza León</t>
  </si>
  <si>
    <t>UP_100_</t>
  </si>
  <si>
    <t>Rancho Upácuaro No. 100</t>
  </si>
  <si>
    <t>Mancera Rodríguez</t>
  </si>
  <si>
    <t>CL_42_</t>
  </si>
  <si>
    <t>Rancho La Cuchilla No. 42</t>
  </si>
  <si>
    <t>Mac Kinney</t>
  </si>
  <si>
    <t>LD_77_</t>
  </si>
  <si>
    <t>Rancho Landero No. 77</t>
  </si>
  <si>
    <t>Muñoz</t>
  </si>
  <si>
    <t>EZ_100_</t>
  </si>
  <si>
    <t>Rancho Estanzuela No. 100</t>
  </si>
  <si>
    <t>Arias Monter</t>
  </si>
  <si>
    <t>Pago con cheque HSBC # 3466</t>
  </si>
  <si>
    <t>EZ_135_</t>
  </si>
  <si>
    <t>Rancho Estanzuela No. 135</t>
  </si>
  <si>
    <t>Iglesias</t>
  </si>
  <si>
    <t>EZ_25_</t>
  </si>
  <si>
    <t>Rancho Estanzuela No. 25</t>
  </si>
  <si>
    <t>Contreras Figueroa</t>
  </si>
  <si>
    <t>LD_1_A</t>
  </si>
  <si>
    <t>Rancho Landero No. 1, A</t>
  </si>
  <si>
    <t>Ebysos</t>
  </si>
  <si>
    <t>CL_29_</t>
  </si>
  <si>
    <t>Rancho La Cuchilla No. 29</t>
  </si>
  <si>
    <t>Vega Sánchez C.</t>
  </si>
  <si>
    <t>UP_46_</t>
  </si>
  <si>
    <t>Rancho Upácuaro No. 46</t>
  </si>
  <si>
    <t>Fuentes</t>
  </si>
  <si>
    <t>RM_30_</t>
  </si>
  <si>
    <t>Rancho Romeral No. 30</t>
  </si>
  <si>
    <t>Osorio</t>
  </si>
  <si>
    <t>RV_173_</t>
  </si>
  <si>
    <t>Rancho Recoveco No. 173</t>
  </si>
  <si>
    <t>Velarde</t>
  </si>
  <si>
    <t>RV_3_</t>
  </si>
  <si>
    <t>Rancho Recoveco No. 3</t>
  </si>
  <si>
    <t>Garduño</t>
  </si>
  <si>
    <t>LD_26_</t>
  </si>
  <si>
    <t>Rancho Landero No. 26</t>
  </si>
  <si>
    <t>Balderas Martínez</t>
  </si>
  <si>
    <t>LD_31_</t>
  </si>
  <si>
    <t>Rancho Landero No. 31</t>
  </si>
  <si>
    <t>Díaz Hernández</t>
  </si>
  <si>
    <t>CL_14_</t>
  </si>
  <si>
    <t>Rancho La Cuchilla No. 14</t>
  </si>
  <si>
    <t>Chávez Lara</t>
  </si>
  <si>
    <t>LD_15_</t>
  </si>
  <si>
    <t>Rancho Landero No. 15</t>
  </si>
  <si>
    <t>Morales D.</t>
  </si>
  <si>
    <t>CL_43_A</t>
  </si>
  <si>
    <t>Rancho La Cuchilla No. 43, A</t>
  </si>
  <si>
    <t>De la Rosa</t>
  </si>
  <si>
    <t>CL_43_B</t>
  </si>
  <si>
    <t>Rancho La Cuchilla No. 43, B</t>
  </si>
  <si>
    <t>Luna Albertano</t>
  </si>
  <si>
    <t>CL_81_A</t>
  </si>
  <si>
    <t>Rancho La Cuchilla No. 81, A</t>
  </si>
  <si>
    <t>Barrientos López</t>
  </si>
  <si>
    <t>CL_28_</t>
  </si>
  <si>
    <t>Rancho La Cuchilla No. 28</t>
  </si>
  <si>
    <t>Prado de los S.</t>
  </si>
  <si>
    <t>LD_91_</t>
  </si>
  <si>
    <t>Rancho Landero No. 91</t>
  </si>
  <si>
    <t>Llaca</t>
  </si>
  <si>
    <t>CL_74_</t>
  </si>
  <si>
    <t>Rancho La Cuchilla No. 74</t>
  </si>
  <si>
    <t>Gil</t>
  </si>
  <si>
    <t>UP_75_</t>
  </si>
  <si>
    <t>Rancho Upácuaro No. 75</t>
  </si>
  <si>
    <t>Montaño Zetina</t>
  </si>
  <si>
    <t>RV_179_</t>
  </si>
  <si>
    <t>Rancho Recoveco No. 179</t>
  </si>
  <si>
    <t>Flores Delgado</t>
  </si>
  <si>
    <t>EZ_55_</t>
  </si>
  <si>
    <t>Rancho Estanzuela No. 55</t>
  </si>
  <si>
    <t>Rodríguez Acevedo</t>
  </si>
  <si>
    <t>RV_1_</t>
  </si>
  <si>
    <t>Rancho Recoveco No. 1</t>
  </si>
  <si>
    <t>Díaz</t>
  </si>
  <si>
    <t>UP_85_</t>
  </si>
  <si>
    <t>Rancho Upácuaro No. 85</t>
  </si>
  <si>
    <t>Del Toro Huerta</t>
  </si>
  <si>
    <t>LD_90_</t>
  </si>
  <si>
    <t>Rancho Landero No. 90</t>
  </si>
  <si>
    <t>Córdova Reséndiz</t>
  </si>
  <si>
    <t>LD_76_</t>
  </si>
  <si>
    <t>Rancho Landero No. 76</t>
  </si>
  <si>
    <t>Ugarte</t>
  </si>
  <si>
    <t>ZB_82_</t>
  </si>
  <si>
    <t>Rancho Zinamba No. 82</t>
  </si>
  <si>
    <t>Morán Carmona</t>
  </si>
  <si>
    <t>EZ_7_A</t>
  </si>
  <si>
    <t>Rancho Estanzuela No. 7, A</t>
  </si>
  <si>
    <t>Herrera Izquierdo</t>
  </si>
  <si>
    <t>CL_40_</t>
  </si>
  <si>
    <t>Rancho La Cuchilla No. 40</t>
  </si>
  <si>
    <t>López Pico</t>
  </si>
  <si>
    <t>EZ_115_</t>
  </si>
  <si>
    <t>Rancho Estanzuela No. 115</t>
  </si>
  <si>
    <t>Frías Solórzano</t>
  </si>
  <si>
    <t>ZB_20_</t>
  </si>
  <si>
    <t>Rancho Zinamba No. 20</t>
  </si>
  <si>
    <t>Alegre Retana</t>
  </si>
  <si>
    <t>EZ_17_</t>
  </si>
  <si>
    <t>Rancho Estanzuela No. 17</t>
  </si>
  <si>
    <t>Enciso Ledesma</t>
  </si>
  <si>
    <t>UP_140_</t>
  </si>
  <si>
    <t>Rancho Upácuaro No. 140</t>
  </si>
  <si>
    <t>Gozain</t>
  </si>
  <si>
    <t>LD_99_</t>
  </si>
  <si>
    <t>Rancho Landero No. 99</t>
  </si>
  <si>
    <t>Rangel</t>
  </si>
  <si>
    <t>LD_94_</t>
  </si>
  <si>
    <t>Rancho Landero No. 94</t>
  </si>
  <si>
    <t>Medina</t>
  </si>
  <si>
    <t>UP_51_2</t>
  </si>
  <si>
    <t>Rancho Upácuaro No. 51, 2</t>
  </si>
  <si>
    <t>Gutierrez Colin</t>
  </si>
  <si>
    <t>UP_8_</t>
  </si>
  <si>
    <t>Rancho Upácuaro No. 8</t>
  </si>
  <si>
    <t>Ibarra</t>
  </si>
  <si>
    <t>LD_83_</t>
  </si>
  <si>
    <t>Rancho Landero No. 83</t>
  </si>
  <si>
    <t>Aguilar</t>
  </si>
  <si>
    <t>RV_181_</t>
  </si>
  <si>
    <t>Rancho Recoveco No. 181</t>
  </si>
  <si>
    <t>Castillo</t>
  </si>
  <si>
    <t>CL_87_</t>
  </si>
  <si>
    <t>Rancho La Cuchilla No. 87</t>
  </si>
  <si>
    <t>Villanueva S.</t>
  </si>
  <si>
    <t>EZ_147_1</t>
  </si>
  <si>
    <t>Rancho Estanzuela No. 147, 1</t>
  </si>
  <si>
    <t>De la Rosa Enrique</t>
  </si>
  <si>
    <t>EZ_147_2</t>
  </si>
  <si>
    <t>Rancho Estanzuela No. 147, 2</t>
  </si>
  <si>
    <t>Figueroa</t>
  </si>
  <si>
    <t>ZB_8_</t>
  </si>
  <si>
    <t>Rancho Zinamba No. 8</t>
  </si>
  <si>
    <t>Florido</t>
  </si>
  <si>
    <t>UP_120_</t>
  </si>
  <si>
    <t>Rancho Upácuaro No. 120</t>
  </si>
  <si>
    <t>Rayas Rivera</t>
  </si>
  <si>
    <t>CL_130_</t>
  </si>
  <si>
    <t>Rancho La Cuchilla No. 130</t>
  </si>
  <si>
    <t>Gonzalez</t>
  </si>
  <si>
    <t>RV_197_</t>
  </si>
  <si>
    <t>Rancho Recoveco No. 197</t>
  </si>
  <si>
    <t>Colín González</t>
  </si>
  <si>
    <t>UP_5_B</t>
  </si>
  <si>
    <t>Rancho Upácuaro No. 5, B</t>
  </si>
  <si>
    <t>Cervantes</t>
  </si>
  <si>
    <t>CL_96_</t>
  </si>
  <si>
    <t>Rancho La Cuchilla No. 96</t>
  </si>
  <si>
    <t>Valdez Álvarez</t>
  </si>
  <si>
    <t>RM_17_</t>
  </si>
  <si>
    <t>Rancho Romeral No. 17</t>
  </si>
  <si>
    <t>Aguilar Lomelí</t>
  </si>
  <si>
    <t>UP_88_</t>
  </si>
  <si>
    <t>Rancho Upácuaro No. 88</t>
  </si>
  <si>
    <t>Millán Núñez</t>
  </si>
  <si>
    <t>UP_108_</t>
  </si>
  <si>
    <t>Rancho Upácuaro No. 108</t>
  </si>
  <si>
    <t>Mejía</t>
  </si>
  <si>
    <t>CL_15_</t>
  </si>
  <si>
    <t>Rancho La Cuchilla No. 15</t>
  </si>
  <si>
    <t>Guerrero Ponce</t>
  </si>
  <si>
    <t>CL_21_</t>
  </si>
  <si>
    <t>Rancho La Cuchilla No. 21</t>
  </si>
  <si>
    <t>Solórzano Calderón</t>
  </si>
  <si>
    <t>EZ_11_A</t>
  </si>
  <si>
    <t>Rancho Estanzuela No. 11, A</t>
  </si>
  <si>
    <t>Evans González</t>
  </si>
  <si>
    <t>LD_2_4</t>
  </si>
  <si>
    <t>Rancho Landero No. 2, 4</t>
  </si>
  <si>
    <t>Cortés</t>
  </si>
  <si>
    <t>UP_101_</t>
  </si>
  <si>
    <t>Rancho Upácuaro No. 101</t>
  </si>
  <si>
    <t>Chávez, Arturo</t>
  </si>
  <si>
    <t>LD_37_</t>
  </si>
  <si>
    <t>Rancho Landero No. 37</t>
  </si>
  <si>
    <t>Hernández</t>
  </si>
  <si>
    <t>CL_145_</t>
  </si>
  <si>
    <t>Rancho La Cuchilla No. 145</t>
  </si>
  <si>
    <t>Arámburu C.</t>
  </si>
  <si>
    <t>UP_124_</t>
  </si>
  <si>
    <t>Rancho Upácuaro No. 124</t>
  </si>
  <si>
    <t>Reyes Nicandro</t>
  </si>
  <si>
    <t>UP_118_</t>
  </si>
  <si>
    <t>Rancho Upácuaro No. 118</t>
  </si>
  <si>
    <t>Siegrist</t>
  </si>
  <si>
    <t>EZ_33_</t>
  </si>
  <si>
    <t>Rancho Estanzuela No. 33</t>
  </si>
  <si>
    <t>Arauz</t>
  </si>
  <si>
    <t>Se condonó el mes de diciembre por pago de anualidad. CHEQUE</t>
  </si>
  <si>
    <t>ZB_10_</t>
  </si>
  <si>
    <t>Rancho Zinamba No. 10</t>
  </si>
  <si>
    <t>Roy Sánchez</t>
  </si>
  <si>
    <t>CHEQUE</t>
  </si>
  <si>
    <t>ZB_88_</t>
  </si>
  <si>
    <t>Rancho Zinamba No. 88</t>
  </si>
  <si>
    <t>Martínez</t>
  </si>
  <si>
    <t>UP_69_</t>
  </si>
  <si>
    <t>Rancho Upácuaro No. 69</t>
  </si>
  <si>
    <t>Gómez</t>
  </si>
  <si>
    <t>1021 - 1022 - 1029</t>
  </si>
  <si>
    <t>Rancho Estopila</t>
  </si>
  <si>
    <t>EP_18_</t>
  </si>
  <si>
    <t>Rancho Estopila No. 18</t>
  </si>
  <si>
    <t>Aguilar Zarmeño</t>
  </si>
  <si>
    <t>LD_7_</t>
  </si>
  <si>
    <t>Rancho Landero No. 7</t>
  </si>
  <si>
    <t>Robles</t>
  </si>
  <si>
    <t>EZ_151_</t>
  </si>
  <si>
    <t>Rancho Estanzuela No. 151</t>
  </si>
  <si>
    <t>Pérez Salazar</t>
  </si>
  <si>
    <t>LD_68_</t>
  </si>
  <si>
    <t>Rancho Landero No. 68</t>
  </si>
  <si>
    <t>Moreno</t>
  </si>
  <si>
    <t>CL_89_</t>
  </si>
  <si>
    <t>Rancho La Cuchilla No. 89</t>
  </si>
  <si>
    <t>Gálvez</t>
  </si>
  <si>
    <t>EZ_99_</t>
  </si>
  <si>
    <t>Rancho Estanzuela No. 99</t>
  </si>
  <si>
    <t>García López</t>
  </si>
  <si>
    <t>UP_7_</t>
  </si>
  <si>
    <t>Rancho Upácuaro No. 7</t>
  </si>
  <si>
    <t xml:space="preserve">Troncoso </t>
  </si>
  <si>
    <t>UP_79_</t>
  </si>
  <si>
    <t>Rancho Upácuaro No. 79</t>
  </si>
  <si>
    <t>Macías</t>
  </si>
  <si>
    <t>CL_112_PB</t>
  </si>
  <si>
    <t>Rancho La Cuchilla No. 112, PB</t>
  </si>
  <si>
    <t>Soreque</t>
  </si>
  <si>
    <t>ZB_6_</t>
  </si>
  <si>
    <t>Rancho Zinamba No. 6</t>
  </si>
  <si>
    <t>Villafaña</t>
  </si>
  <si>
    <t>RV_183_</t>
  </si>
  <si>
    <t>Rancho Recoveco No. 183</t>
  </si>
  <si>
    <t>Atilano Limón</t>
  </si>
  <si>
    <t>CL_120_</t>
  </si>
  <si>
    <t>Rancho La Cuchilla No. 120</t>
  </si>
  <si>
    <t>Pozos Vilchis</t>
  </si>
  <si>
    <t>UP_86_</t>
  </si>
  <si>
    <t>Rancho Upácuaro No. 86</t>
  </si>
  <si>
    <t>López Canseco</t>
  </si>
  <si>
    <t>LD_63_</t>
  </si>
  <si>
    <t>Rancho Landero No. 63</t>
  </si>
  <si>
    <t>Hernández Chávez</t>
  </si>
  <si>
    <t>CL_55_</t>
  </si>
  <si>
    <t>Rancho La Cuchilla No. 55</t>
  </si>
  <si>
    <t>López Velázquez</t>
  </si>
  <si>
    <t>UP_47_</t>
  </si>
  <si>
    <t>Rancho Upácuaro No. 47</t>
  </si>
  <si>
    <t>Flores Muñoz</t>
  </si>
  <si>
    <t>EZ_159_</t>
  </si>
  <si>
    <t>Rancho Estanzuela No. 159</t>
  </si>
  <si>
    <t>Silva</t>
  </si>
  <si>
    <t>LD_11_</t>
  </si>
  <si>
    <t>Rancho Landero No. 11</t>
  </si>
  <si>
    <t>Reyes Robles</t>
  </si>
  <si>
    <t>LD_44_</t>
  </si>
  <si>
    <t>Rancho Landero No. 44</t>
  </si>
  <si>
    <t>Rodríguez C.</t>
  </si>
  <si>
    <t>CL_132_</t>
  </si>
  <si>
    <t>Rancho La Cuchilla No. 132</t>
  </si>
  <si>
    <t>Téllez Girón</t>
  </si>
  <si>
    <t>UP_78_</t>
  </si>
  <si>
    <t>Rancho Upácuaro No. 78</t>
  </si>
  <si>
    <t>Villaseñor Carranza</t>
  </si>
  <si>
    <t>ZB_38_</t>
  </si>
  <si>
    <t>Rancho Zinamba No. 38</t>
  </si>
  <si>
    <t>Ramírez Díaz</t>
  </si>
  <si>
    <t>EZ_143_B</t>
  </si>
  <si>
    <t>Rancho Estanzuela No. 143, B</t>
  </si>
  <si>
    <t>López</t>
  </si>
  <si>
    <t>UP_93_</t>
  </si>
  <si>
    <t>Rancho Upácuaro No. 93</t>
  </si>
  <si>
    <t>Elizalde</t>
  </si>
  <si>
    <t>CL_68_</t>
  </si>
  <si>
    <t>Rancho La Cuchilla No. 68</t>
  </si>
  <si>
    <t>Montesinos</t>
  </si>
  <si>
    <t>UP_138_</t>
  </si>
  <si>
    <t>Rancho Upácuaro No. 138</t>
  </si>
  <si>
    <t>Ramírez Valencia</t>
  </si>
  <si>
    <t>ZB_42_</t>
  </si>
  <si>
    <t>Rancho Zinamba No. 42</t>
  </si>
  <si>
    <t>López Aldave</t>
  </si>
  <si>
    <t>ZB_14_</t>
  </si>
  <si>
    <t>Rancho Zinamba No. 14</t>
  </si>
  <si>
    <t>Gutiérrez García</t>
  </si>
  <si>
    <t>UP_33_</t>
  </si>
  <si>
    <t>Rancho Upácuaro No. 33</t>
  </si>
  <si>
    <t>Ulloa Miranda</t>
  </si>
  <si>
    <t>ZB_68_</t>
  </si>
  <si>
    <t>Rancho Zinamba No. 68</t>
  </si>
  <si>
    <t>Rivera Villicaña</t>
  </si>
  <si>
    <t>EP_22_B</t>
  </si>
  <si>
    <t>Rancho Estopila No. 22, B</t>
  </si>
  <si>
    <t xml:space="preserve">Carranza Díaz </t>
  </si>
  <si>
    <t>EZ_111_</t>
  </si>
  <si>
    <t>Rancho Estanzuela No. 111</t>
  </si>
  <si>
    <t>Flores Pérez</t>
  </si>
  <si>
    <t>LD_85_</t>
  </si>
  <si>
    <t>Rancho Landero No. 85</t>
  </si>
  <si>
    <t>Martínez Olague</t>
  </si>
  <si>
    <t>LD_70_</t>
  </si>
  <si>
    <t>Rancho Landero No. 70</t>
  </si>
  <si>
    <t>Olguín</t>
  </si>
  <si>
    <t>LD_2_B</t>
  </si>
  <si>
    <t>Rancho Landero No. 2, B</t>
  </si>
  <si>
    <t>Pack Mail</t>
  </si>
  <si>
    <t>CL_94_</t>
  </si>
  <si>
    <t>Rancho La Cuchilla No. 94</t>
  </si>
  <si>
    <t>Sánchez Márquez</t>
  </si>
  <si>
    <t>CL_125_</t>
  </si>
  <si>
    <t>Rancho La Cuchilla No. 125</t>
  </si>
  <si>
    <t>Ordoñez Villalpando</t>
  </si>
  <si>
    <t>LD_2_2</t>
  </si>
  <si>
    <t>Rancho Landero No. 2, 2</t>
  </si>
  <si>
    <t>Beatriz González</t>
  </si>
  <si>
    <t>UP_132_</t>
  </si>
  <si>
    <t>Rancho Upácuaro No. 132</t>
  </si>
  <si>
    <t>Tornero Saldaña</t>
  </si>
  <si>
    <t>CL_77_</t>
  </si>
  <si>
    <t>Rancho La Cuchilla No. 77</t>
  </si>
  <si>
    <t>Loperena</t>
  </si>
  <si>
    <t>LD_35_</t>
  </si>
  <si>
    <t>Rancho Landero No. 35</t>
  </si>
  <si>
    <t>UP_114_</t>
  </si>
  <si>
    <t>Rancho Upácuaro No. 114</t>
  </si>
  <si>
    <t>Hernández Cornejo</t>
  </si>
  <si>
    <t>CL_91_</t>
  </si>
  <si>
    <t>Rancho La Cuchilla No. 91</t>
  </si>
  <si>
    <t>Roldán Flores</t>
  </si>
  <si>
    <t>LD_38_</t>
  </si>
  <si>
    <t>Rancho Landero No. 38</t>
  </si>
  <si>
    <t>Sánchez Peña</t>
  </si>
  <si>
    <t>EZ_139_</t>
  </si>
  <si>
    <t>Rancho Estanzuela No. 139</t>
  </si>
  <si>
    <t xml:space="preserve">Ortiz   </t>
  </si>
  <si>
    <t>LD_62_</t>
  </si>
  <si>
    <t>Rancho Landero No. 62</t>
  </si>
  <si>
    <t>Narvaez Sara</t>
  </si>
  <si>
    <t>EZ_37_</t>
  </si>
  <si>
    <t>Rancho Estanzuela No. 37</t>
  </si>
  <si>
    <t>Cabello Eduardo</t>
  </si>
  <si>
    <t>EZ_101_</t>
  </si>
  <si>
    <t>Rancho Estanzuela No. 101</t>
  </si>
  <si>
    <t>Calderón Celis</t>
  </si>
  <si>
    <t>UP_142_</t>
  </si>
  <si>
    <t>Rancho Upácuaro No. 142</t>
  </si>
  <si>
    <t>Fierro Villaneda</t>
  </si>
  <si>
    <t>LD_73_</t>
  </si>
  <si>
    <t>Rancho Landero No. 73</t>
  </si>
  <si>
    <t>Islas Palacios</t>
  </si>
  <si>
    <t>EZ_103_B</t>
  </si>
  <si>
    <t>Rancho Estanzuela No. 103, B</t>
  </si>
  <si>
    <t>Olivares Flores</t>
  </si>
  <si>
    <t>EZ_89_</t>
  </si>
  <si>
    <t>Rancho Estanzuela No. 89</t>
  </si>
  <si>
    <t>Romero Ortiz</t>
  </si>
  <si>
    <t>ZB_72_</t>
  </si>
  <si>
    <t>Rancho Zinamba No. 72</t>
  </si>
  <si>
    <t>Romo de Vivar</t>
  </si>
  <si>
    <t>LD_89_</t>
  </si>
  <si>
    <t>Rancho Landero No. 89</t>
  </si>
  <si>
    <t>Del Pozo Solís</t>
  </si>
  <si>
    <t>LD_100_</t>
  </si>
  <si>
    <t>Rancho Landero No. 100</t>
  </si>
  <si>
    <t>Meingüer Gómez</t>
  </si>
  <si>
    <t>ZB_26_</t>
  </si>
  <si>
    <t>Rancho Zinamba No. 26</t>
  </si>
  <si>
    <t>Ayala</t>
  </si>
  <si>
    <t>EZ_149_</t>
  </si>
  <si>
    <t>Rancho Estanzuela No. 149</t>
  </si>
  <si>
    <t>Sala</t>
  </si>
  <si>
    <t>UP_87_</t>
  </si>
  <si>
    <t>Rancho Upácuaro No. 87</t>
  </si>
  <si>
    <t>Rodríguez Parés</t>
  </si>
  <si>
    <t>ZB_62_</t>
  </si>
  <si>
    <t>Rancho Zinamba No. 62</t>
  </si>
  <si>
    <t>Martínez León</t>
  </si>
  <si>
    <t>LD_95_</t>
  </si>
  <si>
    <t>Rancho Landero No. 95</t>
  </si>
  <si>
    <t>Rivas Rangel</t>
  </si>
  <si>
    <t>EZ_15_A</t>
  </si>
  <si>
    <t>Rancho Estanzuela No. 15, A</t>
  </si>
  <si>
    <t>González</t>
  </si>
  <si>
    <t>UP_94_</t>
  </si>
  <si>
    <t>Rancho Upácuaro No. 94</t>
  </si>
  <si>
    <t>Juárez Patiño</t>
  </si>
  <si>
    <t>CL_46_</t>
  </si>
  <si>
    <t>Rancho La Cuchilla No. 46</t>
  </si>
  <si>
    <t>Cruz López</t>
  </si>
  <si>
    <t>CL_59_</t>
  </si>
  <si>
    <t>Rancho La Cuchilla No. 59</t>
  </si>
  <si>
    <t>Ortega Vega</t>
  </si>
  <si>
    <t>CL_111_</t>
  </si>
  <si>
    <t>Rancho La Cuchilla No. 111</t>
  </si>
  <si>
    <t>García Santos Ofelia</t>
  </si>
  <si>
    <t>EZ_161_1</t>
  </si>
  <si>
    <t>Rancho Estanzuela No. 161, 1</t>
  </si>
  <si>
    <t>Guevara</t>
  </si>
  <si>
    <t>CL_149_</t>
  </si>
  <si>
    <t>Rancho La Cuchilla No. 149</t>
  </si>
  <si>
    <t>Montes Irineos</t>
  </si>
  <si>
    <t>LD_30_</t>
  </si>
  <si>
    <t>Rancho Landero No. 30</t>
  </si>
  <si>
    <t>Torres Guzmán</t>
  </si>
  <si>
    <t>UP_62_</t>
  </si>
  <si>
    <t>Rancho Upácuaro No. 62</t>
  </si>
  <si>
    <t>Jiménez Escutia</t>
  </si>
  <si>
    <t>EZ_21_</t>
  </si>
  <si>
    <t>Rancho Estanzuela No. 21</t>
  </si>
  <si>
    <t>Chavero Barrera</t>
  </si>
  <si>
    <t>Pago con cheque Banamex #15 posfechado para 28 de feb/16</t>
  </si>
  <si>
    <t>UP_30_</t>
  </si>
  <si>
    <t>Rancho Upácuaro No. 30</t>
  </si>
  <si>
    <t>Dorantes</t>
  </si>
  <si>
    <t>UP_50_</t>
  </si>
  <si>
    <t>Rancho Upácuaro No. 50</t>
  </si>
  <si>
    <t>Rivera Rodríguez</t>
  </si>
  <si>
    <t>UP_146_</t>
  </si>
  <si>
    <t>Rancho Upácuaro No. 146</t>
  </si>
  <si>
    <t>Islas</t>
  </si>
  <si>
    <t>EZ_47_</t>
  </si>
  <si>
    <t>Rancho Estanzuela No. 47</t>
  </si>
  <si>
    <t>Bussey García</t>
  </si>
  <si>
    <t>CL_82_</t>
  </si>
  <si>
    <t>Rancho La Cuchilla No. 82</t>
  </si>
  <si>
    <t>Cruz</t>
  </si>
  <si>
    <t>ZB_50_</t>
  </si>
  <si>
    <t>Rancho Zinamba No. 50</t>
  </si>
  <si>
    <t>Del Castillo</t>
  </si>
  <si>
    <t>CL_32_</t>
  </si>
  <si>
    <t>Rancho La Cuchilla No. 32</t>
  </si>
  <si>
    <t>RV_175_0</t>
  </si>
  <si>
    <t>Rancho Recoveco No. 175</t>
  </si>
  <si>
    <t>Ramírez</t>
  </si>
  <si>
    <t>UP_60_</t>
  </si>
  <si>
    <t>Rancho Upácuaro No. 60</t>
  </si>
  <si>
    <t>Zavala</t>
  </si>
  <si>
    <t>LD_51_</t>
  </si>
  <si>
    <t>Rancho Landero No. 51</t>
  </si>
  <si>
    <t>H. Robles Tamayo</t>
  </si>
  <si>
    <t>RM_10_B</t>
  </si>
  <si>
    <t>Rancho Romeral No. 10, B</t>
  </si>
  <si>
    <t>López Castellano</t>
  </si>
  <si>
    <t>UP_19_</t>
  </si>
  <si>
    <t>Rancho Upácuaro No. 19</t>
  </si>
  <si>
    <t>Peña Inclán</t>
  </si>
  <si>
    <t>RV_193_</t>
  </si>
  <si>
    <t>Rancho Recoveco No. 193</t>
  </si>
  <si>
    <t>Salazar Pérez</t>
  </si>
  <si>
    <t>EP_22_A</t>
  </si>
  <si>
    <t>Rancho Estopila No. 22, A</t>
  </si>
  <si>
    <t>Ayala Carranza</t>
  </si>
  <si>
    <t>UP_90_</t>
  </si>
  <si>
    <t>Rancho Upácuaro No. 90</t>
  </si>
  <si>
    <t>Moreno Calderón</t>
  </si>
  <si>
    <t>LD_84_</t>
  </si>
  <si>
    <t>Rancho Landero No. 84</t>
  </si>
  <si>
    <t>Alcántara</t>
  </si>
  <si>
    <t>EZ_57_</t>
  </si>
  <si>
    <t>Rancho Estanzuela No. 57</t>
  </si>
  <si>
    <t>Olivares</t>
  </si>
  <si>
    <t>ZB_74_</t>
  </si>
  <si>
    <t>Rancho Zinamba No. 74</t>
  </si>
  <si>
    <t>García Castellanos</t>
  </si>
  <si>
    <t>CL_115_</t>
  </si>
  <si>
    <t>Rancho La Cuchilla No. 115</t>
  </si>
  <si>
    <t>Alfaro</t>
  </si>
  <si>
    <t>CL_71_</t>
  </si>
  <si>
    <t>Rancho La Cuchilla No. 71</t>
  </si>
  <si>
    <t>Pulido</t>
  </si>
  <si>
    <t>LD_101_</t>
  </si>
  <si>
    <t>Rancho Landero No. 101</t>
  </si>
  <si>
    <t>RM_23_B</t>
  </si>
  <si>
    <t>Rancho Romeral No. 23, B</t>
  </si>
  <si>
    <t>Castillo Avila</t>
  </si>
  <si>
    <t>ZB_60_</t>
  </si>
  <si>
    <t>Rancho Zinamba No. 60</t>
  </si>
  <si>
    <t>Guerrero Jiménez</t>
  </si>
  <si>
    <t>LD_24_</t>
  </si>
  <si>
    <t>Rancho Landero No. 24</t>
  </si>
  <si>
    <t>Vázquez Peralta</t>
  </si>
  <si>
    <t>EZ_11_B</t>
  </si>
  <si>
    <t>Rancho Estanzuela No. 11, B</t>
  </si>
  <si>
    <t>Gómez Miguel</t>
  </si>
  <si>
    <t>EZ_155_</t>
  </si>
  <si>
    <t>Rancho Estanzuela No. 155</t>
  </si>
  <si>
    <t>Anchondo Valerio</t>
  </si>
  <si>
    <t>UP_76_</t>
  </si>
  <si>
    <t>Rancho Upácuaro No. 76</t>
  </si>
  <si>
    <t>Ruiz de San Pedro</t>
  </si>
  <si>
    <t>LD_87_</t>
  </si>
  <si>
    <t>Rancho Landero No. 87</t>
  </si>
  <si>
    <t>Fey Lafferla</t>
  </si>
  <si>
    <t>LD_65_</t>
  </si>
  <si>
    <t>Rancho Landero No. 65</t>
  </si>
  <si>
    <t>Alpizar</t>
  </si>
  <si>
    <t>UP_21_</t>
  </si>
  <si>
    <t>Rancho Upácuaro No. 21</t>
  </si>
  <si>
    <t>Fierro Betancourt</t>
  </si>
  <si>
    <t>EZ_121_</t>
  </si>
  <si>
    <t>Rancho Estanzuela No. 121</t>
  </si>
  <si>
    <t>López López</t>
  </si>
  <si>
    <t>RM_9_B</t>
  </si>
  <si>
    <t>Rancho Romeral No. 9, B</t>
  </si>
  <si>
    <t>Morales Macías</t>
  </si>
  <si>
    <t>UP_64_</t>
  </si>
  <si>
    <t>Rancho Upácuaro No. 64</t>
  </si>
  <si>
    <t>Méndez Oliva</t>
  </si>
  <si>
    <t>CL_18_</t>
  </si>
  <si>
    <t>Rancho La Cuchilla No. 18</t>
  </si>
  <si>
    <t>Aldana Sánchez</t>
  </si>
  <si>
    <t>CL_81_</t>
  </si>
  <si>
    <t>Rancho La Cuchilla No. 81</t>
  </si>
  <si>
    <t>Suárez</t>
  </si>
  <si>
    <t>CL_75_</t>
  </si>
  <si>
    <t>Rancho La Cuchilla No. 75</t>
  </si>
  <si>
    <t>Sosa Lucio</t>
  </si>
  <si>
    <t>LD_21_</t>
  </si>
  <si>
    <t>Rancho Landero No. 21</t>
  </si>
  <si>
    <t>Meza</t>
  </si>
  <si>
    <t>CL_133_</t>
  </si>
  <si>
    <t>Rancho La Cuchilla No. 133</t>
  </si>
  <si>
    <t>Rivas</t>
  </si>
  <si>
    <t>UP_134_</t>
  </si>
  <si>
    <t>Rancho Upácuaro No. 134</t>
  </si>
  <si>
    <t>LD_20_</t>
  </si>
  <si>
    <t>Rancho Landero No. 20</t>
  </si>
  <si>
    <t>Velasco</t>
  </si>
  <si>
    <t>EZ_119_1</t>
  </si>
  <si>
    <t>Rancho Estanzuela No. 119, 1</t>
  </si>
  <si>
    <t>López Tovar</t>
  </si>
  <si>
    <t>EZ_71_</t>
  </si>
  <si>
    <t>Rancho Estanzuela No. 71</t>
  </si>
  <si>
    <t>Soriano</t>
  </si>
  <si>
    <t>ZB_34_</t>
  </si>
  <si>
    <t>Rancho Zinamba No. 34</t>
  </si>
  <si>
    <t>Torres Zavala</t>
  </si>
  <si>
    <t>EZ_77_</t>
  </si>
  <si>
    <t>Rancho Estanzuela No. 77</t>
  </si>
  <si>
    <t>De la Rosa Rico</t>
  </si>
  <si>
    <t>EZ_133_</t>
  </si>
  <si>
    <t>Rancho Estanzuela No. 133</t>
  </si>
  <si>
    <t>Hernández Salazar</t>
  </si>
  <si>
    <t>CL_73_</t>
  </si>
  <si>
    <t>Rancho La Cuchilla No. 73</t>
  </si>
  <si>
    <t>Cooper</t>
  </si>
  <si>
    <t>RM_9_A</t>
  </si>
  <si>
    <t>Rancho Romeral No. 9, A</t>
  </si>
  <si>
    <t>Quiñones Hernández</t>
  </si>
  <si>
    <t>UP_65_</t>
  </si>
  <si>
    <t>Rancho Upácuaro No. 65</t>
  </si>
  <si>
    <t>Cruz González</t>
  </si>
  <si>
    <t>UP_106_</t>
  </si>
  <si>
    <t>Rancho Upácuaro No. 106</t>
  </si>
  <si>
    <t>Hernández Sánchez</t>
  </si>
  <si>
    <t>CL_12_</t>
  </si>
  <si>
    <t>Rancho La Cuchilla No. 12</t>
  </si>
  <si>
    <t>Rivera Flores</t>
  </si>
  <si>
    <t>LD_96_</t>
  </si>
  <si>
    <t>Rancho Landero No. 96</t>
  </si>
  <si>
    <t>Espinoza Aguirre</t>
  </si>
  <si>
    <t>CL_147_1</t>
  </si>
  <si>
    <t>Rancho La Cuchilla No. 147, 1</t>
  </si>
  <si>
    <t>Operadores Maritimos y de Logistica</t>
  </si>
  <si>
    <t>CL_147_2</t>
  </si>
  <si>
    <t>Rancho La Cuchilla No. 147, 2</t>
  </si>
  <si>
    <t>Cinta Gudiño</t>
  </si>
  <si>
    <t>UP_52_</t>
  </si>
  <si>
    <t>Rancho Upácuaro No. 52</t>
  </si>
  <si>
    <t>Velázquez V.</t>
  </si>
  <si>
    <t>RV_187_</t>
  </si>
  <si>
    <t>Rancho Recoveco No. 187</t>
  </si>
  <si>
    <t>EZ_79_</t>
  </si>
  <si>
    <t>Rancho Estanzuela No. 79</t>
  </si>
  <si>
    <t>Mendoza</t>
  </si>
  <si>
    <t>LD_88_</t>
  </si>
  <si>
    <t>Rancho Landero No. 88</t>
  </si>
  <si>
    <t>Torres Raúl</t>
  </si>
  <si>
    <t>CL_66_</t>
  </si>
  <si>
    <t>Rancho La Cuchilla No. 66</t>
  </si>
  <si>
    <t>Prieto</t>
  </si>
  <si>
    <t>CL_79_</t>
  </si>
  <si>
    <t>Rancho La Cuchilla No. 79</t>
  </si>
  <si>
    <t>LD_40_</t>
  </si>
  <si>
    <t>Rancho Landero No. 40</t>
  </si>
  <si>
    <t>Almaguer Mireles</t>
  </si>
  <si>
    <t>ZB_76_</t>
  </si>
  <si>
    <t>Rancho Zinamba No. 76</t>
  </si>
  <si>
    <t>Márquez</t>
  </si>
  <si>
    <t>LD_72_</t>
  </si>
  <si>
    <t>Rancho Landero No. 72</t>
  </si>
  <si>
    <t>EZ_35_</t>
  </si>
  <si>
    <t>Rancho Estanzuela No. 35</t>
  </si>
  <si>
    <t>Rodríguez</t>
  </si>
  <si>
    <t>EZ_61_</t>
  </si>
  <si>
    <t>Rancho Estanzuela No. 61</t>
  </si>
  <si>
    <t>González Almazán</t>
  </si>
  <si>
    <t>RV_175_A</t>
  </si>
  <si>
    <t>Rancho Recoveco No. 175, A</t>
  </si>
  <si>
    <t>Pérez</t>
  </si>
  <si>
    <t>UP_116_</t>
  </si>
  <si>
    <t>Rancho Upácuaro No. 116</t>
  </si>
  <si>
    <t>García Zamudio</t>
  </si>
  <si>
    <t>LD_18_</t>
  </si>
  <si>
    <t>Rancho Landero No. 18</t>
  </si>
  <si>
    <t>Rosado</t>
  </si>
  <si>
    <t>RV_195_</t>
  </si>
  <si>
    <t>Rancho Recoveco No. 195</t>
  </si>
  <si>
    <t>Sandoval</t>
  </si>
  <si>
    <t>UP_14_</t>
  </si>
  <si>
    <t>Rancho Upácuaro No. 14</t>
  </si>
  <si>
    <t>Castillo Hernández</t>
  </si>
  <si>
    <t>CL_36_</t>
  </si>
  <si>
    <t>Rancho La Cuchilla No. 36</t>
  </si>
  <si>
    <t>Colegio Carmel</t>
  </si>
  <si>
    <t>CM_130_A</t>
  </si>
  <si>
    <t>CL_61_</t>
  </si>
  <si>
    <t>Rancho La Cuchilla No. 61</t>
  </si>
  <si>
    <t>Rivera</t>
  </si>
  <si>
    <t>CL_90_</t>
  </si>
  <si>
    <t>Rancho La Cuchilla No. 90</t>
  </si>
  <si>
    <t>Porras Fuentes</t>
  </si>
  <si>
    <t>Pago de 1 USB</t>
  </si>
  <si>
    <t>LD_47_</t>
  </si>
  <si>
    <t>Rancho Landero No. 47</t>
  </si>
  <si>
    <t>García González</t>
  </si>
  <si>
    <t>EZ_7_B</t>
  </si>
  <si>
    <t>Rancho Estanzuela No. 7, B</t>
  </si>
  <si>
    <t>Camargo Romero</t>
  </si>
  <si>
    <t>ZB_84_</t>
  </si>
  <si>
    <t>Rancho Zinamba No. 84</t>
  </si>
  <si>
    <t>Lobato</t>
  </si>
  <si>
    <t>CL_122_</t>
  </si>
  <si>
    <t>Rancho La Cuchilla No. 122</t>
  </si>
  <si>
    <t>CL_69_</t>
  </si>
  <si>
    <t>Rancho La Cuchilla No. 69</t>
  </si>
  <si>
    <t>Romero</t>
  </si>
  <si>
    <t>UP_130_</t>
  </si>
  <si>
    <t>Rancho Upácuaro No. 130</t>
  </si>
  <si>
    <t>Rodríguez Álvarez</t>
  </si>
  <si>
    <t>UP_80_</t>
  </si>
  <si>
    <t>Rancho Upácuaro No. 80</t>
  </si>
  <si>
    <t>De los Ríos</t>
  </si>
  <si>
    <t>UP_110_</t>
  </si>
  <si>
    <t>Rancho Upácuaro No. 110</t>
  </si>
  <si>
    <t>Ruiz Mijangos</t>
  </si>
  <si>
    <t>EZ_67_</t>
  </si>
  <si>
    <t>Rancho Estanzuela No. 67</t>
  </si>
  <si>
    <t>Carmona Galarza</t>
  </si>
  <si>
    <t>LD_33_</t>
  </si>
  <si>
    <t>Rancho Landero No. 33</t>
  </si>
  <si>
    <t>González Uribe</t>
  </si>
  <si>
    <t>LD_12_</t>
  </si>
  <si>
    <t>Rancho Landero No. 12</t>
  </si>
  <si>
    <t>Guzmán Silva</t>
  </si>
  <si>
    <t>EZ_95_</t>
  </si>
  <si>
    <t>Rancho Estanzuela No. 95</t>
  </si>
  <si>
    <t>Castro Puente</t>
  </si>
  <si>
    <t>CL_127_</t>
  </si>
  <si>
    <t>Rancho La Cuchilla No. 127</t>
  </si>
  <si>
    <t>Quiñones</t>
  </si>
  <si>
    <t>CL_97_</t>
  </si>
  <si>
    <t>Rancho La Cuchilla No. 97</t>
  </si>
  <si>
    <t>López Ruiz</t>
  </si>
  <si>
    <t>UP_99_</t>
  </si>
  <si>
    <t>Rancho Upácuaro No. 99</t>
  </si>
  <si>
    <t>Frías</t>
  </si>
  <si>
    <t>LD_45_</t>
  </si>
  <si>
    <t>Rancho Landero No. 45</t>
  </si>
  <si>
    <t>Solano</t>
  </si>
  <si>
    <t>CL_7_202</t>
  </si>
  <si>
    <t>Rancho La Cuchilla No. 7, 202</t>
  </si>
  <si>
    <t>Carbajal Zayas</t>
  </si>
  <si>
    <t>UP_40_</t>
  </si>
  <si>
    <t>Rancho Upácuaro No. 40</t>
  </si>
  <si>
    <t>López Ramírez</t>
  </si>
  <si>
    <t>Crespo</t>
  </si>
  <si>
    <t>UP_12_</t>
  </si>
  <si>
    <t>Rancho Upácuaro No. 12</t>
  </si>
  <si>
    <t>Moreno Chávez</t>
  </si>
  <si>
    <t>UP_68_</t>
  </si>
  <si>
    <t>Rancho Upácuaro No. 68</t>
  </si>
  <si>
    <t>Colin Guerrero</t>
  </si>
  <si>
    <t>ZB_46_</t>
  </si>
  <si>
    <t>Rancho Zinamba No. 46</t>
  </si>
  <si>
    <t>EP_44_3</t>
  </si>
  <si>
    <t>Rancho Estopila No. 44_3</t>
  </si>
  <si>
    <t>Martìnez</t>
  </si>
  <si>
    <t>EP_44_5</t>
  </si>
  <si>
    <t>Rancho Estopila No. 44_5</t>
  </si>
  <si>
    <t>Maya</t>
  </si>
  <si>
    <t>UP_54_</t>
  </si>
  <si>
    <t>Rancho Upácuaro No. 54</t>
  </si>
  <si>
    <t>García Rueda</t>
  </si>
  <si>
    <t>Rancho Estanzuela No. 130, A</t>
  </si>
  <si>
    <t>Morales</t>
  </si>
  <si>
    <t>EP_44_4</t>
  </si>
  <si>
    <t>Rancho Estopila No. 44_4</t>
  </si>
  <si>
    <t>Acroy Mendoza</t>
  </si>
  <si>
    <t>UP_74_</t>
  </si>
  <si>
    <t>Rancho Upácuaro No. 74</t>
  </si>
  <si>
    <t>Flores</t>
  </si>
  <si>
    <t>UP_136_</t>
  </si>
  <si>
    <t>Rancho Upácuaro No. 136</t>
  </si>
  <si>
    <t>López Lena</t>
  </si>
  <si>
    <t>CL_7_102</t>
  </si>
  <si>
    <t>Rancho La Cuchilla No. 7, 102</t>
  </si>
  <si>
    <t>García Moreno</t>
  </si>
  <si>
    <t>LD_8_</t>
  </si>
  <si>
    <t>Rancho Landero No. 8</t>
  </si>
  <si>
    <t>Garces Suarez</t>
  </si>
  <si>
    <t>RM_33_</t>
  </si>
  <si>
    <t>Rancho Romeral No. 33</t>
  </si>
  <si>
    <t>Juárez Alva</t>
  </si>
  <si>
    <t>LD_81_</t>
  </si>
  <si>
    <t>Rancho Landero No. 81</t>
  </si>
  <si>
    <t>Cebrían Saldaña</t>
  </si>
  <si>
    <t>6588 - 6589</t>
  </si>
  <si>
    <t>CL_44_</t>
  </si>
  <si>
    <t>Rancho La Cuchilla No. 44</t>
  </si>
  <si>
    <t>EZ_19_</t>
  </si>
  <si>
    <t>Rancho Estanzuela No. 19</t>
  </si>
  <si>
    <t>8412 - 5529</t>
  </si>
  <si>
    <t>Cheque #635 Banco Santander al portador</t>
  </si>
  <si>
    <t>UP_73_B</t>
  </si>
  <si>
    <t>Rancho Upácuaro No. 73, B</t>
  </si>
  <si>
    <t>Chávez</t>
  </si>
  <si>
    <t>EP_44_1</t>
  </si>
  <si>
    <t>Rancho Estopila No. 44_1</t>
  </si>
  <si>
    <t>Olaguibel</t>
  </si>
  <si>
    <t xml:space="preserve">Flores </t>
  </si>
  <si>
    <t>EZ_75_</t>
  </si>
  <si>
    <t>Rancho Estanzuela No. 75</t>
  </si>
  <si>
    <t>Candela Pons</t>
  </si>
  <si>
    <t>Cheque</t>
  </si>
  <si>
    <t>EZ_157_2</t>
  </si>
  <si>
    <t>Rancho Estanzuela No. 157, 2</t>
  </si>
  <si>
    <t>Arias</t>
  </si>
  <si>
    <t>EZ_157_3</t>
  </si>
  <si>
    <t>Rancho Estanzuela No. 157, 3</t>
  </si>
  <si>
    <t>Valdez</t>
  </si>
  <si>
    <t>LD_58_</t>
  </si>
  <si>
    <t>Rancho Landero No. 58</t>
  </si>
  <si>
    <t>Valero</t>
  </si>
  <si>
    <t>LD_39_</t>
  </si>
  <si>
    <t>Rancho Landero No. 39</t>
  </si>
  <si>
    <t>Soto del Cueto</t>
  </si>
  <si>
    <t>EZ_163_</t>
  </si>
  <si>
    <t>Rancho Estanzuela No. 163</t>
  </si>
  <si>
    <t>González Rodríguez</t>
  </si>
  <si>
    <t>LD_29_</t>
  </si>
  <si>
    <t>Rancho Landero No. 29</t>
  </si>
  <si>
    <t>Ulrich Cervantes</t>
  </si>
  <si>
    <t>UP_104_</t>
  </si>
  <si>
    <t>Rancho Upácuaro No. 104</t>
  </si>
  <si>
    <t>Jiménez Almazo</t>
  </si>
  <si>
    <t>LD_60_</t>
  </si>
  <si>
    <t>Rancho Landero No. 60</t>
  </si>
  <si>
    <t>Guerrero Flores</t>
  </si>
  <si>
    <t>CL_93_</t>
  </si>
  <si>
    <t>Rancho La Cuchilla No. 93</t>
  </si>
  <si>
    <t>Alcántara Silva</t>
  </si>
  <si>
    <t>19167 - 19168 - 19163 - 19170</t>
  </si>
  <si>
    <t>LD_36_</t>
  </si>
  <si>
    <t>Rancho Landero No. 36</t>
  </si>
  <si>
    <t>Jaime</t>
  </si>
  <si>
    <t>CL_148_</t>
  </si>
  <si>
    <t>Rancho La Cuchilla No. 148</t>
  </si>
  <si>
    <t>Vázquez Vázquez</t>
  </si>
  <si>
    <t>LD_28_</t>
  </si>
  <si>
    <t>Rancho Landero No. 28</t>
  </si>
  <si>
    <t>Cortes Sànchez</t>
  </si>
  <si>
    <t>CL_47_</t>
  </si>
  <si>
    <t>Rancho La Cuchilla No. 47</t>
  </si>
  <si>
    <t>CL_52_</t>
  </si>
  <si>
    <t>Rancho La Cuchilla No. 52</t>
  </si>
  <si>
    <t>Velázquez</t>
  </si>
  <si>
    <t>CL_121_</t>
  </si>
  <si>
    <t>Rancho La Cuchilla No. 121</t>
  </si>
  <si>
    <t>Ramírez Márquez</t>
  </si>
  <si>
    <t>CL_53_</t>
  </si>
  <si>
    <t>Rancho La Cuchilla No. 53</t>
  </si>
  <si>
    <t>Rivera Hernández</t>
  </si>
  <si>
    <t>Sr. Fabian daños a pluma de acceso</t>
  </si>
  <si>
    <t>LD_17_</t>
  </si>
  <si>
    <t>Rancho Landero No. 17</t>
  </si>
  <si>
    <t>LD_34_</t>
  </si>
  <si>
    <t>Rancho Landero No. 34</t>
  </si>
  <si>
    <t>Barro</t>
  </si>
  <si>
    <t>EZ_141_</t>
  </si>
  <si>
    <t>Rancho Estanzuela No. 141</t>
  </si>
  <si>
    <t>Castillo Toledano</t>
  </si>
  <si>
    <t>LD_93_</t>
  </si>
  <si>
    <t>Rancho Landero No. 93</t>
  </si>
  <si>
    <t>Ortega López</t>
  </si>
  <si>
    <t>10422907 - 10422908</t>
  </si>
  <si>
    <t>ZB_22_</t>
  </si>
  <si>
    <t>Rancho Zinamba No. 22</t>
  </si>
  <si>
    <t>Berúmen</t>
  </si>
  <si>
    <t>CL_23_</t>
  </si>
  <si>
    <t>Rancho La Cuchilla No. 23</t>
  </si>
  <si>
    <t>Ocampo</t>
  </si>
  <si>
    <t>Rancho Landero No. 2, 3</t>
  </si>
  <si>
    <t>Pineda Laura</t>
  </si>
  <si>
    <t>No se lleva consecutividad por la venta de tarjetones</t>
  </si>
  <si>
    <t>UP_15_</t>
  </si>
  <si>
    <t>Rancho Upácuaro No. 15</t>
  </si>
  <si>
    <t>Chávez Miranda</t>
  </si>
  <si>
    <t>CL_116_</t>
  </si>
  <si>
    <t>Rancho La Cuchilla No. 116</t>
  </si>
  <si>
    <t>Miranda</t>
  </si>
  <si>
    <t>UP_39_</t>
  </si>
  <si>
    <t>Rancho Upácuaro No. 39</t>
  </si>
  <si>
    <t>Desde este recibo se cobra mantenimiento</t>
  </si>
  <si>
    <t>Este recibo se cobro en el mes de abril compostura pluma</t>
  </si>
  <si>
    <t>EZ_53_</t>
  </si>
  <si>
    <t>Rancho Estanzuela No. 53</t>
  </si>
  <si>
    <t>Cáceres Palomares</t>
  </si>
  <si>
    <t>Deposito en efectivo directo a cuenta asociaciòn en abril/16</t>
  </si>
  <si>
    <t>6 Tarjetones</t>
  </si>
  <si>
    <t>Pago reflejante para pluma que vecina rompio con su auto</t>
  </si>
  <si>
    <t>Este recibo se cobro en marzo/16 por deposito a chequera</t>
  </si>
  <si>
    <t>Este recibo se deposito en mayo directo a chequera</t>
  </si>
  <si>
    <t>CL_86_</t>
  </si>
  <si>
    <t>Rancho La Cuchilla No. 86</t>
  </si>
  <si>
    <t>Del Villar</t>
  </si>
  <si>
    <t>EZ_119_3</t>
  </si>
  <si>
    <t>Rancho Estanzuela No. 119, 3</t>
  </si>
  <si>
    <t>Montecillo Sánchez</t>
  </si>
  <si>
    <t>LD_52_</t>
  </si>
  <si>
    <t>Rancho Landero No. 52</t>
  </si>
  <si>
    <t>Feregrino</t>
  </si>
  <si>
    <t>EZ_63_</t>
  </si>
  <si>
    <t>Rancho Estanzuela No. 63</t>
  </si>
  <si>
    <t>Mendoza Q.</t>
  </si>
  <si>
    <t>EZ_119_2</t>
  </si>
  <si>
    <t>Rancho Estanzuela No. 119, 2</t>
  </si>
  <si>
    <t>Lòpez Tovar</t>
  </si>
  <si>
    <t>CL_134_</t>
  </si>
  <si>
    <t>Rancho La Cuchilla No. 134</t>
  </si>
  <si>
    <t>Moreno Sánchez</t>
  </si>
  <si>
    <t>EZ_157_1</t>
  </si>
  <si>
    <t>Rancho Estanzuela No. 157, 1</t>
  </si>
  <si>
    <t>Anzures</t>
  </si>
  <si>
    <t>RV_175_a</t>
  </si>
  <si>
    <t>LD_10_</t>
  </si>
  <si>
    <t>Rancho Landero No. 10</t>
  </si>
  <si>
    <t>Gómez Facio</t>
  </si>
  <si>
    <t>UP_77_</t>
  </si>
  <si>
    <t>Rancho Upácuaro No. 77</t>
  </si>
  <si>
    <t>Alvarado</t>
  </si>
  <si>
    <t>LD_74_</t>
  </si>
  <si>
    <t>Rancho Landero No. 74</t>
  </si>
  <si>
    <t>Rabadam</t>
  </si>
  <si>
    <t>10422897 - 10422898</t>
  </si>
  <si>
    <t>ZB_40_</t>
  </si>
  <si>
    <t>Rancho Zinamba No. 40</t>
  </si>
  <si>
    <t>Correa Rojas</t>
  </si>
  <si>
    <t>UP_42_</t>
  </si>
  <si>
    <t>Rancho Upácuaro No. 42</t>
  </si>
  <si>
    <t>García Ramírez</t>
  </si>
  <si>
    <t>EZ_165_B</t>
  </si>
  <si>
    <t>Rancho Estanzuela No. 165, B</t>
  </si>
  <si>
    <t>Cervantes Luis S.</t>
  </si>
  <si>
    <t>EZ_119_4</t>
  </si>
  <si>
    <t>Rancho Estanzuela No. 119, 4</t>
  </si>
  <si>
    <t>Pérez Martínez</t>
  </si>
  <si>
    <t>CL_38_</t>
  </si>
  <si>
    <t>Rancho La Cuchilla No. 38</t>
  </si>
  <si>
    <t>Cerecedo</t>
  </si>
  <si>
    <t>EZ_103_A</t>
  </si>
  <si>
    <t>Rancho Estanzuela No. 103, A</t>
  </si>
  <si>
    <t>Valencia Aranda</t>
  </si>
  <si>
    <t>EZ_105_</t>
  </si>
  <si>
    <t>Rancho Estanzuela No. 105</t>
  </si>
  <si>
    <t>Ochoa</t>
  </si>
  <si>
    <t>UP_49_</t>
  </si>
  <si>
    <t>Rancho Upácuaro No. 49</t>
  </si>
  <si>
    <t>Sánchez Romano</t>
  </si>
  <si>
    <t>CL_58_</t>
  </si>
  <si>
    <t>Rancho La Cuchilla No. 58</t>
  </si>
  <si>
    <t>Serdán</t>
  </si>
  <si>
    <t>UP_96_</t>
  </si>
  <si>
    <t>Rancho Upácuaro No. 96</t>
  </si>
  <si>
    <t>Daza Gutiérrez</t>
  </si>
  <si>
    <t>CL_67_</t>
  </si>
  <si>
    <t>Rancho La Cuchilla No. 67</t>
  </si>
  <si>
    <t>Quezada Viruega</t>
  </si>
  <si>
    <t>CL_39_</t>
  </si>
  <si>
    <t>Rancho La Cuchilla No. 39</t>
  </si>
  <si>
    <t>Arenas</t>
  </si>
  <si>
    <t>UP_36_</t>
  </si>
  <si>
    <t>Rancho Upácuaro No. 36</t>
  </si>
  <si>
    <t>Araiza</t>
  </si>
  <si>
    <t>LD_75_</t>
  </si>
  <si>
    <t>Rancho Landero No. 75</t>
  </si>
  <si>
    <t>López Fara</t>
  </si>
  <si>
    <t>Pago cheque #6164 BBVA</t>
  </si>
  <si>
    <t>UP_10_</t>
  </si>
  <si>
    <t>Rancho Upácuaro No. 10</t>
  </si>
  <si>
    <t>Fernández García</t>
  </si>
  <si>
    <t>EZ_9_A</t>
  </si>
  <si>
    <t>Rancho Estanzuela No. 9, A</t>
  </si>
  <si>
    <t>Castañeda</t>
  </si>
  <si>
    <t>CL_35_</t>
  </si>
  <si>
    <t>Rancho La Cuchilla No. 35</t>
  </si>
  <si>
    <t>UP_11_</t>
  </si>
  <si>
    <t>Rancho Upácuaro No. 11</t>
  </si>
  <si>
    <t>Partida</t>
  </si>
  <si>
    <t>UP_45_</t>
  </si>
  <si>
    <t>Rancho Upácuaro No. 45</t>
  </si>
  <si>
    <t>Enrique Vázquez</t>
  </si>
  <si>
    <t>LD_86_</t>
  </si>
  <si>
    <t>Rancho Landero No. 86</t>
  </si>
  <si>
    <t>Cuervo</t>
  </si>
  <si>
    <t>UP_44_</t>
  </si>
  <si>
    <t>Rancho Upácuaro No. 44</t>
  </si>
  <si>
    <t>Basurto</t>
  </si>
  <si>
    <t xml:space="preserve">  </t>
  </si>
  <si>
    <t>UP_103_</t>
  </si>
  <si>
    <t>Rancho Upácuaro No. 103</t>
  </si>
  <si>
    <t>CL_27_</t>
  </si>
  <si>
    <t>Rancho La Cuchilla No. 27</t>
  </si>
  <si>
    <t>Montoya</t>
  </si>
  <si>
    <t>Cheque bancomer #977798</t>
  </si>
  <si>
    <t>transferencia bancaria</t>
  </si>
  <si>
    <t>Pago un video</t>
  </si>
  <si>
    <t>Calzada del Hueso</t>
  </si>
  <si>
    <t>HS_840_2</t>
  </si>
  <si>
    <t>Calzada del Hueso No. 840_2</t>
  </si>
  <si>
    <t>Moto Space</t>
  </si>
  <si>
    <t>UP_51_1</t>
  </si>
  <si>
    <t>Rancho Upácuaro No. 51, 1</t>
  </si>
  <si>
    <t>Casas Nájera</t>
  </si>
  <si>
    <t>T.E. #10451907</t>
  </si>
  <si>
    <t>T.E. #10451908</t>
  </si>
  <si>
    <t>T.E.#10451862</t>
  </si>
  <si>
    <t>UP_26_</t>
  </si>
  <si>
    <t>Rancho Upácuaro No. 26</t>
  </si>
  <si>
    <t>Salazar</t>
  </si>
  <si>
    <t>EZ_93_</t>
  </si>
  <si>
    <t>Rancho Estanzuela No. 93</t>
  </si>
  <si>
    <t>Alcocer</t>
  </si>
  <si>
    <t>CL_30_</t>
  </si>
  <si>
    <t>Rancho La Cuchilla No. 30</t>
  </si>
  <si>
    <t>Ruiz Navarrete</t>
  </si>
  <si>
    <t>CL_7_101</t>
  </si>
  <si>
    <t>Rancho La Cuchilla No. 7, 101</t>
  </si>
  <si>
    <t>CL_7_201</t>
  </si>
  <si>
    <t>Rancho La Cuchilla No. 7, 201</t>
  </si>
  <si>
    <t>Solís Susana</t>
  </si>
  <si>
    <t>CL_49_</t>
  </si>
  <si>
    <t>Rancho La Cuchilla No. 49</t>
  </si>
  <si>
    <t>Orozco Castelazo</t>
  </si>
  <si>
    <t>CL_13_</t>
  </si>
  <si>
    <t>Rancho La Cuchilla No. 13</t>
  </si>
  <si>
    <t>Torres</t>
  </si>
  <si>
    <t>CL_118_</t>
  </si>
  <si>
    <t>Rancho La Cuchilla No. 118</t>
  </si>
  <si>
    <t>Astorga Ruiz</t>
  </si>
  <si>
    <t>EZ_15_B</t>
  </si>
  <si>
    <t>Rancho Estanzuela No. 15, B</t>
  </si>
  <si>
    <t>Frade Torres</t>
  </si>
  <si>
    <t>CL_112_PA</t>
  </si>
  <si>
    <t>Rancho La Cuchilla No. 112, PA</t>
  </si>
  <si>
    <t>Villalpando Pineda</t>
  </si>
  <si>
    <t>UP_43_</t>
  </si>
  <si>
    <t>Rancho Upácuaro No. 43</t>
  </si>
  <si>
    <t>Yolanda</t>
  </si>
  <si>
    <t>HS_A_</t>
  </si>
  <si>
    <t>Calzada del Hueso No. A</t>
  </si>
  <si>
    <t>La Lechuga</t>
  </si>
  <si>
    <t>Cheque BBVA # 6606</t>
  </si>
  <si>
    <t>LD_69_</t>
  </si>
  <si>
    <t>Rancho Landero No. 69</t>
  </si>
  <si>
    <t>Gómez Ayala</t>
  </si>
  <si>
    <t>LD_53_</t>
  </si>
  <si>
    <t>Rancho Landero No. 53</t>
  </si>
  <si>
    <t>Gutierrez Castillo</t>
  </si>
  <si>
    <t>CL_117_</t>
  </si>
  <si>
    <t>Rancho La Cuchilla No. 117</t>
  </si>
  <si>
    <t>UP_89_</t>
  </si>
  <si>
    <t>Rancho Upácuaro No. 89</t>
  </si>
  <si>
    <t>UP_61_</t>
  </si>
  <si>
    <t>Rancho Upácuaro No. 61</t>
  </si>
  <si>
    <t>Campos Granados</t>
  </si>
  <si>
    <t>Bailòn Mena</t>
  </si>
  <si>
    <t>UP_128_</t>
  </si>
  <si>
    <t>Rancho Upácuaro No. 128</t>
  </si>
  <si>
    <t>Alvarez</t>
  </si>
  <si>
    <t>UP_31_</t>
  </si>
  <si>
    <t>Rancho Upácuaro No. 31</t>
  </si>
  <si>
    <t>Gallardo Ávila</t>
  </si>
  <si>
    <t>ZB_66_</t>
  </si>
  <si>
    <t>Rancho Zinamba No. 66</t>
  </si>
  <si>
    <t>Pacheco</t>
  </si>
  <si>
    <t>10451893 - 10451894</t>
  </si>
  <si>
    <t>04--09-16</t>
  </si>
  <si>
    <t>Garcìa Martìnez</t>
  </si>
  <si>
    <t>Pago video USB</t>
  </si>
  <si>
    <t>T.E. #10451888</t>
  </si>
  <si>
    <t>LD_61_</t>
  </si>
  <si>
    <t>Rancho Landero No. 61</t>
  </si>
  <si>
    <t>Miramontes Pérez</t>
  </si>
  <si>
    <t>RV_189_</t>
  </si>
  <si>
    <t>Rancho Recoveco No. 189</t>
  </si>
  <si>
    <t>Vidal García</t>
  </si>
  <si>
    <t>UP_95_</t>
  </si>
  <si>
    <t>Rancho Upácuaro No. 95</t>
  </si>
  <si>
    <t>EZ_117_</t>
  </si>
  <si>
    <t>Rancho Estanzuela No. 117</t>
  </si>
  <si>
    <t>Cordero Nieto</t>
  </si>
  <si>
    <t>LD_92_</t>
  </si>
  <si>
    <t>Rancho Landero No. 92</t>
  </si>
  <si>
    <t>Ruiz Velasco</t>
  </si>
  <si>
    <t>LD_2_1</t>
  </si>
  <si>
    <t>Rancho Landero No. 2,1</t>
  </si>
  <si>
    <t>Zamora Vera</t>
  </si>
  <si>
    <t>Domicilio</t>
  </si>
  <si>
    <t>Familia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</si>
  <si>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</si>
  <si>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</si>
  <si>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</si>
  <si>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</si>
  <si>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</si>
  <si>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</si>
  <si>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</si>
  <si>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</si>
  <si>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</si>
  <si>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</si>
  <si>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</si>
  <si>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</si>
  <si>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</si>
  <si>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</si>
  <si>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</si>
  <si>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</si>
  <si>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</si>
  <si>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</si>
  <si>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</si>
  <si>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</si>
  <si>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</si>
  <si>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</si>
  <si>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</si>
  <si>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</si>
  <si>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</si>
  <si>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</si>
  <si>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</si>
  <si>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</si>
  <si>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</si>
  <si>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</si>
  <si>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</si>
  <si>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</si>
  <si>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</si>
  <si>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ENE
2015</t>
  </si>
  <si>
    <t>FEB
2015</t>
  </si>
  <si>
    <t>MAR
2015</t>
  </si>
  <si>
    <t>ABR
2015</t>
  </si>
  <si>
    <t>MAY
2015</t>
  </si>
  <si>
    <t>JUN
2015</t>
  </si>
  <si>
    <t>JUL
2015</t>
  </si>
  <si>
    <t>AGO
2015</t>
  </si>
  <si>
    <t>SEP
2015</t>
  </si>
  <si>
    <t>OCT
2015</t>
  </si>
  <si>
    <t>NOV
2015</t>
  </si>
  <si>
    <t>DIC
2015</t>
  </si>
  <si>
    <t>SUMA
2015</t>
  </si>
  <si>
    <t>CL_9_</t>
  </si>
  <si>
    <t>Rancho La Cuchilla No. 9</t>
  </si>
  <si>
    <t>Martín del Campo</t>
  </si>
  <si>
    <t>CL_11_</t>
  </si>
  <si>
    <t>Rancho La Cuchilla No. 11</t>
  </si>
  <si>
    <t>Santiago</t>
  </si>
  <si>
    <t>CL_17_A</t>
  </si>
  <si>
    <t>CL_25_</t>
  </si>
  <si>
    <t>Rancho La Cuchilla No. 25</t>
  </si>
  <si>
    <t>García de León</t>
  </si>
  <si>
    <t>CL_31_</t>
  </si>
  <si>
    <t>Rancho La Cuchilla No. 31</t>
  </si>
  <si>
    <t>Lince</t>
  </si>
  <si>
    <t>CL_57_</t>
  </si>
  <si>
    <t>Rancho La Cuchilla No. 57</t>
  </si>
  <si>
    <t>CL_60_</t>
  </si>
  <si>
    <t>Rancho La Cuchilla No. 60</t>
  </si>
  <si>
    <t>CL_62_</t>
  </si>
  <si>
    <t>Rancho La Cuchilla No. 62</t>
  </si>
  <si>
    <t>CL_63_</t>
  </si>
  <si>
    <t>Rancho La Cuchilla No. 63</t>
  </si>
  <si>
    <t>Díaz de la Rosa</t>
  </si>
  <si>
    <t>CL_65_</t>
  </si>
  <si>
    <t>Rancho La Cuchilla No. 65</t>
  </si>
  <si>
    <t>CL_70_</t>
  </si>
  <si>
    <t>Rancho La Cuchilla No. 70</t>
  </si>
  <si>
    <t>CL_76_</t>
  </si>
  <si>
    <t>Rancho La Cuchilla No. 76</t>
  </si>
  <si>
    <t>De La Rosa</t>
  </si>
  <si>
    <t>CL_81_B</t>
  </si>
  <si>
    <t>Rancho La Cuchilla No. 81, B</t>
  </si>
  <si>
    <t>Suarez</t>
  </si>
  <si>
    <t>CL_83_</t>
  </si>
  <si>
    <t>Rancho La Cuchilla No. 83</t>
  </si>
  <si>
    <t>Barradas</t>
  </si>
  <si>
    <t>CL_88_</t>
  </si>
  <si>
    <t>Rancho La Cuchilla No. 88</t>
  </si>
  <si>
    <t>CL_95_</t>
  </si>
  <si>
    <t>Rancho La Cuchilla No. 95</t>
  </si>
  <si>
    <t>CL_101_</t>
  </si>
  <si>
    <t>Rancho La Cuchilla No. 101</t>
  </si>
  <si>
    <t>Rodríguez Ramírez</t>
  </si>
  <si>
    <t>CL_107_</t>
  </si>
  <si>
    <t>Rancho La Cuchilla No. 107</t>
  </si>
  <si>
    <t>Olivares Rivera</t>
  </si>
  <si>
    <t>Rancho la Cuchilla No. 112, PA</t>
  </si>
  <si>
    <t>CL_119_</t>
  </si>
  <si>
    <t>Rancho La Cuchilla No. 119</t>
  </si>
  <si>
    <t>Vilchis</t>
  </si>
  <si>
    <t>CL_131_</t>
  </si>
  <si>
    <t>Rancho La Cuchilla No. 131</t>
  </si>
  <si>
    <t>Cabrera Marquez</t>
  </si>
  <si>
    <t>CL_137_</t>
  </si>
  <si>
    <t>Rancho La Cuchilla No. 137</t>
  </si>
  <si>
    <t>CL_144_</t>
  </si>
  <si>
    <t>Rancho La Cuchilla No. 144</t>
  </si>
  <si>
    <t>Operadores Maritimos y de L</t>
  </si>
  <si>
    <t>CL_terreno_</t>
  </si>
  <si>
    <t>Rancho La Cuchilla No. terreno</t>
  </si>
  <si>
    <t>Martínez Flores</t>
  </si>
  <si>
    <t>EP_15_</t>
  </si>
  <si>
    <t>Rancho Estopila No. 15</t>
  </si>
  <si>
    <t>Zhang</t>
  </si>
  <si>
    <t>EP_44_</t>
  </si>
  <si>
    <t>Rancho Estopila No. 44</t>
  </si>
  <si>
    <t>Christian</t>
  </si>
  <si>
    <t>EZ_5_A</t>
  </si>
  <si>
    <t>Rancho Estanzuela No. 5, A</t>
  </si>
  <si>
    <t>Zapata</t>
  </si>
  <si>
    <t>EZ_5_B</t>
  </si>
  <si>
    <t>Rancho Estanzuela No. 5, B</t>
  </si>
  <si>
    <t>Juárez Guerrero</t>
  </si>
  <si>
    <t>EZ_41_</t>
  </si>
  <si>
    <t>Rancho Estanzuela No. 41</t>
  </si>
  <si>
    <t>EZ_43_</t>
  </si>
  <si>
    <t>Rancho Estanzuela No. 43</t>
  </si>
  <si>
    <t>EZ_45_</t>
  </si>
  <si>
    <t>Rancho Estanzuela No. 45</t>
  </si>
  <si>
    <t>EZ_49_</t>
  </si>
  <si>
    <t>Rancho Estanzuela No. 49</t>
  </si>
  <si>
    <t>Sánchez Zamora</t>
  </si>
  <si>
    <t>EZ_59_</t>
  </si>
  <si>
    <t>Rancho Estanzuela No. 59</t>
  </si>
  <si>
    <t>EZ_73_</t>
  </si>
  <si>
    <t>Rancho Estanzuela No. 73</t>
  </si>
  <si>
    <t>Salcedo García</t>
  </si>
  <si>
    <t>EZ_97_</t>
  </si>
  <si>
    <t>Rancho Estanzuela No. 97</t>
  </si>
  <si>
    <t>Bolaños</t>
  </si>
  <si>
    <t>EZ_123_</t>
  </si>
  <si>
    <t>Rancho Estanzuela No. 123</t>
  </si>
  <si>
    <t>Monitorial</t>
  </si>
  <si>
    <t>EZ_130_B</t>
  </si>
  <si>
    <t>Rancho Estanzuela No. 130, B</t>
  </si>
  <si>
    <t>EZ_133_B</t>
  </si>
  <si>
    <t>EZ_147_3</t>
  </si>
  <si>
    <t>Rancho Estanzuela No. 147, 3</t>
  </si>
  <si>
    <t>Corrales</t>
  </si>
  <si>
    <t>EZ_153_</t>
  </si>
  <si>
    <t>Rancho Estanzuela No. 153</t>
  </si>
  <si>
    <t>Torres Cázares</t>
  </si>
  <si>
    <t>EZ_161_B</t>
  </si>
  <si>
    <t>Rancho Estanzuela No. 161, B</t>
  </si>
  <si>
    <t>Pomián</t>
  </si>
  <si>
    <t>EZ_165_A</t>
  </si>
  <si>
    <t>Rancho Estanzuela No. 165, A</t>
  </si>
  <si>
    <t>Campos Jorge</t>
  </si>
  <si>
    <t>HS_828_</t>
  </si>
  <si>
    <t>Calzada del Hueso No. 828</t>
  </si>
  <si>
    <t>Cervantes, Miguel</t>
  </si>
  <si>
    <t>HS_846_</t>
  </si>
  <si>
    <t>Calzada del Hueso No. 846</t>
  </si>
  <si>
    <t>Carreño Solís</t>
  </si>
  <si>
    <t>HS_B_</t>
  </si>
  <si>
    <t>Calzada del Hueso No. B</t>
  </si>
  <si>
    <t>KB TEL Telecomunicaciones</t>
  </si>
  <si>
    <t>HS_C_</t>
  </si>
  <si>
    <t>Calzada del Hueso No. C</t>
  </si>
  <si>
    <t>Estética</t>
  </si>
  <si>
    <t>LD_1_B</t>
  </si>
  <si>
    <t>Rancho Landero No. 1, B</t>
  </si>
  <si>
    <t>Rancho Landero No. 2_1</t>
  </si>
  <si>
    <t>Rancho Landero No. 2_2</t>
  </si>
  <si>
    <t>Beatriz Gonzalez</t>
  </si>
  <si>
    <t>LD_2_A</t>
  </si>
  <si>
    <t>LD_13_</t>
  </si>
  <si>
    <t>Rancho Landero No. 13</t>
  </si>
  <si>
    <t>LD_41_</t>
  </si>
  <si>
    <t>Rancho Landero No. 41</t>
  </si>
  <si>
    <t>LD_49_</t>
  </si>
  <si>
    <t>Rancho Landero No. 49</t>
  </si>
  <si>
    <t>LD_50_</t>
  </si>
  <si>
    <t>Rancho Landero No. 50</t>
  </si>
  <si>
    <t>Colín</t>
  </si>
  <si>
    <t>LD_54_1</t>
  </si>
  <si>
    <t>Rancho Landero No. 54, 1</t>
  </si>
  <si>
    <t>Montes de Oca</t>
  </si>
  <si>
    <t>LD_64_</t>
  </si>
  <si>
    <t>Rancho Landero No. 64</t>
  </si>
  <si>
    <t>Ocampo Melchor</t>
  </si>
  <si>
    <t>LD_66_</t>
  </si>
  <si>
    <t>Rancho Landero No. 66</t>
  </si>
  <si>
    <t>RM_23_A</t>
  </si>
  <si>
    <t>Rancho Romeral No. 23, A</t>
  </si>
  <si>
    <t>RM_58_</t>
  </si>
  <si>
    <t>Rancho Romeral No. 58</t>
  </si>
  <si>
    <t>RV_2_</t>
  </si>
  <si>
    <t>Rancho Recoveco No. 2</t>
  </si>
  <si>
    <t>Cortes Garduño</t>
  </si>
  <si>
    <t>UP_9_</t>
  </si>
  <si>
    <t>Rancho Upácuaro No. 9</t>
  </si>
  <si>
    <t>Núñez</t>
  </si>
  <si>
    <t>UP_16_</t>
  </si>
  <si>
    <t>Rancho Upácuaro No. 16</t>
  </si>
  <si>
    <t>UP_20_</t>
  </si>
  <si>
    <t>Rancho Upácuaro No. 20</t>
  </si>
  <si>
    <t>Villaseñor Jorge</t>
  </si>
  <si>
    <t>UP_24_</t>
  </si>
  <si>
    <t>Rancho Upácuaro No. 24</t>
  </si>
  <si>
    <t>Parra</t>
  </si>
  <si>
    <t>UP_34_</t>
  </si>
  <si>
    <t>Rancho Upácuaro No. 34</t>
  </si>
  <si>
    <t>Gómez González</t>
  </si>
  <si>
    <t>UP_35_</t>
  </si>
  <si>
    <t>Rancho Upácuaro No. 35</t>
  </si>
  <si>
    <t>UP_48_</t>
  </si>
  <si>
    <t>Rancho Upácuaro No. 48</t>
  </si>
  <si>
    <t>Bernal</t>
  </si>
  <si>
    <t>UP_55_</t>
  </si>
  <si>
    <t>Rancho Upácuaro No. 55</t>
  </si>
  <si>
    <t>Ávila</t>
  </si>
  <si>
    <t>UP_56_</t>
  </si>
  <si>
    <t>Rancho Upácuaro No. 56</t>
  </si>
  <si>
    <t>UP_57_</t>
  </si>
  <si>
    <t>Rancho Upácuaro No. 57</t>
  </si>
  <si>
    <t>UP_71_</t>
  </si>
  <si>
    <t>Rancho Upácuaro No. 71</t>
  </si>
  <si>
    <t>Trejo Méndez</t>
  </si>
  <si>
    <t>UP_72_</t>
  </si>
  <si>
    <t>Rancho Upácuaro No. 72</t>
  </si>
  <si>
    <t>De la Chica</t>
  </si>
  <si>
    <t>UP_91_</t>
  </si>
  <si>
    <t>Rancho Upácuaro No. 91</t>
  </si>
  <si>
    <t>Mallen Aponte</t>
  </si>
  <si>
    <t>UP_92_</t>
  </si>
  <si>
    <t>Rancho Upácuaro No. 92</t>
  </si>
  <si>
    <t>Díaz Jiménez</t>
  </si>
  <si>
    <t>UP_102_</t>
  </si>
  <si>
    <t>Rancho Upácuaro No. 102</t>
  </si>
  <si>
    <t>UP_122_</t>
  </si>
  <si>
    <t>Rancho Upácuaro No. 122</t>
  </si>
  <si>
    <t>UP_144_</t>
  </si>
  <si>
    <t>Rancho Upácuaro No. 144</t>
  </si>
  <si>
    <t>UP_148_</t>
  </si>
  <si>
    <t>Rancho Upácuaro No. 148</t>
  </si>
  <si>
    <t>ZB_18_</t>
  </si>
  <si>
    <t>Rancho Zinamba No. 18</t>
  </si>
  <si>
    <t>Hernández Castro</t>
  </si>
  <si>
    <t>ZB_30_</t>
  </si>
  <si>
    <t>Rancho Zinamba No. 30</t>
  </si>
  <si>
    <t xml:space="preserve">Arroyo </t>
  </si>
  <si>
    <t>ZB_54_</t>
  </si>
  <si>
    <t>Rancho Zinamba No. 54</t>
  </si>
  <si>
    <t>ZB_56_</t>
  </si>
  <si>
    <t>Rancho Zinamba No. 56</t>
  </si>
  <si>
    <t>Aguado</t>
  </si>
  <si>
    <t>ZB_58_</t>
  </si>
  <si>
    <t>Rancho Zinamba No. 58</t>
  </si>
  <si>
    <t>Almaraz Morales</t>
  </si>
  <si>
    <t>Haciendas de Coyoacán</t>
  </si>
  <si>
    <t>Cuotas de vigilancia y mantenimiento</t>
  </si>
  <si>
    <t>mes</t>
  </si>
  <si>
    <t>financiero</t>
  </si>
  <si>
    <t>distribución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</si>
  <si>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</si>
  <si>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</si>
  <si>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</si>
  <si>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</si>
  <si>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</si>
  <si>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</si>
  <si>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</si>
  <si>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</si>
  <si>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</si>
  <si>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</si>
  <si>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</si>
  <si>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</si>
  <si>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</t>
  </si>
  <si>
    <t>N°</t>
  </si>
  <si>
    <t>Cambio de número de vivienda de 2 a 28. BS 14JUN13</t>
  </si>
  <si>
    <t>Agregado el 14JUN13. BS</t>
  </si>
  <si>
    <t>Se cambio nombre el dìa 24/jul/16 GM</t>
  </si>
  <si>
    <t>Agregado el 16ENE15. GM</t>
  </si>
  <si>
    <t>Se cambiaron familia nueva 02/08/15</t>
  </si>
  <si>
    <t>Agregado Julio/14    cambio de inquilino 07-09-15 GMS</t>
  </si>
  <si>
    <t>Agregado Julio/14    (cambio de inquilino 20-12-15 GMS)</t>
  </si>
  <si>
    <t>El número de la vivienda cambia de 5 a 15. BS 14JUN13</t>
  </si>
  <si>
    <t>Se agregò el 24 abril/16 GMS</t>
  </si>
  <si>
    <t>Se agrego el 21 marzo/15 GMS</t>
  </si>
  <si>
    <t>Se agrego el 28 marzo/15 GMS</t>
  </si>
  <si>
    <t>Cambio de familia el 21 de mayo/16 antes Fam. Chavero</t>
  </si>
  <si>
    <t>Agregado el 14JUN13. BS/ Cambio fam. El 04 de julio/16</t>
  </si>
  <si>
    <t>Antes Fam. Lopez Tovar ahora es Fam. Crespo GMS 26-06-16</t>
  </si>
  <si>
    <t>Agregado el 19 JUN/16 GM</t>
  </si>
  <si>
    <t>Agregado el 20 JULIO/15 GM</t>
  </si>
  <si>
    <t>Bueno Rendón</t>
  </si>
  <si>
    <t>Se cambio nombre el dia 20/10/15</t>
  </si>
  <si>
    <t>Se desagrupa en tres viviendas diferentes. BS 14JUN13</t>
  </si>
  <si>
    <t xml:space="preserve">Cambio de familia el 12/06/16 </t>
  </si>
  <si>
    <t>LA BASE DE DASTOS NO TIENE CUOTA</t>
  </si>
  <si>
    <t>antes Conde</t>
  </si>
  <si>
    <t>Agrego GMS 07-09-15</t>
  </si>
  <si>
    <t>Agregado el 29JUL13. BS</t>
  </si>
  <si>
    <t>Agregado el 03/10/16 GM</t>
  </si>
  <si>
    <t>Agregado el 17 NOVIEMBRE 15 GMS</t>
  </si>
  <si>
    <t>Agregado el 21 Mayo 15 GM</t>
  </si>
  <si>
    <t>Cambio de familia 06-06-16 antes Peña Torres</t>
  </si>
  <si>
    <t>Cambio de familia 20-09-15 GMS</t>
  </si>
  <si>
    <t>Antes Fam. Hernàndez Horta ahora Cortes Sanchez 22-05-16</t>
  </si>
  <si>
    <t>Familia nueva 28-08-16 GMS</t>
  </si>
  <si>
    <t>Familia nueva 17-07-16 GMS</t>
  </si>
  <si>
    <t>Agregado el 14JUN13. BS   cambui el nombre el 03/07/16</t>
  </si>
  <si>
    <t>El número de la vivienda cambia de 123 A a 23 A. BS 14JUN13</t>
  </si>
  <si>
    <t>27oct 13 pagódueño Roberto Andres Aguilar, aut B. Sala</t>
  </si>
  <si>
    <t>Cambio de familia 15/oct/15 GMS</t>
  </si>
  <si>
    <t>Familia nueva 07-09-15 GMS</t>
  </si>
  <si>
    <t>Cambio de familia 20/12/15 GMS</t>
  </si>
  <si>
    <t>Rancho La Cuchilla No. 17, A</t>
  </si>
  <si>
    <t>Rancho Estanzuela No. 133, B</t>
  </si>
  <si>
    <t>FECHA
EMISIÓN</t>
  </si>
  <si>
    <t>FECHA
OPERACIÓN</t>
  </si>
  <si>
    <t>CHEQUE
No.</t>
  </si>
  <si>
    <t>NOMBRE / BENEFICIARIO</t>
  </si>
  <si>
    <t>CONCEPTO</t>
  </si>
  <si>
    <t>DEPÓSITO</t>
  </si>
  <si>
    <t>RETIRO</t>
  </si>
  <si>
    <t>SALDO</t>
  </si>
  <si>
    <t>Depósito en efectivo</t>
  </si>
  <si>
    <t>Alberto Augusto Fuentes Herrera</t>
  </si>
  <si>
    <t>Cuota de vigilancia y mantenimiento</t>
  </si>
  <si>
    <t>Remanente identificador</t>
  </si>
  <si>
    <t>G_P_Fin</t>
  </si>
  <si>
    <t>Familia Vega Sánchez C.</t>
  </si>
  <si>
    <t>Sistemas inteligentes en Seguridad</t>
  </si>
  <si>
    <t>Instalación de cámaras</t>
  </si>
  <si>
    <t>Comisión por cheques expedidos</t>
  </si>
  <si>
    <t>I.V.A. sobre comisiones</t>
  </si>
  <si>
    <t>IVA</t>
  </si>
  <si>
    <t>Lic. Manuel García</t>
  </si>
  <si>
    <t>Notaría</t>
  </si>
  <si>
    <t>G_ASLE</t>
  </si>
  <si>
    <t>Norma Lorena González Arevyan</t>
  </si>
  <si>
    <t>Comisión por expedición de estado de cuenta</t>
  </si>
  <si>
    <t>Lic. Manuel Ruiz</t>
  </si>
  <si>
    <t>Gastos de notaría</t>
  </si>
  <si>
    <t>INFRA</t>
  </si>
  <si>
    <r>
      <t>Instalación de 16 cámaras (3</t>
    </r>
    <r>
      <rPr>
        <vertAlign val="superscript"/>
        <sz val="10"/>
        <color theme="1"/>
        <rFont val="Tahoma"/>
        <family val="2"/>
      </rPr>
      <t>era</t>
    </r>
    <r>
      <rPr>
        <sz val="10"/>
        <color theme="1"/>
        <rFont val="Tahoma"/>
        <family val="2"/>
      </rPr>
      <t>. etapa)</t>
    </r>
  </si>
  <si>
    <t>Cuota de vigilancia y mantenimiento julio 2013</t>
  </si>
  <si>
    <t>Cuotas recibidas en cheque</t>
  </si>
  <si>
    <t>Cuota de vigilancia y mantenimiento julio de 2013</t>
  </si>
  <si>
    <t>Cuota de vigilancia y mantenimiento mayo - agosto 2013</t>
  </si>
  <si>
    <t>Cuota de vigilancia y mantenimiento agosto 2013</t>
  </si>
  <si>
    <t>Cuota de vigilancia y mantenimiento agosto de 2013</t>
  </si>
  <si>
    <t>Cuota de vigilancia y mantenimiento Septiembre 2013</t>
  </si>
  <si>
    <t>Cuota de vigilancia y mantenimiento septiembre 2013</t>
  </si>
  <si>
    <t>Cuota de vigilancia y mantenimiento septiembre de 2013</t>
  </si>
  <si>
    <t>Cuota de vigilancia y mantenimiento septiembre-octubre 2013</t>
  </si>
  <si>
    <t>Cuota de vigilancia y mantenimiento octubre 2013</t>
  </si>
  <si>
    <t>Cuota de vigilancia y mantenimiento octubre de 2013</t>
  </si>
  <si>
    <t>Cuota de vigilancia y mantenimiento Octubre 2013</t>
  </si>
  <si>
    <t>Cuota de vigilancia y mantenimiento noviembre 2013</t>
  </si>
  <si>
    <t>Cuota de vigilancia y mantenimiento noviembre de 2013</t>
  </si>
  <si>
    <t>Cabello, Eduardo</t>
  </si>
  <si>
    <t>Cuota de vigilancia y mantenimiento OCT - DIC 2013</t>
  </si>
  <si>
    <t>Pagó con cheque No. 124 del Banco Inbursa</t>
  </si>
  <si>
    <t>Cuota de vigilancia y mantenimiento Diciembre 2013</t>
  </si>
  <si>
    <t>Cuota de vigilancia y mantenimiento diciembre de 2013</t>
  </si>
  <si>
    <t>Baldemar Sala Bay</t>
  </si>
  <si>
    <t>Fondo operativo</t>
  </si>
  <si>
    <t>Pedro Perez Reséndiz</t>
  </si>
  <si>
    <t>Gratificación por renuncia especial</t>
  </si>
  <si>
    <t>G_NMNVG</t>
  </si>
  <si>
    <t>Jesús Ivan Hernandez Garcia</t>
  </si>
  <si>
    <t>Comisión Cheque expedido</t>
  </si>
  <si>
    <t>IVA sobre cheque expedido</t>
  </si>
  <si>
    <t>Francisco Razo Luquin</t>
  </si>
  <si>
    <t>Cuota de vigilancia y mantenimiento Enero 2014</t>
  </si>
  <si>
    <t>Deposito Bancario Cuotas</t>
  </si>
  <si>
    <t xml:space="preserve">Deposito Cheque Banorte </t>
  </si>
  <si>
    <t xml:space="preserve">Deposito cheque local </t>
  </si>
  <si>
    <t>Pago de nómima 1a quincena de enero14 Grupo Gama</t>
  </si>
  <si>
    <t>Famlilia Moreno</t>
  </si>
  <si>
    <t>Deposito Cheque Santander</t>
  </si>
  <si>
    <t>Familia Roldán Flores</t>
  </si>
  <si>
    <t>Deposito Banamex Cuotas</t>
  </si>
  <si>
    <t>Familia Sala</t>
  </si>
  <si>
    <t>Guardias y Custodias Privadas Gama</t>
  </si>
  <si>
    <t>Pago de nómima 2a quincena de enero/14 Grupo Gama</t>
  </si>
  <si>
    <t>Cuota de vigilancia y mantenimiento Febrero/14</t>
  </si>
  <si>
    <t>Cuota de vigilancia y mantenimiento enero de 2014</t>
  </si>
  <si>
    <t>I.V.A. sobre cuota de mantenimiento</t>
  </si>
  <si>
    <t>Banorte</t>
  </si>
  <si>
    <t>Comisión estado de cuenta</t>
  </si>
  <si>
    <t>IVA sobre estado de cuenta</t>
  </si>
  <si>
    <t>Pago de nómina 1a quincena de Febrero/14 Grupo Gama</t>
  </si>
  <si>
    <t>Cuota de vigilancia y mantenimiento febrero de 2014</t>
  </si>
  <si>
    <t>Familia Arauz</t>
  </si>
  <si>
    <t>Cuota de vigilancia y mantenimiento 2014</t>
  </si>
  <si>
    <t>Llave</t>
  </si>
  <si>
    <t>Familia Macias</t>
  </si>
  <si>
    <t>Cuota de Vigilancia y mantenimiento Feb. Mar y Abr/14</t>
  </si>
  <si>
    <t>IVA sobre comisión estado de cuenta</t>
  </si>
  <si>
    <t>Pago de nómina 2a quincena de Febrero/14 Grupo Gama</t>
  </si>
  <si>
    <t>Deposito Banacario Cuotas</t>
  </si>
  <si>
    <t>Familia Arámburu C</t>
  </si>
  <si>
    <t>Comisión sobre cheque expedido</t>
  </si>
  <si>
    <t>Pago del fraude cometido por el Ing Peláez</t>
  </si>
  <si>
    <t>IVA Comisión estado de cuenta</t>
  </si>
  <si>
    <t>Comisión copia</t>
  </si>
  <si>
    <t>IVA sobre comisión por copia</t>
  </si>
  <si>
    <t>IVA sobre comisión</t>
  </si>
  <si>
    <t>Pago de nómina 1a quincena de Marzo/14 Grupo Gama</t>
  </si>
  <si>
    <t>Cuota de vigilancia y mantenimiento abirl/14</t>
  </si>
  <si>
    <t>Cuota de vigilancia y mantenimiento marzo de 2014</t>
  </si>
  <si>
    <t>IVA Comisión cheque expedido</t>
  </si>
  <si>
    <t>Pago de nómina 2a quincena de Marzo/14 Grupo Gama</t>
  </si>
  <si>
    <t>Se desconoce de quien es</t>
  </si>
  <si>
    <t>Cuota de vigilancia y mantenimiento marzo 2014</t>
  </si>
  <si>
    <t>Cuota de vigilancia y mantenimiento abril/14</t>
  </si>
  <si>
    <t>Pago de nomina 1a quincena de abril/14 Grupo Gama</t>
  </si>
  <si>
    <t>Cheque local</t>
  </si>
  <si>
    <t>Pago de nómina 2a quincena de abril/14 Grupo Gama</t>
  </si>
  <si>
    <t>Cuota de vigilancia y manto nov/dic/13 ene/ feb/14</t>
  </si>
  <si>
    <t>Cuota de vigilancia y mantenimiento mayo/14</t>
  </si>
  <si>
    <t>Deposito el Dr. Oscar Roldan</t>
  </si>
  <si>
    <t>Pago nómina 1a quincena  de may/14 Grupo Gama</t>
  </si>
  <si>
    <t>Cuota de vigilancia y mantenimiento abril de 2014</t>
  </si>
  <si>
    <t>Cuota de vigilancia y mantenimiento mayo de 2014</t>
  </si>
  <si>
    <t>Pago nómina 2a quincena  de may/14 Grupo Gama</t>
  </si>
  <si>
    <t>Comisión de estado de cuenta</t>
  </si>
  <si>
    <t>IVA Comisión por estado de cuenta</t>
  </si>
  <si>
    <t>Cuota de vigilancia y mantenimiento junio/14</t>
  </si>
  <si>
    <t>Cuota de vigilancia y mant mayo/junio/14</t>
  </si>
  <si>
    <t>Cobráron el Dr. Oscar Roldan  y Sr. Baldemar Sala</t>
  </si>
  <si>
    <t>Cuota de vigilancia y mantenimiento junio de 2014</t>
  </si>
  <si>
    <t>Cobraron el Dr. Oscar Roldan  y Sr. Baldemar Sala</t>
  </si>
  <si>
    <t>Comisión cheque expedido</t>
  </si>
  <si>
    <t>Cuota de vigilancia y mantenimiento jullio/14</t>
  </si>
  <si>
    <t>Cuota de vigilancia y mantenimiento agosto/14</t>
  </si>
  <si>
    <t>Deposito del Dr. Oscar Roldan</t>
  </si>
  <si>
    <t>Cuota de vigilancia y mantenimiento julio de 2014</t>
  </si>
  <si>
    <t xml:space="preserve"> </t>
  </si>
  <si>
    <t>Cuota de vig y manto de feb a sept/14 $ 300 por mes</t>
  </si>
  <si>
    <t>Cuota de vigilancia y mantenimiento agosto de 2014</t>
  </si>
  <si>
    <t>Cuota de vigilancia y mantenimiento septiembre/14</t>
  </si>
  <si>
    <t>Cuota de vigilancia y mant  julio/agosto/septiembre/14</t>
  </si>
  <si>
    <t>Cuota de vigilancia y mantenimiento septiembre de 2014</t>
  </si>
  <si>
    <t>Cuota de vigilancia y mantenimiento octubre/14</t>
  </si>
  <si>
    <t>Cuota de vigilancia y mantenimineto octubre/14</t>
  </si>
  <si>
    <t>Cuota de vigilancia y mantenimiento octubre de 2014</t>
  </si>
  <si>
    <t>Cuota de vigilancia y mantenimiento noviembre/14</t>
  </si>
  <si>
    <t>Cuota de vigilancia y mantenimiento diciembre/14</t>
  </si>
  <si>
    <t>Com. Chq. Exped. Liq.2014</t>
  </si>
  <si>
    <t>I.V.A. Liq. 2014</t>
  </si>
  <si>
    <t>Cuota de vigilancia y mantenimiento enero/15</t>
  </si>
  <si>
    <t>Familia Velero</t>
  </si>
  <si>
    <t>Cuota de vigilancia y mantenimiento dic/14 y ene/15</t>
  </si>
  <si>
    <t>Familia Roy Sanchez</t>
  </si>
  <si>
    <t>Cuota de vigilancia y mantenimiento oct/nov/dic/14</t>
  </si>
  <si>
    <t>Familia Aparicio</t>
  </si>
  <si>
    <t>Cuota de vigilancia y mantenimiento enero a diciembre/15</t>
  </si>
  <si>
    <t>Familia Salazar Torres</t>
  </si>
  <si>
    <t>Cuota de vigilancia y mantienimiento enero a diciembre/15</t>
  </si>
  <si>
    <t>Cuota de vigilancia y mantenimeinto enero/15</t>
  </si>
  <si>
    <t>IIVA</t>
  </si>
  <si>
    <t>Cuota de vigilancia y mantenimiento febrero/15</t>
  </si>
  <si>
    <t>Cuota de vigilancia y mantenimeinto marzo/15</t>
  </si>
  <si>
    <t>EFECTIVO</t>
  </si>
  <si>
    <t>Dr. Oscar Roldan</t>
  </si>
  <si>
    <t>De varios mantenimientos</t>
  </si>
  <si>
    <t>Paga ene/feb/mar/15 $ 400 por mes con el recibo #9136</t>
  </si>
  <si>
    <t>EZ_100</t>
  </si>
  <si>
    <t>Cuota de vigilancia y mantenimineto febrero/15</t>
  </si>
  <si>
    <t>Fam Flores</t>
  </si>
  <si>
    <t>Pago anualidad pago con el recibo # 8973</t>
  </si>
  <si>
    <t>Cuervo Canton</t>
  </si>
  <si>
    <t>Pago de enero a agosto/15 con el recibo # 9014</t>
  </si>
  <si>
    <t>Pago cuota ene/feb/mar/abr/may/jun/15 $ 400 por mes recibo #9229</t>
  </si>
  <si>
    <t>Pago cuota ene/feb/15 $ 400 por mes recibo # 9079</t>
  </si>
  <si>
    <t>Roy Sanchez</t>
  </si>
  <si>
    <t>Pago ene/feb/mar/15 $ 400 por mes recibo # 8921</t>
  </si>
  <si>
    <t xml:space="preserve">Cuota de vigilancia y mantenimiento marzo/15   </t>
  </si>
  <si>
    <t>Cuota de vigilancia y mantenimiento abril/15 con el recibo # 9254</t>
  </si>
  <si>
    <t>Famila Vega Sánchez C</t>
  </si>
  <si>
    <t>Cuota de vigilancia y mantenimiento marzo/15 con el recibo #9489</t>
  </si>
  <si>
    <t>Fam. Moreno Sanchez</t>
  </si>
  <si>
    <t>Cuota de vigilancia y mantenimineto ene/feb/mar/abr/15 recib #9275</t>
  </si>
  <si>
    <t>Cl_134_</t>
  </si>
  <si>
    <t>Cuota de vigilancia y mantenimiento abril/15</t>
  </si>
  <si>
    <t>Cuota de vigilancia y mantenimiento mayo/15</t>
  </si>
  <si>
    <t>Moen grupo industrial</t>
  </si>
  <si>
    <t>Ant al suministro y colocación de techado en policarbonato caseta RM</t>
  </si>
  <si>
    <t>Familia Escamilla Martínez</t>
  </si>
  <si>
    <t>Cuota de vigilancia y mantenimiento marzo/15</t>
  </si>
  <si>
    <t>Com. Chq. Exped. Liq.0531</t>
  </si>
  <si>
    <t>IVA 0531</t>
  </si>
  <si>
    <t xml:space="preserve">Cuota de vigilancia y mantienimiento oct/nov/dic/14 </t>
  </si>
  <si>
    <t xml:space="preserve">Cuota de vigilancia y mantenimieto junio/15 </t>
  </si>
  <si>
    <t>ClL_29_</t>
  </si>
  <si>
    <t>Familia Arias Monter</t>
  </si>
  <si>
    <t>Cuota de vigilancia y mantenimiento abr/may/jun/15 recibo #9575</t>
  </si>
  <si>
    <t>Familia Moreno</t>
  </si>
  <si>
    <t>Cuota de vigilancia y mantenimiento mar/abr/15 recibo # 9459</t>
  </si>
  <si>
    <t>Familia Roy Sánchez</t>
  </si>
  <si>
    <t>Cuota de vigilancia y mantenimiento abr/may/jun/jul/15 recibo 9492</t>
  </si>
  <si>
    <t>Cobrarón Dr. Roldan y el Sr. Baldemar Sala para gastos varios</t>
  </si>
  <si>
    <t>Cuota de vigilancia y mantenimiento juni/15</t>
  </si>
  <si>
    <t>Liq. Al suministro y colocación de techado en policarbonato caseta RM</t>
  </si>
  <si>
    <t>Ing Roberto Mendoza</t>
  </si>
  <si>
    <t>Liq con respecto a elevaciones y humdimientos de arrastes pluviales</t>
  </si>
  <si>
    <t>Familia Fierro Villaneda</t>
  </si>
  <si>
    <t>Cuota de vigilancia y mantenimiento de abril hasta diciembre/15</t>
  </si>
  <si>
    <t>Com. Chq. Exped.</t>
  </si>
  <si>
    <t>IVA por cheque exped.</t>
  </si>
  <si>
    <t>Dr. Oscar Roldan y Baldemar Sala</t>
  </si>
  <si>
    <t>Para gastos varios</t>
  </si>
  <si>
    <t>Cuota de vigilancia y mantenimiento jul/15 recibo # 9944</t>
  </si>
  <si>
    <t>Cuota de vigilancia y mantenimiento mes jul/15 recibo #9945</t>
  </si>
  <si>
    <t>Cuota de vigilancia y mantenimiento abr/may/jun/15 recibo #9946</t>
  </si>
  <si>
    <t>Paga mes mayo y junio</t>
  </si>
  <si>
    <t>I.V.A. por cheque exped.</t>
  </si>
  <si>
    <t xml:space="preserve">Cuota de vigilancia y mantenimiento mes ago/15 </t>
  </si>
  <si>
    <t>Cuota de vigilancia y mantenimiento mes jul/ago/sept/15</t>
  </si>
  <si>
    <t>Cuota de vigilancia y mantenimiento mes de julio/15</t>
  </si>
  <si>
    <t xml:space="preserve">Cuota de vigilancia y mantienimiento ene/feb/mar/15 </t>
  </si>
  <si>
    <t>Cuota de vigilancia y mantenimiento jul/ago/15 recibo #</t>
  </si>
  <si>
    <t xml:space="preserve">Cuota de vigilancia y mantenimiento sep/15 recibo # </t>
  </si>
  <si>
    <t>Cuota de vigilancia y mantenimiento mes abril/2015 recibbo #</t>
  </si>
  <si>
    <t>Cuota de vigilancia y mantenimiento mes de agosto/15</t>
  </si>
  <si>
    <t xml:space="preserve">Cuota de vigilancia y mantienimiento abr/may/jun/15 </t>
  </si>
  <si>
    <t>Cuota de vigilancia y manteminiento mes ago/sept/15</t>
  </si>
  <si>
    <t>Cuota de vigilancia y mantenimiento mes de septiembre/15</t>
  </si>
  <si>
    <t>Grisela Peralta</t>
  </si>
  <si>
    <t>Gastos varios</t>
  </si>
  <si>
    <t>Com. Che. Exped.</t>
  </si>
  <si>
    <t>Cuota de vigilancia y mantenimiento octubre de 2015</t>
  </si>
  <si>
    <t>Cuota de vigilancia y mantenimiento mes de octubre/15</t>
  </si>
  <si>
    <t>Cuota de vigilancia y mantenimineto mes de jul/ago/sep/15 #10341</t>
  </si>
  <si>
    <t>CL_34_</t>
  </si>
  <si>
    <t>Cuota de vigilancia y mantenimiento octubre</t>
  </si>
  <si>
    <t>Gastps varios</t>
  </si>
  <si>
    <t xml:space="preserve">Cuota de vigilancia y mantenimiento </t>
  </si>
  <si>
    <t>Fam. Cooper</t>
  </si>
  <si>
    <t xml:space="preserve">Cuota de vigilancia y mantenimiento año 2015 y 1 T.E. </t>
  </si>
  <si>
    <t>Fam. Vega Sánchez C.</t>
  </si>
  <si>
    <t>Cuota de vigilancia y mantenimiento noviembre/15</t>
  </si>
  <si>
    <t>Cuota de vigilancia y mantenimiento mes de noviembre</t>
  </si>
  <si>
    <t>Cuota de vigilancia y mantenimiento mes de sep/oct/15</t>
  </si>
  <si>
    <t xml:space="preserve">Gastos varios cobro de cheque # 245 </t>
  </si>
  <si>
    <t>Cuota de vigilancia y mantenimiento diciembre/15</t>
  </si>
  <si>
    <t>Gastos varios cobro de cheque # 247</t>
  </si>
  <si>
    <t xml:space="preserve">Baldemar Sala </t>
  </si>
  <si>
    <t>Cancelación cuenta bancaria en Banorte</t>
  </si>
  <si>
    <t>Gastos varios cobro de cheque # 249</t>
  </si>
  <si>
    <t>Cobro cheque cierre de cuenta</t>
  </si>
  <si>
    <t>Deposito en efectivo la cantidad de $ 10,583.18 y lo que se acumulo</t>
  </si>
  <si>
    <t>Atilano Limòn</t>
  </si>
  <si>
    <t>Cuota de vigilancia y mantenimiento ene/feb/mar/16</t>
  </si>
  <si>
    <t>Cuota de vigilancia y mantenimiento nov/dic/15</t>
  </si>
  <si>
    <t>Cuota de vigilancia y mantenimiento enero/16</t>
  </si>
  <si>
    <t>I.V.A. sobre cuota de mantienimiento</t>
  </si>
  <si>
    <t>Cuota de vigilancia y mantenimiento anualidad</t>
  </si>
  <si>
    <t>Cuota de vigilancia y mantenimiento febrero/16</t>
  </si>
  <si>
    <t>I.V.A sobre cuota de mantenimineto</t>
  </si>
  <si>
    <t>Cuota de vigilancia y mantenimiento feb/16</t>
  </si>
  <si>
    <t>Fam. Chavero Barrera</t>
  </si>
  <si>
    <t>Cuota de vigilancia y mantenimineto oct/nov/dic/15 y ene/16</t>
  </si>
  <si>
    <t>EZ_21</t>
  </si>
  <si>
    <t>Devolucion de cheque</t>
  </si>
  <si>
    <t>Cuota de vigilancia y mantenimiento marzo/16</t>
  </si>
  <si>
    <t>???????</t>
  </si>
  <si>
    <t>Cuota de vigilancia y mantenimiento marzo/16 recibo #11865</t>
  </si>
  <si>
    <t>Irma Monter Dipp</t>
  </si>
  <si>
    <t>Cobranza 3er domingo</t>
  </si>
  <si>
    <t>Ing. Jorge Luis Vàzquez Romero</t>
  </si>
  <si>
    <t xml:space="preserve">Pago por camara Estopila, tendido de cable, colocaciòn de la misma </t>
  </si>
  <si>
    <t xml:space="preserve">Com. Chq. Exp. </t>
  </si>
  <si>
    <t>I.V.A. com. Cheq. Exp.</t>
  </si>
  <si>
    <t>Cheque # 09 cambio de cheque cuenta Asociaciòn G.V. Grisela Peral</t>
  </si>
  <si>
    <t>Guardias y Custodìas Gama</t>
  </si>
  <si>
    <t>Liq. De la 2da. Quincena del marzo/16</t>
  </si>
  <si>
    <t>Cuota de vigilancia y mantenimieto marzo/16</t>
  </si>
  <si>
    <t>Contador Siegrist</t>
  </si>
  <si>
    <t>Pago del SAT, Colegio Carmel y pago de honorarios del mes de abril</t>
  </si>
  <si>
    <t>G_IVA</t>
  </si>
  <si>
    <t>Pago por bloquear tarjetas deudores</t>
  </si>
  <si>
    <t>Cuota de vigilancia y antenimiento abril/16</t>
  </si>
  <si>
    <t>I.VA. Sobre cuota de mantenimiento</t>
  </si>
  <si>
    <t>Fam. Atilano Limòn</t>
  </si>
  <si>
    <t>Cuota de vigilancia y mantenimiento abr/may/jun/16 $ 400 por mes</t>
  </si>
  <si>
    <t>Cuota de vigilancia y mantenimiento ene/feb/mar/abr/16 $ 400 x mes</t>
  </si>
  <si>
    <t>Pago mano de obra en colocaciòn de DVR dañado</t>
  </si>
  <si>
    <t>Compra de DVR AHD 1.0 MP 4 audios</t>
  </si>
  <si>
    <t>?????</t>
  </si>
  <si>
    <t>Cuota de vigilancia y mantenimiento de abril /16 Fam Hernàndez11856</t>
  </si>
  <si>
    <t>Liq. De la 2da. Quincena del abril/16</t>
  </si>
  <si>
    <t>Cuota de vigilancia y mantenimiento mayo/16</t>
  </si>
  <si>
    <t>Pago del SAT, retención I.V.A. Colegio Carmel del mes de mayo/16</t>
  </si>
  <si>
    <t>Pago de honorarios a contador Siegrist del mes de mayo/16</t>
  </si>
  <si>
    <t>G_HCTB</t>
  </si>
  <si>
    <t>Pago Advanced Servicio CCTV y Cómputo paro mantenimiento camaras</t>
  </si>
  <si>
    <t>Cuota dE vigilancia y mantenimiento mayo/16</t>
  </si>
  <si>
    <t>I.V.A. sobre cuotra de mantenimiento</t>
  </si>
  <si>
    <t>Pago Cerrajeria Gransur, compra de 30 llaves para puertas peatonales</t>
  </si>
  <si>
    <t>Cuota de vigilancia y mantenimiento abril y mayo/16 recibo #11867</t>
  </si>
  <si>
    <t>Banorte com. Chq. Exp.</t>
  </si>
  <si>
    <t>Banorte I.V.A. com. Chq. Exp.</t>
  </si>
  <si>
    <t>Advanced Servicio CCTV y Còmputo pago por bullet y doble forro</t>
  </si>
  <si>
    <t>Cuota de vigilancia y mantenimiento junio/16</t>
  </si>
  <si>
    <t>UP_16</t>
  </si>
  <si>
    <t>Jose Manuel Olivares, pago por pintar casetas</t>
  </si>
  <si>
    <t>Contador Siegris, pago de honorarios y pago del SAT $ 2,984.00</t>
  </si>
  <si>
    <t>Fernando Sosa, pago de acta circunstanciada por agreciòn de un vecino</t>
  </si>
  <si>
    <t>G_HJRD</t>
  </si>
  <si>
    <t>Cerrajeria Gransur, compra de 30 llaves</t>
  </si>
  <si>
    <t>G_ADQ</t>
  </si>
  <si>
    <t>Advanced Servicio CCTV y Còmputo, pago mano de obra en 3 circuitos</t>
  </si>
  <si>
    <t>Cuota de vigilancia y mantenimiento mes de junio/16</t>
  </si>
  <si>
    <t>Banorte com. Por cheq. Exped.</t>
  </si>
  <si>
    <t>Banorte I.V.A. por comisiòn de cheq. Exped</t>
  </si>
  <si>
    <t>Banorte com. Por estado de cuenta</t>
  </si>
  <si>
    <t>Banorte I.V.A. por comisiòn de estado de cuenta</t>
  </si>
  <si>
    <t>Cuota de vigilancia y mantenimiento julio/16</t>
  </si>
  <si>
    <t>Contador Siegrist, pago de honorarios  mes de julio/16</t>
  </si>
  <si>
    <t>Pago del SAT, retención I.V.A. Colegio Carmel del mes de julio/16</t>
  </si>
  <si>
    <t>Advanced Servicio CCTV y Cómputo, compra de 30 tarjetas electrónicas</t>
  </si>
  <si>
    <t>Banorte I.V.A. por comisión de cheq. Esped</t>
  </si>
  <si>
    <t>Cuota de vigilancia y marntenimiento agosto/16</t>
  </si>
  <si>
    <t>Cuota de vigilancia y mantenimiento mes de julio/16 Colegio Carmel</t>
  </si>
  <si>
    <t>Pago del SAT, retención I.V.A. Colegio Carmel del mes de agosto/16</t>
  </si>
  <si>
    <t>Contador Siegrist, pago de honorarios mes de agosto/16</t>
  </si>
  <si>
    <t>Cuota de vigilancia y mantenimiento mes de agosto/16</t>
  </si>
  <si>
    <t>Andrea Concepción Marque, pago de 1000 recibos cobranza</t>
  </si>
  <si>
    <t>Tecnoplaza Electrónica, S.A. de C.V. compra de 1 bobina</t>
  </si>
  <si>
    <t>Banorte com. Che. Exp.</t>
  </si>
  <si>
    <t>Banorte I.V.A. por comisión de cheq. Exped.</t>
  </si>
  <si>
    <t xml:space="preserve">Cuota de vigilancia y mantenimiento septiebre/16 </t>
  </si>
  <si>
    <t>Advanced Servicio CCTV y Cómputo, compra de transeptores para tendido</t>
  </si>
  <si>
    <t>Siegrist Contadores Publicos, pago de honorarios del es de septiebre/16</t>
  </si>
  <si>
    <t>SAT Servicio de Administración Tributaría, pago retención Carmel sep/16</t>
  </si>
  <si>
    <t>Cuota de vigilancia y mantenimiento mes de septiembre/16</t>
  </si>
  <si>
    <t>Motosierras y Equipos, compra desmelezadora Stihl para poda parque</t>
  </si>
  <si>
    <t>Ma. Teresa del Pozo, pago por fumigación de parque del fraccionamiento</t>
  </si>
  <si>
    <t>Advance Servcios CCTV y Cómputo, pago por tendido de camaras</t>
  </si>
  <si>
    <t>clave</t>
  </si>
  <si>
    <t>fecha</t>
  </si>
  <si>
    <t>Beneficiario</t>
  </si>
  <si>
    <t>Concepto</t>
  </si>
  <si>
    <t>Gasto</t>
  </si>
  <si>
    <t>I.V.A.</t>
  </si>
  <si>
    <t>Total</t>
  </si>
  <si>
    <t>G_MTPTA</t>
  </si>
  <si>
    <t>G_MTCST</t>
  </si>
  <si>
    <t>G_ORG</t>
  </si>
  <si>
    <t>G_PAPE</t>
  </si>
  <si>
    <t>G_ALMVG</t>
  </si>
  <si>
    <t>G_INFRA</t>
  </si>
  <si>
    <t>G_JDN</t>
  </si>
  <si>
    <t>G_CBR</t>
  </si>
  <si>
    <t>G_MTILM</t>
  </si>
  <si>
    <t>G_AGUA</t>
  </si>
  <si>
    <t>G_TLF</t>
  </si>
  <si>
    <t>G_UNF</t>
  </si>
  <si>
    <t>G_MDC</t>
  </si>
  <si>
    <t>G_MTCYP</t>
  </si>
  <si>
    <t>G_TRSP</t>
  </si>
  <si>
    <t>Luis Hernández</t>
  </si>
  <si>
    <t>Roberto Miranda</t>
  </si>
  <si>
    <t>Cerrajería Gran Sur</t>
  </si>
  <si>
    <t>G_MTLPZ</t>
  </si>
  <si>
    <t>Artículos de limpieza</t>
  </si>
  <si>
    <t>G_DIF</t>
  </si>
  <si>
    <t>Constantino Cabrera</t>
  </si>
  <si>
    <t>G_USB</t>
  </si>
  <si>
    <t>Mantenimiento de bicicletas</t>
  </si>
  <si>
    <t>G_MTCBQ</t>
  </si>
  <si>
    <t>G_SÑ</t>
  </si>
  <si>
    <t>Agua</t>
  </si>
  <si>
    <t>G_VRS</t>
  </si>
  <si>
    <t>The Home Depot</t>
  </si>
  <si>
    <t>Artemio Mora Torres</t>
  </si>
  <si>
    <t>G_P_FIN</t>
  </si>
  <si>
    <t>Siegrist Contadores Publicos</t>
  </si>
  <si>
    <t>Olegario Vázquez</t>
  </si>
  <si>
    <t>Electropura, S. de R.L. de C.V.</t>
  </si>
  <si>
    <t>Office Depot de México, S.A. de C.V.</t>
  </si>
  <si>
    <t>Advanced Servicio CCTV y Cómputo</t>
  </si>
  <si>
    <t>Nueva Walmart de México, S. de R.L. de C.V.</t>
  </si>
  <si>
    <t>Telefonos de México, S.A.B. de C.V.</t>
  </si>
  <si>
    <t>Compra de material de limpieza</t>
  </si>
  <si>
    <t>Pedro Cortes</t>
  </si>
  <si>
    <t>Manuel Olivares</t>
  </si>
  <si>
    <t xml:space="preserve">Panerías La Esperanza, S.A. de .C.V   </t>
  </si>
  <si>
    <t>Guardias y Custodias Privadas Gama, S.A. de C.V.</t>
  </si>
  <si>
    <t>Compra de 3 garrafones de agua</t>
  </si>
  <si>
    <t>Compra de 2 garrafones de agua</t>
  </si>
  <si>
    <t>Compra de 1 garrafon de agua</t>
  </si>
  <si>
    <t>Cadena comercial Oxxo, S.A. de C.V.</t>
  </si>
  <si>
    <t>Compra de 4 garrafones de agua</t>
  </si>
  <si>
    <t>Ferre Electrica Díaz</t>
  </si>
  <si>
    <t>Sabina Pérez González</t>
  </si>
  <si>
    <t>Miguel Angel Balderas</t>
  </si>
  <si>
    <t>Compra de papelería</t>
  </si>
  <si>
    <t>SAT Servicio de Administración Tributaria</t>
  </si>
  <si>
    <t>Gloria Mazzón Soto</t>
  </si>
  <si>
    <t>Grisela Peralta Portugal</t>
  </si>
  <si>
    <t>Servicio Robledo, S.A. de .C.V</t>
  </si>
  <si>
    <t>Compra de 5 garrafones de agua</t>
  </si>
  <si>
    <t>Pago de 3 garrafones de agua</t>
  </si>
  <si>
    <t>Patrulla 007</t>
  </si>
  <si>
    <t>Compra de agua y refresco para la Mesa Directiva</t>
  </si>
  <si>
    <t>Pago de estacionamiento</t>
  </si>
  <si>
    <t>Estacionamiento</t>
  </si>
  <si>
    <t>Tradición en Pastelería, S.A. de C.V.</t>
  </si>
  <si>
    <t>Junta quincenal Mesa Directiva</t>
  </si>
  <si>
    <t>Fuentes Plaza, A.C.</t>
  </si>
  <si>
    <t>Pago de 2 garrafones de agua</t>
  </si>
  <si>
    <t>Compra de agua para la Mesa Directiva y Vigilancia</t>
  </si>
  <si>
    <t>Administradora Auriga, S.A. de C.V.</t>
  </si>
  <si>
    <t>Estacionamiento Cuemanco</t>
  </si>
  <si>
    <t>Centro de copiado y papelería</t>
  </si>
  <si>
    <t>Ivan Luna</t>
  </si>
  <si>
    <t xml:space="preserve">Baldemar Sala Bay </t>
  </si>
  <si>
    <t>Visita al contador Segrist</t>
  </si>
  <si>
    <t>Estacionamiento tesorería</t>
  </si>
  <si>
    <t>Pago concepto comprensación en calidad de presidente de la MD 2° quincena</t>
  </si>
  <si>
    <t>Pago de 4 garrafones de agua</t>
  </si>
  <si>
    <t xml:space="preserve">Pago por recolección de basura del fin de semana </t>
  </si>
  <si>
    <t>Compra de refrescos y aguas para vigilancia y mesa directiva</t>
  </si>
  <si>
    <t>Pago concepto comprensación en calidad de presidente de la MD 1° quincena</t>
  </si>
  <si>
    <t>Pago de 5 garrafones de agua</t>
  </si>
  <si>
    <t>Gustavo Gil</t>
  </si>
  <si>
    <t>Ing. Jorge Luis Vázquez</t>
  </si>
  <si>
    <t>Compra de 6 garrafones de agua</t>
  </si>
  <si>
    <t>Imagen Publicitaría</t>
  </si>
  <si>
    <t>Gasolina para Grisela Peralta</t>
  </si>
  <si>
    <t>Compra de materiales de limpieza para casetas</t>
  </si>
  <si>
    <t>Elena Osorio</t>
  </si>
  <si>
    <t>Pago de copias</t>
  </si>
  <si>
    <t>Pago por concepto de captura de datos del  28 de dic/15 al 01 ene/16</t>
  </si>
  <si>
    <t>Compra de conectores 3 pares para DVR y tranceptores</t>
  </si>
  <si>
    <t>Pago mano de obra reparacioón DVR</t>
  </si>
  <si>
    <t>Pago por 2 respaldos de video con USB de 8 GB</t>
  </si>
  <si>
    <t>Compra de 1 perfil de aluminio de 3/4 pulgadas, 2 metros de cinta reflejante</t>
  </si>
  <si>
    <t>Compra de rosca de reyes y leche para vigilancia y mesa directiva</t>
  </si>
  <si>
    <t>Reparación de pluma vehicular de entrasa, autometo de perfil</t>
  </si>
  <si>
    <t>Compra de equipo de computo(CPU teclado y mause) y monitor</t>
  </si>
  <si>
    <t>Compra de Bicicleta para vigilante de rondines</t>
  </si>
  <si>
    <t xml:space="preserve">Reconfiguración de baja de tarjetas en sistema y en base de datos </t>
  </si>
  <si>
    <t>Junta Mesa Directiva</t>
  </si>
  <si>
    <t>Pago por concepto de captura de datos del 04 al 08 enero/16</t>
  </si>
  <si>
    <t>Compra de duplicado de llaves del candado puerta Zinampa</t>
  </si>
  <si>
    <t>Reparación de alumbrado en la calle de Upacuaro</t>
  </si>
  <si>
    <t>Reparación de alumbrado en la calle de Recoveco</t>
  </si>
  <si>
    <t>Servicio de observación del problema de UP y ZB (problema fuera del fracc)</t>
  </si>
  <si>
    <t>Oficial Héctor Burgos</t>
  </si>
  <si>
    <t>Por revisión de entrada de un Camper al fraccionamiento</t>
  </si>
  <si>
    <t>Reparación chapa entrada peatonal de Recoveco</t>
  </si>
  <si>
    <t>Pago mes de diciembre/15</t>
  </si>
  <si>
    <t>Pago de retención de IVA del Colegio Carmel mes enero/16</t>
  </si>
  <si>
    <t>Honorarios Profesionales enero/16 y  A/C  de anualidad 2016</t>
  </si>
  <si>
    <t xml:space="preserve">Tienda </t>
  </si>
  <si>
    <t>Pago por concepto de captura de datos del 11 al 15 de enero/16</t>
  </si>
  <si>
    <t>Compra de aguas y refrescos para la Mesa Directiva cobranza 2° domingo</t>
  </si>
  <si>
    <t>Compra de gasolina mesa directiva</t>
  </si>
  <si>
    <t>Pago por barrer todo el fraccionamiento y la calle de Romeral 1| quincena</t>
  </si>
  <si>
    <t>Pago correspondiente a la 1° quincena del mes de enero/16</t>
  </si>
  <si>
    <t>Pago correspondienta a la 1° quincena del mes de enero/16</t>
  </si>
  <si>
    <t>Ernesto Monrroy</t>
  </si>
  <si>
    <t>Reparción de la luz de Upacuaro temporal ya que se necesita otro cable</t>
  </si>
  <si>
    <t>Compra de refrescos para Mesa Directiva y vigilancia, cobranza domingo</t>
  </si>
  <si>
    <t>Gasolineria, PS S.A. de C.V.</t>
  </si>
  <si>
    <t>Gasolina para visita a CFE con directivos, mesa directiva</t>
  </si>
  <si>
    <t>Estacionamiento Publico Carmar</t>
  </si>
  <si>
    <t>para visita a CFE, mesa directiva</t>
  </si>
  <si>
    <t>Jony Pizza</t>
  </si>
  <si>
    <t>Compra de 2 pizzas para vigilanes como insentivo, exletente desempeño</t>
  </si>
  <si>
    <t>Mantenimiento, revisión y arreglo de todas la chapas de las puerta peatonales</t>
  </si>
  <si>
    <t>Miguel Angel Balderas, secretario mesa directiva</t>
  </si>
  <si>
    <t>Virginia Hernández Martínez</t>
  </si>
  <si>
    <t>Compra de 1 rueda para puerta de Estopila</t>
  </si>
  <si>
    <t>Pago por nao de obra y apoyo para intalar rueda en puerta de Recoveco</t>
  </si>
  <si>
    <t>Pago de 4014 copias para informe al fraccionamiento</t>
  </si>
  <si>
    <t>Tlapaleria y Ferretería</t>
  </si>
  <si>
    <t>Compra de tornillos para puerta de Recoveco</t>
  </si>
  <si>
    <t>Pago por concepto de captura de datos del 18 al 22 de enero/16</t>
  </si>
  <si>
    <t>Grupo Amigos de San Angel, S.A. de C.V.</t>
  </si>
  <si>
    <t>Desayuno con Yolanda Ramírez y Mesa Directiva</t>
  </si>
  <si>
    <t>Pressem, S.A. de C.V.</t>
  </si>
  <si>
    <t>Estacionamiento desayuno Mesa Directiva</t>
  </si>
  <si>
    <t>Estacionamiento para compra de papaelería</t>
  </si>
  <si>
    <t>Compra de cable para poste de Zinampa</t>
  </si>
  <si>
    <t>Pago por arreglar bicicleta</t>
  </si>
  <si>
    <t>Pago camion basura fin de semana</t>
  </si>
  <si>
    <t>Pago de trabajo de herreria en poste de luz en ZB placa protección cableado</t>
  </si>
  <si>
    <t>Pago por apoyo con patrullaje y atención para no colgarse del poste luz</t>
  </si>
  <si>
    <t>Compra de refresco para la Mesa Directiva, cobranza domingo</t>
  </si>
  <si>
    <t>Compra de 25 tarjetas Procord RFID</t>
  </si>
  <si>
    <t>Cambio de eliminador y tornillería en base de pluma de salida Zinampa</t>
  </si>
  <si>
    <t>Compra de copias y un block</t>
  </si>
  <si>
    <t>Pago de 2 respaldos extradios de DVR</t>
  </si>
  <si>
    <t>Compra de material de reparación y cableado para plumas</t>
  </si>
  <si>
    <t>Compra de agua para personal de parques y jardines</t>
  </si>
  <si>
    <t>Fernando López</t>
  </si>
  <si>
    <t>Pago por cortar matorrales en el parque a la altura de la casa 6</t>
  </si>
  <si>
    <t>Cuemanco</t>
  </si>
  <si>
    <t>Estacionamiento para compra de alimentos personal vigilancia</t>
  </si>
  <si>
    <t>Compra de bebidas para vigilancia</t>
  </si>
  <si>
    <t>Pago por trabajo especial por la noche quitar todos los espectaculares de</t>
  </si>
  <si>
    <t>Pago por concepto de captura de datos del 25 al 29 de enero/16</t>
  </si>
  <si>
    <t>Trabajo de en explanada en Recoveco, albañilería</t>
  </si>
  <si>
    <t>ABC Distribuidora para la contrucción, S.A.</t>
  </si>
  <si>
    <t>Compra de material para reparar banqueta de Recoveco y propina cargadores</t>
  </si>
  <si>
    <t>Pago por limpieza de juegos del parque</t>
  </si>
  <si>
    <t>Compra de un pastel para vigilancia y MD</t>
  </si>
  <si>
    <t>Compra de una vela</t>
  </si>
  <si>
    <t>Pago por quitar matorrales con espinas en parque</t>
  </si>
  <si>
    <t>Pago por barrer toda la colonica Romeral 2da. Quincena del mes de enero</t>
  </si>
  <si>
    <t>Pago por recolección de macetas en mal estado que se enconraban parque</t>
  </si>
  <si>
    <t>Pago por recolección de basura de luneas a viernes de todo el fraccionamiento</t>
  </si>
  <si>
    <t>Pago por recolección de basura en fin de semana</t>
  </si>
  <si>
    <t>Pago correspondiente a la 2° quincena del mes de enero/16</t>
  </si>
  <si>
    <t>Pago correspondienta a la 2° quincena del mes de enero/16</t>
  </si>
  <si>
    <t>Pago de retención de IVA del Colegio Carmel mes de enero/16</t>
  </si>
  <si>
    <t>Santa Clara</t>
  </si>
  <si>
    <t>Instalación en area, tomado del Hueso y conectada con instalación ZB</t>
  </si>
  <si>
    <t>Marcela Chávez López</t>
  </si>
  <si>
    <t>Por limpieza y desinfetación de 4ta. Sección de juegos infantiles</t>
  </si>
  <si>
    <t>Pago 1 respaldo de video Cuchilla Fam. Del Villa</t>
  </si>
  <si>
    <t>Compra de 4 tenzores y Sujetadores para cable UTP en uso externo</t>
  </si>
  <si>
    <t>Pago anticipo mano de obra en cableado en plumas vehiculares</t>
  </si>
  <si>
    <t>Compra de aguas y refrescos para la Mesa Directiva cobranza 1° domingo</t>
  </si>
  <si>
    <t>Instalación de cableado 90 m para luz en Upacuaro y Estopila</t>
  </si>
  <si>
    <t>Compra de vasos y leche para tamales Mesa Directiva</t>
  </si>
  <si>
    <t>Reconfiguración de 25 tarjetas procard para el sistema de plumas</t>
  </si>
  <si>
    <t>Un respaldo de video Landero 37</t>
  </si>
  <si>
    <t>Compra de 50 llaves de seguridad</t>
  </si>
  <si>
    <t>Felipe Ruiz</t>
  </si>
  <si>
    <t>Pago por apoyo en la reconección de luz en Upacuaro</t>
  </si>
  <si>
    <t>Compra de refrescos para las personas que limpiaron los juegos del parque</t>
  </si>
  <si>
    <t>Compra de Pastel para vigilancia</t>
  </si>
  <si>
    <t>Compra de Pastel para mesa directiva junta en casa de Grisela</t>
  </si>
  <si>
    <t>Compra de alimentos mesa directiva junta con Servicios Ubanos</t>
  </si>
  <si>
    <t>Pago por concepto de captura de datos del 01 al 05 de febrero/16</t>
  </si>
  <si>
    <t>Oscar Saint</t>
  </si>
  <si>
    <t>Reparación de luz en Upacuaro y se les dio para refrescos</t>
  </si>
  <si>
    <t>Pago por jardinería al árbol entrada de Romeral</t>
  </si>
  <si>
    <t>Compra de refrescos, aguas y café para la mesa directiva cobranza domingo</t>
  </si>
  <si>
    <t>Patrulla 007 compensación de rondines por la noche por no haber luz</t>
  </si>
  <si>
    <t>Compra de un sensor de peso</t>
  </si>
  <si>
    <t>Florería Monsuri</t>
  </si>
  <si>
    <t>Compra de 1 corona de flores para vecino que fallecio en nombre del fracc.</t>
  </si>
  <si>
    <t>Floreria Alex</t>
  </si>
  <si>
    <t>Arreglo altar par vecino que fallecio</t>
  </si>
  <si>
    <t>Pago de retención de IVA del Colegio Carmel mes febrero/16</t>
  </si>
  <si>
    <t>Honorarios Profesionales febrero/16 y  A/C  de anualidad 2016</t>
  </si>
  <si>
    <t>Farmacia Cris</t>
  </si>
  <si>
    <t>Compra de cubrebocas</t>
  </si>
  <si>
    <t>Pago de 4 horas 20 minutos de estacionamiento visita contador Siegrist</t>
  </si>
  <si>
    <t>Pago el mes de enero/16</t>
  </si>
  <si>
    <t>Pago por cambio de luminarías, fotoseldas en ZB # 50 y EZ # 57</t>
  </si>
  <si>
    <t>Los Unicos y Autenticos Tamales y Atoles</t>
  </si>
  <si>
    <t>Compra de tamales para las personas que viniero para la toma de ceniza</t>
  </si>
  <si>
    <t>Pago de 2 lonas de 1 mt y 1mt, para dar pesame a la fam. García Rueda</t>
  </si>
  <si>
    <t>Limpieza de Kiosco</t>
  </si>
  <si>
    <t>Renilo Muñoz</t>
  </si>
  <si>
    <t>Pago por poda de pasto y recoger todo el pasto podado</t>
  </si>
  <si>
    <t>Pago por acarrero de pasto y deshecho de hogarasca del parque</t>
  </si>
  <si>
    <t>Pago por recolección de 8 costales de escombros de RV</t>
  </si>
  <si>
    <t>Compra de marcatextos vision surt. 4 pk</t>
  </si>
  <si>
    <t>Compra de aguas para las personas que limpiearon kiosko</t>
  </si>
  <si>
    <t>Pago por concepto de captura de datos del 08 al 12 de febrero/16</t>
  </si>
  <si>
    <t>Pago de mano de obra por el cambio de cableado a la pluma de acceso</t>
  </si>
  <si>
    <t>Compra de material de limpieza, para kiosko</t>
  </si>
  <si>
    <t>Compra de mateiral de limpieza</t>
  </si>
  <si>
    <t>Jóse Manuel Olivares</t>
  </si>
  <si>
    <t>Pago por estar al pendiente Domingo y lunes en la reparación de luminarias</t>
  </si>
  <si>
    <t>Pgo por el mantenimiento y reparación de 2 luminarías en CL y Up</t>
  </si>
  <si>
    <t>Pago por quitar letreros dentro y fuera del fraccionamiento</t>
  </si>
  <si>
    <t>Compra de aguas y refrescos para la MD, por cobranza del 2° domingo</t>
  </si>
  <si>
    <t>Compra de dulces para la cobranza del 2° domingo feb/16</t>
  </si>
  <si>
    <t>Pago por barrer y recolectar basura en la 1er quincena de febrero/16</t>
  </si>
  <si>
    <t>Poda pasto y recolección de hojarasca en Eztanzuela y Cuchilla</t>
  </si>
  <si>
    <t>Compra de café para la mesa directiva por cobranza de domingos</t>
  </si>
  <si>
    <t>Pago de un respaldo de video en USB para familia cooper</t>
  </si>
  <si>
    <t>Pago correspondiente a la 1° quincena del mes de febrero/16</t>
  </si>
  <si>
    <t>Pago correspondienta a la 1° quincena del mes de febrero/16</t>
  </si>
  <si>
    <t>Pago de 5 memorias USB para respaldos</t>
  </si>
  <si>
    <t xml:space="preserve">Pago por poda y clareio de árbol en Romeral, que impide la vista </t>
  </si>
  <si>
    <t>Pago por plantar en maceta de entrada, clareo y fumigación de la misma</t>
  </si>
  <si>
    <t>Pago 2 relevadores para el No Break de Ukpacuaro y Estanzuela</t>
  </si>
  <si>
    <t>Pago en apoyo por rondines y visita a la delegación para información distrito</t>
  </si>
  <si>
    <t>Compra de carpeta, boligrafos, papel y ibro florete</t>
  </si>
  <si>
    <t>Compra de toner brother, lapiz adhesivo y recibos</t>
  </si>
  <si>
    <t>Consumo por junta quincenal de la Mesa Directiva</t>
  </si>
  <si>
    <t>Pago por poda y recorte de ramas del árbol de Romeral ya que se uso cierra</t>
  </si>
  <si>
    <t>Reparación de No Break para la calle de Upacuaro</t>
  </si>
  <si>
    <t>Luis Vives</t>
  </si>
  <si>
    <t>Pago por ayuda a colocar lona para evento de miercoles de cenizas</t>
  </si>
  <si>
    <t>Pago por restaldo de video en USB de Zinampa 60</t>
  </si>
  <si>
    <t>Pago de mano de obra por reparación de plumas</t>
  </si>
  <si>
    <t>Pago por concepto de captura de datos del 15 al 19 de febrero/16</t>
  </si>
  <si>
    <t xml:space="preserve">Pago por apoyo a la cobranza del 3er domingo de cobranza del mes </t>
  </si>
  <si>
    <t>Compra de material de limpieza para casetas</t>
  </si>
  <si>
    <t>Pago de estacionamiento y propina, por compra de material de limpieza</t>
  </si>
  <si>
    <t>Pago de gasolina para la Mesa Directiva</t>
  </si>
  <si>
    <t>Compra de folder, verde y azul y copias</t>
  </si>
  <si>
    <t>Pago de estacionamiento del dia 22 y 24 de febrero/16</t>
  </si>
  <si>
    <t>Pago por reparación del circuito del parque, se cambio el cable</t>
  </si>
  <si>
    <t>Compra de material para camara #9</t>
  </si>
  <si>
    <t>Reparación de tres luminarias delparque y un reflector</t>
  </si>
  <si>
    <t>Reparación de un contactor en el parque, estaba con los cables quemados</t>
  </si>
  <si>
    <t>Pago por concepto de captura de datos del 22 al 26 de febrero/16</t>
  </si>
  <si>
    <t>Pago de 37 almuerzos para trabajadosres de reencarpetado</t>
  </si>
  <si>
    <t>Pago por recolección de basura los fines de semana</t>
  </si>
  <si>
    <t>Pago de la 2da quincena por recolectar basura en todo el fraccionamiento</t>
  </si>
  <si>
    <t>Pago por recolección de basura de luneas a viernes 2° quincena fracc</t>
  </si>
  <si>
    <t>Compra refrescos para la mesa directiva, cobranza domingo 4 to.</t>
  </si>
  <si>
    <t>Pago por concepto de sábado 28 y domingo 29 trabajo extraordinario</t>
  </si>
  <si>
    <t>Pago de 2 respaldos en una sola memoria</t>
  </si>
  <si>
    <t>Sr. Jairo</t>
  </si>
  <si>
    <t>Pago por apoyo de entrega de información, vecinos con perros</t>
  </si>
  <si>
    <t>300 copias tamaño carta y 20 copias dobles</t>
  </si>
  <si>
    <t>Compra de bolsas para forrar poster, para vecinos con perros</t>
  </si>
  <si>
    <t>Compra de 1 cartucho epson negro para impresora</t>
  </si>
  <si>
    <t>Pago en apoyo total en capaña y repartir a todo el fraccionamiento ley civica</t>
  </si>
  <si>
    <t>Compra de aguas para oficiales y mesa directiva en campaña de vecinos c/per</t>
  </si>
  <si>
    <t>Pago de copias y papeleria</t>
  </si>
  <si>
    <t>Pago mes de febrero/16</t>
  </si>
  <si>
    <t>Mercado del Hueso</t>
  </si>
  <si>
    <t>Compra de 2 paquetes de ligas</t>
  </si>
  <si>
    <t>Pago por concepto de captura de datos del 29 de febrero al 04 de enero/16</t>
  </si>
  <si>
    <t>Pago por poda de pasto en Upacuaro</t>
  </si>
  <si>
    <t>Pago por reparaciòn luminarias del parque</t>
  </si>
  <si>
    <t>Compra de 1 pizza por cumpleaños del vigilante Olegario Vàzquez</t>
  </si>
  <si>
    <t>Compra de un pastelito para el sr. Olegario Vàzquez</t>
  </si>
  <si>
    <t xml:space="preserve">Pago por recolecciòn de basura en fin de semana </t>
  </si>
  <si>
    <t>Compra de aguas para Mesa Directiv por cobranza en domingo</t>
  </si>
  <si>
    <t>Pago por reparaciòn de camara #9 en Zinampa</t>
  </si>
  <si>
    <t xml:space="preserve">Compra de 1 bobina de cable, 1 bouging y 1 kit de conectores </t>
  </si>
  <si>
    <t>Gasolina para Mesa Directiva, Grisela Peralta</t>
  </si>
  <si>
    <t>Best Buy Stores S. de R.L. de C.V.</t>
  </si>
  <si>
    <t>Compra de Laptop para Tesorerìa</t>
  </si>
  <si>
    <t>Best Buy Stores, compra de Laptop</t>
  </si>
  <si>
    <t>Compra de galletas para tener cambio en la Cobranza</t>
  </si>
  <si>
    <t>Pago de retención de IVA del Colegio Carmel mes marzo/16</t>
  </si>
  <si>
    <t>Honorarios Profesionales marzo/16 y  A/C  de anualidad 2016</t>
  </si>
  <si>
    <t>Pago estacionamiento visita del contador Siegrist</t>
  </si>
  <si>
    <t>Pago de 600 copias tamaño carta</t>
  </si>
  <si>
    <t xml:space="preserve">Por reolecciòn de basura y limpieza de banqueta de ZB en parque deshechos </t>
  </si>
  <si>
    <t>Luis Villas</t>
  </si>
  <si>
    <t>Pago por apoyo con los bomberos en recolecciòn de cables y alineaciòn poste</t>
  </si>
  <si>
    <t>Cuartel Bomberos Zona Sur</t>
  </si>
  <si>
    <t>Pago por apoyo de 8 bomberos del sector coyoacan ayuda al fracc. Mal tiemp</t>
  </si>
  <si>
    <t>Sam's Club</t>
  </si>
  <si>
    <t>Compra de galletas Mesa Directa junta</t>
  </si>
  <si>
    <t>Estacionamiento SAPI, de C.V.</t>
  </si>
  <si>
    <t>Pago estacionamiento compra de galletas</t>
  </si>
  <si>
    <t>Pago por concepto de captura de datos del 07 al 1 de marzo/16</t>
  </si>
  <si>
    <t xml:space="preserve">Copyfaz </t>
  </si>
  <si>
    <t>Home Deport Mèxico, S de R.L. de C.V.</t>
  </si>
  <si>
    <t>Compra de arena, cemento y grava para reparar poste de luz en el parque</t>
  </si>
  <si>
    <t>Gasolina Mesa Directiva, Grisela Peralta</t>
  </si>
  <si>
    <t>Mano de obra en configurar computadora para Tesorerìa</t>
  </si>
  <si>
    <t>Pago de cable tensor, sujetadores de metal y eliminador de 4 amperes</t>
  </si>
  <si>
    <t xml:space="preserve">Pago por reparaciòn de 3 luminarìas, renivelar de poste con cableado </t>
  </si>
  <si>
    <t>Pago por reconecciòn de cables en ZB hacia RV</t>
  </si>
  <si>
    <t>Pago por apoyo total en evento del fraccionamiento</t>
  </si>
  <si>
    <t xml:space="preserve">Pago por apoyo en recolecciòn de trafitambo y ayuda a quitar àrbol </t>
  </si>
  <si>
    <t>Para comid miembros de vigilancia gamma</t>
  </si>
  <si>
    <t>Pago por cableado en ZB esq. EZ por estar bajo àrbol,</t>
  </si>
  <si>
    <t>Reparaciòn de 2 camaras de caseta RV y cambio fuente de energia</t>
  </si>
  <si>
    <t>Pago por recoleciòn de basura en todo el fraccionamiento fin de semana</t>
  </si>
  <si>
    <t>Compra de pino y café para vigilancia</t>
  </si>
  <si>
    <t>Compra de aguas y refrescos para mesa directiva domingo cobranza</t>
  </si>
  <si>
    <t>Pago de estacionamineot en Globo por junta quincenal</t>
  </si>
  <si>
    <t>Pago 1er quincena de marzo/16 por barrer todo el fracciònamiento</t>
  </si>
  <si>
    <t xml:space="preserve">Pago por concepto de corte de àrbol en el parque </t>
  </si>
  <si>
    <t>Pago correspondiente a la 1° quincena del mes de marzo/16</t>
  </si>
  <si>
    <t>Pago correspondienta a la 1° quincena del mes de marzo/16</t>
  </si>
  <si>
    <t>Osvaldo Campos</t>
  </si>
  <si>
    <t xml:space="preserve">Pago por corte de troncos y ramas muy grandes en RV y UP </t>
  </si>
  <si>
    <t>Compra de varios cartuchos epson para impresora Tesorerìa</t>
  </si>
  <si>
    <t>Rodizo Churrascarìa, S.A. de C.V.</t>
  </si>
  <si>
    <t>Comida Mesa Directiva con el comandante sector 07, tratar asunto fraccionam</t>
  </si>
  <si>
    <t xml:space="preserve">Pago de propina </t>
  </si>
  <si>
    <t>Operadora Central de Estacionamientos, S.A. de C.V.</t>
  </si>
  <si>
    <t>Pago estacionamiento comida con el comandate sector 07</t>
  </si>
  <si>
    <t>Valet Parking</t>
  </si>
  <si>
    <t>Cobro por cuidar y lavar automovil mesa directiva</t>
  </si>
  <si>
    <t>Reparaciòn de Laptob de Baldemar Sala, la cual se uso por 5 años para MD</t>
  </si>
  <si>
    <t>Mantenimiento a plumas de entrada y salida por descalibraciòn</t>
  </si>
  <si>
    <t>Pago por quitar raiz de plantas que hicieron una luna muy grande en el parq.</t>
  </si>
  <si>
    <t>Pago por concepto de captura de datos del 14 al 18 de marzo/16</t>
  </si>
  <si>
    <t>Inmobiliaria Lirca S.A. de C.V.</t>
  </si>
  <si>
    <t>Compra de aguas y refrescos para la mesa directiva cobranza domingo</t>
  </si>
  <si>
    <t>Compra de papelerìa, cinta 550, libro florete y papel carta</t>
  </si>
  <si>
    <t>Compra de comida para cuartel de bomberos por poda de copa de àrbol</t>
  </si>
  <si>
    <t>Pago por recolecciòn de hojarasca, hierva, pasto, ramas y àrboles del parque</t>
  </si>
  <si>
    <t>Pago por mano de obra de cableado camara de Estopila con Estanzuela</t>
  </si>
  <si>
    <t>Pago de 4 almuerzos para cuadrilla de parques y jardines en apoyo de barrer</t>
  </si>
  <si>
    <t>A/C Pago correspondiente a la 2ª quincena del mes de marzo/16</t>
  </si>
  <si>
    <t>Compra de una lona para informaciòn en Estopila y Estanzuela</t>
  </si>
  <si>
    <t>A/C Pago por barrer todo el parque y recoger toda la hojarazca</t>
  </si>
  <si>
    <t>Manuel Flores</t>
  </si>
  <si>
    <t>Compra de 1 sello para la Asociaciòn Civil, de fraccionamiento</t>
  </si>
  <si>
    <t>Servicio EL ESCUDO, S.A. de C.V.</t>
  </si>
  <si>
    <t>Compra de gasolina para Grisela Peralta, Mesa Directiva</t>
  </si>
  <si>
    <t>Pago por concepto de captura de datos del 21 al 25 de marzo/16</t>
  </si>
  <si>
    <t>Pago en apoyo de rondines nocturnos en fraccionamiento y apoyo a vigilancia</t>
  </si>
  <si>
    <t>Pago por cortar arboles que se calleron en el parque el día de los vientos fuer</t>
  </si>
  <si>
    <t>Pago a 5 trabajadores por llevarse hojarazca, ramas y troncos del parque</t>
  </si>
  <si>
    <t>Venta de 1 camara, pago honorarios de tendido de cble de 1 camara y coloc</t>
  </si>
  <si>
    <t>Pago por concepto de honorarios por trabajar en cobranza 27/0316</t>
  </si>
  <si>
    <t>Pago 2da. Quincena del mes de marzo/16 por recolección y barrer basura</t>
  </si>
  <si>
    <t>Pago por recolección de basura de luneas a viernes 2° quincena marzo/16</t>
  </si>
  <si>
    <t>Javier Escobedo y Fernando López</t>
  </si>
  <si>
    <t>Pago por barrer durante dos semanas seguidas ell parque por mal tiempo</t>
  </si>
  <si>
    <t>Pago por concepto de captura de datos del 28 de mar al 01 abril/16</t>
  </si>
  <si>
    <t>Pago por poda de pasto en caseta de Romeral</t>
  </si>
  <si>
    <t>Pago por barrer zona de recoveo caseta y toda esa zona</t>
  </si>
  <si>
    <t>Pago correspondiente a la 2° quincena del mes de marzo/16</t>
  </si>
  <si>
    <t>Pago de retención de IVA del Colegio Carmel mes de febrero/16</t>
  </si>
  <si>
    <t>Comisión por cheque expedido</t>
  </si>
  <si>
    <t>I.V.A. por comisión de cheque expedio</t>
  </si>
  <si>
    <t>Pago liq.  a la 2° quincena del mes de marzo/16</t>
  </si>
  <si>
    <t>Pago por concepto de honorarios por trabajar en cobranza 03/04/16</t>
  </si>
  <si>
    <t>Compra de agua para cobranza primer domingo de abril/16</t>
  </si>
  <si>
    <t>Pgo por recolecciòn de basura del fin de semana</t>
  </si>
  <si>
    <t>Respaldo de 6 dìas de grabaciòn a USB</t>
  </si>
  <si>
    <t>Respaldo de 9 horas en calle de Upacuaro</t>
  </si>
  <si>
    <t>Pastel festejo cumpleaños Gloria Mazzòn, Tesoreria</t>
  </si>
  <si>
    <t>7 Eleven Mèxico, S.A. de C.V.</t>
  </si>
  <si>
    <t>Compra de vasos, platos, refrescos, mesa directiva y vigilancia</t>
  </si>
  <si>
    <t>Pago de estacionamiento panaderìa Esperanza</t>
  </si>
  <si>
    <t>Pago de 2 eliminadors de 12 volts y 2 amp. $ 180 c/u</t>
  </si>
  <si>
    <t>Pago de alimentos, bebida y fruta mesa directiva</t>
  </si>
  <si>
    <t>Pago mano de obra en camaras y 2 eliminadores, UP entre HS y RM</t>
  </si>
  <si>
    <t>Compra de papelerìa, folders, papel xerox, diurex y sacapuntas</t>
  </si>
  <si>
    <t>Poda de plantas y malesa alrededor del kiosco</t>
  </si>
  <si>
    <t>Pago de consumo por junta de la mesa directiva</t>
  </si>
  <si>
    <t>Pago de 2 eliminadores y 1 par de transceptores</t>
  </si>
  <si>
    <t>Pago del mes de marzo/16</t>
  </si>
  <si>
    <t>Pago por captura de datos del 04 al 07 de abril</t>
  </si>
  <si>
    <t>Pedro Bazzan</t>
  </si>
  <si>
    <t>Compra de agua para la mesa de cobranza del domingo y vigilancia</t>
  </si>
  <si>
    <t>Estacionamiento delegaciòn Coyoacan visita Valentin Maldonado</t>
  </si>
  <si>
    <t>Victor Romero Paredes</t>
  </si>
  <si>
    <t>Compra de café y donas visita a delegaciòn Coyoacan</t>
  </si>
  <si>
    <t>Compra de refacciones y mantenimiento de bicicleta vigilancia</t>
  </si>
  <si>
    <t>Reparaciòn de camara profesional y conecciòn  BNC monalisa CNB 12 volts.</t>
  </si>
  <si>
    <t>Reparaciòn de chapa de puerta de Estanzuela y Zinampa y mant. General</t>
  </si>
  <si>
    <t>Pago de mano de obra e instalaciòn de camara y conector</t>
  </si>
  <si>
    <t>Pago estacionamiento y propina visita al contador Siegrist</t>
  </si>
  <si>
    <t>Pago de retención de IVA del Colegio Carmel mes abril/16 se pago c/cheque</t>
  </si>
  <si>
    <t>Honorarios Profesionales abril/16 y  A/C  de anualidad 2016 pago c/cheque</t>
  </si>
  <si>
    <t>Tienda</t>
  </si>
  <si>
    <t>Compra de refrescos, café y galetas visita contador Siegrist</t>
  </si>
  <si>
    <t>Pago por captura de datos del 11 al 15 de abril/16</t>
  </si>
  <si>
    <t>Pago de la primer quincena por barre todo el fraccionamiento</t>
  </si>
  <si>
    <t>Pago correspondiente a la 1° quincena del mes de abril/16</t>
  </si>
  <si>
    <t>Pago correspondienta a la 1° quincena del mes de abril/16</t>
  </si>
  <si>
    <t>Pago por bloque de privilegios de entrada a tarjetas en sistema de pluas</t>
  </si>
  <si>
    <t>Estacionamiento Corsa, S.A. de C.V.</t>
  </si>
  <si>
    <t>Pago estacionamiento compra de limpieza</t>
  </si>
  <si>
    <t xml:space="preserve">Compra de escoba para barrer colonia </t>
  </si>
  <si>
    <t>Compensaciòn en apoyo por operativos patrulla y camioneta liberando espaci</t>
  </si>
  <si>
    <t>Starbucks Coffe</t>
  </si>
  <si>
    <t>Comercial City Fresko, S. de R.L. de C.V.</t>
  </si>
  <si>
    <t>Compra de chocolates como presenta para Arq. De bacheo para el fracc.</t>
  </si>
  <si>
    <t>Estacionamiento compra de chocolates</t>
  </si>
  <si>
    <t>Pago por captura de datos del 18 al 22 de abril/16</t>
  </si>
  <si>
    <t>Compra de agua para mesa de cobranza domingos</t>
  </si>
  <si>
    <t>Roberto Bazzan</t>
  </si>
  <si>
    <t>Compra de refresgos y aguas para la vigilancia e Ing. Por reparaciòn de plumas</t>
  </si>
  <si>
    <t>Pago por concepto de mano de obra en reubicaciòn de plato lector</t>
  </si>
  <si>
    <t>Pago de copias, clips y plumas</t>
  </si>
  <si>
    <t>Pago de plumon de aceite color rojo</t>
  </si>
  <si>
    <t>Pago por arreglo de corto en HS, y medio parque del fraccionamiento</t>
  </si>
  <si>
    <t xml:space="preserve">Pago por mantenimiento de chapa urgente de EZ </t>
  </si>
  <si>
    <t>Pago por mano de obra en sustituciòn de un DVR dañado en caseta ZB</t>
  </si>
  <si>
    <t>Compra de DVR &amp; canales AHD 1.0MP 4 audios HDMI, 4 canal de audio</t>
  </si>
  <si>
    <t>Pastelerìa Bodon, S.A. de C.V.</t>
  </si>
  <si>
    <t>Compra de tablon naranja y servilletas para evento del dìa del niño</t>
  </si>
  <si>
    <t>Estacionamiento para compra de materiales para el evento del dìa del niño</t>
  </si>
  <si>
    <t>Pago por arreglo de chapa ZB y EZ, puertas peatonales</t>
  </si>
  <si>
    <t>Compra de dulces para evento del dìa del niño</t>
  </si>
  <si>
    <t>Apoyo a vigilante de nuestro fraccionamiento para funeral de su papà</t>
  </si>
  <si>
    <t>Pago por captura de datos del 25 al 29 de abril/16</t>
  </si>
  <si>
    <t>Pago por barrer parque del evento del dìa del niño</t>
  </si>
  <si>
    <t>Pago por recolecciòn de basura 2da. Qincena de abril/16</t>
  </si>
  <si>
    <t>Pago por recolecciòn de basura entre semana del mes de abril del fraccionam</t>
  </si>
  <si>
    <t>Pago por recolecciòn de basura del fin de semana</t>
  </si>
  <si>
    <t>Pago por compostura de membrana y botones del contro remoto de pluma</t>
  </si>
  <si>
    <t xml:space="preserve">Pago por recubicacion de plato lector de tarjetas de pluma de entrada </t>
  </si>
  <si>
    <t>Pago correspondiente a la 2° quincena del mes de abril/16</t>
  </si>
  <si>
    <t>Pago A/C correspondiente a la 2° quincena del mes de abril/16</t>
  </si>
  <si>
    <t>Pago de retención de IVA del Colegio Carmel mes de marzo/16</t>
  </si>
  <si>
    <t>Com. Por cheq. Expe.</t>
  </si>
  <si>
    <t>G_P_IVA</t>
  </si>
  <si>
    <t>Pago de retención de IVA del Colegio Carmel mes de abril/16</t>
  </si>
  <si>
    <t>Compra de agua para cuadrilla de parque y jardines poda de àrboles</t>
  </si>
  <si>
    <t>Pago liq.  a la 2° quincena del mes de abril/16</t>
  </si>
  <si>
    <t>Pago mes de abril/16</t>
  </si>
  <si>
    <t>Grupo Barrera</t>
  </si>
  <si>
    <t>Pago de 1000 recibos de cobranza de cuotas de mantenimiento</t>
  </si>
  <si>
    <t>Compra de toner Brother TN-410 presidencia</t>
  </si>
  <si>
    <t>Compr agasolina Mesa Directiva, Grisela Peralta</t>
  </si>
  <si>
    <t>Compra de una lente profesional para camara tipo caja</t>
  </si>
  <si>
    <t>Compra de agua mesa directiva</t>
  </si>
  <si>
    <t>Compensaciòn en apoyo en la colonia con patrullaje</t>
  </si>
  <si>
    <t>Compra de USA, sobres, clips y cartucho epson varios colores</t>
  </si>
  <si>
    <t>Compra de aguas para cuadrilla delegaciòn, mantenimiento al parque</t>
  </si>
  <si>
    <t>Pago por trabajo de arreglo de chapas en EZ y ZB</t>
  </si>
  <si>
    <t>Pago por captura de datos del 02 al 06 de mayo del 2016</t>
  </si>
  <si>
    <t>Pago por recolecciòn de basura fin de semana</t>
  </si>
  <si>
    <t>Vigilancia</t>
  </si>
  <si>
    <t>Compra de 1 tarjeta para telefono celular de vigilancia</t>
  </si>
  <si>
    <t xml:space="preserve">Pago por intalaciòn y activaciòn de office 2013           </t>
  </si>
  <si>
    <t>Pago licencia para windows 7 profecional</t>
  </si>
  <si>
    <t>Pago de mano de obra de actualizaciòn de sistema y activaciòn de tarjeras</t>
  </si>
  <si>
    <t>Pago de 2 dìas de alimentos a la cuadrilla de desazolve de la delegaciòn</t>
  </si>
  <si>
    <t>Compensaciòn por entrega de circulares en la colonica del 3er informe MD</t>
  </si>
  <si>
    <t>Pago de 2700 copias tamano arta</t>
  </si>
  <si>
    <t>Pago por captura de datos del 09 al 13 de mayo/16</t>
  </si>
  <si>
    <t>Compra de refrescos para personal de arbolado, 17 personas 2 cuadrillas</t>
  </si>
  <si>
    <t xml:space="preserve">Reparaciòn de chapa en Estopila, desarmar y engrazar chapa Estanzuela </t>
  </si>
  <si>
    <t>Pago de un respaldo de video cuchilla 59 contador Victor</t>
  </si>
  <si>
    <t>Pago por recolección de basura de la 1er quincena de mayo/16</t>
  </si>
  <si>
    <t>Pago correspondiente a la 1er quincena de mayo/16</t>
  </si>
  <si>
    <t>Pago concepto compensaciòn en calidad de presidente de la M.D. 1er quince</t>
  </si>
  <si>
    <t>Consorcio Gasolinero Plus, S.A. de C.V.</t>
  </si>
  <si>
    <t>Compra de gasolina para mesa directiva, Grisela Peralta</t>
  </si>
  <si>
    <t>Pago de retenciòn de IVA del Colegio Carmel del mes de mayo/16 ch.· 17</t>
  </si>
  <si>
    <t>Pago Honorarios porfesionales mayo/16 a/c anualidad 2016 ch.#16</t>
  </si>
  <si>
    <t>Pago de estacionaiento visita contador Siegrist</t>
  </si>
  <si>
    <t>Pago de un respaldo de video</t>
  </si>
  <si>
    <t>Compra de 25 tarjetas Procord RFID y configuraciòn, pago con ch. #18</t>
  </si>
  <si>
    <t>Pago de 225 copias</t>
  </si>
  <si>
    <t>Pago de estacionamiento compra de llaves</t>
  </si>
  <si>
    <t>Pago respalo de video</t>
  </si>
  <si>
    <t>Pago por poda y recorte de cesped y arbolitos en Romeral</t>
  </si>
  <si>
    <t>Daniel</t>
  </si>
  <si>
    <t>Pago por barrer zona de ccasera y alrededores parque toda la hojarasca</t>
  </si>
  <si>
    <t>Apoyo por las noches haciendo rondin todos la semana</t>
  </si>
  <si>
    <t>Pago por captura de datos del 16 al 20 de mayo/16</t>
  </si>
  <si>
    <t>Compra de 30 llaves para puertas de acceso peatonal pago ch. #19</t>
  </si>
  <si>
    <t>Pago de arreglo floral y al padre que oficio misa</t>
  </si>
  <si>
    <t>Compra de agua para velatorio mesa directiva</t>
  </si>
  <si>
    <t>Pago por barrer y recolecciòn de basura fin de semana en fraccionaiento</t>
  </si>
  <si>
    <t>Compra de agua y refrescos para junta mesa directiva</t>
  </si>
  <si>
    <t>810 copias reporte trimestral estado financiero</t>
  </si>
  <si>
    <t>Compra de agua para junta urgente</t>
  </si>
  <si>
    <t>Compra de conectores de video balum y eliiminador</t>
  </si>
  <si>
    <t>Compra de refrescos para cuadrilla de parques y jardines</t>
  </si>
  <si>
    <t>Instalaciòn de camara para placas en ZB y mentenimiento a camara CNB</t>
  </si>
  <si>
    <t>Mantenimiento 2 camaras para placa caseta Romeral</t>
  </si>
  <si>
    <t>20 almuerzos para cuadrilla de parques y jardines</t>
  </si>
  <si>
    <t>Pago por captura de datos del 23 al 27 de mayo/16</t>
  </si>
  <si>
    <t>Camiòn de Basura</t>
  </si>
  <si>
    <t>Pago por recolecciòn de ramas que podaron del pino que no deja ver Romeral</t>
  </si>
  <si>
    <t>Personal de Gamma</t>
  </si>
  <si>
    <t>Pago por recortar ramas del àrbol de Romeral</t>
  </si>
  <si>
    <t>En apoyo por rondines en el fraccionamiento</t>
  </si>
  <si>
    <t>Pago de refrigerios por pintar señalamientos entrada Zinampa</t>
  </si>
  <si>
    <t>Compra de refrescos para la cuadriilla de parques y jardines</t>
  </si>
  <si>
    <t>Pago un respaldo de video a USB en EZ</t>
  </si>
  <si>
    <t>Compra de 10 anuncios de seguridad CCTV enmicados</t>
  </si>
  <si>
    <t>Pago por pintar caseta de ZB que la delegaciòn dono</t>
  </si>
  <si>
    <t>Compra de broches de plastico con segueta y seguro para letreros</t>
  </si>
  <si>
    <t>Pago por recolecciòn de basura entre semana del mes de mayo/16</t>
  </si>
  <si>
    <t>Reparaciòn de chapa  en Estopila</t>
  </si>
  <si>
    <t>Compra de refrescos para pintores de la delegaciòn</t>
  </si>
  <si>
    <t>Pago por recolecciòn de basura de toda la colonia 2da. Qincena de mayo/16</t>
  </si>
  <si>
    <t>Pago por captura de datos del 30 de mayo al 03 de junio/16</t>
  </si>
  <si>
    <t>Pago correspondiente a la 2° quincena del mes de mayo/16</t>
  </si>
  <si>
    <t>Pago A/C correspondiente a la 2° quincena del mes de mayo/16</t>
  </si>
  <si>
    <t>Pago de retención de IVA del Colegio Carmel mes de mayo/16</t>
  </si>
  <si>
    <t>Compra de 2 camaras fijas alta resoluciòn y 1 bobona de cable UTP</t>
  </si>
  <si>
    <t>Pago 15 almuerzos que se le dieron parsonal delegaciòn por pintar señalamien</t>
  </si>
  <si>
    <t xml:space="preserve">Cadena Comercial Oxxo, S.A. de C.V. </t>
  </si>
  <si>
    <t>Compra de refrescos para personal delegaclòn por pintar señalamientos</t>
  </si>
  <si>
    <t xml:space="preserve">Compra de refrescos a cuadria de pintura </t>
  </si>
  <si>
    <t>Pago 17 almuerzos para cuadrilla de pintura de delegaciòn en toda la colonia</t>
  </si>
  <si>
    <t>Compra de refrescos para personal delegaclòn por pintar caseta ZB y pluma</t>
  </si>
  <si>
    <t>Secretaria de Marina</t>
  </si>
  <si>
    <t>Pago de gasolina para mesa directiva Grisela Peralta</t>
  </si>
  <si>
    <t>Pago de estacionameito compra materiales de limpieza</t>
  </si>
  <si>
    <t>Compra de hojas blancas mesa directiva</t>
  </si>
  <si>
    <t>Pago de estacionamiento compra de hojas blancas</t>
  </si>
  <si>
    <t>Compra de agua para mesa de cobranza 1 er domingo de junio/16</t>
  </si>
  <si>
    <t>Pago por aguas y refrescos que se les dio a la cuadrilla delegaciòn luminarias</t>
  </si>
  <si>
    <t>Compra  de Housing eliminadores y transceptores para dos camaras</t>
  </si>
  <si>
    <t>Pago telefono del mes de mayo/16</t>
  </si>
  <si>
    <t>Pago de 11 enmicados</t>
  </si>
  <si>
    <t xml:space="preserve">Comercializadora Caspin, S.A. de C.V. </t>
  </si>
  <si>
    <t>Compra brochas para pintar casetas EZ y RV</t>
  </si>
  <si>
    <t>Compra cepillo para pinta caseta EZ y RV</t>
  </si>
  <si>
    <t>Compra de bocadillos para junta urgente cuestiòn a los tarjetones</t>
  </si>
  <si>
    <t>Compra de refrescos para junta urgente cuestòn a los tarjetones</t>
  </si>
  <si>
    <t>Pago por pintar caseta Romeral, pluma y caseta Recoveco</t>
  </si>
  <si>
    <t>Pago de brocha y cepillo para pinta paredes cerroteados de la caseta RV</t>
  </si>
  <si>
    <t>Compra de encoder para sensor pluma</t>
  </si>
  <si>
    <t xml:space="preserve">900 copias tamaño carta </t>
  </si>
  <si>
    <t>Cremerìa Lucy</t>
  </si>
  <si>
    <t>Compta de regrescos y vasos para cuadrilla de rencarpetado de la delegaciòn</t>
  </si>
  <si>
    <t>Pago por arreglo calle UP y EP circuito completo hasta RV cambio cable quem</t>
  </si>
  <si>
    <t>Operadora OMX S.A. de C.V.</t>
  </si>
  <si>
    <t>Compra de papel y estacionamiento</t>
  </si>
  <si>
    <t>Compra de ologramas de seguridad</t>
  </si>
  <si>
    <t>Pago por captura de datos del 06 al 10 de junio/16</t>
  </si>
  <si>
    <t>Por concepto de pago en apoyo en cobranza domingo 5 junio/16</t>
  </si>
  <si>
    <t>Pago por trabajo de limpieza a caseta RV y recolecciòn de basura</t>
  </si>
  <si>
    <t>Camiòn de basura</t>
  </si>
  <si>
    <t>Pago por recolectar basura y llevarse costales de arena y hojarasca seca</t>
  </si>
  <si>
    <t>Jardinero</t>
  </si>
  <si>
    <t>Pago por corte de pasto orilla de banquetas RV y EP</t>
  </si>
  <si>
    <t>Pago por recoleccilòn basura todo el fin de semana</t>
  </si>
  <si>
    <t>Compra de agua para mesa de cobranza 2do. Domingo junio/16</t>
  </si>
  <si>
    <t>Romero Paredes Virtor</t>
  </si>
  <si>
    <t>Compra de café visita a la delegaciòn junta con Delegado Valentin Maldonado</t>
  </si>
  <si>
    <t>Tlapalerìa La Esmeralda</t>
  </si>
  <si>
    <t>Compra de 1 candado puerta ZB</t>
  </si>
  <si>
    <t>Pago en apoyo extraordinario a la mesa de cobranza de tarjetones y balance</t>
  </si>
  <si>
    <t>Estacionamiento y propina delegacliòn visita a Valentin Delegado</t>
  </si>
  <si>
    <t>El Globo, Tradiciòn en Pastelerìas, S.A. de C.V.</t>
  </si>
  <si>
    <t>Junta de la Mesa Directiva</t>
  </si>
  <si>
    <t>Estacionamiento junta mesa directiva</t>
  </si>
  <si>
    <t>Compensaciòn en apoyo a seguridad  rondines nocturnos todo el dìa fraccion</t>
  </si>
  <si>
    <t>Pago de retenciòn de IVA del Colegio Carmel del mes de juio/16 ch.· 17</t>
  </si>
  <si>
    <t>Pago Honorarios porfesionales junio/16 a/c anualidad 2016 ch.#16</t>
  </si>
  <si>
    <t>Pago de estacionamiento visita al Contador Siegrist</t>
  </si>
  <si>
    <t>Compra de refrescos y botanas para junta abojado ver lineamentos del fraccc</t>
  </si>
  <si>
    <t xml:space="preserve">Pago en apoyo extraordinario a la mesa de cobranza de tarjetones </t>
  </si>
  <si>
    <t>Pago por barrer toda la colonia entre semana</t>
  </si>
  <si>
    <t>Pago por entregar en todo el fraccionamiento circulares</t>
  </si>
  <si>
    <t>Pago por recolecciòn basura zona zinampra sabado y recoger bolsas de basura</t>
  </si>
  <si>
    <t>Pago por recolecciòn basura todo el fin de semana en faccionamiento</t>
  </si>
  <si>
    <t>Tienda Vista Hermosa</t>
  </si>
  <si>
    <t>Compra de agua para cuadrilla de delegaciòn que recogio todo el pasto podao</t>
  </si>
  <si>
    <t>410 copias tamaño carta</t>
  </si>
  <si>
    <t>Compra de galletas para junta Abogado Fernando Sosa</t>
  </si>
  <si>
    <t>Pago de 15 almuerzos para el personal de la delegaciòn recoger pasto y hojar</t>
  </si>
  <si>
    <t xml:space="preserve">Compra de papeleria </t>
  </si>
  <si>
    <t xml:space="preserve">Vecino </t>
  </si>
  <si>
    <t>Compra de 1 rollo de neopreno y mano de obra arreglar pluma</t>
  </si>
  <si>
    <t>Pago por captura de datos del 13 al 17 de junio/16</t>
  </si>
  <si>
    <t>Pago por reparaciòn de puerta en Estopila</t>
  </si>
  <si>
    <t>LaComer</t>
  </si>
  <si>
    <t>Compra de platos para pay que se repartio el dìa del padre a todo el fraccion</t>
  </si>
  <si>
    <t>Compra de cucharas para evento dìa del padre</t>
  </si>
  <si>
    <t>Alimentos la Paloma, S.A. de C.V.</t>
  </si>
  <si>
    <t>Compra dd 3 Pays para dìa del Padre festejo en fraccionamiento</t>
  </si>
  <si>
    <t>Tienda Miramontes</t>
  </si>
  <si>
    <t>Compra de 2 Globos y 1 mantel para festojo dìa del padre</t>
  </si>
  <si>
    <t>Compra de agua, refrescos y café para mesa de cobranza domingo 19-06-16</t>
  </si>
  <si>
    <t>Compra de 4 botes aire comprimido, 1 monitor, 1 kit 4 pares de transcepto</t>
  </si>
  <si>
    <t>Pago por mano de obra en instalaciòn de cableado de 2 camaras en housing</t>
  </si>
  <si>
    <t>Pago por apoyo en cobranza de tarjetones del domingo 19/jun/16</t>
  </si>
  <si>
    <t>Pago por reparar y ajustar puerta con llantas de Landero</t>
  </si>
  <si>
    <t>Pago por reparación de puerta Cuchilla y Upacuaro, trabajo de herrería</t>
  </si>
  <si>
    <t>Pago por captura de datos del 20 al 24 de junio/16</t>
  </si>
  <si>
    <t>Pago de 6 garrafones de agua</t>
  </si>
  <si>
    <t>Abogado Fernando Sosa</t>
  </si>
  <si>
    <t>Pago de acta circunstanciada, por amenazas de vecino de CL_52</t>
  </si>
  <si>
    <t>Compra de 30 llaves para acceso a puertas peatonales</t>
  </si>
  <si>
    <t>Compra de bobina de cable UTP categoría 6 pata exterios y paq de 50 tenso</t>
  </si>
  <si>
    <t>Compra de camara, housing, eliminador y conectores tipo UY</t>
  </si>
  <si>
    <t>Villafaña Pérez Judith</t>
  </si>
  <si>
    <t>Compra de café para mesa de cobranza del domino 26/junio/16</t>
  </si>
  <si>
    <t>Pago por recolección basura fin de semana</t>
  </si>
  <si>
    <t>Pago por mantenimiento 3 circuitos CCTV Zinanpa</t>
  </si>
  <si>
    <t>Pago en apoyo en cobranza de tarjetones del domingo 26/06/16</t>
  </si>
  <si>
    <t>Alberto Reyes</t>
  </si>
  <si>
    <t>Pago comida para cuadrilla delegación, dragado y desasolve de 6 coladeras</t>
  </si>
  <si>
    <t>Pago reparación de pluma de entrada en caseta por daños de uso natural</t>
  </si>
  <si>
    <t>Pago del mes de junio/16</t>
  </si>
  <si>
    <t>José Luis Noriega</t>
  </si>
  <si>
    <t>Pago por arreglo de puerta de Landero y compra de material</t>
  </si>
  <si>
    <t>Apolinar de La Cruz</t>
  </si>
  <si>
    <t>Compra de paraguas para cobranza de domingo</t>
  </si>
  <si>
    <t>Compra de pan para junta mesa directiva</t>
  </si>
  <si>
    <t>Pago pr recolección de basura del mes de junio en todo el fraccionamiento</t>
  </si>
  <si>
    <t>Compra de un paraguas para mesa de cobranza y vigilancia</t>
  </si>
  <si>
    <t>Compra de un paraguas para vigilancia</t>
  </si>
  <si>
    <t>Pago correspondiente a la 2° quincena del mes de junio/16</t>
  </si>
  <si>
    <t>Pago  correspondiente a la 2° quincena del mes de junio/16</t>
  </si>
  <si>
    <t>Pago de retención de IVA del Colegio Carmel mes de julio/16</t>
  </si>
  <si>
    <t>Italcafe,S.A. de C.V.</t>
  </si>
  <si>
    <t>Desayuno mesa directiva y comitè vecinal</t>
  </si>
  <si>
    <t>Compra de refrescos y cae MD y vigilancia reparaciòn de pluma</t>
  </si>
  <si>
    <t>Estacionamiento desayuno mesa directiva</t>
  </si>
  <si>
    <t>Recolecciòn de pasto y hierva de Romeral y bosa y costal</t>
  </si>
  <si>
    <t>Pago por revisiòn de circuito Zinampa</t>
  </si>
  <si>
    <t>Pago de captura de datos del 27 juniio al 01 de julio/2016</t>
  </si>
  <si>
    <t>Compra de agua para mesa de cobranza del domingo</t>
  </si>
  <si>
    <t>Tiendas Comercial Mexicana, S.A. de C.V.</t>
  </si>
  <si>
    <t>Compra de lampara para Zinampa</t>
  </si>
  <si>
    <t>Compra de café y refrescos mesa de cobranza</t>
  </si>
  <si>
    <t>Compra de cable para luma en Zinampa</t>
  </si>
  <si>
    <t>Compra de refrescos junta directiva con Gama</t>
  </si>
  <si>
    <t>Compra de eliminador 12 V 1 par de transceptores</t>
  </si>
  <si>
    <t>Pago en apoyo a cobranza de tarjetones domingo 03 de julio/16</t>
  </si>
  <si>
    <t>Compra de papel igienico y carrito tubular para agua</t>
  </si>
  <si>
    <t>Compra de 1 camara tipo bala, 1 housing, 1 par de transceptores y 1 eliminad</t>
  </si>
  <si>
    <t>Pago de honorarios por colocación de 1 camara Rancho la Cuchilla</t>
  </si>
  <si>
    <t>Pago de honorarios en reparación de conexiones 4 camaras caseta Romeral</t>
  </si>
  <si>
    <t xml:space="preserve">Compra de 2 bobinas de cable UTP </t>
  </si>
  <si>
    <t>Compra de papelerìa</t>
  </si>
  <si>
    <t xml:space="preserve">Compra de papel premium </t>
  </si>
  <si>
    <t>Compra de cartuchos epso y papel premium</t>
  </si>
  <si>
    <t>Compra de sujetadores de UTP y correciòn de hotmail en computadora tesor</t>
  </si>
  <si>
    <t>Pago por captura de datos del 04 al 08 de julio/16</t>
  </si>
  <si>
    <t>Compra de refrescos para personas que limpiaron juegos y parque</t>
  </si>
  <si>
    <t>Mrcela Chavez Lopez</t>
  </si>
  <si>
    <t>Pago por limpieza y mantenimiento de kiosco y alrededores</t>
  </si>
  <si>
    <t>Pago por recolecciòn de basura del fin de semana en todo el fraccionamiento</t>
  </si>
  <si>
    <t>Compensaciòn por rondi al fracionamiento, madrugada y dia para quitar unidad</t>
  </si>
  <si>
    <t>Compra de refresco para la vigilancia</t>
  </si>
  <si>
    <t>Pago en apoyo cobranza de tarjetones domingo</t>
  </si>
  <si>
    <t>Compra de papelerìa para presidencia y tesorerìa</t>
  </si>
  <si>
    <t>Compra de 1 cafetera para vigilancia</t>
  </si>
  <si>
    <t>Pago de estacionamiento de compra de limpieza y cafetera</t>
  </si>
  <si>
    <t>Pago por reparaciòn de chapa de EZ y EP y aceitar todas las chapas peatonal</t>
  </si>
  <si>
    <t>Pago por reparaciòn de puerta vehicular LD, trabajo de herrerìa cambio de llan</t>
  </si>
  <si>
    <t>Compra de 1 rodillo para pinta señalizaciones</t>
  </si>
  <si>
    <t xml:space="preserve">Pago por mano de obra de instalaciòn </t>
  </si>
  <si>
    <t>Pago correspondiente a la 1° quincena del mes de julio/16</t>
  </si>
  <si>
    <t>Pago por captura de datos del 11 al 15 de julio/16</t>
  </si>
  <si>
    <t>Cadena Comercial Oxxo, S.A. de C.V.</t>
  </si>
  <si>
    <t>Compra de café para mesa de cobranza domingo</t>
  </si>
  <si>
    <t>Pago por recoleciòn de basura en toda la coloni en fin de semana</t>
  </si>
  <si>
    <t>Pago por pintar zona de peligro en el fraccionamiento en RM entre UP y LD</t>
  </si>
  <si>
    <t>Pago por apoyo en cobranza de tarjetones del domingo 18/julio/16</t>
  </si>
  <si>
    <t>Compra de 1 DVR 4 canales y 1 camara con housing transeptores y fuente E.</t>
  </si>
  <si>
    <t>Sr. Roldan</t>
  </si>
  <si>
    <t>Compra de refrescos y aguas para cuadrilla de trabajadores delegación ejercita</t>
  </si>
  <si>
    <t>Reparación de camara CNB situada en UP centro de la calle</t>
  </si>
  <si>
    <t>Compra de pilas 23 A para control de plumas</t>
  </si>
  <si>
    <t>Pago de 12 almuerzos para trabajadores que realizan el desazolve EZ</t>
  </si>
  <si>
    <t>Pago mano de obra reistalación camara 350 y</t>
  </si>
  <si>
    <t>Compra de 30 tarjetas procar cheque #30</t>
  </si>
  <si>
    <t>Pago de retenciòn de IVA del Colegio Carmel del mes de juio/16 ch.#32</t>
  </si>
  <si>
    <t>Pago Honorarios porfesionales junio/16 a/c anualidad 2016 ch.#31</t>
  </si>
  <si>
    <t>Pago gasolina para visita contador siegris</t>
  </si>
  <si>
    <t>Pago de 1 respaldo de video ZB Audi Blaco LD #2</t>
  </si>
  <si>
    <t>Pago de configuración de 30 tarjetas procard</t>
  </si>
  <si>
    <t>Pago arreglo pluma RM y soldadura</t>
  </si>
  <si>
    <t>Pago de estacionamiento junta directiva</t>
  </si>
  <si>
    <t>Pago de café junta mesa directiva</t>
  </si>
  <si>
    <t>Compra de refrescos y agua para personal de dragado y desazolve</t>
  </si>
  <si>
    <t>Pago de estaconamiento y valet parkin visita contador</t>
  </si>
  <si>
    <t xml:space="preserve">Pago de 16 almuerzos para 2 cuadrillas delegación dragado </t>
  </si>
  <si>
    <t>Pago de honorarios por captura de datos del 18 al 22 de julio/16</t>
  </si>
  <si>
    <t>Pago de 450 copias tamaño carta</t>
  </si>
  <si>
    <t>Compra de una camara Bitek 1800 TVL</t>
  </si>
  <si>
    <t>Pago por entrega de circular a la colonia urgente e informativo</t>
  </si>
  <si>
    <t>Compra de refrescos y agua para personal de poda parque</t>
  </si>
  <si>
    <t>Pago en apoyo por brindar su colaboración en evento del Delegado Coyoacan</t>
  </si>
  <si>
    <t>Compra de café para mesa de cobranza</t>
  </si>
  <si>
    <t>Federico García</t>
  </si>
  <si>
    <t>Pago de almuerzos a cuadrilla de poda del parque</t>
  </si>
  <si>
    <t>Pago por barrer basura urgentemente por evento con delegado Coyoacan</t>
  </si>
  <si>
    <t xml:space="preserve">Compra de agua, refrescos para cuadrilla de posa pasto </t>
  </si>
  <si>
    <t>Pago en apoyo en cobranza de tarjetones del domingo 25-07-16</t>
  </si>
  <si>
    <t>Pago por doblar, engrapar y entregar casa por casa informe a todo el fracc</t>
  </si>
  <si>
    <t>Pago por arreglo pluma y mano de obra compra de lasing y conectores</t>
  </si>
  <si>
    <t>Pago por 120 almuerzo para personal delegación de varios servicios en fracc</t>
  </si>
  <si>
    <t>Pago de 27 almuerzos para persoanal de poda y recolección de deshechos</t>
  </si>
  <si>
    <t>Pago de 450 juegos de 4 copias informe para todo el fraccionamiento</t>
  </si>
  <si>
    <t>Compra de refrescos para cuadrilla qu se dedaron en parque trabajando</t>
  </si>
  <si>
    <t>Pago a/c de la primer quincena del mes de Agosto/16</t>
  </si>
  <si>
    <t>Pago de 8 almuerzo para personal de recolecciòn de pasto</t>
  </si>
  <si>
    <t>Compra de 8 almuerzos para personal de delegaciòn de ejercitadores</t>
  </si>
  <si>
    <t>Pago mano de obra en instalaciòn de 2 camaras UP y 1 DVR monitor</t>
  </si>
  <si>
    <t>Pago por reparaciòn de la chapa de la puerta de Estopila</t>
  </si>
  <si>
    <t>Pago por captura de datos del 25 al 29 de julio/16</t>
  </si>
  <si>
    <t>Comisión por estado de cuenta</t>
  </si>
  <si>
    <t>I.V.A. por comisión de estado de cuenta</t>
  </si>
  <si>
    <t>Compra de 4 tornillos de expansiòn</t>
  </si>
  <si>
    <t>Compra de 1 perfil de aluminio base para camara</t>
  </si>
  <si>
    <t>Compra de refrescos y botanas para trabajadores de señalizacion de explan</t>
  </si>
  <si>
    <t xml:space="preserve">Pago de 1 respaldo de video reja Estopila Daños a cerradura </t>
  </si>
  <si>
    <t>Pago de 1 respaldo de video eveto cuchilla y Romeral vandalizaciòn de àrbo</t>
  </si>
  <si>
    <t>Compra de polvorones y refrescos para junta de tarjetones rojos</t>
  </si>
  <si>
    <t xml:space="preserve">Compra de toner Brother </t>
  </si>
  <si>
    <t>Compra 5 garrafones de agua</t>
  </si>
  <si>
    <t>Compra de refrescos y botanas para trabajadores del parque</t>
  </si>
  <si>
    <t xml:space="preserve">Compra de papel de baño para caseta Romeral </t>
  </si>
  <si>
    <t>Compra de almuerzos para trabajadores de explanada del kiosco</t>
  </si>
  <si>
    <t>Compra de refrescos para cuadrilla delegación parque</t>
  </si>
  <si>
    <t>Pago por captura de datos del 01 al 05 de agosto/16</t>
  </si>
  <si>
    <t>Pago de 7 desayunos para cuadrilla delegación trabajo explanada kiosco</t>
  </si>
  <si>
    <t>Pago por corte de pasto en caseta Romeral</t>
  </si>
  <si>
    <t>Compensación en apoyo en ayuda a vigilar jovenes sospechos en el fraccio</t>
  </si>
  <si>
    <t>Compra de café para la mesa de cobranza domingo 07/08/16</t>
  </si>
  <si>
    <t>Pago en apoyo de cobranza el domingo 07-08-16</t>
  </si>
  <si>
    <t>Pago de reparación de computadora para trabajos de mesa directiva</t>
  </si>
  <si>
    <t>Compra de 8 garrafones de agua</t>
  </si>
  <si>
    <t>Pago por repración de chapa de pueta de Estopila</t>
  </si>
  <si>
    <t>Pago a/c de trabajo de herrería en registo de agua</t>
  </si>
  <si>
    <t>Pago por recolección de escombros en calle de Estopila y Landero</t>
  </si>
  <si>
    <t>Tlapalería y Ferretería el Hueso</t>
  </si>
  <si>
    <t xml:space="preserve">Compra de 1 flexo pegamento para pluma </t>
  </si>
  <si>
    <t>Magic Led</t>
  </si>
  <si>
    <t>Compra de slin cudorada 12 W para iluminación del kiosco del parque</t>
  </si>
  <si>
    <t>Electrica Saavedra, S.A. de C.V.</t>
  </si>
  <si>
    <t>Compra de material para iluminación del kiosco del parque</t>
  </si>
  <si>
    <t>Compra de 12 tortas para personal delegación trabajos en el parque</t>
  </si>
  <si>
    <t>División Bombas Vic-Fer</t>
  </si>
  <si>
    <t>Compra de 1 motosierra toolcraft 22" para donación al cuerpo de bombero</t>
  </si>
  <si>
    <t>Ferrecompre</t>
  </si>
  <si>
    <t>Compra de taladro recargable para trabajos varios fraccionamientos</t>
  </si>
  <si>
    <t>Compra de refrescos para personal delegación trabajos varios parque</t>
  </si>
  <si>
    <t xml:space="preserve">Jorge Calderón </t>
  </si>
  <si>
    <t>Compra de tortas para cuadrilla delegación trabajos varios parque</t>
  </si>
  <si>
    <t>Pago por recoleccilón y trabajos de limpieza en el fraccionamiento</t>
  </si>
  <si>
    <t>Compra de dosificador de agua para caseta del fraccionamiento</t>
  </si>
  <si>
    <t>Pago por captura de datos del 08 al 12 de agosto/16</t>
  </si>
  <si>
    <t>Pago por cambio de ventilador en Lap Top de mesa directiva</t>
  </si>
  <si>
    <t>Servicio División, S.A. de C.V.</t>
  </si>
  <si>
    <t>Pago de 3 comidas para peronal delegacilón trabajos varios en el parque</t>
  </si>
  <si>
    <t xml:space="preserve">Pago de 20 tarjetas electronicas </t>
  </si>
  <si>
    <t>Pago de 32 desayunos para personal delegación trabajos de la explanada</t>
  </si>
  <si>
    <t>Compra de 1 canasta de frutas para la integrante Elena Osorio mesa direct</t>
  </si>
  <si>
    <t>Pago de mano de obra de software Lap top</t>
  </si>
  <si>
    <t>Compra de material para poda de parque</t>
  </si>
  <si>
    <t xml:space="preserve">Compensación en apoyo de sacar bebe en automovil calle landero </t>
  </si>
  <si>
    <t>Pago por reparación de bicicleta para rondines en el fraccionamiento</t>
  </si>
  <si>
    <t>Liq. Pago de trabajo de herrería registro Estopila esq. Landero</t>
  </si>
  <si>
    <t>Pago por recolecciòn de basura en fin de semana</t>
  </si>
  <si>
    <t>Compra de café para mesa de cobranza domingo 14/agosto</t>
  </si>
  <si>
    <t>Comprensación por ayuda a encontrar dueño de predio en La Cuchilla</t>
  </si>
  <si>
    <t>Francisco Daniel Pérez Calderón</t>
  </si>
  <si>
    <t>Pago por limpieza, arreglo y pintura de la caseta de Zinampa</t>
  </si>
  <si>
    <t>Compra de material para pintar caseta de Zinampa</t>
  </si>
  <si>
    <t>Compra de refrescos y agua para vigilancia y mesa de cobranza domingo</t>
  </si>
  <si>
    <t>Pago por recolección de basura 1er quincena de agosto/16</t>
  </si>
  <si>
    <t>Pago correspondiente a la 2° quincena del mes de agosto/16</t>
  </si>
  <si>
    <t>Pago liq.  correspondiente a la 1° quincena del mes de agosto/16</t>
  </si>
  <si>
    <t>Pago de retenciòn de IVA del Colegio Carmel del mes de agosto/16 ch.#35</t>
  </si>
  <si>
    <t>Pago Honorarios porfesionales agosto/16 a/c anualidad 2016 ch.#36</t>
  </si>
  <si>
    <t>Compra de 2 botes de Aire comprimido</t>
  </si>
  <si>
    <t>Pago de estacionamiento y balet parking visita contador siegrist</t>
  </si>
  <si>
    <t>Pago de 48 almuerzos de 4 dìas para trabajadores explanada kiosco parque</t>
  </si>
  <si>
    <t>Pago gasolina para visita contador siegris, Grisela Peralta</t>
  </si>
  <si>
    <t>Sr Arturo</t>
  </si>
  <si>
    <t>Compra de tacos y refrescos personal explanada kiosco parque</t>
  </si>
  <si>
    <t>Pago limpieza y rectificaciòn en caseta CL y EP DVR y cicuito monitores</t>
  </si>
  <si>
    <t>Pago por reparaciòn de pluma vehicular entrada ZB desmontado y enderez</t>
  </si>
  <si>
    <t>Asunciòn</t>
  </si>
  <si>
    <t>Pago acuenta de de 2da. Quincena de agosto/16</t>
  </si>
  <si>
    <t>Andrea Concepciòn Marquez</t>
  </si>
  <si>
    <t>Pago de 1000 recibos de cobranza cheque # 37</t>
  </si>
  <si>
    <t>Pago por captura de datos del 15 al 19 de agosto</t>
  </si>
  <si>
    <t>Compra de boligrafos y cartuchos para tesorerìa</t>
  </si>
  <si>
    <t>Pago por poda de parque durante una semana</t>
  </si>
  <si>
    <t>Pago de 9 garrafones de agua</t>
  </si>
  <si>
    <t>Compra de agua y refrescos mesa de cobranza y vigilancia domingo</t>
  </si>
  <si>
    <t>Ayuda al camiòn de basura por un compañero del camiòn sufrio accidente</t>
  </si>
  <si>
    <t>Pago en apoyo de llevarse todo el pasto que se corto del parque</t>
  </si>
  <si>
    <t>Pago propina a mesero visita al cuartel de bomberos</t>
  </si>
  <si>
    <t>Compensaciòn en apoyo de compañía para campaña colegio carmel no esta</t>
  </si>
  <si>
    <t>Pago de material y trabajos para techo de caseta Zinampa</t>
  </si>
  <si>
    <t>Pago en apoyo durante maña y tarde de entra de circulares escuela</t>
  </si>
  <si>
    <t>Compra de calculadora, cortinas para baño y estacionamiento centro</t>
  </si>
  <si>
    <t>Compra de bobina de cabe UTP para caja hidrobox camara de Cuchilla</t>
  </si>
  <si>
    <t>A/C de compra de bobina de Cuchilla cheque # 39</t>
  </si>
  <si>
    <t>Compra de 30 llaves travex cheque # 40</t>
  </si>
  <si>
    <t>Compensación en apoyo patrullaje entrada en la mañana al colegio P.F.</t>
  </si>
  <si>
    <t>Liq. De compra de bobina de Cuchilla</t>
  </si>
  <si>
    <t>Compra de 9 garragones de agua</t>
  </si>
  <si>
    <t>Pago 10 ampliaciones</t>
  </si>
  <si>
    <t>Pago de 52 copias B/N</t>
  </si>
  <si>
    <t>Pago jardinero mantenimiento en el parque del fraccionamiento 2da seman</t>
  </si>
  <si>
    <t>Pago jardinero de materiales para poda parque</t>
  </si>
  <si>
    <t>Pago por captura de datos del 22 al 26 de agosto</t>
  </si>
  <si>
    <t>Pago por llevarse basura en costales de Recoveco</t>
  </si>
  <si>
    <t>Sr. Daniel</t>
  </si>
  <si>
    <t>Pago en apoyo trabajos en caseta Zinmpa</t>
  </si>
  <si>
    <t>Compensaciòn por rondines en todo el fraccionamiento, para gasolina</t>
  </si>
  <si>
    <t>Josè Asunciòn Dominguez Montejo</t>
  </si>
  <si>
    <t>Compensaciòn en apoyo a trabajos especiales con mesa directiva</t>
  </si>
  <si>
    <t>Grisela Peralta apoyo en planillas compra de cafè</t>
  </si>
  <si>
    <t>Grisela Peralta apoyo en planillas compra de agua y refrescos</t>
  </si>
  <si>
    <t>Pago por recolecciòn de basura todo el fin de semana</t>
  </si>
  <si>
    <t>Pago por podar 2 arbolitos en Romeral que tapan camara</t>
  </si>
  <si>
    <t>Compra de café y refrescos mesa de cobranza y vigilancia domingo 28</t>
  </si>
  <si>
    <t>Compra de refrescos mesa de cobranza domingo 28</t>
  </si>
  <si>
    <t>Pago por recolección de basura dar quincena de agosto/16</t>
  </si>
  <si>
    <t>Pago por llevarse todo el pasto del parque que se podo en 2 semanas</t>
  </si>
  <si>
    <t>Pago por apoyo en cobranza domingo/29</t>
  </si>
  <si>
    <t>Compra de 1 portafolio para laptop</t>
  </si>
  <si>
    <t>Compra de 5 memoraias USB</t>
  </si>
  <si>
    <t>Pago de 1 respaldo de video Upacuaro</t>
  </si>
  <si>
    <t>Pago de 1 respaldo de video parque</t>
  </si>
  <si>
    <t>Pago por recolecciòn de basura de lunes a viernes durante todo el mes</t>
  </si>
  <si>
    <t>Pago de retención de IVA del Colegio Carmel mes de agosto/16</t>
  </si>
  <si>
    <t>Distribuidora Biclicletas Benotto, S.A. de C.V.</t>
  </si>
  <si>
    <t>Compra de llantas para bicicleta de vigilancia Gamma</t>
  </si>
  <si>
    <t>Compra de botanas para personal del parque en juegos</t>
  </si>
  <si>
    <t>Compra de 7 garrafones de agua</t>
  </si>
  <si>
    <t>Compra de cafè para mesa directiva junta para ver finanzas</t>
  </si>
  <si>
    <t>Grisela Peralta, gasolina, compras para kiosko y casetas mes de septiembre</t>
  </si>
  <si>
    <t>Pago por captura de datos del 29/ago al 02/sep/16</t>
  </si>
  <si>
    <t xml:space="preserve"> Patrulla 007</t>
  </si>
  <si>
    <t xml:space="preserve">Pago en apoyo oficial de platica con vecinos </t>
  </si>
  <si>
    <t>Pago por trabajo de techumbre en caseta Zinampa, cambio techo</t>
  </si>
  <si>
    <t>Compra de refrescos y botanas para personal delegaciòn luminarias parque</t>
  </si>
  <si>
    <t>Compra 4 metros de cable para arreglo de luz en parque</t>
  </si>
  <si>
    <t>Pago de almuerzos para vigilantes que ayudaron adornar todo el fracciona</t>
  </si>
  <si>
    <t>Modatelas SAPI, de CV.</t>
  </si>
  <si>
    <t>Compra de adornos para fiestas patrias del fraccionamientos</t>
  </si>
  <si>
    <t>Compra de bandera para adornar kiosko</t>
  </si>
  <si>
    <t>La Pape</t>
  </si>
  <si>
    <t>Compra de plumas de gel color azul para cobranza</t>
  </si>
  <si>
    <t xml:space="preserve">Compensaciòn en apoyo por adornar el kiosco </t>
  </si>
  <si>
    <t>Pago de 2 semanas de poda de pasto en parque</t>
  </si>
  <si>
    <t>Compra de cafè para mesa de cobranza domingos</t>
  </si>
  <si>
    <t>Pago por llevarse 6 costales de pasto podado del parque</t>
  </si>
  <si>
    <t>Compra de cafè y botanas para personal de votaciònes kiosko</t>
  </si>
  <si>
    <t>Pago de eliminador para plato lector 9 vots sin nota de esteren</t>
  </si>
  <si>
    <t>Reparaciòn de alimentaciòn de voltaje de plato lectooooo de tarjetas</t>
  </si>
  <si>
    <t>Pago por dos respaldos en 3 circuitos de evento de jovenes tomando parq</t>
  </si>
  <si>
    <t>Pago de 10 garrafones de agua</t>
  </si>
  <si>
    <t>Compra de tortas para personal delegaciòn colocaciòn de juegos explanada</t>
  </si>
  <si>
    <t xml:space="preserve">Pago de 80 copias </t>
  </si>
  <si>
    <t>Pago de comida para personal de investigaciòn de asalto a calle Upacuaro</t>
  </si>
  <si>
    <t>Pago por reparaciòn y diagnostico de alteraciòn de chapa de RV, EZ y ZB</t>
  </si>
  <si>
    <t xml:space="preserve">Pago de videos en difrerentes tomas, trabajos de 24 horas recopilaciòn </t>
  </si>
  <si>
    <t>Adelanto de reparaciòn de puerta de entrada del kiosko</t>
  </si>
  <si>
    <t>Pago de video de Estopila cuando entra la señora de aseo en Upacuaro</t>
  </si>
  <si>
    <t>Comñpra de 6 tortas y agua para trabajadores parque de juegos ejercitado</t>
  </si>
  <si>
    <t>Pago por captura de datos del 05 al 09- septiembre/16</t>
  </si>
  <si>
    <t>Pago de 640 copias</t>
  </si>
  <si>
    <t>Tiendas Chedraui, S.A. de C.V.</t>
  </si>
  <si>
    <t>Compra de boligafos y hojas</t>
  </si>
  <si>
    <t>Pago por repraciòn y diagnostico de chapa zinampa y compra refacciones</t>
  </si>
  <si>
    <t>Pago a chicos en apoyo a entregar circular urgente en todo el fraccionam</t>
  </si>
  <si>
    <t>Pago de 1 respaldo de video en pluma</t>
  </si>
  <si>
    <t>Pago por poda de pasto toda la semana</t>
  </si>
  <si>
    <t>Pago mano de obra en instalaciòn de camara de Cuchilla y Romeral</t>
  </si>
  <si>
    <t>Compra de disco duro de 500 GB para DVR ubicado en Romeral</t>
  </si>
  <si>
    <t>Compra de vasos desechables para mesa de cobranza domingo</t>
  </si>
  <si>
    <t xml:space="preserve">Pago por enterrar y pintar tronco del parque </t>
  </si>
  <si>
    <t>Compensaciòn en apoyo por presencia para circular codigo civil mascotas</t>
  </si>
  <si>
    <t>Pago telefono del mes de agosto/16</t>
  </si>
  <si>
    <t>Pago de trabajo termino puerta del kiosko</t>
  </si>
  <si>
    <t>Compra de material para instalar luz en kiosco</t>
  </si>
  <si>
    <t>Jose Hurtado</t>
  </si>
  <si>
    <t>Pago por instalaciòn de luz dentro del kiosco</t>
  </si>
  <si>
    <t>Compensaciòn en apoyo por campaña de mascotas</t>
  </si>
  <si>
    <t xml:space="preserve">Dulcerìa </t>
  </si>
  <si>
    <t>Compra de bolsas para campaña civica de mascotas</t>
  </si>
  <si>
    <t xml:space="preserve">Vecina </t>
  </si>
  <si>
    <t>Nos vendio 5 cajas de galletas para evento kiosco</t>
  </si>
  <si>
    <t>Compra de refrescos para SSP evento en kiosco platica de seguridad</t>
  </si>
  <si>
    <t>Daniel Grupo Gamma</t>
  </si>
  <si>
    <t>Compesaciòn en apoyo en cargar laminas y aparatos del kiosco</t>
  </si>
  <si>
    <t>Pago por arreglar chapa ZB y material para bajada de techumbre</t>
  </si>
  <si>
    <t>Pago por calibrar pluma de tornilloos y ronanas de ZB</t>
  </si>
  <si>
    <t>Compra de recibos y copias</t>
  </si>
  <si>
    <t>G_MTCP</t>
  </si>
  <si>
    <t>Instalaciòn y diferencia de Disco duro para CL esq. RM</t>
  </si>
  <si>
    <t>Pago primer quincena por barrer todo el fraccionamiento entre semana</t>
  </si>
  <si>
    <t>Pago por llevarse costales de pasto que fue podado en la semana</t>
  </si>
  <si>
    <t>Pago a chicos en apoyo a entrega de circular informe de puerta cerrada 15</t>
  </si>
  <si>
    <t>Cena para la vigilancia el 15 de septiembre</t>
  </si>
  <si>
    <t>Gasolina Grisela Peralta compra del 15 de septiembre para fraccionamiento</t>
  </si>
  <si>
    <t>Pago correspondiente a la 2° quincena del mes de septiembre/16</t>
  </si>
  <si>
    <t>Pago liq.  correspondiente a la 1° quincena del mes de septiembre/16</t>
  </si>
  <si>
    <t>Pago por captura de datos del 12 al 16 de septiembre/16</t>
  </si>
  <si>
    <t>Pago por cortar cesped del 13 al 17 de septiembre</t>
  </si>
  <si>
    <t>Compra de café para mesa de cobranza domingo 18 de septiembre</t>
  </si>
  <si>
    <t>Pago de 2 transeptores y conectores de tendido cheque #41</t>
  </si>
  <si>
    <t>Compra de 30 tarjetas procar cheque #43</t>
  </si>
  <si>
    <t>Compra de tornillos para bicileta del fraccionamiento</t>
  </si>
  <si>
    <t>Pago por concepto en apoyo en cobranza del domingo 18 de septiembre</t>
  </si>
  <si>
    <t>Pago estacionamineto y propina visita contador Siegrist</t>
  </si>
  <si>
    <t>Compra de galetas y café visita contador Siegrist</t>
  </si>
  <si>
    <t>Gasolina Grisela Peralta visita a contador Siegrist</t>
  </si>
  <si>
    <t>Pago de 11 garrafones de agua</t>
  </si>
  <si>
    <t>Centro de Copiado del sur</t>
  </si>
  <si>
    <t>Pago por recolecciòn basura RV escombros</t>
  </si>
  <si>
    <t>Pago de retenciòn de IVA del Colegio Carmel del mes de Sep/16 ch.#45</t>
  </si>
  <si>
    <t>Pago Honorarios porfesionales agosto/16 a/c anualidad 2016 ch.#44</t>
  </si>
  <si>
    <t>Pago de tendido de 1 camara y compra de DVR con disco duro</t>
  </si>
  <si>
    <t>Motosierras y Equipos</t>
  </si>
  <si>
    <t>Compra Desmelezadora stihl, para podar parque del fracc. Chque #46</t>
  </si>
  <si>
    <t>Marìa Teresa del Pozo</t>
  </si>
  <si>
    <t>Pago por fumigar todo el parque del fraccionamiento cheque #49</t>
  </si>
  <si>
    <t>Pago por 2 luinarìas, una reconecciòn y una fotocelda</t>
  </si>
  <si>
    <t>Compra de gasolina para podar parque</t>
  </si>
  <si>
    <t>Sr. Manuel Gama</t>
  </si>
  <si>
    <t>Pago por quitar todos los posters de la coloniar</t>
  </si>
  <si>
    <t>Compra de refrescos para persoanal que reparò luminarìas del parque</t>
  </si>
  <si>
    <t>Pago por concepto de captura de datos del 19 al 24 de septiembre/16</t>
  </si>
  <si>
    <t>Compra pintura, brocha y rodillo para pintar techo y puerta kiosco,</t>
  </si>
  <si>
    <t>Compra de café y agua para vigilancia mesa de cobranza</t>
  </si>
  <si>
    <t>Pago por recolección de basura fines de semana en todo el fraccionamiento</t>
  </si>
  <si>
    <t>Pago por pintar puerta de kiosco</t>
  </si>
  <si>
    <t>Pago por pintar techo de advesto caseta Zinampa</t>
  </si>
  <si>
    <t>Pago en apoyo quitar camión con WC en Landero y Hueso (tianguis)</t>
  </si>
  <si>
    <t>Pago en apoyo a la combraza de 25 de septiembre/16</t>
  </si>
  <si>
    <t>Compra de rodillo y brocha para pintar caseta de CL, RM y EZ</t>
  </si>
  <si>
    <t>Gasolina para Grisela Peralta, presidenta mesa directiva</t>
  </si>
  <si>
    <t>Pago de 1 respaldo de video Cuchilla #61</t>
  </si>
  <si>
    <t>Pago en apoyo para visita a vecino de la falta de limpieza</t>
  </si>
  <si>
    <t>Pago por reconfigurar 13 tarjetas pocard</t>
  </si>
  <si>
    <t>Pago segunda quincena por barrer todas las calles entre semana</t>
  </si>
  <si>
    <t>Pago por recolectar pasto del parque duranta la 2da. quincena</t>
  </si>
  <si>
    <t>Pago por captura de datos del 26 al 30 de septiembre/16</t>
  </si>
  <si>
    <t>Manuel Gamma</t>
  </si>
  <si>
    <t>Pago por impermeabiliza techo de casetas CL, RM y EZ</t>
  </si>
  <si>
    <t>Pago por recolección de basura en toda la colonia</t>
  </si>
  <si>
    <t>Asunción Gamma</t>
  </si>
  <si>
    <t>Pago por arreglo de chapa de Estopila y lijar chapa de Cuchilla</t>
  </si>
  <si>
    <t>Compra de thinner, escoba y lima para arreglar caseta Zinampa</t>
  </si>
  <si>
    <t>Pago liq.  correspondiente a la 2° quincena del mes de septiembre/16</t>
  </si>
  <si>
    <t>Pago concepto comprensación en calidad de presidente de la MD 2° quin</t>
  </si>
  <si>
    <t>Pago de retención de IVA del Colegio Carmel mes de septiembre/16</t>
  </si>
  <si>
    <t>Compra de mastique para vidrios de caseta Cuchilla y Estopila</t>
  </si>
  <si>
    <t>Compra de café y refrescos para mesa de cobranza y vigilancia domingo</t>
  </si>
  <si>
    <t>Compensación en apoyo para visitar vecino que no deja pasar camion basur</t>
  </si>
  <si>
    <t>Compra de refrescos para vigilancia en apoyo de retirar tarjetones azules</t>
  </si>
  <si>
    <t>Pago en apoyo de cobranza doingo 02 de octubre</t>
  </si>
  <si>
    <t>Pago del mes de septiembre/16 y comisión de $ 5 pesos por pago</t>
  </si>
  <si>
    <t>Compra de adornos para quiosco día de muertos</t>
  </si>
  <si>
    <t>Pago estacionamiento compra de materiales limpieza y adornos</t>
  </si>
  <si>
    <t>Compra de aerosol para tubos con bolsas para desechos de mascotas</t>
  </si>
  <si>
    <t>Pago de estacionamiento compra de tubos con bolsas para desechos</t>
  </si>
  <si>
    <t>Compra de carpeta para Mesa Directiva</t>
  </si>
  <si>
    <t>Reparación de plua de salida subida y bajada ajuste</t>
  </si>
  <si>
    <t>Compra de cloro para limpieza de caseta Romeral</t>
  </si>
  <si>
    <t>Pago de recolección de escombros y basura de pasto Recoveco y EP</t>
  </si>
  <si>
    <t>Pago de comida para personal explanada 7 personas</t>
  </si>
  <si>
    <t>Pago por captura de datos del 03 al 07 de Octubre/16</t>
  </si>
  <si>
    <t xml:space="preserve">Roberto   </t>
  </si>
  <si>
    <t>Pago por pintar caseta por dentro y fuera zinampa</t>
  </si>
  <si>
    <t xml:space="preserve">Pago por poda de pasto semana del 4 al 8 de octubre </t>
  </si>
  <si>
    <t>Pago por recolección de basura en toda la colonia fin de semana</t>
  </si>
  <si>
    <t xml:space="preserve">Pago por recolección de pasto </t>
  </si>
  <si>
    <t>Pago por llevarse pasto podado</t>
  </si>
  <si>
    <t>Compra de 10 garrafones de agua</t>
  </si>
  <si>
    <t>Pago estacionamiento compra toner</t>
  </si>
  <si>
    <t xml:space="preserve">Pago por recoger ramas y pasto podado del parque </t>
  </si>
  <si>
    <t>Pago gasolina Grisela Peralta</t>
  </si>
  <si>
    <t>Pago por concepto en apoyo en cobranza del domingo 09 octubre/16</t>
  </si>
  <si>
    <t>Compra de tornillos para caseta Romeral para repisas</t>
  </si>
  <si>
    <t>Compra de bolsas para forrar postes de informaciòn para fraccionamiento</t>
  </si>
  <si>
    <t>Compra de tabala para hojas presidencia</t>
  </si>
  <si>
    <t>Pago de mano de obra en reparaciòn de dos gabinetes caseta Romeral</t>
  </si>
  <si>
    <t xml:space="preserve">Pago a jovenes para repartir circulares en todo el fraccionamiento </t>
  </si>
  <si>
    <t>Pago a jovenes por doblar todas las circulares que se repartieron</t>
  </si>
  <si>
    <t>Pago de 2,250 copias para informe del fraccionamiento</t>
  </si>
  <si>
    <t>Eopermex</t>
  </si>
  <si>
    <t xml:space="preserve">Pago estacionamiento visita delegaciòn </t>
  </si>
  <si>
    <t>Pago de tacos para vigilancia</t>
  </si>
  <si>
    <t>Pago de pizza y refrescos para vigilantes por buen desempeño Zinampa</t>
  </si>
  <si>
    <t>Pago de pizza y refrescos para vigilantes por buen desempeño Romeral</t>
  </si>
  <si>
    <t>Pago por barrer todo el fraccionamiento de lunes a viernes 1er qincena</t>
  </si>
  <si>
    <t>Pago por recolecciòn de basura e todo el fraccionamiento 1er quincena</t>
  </si>
  <si>
    <t>Pago por poda de pasto en parque del 11 al 15 de octubre/16</t>
  </si>
  <si>
    <t>Pago de estacionamiento compra de carpeta</t>
  </si>
  <si>
    <t>Pago correspondiente a la 1er qincena de octubre 16</t>
  </si>
  <si>
    <t>Pago correspondiente a la 1er quincena de oct/16 cheque #</t>
  </si>
  <si>
    <t>Pago concepto comprensación en calidad de presidente de la MD 1° quin</t>
  </si>
  <si>
    <t>Compra de café para mesa de cobranza domingo 16 de octubre</t>
  </si>
  <si>
    <t>Asociación de Colonos
HACIENDAS DE COYOACÁN</t>
  </si>
  <si>
    <t>CONCEPTO  /  MES</t>
  </si>
  <si>
    <t>DICIEMBRE
2012</t>
  </si>
  <si>
    <t>ANUAL
2013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</si>
  <si>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</si>
  <si>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</si>
  <si>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</si>
  <si>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</si>
  <si>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</si>
  <si>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</si>
  <si>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</si>
  <si>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</si>
  <si>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</si>
  <si>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</si>
  <si>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</si>
  <si>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</si>
  <si>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
2014</t>
  </si>
  <si>
    <t>ANUAL
2015</t>
  </si>
  <si>
    <t>ANUAL
2016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</si>
  <si>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</si>
  <si>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</si>
  <si>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</si>
  <si>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</si>
  <si>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</si>
  <si>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</si>
  <si>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</si>
  <si>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SUMA INGRESOS</t>
  </si>
  <si>
    <t>EGRESOS</t>
  </si>
  <si>
    <t>COSTO DE VIGILANCIA</t>
  </si>
  <si>
    <t>Sueldos y bono de puntualidad</t>
  </si>
  <si>
    <t>Alimentos</t>
  </si>
  <si>
    <t>Atención médica</t>
  </si>
  <si>
    <t>Uniformes</t>
  </si>
  <si>
    <t>INFRAESTRUCTURA Y SUMINISTROS</t>
  </si>
  <si>
    <t>Cámaras de vigilancia</t>
  </si>
  <si>
    <t>Dispositivos, discos y USB</t>
  </si>
  <si>
    <t>Llaves electrónicas y de acceso peatonal</t>
  </si>
  <si>
    <t>Señalización en calles</t>
  </si>
  <si>
    <t>MANTENIMIENTO</t>
  </si>
  <si>
    <t>A calles y banquetas</t>
  </si>
  <si>
    <t>A cámaras de vigilancia y plumas de acceso</t>
  </si>
  <si>
    <t>A casetas</t>
  </si>
  <si>
    <t>A las puertas de acceso peatonal</t>
  </si>
  <si>
    <t>A luminarias</t>
  </si>
  <si>
    <t>Al jardín, Kiosco, juegos y explanada</t>
  </si>
  <si>
    <t>Varios</t>
  </si>
  <si>
    <t>GASTOS ADMINISTRATIVOS</t>
  </si>
  <si>
    <t>Cobranza</t>
  </si>
  <si>
    <t>Gastos de organización</t>
  </si>
  <si>
    <t>Gastos y productos financieros</t>
  </si>
  <si>
    <t xml:space="preserve">Honorarios contables y captura </t>
  </si>
  <si>
    <t>Honorarios jurídicos</t>
  </si>
  <si>
    <t>Asesoría Legal</t>
  </si>
  <si>
    <t>Papelería y fotocopiado</t>
  </si>
  <si>
    <t>Publicidad</t>
  </si>
  <si>
    <t>Teléfono e Internet</t>
  </si>
  <si>
    <t>IMPUESTOS Y CONTRIBUCIONES</t>
  </si>
  <si>
    <t>G_TOTAL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</si>
  <si>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</si>
  <si>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</si>
  <si>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</si>
  <si>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</si>
  <si>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</si>
  <si>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</si>
  <si>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</si>
  <si>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Fondo revolvente</t>
  </si>
  <si>
    <t xml:space="preserve">         Suma de Caja y Banco</t>
  </si>
  <si>
    <t>ING_CUOTAS</t>
  </si>
  <si>
    <t>ING_EXTRA</t>
  </si>
  <si>
    <t>ING_LLAVES</t>
  </si>
  <si>
    <t>ING_TELE</t>
  </si>
  <si>
    <t>ING_TAR</t>
  </si>
  <si>
    <t>ING_OTROS</t>
  </si>
  <si>
    <t>Aportación Colegio Carmel</t>
  </si>
  <si>
    <t>Héctor Vázquez</t>
  </si>
  <si>
    <t>Tecno Plaza Electrónica, S.A. de C.V.</t>
  </si>
  <si>
    <t>T.E. # 10506186</t>
  </si>
  <si>
    <t>Pago en apoyo a la cobranza del 16 de octubre/16</t>
  </si>
  <si>
    <t>Gasolina para presidencia, Grisela Peralta</t>
  </si>
  <si>
    <t>Compra de almuerzos para 30 personas del parque explanada</t>
  </si>
  <si>
    <t>Pago de 4 almuerzos para trabajadores explanada bancos verdes</t>
  </si>
  <si>
    <t>Benotto</t>
  </si>
  <si>
    <t>Mercado Miramontes</t>
  </si>
  <si>
    <t>Servico el Hueso S.A. de C.V.</t>
  </si>
  <si>
    <t>Frutería Martitha</t>
  </si>
  <si>
    <t>Compra de 2 canastas de frutas para dos miebros de la mesa directiva</t>
  </si>
  <si>
    <t>Pago por recolección de varas y troncos que se podaron en parque del fracciona</t>
  </si>
  <si>
    <t xml:space="preserve">Compra de tensores para sujetar cable para camara Landero </t>
  </si>
  <si>
    <t>Pago de comida para personal delegación colocación de bancos en parque</t>
  </si>
  <si>
    <t>Cadena Coercial Oxxo,, S.A.de C.V.</t>
  </si>
  <si>
    <t>Compra de refrescos para personal delegación colocación bancos</t>
  </si>
  <si>
    <t>Ferre-Electria Díaz</t>
  </si>
  <si>
    <t>Compra de una hoja de lija para chapas de puertas del fraccionamiento</t>
  </si>
  <si>
    <t>Compra de almuerzos para grupo pastoral que se realiza anualmente</t>
  </si>
  <si>
    <t>Pago estacionamiento visita al Contador Siegrist</t>
  </si>
  <si>
    <t>Compra de refrescos para junta de mesa directiva</t>
  </si>
  <si>
    <t>Pago de 7 comidas para personal delegación bancos verdes</t>
  </si>
  <si>
    <t>Compra de refacciones para bicicleta de vigilacia rondines fraccionamiento</t>
  </si>
  <si>
    <t>Compra de adornos para casetas del día de muertos</t>
  </si>
  <si>
    <t>Pago de honorarios del mes de octubre cheque # 53</t>
  </si>
  <si>
    <t>Pago de retención de IVA del Colegio Carmel de octubre/16 cheque # 54</t>
  </si>
  <si>
    <t>Waldos a Dólar Mart de México S. de R.L. de C.V.</t>
  </si>
  <si>
    <t>Compra de adornos para el fraccionamiento Dia de Muertos</t>
  </si>
  <si>
    <t>Pago por recolección pasto del parque podado</t>
  </si>
  <si>
    <t>Pago de honorarios del 17 al 21 de octubre/16</t>
  </si>
  <si>
    <t>Pago de estacionamiento compras varias</t>
  </si>
  <si>
    <t>Pago por doda de pasto del 18 al 22 de octubre/16</t>
  </si>
  <si>
    <t>Pago por recolección de pasto podado del parque</t>
  </si>
  <si>
    <t>Manualidades</t>
  </si>
  <si>
    <t>Compra de adornos para ofrenda del kiosco Días de Muertos</t>
  </si>
  <si>
    <t>Sra. Rebeca</t>
  </si>
  <si>
    <t>Pago por limpiar kiosco 2 días</t>
  </si>
  <si>
    <t>Compra de material de limpieza y escoba para el parque</t>
  </si>
  <si>
    <t>Compra de café y refrescos para mesa de cobranza y vigilancia domingos</t>
  </si>
  <si>
    <t>Compra de papel china para donos para el fraccionamiento</t>
  </si>
  <si>
    <t>Pago de estacionamiento compra de papel china</t>
  </si>
  <si>
    <t>Compra de cinta corte facil para colocar adornos</t>
  </si>
  <si>
    <t>Compra de papelería para presidencia</t>
  </si>
  <si>
    <t>Jose Asunción Dominguez</t>
  </si>
  <si>
    <t>Pago por varios trabajos dentro del fracciones</t>
  </si>
  <si>
    <t>Compensación en ayuda de hacer rondines parque sin luz día 22 de octubre</t>
  </si>
  <si>
    <t>Compensación en ayuda de hacer rondines parque sin luz día 23 de octubre</t>
  </si>
  <si>
    <t>Pago en apoyo de cobranza domingo 23 de octubre</t>
  </si>
  <si>
    <t>Pago por trabajos de techo de cuarto de lockers de vigilancia</t>
  </si>
  <si>
    <t>Pago de mano de obra para reparació de bicicleta de rondines</t>
  </si>
  <si>
    <t>Pago por guisados para ofrneda que se puso en el kiosco del parque fraccionami</t>
  </si>
  <si>
    <t>Pago  de 450 copias y 1 dvd</t>
  </si>
  <si>
    <t>Delegación Coyoacan</t>
  </si>
  <si>
    <t>Compra de refrescos para personal que reparo cables colgando en Calz Hueso</t>
  </si>
  <si>
    <t>Pago a chicos que apoyaron en quitar poster y pegar nuevos información al fracc</t>
  </si>
  <si>
    <t>Papelería</t>
  </si>
  <si>
    <t>Diseño y entrega de circular para el día de muertos dobladas</t>
  </si>
  <si>
    <t>Compra de refrescos en apoyo de evalución problemática del alumbrado del parqu</t>
  </si>
  <si>
    <t>Pasteleria Bodon, S.A. de C.V.</t>
  </si>
  <si>
    <t>Compra de dulces para el festejo en el kiosco día de muertos</t>
  </si>
  <si>
    <t>Compra de bolsas para información del evento del día de muertos</t>
  </si>
  <si>
    <t>Galería Coapa</t>
  </si>
  <si>
    <t>Pago de estacionamiento, copras varias</t>
  </si>
  <si>
    <t>Pago de 66 copias para informar al fraccionamiento evento</t>
  </si>
  <si>
    <t xml:space="preserve">Pago de UHU pegamento para la pluma </t>
  </si>
  <si>
    <t>Compra de 200 pan de muerto para evento en el kiosco</t>
  </si>
  <si>
    <t>Compra de jugos para los niños evento en el kiosco día de muertos</t>
  </si>
  <si>
    <t>Compra de calaveras y pan de muerto para la ofrenda que se puso en la explana</t>
  </si>
  <si>
    <t>Pago en apoyo de recolectar cosales de escombros en parque y estopila</t>
  </si>
  <si>
    <t>Estacionamiento copras varias</t>
  </si>
  <si>
    <t>Pago de captura de datos correspondientes del 10 al 14 de octubre/16</t>
  </si>
  <si>
    <t>Pago de captura de datos correspondientes del 24 al 28 de octubre/16</t>
  </si>
  <si>
    <t>Pago por doda de pasto del 25 al 29 de octubre/16</t>
  </si>
  <si>
    <t>Pago por recolección de basura fin de semana</t>
  </si>
  <si>
    <t xml:space="preserve">Compra de refrescos para mesa de cobranza domingo </t>
  </si>
  <si>
    <t>Compra de cena para vigilancia y mesa directiva</t>
  </si>
  <si>
    <t>Pago en compensación por ayudar a colocar ofrenda en el diosco del parque</t>
  </si>
  <si>
    <t>Roberto Arambula</t>
  </si>
  <si>
    <t>Pago en apoyo de barrer toda la explanada y el kiosco</t>
  </si>
  <si>
    <t>Pago por recolección de basura en todo el fracc de lunes a viernes 2da quincena</t>
  </si>
  <si>
    <t>Pago por barrer todo el fraccionamiento de lunes a viernes de la 2da quincena</t>
  </si>
  <si>
    <t>Compra de 2 pan de muerto evento kiosco</t>
  </si>
  <si>
    <t>Compra de varios adornos para la platica del día de muertos</t>
  </si>
  <si>
    <t>Pago correspondiente a la 2da quincena efectivo</t>
  </si>
  <si>
    <t>Pago correspondiente a la 2da quincena cheque # 55</t>
  </si>
  <si>
    <t>Pago de retención de IVA del Colegio Carmel mes de octubre/16</t>
  </si>
  <si>
    <t>TARJETA NUM. 6187</t>
  </si>
  <si>
    <t>Maldonado</t>
  </si>
  <si>
    <t>Pago  correspondiente a la 2° quincena del mes de mayo/16</t>
  </si>
  <si>
    <t>Pago por recolecciòn de pasto y basura del kiosco, evento dìa de muertos</t>
  </si>
  <si>
    <t>Comisiòn Federal de Electricidad</t>
  </si>
  <si>
    <t>Compra de refrescos para personal que reparò lineas de EZ</t>
  </si>
  <si>
    <t>Servicio El Escudo, S.A. de C.V.</t>
  </si>
  <si>
    <t>Grisela Peralta, gasolina, compras varias</t>
  </si>
  <si>
    <t>Trabajos varios para quitar ofrenda y pago de almuerzos</t>
  </si>
  <si>
    <t xml:space="preserve">Compensaciòn en apoyo rondines en el parque de 3 dìas sin luz en el </t>
  </si>
  <si>
    <t>Pago por captura de datos del 31 de octubre al 04 de noviembre/2016</t>
  </si>
  <si>
    <t>Pago de mano de obra en Reparaciòn de pluma</t>
  </si>
  <si>
    <t xml:space="preserve">Personal delegaciòn </t>
  </si>
  <si>
    <t>Apoyo en compra de cable de 8 metros iluminaciòn parque</t>
  </si>
  <si>
    <t>Compra de tarjeta de Non-Break regulador casera Recove, se fundio</t>
  </si>
  <si>
    <t>Compra de tornilleria para pluma</t>
  </si>
  <si>
    <t>Compensaciòn en apoyo de colocar el cable robado del parque</t>
  </si>
  <si>
    <t>Compra de pieza Solot led para tira de leds de pluma Zinampa salida</t>
  </si>
  <si>
    <t>Israel Galan Quintin</t>
  </si>
  <si>
    <t>Pago de toda la semana de poda de pasto</t>
  </si>
  <si>
    <t>Compra de café y refrescos para la mesa de cobranza del domingo</t>
  </si>
  <si>
    <t>Pago por en apoyo en cobranza del domingo 06 de noviembre/2016</t>
  </si>
  <si>
    <t>Servicio Aleman Regimen de las personas fisicas</t>
  </si>
  <si>
    <t>Grisela Peralta junta con entidad de comitè vecinal para tramites fotografìas</t>
  </si>
  <si>
    <t>Pago por corte de pasto en 2 casetas</t>
  </si>
  <si>
    <t>Pago de telefono octubre</t>
  </si>
  <si>
    <t xml:space="preserve">Dogo del Moral, S.A. de C.V. </t>
  </si>
  <si>
    <t>Estacionameito Cuemanco</t>
  </si>
  <si>
    <t>Pago estacionamiento compras de limpieza</t>
  </si>
  <si>
    <t>Compra de papelerìa para Tesorerìa</t>
  </si>
  <si>
    <t>Pago de material para trabajos de jardinerìa</t>
  </si>
  <si>
    <t>Pago por recolecciòn de pasto podado</t>
  </si>
  <si>
    <t>Pago de mano de obra por tendido de camara de cable de Landero</t>
  </si>
  <si>
    <t>Pago por cencepto de reparación de No-Break caseta Recoveco</t>
  </si>
  <si>
    <t xml:space="preserve">Compra de material para camaras Balum, Conectores y aire comprimido </t>
  </si>
  <si>
    <t>Pago de mano de obra a 3 camaras, cambio de transeptores y eliminador</t>
  </si>
  <si>
    <t>Compra de lagsst te para casetas</t>
  </si>
  <si>
    <t>Plaza Cuicuilco</t>
  </si>
  <si>
    <t>Estacionamiento junta mesa directiva y vecinas</t>
  </si>
  <si>
    <t>Pago por captura de datos del 05 al 09 de noviembre/16</t>
  </si>
  <si>
    <t>Pago por recorte de pasto 2da semana de noviembre/16</t>
  </si>
  <si>
    <t>Pago por presupuesto para bicicletas de rondines del fraccionamiento</t>
  </si>
  <si>
    <t>Paco Bicis</t>
  </si>
  <si>
    <t>Mantenimiento general a la bicicleta de ondines del fraccionamiento</t>
  </si>
  <si>
    <t>Pago por recolección de pasto martes día de basura organica</t>
  </si>
  <si>
    <t>Pago por arreglo de chapa de estanzuela llave atorada</t>
  </si>
  <si>
    <t>Persoanal Delegación</t>
  </si>
  <si>
    <t>Compensación por reterar poste de luz a punto de caer</t>
  </si>
  <si>
    <t>Compensación en apoyo en rondines en parque por no tener luz</t>
  </si>
  <si>
    <t>Servicio completo a bicicleta del fraccionamiento para rondines del mismo</t>
  </si>
  <si>
    <t>Compensación en apoyo de sacar a borrachos que se metieron al fracciona</t>
  </si>
  <si>
    <t>Pago por recolección de basura incluyendo barrer Romeral 1er quincena nov</t>
  </si>
  <si>
    <t>Pago por recolección de basura en todo el fracc de lunes a viernes 1er quincena</t>
  </si>
  <si>
    <t>Pago de honorarios del mes de noviembre cheque # 57</t>
  </si>
  <si>
    <t>Pago de retención de IVA del Colegio Carmel de noviembre/16 cheque # 58</t>
  </si>
  <si>
    <t>Pago correspondiente a la 1er quiincena del mes de noviembre/16</t>
  </si>
  <si>
    <t>Compensaciòn a patrullero que dio platica a vecinos que dejan desechos parq</t>
  </si>
  <si>
    <t>Visita a contador Siegris y mesa directiva</t>
  </si>
  <si>
    <t>Pago por configuraciòn de 15 tarjetas pocard</t>
  </si>
  <si>
    <t>Pago liq. Correspondiente a la 1rt quincena del mes de noviembre/16</t>
  </si>
  <si>
    <t>Compra de cable para conexiòn en caseta para red de computadora</t>
  </si>
  <si>
    <t xml:space="preserve">Pago por recolecciòn de parto podado </t>
  </si>
  <si>
    <t>Cuadrilla Delegaciòn Luminarìas</t>
  </si>
  <si>
    <t>Compensaciòn para terminar trabajo poste de luminaria en Eztanzuela y Hueso</t>
  </si>
  <si>
    <t xml:space="preserve">Compensaciòn en patrullaje por falta de luz </t>
  </si>
  <si>
    <t>Eduardo Chàvez</t>
  </si>
  <si>
    <t>Pago de trabajo elèctrico para colocar tierra fisica en el kiosko 100 mts y mater</t>
  </si>
  <si>
    <t xml:space="preserve">Asunciìon </t>
  </si>
  <si>
    <t>Compra de refrescos por llevar bicicletas arreglar</t>
  </si>
  <si>
    <t>Compra de brocha para pintar pared blanca de Romeral</t>
  </si>
  <si>
    <t>Pago por desarmar completamente y limpiar chapa de Recoveco</t>
  </si>
  <si>
    <t>Pago por captura de datos del 14 al 18 de noviembre/16</t>
  </si>
  <si>
    <t>Pago por poda de pasto en el parque del fracionamiento del 15 al 19 nov</t>
  </si>
  <si>
    <t>Pago por reparación de cadena en calle de Upacuaro a Jorge Ramírez</t>
  </si>
  <si>
    <t>Compra de detalle para evento que se realizao en la delegación con MD</t>
  </si>
  <si>
    <t>Pago estacionamiento compra detalle evento delegación</t>
  </si>
  <si>
    <t>Pago gasolina para Grisela Peralta, compras varias</t>
  </si>
  <si>
    <t>Coperación apoyo desayuno delegación con Mesa Directiva</t>
  </si>
  <si>
    <t>Desayono Delegación y Mesa Directiva</t>
  </si>
  <si>
    <t>Compra de peza para bicicleta del fraccionamiento</t>
  </si>
  <si>
    <t>Compra de toner Brother para mesa directiva</t>
  </si>
  <si>
    <t>Compra de refrescos personal Delegación reparación de lamparas</t>
  </si>
  <si>
    <t>Pago por recolección de pasto</t>
  </si>
  <si>
    <t>Copra de 11 garranes de agua</t>
  </si>
  <si>
    <t>Reparación bicicleta de presidencia</t>
  </si>
  <si>
    <t>Pago de comida para personal  que instalarón poste de cigarro parque</t>
  </si>
  <si>
    <t>Compra de café para mesa directiva, tesorero y oficial Franco</t>
  </si>
  <si>
    <t>Compra de yoghut jardinero del fraccionamiento</t>
  </si>
  <si>
    <t>Compra de 3 mesas para manualidades, actividades que se realizarn en kiosco</t>
  </si>
  <si>
    <t>Compensación en apoyo visita a vecinos por quejas de ruidos nocturnos</t>
  </si>
  <si>
    <t>Distribuidora El Bollo Cafetales, S.A. de C.V.</t>
  </si>
  <si>
    <t xml:space="preserve"> Compra de pan para reunión de mesa directiva</t>
  </si>
  <si>
    <t>Copra de 1 asiento para bicicleta del fraccionamiento</t>
  </si>
  <si>
    <t>Compra de pan para vigilancia en apoyo en varios trabajos y escoltar al banco</t>
  </si>
  <si>
    <t>Compra de café para casetas</t>
  </si>
  <si>
    <t>Compra de celular para vigilancia, tener comunicación rapida</t>
  </si>
  <si>
    <t xml:space="preserve">Compra de pan para vigilancia   </t>
  </si>
  <si>
    <t>Compra de pan para vigilancia</t>
  </si>
  <si>
    <t>Compra de vela magica para pastel del Sr. Juan Jose Mesa Directiva</t>
  </si>
  <si>
    <t>Compra de pastel para Sr. Juan Jose Mesa Directiva</t>
  </si>
  <si>
    <t>Casa del Arbol</t>
  </si>
  <si>
    <t>Apoyo con abasto a csa del árbol en nombre del fraccionamiento</t>
  </si>
  <si>
    <t>Compra de asiento para bicicleta del fraccionamiento</t>
  </si>
  <si>
    <t>Compra de refrescos para junta mesa directiva</t>
  </si>
  <si>
    <t>Pago A/C correspondiente a la 2da.  quiincena del mes de noviembre/16</t>
  </si>
  <si>
    <t>Pago por captura de datos del 21 al 25 de noviembre/16</t>
  </si>
  <si>
    <t>Pago por concepto de mano de obra en 1 respaldo de video UP_114</t>
  </si>
  <si>
    <t>Pago 1030 copias informe al fraccionamiento</t>
  </si>
  <si>
    <t>Pago por poda de pasto parque fracc. Del 22 al 26 de noviembre/16</t>
  </si>
  <si>
    <t>Cartero</t>
  </si>
  <si>
    <t>Compensaciòn  dìa del cartero por su buen desempeño</t>
  </si>
  <si>
    <t>Jovenes del fraccionamiento</t>
  </si>
  <si>
    <t>Compensaciòn por entrega de circular medidas de seguridad</t>
  </si>
  <si>
    <t>Compensaciòn por asistir a ver fiesta noche parque haciendo mucho ruido</t>
  </si>
  <si>
    <t>Compra de café y refrescos mesa de cobranza y vigilancia domingo 27-11-16</t>
  </si>
  <si>
    <t>Pago por recolecciòn de pasto en parque</t>
  </si>
  <si>
    <t>Compensaciòn por rondines que haràn en diciembre domingo cobranza</t>
  </si>
  <si>
    <t>Pago en apoyo cobranza domingo 27 de noviembre/16</t>
  </si>
  <si>
    <t>Pestamo</t>
  </si>
  <si>
    <t>Compensaciòn en apoyo por trabajos en colonia</t>
  </si>
  <si>
    <t>Pago  para colocar 4 camaras en 2da calle Landero</t>
  </si>
  <si>
    <t>Ricardo Jardinero</t>
  </si>
  <si>
    <t>Pago por llevarse ramas y escombros de EP y EZ</t>
  </si>
  <si>
    <t>Compra de productos de limpieza para casetas</t>
  </si>
  <si>
    <t>ES 2895 Servicio Coapa</t>
  </si>
  <si>
    <t>Gasolina para Grisela Peralta compras varias</t>
  </si>
  <si>
    <t xml:space="preserve">Prestamo </t>
  </si>
  <si>
    <t>Tlapalerìa Jaimes</t>
  </si>
  <si>
    <t>Compra de emparedado para persona de luminarias del parque</t>
  </si>
  <si>
    <t>Pago LIQ  correspondiente a la 2da.  quiincena del mes de noviembre/16</t>
  </si>
  <si>
    <t>Pago por concepto de barrer todo el fracc de lunes a viernes 2da quincena</t>
  </si>
  <si>
    <t>Pago por recolecciòn de basura entre semana 2da. Quincena noviembre</t>
  </si>
  <si>
    <t>Compra de cinta canela para pegar adornos en fraccionamiento</t>
  </si>
  <si>
    <t>Pago de retención de IVA del Colegio Carmel mes de noviembre/16</t>
  </si>
  <si>
    <t>CHEQUE # 642</t>
  </si>
  <si>
    <t>FAM. GARCIA GON</t>
  </si>
  <si>
    <t>T.E. # 10506189</t>
  </si>
  <si>
    <t>CHEQUE # 3059 HSBC</t>
  </si>
  <si>
    <t>T.E. #1056192</t>
  </si>
  <si>
    <t>T.E. #10506195</t>
  </si>
  <si>
    <t>Ch. # 7852</t>
  </si>
  <si>
    <t>SE LE CONDONO DICIEMBRE POR PAGO DE ANUALIDAD</t>
  </si>
  <si>
    <t>T.E. #1056190</t>
  </si>
  <si>
    <t>CL_103_</t>
  </si>
  <si>
    <t>ch. 851 banamex</t>
  </si>
  <si>
    <t>T.E. #10508101</t>
  </si>
  <si>
    <t>T.E. 6191</t>
  </si>
  <si>
    <t>Cuota de vigilancia y mantenimiento octubre/16</t>
  </si>
  <si>
    <t>Cuota de vigilancia y mantenimiento mes de octubre/16</t>
  </si>
  <si>
    <t>SAT Servicio de Administración Tributaría, pago retención Carmel oct/16</t>
  </si>
  <si>
    <t>Siegrist Contadores Publicos, pago de honorarios del es de octubre/16</t>
  </si>
  <si>
    <t>Banorte I.V.A por comisiòn de cheq. Exped.</t>
  </si>
  <si>
    <t>Guardias y Custodias Privadas Gama, S.A. de C.V. liq. 2da. Quincena oct</t>
  </si>
  <si>
    <t>Cuota de vigilancia y mantenimiento noviembre/16</t>
  </si>
  <si>
    <t>Israel Galan Quintin, compra de 30 llaves para puertas peatonales</t>
  </si>
  <si>
    <t>Siegrist Contadores Publicos, pago de honorarios del es de noviembre/16</t>
  </si>
  <si>
    <t>SAT Servicio de Administración Tributaría, pago retención Carmel nov/16</t>
  </si>
  <si>
    <t>Cuota de vigilancia y mantenimiento mes de noviembre/16</t>
  </si>
  <si>
    <t>Guardìas y Custodìas Privadas Gama, S.A. de C.V. a/c 2da. Quincena</t>
  </si>
  <si>
    <t>Guardìas y Custodìas Privadas Gama, S.A. de C.V. liq. 2da. Quincena</t>
  </si>
  <si>
    <t>Banorte Com. Cheq. Exp.</t>
  </si>
  <si>
    <t>Montecillo</t>
  </si>
  <si>
    <t>Quiñones, Eduardo</t>
  </si>
  <si>
    <t>Rosetti</t>
  </si>
  <si>
    <t>Rancho La Cuchilla No. 103</t>
  </si>
  <si>
    <t>Hernàndez Martìnez</t>
  </si>
  <si>
    <t>T.E. # 6193</t>
  </si>
  <si>
    <t>T.E.# 6194/8102/6100</t>
  </si>
  <si>
    <t>T.E.# 8138</t>
  </si>
  <si>
    <t>Pago de 3 comidas para personal delegación luminarias parque</t>
  </si>
  <si>
    <t>Compra de camara y rin para biclicleta fraccionamiento</t>
  </si>
  <si>
    <t>Distribuidora Liverpool, S.A. de C.V.</t>
  </si>
  <si>
    <t>Desayuno para acuerdo con personal delegación</t>
  </si>
  <si>
    <t>Pago por follaje de Estanzuela y Recoveco recorte y recolección</t>
  </si>
  <si>
    <t>Pago por captura de datos del 28 de nov al 02 de dic/16</t>
  </si>
  <si>
    <t>Compra de perforadora y libreta para presidencia</t>
  </si>
  <si>
    <t xml:space="preserve"> Compra de refrescos para vigilancia</t>
  </si>
  <si>
    <t>Pago en apouo en sacar abejas de luminarías cigarros</t>
  </si>
  <si>
    <t>Compra de lonas para información al fraccionamientos ch # 61</t>
  </si>
  <si>
    <t>Pago por poda de pasto en el Parque del 29 nov al 03 de dic/16</t>
  </si>
  <si>
    <t>Pago por recolección de pasto martes, jueves y sabado</t>
  </si>
  <si>
    <t>Pago por recolección de basura de fin de semana de todo el fraccionamiento</t>
  </si>
  <si>
    <t>31/09/2016</t>
  </si>
  <si>
    <t>Pago de 460 copias información para todo el fraccionamiento</t>
  </si>
  <si>
    <t>Compra de piñatas para evento en el kiosco del fraccionamiento</t>
  </si>
  <si>
    <t>Compra de desayuno para personal de viginalancia en apoyo adornar kiosco</t>
  </si>
  <si>
    <t>Pago en apoyo cobranza 04 de diciembre/16</t>
  </si>
  <si>
    <t>Pago de 150 copias presidencia</t>
  </si>
  <si>
    <t>Diego Linares</t>
  </si>
  <si>
    <t>Compra de tacos de canasta para personal de vigilancia apoyo evento kiosco</t>
  </si>
  <si>
    <t>Sandra Hernández</t>
  </si>
  <si>
    <t>Compra de 6 arreglos navideños para personal de externo en Delegación</t>
  </si>
  <si>
    <t>Pago por entregar y doblar informe para cada casa del fraccionamiento</t>
  </si>
  <si>
    <t>Florería Lupita</t>
  </si>
  <si>
    <t>Compra de 3 arreglos de flores para parque evento Virge de Guadalupe</t>
  </si>
  <si>
    <t>Pago por limpieza y recolección de cascajo que dejo delegación compostura lumina</t>
  </si>
  <si>
    <t>Pago en apoyo evento Virgen de Guadalupe tarde noche</t>
  </si>
  <si>
    <t>Pago de honorarios profesionales de diciembre y anualidad Ch. # 63</t>
  </si>
  <si>
    <t>Pago de retención de IVA del Colegio Carmel de diciembre/16 cheque # 62</t>
  </si>
  <si>
    <t>Compra de botanas para junta de mesa directiva y vigilancia</t>
  </si>
  <si>
    <t>Pastelería Bodon, S.A. de C.V.</t>
  </si>
  <si>
    <t>Compra de dulce para aguinaldos posada parque del fraccionamientos</t>
  </si>
  <si>
    <t>Pago gasolina para presidencia, compras varias</t>
  </si>
  <si>
    <t>a/c de compra de bocina para el fraccionamiento haciendas de coyoacan</t>
  </si>
  <si>
    <t>Pago por alimentos para personal de vigilancia, desayuno fin de años</t>
  </si>
  <si>
    <t>Jardinería Alvarez</t>
  </si>
  <si>
    <t>Compra de paca de musgo para adorno del kiosco posada</t>
  </si>
  <si>
    <t>Compra de nacimiento y portal adorno para kiosco posada</t>
  </si>
  <si>
    <t>Compra de papel craf y cinta canela</t>
  </si>
  <si>
    <t>Compra de gelatina para dar pesame a miembro de mesa directiva</t>
  </si>
  <si>
    <t>Compra de pilas recargables para bocina</t>
  </si>
  <si>
    <t>Compra de frutas y piñatas para evento en kiosco</t>
  </si>
  <si>
    <t>Compra de fruta para ponche evento en kiosco posada</t>
  </si>
  <si>
    <t>Compra de pintura en aerosol para postal en kosco del fraccionamiento</t>
  </si>
  <si>
    <t>Liq. De compra de bafle amplificador de 15" marca bitek para fraccionamiento</t>
  </si>
  <si>
    <t>Compra de varios adornos para evento en kiosco posada</t>
  </si>
  <si>
    <t>Compra de lima para piñatas para evento kiosco posada</t>
  </si>
  <si>
    <t>Pago de honorarios por captura de datos del 05 al 10 de diciembre/16</t>
  </si>
  <si>
    <t>Compra de tacos para personal de vigilancia en apoyo posada fraccionamiento</t>
  </si>
  <si>
    <t>Papelería La Pape</t>
  </si>
  <si>
    <t>Compra de serie, estrella de luz, corona y velas para posada fraccionamiento</t>
  </si>
  <si>
    <t>Hector Vazquez</t>
  </si>
  <si>
    <t>Pago por realización en USB villansicos posada kiosco</t>
  </si>
  <si>
    <t xml:space="preserve">Compra de refrescos y empanadas personal de mesa directiva </t>
  </si>
  <si>
    <t xml:space="preserve">Gratificación anual </t>
  </si>
  <si>
    <t>Pago por poda de pasto en parque del 6 al 10 de diciembre/16</t>
  </si>
  <si>
    <t>Pago por levantar cascajo en kosco</t>
  </si>
  <si>
    <t>Roberto Gamma</t>
  </si>
  <si>
    <t>Pago por barrer explanada y apoyo en evento posada en todo momento</t>
  </si>
  <si>
    <t>Pago por preparación de ponche posada fraccionamiento</t>
  </si>
  <si>
    <t>Pago en apoyo de ponche, piñatas y en todo el evento de posada fraccionamiento</t>
  </si>
  <si>
    <t>Compra de materiales para poda del parque del fraccionamiento</t>
  </si>
  <si>
    <t>Compra de café y refrescos para mesa de cobranza y vigilancia domingo 11</t>
  </si>
  <si>
    <t>Pago gasolina mesa directiva Grisela Peralta</t>
  </si>
  <si>
    <t>Pago en apoyo de cobranza domingo 11 de diciembre/16</t>
  </si>
  <si>
    <t>Compra de bolillo para tortas personal de Gamma</t>
  </si>
  <si>
    <t>Compensación en patrullaje en fraccionameinto</t>
  </si>
  <si>
    <t>Compra de papel premium tamaño carta para presidencia</t>
  </si>
  <si>
    <t>Pago del mes de noviembre/16</t>
  </si>
  <si>
    <t>Pago gratificación del 2016</t>
  </si>
  <si>
    <t>Pago por barrer Romeral y recolección de pasto podado del parque</t>
  </si>
  <si>
    <t>Pago por pintar lona para nacimiento kiosco</t>
  </si>
  <si>
    <t>Roman</t>
  </si>
  <si>
    <t>Pago de herrería en pluma de Romeral</t>
  </si>
  <si>
    <t>Pago por trabajo de herrería puerta Estopila</t>
  </si>
  <si>
    <t>T.E. # 10508141</t>
  </si>
  <si>
    <t>SE TOMARON POR ERRO</t>
  </si>
  <si>
    <t>Cheque # 645 santander</t>
  </si>
  <si>
    <t xml:space="preserve">Cheque # 940 banjercito </t>
  </si>
  <si>
    <t>Pago por recolecciòn de basura en todo el fracc de lunes a viernes 1er quincena</t>
  </si>
  <si>
    <t>Pago liq. Correspondiente a la 1et quincena del mes de dic/16 Ch. # 65</t>
  </si>
  <si>
    <t>Pago a/c Correspondiente a la 1er quincena del mes de diciembre/16</t>
  </si>
  <si>
    <t>Compra de 10 garrafones de agua y 2 garrafones extras completos</t>
  </si>
  <si>
    <t>Pago de honorarios por captura de datos del 12 al 16 de diciembre/16</t>
  </si>
  <si>
    <t>Compra de 1 jarra para cafetera de vigilancia Romeral</t>
  </si>
  <si>
    <t>Pago por trabajos de herrerìa en todas las rejas del fraccionamiento</t>
  </si>
  <si>
    <t>Papelerìa La Peque</t>
  </si>
  <si>
    <t>Compra de detalle para personal de MD y Vigilancia</t>
  </si>
  <si>
    <t>Jimenez Gama</t>
  </si>
  <si>
    <t xml:space="preserve">Compensaciòn en apoyo de recuperacion de mascota del EZ </t>
  </si>
  <si>
    <t>Pago por poda de pasto en parque del 13 al 17 de diciembre/16</t>
  </si>
  <si>
    <t>Pago por acarreo de acarreo de ladrillo y desechos de terreno de EP</t>
  </si>
  <si>
    <t>Vecino del fraccionamiento</t>
  </si>
  <si>
    <t>Cooperaciòn para cortar cesped y que se lleven bolsas del mismo salida de escue</t>
  </si>
  <si>
    <t>Pago en apoyo de quitar posters en todo el fracc., y tambièn por fuera</t>
  </si>
  <si>
    <t>Pago por recolecciòn de basura en fraccionamiento fines de semana</t>
  </si>
  <si>
    <t>Pago por recolecciòn de pasto podado toda la semana</t>
  </si>
  <si>
    <t>Compra de café y agua para mesa de cobranza y vigilancia</t>
  </si>
  <si>
    <t>Asunciòn Gama</t>
  </si>
  <si>
    <t>Pago en apoyo de insidente con camiòn de gas y en supervisar rejas en gral.</t>
  </si>
  <si>
    <t>Pago en apoyo de cobranza domingo 18 de diciembre/16</t>
  </si>
  <si>
    <t>Gratificaciòn anual por su buen desempeño en el fraccionamiento</t>
  </si>
  <si>
    <t xml:space="preserve">Fuentes </t>
  </si>
  <si>
    <t>T.E. # 08137</t>
  </si>
  <si>
    <t>TRANSF BANCARIA</t>
  </si>
  <si>
    <t>Pago de gasolina para presedencia, Grisela Peralta</t>
  </si>
  <si>
    <t>Italcafe, S.A. de C.V.</t>
  </si>
  <si>
    <t>Desayuno para mesa directiva</t>
  </si>
  <si>
    <t>Compra de papalerìa</t>
  </si>
  <si>
    <t>Compra de papelerìa para presidencia</t>
  </si>
  <si>
    <t>Pago por soldar dos tapas de luz en Upacuaro y Landero</t>
  </si>
  <si>
    <t>Panerìas La Esperanza, S.A. de C.V.</t>
  </si>
  <si>
    <t>Compra de bocadillos para personal de vigilancia en su buen desempeño y ayuda p</t>
  </si>
  <si>
    <t>Giovanna Mayen Castellanos</t>
  </si>
  <si>
    <t>Compra de bolsas de regalos para varios presentes mesa de cobranza</t>
  </si>
  <si>
    <t>Sanborns Hermanos, S.A.</t>
  </si>
  <si>
    <t>Compra de varios detalles para mesa de cobranza</t>
  </si>
  <si>
    <t>Compra de detalles para Comité Vecinal a la mesa directiva</t>
  </si>
  <si>
    <t>Pago por podar pasto de caseta Romeral</t>
  </si>
  <si>
    <t>Luis Manuel Jimenez</t>
  </si>
  <si>
    <t>Pago en apoyo de vigilar junto con vecenos caso especial</t>
  </si>
  <si>
    <t>Pago por captura de datos del 19 al 23 de diciembre/16</t>
  </si>
  <si>
    <t>Pago  por colocar chapa desprendida por tornillos en Estanzuela</t>
  </si>
  <si>
    <t>Pago por comprar detalles para personas de la mesa directiva</t>
  </si>
  <si>
    <t>Compra de botanas para casetas de vigilancia</t>
  </si>
  <si>
    <t>Sistemas de Còmputo</t>
  </si>
  <si>
    <t>Pago de USB con base de datos para personal de aseo de casas del fraccionami</t>
  </si>
  <si>
    <t>Pago por poda de pasto en el parque del 20 al 24 de diciembre/16</t>
  </si>
  <si>
    <t>Pago en apoyo de patrullaje en noche de navidad</t>
  </si>
  <si>
    <t>Chef Nacaumendi</t>
  </si>
  <si>
    <t>Pago por cena del 24 para personal de vigilancia</t>
  </si>
  <si>
    <t>Pago de 6 micas para creedenciales de personal domestico del fraccionamien</t>
  </si>
  <si>
    <t>Pago por recoleccilòn de pasto y basura del fin de semana</t>
  </si>
  <si>
    <t>Compensaciòn en pratrullaje a mesa de cobranza domingo</t>
  </si>
  <si>
    <t xml:space="preserve">Compra de detalle para patrulla </t>
  </si>
  <si>
    <t>Compra de café y refrescos para mesa de cobranza y vigilancia</t>
  </si>
  <si>
    <t>Compra de 30 tarjetas porcad ingresar y reconfigurar chq. #66</t>
  </si>
  <si>
    <t>Pago de video para Upacuaro caso unico de incidente raro</t>
  </si>
  <si>
    <t>Pago de poda de pasto del 27 al 31 de diciembre/16</t>
  </si>
  <si>
    <t>Camión de Basura</t>
  </si>
  <si>
    <t>Pago en apoyo personal delegación llevarse desechos de todo el parque</t>
  </si>
  <si>
    <t>Compra de extención para caseta para conectar aparato electronico</t>
  </si>
  <si>
    <t>Pago por barrer todo el fraccionamiento de lunes a viernes la 2da. Quincena</t>
  </si>
  <si>
    <t>Pago Correspondiente a la 2da. quincena del mes de diciembre/16</t>
  </si>
  <si>
    <t>Pago de la 2da. Quincena del mes de diciembre/16</t>
  </si>
  <si>
    <t>Pago por recolección de basura todada la semana de lunes a viernes</t>
  </si>
  <si>
    <t xml:space="preserve">Compensaciòn para personas del camiòn de basura </t>
  </si>
  <si>
    <t>Tienas Chedraui, S.A. de C.V.</t>
  </si>
  <si>
    <t>Frituras El Paricutin,</t>
  </si>
  <si>
    <t>Compra de pollos para cena de vigilancia fin de año</t>
  </si>
  <si>
    <t>Compra de refrescos para personal delegaciòn que pinto camino del parque</t>
  </si>
  <si>
    <t>Compra de refrescos para cena de fin de año de vigilancia</t>
  </si>
  <si>
    <t>Compra de pan para cena de vigilancia</t>
  </si>
  <si>
    <t xml:space="preserve">Apoyo a vigilante por enfermedad de su hija </t>
  </si>
  <si>
    <t>Pago por captura de datos del 26 al 30 de diciembre/16</t>
  </si>
  <si>
    <t>Pago por cena para vigilancia el 31 de diciembre/16</t>
  </si>
  <si>
    <t>Compensaciòn en rondines en noche de 31 de diciembre/16</t>
  </si>
  <si>
    <t>Compensaciòn en rondines el 1 ero de enero apoyo en cobranza</t>
  </si>
  <si>
    <t>SE LE CONDONO DICIEMBRE PPOR PAGO DE ANUALIDAD</t>
  </si>
  <si>
    <t>CHEQUE #625379</t>
  </si>
  <si>
    <t>BANCOMER</t>
  </si>
  <si>
    <t>Fam. Gonzalez EZ_15_A</t>
  </si>
  <si>
    <t>Fam. Vega Sanchez</t>
  </si>
  <si>
    <t>T.E. # 8146</t>
  </si>
  <si>
    <t>CHEQUE #362 Banjercito</t>
  </si>
  <si>
    <t>Imagen Publicitarìa, compra de lonas informaciòn fraccionamiento</t>
  </si>
  <si>
    <t>Cuota de vigilancia y mantenimiento diciembre/16</t>
  </si>
  <si>
    <t>Fam. Vega Sanchez CL_29 pago abr/may/jun/16 cuota mentenimiento</t>
  </si>
  <si>
    <t>Fam. Gonzalez EZ_15_A pago noviembre/16 cuota mantenimieno</t>
  </si>
  <si>
    <t>SAT Servicio de Administraciòn Tributarìa, pago retenciòn Carmel dic/16</t>
  </si>
  <si>
    <t>Siegrist Contadores Publicos, pago de honorarios  diciembrey anualidad 2016</t>
  </si>
  <si>
    <t>Cuota de vigilancia y mantenimiento mes de diciembre/16</t>
  </si>
  <si>
    <t>Guardìas y Custodìas Privadas Gama, S.A. de C.V. liq. 1er quincena</t>
  </si>
  <si>
    <t>Advanced Servicio CCTV y Servicio, compra de 30 tarjetas procord</t>
  </si>
  <si>
    <t>Compra de café y refrescos para mesa directiva y vigilancia</t>
  </si>
  <si>
    <t>Pago por recolecciòn de fin de semana de todo el fraccionamiento</t>
  </si>
  <si>
    <t>Pago por recolecciòn de pasto podado entre semana</t>
  </si>
  <si>
    <t>Pago desayuno junta mesa directiva</t>
  </si>
  <si>
    <t>Pago de estacionamiento de desayuno mesa directiva</t>
  </si>
  <si>
    <t>Commpra de rosca y leche para vigilancia dìa de Reyes</t>
  </si>
  <si>
    <t>Pago de telefono mes de diciembre/16</t>
  </si>
  <si>
    <t>Compra de una pila para control remoto de plumas de acceso</t>
  </si>
  <si>
    <t>Compra de una fuente para DVR H264 DE 12 VOLTIOS A 3.3. AMP</t>
  </si>
  <si>
    <t>Pago de mano de obra en instalaciòn de Disco Duro en DVR Cuchilla</t>
  </si>
  <si>
    <t>Pago por arreglar resbaladilla en parque del fraccionamiento</t>
  </si>
  <si>
    <t>Pago de engrosado de puerta Landero, Upacuro y Cuchilla</t>
  </si>
  <si>
    <t>Pago mano de obra en pluma de salida mantenimiento y calibraciòn</t>
  </si>
  <si>
    <t>Pago por captura de datos del 02 al 06 de enero/17</t>
  </si>
  <si>
    <t>Compra de refresco para vigilante que se sentia mal</t>
  </si>
  <si>
    <t>Pago por poda de pasto del parque del 03 al 07 de enero/17</t>
  </si>
  <si>
    <t>Compra de café y refresco para mesa de cobranza y vigilancia</t>
  </si>
  <si>
    <t>Compra de cafè y refresco para mesa de cobranza y vigilancia</t>
  </si>
  <si>
    <t>Compra de tortillas en apoyo a mesa de cobranza</t>
  </si>
  <si>
    <t>Compra de 2 focos para caseta de Zinampa</t>
  </si>
  <si>
    <t>Servicio Rodasa, S.A. de C.V.</t>
  </si>
  <si>
    <t>Compensaciòn en apoyo extraordinario para investigar porque no abrian en casa</t>
  </si>
  <si>
    <t>Compensaciòn en apoyo de poda de àrboles que tapan camara de Romeral</t>
  </si>
  <si>
    <t>Juan Sanchez</t>
  </si>
  <si>
    <t>Pago Correspondiente a la 1 er. quincena del mes de enero/17</t>
  </si>
  <si>
    <t>Pago mano de obra realizaciòn de 1 respaldo de video caseta Recoveco</t>
  </si>
  <si>
    <t>Ediciòn y carg de datgos en sistema de credenciales de servicio del fraccionami</t>
  </si>
  <si>
    <t>Compensaciòn en apoyo de quitar nacimiento y adornos del diosco y guardarlos</t>
  </si>
  <si>
    <t>Pago de la 1er. Quincena del mes de enero/17</t>
  </si>
  <si>
    <t>Compra de 1 bobina cable UTP camaras de Landero</t>
  </si>
  <si>
    <t>Compra de 1 Disco Duro de 1000 G para Landero</t>
  </si>
  <si>
    <t>Pago de estacionamiento  compra de papelerìa tesoreria</t>
  </si>
  <si>
    <t>Compra de 1 Disco Duro Thosiba capacidad 1,000 GB 1 TB camara Upacuaro</t>
  </si>
  <si>
    <t>Instalaciòn de un Disco Duro en DVR, configuraciòn y programaciòn Upacuaro</t>
  </si>
  <si>
    <t>Compra de 30 portatarjetas para puerta de plumas</t>
  </si>
  <si>
    <t>POR PAGO DE ANUALIDAD SE LE CONDONO 1 MES</t>
  </si>
  <si>
    <t>Cruz Linares</t>
  </si>
  <si>
    <t>Cambio familia 01/01/17 GMS</t>
  </si>
  <si>
    <t>Cruz Huerta</t>
  </si>
  <si>
    <t>T.E. #8144</t>
  </si>
  <si>
    <t>T.E. #8136</t>
  </si>
  <si>
    <t>Portatarjeta</t>
  </si>
  <si>
    <t>T.E.#8135</t>
  </si>
  <si>
    <t>Pago por recolecciòn de basura en Recoveco escombros y desechos</t>
  </si>
  <si>
    <t>Pago ppor arreglo de reja en Estopila, riel y del lado izquierdo</t>
  </si>
  <si>
    <t>Pago de enmicado de crenciales para personal de servicio del fraccionamiento</t>
  </si>
  <si>
    <t>Pago por captura de datos del 09 al 13 de enero/17</t>
  </si>
  <si>
    <t>Pago por 3 credenciales para fraccionamiento captura y realizaciòn de lo mismo</t>
  </si>
  <si>
    <t xml:space="preserve">Compra de material para poda de parque, gasolina </t>
  </si>
  <si>
    <t>Pago por poda de pasto en parque del fracc del 10 al 14 de enero/17</t>
  </si>
  <si>
    <t>Pago por recolecciòn de basura de todo el fracc de lunes a viernes 1er quincena</t>
  </si>
  <si>
    <t>Pago por recolecciòn y barrer todo el fraccionamiento 1er quincena</t>
  </si>
  <si>
    <t>Pago de varios trabajos realizados en el fraccionamiento</t>
  </si>
  <si>
    <t>Compra de 1 maletìn para la cobranza</t>
  </si>
  <si>
    <t>Compra de 10 portatarjetas</t>
  </si>
  <si>
    <t>Compra ade cartuchos epson para tesorerìa</t>
  </si>
  <si>
    <t>Papelerìa Colibrì</t>
  </si>
  <si>
    <t>Compra de hojas tamaño oficio para reporte financiero para mesa directiva</t>
  </si>
  <si>
    <t>Pago de 1 respaldo de video cuchilla-estopila</t>
  </si>
  <si>
    <t>Compra de 10 garrafones para casetas</t>
  </si>
  <si>
    <t>Reparaciòn de pluma de salida y camaras por falta de voltaje</t>
  </si>
  <si>
    <t>Conpensaciòn en apoyo a 7 bomberos y su jefe para quitar escombros</t>
  </si>
  <si>
    <t>T.E. #8139</t>
  </si>
  <si>
    <t>T.E. #8143</t>
  </si>
  <si>
    <t>Cruz Villegas</t>
  </si>
  <si>
    <t>Cambio de familia 22-01-17</t>
  </si>
  <si>
    <t>Pago de comida para personal delegaciòn para poner letreros de no tirar basura</t>
  </si>
  <si>
    <t>Pago de retención de IVA del Colegio Carmel de enero/17 cheque # 69</t>
  </si>
  <si>
    <t>Pago de honorarios profesionales de enero/17  # 68</t>
  </si>
  <si>
    <t>Compra de 30 llaves electronicas</t>
  </si>
  <si>
    <t>Pago de gasolina Presidencia, Grisela Peralta</t>
  </si>
  <si>
    <t>Compra de 2 lapiz moped y 10 folder beige</t>
  </si>
  <si>
    <t>Compra de botana para vigilancia</t>
  </si>
  <si>
    <t>Pago de 2,334 copias para presentar reporte a todo el fraccionamiento</t>
  </si>
  <si>
    <t>Pago por entregar casa por casa el reporte financiero anual</t>
  </si>
  <si>
    <t>Compra de refrescos y botanas para personal delegacioòn en reparaciòn banquetas</t>
  </si>
  <si>
    <t>Pago por trabajo extra en llevarse cascaso de casa en obra</t>
  </si>
  <si>
    <t>Compra de computadora para Presidencia</t>
  </si>
  <si>
    <t>Compra de 1 centro de metal y accesorios repraciòn pluma de acceso</t>
  </si>
  <si>
    <t>Compra de sobres de plastico</t>
  </si>
  <si>
    <t>Pago por captura de datos del 16 al 20 de enero/17</t>
  </si>
  <si>
    <t>T.E. # 07796</t>
  </si>
  <si>
    <t>T.E. # 07797 Y 07800</t>
  </si>
  <si>
    <t>T.E. # 07792, 07793 Y 07794</t>
  </si>
  <si>
    <t>T.E. # 07795</t>
  </si>
  <si>
    <t>Pago por recolección de pasto de jueves a sabado</t>
  </si>
  <si>
    <t>Pago por 1000 recibos c/copia para cobranza</t>
  </si>
  <si>
    <t>Pago de mano de obra repraciòn de pluma de salida cambio de placa, base y torn</t>
  </si>
  <si>
    <t>Pago por ceoncepto de desbloeo y bloqueo de tarjetas acceso pluma</t>
  </si>
  <si>
    <t>Pago por instalaciòn de antivirus a computadora de presidencia</t>
  </si>
  <si>
    <t xml:space="preserve">Compra de 1 paquete para tes equipod e antivirus </t>
  </si>
  <si>
    <t>Pago poda de pasto del parque del fracc. Del 17 al 21 de enero/17</t>
  </si>
  <si>
    <t>Compra de 1 banco para caseta de cuchilla y estopila</t>
  </si>
  <si>
    <t>Pago estacionamiento compra de banco para caseta</t>
  </si>
  <si>
    <t>Compra de carperta para archivo mesa directiva</t>
  </si>
  <si>
    <t>Pago en apoyo a cobranza domingo 22 de enero/17</t>
  </si>
  <si>
    <t>Compra de refrescos para junta de vigilancia con mesa directiva</t>
  </si>
  <si>
    <t>Compra de 10 garrafones de agua para casetas</t>
  </si>
  <si>
    <t>Compra de 5 carcasas para camara</t>
  </si>
  <si>
    <t>Compra de refrescos parajunta de vigilancia con mesa directiva</t>
  </si>
  <si>
    <t>Compra de bocadillos para evento que se hizo para la vigilancia</t>
  </si>
  <si>
    <t>Pago por recolecciòn de ramas en todo el parque</t>
  </si>
  <si>
    <t>Compra de refrescos y botanas a personal que arreglaron banquetas</t>
  </si>
  <si>
    <t xml:space="preserve">Personal Delegaciòn </t>
  </si>
  <si>
    <t>Grupo Aigos de San Angel, S.A. de C.V.</t>
  </si>
  <si>
    <t>Desayuno para mesa directiva y comitè vecinal</t>
  </si>
  <si>
    <t>Compensaciòn en apoyo de tapar bache en el fraccionamiento</t>
  </si>
  <si>
    <t>Pago por servico de captura y enmid¡cado de datos programa personal servicio</t>
  </si>
  <si>
    <t xml:space="preserve">Compra de papel y boligrafos presidencia enmicado y cordones credenciales </t>
  </si>
  <si>
    <t>Compre de agua para caseta</t>
  </si>
  <si>
    <t>Aportaciòn voluntarìa para padre David misa de difunto a vecino del fraccionamien</t>
  </si>
  <si>
    <t>Pago por captura de datos del 23 al 27 de enero/17</t>
  </si>
  <si>
    <t>Gloria Mazzòn</t>
  </si>
  <si>
    <t>Pago en apoyo a cobranza domingo 29 de enero/17</t>
  </si>
  <si>
    <t>Pago en compensación por empacar ramas junto con el sr. Roberto</t>
  </si>
  <si>
    <t>Benotto, S.A. de C.V.</t>
  </si>
  <si>
    <t>Compra de 1 tapón para camara de bicicleta del fraccionamieno, rondines</t>
  </si>
  <si>
    <t>Pago por poda de pasto parque fracc del 24 al 28 de enero/17</t>
  </si>
  <si>
    <t>Pago gasolina Grisela Peralta, visita a diferente lugares asunto fraccionamiento</t>
  </si>
  <si>
    <t>Pago por recolección de pasto podado entre semana</t>
  </si>
  <si>
    <t>Electricista</t>
  </si>
  <si>
    <t xml:space="preserve">Pago por reconección cable en kiosca en parte interna </t>
  </si>
  <si>
    <t>Pago de 8 garrafones de agua</t>
  </si>
  <si>
    <t>Compensación en apoyo a terreno de Estanzauela problemática 2 dueños</t>
  </si>
  <si>
    <t>Compensación en apoyo a entregar algunas credenciales en el fraccionamiento</t>
  </si>
  <si>
    <t xml:space="preserve">Compensación en apoyo en alumbrado público </t>
  </si>
  <si>
    <t>Pago por barrer todo el fracc de lunes a viernes 2da. Quincena enero/17</t>
  </si>
  <si>
    <t>Pago del mes de diciembre/16</t>
  </si>
  <si>
    <t>Fantasias Miguel</t>
  </si>
  <si>
    <t>Compra de 1 tablero para colocar credencial personal de limpieza casas fracc</t>
  </si>
  <si>
    <t>Pago estacionamiento compra tablero credenciales</t>
  </si>
  <si>
    <t>Pago de retención de IVA del Colegio Carmel mes de enero/17</t>
  </si>
  <si>
    <t>ANUAL
2017</t>
  </si>
  <si>
    <t>T.E. #7791</t>
  </si>
  <si>
    <t>T.E. # 7792</t>
  </si>
  <si>
    <t>Cuota de vigilancia y mantenimiento enero/17</t>
  </si>
  <si>
    <t>UP_46</t>
  </si>
  <si>
    <t>Siegris Contadores Pùblicos, pago de honorarios enero/17</t>
  </si>
  <si>
    <t>Cuota de vigilancia y mantenimineto mes de enero/17</t>
  </si>
  <si>
    <t>I.V.A. sobre cuota de mentenimineto</t>
  </si>
  <si>
    <t>Banorte I.V.A. por comisiòn de cheq. Exped.</t>
  </si>
  <si>
    <t>Cuota de vigilancia y mantenimiento jul/ago/sep/16</t>
  </si>
  <si>
    <t>SAT Servicio de Administración Tributaría, pago retención Carmel ene/17</t>
  </si>
  <si>
    <t>Fam. Gonzalez EZ_15_A pago dic/16 y ene/17  cuota mantenimieno</t>
  </si>
  <si>
    <t>Transferencia bancaria</t>
  </si>
  <si>
    <t>T.E.#07793</t>
  </si>
  <si>
    <t>T.E.#7795</t>
  </si>
  <si>
    <t>T.E.#07787</t>
  </si>
  <si>
    <t>EP_44_6</t>
  </si>
  <si>
    <t>Rancho Estopila No. 44_6</t>
  </si>
  <si>
    <t>González Ramos</t>
  </si>
  <si>
    <t>Se agrego el 20 de febrero 2017 GMS</t>
  </si>
  <si>
    <t>Pago 4 tomas de video suceso robo en su casa</t>
  </si>
  <si>
    <t>Pago porta tarjeta</t>
  </si>
  <si>
    <t>Equipo camaras UP</t>
  </si>
  <si>
    <t>T.E.#07786 Y 07791</t>
  </si>
  <si>
    <t>Compra de porta tarjetas</t>
  </si>
  <si>
    <t>T.E. #08667</t>
  </si>
  <si>
    <t>26-02-+17</t>
  </si>
  <si>
    <t>26--02-17</t>
  </si>
  <si>
    <t>T.E.#08668</t>
  </si>
  <si>
    <t>3 Porta tarjetas</t>
  </si>
  <si>
    <t>T.E. #07790</t>
  </si>
  <si>
    <t>SE LE CONDONO DICIEMBRE POR PAGO DE ANUALIDAD (completo)</t>
  </si>
  <si>
    <t>T.E.# 8670</t>
  </si>
  <si>
    <t>T.E. #08671</t>
  </si>
  <si>
    <t>Ch. #6495 banco HSBC</t>
  </si>
  <si>
    <t>JB Estacionamiento S.A. de C.V.</t>
  </si>
  <si>
    <t>Pago estacionamiento visita al Regristro Pùblico de la Propiedad</t>
  </si>
  <si>
    <t>Operadora Vips S. de R.L. de C.V.</t>
  </si>
  <si>
    <t>Comida para mesa directiva visittqa al Registro Pùblico de la Propiedad</t>
  </si>
  <si>
    <t>Pago gasolina para visita al Regristro Pùblico de la Propiedad</t>
  </si>
  <si>
    <t xml:space="preserve">Sr. Noe </t>
  </si>
  <si>
    <t>Compra de tamales tradiciòn del 2 de febrero para vigilancia y algunos vecinos</t>
  </si>
  <si>
    <t>Pago por recolecciòn de basura de madera y troncos que faltaron en parque</t>
  </si>
  <si>
    <t>Compensaciòn por organizar llaves de cada puerta vehicular del fracc.</t>
  </si>
  <si>
    <t>Compensaciòn por liempieza de RV, caseta y alrededor, recolecc. Piedras y lavar</t>
  </si>
  <si>
    <t>Compra de papelerìa para tesoreria</t>
  </si>
  <si>
    <t>Compensaciòn por rondines colonia en la noche por no haber luz en parque</t>
  </si>
  <si>
    <t>Compra de multifuncional brother para presidencia</t>
  </si>
  <si>
    <t>Compensaciòn por reparaciòn y cabio de regulador en parque cableado nuevo</t>
  </si>
  <si>
    <t>Gestor</t>
  </si>
  <si>
    <t>Pago por gestorìa de Terreno Estanzuela eq. Recoveco ver dueño</t>
  </si>
  <si>
    <t>Compra de 5 camaras AHD Tecnologìa y 5 camaras Dahua</t>
  </si>
  <si>
    <t>Pago por vestimenta para niño Dìos del fraccionamiento</t>
  </si>
  <si>
    <t>Pago por ayuda en recolecciòn de ramas del parque y llevarlas al camiòn</t>
  </si>
  <si>
    <t>Gloria Mazzòn Soto</t>
  </si>
  <si>
    <t>Pago  por trabajo de captura de recibos y los egresos del 30 ene al 03 feb/17</t>
  </si>
  <si>
    <t>Compensaciòn por quitar todos los letreros por dentro y fuera del fraccionamien</t>
  </si>
  <si>
    <t>Compensaciòn por llevar a juez civico a vecinos de Cuchilla por problemas</t>
  </si>
  <si>
    <t>Pago por recolecciòn de basura en fin de senama</t>
  </si>
  <si>
    <t>Pago por poda de pasto el parque fraccionamiento del 31 ene al 04 febrero/17</t>
  </si>
  <si>
    <t>Pago por recolecciòn de pasto podado martes, jueves y sabado</t>
  </si>
  <si>
    <t>Compensaciòn en apoyo por rondines por no haber luz en el fraccionamiento</t>
  </si>
  <si>
    <t xml:space="preserve">Compra de agua para caseta </t>
  </si>
  <si>
    <t>Pago en apoyo cobranza domingo 05 de febrero/17</t>
  </si>
  <si>
    <t>Compra de material para podar en el mes de febrero/17</t>
  </si>
  <si>
    <t>Compensaciòn por quitar y podar en Romeral todo el pasto y hierva</t>
  </si>
  <si>
    <t>Pago por quitar tocones del parque del fraccionamiento</t>
  </si>
  <si>
    <t>Guardìas y Custodias Privadas Gama, S.A. de C.V.</t>
  </si>
  <si>
    <t>Pago a/c de 1er semana del mes de febrero</t>
  </si>
  <si>
    <t>Pago de 3 garrafones de agua para casetas</t>
  </si>
  <si>
    <t>Compra de agua, café y estacionamiento velorio de familiar integrante mesa direc</t>
  </si>
  <si>
    <t>Padre David</t>
  </si>
  <si>
    <t>Florería Alex</t>
  </si>
  <si>
    <t>Pago arreglo floral para velorio</t>
  </si>
  <si>
    <t>Pago por reparaciòn chapa EP, desarmar y cambiar piezas y de EZ reparaciòn</t>
  </si>
  <si>
    <t>Regristro Pùblico de la Propiedad</t>
  </si>
  <si>
    <t>Lote Estanzuela esq. Recoveco 160 m2</t>
  </si>
  <si>
    <t>Lote Estanzuela esq. Recoveco 355 m2</t>
  </si>
  <si>
    <t>Pago por captura de recibos y egresos del 06 al 10 de febrero/17</t>
  </si>
  <si>
    <t>Pago por derechos para obtener constancia registro folio del inmueble</t>
  </si>
  <si>
    <t>Compra de eliminadores, tranceptores y plug invertido</t>
  </si>
  <si>
    <t>Pago por poda de pasto parque del 07 al 11 de febrero/17</t>
  </si>
  <si>
    <t>Pago por recolecciòn de pasto martes, jueves y sabado de esta semana</t>
  </si>
  <si>
    <t>Compra de refrescos y aguas para junta de mesa directiva</t>
  </si>
  <si>
    <t>Pago por apoyo en arreglo de luz del parque y cambio de cable quemado</t>
  </si>
  <si>
    <t>Compra de 2 garrafones de agua para casetas</t>
  </si>
  <si>
    <t>Compra de 2 botes de aire comprimido para camaras y lectores de Cuchilla</t>
  </si>
  <si>
    <t>Compensaciòn en apoyo de arreglar la luz en CL y trabajo urgente en RV</t>
  </si>
  <si>
    <t xml:space="preserve">Cuadrilla Delegaciòn  </t>
  </si>
  <si>
    <t>Compra de refrescos para personal delegaciòn arreglo fuga de agua en ZB</t>
  </si>
  <si>
    <t>Compra de 2 bolsas de sujetadores y 10 abrazaderas para poste</t>
  </si>
  <si>
    <t>Compra de paletas de corazòn para dar a vecinos por festejo dìa del amor y amis</t>
  </si>
  <si>
    <t>Compra de agua para casetas</t>
  </si>
  <si>
    <t>Pago de la 1er quincena del mes de febero/17</t>
  </si>
  <si>
    <t>Pago por barrer todo el fracc de lunes a viernes 1er quincena febrero/17</t>
  </si>
  <si>
    <t>Pago por recolecciòn de basura de lunes a viernes 1er quincena febrero/17</t>
  </si>
  <si>
    <t>Materiales y Tlapalerìa La Palma</t>
  </si>
  <si>
    <t>Compra de juego de lleves Allen, herramienta para el fraccionamiento</t>
  </si>
  <si>
    <t>Compra de herramiento para el reparar pluma que derrivo vecino Estanzuela 61</t>
  </si>
  <si>
    <t>Roberto Aranbula</t>
  </si>
  <si>
    <t>Compensaciòn en apoyo de colocaciòn de pluma Zinampa</t>
  </si>
  <si>
    <t>Pago por respaldo de video</t>
  </si>
  <si>
    <t>Pago por reparaciòn y ajuste de pluma subir y bajar</t>
  </si>
  <si>
    <t>Compra de 1 eliminadro av 2 amp</t>
  </si>
  <si>
    <t>Compensaciòn por resanar hoyo en zinampa</t>
  </si>
  <si>
    <t>Pago por captura de egresos e ingresos del 12 al 17 de febrero/17</t>
  </si>
  <si>
    <t>Pago por poda de pasto del parque del 10 al 17 de febrero/17</t>
  </si>
  <si>
    <t>Abastecedora del Jardìn</t>
  </si>
  <si>
    <t>Compra de sopladora Stihl BG-50 y desmalezadora Stil FS 160 para jardìn</t>
  </si>
  <si>
    <t>Cesar Armando</t>
  </si>
  <si>
    <t>Parchar llanta de bicicleta del fraccionamiento</t>
  </si>
  <si>
    <t xml:space="preserve">Compensaciòn de pasajes por haber trabajado horas extras </t>
  </si>
  <si>
    <t>Compensaciòn en apoyo reparar pluma en Zinampa</t>
  </si>
  <si>
    <t>Pago de 2 respaldos de video acontecimiento Upacuro 103</t>
  </si>
  <si>
    <t xml:space="preserve">Pago de comida para Ingeniero que estubo todo el dìa en camaras </t>
  </si>
  <si>
    <t>Compra de tortas en apoyo en junta con el colegio Carmel</t>
  </si>
  <si>
    <t>Administraciòn Auriga, S.A. de C.V.</t>
  </si>
  <si>
    <t>Pago de gasolina para presidenta, varias compras para el fraccionamiento</t>
  </si>
  <si>
    <t>Empresas Myah, S.A. de C.V.</t>
  </si>
  <si>
    <t xml:space="preserve"> Compra de galletas para junta con contador Siegrist</t>
  </si>
  <si>
    <t>Compra de piola para manta de anuncio de miercoles de ceniza al fraccionamien</t>
  </si>
  <si>
    <t>Compra de manija y sapo para wc baño caseta Romeral</t>
  </si>
  <si>
    <t>Pago de honorarios profesionales de febrero/17  # 70</t>
  </si>
  <si>
    <t>Pago de retención de IVA del Colegio Carmel de febrero/17 cheque # 71</t>
  </si>
  <si>
    <t>Pago de 910 copias para informe al fraccionamiento varios acontecimientos</t>
  </si>
  <si>
    <t>Compra de corrector</t>
  </si>
  <si>
    <t>Cuadrilla Delegaciòn</t>
  </si>
  <si>
    <t>Compra de comida para personal delegaciòn de dragado y desasolve</t>
  </si>
  <si>
    <t>Reparaciòn de pluma de entrada caseta Zinampa</t>
  </si>
  <si>
    <t>Pago por mantenimiento 2 chapas y 1 descompesta en Estanzuela y Estopila</t>
  </si>
  <si>
    <t>Pago por captura de credenciales y enmicados para personal de limpieza fracc.</t>
  </si>
  <si>
    <t>Grupo Moledo, S.A.B. de C.V.</t>
  </si>
  <si>
    <t>Compra de refrescos para junta de mesa directiva con comité vecinal</t>
  </si>
  <si>
    <t>Ferreterìa</t>
  </si>
  <si>
    <t>Herramientas y Automotrices San Felipe</t>
  </si>
  <si>
    <t>Compra de herrmainetas para el fraccionamiento</t>
  </si>
  <si>
    <t>Compra de herramientas para el fraccionamiento</t>
  </si>
  <si>
    <t>Compra de cordones y enmicado credenciales para personal de limpieza fracc.</t>
  </si>
  <si>
    <t>Pago de comida para 6 trabajadores delegaciòn desasolve Estanzuela</t>
  </si>
  <si>
    <t>Pavo Bicis</t>
  </si>
  <si>
    <t>Compra de Rin trasero para bicicleta de fraccionamiento</t>
  </si>
  <si>
    <t>Compensaciòn por arreglar kiosco y guardar arreglos del fraccionamiento en caja</t>
  </si>
  <si>
    <t>Compensaciòn por lavar y limpiar todo el kiosco para actividades del mismo</t>
  </si>
  <si>
    <t>Pago por recolecciòn que dejaron personal de CFE</t>
  </si>
  <si>
    <t>Manuela Olivares</t>
  </si>
  <si>
    <t>Compra de un Monitor Sony para ciucuito Landero</t>
  </si>
  <si>
    <t>Compra de cajas para archivo muerto pesidencia</t>
  </si>
  <si>
    <t>Compra de material para limpieza de camaras</t>
  </si>
  <si>
    <t>Pago mano de obra en platos</t>
  </si>
  <si>
    <t>Compra de conector tipo canon para camaras</t>
  </si>
  <si>
    <t>Pago de alimentos para vigilancia por trabajo extra en noche colonial Carmel</t>
  </si>
  <si>
    <t>Pago por captura de datos egresos e ingresos del 20 al 24 de febrero/17</t>
  </si>
  <si>
    <t>Compra de 7 garrafones de agua para casetas</t>
  </si>
  <si>
    <t>Compra de cajas para archivo muerto tesorerìa</t>
  </si>
  <si>
    <t>Pago por poda de pasto parque del 21 al 25 de febrero/17</t>
  </si>
  <si>
    <t>Pago por elaboraciòn de listas para cuota extraodinarias del fraccionamiento</t>
  </si>
  <si>
    <t>Galerìas Coapa, S.A. de C.V.</t>
  </si>
  <si>
    <t>Pago de estacionamiento de galerìas en busca de lockers para vigilancia</t>
  </si>
  <si>
    <t>Pago por recolecciòn de basura en todo el fracc de lunes a viernes 2da quincena</t>
  </si>
  <si>
    <t>Pago de la segunda quincena de febrero/17</t>
  </si>
  <si>
    <t>Pago en apoyo a cobranza domingo 26 de febrero/17</t>
  </si>
  <si>
    <t>Compra de papelerìa y 1 archivero para presidencia</t>
  </si>
  <si>
    <t>Anticipo para compra de camaras circuito de upacuaro</t>
  </si>
  <si>
    <t>Pago de retención de IVA del Colegio Carmel mes de febrero/17</t>
  </si>
  <si>
    <t>Compra de tamales para personal que estuvo en parque miercoles de ceniza</t>
  </si>
  <si>
    <t>Tlapalerìa y Ferreterìa del Hueso</t>
  </si>
  <si>
    <t>Compra de bola de rafia para colgar mantas</t>
  </si>
  <si>
    <t>Plomerìa Azul</t>
  </si>
  <si>
    <t>Pago por compostura pueta estopila llave trabada</t>
  </si>
  <si>
    <t>Compensaciòn por arreglo de chapa en Recove y Estopila</t>
  </si>
  <si>
    <t>Pago por recolecciòn de escombros de CFE que colocaron poste de luz y tensor</t>
  </si>
  <si>
    <t>Servicio Coapa, S.A. de C.V.</t>
  </si>
  <si>
    <t>Palacio de Hierro S.A. de C.V.</t>
  </si>
  <si>
    <t>Desayuo de mesa directiva con ingeniero de sistemas asunto fraccionamiento</t>
  </si>
  <si>
    <t>Pago de captura de datos de egresos e ingresos del 27 feb al 04 mar/17</t>
  </si>
  <si>
    <t>Pago por arreglo de luminarìas Upacuaro y parque</t>
  </si>
  <si>
    <t>Compra de material para dora del jardin del fraccionamiento</t>
  </si>
  <si>
    <t>Pago por poda de pasto jardin del fracc del 28 de feb/17 y 04/mar/17</t>
  </si>
  <si>
    <t>Compensaciòn a jovenes que repartieron credenciales de personal lipieza fracc.</t>
  </si>
  <si>
    <t>Jesus Acosta</t>
  </si>
  <si>
    <t xml:space="preserve">Pago por corte de pasto de Romeral </t>
  </si>
  <si>
    <t>Pago por quitar àrbol del parque sembrado sin autorizaciòn con espinas</t>
  </si>
  <si>
    <t>T.E. # 8672</t>
  </si>
  <si>
    <t>1 Porta tarjeta</t>
  </si>
  <si>
    <t>Pago en apoyo de cobranza domingo 05 de marzo</t>
  </si>
  <si>
    <t>Pago por arreglo de 2 chapas en Estanzuela y Zinampa y mantenimiento en RV</t>
  </si>
  <si>
    <t>Pago por reparación Reja con trabajo de soldarua en RV y 3 rejas de ZB</t>
  </si>
  <si>
    <t>Compra de pastel para vigilancia</t>
  </si>
  <si>
    <t>Compra refrescos para vigilancia</t>
  </si>
  <si>
    <t>Compra de material para circuito de camaras Upacuaro</t>
  </si>
  <si>
    <t>Pago de 1 respaldo de video Estanzuela</t>
  </si>
  <si>
    <t>Pago de 500 copias informe de fumigación para el fraccionamiento</t>
  </si>
  <si>
    <t xml:space="preserve">Pago por recolección de pasto y llevarse 2 árboles grandes con espinas </t>
  </si>
  <si>
    <t>Compensación por mover auto estorbando y hablar con vecinos respeto rampas</t>
  </si>
  <si>
    <t>Cuadrilla Delegación</t>
  </si>
  <si>
    <t>Compensación por reparación de luz en parque medio circuito</t>
  </si>
  <si>
    <t>Compensación por doblar informes  y entregarlo a todo el fraccionamieto</t>
  </si>
  <si>
    <t>Pago por reparación de pluma por tornillo degollado</t>
  </si>
  <si>
    <t>Pago por 1 respaldo de video en USB</t>
  </si>
  <si>
    <t>Compensación por recolección de basura en todo el parque campaña parque lim</t>
  </si>
  <si>
    <t>Protección y Seguridad Industrial, S.A. de C.V.</t>
  </si>
  <si>
    <t>Pago por 2 reccargas estintor de polvo quimico seco de 9kg</t>
  </si>
  <si>
    <t>Pago de telefonos de casetas del fraccionamiento mes de febrero/17</t>
  </si>
  <si>
    <t>Compra de 1 USB para tesoreria</t>
  </si>
  <si>
    <t>Compra de 30 tarjetas procard ID</t>
  </si>
  <si>
    <t>Pago de honorarios por captura de datos del 06 al 10 de marzo/17</t>
  </si>
  <si>
    <t>Pago por poda de pasto del parque del fracc del 07 al 11 de marzo/17</t>
  </si>
  <si>
    <t>Pago por recolección de pasto de martes, jueves y sabados</t>
  </si>
  <si>
    <t>Pago en apoyo a cobranza del domingo 12 de marzo</t>
  </si>
  <si>
    <t>Sr. Mario</t>
  </si>
  <si>
    <t>Pago por barrer todo el fracc de lunes a viernes de la 1er quincena marzo/17</t>
  </si>
  <si>
    <t>Compra de 1 portafolio para laptop mesa directiva presidencia</t>
  </si>
  <si>
    <t>Pago por recolección especial de hojarasca del parque y barrer</t>
  </si>
  <si>
    <t>Compra de café en polvo para casetas de vigilancia</t>
  </si>
  <si>
    <t>Compra de cartuchos epson color negro para tesoreria</t>
  </si>
  <si>
    <t>Compra de cartuchos epson colores varios para tesoreria</t>
  </si>
  <si>
    <t>Ma. Teresa del Pozo</t>
  </si>
  <si>
    <t>Pago por fumigación a todo el parque del fraccionamieto</t>
  </si>
  <si>
    <t>Tienda Sansonite</t>
  </si>
  <si>
    <t>Pago de la primer quincena del mes de marzo/17</t>
  </si>
  <si>
    <t xml:space="preserve">Pago de la 1er quincena de marzo por recolecciòn de basura en todo el fracc </t>
  </si>
  <si>
    <t>Pago de 7 garrafones de agua para casetas del fraccionamiento</t>
  </si>
  <si>
    <t>Compra de 1 USB de 8 GB</t>
  </si>
  <si>
    <t>Pago de 2 respaldos de video circuito cuchilla y romeral</t>
  </si>
  <si>
    <t xml:space="preserve">Compra de refracciones para bicicleta del fraccionamiento </t>
  </si>
  <si>
    <t>Pago por realizaciòn de credenciales para personal de servicio del fraccionamiento</t>
  </si>
  <si>
    <t xml:space="preserve">Luna  </t>
  </si>
  <si>
    <t>Cambio de familia 19 de marzo/17</t>
  </si>
  <si>
    <t>Luna</t>
  </si>
  <si>
    <t>ld_65_</t>
  </si>
  <si>
    <t>4 tarjetones</t>
  </si>
  <si>
    <t>Pago anualidad</t>
  </si>
  <si>
    <t>T.E. # 08674</t>
  </si>
  <si>
    <t>CH. #651 Santander</t>
  </si>
  <si>
    <t>Cuota de vigilancia y mantenimiento oct/nov/dic/16</t>
  </si>
  <si>
    <t>Siegrist Contadores Pùblicos, pago de honorarios febrero/17</t>
  </si>
  <si>
    <t>Cuota de vigilancia y mantenimento mes de febrero/17</t>
  </si>
  <si>
    <t>Compra de botones para pluma de salida y entrada del fraccionamiento</t>
  </si>
  <si>
    <t>Compensaciòn por barrer parque zona de caseta ZB</t>
  </si>
  <si>
    <t>Pago de 1 respaldo de video de calle Upacuaro</t>
  </si>
  <si>
    <t>Mercado San Judas Tadeo</t>
  </si>
  <si>
    <t>Compra de bolsas para forrar posters de informaciòn para fraccionamiento</t>
  </si>
  <si>
    <t>Pago de 461 copias para informaciòn de bonberos al fraccionamiento</t>
  </si>
  <si>
    <t>Compra de 2 tablas sujetadoras para vigilancia</t>
  </si>
  <si>
    <t>Pago de honorarios por captura de datos del 13 al 17 de marzo/17</t>
  </si>
  <si>
    <t>Pago por recolecciòn de costales con escombros y barillas del fraccionamieto</t>
  </si>
  <si>
    <t>Pago por poda de pasto en parque del fracc del 14 al 18 de marzo/17</t>
  </si>
  <si>
    <t>Pago por recolecciòn de basura en fin de semana en todo el fraccionamiento</t>
  </si>
  <si>
    <t>Pago en apoyo cobranza domingo 19 de marzo/17</t>
  </si>
  <si>
    <t>Compra de 2 telefonos con identificaciòn de llamadas para casetas del fracc</t>
  </si>
  <si>
    <t>Pago por conexiòn a internet de DVR Bytek a 4 camaras</t>
  </si>
  <si>
    <t>Compra de Camara y equipo de videograbacion para Upacuaro</t>
  </si>
  <si>
    <t>Compra de 2 USB para respaldos del fraccionamiento</t>
  </si>
  <si>
    <t>Pago por repraciòn de chapas de Estanzuela con llave trabaja y puerta de ZB</t>
  </si>
  <si>
    <t>Compra de material para cuircuito de Upacuaro</t>
  </si>
  <si>
    <t>Pago por configuraciòn de 30 tarjetas procard en sistemas del fraccionamiento</t>
  </si>
  <si>
    <t>Vecina Angelina</t>
  </si>
  <si>
    <t>Compra de galletas para evento de bomberos platica de seguridad</t>
  </si>
  <si>
    <t>Pago de verificaciòn de sistema de plumas</t>
  </si>
  <si>
    <t xml:space="preserve">Pago por arreglar luz en parque y kiosco </t>
  </si>
  <si>
    <t>Compra de botanas para vecinos, evento de bomberos curso de prevenciòn acci</t>
  </si>
  <si>
    <t>Compra de refrescos para personal que organizo todo el evento de bomberos</t>
  </si>
  <si>
    <t>Compra de agua embotellada para vecinos evento bomberos</t>
  </si>
  <si>
    <t>Compensaciòn en apoyo en todo el evento de Bomberos del fracciionamiento</t>
  </si>
  <si>
    <t>Pago a/c de la 2da. Quincena de marzo/17</t>
  </si>
  <si>
    <t>Pago por arreglar pasto zona de cobranza y limpieza caseta Romeral</t>
  </si>
  <si>
    <t>Cuerpo de Bomberos</t>
  </si>
  <si>
    <t>Compensaciòn por curso brindado a todos los vecinos de seguridad y prevenciòn ac</t>
  </si>
  <si>
    <t>Pago por barrer zona de pasto en caseta de Romeral area de coches sucio</t>
  </si>
  <si>
    <t>Compra de de refrescos para personal de vigilancia</t>
  </si>
  <si>
    <t xml:space="preserve">Estacionamiento </t>
  </si>
  <si>
    <t>Pago de retención de IVA del Colegio Carmel de marzo/17 cheque # 72</t>
  </si>
  <si>
    <t>Pago de honorarios del mes de marzo/17</t>
  </si>
  <si>
    <t>Pago de honorarios por captura de datos del 20 al 24 de marzo/17</t>
  </si>
  <si>
    <t>Despensas</t>
  </si>
  <si>
    <t>Compra de 3 despensas para vigilancia por su buen desempeño en el fracciona</t>
  </si>
  <si>
    <t>Compensaciòn en patrullaje en evento y parque sin luz</t>
  </si>
  <si>
    <t xml:space="preserve">Pago por colocaciòn y venta de señal de extintor </t>
  </si>
  <si>
    <t>Pago de 10 garrafones de agua para casetas de vigilancia</t>
  </si>
  <si>
    <t>Pago de mano de obra en tendio de cableado de 2 camaras</t>
  </si>
  <si>
    <t>Pago por poda de pasto del 20 al 25 de marzo/17</t>
  </si>
  <si>
    <t>Pago por arreglo de puerrta peatonal y zona de ejercitadores</t>
  </si>
  <si>
    <t>Pago por sopletear parque y explanada para evento de Bomberos</t>
  </si>
  <si>
    <t>Compra de refrescos para junta de mesa directiva con vigilancia</t>
  </si>
  <si>
    <t>Villafaña Pèrez Judith</t>
  </si>
  <si>
    <t>Compra de hojas tamaño carta para presidencia</t>
  </si>
  <si>
    <t xml:space="preserve">Pago por recolecciòn de pasto podado, martes, jueves y sabado </t>
  </si>
  <si>
    <t>Pago en apoyo cobranza domingo 26 de marzo/17</t>
  </si>
  <si>
    <t>Compra de equipo de camaras para circuito de Upacuaro</t>
  </si>
  <si>
    <t>Pago de gasolina para presidencia visita a contador siegrist y otros asuntos</t>
  </si>
  <si>
    <t>Compra de material para camaras de circuito de Upacuaro</t>
  </si>
  <si>
    <t xml:space="preserve">Tienda  </t>
  </si>
  <si>
    <t>Compra de agua para personal de mesa directiva cobranza casa por casa</t>
  </si>
  <si>
    <t>Pago de tendido de 5 camaras</t>
  </si>
  <si>
    <t>Pago por instalaciòn de equipo DVR, Disco duro, monitor y soporte para pantalla</t>
  </si>
  <si>
    <t>Pago de soporte para pantalla mmacformet de 32" a 60"</t>
  </si>
  <si>
    <t>Cerrajerìa y Plomerìa Azul</t>
  </si>
  <si>
    <t>Pago de arreglo de chapa puerta de ZB</t>
  </si>
  <si>
    <t>Alfonso Basaldua</t>
  </si>
  <si>
    <t>Pago por arreglar WC en caseta de Romeral (plomerìa)</t>
  </si>
  <si>
    <t>Compra de material para circuito de Upacuaro</t>
  </si>
  <si>
    <t>Pago de honorarios por captura de datos del 27 al 31 de marzo/17</t>
  </si>
  <si>
    <t>Pago de la 2da. Quincena del mes de marzo/17</t>
  </si>
  <si>
    <t>Pago liq. De la 2da quincena del mes de marzo/17</t>
  </si>
  <si>
    <t xml:space="preserve">Pago por recolecciòn de basura en todo el frac de lunes a viernes 2da quincena </t>
  </si>
  <si>
    <t>Pago por barrer todo el fracc de lunes a viernes 2da. Quincena marzo/17</t>
  </si>
  <si>
    <t>Pago por quitar follaje en Romeral en banqueta de entrada</t>
  </si>
  <si>
    <t>T.E. #39033</t>
  </si>
  <si>
    <t>Equipo camaras Landero</t>
  </si>
  <si>
    <t>Equipo camara UP</t>
  </si>
  <si>
    <t>Cheque bancomer</t>
  </si>
  <si>
    <t>Cuota de vigilancia y mantenimiento marzo/17</t>
  </si>
  <si>
    <t>Cuota de vigilancia y mantenimiento febrero/17</t>
  </si>
  <si>
    <t>Cuota de vigilancia y mantenimiento ene/feb/mar/17</t>
  </si>
  <si>
    <t>Cuota de vigilancia y manenimineto febrero/17</t>
  </si>
  <si>
    <t>SAT Servicio de Administración Tributaría, pago retención Carmel mar/17</t>
  </si>
  <si>
    <t>SAT Servicio de Administraciòn Tributarìa, pago retenciòn Carmel feb/17</t>
  </si>
  <si>
    <t>Sierist Contadores Públicos, pago de honorarios marzo/17</t>
  </si>
  <si>
    <t>Pago de retención de IVA del Colegio Carmel mes de marzo/17</t>
  </si>
  <si>
    <t>Poda de pasto del parque del 27 de marzo al 01 de abril/17</t>
  </si>
  <si>
    <t>Pago por arreglo de pluma sellar gabinete y limpieza de conectores</t>
  </si>
  <si>
    <t>Jorge Ibarra</t>
  </si>
  <si>
    <t>Pago por arreglo de chapa de Landero y barrotes de entrada automoviles</t>
  </si>
  <si>
    <t>Compensaciòn en apoyo con movimiento de cuadriolla delegaciòn luz parque</t>
  </si>
  <si>
    <t>Compra de agua para vigilancia de Romeral</t>
  </si>
  <si>
    <t>Cuadrilla Delegaciòn Iluminaciòn</t>
  </si>
  <si>
    <t>Compensaciòn en apoyo de luminarias en parque del fraccionamiento</t>
  </si>
  <si>
    <t>Pago por recolecciòn de basura en todo el fraccionamiento fin de semana</t>
  </si>
  <si>
    <t>Pago por recolecciòn de pasto podado martes, jueves y viernes del parque</t>
  </si>
  <si>
    <t xml:space="preserve">Compra de pastel festejo de mesa directiva con tesoreria </t>
  </si>
  <si>
    <t>Compra de vela para festejo</t>
  </si>
  <si>
    <t>Pago en apoyo cobranza del domingo 02 de abril/17</t>
  </si>
  <si>
    <t>Pago en apoyo a cortar pasto en la entrada de la caseta de Romeral</t>
  </si>
  <si>
    <t>Pago por elaboración de captura y recolección de datos en USB personal serv</t>
  </si>
  <si>
    <t>Pago de telefonos de casetas del fraccionamiento mes de marzo/17</t>
  </si>
  <si>
    <t xml:space="preserve">Compra de cordón para gafete azul 12 metros </t>
  </si>
  <si>
    <t>Compensación por patrullaje de fin de semana parque sin luz</t>
  </si>
  <si>
    <t>Compensación por quitar todos los letreros de anuncios en todo el fraccionamiento</t>
  </si>
  <si>
    <t>Pago de varias comidas para personal de fumigación coladeras de la delegación</t>
  </si>
  <si>
    <t>Compra de 10 garrafones de agua para casetas del fraccionamiento</t>
  </si>
  <si>
    <t xml:space="preserve">Compra de de material e instalación de camara nueva en Landero </t>
  </si>
  <si>
    <t>EP_44_2</t>
  </si>
  <si>
    <t>Rancho Estopila No. 44_2</t>
  </si>
  <si>
    <t>Blanca Herrera</t>
  </si>
  <si>
    <t>Se agregò el 10 abril/17 GMS</t>
  </si>
  <si>
    <t>Pago de 1 respaldo de video en Zinampa caseta</t>
  </si>
  <si>
    <t>T.E.#39031 Y 39032</t>
  </si>
  <si>
    <t>Equipo de camaras UP</t>
  </si>
  <si>
    <t>Antes Cortes Sànchez ahora Jacobo Monrroy 05 abril/17</t>
  </si>
  <si>
    <t>Equipo de camaras Landero aportaciòn voluntaria</t>
  </si>
  <si>
    <t>Antes juárez Sánchez ahora es fam. Perea 09/04/17 GMS</t>
  </si>
  <si>
    <t>Perea</t>
  </si>
  <si>
    <t>T.E. # 30918</t>
  </si>
  <si>
    <t>t</t>
  </si>
  <si>
    <t>T.E. # 39019 Y 39020</t>
  </si>
  <si>
    <t>No hay que rebasar esta línea para que la actualización de la hoja de cobranza sea automática.</t>
  </si>
  <si>
    <t>T.E.# 39036</t>
  </si>
  <si>
    <t>Compensaciòn en apoyo a recolecciòn de escombros de troncos que quitaron bio</t>
  </si>
  <si>
    <t>Pago a/c de la 1er quincena de abril/17</t>
  </si>
  <si>
    <t>Pago de honorarios de captura de egresos e ingresos y trabajos de contabilidad</t>
  </si>
  <si>
    <t>Compra de materiales para mano de obra cables de luz telefono caseta</t>
  </si>
  <si>
    <t>Pago por poda de pasto del 04 al 08 de abril del parque del fraccionamiento</t>
  </si>
  <si>
    <t>Pago por recolecciòn de basura en todo el fracionamiento fin de semana</t>
  </si>
  <si>
    <t>Compra de cafè, agua para mesa de cobranza y vigilancia</t>
  </si>
  <si>
    <t>Compensaciòn por doda de pasto en caseta de Romeral</t>
  </si>
  <si>
    <t>Pago en apoyo a cobranza del domingo 09 de abril/17</t>
  </si>
  <si>
    <t>Compra de material para circuto de camaras de upacuaro</t>
  </si>
  <si>
    <t>Compra de aguas en trayecto de visita al contador siegrist</t>
  </si>
  <si>
    <t>Compensación en apoyo a vecino del fraccionamieto por robo</t>
  </si>
  <si>
    <t>Pago de retención de IVA del Colegio Carmel de abril/17 cheque # 80</t>
  </si>
  <si>
    <t>Pago de honorarios del mes de abril/17 cheque  81</t>
  </si>
  <si>
    <t>Compra de materiales para señalizaciones en fraccionamiento</t>
  </si>
  <si>
    <t>T.E.#39034</t>
  </si>
  <si>
    <t>T.E.# 39017</t>
  </si>
  <si>
    <t>T.E. # 39035</t>
  </si>
  <si>
    <t>T.E. # 39037</t>
  </si>
  <si>
    <t>Caballero</t>
  </si>
  <si>
    <t>Cambio de propietario el 23 abril/17 GMS</t>
  </si>
  <si>
    <t>T.E. #39038 Y 30040</t>
  </si>
  <si>
    <t>2  porta tarjetas</t>
  </si>
  <si>
    <t>Pago por llevarse escompros de Estanzuela y Estopila</t>
  </si>
  <si>
    <t>Compra de dos pares de balum de video pasivos siscam para HDVIVI</t>
  </si>
  <si>
    <t>Pago de respaldo de video de Zinampa por limpiadores parabrisas</t>
  </si>
  <si>
    <t>Ferre Elèctrica Reyesa</t>
  </si>
  <si>
    <t>Compra de material para arreglo de pluma de Zinampa</t>
  </si>
  <si>
    <t>Compra de 1 Camara Bullet TVL de 1200 lineas para calle de Cuchilla</t>
  </si>
  <si>
    <t>Pago de mano de obra por colocaciòn de camara en calle de Cuchilla</t>
  </si>
  <si>
    <t>Compra de materiales para pintar entrada y banquetas de Zinampa</t>
  </si>
  <si>
    <t>Pago de captura de datos del 10 al 14 de abril/17</t>
  </si>
  <si>
    <t>Pago por podar parque del frac del 11 al 15 de abril</t>
  </si>
  <si>
    <t>Pago por recolecciòn de basura en todo el frac de lunes a viernes 1er quincena abr</t>
  </si>
  <si>
    <t>Pago por barrer todo el frac de lunes a viernes de la 1er quincena abril/17</t>
  </si>
  <si>
    <t>Pago de la 1er quincena de abril/17</t>
  </si>
  <si>
    <t>Pago liq. De la 1er quincena de abril/17</t>
  </si>
  <si>
    <t>Compra de materiales para circuito de camaras de Upacuaro</t>
  </si>
  <si>
    <t>Pago en apoyo de cobranza domingo 16 de abril/17</t>
  </si>
  <si>
    <t>Compensaciòn en pintar señalamiento y banquetas entrada caseta Zinampa</t>
  </si>
  <si>
    <t>Compensación en apoyo de patrullaje en fraccionamiento semana santa</t>
  </si>
  <si>
    <t>Pago de 450 juegos de copias de informe para el fraccionamiento</t>
  </si>
  <si>
    <t>Compra de 1 camara para llanta de bicicleta del fraccionamiento</t>
  </si>
  <si>
    <t>Pago de comida para cuadrilla delegación luminarías del parque</t>
  </si>
  <si>
    <t>Asunción Dominguez</t>
  </si>
  <si>
    <t>Compensación en apoyo de estar al pendiente de cuadrilla delegación luminarías</t>
  </si>
  <si>
    <t>Compensación en corte de árbolitos de Romeral</t>
  </si>
  <si>
    <t>Pago mano de obra por arreglar 10 camaras del fraccionamiento</t>
  </si>
  <si>
    <t>Compra de materiales para arreglo de 10 camaras por sobre tensión de voltaje</t>
  </si>
  <si>
    <t>Compra de material para pinta señalizaciones de caseta de Romeral</t>
  </si>
  <si>
    <t>Ronet</t>
  </si>
  <si>
    <t>Compra de 1 pantalón para vigilancia, apoyo especial unica vez</t>
  </si>
  <si>
    <t>Pago a/c de la 2da quincena de abril/17</t>
  </si>
  <si>
    <t>Compra de 1 camara analoga dahoa, 2 pares de transeptores, se quemo por rayo</t>
  </si>
  <si>
    <t>Pago por dar de baja a tarjetas de vecinos morosos</t>
  </si>
  <si>
    <t>Pago de comida para personal de colocación de camaras</t>
  </si>
  <si>
    <t>Compra de helados para personal de vigilancia mucho calor y exelente servicio</t>
  </si>
  <si>
    <t>Compensación en apoyo a vecinos por extorción acudieron de inmediato</t>
  </si>
  <si>
    <t>Pago de honorarios por trabajos de captura del 17 al 21 de abril/17</t>
  </si>
  <si>
    <t>Compra de camara HD 1 MG colocada en parque interno</t>
  </si>
  <si>
    <t>Pago por mano de obra instalación de camara en parque</t>
  </si>
  <si>
    <t>Pago por recolección de desechos atrás de cobacha zinampa y recovecho</t>
  </si>
  <si>
    <t>Compensación en apoyo de recoger desechos atrás de cobacha zinampa y recovec</t>
  </si>
  <si>
    <t>Pago por poda de parque del día 18 al 22 de abril/17</t>
  </si>
  <si>
    <t>Pago en apoyo de cobranza domingo 23 abril/17</t>
  </si>
  <si>
    <t>Pago por realizar credenciales personal de servicio del fraccionamiento</t>
  </si>
  <si>
    <t>Compensación en apoyo de patrullaje en vacaciones y domingos de cobranza</t>
  </si>
  <si>
    <t>Pago estacionamiento compra de papelería</t>
  </si>
  <si>
    <t>Servcio Robledo, S.A. de C.V.</t>
  </si>
  <si>
    <t>Ferreter y Plomerìa Azùl</t>
  </si>
  <si>
    <t>Pago por arreglo de lavabo de caseta Zinampa</t>
  </si>
  <si>
    <t>Centro de Copiado y Papelerìa Omega</t>
  </si>
  <si>
    <t>Compra de papalerìa para presidencia</t>
  </si>
  <si>
    <t>Pago por poda de àrbol atràs de caseta Zinampa y pasto en Recoveco</t>
  </si>
  <si>
    <t>Compra de 11 garrafones de agua para casetas del fraccionamiento</t>
  </si>
  <si>
    <t xml:space="preserve">Compra de refrescos para vigilancia     </t>
  </si>
  <si>
    <t>Pago de 1 respaldo de video</t>
  </si>
  <si>
    <t>Compra de material circuito Upacuaro</t>
  </si>
  <si>
    <t>Compra de botanas para niños en su festejo en el parque del fraccionamiento</t>
  </si>
  <si>
    <t>Compra de dulces para niños en el festejo del día del niño</t>
  </si>
  <si>
    <t>Compra de botanas para personal de vigilancia en el día del niño</t>
  </si>
  <si>
    <t>Pago por arreglo de puerta peatonal de Landero y aceitarla</t>
  </si>
  <si>
    <t>Compensación en limpieza de todos los juegos del parque para festejo día niño</t>
  </si>
  <si>
    <t xml:space="preserve">Pago liq de la 2da quincena de abril/17 cheque #75 </t>
  </si>
  <si>
    <t>T.E. # 39012</t>
  </si>
  <si>
    <t>Asunciòn Dominguez</t>
  </si>
  <si>
    <t>Compensaciòn por limpiar juegos del parque del fraccionamiento</t>
  </si>
  <si>
    <t>Copyfaz Digital</t>
  </si>
  <si>
    <t>Pago de un poster laminado para informaciòn del evento Dìa del Niño en parque</t>
  </si>
  <si>
    <t>Compra de 2 paquetes de ficha bibiograficas</t>
  </si>
  <si>
    <t>Compensaciòn en apoyo de alumbrado pùblico de Cuchilla 81 y Estanzuela 3</t>
  </si>
  <si>
    <t>Guardìas y Custodìas Gama</t>
  </si>
  <si>
    <t>Compra de huevo para que desayune vigilancia trabajos en especial</t>
  </si>
  <si>
    <t>Compra de 2 garrafones de agua para cafetas</t>
  </si>
  <si>
    <t>Pago por captura de datos del 24 al 28 de abril/17</t>
  </si>
  <si>
    <t>Compensaciòn por llevarse basura camiòn que biene se descompuso trabajo espec</t>
  </si>
  <si>
    <t>Mesa Directiva</t>
  </si>
  <si>
    <t>Compra de botanas para junta mesa directiva</t>
  </si>
  <si>
    <t>Compra de botanas para festejo de dìa del Niños en parque del fraccionamiento</t>
  </si>
  <si>
    <t>Compra desechables para festejo del Dìa de Niño en parque del fraccionamiento</t>
  </si>
  <si>
    <t>Pago de estacionamiento compra de desechables y botanas</t>
  </si>
  <si>
    <t>Pago por poda de parque del dìa 23 al 29 de abril y sopletear las hojas de la expla</t>
  </si>
  <si>
    <t>Compra de hielo para evento Dìa del Niño parque del fraccionamiento</t>
  </si>
  <si>
    <t>Compensaciòn en patrullaje evento SSP Dìa del Niño parque del fraccionamiento</t>
  </si>
  <si>
    <t>Compensaciòn por lavado de 2 juegos para El Dìa del Niño</t>
  </si>
  <si>
    <t>Gregorio Ticante</t>
  </si>
  <si>
    <t>Compensaciòn por recorte y clareo de àrbolito en Zinampa</t>
  </si>
  <si>
    <t>Pedro Villegas</t>
  </si>
  <si>
    <t>Pago por renta de sillas para evento del fraccionamiento</t>
  </si>
  <si>
    <t>Pago por barrer frac de lunes a viernes 2da. Quincena abril/17 y trabajos adicional</t>
  </si>
  <si>
    <t>Pago por recolecciòn basura frac de lunes a viernes 2da. Quincena abril/17</t>
  </si>
  <si>
    <t>Pago por recolecciòn basura frac los fines de semana</t>
  </si>
  <si>
    <t>Pago por recolecciòn pasto podado entre semana</t>
  </si>
  <si>
    <t>Compra de refrescos para vigilancia domingo de cobranza</t>
  </si>
  <si>
    <t>Pago de la 2da. Quincena de abril/17</t>
  </si>
  <si>
    <t>Cuota de vigilancia y mantenimiento abri/17</t>
  </si>
  <si>
    <t>Cuota de vigilancia y mantenimiento abril/17</t>
  </si>
  <si>
    <t>SAT Servicio de Administraciòn Tributarìa, pago retenciòn Carmel abril/17</t>
  </si>
  <si>
    <t>Siegrist Contadores Pùblicos, pago de honorarios abril/17</t>
  </si>
  <si>
    <t>Cuota de vigilancia y manteniminento mes de marzo/17</t>
  </si>
  <si>
    <t>Cuota de vigilancia y mantenimiento mes de abril/17</t>
  </si>
  <si>
    <t>Banorte Com. Cheq. Exp</t>
  </si>
  <si>
    <t>Guardìas y Custodìas Gama, pago liq. 2da. Quincena abril/17 ch. 75</t>
  </si>
  <si>
    <t>Cuadrilla delegaciòn compensaciòn en apoyo de reconectar luminarìas del parque</t>
  </si>
  <si>
    <t>Sanchez</t>
  </si>
  <si>
    <t xml:space="preserve">Cambio vecino </t>
  </si>
  <si>
    <t>T.E. #10539013</t>
  </si>
  <si>
    <t>Cambio de familia 07/05/17</t>
  </si>
  <si>
    <t>Compra de brocha y thiner para pintar entrada de Romeral</t>
  </si>
  <si>
    <t>Compensaciòn por pintar entrada de Romeral señalamientos y banquetas</t>
  </si>
  <si>
    <t>Compensaciòn en quitar todas las mantas y anuncios de calz hueso y dentro frac</t>
  </si>
  <si>
    <t>Pago por arreglar lavabo de baño caseta Zinampa</t>
  </si>
  <si>
    <t>Compra de 10 garrafones para casetas del fraccionamiento</t>
  </si>
  <si>
    <t>Pago por mantenimiento de 2 chapas de EZ y EP y revisiòn LD y CL</t>
  </si>
  <si>
    <t>Pago por instalaciòn de microfonos fuente en caja hidrobrek</t>
  </si>
  <si>
    <t>Pago de material de microfonos en fuentes de caja hidrobrek</t>
  </si>
  <si>
    <t>Pago de gasolina presidencia, diveros trabajos fuera del fraccionamiento</t>
  </si>
  <si>
    <t>Pago telefono del mes de abril/17</t>
  </si>
  <si>
    <t>Compra de papelerìa para tesorerìa</t>
  </si>
  <si>
    <t>Pago de captura de datos del 01 al 05 de mayo/17</t>
  </si>
  <si>
    <t>Compensaciòn en limpieza de postes de toda la colonia</t>
  </si>
  <si>
    <t>Pago por llevarse costales de desechos por desasolve en Estanzuela</t>
  </si>
  <si>
    <t>Compra de refrescos para personal dragado de la delegaciòn</t>
  </si>
  <si>
    <t>Cuadrilla Delegacòn Desasolve</t>
  </si>
  <si>
    <t>Compensaciòn por dragado en fraccionamiento todo el dìa</t>
  </si>
  <si>
    <t xml:space="preserve">Pago de comidas para brigada delegaciòn desasolve </t>
  </si>
  <si>
    <t>Compra de refrescos para personal de bomberos trabajas en fraccionamiento</t>
  </si>
  <si>
    <t>Pago por poda de pasto del 1 al 6 de mayo/17</t>
  </si>
  <si>
    <t xml:space="preserve">Compra de material para maquinaria de poda </t>
  </si>
  <si>
    <t>Compensaciòn en apoyo de quitar plameras fracturadas en Landero</t>
  </si>
  <si>
    <t>Pago  de cancelaciòn de WIF en Router Telmex</t>
  </si>
  <si>
    <t>Compensaciòn a escuadron por brigada de quitar pinos en la calle de Estanzuela</t>
  </si>
  <si>
    <t>Cuartel de Bomberos</t>
  </si>
  <si>
    <t>Compra de comida en apoyo de quitar pinos en la calle de Estanzuela</t>
  </si>
  <si>
    <t xml:space="preserve">Compra de fuente de energìa 1012 V. </t>
  </si>
  <si>
    <t>Compra de refrescos para cuartel de bomberos trabajos varios en el fraccionami</t>
  </si>
  <si>
    <t>Pago de mano de obra en monitor de caseta zinampa</t>
  </si>
  <si>
    <t>Personal Gama</t>
  </si>
  <si>
    <t>Compensaciòn en apoyo en todos los trabajos que realizaron los Bomberos</t>
  </si>
  <si>
    <t>Guardìas y Custodìas Privada Gama, S.A. de C.V.</t>
  </si>
  <si>
    <t>Pago a/c de la 1er quincena de mayo/17</t>
  </si>
  <si>
    <t>Pago por recoleccilòn de pasto podado entre semana</t>
  </si>
  <si>
    <t xml:space="preserve">Compra de refrescos y café para mesa de cobranza y vigilancia </t>
  </si>
  <si>
    <t>Pago en apoyo de cobranza domingo 06 de mayo/17</t>
  </si>
  <si>
    <t>Pago por llevarse escombros de pinos podados por el cuartel de bomberos</t>
  </si>
  <si>
    <t>Compra de silicòn y aplicador</t>
  </si>
  <si>
    <t>Compra de 4 USB para respaldos del fraccionamiento</t>
  </si>
  <si>
    <t>Compensaciòn en cortar palmeras y tronco en lote</t>
  </si>
  <si>
    <t>Pago de comida para personal de bomberos trabajos en el fraccionamiento</t>
  </si>
  <si>
    <t>Cuadrilla Delegaciòn Parques y Jardìnes</t>
  </si>
  <si>
    <t>Compra de refrescos para personal delegaciòn</t>
  </si>
  <si>
    <t>Autopartes Daytona</t>
  </si>
  <si>
    <t>Compra de 1 calavera Boyager que camiòn de bomberos accidentalmente rompio</t>
  </si>
  <si>
    <t>Compra de impresiòn de facturas para I.V.A del Colegio Carmel</t>
  </si>
  <si>
    <t>Pago de retención de IVA del Colegio Carmel de mayo/17 cheque # 76</t>
  </si>
  <si>
    <t>Pago de honorarios del mes de mayo/17 cheque  76</t>
  </si>
  <si>
    <t>Compra de desayuno para personal de bomberos</t>
  </si>
  <si>
    <t>Apoyo para comprar gasolina para motocierra para corte de troncos en parque</t>
  </si>
  <si>
    <t>Apoyo para comprar gasolina para motocierra corte de palmeras en el frac</t>
  </si>
  <si>
    <t>Pago en apoyo a barrer cuadra completa de hojarasca en romeral</t>
  </si>
  <si>
    <t>Compra de galletas junta con el contador Siegrist</t>
  </si>
  <si>
    <t>Guardìas y Custodìa Primvadas Gama, S.A. De C.V.</t>
  </si>
  <si>
    <t>Pago liq. De la 1er quincena de mayo/17</t>
  </si>
  <si>
    <t>Costco de Mèxico, S.A. de C.V.</t>
  </si>
  <si>
    <t>Compra de detalles para las Mamas de la mesa directiva</t>
  </si>
  <si>
    <t>Pago de gasolina para presidenta varios asuntos fuera del fraccionamiento</t>
  </si>
  <si>
    <t>Compensaciòn por poner piso firme en la entrada de Romeral</t>
  </si>
  <si>
    <t>Compra detalles para obsequiar en desayuno que hace Delegaciòn a mamas del fr</t>
  </si>
  <si>
    <t>Compra de 10 folders presidencia</t>
  </si>
  <si>
    <t>Pago por sellado de ventana en caseta por filtraciòn de agua</t>
  </si>
  <si>
    <t>Pago por captura de datos del 08 al 12 de mayo del 2017</t>
  </si>
  <si>
    <t>Pago por recolecciòn de pasoto podado marte, jueves y sabado de la semana</t>
  </si>
  <si>
    <t>Compra de café, agua para mesa de cobranza y vigilancia</t>
  </si>
  <si>
    <t>Pago por arreglo de chapa y barrotes del fraccionamiento</t>
  </si>
  <si>
    <t>Pago de 1 respaldo de video con 3 tomas calle Cuchilla</t>
  </si>
  <si>
    <t>Pago de poda de pasto del 09 al 13 de mayo/17</t>
  </si>
  <si>
    <t>Pago en apoyo de cobranza domingo 14 de mayo/17</t>
  </si>
  <si>
    <t>Pago por recolecciòn de basura de lunes a viernes 1er quincena mayo/17</t>
  </si>
  <si>
    <t>Pago por barrer todo el frac de lunes a viernes 1er quincena mayo/17</t>
  </si>
  <si>
    <t>Pago 1er quincena del mes de mayo/17</t>
  </si>
  <si>
    <t>Pago por barrer todo Landero basura concentrada en salida peatonal por lluvias</t>
  </si>
  <si>
    <t>.</t>
  </si>
  <si>
    <t>SE TOMO POR ERROR</t>
  </si>
  <si>
    <t>T.E.#2046</t>
  </si>
  <si>
    <t>T.E.#39014</t>
  </si>
  <si>
    <t>Lobato Hernàndez</t>
  </si>
  <si>
    <t>Cambio de familia 21-05-17</t>
  </si>
  <si>
    <t>T.E.#39024 Y 39025</t>
  </si>
  <si>
    <t>T.E. # 39015 Y39016</t>
  </si>
  <si>
    <t>Pago por recolecciòn basura y pasto parque y estopila</t>
  </si>
  <si>
    <t>Pago de almuerzos para cuadrilla delegaciòn para dragado Landero</t>
  </si>
  <si>
    <t>Compra de 12 garrafones de agua para casetas</t>
  </si>
  <si>
    <t>Compra de material para mantenimiento de camaras entrada Zinanpa/Romeral</t>
  </si>
  <si>
    <t>Compra de 2 camaras 4 en 1 carcasas de policarbonato</t>
  </si>
  <si>
    <t>Pago de 1,100 copias para informe de al fraccionamiento</t>
  </si>
  <si>
    <t>Pago a muchachos que ayudan a repartir circulares en todo el fraccionamiento</t>
  </si>
  <si>
    <t>Pago de gasolina para presidencia visitas y diligencias varias para el fraccionamien</t>
  </si>
  <si>
    <t>Pago de captura de datos del 15 al 19 de mayo/17</t>
  </si>
  <si>
    <t>Pago de 8 garrafones de agua para casetas del fraccionamiento</t>
  </si>
  <si>
    <t>Pago poda de pasto del parque del 16 al 20 de mayo/17</t>
  </si>
  <si>
    <t>Compensaciòn por poda de pasto detràs caseta zinampa y tambien àrbolitos</t>
  </si>
  <si>
    <t>Compensaciòn por vigilar domingo cobranza y rondines fin de semana</t>
  </si>
  <si>
    <t>Compra de toner y cartuchos impresoras de presidencia y tesorerìa</t>
  </si>
  <si>
    <t>Pago por recolecciòn de basuta en fin de semana en todo el fraccionamiento</t>
  </si>
  <si>
    <t>Pago en apoyo de cobranza domingo 21 de mayo/17</t>
  </si>
  <si>
    <t>SE COBRO  14/MAYO/17</t>
  </si>
  <si>
    <t>T.E. # 39023</t>
  </si>
  <si>
    <t>Cheque bancomer 07</t>
  </si>
  <si>
    <t>Compra de café para junta mesa directiva por robo que hubo en fraccionamiento</t>
  </si>
  <si>
    <t>Samborns</t>
  </si>
  <si>
    <t>Compra de material para camaras circuito Upacuaro</t>
  </si>
  <si>
    <t>Pago de mano de obra de reparaciòn de DVR en entrada</t>
  </si>
  <si>
    <t>Pago de almuerzos para cuadrilla delegaciòn dragado en Upacuaro</t>
  </si>
  <si>
    <t>Compra de un destellador con led para pluma de caseta vigilancia</t>
  </si>
  <si>
    <t>Pago a/c de la 2da quincena de mayo/17</t>
  </si>
  <si>
    <t>Pago de trabajos de recolecciòn de troncos y ramas del parque</t>
  </si>
  <si>
    <t>Compra de una tarjeta de Non-Break de 1200 vca</t>
  </si>
  <si>
    <t xml:space="preserve">Pago de instalaciòn de tarjeta para Non-Break de 1200 </t>
  </si>
  <si>
    <t>Pago de honorarios por captura de datos del 22 al 26 de mayo/17</t>
  </si>
  <si>
    <t>Pago por reconecciòn de luz en Landero</t>
  </si>
  <si>
    <t>Pago por barrer y recolectar basura en el parque y sopletear ejercitadores</t>
  </si>
  <si>
    <t>Compensaciòn por rondines y aydar a que movieran cambiòn dentro del fracc</t>
  </si>
  <si>
    <t>Servicio El Nuevo Pedregal, S.A. de C.V.</t>
  </si>
  <si>
    <t>Pago de gasolina para presidenta Grisela Peralta</t>
  </si>
  <si>
    <t>Pago por poda de pasto del 23 al 27 de mayo de todo el parque</t>
  </si>
  <si>
    <t>Pago por mano de obra en Non-Break</t>
  </si>
  <si>
    <t xml:space="preserve">Compra de café y refrescos para mesa de cobranza y vigilancia </t>
  </si>
  <si>
    <t>Pago por recolecciòn de ramas de todo el frac. Por tromba que callo dìa anterior</t>
  </si>
  <si>
    <t>Pago por recolecciòn de pasto en recoveco y limpieza de ejercitadores</t>
  </si>
  <si>
    <t>Copra de gasolina para sopletear explanada parque y ejercitadores</t>
  </si>
  <si>
    <t>Pago en apoyo de cobranza domingo 28 de mayo/17</t>
  </si>
  <si>
    <t>Pago por corte de pasto y ramaje detrás de caseta Zinampa</t>
  </si>
  <si>
    <t>Pago por corte de pasto en entrada de Romeral</t>
  </si>
  <si>
    <t>Pago liq. 2da quincena de mayo/17</t>
  </si>
  <si>
    <t>Pago 2da quincena del mes de mayo/17</t>
  </si>
  <si>
    <t>Pago por barrer todo el frac entre semana</t>
  </si>
  <si>
    <t>Pago 2da quincena por recolecciòn de basura del frac entre semana</t>
  </si>
  <si>
    <t>SE COBRO EN MAYO/17</t>
  </si>
  <si>
    <t>Cl_72_</t>
  </si>
  <si>
    <t>Compensaciòn en reconecciòn de Cuchilla y quitar ramaje de Upacuaro</t>
  </si>
  <si>
    <t>Compensaciòn por corte de troncos, dragado de casas inundadas Estanzuela</t>
  </si>
  <si>
    <t>Compra de refrescos para personal del cuarte de bomberos</t>
  </si>
  <si>
    <t>Compensaciòn por traer camiòn bactor para desasolve en casas inundadas</t>
  </si>
  <si>
    <t xml:space="preserve">Compra de refrescos para personal delegaciòn </t>
  </si>
  <si>
    <t xml:space="preserve">Compensaciòn por llevarse troncos y costales de ramaje que dejo tromba </t>
  </si>
  <si>
    <t>Compra de refrescos para personal delegaciòn varios trabajos en fraccionamiento</t>
  </si>
  <si>
    <t>Pago de comida para personal delegaciòn por varios trabajos en el fracc</t>
  </si>
  <si>
    <t>Pago de honorarios por captura de datos del 29 may al 03 de jun/17</t>
  </si>
  <si>
    <t>Pago en apoyo de barrer calles del fraccionamiento hojas pegadas por tromba</t>
  </si>
  <si>
    <t>Pago en apoyo de sopletear explanada y ejercitadores parque del fraccionamiento</t>
  </si>
  <si>
    <t>Pago por poda pasto del 30 de may al 03 jun/17</t>
  </si>
  <si>
    <t>Pago en apoyo de cobranza domingo 04 de junio/17</t>
  </si>
  <si>
    <t>Pago en apoyo de repraciòn luminarias Upacuaro</t>
  </si>
  <si>
    <t>Compensaciòn en reparaciòn de transformador en cafetales</t>
  </si>
  <si>
    <t>Pago del mes de mayo/17</t>
  </si>
  <si>
    <t>Pago de retención de IVA del Colegio Carmel de jun/17 cheque # 77</t>
  </si>
  <si>
    <t>Pago de honorarios del mes de jun/17 cheque  77</t>
  </si>
  <si>
    <t>SE LE CONDONO DICIEMBRE POR PAGO DE ANUALIDAD 2 PAGOS</t>
  </si>
  <si>
    <t>2 PORTA-TARJETAS</t>
  </si>
  <si>
    <t>Pago por limpieza de lente de camara</t>
  </si>
  <si>
    <t>Compra de botonera para plumas entrada y salida</t>
  </si>
  <si>
    <t>Compra de agua y cafè personal mesa directiva visita contador Siegrist</t>
  </si>
  <si>
    <t>Pago de estacionamiento junta contador Siegrist7</t>
  </si>
  <si>
    <t>Compensaciòn al persona que trajo credencial elector que confundieron vigilantes</t>
  </si>
  <si>
    <t>Taquerìa Carnitas Chela</t>
  </si>
  <si>
    <t>Compra de comida para personal delegaciòn y vigilancia por juntar troncos del par</t>
  </si>
  <si>
    <t>Compra de vidrio para caseta Romeral y colocaciòn del mismo</t>
  </si>
  <si>
    <t>Compra de agua y refrescos para personal delegaciòn poda de pasto</t>
  </si>
  <si>
    <t>Pago de honorarios de captura de datos del 05 al 09 de junio/17</t>
  </si>
  <si>
    <t xml:space="preserve">Cuadrilla Delegaciòn, </t>
  </si>
  <si>
    <t>Compra de refrescos para personal cuadrilla delegaciòn recolecciòn troncos y rama</t>
  </si>
  <si>
    <t>Pago por doda de pasto podado del 06 al 09 de junio/17</t>
  </si>
  <si>
    <t>Compra de café y refescos para mesa de cobranza y vigilancia</t>
  </si>
  <si>
    <t>Pago en apoyo de cobranza domingo 11 de julio/17</t>
  </si>
  <si>
    <t>Compra de refrescos para junta de mesa directiva y camiòn de basura</t>
  </si>
  <si>
    <t>Compra de refrescos junta de mesa directiva y vigilancia</t>
  </si>
  <si>
    <t xml:space="preserve">Pago de 1 respaldo de video Recoveco </t>
  </si>
  <si>
    <t>Compensaciòn por recolecciòn de pasto podado por la delegaciòn</t>
  </si>
  <si>
    <t>Pago gasolina para presidencia, varias diligencia del fraccionamiento</t>
  </si>
  <si>
    <t>Compra de 1 engrapadora para tesoreria</t>
  </si>
  <si>
    <t>RC Operadora de Cafeterias, S.A. de C.V.</t>
  </si>
  <si>
    <t>Junta de mesa directiva visita a Notaria referente a cambio de mesa directiva</t>
  </si>
  <si>
    <t>Pago de estacionamiento visita a Notaria</t>
  </si>
  <si>
    <t>Pago por recolecciòn pasto podado por personal delegaciòn</t>
  </si>
  <si>
    <t>Compra de material para podadora del fraccionamiento</t>
  </si>
  <si>
    <t>Pago de recolecciòn de basura de lunes a viernes de la 1er quincena junio/17</t>
  </si>
  <si>
    <t>Pago por barrer todo el fracc de lunes a viernes de la 1er quincena junio/17</t>
  </si>
  <si>
    <t>Pago a/c de la 1er quincena de junio/17</t>
  </si>
  <si>
    <t>Pago liq de la 1er quincena de junio/17 cheque #78</t>
  </si>
  <si>
    <t>Pago de la 1er quincena de junio/17</t>
  </si>
  <si>
    <t>Pago de honorarios por captura del 12 al 16 de junio/17</t>
  </si>
  <si>
    <t>Pago por poda de pasto del parque del 13 al 17 de junio/17</t>
  </si>
  <si>
    <t>Compra de 10 garrafones para caseas del fraccionamiento</t>
  </si>
  <si>
    <t>Pago en apoyo de cobranza domingo 18 de junio/17</t>
  </si>
  <si>
    <t>Pago por recolecciòn de basura en fines de semana de todo el fraccionamiento</t>
  </si>
  <si>
    <t>Compensaciòn en ayuda para juntar todo el pasto podado por la delegaciòn</t>
  </si>
  <si>
    <t>Compensaciòn en  apoyar en rondines en todo el fraccionamiento en diferentes hor</t>
  </si>
  <si>
    <t>Compra de agua y refrescos para cuadrilla delegaciòn poda de pasto en parque</t>
  </si>
  <si>
    <t>Ferreterìa y Tlapalerìa B y N</t>
  </si>
  <si>
    <t>Copra de 1 candado para que no se roben la escalera del fraccionamiento</t>
  </si>
  <si>
    <t>Compra de material para reacondicionar 6 camaras en caseta de Zinampa</t>
  </si>
  <si>
    <t>Sra. Yolanda</t>
  </si>
  <si>
    <t>Compra de despensa para personal de vigilancia</t>
  </si>
  <si>
    <t>T.E. #39020</t>
  </si>
  <si>
    <t>Pago de credenciales enmicadas para personal de servicio de fraccionamiento</t>
  </si>
  <si>
    <t>Compra de material por corto en caseta de Romeral</t>
  </si>
  <si>
    <t>Compra de recibos, sobres y papel bond para presidencia</t>
  </si>
  <si>
    <t>Pago a/c de la 2da. quincena de junio/17</t>
  </si>
  <si>
    <t>Compra de refrescos para personal delegaciòn recolecciòn de pasto en parque</t>
  </si>
  <si>
    <t>Pago de honorarios por captura de datos correspondiente del 19 al 23 junio/17</t>
  </si>
  <si>
    <t>Compra de refrescos para camiòn recolector de pasto del parque</t>
  </si>
  <si>
    <t>Compra de cafè y refresco para mesa de cobranza y vigilancia domingo</t>
  </si>
  <si>
    <t>Compensaciòn en recolecciòn de basura en todo el fracc fines de senama</t>
  </si>
  <si>
    <t>Compensaciòn en barrer todo el pasto podado del parque y dejarlo en montones</t>
  </si>
  <si>
    <t>Pago de video 2 tomas</t>
  </si>
  <si>
    <t>Compensaciòn en apoyo de rondines mañanas y noches entre semana</t>
  </si>
  <si>
    <t>Compensaciòn por recoger basura entre semana 2da quincena de junio/17</t>
  </si>
  <si>
    <t>Compensaciòn por barrer toda la colonia entre semana 2da. Quincena junio/17</t>
  </si>
  <si>
    <t>T.E. #39026</t>
  </si>
  <si>
    <t>Pago de retención de IVA del Colegio Carmel mes de junio/17</t>
  </si>
  <si>
    <t>Pago de retención de IVA del Colegio Carmel mes de mayo/17</t>
  </si>
  <si>
    <t>Pago de retención de IVA del Colegio Carmel mes de abril/17</t>
  </si>
  <si>
    <t>Pago mano de obra en repraciòn de luces pluma y camara</t>
  </si>
  <si>
    <t>Compra de eliminador para 2 plumas de Zinampa y otra para camara parque</t>
  </si>
  <si>
    <t>Pago de honorarios por captura de datos del 26 al 30 de junio/17</t>
  </si>
  <si>
    <t>Pago de la segunda quincena de junio/17</t>
  </si>
  <si>
    <t>Pago en apoyo de cobranza doingo 02 de junio/17</t>
  </si>
  <si>
    <t>Pago por recolecciòn de basura en fin de semana del fraccionamiento</t>
  </si>
  <si>
    <t>Compra de cafè para mesa de cobranza y vigilancia domingo</t>
  </si>
  <si>
    <t>Pago por poda de pasto del 27 de junio al 7 de julio/17</t>
  </si>
  <si>
    <t>Período: julio de 2012 - junio de 2017</t>
  </si>
  <si>
    <t>Compensaciòn de varios trabajos con bomberos en fraccionamiento 3:00 AM</t>
  </si>
  <si>
    <t>Compra de refrescos para personal de camiòn basura recolecciòn de pasto</t>
  </si>
  <si>
    <t>Compensaciòn varios trabajos realizados en todo el fraccionamiento</t>
  </si>
  <si>
    <t>Andrea Concepciòn Marquez Villaseñor</t>
  </si>
  <si>
    <t>Pago de 1000 recibos de cobranza para fraccionamiento cheque # 85</t>
  </si>
  <si>
    <t>Pago liq. De la segunda quincena del mes de junio/17 cheque # 84</t>
  </si>
  <si>
    <t>Pago de cambio de llave y manguera en caseta de Zinampa</t>
  </si>
  <si>
    <t>Pago de honorarios por captura de datos del 03 al 07 de julio/17</t>
  </si>
  <si>
    <t>Pago por poda de pasto del parque del fraccionamiento del 04 al 08 de julio/17</t>
  </si>
  <si>
    <t>Compra de papel bond para presidencia y tesoreria</t>
  </si>
  <si>
    <t>Pago de reparaciòn de tendido de cable en calle Cuchilla y Recoveco</t>
  </si>
  <si>
    <t>Compra de 1 No-break capacidad 2,300 vca cheque # 87</t>
  </si>
  <si>
    <t>Compra de material para manitor y colocaciòn de Nobreak (base y tabla)</t>
  </si>
  <si>
    <t>Pago de mano de obra repaaciòn de monitor y colocaciòn Nobreak en repisa</t>
  </si>
  <si>
    <t>Pago total de colocaciòn de circuito de camaras de Upacuaro</t>
  </si>
  <si>
    <t>Felipe Torres</t>
  </si>
  <si>
    <t>Pago por trabajo de herrerìa en entrada vehiculra</t>
  </si>
  <si>
    <t>Compra de café y refrescos para mesa de cobranza domingos y vigilancia</t>
  </si>
  <si>
    <t>Pago en apoyo de cobranza domingo 09 de julio/17</t>
  </si>
  <si>
    <t>Compra de cartucho epson 196 para tesoreria</t>
  </si>
  <si>
    <t>Compra de No-Break para Cuchilla y Estopila caseta</t>
  </si>
  <si>
    <t>Compensaciòn  en apoyo a rondines todo los dìas en fraccionamiento noches</t>
  </si>
  <si>
    <t>Compra de 2 eliminadores para camaras de Landero afectadas por chubasco</t>
  </si>
  <si>
    <t xml:space="preserve">Compra de contacto de 3 y pilas control pluma   </t>
  </si>
  <si>
    <t>Compra de 2 tranceptores camaras de Cuchilla rotas por pinos</t>
  </si>
  <si>
    <t>Pago del mes de junio/17</t>
  </si>
  <si>
    <t>Pago por instalaciòn y material electrico a caseta de Zinampa</t>
  </si>
  <si>
    <t>Compra de material y grasa para puertas peatonales</t>
  </si>
  <si>
    <t>Pago de retención de IVA del Colegio Carmel de jul/17 cheque # 86</t>
  </si>
  <si>
    <t>Pago de honorarios del mes de jun/17 cheque #89</t>
  </si>
  <si>
    <t>Compra de refrescos para cuadrilla de luminarias</t>
  </si>
  <si>
    <t>Compra de 2 garrafones extras para caseta de Zinampa y Romeral</t>
  </si>
  <si>
    <t>Pago liq. De la 1er quincena de julio/17</t>
  </si>
  <si>
    <t>Pago a/c de la 1er quincena de Julio/17 cheque #88</t>
  </si>
  <si>
    <t>Pago de capttura de datos del 10 al 14 de julio/17</t>
  </si>
  <si>
    <t>Pao por recolecciòn de basura en todo el fracc de lunes a viernes 1er quincena</t>
  </si>
  <si>
    <t>Pago por barrer todo el frac. De lunes a viernes 1er quincena</t>
  </si>
  <si>
    <t>Pago po poda de pasto del 11 al 15 de julio/17</t>
  </si>
  <si>
    <t>Pago de la 1er quincena de juliio/17</t>
  </si>
  <si>
    <t>Pago en apooyo de cobranza domingo 16 de julio/17</t>
  </si>
  <si>
    <t>Abraham Morales Paz</t>
  </si>
  <si>
    <t>Plomerìa y Cerrajerìa Azul</t>
  </si>
  <si>
    <t>ROJO</t>
  </si>
  <si>
    <t>T.E. #39077</t>
  </si>
  <si>
    <t>T.E.#39030</t>
  </si>
  <si>
    <t>Pago por arreglar perta colgada de Estanzuela</t>
  </si>
  <si>
    <t>Compensación por rondines en fin de semana en todo el fraccionamiento</t>
  </si>
  <si>
    <t>Compra de refrescos para personal arreglo de luz en Upacuaro</t>
  </si>
  <si>
    <t>Pago por elaboración de credenciales personal de servicio del fraccionamiento</t>
  </si>
  <si>
    <t>Compra ade 10 garrafones de agua para casetas del fraccionamiento</t>
  </si>
  <si>
    <t>Compensación por poda de arbolito que tapa camara en Romeral</t>
  </si>
  <si>
    <t>Compra de tarjetas 10 tarjetas procard ID cheque # 89</t>
  </si>
  <si>
    <t>Compra de camara HD para Landero cheque # 89</t>
  </si>
  <si>
    <t>Pago de mano de obra en tendido corto de cable en Romeral-Landero</t>
  </si>
  <si>
    <t>Compra de Eliminador para camara de RV 2 amperes para Cuchilla</t>
  </si>
  <si>
    <t>Compra de platos, cucharas y vasos para vigilancia</t>
  </si>
  <si>
    <t>Pago a/c de la 2da. Quincena de julio/17</t>
  </si>
  <si>
    <t>Pago de honorarios por captura de datos del 17 al 21 de julio/17</t>
  </si>
  <si>
    <t>Pago de poda de pasto del 18 al 22 de julio/17</t>
  </si>
  <si>
    <t>Pago en apoyo a cobranza domingo 23 de juio/17</t>
  </si>
  <si>
    <t>Pago en elaboraciòn de credenciales para personal de servicio del fraccionamiento</t>
  </si>
  <si>
    <t>Pago de copias para informes del fraccionamiento</t>
  </si>
  <si>
    <t>Compra de agua y refrescos mesa directiva por junta en notarìa</t>
  </si>
  <si>
    <t>Pago de estacionamiento de visita a notarìa por asuntos de cambio de mesa direct</t>
  </si>
  <si>
    <t>Pago a/c de bobina para camara de Cuchilla</t>
  </si>
  <si>
    <t>Pago a/c Correspondiente a la  2da quincena del mes de enero/17</t>
  </si>
  <si>
    <t>Pago Liq. Correspondiente a la 2da. Quincena del mes de enero/17</t>
  </si>
  <si>
    <t>Pago Liq. Correspondiente de la 1er quincena de febrero/17</t>
  </si>
  <si>
    <t>Pago Correspondiente a la 2da quincena de febrero/17</t>
  </si>
  <si>
    <t>Compensaciòn en tiempo extra para apoyar a Jose Asuncion Dominguez</t>
  </si>
  <si>
    <t>Pago a/c correspondiente a la 1er semana del mes de marzo 17</t>
  </si>
  <si>
    <t>Pago liq. Correspondiente a la 1er quincena del mes de marzo/17</t>
  </si>
  <si>
    <t>Pago a/c de la 2da. Quincena de julio/17 chequ  #90</t>
  </si>
  <si>
    <t>Pago de honorarios por captura de datos del 24 al 28 de julio/17</t>
  </si>
  <si>
    <t>Pago por poda de pasto del 25 al 29 de julio/17</t>
  </si>
  <si>
    <t>Pao por recolecciòn de basura en todo el fracc de lunes a viernes 2da quincena</t>
  </si>
  <si>
    <t>Pago por barrer todo el frac de lunes a viernes de la 2da quincena de julio/17</t>
  </si>
  <si>
    <t>Pago en apoyo de cobranza del domingo 30 de julio/17</t>
  </si>
  <si>
    <t>Pago a/c de la 2da. Quincena de julio/17 cheq #90</t>
  </si>
  <si>
    <t>Cuota de vigilancia y mantenimiento mayo/17</t>
  </si>
  <si>
    <t>Cuota de vigilancia y mantenimiento mes de mayo/17</t>
  </si>
  <si>
    <t>Cuota de vigilancia y mantenimiento junio/17</t>
  </si>
  <si>
    <t>Cuota de vigilancia y mantenimiento mes de junio/17</t>
  </si>
  <si>
    <t>Cuota de vigilancia y mantenimiento julio/17</t>
  </si>
  <si>
    <t>Cuota de vigilancia y mantenimiento mes de julio/17</t>
  </si>
  <si>
    <t>06--08-17</t>
  </si>
  <si>
    <t>Reparaciòn camara</t>
  </si>
  <si>
    <t>Guardìas y Custodìas Gama, pago liq. 2da. Quincena junio/17 ch. 84</t>
  </si>
  <si>
    <t>Advanced Servicio CCTV y Còmputo, compra de 1 No-brea</t>
  </si>
  <si>
    <t>G_IINFRA</t>
  </si>
  <si>
    <t xml:space="preserve">Siegrist Contadores Pùblicos, pago SAT y honorarios </t>
  </si>
  <si>
    <t>Guardias y Custodìas Gama, pago a/c de la 1er quincena de agosto/17</t>
  </si>
  <si>
    <t>Advanced Servicio CCTV y Còmputo, pago de 10 tarjetas y 1 camara</t>
  </si>
  <si>
    <t>Guardiàs y Custodìas Gama, pago a/c de la de la 2da. Quincena de julio/17</t>
  </si>
  <si>
    <t>Guardìas y Costodìas Gama, pago liq. 1er quincena de junio/17</t>
  </si>
  <si>
    <t>Pago por instalar y tendido de camaras en el circuito de Upacuaro ch. # 82</t>
  </si>
  <si>
    <t>Advanced Servicio CCTV y Còmputo, pago por tendido e intalar camara UP</t>
  </si>
  <si>
    <t xml:space="preserve">Siegrist Contadores Pùblicos, pago del SAT y Honorarios </t>
  </si>
  <si>
    <t>Fantasias Miguel, S.A. de C.V.</t>
  </si>
  <si>
    <t>Compra de base de madera para guardar credenciales de personal servicio</t>
  </si>
  <si>
    <t>Pago de estacionamiento compra de base de madera</t>
  </si>
  <si>
    <t xml:space="preserve">Compra de refrescos para vigilancia </t>
  </si>
  <si>
    <t>Pago liq. De la 2da quincena de julio/17</t>
  </si>
  <si>
    <t>Compra de refrescos y papel de baño para vigilancia</t>
  </si>
  <si>
    <t>Pago por configuraciòn de 10 tarjetas procard DX acceso vehicular</t>
  </si>
  <si>
    <t>Compra de 2 eliminadores de 12 volts a 2 amperes para camaras de LD, ZB y RM</t>
  </si>
  <si>
    <t>Pago de corte de pasto en banquetas de Romeral</t>
  </si>
  <si>
    <t>Pago 2da. Quincena de julio/17</t>
  </si>
  <si>
    <t>t.e. #39029</t>
  </si>
  <si>
    <t>Porta tarjeta</t>
  </si>
  <si>
    <t>13--08-17</t>
  </si>
  <si>
    <t>Pago por mano de obra en reparaciòn y colocaciòn de 2 conexiones de camaras</t>
  </si>
  <si>
    <t>Pago por llevarse costales de bajo de las escaleras de resbaladillas del parque</t>
  </si>
  <si>
    <t>Compensaciòn en apoyo de doblado y repartir informe a todo el fraccionamiento</t>
  </si>
  <si>
    <t>Pago de 1800 copias para informe a todo el fraccionamiento</t>
  </si>
  <si>
    <t>Compra de 1 paquete de 10 tenzores para colocaciòn de camaras</t>
  </si>
  <si>
    <t>Compra de 1 lente varifocal toshiba de mara porfesional tipo caja para poste RM</t>
  </si>
  <si>
    <t>Compensaciòn en rondines del fraccionamiento por las noches</t>
  </si>
  <si>
    <t>Compra de gasolina para soplador y podadora del fraccionamiento</t>
  </si>
  <si>
    <t>Pago de honorarios de captura de datos del 21 de julio al 04 de agosto/17</t>
  </si>
  <si>
    <t>Compra de 3 garrafones de agua para casetas del fraccionamiento</t>
  </si>
  <si>
    <t>Pesonal de Gama</t>
  </si>
  <si>
    <t>Compensaciòn en recolecciòn de basura en y quitar poster y 1 costal de piedras</t>
  </si>
  <si>
    <t>Pago de estacionamiento visita a notaria mesa directiva</t>
  </si>
  <si>
    <t>Pago por poda de pasto del 01 al 05 de agosto/17</t>
  </si>
  <si>
    <t>Pago por recoleccòn de basura en fines de semana del fraccionamiento</t>
  </si>
  <si>
    <t>Pago a/c de la 1er quincena del mes de agosto</t>
  </si>
  <si>
    <t>Pago en apoyo a cobranza domingo 06 de agosto/17</t>
  </si>
  <si>
    <t>Pago por dar de baja del sistema tarjetas vecinos morosos</t>
  </si>
  <si>
    <t>Pago m ano de obra en sustituciòn de camara en entraa Landero se daño lente</t>
  </si>
  <si>
    <t>Compra de camara en material policarbonato para entrada Ldandero</t>
  </si>
  <si>
    <t>Compra de 1 telefono fijo para caset Romeral</t>
  </si>
  <si>
    <t>Compra de 1 telefono inalambrico para caseta</t>
  </si>
  <si>
    <t>Pago por recueraciòn de cuenta de outlook laptop de tesoreria</t>
  </si>
  <si>
    <t>Pago por arreglar celular de mesa directiva</t>
  </si>
  <si>
    <t>Pago de retención de IVA del Colegio Carmel de agosto/17 cheque # 93</t>
  </si>
  <si>
    <t>Pago de honorarios del mes de agosto/17 cheque #93</t>
  </si>
  <si>
    <t>Compra de chapa neva con arreglo en conjunto de recuperaciòn combinaciòn</t>
  </si>
  <si>
    <t>Compra de paste para cuartel de bombero en compensaciòn por sus atenciones</t>
  </si>
  <si>
    <t>Compensaciòn de quitar toda la propaganda de fuera del fraccionamiento</t>
  </si>
  <si>
    <t>Pago de estacionamiento compra de pastel</t>
  </si>
  <si>
    <t>Pago de telefono del mes de julio/17</t>
  </si>
  <si>
    <t>Pago por quitar bandera en caseta</t>
  </si>
  <si>
    <t>Pago de copias para presidencia</t>
  </si>
  <si>
    <t>Pago por realizar credenciales de servicio de aseo para el fraccionamiento</t>
  </si>
  <si>
    <t>Pago de honorarios por captura de datos del 07 al 11 de agosto/17</t>
  </si>
  <si>
    <t>Radec</t>
  </si>
  <si>
    <t>Compra de gasolina para presidenta varios asuntos del fraccionamiento</t>
  </si>
  <si>
    <t>Pago por poda de pasto del 08 al 12 agosto/17</t>
  </si>
  <si>
    <t>Compra de toner para impresora de presidencia</t>
  </si>
  <si>
    <t>Compra de cartuchos para impresora de tesoreria</t>
  </si>
  <si>
    <t>Compra de refrescos para cuadrilla de luminarìas del parque</t>
  </si>
  <si>
    <t>Compra de materiales para camaras de Estopila</t>
  </si>
  <si>
    <t>Pago de mano de obra de camaras de Estopila</t>
  </si>
  <si>
    <t>Pago en apoyo de cobranza domingo 14 de agosto/17</t>
  </si>
  <si>
    <t>Pago por barrer frac de lunes a viernes 1er quincena de agosto/17</t>
  </si>
  <si>
    <t>Compra de 5 garrafones de agua para casetas del fraccionamiento</t>
  </si>
  <si>
    <t>Pago dela 1er quincena de agosto/17</t>
  </si>
  <si>
    <t>Pago por recolecciòn de basura de lunes a viernes de la 1er quincena de agosto/17</t>
  </si>
  <si>
    <t>Pago a/c de la 1er quincena del mes de agosto (2)</t>
  </si>
  <si>
    <t>Pago a/c de la 1er quincena de agosto/17 (3)</t>
  </si>
  <si>
    <t>Pago por corte de paasto caseta Romeral banquetas</t>
  </si>
  <si>
    <t>Pago por rondines entre semana mañana y noches del fraccionamiento</t>
  </si>
  <si>
    <t>Adcoapa, S.A. de C.V.</t>
  </si>
  <si>
    <t>Pago liquidaciòn de la 1er quincena de agosto/17 cheque # 96</t>
  </si>
  <si>
    <t>Compensaciòn por barrer y recolecciòn por 3 dìas  todo el pasto podado del parq</t>
  </si>
  <si>
    <t>Pago de honorarios por captura de datos del 14 al 18 de agosto/17</t>
  </si>
  <si>
    <t>T.E. # 11081</t>
  </si>
  <si>
    <t>2 CAJITAS</t>
  </si>
  <si>
    <t>T.E.# 11082</t>
  </si>
  <si>
    <t>Apolinar de la Cruz</t>
  </si>
  <si>
    <t>Compra de 1 sombrilla para mesa de cobranza domingos</t>
  </si>
  <si>
    <t>Compra de plasticos y refrescos para personal de vigilancia</t>
  </si>
  <si>
    <t>Compra de 1 brocha para pintar barda del fraccionamiento</t>
  </si>
  <si>
    <t>Compra de pintura para pintar barda del fraccionamiento</t>
  </si>
  <si>
    <t>Pago por poda de pasto del parque del fraccionamiento del 15 al 19 de agosto/17</t>
  </si>
  <si>
    <t>Pago por recolecciòn de basura del fraccionamiento en fin de semana</t>
  </si>
  <si>
    <t>Pago de impresiones a color y papeleria</t>
  </si>
  <si>
    <t>Pago de 400 copias</t>
  </si>
  <si>
    <t>Guardìas y Custodìas  Privadas Gama, S.A. de C.V.</t>
  </si>
  <si>
    <t>Pago a/c de la 2ª quincena de agosto/17</t>
  </si>
  <si>
    <t>Estacionamiento Don Jose</t>
  </si>
  <si>
    <t>Pago estacionamiento visita a Notaria</t>
  </si>
  <si>
    <t>Servicio Agua Brava, S.A. de C.V.</t>
  </si>
  <si>
    <t>Pago de gasolina para presidencia varias diligencia que hacer del fraccionamiento</t>
  </si>
  <si>
    <t>Compra de 14 garrafones de agua para casetas del faccionamiento</t>
  </si>
  <si>
    <t>Compra de materiales para colocar Pluma en puerta de Recoveco</t>
  </si>
  <si>
    <t>Pago de estacionamiento visida a los Bomberos</t>
  </si>
  <si>
    <t>Pago poda pasto parque fraccionamiento del 22 al 26 de agosto/17</t>
  </si>
  <si>
    <t>Compensaciòn de corte de arbolitos zona de Zinamapa</t>
  </si>
  <si>
    <t>Compensaciòn por pintar barda y quitar promocionales de puertas</t>
  </si>
  <si>
    <t>Compensaciòn por recolecciòn de pasto podado entre semana</t>
  </si>
  <si>
    <t>Pago de honorarios por captura de datos del 21 al 25 de agosto/17</t>
  </si>
  <si>
    <t>Compensaciòn por quitar costales zona Recoveco y arreglo de caseta</t>
  </si>
  <si>
    <t>Compensaciòn por barrer y juntar pasto para que el camiòn de basura se lo lleve</t>
  </si>
  <si>
    <t>Pago por recoleccion de basura de lunes a vienres de la 2ª quincena agosto/17</t>
  </si>
  <si>
    <t>Compra de agua para personas que fueron a junta con notaria</t>
  </si>
  <si>
    <t>Pago de estacionamiento visita a notaria</t>
  </si>
  <si>
    <t>Compra de garrafones para casetas del fraccionamiento</t>
  </si>
  <si>
    <t>Compra de refrescos para personal de vigilancia trabajo de inventario de casetas</t>
  </si>
  <si>
    <t>Pago por barreto todo el fracc de lunes a viernes de la 2ª quincena de agosto/17</t>
  </si>
  <si>
    <t>Pago de la 2ª quincena de agosto/17</t>
  </si>
  <si>
    <t>Pago por siniestro de 6 camaras pago seguro Zurich</t>
  </si>
  <si>
    <t>Pago por siniestro en pluma eléctronica seguro Zurich</t>
  </si>
  <si>
    <t xml:space="preserve">Pago en apoyo de rondines en fraccionamiento </t>
  </si>
  <si>
    <t>Pago por barrer y Recolección de pasto en lugar indicado para camión basura</t>
  </si>
  <si>
    <t>Pago de estacionamiento para recoger cheque por siniestros a camaras del fracc</t>
  </si>
  <si>
    <t>Gala Servicio S.A. de C.V.</t>
  </si>
  <si>
    <t>Compra de refrescos para junta de entrega de mesa directiva</t>
  </si>
  <si>
    <t>Se le condonò el mes de diciembre por pago anualidad cheque #229HSBC</t>
  </si>
  <si>
    <t>T.E. # 11077</t>
  </si>
  <si>
    <t>Granados</t>
  </si>
  <si>
    <t xml:space="preserve">Se le condonò el mes de diciembre por pago anualidad  </t>
  </si>
  <si>
    <t>Pago liq. De la 2ª quincena de agosto/17 cheque #</t>
  </si>
  <si>
    <t>Compra de 1 bobina y cable UTP de uso rudo</t>
  </si>
  <si>
    <t>Pago de mano de obra instalaciòn de cableado aereo en EP y reconecciòn camara</t>
  </si>
  <si>
    <t>Jorge Justino Dithurbide Cañizares</t>
  </si>
  <si>
    <t>Reparaciòn de de pluma de salida entrada Zinampa calibraciòn y ajuste</t>
  </si>
  <si>
    <t>Compensaciòn por mantenimiento de puerta vehicular Landero</t>
  </si>
  <si>
    <t>Compra de licencia windows 7 ultimate de office  para laptop de Presidencia</t>
  </si>
  <si>
    <t>Pago por instalaciòn de Software windows y activaciòn de licencia laptop presidenc</t>
  </si>
  <si>
    <t>Pago por captura de datos del 28 de agosto al 01 de septiembre/17</t>
  </si>
  <si>
    <t>Pago por poda de pasto del 29 de agosto al 02 de septiembre del fraccionamiento</t>
  </si>
  <si>
    <t>Pago en apoyo de junta de cambio de mesa directiva junta en parque 02/sep/17</t>
  </si>
  <si>
    <t>Pago por 8 garrafones de agua para casetas del fraccionamiento</t>
  </si>
  <si>
    <t xml:space="preserve">Pago de 1 enmicado de lista pagos fijos del mes </t>
  </si>
  <si>
    <t>Radiomòvil Dipsa, S.A. de C.V.</t>
  </si>
  <si>
    <t>Compra de telefono para presidencia</t>
  </si>
  <si>
    <t>Compra de 1 chip para telefono de presidencia</t>
  </si>
  <si>
    <t>Estacionamieno Cuemanco</t>
  </si>
  <si>
    <t>Pago de estacionameinto de compra de telefono para presidencia</t>
  </si>
  <si>
    <t>Pago de estacionamiento de compra de limpieza para casetas</t>
  </si>
  <si>
    <t>Pago de estacionamiento junta de Mesa directiva con Comité vecinal</t>
  </si>
  <si>
    <t>Compra de impresora y 2 tintas para Tesoreria</t>
  </si>
  <si>
    <t>Compra de papeleria para presidencia y tesoreria</t>
  </si>
  <si>
    <t>Pago de estacionamiento de compra de impresora y papelelrìa</t>
  </si>
  <si>
    <t>Compra de agua para personal que fue de compras de impresora y papeleria</t>
  </si>
  <si>
    <t>Pago por mano de obra en instalaciòn de cableado aereo camara Upacuaro</t>
  </si>
  <si>
    <t>Guardìas y Custodìas Gama, S.A. de C.V.</t>
  </si>
  <si>
    <t>Pago a/c de la 1er quincena de septiembre/17</t>
  </si>
  <si>
    <t>Mercado Villa Coapa</t>
  </si>
  <si>
    <t>Compra de adornos para fraccionamiento fiestas patrìas</t>
  </si>
  <si>
    <t>Pago de honorarios por captura de datos del 4 al 8 de septiembre</t>
  </si>
  <si>
    <t>Pago de café junta para el nuevo personal de mesa directiva</t>
  </si>
  <si>
    <t>Compra de café y refrescos para mesa de cobranza y viginalncia domingo</t>
  </si>
  <si>
    <t>Compra de 8 garrafones de agua para casetas del fraccionamiento</t>
  </si>
  <si>
    <t xml:space="preserve">Estacionameinto </t>
  </si>
  <si>
    <t>Pago de estaciionamiento visieta a contador Siegrist</t>
  </si>
  <si>
    <t>Compensaciòn en rondines a todo el fraccionamiento entre semana</t>
  </si>
  <si>
    <t>Servicio El Hukeso, S.A. de C.V.</t>
  </si>
  <si>
    <t>Compra de gasolina para personal delegaciòn por poda de pasto del fracciionamien</t>
  </si>
  <si>
    <t>Compra de bolillo para preparar tortas a personal delegaciòn poda pasto</t>
  </si>
  <si>
    <t>Compra de refrescos y vasors para brigala de personal delegaciòn poda pasto</t>
  </si>
  <si>
    <t xml:space="preserve">Carnicerias Xotepingo, S.A. de C.V. </t>
  </si>
  <si>
    <t>Compra de jamon y queso para tortas del personal delegaciòn poda pasto</t>
  </si>
  <si>
    <t>Pizza Plaza, S.A. de C.V.</t>
  </si>
  <si>
    <t>Compra de pizza para personal de comisiòn federal de eletricidad</t>
  </si>
  <si>
    <t>T.E. #39039</t>
  </si>
  <si>
    <t>Cheque 001 bancomer</t>
  </si>
  <si>
    <t>T.E.#11078</t>
  </si>
  <si>
    <t>Pago del mes de agosto/17 casetas del fraccionamiento</t>
  </si>
  <si>
    <t>Compra de refrescos para personal delegaciòn poda de pasto</t>
  </si>
  <si>
    <t>Compra de 1 cangurera para presidenta porta documentos y dinero de la asocia</t>
  </si>
  <si>
    <t>Dolores Mijangos Peralta</t>
  </si>
  <si>
    <t>Compra de tacos de canasta para cuadrilla delegaciòn poda de pasto</t>
  </si>
  <si>
    <t>Compra de gorditas para vigilantes 15 de septiembre/17</t>
  </si>
  <si>
    <t>Pago de estacionamiento mesa directiva y comité vecinal</t>
  </si>
  <si>
    <t>Compra de vasos y servilletas para vigilancia</t>
  </si>
  <si>
    <t>Servicio El Hueso, S.A. de C.V.</t>
  </si>
  <si>
    <t>Compra de refrescos para vigilancia 15 de septiembre/17</t>
  </si>
  <si>
    <t>Pago por recolecciòn de basura entre semana 1er quincena septiembre</t>
  </si>
  <si>
    <t>Pago por barrer todo el fracciionamiento entre semana 1er quincena septiembre</t>
  </si>
  <si>
    <t>Pago de honorarios por captura de datos del 11 al 15 de septiembre/17</t>
  </si>
  <si>
    <t>Pago primer quincena de septiembre/17</t>
  </si>
  <si>
    <t>Maria de Lourdes Osorio</t>
  </si>
  <si>
    <t>Pago liq. 1er quincena de Septiembre/17</t>
  </si>
  <si>
    <t>Pago con cheque banamex</t>
  </si>
  <si>
    <t xml:space="preserve">Compra de café para mesa de cobranza y vigilancia </t>
  </si>
  <si>
    <t xml:space="preserve">Cuadrilla Delegaciòn </t>
  </si>
  <si>
    <t>Compra de material para reparaciòn de camaras y plumas de acceso</t>
  </si>
  <si>
    <t>Pago de mano de obra por reparaciòn de camara y pluma</t>
  </si>
  <si>
    <t>Compra de tiempo aire para personal de Presidencia para comunicaciòn vigilancia</t>
  </si>
  <si>
    <t>Compra de refrescos para cuadrilla de delegaciòn poda pasto del fraccionamiento</t>
  </si>
  <si>
    <t>Bicicletas Benotto, S.A. de C.V.</t>
  </si>
  <si>
    <t>Compra de camara para bicicletta del fracciionamiento rondines</t>
  </si>
  <si>
    <t>Pago de mano de obra en colocaciòn de pluma y calibraciòn de la misma</t>
  </si>
  <si>
    <t>Pago de honorarios por captura de datos del 18 al 22 de septiembre/17</t>
  </si>
  <si>
    <t>Compra de thoner para impresora de presidencia</t>
  </si>
  <si>
    <t xml:space="preserve">Compra de tambo para guardar adorno del fraccionamiento </t>
  </si>
  <si>
    <t>Pago de estacionamiento de compra de papelerìa y tambo</t>
  </si>
  <si>
    <t>Tienda Chedraui, S.A. de C.V.</t>
  </si>
  <si>
    <t>Compra de insecticida para poste de camaras del fraccionamiento</t>
  </si>
  <si>
    <t>Papelerìa El Grillito</t>
  </si>
  <si>
    <t>Pago de 400 copias para informe de telefonos de seguridad para el fraccionamiento</t>
  </si>
  <si>
    <t>Compra de refrescos para cuadrilla delegaciòn poda pasto parque</t>
  </si>
  <si>
    <t>Compra de gorditas para cuadrilla delegaciòn poda pasto fraccionamiento</t>
  </si>
  <si>
    <t>Compra de 7 llaves para acceso puertas peatonales</t>
  </si>
  <si>
    <t>Pago estacionamiento visita notario</t>
  </si>
  <si>
    <t>Compra de refrescos cuadrilla delegaciòn poda pasto parque fraccionamiento</t>
  </si>
  <si>
    <t>Compra de huaraches a personal delegaciòn poda pasto del fraccionamiento</t>
  </si>
  <si>
    <t>Pago de 1 enmicado de comunicado de atenciòn a vecinos de Coral presidencia</t>
  </si>
  <si>
    <t>Pago de honorarios correspondientes del 25 al 29 de septiembre/17</t>
  </si>
  <si>
    <t>Compra de 1 camara para bicicleta del fraccionamiento rondines</t>
  </si>
  <si>
    <t>Pago por compostura de chapa de puerta de Upacuaro</t>
  </si>
  <si>
    <t>Panerìa La Esperanza, S.A. de C.V.</t>
  </si>
  <si>
    <t>Compra de pollos para personal cuadrilla delegaciòn poda pasto</t>
  </si>
  <si>
    <t>Compra de tortilla para cuadrilla delegaciòn</t>
  </si>
  <si>
    <t>Compra de refrescos para personal cuadrilla delegaciòn poda pasto</t>
  </si>
  <si>
    <t>Pago de la 2ª quincena de septiembre/17</t>
  </si>
  <si>
    <t>Compensaciòn en diferentes trabajos realizados durante ña 2ª quincena</t>
  </si>
  <si>
    <t xml:space="preserve">Pago por recolecciòn de basura de la 2ª quinlcena sep entre semana </t>
  </si>
  <si>
    <t>Pago por barrer todo el fracciionamiento entre semana 2ª quincena septiembre</t>
  </si>
  <si>
    <t>Compensaciòn por trabajos extras en fraccionamiento</t>
  </si>
  <si>
    <t>Comisión por estado de cuenta expedido</t>
  </si>
  <si>
    <t>Cuota de vigilancia y mantenimiento agosto/17</t>
  </si>
  <si>
    <t>Israel Galan Quintin, compra de 15 llaves para puertas peatonales</t>
  </si>
  <si>
    <t>Cuota de vgigilancia y mantenimineto agosto/17</t>
  </si>
  <si>
    <t>Cuota de vigilancia y mantenimineto mes de agosto/17</t>
  </si>
  <si>
    <t>I.V.A. sobre cuota de manteniminetoç</t>
  </si>
  <si>
    <t>Israel Galan Quintin, compra de 1 chapa nueve y recuperaciòn de combina</t>
  </si>
  <si>
    <t>Guardìas y Custodìas Gama, pago liq. De la 2da. Quincena sept cheq # 96</t>
  </si>
  <si>
    <t>Compra de 15 llaves para puestas de acceso peatonal cheque # 92</t>
  </si>
  <si>
    <t>Compra de 1 bobina de cable UTP para camara de Cuchilla cheque #94</t>
  </si>
  <si>
    <t>Pago por tendio de cable de camara cheque #94</t>
  </si>
  <si>
    <t>Advanced Servicio CCTV y Còmputo, compra de camara y pago de tendido</t>
  </si>
  <si>
    <t>Cuota de vigilancia y mantenimiento de jul/ago/sep/17</t>
  </si>
  <si>
    <t>Guardias y Custodìas Gama, pago liq. De la 2ª quincena de agosto/17</t>
  </si>
  <si>
    <t>Banorte comisiòn por estado de cuenta</t>
  </si>
  <si>
    <t>Cuota de vigilancia y mantenimineto septiembre/17</t>
  </si>
  <si>
    <t>Cuota de vigilancia y mantenimiento de septiembre/17</t>
  </si>
  <si>
    <t>I.V.A. sobre cuota de mantenimineto +</t>
  </si>
  <si>
    <t>Banorte com. Cheq. Exp.</t>
  </si>
  <si>
    <t>ez_157_3</t>
  </si>
  <si>
    <t>Pago de estacionamiento banco Banorte requerimiento de esado de cuenta</t>
  </si>
  <si>
    <t>Compra de refrescos para cuadrilla delegacòn poda pasto parque fraccionamiento</t>
  </si>
  <si>
    <t>Compra de quesadillas para cuadrilla Delegaciòn poda pasto parque fracc</t>
  </si>
  <si>
    <t>Presidencia</t>
  </si>
  <si>
    <t>Compra de gasolina para maquinaria de poda pasto</t>
  </si>
  <si>
    <t>Premier Caesar`s, S.A. de C.V.</t>
  </si>
  <si>
    <t>Compra de pizza para personal delegaciòn cuadrilla poda pasto fracc</t>
  </si>
  <si>
    <t>Compra de refrescos personal delegaciòn poda pasto fracciionamiiento</t>
  </si>
  <si>
    <t>Cuadrilla Delegacòn</t>
  </si>
  <si>
    <t xml:space="preserve">Compra de 15 llaves para puestas de acceso peatonal </t>
  </si>
  <si>
    <t>Sergio Solìs</t>
  </si>
  <si>
    <t>Pago de reparaciòn de chapa y ajuste de postes pueta Zinampa</t>
  </si>
  <si>
    <t>Compra de carnitas para personal de poda pasto del fraccionamiento</t>
  </si>
  <si>
    <t>Pago de honorarios por captura de datos del 02 al 06 de octubre/17</t>
  </si>
  <si>
    <t>Gratificación anual a personal que trabaja en fraccionamiento</t>
  </si>
  <si>
    <t>Cedillo</t>
  </si>
  <si>
    <t>T.E.. #11079</t>
  </si>
  <si>
    <t>Compensaciòn por rondines en el fracionamiento de toda la semana</t>
  </si>
  <si>
    <t>Ing. De Sistemas</t>
  </si>
  <si>
    <t>Pago por reproducciòn de video para vecino de CL_20</t>
  </si>
  <si>
    <t>Pago por recolecciòn de basura en fin de seman</t>
  </si>
  <si>
    <t>Grupo Montparnasse</t>
  </si>
  <si>
    <t>Compra de café y refrescos para mesa de cobranza y vigilancia domingo cobranza</t>
  </si>
  <si>
    <t>Pago de estacionmiento compra de materiales de limpieza</t>
  </si>
  <si>
    <t>Pago por reparaciòn de 2 camaras caseta Zinampa</t>
  </si>
  <si>
    <t>Pago de telefono del mes de septiembre/17</t>
  </si>
  <si>
    <t>Home Depot Mèxico, S. de R.L. de C.V.</t>
  </si>
  <si>
    <t>Compra de mezcladora para baño y materiales para caseta Romeral</t>
  </si>
  <si>
    <t>Pago de estacionamiento compra de materiales de limpieza</t>
  </si>
  <si>
    <t>Pago de retención de IVA del Colegio Carmel de octubre/17 cheque # 100</t>
  </si>
  <si>
    <t>Pago de honorarios del mes de octubre/17 cheque #100</t>
  </si>
  <si>
    <t>Pago de retención de IVA del Colegio Carmel de septiembre/17 cheque # 98</t>
  </si>
  <si>
    <t>Pago de honorarios del mes de septiembre/17 cheque #98</t>
  </si>
  <si>
    <t>Pago 1/2 a/c de la 1er quincena de octubre/17</t>
  </si>
  <si>
    <t>Compra de pilas para caseta de Zinampa</t>
  </si>
  <si>
    <t>Compra de silicon para tubo de mezcladora caseta Zinamapa</t>
  </si>
  <si>
    <t>Pago de captura de datos del 09 al 13 de octubre/17</t>
  </si>
  <si>
    <t>Pago por trabajos extras de barre fraccionamiento</t>
  </si>
  <si>
    <t>Herrero</t>
  </si>
  <si>
    <t>Pago de reparaciòn de chapa puerta Zinampa</t>
  </si>
  <si>
    <t>Compra de 3 arreglos florales en apoyo misa para el fraccionamiento</t>
  </si>
  <si>
    <t>Pago por revisiòn de cableado de camaras del fraccionamiento</t>
  </si>
  <si>
    <t>Pago por barrer todo el fracc. De lunes a viernes 1er quincena octubre/17</t>
  </si>
  <si>
    <t>Pago por recolecciòn de basura en fracc de lunes a viernes 1er quincena</t>
  </si>
  <si>
    <t>Pago de la 1er quincena</t>
  </si>
  <si>
    <t>Marìa de Lourdes Osorio</t>
  </si>
  <si>
    <t>Compensacòn por varios trabajos realizados en el fraccionamiento</t>
  </si>
  <si>
    <t>Pago por recolecciòn en fin de semana en todo el fraccionamiento</t>
  </si>
  <si>
    <t>Compra de 1 café para mesa de cobranza</t>
  </si>
  <si>
    <t>Pago de café para junta mesa directiva</t>
  </si>
  <si>
    <t>Compra de dulces para fraccionamiento dìa de muertos</t>
  </si>
  <si>
    <t xml:space="preserve">Telas Junco, S.A. </t>
  </si>
  <si>
    <t>Compra de adornos para kiosco del fraccionamiento</t>
  </si>
  <si>
    <t>T.E. # 11085</t>
  </si>
  <si>
    <t>T.E.  11080</t>
  </si>
  <si>
    <t>ENE
2018</t>
  </si>
  <si>
    <t>FEB
2018</t>
  </si>
  <si>
    <t>MAR
2018</t>
  </si>
  <si>
    <t>ABR
2018</t>
  </si>
  <si>
    <t>MAY
2018</t>
  </si>
  <si>
    <t>JUN
2018</t>
  </si>
  <si>
    <t>JUL
2018</t>
  </si>
  <si>
    <t>AGO
2018</t>
  </si>
  <si>
    <t>SEP
2018</t>
  </si>
  <si>
    <t>OCT
2018</t>
  </si>
  <si>
    <t>NOV
2018</t>
  </si>
  <si>
    <t>DIC
2018</t>
  </si>
  <si>
    <t>SUMA
2018</t>
  </si>
  <si>
    <t>Plaza Premier</t>
  </si>
  <si>
    <t>Pago de estacionamiento combra adornos kiosco del fraccionamiento</t>
  </si>
  <si>
    <t>Pago de honorarios por captura de datos del 16 al 20 de octubre/17</t>
  </si>
  <si>
    <t>Zaguan del Parque</t>
  </si>
  <si>
    <t>Junta de mesa directiva y comité vecinal asuntos relacionados con el fraccionamien</t>
  </si>
  <si>
    <t>Reparaciòn de bicicleta del fraccionamiento</t>
  </si>
  <si>
    <t>Pago de 470 copias para informe al fraccionamiento gente deudora</t>
  </si>
  <si>
    <t>Mercado Del Hueso</t>
  </si>
  <si>
    <t>Mercado de Villa Coapa</t>
  </si>
  <si>
    <t>Compra de adorno para caseta día de muertos</t>
  </si>
  <si>
    <t>Compra de adornos para ofrenda días de muertos kiosco del fraccionamiento</t>
  </si>
  <si>
    <t xml:space="preserve">Mercado de Cuemanco Xochimilco D.F. </t>
  </si>
  <si>
    <t>Pago de honorarios por captura de datos del 23 al 27 de octubre</t>
  </si>
  <si>
    <t>Pago de 210 copias para invitación al visita ofrenda del fraccionamiento</t>
  </si>
  <si>
    <t>Servicio del Hueso, S.A. de C.V.</t>
  </si>
  <si>
    <t>Compra de dulce para día de muertos del fraccionamliento</t>
  </si>
  <si>
    <t>Compra de refrescos para personal de poda pasto</t>
  </si>
  <si>
    <t>Pollo Feliz</t>
  </si>
  <si>
    <t>Compra de pollos  para personal delegación clareo de árboles fraccionam</t>
  </si>
  <si>
    <t>Papelería Colibrí</t>
  </si>
  <si>
    <t>Repostería Estrellita</t>
  </si>
  <si>
    <t>Compra de 70 panes de muerto para repartir a niños en  kiosco fraccionamiento</t>
  </si>
  <si>
    <t>Guardías y Custodías Privadas Gama, S.A. de C.V.</t>
  </si>
  <si>
    <t>Pago por barrer todo el fracc de lunes a viernes 2da quincena octubre/17</t>
  </si>
  <si>
    <t>Pago por recolecciòn de basura en fracc de lunes a viernes 2da quincena octubre</t>
  </si>
  <si>
    <t>Pago segunda quincena del mes de octubre</t>
  </si>
  <si>
    <t xml:space="preserve">María de Lourdes Osorio </t>
  </si>
  <si>
    <t>Cheque #2460 Banamex</t>
  </si>
  <si>
    <t>T.E. # 11083 Y 11084</t>
  </si>
  <si>
    <t>Pago a/c 1/3 2ª quincena del mes de septiembre/17</t>
  </si>
  <si>
    <t>Pago 2/3 liq. De la 2da. Quincena de septiembre</t>
  </si>
  <si>
    <t>Pago 3/3 liq de la 2da. Quincena de septiembre cheque num.99</t>
  </si>
  <si>
    <t>Pago 2/2 liq. 1er quincena de octubre/17</t>
  </si>
  <si>
    <t>Pago en apoyo cobranza del 4to domingo de octubre/17</t>
  </si>
  <si>
    <t>Pago 1/3 a/c de la 2da quincena de octubre/17</t>
  </si>
  <si>
    <t>Tianguis</t>
  </si>
  <si>
    <t>Compra de fruta para ofrenda del kiosco en el parque del fraccionamiento</t>
  </si>
  <si>
    <t>Compra de papel crepe para forrar mesas de mesa de ofrenda del parque fracc</t>
  </si>
  <si>
    <t xml:space="preserve">Pago a/c 2/3 2° quincena de octubre/17 </t>
  </si>
  <si>
    <t>Compra flor de Cempasùchil para ofrenda del kiosco fraccionamiento</t>
  </si>
  <si>
    <t>Cheque num. 282 Inbursa</t>
  </si>
  <si>
    <t>Siegrist Contadores Pùblicos pago SAT y honorarios</t>
  </si>
  <si>
    <t>Cuota de vigilancia y mantenimineto may/jun/17</t>
  </si>
  <si>
    <t>Cuota de vigilancia y manteniiento jul/ago/17</t>
  </si>
  <si>
    <t>Guardìas y Custodìas Gama, pago liq. De la 2da. Quincena sept cheq # 99</t>
  </si>
  <si>
    <t>Cuota de vgigilancia y mantenimineto sept/17</t>
  </si>
  <si>
    <t>Cuota de vigilancia y mantenimiento de octubre/17</t>
  </si>
  <si>
    <t xml:space="preserve">I.V.A. sobre cuota de mantenimineto </t>
  </si>
  <si>
    <t>T.E.# 25866</t>
  </si>
  <si>
    <t>Pago liq 3/3 2da. Quincena de octubre/17 ch. # 99</t>
  </si>
  <si>
    <t>Sra. Alejandra</t>
  </si>
  <si>
    <t>Pago por limpieza de kiosco para colocción de ofrenda del parque</t>
  </si>
  <si>
    <t>Cerrajería Nuevo México</t>
  </si>
  <si>
    <t>Pago por reparación de cerradura puerta de Estopila</t>
  </si>
  <si>
    <t>Pago de honorarios por captura de datos del 30 de octubre al 03 de noviembre</t>
  </si>
  <si>
    <t>Pago de reproducción de video vecino de ZB_62</t>
  </si>
  <si>
    <t>Pago por recolección de basuran en fin de semana del todo el fraccionamiento</t>
  </si>
  <si>
    <t>Sr. Antelmo</t>
  </si>
  <si>
    <t>Pago por poda de pasto y gasolina para desbrozadora</t>
  </si>
  <si>
    <t>Pago de retención de IVA del Colegio Carmel de noviembre/17 cheque # 102</t>
  </si>
  <si>
    <t>Pago de honorarios del mes de noviembre/17 cheque #102</t>
  </si>
  <si>
    <t>Pago de tiempo aire para celular de presidenta</t>
  </si>
  <si>
    <t>Compra de refrescos para personal delegación poda de árboles del parque fracc</t>
  </si>
  <si>
    <t>Compra de café para juntas de mesa directiva</t>
  </si>
  <si>
    <t>Lulkacorp S de R.L. de C.V.</t>
  </si>
  <si>
    <t xml:space="preserve"> Compra de pilas para control remoto de plumas de acceso puerta Zinampa</t>
  </si>
  <si>
    <t>Pago por poda de pasto del parque del fraccionamiento</t>
  </si>
  <si>
    <t>Compensación por rondines en el fraccionamiento en toda la semana</t>
  </si>
  <si>
    <t>Compensación por recolección de pasto podado del parque fraccionamiento</t>
  </si>
  <si>
    <t>Pago de honorarios por captura de datos del 06 al 10 de noviembre/17</t>
  </si>
  <si>
    <t>Compensación en barrer todo el pasto podado del parque del fraccionamiento</t>
  </si>
  <si>
    <t>Compra de plastiloka y 1 par de guantes para casetas</t>
  </si>
  <si>
    <t>Pago 2/2 liq. 1er quincena de noviembre/17</t>
  </si>
  <si>
    <t>Pago por recolección de basura en fin de semana del fraccionamento</t>
  </si>
  <si>
    <t>Pago por recolección pasto podado entre semana</t>
  </si>
  <si>
    <t>Pago de 430 copias tamaño carta informe al fraccionamiento</t>
  </si>
  <si>
    <t>Pago telefono del mes de octubre/17</t>
  </si>
  <si>
    <t>Pago de 4 garrafones de agua para casetas del fraccionamiento</t>
  </si>
  <si>
    <t>Compesnación por rondines dentro del fraccionamiento en toda la semana</t>
  </si>
  <si>
    <t>Compensación por rondines dentro del fraccionamiento en toda la semana</t>
  </si>
  <si>
    <t>Pago opor poda de pasto del fraccionamiento y compra de cordon y gasolina</t>
  </si>
  <si>
    <t>Compensación por retirar publicidad dentro y fuera del fraccionamiento</t>
  </si>
  <si>
    <t>Pago de honorarios por captura de datos del 10 al 14 de noviembre/17</t>
  </si>
  <si>
    <t>Pago por recolección de basura del frac de lunes a viernes 1er quincena nov/17</t>
  </si>
  <si>
    <t>Pago por barrer todo el fraccionamiento de lunes a viernes 1er quincena nov/17</t>
  </si>
  <si>
    <t>Pago de 1er quincena del mes de noviembre/17</t>
  </si>
  <si>
    <t>Pago 2/1 a/c 1er quincena de noviembre/17</t>
  </si>
  <si>
    <t>Compensación por barrer pasto podado del parque del fraccionamiento</t>
  </si>
  <si>
    <t>Compra de 10 tarjetas procard id para prof de alta proximidad</t>
  </si>
  <si>
    <t>Pago por reparaciòn de pluma de salida entrada Zinampa</t>
  </si>
  <si>
    <t>Pago por mano de obra en dar de alta a 10 tarjetas procad a sistema de acceso</t>
  </si>
  <si>
    <t>Pago por barrer todo el fracc de lunes a viernes 2da quincena noviembre/17</t>
  </si>
  <si>
    <t>Pago por recolecciòn de basura en fracc de lunes a viernes 2da quincena nov/17</t>
  </si>
  <si>
    <t>Pago de retención de IVA del Colegio Carmel mes de noviembre/17</t>
  </si>
  <si>
    <t>Pago de retención de IVA del Colegio Carmel mes de  oct/17</t>
  </si>
  <si>
    <t>Pago de retención de IVA del Colegio Carmel mes de septiembre/17</t>
  </si>
  <si>
    <t>Pago de retención de IVA del Colegio Carmel mes de agosto/17</t>
  </si>
  <si>
    <t>Pago de retención de IVA del Colegio Carmel mes de julio/17</t>
  </si>
  <si>
    <t>Pago de estacionamiento protocolizaciòn de mesa directiva</t>
  </si>
  <si>
    <t>Compra de 20 llaves de acceso peatonal</t>
  </si>
  <si>
    <t>Pago de estacionamiento recogel acta de protocolizaciòn</t>
  </si>
  <si>
    <t>Compra de 2 garrafones de agua para casetas del fraccionamiento</t>
  </si>
  <si>
    <t>Pago por poda de pasto parque del fraccionamiento y gasolina para desgrosadora</t>
  </si>
  <si>
    <t>Compra de bolsas para recolecciòn de pasto podado</t>
  </si>
  <si>
    <t>Pago de protocolizaciòn cambio de mesa directiva</t>
  </si>
  <si>
    <t>Lic. Guadalupe Guerrero Guerrero (notaria #160)</t>
  </si>
  <si>
    <t>Compensaciòn por barrer pasto podado del parque del fraccionamiento</t>
  </si>
  <si>
    <t>Pago 2da. Quincena de noviembre/17</t>
  </si>
  <si>
    <t xml:space="preserve">Pago por poda de pasto parque del fraccionamiento </t>
  </si>
  <si>
    <t>Pago gasolina para desgrosadora para poda del pasto parque fraccionamiento</t>
  </si>
  <si>
    <t>Pago de gasolina para varias diligencia del fraccionamiento</t>
  </si>
  <si>
    <t>Compra de arnes con sensores (swtchs Interlooks) subida/bajada pluma vehicular</t>
  </si>
  <si>
    <t xml:space="preserve">Pago por mano de obra reparaciòn de pluma subida/bajada </t>
  </si>
  <si>
    <t>Pago de honorarios de captura del 20 al 24 de noviembre/17</t>
  </si>
  <si>
    <t>Compostura de chapa y combinaciòn puerta de Recoveco</t>
  </si>
  <si>
    <t>Pago de la 2da quincena de noviembre/17</t>
  </si>
  <si>
    <t>Pago de estacionamiento compra de papelerìa</t>
  </si>
  <si>
    <t>Compensaciòn en apoyo de revisiòn compostura puertas del fraccionamiento</t>
  </si>
  <si>
    <t>Compensaciòn por barrer varios dìas pasto podado por el jardinero</t>
  </si>
  <si>
    <t>Compra de cafes y refrescos para mesa de cobranza domingo y vigilancia</t>
  </si>
  <si>
    <t>Estavan Alvarez</t>
  </si>
  <si>
    <t>Compostura de bicicleta fraccionamiento (2 rines, 1 juego de frenos y par pedales)</t>
  </si>
  <si>
    <t>Pago de copias protocolizaciòn</t>
  </si>
  <si>
    <t>Compra de hojas oficio para fotocopias protocolizaciòn</t>
  </si>
  <si>
    <t>Compra de 1 folders</t>
  </si>
  <si>
    <t>Pago de poda de pasto del fraccionamiento y cordòn para desgrozadora</t>
  </si>
  <si>
    <t>Gasolina visita a Sat firma electronica presidencia</t>
  </si>
  <si>
    <t>Compra de 4 garrafones de agua para casetas del fraccionamiento</t>
  </si>
  <si>
    <t>La Casa de Rà</t>
  </si>
  <si>
    <t>Pago de desayo protocolizaciòn de mesa directiva</t>
  </si>
  <si>
    <t xml:space="preserve">Antelmo Chàvez </t>
  </si>
  <si>
    <t>Compostura de puerta de EP soldadura y colocaciòn de protecciones y CL ajuste</t>
  </si>
  <si>
    <t>Antes Jimènez Guadarrama 03 de diciembre/17 GMS</t>
  </si>
  <si>
    <t>Becerril Amaya</t>
  </si>
  <si>
    <t xml:space="preserve">Cuota voluntaria </t>
  </si>
  <si>
    <t>T.E. # 25878</t>
  </si>
  <si>
    <t>T.E. # 25877</t>
  </si>
  <si>
    <t>T.E. # 25869</t>
  </si>
  <si>
    <t>T.E. # 25870</t>
  </si>
  <si>
    <t>Siegrist Contadores Pùblicos pago SAT y honorarios cheque # 100</t>
  </si>
  <si>
    <t>I.V.A. por estado de cuenta</t>
  </si>
  <si>
    <t>Guardìas y Custodìas Gama, pago liq. Segunda quincena de octubre/17</t>
  </si>
  <si>
    <t>Cuota de vigilancia y mantenimiento octubre/17</t>
  </si>
  <si>
    <t>Cuota de vigilancia y mantenimiento noviembre/17</t>
  </si>
  <si>
    <t>Siegrist Contadores Pùblicos pago SAT y honorarios cheque # 102</t>
  </si>
  <si>
    <t>I.V.A. por no mantenr saldo promedio minìmo mensual</t>
  </si>
  <si>
    <t>Comisiòn por no manter saldo promedio miniimo mensual</t>
  </si>
  <si>
    <t>I.V.A. por comisiòn exped.</t>
  </si>
  <si>
    <t>Comisiòn por cheque exped.</t>
  </si>
  <si>
    <t>T.E. # 2587172,73,74</t>
  </si>
  <si>
    <t>T.E.#25874,75</t>
  </si>
  <si>
    <t>T.E. # 25546 y 25547</t>
  </si>
  <si>
    <t>Pgo por poda de pasto parque del fraccionameinto entre semana</t>
  </si>
  <si>
    <t>Tienda de jercería</t>
  </si>
  <si>
    <t>Pago por captura de datos del 27 de noviembre al 01 diciembre/17</t>
  </si>
  <si>
    <t>Compra de adornos florales para altar, misa a la virgen en el kiosco</t>
  </si>
  <si>
    <t>Compra de aceite e hilo para desbrozadora poda pasto del fraccionamiento</t>
  </si>
  <si>
    <t xml:space="preserve">Compra de care y refrescos para mesa de cobranza y vigilancia </t>
  </si>
  <si>
    <t>Pago por recolecciòn de basur en fin de semana del fraccionamiento</t>
  </si>
  <si>
    <t>Pago por recelecciòn de pasto podado entre semana del fraccionamiento</t>
  </si>
  <si>
    <t>Pago por videos a dolicitud de vecino LD_99, UP_60 Y EZ_37</t>
  </si>
  <si>
    <t>Pago en apoyo de cobranza domingo 03 diciembre/17</t>
  </si>
  <si>
    <t>Compensaciòn lpor rondines en fraccionamiento toda la semana</t>
  </si>
  <si>
    <t>Pago por poda de pasto entre seman parque del fraccionamiento</t>
  </si>
  <si>
    <t>Articulos de temporada Gonzàlez</t>
  </si>
  <si>
    <t>Compra de adornos para todo el fraccionamiento motivos navideños</t>
  </si>
  <si>
    <t xml:space="preserve">Compra de piñatas para dornar </t>
  </si>
  <si>
    <t>Compra de adonos para el fraccionamiento</t>
  </si>
  <si>
    <t>Pago por poda de pasto del parque fraccionamiento</t>
  </si>
  <si>
    <t>Compensaciòn por barrer pasto podado del parque fraccionamiento</t>
  </si>
  <si>
    <t>Compra de un rin para biciclcletas rondenies del fraccionamiento</t>
  </si>
  <si>
    <t>Servicios Tos S.A. de C.V.</t>
  </si>
  <si>
    <t>Estacionamiento junta de mesa directiva con comité vecinal</t>
  </si>
  <si>
    <t>Copyflash</t>
  </si>
  <si>
    <t>Compensaciòn por rondines  en fraccionamiento toda la semana</t>
  </si>
  <si>
    <t>Pago por captura de datos del 04 al 08 de diciembre/17</t>
  </si>
  <si>
    <t>Pago de honorarios profesionales de diciembre y anualidad Ch. # 103</t>
  </si>
  <si>
    <t>Imagen Publicitarìa</t>
  </si>
  <si>
    <t xml:space="preserve">Pago de 1000 recibos de cobranza para fraccionamiento </t>
  </si>
  <si>
    <t>Compra de condimiento para ponche posada del fraccionamiento</t>
  </si>
  <si>
    <t>Compra de desechables para posada del fraccionamiento</t>
  </si>
  <si>
    <t>Dulcerìa Carmelita</t>
  </si>
  <si>
    <t>Compra de dulces para piñatas del fraccionamiento</t>
  </si>
  <si>
    <t>Pago poda de pasto parque del fraccionamiento</t>
  </si>
  <si>
    <t>Pago por barrer pasto podado por el jardinero</t>
  </si>
  <si>
    <t>Pago del mes de noviembre/17</t>
  </si>
  <si>
    <t>Compensaciòn por rondines en todo el fraccionamiento entre semana</t>
  </si>
  <si>
    <t>Compra de gasolina para debrozadora poda del fraccionamiento</t>
  </si>
  <si>
    <t>Maxjoss</t>
  </si>
  <si>
    <t>Compra de azucar para ponche posada en fraccionamiento</t>
  </si>
  <si>
    <t>Pago de la primer quincena del mes de diciembre/17</t>
  </si>
  <si>
    <t>Pago por captura de datos del 11 al 15 de diciembre/17</t>
  </si>
  <si>
    <t>Pago por barrer todo el fraccionamiento de lunes a viernes 1er quincena dic/17</t>
  </si>
  <si>
    <t>Pago adicional por trabajos extras en fraccionamiento</t>
  </si>
  <si>
    <t>Pago por recoleccilòn de basura en fraccionamiento de lunes a viernes 1er quincen</t>
  </si>
  <si>
    <t>Pago 1er quincena del mes de diciembre/17</t>
  </si>
  <si>
    <t xml:space="preserve">Pago de gratificaciòn por fin de año personal de vigilancia </t>
  </si>
  <si>
    <t>Compra de articulos para posada del fraccionamiento</t>
  </si>
  <si>
    <t>Compra de velas para podada del fraccionamiento</t>
  </si>
  <si>
    <t>Pago por hacer el ponche para posada del fraccionamiento</t>
  </si>
  <si>
    <t>Compensaciòn en ayuda de apoyo en posada del fraccionamiento</t>
  </si>
  <si>
    <t>Compensaciòn por barrer pasto podado en parque fraccionamiento</t>
  </si>
  <si>
    <t>Pago por recolecciòn de pasto pododado por jardinero</t>
  </si>
  <si>
    <t>Pago por recolecciòn del fraccionamiento en fin de semana</t>
  </si>
  <si>
    <t>Compra de botanas para mesa de cobranza domingo</t>
  </si>
  <si>
    <t>Esteban Alejo</t>
  </si>
  <si>
    <t>Compra de 30 tarjetas procadr prof 1276</t>
  </si>
  <si>
    <t>Compra de refrescos</t>
  </si>
  <si>
    <t>Pago de estacionamiento compras varias para cena de vigilancia</t>
  </si>
  <si>
    <t>Compensaciòn por barrer pasto podado por jardinero</t>
  </si>
  <si>
    <t>Pago por mano de obra de configuraciòn de 30 tarjetas procard</t>
  </si>
  <si>
    <t>Paago por poda de pasto en parque del fraccionamiento entre semana</t>
  </si>
  <si>
    <t>Compensaciòn por barrer pasto podado del fraccionamiento</t>
  </si>
  <si>
    <t>Compra de canastas y bolsas para presentes para personal de la mesa directiva</t>
  </si>
  <si>
    <t>Compra de galletas para presentes personal de la mesa directiva</t>
  </si>
  <si>
    <t>Desayuno mesa directiva asunto relacionado con notaria</t>
  </si>
  <si>
    <t>Compra de dulces para canastas navideñas para personal de la mesa directiva</t>
  </si>
  <si>
    <t>Pago por captura de datos del 18 al 22 de diciembre/17</t>
  </si>
  <si>
    <t>Compra de café para personal de mesa de cobranza</t>
  </si>
  <si>
    <t>Compra de pan para mesa de cobranza sabado</t>
  </si>
  <si>
    <t>Compra de pan para cena de vigilancia navideña</t>
  </si>
  <si>
    <t xml:space="preserve">Mercado Campesinos </t>
  </si>
  <si>
    <t>Compa de comida para vigilancia cena navidad del fraccionamiemto</t>
  </si>
  <si>
    <t>Pago en apoyo a cobranza del 23 de diciembre cobranza</t>
  </si>
  <si>
    <t>Compra de bolillo para cena de vigilancia navideña</t>
  </si>
  <si>
    <t>Compra de pastes para cena navideña para vigilancia fraccionamiento</t>
  </si>
  <si>
    <t>Copra de 3 garrafones de agua para casetas de vigilancia del fraccionamiento</t>
  </si>
  <si>
    <t>Compra de detergente para limpieza de casetas el fraccionamiento</t>
  </si>
  <si>
    <t>Pago por captura de datos del 25 al 29 de diciembre/17</t>
  </si>
  <si>
    <t>Parulla 007</t>
  </si>
  <si>
    <t>Compensaciòn por rondenes en todo el fraccionamiento</t>
  </si>
  <si>
    <t>Pago estacionamiento compre de refrescos</t>
  </si>
  <si>
    <t>Pago 2da. Quilncena por barrer todo el fraccionamiento de lunes a viernes</t>
  </si>
  <si>
    <t>Pago extra por trabajos varios en el fraccionamiento</t>
  </si>
  <si>
    <t>Pago 2da. Quincena por recolecciòn basuen en todo el fracc de lunes a viernes</t>
  </si>
  <si>
    <t>Pago 2da. Quincena de diciembre/17</t>
  </si>
  <si>
    <t>Pago 2da quincena trabajos varios en el fraccionamiento</t>
  </si>
  <si>
    <t>Compra de café y refrescos para mesa de cobranza</t>
  </si>
  <si>
    <t>Copra de pastel para vigilancia cena de año nuevo</t>
  </si>
  <si>
    <t>Compra de plasticos para cena de vigilancia fin de año</t>
  </si>
  <si>
    <t>Pago de retención de IVA del Colegio Carmel mes de diciembre/17</t>
  </si>
  <si>
    <t>Pago de honorarios de revisiòn y cambio de transeptores de 2 camaras CL y LD</t>
  </si>
  <si>
    <t>Pago por descarga de 2 memorias evento de 10 horas LD</t>
  </si>
  <si>
    <t xml:space="preserve">Lorena Gonzalez </t>
  </si>
  <si>
    <t>Cuota de vigilancia y mantenimiento de oct/nov/dic/17 y enero/18</t>
  </si>
  <si>
    <t>Siegrist Contadores Pùblicos pago SAT y honorarios y anualidad</t>
  </si>
  <si>
    <t>Cuota de vigilancia mantenimiento de noviembre</t>
  </si>
  <si>
    <t>I.V.A. sobre cuota de mantenimilento</t>
  </si>
  <si>
    <t>Cuota de vigilancia y mantenimiento anualidad 2018</t>
  </si>
  <si>
    <t>Se le condonò el mes de diciembre por pago de anualidad</t>
  </si>
  <si>
    <t>Diciembre de 2017</t>
  </si>
  <si>
    <t>T.E. # 25544</t>
  </si>
  <si>
    <t>Nueva familia 14/01/18 GMS</t>
  </si>
  <si>
    <t>Gutièrrez Muñòz</t>
  </si>
  <si>
    <t>T.E. # 25545</t>
  </si>
  <si>
    <t>Zenteno</t>
  </si>
  <si>
    <t>Se le condonò el mes de diciembre por pago de anualidad ch. 0026/banames</t>
  </si>
  <si>
    <t>Felipe Terreros</t>
  </si>
  <si>
    <t>Compra de 4 chumaceras para arreglo pluma de Romeral y mano de obra</t>
  </si>
  <si>
    <t>Compra de cena para vigilancia de fin de año 2 turnos</t>
  </si>
  <si>
    <t>Compra de bolillos para vigilancia cena de fin de año 2 turnos</t>
  </si>
  <si>
    <t>Compensaciòn por rondines toda la semana en fraccionamiento</t>
  </si>
  <si>
    <t xml:space="preserve">Pago de poda pasto del parque del fraccionamiento </t>
  </si>
  <si>
    <t>Compra de aceite 3 tiempos para desgrosadora</t>
  </si>
  <si>
    <t>Bisquet`s Mèxico</t>
  </si>
  <si>
    <t>Compra de rosca para personal de esa directiva</t>
  </si>
  <si>
    <t>Pago de estacionamiento visita a Notario</t>
  </si>
  <si>
    <t>Compra de café para mesa directiva visita notario</t>
  </si>
  <si>
    <t>Pago de poda de pasto del parque del fraccionamiento</t>
  </si>
  <si>
    <t>Compra de rosca para vigilancia dìa de reyes</t>
  </si>
  <si>
    <t>Plaza Cuemanco</t>
  </si>
  <si>
    <t>Pago de estacionamiento compra de roscas</t>
  </si>
  <si>
    <t>Pago de honorarios por captura de datos del 01 al 05 de enero/18</t>
  </si>
  <si>
    <t>Guardìas y Costodìas Privadas Gama, S.A. de C.V.</t>
  </si>
  <si>
    <t>Pago a/c de la 1er quincena de enero/18</t>
  </si>
  <si>
    <t>Compensaciòn en cambio de focos a luminarias del fraccionamiento</t>
  </si>
  <si>
    <t>Pago de video para veciNo de EZ_149</t>
  </si>
  <si>
    <t>Pago por video para vecino de ZB_38</t>
  </si>
  <si>
    <t>Compensaciòn en apoyo de reparaciòn pluma electrònica salida ZB</t>
  </si>
  <si>
    <t>Pago por video para ver accidente de camiòn con pluma de puerta electrònica</t>
  </si>
  <si>
    <t>Pago de honorarios por captura de datos del 08 al 12 de enero/18</t>
  </si>
  <si>
    <t>Compensaciòn por barrer varios dìas del mes de diciembre de pasto podado fracc</t>
  </si>
  <si>
    <t>T.E.#25543</t>
  </si>
  <si>
    <t>T.E.#25548</t>
  </si>
  <si>
    <t>RECIBO NO IMPRESO</t>
  </si>
  <si>
    <t>Se le condono 1 mes por pago de anualidad</t>
  </si>
  <si>
    <t>T.E.#25553</t>
  </si>
  <si>
    <t>Valencia Morentin</t>
  </si>
  <si>
    <t>Se cambio el apeillo Aranda por Morentin G.M.S 28-01-18</t>
  </si>
  <si>
    <t>Pago de 660 copias tamaño carta para informe final del 2017 a todo el fraccionam</t>
  </si>
  <si>
    <t>Larry Copias</t>
  </si>
  <si>
    <t>Compra de pintura y brochas para pintar plumas de acceso en Romeral</t>
  </si>
  <si>
    <t>The Home Depot Mèxico, S. de R.L. de C.V.</t>
  </si>
  <si>
    <t>Compra de candados y herramientas para casetas de Zinampa y Estopila</t>
  </si>
  <si>
    <t xml:space="preserve">Copensaciòn por rondines en el fraccionamiento en toda la semana </t>
  </si>
  <si>
    <t>Pago de 6 lonas para señalizaciònes en puertas de acceso al fraccionamiento</t>
  </si>
  <si>
    <t>Virginia Rendòn</t>
  </si>
  <si>
    <t>Pago por arreglo a varios adornos para kiosco en noviembre y diciembre/17</t>
  </si>
  <si>
    <t>Pago del telefono del mes de diciembre/17</t>
  </si>
  <si>
    <t>Pago liq. De la primer quincena de enero/18</t>
  </si>
  <si>
    <t>Pago por recolecciòn de basura de lunes a viernes de la 1er quincena enero/18</t>
  </si>
  <si>
    <t>Pago por barrer basura en todo fracc de lunes a viernes 1er quincena enero/18</t>
  </si>
  <si>
    <t>Pago 1er quincena del mes de enero/18</t>
  </si>
  <si>
    <t>Pago 1er quincena del mes de enero/18 por varios trabajos en el fraccionamiento</t>
  </si>
  <si>
    <t>Starbucks</t>
  </si>
  <si>
    <t>Compra de café para mesa directiva visita SAT</t>
  </si>
  <si>
    <t xml:space="preserve">Ranver, S.A. de C.V. </t>
  </si>
  <si>
    <t>Pago estacionamiento visita SAT</t>
  </si>
  <si>
    <t>Pago gasolina por varias diligencias de visita SAT y Notaria firma electrònica</t>
  </si>
  <si>
    <t>Pago por pintar plumas entrada caseta Romeral</t>
  </si>
  <si>
    <t>Pago por compensaciòn de barrer pasto podado del fraccionamiento</t>
  </si>
  <si>
    <t>Pastelerìa y Confiteria de Mèxico, S.A. de C.V.</t>
  </si>
  <si>
    <t>Pago desayuno mesa directiva tramite en SAT firma electrònica fraccionamiento</t>
  </si>
  <si>
    <t>Pago estacionamiento visita SAT firma electrònica</t>
  </si>
  <si>
    <t>Pago estacionamiento visita a Notarìa asunto firma electrònica SAT</t>
  </si>
  <si>
    <t>Notarìa 224</t>
  </si>
  <si>
    <t>Pago de copia de Acta Constitutiva epedida en el año 2012</t>
  </si>
  <si>
    <t>Pago por poda pasto del parque fraccionamiento</t>
  </si>
  <si>
    <t>Compra de agua visita a Notarìa 160</t>
  </si>
  <si>
    <t>Pago estacionamiento visita Notarìa 160</t>
  </si>
  <si>
    <t>Pago por copia certificada del R.F.C. Dolores Mijangos Peralta</t>
  </si>
  <si>
    <t>Pago estacionamiento Notarìa 160 recoger copia certificada R.F.C.</t>
  </si>
  <si>
    <t>Starbucks Coffee</t>
  </si>
  <si>
    <t xml:space="preserve">Compra de cafè para mesa directiva compra de papelerìa </t>
  </si>
  <si>
    <t>Compra de papelerìa para mesa directiva y tesorerìa</t>
  </si>
  <si>
    <t>Pago estacionamientto compra de papelerìa</t>
  </si>
  <si>
    <t>Compra de limpieza para casetas del fraccionamiento</t>
  </si>
  <si>
    <t>Despacho Contadores Abogados Velasco, S.C.</t>
  </si>
  <si>
    <t xml:space="preserve">Pago por copia de R.F.C. Dolores Mijangos </t>
  </si>
  <si>
    <t>Pago de honorarios por captura de datos del 15 al 19 de enero/18</t>
  </si>
  <si>
    <t>Pago por poda de pasto del fraccionamiento</t>
  </si>
  <si>
    <t>Compra de herramientas para mantenimiento a casetas del fraccionamiento</t>
  </si>
  <si>
    <t>Pago por recolecciòn de pasto podado del parque fraccionamiento</t>
  </si>
  <si>
    <t>Pago por recolecciòn basura de todo el fraccionamiento en fin de semana</t>
  </si>
  <si>
    <t>Tradiciòn en Pastelerìas, S.A. de C.V.</t>
  </si>
  <si>
    <t>Pago estacionamiento  recoger documento para tramite SAT</t>
  </si>
  <si>
    <t>Compra de pan para junta de mesa directiva varios asuntos del fraccionamiento</t>
  </si>
  <si>
    <t xml:space="preserve">Compra de refrescos junta de mesa directiva </t>
  </si>
  <si>
    <t>Compra de café para junta de mesa directiva</t>
  </si>
  <si>
    <t>Pago en apoyo de cobranza del domingo 21 de enero/18</t>
  </si>
  <si>
    <t>Pago por poda de pasto en parque del fraccionamiento</t>
  </si>
  <si>
    <t xml:space="preserve">Pago por barrer varios deias pasto podado por jardinero </t>
  </si>
  <si>
    <t>Pago por barrer pasto podado por jardinero</t>
  </si>
  <si>
    <t>Compensaciòn por roñndines en todo el fraccionamiento</t>
  </si>
  <si>
    <t>Guadìas y Custodìas Privadas Gama, S.A. de C.V.</t>
  </si>
  <si>
    <t>Pago a/c de la 2da. Quinena de enero/18</t>
  </si>
  <si>
    <t>Martha Caballeo Gònzalez</t>
  </si>
  <si>
    <t>Pago de comida personal de mesa directiva con vigilancia</t>
  </si>
  <si>
    <t>Pago de honorarios por captura de datos del 22 al 26 de enero/18 y varios trab</t>
  </si>
  <si>
    <t>Pago de video para ver desapariciòn desbrozadora en caseta de ZB</t>
  </si>
  <si>
    <t>Pago por poda de pasto entre semana del parque del fraccionamiento</t>
  </si>
  <si>
    <t>Patrulla 324</t>
  </si>
  <si>
    <t>Pago liq. De la segunda quincena de enero/18</t>
  </si>
  <si>
    <t>Pago de 50 llaves de acceso peatonal para puertas del fraccionamiento</t>
  </si>
  <si>
    <t>Pago por recolecciòn de basura de lunes a viernes de la 2da. Quincena enero/18</t>
  </si>
  <si>
    <t>Pago por barrer fracc de lunes a viernes 2da. Quincena de enero/18</t>
  </si>
  <si>
    <t>Pago segunda quincena del mes de enero/18</t>
  </si>
  <si>
    <t>Pago segunda quincena del mes enero/18 por trabajos varios en fraccionamiento</t>
  </si>
  <si>
    <t>Compra de botes de basura para el fraccionamiento</t>
  </si>
  <si>
    <t>Pago estacionamiento compra botes de basura</t>
  </si>
  <si>
    <t>Pago de retención de IVA del Colegio Carmel mes de enero/18</t>
  </si>
  <si>
    <t>Pago de retención de IVA del Colegio Carmel de enero/18 cheque # 104</t>
  </si>
  <si>
    <t>Pago de retención de IVA del Colegio Carmel de diciembre/17 cheque # 103</t>
  </si>
  <si>
    <t>Tranferencia Bancaria</t>
  </si>
  <si>
    <t>T.E. #</t>
  </si>
  <si>
    <t>T.E. #25551</t>
  </si>
  <si>
    <t>T.E.#25552</t>
  </si>
  <si>
    <t>T.E.#25554</t>
  </si>
  <si>
    <t>Compra de pan para junta de mesa directiva y comité vecinal</t>
  </si>
  <si>
    <t>Cafeterìa Caa del Duque</t>
  </si>
  <si>
    <t>Pago desayuno mesa directiva con comité vecinal asuntos del fraccionamiento</t>
  </si>
  <si>
    <t>Pago por poda de pasto del parque del fraccionamiento entre semana</t>
  </si>
  <si>
    <t xml:space="preserve">Manuel Olivares </t>
  </si>
  <si>
    <t>Compensaciòn por barrer 2 dìas pasto podado por jardinero del fraccionamiento</t>
  </si>
  <si>
    <t>Refaccionaria Bicicletas</t>
  </si>
  <si>
    <t>Pago de 1 camara y repracòn de bicicleta del fraccionamiento</t>
  </si>
  <si>
    <t>Pago por barrer entrada y banqueta de Estoppila</t>
  </si>
  <si>
    <t>Pago por recolecciòn de pasto podado entre semana del parque fraccionamiento</t>
  </si>
  <si>
    <t>Compra de café y refrescos para mesa de cobranza domingo</t>
  </si>
  <si>
    <t>Compensaciòn por rondines en fraccionamiento toda la semana</t>
  </si>
  <si>
    <t>Pago por poda de pasto parque del fraccionamiento entre semana</t>
  </si>
  <si>
    <t>Pago de 500 copias carta para imforme al fraccionamiento cambio de vigilancia</t>
  </si>
  <si>
    <t>Compra de refrescos para mesa directiva y nueva vigilancia</t>
  </si>
  <si>
    <t>Grupoo Protecciòn Patrimonial</t>
  </si>
  <si>
    <t>Pago finiquito por vigilancia del 1ª al 7ª dìa de la primer quincena febrero/18</t>
  </si>
  <si>
    <t>Patrulla 032</t>
  </si>
  <si>
    <t>Torterìa Los Autènticos Pavitos</t>
  </si>
  <si>
    <t>Compra de tortas para mesa directiva y nueva vigilancia</t>
  </si>
  <si>
    <t>Pago por poda de pasto del parque del fraccionameinto entre semana</t>
  </si>
  <si>
    <t>Pago de honorarios por captura de datos del 05 al 09 de febrero/18</t>
  </si>
  <si>
    <t>Pago en apoyo de cobranza del 11 de febrero/18</t>
  </si>
  <si>
    <t>Pago estacionamiento compra de materiales de limpieza</t>
  </si>
  <si>
    <t>Compra de tiempo aire para Tesorera</t>
  </si>
  <si>
    <t>Lenix Security Alarm</t>
  </si>
  <si>
    <t>Compra de baluns, transformador</t>
  </si>
  <si>
    <t>T.E.#25537</t>
  </si>
  <si>
    <t>T.E.#25538</t>
  </si>
  <si>
    <t>Pago de servio de reparación de 2 camaras de CCTV</t>
  </si>
  <si>
    <t>Compensación pr rondines toda la semana en el fraccionamiento</t>
  </si>
  <si>
    <t>Pago por poda y recolección de pasto del parque entre semana</t>
  </si>
  <si>
    <t>Compra de café para mesa directiva visita a Notaria asuntos fraccionamiento</t>
  </si>
  <si>
    <t>Pago estacionamiento visita a Notario</t>
  </si>
  <si>
    <t>Compra de café y refrescos para mesa directiva visita Notaria 224</t>
  </si>
  <si>
    <t>Compra de aceites para debrozadora poda de pasto fraccionamiento</t>
  </si>
  <si>
    <t>Compra de Cafetera B&amp;D CM110 y parrilla Directa H para casetas</t>
  </si>
  <si>
    <t>Compra de gasolina para varias visitas a notaria asuntos de cuenta bancaria</t>
  </si>
  <si>
    <t>Compra de 1 monitor, transformador para DVR y cable HDMI</t>
  </si>
  <si>
    <t>Pago de telefono del mes de enero/18</t>
  </si>
  <si>
    <t>Compra de refrescos junta con directiva de la nueva vigilancia</t>
  </si>
  <si>
    <t>Pago de honorarios correspondientes del 12 al 16 de febrero</t>
  </si>
  <si>
    <t>Grupo Alguacil Dorado en Seguridad Privada S.A. de C.V.</t>
  </si>
  <si>
    <t>Pago por seguridad del fraccionamiento del 07 al 15 de febrero 1er quincena</t>
  </si>
  <si>
    <t>Pago de estacionamiento visita notario, no se arregla la protocolizaciòn</t>
  </si>
  <si>
    <t>Patrulla 033</t>
  </si>
  <si>
    <t>Pago de desayuno protocolizaciòn en notarìa toda la mañana para mesa directiva</t>
  </si>
  <si>
    <t>INKA YANI</t>
  </si>
  <si>
    <t>Compra de cafè para junta de mesa directiva</t>
  </si>
  <si>
    <t>Compra de café para mesa de cobraza domingo</t>
  </si>
  <si>
    <t>Pago por poda de pasto y recolecciòn del mismo podado del parque fraccionamien</t>
  </si>
  <si>
    <t>Pago de mantenimiento preventivo y correctivo a CCTV modulo 1 Zinampa</t>
  </si>
  <si>
    <t>Pago estacionamiento visita nuevamente a notarìa</t>
  </si>
  <si>
    <t>Restaurantes ADMX, S. de R.L. de C.V.</t>
  </si>
  <si>
    <t>Compra de ensaladas mesa directiva por asuntos relacionados notaria</t>
  </si>
  <si>
    <t>Nepsol, S.A. de C.V.</t>
  </si>
  <si>
    <t>Pago de gasolina presidenta varias diligencia del fraccionamiento</t>
  </si>
  <si>
    <t>Compra de candado, paquete de papel, guantes para casetas del fraccionamiento</t>
  </si>
  <si>
    <t>T.E. #25541</t>
  </si>
  <si>
    <t>T.E. #25540</t>
  </si>
  <si>
    <t>T.E. # 25542</t>
  </si>
  <si>
    <t>Pago de retención de IVA del Colegio Carmel de febrero/18 cheque # 105</t>
  </si>
  <si>
    <t>Pago de honorarios del mes de enero/18 cheque #104</t>
  </si>
  <si>
    <t>Pago de honorarios del mes de febrero/18 cheque #105</t>
  </si>
  <si>
    <t>Lic. Jesus Torres Gómez  Notarìa 224</t>
  </si>
  <si>
    <t>Pago de café mesa directiva, visita a notaría 224</t>
  </si>
  <si>
    <t>Pago de 450 copias tamaño carta para informe al fraccionamiento</t>
  </si>
  <si>
    <t>Pago de poda y recolección de pasto podado entre semana</t>
  </si>
  <si>
    <t>Compra de dos ensaladas para personal de mesa directiva visita a Notaría</t>
  </si>
  <si>
    <t>Pago de honorarios por captura de datos del 19 al 23 de febrero/18</t>
  </si>
  <si>
    <t>Compra de clips para caseta de Romeral</t>
  </si>
  <si>
    <t>Pago en apoyo de cobranza domingo 25 de febrero/18</t>
  </si>
  <si>
    <t>Pago por recolección de basura entre semana 2da. Quincena de febrero/18</t>
  </si>
  <si>
    <t>Pago por barrer todo el fraccionamiento entre seman 2da. Quincena de feb/18</t>
  </si>
  <si>
    <t>Pago de la 2da. Quincena de febrero/18</t>
  </si>
  <si>
    <t>Pago de la 2da. Quincena de febrero/18 vigilancia del fraccionamiento</t>
  </si>
  <si>
    <t>Pago de honorarios por captura de datos del 29 ene al 02 de febrero/18</t>
  </si>
  <si>
    <t>T.E.  25676</t>
  </si>
  <si>
    <t>T.E. # 25677 Y 25678</t>
  </si>
  <si>
    <t>2 Porta tarjetas</t>
  </si>
  <si>
    <t>T.E.#25536</t>
  </si>
  <si>
    <t>T.E. # 25555 Y 25554</t>
  </si>
  <si>
    <t>T.E.#25679</t>
  </si>
  <si>
    <t>T.E.#25682</t>
  </si>
  <si>
    <t>T.E. #25683</t>
  </si>
  <si>
    <t>Antes fam Ordoñez Vilalpando cambio 11/03/18 GMS</t>
  </si>
  <si>
    <t>Nisse</t>
  </si>
  <si>
    <t xml:space="preserve">Agregado el 14JUN13. BS/ Se cambio fam antes Cedillo 11/3/18 </t>
  </si>
  <si>
    <t>GMS</t>
  </si>
  <si>
    <t>Moisen</t>
  </si>
  <si>
    <t>Distribuidora de Bicicletas Benotto, S.A. de C.V.</t>
  </si>
  <si>
    <t>Tienda Boutique Bicicletas Accesorios</t>
  </si>
  <si>
    <t>Pago por poda de pasto y recolecciòn del mismo  del parque fraccionamiento</t>
  </si>
  <si>
    <t>Compra de repuesto de pluma para barrera vehicular de aluminio</t>
  </si>
  <si>
    <t>Pago de servicio para control de acceso vehicular mantenimiento preventivo</t>
  </si>
  <si>
    <t>Pago de honorarios por captura de datos del 26 feb al 02 mar/18</t>
  </si>
  <si>
    <t>Compensaciòn por cambio de focos a luminarias del fraccionamiento</t>
  </si>
  <si>
    <t>Pago de mantenimineto preventivo y correctivo a CCTV modulo Romeral</t>
  </si>
  <si>
    <t>Compra de cinta de asilar y contacto para caseta Romeral</t>
  </si>
  <si>
    <t>Compra de pan para personal de cobranza domingos</t>
  </si>
  <si>
    <t>Pago por recolecciòn de pasto podado entre ssemana del parque</t>
  </si>
  <si>
    <t>Compra de café para mesa de cobranza domingos</t>
  </si>
  <si>
    <t>Compra de 6 garrafones de agua para casetas del fraccionamiento</t>
  </si>
  <si>
    <t>Pago por poda de pasto y recolecciòn de mismo parque del fraccionamiento</t>
  </si>
  <si>
    <t>Pago por captura de datos del 05 al 09 de marzo/18</t>
  </si>
  <si>
    <t>Compra ade multicontacto para camaras caseta Romeral</t>
  </si>
  <si>
    <t>Compra de No-Break para camaras de caseta de Romeral</t>
  </si>
  <si>
    <t>Pago de mano de obra en caseta de Romeral</t>
  </si>
  <si>
    <t>Compensación en apoyo de rondines en todo el fraccionamiento</t>
  </si>
  <si>
    <t>Pago por poda pasto y recolección del mismo del parque fraccionamiento</t>
  </si>
  <si>
    <t>Pago por video a solicitud del vecino de Landero 60</t>
  </si>
  <si>
    <t>Pago por video a solicitud de Landero 47</t>
  </si>
  <si>
    <t>Pago de 5 garrafones de agua para casetas</t>
  </si>
  <si>
    <t>Pago por poda de pasto podado y recolección del mismo del fraccionamiento</t>
  </si>
  <si>
    <t>RFID Soluciones Estrategicas</t>
  </si>
  <si>
    <t>Compra de 1 Sofware de Control de Accesos Acces Cotroll y 1 botonera</t>
  </si>
  <si>
    <t>Pago de mantenimiento para plumas de electronica caseta Zinampa</t>
  </si>
  <si>
    <t>Compensación por rondines en toda la semana a todo el fraccionamiento</t>
  </si>
  <si>
    <t>Mantenimiento a DVR desbloqueo y recuperaciòn de contraseña caseta Romeral</t>
  </si>
  <si>
    <t>Pago de mano de obra de mantenimiento de DVR para caseta Romeral</t>
  </si>
  <si>
    <t>Pago de 2 enmicados</t>
  </si>
  <si>
    <t>Pago de telefono de casetas del fraccionamiento</t>
  </si>
  <si>
    <t>Pago por recolecciòn de basura de la 1er quincena de marzo/18</t>
  </si>
  <si>
    <t>Pago por barrer todo el fraccionamiento de la 1er quincena de marzo/18</t>
  </si>
  <si>
    <t>Pago de la 1er quincena del mes de marzo/18</t>
  </si>
  <si>
    <t>Pago de vigilancia del fraccionamiento de la 1er quincena de marzo/18</t>
  </si>
  <si>
    <t>Compra de pan para mesa de cobranza domingos</t>
  </si>
  <si>
    <t>Pago de soldadura para palanca de plumas entrada de caseta Romeral</t>
  </si>
  <si>
    <t>Pago de honorarios correspondiente del 12 al 16 de marzo/18</t>
  </si>
  <si>
    <t>Papelerìa Omega</t>
  </si>
  <si>
    <t>Pago de 860 copias para informe al fraccionamiento</t>
  </si>
  <si>
    <t>Liquidaciòn por reproducciòn de videos por diferens eventos en fracccionmiento</t>
  </si>
  <si>
    <t>Pago por recolecciòn de basura en fin de semana de todo el fraccionamiento</t>
  </si>
  <si>
    <t>Compra de café para mesa de cobranza de domingo</t>
  </si>
  <si>
    <t xml:space="preserve">Biciepress </t>
  </si>
  <si>
    <t>Antes fav Chàvez Miranda cambio 18/03/18 GM</t>
  </si>
  <si>
    <t>Aguirre</t>
  </si>
  <si>
    <t>Cuota de vigilancia y mantenimiento enero/18</t>
  </si>
  <si>
    <t>Cuota de vigilancia y mantenimiento diciembre/17</t>
  </si>
  <si>
    <t>Cuota de vigilancia y mantenimineto enero/18</t>
  </si>
  <si>
    <t>Cuota de vigilanica y mantenimiento diciembre/17</t>
  </si>
  <si>
    <t>Cuota de vigilancia y mantenimiento febrero/18</t>
  </si>
  <si>
    <t>Siegrist Contadores Pùblicos pago SAT y honorarios contables enero/18</t>
  </si>
  <si>
    <t>Pago de 3 videos diferentes tomas de evento seguimiento robo Landero · 60 y 47</t>
  </si>
  <si>
    <t>Compra de café reuniòn de Mesa Directiva y vigilancia</t>
  </si>
  <si>
    <t>Pago de cambio de estrella y recorte de cadena para bicicleta del fraccionamiento</t>
  </si>
  <si>
    <t xml:space="preserve">Patrulla 032 </t>
  </si>
  <si>
    <t>Compensaciòn por rondines entre semana en todo el fraccionamiento</t>
  </si>
  <si>
    <t>Moyo Cuemanco</t>
  </si>
  <si>
    <t>Compra de agua para personal de Mesa Directiva compra de papelerìa</t>
  </si>
  <si>
    <t>Compra de 1 disco Duro y 1 DVR luz led para caseta ZB y 1 DVR para caseta EP</t>
  </si>
  <si>
    <t>Pago de mano de obra en colocaciòn de disco duro, luz led y DVR a casetas fracc.</t>
  </si>
  <si>
    <t>Pago por poda de pasto y recolecciòn del mismo del parque del fraccionamiento</t>
  </si>
  <si>
    <t>Pago de honorarios de captur de datos del 18 al 22 de marzo/18</t>
  </si>
  <si>
    <t xml:space="preserve">Patrulla 007 </t>
  </si>
  <si>
    <t>Pago de 220 copias para informe al fraccionamiento</t>
  </si>
  <si>
    <t>Compra de refrescos para personal de Lenix colocaciòn de Soft Ware caseta ZB</t>
  </si>
  <si>
    <t>Compra de tiempo aire para telefono de presicencia</t>
  </si>
  <si>
    <t>Compra de refrescos para personal de mesa de cobranza domingo</t>
  </si>
  <si>
    <t>Miselanea</t>
  </si>
  <si>
    <t>Compra de refrescos para personal de vigilancia domingo de cobranza</t>
  </si>
  <si>
    <t>Pago de recolecciòn de basura en fines de semana de todo el fraccionamiento</t>
  </si>
  <si>
    <t>Pago de 6 garrafones de agua para casetas del fraccionamiento</t>
  </si>
  <si>
    <t>Compra de rollo de bolsas para pasto podado del parque fraccionamiento</t>
  </si>
  <si>
    <t>Compra de refrescos para vigilantes de casetas</t>
  </si>
  <si>
    <t>Pago de honorarios del 26 al 30 de marzo/18</t>
  </si>
  <si>
    <t>Pago de la 2da. Quincena por barrer todo el fraccionamiento</t>
  </si>
  <si>
    <t>Pago de la 2da. Quincena por recolecciòn de basura entre semana</t>
  </si>
  <si>
    <t>Pago por trabajos varios en el fraccionamiento</t>
  </si>
  <si>
    <t>Pago de la segunda quincena de marzo/18</t>
  </si>
  <si>
    <t>Pago de vigilancia del fraccionamiento de la 2 da. quincena de marzo/18</t>
  </si>
  <si>
    <t>Pago de retención de IVA del Colegio Carmel mes de marzo/18</t>
  </si>
  <si>
    <t>Pago de retención de IVA del Colegio Carmel mes de febrero/18</t>
  </si>
  <si>
    <t>Cheque depositado</t>
  </si>
  <si>
    <t>Pago de honorarios del mes de marzo/18 cheque #106</t>
  </si>
  <si>
    <t>Pago de retención de IVA del Colegio Carmel de marzo/18 cheque # 106</t>
  </si>
  <si>
    <t>T.B. en marzo/18</t>
  </si>
  <si>
    <t>T.B. 07/04/18</t>
  </si>
  <si>
    <t>Compra de 2 tarjetas elèctronicas</t>
  </si>
  <si>
    <t>Pago anualidad, se le condono 1 mes</t>
  </si>
  <si>
    <t>Agregado el 16/abr/18 GMS antes Garduño</t>
  </si>
  <si>
    <t>García Osorio</t>
  </si>
  <si>
    <t>Compra de refrescos para personal instalación de Sotfware y Mesa Directiva</t>
  </si>
  <si>
    <t>Compra de sobres para tarjetas electrónicas que se estan reconfigurando</t>
  </si>
  <si>
    <t>Sr. Victor</t>
  </si>
  <si>
    <t>Pago por pintar rega de Landero y quitar grafitis</t>
  </si>
  <si>
    <t>Sr. Alfredo</t>
  </si>
  <si>
    <t>Pago por actualización y revisión de plumas de acceso Zinampa</t>
  </si>
  <si>
    <t>Compra de refraccion para bicicleta del fraccionamiento</t>
  </si>
  <si>
    <t>Pago de gasolina para presidencia diligencias varias</t>
  </si>
  <si>
    <t>Compra de ligas</t>
  </si>
  <si>
    <t>Compra de pintura y brocha para pintar casetas de Romeral y Zinampa</t>
  </si>
  <si>
    <t>Compra de brocha para pintar casetas de Romeral y Zinampa</t>
  </si>
  <si>
    <t>Pago de alimentos para personal delegación poda de pasto del fraccionamiento</t>
  </si>
  <si>
    <t>Pago por cableado de barreras vehiculares y lecoras, sensores etc.</t>
  </si>
  <si>
    <t>Pago de 30 tarjetas electrónicas</t>
  </si>
  <si>
    <t>Compra de pollo para cuadrilla delegación poda de pasto del fraccionamiento</t>
  </si>
  <si>
    <t>Pago cableado de camara de caseta Zinamapa</t>
  </si>
  <si>
    <t>Pago de mano de obra de camara de caseta Zinampa</t>
  </si>
  <si>
    <t>Compra de porta candados para puetas del fraccionamiento</t>
  </si>
  <si>
    <t>Pago por quitar propaganda de las rejas del fraccionamiento</t>
  </si>
  <si>
    <t>Compensación por rondienes en toda la semana a todo el fraccionamiento</t>
  </si>
  <si>
    <t>Pago de honorarios por captura de datos del 02 al 06 de abril/17</t>
  </si>
  <si>
    <t>Compra de pintura para pinta casetas de Romeral y Zinampa</t>
  </si>
  <si>
    <t>Compra de refrescos para personal de Mesa Directiva</t>
  </si>
  <si>
    <t>Recarga de 2 extintor de las casetas del fraccionamiento</t>
  </si>
  <si>
    <t>Pago de desayunos para personal delegación poda de pasto del parque fraccionam</t>
  </si>
  <si>
    <t>Compra de pan para junta Mesa Directiva</t>
  </si>
  <si>
    <t>Compra de sobres y hojas tamaño carta para presidencia</t>
  </si>
  <si>
    <t>Pago de estacionamiento compra de papalería</t>
  </si>
  <si>
    <t xml:space="preserve">Carnicería Xotepingo, S.A. de C.V. </t>
  </si>
  <si>
    <t xml:space="preserve"> Compra de jamón, quedo y frijoles para tortas personal delecación poda pasto</t>
  </si>
  <si>
    <t>Compra de refrescos para Mesa Directiva asuntos del fraccionamiento</t>
  </si>
  <si>
    <t>Compra de archivero de plastico para tesoreria</t>
  </si>
  <si>
    <t>Pago de mantenimiento preventico y correctivo a CCTV 3 modulos (recoveco)</t>
  </si>
  <si>
    <t>Pago de mano de obra de mantenimiento preventico y correctivo de CCTV</t>
  </si>
  <si>
    <t>Control de Plagas</t>
  </si>
  <si>
    <t>Pago de fumigación en todo el parque del fraccionamiento por plagas</t>
  </si>
  <si>
    <t>Compra de refrescos para personal delegación poda pasto del parque fraccionam</t>
  </si>
  <si>
    <t>Pago de 450 copias de carta compromiso para la entrega de tarjetas electrónica</t>
  </si>
  <si>
    <t>Pago en apoyo de repartición de tarjetas electrónicas a todo el fraccionamiento</t>
  </si>
  <si>
    <t>Pago de honorarios de captura de datos del 09 al 13 de abril/18</t>
  </si>
  <si>
    <t>Compensación por barrer otras areas del fraccionamiento</t>
  </si>
  <si>
    <t>Pago por recueperación de contraseña de equipo DVR</t>
  </si>
  <si>
    <t>Pago del mes de marzo/18</t>
  </si>
  <si>
    <t>Pago de honorarios del mes de abril/18 cheque #107</t>
  </si>
  <si>
    <t>Pago de retención de IVA del Colegio Carmel de abril/18 cheque # 107</t>
  </si>
  <si>
    <t>Pago por concepto de barrer todo el fracc de lunes a viernes 1er quincena</t>
  </si>
  <si>
    <t>Pago por varios trabajos dentro del fraccionamiento</t>
  </si>
  <si>
    <t>Pago de la 1er quincena por desempeño de Presidenta del fraccionamiento</t>
  </si>
  <si>
    <t>Pago de vigilancia del fraccionamiento de la 1er quincena de abril/18</t>
  </si>
  <si>
    <t>Compra de refrescos para Mesa Directiva entrega de tarjetas a todo el fracc</t>
  </si>
  <si>
    <t>Antes Cortés ahora Asttudillo Ramírez 29/abr/18 GM</t>
  </si>
  <si>
    <t>Astudillo Ramírez</t>
  </si>
  <si>
    <t>Virginia Rendon</t>
  </si>
  <si>
    <t>Pago de honorarios por trabajos de captura del 16 al 20 de abril/18</t>
  </si>
  <si>
    <t>Pago en apoyo domingo de cobranza 22 de abril/18</t>
  </si>
  <si>
    <t>Raúl Cornejo Pérez</t>
  </si>
  <si>
    <t>Pago de 1,290 copias carta informe financiero a todo el fraccionamiento</t>
  </si>
  <si>
    <t>Patrulla 035</t>
  </si>
  <si>
    <t>Compensación por rondines en todo el fraccionamiento entre semana</t>
  </si>
  <si>
    <t>Victor Pérez</t>
  </si>
  <si>
    <t>Pago por recoger pasto podado del parque del fraccionamineto</t>
  </si>
  <si>
    <t>Pago de honorarios por captura de datos del 23 al 27 de abril/18</t>
  </si>
  <si>
    <t>Servicio Vista Hermosa</t>
  </si>
  <si>
    <t>Reparación de chapa de caseta de vigilancia Zinampa</t>
  </si>
  <si>
    <t>Pago en apoyo a cobranza domingo 29 de abril/18</t>
  </si>
  <si>
    <t>Pago por recolección basura en todo el fracc de lunes a viernes 2da quincena abri</t>
  </si>
  <si>
    <t>Pago por barrer todo el fraccionamiento de lunes a viernes 2da. Quincena</t>
  </si>
  <si>
    <t>Pago por trabjas varios en todo el fraccionamiento</t>
  </si>
  <si>
    <t>Pago de la 2da. quincena por desempeño de Presidenta del fraccionamiento</t>
  </si>
  <si>
    <t>Pago de vigilancia del fraccionamiento de la 2da. quincena de abril/18</t>
  </si>
  <si>
    <t>Pago de retención de IVA del Colegio Carmel mes de abril/18</t>
  </si>
  <si>
    <t>Cuota de vigilancia y mantenimiento marzo/18</t>
  </si>
  <si>
    <t>Cuota de vigilancia y mantenimiento feb/mar/18</t>
  </si>
  <si>
    <t>Siegrist Contadores Públicos pago SAT y honorarios contables mar/18</t>
  </si>
  <si>
    <t>Siegrist Contadores Pùblicos pago SAT y honorarios contables febrero/18</t>
  </si>
  <si>
    <t>Cuota de Vigilancia y mantenimiento mar/18</t>
  </si>
  <si>
    <t>Cuota de vigilancia y mantenimineto dic/17 y ene/18</t>
  </si>
  <si>
    <t>Cuota de vigilancia y mantenimiento sep/oct/nov/17</t>
  </si>
  <si>
    <t>Comisión por cheque exped.</t>
  </si>
  <si>
    <t>Cuota de vigilancia y mantenimineto abril/18</t>
  </si>
  <si>
    <t>Cuota de vigilancia y mantenimineto feb/mar/18</t>
  </si>
  <si>
    <t>Cuota de vigilanica y mantenimiento abril/18</t>
  </si>
  <si>
    <t>Siegrist Contadores Públicos pago SAT y honorarios contables abril/18</t>
  </si>
  <si>
    <t>T.E. # 706</t>
  </si>
  <si>
    <t>T.E.# 63580</t>
  </si>
  <si>
    <t>T.E.#711</t>
  </si>
  <si>
    <t>T.E.#712</t>
  </si>
  <si>
    <t>T.E.#710</t>
  </si>
  <si>
    <t>T.E.</t>
  </si>
  <si>
    <t>T.E.#4799718</t>
  </si>
  <si>
    <t>T.E.#25351</t>
  </si>
  <si>
    <t>T.E.#99719</t>
  </si>
  <si>
    <t>Pago de retención de IVA del Colegio Carmel de mayo/18 cheque # 106</t>
  </si>
  <si>
    <t>Pago de honorarios del mes de mayo/18 cheque #106</t>
  </si>
  <si>
    <t>Compensación por rondines de toda la semana en el fraccionamiento</t>
  </si>
  <si>
    <t>Víctor Pérez</t>
  </si>
  <si>
    <t>Pago de mantenimiento preventivo y correctivo a CCTV modulo 4 Estopila</t>
  </si>
  <si>
    <t>Pago de servicio mano de obra a modulo 4 Estopila</t>
  </si>
  <si>
    <t>SEMAR ES 3994</t>
  </si>
  <si>
    <t>Pago de honorarios por captura de datos del 30 al 27 de abril al 04 de mayo/18</t>
  </si>
  <si>
    <t>Compra de juego de ballon y 2 monitores para caseta de Estopila y Recoveco</t>
  </si>
  <si>
    <t>Pago de servicio de mano de obra en casetas Estopila y Recoveco</t>
  </si>
  <si>
    <t>Compra de material de instalacion de cableado</t>
  </si>
  <si>
    <t>Pago de servicio de mano de obra de cableado</t>
  </si>
  <si>
    <t>Pago en apoyo de cobranza del 06 de mayo</t>
  </si>
  <si>
    <t>Compra de papelería para tesorería y presidencia</t>
  </si>
  <si>
    <t>Compra de alimentos para cuadrilla delegación poda pasto del parque fraccionam</t>
  </si>
  <si>
    <t>Compra de pan para cuadrilla delegación poda pasto del parque fraccionamiento</t>
  </si>
  <si>
    <t>Compra de 30 tarjetas UHF GEN2  para acceso vehicular</t>
  </si>
  <si>
    <t>Compra de desechables para evento día de las madres en el kiosco del fraccionam</t>
  </si>
  <si>
    <t>Compra de refrescos y alimento para cuadrilla de delegación poda pasto</t>
  </si>
  <si>
    <t>Pago de honorarios por captura de datos del 07 al 11 de mayo/18</t>
  </si>
  <si>
    <t>HGQ</t>
  </si>
  <si>
    <t>Compra de 2 sombrillas para fraccionamiento mesa de cobranza</t>
  </si>
  <si>
    <t>Pago de telefono del mes de abri/18</t>
  </si>
  <si>
    <t>Compensación por rondines entre semana de todo el fraccionamiento</t>
  </si>
  <si>
    <t>Compra de reloj y pilas para caseta del fraccionamiento</t>
  </si>
  <si>
    <t>Pago de estacionaiento compra de reloj para caseta</t>
  </si>
  <si>
    <t>Pago de estacionamiento visita a Notaría</t>
  </si>
  <si>
    <t>Compra de agua para personal de presidencia</t>
  </si>
  <si>
    <t>Pago por recolección de basura en todo el fracc entre semana 1er quincena</t>
  </si>
  <si>
    <t>Pago por barrer todo el fracc entre semana 1er quincena</t>
  </si>
  <si>
    <t xml:space="preserve">Pago por varios trabajos realizados en el fraccionamiento 1er quincena </t>
  </si>
  <si>
    <t>Pago de la 1er. quincena por desempeño de Presidenta del fraccionamiento</t>
  </si>
  <si>
    <t>Pago de vigilancia del fraccionamiento de la 1er. quincena de mayo/18</t>
  </si>
  <si>
    <t>CIA Operadora de Estacionamientos Mexicanos S.A. de C</t>
  </si>
  <si>
    <t>Pago de estacionamiento visita a banco Afirme</t>
  </si>
  <si>
    <t>Pago de honorarios por captura de datos del 14 al 18 de mayo/18</t>
  </si>
  <si>
    <t>Pago por poda de pasto y árbol de entrada caseta Romeral</t>
  </si>
  <si>
    <t>Pago por pintar barda perimetral del parque y quitar fraffitis</t>
  </si>
  <si>
    <t>Compra de soporte para antena receptora</t>
  </si>
  <si>
    <t>Pago de Servicio de mano de obra colocación de antena receptora</t>
  </si>
  <si>
    <t>Compra de tarjetas de control de acceso vehicular plumas</t>
  </si>
  <si>
    <t>Sergio Escalante</t>
  </si>
  <si>
    <t>Compensación por pintar caseta de vigilancia Romerl</t>
  </si>
  <si>
    <t>Compra de refrescos para vigilancia esa de cobranza de domingo</t>
  </si>
  <si>
    <t>Compra tiempo aire para presidenta del fraccionamiento</t>
  </si>
  <si>
    <t>Compra de quesadillas para mesa de cobranza domingo</t>
  </si>
  <si>
    <t>Pago de honorarios por captura de datos del 21 al 25 de mayo/18</t>
  </si>
  <si>
    <t>Pago por poda de pasto en parque del fracccionamiento entre semana</t>
  </si>
  <si>
    <t>Pago por recolección de pasto podado del parque del fracc entre semana</t>
  </si>
  <si>
    <t>Compra de aceite para desbrozadora de poda pasto del fracc</t>
  </si>
  <si>
    <t>Compra de refrescos para vigilancia</t>
  </si>
  <si>
    <t>Pago de recolección basura entre semana 2da. Quincena de mayo/18</t>
  </si>
  <si>
    <t>Pago por recolección de pasto podado entre semana de la 2da. Quincena mayo/18</t>
  </si>
  <si>
    <t>Pago de varios trabajos realizados en el fraccionamiento 2da. Quincena mayo/18</t>
  </si>
  <si>
    <t>Vega Sánchez</t>
  </si>
  <si>
    <t xml:space="preserve">Lorena González </t>
  </si>
  <si>
    <t>Cuota de Vigilancia y Mantenimiento mayo/18</t>
  </si>
  <si>
    <t>Cuota de Vigilancia y Mantenimiento abril/18</t>
  </si>
  <si>
    <t>Cuota de Vigilancia y Mantenimiento oct/nov/dic/17 $ 400 por mes</t>
  </si>
  <si>
    <t>Lenix Security Alarm, compra de tarjetas eléctronicas, para fraccionamiento</t>
  </si>
  <si>
    <t>Grupo Alguacil Dorado En Seguridad Privada S.A. de C.V. 2da. Quincena</t>
  </si>
  <si>
    <t>T.E.#99721</t>
  </si>
  <si>
    <t>T.E.#99722</t>
  </si>
  <si>
    <t>T.E.#723</t>
  </si>
  <si>
    <t>T.E.#1422</t>
  </si>
  <si>
    <t>T.E.#5596 Y 5597</t>
  </si>
  <si>
    <t>CH# 15 BANCOMER</t>
  </si>
  <si>
    <t>T.E.#5598</t>
  </si>
  <si>
    <t>T.E.#727</t>
  </si>
  <si>
    <t>T.E.# 1089 Y 1090</t>
  </si>
  <si>
    <t>Pago por reparación de cerradura uerta peatonal Estanzuela</t>
  </si>
  <si>
    <t>Pago de honorarios del 28 de mayo al 01 de junio/18</t>
  </si>
  <si>
    <t>Pago 5 videos a solicitud de varios vecinos del fraccionamiento</t>
  </si>
  <si>
    <t>Concepción Silva</t>
  </si>
  <si>
    <t>Compra de bicicleta HIGHSPEED, para fraccionamiento rondines de vigilancia</t>
  </si>
  <si>
    <t>Alejandro Osorio</t>
  </si>
  <si>
    <t>Pago de mano de obra de reparación e plumas electrónicas caset Zinampa</t>
  </si>
  <si>
    <t>Compra de pan para personal de vigilancia del fraccionamiento</t>
  </si>
  <si>
    <t>Todo Ciclismo</t>
  </si>
  <si>
    <t>Pago mano de obra servio a bicileta gris del fraccionaiento</t>
  </si>
  <si>
    <t>Pago mano de obra servicio a bicicleta verde del fraccionamiento</t>
  </si>
  <si>
    <t>Compra 6 garrafones de agua para casetas del fraccionamiento</t>
  </si>
  <si>
    <t>Federico Siegrist Hernández</t>
  </si>
  <si>
    <t>Compra de certificado de folios para facturación</t>
  </si>
  <si>
    <t>Pago de honorarios por captura de datos del 04 al 08 de junio/18</t>
  </si>
  <si>
    <t>Pago de estacionamiento visita banco afirme</t>
  </si>
  <si>
    <t>Pago estacionamiento visita notaría</t>
  </si>
  <si>
    <t>Copy Flash</t>
  </si>
  <si>
    <t>Pago de 223 copias para comunicado de baja de tarjetas para todo el fraccionami</t>
  </si>
  <si>
    <t>Compensación por entrega de volantes a colonos de fraccionamiento</t>
  </si>
  <si>
    <t>Pago por recolección de pasto podado entre seman del parque del fraccionamiento</t>
  </si>
  <si>
    <t>Pago de videos solicitado por vecino de EZ_74</t>
  </si>
  <si>
    <t>Compra de pan para vigilanic del 2do turno</t>
  </si>
  <si>
    <t>Compra de pan para vigilancia del 1er turno</t>
  </si>
  <si>
    <t>Pago de 1 video a solicitud del vecnio LD_75</t>
  </si>
  <si>
    <t>Compra de refrescos para vigilancia del fraccionamiento</t>
  </si>
  <si>
    <t>Compra de refrescos para trabajadores de camaras</t>
  </si>
  <si>
    <t>Pago de mantenimiento y reparacion de plumas Zinampa</t>
  </si>
  <si>
    <t>Pago de servicio y mano de obra</t>
  </si>
  <si>
    <t>Pago por coloción de barrera manual ZB y mantenimiento motor de barrera</t>
  </si>
  <si>
    <t>Pago en apoiyo de cobranza domingo del 10 de junio/18</t>
  </si>
  <si>
    <t>Pago por poda de pasto parque del fraccionamiento</t>
  </si>
  <si>
    <t>Compensación por recolección de pasto podado del prque fraccionamiento</t>
  </si>
  <si>
    <t>Pago desbloqueo de tarjetas electrónicas acceso plumas Zinampa</t>
  </si>
  <si>
    <t>Pago del mes de mayo/18</t>
  </si>
  <si>
    <t>Maria De Lourdes Osorio</t>
  </si>
  <si>
    <t>Pago por varios trabajos en el fraccionameinto</t>
  </si>
  <si>
    <t>Pago de la 1er quincena del mes de junio/18</t>
  </si>
  <si>
    <t>Pago de honorarios por captura de datos del 11 al 15 de junio/18</t>
  </si>
  <si>
    <t>Pago de vigilancia del fraccionamiento de la 1er. quincena de junio/18</t>
  </si>
  <si>
    <t>Pago de vigilancia del fraccionamiento de la 2da. quincena de mayo/18</t>
  </si>
  <si>
    <t>Compra de café y azúcar para personal de vigilancia</t>
  </si>
  <si>
    <t>Compra de pan para vigilantes del fraccionamiento de ambos turnos</t>
  </si>
  <si>
    <t>Compra de café y refrescos para mesa de cobranza domingo cobranza</t>
  </si>
  <si>
    <t>Pago en apoyo de cobranza domingo 17 de junio/18</t>
  </si>
  <si>
    <t>Huatutm</t>
  </si>
  <si>
    <t>Pago de 1 millar de recibos de cobranza para el fraccionamiento</t>
  </si>
  <si>
    <t>Compra de stiker para cambio de folios a recibos de cobranza</t>
  </si>
  <si>
    <t>Compra de refrescos para cuadrilla de luminarias delegación</t>
  </si>
  <si>
    <t>Jarcería La Bodega</t>
  </si>
  <si>
    <t>Patrlla 033</t>
  </si>
  <si>
    <t>Reconfiguración de tarjetas electrónicas (2)</t>
  </si>
  <si>
    <t>T.E.#1092</t>
  </si>
  <si>
    <t>Reconfiguración de tarjetas electrónicas (1)</t>
  </si>
  <si>
    <t>T.E.#1093</t>
  </si>
  <si>
    <t>01--07-18</t>
  </si>
  <si>
    <t>Subway</t>
  </si>
  <si>
    <t>Compra de comida para personal de presidencia visita cerrajero</t>
  </si>
  <si>
    <t>Mega Sur</t>
  </si>
  <si>
    <t>Pago estacionamiento visita cerrajero</t>
  </si>
  <si>
    <t xml:space="preserve">Servicio Iman, S.A. de C.V. </t>
  </si>
  <si>
    <t>Pago gasolina visita a cerrajero</t>
  </si>
  <si>
    <t>Pago de la 1er quincena por recolección de basura en todo el fracc entre semana</t>
  </si>
  <si>
    <t>Pago de la 1er quincena por barrer todo el fracc. Entre semana</t>
  </si>
  <si>
    <t>Compra de refrescos para cadrilla Delegación poda pasto del fraccionamiento</t>
  </si>
  <si>
    <t>Compra de pintura para señalizaciones en Caseta Romeral</t>
  </si>
  <si>
    <t>Pago de honorarios por captura de datos del 18 al 22 de junio/18</t>
  </si>
  <si>
    <t>Compra de tiempo aire para presidencia</t>
  </si>
  <si>
    <t>Compra de refrescos para cuadrilla delegación poda pasto fraccionamiento</t>
  </si>
  <si>
    <t>Compra de refrescos para ingeniero de camaras</t>
  </si>
  <si>
    <t>Pago de servico de mano de obra compostura sensor de masa plumas ZB</t>
  </si>
  <si>
    <t>Compra de refrescos para personal delegación poda de pasto parque fracionamie</t>
  </si>
  <si>
    <t>Compra de quesadillas para personal delegación poda de pasto parque fraccion</t>
  </si>
  <si>
    <t>Pago de estacionamiento asesoria de protocolización de Mesa Directiva</t>
  </si>
  <si>
    <t>Pago de honorarios por captura de datos del 25 al 29 de junio/18</t>
  </si>
  <si>
    <t>Pago de la 2da quincena por recolección de basura en todo el fracc entre semana</t>
  </si>
  <si>
    <t>Pago de la 2da quincena por barrer todo el fracc. Entre semana</t>
  </si>
  <si>
    <t>Pago de la 2da. Quincena de junio/18</t>
  </si>
  <si>
    <t>Pago de vigilancia del fraccionamiento de la 2da. quincena de junio/18</t>
  </si>
  <si>
    <t>Pago de retención de IVA del Colegio Carmel mes de junio/18</t>
  </si>
  <si>
    <t>Pago de vigilancia del fraccionamiento de la 2da. quincena de junio/18 ch. #230</t>
  </si>
  <si>
    <t>Deposito bancario</t>
  </si>
  <si>
    <t>Pago de retención de IVA del Colegio Carmel de junio/18 cheque # 228</t>
  </si>
  <si>
    <t>Pago de honorarios del mes de junio/18 cheque #228</t>
  </si>
  <si>
    <t>T.E.#1095</t>
  </si>
  <si>
    <t>T.E. #1096</t>
  </si>
  <si>
    <t>T.E.#1097</t>
  </si>
  <si>
    <t>T.E.#1099</t>
  </si>
  <si>
    <t>T.E.#1098</t>
  </si>
  <si>
    <t>T.E.#1100</t>
  </si>
  <si>
    <t>31/06/2018</t>
  </si>
  <si>
    <t>Compra de 60 duplicado de llaves para puertas de acceso peatonal fraccionamien</t>
  </si>
  <si>
    <t xml:space="preserve">Benjamín Martínez </t>
  </si>
  <si>
    <t>Compensación en apoyo a Mesa de Cobranza por elecciones del INE</t>
  </si>
  <si>
    <t>Compra de café y refrescos para mesa de cobranza y vigilancia mesa de cobranza</t>
  </si>
  <si>
    <t>Compensación por pintar lineas y topes de señalamientos caseta Romeral</t>
  </si>
  <si>
    <t>Cosme Gil Pérez</t>
  </si>
  <si>
    <t>René Joel Gil Pérez</t>
  </si>
  <si>
    <t>Compra de refrescos para personal de vigilancia por pintar señalizaciones</t>
  </si>
  <si>
    <t>Compensación por barrer entradas del fracc de RV, EP  y RM</t>
  </si>
  <si>
    <t>Pago por poda pasto de caseta de vigilancia Zinampa</t>
  </si>
  <si>
    <t>Compra de refrescos para personal de vigilancia del fraccionamiento</t>
  </si>
  <si>
    <t>Compra de transformador de 12v para leds de barrera de salida caseta ZB</t>
  </si>
  <si>
    <t>Pago de mano de obra por colocación de transformador caseta ZB</t>
  </si>
  <si>
    <t>Patrulla 029</t>
  </si>
  <si>
    <t>Pago de honorarios por captura de datos del 02 al 06 de julio/18</t>
  </si>
  <si>
    <t>Compra de azucar para vigilantes del fraccionamiento</t>
  </si>
  <si>
    <t>Pago por recolección de basura en fin de seman del fraccionamiento</t>
  </si>
  <si>
    <t xml:space="preserve">Café Sirena, S. de R.L. de C.V. </t>
  </si>
  <si>
    <t>Compra de tamales para mesa de cobranza domingo</t>
  </si>
  <si>
    <t>Compra de refrescos junta mesa directiva y vigilancia</t>
  </si>
  <si>
    <t>Compra de repuesto de pluma para barrera de salida caseta Zinampa</t>
  </si>
  <si>
    <t>Pago de mano de obra por colocar repuesto para barrera de salida caseta ZB</t>
  </si>
  <si>
    <t>Pago por poda de pasto del parque del fracc y recolección del mismo</t>
  </si>
  <si>
    <t>Pago por reparación chapa de acceso de Rancho Landero</t>
  </si>
  <si>
    <t>Compra de cadena eslabón para barreras de acceso caseta Zinampa</t>
  </si>
  <si>
    <t>Compra de café para caseta de vigilancia</t>
  </si>
  <si>
    <t>Inka Yani</t>
  </si>
  <si>
    <t>Compra de café para presidencia</t>
  </si>
  <si>
    <t>Compensación por impermeabilizar casetas de vigilancia RM y ZB</t>
  </si>
  <si>
    <t>Pago de honorarios por captura de datos del 09 al 13 de julio/18</t>
  </si>
  <si>
    <t>Pago del mes de junio/18</t>
  </si>
  <si>
    <t>Sportibici, S.A. de C.V.</t>
  </si>
  <si>
    <t>Compra de tamales para personal de vigilancia del fraccionamiento</t>
  </si>
  <si>
    <t>Pago por recolección de pasto podado entre semana del parque fraccionamiento</t>
  </si>
  <si>
    <t>Pago por barrer todo el fracc de lunes a viernes 1er quincena julio/18</t>
  </si>
  <si>
    <t>Pago de la 1er quincena de julio/18 por puesto de presidencia</t>
  </si>
  <si>
    <t>Pago de vigilancia del fraccionamiento de la 1er. quincena de julio/18</t>
  </si>
  <si>
    <t>Compra de tamales para junta de mesa directiva y vigilancia</t>
  </si>
  <si>
    <t>Compra de agua para personal de mesa directiva compra de varios para fracc</t>
  </si>
  <si>
    <t>Compra de café para personal de mesa directiva compra varios para fraccionamie</t>
  </si>
  <si>
    <t>Pago de retención de IVA del Colegio Carmel de julio/18 cheque # 229</t>
  </si>
  <si>
    <t>Pago de honorarios del mes de julio/18 cheque #229</t>
  </si>
  <si>
    <t>Compra de papelería para mesa directiva y tesorería asuntos del fraccionamiento</t>
  </si>
  <si>
    <t>Pago de honorarios por captura de datos del 16 al 20 de julio/18</t>
  </si>
  <si>
    <t>Compensación por reparti circulares de imforme financiero para colonos fracciona</t>
  </si>
  <si>
    <t>Pago por recolección de basura en todo el fraccionamiento en fin de semana</t>
  </si>
  <si>
    <t>Compra de café para personal de mesa cobranza domingos</t>
  </si>
  <si>
    <t>Rubén Leonardo Villarruel</t>
  </si>
  <si>
    <t>Pago por arreglo de bicibletas de vigilancia rondines del fraccionamiento</t>
  </si>
  <si>
    <t>Pago por poda de pasto toda la semana parque del fraccionamiento</t>
  </si>
  <si>
    <t>Compensación por recolección de pasto podado odel parque fraccionamiento</t>
  </si>
  <si>
    <t>Compra de hilo para desbrozadora para poda parque fraccionamiento</t>
  </si>
  <si>
    <t>Compra de gasolina para desbrozadora poda parque fraccionamiento</t>
  </si>
  <si>
    <t>Compensación por cortar y barrer pasto caseta Recoveco</t>
  </si>
  <si>
    <t>Compensación por quitar propaganda de rejas de todo el fraccionamiento</t>
  </si>
  <si>
    <t>Compra de cable de acero, casquillos y candados para puertas del fraccionamiento</t>
  </si>
  <si>
    <t>Pago de honorarios por captura de datos del 24 al 28 de julio/18</t>
  </si>
  <si>
    <t>Compra de quesadillas para personal de vigilancia del fraccionamiento</t>
  </si>
  <si>
    <t>Pago por recolección de basura en fin de semana en todo el fraccionamiento</t>
  </si>
  <si>
    <t>Compra de café para personal de mesa de cobraza domingo</t>
  </si>
  <si>
    <t>Compra de gasolina para desbrozadora poda del fraccionamiento</t>
  </si>
  <si>
    <t>Compra para desbrozadora para poda del parque fraccionamiento</t>
  </si>
  <si>
    <t>Pago en apoyo cobranza del domingo 30 de julio/18</t>
  </si>
  <si>
    <t>Pago por barrer todo el fracc de lunes a viernes 2da. Qincena julio/18</t>
  </si>
  <si>
    <t>Pago a/c de vigilancia del fraccionamiento de la 2da quincena de julio/18</t>
  </si>
  <si>
    <t>Pago de varios trabajos del fraccionamiento 2da. Quincena</t>
  </si>
  <si>
    <t xml:space="preserve">Pago de la 2da. Quincena </t>
  </si>
  <si>
    <t>Pago de la 2da. quincena de julio/18 por puesto de presidencia</t>
  </si>
  <si>
    <t>T.E.#1101</t>
  </si>
  <si>
    <t>Pago de retención de IVA del Colegio Carmel mes de juLio/18</t>
  </si>
  <si>
    <t>T.E.#1102</t>
  </si>
  <si>
    <t>T.E.# 1103 Y 1104</t>
  </si>
  <si>
    <t>T.E.# 5599 720</t>
  </si>
  <si>
    <t>T.E. # 1087 y 1088</t>
  </si>
  <si>
    <t>T.E.#1105</t>
  </si>
  <si>
    <t>T.E.#1106</t>
  </si>
  <si>
    <t>T.E.#1107</t>
  </si>
  <si>
    <t>T.E.#1108</t>
  </si>
  <si>
    <t>Compra de regulado (No Break) para caseta de Zinampa</t>
  </si>
  <si>
    <t>Pago mano de obra en colocación de No Break en caseta de Zinampa</t>
  </si>
  <si>
    <t>Pago de copias información del fraccionamiento pegado en casetas</t>
  </si>
  <si>
    <t>Pago de enmicado de comunicado pegado en casetas para fraccionamiento</t>
  </si>
  <si>
    <t>Pago de aguas para personal delegación revisión de banquetas participación ciuda</t>
  </si>
  <si>
    <t>Pago de honorarios por trabajos de ingresos y egreso del 30 jul al 03 ago/18</t>
  </si>
  <si>
    <t>Compensación por desyerbar y barrer puertas de acceso en Estopila</t>
  </si>
  <si>
    <t>Compra de refrescos para personal de vigilancia</t>
  </si>
  <si>
    <t>Compra de refrescos para personal de vigilancia cobranza domingo</t>
  </si>
  <si>
    <t>Compra de café para personal mesa de cobranza domingo</t>
  </si>
  <si>
    <t>Compra de unirapid express plastilina univ. Compostura lavabo caseta Romeral</t>
  </si>
  <si>
    <t>Pago de mano de obra en colocación de DVR en caseta Zinampa</t>
  </si>
  <si>
    <t>Pago por activación de tarjetas electrónicas de vecinos del fraccionamiento</t>
  </si>
  <si>
    <t>Compra de café para junta de Mesa Directiva</t>
  </si>
  <si>
    <t xml:space="preserve">Compra de café para personal delegación personal de luminarías </t>
  </si>
  <si>
    <t>Compra de materiales de limpieza para casetas del fraccionamiento</t>
  </si>
  <si>
    <t>Cremería Airam</t>
  </si>
  <si>
    <t>Compra de refrescos y galletas para personal de vigilancia del fraccionamiento</t>
  </si>
  <si>
    <t>Pago de retención de IVA del Colegio Carmel de agosto/18 cheque # 230</t>
  </si>
  <si>
    <t>Pago de honorarios del mes de agosto/18 cheque #230</t>
  </si>
  <si>
    <t>Compensación por barrer entrada de acceso de Estopila y Recoveco entre semana</t>
  </si>
  <si>
    <t>Compra de refrescos para persona delegación luminarias</t>
  </si>
  <si>
    <t>Pago por 1 video solicitado para evento con vigilancia y visitante presidencia</t>
  </si>
  <si>
    <t>Compra de refrescos para personal vigilancia domingo cobranza</t>
  </si>
  <si>
    <t>Compra de refrescos para personal mesa de cobranza domingo</t>
  </si>
  <si>
    <t>Pago por 1 video a solicitud de vecino Estanzuela 11A por robo a su casa</t>
  </si>
  <si>
    <t>Compra de refrescos a personal delegación luminarias del fraccionamiento</t>
  </si>
  <si>
    <t>Pago de 5 garrafones de agua para casetas del fraccionamiento</t>
  </si>
  <si>
    <t>Pago de mano de obra a plumas de caseta de Zinamapa</t>
  </si>
  <si>
    <t>Pago telefono del mes de julio/18 del faccionamento casetas</t>
  </si>
  <si>
    <t>Compra de perros 3/8 colocación cable de acero protección salida puerta CL</t>
  </si>
  <si>
    <t>Compra de perros 3/8 colocación cable de acero protección salida puerta UP</t>
  </si>
  <si>
    <t xml:space="preserve">Rodrigo Alvárez </t>
  </si>
  <si>
    <t>Pago por colocar cable de acero en salida de emergencia de CL y UP</t>
  </si>
  <si>
    <t>Pago por soldar varilla argolla para tubo colocación de cable de acero salidas</t>
  </si>
  <si>
    <t>Pago por barrer todo el fraccionamiento de lunes a viernes 1er quincena ago/18</t>
  </si>
  <si>
    <t>Pago  de vigilancia del fraccionamiento de la 1er quincena de agosto/18</t>
  </si>
  <si>
    <t>Pago de 200 copias para informe a todo el fraccionamiento robo de Estanzuela</t>
  </si>
  <si>
    <t>Compensación por reparti volantes a colonos del fraccionamiento</t>
  </si>
  <si>
    <t>Servico El Hueso, S.A. de C.V.</t>
  </si>
  <si>
    <t>Pago de gasolina presidencia varias diligencias del fraccionamiento7</t>
  </si>
  <si>
    <t>Pago de honorarios por trabajos de captura de datos del 13 al 17 de agosto/18</t>
  </si>
  <si>
    <t>Pago de honorarios por trabajos de captura de datos del 06 al 10 de agosto/18</t>
  </si>
  <si>
    <t>Compra de pan para vigilancia del 2do turno</t>
  </si>
  <si>
    <t>Compra de café para personal de mesa de cobranza domingo</t>
  </si>
  <si>
    <t>Pago en apoyo cobranza del domingo 19 de agosto/18</t>
  </si>
  <si>
    <t>Compra de chicharrón para personal delegación reparaciónes de banquetas</t>
  </si>
  <si>
    <t>T.E.#1109</t>
  </si>
  <si>
    <t>T.E.#1111</t>
  </si>
  <si>
    <t>T.E.#1112</t>
  </si>
  <si>
    <t>Pastelería La Esperanza S.A. de C.V.</t>
  </si>
  <si>
    <t>Compra de pan para tortas cuadrilla delegación poda pasto del parque fraccionam</t>
  </si>
  <si>
    <t>Compra de tamales para cuadrilla delegación poda de pasto fraccionamiento</t>
  </si>
  <si>
    <t>Compra de bolillos para tortas cuadrilla delegación poda pasto del fraccionamiento</t>
  </si>
  <si>
    <t>Pago de honorarios por trabajos de captura de datos del 20 al 24 de agosto/18</t>
  </si>
  <si>
    <t>Compra de cinta precaución para banquetas</t>
  </si>
  <si>
    <t>Pago de recolección de basura fin de semana en todo el fraccionamiento</t>
  </si>
  <si>
    <t>Compra de gorditas para personal delegación poda pasto del fraccionamiento</t>
  </si>
  <si>
    <t>Compra de refrescos para personal delegacón poda pasto del fraccionamiento</t>
  </si>
  <si>
    <t>Carlos Chávez</t>
  </si>
  <si>
    <t>Pago por desayunos a cuadrilla delegación por poda pasto del fraccionamiento</t>
  </si>
  <si>
    <t>Pago de tamales para cuadrilla delegación por poda pasto del fraccionamiento</t>
  </si>
  <si>
    <t>Compra de refrescos y desechables para cuadrilla deleción poda pasto fracc.</t>
  </si>
  <si>
    <t>Compra de jamón para tortas cuadrilla delegación poda pasto del parque fracc.</t>
  </si>
  <si>
    <t>Pago de honorarios por trabajos de captura de datos del 27 al 31 de agosto/18</t>
  </si>
  <si>
    <t>Pago por recolección de basura en todo el fracc. De lunes a viernes 2da quincena</t>
  </si>
  <si>
    <t>Pago por barrer todo el fracc. De lunes a viernes 2da quincena agosto/18</t>
  </si>
  <si>
    <t>Pago de la 2da. Quincena de agosto/18</t>
  </si>
  <si>
    <t>Pago de varios trabajos del fraccionamiento 2da. Quincena de agosto/18</t>
  </si>
  <si>
    <t>Pago a/c de vigilancia del fraccionamiento de la 2da quincena de agosto/18</t>
  </si>
  <si>
    <t>Pago liq. De vigilancia del fraccionamiento de la 2da quincena de agosto/18 cheq.</t>
  </si>
  <si>
    <t>Pago de retención de IVA del Colegio Carmel mes de agosto/18</t>
  </si>
  <si>
    <t>T.E.#1113</t>
  </si>
  <si>
    <t>T.E.#1115</t>
  </si>
  <si>
    <t>T.E.#1116</t>
  </si>
  <si>
    <t>RV_174_</t>
  </si>
  <si>
    <t>Rancho Recoveco No. 174</t>
  </si>
  <si>
    <t>Cruz Chavarría</t>
  </si>
  <si>
    <t>Agregado el 09/09/18 GMS</t>
  </si>
  <si>
    <t>RV_174</t>
  </si>
  <si>
    <t>T.E.#1117</t>
  </si>
  <si>
    <t>Cuota de Vigilancia y Mantenimiento junio/18</t>
  </si>
  <si>
    <t>Cutora de Vigilancia y Mantenimiento ene/feb/mar/18</t>
  </si>
  <si>
    <t>Siegrist Contadores Públicos pago SAT y honorarios contables junio/18</t>
  </si>
  <si>
    <t>Siegrist Contadores Públicos pago SAT y honorarios contables mayo/18</t>
  </si>
  <si>
    <t>Grupo Alguacil Dorado En Seguridad Privada S.A. de C.V. 2da. Quincena a/c</t>
  </si>
  <si>
    <t>Cuota de Vigilancia y Mantenimiento julio/18</t>
  </si>
  <si>
    <t>Siegrist Contadores Públicos pago SAT y honorarios contables julio/18</t>
  </si>
  <si>
    <t>Grupo Alguacil Dorado En Seguridad Privada S.A. de C.V. liq. 2da. Quincena</t>
  </si>
  <si>
    <t>Cuota de Vigilancia y Mantenimiento agosto/18</t>
  </si>
  <si>
    <t>Cuota de Vigilancia y Mantenimiento abr/may/jun/jul/ago/18</t>
  </si>
  <si>
    <t>Siegrist Contadores Públicos pago SAT y honorarios contables agosto/18</t>
  </si>
  <si>
    <t>Cuota de Vigilancia y Mantenimiento jul/ago/18</t>
  </si>
  <si>
    <t>G_HTCB</t>
  </si>
  <si>
    <t>T.E.#39</t>
  </si>
  <si>
    <t>T.E. #1119</t>
  </si>
  <si>
    <t>Santoyo</t>
  </si>
  <si>
    <t>Se cambio de familia 24/09/18 GMS</t>
  </si>
  <si>
    <t>Cruz Vallejo</t>
  </si>
  <si>
    <t>Pago por recolección de basura en fin de samana en todo el fraccionamiento</t>
  </si>
  <si>
    <t>Compra de café para personal de cobranza domingo de cobranza</t>
  </si>
  <si>
    <t>Panadería La Esperanza, S.A. de C.V.</t>
  </si>
  <si>
    <t>Compra de bolillo para personal delegación poda pasto del fraccionamiento</t>
  </si>
  <si>
    <t>Compra de tamales para personal delegación poda pasto del parque fracccionam</t>
  </si>
  <si>
    <t>Compensación de poda de árboles entrada Romeral</t>
  </si>
  <si>
    <t xml:space="preserve">Compra de café para junta Mesa Directiva   </t>
  </si>
  <si>
    <t>Bomberos</t>
  </si>
  <si>
    <t>Compensación en apoyo de árbol caido en el parque del fraccionamiento</t>
  </si>
  <si>
    <t>Compensación en rondines al fraccionamiento entre semana</t>
  </si>
  <si>
    <t>Pago de mano de obra en cambio y colocación de camaras en caseta Zinampa</t>
  </si>
  <si>
    <t>Compra de 3 camaras Tubox HD para caseta Zinampa del fraccionamiento</t>
  </si>
  <si>
    <t>Pago por poda pasto en entrada de caseta Romeral</t>
  </si>
  <si>
    <t>Compra de espejo Concavo 40 cms. Para calle de Romeral y Zinampa</t>
  </si>
  <si>
    <t>Pago de mano de obra y colocación de espejo concavo para calle RM y ZB</t>
  </si>
  <si>
    <t>Pago colocación de tubo para pluma manual de acceso en caseta Zinampa</t>
  </si>
  <si>
    <t>Compra de pan para vigilancia ambos turnos</t>
  </si>
  <si>
    <t>Compra de comida para personal de vigilancia ambos turnos</t>
  </si>
  <si>
    <t>Compra de papalería para presidencia y tesoreria</t>
  </si>
  <si>
    <t>Compra de plastico negro para cubrir bicicletas del fraccionamiento de la lluvia</t>
  </si>
  <si>
    <t>Compra de adornos fiestas patrias para kiosco del parque fraccionamiento</t>
  </si>
  <si>
    <t>Pago de honorarios por captura de datos del 03 al 07 de septiembre/18</t>
  </si>
  <si>
    <t>Pago de copias de volantes para informes al fraccionaiento vecinos morosos</t>
  </si>
  <si>
    <t>Compra de refrescos parra cuadrilla delegación recoger árbol caido</t>
  </si>
  <si>
    <t>Compra de block de remisión</t>
  </si>
  <si>
    <t>Compra de refrescos para vigilanciia</t>
  </si>
  <si>
    <t>Pago de telefono casetas fraccionamiento mes de agosto/18</t>
  </si>
  <si>
    <t>Pago de honorarios por captura de datos del 10 al 14 de septiembre/18</t>
  </si>
  <si>
    <t>Pago a/c de la 1er quincena de septiembre/18 vigilancia del fraccionamiento</t>
  </si>
  <si>
    <t>Pago por recolección de basura de lunes a viernes 1er quincena septiembre/18</t>
  </si>
  <si>
    <t>Pago por barrer todo el fraccionamiento 1er quincena de septiembre/18</t>
  </si>
  <si>
    <t>Pago por varios trabajos en el fraccionamiento 1er quincena septiembre/18</t>
  </si>
  <si>
    <t>Pago por trabajos de presidencia 1er quincena septiembre/18</t>
  </si>
  <si>
    <t>Pago liq. De vigilancia del fraccionamiento de la 1er quincena de septiembre/18</t>
  </si>
  <si>
    <t>Flor de Maíz</t>
  </si>
  <si>
    <t>Compra de 5 pozoles para vigilancia cena del 15 de septiembre/18</t>
  </si>
  <si>
    <t>Compra de refrescos para vigilancia cena del 15 de septiembre/18</t>
  </si>
  <si>
    <t>Pan y Pastelería La Esperanza, S.A. de C.V.</t>
  </si>
  <si>
    <t>Compra de tostada para vigilancia cena del 15 de septiembre</t>
  </si>
  <si>
    <t>Compra de refrescos para vigilancia cobranza domingo</t>
  </si>
  <si>
    <t xml:space="preserve">Compra de papel higienico para vigilancia </t>
  </si>
  <si>
    <t>Pago por apoyo a cobranza del domingo 16 de septiembre</t>
  </si>
  <si>
    <t>Pago de desayuno Mesa Directiva asuntos notaria 160 protocolización del fraccion</t>
  </si>
  <si>
    <t>Estacionamiento San José</t>
  </si>
  <si>
    <t>Pago de estacionamiento visita a notaria 160 asunto protocolización fraccionamien</t>
  </si>
  <si>
    <t>Pago de honorarios del 17 al 21 de septiembre/18</t>
  </si>
  <si>
    <t>Papelería Omega</t>
  </si>
  <si>
    <t>Compra de pan para vigilancia del fraccionamiento</t>
  </si>
  <si>
    <t>Pago de honorarios por captura de datos del 24 al 28 de septiembre/18</t>
  </si>
  <si>
    <t>Pago a/c de la 2da. Quinena septiembre/18 pago vigilancia del fraccionamiento</t>
  </si>
  <si>
    <t>Compra de café para personal de Mesa Directiva visita a notario 160 protocolizaci</t>
  </si>
  <si>
    <t>Pago de estacionamiento visita notario, asunto protocolización fraccionamiento</t>
  </si>
  <si>
    <t>Compensación por barrer entradas de acceso Estopila y Recoveco</t>
  </si>
  <si>
    <t xml:space="preserve">Compra de café para personal de cobranza domingo </t>
  </si>
  <si>
    <t>Pago por recolección de basura de lunes a viernes 2da. quincena septiembre/18</t>
  </si>
  <si>
    <t>Pago por barrer todo el fraccionamiento de lunes a vienres 2da. Quincena sep/18</t>
  </si>
  <si>
    <t>Pago por varios trabajos en el fraccionamiento 2da. quincena septiembre/18</t>
  </si>
  <si>
    <t>Pago por trabajos de presidencia 2da. quincena septiembre/18</t>
  </si>
  <si>
    <t>Pago a/c de la 2da. Quincena de septiembre/18 por vigilancia del fraccionamien</t>
  </si>
  <si>
    <t>T.E.#1120</t>
  </si>
  <si>
    <t>25--09-18</t>
  </si>
  <si>
    <t>T.E.#1121 Y 1122</t>
  </si>
  <si>
    <t>T.E.#1123</t>
  </si>
  <si>
    <t>T.E.#1124</t>
  </si>
  <si>
    <t>Cómisión por no mantener saldo minimo mensual requerido el 20/09/18</t>
  </si>
  <si>
    <t xml:space="preserve">I.V.A. por comisión por no mantener saldo minimo mensual </t>
  </si>
  <si>
    <t>Pago de retención de IVA del Colegio Carmel de septiembre/18 cheque # 235</t>
  </si>
  <si>
    <t>Pago de honorarios del mes de septiembre/18 cheque #235</t>
  </si>
  <si>
    <t>Cuota de Vigilancia y Mantenimiento septiembre/18</t>
  </si>
  <si>
    <t>Siegris Contadores Públicos pago SAT y honorarios contables septiembre/18</t>
  </si>
  <si>
    <t>Cuota de Vigilancia y Manenimiento mes de agosto/18</t>
  </si>
  <si>
    <t>Cuota de Vigilancia y Mantenimiento mes septiembre/18</t>
  </si>
  <si>
    <t>Comisión por no mantener saldo promedio minimo mensual requerido</t>
  </si>
  <si>
    <t>I.V.A. por comisión por no mantener saldo promedio minimo mensual</t>
  </si>
  <si>
    <t>I.V.A. por comisión exped.</t>
  </si>
  <si>
    <t>cambió familia de Fernández García a Montes de Oca</t>
  </si>
  <si>
    <t>T.E.#1125</t>
  </si>
  <si>
    <t>07-10--18</t>
  </si>
  <si>
    <t>T.E.#1126 Y1127</t>
  </si>
  <si>
    <t>T.E.#1128</t>
  </si>
  <si>
    <t>T.E.#1129</t>
  </si>
  <si>
    <t>T.E.#1131</t>
  </si>
  <si>
    <t>T.E. #1130</t>
  </si>
  <si>
    <t>Pago de 2 camaras por choque de automivil en poste de ZB y RM</t>
  </si>
  <si>
    <t>Antes Jacobo Monrroy ahora Hernànez Orteales 21/10/18 GMS</t>
  </si>
  <si>
    <t>Hernàndez Orteales</t>
  </si>
  <si>
    <t>T.E.#1132 Y 1133</t>
  </si>
  <si>
    <t>UP_94_PA</t>
  </si>
  <si>
    <t>Pago 3 stiker</t>
  </si>
  <si>
    <t>28-10--18</t>
  </si>
  <si>
    <t>Pago de 4 Stiker</t>
  </si>
  <si>
    <t>Pago de 1 Stiker</t>
  </si>
  <si>
    <t>Cheque #919 HSBC</t>
  </si>
  <si>
    <t>Pago de 2 Stiker</t>
  </si>
  <si>
    <t>Pago de 3 Stiker</t>
  </si>
  <si>
    <t>Rancho Upácuaro No. 94 PA</t>
  </si>
  <si>
    <t>Ponce</t>
  </si>
  <si>
    <t>Empezo apagar el 15 de octubre/18 GMS</t>
  </si>
  <si>
    <t xml:space="preserve">Rancho Upácuaro No. 94 </t>
  </si>
  <si>
    <t>Pago liq. De la segunga quincena del mes de septiembre/18</t>
  </si>
  <si>
    <t>Compensación por reparación de alumbrado en varias calles por choque auto fracc</t>
  </si>
  <si>
    <t>Compra de botanas para vigilancia del fraccionamiento</t>
  </si>
  <si>
    <t>Compensación en apoyo por quitar panal de avispas en carcasa camarás Upacuaro</t>
  </si>
  <si>
    <t>Rodrigo Hernández</t>
  </si>
  <si>
    <t>Compensación en apoyo a Bomberos para quitar panal de avispas en camaras</t>
  </si>
  <si>
    <t>Pago de mano de obra en colocación de camaras que se dañaron en coche automo</t>
  </si>
  <si>
    <t>Compensación por podar y barrer psto del fraccionamiento</t>
  </si>
  <si>
    <t>Bee Bike Club</t>
  </si>
  <si>
    <t>Pago de refacciones para bicicleta del fraccionamiento</t>
  </si>
  <si>
    <t>Pago de servico completo a bicilceta del fraccionamiento</t>
  </si>
  <si>
    <t>Pago de servicio completo a bicicleta del fraccionamiento</t>
  </si>
  <si>
    <t>Pago de honorarios por captura de datos del 01 al 05 de octubre/18</t>
  </si>
  <si>
    <t>Distribuidora El  Bollo Cafetales, S.A. de C.V.</t>
  </si>
  <si>
    <t>Compra de insecticida para carcasa de camaras del fraccionamiento</t>
  </si>
  <si>
    <t>Pago por recolección de pasto podado en parque del fraccionamiento</t>
  </si>
  <si>
    <t>Compra de agua y refrescos para Mesa de Cobranza domigos</t>
  </si>
  <si>
    <t>Pago de mano de obra por colocacón de 2 camaras en Zinampa y Recoveco</t>
  </si>
  <si>
    <t>Compra de 2 camaras en reposición de camaras dañas en accidente automovilisti</t>
  </si>
  <si>
    <t>Compra de refrescos para personal ingeniero y trabajadores reparación camaras</t>
  </si>
  <si>
    <t>Compra de 1/2 metro de malla para camaras de acceso de plumas del fraccionam</t>
  </si>
  <si>
    <t>Compra de café para Mesa Directiva</t>
  </si>
  <si>
    <t>Compra de café para vigilancia del fraccionamiento</t>
  </si>
  <si>
    <t>Pago por poda de pasto caseta Zinampa del fraccionamiento y gasolina</t>
  </si>
  <si>
    <t>Compra de carnitas y chicharron para personal delegación poda pasto fraccionami</t>
  </si>
  <si>
    <t>Pago del telefono del mes de septiembre 18 del fraccionamiento</t>
  </si>
  <si>
    <t>Pago de honorarios por captura de datos del 08 al 12 de Octubre/18</t>
  </si>
  <si>
    <t>Pago de lapiz adhesivo dixon para presidencia</t>
  </si>
  <si>
    <t>Pago por recolección de basura en fin de semana de</t>
  </si>
  <si>
    <t>Compra de contactos y cinta de aislar para caseta de Romeral</t>
  </si>
  <si>
    <t>Pago de mano de obra revisión de pluma de acceso de caseta Zinampa</t>
  </si>
  <si>
    <t>Compra de refrescos para cuadrilla de personal delegación poda pasto fraccionam</t>
  </si>
  <si>
    <t>Panería La Esperanza, S.A. de C.V.</t>
  </si>
  <si>
    <t>Pago por recolección de basura de lunes a viernes 1er quincena octubre/18</t>
  </si>
  <si>
    <t>Pago por barrer todo el fracc de lunes a viernes 1er quincena octubre/18</t>
  </si>
  <si>
    <t>Pago por varios trabajos en el fraccionamiento 1er quincena octubre/18</t>
  </si>
  <si>
    <t>Pago por trabajos de presidencia 1er quincena octubre/18</t>
  </si>
  <si>
    <t>Pago a/c de la 1er. Quincena de octubre/18 por vigilancia del fraccionamien</t>
  </si>
  <si>
    <t xml:space="preserve">Compra de frijoles para prsonal delegación </t>
  </si>
  <si>
    <t>Compra de desechables para darle de comer a cuadrilla de poda pasto fraccionam</t>
  </si>
  <si>
    <t>Compra de varios para personal delegación poda de pasto fraccionamiento</t>
  </si>
  <si>
    <t>Compra de mas chicharrón para cuadrilla delegación poda pasto mas personal</t>
  </si>
  <si>
    <t>Compra de charolas para comida de personal delegación poda pasto</t>
  </si>
  <si>
    <t>Pago de honorarios del mes de octubre/18 cheque #236</t>
  </si>
  <si>
    <t>Pago de retención de IVA del Colegio Carmel de octubre/18 cheque # 236</t>
  </si>
  <si>
    <t>Pago de honorarios por captura de datos del 15 al 19 de octubre/18</t>
  </si>
  <si>
    <t>Compra de tiempo aire para celurar de presidencia</t>
  </si>
  <si>
    <t>Pago liq. De la 1er. Quincena de octubre/18 por vigilancia del fraccionamiento</t>
  </si>
  <si>
    <t>Compra de carnitas para cuadrilla delegación poda pasto del parque fraccionamien</t>
  </si>
  <si>
    <t>Pago en apoyo de cobranza domingo 21 de octubre/17</t>
  </si>
  <si>
    <t>Compra de gasolina para desbrozadora delegación poda pasto parque fraccionami</t>
  </si>
  <si>
    <t>Florería</t>
  </si>
  <si>
    <t>Compra de arreglo floral para Sr Baldemar Sala, fallecimiento</t>
  </si>
  <si>
    <t>Pago de honorarios por captura de datos del 22 al 26 de octubre/18</t>
  </si>
  <si>
    <t>Pago de 335 copias carta para informe a todo el fraccionamiento</t>
  </si>
  <si>
    <t>Compensación por barrer kiosco y explanada para colocación ofrenda dia muertos</t>
  </si>
  <si>
    <t>Compensación por repartir volantes a todo el fraccionamiento información</t>
  </si>
  <si>
    <t>Compensación barrer y recoger pasto podado del parque fraccionamiento</t>
  </si>
  <si>
    <t>Pago por bloqueo de tarjetas de vecinos morosos</t>
  </si>
  <si>
    <t>Pago de mantenimiento correctivo a barreras de caseta Zinampa</t>
  </si>
  <si>
    <t>Pago de 200 copias para informe a todo el fraccionamiento asunto urgente</t>
  </si>
  <si>
    <t>Compensación por reparti volantes información urgenta a todo el fraccionamiento</t>
  </si>
  <si>
    <t>Compra de dulces para niños en el festojo del día de muertos del fraccionanmiento</t>
  </si>
  <si>
    <t>Papelería El Grillo</t>
  </si>
  <si>
    <t>Compra de papel crepe y papel picado para ofrenda del kiosco día de muertos</t>
  </si>
  <si>
    <t>Compra de flor de cempasuchitl para ofrenda kiosco del fraccionamiento día muer</t>
  </si>
  <si>
    <t>Las Teresittas del Sur</t>
  </si>
  <si>
    <t>Compra de desayuno para personal mesa directiva colocación de ofrensa kiosco</t>
  </si>
  <si>
    <t>Compensación especial por barrer extras en las afueras del fraccionamiento</t>
  </si>
  <si>
    <t>Dulcería Gabrielin</t>
  </si>
  <si>
    <t>Compra de bolsas para repartir dulces a niños el día de muertos</t>
  </si>
  <si>
    <t>Compra de pan de muerto para ofrenda del kiosco fraccionamiento</t>
  </si>
  <si>
    <t>Mercado de San Judas Tadeo</t>
  </si>
  <si>
    <t>Pago por recolección de basura de lunes a viernes 2da. Quincena octubre/18</t>
  </si>
  <si>
    <t>Pago por barrer todo el fracc de lunes a viernes de la 2da. Quincena octubre/18</t>
  </si>
  <si>
    <t>Pago por varios trabajos en el fraccionamiento de la 2da. Quincena octubre/18</t>
  </si>
  <si>
    <t>Pago por trabajos de presidencia 2da.  quincena octubre/18</t>
  </si>
  <si>
    <t>Pago a/c de la 2da. Quincena de octubre/18 por vigilancia del fraccionamien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</si>
</sst>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164" formatCode="#,##0.00;[Red]#,##0.00"/>
    <numFmt numFmtId="165" formatCode=";;;"/>
    <numFmt numFmtId="166" formatCode="#,##0.00;[Red]\(#,##0.00\)"/>
    <numFmt numFmtId="167" formatCode="#,##0.0;[Red]\(#,##0.0\)"/>
    <numFmt numFmtId="168" formatCode="0#########"/>
    <numFmt numFmtId="169" formatCode="dd/mmm/yy"/>
    <numFmt numFmtId="170" formatCode="#,###.00;[Red]\(#,###.00\)"/>
    <numFmt numFmtId="171" formatCode="dd/mmm/yyyy"/>
  </numFmts>
  <fonts count="3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2"/>
      <color theme="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Tahoma"/>
      <family val="2"/>
    </font>
    <font>
      <i/>
      <sz val="9"/>
      <color indexed="81"/>
      <name val="Tahoma"/>
      <family val="2"/>
    </font>
    <font>
      <i/>
      <sz val="14"/>
      <color theme="0"/>
      <name val="Tahoma"/>
      <family val="2"/>
    </font>
    <font>
      <sz val="9"/>
      <color theme="1"/>
      <name val="Tahoma"/>
      <family val="2"/>
    </font>
    <font>
      <vertAlign val="superscript"/>
      <sz val="10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0"/>
      <name val="Tahoma"/>
      <family val="2"/>
    </font>
    <font>
      <sz val="10"/>
      <color theme="0"/>
      <name val="Arial"/>
      <family val="2"/>
    </font>
    <font>
      <u/>
      <sz val="10"/>
      <color theme="1"/>
      <name val="Tahoma"/>
      <family val="2"/>
    </font>
    <font>
      <sz val="28"/>
      <color theme="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Fill="1" applyBorder="1"/>
    <xf numFmtId="0" fontId="7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Protection="1">
      <protection locked="0"/>
    </xf>
    <xf numFmtId="0" fontId="7" fillId="0" borderId="2" xfId="0" applyFont="1" applyFill="1" applyBorder="1" applyAlignment="1" applyProtection="1">
      <alignment horizontal="left" indent="1"/>
      <protection hidden="1"/>
    </xf>
    <xf numFmtId="4" fontId="7" fillId="0" borderId="2" xfId="0" applyNumberFormat="1" applyFont="1" applyFill="1" applyBorder="1" applyProtection="1">
      <protection locked="0"/>
    </xf>
    <xf numFmtId="15" fontId="7" fillId="0" borderId="2" xfId="0" applyNumberFormat="1" applyFont="1" applyFill="1" applyBorder="1" applyAlignment="1" applyProtection="1">
      <alignment horizontal="center" vertical="center"/>
      <protection locked="0"/>
    </xf>
    <xf numFmtId="1" fontId="7" fillId="0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/>
    </xf>
    <xf numFmtId="0" fontId="8" fillId="4" borderId="2" xfId="0" applyFont="1" applyFill="1" applyBorder="1" applyAlignment="1" applyProtection="1">
      <alignment horizontal="center" vertical="center"/>
      <protection locked="0"/>
    </xf>
    <xf numFmtId="4" fontId="8" fillId="4" borderId="2" xfId="0" applyNumberFormat="1" applyFont="1" applyFill="1" applyBorder="1" applyAlignment="1" applyProtection="1">
      <alignment horizontal="right" vertical="center"/>
      <protection hidden="1"/>
    </xf>
    <xf numFmtId="0" fontId="8" fillId="4" borderId="4" xfId="0" applyFont="1" applyFill="1" applyBorder="1" applyAlignment="1" applyProtection="1">
      <alignment horizontal="center" vertical="center"/>
      <protection locked="0"/>
    </xf>
    <xf numFmtId="4" fontId="2" fillId="4" borderId="0" xfId="0" applyNumberFormat="1" applyFont="1" applyFill="1"/>
    <xf numFmtId="4" fontId="8" fillId="4" borderId="4" xfId="0" applyNumberFormat="1" applyFont="1" applyFill="1" applyBorder="1" applyProtection="1">
      <protection locked="0"/>
    </xf>
    <xf numFmtId="15" fontId="7" fillId="4" borderId="4" xfId="0" applyNumberFormat="1" applyFont="1" applyFill="1" applyBorder="1" applyAlignment="1" applyProtection="1">
      <alignment horizontal="center" vertical="center"/>
      <protection locked="0"/>
    </xf>
    <xf numFmtId="1" fontId="7" fillId="4" borderId="4" xfId="0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left"/>
    </xf>
    <xf numFmtId="15" fontId="7" fillId="0" borderId="4" xfId="0" applyNumberFormat="1" applyFont="1" applyFill="1" applyBorder="1" applyAlignment="1" applyProtection="1">
      <alignment horizontal="center" vertical="center"/>
      <protection locked="0"/>
    </xf>
    <xf numFmtId="1" fontId="7" fillId="0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right" vertical="center"/>
    </xf>
    <xf numFmtId="164" fontId="7" fillId="3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/>
    <xf numFmtId="0" fontId="7" fillId="0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left" indent="1"/>
      <protection hidden="1"/>
    </xf>
    <xf numFmtId="4" fontId="7" fillId="0" borderId="4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right" vertical="center"/>
    </xf>
    <xf numFmtId="166" fontId="7" fillId="0" borderId="0" xfId="0" applyNumberFormat="1" applyFont="1"/>
    <xf numFmtId="0" fontId="7" fillId="0" borderId="0" xfId="0" applyFont="1" applyAlignment="1">
      <alignment horizontal="right" inden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0" fillId="0" borderId="5" xfId="0" applyBorder="1"/>
    <xf numFmtId="166" fontId="7" fillId="0" borderId="5" xfId="0" applyNumberFormat="1" applyFont="1" applyBorder="1"/>
    <xf numFmtId="166" fontId="5" fillId="3" borderId="5" xfId="0" applyNumberFormat="1" applyFont="1" applyFill="1" applyBorder="1"/>
    <xf numFmtId="0" fontId="0" fillId="3" borderId="6" xfId="0" applyFill="1" applyBorder="1"/>
    <xf numFmtId="166" fontId="7" fillId="3" borderId="6" xfId="0" applyNumberFormat="1" applyFont="1" applyFill="1" applyBorder="1"/>
    <xf numFmtId="166" fontId="5" fillId="0" borderId="6" xfId="0" applyNumberFormat="1" applyFont="1" applyFill="1" applyBorder="1"/>
    <xf numFmtId="4" fontId="2" fillId="4" borderId="0" xfId="0" applyNumberFormat="1" applyFont="1" applyFill="1" applyBorder="1" applyAlignment="1">
      <alignment vertical="center"/>
    </xf>
    <xf numFmtId="0" fontId="11" fillId="0" borderId="0" xfId="0" applyFont="1" applyFill="1"/>
    <xf numFmtId="0" fontId="12" fillId="0" borderId="0" xfId="0" applyFont="1" applyFill="1"/>
    <xf numFmtId="166" fontId="5" fillId="0" borderId="0" xfId="0" applyNumberFormat="1" applyFont="1"/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0" fontId="7" fillId="0" borderId="6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166" fontId="7" fillId="3" borderId="0" xfId="0" applyNumberFormat="1" applyFont="1" applyFill="1"/>
    <xf numFmtId="166" fontId="7" fillId="0" borderId="0" xfId="0" applyNumberFormat="1" applyFont="1" applyAlignment="1">
      <alignment horizontal="center" vertical="center"/>
    </xf>
    <xf numFmtId="166" fontId="7" fillId="0" borderId="12" xfId="0" applyNumberFormat="1" applyFont="1" applyBorder="1"/>
    <xf numFmtId="166" fontId="7" fillId="0" borderId="6" xfId="0" applyNumberFormat="1" applyFont="1" applyBorder="1"/>
    <xf numFmtId="0" fontId="0" fillId="0" borderId="7" xfId="0" applyBorder="1" applyAlignment="1">
      <alignment horizontal="center" vertical="center"/>
    </xf>
    <xf numFmtId="0" fontId="4" fillId="4" borderId="0" xfId="0" applyFont="1" applyFill="1" applyAlignment="1" applyProtection="1">
      <alignment horizontal="center" vertical="center" wrapText="1"/>
      <protection locked="0"/>
    </xf>
    <xf numFmtId="165" fontId="4" fillId="4" borderId="0" xfId="0" applyNumberFormat="1" applyFont="1" applyFill="1"/>
    <xf numFmtId="167" fontId="0" fillId="0" borderId="0" xfId="0" applyNumberFormat="1"/>
    <xf numFmtId="0" fontId="7" fillId="0" borderId="0" xfId="0" applyFont="1"/>
    <xf numFmtId="0" fontId="13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Protection="1">
      <protection hidden="1"/>
    </xf>
    <xf numFmtId="0" fontId="0" fillId="0" borderId="2" xfId="0" applyBorder="1" applyAlignment="1" applyProtection="1">
      <alignment horizontal="left" indent="1"/>
      <protection hidden="1"/>
    </xf>
    <xf numFmtId="0" fontId="14" fillId="0" borderId="2" xfId="0" applyFont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14" fillId="6" borderId="2" xfId="0" applyFont="1" applyFill="1" applyBorder="1" applyAlignment="1">
      <alignment vertical="center"/>
    </xf>
    <xf numFmtId="0" fontId="0" fillId="9" borderId="2" xfId="0" applyFill="1" applyBorder="1" applyProtection="1">
      <protection hidden="1"/>
    </xf>
    <xf numFmtId="0" fontId="0" fillId="10" borderId="2" xfId="0" applyFill="1" applyBorder="1" applyProtection="1">
      <protection hidden="1"/>
    </xf>
    <xf numFmtId="0" fontId="14" fillId="11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0" fillId="12" borderId="2" xfId="0" applyFill="1" applyBorder="1" applyProtection="1">
      <protection hidden="1"/>
    </xf>
    <xf numFmtId="0" fontId="16" fillId="0" borderId="2" xfId="0" applyFont="1" applyBorder="1"/>
    <xf numFmtId="0" fontId="0" fillId="12" borderId="2" xfId="0" applyFill="1" applyBorder="1" applyAlignment="1" applyProtection="1">
      <alignment horizontal="left" indent="1"/>
      <protection hidden="1"/>
    </xf>
    <xf numFmtId="0" fontId="14" fillId="12" borderId="2" xfId="0" applyFont="1" applyFill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0" fillId="0" borderId="2" xfId="0" applyFill="1" applyBorder="1" applyProtection="1">
      <protection hidden="1"/>
    </xf>
    <xf numFmtId="0" fontId="0" fillId="0" borderId="13" xfId="0" applyBorder="1" applyProtection="1">
      <protection hidden="1"/>
    </xf>
    <xf numFmtId="0" fontId="0" fillId="0" borderId="13" xfId="0" applyBorder="1" applyAlignment="1" applyProtection="1">
      <alignment horizontal="left" indent="1"/>
      <protection hidden="1"/>
    </xf>
    <xf numFmtId="0" fontId="14" fillId="0" borderId="13" xfId="0" applyFont="1" applyBorder="1" applyAlignment="1">
      <alignment vertical="center"/>
    </xf>
    <xf numFmtId="0" fontId="7" fillId="0" borderId="19" xfId="0" applyFont="1" applyBorder="1"/>
    <xf numFmtId="0" fontId="0" fillId="0" borderId="1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4" fontId="0" fillId="0" borderId="2" xfId="0" applyNumberFormat="1" applyFill="1" applyBorder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15" fontId="19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 indent="1"/>
    </xf>
    <xf numFmtId="0" fontId="7" fillId="13" borderId="11" xfId="0" applyFont="1" applyFill="1" applyBorder="1" applyAlignment="1">
      <alignment horizontal="center" vertical="center"/>
    </xf>
    <xf numFmtId="4" fontId="0" fillId="0" borderId="11" xfId="1" applyNumberFormat="1" applyFont="1" applyFill="1" applyBorder="1" applyAlignment="1">
      <alignment horizontal="right" vertical="center"/>
    </xf>
    <xf numFmtId="0" fontId="0" fillId="0" borderId="0" xfId="0" applyFill="1"/>
    <xf numFmtId="169" fontId="0" fillId="0" borderId="2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indent="1"/>
    </xf>
    <xf numFmtId="0" fontId="7" fillId="13" borderId="2" xfId="0" applyFont="1" applyFill="1" applyBorder="1" applyAlignment="1">
      <alignment horizontal="center" vertical="center"/>
    </xf>
    <xf numFmtId="169" fontId="0" fillId="13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13" borderId="0" xfId="0" applyFill="1"/>
    <xf numFmtId="0" fontId="7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" fontId="0" fillId="0" borderId="0" xfId="0" applyNumberFormat="1"/>
    <xf numFmtId="169" fontId="0" fillId="0" borderId="4" xfId="0" applyNumberForma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" fontId="0" fillId="0" borderId="4" xfId="0" applyNumberFormat="1" applyFill="1" applyBorder="1"/>
    <xf numFmtId="4" fontId="0" fillId="8" borderId="2" xfId="0" applyNumberFormat="1" applyFill="1" applyBorder="1"/>
    <xf numFmtId="0" fontId="7" fillId="5" borderId="2" xfId="0" applyFont="1" applyFill="1" applyBorder="1" applyAlignment="1">
      <alignment horizontal="center" vertical="center"/>
    </xf>
    <xf numFmtId="4" fontId="0" fillId="14" borderId="2" xfId="0" applyNumberFormat="1" applyFill="1" applyBorder="1"/>
    <xf numFmtId="4" fontId="0" fillId="5" borderId="2" xfId="0" applyNumberFormat="1" applyFill="1" applyBorder="1"/>
    <xf numFmtId="169" fontId="0" fillId="0" borderId="20" xfId="0" applyNumberForma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indent="1"/>
    </xf>
    <xf numFmtId="0" fontId="0" fillId="0" borderId="20" xfId="0" applyFill="1" applyBorder="1" applyAlignment="1">
      <alignment horizontal="left" vertical="center" indent="1"/>
    </xf>
    <xf numFmtId="4" fontId="0" fillId="0" borderId="20" xfId="0" applyNumberFormat="1" applyFill="1" applyBorder="1"/>
    <xf numFmtId="4" fontId="3" fillId="3" borderId="20" xfId="0" applyNumberFormat="1" applyFont="1" applyFill="1" applyBorder="1"/>
    <xf numFmtId="169" fontId="0" fillId="0" borderId="16" xfId="0" applyNumberForma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 indent="1"/>
    </xf>
    <xf numFmtId="0" fontId="0" fillId="0" borderId="16" xfId="0" applyFill="1" applyBorder="1" applyAlignment="1">
      <alignment horizontal="left" vertical="center" indent="1"/>
    </xf>
    <xf numFmtId="0" fontId="7" fillId="0" borderId="16" xfId="0" applyFont="1" applyFill="1" applyBorder="1" applyAlignment="1">
      <alignment horizontal="center" vertical="center"/>
    </xf>
    <xf numFmtId="4" fontId="0" fillId="0" borderId="16" xfId="0" applyNumberFormat="1" applyFill="1" applyBorder="1"/>
    <xf numFmtId="16" fontId="0" fillId="0" borderId="0" xfId="0" applyNumberFormat="1"/>
    <xf numFmtId="0" fontId="0" fillId="5" borderId="4" xfId="0" applyFont="1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center" indent="1"/>
    </xf>
    <xf numFmtId="0" fontId="7" fillId="0" borderId="4" xfId="0" applyFont="1" applyFill="1" applyBorder="1" applyAlignment="1">
      <alignment horizontal="center" vertical="center"/>
    </xf>
    <xf numFmtId="4" fontId="0" fillId="5" borderId="4" xfId="0" applyNumberFormat="1" applyFill="1" applyBorder="1"/>
    <xf numFmtId="0" fontId="0" fillId="5" borderId="2" xfId="0" applyFont="1" applyFill="1" applyBorder="1" applyAlignment="1">
      <alignment horizontal="left" vertical="center" indent="1"/>
    </xf>
    <xf numFmtId="0" fontId="0" fillId="0" borderId="4" xfId="0" applyFont="1" applyFill="1" applyBorder="1" applyAlignment="1">
      <alignment horizontal="left" vertical="center" indent="1"/>
    </xf>
    <xf numFmtId="0" fontId="0" fillId="5" borderId="20" xfId="0" applyFont="1" applyFill="1" applyBorder="1" applyAlignment="1">
      <alignment horizontal="left" vertical="center" indent="1"/>
    </xf>
    <xf numFmtId="0" fontId="7" fillId="0" borderId="20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indent="1"/>
    </xf>
    <xf numFmtId="0" fontId="0" fillId="12" borderId="2" xfId="0" applyFill="1" applyBorder="1" applyAlignment="1">
      <alignment horizontal="left" vertical="center" indent="1"/>
    </xf>
    <xf numFmtId="4" fontId="0" fillId="12" borderId="2" xfId="0" applyNumberFormat="1" applyFill="1" applyBorder="1"/>
    <xf numFmtId="169" fontId="0" fillId="13" borderId="4" xfId="0" applyNumberFormat="1" applyFill="1" applyBorder="1" applyAlignment="1">
      <alignment horizontal="center" vertical="center"/>
    </xf>
    <xf numFmtId="4" fontId="0" fillId="15" borderId="2" xfId="0" applyNumberFormat="1" applyFill="1" applyBorder="1"/>
    <xf numFmtId="4" fontId="0" fillId="15" borderId="20" xfId="0" applyNumberFormat="1" applyFill="1" applyBorder="1"/>
    <xf numFmtId="0" fontId="0" fillId="0" borderId="1" xfId="0" applyBorder="1"/>
    <xf numFmtId="169" fontId="0" fillId="16" borderId="16" xfId="0" applyNumberForma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left" vertical="center" indent="1"/>
    </xf>
    <xf numFmtId="0" fontId="0" fillId="16" borderId="2" xfId="0" applyFill="1" applyBorder="1" applyAlignment="1">
      <alignment horizontal="left" vertical="center" indent="1"/>
    </xf>
    <xf numFmtId="0" fontId="7" fillId="16" borderId="2" xfId="0" applyFont="1" applyFill="1" applyBorder="1" applyAlignment="1">
      <alignment horizontal="center" vertical="center"/>
    </xf>
    <xf numFmtId="4" fontId="0" fillId="16" borderId="16" xfId="0" applyNumberFormat="1" applyFill="1" applyBorder="1"/>
    <xf numFmtId="169" fontId="0" fillId="17" borderId="2" xfId="0" applyNumberFormat="1" applyFill="1" applyBorder="1" applyAlignment="1">
      <alignment horizontal="center" vertical="center"/>
    </xf>
    <xf numFmtId="169" fontId="0" fillId="16" borderId="2" xfId="0" applyNumberForma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4" fontId="0" fillId="16" borderId="2" xfId="0" applyNumberFormat="1" applyFill="1" applyBorder="1"/>
    <xf numFmtId="169" fontId="0" fillId="16" borderId="4" xfId="0" applyNumberForma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 indent="1"/>
    </xf>
    <xf numFmtId="4" fontId="0" fillId="16" borderId="4" xfId="0" applyNumberFormat="1" applyFill="1" applyBorder="1"/>
    <xf numFmtId="0" fontId="0" fillId="16" borderId="20" xfId="0" applyFont="1" applyFill="1" applyBorder="1" applyAlignment="1">
      <alignment horizontal="left" vertical="center" indent="1"/>
    </xf>
    <xf numFmtId="0" fontId="3" fillId="16" borderId="20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left" vertical="center" indent="1"/>
    </xf>
    <xf numFmtId="4" fontId="0" fillId="16" borderId="20" xfId="0" applyNumberFormat="1" applyFill="1" applyBorder="1"/>
    <xf numFmtId="0" fontId="0" fillId="5" borderId="2" xfId="0" applyFill="1" applyBorder="1" applyAlignment="1">
      <alignment horizontal="left" vertical="center" indent="1"/>
    </xf>
    <xf numFmtId="0" fontId="7" fillId="13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center" vertical="center"/>
    </xf>
    <xf numFmtId="2" fontId="0" fillId="0" borderId="2" xfId="0" applyNumberFormat="1" applyFill="1" applyBorder="1"/>
    <xf numFmtId="15" fontId="0" fillId="0" borderId="2" xfId="0" applyNumberFormat="1" applyBorder="1" applyAlignment="1">
      <alignment horizontal="left" vertical="center" indent="1"/>
    </xf>
    <xf numFmtId="0" fontId="0" fillId="0" borderId="2" xfId="0" applyBorder="1" applyAlignment="1">
      <alignment horizontal="left" indent="1"/>
    </xf>
    <xf numFmtId="166" fontId="0" fillId="0" borderId="0" xfId="0" applyNumberFormat="1"/>
    <xf numFmtId="0" fontId="21" fillId="0" borderId="0" xfId="0" applyFont="1" applyAlignment="1">
      <alignment horizontal="left" wrapText="1"/>
    </xf>
    <xf numFmtId="0" fontId="22" fillId="0" borderId="0" xfId="0" applyFont="1" applyAlignment="1"/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indent="1"/>
    </xf>
    <xf numFmtId="166" fontId="23" fillId="0" borderId="11" xfId="0" applyNumberFormat="1" applyFont="1" applyBorder="1" applyAlignment="1">
      <alignment horizontal="center" vertical="center" wrapText="1"/>
    </xf>
    <xf numFmtId="166" fontId="23" fillId="0" borderId="1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indent="1"/>
    </xf>
    <xf numFmtId="166" fontId="22" fillId="0" borderId="2" xfId="0" applyNumberFormat="1" applyFont="1" applyBorder="1" applyProtection="1">
      <protection hidden="1"/>
    </xf>
    <xf numFmtId="166" fontId="22" fillId="0" borderId="2" xfId="0" applyNumberFormat="1" applyFont="1" applyFill="1" applyBorder="1" applyProtection="1">
      <protection hidden="1"/>
    </xf>
    <xf numFmtId="0" fontId="22" fillId="0" borderId="13" xfId="0" applyFont="1" applyBorder="1" applyAlignment="1">
      <alignment horizontal="left" indent="1"/>
    </xf>
    <xf numFmtId="166" fontId="22" fillId="0" borderId="13" xfId="0" applyNumberFormat="1" applyFont="1" applyBorder="1" applyProtection="1">
      <protection hidden="1"/>
    </xf>
    <xf numFmtId="0" fontId="22" fillId="0" borderId="8" xfId="0" applyFont="1" applyBorder="1" applyAlignment="1">
      <alignment horizontal="left" indent="3"/>
    </xf>
    <xf numFmtId="166" fontId="22" fillId="0" borderId="7" xfId="0" applyNumberFormat="1" applyFont="1" applyBorder="1"/>
    <xf numFmtId="166" fontId="22" fillId="0" borderId="7" xfId="0" applyNumberFormat="1" applyFont="1" applyBorder="1" applyProtection="1">
      <protection hidden="1"/>
    </xf>
    <xf numFmtId="166" fontId="22" fillId="0" borderId="9" xfId="0" applyNumberFormat="1" applyFont="1" applyBorder="1"/>
    <xf numFmtId="166" fontId="22" fillId="0" borderId="8" xfId="0" applyNumberFormat="1" applyFont="1" applyBorder="1"/>
    <xf numFmtId="0" fontId="23" fillId="0" borderId="21" xfId="0" applyFont="1" applyFill="1" applyBorder="1" applyAlignment="1">
      <alignment horizontal="left" vertical="center" indent="1"/>
    </xf>
    <xf numFmtId="166" fontId="23" fillId="0" borderId="21" xfId="0" applyNumberFormat="1" applyFont="1" applyBorder="1" applyAlignment="1" applyProtection="1">
      <alignment vertical="center"/>
      <protection hidden="1"/>
    </xf>
    <xf numFmtId="166" fontId="23" fillId="0" borderId="21" xfId="0" applyNumberFormat="1" applyFont="1" applyFill="1" applyBorder="1" applyAlignment="1" applyProtection="1">
      <alignment vertical="center"/>
      <protection hidden="1"/>
    </xf>
    <xf numFmtId="166" fontId="23" fillId="5" borderId="21" xfId="0" applyNumberFormat="1" applyFont="1" applyFill="1" applyBorder="1" applyAlignment="1" applyProtection="1">
      <alignment vertical="center"/>
      <protection hidden="1"/>
    </xf>
    <xf numFmtId="0" fontId="23" fillId="0" borderId="22" xfId="0" applyFont="1" applyBorder="1" applyAlignment="1">
      <alignment horizontal="left" vertical="center" indent="1"/>
    </xf>
    <xf numFmtId="166" fontId="23" fillId="0" borderId="23" xfId="0" applyNumberFormat="1" applyFont="1" applyBorder="1" applyAlignment="1">
      <alignment horizontal="center" vertical="center" wrapText="1"/>
    </xf>
    <xf numFmtId="166" fontId="23" fillId="0" borderId="23" xfId="0" applyNumberFormat="1" applyFont="1" applyBorder="1" applyAlignment="1">
      <alignment horizontal="center" vertical="center"/>
    </xf>
    <xf numFmtId="166" fontId="23" fillId="0" borderId="23" xfId="0" applyNumberFormat="1" applyFont="1" applyFill="1" applyBorder="1" applyAlignment="1">
      <alignment horizontal="center" vertical="center"/>
    </xf>
    <xf numFmtId="166" fontId="23" fillId="0" borderId="23" xfId="0" applyNumberFormat="1" applyFont="1" applyBorder="1" applyAlignment="1" applyProtection="1">
      <alignment vertical="center"/>
      <protection hidden="1"/>
    </xf>
    <xf numFmtId="166" fontId="0" fillId="0" borderId="24" xfId="0" applyNumberFormat="1" applyBorder="1"/>
    <xf numFmtId="166" fontId="0" fillId="0" borderId="23" xfId="0" applyNumberFormat="1" applyBorder="1"/>
    <xf numFmtId="166" fontId="23" fillId="0" borderId="24" xfId="0" applyNumberFormat="1" applyFont="1" applyBorder="1" applyAlignment="1">
      <alignment horizontal="center" vertical="center"/>
    </xf>
    <xf numFmtId="0" fontId="26" fillId="3" borderId="14" xfId="0" applyFont="1" applyFill="1" applyBorder="1" applyAlignment="1">
      <alignment horizontal="left" indent="1"/>
    </xf>
    <xf numFmtId="166" fontId="26" fillId="3" borderId="10" xfId="0" applyNumberFormat="1" applyFont="1" applyFill="1" applyBorder="1"/>
    <xf numFmtId="166" fontId="26" fillId="3" borderId="9" xfId="0" applyNumberFormat="1" applyFont="1" applyFill="1" applyBorder="1"/>
    <xf numFmtId="166" fontId="26" fillId="3" borderId="8" xfId="0" applyNumberFormat="1" applyFont="1" applyFill="1" applyBorder="1"/>
    <xf numFmtId="166" fontId="26" fillId="3" borderId="7" xfId="0" applyNumberFormat="1" applyFont="1" applyFill="1" applyBorder="1"/>
    <xf numFmtId="0" fontId="22" fillId="0" borderId="16" xfId="0" applyFont="1" applyBorder="1" applyAlignment="1">
      <alignment horizontal="left" indent="3"/>
    </xf>
    <xf numFmtId="166" fontId="22" fillId="0" borderId="11" xfId="0" applyNumberFormat="1" applyFont="1" applyBorder="1"/>
    <xf numFmtId="166" fontId="22" fillId="0" borderId="11" xfId="0" applyNumberFormat="1" applyFont="1" applyFill="1" applyBorder="1" applyProtection="1">
      <protection hidden="1"/>
    </xf>
    <xf numFmtId="166" fontId="22" fillId="5" borderId="11" xfId="0" applyNumberFormat="1" applyFont="1" applyFill="1" applyBorder="1" applyProtection="1">
      <protection hidden="1"/>
    </xf>
    <xf numFmtId="0" fontId="22" fillId="0" borderId="2" xfId="0" applyFont="1" applyBorder="1" applyAlignment="1">
      <alignment horizontal="left" indent="3"/>
    </xf>
    <xf numFmtId="166" fontId="22" fillId="0" borderId="2" xfId="0" applyNumberFormat="1" applyFont="1" applyBorder="1"/>
    <xf numFmtId="166" fontId="22" fillId="0" borderId="13" xfId="0" applyNumberFormat="1" applyFont="1" applyBorder="1"/>
    <xf numFmtId="166" fontId="22" fillId="0" borderId="13" xfId="0" applyNumberFormat="1" applyFont="1" applyFill="1" applyBorder="1" applyProtection="1">
      <protection hidden="1"/>
    </xf>
    <xf numFmtId="0" fontId="26" fillId="3" borderId="8" xfId="0" applyFont="1" applyFill="1" applyBorder="1" applyAlignment="1">
      <alignment horizontal="left" indent="1"/>
    </xf>
    <xf numFmtId="166" fontId="26" fillId="3" borderId="25" xfId="0" applyNumberFormat="1" applyFont="1" applyFill="1" applyBorder="1"/>
    <xf numFmtId="166" fontId="26" fillId="3" borderId="14" xfId="0" applyNumberFormat="1" applyFont="1" applyFill="1" applyBorder="1"/>
    <xf numFmtId="0" fontId="22" fillId="0" borderId="1" xfId="0" applyFont="1" applyBorder="1" applyAlignment="1">
      <alignment horizontal="left" indent="3"/>
    </xf>
    <xf numFmtId="166" fontId="22" fillId="0" borderId="1" xfId="0" applyNumberFormat="1" applyFont="1" applyBorder="1"/>
    <xf numFmtId="0" fontId="7" fillId="0" borderId="0" xfId="0" applyFont="1" applyFill="1"/>
    <xf numFmtId="166" fontId="23" fillId="0" borderId="26" xfId="0" applyNumberFormat="1" applyFont="1" applyBorder="1" applyAlignment="1" applyProtection="1">
      <alignment vertical="center"/>
      <protection hidden="1"/>
    </xf>
    <xf numFmtId="166" fontId="27" fillId="0" borderId="26" xfId="0" applyNumberFormat="1" applyFont="1" applyFill="1" applyBorder="1" applyAlignment="1" applyProtection="1">
      <alignment vertical="center"/>
      <protection hidden="1"/>
    </xf>
    <xf numFmtId="166" fontId="23" fillId="0" borderId="26" xfId="0" applyNumberFormat="1" applyFont="1" applyFill="1" applyBorder="1" applyAlignment="1" applyProtection="1">
      <alignment vertical="center"/>
      <protection hidden="1"/>
    </xf>
    <xf numFmtId="166" fontId="23" fillId="5" borderId="26" xfId="0" applyNumberFormat="1" applyFont="1" applyFill="1" applyBorder="1" applyAlignment="1" applyProtection="1">
      <alignment vertical="center"/>
      <protection hidden="1"/>
    </xf>
    <xf numFmtId="166" fontId="27" fillId="5" borderId="26" xfId="0" applyNumberFormat="1" applyFont="1" applyFill="1" applyBorder="1" applyAlignment="1" applyProtection="1">
      <alignment vertical="center"/>
      <protection hidden="1"/>
    </xf>
    <xf numFmtId="0" fontId="23" fillId="0" borderId="27" xfId="0" applyFont="1" applyFill="1" applyBorder="1" applyAlignment="1">
      <alignment horizontal="left" vertical="center" indent="1"/>
    </xf>
    <xf numFmtId="166" fontId="23" fillId="0" borderId="28" xfId="0" applyNumberFormat="1" applyFont="1" applyBorder="1" applyAlignment="1" applyProtection="1">
      <alignment vertical="center"/>
      <protection hidden="1"/>
    </xf>
    <xf numFmtId="166" fontId="23" fillId="0" borderId="28" xfId="0" applyNumberFormat="1" applyFont="1" applyFill="1" applyBorder="1" applyAlignment="1" applyProtection="1">
      <alignment vertical="center"/>
      <protection hidden="1"/>
    </xf>
    <xf numFmtId="166" fontId="23" fillId="5" borderId="28" xfId="0" applyNumberFormat="1" applyFont="1" applyFill="1" applyBorder="1" applyAlignment="1" applyProtection="1">
      <alignment vertical="center"/>
      <protection hidden="1"/>
    </xf>
    <xf numFmtId="0" fontId="23" fillId="0" borderId="29" xfId="0" applyFont="1" applyFill="1" applyBorder="1" applyAlignment="1">
      <alignment horizontal="left" vertical="center" indent="1"/>
    </xf>
    <xf numFmtId="166" fontId="23" fillId="0" borderId="30" xfId="0" applyNumberFormat="1" applyFont="1" applyBorder="1" applyAlignment="1" applyProtection="1">
      <alignment vertical="center"/>
      <protection hidden="1"/>
    </xf>
    <xf numFmtId="166" fontId="23" fillId="0" borderId="29" xfId="0" applyNumberFormat="1" applyFont="1" applyBorder="1" applyAlignment="1" applyProtection="1">
      <alignment vertical="center"/>
      <protection hidden="1"/>
    </xf>
    <xf numFmtId="166" fontId="23" fillId="0" borderId="31" xfId="0" applyNumberFormat="1" applyFont="1" applyBorder="1" applyAlignment="1" applyProtection="1">
      <alignment vertical="center"/>
      <protection hidden="1"/>
    </xf>
    <xf numFmtId="0" fontId="19" fillId="0" borderId="0" xfId="0" applyFont="1" applyFill="1"/>
    <xf numFmtId="166" fontId="23" fillId="0" borderId="2" xfId="0" applyNumberFormat="1" applyFont="1" applyFill="1" applyBorder="1" applyProtection="1">
      <protection hidden="1"/>
    </xf>
    <xf numFmtId="166" fontId="22" fillId="0" borderId="32" xfId="0" applyNumberFormat="1" applyFont="1" applyFill="1" applyBorder="1" applyProtection="1">
      <protection hidden="1"/>
    </xf>
    <xf numFmtId="0" fontId="22" fillId="0" borderId="32" xfId="0" applyFont="1" applyBorder="1" applyAlignment="1">
      <alignment horizontal="left" indent="3"/>
    </xf>
    <xf numFmtId="0" fontId="22" fillId="0" borderId="4" xfId="0" applyFont="1" applyBorder="1" applyAlignment="1">
      <alignment horizontal="left" indent="3"/>
    </xf>
    <xf numFmtId="166" fontId="22" fillId="0" borderId="4" xfId="0" applyNumberFormat="1" applyFont="1" applyFill="1" applyBorder="1" applyProtection="1">
      <protection hidden="1"/>
    </xf>
    <xf numFmtId="0" fontId="22" fillId="0" borderId="20" xfId="0" applyFont="1" applyBorder="1" applyAlignment="1">
      <alignment horizontal="left" indent="3"/>
    </xf>
    <xf numFmtId="166" fontId="22" fillId="0" borderId="33" xfId="0" applyNumberFormat="1" applyFont="1" applyFill="1" applyBorder="1" applyProtection="1">
      <protection hidden="1"/>
    </xf>
    <xf numFmtId="166" fontId="22" fillId="0" borderId="34" xfId="0" applyNumberFormat="1" applyFont="1" applyFill="1" applyBorder="1" applyProtection="1">
      <protection hidden="1"/>
    </xf>
    <xf numFmtId="166" fontId="22" fillId="5" borderId="33" xfId="0" applyNumberFormat="1" applyFont="1" applyFill="1" applyBorder="1" applyProtection="1">
      <protection hidden="1"/>
    </xf>
    <xf numFmtId="166" fontId="23" fillId="5" borderId="33" xfId="0" applyNumberFormat="1" applyFont="1" applyFill="1" applyBorder="1" applyProtection="1">
      <protection hidden="1"/>
    </xf>
    <xf numFmtId="166" fontId="22" fillId="5" borderId="20" xfId="0" applyNumberFormat="1" applyFont="1" applyFill="1" applyBorder="1" applyProtection="1">
      <protection hidden="1"/>
    </xf>
    <xf numFmtId="166" fontId="28" fillId="5" borderId="20" xfId="0" applyNumberFormat="1" applyFont="1" applyFill="1" applyBorder="1" applyProtection="1">
      <protection hidden="1"/>
    </xf>
    <xf numFmtId="166" fontId="22" fillId="0" borderId="20" xfId="0" applyNumberFormat="1" applyFont="1" applyFill="1" applyBorder="1" applyProtection="1">
      <protection hidden="1"/>
    </xf>
    <xf numFmtId="4" fontId="0" fillId="0" borderId="1" xfId="0" applyNumberFormat="1" applyBorder="1"/>
    <xf numFmtId="0" fontId="5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indent="1"/>
    </xf>
    <xf numFmtId="170" fontId="3" fillId="3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1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indent="1"/>
    </xf>
    <xf numFmtId="166" fontId="0" fillId="0" borderId="5" xfId="0" applyNumberFormat="1" applyBorder="1"/>
    <xf numFmtId="0" fontId="7" fillId="0" borderId="12" xfId="0" applyFont="1" applyBorder="1" applyAlignment="1">
      <alignment horizontal="center" vertical="center"/>
    </xf>
    <xf numFmtId="171" fontId="7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 indent="1"/>
    </xf>
    <xf numFmtId="166" fontId="0" fillId="0" borderId="12" xfId="0" applyNumberFormat="1" applyBorder="1"/>
    <xf numFmtId="0" fontId="7" fillId="0" borderId="6" xfId="0" applyFont="1" applyBorder="1" applyAlignment="1">
      <alignment horizontal="center" vertical="center"/>
    </xf>
    <xf numFmtId="171" fontId="7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indent="1"/>
    </xf>
    <xf numFmtId="166" fontId="0" fillId="0" borderId="6" xfId="0" applyNumberFormat="1" applyBorder="1"/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66" fontId="3" fillId="3" borderId="0" xfId="0" applyNumberFormat="1" applyFont="1" applyFill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0" fillId="0" borderId="0" xfId="0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left" indent="1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left" indent="1"/>
      <protection hidden="1"/>
    </xf>
    <xf numFmtId="0" fontId="7" fillId="0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0" fillId="4" borderId="0" xfId="0" applyFill="1"/>
    <xf numFmtId="0" fontId="26" fillId="8" borderId="14" xfId="0" applyFont="1" applyFill="1" applyBorder="1" applyAlignment="1">
      <alignment horizontal="left" indent="1"/>
    </xf>
    <xf numFmtId="0" fontId="26" fillId="8" borderId="8" xfId="0" applyFont="1" applyFill="1" applyBorder="1" applyAlignment="1">
      <alignment horizontal="left" indent="1"/>
    </xf>
    <xf numFmtId="0" fontId="0" fillId="8" borderId="7" xfId="0" applyFill="1" applyBorder="1"/>
    <xf numFmtId="0" fontId="0" fillId="8" borderId="9" xfId="0" applyFill="1" applyBorder="1"/>
    <xf numFmtId="0" fontId="0" fillId="8" borderId="25" xfId="0" applyFill="1" applyBorder="1"/>
    <xf numFmtId="0" fontId="0" fillId="0" borderId="5" xfId="0" applyFill="1" applyBorder="1"/>
    <xf numFmtId="0" fontId="0" fillId="0" borderId="12" xfId="0" applyFill="1" applyBorder="1"/>
    <xf numFmtId="0" fontId="0" fillId="0" borderId="0" xfId="0" applyBorder="1"/>
    <xf numFmtId="0" fontId="0" fillId="0" borderId="6" xfId="0" applyFill="1" applyBorder="1"/>
    <xf numFmtId="0" fontId="0" fillId="0" borderId="7" xfId="0" applyFill="1" applyBorder="1"/>
    <xf numFmtId="0" fontId="7" fillId="0" borderId="5" xfId="0" applyFont="1" applyFill="1" applyBorder="1" applyAlignment="1">
      <alignment horizontal="right" vertical="center" indent="1"/>
    </xf>
    <xf numFmtId="0" fontId="7" fillId="0" borderId="12" xfId="0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right" indent="1"/>
    </xf>
    <xf numFmtId="0" fontId="0" fillId="8" borderId="7" xfId="0" applyFill="1" applyBorder="1" applyAlignment="1">
      <alignment horizontal="right" indent="1"/>
    </xf>
    <xf numFmtId="0" fontId="0" fillId="8" borderId="8" xfId="0" applyFill="1" applyBorder="1" applyAlignment="1">
      <alignment horizontal="right" indent="1"/>
    </xf>
    <xf numFmtId="0" fontId="7" fillId="0" borderId="7" xfId="0" applyFont="1" applyFill="1" applyBorder="1" applyAlignment="1">
      <alignment horizontal="right" indent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left" inden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indent="1"/>
      <protection hidden="1"/>
    </xf>
    <xf numFmtId="0" fontId="7" fillId="0" borderId="5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>
      <alignment horizontal="right" vertical="center" indent="1"/>
    </xf>
    <xf numFmtId="0" fontId="7" fillId="0" borderId="6" xfId="0" applyFont="1" applyBorder="1" applyAlignment="1" applyProtection="1">
      <alignment horizontal="right" vertical="center" indent="1"/>
      <protection hidden="1"/>
    </xf>
    <xf numFmtId="0" fontId="0" fillId="0" borderId="15" xfId="0" applyBorder="1"/>
    <xf numFmtId="0" fontId="0" fillId="0" borderId="15" xfId="0" applyFill="1" applyBorder="1" applyAlignment="1" applyProtection="1">
      <alignment horizontal="left" inden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66" fontId="7" fillId="0" borderId="5" xfId="0" applyNumberFormat="1" applyFont="1" applyBorder="1" applyProtection="1"/>
    <xf numFmtId="166" fontId="5" fillId="3" borderId="5" xfId="0" applyNumberFormat="1" applyFont="1" applyFill="1" applyBorder="1" applyProtection="1"/>
    <xf numFmtId="166" fontId="7" fillId="3" borderId="6" xfId="0" applyNumberFormat="1" applyFont="1" applyFill="1" applyBorder="1" applyProtection="1"/>
    <xf numFmtId="166" fontId="5" fillId="0" borderId="6" xfId="0" applyNumberFormat="1" applyFont="1" applyFill="1" applyBorder="1" applyProtection="1"/>
    <xf numFmtId="4" fontId="7" fillId="5" borderId="2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left"/>
    </xf>
    <xf numFmtId="0" fontId="3" fillId="0" borderId="0" xfId="0" applyFont="1"/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/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166" fontId="30" fillId="4" borderId="2" xfId="0" applyNumberFormat="1" applyFont="1" applyFill="1" applyBorder="1" applyProtection="1">
      <protection hidden="1"/>
    </xf>
    <xf numFmtId="171" fontId="29" fillId="4" borderId="6" xfId="0" applyNumberFormat="1" applyFont="1" applyFill="1" applyBorder="1" applyAlignment="1">
      <alignment horizontal="center" vertical="center"/>
    </xf>
    <xf numFmtId="171" fontId="29" fillId="4" borderId="12" xfId="0" applyNumberFormat="1" applyFont="1" applyFill="1" applyBorder="1" applyAlignment="1">
      <alignment horizontal="center" vertical="center"/>
    </xf>
    <xf numFmtId="171" fontId="29" fillId="6" borderId="12" xfId="0" applyNumberFormat="1" applyFont="1" applyFill="1" applyBorder="1" applyAlignment="1">
      <alignment horizontal="center" vertical="center"/>
    </xf>
    <xf numFmtId="171" fontId="29" fillId="6" borderId="6" xfId="0" applyNumberFormat="1" applyFont="1" applyFill="1" applyBorder="1" applyAlignment="1">
      <alignment horizontal="center" vertical="center"/>
    </xf>
    <xf numFmtId="166" fontId="30" fillId="0" borderId="2" xfId="0" applyNumberFormat="1" applyFont="1" applyFill="1" applyBorder="1" applyProtection="1">
      <protection hidden="1"/>
    </xf>
    <xf numFmtId="0" fontId="7" fillId="12" borderId="12" xfId="0" applyFont="1" applyFill="1" applyBorder="1" applyAlignment="1">
      <alignment horizontal="center" vertical="center"/>
    </xf>
    <xf numFmtId="171" fontId="7" fillId="12" borderId="12" xfId="0" applyNumberFormat="1" applyFont="1" applyFill="1" applyBorder="1" applyAlignment="1">
      <alignment horizontal="center" vertical="center"/>
    </xf>
    <xf numFmtId="0" fontId="0" fillId="12" borderId="12" xfId="0" applyFill="1" applyBorder="1" applyAlignment="1">
      <alignment horizontal="left" indent="1"/>
    </xf>
    <xf numFmtId="166" fontId="0" fillId="12" borderId="12" xfId="0" applyNumberFormat="1" applyFill="1" applyBorder="1"/>
    <xf numFmtId="169" fontId="0" fillId="0" borderId="2" xfId="0" applyNumberFormat="1" applyFill="1" applyBorder="1" applyAlignment="1">
      <alignment horizontal="left" vertical="center" indent="1"/>
    </xf>
    <xf numFmtId="169" fontId="7" fillId="0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 applyProtection="1">
      <alignment horizontal="left" indent="1"/>
      <protection hidden="1"/>
    </xf>
    <xf numFmtId="0" fontId="4" fillId="4" borderId="0" xfId="0" applyFont="1" applyFill="1"/>
    <xf numFmtId="0" fontId="5" fillId="18" borderId="1" xfId="0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 wrapText="1"/>
    </xf>
    <xf numFmtId="0" fontId="7" fillId="17" borderId="2" xfId="0" applyFont="1" applyFill="1" applyBorder="1"/>
    <xf numFmtId="0" fontId="0" fillId="17" borderId="0" xfId="0" applyFill="1"/>
    <xf numFmtId="14" fontId="7" fillId="0" borderId="12" xfId="0" applyNumberFormat="1" applyFont="1" applyBorder="1" applyAlignment="1">
      <alignment horizontal="center" vertical="center"/>
    </xf>
    <xf numFmtId="0" fontId="7" fillId="13" borderId="2" xfId="0" applyFont="1" applyFill="1" applyBorder="1" applyAlignment="1" applyProtection="1">
      <alignment horizontal="center" vertical="center"/>
      <protection locked="0"/>
    </xf>
    <xf numFmtId="14" fontId="7" fillId="0" borderId="2" xfId="0" applyNumberFormat="1" applyFont="1" applyFill="1" applyBorder="1" applyProtection="1">
      <protection locked="0"/>
    </xf>
    <xf numFmtId="166" fontId="0" fillId="5" borderId="12" xfId="0" applyNumberFormat="1" applyFill="1" applyBorder="1"/>
    <xf numFmtId="0" fontId="7" fillId="0" borderId="12" xfId="0" applyFont="1" applyFill="1" applyBorder="1" applyAlignment="1">
      <alignment horizontal="center" vertical="center"/>
    </xf>
    <xf numFmtId="0" fontId="7" fillId="19" borderId="2" xfId="0" applyFont="1" applyFill="1" applyBorder="1" applyAlignment="1" applyProtection="1">
      <alignment horizontal="center" vertical="center"/>
      <protection locked="0"/>
    </xf>
    <xf numFmtId="0" fontId="22" fillId="0" borderId="2" xfId="0" applyFont="1" applyBorder="1" applyAlignment="1"/>
    <xf numFmtId="0" fontId="22" fillId="0" borderId="13" xfId="0" applyFont="1" applyBorder="1" applyAlignment="1"/>
    <xf numFmtId="0" fontId="22" fillId="0" borderId="16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71" fontId="7" fillId="5" borderId="1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left" indent="1"/>
    </xf>
    <xf numFmtId="0" fontId="7" fillId="5" borderId="5" xfId="0" applyFont="1" applyFill="1" applyBorder="1" applyAlignment="1">
      <alignment horizontal="center" vertical="center"/>
    </xf>
    <xf numFmtId="171" fontId="7" fillId="5" borderId="5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left" indent="1"/>
    </xf>
    <xf numFmtId="166" fontId="0" fillId="5" borderId="5" xfId="0" applyNumberFormat="1" applyFill="1" applyBorder="1"/>
    <xf numFmtId="0" fontId="0" fillId="0" borderId="12" xfId="0" applyFont="1" applyBorder="1" applyAlignment="1">
      <alignment horizontal="left" indent="1"/>
    </xf>
    <xf numFmtId="166" fontId="0" fillId="0" borderId="12" xfId="0" applyNumberFormat="1" applyFont="1" applyBorder="1"/>
    <xf numFmtId="0" fontId="0" fillId="0" borderId="1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1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left" indent="1"/>
    </xf>
    <xf numFmtId="166" fontId="19" fillId="0" borderId="12" xfId="0" applyNumberFormat="1" applyFont="1" applyBorder="1"/>
    <xf numFmtId="14" fontId="0" fillId="0" borderId="12" xfId="0" applyNumberFormat="1" applyBorder="1" applyAlignment="1">
      <alignment horizontal="left" indent="1"/>
    </xf>
    <xf numFmtId="0" fontId="0" fillId="0" borderId="12" xfId="0" applyFill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31" fillId="0" borderId="0" xfId="0" applyFont="1"/>
    <xf numFmtId="0" fontId="0" fillId="0" borderId="1" xfId="0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left"/>
    </xf>
    <xf numFmtId="0" fontId="22" fillId="0" borderId="16" xfId="0" applyFont="1" applyBorder="1" applyAlignment="1"/>
    <xf numFmtId="0" fontId="22" fillId="0" borderId="13" xfId="0" applyFont="1" applyFill="1" applyBorder="1" applyAlignment="1"/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" fontId="3" fillId="5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7" fillId="0" borderId="4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5" fontId="7" fillId="0" borderId="2" xfId="0" applyNumberFormat="1" applyFont="1" applyFill="1" applyBorder="1" applyAlignment="1">
      <alignment horizontal="left"/>
    </xf>
    <xf numFmtId="166" fontId="0" fillId="0" borderId="12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7" borderId="2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7" fillId="5" borderId="2" xfId="0" applyFont="1" applyFill="1" applyBorder="1" applyProtection="1">
      <protection locked="0"/>
    </xf>
    <xf numFmtId="166" fontId="7" fillId="0" borderId="0" xfId="0" applyNumberFormat="1" applyFont="1" applyBorder="1"/>
    <xf numFmtId="166" fontId="5" fillId="3" borderId="0" xfId="0" applyNumberFormat="1" applyFont="1" applyFill="1" applyBorder="1"/>
    <xf numFmtId="166" fontId="7" fillId="0" borderId="0" xfId="0" applyNumberFormat="1" applyFont="1" applyBorder="1" applyProtection="1"/>
    <xf numFmtId="166" fontId="5" fillId="3" borderId="0" xfId="0" applyNumberFormat="1" applyFont="1" applyFill="1" applyBorder="1" applyProtection="1"/>
    <xf numFmtId="0" fontId="0" fillId="3" borderId="0" xfId="0" applyFill="1" applyBorder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4" fillId="4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168" fontId="18" fillId="4" borderId="0" xfId="0" applyNumberFormat="1" applyFont="1" applyFill="1" applyAlignment="1">
      <alignment horizontal="right"/>
    </xf>
  </cellXfs>
  <cellStyles count="2">
    <cellStyle name="Moneda 2" xfId="1"/>
    <cellStyle name="Normal" xfId="0" builtinId="0"/>
  </cellStyles>
  <dxfs count="17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K468"/>
  <sheetViews>
    <sheetView showGridLines="0" zoomScale="90" zoomScaleNormal="90" workbookViewId="0">
      <pane ySplit="5" topLeftCell="A393" activePane="bottomLeft" state="frozen"/>
      <selection pane="bottomLeft" activeCell="E395" sqref="E395"/>
    </sheetView>
  </sheetViews>
  <sheetFormatPr baseColWidth="10" defaultRowHeight="12.75" x14ac:dyDescent="0.2"/>
  <cols>
    <col min="1" max="1" width="5.5703125" customWidth="1"/>
    <col min="2" max="2" width="19.7109375" customWidth="1"/>
    <col min="3" max="3" width="36" customWidth="1"/>
    <col min="4" max="4" width="37.28515625" customWidth="1"/>
    <col min="5" max="5" width="46.5703125" style="65" bestFit="1" customWidth="1"/>
    <col min="6" max="8" width="11.42578125" customWidth="1"/>
  </cols>
  <sheetData>
    <row r="4" spans="1:6" ht="15" x14ac:dyDescent="0.2">
      <c r="B4" s="66">
        <v>1</v>
      </c>
      <c r="C4" s="66">
        <v>2</v>
      </c>
      <c r="D4" s="66">
        <v>3</v>
      </c>
      <c r="E4" s="67">
        <v>4</v>
      </c>
      <c r="F4" s="67">
        <v>5</v>
      </c>
    </row>
    <row r="5" spans="1:6" ht="20.100000000000001" customHeight="1" x14ac:dyDescent="0.2">
      <c r="A5" s="52" t="s">
        <v>1484</v>
      </c>
      <c r="B5" s="68" t="s">
        <v>3</v>
      </c>
      <c r="C5" s="68" t="s">
        <v>4</v>
      </c>
      <c r="D5" s="68" t="s">
        <v>5</v>
      </c>
      <c r="E5" s="69"/>
    </row>
    <row r="6" spans="1:6" x14ac:dyDescent="0.2">
      <c r="A6" s="90">
        <v>1</v>
      </c>
      <c r="B6" s="70" t="s">
        <v>1137</v>
      </c>
      <c r="C6" s="71" t="s">
        <v>1138</v>
      </c>
      <c r="D6" s="72" t="s">
        <v>651</v>
      </c>
      <c r="E6" s="73"/>
    </row>
    <row r="7" spans="1:6" x14ac:dyDescent="0.2">
      <c r="A7" s="91">
        <v>2</v>
      </c>
      <c r="B7" s="70" t="s">
        <v>896</v>
      </c>
      <c r="C7" s="71" t="s">
        <v>897</v>
      </c>
      <c r="D7" s="72" t="s">
        <v>898</v>
      </c>
      <c r="E7" s="73"/>
    </row>
    <row r="8" spans="1:6" x14ac:dyDescent="0.2">
      <c r="A8" s="91">
        <v>3</v>
      </c>
      <c r="B8" s="70" t="s">
        <v>1139</v>
      </c>
      <c r="C8" s="71" t="s">
        <v>1140</v>
      </c>
      <c r="D8" s="72" t="s">
        <v>1141</v>
      </c>
      <c r="E8" s="73"/>
    </row>
    <row r="9" spans="1:6" x14ac:dyDescent="0.2">
      <c r="A9" s="91">
        <v>4</v>
      </c>
      <c r="B9" s="70" t="s">
        <v>861</v>
      </c>
      <c r="C9" s="71" t="s">
        <v>862</v>
      </c>
      <c r="D9" s="72" t="s">
        <v>863</v>
      </c>
      <c r="E9" s="73"/>
    </row>
    <row r="10" spans="1:6" x14ac:dyDescent="0.2">
      <c r="A10" s="91">
        <v>5</v>
      </c>
      <c r="B10" s="70" t="s">
        <v>1257</v>
      </c>
      <c r="C10" s="71" t="s">
        <v>1258</v>
      </c>
      <c r="D10" s="72" t="s">
        <v>1259</v>
      </c>
      <c r="E10" s="73"/>
    </row>
    <row r="11" spans="1:6" x14ac:dyDescent="0.2">
      <c r="A11" s="91">
        <v>6</v>
      </c>
      <c r="B11" s="70" t="s">
        <v>1260</v>
      </c>
      <c r="C11" s="71" t="s">
        <v>1261</v>
      </c>
      <c r="D11" s="72" t="s">
        <v>1262</v>
      </c>
      <c r="E11" s="73"/>
    </row>
    <row r="12" spans="1:6" x14ac:dyDescent="0.2">
      <c r="A12" s="91">
        <v>7</v>
      </c>
      <c r="B12" s="70" t="s">
        <v>746</v>
      </c>
      <c r="C12" s="71" t="s">
        <v>747</v>
      </c>
      <c r="D12" s="72" t="s">
        <v>748</v>
      </c>
      <c r="E12" s="73"/>
    </row>
    <row r="13" spans="1:6" x14ac:dyDescent="0.2">
      <c r="A13" s="91">
        <v>8</v>
      </c>
      <c r="B13" s="70" t="s">
        <v>1145</v>
      </c>
      <c r="C13" s="71" t="s">
        <v>1146</v>
      </c>
      <c r="D13" s="72" t="s">
        <v>1147</v>
      </c>
      <c r="E13" s="73"/>
    </row>
    <row r="14" spans="1:6" x14ac:dyDescent="0.2">
      <c r="A14" s="91">
        <v>9</v>
      </c>
      <c r="B14" s="70" t="s">
        <v>229</v>
      </c>
      <c r="C14" s="71" t="s">
        <v>230</v>
      </c>
      <c r="D14" s="72" t="s">
        <v>231</v>
      </c>
      <c r="E14" s="73"/>
    </row>
    <row r="15" spans="1:6" x14ac:dyDescent="0.2">
      <c r="A15" s="91">
        <v>10</v>
      </c>
      <c r="B15" s="70" t="s">
        <v>349</v>
      </c>
      <c r="C15" s="71" t="s">
        <v>350</v>
      </c>
      <c r="D15" s="72" t="s">
        <v>351</v>
      </c>
      <c r="E15" s="73"/>
    </row>
    <row r="16" spans="1:6" x14ac:dyDescent="0.2">
      <c r="A16" s="91">
        <v>11</v>
      </c>
      <c r="B16" s="70" t="s">
        <v>1263</v>
      </c>
      <c r="C16" s="71" t="s">
        <v>1523</v>
      </c>
      <c r="D16" s="72"/>
      <c r="E16" s="73"/>
    </row>
    <row r="17" spans="1:5" x14ac:dyDescent="0.2">
      <c r="A17" s="91">
        <v>12</v>
      </c>
      <c r="B17" s="70" t="s">
        <v>699</v>
      </c>
      <c r="C17" s="71" t="s">
        <v>700</v>
      </c>
      <c r="D17" s="72" t="s">
        <v>701</v>
      </c>
      <c r="E17" s="73"/>
    </row>
    <row r="18" spans="1:5" x14ac:dyDescent="0.2">
      <c r="A18" s="91">
        <v>13</v>
      </c>
      <c r="B18" s="70" t="s">
        <v>144</v>
      </c>
      <c r="C18" s="71" t="s">
        <v>145</v>
      </c>
      <c r="D18" s="72" t="s">
        <v>146</v>
      </c>
      <c r="E18" s="73"/>
    </row>
    <row r="19" spans="1:5" x14ac:dyDescent="0.2">
      <c r="A19" s="91">
        <v>14</v>
      </c>
      <c r="B19" s="70" t="s">
        <v>162</v>
      </c>
      <c r="C19" s="71" t="s">
        <v>163</v>
      </c>
      <c r="D19" s="72" t="s">
        <v>164</v>
      </c>
      <c r="E19" s="73"/>
    </row>
    <row r="20" spans="1:5" x14ac:dyDescent="0.2">
      <c r="A20" s="91">
        <v>15</v>
      </c>
      <c r="B20" s="70" t="s">
        <v>352</v>
      </c>
      <c r="C20" s="71" t="s">
        <v>353</v>
      </c>
      <c r="D20" s="72" t="s">
        <v>354</v>
      </c>
      <c r="E20" s="73"/>
    </row>
    <row r="21" spans="1:5" x14ac:dyDescent="0.2">
      <c r="A21" s="91">
        <v>16</v>
      </c>
      <c r="B21" s="70" t="s">
        <v>990</v>
      </c>
      <c r="C21" s="71" t="s">
        <v>991</v>
      </c>
      <c r="D21" s="72" t="s">
        <v>992</v>
      </c>
      <c r="E21" s="73"/>
    </row>
    <row r="22" spans="1:5" x14ac:dyDescent="0.2">
      <c r="A22" s="91">
        <v>17</v>
      </c>
      <c r="B22" s="70" t="s">
        <v>1264</v>
      </c>
      <c r="C22" s="71" t="s">
        <v>1265</v>
      </c>
      <c r="D22" s="72" t="s">
        <v>1266</v>
      </c>
      <c r="E22" s="73"/>
    </row>
    <row r="23" spans="1:5" x14ac:dyDescent="0.2">
      <c r="A23" s="91">
        <v>18</v>
      </c>
      <c r="B23" s="70" t="s">
        <v>1112</v>
      </c>
      <c r="C23" s="71" t="s">
        <v>1113</v>
      </c>
      <c r="D23" s="72" t="s">
        <v>1114</v>
      </c>
      <c r="E23" s="73"/>
    </row>
    <row r="24" spans="1:5" x14ac:dyDescent="0.2">
      <c r="A24" s="91">
        <v>19</v>
      </c>
      <c r="B24" s="70" t="s">
        <v>244</v>
      </c>
      <c r="C24" s="71" t="s">
        <v>245</v>
      </c>
      <c r="D24" s="72" t="s">
        <v>246</v>
      </c>
      <c r="E24" s="74" t="s">
        <v>1485</v>
      </c>
    </row>
    <row r="25" spans="1:5" x14ac:dyDescent="0.2">
      <c r="A25" s="91">
        <v>20</v>
      </c>
      <c r="B25" s="70" t="s">
        <v>208</v>
      </c>
      <c r="C25" s="71" t="s">
        <v>209</v>
      </c>
      <c r="D25" s="72" t="s">
        <v>210</v>
      </c>
      <c r="E25" s="73"/>
    </row>
    <row r="26" spans="1:5" x14ac:dyDescent="0.2">
      <c r="A26" s="91">
        <v>21</v>
      </c>
      <c r="B26" s="70" t="s">
        <v>1134</v>
      </c>
      <c r="C26" s="71" t="s">
        <v>1135</v>
      </c>
      <c r="D26" s="72" t="s">
        <v>1136</v>
      </c>
      <c r="E26" s="73"/>
    </row>
    <row r="27" spans="1:5" x14ac:dyDescent="0.2">
      <c r="A27" s="91">
        <v>22</v>
      </c>
      <c r="B27" s="70" t="s">
        <v>1267</v>
      </c>
      <c r="C27" s="71" t="s">
        <v>1268</v>
      </c>
      <c r="D27" s="72" t="s">
        <v>1269</v>
      </c>
      <c r="E27" s="73"/>
    </row>
    <row r="28" spans="1:5" x14ac:dyDescent="0.2">
      <c r="A28" s="91">
        <v>23</v>
      </c>
      <c r="B28" s="70" t="s">
        <v>620</v>
      </c>
      <c r="C28" s="71" t="s">
        <v>621</v>
      </c>
      <c r="D28" s="72" t="s">
        <v>366</v>
      </c>
      <c r="E28" s="73"/>
    </row>
    <row r="29" spans="1:5" x14ac:dyDescent="0.2">
      <c r="A29" s="91">
        <v>24</v>
      </c>
      <c r="B29" s="70" t="s">
        <v>150</v>
      </c>
      <c r="C29" s="71" t="s">
        <v>151</v>
      </c>
      <c r="D29" s="72" t="s">
        <v>152</v>
      </c>
      <c r="E29" s="73"/>
    </row>
    <row r="30" spans="1:5" ht="12.75" customHeight="1" x14ac:dyDescent="0.2">
      <c r="A30" s="91">
        <v>25</v>
      </c>
      <c r="B30" s="70" t="s">
        <v>1095</v>
      </c>
      <c r="C30" s="71" t="s">
        <v>1096</v>
      </c>
      <c r="D30" s="72" t="s">
        <v>765</v>
      </c>
      <c r="E30" s="73"/>
    </row>
    <row r="31" spans="1:5" x14ac:dyDescent="0.2">
      <c r="A31" s="91">
        <v>26</v>
      </c>
      <c r="B31" s="70" t="s">
        <v>803</v>
      </c>
      <c r="C31" s="71" t="s">
        <v>804</v>
      </c>
      <c r="D31" s="72" t="s">
        <v>312</v>
      </c>
      <c r="E31" s="73"/>
    </row>
    <row r="32" spans="1:5" x14ac:dyDescent="0.2">
      <c r="A32" s="91">
        <v>27</v>
      </c>
      <c r="B32" s="70" t="s">
        <v>1058</v>
      </c>
      <c r="C32" s="71" t="s">
        <v>1059</v>
      </c>
      <c r="D32" s="72" t="s">
        <v>1060</v>
      </c>
      <c r="E32" s="73"/>
    </row>
    <row r="33" spans="1:5" x14ac:dyDescent="0.2">
      <c r="A33" s="91">
        <v>28</v>
      </c>
      <c r="B33" s="70" t="s">
        <v>1079</v>
      </c>
      <c r="C33" s="71" t="s">
        <v>1080</v>
      </c>
      <c r="D33" s="72" t="s">
        <v>1081</v>
      </c>
      <c r="E33" s="73"/>
    </row>
    <row r="34" spans="1:5" x14ac:dyDescent="0.2">
      <c r="A34" s="91">
        <v>29</v>
      </c>
      <c r="B34" s="70" t="s">
        <v>280</v>
      </c>
      <c r="C34" s="71" t="s">
        <v>281</v>
      </c>
      <c r="D34" s="72" t="s">
        <v>282</v>
      </c>
      <c r="E34" s="73"/>
    </row>
    <row r="35" spans="1:5" x14ac:dyDescent="0.2">
      <c r="A35" s="91">
        <v>30</v>
      </c>
      <c r="B35" s="70" t="s">
        <v>103</v>
      </c>
      <c r="C35" s="71" t="s">
        <v>104</v>
      </c>
      <c r="D35" s="72" t="s">
        <v>105</v>
      </c>
      <c r="E35" s="73"/>
    </row>
    <row r="36" spans="1:5" x14ac:dyDescent="0.2">
      <c r="A36" s="91">
        <v>31</v>
      </c>
      <c r="B36" s="70" t="s">
        <v>189</v>
      </c>
      <c r="C36" s="71" t="s">
        <v>190</v>
      </c>
      <c r="D36" s="72" t="s">
        <v>191</v>
      </c>
      <c r="E36" s="73"/>
    </row>
    <row r="37" spans="1:5" x14ac:dyDescent="0.2">
      <c r="A37" s="91">
        <v>32</v>
      </c>
      <c r="B37" s="70" t="s">
        <v>235</v>
      </c>
      <c r="C37" s="71" t="s">
        <v>236</v>
      </c>
      <c r="D37" s="72" t="s">
        <v>237</v>
      </c>
      <c r="E37" s="73"/>
    </row>
    <row r="38" spans="1:5" x14ac:dyDescent="0.2">
      <c r="A38" s="91">
        <v>33</v>
      </c>
      <c r="B38" s="70" t="s">
        <v>238</v>
      </c>
      <c r="C38" s="71" t="s">
        <v>239</v>
      </c>
      <c r="D38" s="72" t="s">
        <v>240</v>
      </c>
      <c r="E38" s="73"/>
    </row>
    <row r="39" spans="1:5" x14ac:dyDescent="0.2">
      <c r="A39" s="91">
        <v>34</v>
      </c>
      <c r="B39" s="70" t="s">
        <v>909</v>
      </c>
      <c r="C39" s="71" t="s">
        <v>910</v>
      </c>
      <c r="D39" s="72" t="s">
        <v>5169</v>
      </c>
      <c r="E39" s="73" t="s">
        <v>5168</v>
      </c>
    </row>
    <row r="40" spans="1:5" x14ac:dyDescent="0.2">
      <c r="A40" s="91">
        <v>35</v>
      </c>
      <c r="B40" s="70" t="s">
        <v>106</v>
      </c>
      <c r="C40" s="71" t="s">
        <v>107</v>
      </c>
      <c r="D40" s="75" t="s">
        <v>108</v>
      </c>
      <c r="E40" s="73"/>
    </row>
    <row r="41" spans="1:5" x14ac:dyDescent="0.2">
      <c r="A41" s="91">
        <v>36</v>
      </c>
      <c r="B41" s="70" t="s">
        <v>577</v>
      </c>
      <c r="C41" s="71" t="s">
        <v>578</v>
      </c>
      <c r="D41" s="72" t="s">
        <v>579</v>
      </c>
      <c r="E41" s="73"/>
    </row>
    <row r="42" spans="1:5" x14ac:dyDescent="0.2">
      <c r="A42" s="91">
        <v>37</v>
      </c>
      <c r="B42" s="70" t="s">
        <v>963</v>
      </c>
      <c r="C42" s="71" t="s">
        <v>964</v>
      </c>
      <c r="D42" s="72" t="s">
        <v>460</v>
      </c>
      <c r="E42" s="73"/>
    </row>
    <row r="43" spans="1:5" x14ac:dyDescent="0.2">
      <c r="A43" s="91">
        <v>38</v>
      </c>
      <c r="B43" s="70" t="s">
        <v>1142</v>
      </c>
      <c r="C43" s="71" t="s">
        <v>1143</v>
      </c>
      <c r="D43" s="72" t="s">
        <v>1144</v>
      </c>
      <c r="E43" s="73"/>
    </row>
    <row r="44" spans="1:5" x14ac:dyDescent="0.2">
      <c r="A44" s="91">
        <v>39</v>
      </c>
      <c r="B44" s="70" t="s">
        <v>965</v>
      </c>
      <c r="C44" s="71" t="s">
        <v>966</v>
      </c>
      <c r="D44" s="72" t="s">
        <v>967</v>
      </c>
      <c r="E44" s="73"/>
    </row>
    <row r="45" spans="1:5" ht="15" customHeight="1" x14ac:dyDescent="0.2">
      <c r="A45" s="91">
        <v>40</v>
      </c>
      <c r="B45" s="70" t="s">
        <v>971</v>
      </c>
      <c r="C45" s="71" t="s">
        <v>972</v>
      </c>
      <c r="D45" s="72" t="s">
        <v>973</v>
      </c>
      <c r="E45" s="73"/>
    </row>
    <row r="46" spans="1:5" x14ac:dyDescent="0.2">
      <c r="A46" s="91">
        <v>41</v>
      </c>
      <c r="B46" s="76" t="s">
        <v>183</v>
      </c>
      <c r="C46" s="71" t="s">
        <v>184</v>
      </c>
      <c r="D46" s="72" t="s">
        <v>185</v>
      </c>
      <c r="E46" s="73"/>
    </row>
    <row r="47" spans="1:5" x14ac:dyDescent="0.2">
      <c r="A47" s="91">
        <v>42</v>
      </c>
      <c r="B47" s="70" t="s">
        <v>434</v>
      </c>
      <c r="C47" s="71" t="s">
        <v>435</v>
      </c>
      <c r="D47" s="72" t="s">
        <v>436</v>
      </c>
      <c r="E47" s="73"/>
    </row>
    <row r="48" spans="1:5" x14ac:dyDescent="0.2">
      <c r="A48" s="91">
        <v>43</v>
      </c>
      <c r="B48" s="77" t="s">
        <v>1270</v>
      </c>
      <c r="C48" s="71" t="s">
        <v>1271</v>
      </c>
      <c r="D48" s="72"/>
      <c r="E48" s="73" t="s">
        <v>1486</v>
      </c>
    </row>
    <row r="49" spans="1:6" x14ac:dyDescent="0.2">
      <c r="A49" s="91">
        <v>44</v>
      </c>
      <c r="B49" s="70" t="s">
        <v>1070</v>
      </c>
      <c r="C49" s="71" t="s">
        <v>1071</v>
      </c>
      <c r="D49" s="72" t="s">
        <v>1072</v>
      </c>
      <c r="E49" s="73"/>
    </row>
    <row r="50" spans="1:6" x14ac:dyDescent="0.2">
      <c r="A50" s="91">
        <v>45</v>
      </c>
      <c r="B50" s="70" t="s">
        <v>580</v>
      </c>
      <c r="C50" s="71" t="s">
        <v>581</v>
      </c>
      <c r="D50" s="72" t="s">
        <v>582</v>
      </c>
      <c r="E50" s="73"/>
    </row>
    <row r="51" spans="1:6" x14ac:dyDescent="0.2">
      <c r="A51" s="91">
        <v>46</v>
      </c>
      <c r="B51" s="77" t="s">
        <v>1272</v>
      </c>
      <c r="C51" s="71" t="s">
        <v>1273</v>
      </c>
      <c r="D51" s="72" t="s">
        <v>5077</v>
      </c>
      <c r="E51" s="73" t="s">
        <v>5075</v>
      </c>
      <c r="F51" t="s">
        <v>5076</v>
      </c>
    </row>
    <row r="52" spans="1:6" x14ac:dyDescent="0.2">
      <c r="A52" s="91">
        <v>47</v>
      </c>
      <c r="B52" s="70" t="s">
        <v>807</v>
      </c>
      <c r="C52" s="71" t="s">
        <v>808</v>
      </c>
      <c r="D52" s="72" t="s">
        <v>809</v>
      </c>
      <c r="E52" s="73"/>
    </row>
    <row r="53" spans="1:6" x14ac:dyDescent="0.2">
      <c r="A53" s="91">
        <v>48</v>
      </c>
      <c r="B53" s="70" t="s">
        <v>1274</v>
      </c>
      <c r="C53" s="71" t="s">
        <v>1275</v>
      </c>
      <c r="D53" s="72" t="s">
        <v>857</v>
      </c>
      <c r="E53" s="73"/>
    </row>
    <row r="54" spans="1:6" x14ac:dyDescent="0.2">
      <c r="A54" s="91">
        <v>49</v>
      </c>
      <c r="B54" s="70" t="s">
        <v>1276</v>
      </c>
      <c r="C54" s="71" t="s">
        <v>1277</v>
      </c>
      <c r="D54" s="72" t="s">
        <v>1278</v>
      </c>
      <c r="E54" s="73"/>
    </row>
    <row r="55" spans="1:6" x14ac:dyDescent="0.2">
      <c r="A55" s="91">
        <v>50</v>
      </c>
      <c r="B55" s="77" t="s">
        <v>1279</v>
      </c>
      <c r="C55" s="71" t="s">
        <v>1280</v>
      </c>
      <c r="D55" s="72" t="s">
        <v>222</v>
      </c>
      <c r="E55" s="73" t="s">
        <v>1486</v>
      </c>
    </row>
    <row r="56" spans="1:6" x14ac:dyDescent="0.2">
      <c r="A56" s="91">
        <v>51</v>
      </c>
      <c r="B56" s="70" t="s">
        <v>769</v>
      </c>
      <c r="C56" s="71" t="s">
        <v>770</v>
      </c>
      <c r="D56" s="72" t="s">
        <v>771</v>
      </c>
      <c r="E56" s="73"/>
    </row>
    <row r="57" spans="1:6" x14ac:dyDescent="0.2">
      <c r="A57" s="91">
        <v>52</v>
      </c>
      <c r="B57" s="70" t="s">
        <v>1076</v>
      </c>
      <c r="C57" s="71" t="s">
        <v>1077</v>
      </c>
      <c r="D57" s="72" t="s">
        <v>1078</v>
      </c>
      <c r="E57" s="73"/>
    </row>
    <row r="58" spans="1:6" x14ac:dyDescent="0.2">
      <c r="A58" s="91">
        <v>53</v>
      </c>
      <c r="B58" s="70" t="s">
        <v>464</v>
      </c>
      <c r="C58" s="71" t="s">
        <v>465</v>
      </c>
      <c r="D58" s="72" t="s">
        <v>466</v>
      </c>
      <c r="E58" s="73"/>
    </row>
    <row r="59" spans="1:6" x14ac:dyDescent="0.2">
      <c r="A59" s="91">
        <v>54</v>
      </c>
      <c r="B59" s="70" t="s">
        <v>825</v>
      </c>
      <c r="C59" s="71" t="s">
        <v>826</v>
      </c>
      <c r="D59" s="72" t="s">
        <v>827</v>
      </c>
      <c r="E59" s="73"/>
    </row>
    <row r="60" spans="1:6" x14ac:dyDescent="0.2">
      <c r="A60" s="91">
        <v>55</v>
      </c>
      <c r="B60" s="77" t="s">
        <v>1281</v>
      </c>
      <c r="C60" s="71" t="s">
        <v>1282</v>
      </c>
      <c r="D60" s="72"/>
      <c r="E60" s="73" t="s">
        <v>1486</v>
      </c>
    </row>
    <row r="61" spans="1:6" x14ac:dyDescent="0.2">
      <c r="A61" s="91">
        <v>56</v>
      </c>
      <c r="B61" s="70" t="s">
        <v>658</v>
      </c>
      <c r="C61" s="71" t="s">
        <v>659</v>
      </c>
      <c r="D61" s="72" t="s">
        <v>892</v>
      </c>
      <c r="E61" s="73" t="s">
        <v>1487</v>
      </c>
    </row>
    <row r="62" spans="1:6" x14ac:dyDescent="0.2">
      <c r="A62" s="91">
        <v>57</v>
      </c>
      <c r="B62" s="70" t="s">
        <v>171</v>
      </c>
      <c r="C62" s="71" t="s">
        <v>172</v>
      </c>
      <c r="D62" s="72" t="s">
        <v>173</v>
      </c>
      <c r="E62" s="73"/>
    </row>
    <row r="63" spans="1:6" x14ac:dyDescent="0.2">
      <c r="A63" s="91">
        <v>58</v>
      </c>
      <c r="B63" s="70" t="s">
        <v>734</v>
      </c>
      <c r="C63" s="71" t="s">
        <v>735</v>
      </c>
      <c r="D63" s="72" t="s">
        <v>736</v>
      </c>
      <c r="E63" s="73"/>
    </row>
    <row r="64" spans="1:6" x14ac:dyDescent="0.2">
      <c r="A64" s="91">
        <v>59</v>
      </c>
      <c r="B64" s="70" t="s">
        <v>250</v>
      </c>
      <c r="C64" s="71" t="s">
        <v>251</v>
      </c>
      <c r="D64" s="72" t="s">
        <v>252</v>
      </c>
      <c r="E64" s="73"/>
    </row>
    <row r="65" spans="1:5" x14ac:dyDescent="0.2">
      <c r="A65" s="91">
        <v>60</v>
      </c>
      <c r="B65" s="70" t="s">
        <v>705</v>
      </c>
      <c r="C65" s="71" t="s">
        <v>706</v>
      </c>
      <c r="D65" s="72" t="s">
        <v>707</v>
      </c>
      <c r="E65" s="73"/>
    </row>
    <row r="66" spans="1:5" x14ac:dyDescent="0.2">
      <c r="A66" s="91">
        <v>61</v>
      </c>
      <c r="B66" s="77" t="s">
        <v>1283</v>
      </c>
      <c r="C66" s="71" t="s">
        <v>1284</v>
      </c>
      <c r="D66" s="72"/>
      <c r="E66" s="73" t="s">
        <v>1486</v>
      </c>
    </row>
    <row r="67" spans="1:5" x14ac:dyDescent="0.2">
      <c r="A67" s="91">
        <v>62</v>
      </c>
      <c r="B67" s="70" t="s">
        <v>509</v>
      </c>
      <c r="C67" s="71" t="s">
        <v>510</v>
      </c>
      <c r="D67" s="72" t="s">
        <v>511</v>
      </c>
      <c r="E67" s="73"/>
    </row>
    <row r="68" spans="1:5" x14ac:dyDescent="0.2">
      <c r="A68" s="91">
        <v>63</v>
      </c>
      <c r="B68" s="70" t="s">
        <v>97</v>
      </c>
      <c r="C68" s="71" t="s">
        <v>98</v>
      </c>
      <c r="D68" s="72" t="s">
        <v>99</v>
      </c>
      <c r="E68" s="73" t="s">
        <v>1488</v>
      </c>
    </row>
    <row r="69" spans="1:5" x14ac:dyDescent="0.2">
      <c r="A69" s="91">
        <v>64</v>
      </c>
      <c r="B69" s="70" t="s">
        <v>772</v>
      </c>
      <c r="C69" s="71" t="s">
        <v>773</v>
      </c>
      <c r="D69" s="72" t="s">
        <v>237</v>
      </c>
      <c r="E69" s="73" t="s">
        <v>1489</v>
      </c>
    </row>
    <row r="70" spans="1:5" x14ac:dyDescent="0.2">
      <c r="A70" s="91">
        <v>65</v>
      </c>
      <c r="B70" s="70" t="s">
        <v>54</v>
      </c>
      <c r="C70" s="71" t="s">
        <v>55</v>
      </c>
      <c r="D70" s="72" t="s">
        <v>56</v>
      </c>
      <c r="E70" s="73"/>
    </row>
    <row r="71" spans="1:5" x14ac:dyDescent="0.2">
      <c r="A71" s="91">
        <v>66</v>
      </c>
      <c r="B71" s="70" t="s">
        <v>241</v>
      </c>
      <c r="C71" s="71" t="s">
        <v>242</v>
      </c>
      <c r="D71" s="72" t="s">
        <v>243</v>
      </c>
      <c r="E71" s="73"/>
    </row>
    <row r="72" spans="1:5" x14ac:dyDescent="0.2">
      <c r="A72" s="91">
        <v>67</v>
      </c>
      <c r="B72" s="70" t="s">
        <v>702</v>
      </c>
      <c r="C72" s="71" t="s">
        <v>703</v>
      </c>
      <c r="D72" s="72" t="s">
        <v>704</v>
      </c>
      <c r="E72" s="73"/>
    </row>
    <row r="73" spans="1:5" x14ac:dyDescent="0.2">
      <c r="A73" s="91">
        <v>68</v>
      </c>
      <c r="B73" s="70" t="s">
        <v>614</v>
      </c>
      <c r="C73" s="71" t="s">
        <v>615</v>
      </c>
      <c r="D73" s="72" t="s">
        <v>616</v>
      </c>
      <c r="E73" s="73"/>
    </row>
    <row r="74" spans="1:5" x14ac:dyDescent="0.2">
      <c r="A74" s="91">
        <v>69</v>
      </c>
      <c r="B74" s="70" t="s">
        <v>1289</v>
      </c>
      <c r="C74" s="71" t="s">
        <v>1290</v>
      </c>
      <c r="D74" s="72" t="s">
        <v>1291</v>
      </c>
      <c r="E74" s="73"/>
    </row>
    <row r="75" spans="1:5" x14ac:dyDescent="0.2">
      <c r="A75" s="91">
        <v>70</v>
      </c>
      <c r="B75" s="70" t="s">
        <v>1014</v>
      </c>
      <c r="C75" s="71" t="s">
        <v>1015</v>
      </c>
      <c r="D75" s="72" t="s">
        <v>1016</v>
      </c>
      <c r="E75" s="73"/>
    </row>
    <row r="76" spans="1:5" x14ac:dyDescent="0.2">
      <c r="A76" s="91">
        <v>71</v>
      </c>
      <c r="B76" s="70" t="s">
        <v>313</v>
      </c>
      <c r="C76" s="71" t="s">
        <v>314</v>
      </c>
      <c r="D76" s="72" t="s">
        <v>315</v>
      </c>
      <c r="E76" s="73"/>
    </row>
    <row r="77" spans="1:5" x14ac:dyDescent="0.2">
      <c r="A77" s="91">
        <v>72</v>
      </c>
      <c r="B77" s="77" t="s">
        <v>1292</v>
      </c>
      <c r="C77" s="71" t="s">
        <v>1293</v>
      </c>
      <c r="D77" s="72"/>
      <c r="E77" s="73" t="s">
        <v>1486</v>
      </c>
    </row>
    <row r="78" spans="1:5" x14ac:dyDescent="0.2">
      <c r="A78" s="91">
        <v>73</v>
      </c>
      <c r="B78" s="70" t="s">
        <v>404</v>
      </c>
      <c r="C78" s="71" t="s">
        <v>405</v>
      </c>
      <c r="D78" s="72" t="s">
        <v>406</v>
      </c>
      <c r="E78" s="73"/>
    </row>
    <row r="79" spans="1:5" x14ac:dyDescent="0.2">
      <c r="A79" s="91">
        <v>74</v>
      </c>
      <c r="B79" s="70" t="s">
        <v>810</v>
      </c>
      <c r="C79" s="71" t="s">
        <v>811</v>
      </c>
      <c r="D79" s="72" t="s">
        <v>812</v>
      </c>
      <c r="E79" s="73"/>
    </row>
    <row r="80" spans="1:5" x14ac:dyDescent="0.2">
      <c r="A80" s="91">
        <v>75</v>
      </c>
      <c r="B80" s="70" t="s">
        <v>517</v>
      </c>
      <c r="C80" s="71" t="s">
        <v>518</v>
      </c>
      <c r="D80" s="72" t="s">
        <v>519</v>
      </c>
      <c r="E80" s="73"/>
    </row>
    <row r="81" spans="1:5" x14ac:dyDescent="0.2">
      <c r="A81" s="91">
        <v>76</v>
      </c>
      <c r="B81" s="70" t="s">
        <v>153</v>
      </c>
      <c r="C81" s="71" t="s">
        <v>154</v>
      </c>
      <c r="D81" s="72" t="s">
        <v>155</v>
      </c>
      <c r="E81" s="73"/>
    </row>
    <row r="82" spans="1:5" x14ac:dyDescent="0.2">
      <c r="A82" s="91">
        <v>77</v>
      </c>
      <c r="B82" s="70" t="s">
        <v>950</v>
      </c>
      <c r="C82" s="71" t="s">
        <v>951</v>
      </c>
      <c r="D82" s="72" t="s">
        <v>952</v>
      </c>
      <c r="E82" s="73"/>
    </row>
    <row r="83" spans="1:5" x14ac:dyDescent="0.2">
      <c r="A83" s="91">
        <v>78</v>
      </c>
      <c r="B83" s="70" t="s">
        <v>497</v>
      </c>
      <c r="C83" s="71" t="s">
        <v>498</v>
      </c>
      <c r="D83" s="72" t="s">
        <v>499</v>
      </c>
      <c r="E83" s="73"/>
    </row>
    <row r="84" spans="1:5" x14ac:dyDescent="0.2">
      <c r="A84" s="91">
        <v>79</v>
      </c>
      <c r="B84" s="70" t="s">
        <v>1294</v>
      </c>
      <c r="C84" s="71" t="s">
        <v>1295</v>
      </c>
      <c r="D84" s="72" t="s">
        <v>3415</v>
      </c>
      <c r="E84" s="73" t="s">
        <v>3416</v>
      </c>
    </row>
    <row r="85" spans="1:5" x14ac:dyDescent="0.2">
      <c r="A85" s="91">
        <v>80</v>
      </c>
      <c r="B85" s="70" t="s">
        <v>337</v>
      </c>
      <c r="C85" s="71" t="s">
        <v>338</v>
      </c>
      <c r="D85" s="72" t="s">
        <v>339</v>
      </c>
      <c r="E85" s="73"/>
    </row>
    <row r="86" spans="1:5" x14ac:dyDescent="0.2">
      <c r="A86" s="91">
        <v>81</v>
      </c>
      <c r="B86" s="70" t="s">
        <v>852</v>
      </c>
      <c r="C86" s="71" t="s">
        <v>853</v>
      </c>
      <c r="D86" s="72" t="s">
        <v>854</v>
      </c>
      <c r="E86" s="73"/>
    </row>
    <row r="87" spans="1:5" x14ac:dyDescent="0.2">
      <c r="A87" s="91">
        <v>82</v>
      </c>
      <c r="B87" s="70" t="s">
        <v>1296</v>
      </c>
      <c r="C87" s="71" t="s">
        <v>1297</v>
      </c>
      <c r="D87" s="72" t="s">
        <v>1298</v>
      </c>
      <c r="E87" s="73"/>
    </row>
    <row r="88" spans="1:5" x14ac:dyDescent="0.2">
      <c r="A88" s="91">
        <v>83</v>
      </c>
      <c r="B88" s="70" t="s">
        <v>3178</v>
      </c>
      <c r="C88" s="71" t="s">
        <v>3199</v>
      </c>
      <c r="D88" s="83" t="s">
        <v>1424</v>
      </c>
      <c r="E88" s="73"/>
    </row>
    <row r="89" spans="1:5" x14ac:dyDescent="0.2">
      <c r="A89" s="91">
        <v>84</v>
      </c>
      <c r="B89" s="70" t="s">
        <v>1299</v>
      </c>
      <c r="C89" s="71" t="s">
        <v>1300</v>
      </c>
      <c r="D89" s="72" t="s">
        <v>3197</v>
      </c>
      <c r="E89" s="73"/>
    </row>
    <row r="90" spans="1:5" x14ac:dyDescent="0.2">
      <c r="A90" s="91">
        <v>85</v>
      </c>
      <c r="B90" s="70" t="s">
        <v>48</v>
      </c>
      <c r="C90" s="71" t="s">
        <v>49</v>
      </c>
      <c r="D90" s="72" t="s">
        <v>50</v>
      </c>
      <c r="E90" s="73"/>
    </row>
    <row r="91" spans="1:5" x14ac:dyDescent="0.2">
      <c r="A91" s="91">
        <v>86</v>
      </c>
      <c r="B91" s="70" t="s">
        <v>583</v>
      </c>
      <c r="C91" s="71" t="s">
        <v>584</v>
      </c>
      <c r="D91" s="72" t="s">
        <v>585</v>
      </c>
      <c r="E91" s="73"/>
    </row>
    <row r="92" spans="1:5" x14ac:dyDescent="0.2">
      <c r="A92" s="91">
        <v>87</v>
      </c>
      <c r="B92" s="70" t="s">
        <v>1154</v>
      </c>
      <c r="C92" s="71" t="s">
        <v>1155</v>
      </c>
      <c r="D92" s="72" t="s">
        <v>1156</v>
      </c>
      <c r="E92" s="73"/>
    </row>
    <row r="93" spans="1:5" x14ac:dyDescent="0.2">
      <c r="A93" s="91">
        <v>88</v>
      </c>
      <c r="B93" s="70" t="s">
        <v>416</v>
      </c>
      <c r="C93" s="71" t="s">
        <v>417</v>
      </c>
      <c r="D93" s="78" t="s">
        <v>418</v>
      </c>
      <c r="E93" s="73"/>
    </row>
    <row r="94" spans="1:5" x14ac:dyDescent="0.2">
      <c r="A94" s="91">
        <v>89</v>
      </c>
      <c r="B94" s="70" t="s">
        <v>655</v>
      </c>
      <c r="C94" s="71" t="s">
        <v>656</v>
      </c>
      <c r="D94" s="72" t="s">
        <v>657</v>
      </c>
      <c r="E94" s="73"/>
    </row>
    <row r="95" spans="1:5" x14ac:dyDescent="0.2">
      <c r="A95" s="91">
        <v>90</v>
      </c>
      <c r="B95" s="70" t="s">
        <v>999</v>
      </c>
      <c r="C95" s="71" t="s">
        <v>1000</v>
      </c>
      <c r="D95" s="72" t="s">
        <v>1001</v>
      </c>
      <c r="E95" s="73"/>
    </row>
    <row r="96" spans="1:5" x14ac:dyDescent="0.2">
      <c r="A96" s="91">
        <v>91</v>
      </c>
      <c r="B96" s="70" t="s">
        <v>1170</v>
      </c>
      <c r="C96" s="71" t="s">
        <v>1171</v>
      </c>
      <c r="D96" s="72" t="s">
        <v>389</v>
      </c>
      <c r="E96" s="73"/>
    </row>
    <row r="97" spans="1:5" x14ac:dyDescent="0.2">
      <c r="A97" s="91">
        <v>92</v>
      </c>
      <c r="B97" s="70" t="s">
        <v>1148</v>
      </c>
      <c r="C97" s="71" t="s">
        <v>1149</v>
      </c>
      <c r="D97" s="72" t="s">
        <v>1150</v>
      </c>
      <c r="E97" s="73"/>
    </row>
    <row r="98" spans="1:5" x14ac:dyDescent="0.2">
      <c r="A98" s="91">
        <v>93</v>
      </c>
      <c r="B98" s="70" t="s">
        <v>1303</v>
      </c>
      <c r="C98" s="71" t="s">
        <v>1304</v>
      </c>
      <c r="D98" s="72" t="s">
        <v>1305</v>
      </c>
      <c r="E98" s="73"/>
    </row>
    <row r="99" spans="1:5" x14ac:dyDescent="0.2">
      <c r="A99" s="91">
        <v>94</v>
      </c>
      <c r="B99" s="70" t="s">
        <v>425</v>
      </c>
      <c r="C99" s="71" t="s">
        <v>426</v>
      </c>
      <c r="D99" s="72" t="s">
        <v>427</v>
      </c>
      <c r="E99" s="73"/>
    </row>
    <row r="100" spans="1:5" x14ac:dyDescent="0.2">
      <c r="A100" s="91">
        <v>95</v>
      </c>
      <c r="B100" s="70" t="s">
        <v>968</v>
      </c>
      <c r="C100" s="71" t="s">
        <v>969</v>
      </c>
      <c r="D100" s="72" t="s">
        <v>970</v>
      </c>
      <c r="E100" s="73"/>
    </row>
    <row r="101" spans="1:5" x14ac:dyDescent="0.2">
      <c r="A101" s="91">
        <v>96</v>
      </c>
      <c r="B101" s="70" t="s">
        <v>823</v>
      </c>
      <c r="C101" s="71" t="s">
        <v>824</v>
      </c>
      <c r="D101" s="72" t="s">
        <v>765</v>
      </c>
      <c r="E101" s="73"/>
    </row>
    <row r="102" spans="1:5" x14ac:dyDescent="0.2">
      <c r="A102" s="91">
        <v>97</v>
      </c>
      <c r="B102" s="70" t="s">
        <v>500</v>
      </c>
      <c r="C102" s="71" t="s">
        <v>501</v>
      </c>
      <c r="D102" s="72" t="s">
        <v>5074</v>
      </c>
      <c r="E102" s="73" t="s">
        <v>5073</v>
      </c>
    </row>
    <row r="103" spans="1:5" x14ac:dyDescent="0.2">
      <c r="A103" s="91">
        <v>98</v>
      </c>
      <c r="B103" s="70" t="s">
        <v>849</v>
      </c>
      <c r="C103" s="71" t="s">
        <v>850</v>
      </c>
      <c r="D103" s="72" t="s">
        <v>851</v>
      </c>
      <c r="E103" s="73"/>
    </row>
    <row r="104" spans="1:5" x14ac:dyDescent="0.2">
      <c r="A104" s="91">
        <v>99</v>
      </c>
      <c r="B104" s="70" t="s">
        <v>132</v>
      </c>
      <c r="C104" s="71" t="s">
        <v>133</v>
      </c>
      <c r="D104" s="72" t="s">
        <v>134</v>
      </c>
      <c r="E104" s="73"/>
    </row>
    <row r="105" spans="1:5" x14ac:dyDescent="0.2">
      <c r="A105" s="91">
        <v>100</v>
      </c>
      <c r="B105" s="70" t="s">
        <v>328</v>
      </c>
      <c r="C105" s="71" t="s">
        <v>329</v>
      </c>
      <c r="D105" s="72" t="s">
        <v>330</v>
      </c>
      <c r="E105" s="73"/>
    </row>
    <row r="106" spans="1:5" x14ac:dyDescent="0.2">
      <c r="A106" s="91">
        <v>101</v>
      </c>
      <c r="B106" s="70" t="s">
        <v>1306</v>
      </c>
      <c r="C106" s="71" t="s">
        <v>1307</v>
      </c>
      <c r="D106" s="72" t="s">
        <v>1308</v>
      </c>
      <c r="E106" s="73"/>
    </row>
    <row r="107" spans="1:5" x14ac:dyDescent="0.2">
      <c r="A107" s="91">
        <v>102</v>
      </c>
      <c r="B107" s="70" t="s">
        <v>449</v>
      </c>
      <c r="C107" s="71" t="s">
        <v>450</v>
      </c>
      <c r="D107" s="72" t="s">
        <v>451</v>
      </c>
      <c r="E107" s="73"/>
    </row>
    <row r="108" spans="1:5" x14ac:dyDescent="0.2">
      <c r="A108" s="91">
        <v>103</v>
      </c>
      <c r="B108" s="70" t="s">
        <v>711</v>
      </c>
      <c r="C108" s="71" t="s">
        <v>712</v>
      </c>
      <c r="D108" s="72" t="s">
        <v>713</v>
      </c>
      <c r="E108" s="73"/>
    </row>
    <row r="109" spans="1:5" ht="14.25" customHeight="1" x14ac:dyDescent="0.2">
      <c r="A109" s="91">
        <v>104</v>
      </c>
      <c r="B109" s="70" t="s">
        <v>1029</v>
      </c>
      <c r="C109" s="71" t="s">
        <v>1030</v>
      </c>
      <c r="D109" s="72" t="s">
        <v>1031</v>
      </c>
      <c r="E109" s="73"/>
    </row>
    <row r="110" spans="1:5" ht="12.75" customHeight="1" x14ac:dyDescent="0.2">
      <c r="A110" s="91">
        <v>105</v>
      </c>
      <c r="B110" s="70" t="s">
        <v>138</v>
      </c>
      <c r="C110" s="71" t="s">
        <v>139</v>
      </c>
      <c r="D110" s="72" t="s">
        <v>3862</v>
      </c>
      <c r="E110" s="73" t="s">
        <v>3861</v>
      </c>
    </row>
    <row r="111" spans="1:5" ht="12.75" customHeight="1" x14ac:dyDescent="0.2">
      <c r="A111" s="91">
        <v>106</v>
      </c>
      <c r="B111" s="77" t="s">
        <v>1309</v>
      </c>
      <c r="C111" s="71" t="s">
        <v>1310</v>
      </c>
      <c r="D111" s="72"/>
      <c r="E111" s="73" t="s">
        <v>1486</v>
      </c>
    </row>
    <row r="112" spans="1:5" ht="12.75" customHeight="1" x14ac:dyDescent="0.2">
      <c r="A112" s="91">
        <v>107</v>
      </c>
      <c r="B112" s="70" t="s">
        <v>84</v>
      </c>
      <c r="C112" s="71" t="s">
        <v>85</v>
      </c>
      <c r="D112" s="79" t="s">
        <v>86</v>
      </c>
      <c r="E112" s="73"/>
    </row>
    <row r="113" spans="1:5" x14ac:dyDescent="0.2">
      <c r="A113" s="91">
        <v>108</v>
      </c>
      <c r="B113" s="70" t="s">
        <v>65</v>
      </c>
      <c r="C113" s="71" t="s">
        <v>66</v>
      </c>
      <c r="D113" s="72" t="s">
        <v>67</v>
      </c>
      <c r="E113" s="73"/>
    </row>
    <row r="114" spans="1:5" x14ac:dyDescent="0.2">
      <c r="A114" s="91">
        <v>109</v>
      </c>
      <c r="B114" s="77" t="s">
        <v>1311</v>
      </c>
      <c r="C114" s="71" t="s">
        <v>1312</v>
      </c>
      <c r="D114" s="72"/>
      <c r="E114" s="73" t="s">
        <v>1486</v>
      </c>
    </row>
    <row r="115" spans="1:5" x14ac:dyDescent="0.2">
      <c r="A115" s="91">
        <v>110</v>
      </c>
      <c r="B115" s="70" t="s">
        <v>367</v>
      </c>
      <c r="C115" s="71" t="s">
        <v>368</v>
      </c>
      <c r="D115" s="72" t="s">
        <v>369</v>
      </c>
      <c r="E115" s="73"/>
    </row>
    <row r="116" spans="1:5" ht="14.25" x14ac:dyDescent="0.2">
      <c r="A116" s="91">
        <v>111</v>
      </c>
      <c r="B116" s="80" t="s">
        <v>752</v>
      </c>
      <c r="C116" s="71" t="s">
        <v>753</v>
      </c>
      <c r="D116" s="81" t="s">
        <v>754</v>
      </c>
      <c r="E116" s="73" t="s">
        <v>1490</v>
      </c>
    </row>
    <row r="117" spans="1:5" ht="14.25" x14ac:dyDescent="0.2">
      <c r="A117" s="91">
        <v>112</v>
      </c>
      <c r="B117" s="80" t="s">
        <v>755</v>
      </c>
      <c r="C117" s="71" t="s">
        <v>756</v>
      </c>
      <c r="D117" s="81" t="s">
        <v>757</v>
      </c>
      <c r="E117" s="73" t="s">
        <v>1491</v>
      </c>
    </row>
    <row r="118" spans="1:5" x14ac:dyDescent="0.2">
      <c r="A118" s="91">
        <v>113</v>
      </c>
      <c r="B118" s="70" t="s">
        <v>957</v>
      </c>
      <c r="C118" s="71" t="s">
        <v>958</v>
      </c>
      <c r="D118" s="72" t="s">
        <v>959</v>
      </c>
      <c r="E118" s="73"/>
    </row>
    <row r="119" spans="1:5" x14ac:dyDescent="0.2">
      <c r="A119" s="91">
        <v>114</v>
      </c>
      <c r="B119" s="70" t="s">
        <v>589</v>
      </c>
      <c r="C119" s="71" t="s">
        <v>590</v>
      </c>
      <c r="D119" s="72" t="s">
        <v>591</v>
      </c>
      <c r="E119" s="73"/>
    </row>
    <row r="120" spans="1:5" x14ac:dyDescent="0.2">
      <c r="A120" s="91">
        <v>115</v>
      </c>
      <c r="B120" s="70" t="s">
        <v>1314</v>
      </c>
      <c r="C120" s="71" t="s">
        <v>1315</v>
      </c>
      <c r="D120" s="72" t="s">
        <v>1316</v>
      </c>
      <c r="E120" s="73"/>
    </row>
    <row r="121" spans="1:5" x14ac:dyDescent="0.2">
      <c r="A121" s="91">
        <v>116</v>
      </c>
      <c r="B121" s="77" t="s">
        <v>1317</v>
      </c>
      <c r="C121" s="71" t="s">
        <v>1318</v>
      </c>
      <c r="D121" s="72" t="s">
        <v>1319</v>
      </c>
      <c r="E121" s="73" t="s">
        <v>1492</v>
      </c>
    </row>
    <row r="122" spans="1:5" x14ac:dyDescent="0.2">
      <c r="A122" s="91">
        <v>117</v>
      </c>
      <c r="B122" s="70" t="s">
        <v>392</v>
      </c>
      <c r="C122" s="71" t="s">
        <v>393</v>
      </c>
      <c r="D122" s="72" t="s">
        <v>394</v>
      </c>
      <c r="E122" s="73"/>
    </row>
    <row r="123" spans="1:5" x14ac:dyDescent="0.2">
      <c r="A123" s="91">
        <v>118</v>
      </c>
      <c r="B123" s="70" t="s">
        <v>640</v>
      </c>
      <c r="C123" s="71" t="s">
        <v>641</v>
      </c>
      <c r="D123" s="72" t="s">
        <v>642</v>
      </c>
      <c r="E123" s="73"/>
    </row>
    <row r="124" spans="1:5" x14ac:dyDescent="0.2">
      <c r="A124" s="91">
        <v>119</v>
      </c>
      <c r="B124" s="77" t="s">
        <v>482</v>
      </c>
      <c r="C124" s="71" t="s">
        <v>483</v>
      </c>
      <c r="D124" s="72" t="s">
        <v>484</v>
      </c>
      <c r="E124" s="73" t="s">
        <v>1486</v>
      </c>
    </row>
    <row r="125" spans="1:5" x14ac:dyDescent="0.2">
      <c r="A125" s="91">
        <v>120</v>
      </c>
      <c r="B125" s="70" t="s">
        <v>1320</v>
      </c>
      <c r="C125" s="71" t="s">
        <v>1321</v>
      </c>
      <c r="D125" s="72" t="s">
        <v>1322</v>
      </c>
      <c r="E125" s="73"/>
    </row>
    <row r="126" spans="1:5" x14ac:dyDescent="0.2">
      <c r="A126" s="91">
        <v>121</v>
      </c>
      <c r="B126" s="70" t="s">
        <v>918</v>
      </c>
      <c r="C126" s="71" t="s">
        <v>919</v>
      </c>
      <c r="D126" s="72" t="s">
        <v>920</v>
      </c>
      <c r="E126" s="73" t="s">
        <v>1493</v>
      </c>
    </row>
    <row r="127" spans="1:5" x14ac:dyDescent="0.2">
      <c r="A127" s="91">
        <v>122</v>
      </c>
      <c r="B127" s="70" t="s">
        <v>3852</v>
      </c>
      <c r="C127" s="71" t="s">
        <v>3853</v>
      </c>
      <c r="D127" s="72" t="s">
        <v>3854</v>
      </c>
      <c r="E127" s="73" t="s">
        <v>3855</v>
      </c>
    </row>
    <row r="128" spans="1:5" x14ac:dyDescent="0.2">
      <c r="A128" s="91">
        <v>123</v>
      </c>
      <c r="B128" s="70" t="s">
        <v>876</v>
      </c>
      <c r="C128" s="71" t="s">
        <v>877</v>
      </c>
      <c r="D128" s="72" t="s">
        <v>878</v>
      </c>
      <c r="E128" s="73" t="s">
        <v>1494</v>
      </c>
    </row>
    <row r="129" spans="1:5" x14ac:dyDescent="0.2">
      <c r="A129" s="91">
        <v>124</v>
      </c>
      <c r="B129" s="70" t="s">
        <v>887</v>
      </c>
      <c r="C129" s="71" t="s">
        <v>888</v>
      </c>
      <c r="D129" s="72" t="s">
        <v>889</v>
      </c>
      <c r="E129" s="73"/>
    </row>
    <row r="130" spans="1:5" x14ac:dyDescent="0.2">
      <c r="A130" s="91">
        <v>125</v>
      </c>
      <c r="B130" s="70" t="s">
        <v>879</v>
      </c>
      <c r="C130" s="71" t="s">
        <v>880</v>
      </c>
      <c r="D130" s="72" t="s">
        <v>881</v>
      </c>
      <c r="E130" s="73" t="s">
        <v>1495</v>
      </c>
    </row>
    <row r="131" spans="1:5" x14ac:dyDescent="0.2">
      <c r="A131" s="91">
        <v>126</v>
      </c>
      <c r="B131" s="70" t="s">
        <v>3527</v>
      </c>
      <c r="C131" s="71" t="s">
        <v>3528</v>
      </c>
      <c r="D131" s="72" t="s">
        <v>3529</v>
      </c>
      <c r="E131" s="73" t="s">
        <v>3530</v>
      </c>
    </row>
    <row r="132" spans="1:5" x14ac:dyDescent="0.2">
      <c r="A132" s="91">
        <v>127</v>
      </c>
      <c r="B132" s="70" t="s">
        <v>81</v>
      </c>
      <c r="C132" s="71" t="s">
        <v>82</v>
      </c>
      <c r="D132" s="72" t="s">
        <v>83</v>
      </c>
      <c r="E132" s="73"/>
    </row>
    <row r="133" spans="1:5" x14ac:dyDescent="0.2">
      <c r="A133" s="91">
        <v>128</v>
      </c>
      <c r="B133" s="70" t="s">
        <v>1323</v>
      </c>
      <c r="C133" s="71" t="s">
        <v>1324</v>
      </c>
      <c r="D133" s="72" t="s">
        <v>1325</v>
      </c>
      <c r="E133" s="73"/>
    </row>
    <row r="134" spans="1:5" x14ac:dyDescent="0.2">
      <c r="A134" s="91">
        <v>129</v>
      </c>
      <c r="B134" s="70" t="s">
        <v>1326</v>
      </c>
      <c r="C134" s="71" t="s">
        <v>1327</v>
      </c>
      <c r="D134" s="72" t="s">
        <v>1328</v>
      </c>
      <c r="E134" s="73"/>
    </row>
    <row r="135" spans="1:5" x14ac:dyDescent="0.2">
      <c r="A135" s="91">
        <v>130</v>
      </c>
      <c r="B135" s="70" t="s">
        <v>277</v>
      </c>
      <c r="C135" s="71" t="s">
        <v>278</v>
      </c>
      <c r="D135" s="72" t="s">
        <v>279</v>
      </c>
      <c r="E135" s="73"/>
    </row>
    <row r="136" spans="1:5" x14ac:dyDescent="0.2">
      <c r="A136" s="91">
        <v>131</v>
      </c>
      <c r="B136" s="70" t="s">
        <v>817</v>
      </c>
      <c r="C136" s="71" t="s">
        <v>818</v>
      </c>
      <c r="D136" s="72" t="s">
        <v>819</v>
      </c>
      <c r="E136" s="73"/>
    </row>
    <row r="137" spans="1:5" x14ac:dyDescent="0.2">
      <c r="A137" s="91">
        <v>132</v>
      </c>
      <c r="B137" s="70" t="s">
        <v>1092</v>
      </c>
      <c r="C137" s="71" t="s">
        <v>1093</v>
      </c>
      <c r="D137" s="72" t="s">
        <v>1094</v>
      </c>
      <c r="E137" s="73"/>
    </row>
    <row r="138" spans="1:5" x14ac:dyDescent="0.2">
      <c r="A138" s="91">
        <v>133</v>
      </c>
      <c r="B138" s="70" t="s">
        <v>74</v>
      </c>
      <c r="C138" s="71" t="s">
        <v>75</v>
      </c>
      <c r="D138" s="72" t="s">
        <v>76</v>
      </c>
      <c r="E138" s="73"/>
    </row>
    <row r="139" spans="1:5" x14ac:dyDescent="0.2">
      <c r="A139" s="91">
        <v>134</v>
      </c>
      <c r="B139" s="70" t="s">
        <v>355</v>
      </c>
      <c r="C139" s="71" t="s">
        <v>356</v>
      </c>
      <c r="D139" s="72" t="s">
        <v>357</v>
      </c>
      <c r="E139" s="73"/>
    </row>
    <row r="140" spans="1:5" x14ac:dyDescent="0.2">
      <c r="A140" s="91">
        <v>135</v>
      </c>
      <c r="B140" s="70" t="s">
        <v>672</v>
      </c>
      <c r="C140" s="71" t="s">
        <v>673</v>
      </c>
      <c r="D140" s="72" t="s">
        <v>674</v>
      </c>
      <c r="E140" s="73"/>
    </row>
    <row r="141" spans="1:5" x14ac:dyDescent="0.2">
      <c r="A141" s="91">
        <v>136</v>
      </c>
      <c r="B141" s="70" t="s">
        <v>571</v>
      </c>
      <c r="C141" s="71" t="s">
        <v>572</v>
      </c>
      <c r="D141" s="72" t="s">
        <v>573</v>
      </c>
      <c r="E141" s="73"/>
    </row>
    <row r="142" spans="1:5" x14ac:dyDescent="0.2">
      <c r="A142" s="91">
        <v>137</v>
      </c>
      <c r="B142" s="70" t="s">
        <v>1151</v>
      </c>
      <c r="C142" s="71" t="s">
        <v>1152</v>
      </c>
      <c r="D142" s="72" t="s">
        <v>1153</v>
      </c>
      <c r="E142" s="73"/>
    </row>
    <row r="143" spans="1:5" x14ac:dyDescent="0.2">
      <c r="A143" s="91">
        <v>138</v>
      </c>
      <c r="B143" s="70" t="s">
        <v>289</v>
      </c>
      <c r="C143" s="71" t="s">
        <v>290</v>
      </c>
      <c r="D143" s="72" t="s">
        <v>291</v>
      </c>
      <c r="E143" s="73"/>
    </row>
    <row r="144" spans="1:5" x14ac:dyDescent="0.2">
      <c r="A144" s="91">
        <v>139</v>
      </c>
      <c r="B144" s="70" t="s">
        <v>911</v>
      </c>
      <c r="C144" s="71" t="s">
        <v>912</v>
      </c>
      <c r="D144" s="72" t="s">
        <v>397</v>
      </c>
      <c r="E144" s="73"/>
    </row>
    <row r="145" spans="1:5" x14ac:dyDescent="0.2">
      <c r="A145" s="91">
        <v>140</v>
      </c>
      <c r="B145" s="70" t="s">
        <v>598</v>
      </c>
      <c r="C145" s="71" t="s">
        <v>599</v>
      </c>
      <c r="D145" s="72" t="s">
        <v>886</v>
      </c>
      <c r="E145" s="73" t="s">
        <v>1496</v>
      </c>
    </row>
    <row r="146" spans="1:5" x14ac:dyDescent="0.2">
      <c r="A146" s="91">
        <v>141</v>
      </c>
      <c r="B146" s="70" t="s">
        <v>202</v>
      </c>
      <c r="C146" s="71" t="s">
        <v>203</v>
      </c>
      <c r="D146" s="72" t="s">
        <v>204</v>
      </c>
      <c r="E146" s="73"/>
    </row>
    <row r="147" spans="1:5" x14ac:dyDescent="0.2">
      <c r="A147" s="91">
        <v>142</v>
      </c>
      <c r="B147" s="70" t="s">
        <v>109</v>
      </c>
      <c r="C147" s="71" t="s">
        <v>110</v>
      </c>
      <c r="D147" s="72" t="s">
        <v>111</v>
      </c>
      <c r="E147" s="73"/>
    </row>
    <row r="148" spans="1:5" x14ac:dyDescent="0.2">
      <c r="A148" s="91">
        <v>143</v>
      </c>
      <c r="B148" s="70" t="s">
        <v>376</v>
      </c>
      <c r="C148" s="71" t="s">
        <v>377</v>
      </c>
      <c r="D148" s="72" t="s">
        <v>378</v>
      </c>
      <c r="E148" s="73"/>
    </row>
    <row r="149" spans="1:5" x14ac:dyDescent="0.2">
      <c r="A149" s="91">
        <v>144</v>
      </c>
      <c r="B149" s="70" t="s">
        <v>782</v>
      </c>
      <c r="C149" s="71" t="s">
        <v>783</v>
      </c>
      <c r="D149" s="72" t="s">
        <v>784</v>
      </c>
      <c r="E149" s="73"/>
    </row>
    <row r="150" spans="1:5" x14ac:dyDescent="0.2">
      <c r="A150" s="91">
        <v>145</v>
      </c>
      <c r="B150" s="70" t="s">
        <v>529</v>
      </c>
      <c r="C150" s="71" t="s">
        <v>530</v>
      </c>
      <c r="D150" s="72" t="s">
        <v>531</v>
      </c>
      <c r="E150" s="73"/>
    </row>
    <row r="151" spans="1:5" x14ac:dyDescent="0.2">
      <c r="A151" s="91">
        <v>146</v>
      </c>
      <c r="B151" s="70" t="s">
        <v>1329</v>
      </c>
      <c r="C151" s="71" t="s">
        <v>1330</v>
      </c>
      <c r="D151" s="72" t="s">
        <v>264</v>
      </c>
      <c r="E151" s="73"/>
    </row>
    <row r="152" spans="1:5" x14ac:dyDescent="0.2">
      <c r="A152" s="91">
        <v>147</v>
      </c>
      <c r="B152" s="77" t="s">
        <v>1331</v>
      </c>
      <c r="C152" s="71" t="s">
        <v>1332</v>
      </c>
      <c r="D152" s="72" t="s">
        <v>4430</v>
      </c>
      <c r="E152" s="73" t="s">
        <v>1486</v>
      </c>
    </row>
    <row r="153" spans="1:5" x14ac:dyDescent="0.2">
      <c r="A153" s="91">
        <v>148</v>
      </c>
      <c r="B153" s="77" t="s">
        <v>1333</v>
      </c>
      <c r="C153" s="71" t="s">
        <v>1334</v>
      </c>
      <c r="D153" s="72"/>
      <c r="E153" s="73" t="s">
        <v>1486</v>
      </c>
    </row>
    <row r="154" spans="1:5" x14ac:dyDescent="0.2">
      <c r="A154" s="91">
        <v>149</v>
      </c>
      <c r="B154" s="70" t="s">
        <v>611</v>
      </c>
      <c r="C154" s="71" t="s">
        <v>612</v>
      </c>
      <c r="D154" s="72" t="s">
        <v>613</v>
      </c>
      <c r="E154" s="73"/>
    </row>
    <row r="155" spans="1:5" x14ac:dyDescent="0.2">
      <c r="A155" s="91">
        <v>150</v>
      </c>
      <c r="B155" s="70" t="s">
        <v>1335</v>
      </c>
      <c r="C155" s="71" t="s">
        <v>1336</v>
      </c>
      <c r="D155" s="72" t="s">
        <v>1337</v>
      </c>
      <c r="E155" s="73"/>
    </row>
    <row r="156" spans="1:5" x14ac:dyDescent="0.2">
      <c r="A156" s="91">
        <v>151</v>
      </c>
      <c r="B156" s="70" t="s">
        <v>1006</v>
      </c>
      <c r="C156" s="71" t="s">
        <v>1007</v>
      </c>
      <c r="D156" s="72" t="s">
        <v>1008</v>
      </c>
      <c r="E156" s="73"/>
    </row>
    <row r="157" spans="1:5" x14ac:dyDescent="0.2">
      <c r="A157" s="91">
        <v>152</v>
      </c>
      <c r="B157" s="70" t="s">
        <v>259</v>
      </c>
      <c r="C157" s="71" t="s">
        <v>260</v>
      </c>
      <c r="D157" s="72" t="s">
        <v>261</v>
      </c>
      <c r="E157" s="73"/>
    </row>
    <row r="158" spans="1:5" x14ac:dyDescent="0.2">
      <c r="A158" s="91">
        <v>153</v>
      </c>
      <c r="B158" s="70" t="s">
        <v>649</v>
      </c>
      <c r="C158" s="71" t="s">
        <v>650</v>
      </c>
      <c r="D158" s="72" t="s">
        <v>651</v>
      </c>
      <c r="E158" s="73"/>
    </row>
    <row r="159" spans="1:5" x14ac:dyDescent="0.2">
      <c r="A159" s="91">
        <v>154</v>
      </c>
      <c r="B159" s="77" t="s">
        <v>1338</v>
      </c>
      <c r="C159" s="71" t="s">
        <v>1339</v>
      </c>
      <c r="D159" s="72"/>
      <c r="E159" s="73" t="s">
        <v>1486</v>
      </c>
    </row>
    <row r="160" spans="1:5" x14ac:dyDescent="0.2">
      <c r="A160" s="91">
        <v>155</v>
      </c>
      <c r="B160" s="70" t="s">
        <v>785</v>
      </c>
      <c r="C160" s="71" t="s">
        <v>786</v>
      </c>
      <c r="D160" s="72" t="s">
        <v>787</v>
      </c>
      <c r="E160" s="73"/>
    </row>
    <row r="161" spans="1:5" x14ac:dyDescent="0.2">
      <c r="A161" s="91">
        <v>156</v>
      </c>
      <c r="B161" s="70" t="s">
        <v>1023</v>
      </c>
      <c r="C161" s="71" t="s">
        <v>1024</v>
      </c>
      <c r="D161" s="72" t="s">
        <v>1025</v>
      </c>
      <c r="E161" s="73"/>
    </row>
    <row r="162" spans="1:5" x14ac:dyDescent="0.2">
      <c r="A162" s="91">
        <v>157</v>
      </c>
      <c r="B162" s="70" t="s">
        <v>126</v>
      </c>
      <c r="C162" s="71" t="s">
        <v>127</v>
      </c>
      <c r="D162" s="72" t="s">
        <v>128</v>
      </c>
      <c r="E162" s="73"/>
    </row>
    <row r="163" spans="1:5" x14ac:dyDescent="0.2">
      <c r="A163" s="91">
        <v>158</v>
      </c>
      <c r="B163" s="70" t="s">
        <v>837</v>
      </c>
      <c r="C163" s="71" t="s">
        <v>838</v>
      </c>
      <c r="D163" s="72" t="s">
        <v>839</v>
      </c>
      <c r="E163" s="73"/>
    </row>
    <row r="164" spans="1:5" x14ac:dyDescent="0.2">
      <c r="A164" s="91">
        <v>159</v>
      </c>
      <c r="B164" s="70" t="s">
        <v>90</v>
      </c>
      <c r="C164" s="71" t="s">
        <v>91</v>
      </c>
      <c r="D164" s="72" t="s">
        <v>92</v>
      </c>
      <c r="E164" s="73"/>
    </row>
    <row r="165" spans="1:5" x14ac:dyDescent="0.2">
      <c r="A165" s="91">
        <v>160</v>
      </c>
      <c r="B165" s="70" t="s">
        <v>722</v>
      </c>
      <c r="C165" s="71" t="s">
        <v>723</v>
      </c>
      <c r="D165" s="72" t="s">
        <v>724</v>
      </c>
      <c r="E165" s="73"/>
    </row>
    <row r="166" spans="1:5" x14ac:dyDescent="0.2">
      <c r="A166" s="91">
        <v>161</v>
      </c>
      <c r="B166" s="70" t="s">
        <v>1340</v>
      </c>
      <c r="C166" s="71" t="s">
        <v>1341</v>
      </c>
      <c r="D166" s="72" t="s">
        <v>1342</v>
      </c>
      <c r="E166" s="73"/>
    </row>
    <row r="167" spans="1:5" x14ac:dyDescent="0.2">
      <c r="A167" s="91">
        <v>162</v>
      </c>
      <c r="B167" s="70" t="s">
        <v>922</v>
      </c>
      <c r="C167" s="71" t="s">
        <v>923</v>
      </c>
      <c r="D167" s="72" t="s">
        <v>924</v>
      </c>
      <c r="E167" s="73"/>
    </row>
    <row r="168" spans="1:5" x14ac:dyDescent="0.2">
      <c r="A168" s="91">
        <v>163</v>
      </c>
      <c r="B168" s="70" t="s">
        <v>728</v>
      </c>
      <c r="C168" s="71" t="s">
        <v>729</v>
      </c>
      <c r="D168" s="72" t="s">
        <v>730</v>
      </c>
      <c r="E168" s="73"/>
    </row>
    <row r="169" spans="1:5" x14ac:dyDescent="0.2">
      <c r="A169" s="91">
        <v>164</v>
      </c>
      <c r="B169" s="70" t="s">
        <v>763</v>
      </c>
      <c r="C169" s="71" t="s">
        <v>764</v>
      </c>
      <c r="D169" s="72" t="s">
        <v>765</v>
      </c>
      <c r="E169" s="73"/>
    </row>
    <row r="170" spans="1:5" x14ac:dyDescent="0.2">
      <c r="A170" s="91">
        <v>165</v>
      </c>
      <c r="B170" s="70" t="s">
        <v>544</v>
      </c>
      <c r="C170" s="71" t="s">
        <v>545</v>
      </c>
      <c r="D170" s="72" t="s">
        <v>546</v>
      </c>
      <c r="E170" s="73"/>
    </row>
    <row r="171" spans="1:5" x14ac:dyDescent="0.2">
      <c r="A171" s="91">
        <v>166</v>
      </c>
      <c r="B171" s="70" t="s">
        <v>141</v>
      </c>
      <c r="C171" s="71" t="s">
        <v>142</v>
      </c>
      <c r="D171" s="72" t="s">
        <v>4073</v>
      </c>
      <c r="E171" s="73"/>
    </row>
    <row r="172" spans="1:5" x14ac:dyDescent="0.2">
      <c r="A172" s="91">
        <v>167</v>
      </c>
      <c r="B172" s="70" t="s">
        <v>1131</v>
      </c>
      <c r="C172" s="71" t="s">
        <v>1132</v>
      </c>
      <c r="D172" s="72" t="s">
        <v>1133</v>
      </c>
      <c r="E172" s="73"/>
    </row>
    <row r="173" spans="1:5" x14ac:dyDescent="0.2">
      <c r="A173" s="91">
        <v>168</v>
      </c>
      <c r="B173" s="70" t="s">
        <v>846</v>
      </c>
      <c r="C173" s="71" t="s">
        <v>847</v>
      </c>
      <c r="D173" s="72" t="s">
        <v>848</v>
      </c>
      <c r="E173" s="73"/>
    </row>
    <row r="174" spans="1:5" x14ac:dyDescent="0.2">
      <c r="A174" s="91">
        <v>169</v>
      </c>
      <c r="B174" s="70" t="s">
        <v>1343</v>
      </c>
      <c r="C174" s="71" t="s">
        <v>1344</v>
      </c>
      <c r="D174" s="72" t="s">
        <v>1345</v>
      </c>
      <c r="E174" s="73"/>
    </row>
    <row r="175" spans="1:5" x14ac:dyDescent="0.2">
      <c r="A175" s="91">
        <v>170</v>
      </c>
      <c r="B175" s="70" t="s">
        <v>407</v>
      </c>
      <c r="C175" s="71" t="s">
        <v>408</v>
      </c>
      <c r="D175" s="72" t="s">
        <v>409</v>
      </c>
      <c r="E175" s="73"/>
    </row>
    <row r="176" spans="1:5" x14ac:dyDescent="0.2">
      <c r="A176" s="91">
        <v>171</v>
      </c>
      <c r="B176" s="70" t="s">
        <v>195</v>
      </c>
      <c r="C176" s="71" t="s">
        <v>196</v>
      </c>
      <c r="D176" s="72" t="s">
        <v>197</v>
      </c>
      <c r="E176" s="73"/>
    </row>
    <row r="177" spans="1:5" x14ac:dyDescent="0.2">
      <c r="A177" s="91">
        <v>172</v>
      </c>
      <c r="B177" s="70" t="s">
        <v>532</v>
      </c>
      <c r="C177" s="71" t="s">
        <v>533</v>
      </c>
      <c r="D177" s="72" t="s">
        <v>534</v>
      </c>
      <c r="E177" s="73"/>
    </row>
    <row r="178" spans="1:5" x14ac:dyDescent="0.2">
      <c r="A178" s="91">
        <v>173</v>
      </c>
      <c r="B178" s="70" t="s">
        <v>1061</v>
      </c>
      <c r="C178" s="71" t="s">
        <v>1062</v>
      </c>
      <c r="D178" s="72" t="s">
        <v>4907</v>
      </c>
      <c r="E178" s="73" t="s">
        <v>4908</v>
      </c>
    </row>
    <row r="179" spans="1:5" x14ac:dyDescent="0.2">
      <c r="A179" s="91">
        <v>174</v>
      </c>
      <c r="B179" s="70" t="s">
        <v>541</v>
      </c>
      <c r="C179" s="71" t="s">
        <v>542</v>
      </c>
      <c r="D179" s="72" t="s">
        <v>543</v>
      </c>
      <c r="E179" s="73"/>
    </row>
    <row r="180" spans="1:5" x14ac:dyDescent="0.2">
      <c r="A180" s="91">
        <v>175</v>
      </c>
      <c r="B180" s="77" t="s">
        <v>1064</v>
      </c>
      <c r="C180" s="71" t="s">
        <v>1065</v>
      </c>
      <c r="D180" s="72" t="s">
        <v>1066</v>
      </c>
      <c r="E180" s="73" t="s">
        <v>1497</v>
      </c>
    </row>
    <row r="181" spans="1:5" ht="12" customHeight="1" x14ac:dyDescent="0.2">
      <c r="A181" s="91">
        <v>176</v>
      </c>
      <c r="B181" s="70" t="s">
        <v>485</v>
      </c>
      <c r="C181" s="71" t="s">
        <v>486</v>
      </c>
      <c r="D181" s="72" t="s">
        <v>487</v>
      </c>
      <c r="E181" s="73"/>
    </row>
    <row r="182" spans="1:5" x14ac:dyDescent="0.2">
      <c r="A182" s="91">
        <v>177</v>
      </c>
      <c r="B182" s="70" t="s">
        <v>283</v>
      </c>
      <c r="C182" s="71" t="s">
        <v>284</v>
      </c>
      <c r="D182" s="72" t="s">
        <v>285</v>
      </c>
      <c r="E182" s="73"/>
    </row>
    <row r="183" spans="1:5" x14ac:dyDescent="0.2">
      <c r="A183" s="91">
        <v>178</v>
      </c>
      <c r="B183" s="70" t="s">
        <v>1200</v>
      </c>
      <c r="C183" s="71" t="s">
        <v>1201</v>
      </c>
      <c r="D183" s="72" t="s">
        <v>1202</v>
      </c>
      <c r="E183" s="73"/>
    </row>
    <row r="184" spans="1:5" x14ac:dyDescent="0.2">
      <c r="A184" s="91">
        <v>179</v>
      </c>
      <c r="B184" s="70" t="s">
        <v>719</v>
      </c>
      <c r="C184" s="71" t="s">
        <v>720</v>
      </c>
      <c r="D184" s="72" t="s">
        <v>867</v>
      </c>
      <c r="E184" s="73" t="s">
        <v>1498</v>
      </c>
    </row>
    <row r="185" spans="1:5" x14ac:dyDescent="0.2">
      <c r="A185" s="91">
        <v>180</v>
      </c>
      <c r="B185" s="70" t="s">
        <v>1026</v>
      </c>
      <c r="C185" s="71" t="s">
        <v>1027</v>
      </c>
      <c r="D185" s="72" t="s">
        <v>1028</v>
      </c>
      <c r="E185" s="73"/>
    </row>
    <row r="186" spans="1:5" x14ac:dyDescent="0.2">
      <c r="A186" s="91">
        <v>181</v>
      </c>
      <c r="B186" s="70" t="s">
        <v>1017</v>
      </c>
      <c r="C186" s="71" t="s">
        <v>1018</v>
      </c>
      <c r="D186" s="72" t="s">
        <v>3196</v>
      </c>
      <c r="E186" s="73" t="s">
        <v>1499</v>
      </c>
    </row>
    <row r="187" spans="1:5" x14ac:dyDescent="0.2">
      <c r="A187" s="91">
        <v>182</v>
      </c>
      <c r="B187" s="70" t="s">
        <v>1055</v>
      </c>
      <c r="C187" s="71" t="s">
        <v>1056</v>
      </c>
      <c r="D187" s="72" t="s">
        <v>1057</v>
      </c>
      <c r="E187" s="73" t="s">
        <v>1500</v>
      </c>
    </row>
    <row r="188" spans="1:5" x14ac:dyDescent="0.2">
      <c r="A188" s="91">
        <v>183</v>
      </c>
      <c r="B188" s="70" t="s">
        <v>690</v>
      </c>
      <c r="C188" s="71" t="s">
        <v>691</v>
      </c>
      <c r="D188" s="72" t="s">
        <v>692</v>
      </c>
      <c r="E188" s="73"/>
    </row>
    <row r="189" spans="1:5" x14ac:dyDescent="0.2">
      <c r="A189" s="91">
        <v>184</v>
      </c>
      <c r="B189" s="70" t="s">
        <v>1346</v>
      </c>
      <c r="C189" s="71" t="s">
        <v>1347</v>
      </c>
      <c r="D189" s="72" t="s">
        <v>1501</v>
      </c>
      <c r="E189" s="73"/>
    </row>
    <row r="190" spans="1:5" x14ac:dyDescent="0.2">
      <c r="A190" s="91">
        <v>185</v>
      </c>
      <c r="B190" s="70" t="s">
        <v>115</v>
      </c>
      <c r="C190" s="71" t="s">
        <v>116</v>
      </c>
      <c r="D190" s="72" t="s">
        <v>117</v>
      </c>
      <c r="E190" s="73"/>
    </row>
    <row r="191" spans="1:5" x14ac:dyDescent="0.2">
      <c r="A191" s="91">
        <v>186</v>
      </c>
      <c r="B191" s="70" t="s">
        <v>112</v>
      </c>
      <c r="C191" s="71" t="s">
        <v>113</v>
      </c>
      <c r="D191" s="72" t="s">
        <v>114</v>
      </c>
      <c r="E191" s="73" t="s">
        <v>1502</v>
      </c>
    </row>
    <row r="192" spans="1:5" x14ac:dyDescent="0.2">
      <c r="A192" s="91">
        <v>187</v>
      </c>
      <c r="B192" s="70" t="s">
        <v>806</v>
      </c>
      <c r="C192" s="71" t="s">
        <v>885</v>
      </c>
      <c r="D192" s="72" t="s">
        <v>805</v>
      </c>
      <c r="E192" s="73"/>
    </row>
    <row r="193" spans="1:9" x14ac:dyDescent="0.2">
      <c r="A193" s="91">
        <v>188</v>
      </c>
      <c r="B193" s="80" t="s">
        <v>1349</v>
      </c>
      <c r="C193" s="82" t="s">
        <v>1350</v>
      </c>
      <c r="D193" s="83" t="s">
        <v>886</v>
      </c>
      <c r="E193" s="73"/>
    </row>
    <row r="194" spans="1:9" x14ac:dyDescent="0.2">
      <c r="A194" s="91">
        <v>189</v>
      </c>
      <c r="B194" s="80" t="s">
        <v>731</v>
      </c>
      <c r="C194" s="82" t="s">
        <v>732</v>
      </c>
      <c r="D194" s="83" t="s">
        <v>733</v>
      </c>
      <c r="E194" s="73"/>
    </row>
    <row r="195" spans="1:9" x14ac:dyDescent="0.2">
      <c r="A195" s="91">
        <v>190</v>
      </c>
      <c r="B195" s="80" t="s">
        <v>1351</v>
      </c>
      <c r="C195" s="82" t="s">
        <v>1524</v>
      </c>
      <c r="D195" s="83"/>
      <c r="E195" s="73"/>
    </row>
    <row r="196" spans="1:9" x14ac:dyDescent="0.2">
      <c r="A196" s="91">
        <v>191</v>
      </c>
      <c r="B196" s="70" t="s">
        <v>199</v>
      </c>
      <c r="C196" s="71" t="s">
        <v>200</v>
      </c>
      <c r="D196" s="72" t="s">
        <v>201</v>
      </c>
      <c r="E196" s="73"/>
    </row>
    <row r="197" spans="1:9" x14ac:dyDescent="0.2">
      <c r="A197" s="91">
        <v>192</v>
      </c>
      <c r="B197" s="70" t="s">
        <v>523</v>
      </c>
      <c r="C197" s="71" t="s">
        <v>524</v>
      </c>
      <c r="D197" s="72" t="s">
        <v>525</v>
      </c>
      <c r="E197" s="73"/>
    </row>
    <row r="198" spans="1:9" x14ac:dyDescent="0.2">
      <c r="A198" s="91">
        <v>193</v>
      </c>
      <c r="B198" s="70" t="s">
        <v>980</v>
      </c>
      <c r="C198" s="71" t="s">
        <v>981</v>
      </c>
      <c r="D198" s="72" t="s">
        <v>982</v>
      </c>
      <c r="E198" s="73"/>
    </row>
    <row r="199" spans="1:9" x14ac:dyDescent="0.2">
      <c r="A199" s="91">
        <v>194</v>
      </c>
      <c r="B199" s="70" t="s">
        <v>458</v>
      </c>
      <c r="C199" s="71" t="s">
        <v>459</v>
      </c>
      <c r="D199" s="72" t="s">
        <v>460</v>
      </c>
      <c r="E199" s="73"/>
    </row>
    <row r="200" spans="1:9" x14ac:dyDescent="0.2">
      <c r="A200" s="91">
        <v>195</v>
      </c>
      <c r="B200" s="77" t="s">
        <v>316</v>
      </c>
      <c r="C200" s="71" t="s">
        <v>317</v>
      </c>
      <c r="D200" s="84" t="s">
        <v>318</v>
      </c>
      <c r="E200" s="73" t="s">
        <v>1503</v>
      </c>
    </row>
    <row r="201" spans="1:9" x14ac:dyDescent="0.2">
      <c r="A201" s="91">
        <v>196</v>
      </c>
      <c r="B201" s="77" t="s">
        <v>319</v>
      </c>
      <c r="C201" s="71" t="s">
        <v>320</v>
      </c>
      <c r="D201" s="84" t="s">
        <v>321</v>
      </c>
      <c r="E201" s="73"/>
    </row>
    <row r="202" spans="1:9" x14ac:dyDescent="0.2">
      <c r="A202" s="91">
        <v>197</v>
      </c>
      <c r="B202" s="77" t="s">
        <v>1352</v>
      </c>
      <c r="C202" s="71" t="s">
        <v>1353</v>
      </c>
      <c r="D202" s="84" t="s">
        <v>1354</v>
      </c>
      <c r="E202" s="73"/>
    </row>
    <row r="203" spans="1:9" x14ac:dyDescent="0.2">
      <c r="A203" s="91">
        <v>198</v>
      </c>
      <c r="B203" s="70" t="s">
        <v>559</v>
      </c>
      <c r="C203" s="71" t="s">
        <v>560</v>
      </c>
      <c r="D203" s="72" t="s">
        <v>561</v>
      </c>
      <c r="E203" s="73"/>
    </row>
    <row r="204" spans="1:9" x14ac:dyDescent="0.2">
      <c r="A204" s="91">
        <v>199</v>
      </c>
      <c r="B204" s="70" t="s">
        <v>398</v>
      </c>
      <c r="C204" s="71" t="s">
        <v>399</v>
      </c>
      <c r="D204" s="72" t="s">
        <v>400</v>
      </c>
      <c r="E204" s="73"/>
    </row>
    <row r="205" spans="1:9" x14ac:dyDescent="0.2">
      <c r="A205" s="91">
        <v>200</v>
      </c>
      <c r="B205" s="70" t="s">
        <v>1355</v>
      </c>
      <c r="C205" s="71" t="s">
        <v>1356</v>
      </c>
      <c r="D205" s="72" t="s">
        <v>1357</v>
      </c>
      <c r="E205" s="73"/>
    </row>
    <row r="206" spans="1:9" x14ac:dyDescent="0.2">
      <c r="A206" s="91">
        <v>201</v>
      </c>
      <c r="B206" s="70" t="s">
        <v>675</v>
      </c>
      <c r="C206" s="71" t="s">
        <v>676</v>
      </c>
      <c r="D206" s="72" t="s">
        <v>677</v>
      </c>
      <c r="E206" s="73"/>
    </row>
    <row r="207" spans="1:9" x14ac:dyDescent="0.2">
      <c r="A207" s="91">
        <v>202</v>
      </c>
      <c r="B207" s="77" t="s">
        <v>1032</v>
      </c>
      <c r="C207" s="71" t="s">
        <v>1033</v>
      </c>
      <c r="D207" s="72" t="s">
        <v>1034</v>
      </c>
      <c r="E207" s="73" t="s">
        <v>1503</v>
      </c>
      <c r="I207" t="s">
        <v>1504</v>
      </c>
    </row>
    <row r="208" spans="1:9" x14ac:dyDescent="0.2">
      <c r="A208" s="91">
        <v>203</v>
      </c>
      <c r="B208" s="77" t="s">
        <v>926</v>
      </c>
      <c r="C208" s="71" t="s">
        <v>927</v>
      </c>
      <c r="D208" s="72" t="s">
        <v>928</v>
      </c>
      <c r="E208" s="73"/>
      <c r="I208" t="s">
        <v>1506</v>
      </c>
    </row>
    <row r="209" spans="1:5" x14ac:dyDescent="0.2">
      <c r="A209" s="91">
        <v>204</v>
      </c>
      <c r="B209" s="77" t="s">
        <v>929</v>
      </c>
      <c r="C209" s="71" t="s">
        <v>930</v>
      </c>
      <c r="D209" s="72" t="s">
        <v>931</v>
      </c>
      <c r="E209" s="73" t="s">
        <v>1505</v>
      </c>
    </row>
    <row r="210" spans="1:5" x14ac:dyDescent="0.2">
      <c r="A210" s="91">
        <v>205</v>
      </c>
      <c r="B210" s="70" t="s">
        <v>440</v>
      </c>
      <c r="C210" s="71" t="s">
        <v>441</v>
      </c>
      <c r="D210" s="72" t="s">
        <v>442</v>
      </c>
      <c r="E210" s="73"/>
    </row>
    <row r="211" spans="1:5" x14ac:dyDescent="0.2">
      <c r="A211" s="91">
        <v>206</v>
      </c>
      <c r="B211" s="70" t="s">
        <v>586</v>
      </c>
      <c r="C211" s="71" t="s">
        <v>587</v>
      </c>
      <c r="D211" s="72" t="s">
        <v>588</v>
      </c>
      <c r="E211" s="73"/>
    </row>
    <row r="212" spans="1:5" x14ac:dyDescent="0.2">
      <c r="A212" s="91">
        <v>207</v>
      </c>
      <c r="B212" s="70" t="s">
        <v>1358</v>
      </c>
      <c r="C212" s="71" t="s">
        <v>1359</v>
      </c>
      <c r="D212" s="72" t="s">
        <v>1360</v>
      </c>
      <c r="E212" s="73"/>
    </row>
    <row r="213" spans="1:5" x14ac:dyDescent="0.2">
      <c r="A213" s="91">
        <v>208</v>
      </c>
      <c r="B213" s="70" t="s">
        <v>938</v>
      </c>
      <c r="C213" s="71" t="s">
        <v>939</v>
      </c>
      <c r="D213" s="72" t="s">
        <v>940</v>
      </c>
      <c r="E213" s="73"/>
    </row>
    <row r="214" spans="1:5" x14ac:dyDescent="0.2">
      <c r="A214" s="91">
        <v>209</v>
      </c>
      <c r="B214" s="70" t="s">
        <v>1361</v>
      </c>
      <c r="C214" s="71" t="s">
        <v>1362</v>
      </c>
      <c r="D214" s="72" t="s">
        <v>1363</v>
      </c>
      <c r="E214" s="73"/>
    </row>
    <row r="215" spans="1:5" x14ac:dyDescent="0.2">
      <c r="A215" s="91">
        <v>210</v>
      </c>
      <c r="B215" s="80" t="s">
        <v>1052</v>
      </c>
      <c r="C215" s="82" t="s">
        <v>1053</v>
      </c>
      <c r="D215" s="83" t="s">
        <v>1054</v>
      </c>
      <c r="E215" s="73"/>
    </row>
    <row r="216" spans="1:5" x14ac:dyDescent="0.2">
      <c r="A216" s="91">
        <v>211</v>
      </c>
      <c r="B216" s="70" t="s">
        <v>1364</v>
      </c>
      <c r="C216" s="71" t="s">
        <v>1365</v>
      </c>
      <c r="D216" s="72" t="s">
        <v>1366</v>
      </c>
      <c r="E216" s="73"/>
    </row>
    <row r="217" spans="1:5" x14ac:dyDescent="0.2">
      <c r="A217" s="91">
        <v>212</v>
      </c>
      <c r="B217" s="70" t="s">
        <v>1119</v>
      </c>
      <c r="C217" s="71" t="s">
        <v>1120</v>
      </c>
      <c r="D217" s="72" t="s">
        <v>1121</v>
      </c>
      <c r="E217" s="73" t="s">
        <v>1507</v>
      </c>
    </row>
    <row r="218" spans="1:5" x14ac:dyDescent="0.2">
      <c r="A218" s="91">
        <v>213</v>
      </c>
      <c r="B218" s="70" t="s">
        <v>1367</v>
      </c>
      <c r="C218" s="71" t="s">
        <v>1368</v>
      </c>
      <c r="D218" s="72" t="s">
        <v>1369</v>
      </c>
      <c r="E218" s="73"/>
    </row>
    <row r="219" spans="1:5" x14ac:dyDescent="0.2">
      <c r="A219" s="91">
        <v>214</v>
      </c>
      <c r="B219" s="70" t="s">
        <v>1160</v>
      </c>
      <c r="C219" s="71" t="s">
        <v>1161</v>
      </c>
      <c r="D219" s="72" t="s">
        <v>1162</v>
      </c>
      <c r="E219" s="73"/>
    </row>
    <row r="220" spans="1:5" x14ac:dyDescent="0.2">
      <c r="A220" s="91">
        <v>215</v>
      </c>
      <c r="B220" s="70" t="s">
        <v>1370</v>
      </c>
      <c r="C220" s="71" t="s">
        <v>1371</v>
      </c>
      <c r="D220" s="72" t="s">
        <v>1372</v>
      </c>
      <c r="E220" s="73"/>
    </row>
    <row r="221" spans="1:5" x14ac:dyDescent="0.2">
      <c r="A221" s="91">
        <v>216</v>
      </c>
      <c r="B221" s="70" t="s">
        <v>1373</v>
      </c>
      <c r="C221" s="71" t="s">
        <v>1374</v>
      </c>
      <c r="D221" s="72" t="s">
        <v>1375</v>
      </c>
      <c r="E221" s="73"/>
    </row>
    <row r="222" spans="1:5" x14ac:dyDescent="0.2">
      <c r="A222" s="91">
        <v>217</v>
      </c>
      <c r="B222" s="70" t="s">
        <v>205</v>
      </c>
      <c r="C222" s="71" t="s">
        <v>206</v>
      </c>
      <c r="D222" s="72" t="s">
        <v>207</v>
      </c>
      <c r="E222" s="73"/>
    </row>
    <row r="223" spans="1:5" x14ac:dyDescent="0.2">
      <c r="A223" s="91">
        <v>218</v>
      </c>
      <c r="B223" s="70" t="s">
        <v>1376</v>
      </c>
      <c r="C223" s="71" t="s">
        <v>1377</v>
      </c>
      <c r="D223" s="72" t="s">
        <v>790</v>
      </c>
      <c r="E223" s="73" t="s">
        <v>1508</v>
      </c>
    </row>
    <row r="224" spans="1:5" x14ac:dyDescent="0.2">
      <c r="A224" s="91">
        <v>219</v>
      </c>
      <c r="B224" s="70" t="s">
        <v>1206</v>
      </c>
      <c r="C224" s="71" t="s">
        <v>1207</v>
      </c>
      <c r="D224" s="72" t="s">
        <v>1208</v>
      </c>
      <c r="E224" s="73" t="s">
        <v>1509</v>
      </c>
    </row>
    <row r="225" spans="1:6" x14ac:dyDescent="0.2">
      <c r="A225" s="91">
        <v>220</v>
      </c>
      <c r="B225" s="70" t="s">
        <v>503</v>
      </c>
      <c r="C225" s="71" t="s">
        <v>504</v>
      </c>
      <c r="D225" s="72" t="s">
        <v>3992</v>
      </c>
      <c r="E225" s="73" t="s">
        <v>1510</v>
      </c>
      <c r="F225" t="s">
        <v>3993</v>
      </c>
    </row>
    <row r="226" spans="1:6" x14ac:dyDescent="0.2">
      <c r="A226" s="91">
        <v>221</v>
      </c>
      <c r="B226" s="70" t="s">
        <v>38</v>
      </c>
      <c r="C226" s="71" t="s">
        <v>993</v>
      </c>
      <c r="D226" s="72" t="s">
        <v>994</v>
      </c>
      <c r="E226" s="73"/>
    </row>
    <row r="227" spans="1:6" x14ac:dyDescent="0.2">
      <c r="A227" s="91">
        <v>222</v>
      </c>
      <c r="B227" s="70" t="s">
        <v>358</v>
      </c>
      <c r="C227" s="71" t="s">
        <v>359</v>
      </c>
      <c r="D227" s="72" t="s">
        <v>5221</v>
      </c>
      <c r="E227" s="73" t="s">
        <v>1511</v>
      </c>
      <c r="F227" t="s">
        <v>5220</v>
      </c>
    </row>
    <row r="228" spans="1:6" x14ac:dyDescent="0.2">
      <c r="A228" s="91">
        <v>223</v>
      </c>
      <c r="B228" s="70" t="s">
        <v>1381</v>
      </c>
      <c r="C228" s="71" t="s">
        <v>39</v>
      </c>
      <c r="D228" s="72" t="s">
        <v>40</v>
      </c>
      <c r="E228" s="73"/>
    </row>
    <row r="229" spans="1:6" x14ac:dyDescent="0.2">
      <c r="A229" s="91">
        <v>224</v>
      </c>
      <c r="B229" s="80" t="s">
        <v>494</v>
      </c>
      <c r="C229" s="82" t="s">
        <v>495</v>
      </c>
      <c r="D229" s="83" t="s">
        <v>496</v>
      </c>
      <c r="E229" s="73"/>
    </row>
    <row r="230" spans="1:6" x14ac:dyDescent="0.2">
      <c r="A230" s="91">
        <v>225</v>
      </c>
      <c r="B230" s="70" t="s">
        <v>395</v>
      </c>
      <c r="C230" s="71" t="s">
        <v>396</v>
      </c>
      <c r="D230" s="72" t="s">
        <v>397</v>
      </c>
      <c r="E230" s="73"/>
    </row>
    <row r="231" spans="1:6" x14ac:dyDescent="0.2">
      <c r="A231" s="91">
        <v>226</v>
      </c>
      <c r="B231" s="70" t="s">
        <v>899</v>
      </c>
      <c r="C231" s="71" t="s">
        <v>900</v>
      </c>
      <c r="D231" s="72" t="s">
        <v>901</v>
      </c>
      <c r="E231" s="73" t="s">
        <v>1512</v>
      </c>
    </row>
    <row r="232" spans="1:6" x14ac:dyDescent="0.2">
      <c r="A232" s="91">
        <v>227</v>
      </c>
      <c r="B232" s="70" t="s">
        <v>1036</v>
      </c>
      <c r="C232" s="71" t="s">
        <v>1037</v>
      </c>
      <c r="D232" s="72" t="s">
        <v>1038</v>
      </c>
      <c r="E232" s="73"/>
    </row>
    <row r="233" spans="1:6" x14ac:dyDescent="0.2">
      <c r="A233" s="91">
        <v>228</v>
      </c>
      <c r="B233" s="70" t="s">
        <v>443</v>
      </c>
      <c r="C233" s="71" t="s">
        <v>444</v>
      </c>
      <c r="D233" s="72" t="s">
        <v>445</v>
      </c>
      <c r="E233" s="73" t="s">
        <v>1513</v>
      </c>
    </row>
    <row r="234" spans="1:6" x14ac:dyDescent="0.2">
      <c r="A234" s="91">
        <v>229</v>
      </c>
      <c r="B234" s="70" t="s">
        <v>843</v>
      </c>
      <c r="C234" s="71" t="s">
        <v>844</v>
      </c>
      <c r="D234" s="72" t="s">
        <v>845</v>
      </c>
      <c r="E234" s="73"/>
    </row>
    <row r="235" spans="1:6" x14ac:dyDescent="0.2">
      <c r="A235" s="91">
        <v>230</v>
      </c>
      <c r="B235" s="70" t="s">
        <v>1382</v>
      </c>
      <c r="C235" s="71" t="s">
        <v>1383</v>
      </c>
      <c r="D235" s="72" t="s">
        <v>827</v>
      </c>
      <c r="E235" s="73"/>
    </row>
    <row r="236" spans="1:6" x14ac:dyDescent="0.2">
      <c r="A236" s="91">
        <v>231</v>
      </c>
      <c r="B236" s="70" t="s">
        <v>44</v>
      </c>
      <c r="C236" s="71" t="s">
        <v>45</v>
      </c>
      <c r="D236" s="72" t="s">
        <v>46</v>
      </c>
      <c r="E236" s="73"/>
    </row>
    <row r="237" spans="1:6" x14ac:dyDescent="0.2">
      <c r="A237" s="91">
        <v>232</v>
      </c>
      <c r="B237" s="70" t="s">
        <v>232</v>
      </c>
      <c r="C237" s="71" t="s">
        <v>233</v>
      </c>
      <c r="D237" s="72" t="s">
        <v>234</v>
      </c>
      <c r="E237" s="73"/>
    </row>
    <row r="238" spans="1:6" x14ac:dyDescent="0.2">
      <c r="A238" s="91">
        <v>233</v>
      </c>
      <c r="B238" s="70" t="s">
        <v>975</v>
      </c>
      <c r="C238" s="71" t="s">
        <v>976</v>
      </c>
      <c r="D238" s="72" t="s">
        <v>573</v>
      </c>
      <c r="E238" s="73"/>
    </row>
    <row r="239" spans="1:6" x14ac:dyDescent="0.2">
      <c r="A239" s="91">
        <v>234</v>
      </c>
      <c r="B239" s="70" t="s">
        <v>794</v>
      </c>
      <c r="C239" s="71" t="s">
        <v>795</v>
      </c>
      <c r="D239" s="72" t="s">
        <v>796</v>
      </c>
      <c r="E239" s="73"/>
    </row>
    <row r="240" spans="1:6" x14ac:dyDescent="0.2">
      <c r="A240" s="91">
        <v>235</v>
      </c>
      <c r="B240" s="70" t="s">
        <v>58</v>
      </c>
      <c r="C240" s="71" t="s">
        <v>59</v>
      </c>
      <c r="D240" s="72" t="s">
        <v>4753</v>
      </c>
      <c r="E240" s="73" t="s">
        <v>4752</v>
      </c>
    </row>
    <row r="241" spans="1:11" x14ac:dyDescent="0.2">
      <c r="A241" s="91">
        <v>236</v>
      </c>
      <c r="B241" s="70" t="s">
        <v>716</v>
      </c>
      <c r="C241" s="71" t="s">
        <v>717</v>
      </c>
      <c r="D241" s="72" t="s">
        <v>718</v>
      </c>
      <c r="E241" s="73"/>
    </row>
    <row r="242" spans="1:11" x14ac:dyDescent="0.2">
      <c r="A242" s="91">
        <v>237</v>
      </c>
      <c r="B242" s="70" t="s">
        <v>708</v>
      </c>
      <c r="C242" s="71" t="s">
        <v>709</v>
      </c>
      <c r="D242" s="72" t="s">
        <v>710</v>
      </c>
      <c r="E242" s="73"/>
    </row>
    <row r="243" spans="1:11" x14ac:dyDescent="0.2">
      <c r="A243" s="91">
        <v>238</v>
      </c>
      <c r="B243" s="70" t="s">
        <v>51</v>
      </c>
      <c r="C243" s="71" t="s">
        <v>52</v>
      </c>
      <c r="D243" s="72" t="s">
        <v>53</v>
      </c>
      <c r="E243" s="73"/>
    </row>
    <row r="244" spans="1:11" x14ac:dyDescent="0.2">
      <c r="A244" s="91">
        <v>239</v>
      </c>
      <c r="B244" s="70" t="s">
        <v>669</v>
      </c>
      <c r="C244" s="71" t="s">
        <v>670</v>
      </c>
      <c r="D244" s="72" t="s">
        <v>671</v>
      </c>
      <c r="E244" s="73"/>
    </row>
    <row r="245" spans="1:11" x14ac:dyDescent="0.2">
      <c r="A245" s="91">
        <v>240</v>
      </c>
      <c r="B245" s="70" t="s">
        <v>119</v>
      </c>
      <c r="C245" s="71" t="s">
        <v>120</v>
      </c>
      <c r="D245" s="72" t="s">
        <v>121</v>
      </c>
      <c r="E245" s="73"/>
    </row>
    <row r="246" spans="1:11" x14ac:dyDescent="0.2">
      <c r="A246" s="91">
        <v>241</v>
      </c>
      <c r="B246" s="70" t="s">
        <v>223</v>
      </c>
      <c r="C246" s="71" t="s">
        <v>224</v>
      </c>
      <c r="D246" s="72" t="s">
        <v>225</v>
      </c>
      <c r="E246" s="73"/>
    </row>
    <row r="247" spans="1:11" x14ac:dyDescent="0.2">
      <c r="A247" s="91">
        <v>242</v>
      </c>
      <c r="B247" s="70" t="s">
        <v>960</v>
      </c>
      <c r="C247" s="71" t="s">
        <v>961</v>
      </c>
      <c r="D247" s="72" t="s">
        <v>5685</v>
      </c>
      <c r="E247" s="73" t="s">
        <v>1514</v>
      </c>
      <c r="F247" t="s">
        <v>3859</v>
      </c>
      <c r="K247" t="s">
        <v>5684</v>
      </c>
    </row>
    <row r="248" spans="1:11" x14ac:dyDescent="0.2">
      <c r="A248" s="91">
        <v>243</v>
      </c>
      <c r="B248" s="70" t="s">
        <v>941</v>
      </c>
      <c r="C248" s="71" t="s">
        <v>942</v>
      </c>
      <c r="D248" s="72" t="s">
        <v>943</v>
      </c>
      <c r="E248" s="73"/>
    </row>
    <row r="249" spans="1:11" x14ac:dyDescent="0.2">
      <c r="A249" s="91">
        <v>244</v>
      </c>
      <c r="B249" s="70" t="s">
        <v>592</v>
      </c>
      <c r="C249" s="71" t="s">
        <v>593</v>
      </c>
      <c r="D249" s="72" t="s">
        <v>594</v>
      </c>
      <c r="E249" s="73"/>
    </row>
    <row r="250" spans="1:11" x14ac:dyDescent="0.2">
      <c r="A250" s="91">
        <v>245</v>
      </c>
      <c r="B250" s="70" t="s">
        <v>226</v>
      </c>
      <c r="C250" s="71" t="s">
        <v>227</v>
      </c>
      <c r="D250" s="72" t="s">
        <v>228</v>
      </c>
      <c r="E250" s="73"/>
    </row>
    <row r="251" spans="1:11" x14ac:dyDescent="0.2">
      <c r="A251" s="91">
        <v>246</v>
      </c>
      <c r="B251" s="70" t="s">
        <v>840</v>
      </c>
      <c r="C251" s="71" t="s">
        <v>841</v>
      </c>
      <c r="D251" s="72" t="s">
        <v>842</v>
      </c>
      <c r="E251" s="73"/>
    </row>
    <row r="252" spans="1:11" x14ac:dyDescent="0.2">
      <c r="A252" s="91">
        <v>247</v>
      </c>
      <c r="B252" s="70" t="s">
        <v>977</v>
      </c>
      <c r="C252" s="71" t="s">
        <v>978</v>
      </c>
      <c r="D252" s="72" t="s">
        <v>979</v>
      </c>
      <c r="E252" s="73"/>
    </row>
    <row r="253" spans="1:11" x14ac:dyDescent="0.2">
      <c r="A253" s="91">
        <v>248</v>
      </c>
      <c r="B253" s="70" t="s">
        <v>512</v>
      </c>
      <c r="C253" s="71" t="s">
        <v>513</v>
      </c>
      <c r="D253" s="72" t="s">
        <v>511</v>
      </c>
      <c r="E253" s="73"/>
    </row>
    <row r="254" spans="1:11" x14ac:dyDescent="0.2">
      <c r="A254" s="91">
        <v>249</v>
      </c>
      <c r="B254" s="70" t="s">
        <v>954</v>
      </c>
      <c r="C254" s="71" t="s">
        <v>955</v>
      </c>
      <c r="D254" s="72" t="s">
        <v>956</v>
      </c>
      <c r="E254" s="73"/>
    </row>
    <row r="255" spans="1:11" x14ac:dyDescent="0.2">
      <c r="A255" s="91">
        <v>250</v>
      </c>
      <c r="B255" s="70" t="s">
        <v>364</v>
      </c>
      <c r="C255" s="71" t="s">
        <v>365</v>
      </c>
      <c r="D255" s="72" t="s">
        <v>366</v>
      </c>
      <c r="E255" s="73"/>
    </row>
    <row r="256" spans="1:11" x14ac:dyDescent="0.2">
      <c r="A256" s="91">
        <v>251</v>
      </c>
      <c r="B256" s="70" t="s">
        <v>520</v>
      </c>
      <c r="C256" s="71" t="s">
        <v>521</v>
      </c>
      <c r="D256" s="72" t="s">
        <v>522</v>
      </c>
      <c r="E256" s="73"/>
    </row>
    <row r="257" spans="1:5" x14ac:dyDescent="0.2">
      <c r="A257" s="91">
        <v>252</v>
      </c>
      <c r="B257" s="70" t="s">
        <v>935</v>
      </c>
      <c r="C257" s="71" t="s">
        <v>936</v>
      </c>
      <c r="D257" s="72" t="s">
        <v>937</v>
      </c>
      <c r="E257" s="73"/>
    </row>
    <row r="258" spans="1:5" x14ac:dyDescent="0.2">
      <c r="A258" s="91">
        <v>253</v>
      </c>
      <c r="B258" s="70" t="s">
        <v>774</v>
      </c>
      <c r="C258" s="71" t="s">
        <v>775</v>
      </c>
      <c r="D258" s="72" t="s">
        <v>776</v>
      </c>
      <c r="E258" s="73"/>
    </row>
    <row r="259" spans="1:5" x14ac:dyDescent="0.2">
      <c r="A259" s="91">
        <v>254</v>
      </c>
      <c r="B259" s="77" t="s">
        <v>1384</v>
      </c>
      <c r="C259" s="71" t="s">
        <v>1385</v>
      </c>
      <c r="D259" s="72"/>
      <c r="E259" s="73" t="s">
        <v>1486</v>
      </c>
    </row>
    <row r="260" spans="1:5" x14ac:dyDescent="0.2">
      <c r="A260" s="91">
        <v>255</v>
      </c>
      <c r="B260" s="70" t="s">
        <v>94</v>
      </c>
      <c r="C260" s="71" t="s">
        <v>95</v>
      </c>
      <c r="D260" s="72" t="s">
        <v>96</v>
      </c>
      <c r="E260" s="73"/>
    </row>
    <row r="261" spans="1:5" x14ac:dyDescent="0.2">
      <c r="A261" s="91">
        <v>256</v>
      </c>
      <c r="B261" s="70" t="s">
        <v>446</v>
      </c>
      <c r="C261" s="71" t="s">
        <v>447</v>
      </c>
      <c r="D261" s="72" t="s">
        <v>448</v>
      </c>
      <c r="E261" s="73"/>
    </row>
    <row r="262" spans="1:5" x14ac:dyDescent="0.2">
      <c r="A262" s="91">
        <v>257</v>
      </c>
      <c r="B262" s="70" t="s">
        <v>858</v>
      </c>
      <c r="C262" s="71" t="s">
        <v>859</v>
      </c>
      <c r="D262" s="72" t="s">
        <v>860</v>
      </c>
      <c r="E262" s="73"/>
    </row>
    <row r="263" spans="1:5" x14ac:dyDescent="0.2">
      <c r="A263" s="91">
        <v>258</v>
      </c>
      <c r="B263" s="70" t="s">
        <v>814</v>
      </c>
      <c r="C263" s="71" t="s">
        <v>815</v>
      </c>
      <c r="D263" s="72" t="s">
        <v>816</v>
      </c>
      <c r="E263" s="73" t="s">
        <v>1515</v>
      </c>
    </row>
    <row r="264" spans="1:5" x14ac:dyDescent="0.2">
      <c r="A264" s="91">
        <v>259</v>
      </c>
      <c r="B264" s="70" t="s">
        <v>1386</v>
      </c>
      <c r="C264" s="71" t="s">
        <v>1387</v>
      </c>
      <c r="D264" s="72" t="s">
        <v>892</v>
      </c>
      <c r="E264" s="73"/>
    </row>
    <row r="265" spans="1:5" x14ac:dyDescent="0.2">
      <c r="A265" s="91">
        <v>260</v>
      </c>
      <c r="B265" s="70" t="s">
        <v>1388</v>
      </c>
      <c r="C265" s="71" t="s">
        <v>1389</v>
      </c>
      <c r="D265" s="72" t="s">
        <v>1390</v>
      </c>
      <c r="E265" s="73"/>
    </row>
    <row r="266" spans="1:5" x14ac:dyDescent="0.2">
      <c r="A266" s="91">
        <v>261</v>
      </c>
      <c r="B266" s="70" t="s">
        <v>628</v>
      </c>
      <c r="C266" s="71" t="s">
        <v>629</v>
      </c>
      <c r="D266" s="72" t="s">
        <v>630</v>
      </c>
      <c r="E266" s="73"/>
    </row>
    <row r="267" spans="1:5" x14ac:dyDescent="0.2">
      <c r="A267" s="91">
        <v>262</v>
      </c>
      <c r="B267" s="70" t="s">
        <v>1020</v>
      </c>
      <c r="C267" s="71" t="s">
        <v>1021</v>
      </c>
      <c r="D267" s="72" t="s">
        <v>1022</v>
      </c>
      <c r="E267" s="73" t="s">
        <v>1516</v>
      </c>
    </row>
    <row r="268" spans="1:5" x14ac:dyDescent="0.2">
      <c r="A268" s="91">
        <v>263</v>
      </c>
      <c r="B268" s="70" t="s">
        <v>1167</v>
      </c>
      <c r="C268" s="71" t="s">
        <v>1168</v>
      </c>
      <c r="D268" s="72" t="s">
        <v>3200</v>
      </c>
      <c r="E268" s="73"/>
    </row>
    <row r="269" spans="1:5" x14ac:dyDescent="0.2">
      <c r="A269" s="91">
        <v>264</v>
      </c>
      <c r="B269" s="70" t="s">
        <v>1391</v>
      </c>
      <c r="C269" s="71" t="s">
        <v>1392</v>
      </c>
      <c r="D269" s="72" t="s">
        <v>1393</v>
      </c>
      <c r="E269" s="73"/>
    </row>
    <row r="270" spans="1:5" x14ac:dyDescent="0.2">
      <c r="A270" s="91">
        <v>265</v>
      </c>
      <c r="B270" s="70" t="s">
        <v>41</v>
      </c>
      <c r="C270" s="71" t="s">
        <v>42</v>
      </c>
      <c r="D270" s="72" t="s">
        <v>43</v>
      </c>
      <c r="E270" s="73"/>
    </row>
    <row r="271" spans="1:5" x14ac:dyDescent="0.2">
      <c r="A271" s="91">
        <v>266</v>
      </c>
      <c r="B271" s="70" t="s">
        <v>932</v>
      </c>
      <c r="C271" s="71" t="s">
        <v>933</v>
      </c>
      <c r="D271" s="72" t="s">
        <v>934</v>
      </c>
      <c r="E271" s="73"/>
    </row>
    <row r="272" spans="1:5" x14ac:dyDescent="0.2">
      <c r="A272" s="91">
        <v>267</v>
      </c>
      <c r="B272" s="70" t="s">
        <v>947</v>
      </c>
      <c r="C272" s="71" t="s">
        <v>948</v>
      </c>
      <c r="D272" s="72" t="s">
        <v>949</v>
      </c>
      <c r="E272" s="73"/>
    </row>
    <row r="273" spans="1:5" x14ac:dyDescent="0.2">
      <c r="A273" s="91">
        <v>268</v>
      </c>
      <c r="B273" s="70" t="s">
        <v>1192</v>
      </c>
      <c r="C273" s="71" t="s">
        <v>1193</v>
      </c>
      <c r="D273" s="72" t="s">
        <v>1194</v>
      </c>
      <c r="E273" s="73"/>
    </row>
    <row r="274" spans="1:5" x14ac:dyDescent="0.2">
      <c r="A274" s="91">
        <v>269</v>
      </c>
      <c r="B274" s="70" t="s">
        <v>526</v>
      </c>
      <c r="C274" s="71" t="s">
        <v>527</v>
      </c>
      <c r="D274" s="72" t="s">
        <v>528</v>
      </c>
      <c r="E274" s="73"/>
    </row>
    <row r="275" spans="1:5" x14ac:dyDescent="0.2">
      <c r="A275" s="91">
        <v>270</v>
      </c>
      <c r="B275" s="70" t="s">
        <v>431</v>
      </c>
      <c r="C275" s="71" t="s">
        <v>432</v>
      </c>
      <c r="D275" s="72" t="s">
        <v>433</v>
      </c>
      <c r="E275" s="73"/>
    </row>
    <row r="276" spans="1:5" x14ac:dyDescent="0.2">
      <c r="A276" s="91">
        <v>271</v>
      </c>
      <c r="B276" s="70" t="s">
        <v>1394</v>
      </c>
      <c r="C276" s="71" t="s">
        <v>1395</v>
      </c>
      <c r="D276" s="72" t="s">
        <v>1396</v>
      </c>
      <c r="E276" s="73"/>
    </row>
    <row r="277" spans="1:5" x14ac:dyDescent="0.2">
      <c r="A277" s="91">
        <v>272</v>
      </c>
      <c r="B277" s="70" t="s">
        <v>684</v>
      </c>
      <c r="C277" s="71" t="s">
        <v>685</v>
      </c>
      <c r="D277" s="72" t="s">
        <v>686</v>
      </c>
      <c r="E277" s="73"/>
    </row>
    <row r="278" spans="1:5" x14ac:dyDescent="0.2">
      <c r="A278" s="91">
        <v>273</v>
      </c>
      <c r="B278" s="77" t="s">
        <v>1397</v>
      </c>
      <c r="C278" s="71" t="s">
        <v>1398</v>
      </c>
      <c r="D278" s="72"/>
      <c r="E278" s="73" t="s">
        <v>1486</v>
      </c>
    </row>
    <row r="279" spans="1:5" x14ac:dyDescent="0.2">
      <c r="A279" s="91">
        <v>274</v>
      </c>
      <c r="B279" s="70" t="s">
        <v>401</v>
      </c>
      <c r="C279" s="71" t="s">
        <v>402</v>
      </c>
      <c r="D279" s="72" t="s">
        <v>403</v>
      </c>
      <c r="E279" s="73"/>
    </row>
    <row r="280" spans="1:5" x14ac:dyDescent="0.2">
      <c r="A280" s="91">
        <v>275</v>
      </c>
      <c r="B280" s="70" t="s">
        <v>1164</v>
      </c>
      <c r="C280" s="71" t="s">
        <v>1165</v>
      </c>
      <c r="D280" s="72" t="s">
        <v>1166</v>
      </c>
      <c r="E280" s="73"/>
    </row>
    <row r="281" spans="1:5" x14ac:dyDescent="0.2">
      <c r="A281" s="91">
        <v>276</v>
      </c>
      <c r="B281" s="70" t="s">
        <v>491</v>
      </c>
      <c r="C281" s="71" t="s">
        <v>492</v>
      </c>
      <c r="D281" s="72" t="s">
        <v>493</v>
      </c>
      <c r="E281" s="73"/>
    </row>
    <row r="282" spans="1:5" x14ac:dyDescent="0.2">
      <c r="A282" s="91">
        <v>277</v>
      </c>
      <c r="B282" s="70" t="s">
        <v>177</v>
      </c>
      <c r="C282" s="71" t="s">
        <v>178</v>
      </c>
      <c r="D282" s="72" t="s">
        <v>3737</v>
      </c>
      <c r="E282" s="73" t="s">
        <v>3738</v>
      </c>
    </row>
    <row r="283" spans="1:5" x14ac:dyDescent="0.2">
      <c r="A283" s="91">
        <v>278</v>
      </c>
      <c r="B283" s="70" t="s">
        <v>780</v>
      </c>
      <c r="C283" s="71" t="s">
        <v>781</v>
      </c>
      <c r="D283" s="72" t="s">
        <v>493</v>
      </c>
      <c r="E283" s="73"/>
    </row>
    <row r="284" spans="1:5" x14ac:dyDescent="0.2">
      <c r="A284" s="91">
        <v>279</v>
      </c>
      <c r="B284" s="70" t="s">
        <v>538</v>
      </c>
      <c r="C284" s="71" t="s">
        <v>539</v>
      </c>
      <c r="D284" s="72" t="s">
        <v>540</v>
      </c>
      <c r="E284" s="73"/>
    </row>
    <row r="285" spans="1:5" x14ac:dyDescent="0.2">
      <c r="A285" s="91">
        <v>280</v>
      </c>
      <c r="B285" s="77" t="s">
        <v>1042</v>
      </c>
      <c r="C285" s="71" t="s">
        <v>1043</v>
      </c>
      <c r="D285" s="72" t="s">
        <v>1044</v>
      </c>
      <c r="E285" s="73" t="s">
        <v>1517</v>
      </c>
    </row>
    <row r="286" spans="1:5" x14ac:dyDescent="0.2">
      <c r="A286" s="91">
        <v>281</v>
      </c>
      <c r="B286" s="70" t="s">
        <v>1085</v>
      </c>
      <c r="C286" s="71" t="s">
        <v>1086</v>
      </c>
      <c r="D286" s="72" t="s">
        <v>1087</v>
      </c>
      <c r="E286" s="73"/>
    </row>
    <row r="287" spans="1:5" x14ac:dyDescent="0.2">
      <c r="A287" s="91">
        <v>282</v>
      </c>
      <c r="B287" s="70" t="s">
        <v>271</v>
      </c>
      <c r="C287" s="71" t="s">
        <v>272</v>
      </c>
      <c r="D287" s="72" t="s">
        <v>273</v>
      </c>
      <c r="E287" s="73"/>
    </row>
    <row r="288" spans="1:5" x14ac:dyDescent="0.2">
      <c r="A288" s="91">
        <v>283</v>
      </c>
      <c r="B288" s="70" t="s">
        <v>192</v>
      </c>
      <c r="C288" s="71" t="s">
        <v>193</v>
      </c>
      <c r="D288" s="72" t="s">
        <v>194</v>
      </c>
      <c r="E288" s="73"/>
    </row>
    <row r="289" spans="1:5" x14ac:dyDescent="0.2">
      <c r="A289" s="91">
        <v>284</v>
      </c>
      <c r="B289" s="70" t="s">
        <v>180</v>
      </c>
      <c r="C289" s="71" t="s">
        <v>181</v>
      </c>
      <c r="D289" s="72" t="s">
        <v>3887</v>
      </c>
      <c r="E289" s="73" t="s">
        <v>3888</v>
      </c>
    </row>
    <row r="290" spans="1:5" x14ac:dyDescent="0.2">
      <c r="A290" s="91">
        <v>285</v>
      </c>
      <c r="B290" s="70" t="s">
        <v>905</v>
      </c>
      <c r="C290" s="71" t="s">
        <v>906</v>
      </c>
      <c r="D290" s="72" t="s">
        <v>907</v>
      </c>
      <c r="E290" s="73"/>
    </row>
    <row r="291" spans="1:5" x14ac:dyDescent="0.2">
      <c r="A291" s="91">
        <v>286</v>
      </c>
      <c r="B291" s="70" t="s">
        <v>307</v>
      </c>
      <c r="C291" s="71" t="s">
        <v>308</v>
      </c>
      <c r="D291" s="72" t="s">
        <v>309</v>
      </c>
      <c r="E291" s="73"/>
    </row>
    <row r="292" spans="1:5" x14ac:dyDescent="0.2">
      <c r="A292" s="91">
        <v>287</v>
      </c>
      <c r="B292" s="70" t="s">
        <v>646</v>
      </c>
      <c r="C292" s="71" t="s">
        <v>647</v>
      </c>
      <c r="D292" s="72" t="s">
        <v>648</v>
      </c>
      <c r="E292" s="73"/>
    </row>
    <row r="293" spans="1:5" x14ac:dyDescent="0.2">
      <c r="A293" s="91">
        <v>288</v>
      </c>
      <c r="B293" s="70" t="s">
        <v>488</v>
      </c>
      <c r="C293" s="71" t="s">
        <v>489</v>
      </c>
      <c r="D293" s="72" t="s">
        <v>490</v>
      </c>
      <c r="E293" s="73"/>
    </row>
    <row r="294" spans="1:5" x14ac:dyDescent="0.2">
      <c r="A294" s="91">
        <v>289</v>
      </c>
      <c r="B294" s="70" t="s">
        <v>1103</v>
      </c>
      <c r="C294" s="71" t="s">
        <v>1104</v>
      </c>
      <c r="D294" s="72" t="s">
        <v>1105</v>
      </c>
      <c r="E294" s="73"/>
    </row>
    <row r="295" spans="1:5" x14ac:dyDescent="0.2">
      <c r="A295" s="91">
        <v>290</v>
      </c>
      <c r="B295" s="70" t="s">
        <v>681</v>
      </c>
      <c r="C295" s="71" t="s">
        <v>682</v>
      </c>
      <c r="D295" s="72" t="s">
        <v>683</v>
      </c>
      <c r="E295" s="73"/>
    </row>
    <row r="296" spans="1:5" x14ac:dyDescent="0.2">
      <c r="A296" s="91">
        <v>291</v>
      </c>
      <c r="B296" s="70" t="s">
        <v>766</v>
      </c>
      <c r="C296" s="71" t="s">
        <v>767</v>
      </c>
      <c r="D296" s="72" t="s">
        <v>768</v>
      </c>
      <c r="E296" s="73"/>
    </row>
    <row r="297" spans="1:5" x14ac:dyDescent="0.2">
      <c r="A297" s="91">
        <v>292</v>
      </c>
      <c r="B297" s="70" t="s">
        <v>550</v>
      </c>
      <c r="C297" s="71" t="s">
        <v>551</v>
      </c>
      <c r="D297" s="72" t="s">
        <v>552</v>
      </c>
      <c r="E297" s="73"/>
    </row>
    <row r="298" spans="1:5" x14ac:dyDescent="0.2">
      <c r="A298" s="91">
        <v>293</v>
      </c>
      <c r="B298" s="70" t="s">
        <v>268</v>
      </c>
      <c r="C298" s="71" t="s">
        <v>269</v>
      </c>
      <c r="D298" s="72" t="s">
        <v>270</v>
      </c>
      <c r="E298" s="73"/>
    </row>
    <row r="299" spans="1:5" x14ac:dyDescent="0.2">
      <c r="A299" s="91">
        <v>294</v>
      </c>
      <c r="B299" s="70" t="s">
        <v>247</v>
      </c>
      <c r="C299" s="71" t="s">
        <v>248</v>
      </c>
      <c r="D299" s="72" t="s">
        <v>249</v>
      </c>
      <c r="E299" s="73"/>
    </row>
    <row r="300" spans="1:5" x14ac:dyDescent="0.2">
      <c r="A300" s="91">
        <v>295</v>
      </c>
      <c r="B300" s="70" t="s">
        <v>1203</v>
      </c>
      <c r="C300" s="71" t="s">
        <v>1204</v>
      </c>
      <c r="D300" s="72" t="s">
        <v>1205</v>
      </c>
      <c r="E300" s="73"/>
    </row>
    <row r="301" spans="1:5" x14ac:dyDescent="0.2">
      <c r="A301" s="91">
        <v>296</v>
      </c>
      <c r="B301" s="70" t="s">
        <v>983</v>
      </c>
      <c r="C301" s="71" t="s">
        <v>984</v>
      </c>
      <c r="D301" s="72" t="s">
        <v>985</v>
      </c>
      <c r="E301" s="73"/>
    </row>
    <row r="302" spans="1:5" x14ac:dyDescent="0.2">
      <c r="A302" s="91">
        <v>297</v>
      </c>
      <c r="B302" s="70" t="s">
        <v>298</v>
      </c>
      <c r="C302" s="71" t="s">
        <v>299</v>
      </c>
      <c r="D302" s="72" t="s">
        <v>300</v>
      </c>
      <c r="E302" s="73"/>
    </row>
    <row r="303" spans="1:5" x14ac:dyDescent="0.2">
      <c r="A303" s="91">
        <v>298</v>
      </c>
      <c r="B303" s="70" t="s">
        <v>568</v>
      </c>
      <c r="C303" s="71" t="s">
        <v>569</v>
      </c>
      <c r="D303" s="72" t="s">
        <v>570</v>
      </c>
      <c r="E303" s="73"/>
    </row>
    <row r="304" spans="1:5" x14ac:dyDescent="0.2">
      <c r="A304" s="91">
        <v>299</v>
      </c>
      <c r="B304" s="70" t="s">
        <v>749</v>
      </c>
      <c r="C304" s="71" t="s">
        <v>750</v>
      </c>
      <c r="D304" s="72" t="s">
        <v>751</v>
      </c>
      <c r="E304" s="73"/>
    </row>
    <row r="305" spans="1:5" x14ac:dyDescent="0.2">
      <c r="A305" s="91">
        <v>300</v>
      </c>
      <c r="B305" s="70" t="s">
        <v>295</v>
      </c>
      <c r="C305" s="71" t="s">
        <v>296</v>
      </c>
      <c r="D305" s="72" t="s">
        <v>297</v>
      </c>
      <c r="E305" s="73"/>
    </row>
    <row r="306" spans="1:5" x14ac:dyDescent="0.2">
      <c r="A306" s="91">
        <v>301</v>
      </c>
      <c r="B306" s="70" t="s">
        <v>553</v>
      </c>
      <c r="C306" s="71" t="s">
        <v>554</v>
      </c>
      <c r="D306" s="72" t="s">
        <v>555</v>
      </c>
      <c r="E306" s="73"/>
    </row>
    <row r="307" spans="1:5" x14ac:dyDescent="0.2">
      <c r="A307" s="91">
        <v>302</v>
      </c>
      <c r="B307" s="70" t="s">
        <v>661</v>
      </c>
      <c r="C307" s="71" t="s">
        <v>662</v>
      </c>
      <c r="D307" s="72" t="s">
        <v>624</v>
      </c>
      <c r="E307" s="73"/>
    </row>
    <row r="308" spans="1:5" x14ac:dyDescent="0.2">
      <c r="A308" s="91">
        <v>303</v>
      </c>
      <c r="B308" s="70" t="s">
        <v>737</v>
      </c>
      <c r="C308" s="71" t="s">
        <v>738</v>
      </c>
      <c r="D308" s="72" t="s">
        <v>739</v>
      </c>
      <c r="E308" s="73"/>
    </row>
    <row r="309" spans="1:5" x14ac:dyDescent="0.2">
      <c r="A309" s="91">
        <v>304</v>
      </c>
      <c r="B309" s="70" t="s">
        <v>693</v>
      </c>
      <c r="C309" s="71" t="s">
        <v>694</v>
      </c>
      <c r="D309" s="72" t="s">
        <v>695</v>
      </c>
      <c r="E309" s="73"/>
    </row>
    <row r="310" spans="1:5" x14ac:dyDescent="0.2">
      <c r="A310" s="91">
        <v>305</v>
      </c>
      <c r="B310" s="70" t="s">
        <v>62</v>
      </c>
      <c r="C310" s="71" t="s">
        <v>63</v>
      </c>
      <c r="D310" s="72" t="s">
        <v>64</v>
      </c>
      <c r="E310" s="73"/>
    </row>
    <row r="311" spans="1:5" x14ac:dyDescent="0.2">
      <c r="A311" s="91">
        <v>306</v>
      </c>
      <c r="B311" s="70" t="s">
        <v>631</v>
      </c>
      <c r="C311" s="71" t="s">
        <v>632</v>
      </c>
      <c r="D311" s="72" t="s">
        <v>633</v>
      </c>
      <c r="E311" s="73"/>
    </row>
    <row r="312" spans="1:5" x14ac:dyDescent="0.2">
      <c r="A312" s="91">
        <v>307</v>
      </c>
      <c r="B312" s="70" t="s">
        <v>340</v>
      </c>
      <c r="C312" s="71" t="s">
        <v>341</v>
      </c>
      <c r="D312" s="72" t="s">
        <v>342</v>
      </c>
      <c r="E312" s="73"/>
    </row>
    <row r="313" spans="1:5" x14ac:dyDescent="0.2">
      <c r="A313" s="91">
        <v>308</v>
      </c>
      <c r="B313" s="77" t="s">
        <v>1399</v>
      </c>
      <c r="C313" s="71" t="s">
        <v>1400</v>
      </c>
      <c r="D313" s="72" t="s">
        <v>1001</v>
      </c>
      <c r="E313" s="73" t="s">
        <v>1518</v>
      </c>
    </row>
    <row r="314" spans="1:5" x14ac:dyDescent="0.2">
      <c r="A314" s="91">
        <v>309</v>
      </c>
      <c r="B314" s="77" t="s">
        <v>663</v>
      </c>
      <c r="C314" s="71" t="s">
        <v>664</v>
      </c>
      <c r="D314" s="72" t="s">
        <v>665</v>
      </c>
      <c r="E314" s="73" t="s">
        <v>1486</v>
      </c>
    </row>
    <row r="315" spans="1:5" x14ac:dyDescent="0.2">
      <c r="A315" s="91">
        <v>310</v>
      </c>
      <c r="B315" s="70" t="s">
        <v>214</v>
      </c>
      <c r="C315" s="71" t="s">
        <v>215</v>
      </c>
      <c r="D315" s="72" t="s">
        <v>216</v>
      </c>
      <c r="E315" s="73"/>
    </row>
    <row r="316" spans="1:5" x14ac:dyDescent="0.2">
      <c r="A316" s="91">
        <v>311</v>
      </c>
      <c r="B316" s="70" t="s">
        <v>902</v>
      </c>
      <c r="C316" s="71" t="s">
        <v>903</v>
      </c>
      <c r="D316" s="72" t="s">
        <v>904</v>
      </c>
      <c r="E316" s="73"/>
    </row>
    <row r="317" spans="1:5" x14ac:dyDescent="0.2">
      <c r="A317" s="91">
        <v>312</v>
      </c>
      <c r="B317" s="77" t="s">
        <v>1401</v>
      </c>
      <c r="C317" s="71" t="s">
        <v>1402</v>
      </c>
      <c r="D317" s="72"/>
      <c r="E317" s="73" t="s">
        <v>1486</v>
      </c>
    </row>
    <row r="318" spans="1:5" x14ac:dyDescent="0.2">
      <c r="A318" s="91">
        <v>313</v>
      </c>
      <c r="B318" s="70" t="s">
        <v>262</v>
      </c>
      <c r="C318" s="71" t="s">
        <v>263</v>
      </c>
      <c r="D318" s="72" t="s">
        <v>264</v>
      </c>
      <c r="E318" s="73"/>
    </row>
    <row r="319" spans="1:5" ht="14.25" x14ac:dyDescent="0.2">
      <c r="A319" s="91">
        <v>314</v>
      </c>
      <c r="B319" s="70" t="s">
        <v>1403</v>
      </c>
      <c r="C319" s="71" t="s">
        <v>1404</v>
      </c>
      <c r="D319" s="81" t="s">
        <v>360</v>
      </c>
      <c r="E319" s="73"/>
    </row>
    <row r="320" spans="1:5" x14ac:dyDescent="0.2">
      <c r="A320" s="91">
        <v>315</v>
      </c>
      <c r="B320" s="70" t="s">
        <v>220</v>
      </c>
      <c r="C320" s="71" t="s">
        <v>221</v>
      </c>
      <c r="D320" s="72" t="s">
        <v>222</v>
      </c>
      <c r="E320" s="73"/>
    </row>
    <row r="321" spans="1:5" x14ac:dyDescent="0.2">
      <c r="A321" s="91">
        <v>316</v>
      </c>
      <c r="B321" s="85" t="s">
        <v>217</v>
      </c>
      <c r="C321" s="71" t="s">
        <v>218</v>
      </c>
      <c r="D321" s="72" t="s">
        <v>219</v>
      </c>
      <c r="E321" s="73"/>
    </row>
    <row r="322" spans="1:5" x14ac:dyDescent="0.2">
      <c r="A322" s="91">
        <v>317</v>
      </c>
      <c r="B322" s="85" t="s">
        <v>5576</v>
      </c>
      <c r="C322" s="71" t="s">
        <v>5577</v>
      </c>
      <c r="D322" s="72" t="s">
        <v>5578</v>
      </c>
      <c r="E322" s="73" t="s">
        <v>5579</v>
      </c>
    </row>
    <row r="323" spans="1:5" x14ac:dyDescent="0.2">
      <c r="A323" s="91">
        <v>318</v>
      </c>
      <c r="B323" s="70" t="s">
        <v>788</v>
      </c>
      <c r="C323" s="71" t="s">
        <v>789</v>
      </c>
      <c r="D323" s="72" t="s">
        <v>790</v>
      </c>
      <c r="E323" s="73"/>
    </row>
    <row r="324" spans="1:5" x14ac:dyDescent="0.2">
      <c r="A324" s="91">
        <v>319</v>
      </c>
      <c r="B324" s="70" t="s">
        <v>123</v>
      </c>
      <c r="C324" s="71" t="s">
        <v>124</v>
      </c>
      <c r="D324" s="84" t="s">
        <v>125</v>
      </c>
      <c r="E324" s="73"/>
    </row>
    <row r="325" spans="1:5" x14ac:dyDescent="0.2">
      <c r="A325" s="91">
        <v>320</v>
      </c>
      <c r="B325" s="70" t="s">
        <v>622</v>
      </c>
      <c r="C325" s="71" t="s">
        <v>623</v>
      </c>
      <c r="D325" s="72" t="s">
        <v>624</v>
      </c>
      <c r="E325" s="73"/>
    </row>
    <row r="326" spans="1:5" ht="12" customHeight="1" x14ac:dyDescent="0.2">
      <c r="A326" s="91">
        <v>321</v>
      </c>
      <c r="B326" s="70" t="s">
        <v>256</v>
      </c>
      <c r="C326" s="71" t="s">
        <v>257</v>
      </c>
      <c r="D326" s="72" t="s">
        <v>258</v>
      </c>
      <c r="E326" s="73"/>
    </row>
    <row r="327" spans="1:5" ht="12" customHeight="1" x14ac:dyDescent="0.2">
      <c r="A327" s="91">
        <v>322</v>
      </c>
      <c r="B327" s="70" t="s">
        <v>310</v>
      </c>
      <c r="C327" s="71" t="s">
        <v>311</v>
      </c>
      <c r="D327" s="72" t="s">
        <v>312</v>
      </c>
      <c r="E327" s="73"/>
    </row>
    <row r="328" spans="1:5" x14ac:dyDescent="0.2">
      <c r="A328" s="91">
        <v>323</v>
      </c>
      <c r="B328" s="70" t="s">
        <v>422</v>
      </c>
      <c r="C328" s="71" t="s">
        <v>423</v>
      </c>
      <c r="D328" s="72" t="s">
        <v>424</v>
      </c>
      <c r="E328" s="73"/>
    </row>
    <row r="329" spans="1:5" x14ac:dyDescent="0.2">
      <c r="A329" s="91">
        <v>324</v>
      </c>
      <c r="B329" s="70" t="s">
        <v>761</v>
      </c>
      <c r="C329" s="71" t="s">
        <v>762</v>
      </c>
      <c r="D329" s="72" t="s">
        <v>403</v>
      </c>
      <c r="E329" s="73"/>
    </row>
    <row r="330" spans="1:5" x14ac:dyDescent="0.2">
      <c r="A330" s="91">
        <v>325</v>
      </c>
      <c r="B330" s="70" t="s">
        <v>1195</v>
      </c>
      <c r="C330" s="71" t="s">
        <v>1196</v>
      </c>
      <c r="D330" s="72" t="s">
        <v>1197</v>
      </c>
      <c r="E330" s="73"/>
    </row>
    <row r="331" spans="1:5" ht="12" customHeight="1" x14ac:dyDescent="0.2">
      <c r="A331" s="91">
        <v>326</v>
      </c>
      <c r="B331" s="70" t="s">
        <v>637</v>
      </c>
      <c r="C331" s="71" t="s">
        <v>638</v>
      </c>
      <c r="D331" s="72" t="s">
        <v>639</v>
      </c>
      <c r="E331" s="73"/>
    </row>
    <row r="332" spans="1:5" x14ac:dyDescent="0.2">
      <c r="A332" s="91">
        <v>327</v>
      </c>
      <c r="B332" s="70" t="s">
        <v>797</v>
      </c>
      <c r="C332" s="71" t="s">
        <v>798</v>
      </c>
      <c r="D332" s="72" t="s">
        <v>799</v>
      </c>
      <c r="E332" s="73"/>
    </row>
    <row r="333" spans="1:5" x14ac:dyDescent="0.2">
      <c r="A333" s="91">
        <v>328</v>
      </c>
      <c r="B333" s="70" t="s">
        <v>331</v>
      </c>
      <c r="C333" s="71" t="s">
        <v>332</v>
      </c>
      <c r="D333" s="72" t="s">
        <v>333</v>
      </c>
      <c r="E333" s="73"/>
    </row>
    <row r="334" spans="1:5" x14ac:dyDescent="0.2">
      <c r="A334" s="91">
        <v>329</v>
      </c>
      <c r="B334" s="70" t="s">
        <v>334</v>
      </c>
      <c r="C334" s="71" t="s">
        <v>335</v>
      </c>
      <c r="D334" s="72" t="s">
        <v>336</v>
      </c>
      <c r="E334" s="73"/>
    </row>
    <row r="335" spans="1:5" x14ac:dyDescent="0.2">
      <c r="A335" s="91">
        <v>330</v>
      </c>
      <c r="B335" s="70" t="s">
        <v>410</v>
      </c>
      <c r="C335" s="71" t="s">
        <v>411</v>
      </c>
      <c r="D335" s="72" t="s">
        <v>412</v>
      </c>
      <c r="E335" s="73"/>
    </row>
    <row r="336" spans="1:5" x14ac:dyDescent="0.2">
      <c r="A336" s="91">
        <v>331</v>
      </c>
      <c r="B336" s="70" t="s">
        <v>304</v>
      </c>
      <c r="C336" s="71" t="s">
        <v>305</v>
      </c>
      <c r="D336" s="72" t="s">
        <v>306</v>
      </c>
      <c r="E336" s="73"/>
    </row>
    <row r="337" spans="1:7" x14ac:dyDescent="0.2">
      <c r="A337" s="91">
        <v>332</v>
      </c>
      <c r="B337" s="70" t="s">
        <v>1406</v>
      </c>
      <c r="C337" s="71" t="s">
        <v>1407</v>
      </c>
      <c r="D337" s="72" t="s">
        <v>1408</v>
      </c>
      <c r="E337" s="73"/>
    </row>
    <row r="338" spans="1:7" x14ac:dyDescent="0.2">
      <c r="A338" s="91">
        <v>333</v>
      </c>
      <c r="B338" s="70" t="s">
        <v>1089</v>
      </c>
      <c r="C338" s="71" t="s">
        <v>1090</v>
      </c>
      <c r="D338" s="72" t="s">
        <v>1393</v>
      </c>
      <c r="E338" s="73" t="s">
        <v>1519</v>
      </c>
      <c r="F338" s="404">
        <v>43375</v>
      </c>
      <c r="G338" t="s">
        <v>5675</v>
      </c>
    </row>
    <row r="339" spans="1:7" x14ac:dyDescent="0.2">
      <c r="A339" s="91">
        <v>334</v>
      </c>
      <c r="B339" s="77" t="s">
        <v>1097</v>
      </c>
      <c r="C339" s="71" t="s">
        <v>1098</v>
      </c>
      <c r="D339" s="72" t="s">
        <v>1099</v>
      </c>
      <c r="E339" s="73" t="s">
        <v>1486</v>
      </c>
    </row>
    <row r="340" spans="1:7" x14ac:dyDescent="0.2">
      <c r="A340" s="91">
        <v>335</v>
      </c>
      <c r="B340" s="70" t="s">
        <v>868</v>
      </c>
      <c r="C340" s="71" t="s">
        <v>869</v>
      </c>
      <c r="D340" s="72" t="s">
        <v>870</v>
      </c>
      <c r="E340" s="73"/>
    </row>
    <row r="341" spans="1:7" x14ac:dyDescent="0.2">
      <c r="A341" s="91">
        <v>336</v>
      </c>
      <c r="B341" s="70" t="s">
        <v>800</v>
      </c>
      <c r="C341" s="71" t="s">
        <v>801</v>
      </c>
      <c r="D341" s="72" t="s">
        <v>802</v>
      </c>
      <c r="E341" s="73"/>
    </row>
    <row r="342" spans="1:7" x14ac:dyDescent="0.2">
      <c r="A342" s="91">
        <v>337</v>
      </c>
      <c r="B342" s="70" t="s">
        <v>996</v>
      </c>
      <c r="C342" s="71" t="s">
        <v>997</v>
      </c>
      <c r="D342" s="72" t="s">
        <v>5124</v>
      </c>
      <c r="E342" s="73" t="s">
        <v>5123</v>
      </c>
    </row>
    <row r="343" spans="1:7" x14ac:dyDescent="0.2">
      <c r="A343" s="91">
        <v>338</v>
      </c>
      <c r="B343" s="70" t="s">
        <v>1409</v>
      </c>
      <c r="C343" s="71" t="s">
        <v>1410</v>
      </c>
      <c r="D343" s="72" t="s">
        <v>784</v>
      </c>
      <c r="E343" s="73"/>
    </row>
    <row r="344" spans="1:7" x14ac:dyDescent="0.2">
      <c r="A344" s="91">
        <v>339</v>
      </c>
      <c r="B344" s="70" t="s">
        <v>174</v>
      </c>
      <c r="C344" s="71" t="s">
        <v>175</v>
      </c>
      <c r="D344" s="72" t="s">
        <v>176</v>
      </c>
      <c r="E344" s="73"/>
    </row>
    <row r="345" spans="1:7" x14ac:dyDescent="0.2">
      <c r="A345" s="91">
        <v>340</v>
      </c>
      <c r="B345" s="70" t="s">
        <v>634</v>
      </c>
      <c r="C345" s="71" t="s">
        <v>635</v>
      </c>
      <c r="D345" s="72" t="s">
        <v>636</v>
      </c>
      <c r="E345" s="73"/>
    </row>
    <row r="346" spans="1:7" x14ac:dyDescent="0.2">
      <c r="A346" s="91">
        <v>341</v>
      </c>
      <c r="B346" s="70" t="s">
        <v>1411</v>
      </c>
      <c r="C346" s="71" t="s">
        <v>1412</v>
      </c>
      <c r="D346" s="72" t="s">
        <v>1413</v>
      </c>
      <c r="E346" s="73"/>
    </row>
    <row r="347" spans="1:7" x14ac:dyDescent="0.2">
      <c r="A347" s="91">
        <v>342</v>
      </c>
      <c r="B347" s="70" t="s">
        <v>687</v>
      </c>
      <c r="C347" s="71" t="s">
        <v>688</v>
      </c>
      <c r="D347" s="72" t="s">
        <v>689</v>
      </c>
      <c r="E347" s="73"/>
    </row>
    <row r="348" spans="1:7" x14ac:dyDescent="0.2">
      <c r="A348" s="91">
        <v>343</v>
      </c>
      <c r="B348" s="70" t="s">
        <v>165</v>
      </c>
      <c r="C348" s="71" t="s">
        <v>166</v>
      </c>
      <c r="D348" s="72" t="s">
        <v>4873</v>
      </c>
      <c r="E348" s="73" t="s">
        <v>4872</v>
      </c>
    </row>
    <row r="349" spans="1:7" x14ac:dyDescent="0.2">
      <c r="A349" s="91">
        <v>344</v>
      </c>
      <c r="B349" s="70" t="s">
        <v>1414</v>
      </c>
      <c r="C349" s="71" t="s">
        <v>1415</v>
      </c>
      <c r="D349" s="72" t="s">
        <v>1416</v>
      </c>
      <c r="E349" s="73"/>
    </row>
    <row r="350" spans="1:7" x14ac:dyDescent="0.2">
      <c r="A350" s="91">
        <v>345</v>
      </c>
      <c r="B350" s="70" t="s">
        <v>1128</v>
      </c>
      <c r="C350" s="71" t="s">
        <v>1129</v>
      </c>
      <c r="D350" s="72" t="s">
        <v>1130</v>
      </c>
      <c r="E350" s="73"/>
    </row>
    <row r="351" spans="1:7" x14ac:dyDescent="0.2">
      <c r="A351" s="91">
        <v>346</v>
      </c>
      <c r="B351" s="70" t="s">
        <v>602</v>
      </c>
      <c r="C351" s="71" t="s">
        <v>603</v>
      </c>
      <c r="D351" s="72" t="s">
        <v>604</v>
      </c>
      <c r="E351" s="73"/>
    </row>
    <row r="352" spans="1:7" x14ac:dyDescent="0.2">
      <c r="A352" s="91">
        <v>347</v>
      </c>
      <c r="B352" s="70" t="s">
        <v>1181</v>
      </c>
      <c r="C352" s="71" t="s">
        <v>1182</v>
      </c>
      <c r="D352" s="72" t="s">
        <v>1183</v>
      </c>
      <c r="E352" s="73"/>
    </row>
    <row r="353" spans="1:5" x14ac:dyDescent="0.2">
      <c r="A353" s="91">
        <v>348</v>
      </c>
      <c r="B353" s="70" t="s">
        <v>100</v>
      </c>
      <c r="C353" s="71" t="s">
        <v>101</v>
      </c>
      <c r="D353" s="72" t="s">
        <v>102</v>
      </c>
      <c r="E353" s="73"/>
    </row>
    <row r="354" spans="1:5" x14ac:dyDescent="0.2">
      <c r="A354" s="91">
        <v>349</v>
      </c>
      <c r="B354" s="70" t="s">
        <v>476</v>
      </c>
      <c r="C354" s="71" t="s">
        <v>477</v>
      </c>
      <c r="D354" s="72" t="s">
        <v>478</v>
      </c>
      <c r="E354" s="73"/>
    </row>
    <row r="355" spans="1:5" x14ac:dyDescent="0.2">
      <c r="A355" s="91">
        <v>350</v>
      </c>
      <c r="B355" s="70" t="s">
        <v>1417</v>
      </c>
      <c r="C355" s="71" t="s">
        <v>1418</v>
      </c>
      <c r="D355" s="72" t="s">
        <v>1419</v>
      </c>
      <c r="E355" s="73"/>
    </row>
    <row r="356" spans="1:5" x14ac:dyDescent="0.2">
      <c r="A356" s="91">
        <v>351</v>
      </c>
      <c r="B356" s="70" t="s">
        <v>1420</v>
      </c>
      <c r="C356" s="71" t="s">
        <v>1421</v>
      </c>
      <c r="D356" s="72" t="s">
        <v>99</v>
      </c>
      <c r="E356" s="73"/>
    </row>
    <row r="357" spans="1:5" x14ac:dyDescent="0.2">
      <c r="A357" s="91">
        <v>352</v>
      </c>
      <c r="B357" s="70" t="s">
        <v>1082</v>
      </c>
      <c r="C357" s="71" t="s">
        <v>1083</v>
      </c>
      <c r="D357" s="72" t="s">
        <v>1084</v>
      </c>
      <c r="E357" s="73"/>
    </row>
    <row r="358" spans="1:5" x14ac:dyDescent="0.2">
      <c r="A358" s="91">
        <v>353</v>
      </c>
      <c r="B358" s="70" t="s">
        <v>147</v>
      </c>
      <c r="C358" s="71" t="s">
        <v>148</v>
      </c>
      <c r="D358" s="72" t="s">
        <v>149</v>
      </c>
      <c r="E358" s="73"/>
    </row>
    <row r="359" spans="1:5" x14ac:dyDescent="0.2">
      <c r="A359" s="91">
        <v>354</v>
      </c>
      <c r="B359" s="70" t="s">
        <v>1002</v>
      </c>
      <c r="C359" s="71" t="s">
        <v>1003</v>
      </c>
      <c r="D359" s="72" t="s">
        <v>931</v>
      </c>
      <c r="E359" s="73"/>
    </row>
    <row r="360" spans="1:5" x14ac:dyDescent="0.2">
      <c r="A360" s="91">
        <v>355</v>
      </c>
      <c r="B360" s="70" t="s">
        <v>864</v>
      </c>
      <c r="C360" s="71" t="s">
        <v>865</v>
      </c>
      <c r="D360" s="72" t="s">
        <v>866</v>
      </c>
      <c r="E360" s="73"/>
    </row>
    <row r="361" spans="1:5" x14ac:dyDescent="0.2">
      <c r="A361" s="91">
        <v>356</v>
      </c>
      <c r="B361" s="70" t="s">
        <v>1049</v>
      </c>
      <c r="C361" s="71" t="s">
        <v>1050</v>
      </c>
      <c r="D361" s="72" t="s">
        <v>1051</v>
      </c>
      <c r="E361" s="73"/>
    </row>
    <row r="362" spans="1:5" x14ac:dyDescent="0.2">
      <c r="A362" s="91">
        <v>357</v>
      </c>
      <c r="B362" s="77" t="s">
        <v>1157</v>
      </c>
      <c r="C362" s="71" t="s">
        <v>1158</v>
      </c>
      <c r="D362" s="72" t="s">
        <v>1159</v>
      </c>
      <c r="E362" s="73" t="s">
        <v>1486</v>
      </c>
    </row>
    <row r="363" spans="1:5" x14ac:dyDescent="0.2">
      <c r="A363" s="91">
        <v>358</v>
      </c>
      <c r="B363" s="70" t="s">
        <v>1106</v>
      </c>
      <c r="C363" s="71" t="s">
        <v>1107</v>
      </c>
      <c r="D363" s="72" t="s">
        <v>1108</v>
      </c>
      <c r="E363" s="73"/>
    </row>
    <row r="364" spans="1:5" x14ac:dyDescent="0.2">
      <c r="A364" s="91">
        <v>359</v>
      </c>
      <c r="B364" s="70" t="s">
        <v>1100</v>
      </c>
      <c r="C364" s="71" t="s">
        <v>1101</v>
      </c>
      <c r="D364" s="72" t="s">
        <v>1102</v>
      </c>
      <c r="E364" s="73"/>
    </row>
    <row r="365" spans="1:5" x14ac:dyDescent="0.2">
      <c r="A365" s="91">
        <v>360</v>
      </c>
      <c r="B365" s="70" t="s">
        <v>211</v>
      </c>
      <c r="C365" s="71" t="s">
        <v>212</v>
      </c>
      <c r="D365" s="72" t="s">
        <v>213</v>
      </c>
      <c r="E365" s="73"/>
    </row>
    <row r="366" spans="1:5" x14ac:dyDescent="0.2">
      <c r="A366" s="91">
        <v>361</v>
      </c>
      <c r="B366" s="70" t="s">
        <v>437</v>
      </c>
      <c r="C366" s="71" t="s">
        <v>438</v>
      </c>
      <c r="D366" s="72" t="s">
        <v>439</v>
      </c>
      <c r="E366" s="73"/>
    </row>
    <row r="367" spans="1:5" x14ac:dyDescent="0.2">
      <c r="A367" s="91">
        <v>362</v>
      </c>
      <c r="B367" s="70" t="s">
        <v>1422</v>
      </c>
      <c r="C367" s="71" t="s">
        <v>1423</v>
      </c>
      <c r="D367" s="72" t="s">
        <v>1424</v>
      </c>
      <c r="E367" s="73"/>
    </row>
    <row r="368" spans="1:5" x14ac:dyDescent="0.2">
      <c r="A368" s="91">
        <v>363</v>
      </c>
      <c r="B368" s="70" t="s">
        <v>1067</v>
      </c>
      <c r="C368" s="71" t="s">
        <v>1068</v>
      </c>
      <c r="D368" s="72" t="s">
        <v>1069</v>
      </c>
      <c r="E368" s="73"/>
    </row>
    <row r="369" spans="1:5" x14ac:dyDescent="0.2">
      <c r="A369" s="91">
        <v>364</v>
      </c>
      <c r="B369" s="70" t="s">
        <v>605</v>
      </c>
      <c r="C369" s="71" t="s">
        <v>606</v>
      </c>
      <c r="D369" s="72" t="s">
        <v>607</v>
      </c>
      <c r="E369" s="73"/>
    </row>
    <row r="370" spans="1:5" x14ac:dyDescent="0.2">
      <c r="A370" s="91">
        <v>365</v>
      </c>
      <c r="B370" s="70" t="s">
        <v>1122</v>
      </c>
      <c r="C370" s="71" t="s">
        <v>1123</v>
      </c>
      <c r="D370" s="72" t="s">
        <v>1124</v>
      </c>
      <c r="E370" s="73"/>
    </row>
    <row r="371" spans="1:5" x14ac:dyDescent="0.2">
      <c r="A371" s="91">
        <v>366</v>
      </c>
      <c r="B371" s="70" t="s">
        <v>301</v>
      </c>
      <c r="C371" s="71" t="s">
        <v>302</v>
      </c>
      <c r="D371" s="72" t="s">
        <v>5597</v>
      </c>
      <c r="E371" s="73" t="s">
        <v>5598</v>
      </c>
    </row>
    <row r="372" spans="1:5" x14ac:dyDescent="0.2">
      <c r="A372" s="91">
        <v>367</v>
      </c>
      <c r="B372" s="70" t="s">
        <v>758</v>
      </c>
      <c r="C372" s="71" t="s">
        <v>759</v>
      </c>
      <c r="D372" s="72" t="s">
        <v>760</v>
      </c>
      <c r="E372" s="73"/>
    </row>
    <row r="373" spans="1:5" x14ac:dyDescent="0.2">
      <c r="A373" s="91">
        <v>368</v>
      </c>
      <c r="B373" s="70" t="s">
        <v>882</v>
      </c>
      <c r="C373" s="71" t="s">
        <v>883</v>
      </c>
      <c r="D373" s="72" t="s">
        <v>884</v>
      </c>
      <c r="E373" s="73"/>
    </row>
    <row r="374" spans="1:5" x14ac:dyDescent="0.2">
      <c r="A374" s="91">
        <v>369</v>
      </c>
      <c r="B374" s="70" t="s">
        <v>1425</v>
      </c>
      <c r="C374" s="71" t="s">
        <v>1426</v>
      </c>
      <c r="D374" s="72" t="s">
        <v>1427</v>
      </c>
      <c r="E374" s="73"/>
    </row>
    <row r="375" spans="1:5" x14ac:dyDescent="0.2">
      <c r="A375" s="91">
        <v>370</v>
      </c>
      <c r="B375" s="77" t="s">
        <v>1428</v>
      </c>
      <c r="C375" s="71" t="s">
        <v>1429</v>
      </c>
      <c r="D375" s="72"/>
      <c r="E375" s="73" t="s">
        <v>1486</v>
      </c>
    </row>
    <row r="376" spans="1:5" x14ac:dyDescent="0.2">
      <c r="A376" s="91">
        <v>371</v>
      </c>
      <c r="B376" s="77" t="s">
        <v>1430</v>
      </c>
      <c r="C376" s="71" t="s">
        <v>1431</v>
      </c>
      <c r="D376" s="72"/>
      <c r="E376" s="73" t="s">
        <v>1486</v>
      </c>
    </row>
    <row r="377" spans="1:5" x14ac:dyDescent="0.2">
      <c r="A377" s="91">
        <v>372</v>
      </c>
      <c r="B377" s="70" t="s">
        <v>625</v>
      </c>
      <c r="C377" s="71" t="s">
        <v>626</v>
      </c>
      <c r="D377" s="72" t="s">
        <v>627</v>
      </c>
      <c r="E377" s="73"/>
    </row>
    <row r="378" spans="1:5" x14ac:dyDescent="0.2">
      <c r="A378" s="91">
        <v>373</v>
      </c>
      <c r="B378" s="70" t="s">
        <v>1174</v>
      </c>
      <c r="C378" s="71" t="s">
        <v>1175</v>
      </c>
      <c r="D378" s="72" t="s">
        <v>1176</v>
      </c>
      <c r="E378" s="73"/>
    </row>
    <row r="379" spans="1:5" x14ac:dyDescent="0.2">
      <c r="A379" s="91">
        <v>374</v>
      </c>
      <c r="B379" s="70" t="s">
        <v>595</v>
      </c>
      <c r="C379" s="71" t="s">
        <v>596</v>
      </c>
      <c r="D379" s="72" t="s">
        <v>597</v>
      </c>
      <c r="E379" s="73"/>
    </row>
    <row r="380" spans="1:5" x14ac:dyDescent="0.2">
      <c r="A380" s="91">
        <v>375</v>
      </c>
      <c r="B380" s="70" t="s">
        <v>70</v>
      </c>
      <c r="C380" s="71" t="s">
        <v>71</v>
      </c>
      <c r="D380" s="72" t="s">
        <v>72</v>
      </c>
      <c r="E380" s="73"/>
    </row>
    <row r="381" spans="1:5" x14ac:dyDescent="0.2">
      <c r="A381" s="91">
        <v>376</v>
      </c>
      <c r="B381" s="70" t="s">
        <v>696</v>
      </c>
      <c r="C381" s="71" t="s">
        <v>697</v>
      </c>
      <c r="D381" s="72" t="s">
        <v>698</v>
      </c>
      <c r="E381" s="73"/>
    </row>
    <row r="382" spans="1:5" x14ac:dyDescent="0.2">
      <c r="A382" s="91">
        <v>377</v>
      </c>
      <c r="B382" s="70" t="s">
        <v>740</v>
      </c>
      <c r="C382" s="71" t="s">
        <v>741</v>
      </c>
      <c r="D382" s="72" t="s">
        <v>742</v>
      </c>
      <c r="E382" s="73"/>
    </row>
    <row r="383" spans="1:5" x14ac:dyDescent="0.2">
      <c r="A383" s="91">
        <v>378</v>
      </c>
      <c r="B383" s="70" t="s">
        <v>871</v>
      </c>
      <c r="C383" s="71" t="s">
        <v>872</v>
      </c>
      <c r="D383" s="72" t="s">
        <v>873</v>
      </c>
      <c r="E383" s="73"/>
    </row>
    <row r="384" spans="1:5" x14ac:dyDescent="0.2">
      <c r="A384" s="91">
        <v>379</v>
      </c>
      <c r="B384" s="70" t="s">
        <v>387</v>
      </c>
      <c r="C384" s="71" t="s">
        <v>388</v>
      </c>
      <c r="D384" s="72" t="s">
        <v>389</v>
      </c>
      <c r="E384" s="73"/>
    </row>
    <row r="385" spans="1:5" x14ac:dyDescent="0.2">
      <c r="A385" s="91">
        <v>380</v>
      </c>
      <c r="B385" s="70" t="s">
        <v>135</v>
      </c>
      <c r="C385" s="71" t="s">
        <v>136</v>
      </c>
      <c r="D385" s="72" t="s">
        <v>137</v>
      </c>
      <c r="E385" s="73"/>
    </row>
    <row r="386" spans="1:5" x14ac:dyDescent="0.2">
      <c r="A386" s="91">
        <v>381</v>
      </c>
      <c r="B386" s="70" t="s">
        <v>1432</v>
      </c>
      <c r="C386" s="71" t="s">
        <v>1433</v>
      </c>
      <c r="D386" s="72" t="s">
        <v>1434</v>
      </c>
      <c r="E386" s="73"/>
    </row>
    <row r="387" spans="1:5" x14ac:dyDescent="0.2">
      <c r="A387" s="91">
        <v>382</v>
      </c>
      <c r="B387" s="77" t="s">
        <v>1435</v>
      </c>
      <c r="C387" s="71" t="s">
        <v>1436</v>
      </c>
      <c r="D387" s="72" t="s">
        <v>1437</v>
      </c>
      <c r="E387" s="73" t="s">
        <v>1486</v>
      </c>
    </row>
    <row r="388" spans="1:5" x14ac:dyDescent="0.2">
      <c r="A388" s="91">
        <v>383</v>
      </c>
      <c r="B388" s="70" t="s">
        <v>168</v>
      </c>
      <c r="C388" s="71" t="s">
        <v>169</v>
      </c>
      <c r="D388" s="72" t="s">
        <v>170</v>
      </c>
      <c r="E388" s="73"/>
    </row>
    <row r="389" spans="1:5" x14ac:dyDescent="0.2">
      <c r="A389" s="91">
        <v>384</v>
      </c>
      <c r="B389" s="70" t="s">
        <v>915</v>
      </c>
      <c r="C389" s="71" t="s">
        <v>916</v>
      </c>
      <c r="D389" s="72" t="s">
        <v>917</v>
      </c>
      <c r="E389" s="73"/>
    </row>
    <row r="390" spans="1:5" x14ac:dyDescent="0.2">
      <c r="A390" s="91">
        <v>385</v>
      </c>
      <c r="B390" s="70" t="s">
        <v>890</v>
      </c>
      <c r="C390" s="71" t="s">
        <v>891</v>
      </c>
      <c r="D390" s="72" t="s">
        <v>892</v>
      </c>
      <c r="E390" s="73"/>
    </row>
    <row r="391" spans="1:5" x14ac:dyDescent="0.2">
      <c r="A391" s="91">
        <v>386</v>
      </c>
      <c r="B391" s="70" t="s">
        <v>253</v>
      </c>
      <c r="C391" s="71" t="s">
        <v>254</v>
      </c>
      <c r="D391" s="72" t="s">
        <v>255</v>
      </c>
      <c r="E391" s="73"/>
    </row>
    <row r="392" spans="1:5" x14ac:dyDescent="0.2">
      <c r="A392" s="91">
        <v>387</v>
      </c>
      <c r="B392" s="70" t="s">
        <v>678</v>
      </c>
      <c r="C392" s="71" t="s">
        <v>679</v>
      </c>
      <c r="D392" s="72" t="s">
        <v>680</v>
      </c>
      <c r="E392" s="73"/>
    </row>
    <row r="393" spans="1:5" x14ac:dyDescent="0.2">
      <c r="A393" s="91">
        <v>388</v>
      </c>
      <c r="B393" s="70" t="s">
        <v>1039</v>
      </c>
      <c r="C393" s="71" t="s">
        <v>1040</v>
      </c>
      <c r="D393" s="72" t="s">
        <v>1041</v>
      </c>
      <c r="E393" s="73"/>
    </row>
    <row r="394" spans="1:5" x14ac:dyDescent="0.2">
      <c r="A394" s="91">
        <v>389</v>
      </c>
      <c r="B394" s="70" t="s">
        <v>452</v>
      </c>
      <c r="C394" s="71" t="s">
        <v>453</v>
      </c>
      <c r="D394" s="72" t="s">
        <v>454</v>
      </c>
      <c r="E394" s="73"/>
    </row>
    <row r="395" spans="1:5" x14ac:dyDescent="0.2">
      <c r="A395" s="91">
        <v>390</v>
      </c>
      <c r="B395" s="70" t="s">
        <v>413</v>
      </c>
      <c r="C395" s="71" t="s">
        <v>414</v>
      </c>
      <c r="D395" s="72" t="s">
        <v>415</v>
      </c>
      <c r="E395" s="73"/>
    </row>
    <row r="396" spans="1:5" x14ac:dyDescent="0.2">
      <c r="A396" s="91">
        <v>391</v>
      </c>
      <c r="B396" s="70" t="s">
        <v>831</v>
      </c>
      <c r="C396" s="71" t="s">
        <v>832</v>
      </c>
      <c r="D396" s="72" t="s">
        <v>833</v>
      </c>
      <c r="E396" s="73"/>
    </row>
    <row r="397" spans="1:5" x14ac:dyDescent="0.2">
      <c r="A397" s="91">
        <v>392</v>
      </c>
      <c r="B397" s="70" t="s">
        <v>265</v>
      </c>
      <c r="C397" s="71" t="s">
        <v>266</v>
      </c>
      <c r="D397" s="72" t="s">
        <v>267</v>
      </c>
      <c r="E397" s="73"/>
    </row>
    <row r="398" spans="1:5" x14ac:dyDescent="0.2">
      <c r="A398" s="91">
        <v>393</v>
      </c>
      <c r="B398" s="70" t="s">
        <v>428</v>
      </c>
      <c r="C398" s="71" t="s">
        <v>429</v>
      </c>
      <c r="D398" s="72" t="s">
        <v>430</v>
      </c>
      <c r="E398" s="73"/>
    </row>
    <row r="399" spans="1:5" x14ac:dyDescent="0.2">
      <c r="A399" s="91">
        <v>394</v>
      </c>
      <c r="B399" s="70" t="s">
        <v>562</v>
      </c>
      <c r="C399" s="71" t="s">
        <v>563</v>
      </c>
      <c r="D399" s="72" t="s">
        <v>564</v>
      </c>
      <c r="E399" s="73"/>
    </row>
    <row r="400" spans="1:5" x14ac:dyDescent="0.2">
      <c r="A400" s="91">
        <v>395</v>
      </c>
      <c r="B400" s="70" t="s">
        <v>343</v>
      </c>
      <c r="C400" s="71" t="s">
        <v>344</v>
      </c>
      <c r="D400" s="72" t="s">
        <v>345</v>
      </c>
      <c r="E400" s="73"/>
    </row>
    <row r="401" spans="1:5" x14ac:dyDescent="0.2">
      <c r="A401" s="91">
        <v>396</v>
      </c>
      <c r="B401" s="77" t="s">
        <v>1172</v>
      </c>
      <c r="C401" s="71" t="s">
        <v>1173</v>
      </c>
      <c r="D401" s="72" t="s">
        <v>1147</v>
      </c>
      <c r="E401" s="73" t="s">
        <v>1486</v>
      </c>
    </row>
    <row r="402" spans="1:5" x14ac:dyDescent="0.2">
      <c r="A402" s="91">
        <v>397</v>
      </c>
      <c r="B402" s="70" t="s">
        <v>643</v>
      </c>
      <c r="C402" s="71" t="s">
        <v>644</v>
      </c>
      <c r="D402" s="72" t="s">
        <v>645</v>
      </c>
      <c r="E402" s="73"/>
    </row>
    <row r="403" spans="1:5" x14ac:dyDescent="0.2">
      <c r="A403" s="91">
        <v>398</v>
      </c>
      <c r="B403" s="70" t="s">
        <v>1438</v>
      </c>
      <c r="C403" s="71" t="s">
        <v>1439</v>
      </c>
      <c r="D403" s="72" t="s">
        <v>1440</v>
      </c>
      <c r="E403" s="73"/>
    </row>
    <row r="404" spans="1:5" x14ac:dyDescent="0.2">
      <c r="A404" s="91">
        <v>399</v>
      </c>
      <c r="B404" s="70" t="s">
        <v>1441</v>
      </c>
      <c r="C404" s="71" t="s">
        <v>1442</v>
      </c>
      <c r="D404" s="72" t="s">
        <v>3198</v>
      </c>
      <c r="E404" s="73"/>
    </row>
    <row r="405" spans="1:5" x14ac:dyDescent="0.2">
      <c r="A405" s="91">
        <v>400</v>
      </c>
      <c r="B405" s="70" t="s">
        <v>461</v>
      </c>
      <c r="C405" s="71" t="s">
        <v>462</v>
      </c>
      <c r="D405" s="72" t="s">
        <v>463</v>
      </c>
      <c r="E405" s="73" t="s">
        <v>1520</v>
      </c>
    </row>
    <row r="406" spans="1:5" x14ac:dyDescent="0.2">
      <c r="A406" s="91">
        <v>401</v>
      </c>
      <c r="B406" s="70" t="s">
        <v>574</v>
      </c>
      <c r="C406" s="71" t="s">
        <v>5698</v>
      </c>
      <c r="D406" s="72" t="s">
        <v>576</v>
      </c>
      <c r="E406" s="73"/>
    </row>
    <row r="407" spans="1:5" x14ac:dyDescent="0.2">
      <c r="A407" s="91">
        <v>402</v>
      </c>
      <c r="B407" s="70" t="s">
        <v>5687</v>
      </c>
      <c r="C407" s="71" t="s">
        <v>5695</v>
      </c>
      <c r="D407" s="72" t="s">
        <v>5696</v>
      </c>
      <c r="E407" s="73" t="s">
        <v>5697</v>
      </c>
    </row>
    <row r="408" spans="1:5" x14ac:dyDescent="0.2">
      <c r="A408" s="91">
        <v>403</v>
      </c>
      <c r="B408" s="70" t="s">
        <v>1198</v>
      </c>
      <c r="C408" s="71" t="s">
        <v>1199</v>
      </c>
      <c r="D408" s="72" t="s">
        <v>892</v>
      </c>
      <c r="E408" s="73"/>
    </row>
    <row r="409" spans="1:5" x14ac:dyDescent="0.2">
      <c r="A409" s="91">
        <v>404</v>
      </c>
      <c r="B409" s="70" t="s">
        <v>1073</v>
      </c>
      <c r="C409" s="71" t="s">
        <v>1074</v>
      </c>
      <c r="D409" s="72" t="s">
        <v>1075</v>
      </c>
      <c r="E409" s="73"/>
    </row>
    <row r="410" spans="1:5" x14ac:dyDescent="0.2">
      <c r="A410" s="91">
        <v>405</v>
      </c>
      <c r="B410" s="70" t="s">
        <v>855</v>
      </c>
      <c r="C410" s="71" t="s">
        <v>856</v>
      </c>
      <c r="D410" s="72" t="s">
        <v>857</v>
      </c>
      <c r="E410" s="73"/>
    </row>
    <row r="411" spans="1:5" x14ac:dyDescent="0.2">
      <c r="A411" s="91">
        <v>406</v>
      </c>
      <c r="B411" s="70" t="s">
        <v>186</v>
      </c>
      <c r="C411" s="71" t="s">
        <v>187</v>
      </c>
      <c r="D411" s="72" t="s">
        <v>931</v>
      </c>
      <c r="E411" s="73" t="s">
        <v>3995</v>
      </c>
    </row>
    <row r="412" spans="1:5" x14ac:dyDescent="0.2">
      <c r="A412" s="91">
        <v>407</v>
      </c>
      <c r="B412" s="70" t="s">
        <v>361</v>
      </c>
      <c r="C412" s="71" t="s">
        <v>362</v>
      </c>
      <c r="D412" s="72" t="s">
        <v>363</v>
      </c>
      <c r="E412" s="73"/>
    </row>
    <row r="413" spans="1:5" x14ac:dyDescent="0.2">
      <c r="A413" s="91">
        <v>408</v>
      </c>
      <c r="B413" s="77" t="s">
        <v>1444</v>
      </c>
      <c r="C413" s="71" t="s">
        <v>1445</v>
      </c>
      <c r="D413" s="72"/>
      <c r="E413" s="73" t="s">
        <v>1486</v>
      </c>
    </row>
    <row r="414" spans="1:5" x14ac:dyDescent="0.2">
      <c r="A414" s="91">
        <v>409</v>
      </c>
      <c r="B414" s="70" t="s">
        <v>1110</v>
      </c>
      <c r="C414" s="71" t="s">
        <v>1111</v>
      </c>
      <c r="D414" s="72" t="s">
        <v>657</v>
      </c>
      <c r="E414" s="73"/>
    </row>
    <row r="415" spans="1:5" x14ac:dyDescent="0.2">
      <c r="A415" s="91">
        <v>410</v>
      </c>
      <c r="B415" s="70" t="s">
        <v>944</v>
      </c>
      <c r="C415" s="71" t="s">
        <v>945</v>
      </c>
      <c r="D415" s="72" t="s">
        <v>946</v>
      </c>
      <c r="E415" s="73"/>
    </row>
    <row r="416" spans="1:5" x14ac:dyDescent="0.2">
      <c r="A416" s="91">
        <v>411</v>
      </c>
      <c r="B416" s="70" t="s">
        <v>743</v>
      </c>
      <c r="C416" s="71" t="s">
        <v>744</v>
      </c>
      <c r="D416" s="72" t="s">
        <v>745</v>
      </c>
      <c r="E416" s="73"/>
    </row>
    <row r="417" spans="1:5" x14ac:dyDescent="0.2">
      <c r="A417" s="91">
        <v>412</v>
      </c>
      <c r="B417" s="70" t="s">
        <v>346</v>
      </c>
      <c r="C417" s="71" t="s">
        <v>347</v>
      </c>
      <c r="D417" s="72" t="s">
        <v>348</v>
      </c>
      <c r="E417" s="73"/>
    </row>
    <row r="418" spans="1:5" x14ac:dyDescent="0.2">
      <c r="A418" s="91">
        <v>413</v>
      </c>
      <c r="B418" s="70" t="s">
        <v>834</v>
      </c>
      <c r="C418" s="71" t="s">
        <v>835</v>
      </c>
      <c r="D418" s="72" t="s">
        <v>836</v>
      </c>
      <c r="E418" s="73"/>
    </row>
    <row r="419" spans="1:5" x14ac:dyDescent="0.2">
      <c r="A419" s="91">
        <v>414</v>
      </c>
      <c r="B419" s="70" t="s">
        <v>514</v>
      </c>
      <c r="C419" s="71" t="s">
        <v>515</v>
      </c>
      <c r="D419" s="72" t="s">
        <v>516</v>
      </c>
      <c r="E419" s="73"/>
    </row>
    <row r="420" spans="1:5" x14ac:dyDescent="0.2">
      <c r="A420" s="91">
        <v>415</v>
      </c>
      <c r="B420" s="70" t="s">
        <v>791</v>
      </c>
      <c r="C420" s="71" t="s">
        <v>792</v>
      </c>
      <c r="D420" s="72" t="s">
        <v>4875</v>
      </c>
      <c r="E420" s="73" t="s">
        <v>4074</v>
      </c>
    </row>
    <row r="421" spans="1:5" x14ac:dyDescent="0.2">
      <c r="A421" s="91">
        <v>416</v>
      </c>
      <c r="B421" s="70" t="s">
        <v>373</v>
      </c>
      <c r="C421" s="71" t="s">
        <v>374</v>
      </c>
      <c r="D421" s="72" t="s">
        <v>375</v>
      </c>
      <c r="E421" s="73"/>
    </row>
    <row r="422" spans="1:5" x14ac:dyDescent="0.2">
      <c r="A422" s="91">
        <v>417</v>
      </c>
      <c r="B422" s="70" t="s">
        <v>325</v>
      </c>
      <c r="C422" s="71" t="s">
        <v>326</v>
      </c>
      <c r="D422" s="72" t="s">
        <v>327</v>
      </c>
      <c r="E422" s="73"/>
    </row>
    <row r="423" spans="1:5" x14ac:dyDescent="0.2">
      <c r="A423" s="91">
        <v>418</v>
      </c>
      <c r="B423" s="77" t="s">
        <v>1446</v>
      </c>
      <c r="C423" s="71" t="s">
        <v>1447</v>
      </c>
      <c r="D423" s="72"/>
      <c r="E423" s="73" t="s">
        <v>1486</v>
      </c>
    </row>
    <row r="424" spans="1:5" x14ac:dyDescent="0.2">
      <c r="A424" s="91">
        <v>419</v>
      </c>
      <c r="B424" s="70" t="s">
        <v>370</v>
      </c>
      <c r="C424" s="71" t="s">
        <v>371</v>
      </c>
      <c r="D424" s="72" t="s">
        <v>372</v>
      </c>
      <c r="E424" s="73"/>
    </row>
    <row r="425" spans="1:5" x14ac:dyDescent="0.2">
      <c r="A425" s="91">
        <v>420</v>
      </c>
      <c r="B425" s="70" t="s">
        <v>1178</v>
      </c>
      <c r="C425" s="71" t="s">
        <v>1179</v>
      </c>
      <c r="D425" s="72" t="s">
        <v>1180</v>
      </c>
      <c r="E425" s="73" t="s">
        <v>1521</v>
      </c>
    </row>
    <row r="426" spans="1:5" x14ac:dyDescent="0.2">
      <c r="A426" s="91">
        <v>421</v>
      </c>
      <c r="B426" s="70" t="s">
        <v>828</v>
      </c>
      <c r="C426" s="71" t="s">
        <v>829</v>
      </c>
      <c r="D426" s="72" t="s">
        <v>830</v>
      </c>
      <c r="E426" s="73"/>
    </row>
    <row r="427" spans="1:5" x14ac:dyDescent="0.2">
      <c r="A427" s="91">
        <v>422</v>
      </c>
      <c r="B427" s="70" t="s">
        <v>506</v>
      </c>
      <c r="C427" s="71" t="s">
        <v>507</v>
      </c>
      <c r="D427" s="72" t="s">
        <v>508</v>
      </c>
      <c r="E427" s="73"/>
    </row>
    <row r="428" spans="1:5" x14ac:dyDescent="0.2">
      <c r="A428" s="91">
        <v>423</v>
      </c>
      <c r="B428" s="70" t="s">
        <v>714</v>
      </c>
      <c r="C428" s="71" t="s">
        <v>715</v>
      </c>
      <c r="D428" s="72" t="s">
        <v>487</v>
      </c>
      <c r="E428" s="73"/>
    </row>
    <row r="429" spans="1:5" x14ac:dyDescent="0.2">
      <c r="A429" s="91">
        <v>424</v>
      </c>
      <c r="B429" s="70" t="s">
        <v>893</v>
      </c>
      <c r="C429" s="71" t="s">
        <v>894</v>
      </c>
      <c r="D429" s="72" t="s">
        <v>895</v>
      </c>
      <c r="E429" s="73"/>
    </row>
    <row r="430" spans="1:5" x14ac:dyDescent="0.2">
      <c r="A430" s="91">
        <v>425</v>
      </c>
      <c r="B430" s="70" t="s">
        <v>467</v>
      </c>
      <c r="C430" s="71" t="s">
        <v>468</v>
      </c>
      <c r="D430" s="72" t="s">
        <v>469</v>
      </c>
      <c r="E430" s="73"/>
    </row>
    <row r="431" spans="1:5" x14ac:dyDescent="0.2">
      <c r="A431" s="91">
        <v>426</v>
      </c>
      <c r="B431" s="70" t="s">
        <v>292</v>
      </c>
      <c r="C431" s="71" t="s">
        <v>293</v>
      </c>
      <c r="D431" s="72" t="s">
        <v>294</v>
      </c>
      <c r="E431" s="73"/>
    </row>
    <row r="432" spans="1:5" x14ac:dyDescent="0.2">
      <c r="A432" s="91">
        <v>427</v>
      </c>
      <c r="B432" s="70" t="s">
        <v>535</v>
      </c>
      <c r="C432" s="71" t="s">
        <v>536</v>
      </c>
      <c r="D432" s="72" t="s">
        <v>537</v>
      </c>
      <c r="E432" s="73"/>
    </row>
    <row r="433" spans="1:5" x14ac:dyDescent="0.2">
      <c r="A433" s="91">
        <v>428</v>
      </c>
      <c r="B433" s="77" t="s">
        <v>1448</v>
      </c>
      <c r="C433" s="71" t="s">
        <v>1449</v>
      </c>
      <c r="D433" s="72"/>
      <c r="E433" s="73" t="s">
        <v>1486</v>
      </c>
    </row>
    <row r="434" spans="1:5" x14ac:dyDescent="0.2">
      <c r="A434" s="91">
        <v>429</v>
      </c>
      <c r="B434" s="70" t="s">
        <v>608</v>
      </c>
      <c r="C434" s="71" t="s">
        <v>609</v>
      </c>
      <c r="D434" s="72" t="s">
        <v>610</v>
      </c>
      <c r="E434" s="73"/>
    </row>
    <row r="435" spans="1:5" x14ac:dyDescent="0.2">
      <c r="A435" s="91">
        <v>430</v>
      </c>
      <c r="B435" s="77" t="s">
        <v>1450</v>
      </c>
      <c r="C435" s="71" t="s">
        <v>1451</v>
      </c>
      <c r="D435" s="72"/>
      <c r="E435" s="73" t="s">
        <v>1486</v>
      </c>
    </row>
    <row r="436" spans="1:5" x14ac:dyDescent="0.2">
      <c r="A436" s="91">
        <v>431</v>
      </c>
      <c r="B436" s="70" t="s">
        <v>419</v>
      </c>
      <c r="C436" s="71" t="s">
        <v>420</v>
      </c>
      <c r="D436" s="72" t="s">
        <v>421</v>
      </c>
      <c r="E436" s="73"/>
    </row>
    <row r="437" spans="1:5" x14ac:dyDescent="0.2">
      <c r="A437" s="91">
        <v>432</v>
      </c>
      <c r="B437" s="70" t="s">
        <v>322</v>
      </c>
      <c r="C437" s="71" t="s">
        <v>323</v>
      </c>
      <c r="D437" s="72" t="s">
        <v>324</v>
      </c>
      <c r="E437" s="73"/>
    </row>
    <row r="438" spans="1:5" x14ac:dyDescent="0.2">
      <c r="A438" s="91">
        <v>433</v>
      </c>
      <c r="B438" s="70" t="s">
        <v>380</v>
      </c>
      <c r="C438" s="71" t="s">
        <v>381</v>
      </c>
      <c r="D438" s="72" t="s">
        <v>382</v>
      </c>
      <c r="E438" s="73"/>
    </row>
    <row r="439" spans="1:5" x14ac:dyDescent="0.2">
      <c r="A439" s="91">
        <v>434</v>
      </c>
      <c r="B439" s="70" t="s">
        <v>78</v>
      </c>
      <c r="C439" s="71" t="s">
        <v>79</v>
      </c>
      <c r="D439" s="72" t="s">
        <v>80</v>
      </c>
      <c r="E439" s="73" t="s">
        <v>1522</v>
      </c>
    </row>
    <row r="440" spans="1:5" x14ac:dyDescent="0.2">
      <c r="A440" s="91">
        <v>435</v>
      </c>
      <c r="B440" s="70" t="s">
        <v>473</v>
      </c>
      <c r="C440" s="71" t="s">
        <v>474</v>
      </c>
      <c r="D440" s="72" t="s">
        <v>475</v>
      </c>
      <c r="E440" s="73"/>
    </row>
    <row r="441" spans="1:5" x14ac:dyDescent="0.2">
      <c r="A441" s="91">
        <v>436</v>
      </c>
      <c r="B441" s="70" t="s">
        <v>1452</v>
      </c>
      <c r="C441" s="71" t="s">
        <v>1453</v>
      </c>
      <c r="D441" s="72" t="s">
        <v>1454</v>
      </c>
      <c r="E441" s="73"/>
    </row>
    <row r="442" spans="1:5" x14ac:dyDescent="0.2">
      <c r="A442" s="91">
        <v>437</v>
      </c>
      <c r="B442" s="70" t="s">
        <v>286</v>
      </c>
      <c r="C442" s="71" t="s">
        <v>287</v>
      </c>
      <c r="D442" s="72" t="s">
        <v>5599</v>
      </c>
      <c r="E442" s="73" t="s">
        <v>3444</v>
      </c>
    </row>
    <row r="443" spans="1:5" x14ac:dyDescent="0.2">
      <c r="A443" s="91">
        <v>438</v>
      </c>
      <c r="B443" s="70" t="s">
        <v>987</v>
      </c>
      <c r="C443" s="71" t="s">
        <v>988</v>
      </c>
      <c r="D443" s="72" t="s">
        <v>989</v>
      </c>
      <c r="E443" s="73"/>
    </row>
    <row r="444" spans="1:5" x14ac:dyDescent="0.2">
      <c r="A444" s="91">
        <v>439</v>
      </c>
      <c r="B444" s="70" t="s">
        <v>159</v>
      </c>
      <c r="C444" s="71" t="s">
        <v>160</v>
      </c>
      <c r="D444" s="72" t="s">
        <v>161</v>
      </c>
      <c r="E444" s="73"/>
    </row>
    <row r="445" spans="1:5" x14ac:dyDescent="0.2">
      <c r="A445" s="91">
        <v>440</v>
      </c>
      <c r="B445" s="70" t="s">
        <v>556</v>
      </c>
      <c r="C445" s="71" t="s">
        <v>557</v>
      </c>
      <c r="D445" s="72" t="s">
        <v>558</v>
      </c>
      <c r="E445" s="73"/>
    </row>
    <row r="446" spans="1:5" x14ac:dyDescent="0.2">
      <c r="A446" s="91">
        <v>441</v>
      </c>
      <c r="B446" s="70" t="s">
        <v>1455</v>
      </c>
      <c r="C446" s="71" t="s">
        <v>1456</v>
      </c>
      <c r="D446" s="72" t="s">
        <v>1457</v>
      </c>
      <c r="E446" s="73"/>
    </row>
    <row r="447" spans="1:5" x14ac:dyDescent="0.2">
      <c r="A447" s="91">
        <v>442</v>
      </c>
      <c r="B447" s="70" t="s">
        <v>725</v>
      </c>
      <c r="C447" s="71" t="s">
        <v>726</v>
      </c>
      <c r="D447" s="72" t="s">
        <v>727</v>
      </c>
      <c r="E447" s="73"/>
    </row>
    <row r="448" spans="1:5" x14ac:dyDescent="0.2">
      <c r="A448" s="91">
        <v>443</v>
      </c>
      <c r="B448" s="70" t="s">
        <v>87</v>
      </c>
      <c r="C448" s="71" t="s">
        <v>88</v>
      </c>
      <c r="D448" s="72" t="s">
        <v>89</v>
      </c>
      <c r="E448" s="73"/>
    </row>
    <row r="449" spans="1:5" x14ac:dyDescent="0.2">
      <c r="A449" s="91">
        <v>444</v>
      </c>
      <c r="B449" s="70" t="s">
        <v>455</v>
      </c>
      <c r="C449" s="71" t="s">
        <v>456</v>
      </c>
      <c r="D449" s="72" t="s">
        <v>457</v>
      </c>
      <c r="E449" s="73"/>
    </row>
    <row r="450" spans="1:5" x14ac:dyDescent="0.2">
      <c r="A450" s="91">
        <v>445</v>
      </c>
      <c r="B450" s="70" t="s">
        <v>1046</v>
      </c>
      <c r="C450" s="71" t="s">
        <v>1047</v>
      </c>
      <c r="D450" s="72" t="s">
        <v>1048</v>
      </c>
      <c r="E450" s="73"/>
    </row>
    <row r="451" spans="1:5" x14ac:dyDescent="0.2">
      <c r="A451" s="91">
        <v>446</v>
      </c>
      <c r="B451" s="70" t="s">
        <v>470</v>
      </c>
      <c r="C451" s="71" t="s">
        <v>471</v>
      </c>
      <c r="D451" s="72" t="s">
        <v>472</v>
      </c>
      <c r="E451" s="73"/>
    </row>
    <row r="452" spans="1:5" x14ac:dyDescent="0.2">
      <c r="A452" s="91">
        <v>447</v>
      </c>
      <c r="B452" s="70" t="s">
        <v>129</v>
      </c>
      <c r="C452" s="71" t="s">
        <v>130</v>
      </c>
      <c r="D452" s="72" t="s">
        <v>131</v>
      </c>
      <c r="E452" s="73"/>
    </row>
    <row r="453" spans="1:5" x14ac:dyDescent="0.2">
      <c r="A453" s="91">
        <v>448</v>
      </c>
      <c r="B453" s="70" t="s">
        <v>874</v>
      </c>
      <c r="C453" s="71" t="s">
        <v>875</v>
      </c>
      <c r="D453" s="72" t="s">
        <v>493</v>
      </c>
      <c r="E453" s="73"/>
    </row>
    <row r="454" spans="1:5" x14ac:dyDescent="0.2">
      <c r="A454" s="91">
        <v>449</v>
      </c>
      <c r="B454" s="70" t="s">
        <v>617</v>
      </c>
      <c r="C454" s="71" t="s">
        <v>618</v>
      </c>
      <c r="D454" s="72" t="s">
        <v>619</v>
      </c>
      <c r="E454" s="73"/>
    </row>
    <row r="455" spans="1:5" x14ac:dyDescent="0.2">
      <c r="A455" s="91">
        <v>450</v>
      </c>
      <c r="B455" s="77" t="s">
        <v>1458</v>
      </c>
      <c r="C455" s="71" t="s">
        <v>1459</v>
      </c>
      <c r="D455" s="72"/>
      <c r="E455" s="73" t="s">
        <v>1486</v>
      </c>
    </row>
    <row r="456" spans="1:5" x14ac:dyDescent="0.2">
      <c r="A456" s="91">
        <v>451</v>
      </c>
      <c r="B456" s="70" t="s">
        <v>1460</v>
      </c>
      <c r="C456" s="71" t="s">
        <v>1461</v>
      </c>
      <c r="D456" s="72" t="s">
        <v>1462</v>
      </c>
      <c r="E456" s="73"/>
    </row>
    <row r="457" spans="1:5" x14ac:dyDescent="0.2">
      <c r="A457" s="91">
        <v>452</v>
      </c>
      <c r="B457" s="70" t="s">
        <v>1463</v>
      </c>
      <c r="C457" s="71" t="s">
        <v>1464</v>
      </c>
      <c r="D457" s="72" t="s">
        <v>1465</v>
      </c>
      <c r="E457" s="73"/>
    </row>
    <row r="458" spans="1:5" x14ac:dyDescent="0.2">
      <c r="A458" s="91">
        <v>453</v>
      </c>
      <c r="B458" s="70" t="s">
        <v>666</v>
      </c>
      <c r="C458" s="71" t="s">
        <v>667</v>
      </c>
      <c r="D458" s="72" t="s">
        <v>668</v>
      </c>
      <c r="E458" s="73"/>
    </row>
    <row r="459" spans="1:5" x14ac:dyDescent="0.2">
      <c r="A459" s="91">
        <v>454</v>
      </c>
      <c r="B459" s="70" t="s">
        <v>565</v>
      </c>
      <c r="C459" s="71" t="s">
        <v>566</v>
      </c>
      <c r="D459" s="72" t="s">
        <v>567</v>
      </c>
      <c r="E459" s="73"/>
    </row>
    <row r="460" spans="1:5" x14ac:dyDescent="0.2">
      <c r="A460" s="91">
        <v>455</v>
      </c>
      <c r="B460" s="70" t="s">
        <v>1184</v>
      </c>
      <c r="C460" s="71" t="s">
        <v>1185</v>
      </c>
      <c r="D460" s="72" t="s">
        <v>1186</v>
      </c>
      <c r="E460" s="73"/>
    </row>
    <row r="461" spans="1:5" x14ac:dyDescent="0.2">
      <c r="A461" s="91">
        <v>456</v>
      </c>
      <c r="B461" s="70" t="s">
        <v>479</v>
      </c>
      <c r="C461" s="71" t="s">
        <v>480</v>
      </c>
      <c r="D461" s="72" t="s">
        <v>481</v>
      </c>
      <c r="E461" s="73"/>
    </row>
    <row r="462" spans="1:5" x14ac:dyDescent="0.2">
      <c r="A462" s="91">
        <v>457</v>
      </c>
      <c r="B462" s="70" t="s">
        <v>547</v>
      </c>
      <c r="C462" s="71" t="s">
        <v>548</v>
      </c>
      <c r="D462" s="72" t="s">
        <v>549</v>
      </c>
      <c r="E462" s="73"/>
    </row>
    <row r="463" spans="1:5" x14ac:dyDescent="0.2">
      <c r="A463" s="91">
        <v>458</v>
      </c>
      <c r="B463" s="70" t="s">
        <v>652</v>
      </c>
      <c r="C463" s="71" t="s">
        <v>653</v>
      </c>
      <c r="D463" s="72" t="s">
        <v>654</v>
      </c>
      <c r="E463" s="73"/>
    </row>
    <row r="464" spans="1:5" x14ac:dyDescent="0.2">
      <c r="A464" s="92">
        <v>459</v>
      </c>
      <c r="B464" s="70" t="s">
        <v>777</v>
      </c>
      <c r="C464" s="71" t="s">
        <v>778</v>
      </c>
      <c r="D464" s="72" t="s">
        <v>779</v>
      </c>
      <c r="E464" s="73"/>
    </row>
    <row r="465" spans="1:5" x14ac:dyDescent="0.2">
      <c r="A465" s="92">
        <v>460</v>
      </c>
      <c r="B465" s="70" t="s">
        <v>156</v>
      </c>
      <c r="C465" s="71" t="s">
        <v>157</v>
      </c>
      <c r="D465" s="72" t="s">
        <v>158</v>
      </c>
      <c r="E465" s="73"/>
    </row>
    <row r="466" spans="1:5" x14ac:dyDescent="0.2">
      <c r="A466" s="92">
        <v>461</v>
      </c>
      <c r="B466" s="70" t="s">
        <v>274</v>
      </c>
      <c r="C466" s="71" t="s">
        <v>275</v>
      </c>
      <c r="D466" s="72" t="s">
        <v>276</v>
      </c>
      <c r="E466" s="73"/>
    </row>
    <row r="467" spans="1:5" x14ac:dyDescent="0.2">
      <c r="A467" s="92">
        <v>462</v>
      </c>
      <c r="B467" s="70" t="s">
        <v>820</v>
      </c>
      <c r="C467" s="71" t="s">
        <v>821</v>
      </c>
      <c r="D467" s="72" t="s">
        <v>822</v>
      </c>
      <c r="E467" s="73"/>
    </row>
    <row r="468" spans="1:5" x14ac:dyDescent="0.2">
      <c r="A468" s="92">
        <v>463</v>
      </c>
      <c r="B468" s="86" t="s">
        <v>384</v>
      </c>
      <c r="C468" s="87" t="s">
        <v>385</v>
      </c>
      <c r="D468" s="88" t="s">
        <v>386</v>
      </c>
      <c r="E468" s="89"/>
    </row>
  </sheetData>
  <sheetProtection password="8CB2" sheet="1" objects="1" scenarios="1"/>
  <autoFilter ref="B5:E468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47"/>
  <sheetViews>
    <sheetView showGridLines="0" topLeftCell="A18" zoomScaleNormal="100" workbookViewId="0">
      <selection activeCell="D46" sqref="D46"/>
    </sheetView>
  </sheetViews>
  <sheetFormatPr baseColWidth="10" defaultRowHeight="12.75" x14ac:dyDescent="0.2"/>
  <cols>
    <col min="2" max="2" width="2" bestFit="1" customWidth="1"/>
    <col min="3" max="3" width="5.7109375" customWidth="1"/>
    <col min="4" max="4" width="10.28515625" bestFit="1" customWidth="1"/>
    <col min="5" max="5" width="37.5703125" bestFit="1" customWidth="1"/>
    <col min="6" max="6" width="2.42578125" customWidth="1"/>
    <col min="7" max="10" width="5.85546875" bestFit="1" customWidth="1"/>
    <col min="11" max="11" width="5.85546875" customWidth="1"/>
    <col min="12" max="12" width="5.85546875" bestFit="1" customWidth="1"/>
    <col min="13" max="13" width="5.85546875" customWidth="1"/>
    <col min="14" max="14" width="5.85546875" bestFit="1" customWidth="1"/>
    <col min="15" max="15" width="3.42578125" customWidth="1"/>
    <col min="16" max="16" width="6.5703125" bestFit="1" customWidth="1"/>
    <col min="17" max="17" width="9.140625" bestFit="1" customWidth="1"/>
    <col min="18" max="18" width="5.28515625" bestFit="1" customWidth="1"/>
    <col min="19" max="19" width="5.5703125" bestFit="1" customWidth="1"/>
    <col min="20" max="20" width="6" bestFit="1" customWidth="1"/>
    <col min="21" max="21" width="7.85546875" bestFit="1" customWidth="1"/>
    <col min="22" max="22" width="6.7109375" bestFit="1" customWidth="1"/>
    <col min="23" max="24" width="7.5703125" bestFit="1" customWidth="1"/>
    <col min="25" max="26" width="7.28515625" bestFit="1" customWidth="1"/>
    <col min="27" max="27" width="7.5703125" bestFit="1" customWidth="1"/>
    <col min="28" max="28" width="7.85546875" bestFit="1" customWidth="1"/>
    <col min="29" max="29" width="6" bestFit="1" customWidth="1"/>
    <col min="30" max="31" width="7" bestFit="1" customWidth="1"/>
    <col min="32" max="32" width="6.42578125" bestFit="1" customWidth="1"/>
    <col min="33" max="33" width="4.7109375" bestFit="1" customWidth="1"/>
    <col min="34" max="34" width="5.28515625" bestFit="1" customWidth="1"/>
    <col min="35" max="35" width="7.42578125" bestFit="1" customWidth="1"/>
    <col min="36" max="36" width="6.42578125" bestFit="1" customWidth="1"/>
    <col min="37" max="37" width="6.42578125" customWidth="1"/>
    <col min="38" max="39" width="5.5703125" bestFit="1" customWidth="1"/>
    <col min="40" max="40" width="5.28515625" bestFit="1" customWidth="1"/>
    <col min="41" max="41" width="6.42578125" bestFit="1" customWidth="1"/>
    <col min="42" max="42" width="5.7109375" bestFit="1" customWidth="1"/>
    <col min="43" max="44" width="5.5703125" bestFit="1" customWidth="1"/>
    <col min="45" max="46" width="5.28515625" bestFit="1" customWidth="1"/>
  </cols>
  <sheetData>
    <row r="2" spans="2:46" x14ac:dyDescent="0.2">
      <c r="G2" t="s">
        <v>2893</v>
      </c>
      <c r="P2" t="s">
        <v>2901</v>
      </c>
    </row>
    <row r="3" spans="2:46" x14ac:dyDescent="0.2">
      <c r="B3" s="275"/>
      <c r="C3" s="275"/>
      <c r="D3" s="275"/>
      <c r="E3" s="275"/>
      <c r="F3" s="275"/>
      <c r="G3" s="310" t="s">
        <v>6</v>
      </c>
      <c r="H3" s="310" t="s">
        <v>6</v>
      </c>
      <c r="I3" s="310" t="s">
        <v>6</v>
      </c>
      <c r="J3" s="310" t="s">
        <v>6</v>
      </c>
      <c r="K3" s="310" t="s">
        <v>6</v>
      </c>
      <c r="L3" s="310" t="s">
        <v>6</v>
      </c>
      <c r="M3" s="310" t="s">
        <v>6</v>
      </c>
      <c r="N3" s="310" t="s">
        <v>6</v>
      </c>
      <c r="O3" s="282"/>
      <c r="P3" s="255" t="s">
        <v>1850</v>
      </c>
      <c r="Q3" s="255" t="s">
        <v>1850</v>
      </c>
      <c r="R3" s="255" t="s">
        <v>1850</v>
      </c>
      <c r="S3" s="255" t="s">
        <v>1850</v>
      </c>
      <c r="T3" s="255" t="s">
        <v>1850</v>
      </c>
      <c r="U3" s="255" t="s">
        <v>1850</v>
      </c>
      <c r="V3" s="255" t="s">
        <v>1850</v>
      </c>
      <c r="W3" s="255" t="s">
        <v>1850</v>
      </c>
      <c r="X3" s="255" t="s">
        <v>1850</v>
      </c>
      <c r="Y3" s="255" t="s">
        <v>1850</v>
      </c>
      <c r="Z3" s="255" t="s">
        <v>1850</v>
      </c>
      <c r="AA3" s="255" t="s">
        <v>1850</v>
      </c>
      <c r="AB3" s="255" t="s">
        <v>1850</v>
      </c>
      <c r="AC3" s="255" t="s">
        <v>1850</v>
      </c>
      <c r="AD3" s="255" t="s">
        <v>1850</v>
      </c>
      <c r="AE3" s="255" t="s">
        <v>1850</v>
      </c>
      <c r="AF3" s="255" t="s">
        <v>1850</v>
      </c>
      <c r="AG3" s="255" t="s">
        <v>1850</v>
      </c>
      <c r="AH3" s="255" t="s">
        <v>1850</v>
      </c>
      <c r="AI3" s="255" t="s">
        <v>1850</v>
      </c>
      <c r="AJ3" s="255" t="s">
        <v>1850</v>
      </c>
      <c r="AK3" s="255" t="s">
        <v>1850</v>
      </c>
      <c r="AL3" s="255" t="s">
        <v>1850</v>
      </c>
      <c r="AM3" s="255" t="s">
        <v>1850</v>
      </c>
      <c r="AN3" s="255" t="s">
        <v>1850</v>
      </c>
      <c r="AO3" s="255" t="s">
        <v>1850</v>
      </c>
      <c r="AP3" s="255" t="s">
        <v>1850</v>
      </c>
      <c r="AQ3" s="255" t="s">
        <v>1850</v>
      </c>
      <c r="AR3" s="255" t="s">
        <v>1850</v>
      </c>
      <c r="AS3" s="255" t="s">
        <v>1850</v>
      </c>
      <c r="AT3" s="255" t="s">
        <v>1850</v>
      </c>
    </row>
    <row r="4" spans="2:46" x14ac:dyDescent="0.2">
      <c r="G4" s="276">
        <v>1</v>
      </c>
      <c r="H4" s="276">
        <v>2</v>
      </c>
      <c r="I4" s="276">
        <v>3</v>
      </c>
      <c r="J4" s="276">
        <v>4</v>
      </c>
      <c r="K4" s="276">
        <v>5</v>
      </c>
      <c r="L4" s="276">
        <v>6</v>
      </c>
      <c r="M4" s="276">
        <v>7</v>
      </c>
      <c r="N4" s="276"/>
      <c r="O4" s="282"/>
      <c r="P4" s="258" t="s">
        <v>1821</v>
      </c>
      <c r="Q4" s="262" t="s">
        <v>1866</v>
      </c>
      <c r="R4" s="262" t="s">
        <v>1861</v>
      </c>
      <c r="S4" s="262" t="s">
        <v>1546</v>
      </c>
      <c r="T4" s="262" t="s">
        <v>1864</v>
      </c>
      <c r="U4" s="262" t="s">
        <v>1877</v>
      </c>
      <c r="V4" s="262" t="s">
        <v>1805</v>
      </c>
      <c r="W4" s="262" t="s">
        <v>1819</v>
      </c>
      <c r="X4" s="262" t="s">
        <v>1862</v>
      </c>
      <c r="Y4" s="262" t="s">
        <v>1790</v>
      </c>
      <c r="Z4" s="262" t="s">
        <v>1863</v>
      </c>
      <c r="AA4" s="262" t="s">
        <v>1869</v>
      </c>
      <c r="AB4" s="262" t="s">
        <v>1881</v>
      </c>
      <c r="AC4" s="262" t="s">
        <v>2768</v>
      </c>
      <c r="AD4" s="262" t="s">
        <v>1858</v>
      </c>
      <c r="AE4" s="262" t="s">
        <v>1870</v>
      </c>
      <c r="AF4" s="262" t="s">
        <v>1865</v>
      </c>
      <c r="AG4" s="262" t="s">
        <v>1875</v>
      </c>
      <c r="AH4" s="262" t="s">
        <v>1857</v>
      </c>
      <c r="AI4" s="262" t="s">
        <v>1577</v>
      </c>
      <c r="AJ4" s="262" t="s">
        <v>1859</v>
      </c>
      <c r="AK4" s="262" t="s">
        <v>1887</v>
      </c>
      <c r="AL4" s="266" t="s">
        <v>2305</v>
      </c>
      <c r="AM4" s="262" t="s">
        <v>1860</v>
      </c>
      <c r="AN4" s="262" t="s">
        <v>1882</v>
      </c>
      <c r="AO4" s="262" t="s">
        <v>1867</v>
      </c>
      <c r="AP4" s="262" t="s">
        <v>1871</v>
      </c>
      <c r="AQ4" s="262" t="s">
        <v>1868</v>
      </c>
      <c r="AR4" s="262" t="s">
        <v>1879</v>
      </c>
      <c r="AS4" s="262" t="s">
        <v>1884</v>
      </c>
      <c r="AT4" s="262"/>
    </row>
    <row r="5" spans="2:46" ht="20.100000000000001" customHeight="1" x14ac:dyDescent="0.2">
      <c r="B5" s="405" t="s">
        <v>2893</v>
      </c>
      <c r="C5" s="405"/>
      <c r="D5" s="405"/>
      <c r="E5" s="405"/>
    </row>
    <row r="6" spans="2:46" x14ac:dyDescent="0.2">
      <c r="B6" s="300">
        <v>1</v>
      </c>
      <c r="C6" s="42"/>
      <c r="D6" s="304" t="s">
        <v>2941</v>
      </c>
      <c r="E6" s="301" t="s">
        <v>2894</v>
      </c>
      <c r="F6" s="277"/>
    </row>
    <row r="7" spans="2:46" x14ac:dyDescent="0.2">
      <c r="B7" s="278">
        <v>2</v>
      </c>
      <c r="C7" s="273"/>
      <c r="D7" s="305" t="s">
        <v>2942</v>
      </c>
      <c r="E7" s="279" t="s">
        <v>2895</v>
      </c>
      <c r="F7" s="277"/>
    </row>
    <row r="8" spans="2:46" x14ac:dyDescent="0.2">
      <c r="B8" s="278">
        <v>3</v>
      </c>
      <c r="C8" s="273"/>
      <c r="D8" s="305" t="s">
        <v>2943</v>
      </c>
      <c r="E8" s="279" t="s">
        <v>2896</v>
      </c>
      <c r="F8" s="277"/>
    </row>
    <row r="9" spans="2:46" x14ac:dyDescent="0.2">
      <c r="B9" s="278">
        <v>4</v>
      </c>
      <c r="C9" s="273"/>
      <c r="D9" s="305" t="s">
        <v>2944</v>
      </c>
      <c r="E9" s="279" t="s">
        <v>2897</v>
      </c>
      <c r="F9" s="277"/>
    </row>
    <row r="10" spans="2:46" x14ac:dyDescent="0.2">
      <c r="B10" s="278">
        <v>5</v>
      </c>
      <c r="C10" s="273"/>
      <c r="D10" s="305" t="s">
        <v>2945</v>
      </c>
      <c r="E10" s="279" t="s">
        <v>2898</v>
      </c>
      <c r="F10" s="277"/>
    </row>
    <row r="11" spans="2:46" x14ac:dyDescent="0.2">
      <c r="B11" s="278">
        <v>6</v>
      </c>
      <c r="C11" s="273"/>
      <c r="D11" s="306"/>
      <c r="E11" s="279" t="s">
        <v>2947</v>
      </c>
      <c r="F11" s="277"/>
    </row>
    <row r="12" spans="2:46" x14ac:dyDescent="0.2">
      <c r="B12" s="302">
        <v>7</v>
      </c>
      <c r="C12" s="274"/>
      <c r="D12" s="307" t="s">
        <v>2946</v>
      </c>
      <c r="E12" s="303" t="s">
        <v>2899</v>
      </c>
      <c r="F12" s="277"/>
    </row>
    <row r="13" spans="2:46" x14ac:dyDescent="0.2">
      <c r="B13" s="308"/>
      <c r="C13" s="309"/>
    </row>
    <row r="14" spans="2:46" x14ac:dyDescent="0.2">
      <c r="B14" s="405" t="s">
        <v>2901</v>
      </c>
      <c r="C14" s="405"/>
      <c r="D14" s="405"/>
      <c r="E14" s="405"/>
    </row>
    <row r="15" spans="2:46" x14ac:dyDescent="0.2">
      <c r="C15" s="284" t="s">
        <v>2902</v>
      </c>
      <c r="D15" s="285"/>
      <c r="E15" s="286"/>
    </row>
    <row r="16" spans="2:46" x14ac:dyDescent="0.2">
      <c r="D16" s="293" t="s">
        <v>1577</v>
      </c>
      <c r="E16" s="288" t="s">
        <v>2903</v>
      </c>
    </row>
    <row r="17" spans="3:5" x14ac:dyDescent="0.2">
      <c r="D17" s="294" t="s">
        <v>1866</v>
      </c>
      <c r="E17" s="289" t="s">
        <v>1883</v>
      </c>
    </row>
    <row r="18" spans="3:5" x14ac:dyDescent="0.2">
      <c r="D18" s="294" t="s">
        <v>1861</v>
      </c>
      <c r="E18" s="289" t="s">
        <v>2904</v>
      </c>
    </row>
    <row r="19" spans="3:5" x14ac:dyDescent="0.2">
      <c r="D19" s="294" t="s">
        <v>1875</v>
      </c>
      <c r="E19" s="289" t="s">
        <v>1876</v>
      </c>
    </row>
    <row r="20" spans="3:5" x14ac:dyDescent="0.2">
      <c r="D20" s="294" t="s">
        <v>1869</v>
      </c>
      <c r="E20" s="289" t="s">
        <v>2905</v>
      </c>
    </row>
    <row r="21" spans="3:5" x14ac:dyDescent="0.2">
      <c r="D21" s="294" t="s">
        <v>1871</v>
      </c>
      <c r="E21" s="289" t="s">
        <v>1880</v>
      </c>
    </row>
    <row r="22" spans="3:5" x14ac:dyDescent="0.2">
      <c r="C22" s="290"/>
      <c r="D22" s="295" t="s">
        <v>1868</v>
      </c>
      <c r="E22" s="291" t="s">
        <v>2906</v>
      </c>
    </row>
    <row r="23" spans="3:5" x14ac:dyDescent="0.2">
      <c r="C23" s="283" t="s">
        <v>2907</v>
      </c>
      <c r="D23" s="296"/>
      <c r="E23" s="287"/>
    </row>
    <row r="24" spans="3:5" x14ac:dyDescent="0.2">
      <c r="D24" s="293" t="s">
        <v>1862</v>
      </c>
      <c r="E24" s="288" t="s">
        <v>2908</v>
      </c>
    </row>
    <row r="25" spans="3:5" x14ac:dyDescent="0.2">
      <c r="D25" s="294" t="s">
        <v>1879</v>
      </c>
      <c r="E25" s="289" t="s">
        <v>2909</v>
      </c>
    </row>
    <row r="26" spans="3:5" x14ac:dyDescent="0.2">
      <c r="D26" s="294" t="s">
        <v>1821</v>
      </c>
      <c r="E26" s="289" t="s">
        <v>2910</v>
      </c>
    </row>
    <row r="27" spans="3:5" x14ac:dyDescent="0.2">
      <c r="D27" s="295" t="s">
        <v>1882</v>
      </c>
      <c r="E27" s="291" t="s">
        <v>2911</v>
      </c>
    </row>
    <row r="28" spans="3:5" x14ac:dyDescent="0.2">
      <c r="C28" s="284" t="s">
        <v>2912</v>
      </c>
      <c r="D28" s="297"/>
      <c r="E28" s="286"/>
    </row>
    <row r="29" spans="3:5" x14ac:dyDescent="0.2">
      <c r="D29" s="293" t="s">
        <v>1881</v>
      </c>
      <c r="E29" s="288" t="s">
        <v>2913</v>
      </c>
    </row>
    <row r="30" spans="3:5" x14ac:dyDescent="0.2">
      <c r="D30" s="294" t="s">
        <v>1870</v>
      </c>
      <c r="E30" s="289" t="s">
        <v>2914</v>
      </c>
    </row>
    <row r="31" spans="3:5" x14ac:dyDescent="0.2">
      <c r="D31" s="294" t="s">
        <v>1858</v>
      </c>
      <c r="E31" s="289" t="s">
        <v>2915</v>
      </c>
    </row>
    <row r="32" spans="3:5" x14ac:dyDescent="0.2">
      <c r="D32" s="294" t="s">
        <v>1857</v>
      </c>
      <c r="E32" s="289" t="s">
        <v>2916</v>
      </c>
    </row>
    <row r="33" spans="3:5" x14ac:dyDescent="0.2">
      <c r="D33" s="294" t="s">
        <v>1865</v>
      </c>
      <c r="E33" s="289" t="s">
        <v>2917</v>
      </c>
    </row>
    <row r="34" spans="3:5" x14ac:dyDescent="0.2">
      <c r="D34" s="294" t="s">
        <v>1863</v>
      </c>
      <c r="E34" s="289" t="s">
        <v>2918</v>
      </c>
    </row>
    <row r="35" spans="3:5" x14ac:dyDescent="0.2">
      <c r="D35" s="295" t="s">
        <v>1884</v>
      </c>
      <c r="E35" s="291" t="s">
        <v>2919</v>
      </c>
    </row>
    <row r="36" spans="3:5" x14ac:dyDescent="0.2">
      <c r="C36" s="283" t="s">
        <v>2920</v>
      </c>
      <c r="D36" s="298"/>
      <c r="E36" s="286"/>
    </row>
    <row r="37" spans="3:5" x14ac:dyDescent="0.2">
      <c r="D37" s="293" t="s">
        <v>1864</v>
      </c>
      <c r="E37" s="288" t="s">
        <v>2921</v>
      </c>
    </row>
    <row r="38" spans="3:5" x14ac:dyDescent="0.2">
      <c r="D38" s="294" t="s">
        <v>1859</v>
      </c>
      <c r="E38" s="289" t="s">
        <v>2922</v>
      </c>
    </row>
    <row r="39" spans="3:5" x14ac:dyDescent="0.2">
      <c r="D39" s="294" t="s">
        <v>1887</v>
      </c>
      <c r="E39" s="289" t="s">
        <v>2923</v>
      </c>
    </row>
    <row r="40" spans="3:5" x14ac:dyDescent="0.2">
      <c r="D40" s="294" t="s">
        <v>1805</v>
      </c>
      <c r="E40" s="289" t="s">
        <v>2924</v>
      </c>
    </row>
    <row r="41" spans="3:5" x14ac:dyDescent="0.2">
      <c r="D41" s="294" t="s">
        <v>1819</v>
      </c>
      <c r="E41" s="289" t="s">
        <v>2925</v>
      </c>
    </row>
    <row r="42" spans="3:5" x14ac:dyDescent="0.2">
      <c r="D42" s="294" t="s">
        <v>1546</v>
      </c>
      <c r="E42" s="289" t="s">
        <v>2926</v>
      </c>
    </row>
    <row r="43" spans="3:5" x14ac:dyDescent="0.2">
      <c r="D43" s="294" t="s">
        <v>1860</v>
      </c>
      <c r="E43" s="289" t="s">
        <v>2927</v>
      </c>
    </row>
    <row r="44" spans="3:5" x14ac:dyDescent="0.2">
      <c r="D44" s="294" t="s">
        <v>1877</v>
      </c>
      <c r="E44" s="289" t="s">
        <v>2928</v>
      </c>
    </row>
    <row r="45" spans="3:5" x14ac:dyDescent="0.2">
      <c r="D45" s="295" t="s">
        <v>1867</v>
      </c>
      <c r="E45" s="291" t="s">
        <v>2929</v>
      </c>
    </row>
    <row r="46" spans="3:5" x14ac:dyDescent="0.2">
      <c r="C46" s="284" t="s">
        <v>2930</v>
      </c>
      <c r="D46" s="297"/>
      <c r="E46" s="286"/>
    </row>
    <row r="47" spans="3:5" x14ac:dyDescent="0.2">
      <c r="D47" s="299" t="s">
        <v>2931</v>
      </c>
      <c r="E47" s="292" t="s">
        <v>2932</v>
      </c>
    </row>
  </sheetData>
  <sheetProtection algorithmName="SHA-512" hashValue="UoZjX6z+OSN61YJ4UyjEBKsf6y093bh4FuUFl7IxE8xYhGeui70AfjnD6IiorqTsEJEauvIxwVI4BXz5NF0e4w==" saltValue="VhKI5a4hdqJD2rIcaHkYQg==" spinCount="100000" sheet="1" objects="1" scenarios="1"/>
  <sortState ref="R12:S42">
    <sortCondition ref="R11"/>
  </sortState>
  <mergeCells count="2">
    <mergeCell ref="B5:E5"/>
    <mergeCell ref="B14:E1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showGridLines="0" workbookViewId="0">
      <selection activeCell="C1" sqref="C1"/>
    </sheetView>
  </sheetViews>
  <sheetFormatPr baseColWidth="10" defaultRowHeight="12.75" x14ac:dyDescent="0.2"/>
  <cols>
    <col min="1" max="1" width="3.140625" customWidth="1"/>
    <col min="3" max="3" width="11.42578125" customWidth="1"/>
  </cols>
  <sheetData>
    <row r="2" spans="2:6" ht="20.25" customHeight="1" x14ac:dyDescent="0.2">
      <c r="C2" s="411">
        <v>2016</v>
      </c>
      <c r="D2" s="412"/>
      <c r="E2" s="412"/>
      <c r="F2" s="413"/>
    </row>
    <row r="3" spans="2:6" x14ac:dyDescent="0.2">
      <c r="B3" s="414" t="s">
        <v>1468</v>
      </c>
      <c r="C3" s="406" t="s">
        <v>1469</v>
      </c>
      <c r="D3" s="408" t="s">
        <v>1470</v>
      </c>
      <c r="E3" s="409"/>
      <c r="F3" s="410"/>
    </row>
    <row r="4" spans="2:6" x14ac:dyDescent="0.2">
      <c r="B4" s="407"/>
      <c r="C4" s="407"/>
      <c r="D4" s="61">
        <v>2015</v>
      </c>
      <c r="E4" s="61">
        <v>2016</v>
      </c>
      <c r="F4" s="61">
        <v>2017</v>
      </c>
    </row>
    <row r="5" spans="2:6" x14ac:dyDescent="0.2">
      <c r="B5" s="53" t="s">
        <v>1471</v>
      </c>
      <c r="C5" s="43">
        <f>SUMIF(Recibos!G25:G274,1,Recibos!H25:H274)</f>
        <v>213050</v>
      </c>
      <c r="D5" s="43"/>
      <c r="E5" s="43">
        <f>-Recibos!H274</f>
        <v>-38000</v>
      </c>
      <c r="F5" s="43"/>
    </row>
    <row r="6" spans="2:6" x14ac:dyDescent="0.2">
      <c r="B6" s="54" t="s">
        <v>1472</v>
      </c>
      <c r="C6" s="59">
        <f>SUMIF(Recibos!G276:G432,1,Recibos!H276:H432)</f>
        <v>94750</v>
      </c>
      <c r="D6" s="59"/>
      <c r="E6" s="59">
        <f>-Recibos!H432</f>
        <v>-5600</v>
      </c>
      <c r="F6" s="59"/>
    </row>
    <row r="7" spans="2:6" x14ac:dyDescent="0.2">
      <c r="B7" s="54" t="s">
        <v>1473</v>
      </c>
      <c r="C7" s="59">
        <f>SUMIF(Recibos!G434:G589,1,Recibos!H434:H589)</f>
        <v>82625</v>
      </c>
      <c r="D7" s="59"/>
      <c r="E7" s="59">
        <f>-Recibos!H589</f>
        <v>-1000</v>
      </c>
      <c r="F7" s="59"/>
    </row>
    <row r="8" spans="2:6" x14ac:dyDescent="0.2">
      <c r="B8" s="54" t="s">
        <v>1474</v>
      </c>
      <c r="C8" s="59">
        <f>SUMIF(Recibos!G591:G785,1,Recibos!H591:H785)</f>
        <v>102075</v>
      </c>
      <c r="D8" s="59"/>
      <c r="E8" s="59">
        <f>-Recibos!H785</f>
        <v>-1200</v>
      </c>
      <c r="F8" s="59"/>
    </row>
    <row r="9" spans="2:6" x14ac:dyDescent="0.2">
      <c r="B9" s="54" t="s">
        <v>1475</v>
      </c>
      <c r="C9" s="59">
        <f>SUMIF(Recibos!G787:G1018,1,Recibos!H787:H1018)</f>
        <v>108875</v>
      </c>
      <c r="D9" s="59"/>
      <c r="E9" s="59">
        <f>-Recibos!H1018</f>
        <v>0</v>
      </c>
      <c r="F9" s="59"/>
    </row>
    <row r="10" spans="2:6" x14ac:dyDescent="0.2">
      <c r="B10" s="54" t="s">
        <v>1476</v>
      </c>
      <c r="C10" s="59">
        <f>SUMIF(Recibos!G1019:G1423,1,Recibos!H1019:H1423)</f>
        <v>117275</v>
      </c>
      <c r="D10" s="59"/>
      <c r="E10" s="59">
        <f>-Recibos!H1423</f>
        <v>-2550</v>
      </c>
      <c r="F10" s="59"/>
    </row>
    <row r="11" spans="2:6" x14ac:dyDescent="0.2">
      <c r="B11" s="54" t="s">
        <v>1477</v>
      </c>
      <c r="C11" s="59">
        <f>SUMIF(Recibos!G1425:G1805,1,Recibos!H1425:H1805)</f>
        <v>104575</v>
      </c>
      <c r="D11" s="59">
        <f>Recibos!H5</f>
        <v>900</v>
      </c>
      <c r="E11" s="59"/>
      <c r="F11" s="59"/>
    </row>
    <row r="12" spans="2:6" x14ac:dyDescent="0.2">
      <c r="B12" s="54" t="s">
        <v>1478</v>
      </c>
      <c r="C12" s="59">
        <f>SUMIF(Recibos!G1807:G2081,1,Recibos!H1807:H2081)</f>
        <v>106275</v>
      </c>
      <c r="D12" s="59">
        <f>Recibos!H7</f>
        <v>150</v>
      </c>
      <c r="E12" s="59"/>
      <c r="F12" s="59"/>
    </row>
    <row r="13" spans="2:6" x14ac:dyDescent="0.2">
      <c r="B13" s="54" t="s">
        <v>1479</v>
      </c>
      <c r="C13" s="59">
        <f>SUMIF(Recibos!G2083:G2341,1,Recibos!H2083:H2341)</f>
        <v>95625</v>
      </c>
      <c r="D13" s="59"/>
      <c r="E13" s="59"/>
      <c r="F13" s="59"/>
    </row>
    <row r="14" spans="2:6" x14ac:dyDescent="0.2">
      <c r="B14" s="54" t="s">
        <v>1480</v>
      </c>
      <c r="C14" s="59">
        <f>SUMIF(Recibos!G2342:G2560,1,Recibos!H2342:H2560)</f>
        <v>88925</v>
      </c>
      <c r="D14" s="59"/>
      <c r="E14" s="59"/>
      <c r="F14" s="59"/>
    </row>
    <row r="15" spans="2:6" x14ac:dyDescent="0.2">
      <c r="B15" s="54" t="s">
        <v>1481</v>
      </c>
      <c r="C15" s="59"/>
      <c r="D15" s="59">
        <f>Recibos!H10</f>
        <v>800</v>
      </c>
      <c r="E15" s="59"/>
      <c r="F15" s="59"/>
    </row>
    <row r="16" spans="2:6" x14ac:dyDescent="0.2">
      <c r="B16" s="55" t="s">
        <v>1482</v>
      </c>
      <c r="C16" s="60"/>
      <c r="D16" s="60">
        <f>Recibos!H23</f>
        <v>23950</v>
      </c>
      <c r="E16" s="60"/>
      <c r="F16" s="60"/>
    </row>
    <row r="17" spans="2:6" x14ac:dyDescent="0.2">
      <c r="B17" s="56" t="s">
        <v>1483</v>
      </c>
      <c r="C17" s="37">
        <f>SUM(C5:C16)</f>
        <v>1114050</v>
      </c>
      <c r="D17" s="37"/>
      <c r="E17" s="37">
        <f>Recibos!W2</f>
        <v>1087600</v>
      </c>
      <c r="F17" s="57">
        <f>SUM(C5:F16)</f>
        <v>1091500</v>
      </c>
    </row>
    <row r="18" spans="2:6" x14ac:dyDescent="0.2">
      <c r="F18" s="58">
        <f>IF(E17=F17,"ok",E17-F17)</f>
        <v>-3900</v>
      </c>
    </row>
  </sheetData>
  <sheetProtection algorithmName="SHA-512" hashValue="jzG2/TNaiTgZkXBE6QF8bGCyvtiMMMH8s2yvpE343KY898Ymgs0byNBA4oca1vuQmH6EKYsct5bzFxO0zBdUdQ==" saltValue="avPN7Bv2MEgxElSUmwAVBw==" spinCount="100000" sheet="1" objects="1" scenarios="1"/>
  <mergeCells count="4">
    <mergeCell ref="C3:C4"/>
    <mergeCell ref="D3:F3"/>
    <mergeCell ref="C2:F2"/>
    <mergeCell ref="B3:B4"/>
  </mergeCells>
  <conditionalFormatting sqref="F18">
    <cfRule type="cellIs" dxfId="177" priority="1" operator="equal">
      <formula>"ok"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K469"/>
  <sheetViews>
    <sheetView showGridLines="0" showZeros="0" tabSelected="1" workbookViewId="0">
      <pane xSplit="3" ySplit="5" topLeftCell="D314" activePane="bottomRight" state="frozenSplit"/>
      <selection pane="topRight" activeCell="D1" sqref="D1"/>
      <selection pane="bottomLeft" activeCell="A6" sqref="A6"/>
      <selection pane="bottomRight" activeCell="D329" sqref="D329"/>
    </sheetView>
  </sheetViews>
  <sheetFormatPr baseColWidth="10" defaultRowHeight="12.75" x14ac:dyDescent="0.2"/>
  <cols>
    <col min="1" max="1" width="3.140625" customWidth="1"/>
    <col min="2" max="2" width="11" bestFit="1" customWidth="1"/>
    <col min="3" max="3" width="33.42578125" customWidth="1"/>
    <col min="4" max="4" width="24.85546875" bestFit="1" customWidth="1"/>
    <col min="5" max="10" width="9.28515625" customWidth="1"/>
    <col min="11" max="11" width="12.7109375" customWidth="1"/>
    <col min="12" max="23" width="9.28515625" customWidth="1"/>
    <col min="24" max="24" width="12.7109375" customWidth="1"/>
    <col min="25" max="36" width="9.28515625" customWidth="1"/>
    <col min="37" max="37" width="12.7109375" customWidth="1"/>
    <col min="38" max="38" width="9.28515625" customWidth="1"/>
    <col min="39" max="49" width="11.42578125" customWidth="1"/>
    <col min="50" max="50" width="12.7109375" customWidth="1"/>
    <col min="51" max="62" width="11.42578125" customWidth="1"/>
    <col min="63" max="63" width="12.7109375" customWidth="1"/>
    <col min="64" max="75" width="11.42578125" customWidth="1"/>
    <col min="76" max="76" width="12.7109375" customWidth="1"/>
  </cols>
  <sheetData>
    <row r="1" spans="2:89" ht="15" x14ac:dyDescent="0.2">
      <c r="B1" s="49" t="s">
        <v>1466</v>
      </c>
      <c r="K1" s="37"/>
      <c r="X1" s="37"/>
      <c r="AK1" s="37"/>
      <c r="AX1" s="37"/>
      <c r="BK1" s="37"/>
      <c r="BX1" s="37"/>
    </row>
    <row r="2" spans="2:89" x14ac:dyDescent="0.2">
      <c r="B2" s="50" t="s">
        <v>1467</v>
      </c>
      <c r="K2" s="37"/>
      <c r="X2" s="37"/>
      <c r="AK2" s="37"/>
      <c r="AX2" s="37"/>
      <c r="BK2" s="37"/>
      <c r="BX2" s="37"/>
    </row>
    <row r="3" spans="2:89" x14ac:dyDescent="0.2">
      <c r="B3" s="50" t="s">
        <v>4218</v>
      </c>
      <c r="D3" s="38"/>
      <c r="K3" s="37"/>
      <c r="X3" s="37"/>
      <c r="AK3" s="37"/>
      <c r="AX3" s="37"/>
      <c r="BK3" s="37"/>
      <c r="BX3" s="37"/>
    </row>
    <row r="4" spans="2:89" x14ac:dyDescent="0.2">
      <c r="K4" s="51">
        <f>SUM(K6:K469)</f>
        <v>102125</v>
      </c>
      <c r="X4" s="51">
        <f>SUM(X6:X469)</f>
        <v>1071865</v>
      </c>
      <c r="AK4" s="51">
        <f>SUM(AK6:AK469)</f>
        <v>1244640</v>
      </c>
      <c r="AX4" s="51">
        <f>SUM(AX6:AX469)</f>
        <v>1281550</v>
      </c>
      <c r="BK4" s="51">
        <f>SUM(BK6:BK469)</f>
        <v>1349200</v>
      </c>
      <c r="BX4" s="51">
        <f>SUM(BX6:BX469)</f>
        <v>1337550</v>
      </c>
    </row>
    <row r="5" spans="2:89" ht="25.5" x14ac:dyDescent="0.2">
      <c r="B5" s="39" t="s">
        <v>3</v>
      </c>
      <c r="C5" s="40" t="s">
        <v>1209</v>
      </c>
      <c r="D5" s="40" t="s">
        <v>1210</v>
      </c>
      <c r="E5" s="41" t="s">
        <v>1211</v>
      </c>
      <c r="F5" s="41" t="s">
        <v>1212</v>
      </c>
      <c r="G5" s="41" t="s">
        <v>1213</v>
      </c>
      <c r="H5" s="41" t="s">
        <v>1214</v>
      </c>
      <c r="I5" s="41" t="s">
        <v>1215</v>
      </c>
      <c r="J5" s="41" t="s">
        <v>1216</v>
      </c>
      <c r="K5" s="41" t="s">
        <v>1217</v>
      </c>
      <c r="L5" s="41" t="s">
        <v>1218</v>
      </c>
      <c r="M5" s="41" t="s">
        <v>1219</v>
      </c>
      <c r="N5" s="41" t="s">
        <v>1220</v>
      </c>
      <c r="O5" s="41" t="s">
        <v>1221</v>
      </c>
      <c r="P5" s="41" t="s">
        <v>1222</v>
      </c>
      <c r="Q5" s="41" t="s">
        <v>1223</v>
      </c>
      <c r="R5" s="41" t="s">
        <v>1224</v>
      </c>
      <c r="S5" s="41" t="s">
        <v>1225</v>
      </c>
      <c r="T5" s="41" t="s">
        <v>1226</v>
      </c>
      <c r="U5" s="41" t="s">
        <v>1227</v>
      </c>
      <c r="V5" s="41" t="s">
        <v>1228</v>
      </c>
      <c r="W5" s="41" t="s">
        <v>1229</v>
      </c>
      <c r="X5" s="41" t="s">
        <v>1230</v>
      </c>
      <c r="Y5" s="41" t="s">
        <v>1231</v>
      </c>
      <c r="Z5" s="41" t="s">
        <v>1232</v>
      </c>
      <c r="AA5" s="41" t="s">
        <v>1233</v>
      </c>
      <c r="AB5" s="41" t="s">
        <v>1234</v>
      </c>
      <c r="AC5" s="41" t="s">
        <v>1235</v>
      </c>
      <c r="AD5" s="41" t="s">
        <v>1236</v>
      </c>
      <c r="AE5" s="41" t="s">
        <v>1237</v>
      </c>
      <c r="AF5" s="41" t="s">
        <v>1238</v>
      </c>
      <c r="AG5" s="41" t="s">
        <v>1239</v>
      </c>
      <c r="AH5" s="41" t="s">
        <v>1240</v>
      </c>
      <c r="AI5" s="41" t="s">
        <v>1241</v>
      </c>
      <c r="AJ5" s="41" t="s">
        <v>1242</v>
      </c>
      <c r="AK5" s="41" t="s">
        <v>1243</v>
      </c>
      <c r="AL5" s="41" t="s">
        <v>1244</v>
      </c>
      <c r="AM5" s="41" t="s">
        <v>1245</v>
      </c>
      <c r="AN5" s="41" t="s">
        <v>1246</v>
      </c>
      <c r="AO5" s="41" t="s">
        <v>1247</v>
      </c>
      <c r="AP5" s="41" t="s">
        <v>1248</v>
      </c>
      <c r="AQ5" s="41" t="s">
        <v>1249</v>
      </c>
      <c r="AR5" s="41" t="s">
        <v>1250</v>
      </c>
      <c r="AS5" s="41" t="s">
        <v>1251</v>
      </c>
      <c r="AT5" s="41" t="s">
        <v>1252</v>
      </c>
      <c r="AU5" s="41" t="s">
        <v>1253</v>
      </c>
      <c r="AV5" s="41" t="s">
        <v>1254</v>
      </c>
      <c r="AW5" s="41" t="s">
        <v>1255</v>
      </c>
      <c r="AX5" s="41" t="s">
        <v>1256</v>
      </c>
      <c r="AY5" s="62" t="s">
        <v>10</v>
      </c>
      <c r="AZ5" s="62" t="s">
        <v>11</v>
      </c>
      <c r="BA5" s="62" t="s">
        <v>12</v>
      </c>
      <c r="BB5" s="62" t="s">
        <v>13</v>
      </c>
      <c r="BC5" s="62" t="s">
        <v>14</v>
      </c>
      <c r="BD5" s="62" t="s">
        <v>15</v>
      </c>
      <c r="BE5" s="62" t="s">
        <v>16</v>
      </c>
      <c r="BF5" s="62" t="s">
        <v>17</v>
      </c>
      <c r="BG5" s="62" t="s">
        <v>18</v>
      </c>
      <c r="BH5" s="62" t="s">
        <v>19</v>
      </c>
      <c r="BI5" s="62" t="s">
        <v>20</v>
      </c>
      <c r="BJ5" s="62" t="s">
        <v>21</v>
      </c>
      <c r="BK5" s="62" t="s">
        <v>22</v>
      </c>
      <c r="BL5" s="62" t="s">
        <v>23</v>
      </c>
      <c r="BM5" s="62" t="s">
        <v>24</v>
      </c>
      <c r="BN5" s="62" t="s">
        <v>25</v>
      </c>
      <c r="BO5" s="62" t="s">
        <v>26</v>
      </c>
      <c r="BP5" s="62" t="s">
        <v>27</v>
      </c>
      <c r="BQ5" s="62" t="s">
        <v>28</v>
      </c>
      <c r="BR5" s="62" t="s">
        <v>29</v>
      </c>
      <c r="BS5" s="62" t="s">
        <v>30</v>
      </c>
      <c r="BT5" s="62" t="s">
        <v>31</v>
      </c>
      <c r="BU5" s="62" t="s">
        <v>32</v>
      </c>
      <c r="BV5" s="62" t="s">
        <v>33</v>
      </c>
      <c r="BW5" s="62" t="s">
        <v>34</v>
      </c>
      <c r="BX5" s="62" t="s">
        <v>35</v>
      </c>
      <c r="BY5" s="62" t="s">
        <v>4607</v>
      </c>
      <c r="BZ5" s="62" t="s">
        <v>4608</v>
      </c>
      <c r="CA5" s="62" t="s">
        <v>4609</v>
      </c>
      <c r="CB5" s="62" t="s">
        <v>4610</v>
      </c>
      <c r="CC5" s="62" t="s">
        <v>4611</v>
      </c>
      <c r="CD5" s="62" t="s">
        <v>4612</v>
      </c>
      <c r="CE5" s="62" t="s">
        <v>4613</v>
      </c>
      <c r="CF5" s="62" t="s">
        <v>4614</v>
      </c>
      <c r="CG5" s="62" t="s">
        <v>4615</v>
      </c>
      <c r="CH5" s="62" t="s">
        <v>4616</v>
      </c>
      <c r="CI5" s="62" t="s">
        <v>4617</v>
      </c>
      <c r="CJ5" s="62" t="s">
        <v>4618</v>
      </c>
      <c r="CK5" s="62" t="s">
        <v>4619</v>
      </c>
    </row>
    <row r="6" spans="2:89" x14ac:dyDescent="0.2">
      <c r="B6" s="42" t="s">
        <v>1137</v>
      </c>
      <c r="C6" s="42" t="s">
        <v>1138</v>
      </c>
      <c r="D6" s="42" t="s">
        <v>651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100</v>
      </c>
      <c r="K6" s="44">
        <f>SUM(E6:J6)</f>
        <v>100</v>
      </c>
      <c r="L6" s="43">
        <v>100</v>
      </c>
      <c r="M6" s="43">
        <v>100</v>
      </c>
      <c r="N6" s="43">
        <v>100</v>
      </c>
      <c r="O6" s="43">
        <v>100</v>
      </c>
      <c r="P6" s="43">
        <v>100</v>
      </c>
      <c r="Q6" s="43">
        <v>100</v>
      </c>
      <c r="R6" s="43">
        <v>100</v>
      </c>
      <c r="S6" s="43">
        <v>100</v>
      </c>
      <c r="T6" s="43">
        <v>100</v>
      </c>
      <c r="U6" s="43">
        <v>0</v>
      </c>
      <c r="V6" s="43">
        <v>0</v>
      </c>
      <c r="W6" s="43">
        <v>0</v>
      </c>
      <c r="X6" s="44">
        <f>SUM(L6:W6)</f>
        <v>900</v>
      </c>
      <c r="Y6" s="43">
        <v>100</v>
      </c>
      <c r="Z6" s="43">
        <v>100</v>
      </c>
      <c r="AA6" s="43">
        <v>100</v>
      </c>
      <c r="AB6" s="43">
        <v>100</v>
      </c>
      <c r="AC6" s="43">
        <v>100</v>
      </c>
      <c r="AD6" s="43">
        <v>100</v>
      </c>
      <c r="AE6" s="43">
        <v>100</v>
      </c>
      <c r="AF6" s="43">
        <v>100</v>
      </c>
      <c r="AG6" s="43">
        <v>100</v>
      </c>
      <c r="AH6" s="43">
        <v>100</v>
      </c>
      <c r="AI6" s="43">
        <v>100</v>
      </c>
      <c r="AJ6" s="43">
        <v>100</v>
      </c>
      <c r="AK6" s="44">
        <f>SUM(Y6:AJ6)</f>
        <v>1200</v>
      </c>
      <c r="AL6" s="43">
        <v>100</v>
      </c>
      <c r="AM6" s="43">
        <v>100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3">
        <v>0</v>
      </c>
      <c r="AX6" s="44">
        <f t="shared" ref="AX6:AX16" si="0">SUM(AL6:AW6)</f>
        <v>200</v>
      </c>
      <c r="AY6" s="311">
        <f>SUMIF(Recibos!$D$4:$D$7493,Cobranza!$B6,Recibos!K$4:K$7493)</f>
        <v>0</v>
      </c>
      <c r="AZ6" s="311">
        <f>SUMIF(Recibos!$D$4:$D$7493,Cobranza!$B6,Recibos!L$4:L$7493)</f>
        <v>0</v>
      </c>
      <c r="BA6" s="311">
        <f>SUMIF(Recibos!$D$4:$D$7493,Cobranza!$B6,Recibos!M$4:M$7493)</f>
        <v>0</v>
      </c>
      <c r="BB6" s="311">
        <f>SUMIF(Recibos!$D$4:$D$7493,Cobranza!$B6,Recibos!N$4:N$7493)</f>
        <v>0</v>
      </c>
      <c r="BC6" s="311">
        <f>SUMIF(Recibos!$D$4:$D$7493,Cobranza!$B6,Recibos!O$4:O$7493)</f>
        <v>0</v>
      </c>
      <c r="BD6" s="311">
        <f>SUMIF(Recibos!$D$4:$D$7493,Cobranza!$B6,Recibos!P$4:P$7493)</f>
        <v>0</v>
      </c>
      <c r="BE6" s="311">
        <f>SUMIF(Recibos!$D$4:$D$7493,Cobranza!$B6,Recibos!Q$4:Q$7493)</f>
        <v>0</v>
      </c>
      <c r="BF6" s="311">
        <f>SUMIF(Recibos!$D$4:$D$7493,Cobranza!$B6,Recibos!R$4:R$7493)</f>
        <v>100</v>
      </c>
      <c r="BG6" s="311">
        <f>SUMIF(Recibos!$D$4:$D$7493,Cobranza!$B6,Recibos!S$4:S$7493)</f>
        <v>100</v>
      </c>
      <c r="BH6" s="311">
        <f>SUMIF(Recibos!$D$4:$D$7493,Cobranza!$B6,Recibos!T$4:T$7493)</f>
        <v>100</v>
      </c>
      <c r="BI6" s="311">
        <f>SUMIF(Recibos!$D$4:$D$7493,Cobranza!$B6,Recibos!U$4:U$7493)</f>
        <v>100</v>
      </c>
      <c r="BJ6" s="311">
        <f>SUMIF(Recibos!$D$4:$D$7493,Cobranza!$B6,Recibos!V$4:V$7493)</f>
        <v>100</v>
      </c>
      <c r="BK6" s="312">
        <f t="shared" ref="BK6:BK16" si="1">SUM(AY6:BJ6)</f>
        <v>500</v>
      </c>
      <c r="BL6" s="311">
        <f>SUMIF(Recibos!$D$4:$D$7493,Cobranza!$B6,Recibos!X$4:X$7493)</f>
        <v>100</v>
      </c>
      <c r="BM6" s="311">
        <f>SUMIF(Recibos!$D$4:$D$7493,Cobranza!$B6,Recibos!Y$4:Y$7493)</f>
        <v>100</v>
      </c>
      <c r="BN6" s="311">
        <f>SUMIF(Recibos!$D$4:$D$7493,Cobranza!$B6,Recibos!Z$4:Z$7493)</f>
        <v>0</v>
      </c>
      <c r="BO6" s="311">
        <f>SUMIF(Recibos!$D$4:$D$7493,Cobranza!$B6,Recibos!AA$4:AA$7493)</f>
        <v>0</v>
      </c>
      <c r="BP6" s="311">
        <f>SUMIF(Recibos!$D$4:$D$7493,Cobranza!$B6,Recibos!AB$4:AB$7493)</f>
        <v>0</v>
      </c>
      <c r="BQ6" s="311">
        <f>SUMIF(Recibos!$D$4:$D$7493,Cobranza!$B6,Recibos!AC$4:AC$7493)</f>
        <v>0</v>
      </c>
      <c r="BR6" s="311">
        <f>SUMIF(Recibos!$D$4:$D$7493,Cobranza!$B6,Recibos!AD$4:AD$7493)</f>
        <v>0</v>
      </c>
      <c r="BS6" s="311">
        <f>SUMIF(Recibos!$D$4:$D$7493,Cobranza!$B6,Recibos!AE$4:AE$7493)</f>
        <v>0</v>
      </c>
      <c r="BT6" s="311">
        <f>SUMIF(Recibos!$D$4:$D$7493,Cobranza!$B6,Recibos!AF$4:AF$7493)</f>
        <v>0</v>
      </c>
      <c r="BU6" s="311">
        <f>SUMIF(Recibos!$D$4:$D$7493,Cobranza!$B6,Recibos!AG$4:AG$7493)</f>
        <v>0</v>
      </c>
      <c r="BV6" s="311">
        <f>SUMIF(Recibos!$D$4:$D$7493,Cobranza!$B6,Recibos!AH$4:AH$7493)</f>
        <v>0</v>
      </c>
      <c r="BW6" s="311">
        <f>SUMIF(Recibos!$D$4:$D$7493,Cobranza!$B6,Recibos!AI$4:AI$7493)</f>
        <v>0</v>
      </c>
      <c r="BX6" s="312">
        <f>SUM(BL6:BW6)</f>
        <v>200</v>
      </c>
      <c r="BY6" s="311">
        <f>SUMIF(Recibos!$D$4:$D$7493,Cobranza!$B6,Recibos!AK$4:AK$7493)</f>
        <v>0</v>
      </c>
      <c r="BZ6" s="311">
        <f>SUMIF(Recibos!$D$4:$D$7493,Cobranza!$B6,Recibos!AL$4:AL$7493)</f>
        <v>0</v>
      </c>
      <c r="CA6" s="311">
        <f>SUMIF(Recibos!$D$4:$D$7493,Cobranza!$B6,Recibos!AM$4:AM$7493)</f>
        <v>0</v>
      </c>
      <c r="CB6" s="311">
        <f>SUMIF(Recibos!$D$4:$D$7493,Cobranza!$B6,Recibos!AN$4:AN$7493)</f>
        <v>0</v>
      </c>
      <c r="CC6" s="311">
        <f>SUMIF(Recibos!$D$4:$D$7493,Cobranza!$B6,Recibos!AO$4:AO$7493)</f>
        <v>0</v>
      </c>
      <c r="CD6" s="311">
        <f>SUMIF(Recibos!$D$4:$D$7493,Cobranza!$B6,Recibos!AP$4:AP$7493)</f>
        <v>0</v>
      </c>
      <c r="CE6" s="311">
        <f>SUMIF(Recibos!$D$4:$D$7493,Cobranza!$B6,Recibos!AQ$4:AQ$7493)</f>
        <v>0</v>
      </c>
      <c r="CF6" s="311">
        <f>SUMIF(Recibos!$D$4:$D$7493,Cobranza!$B6,Recibos!AR$4:AR$7493)</f>
        <v>0</v>
      </c>
      <c r="CG6" s="311">
        <f>SUMIF(Recibos!$D$4:$D$7493,Cobranza!$B6,Recibos!AS$4:AS$7493)</f>
        <v>0</v>
      </c>
      <c r="CH6" s="311">
        <f>SUMIF(Recibos!$D$4:$D$7493,Cobranza!$B6,Recibos!AT$4:AT$7493)</f>
        <v>0</v>
      </c>
      <c r="CI6" s="311">
        <f>SUMIF(Recibos!$D$4:$D$7493,Cobranza!$B6,Recibos!AU$4:AU$7493)</f>
        <v>0</v>
      </c>
      <c r="CJ6" s="311">
        <f>SUMIF(Recibos!$D$4:$D$7493,Cobranza!$B6,Recibos!AV$4:AV$7493)</f>
        <v>0</v>
      </c>
      <c r="CK6" s="312">
        <f>SUM(BY6:CJ6)</f>
        <v>0</v>
      </c>
    </row>
    <row r="7" spans="2:89" x14ac:dyDescent="0.2">
      <c r="B7" s="45" t="s">
        <v>896</v>
      </c>
      <c r="C7" s="45" t="s">
        <v>897</v>
      </c>
      <c r="D7" s="45" t="s">
        <v>898</v>
      </c>
      <c r="E7" s="46">
        <v>0</v>
      </c>
      <c r="F7" s="46">
        <v>0</v>
      </c>
      <c r="G7" s="46">
        <v>0</v>
      </c>
      <c r="H7" s="46">
        <v>100</v>
      </c>
      <c r="I7" s="46">
        <v>100</v>
      </c>
      <c r="J7" s="46">
        <v>100</v>
      </c>
      <c r="K7" s="47">
        <f t="shared" ref="K7:K72" si="2">SUM(E7:J7)</f>
        <v>300</v>
      </c>
      <c r="L7" s="46">
        <v>100</v>
      </c>
      <c r="M7" s="46">
        <v>100</v>
      </c>
      <c r="N7" s="46">
        <v>100</v>
      </c>
      <c r="O7" s="46">
        <v>100</v>
      </c>
      <c r="P7" s="46">
        <v>100</v>
      </c>
      <c r="Q7" s="46">
        <v>100</v>
      </c>
      <c r="R7" s="46">
        <v>100</v>
      </c>
      <c r="S7" s="46">
        <v>100</v>
      </c>
      <c r="T7" s="46">
        <v>100</v>
      </c>
      <c r="U7" s="46">
        <v>100</v>
      </c>
      <c r="V7" s="46">
        <v>100</v>
      </c>
      <c r="W7" s="46">
        <v>100</v>
      </c>
      <c r="X7" s="47">
        <f t="shared" ref="X7:X72" si="3">SUM(L7:W7)</f>
        <v>1200</v>
      </c>
      <c r="Y7" s="46">
        <v>100</v>
      </c>
      <c r="Z7" s="46">
        <v>100</v>
      </c>
      <c r="AA7" s="46">
        <v>100</v>
      </c>
      <c r="AB7" s="46">
        <v>100</v>
      </c>
      <c r="AC7" s="46">
        <v>100</v>
      </c>
      <c r="AD7" s="46">
        <v>100</v>
      </c>
      <c r="AE7" s="46">
        <v>100</v>
      </c>
      <c r="AF7" s="46">
        <v>100</v>
      </c>
      <c r="AG7" s="46">
        <v>100</v>
      </c>
      <c r="AH7" s="46">
        <v>100</v>
      </c>
      <c r="AI7" s="46">
        <v>100</v>
      </c>
      <c r="AJ7" s="46">
        <v>100</v>
      </c>
      <c r="AK7" s="47">
        <f t="shared" ref="AK7:AK72" si="4">SUM(Y7:AJ7)</f>
        <v>1200</v>
      </c>
      <c r="AL7" s="46">
        <v>100</v>
      </c>
      <c r="AM7" s="46">
        <v>100</v>
      </c>
      <c r="AN7" s="46">
        <v>100</v>
      </c>
      <c r="AO7" s="46">
        <v>100</v>
      </c>
      <c r="AP7" s="46">
        <v>100</v>
      </c>
      <c r="AQ7" s="46">
        <v>100</v>
      </c>
      <c r="AR7" s="46">
        <v>100</v>
      </c>
      <c r="AS7" s="46">
        <v>100</v>
      </c>
      <c r="AT7" s="46">
        <v>0</v>
      </c>
      <c r="AU7" s="46">
        <v>0</v>
      </c>
      <c r="AV7" s="46">
        <v>0</v>
      </c>
      <c r="AW7" s="46">
        <v>0</v>
      </c>
      <c r="AX7" s="47">
        <f t="shared" si="0"/>
        <v>800</v>
      </c>
      <c r="AY7" s="313">
        <f>SUMIF(Recibos!$D$4:$D$7493,Cobranza!$B7,Recibos!K$4:K$7493)</f>
        <v>100</v>
      </c>
      <c r="AZ7" s="313">
        <f>SUMIF(Recibos!$D$4:$D$7493,Cobranza!$B7,Recibos!L$4:L$7493)</f>
        <v>100</v>
      </c>
      <c r="BA7" s="313">
        <f>SUMIF(Recibos!$D$4:$D$7493,Cobranza!$B7,Recibos!M$4:M$7493)</f>
        <v>100</v>
      </c>
      <c r="BB7" s="313">
        <f>SUMIF(Recibos!$D$4:$D$7493,Cobranza!$B7,Recibos!N$4:N$7493)</f>
        <v>100</v>
      </c>
      <c r="BC7" s="313">
        <f>SUMIF(Recibos!$D$4:$D$7493,Cobranza!$B7,Recibos!O$4:O$7493)</f>
        <v>100</v>
      </c>
      <c r="BD7" s="313">
        <f>SUMIF(Recibos!$D$4:$D$7493,Cobranza!$B7,Recibos!P$4:P$7493)</f>
        <v>100</v>
      </c>
      <c r="BE7" s="313">
        <f>SUMIF(Recibos!$D$4:$D$7493,Cobranza!$B7,Recibos!Q$4:Q$7493)</f>
        <v>100</v>
      </c>
      <c r="BF7" s="313">
        <f>SUMIF(Recibos!$D$4:$D$7493,Cobranza!$B7,Recibos!R$4:R$7493)</f>
        <v>100</v>
      </c>
      <c r="BG7" s="313">
        <f>SUMIF(Recibos!$D$4:$D$7493,Cobranza!$B7,Recibos!S$4:S$7493)</f>
        <v>100</v>
      </c>
      <c r="BH7" s="313">
        <f>SUMIF(Recibos!$D$4:$D$7493,Cobranza!$B7,Recibos!T$4:T$7493)</f>
        <v>100</v>
      </c>
      <c r="BI7" s="313">
        <f>SUMIF(Recibos!$D$4:$D$7493,Cobranza!$B7,Recibos!U$4:U$7493)</f>
        <v>100</v>
      </c>
      <c r="BJ7" s="313">
        <f>SUMIF(Recibos!$D$4:$D$7493,Cobranza!$B7,Recibos!V$4:V$7493)</f>
        <v>100</v>
      </c>
      <c r="BK7" s="314">
        <f t="shared" si="1"/>
        <v>1200</v>
      </c>
      <c r="BL7" s="313">
        <f>SUMIF(Recibos!$D$4:$D$7493,Cobranza!$B7,Recibos!X$4:X$7493)</f>
        <v>100</v>
      </c>
      <c r="BM7" s="313">
        <f>SUMIF(Recibos!$D$4:$D$7493,Cobranza!$B7,Recibos!Y$4:Y$7493)</f>
        <v>100</v>
      </c>
      <c r="BN7" s="313">
        <f>SUMIF(Recibos!$D$4:$D$7493,Cobranza!$B7,Recibos!Z$4:Z$7493)</f>
        <v>100</v>
      </c>
      <c r="BO7" s="313">
        <f>SUMIF(Recibos!$D$4:$D$7493,Cobranza!$B7,Recibos!AA$4:AA$7493)</f>
        <v>100</v>
      </c>
      <c r="BP7" s="313">
        <f>SUMIF(Recibos!$D$4:$D$7493,Cobranza!$B7,Recibos!AB$4:AB$7493)</f>
        <v>100</v>
      </c>
      <c r="BQ7" s="313">
        <f>SUMIF(Recibos!$D$4:$D$7493,Cobranza!$B7,Recibos!AC$4:AC$7493)</f>
        <v>100</v>
      </c>
      <c r="BR7" s="313">
        <f>SUMIF(Recibos!$D$4:$D$7493,Cobranza!$B7,Recibos!AD$4:AD$7493)</f>
        <v>100</v>
      </c>
      <c r="BS7" s="313">
        <f>SUMIF(Recibos!$D$4:$D$7493,Cobranza!$B7,Recibos!AE$4:AE$7493)</f>
        <v>100</v>
      </c>
      <c r="BT7" s="313">
        <f>SUMIF(Recibos!$D$4:$D$7493,Cobranza!$B7,Recibos!AF$4:AF$7493)</f>
        <v>100</v>
      </c>
      <c r="BU7" s="313">
        <f>SUMIF(Recibos!$D$4:$D$7493,Cobranza!$B7,Recibos!AG$4:AG$7493)</f>
        <v>100</v>
      </c>
      <c r="BV7" s="313">
        <f>SUMIF(Recibos!$D$4:$D$7493,Cobranza!$B7,Recibos!AH$4:AH$7493)</f>
        <v>100</v>
      </c>
      <c r="BW7" s="313">
        <f>SUMIF(Recibos!$D$4:$D$7493,Cobranza!$B7,Recibos!AI$4:AI$7493)</f>
        <v>100</v>
      </c>
      <c r="BX7" s="314">
        <f t="shared" ref="BX7:BX16" si="5">SUM(BL7:BW7)</f>
        <v>1200</v>
      </c>
      <c r="BY7" s="313">
        <f>SUMIF(Recibos!$D$4:$D$7493,Cobranza!$B7,Recibos!AK$4:AK$7493)</f>
        <v>100</v>
      </c>
      <c r="BZ7" s="313">
        <f>SUMIF(Recibos!$D$4:$D$7493,Cobranza!$B7,Recibos!AL$4:AL$7493)</f>
        <v>100</v>
      </c>
      <c r="CA7" s="313">
        <f>SUMIF(Recibos!$D$4:$D$7493,Cobranza!$B7,Recibos!AM$4:AM$7493)</f>
        <v>100</v>
      </c>
      <c r="CB7" s="313">
        <f>SUMIF(Recibos!$D$4:$D$7493,Cobranza!$B7,Recibos!AN$4:AN$7493)</f>
        <v>100</v>
      </c>
      <c r="CC7" s="313">
        <f>SUMIF(Recibos!$D$4:$D$7493,Cobranza!$B7,Recibos!AO$4:AO$7493)</f>
        <v>100</v>
      </c>
      <c r="CD7" s="313">
        <f>SUMIF(Recibos!$D$4:$D$7493,Cobranza!$B7,Recibos!AP$4:AP$7493)</f>
        <v>100</v>
      </c>
      <c r="CE7" s="313">
        <f>SUMIF(Recibos!$D$4:$D$7493,Cobranza!$B7,Recibos!AQ$4:AQ$7493)</f>
        <v>0</v>
      </c>
      <c r="CF7" s="313">
        <f>SUMIF(Recibos!$D$4:$D$7493,Cobranza!$B7,Recibos!AR$4:AR$7493)</f>
        <v>0</v>
      </c>
      <c r="CG7" s="313">
        <f>SUMIF(Recibos!$D$4:$D$7493,Cobranza!$B7,Recibos!AS$4:AS$7493)</f>
        <v>0</v>
      </c>
      <c r="CH7" s="313">
        <f>SUMIF(Recibos!$D$4:$D$7493,Cobranza!$B7,Recibos!AT$4:AT$7493)</f>
        <v>0</v>
      </c>
      <c r="CI7" s="313">
        <f>SUMIF(Recibos!$D$4:$D$7493,Cobranza!$B7,Recibos!AU$4:AU$7493)</f>
        <v>0</v>
      </c>
      <c r="CJ7" s="313">
        <f>SUMIF(Recibos!$D$4:$D$7493,Cobranza!$B7,Recibos!AV$4:AV$7493)</f>
        <v>0</v>
      </c>
      <c r="CK7" s="314">
        <f t="shared" ref="CK7:CK70" si="6">SUM(BY7:CJ7)</f>
        <v>600</v>
      </c>
    </row>
    <row r="8" spans="2:89" x14ac:dyDescent="0.2">
      <c r="B8" s="42" t="s">
        <v>1139</v>
      </c>
      <c r="C8" s="42" t="s">
        <v>1140</v>
      </c>
      <c r="D8" s="42" t="s">
        <v>1141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4">
        <f t="shared" si="2"/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4">
        <f t="shared" si="3"/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4">
        <f t="shared" si="4"/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4">
        <f t="shared" si="0"/>
        <v>0</v>
      </c>
      <c r="AY8" s="311">
        <f>SUMIF(Recibos!$D$4:$D$7493,Cobranza!$B8,Recibos!K$4:K$7493)</f>
        <v>0</v>
      </c>
      <c r="AZ8" s="311">
        <f>SUMIF(Recibos!$D$4:$D$7493,Cobranza!$B8,Recibos!L$4:L$7493)</f>
        <v>0</v>
      </c>
      <c r="BA8" s="311">
        <f>SUMIF(Recibos!$D$4:$D$7493,Cobranza!$B8,Recibos!M$4:M$7493)</f>
        <v>0</v>
      </c>
      <c r="BB8" s="311">
        <f>SUMIF(Recibos!$D$4:$D$7493,Cobranza!$B8,Recibos!N$4:N$7493)</f>
        <v>0</v>
      </c>
      <c r="BC8" s="311">
        <f>SUMIF(Recibos!$D$4:$D$7493,Cobranza!$B8,Recibos!O$4:O$7493)</f>
        <v>0</v>
      </c>
      <c r="BD8" s="311">
        <f>SUMIF(Recibos!$D$4:$D$7493,Cobranza!$B8,Recibos!P$4:P$7493)</f>
        <v>0</v>
      </c>
      <c r="BE8" s="311">
        <f>SUMIF(Recibos!$D$4:$D$7493,Cobranza!$B8,Recibos!Q$4:Q$7493)</f>
        <v>0</v>
      </c>
      <c r="BF8" s="311">
        <f>SUMIF(Recibos!$D$4:$D$7493,Cobranza!$B8,Recibos!R$4:R$7493)</f>
        <v>100</v>
      </c>
      <c r="BG8" s="311">
        <f>SUMIF(Recibos!$D$4:$D$7493,Cobranza!$B8,Recibos!S$4:S$7493)</f>
        <v>0</v>
      </c>
      <c r="BH8" s="311">
        <f>SUMIF(Recibos!$D$4:$D$7493,Cobranza!$B8,Recibos!T$4:T$7493)</f>
        <v>0</v>
      </c>
      <c r="BI8" s="311">
        <f>SUMIF(Recibos!$D$4:$D$7493,Cobranza!$B8,Recibos!U$4:U$7493)</f>
        <v>0</v>
      </c>
      <c r="BJ8" s="311">
        <f>SUMIF(Recibos!$D$4:$D$7493,Cobranza!$B8,Recibos!V$4:V$7493)</f>
        <v>0</v>
      </c>
      <c r="BK8" s="312">
        <f t="shared" si="1"/>
        <v>100</v>
      </c>
      <c r="BL8" s="311">
        <f>SUMIF(Recibos!$D$4:$D$7493,Cobranza!$B8,Recibos!X$4:X$7493)</f>
        <v>0</v>
      </c>
      <c r="BM8" s="311">
        <f>SUMIF(Recibos!$D$4:$D$7493,Cobranza!$B8,Recibos!Y$4:Y$7493)</f>
        <v>0</v>
      </c>
      <c r="BN8" s="311">
        <f>SUMIF(Recibos!$D$4:$D$7493,Cobranza!$B8,Recibos!Z$4:Z$7493)</f>
        <v>0</v>
      </c>
      <c r="BO8" s="311">
        <f>SUMIF(Recibos!$D$4:$D$7493,Cobranza!$B8,Recibos!AA$4:AA$7493)</f>
        <v>0</v>
      </c>
      <c r="BP8" s="311">
        <f>SUMIF(Recibos!$D$4:$D$7493,Cobranza!$B8,Recibos!AB$4:AB$7493)</f>
        <v>0</v>
      </c>
      <c r="BQ8" s="311">
        <f>SUMIF(Recibos!$D$4:$D$7493,Cobranza!$B8,Recibos!AC$4:AC$7493)</f>
        <v>0</v>
      </c>
      <c r="BR8" s="311">
        <f>SUMIF(Recibos!$D$4:$D$7493,Cobranza!$B8,Recibos!AD$4:AD$7493)</f>
        <v>0</v>
      </c>
      <c r="BS8" s="311">
        <f>SUMIF(Recibos!$D$4:$D$7493,Cobranza!$B8,Recibos!AE$4:AE$7493)</f>
        <v>0</v>
      </c>
      <c r="BT8" s="311">
        <f>SUMIF(Recibos!$D$4:$D$7493,Cobranza!$B8,Recibos!AF$4:AF$7493)</f>
        <v>0</v>
      </c>
      <c r="BU8" s="311">
        <f>SUMIF(Recibos!$D$4:$D$7493,Cobranza!$B8,Recibos!AG$4:AG$7493)</f>
        <v>0</v>
      </c>
      <c r="BV8" s="311">
        <f>SUMIF(Recibos!$D$4:$D$7493,Cobranza!$B8,Recibos!AH$4:AH$7493)</f>
        <v>0</v>
      </c>
      <c r="BW8" s="311">
        <f>SUMIF(Recibos!$D$4:$D$7493,Cobranza!$B8,Recibos!AI$4:AI$7493)</f>
        <v>0</v>
      </c>
      <c r="BX8" s="312">
        <f t="shared" si="5"/>
        <v>0</v>
      </c>
      <c r="BY8" s="311">
        <f>SUMIF(Recibos!$D$4:$D$7493,Cobranza!$B8,Recibos!AK$4:AK$7493)</f>
        <v>0</v>
      </c>
      <c r="BZ8" s="311">
        <f>SUMIF(Recibos!$D$4:$D$7493,Cobranza!$B8,Recibos!AL$4:AL$7493)</f>
        <v>0</v>
      </c>
      <c r="CA8" s="311">
        <f>SUMIF(Recibos!$D$4:$D$7493,Cobranza!$B8,Recibos!AM$4:AM$7493)</f>
        <v>0</v>
      </c>
      <c r="CB8" s="311">
        <f>SUMIF(Recibos!$D$4:$D$7493,Cobranza!$B8,Recibos!AN$4:AN$7493)</f>
        <v>0</v>
      </c>
      <c r="CC8" s="311">
        <f>SUMIF(Recibos!$D$4:$D$7493,Cobranza!$B8,Recibos!AO$4:AO$7493)</f>
        <v>0</v>
      </c>
      <c r="CD8" s="311">
        <f>SUMIF(Recibos!$D$4:$D$7493,Cobranza!$B8,Recibos!AP$4:AP$7493)</f>
        <v>0</v>
      </c>
      <c r="CE8" s="311">
        <f>SUMIF(Recibos!$D$4:$D$7493,Cobranza!$B8,Recibos!AQ$4:AQ$7493)</f>
        <v>0</v>
      </c>
      <c r="CF8" s="311">
        <f>SUMIF(Recibos!$D$4:$D$7493,Cobranza!$B8,Recibos!AR$4:AR$7493)</f>
        <v>0</v>
      </c>
      <c r="CG8" s="311">
        <f>SUMIF(Recibos!$D$4:$D$7493,Cobranza!$B8,Recibos!AS$4:AS$7493)</f>
        <v>0</v>
      </c>
      <c r="CH8" s="311">
        <f>SUMIF(Recibos!$D$4:$D$7493,Cobranza!$B8,Recibos!AT$4:AT$7493)</f>
        <v>0</v>
      </c>
      <c r="CI8" s="311">
        <f>SUMIF(Recibos!$D$4:$D$7493,Cobranza!$B8,Recibos!AU$4:AU$7493)</f>
        <v>0</v>
      </c>
      <c r="CJ8" s="311">
        <f>SUMIF(Recibos!$D$4:$D$7493,Cobranza!$B8,Recibos!AV$4:AV$7493)</f>
        <v>0</v>
      </c>
      <c r="CK8" s="312">
        <f t="shared" si="6"/>
        <v>0</v>
      </c>
    </row>
    <row r="9" spans="2:89" x14ac:dyDescent="0.2">
      <c r="B9" s="45" t="s">
        <v>861</v>
      </c>
      <c r="C9" s="45" t="s">
        <v>862</v>
      </c>
      <c r="D9" s="45" t="s">
        <v>863</v>
      </c>
      <c r="E9" s="46">
        <v>0</v>
      </c>
      <c r="F9" s="46">
        <v>0</v>
      </c>
      <c r="G9" s="46">
        <v>100</v>
      </c>
      <c r="H9" s="46">
        <v>100</v>
      </c>
      <c r="I9" s="46">
        <v>100</v>
      </c>
      <c r="J9" s="46">
        <v>100</v>
      </c>
      <c r="K9" s="47">
        <f t="shared" si="2"/>
        <v>400</v>
      </c>
      <c r="L9" s="46">
        <v>100</v>
      </c>
      <c r="M9" s="46">
        <v>100</v>
      </c>
      <c r="N9" s="46">
        <v>100</v>
      </c>
      <c r="O9" s="46">
        <v>100</v>
      </c>
      <c r="P9" s="46">
        <v>100</v>
      </c>
      <c r="Q9" s="46">
        <v>100</v>
      </c>
      <c r="R9" s="46">
        <v>100</v>
      </c>
      <c r="S9" s="46">
        <v>100</v>
      </c>
      <c r="T9" s="46">
        <v>100</v>
      </c>
      <c r="U9" s="46">
        <v>100</v>
      </c>
      <c r="V9" s="46">
        <v>100</v>
      </c>
      <c r="W9" s="46">
        <v>100</v>
      </c>
      <c r="X9" s="47">
        <f t="shared" si="3"/>
        <v>1200</v>
      </c>
      <c r="Y9" s="46">
        <v>100</v>
      </c>
      <c r="Z9" s="46">
        <v>100</v>
      </c>
      <c r="AA9" s="46">
        <v>0</v>
      </c>
      <c r="AB9" s="46">
        <v>0</v>
      </c>
      <c r="AC9" s="46">
        <v>100</v>
      </c>
      <c r="AD9" s="46">
        <v>100</v>
      </c>
      <c r="AE9" s="46">
        <v>100</v>
      </c>
      <c r="AF9" s="46">
        <v>100</v>
      </c>
      <c r="AG9" s="46">
        <v>100</v>
      </c>
      <c r="AH9" s="46">
        <v>100</v>
      </c>
      <c r="AI9" s="46">
        <v>100</v>
      </c>
      <c r="AJ9" s="46">
        <v>100</v>
      </c>
      <c r="AK9" s="47">
        <f t="shared" si="4"/>
        <v>1000</v>
      </c>
      <c r="AL9" s="46">
        <v>100</v>
      </c>
      <c r="AM9" s="46">
        <v>100</v>
      </c>
      <c r="AN9" s="46">
        <v>100</v>
      </c>
      <c r="AO9" s="46">
        <v>100</v>
      </c>
      <c r="AP9" s="46">
        <v>100</v>
      </c>
      <c r="AQ9" s="46">
        <v>100</v>
      </c>
      <c r="AR9" s="46">
        <v>100</v>
      </c>
      <c r="AS9" s="46">
        <v>100</v>
      </c>
      <c r="AT9" s="46">
        <v>100</v>
      </c>
      <c r="AU9" s="46">
        <v>0</v>
      </c>
      <c r="AV9" s="46">
        <v>0</v>
      </c>
      <c r="AW9" s="46">
        <v>0</v>
      </c>
      <c r="AX9" s="47">
        <f t="shared" si="0"/>
        <v>900</v>
      </c>
      <c r="AY9" s="313">
        <f>SUMIF(Recibos!$D$4:$D$7493,Cobranza!$B9,Recibos!K$4:K$7493)</f>
        <v>100</v>
      </c>
      <c r="AZ9" s="313">
        <f>SUMIF(Recibos!$D$4:$D$7493,Cobranza!$B9,Recibos!L$4:L$7493)</f>
        <v>100</v>
      </c>
      <c r="BA9" s="313">
        <f>SUMIF(Recibos!$D$4:$D$7493,Cobranza!$B9,Recibos!M$4:M$7493)</f>
        <v>100</v>
      </c>
      <c r="BB9" s="313">
        <f>SUMIF(Recibos!$D$4:$D$7493,Cobranza!$B9,Recibos!N$4:N$7493)</f>
        <v>100</v>
      </c>
      <c r="BC9" s="313">
        <f>SUMIF(Recibos!$D$4:$D$7493,Cobranza!$B9,Recibos!O$4:O$7493)</f>
        <v>100</v>
      </c>
      <c r="BD9" s="313">
        <f>SUMIF(Recibos!$D$4:$D$7493,Cobranza!$B9,Recibos!P$4:P$7493)</f>
        <v>100</v>
      </c>
      <c r="BE9" s="313">
        <f>SUMIF(Recibos!$D$4:$D$7493,Cobranza!$B9,Recibos!Q$4:Q$7493)</f>
        <v>100</v>
      </c>
      <c r="BF9" s="313">
        <f>SUMIF(Recibos!$D$4:$D$7493,Cobranza!$B9,Recibos!R$4:R$7493)</f>
        <v>100</v>
      </c>
      <c r="BG9" s="313">
        <f>SUMIF(Recibos!$D$4:$D$7493,Cobranza!$B9,Recibos!S$4:S$7493)</f>
        <v>100</v>
      </c>
      <c r="BH9" s="313">
        <f>SUMIF(Recibos!$D$4:$D$7493,Cobranza!$B9,Recibos!T$4:T$7493)</f>
        <v>100</v>
      </c>
      <c r="BI9" s="313">
        <f>SUMIF(Recibos!$D$4:$D$7493,Cobranza!$B9,Recibos!U$4:U$7493)</f>
        <v>100</v>
      </c>
      <c r="BJ9" s="313">
        <f>SUMIF(Recibos!$D$4:$D$7493,Cobranza!$B9,Recibos!V$4:V$7493)</f>
        <v>0</v>
      </c>
      <c r="BK9" s="314">
        <f t="shared" si="1"/>
        <v>1100</v>
      </c>
      <c r="BL9" s="313">
        <f>SUMIF(Recibos!$D$4:$D$7493,Cobranza!$B9,Recibos!X$4:X$7493)</f>
        <v>0</v>
      </c>
      <c r="BM9" s="313">
        <f>SUMIF(Recibos!$D$4:$D$7493,Cobranza!$B9,Recibos!Y$4:Y$7493)</f>
        <v>0</v>
      </c>
      <c r="BN9" s="313">
        <f>SUMIF(Recibos!$D$4:$D$7493,Cobranza!$B9,Recibos!Z$4:Z$7493)</f>
        <v>0</v>
      </c>
      <c r="BO9" s="313">
        <f>SUMIF(Recibos!$D$4:$D$7493,Cobranza!$B9,Recibos!AA$4:AA$7493)</f>
        <v>0</v>
      </c>
      <c r="BP9" s="313">
        <f>SUMIF(Recibos!$D$4:$D$7493,Cobranza!$B9,Recibos!AB$4:AB$7493)</f>
        <v>0</v>
      </c>
      <c r="BQ9" s="313">
        <f>SUMIF(Recibos!$D$4:$D$7493,Cobranza!$B9,Recibos!AC$4:AC$7493)</f>
        <v>0</v>
      </c>
      <c r="BR9" s="313">
        <f>SUMIF(Recibos!$D$4:$D$7493,Cobranza!$B9,Recibos!AD$4:AD$7493)</f>
        <v>0</v>
      </c>
      <c r="BS9" s="313">
        <f>SUMIF(Recibos!$D$4:$D$7493,Cobranza!$B9,Recibos!AE$4:AE$7493)</f>
        <v>0</v>
      </c>
      <c r="BT9" s="313">
        <f>SUMIF(Recibos!$D$4:$D$7493,Cobranza!$B9,Recibos!AF$4:AF$7493)</f>
        <v>0</v>
      </c>
      <c r="BU9" s="313">
        <f>SUMIF(Recibos!$D$4:$D$7493,Cobranza!$B9,Recibos!AG$4:AG$7493)</f>
        <v>0</v>
      </c>
      <c r="BV9" s="313">
        <f>SUMIF(Recibos!$D$4:$D$7493,Cobranza!$B9,Recibos!AH$4:AH$7493)</f>
        <v>0</v>
      </c>
      <c r="BW9" s="313">
        <f>SUMIF(Recibos!$D$4:$D$7493,Cobranza!$B9,Recibos!AI$4:AI$7493)</f>
        <v>0</v>
      </c>
      <c r="BX9" s="314">
        <f t="shared" si="5"/>
        <v>0</v>
      </c>
      <c r="BY9" s="313">
        <f>SUMIF(Recibos!$D$4:$D$7493,Cobranza!$B9,Recibos!AK$4:AK$7493)</f>
        <v>0</v>
      </c>
      <c r="BZ9" s="313">
        <f>SUMIF(Recibos!$D$4:$D$7493,Cobranza!$B9,Recibos!AL$4:AL$7493)</f>
        <v>0</v>
      </c>
      <c r="CA9" s="313">
        <f>SUMIF(Recibos!$D$4:$D$7493,Cobranza!$B9,Recibos!AM$4:AM$7493)</f>
        <v>0</v>
      </c>
      <c r="CB9" s="313">
        <f>SUMIF(Recibos!$D$4:$D$7493,Cobranza!$B9,Recibos!AN$4:AN$7493)</f>
        <v>0</v>
      </c>
      <c r="CC9" s="313">
        <f>SUMIF(Recibos!$D$4:$D$7493,Cobranza!$B9,Recibos!AO$4:AO$7493)</f>
        <v>0</v>
      </c>
      <c r="CD9" s="313">
        <f>SUMIF(Recibos!$D$4:$D$7493,Cobranza!$B9,Recibos!AP$4:AP$7493)</f>
        <v>0</v>
      </c>
      <c r="CE9" s="313">
        <f>SUMIF(Recibos!$D$4:$D$7493,Cobranza!$B9,Recibos!AQ$4:AQ$7493)</f>
        <v>0</v>
      </c>
      <c r="CF9" s="313">
        <f>SUMIF(Recibos!$D$4:$D$7493,Cobranza!$B9,Recibos!AR$4:AR$7493)</f>
        <v>0</v>
      </c>
      <c r="CG9" s="313">
        <f>SUMIF(Recibos!$D$4:$D$7493,Cobranza!$B9,Recibos!AS$4:AS$7493)</f>
        <v>0</v>
      </c>
      <c r="CH9" s="313">
        <f>SUMIF(Recibos!$D$4:$D$7493,Cobranza!$B9,Recibos!AT$4:AT$7493)</f>
        <v>0</v>
      </c>
      <c r="CI9" s="313">
        <f>SUMIF(Recibos!$D$4:$D$7493,Cobranza!$B9,Recibos!AU$4:AU$7493)</f>
        <v>0</v>
      </c>
      <c r="CJ9" s="313">
        <f>SUMIF(Recibos!$D$4:$D$7493,Cobranza!$B9,Recibos!AV$4:AV$7493)</f>
        <v>0</v>
      </c>
      <c r="CK9" s="314">
        <f t="shared" si="6"/>
        <v>0</v>
      </c>
    </row>
    <row r="10" spans="2:89" x14ac:dyDescent="0.2">
      <c r="B10" s="42" t="s">
        <v>1257</v>
      </c>
      <c r="C10" s="42" t="s">
        <v>1258</v>
      </c>
      <c r="D10" s="42" t="s">
        <v>1259</v>
      </c>
      <c r="E10" s="43">
        <v>0</v>
      </c>
      <c r="F10" s="43">
        <v>0</v>
      </c>
      <c r="G10" s="43">
        <v>0</v>
      </c>
      <c r="H10" s="43">
        <v>0</v>
      </c>
      <c r="I10" s="43">
        <v>300</v>
      </c>
      <c r="J10" s="43">
        <v>300</v>
      </c>
      <c r="K10" s="44">
        <f t="shared" si="2"/>
        <v>600</v>
      </c>
      <c r="L10" s="43">
        <v>300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4">
        <f t="shared" si="3"/>
        <v>300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4">
        <f t="shared" si="4"/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4">
        <f t="shared" si="0"/>
        <v>0</v>
      </c>
      <c r="AY10" s="311">
        <f>SUMIF(Recibos!$D$4:$D$7493,Cobranza!$B10,Recibos!K$4:K$7493)</f>
        <v>0</v>
      </c>
      <c r="AZ10" s="311">
        <f>SUMIF(Recibos!$D$4:$D$7493,Cobranza!$B10,Recibos!L$4:L$7493)</f>
        <v>0</v>
      </c>
      <c r="BA10" s="311">
        <f>SUMIF(Recibos!$D$4:$D$7493,Cobranza!$B10,Recibos!M$4:M$7493)</f>
        <v>0</v>
      </c>
      <c r="BB10" s="311">
        <f>SUMIF(Recibos!$D$4:$D$7493,Cobranza!$B10,Recibos!N$4:N$7493)</f>
        <v>0</v>
      </c>
      <c r="BC10" s="311">
        <f>SUMIF(Recibos!$D$4:$D$7493,Cobranza!$B10,Recibos!O$4:O$7493)</f>
        <v>0</v>
      </c>
      <c r="BD10" s="311">
        <f>SUMIF(Recibos!$D$4:$D$7493,Cobranza!$B10,Recibos!P$4:P$7493)</f>
        <v>0</v>
      </c>
      <c r="BE10" s="311">
        <f>SUMIF(Recibos!$D$4:$D$7493,Cobranza!$B10,Recibos!Q$4:Q$7493)</f>
        <v>0</v>
      </c>
      <c r="BF10" s="311">
        <f>SUMIF(Recibos!$D$4:$D$7493,Cobranza!$B10,Recibos!R$4:R$7493)</f>
        <v>0</v>
      </c>
      <c r="BG10" s="311">
        <f>SUMIF(Recibos!$D$4:$D$7493,Cobranza!$B10,Recibos!S$4:S$7493)</f>
        <v>0</v>
      </c>
      <c r="BH10" s="311">
        <f>SUMIF(Recibos!$D$4:$D$7493,Cobranza!$B10,Recibos!T$4:T$7493)</f>
        <v>0</v>
      </c>
      <c r="BI10" s="311">
        <f>SUMIF(Recibos!$D$4:$D$7493,Cobranza!$B10,Recibos!U$4:U$7493)</f>
        <v>0</v>
      </c>
      <c r="BJ10" s="311">
        <f>SUMIF(Recibos!$D$4:$D$7493,Cobranza!$B10,Recibos!V$4:V$7493)</f>
        <v>0</v>
      </c>
      <c r="BK10" s="312">
        <f t="shared" si="1"/>
        <v>0</v>
      </c>
      <c r="BL10" s="311">
        <f>SUMIF(Recibos!$D$4:$D$7493,Cobranza!$B10,Recibos!X$4:X$7493)</f>
        <v>0</v>
      </c>
      <c r="BM10" s="311">
        <f>SUMIF(Recibos!$D$4:$D$7493,Cobranza!$B10,Recibos!Y$4:Y$7493)</f>
        <v>0</v>
      </c>
      <c r="BN10" s="311">
        <f>SUMIF(Recibos!$D$4:$D$7493,Cobranza!$B10,Recibos!Z$4:Z$7493)</f>
        <v>0</v>
      </c>
      <c r="BO10" s="311">
        <f>SUMIF(Recibos!$D$4:$D$7493,Cobranza!$B10,Recibos!AA$4:AA$7493)</f>
        <v>0</v>
      </c>
      <c r="BP10" s="311">
        <f>SUMIF(Recibos!$D$4:$D$7493,Cobranza!$B10,Recibos!AB$4:AB$7493)</f>
        <v>0</v>
      </c>
      <c r="BQ10" s="311">
        <f>SUMIF(Recibos!$D$4:$D$7493,Cobranza!$B10,Recibos!AC$4:AC$7493)</f>
        <v>0</v>
      </c>
      <c r="BR10" s="311">
        <f>SUMIF(Recibos!$D$4:$D$7493,Cobranza!$B10,Recibos!AD$4:AD$7493)</f>
        <v>0</v>
      </c>
      <c r="BS10" s="311">
        <f>SUMIF(Recibos!$D$4:$D$7493,Cobranza!$B10,Recibos!AE$4:AE$7493)</f>
        <v>0</v>
      </c>
      <c r="BT10" s="311">
        <f>SUMIF(Recibos!$D$4:$D$7493,Cobranza!$B10,Recibos!AF$4:AF$7493)</f>
        <v>0</v>
      </c>
      <c r="BU10" s="311">
        <f>SUMIF(Recibos!$D$4:$D$7493,Cobranza!$B10,Recibos!AG$4:AG$7493)</f>
        <v>0</v>
      </c>
      <c r="BV10" s="311">
        <f>SUMIF(Recibos!$D$4:$D$7493,Cobranza!$B10,Recibos!AH$4:AH$7493)</f>
        <v>0</v>
      </c>
      <c r="BW10" s="311">
        <f>SUMIF(Recibos!$D$4:$D$7493,Cobranza!$B10,Recibos!AI$4:AI$7493)</f>
        <v>0</v>
      </c>
      <c r="BX10" s="312">
        <f t="shared" si="5"/>
        <v>0</v>
      </c>
      <c r="BY10" s="311">
        <f>SUMIF(Recibos!$D$4:$D$7493,Cobranza!$B10,Recibos!AK$4:AK$7493)</f>
        <v>0</v>
      </c>
      <c r="BZ10" s="311">
        <f>SUMIF(Recibos!$D$4:$D$7493,Cobranza!$B10,Recibos!AL$4:AL$7493)</f>
        <v>0</v>
      </c>
      <c r="CA10" s="311">
        <f>SUMIF(Recibos!$D$4:$D$7493,Cobranza!$B10,Recibos!AM$4:AM$7493)</f>
        <v>0</v>
      </c>
      <c r="CB10" s="311">
        <f>SUMIF(Recibos!$D$4:$D$7493,Cobranza!$B10,Recibos!AN$4:AN$7493)</f>
        <v>0</v>
      </c>
      <c r="CC10" s="311">
        <f>SUMIF(Recibos!$D$4:$D$7493,Cobranza!$B10,Recibos!AO$4:AO$7493)</f>
        <v>0</v>
      </c>
      <c r="CD10" s="311">
        <f>SUMIF(Recibos!$D$4:$D$7493,Cobranza!$B10,Recibos!AP$4:AP$7493)</f>
        <v>0</v>
      </c>
      <c r="CE10" s="311">
        <f>SUMIF(Recibos!$D$4:$D$7493,Cobranza!$B10,Recibos!AQ$4:AQ$7493)</f>
        <v>0</v>
      </c>
      <c r="CF10" s="311">
        <f>SUMIF(Recibos!$D$4:$D$7493,Cobranza!$B10,Recibos!AR$4:AR$7493)</f>
        <v>0</v>
      </c>
      <c r="CG10" s="311">
        <f>SUMIF(Recibos!$D$4:$D$7493,Cobranza!$B10,Recibos!AS$4:AS$7493)</f>
        <v>0</v>
      </c>
      <c r="CH10" s="311">
        <f>SUMIF(Recibos!$D$4:$D$7493,Cobranza!$B10,Recibos!AT$4:AT$7493)</f>
        <v>0</v>
      </c>
      <c r="CI10" s="311">
        <f>SUMIF(Recibos!$D$4:$D$7493,Cobranza!$B10,Recibos!AU$4:AU$7493)</f>
        <v>0</v>
      </c>
      <c r="CJ10" s="311">
        <f>SUMIF(Recibos!$D$4:$D$7493,Cobranza!$B10,Recibos!AV$4:AV$7493)</f>
        <v>0</v>
      </c>
      <c r="CK10" s="312">
        <f t="shared" si="6"/>
        <v>0</v>
      </c>
    </row>
    <row r="11" spans="2:89" x14ac:dyDescent="0.2">
      <c r="B11" s="45" t="s">
        <v>1260</v>
      </c>
      <c r="C11" s="45" t="s">
        <v>1261</v>
      </c>
      <c r="D11" s="45" t="s">
        <v>1262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7">
        <f t="shared" si="2"/>
        <v>0</v>
      </c>
      <c r="L11" s="46">
        <v>100</v>
      </c>
      <c r="M11" s="46">
        <v>100</v>
      </c>
      <c r="N11" s="46">
        <v>100</v>
      </c>
      <c r="O11" s="46">
        <v>100</v>
      </c>
      <c r="P11" s="46">
        <v>100</v>
      </c>
      <c r="Q11" s="46">
        <v>100</v>
      </c>
      <c r="R11" s="46">
        <v>100</v>
      </c>
      <c r="S11" s="46">
        <v>100</v>
      </c>
      <c r="T11" s="46">
        <v>100</v>
      </c>
      <c r="U11" s="46">
        <v>100</v>
      </c>
      <c r="V11" s="46">
        <v>0</v>
      </c>
      <c r="W11" s="46">
        <v>0</v>
      </c>
      <c r="X11" s="47">
        <f t="shared" si="3"/>
        <v>1000</v>
      </c>
      <c r="Y11" s="46">
        <v>0</v>
      </c>
      <c r="Z11" s="46">
        <v>100</v>
      </c>
      <c r="AA11" s="46">
        <v>100</v>
      </c>
      <c r="AB11" s="46">
        <v>100</v>
      </c>
      <c r="AC11" s="46">
        <v>100</v>
      </c>
      <c r="AD11" s="46">
        <v>100</v>
      </c>
      <c r="AE11" s="46">
        <v>100</v>
      </c>
      <c r="AF11" s="46">
        <v>100</v>
      </c>
      <c r="AG11" s="46">
        <v>100</v>
      </c>
      <c r="AH11" s="46">
        <v>100</v>
      </c>
      <c r="AI11" s="46">
        <v>100</v>
      </c>
      <c r="AJ11" s="46">
        <v>100</v>
      </c>
      <c r="AK11" s="47">
        <f t="shared" si="4"/>
        <v>1100</v>
      </c>
      <c r="AL11" s="46">
        <v>100</v>
      </c>
      <c r="AM11" s="46">
        <v>100</v>
      </c>
      <c r="AN11" s="46">
        <v>100</v>
      </c>
      <c r="AO11" s="46">
        <v>0</v>
      </c>
      <c r="AP11" s="46">
        <v>0</v>
      </c>
      <c r="AQ11" s="46">
        <v>0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6">
        <v>0</v>
      </c>
      <c r="AX11" s="47">
        <f t="shared" si="0"/>
        <v>300</v>
      </c>
      <c r="AY11" s="313">
        <f>SUMIF(Recibos!$D$4:$D$7493,Cobranza!$B11,Recibos!K$4:K$7493)</f>
        <v>0</v>
      </c>
      <c r="AZ11" s="313">
        <f>SUMIF(Recibos!$D$4:$D$7493,Cobranza!$B11,Recibos!L$4:L$7493)</f>
        <v>0</v>
      </c>
      <c r="BA11" s="313">
        <f>SUMIF(Recibos!$D$4:$D$7493,Cobranza!$B11,Recibos!M$4:M$7493)</f>
        <v>0</v>
      </c>
      <c r="BB11" s="313">
        <f>SUMIF(Recibos!$D$4:$D$7493,Cobranza!$B11,Recibos!N$4:N$7493)</f>
        <v>0</v>
      </c>
      <c r="BC11" s="313">
        <f>SUMIF(Recibos!$D$4:$D$7493,Cobranza!$B11,Recibos!O$4:O$7493)</f>
        <v>0</v>
      </c>
      <c r="BD11" s="313">
        <f>SUMIF(Recibos!$D$4:$D$7493,Cobranza!$B11,Recibos!P$4:P$7493)</f>
        <v>0</v>
      </c>
      <c r="BE11" s="313">
        <f>SUMIF(Recibos!$D$4:$D$7493,Cobranza!$B11,Recibos!Q$4:Q$7493)</f>
        <v>0</v>
      </c>
      <c r="BF11" s="313">
        <f>SUMIF(Recibos!$D$4:$D$7493,Cobranza!$B11,Recibos!R$4:R$7493)</f>
        <v>0</v>
      </c>
      <c r="BG11" s="313">
        <f>SUMIF(Recibos!$D$4:$D$7493,Cobranza!$B11,Recibos!S$4:S$7493)</f>
        <v>0</v>
      </c>
      <c r="BH11" s="313">
        <f>SUMIF(Recibos!$D$4:$D$7493,Cobranza!$B11,Recibos!T$4:T$7493)</f>
        <v>0</v>
      </c>
      <c r="BI11" s="313">
        <f>SUMIF(Recibos!$D$4:$D$7493,Cobranza!$B11,Recibos!U$4:U$7493)</f>
        <v>0</v>
      </c>
      <c r="BJ11" s="313">
        <f>SUMIF(Recibos!$D$4:$D$7493,Cobranza!$B11,Recibos!V$4:V$7493)</f>
        <v>0</v>
      </c>
      <c r="BK11" s="314">
        <f t="shared" si="1"/>
        <v>0</v>
      </c>
      <c r="BL11" s="313">
        <f>SUMIF(Recibos!$D$4:$D$7493,Cobranza!$B11,Recibos!X$4:X$7493)</f>
        <v>0</v>
      </c>
      <c r="BM11" s="313">
        <f>SUMIF(Recibos!$D$4:$D$7493,Cobranza!$B11,Recibos!Y$4:Y$7493)</f>
        <v>0</v>
      </c>
      <c r="BN11" s="313">
        <f>SUMIF(Recibos!$D$4:$D$7493,Cobranza!$B11,Recibos!Z$4:Z$7493)</f>
        <v>0</v>
      </c>
      <c r="BO11" s="313">
        <f>SUMIF(Recibos!$D$4:$D$7493,Cobranza!$B11,Recibos!AA$4:AA$7493)</f>
        <v>0</v>
      </c>
      <c r="BP11" s="313">
        <f>SUMIF(Recibos!$D$4:$D$7493,Cobranza!$B11,Recibos!AB$4:AB$7493)</f>
        <v>0</v>
      </c>
      <c r="BQ11" s="313">
        <f>SUMIF(Recibos!$D$4:$D$7493,Cobranza!$B11,Recibos!AC$4:AC$7493)</f>
        <v>0</v>
      </c>
      <c r="BR11" s="313">
        <f>SUMIF(Recibos!$D$4:$D$7493,Cobranza!$B11,Recibos!AD$4:AD$7493)</f>
        <v>0</v>
      </c>
      <c r="BS11" s="313">
        <f>SUMIF(Recibos!$D$4:$D$7493,Cobranza!$B11,Recibos!AE$4:AE$7493)</f>
        <v>0</v>
      </c>
      <c r="BT11" s="313">
        <f>SUMIF(Recibos!$D$4:$D$7493,Cobranza!$B11,Recibos!AF$4:AF$7493)</f>
        <v>0</v>
      </c>
      <c r="BU11" s="313">
        <f>SUMIF(Recibos!$D$4:$D$7493,Cobranza!$B11,Recibos!AG$4:AG$7493)</f>
        <v>0</v>
      </c>
      <c r="BV11" s="313">
        <f>SUMIF(Recibos!$D$4:$D$7493,Cobranza!$B11,Recibos!AH$4:AH$7493)</f>
        <v>0</v>
      </c>
      <c r="BW11" s="313">
        <f>SUMIF(Recibos!$D$4:$D$7493,Cobranza!$B11,Recibos!AI$4:AI$7493)</f>
        <v>0</v>
      </c>
      <c r="BX11" s="314">
        <f t="shared" si="5"/>
        <v>0</v>
      </c>
      <c r="BY11" s="313">
        <f>SUMIF(Recibos!$D$4:$D$7493,Cobranza!$B11,Recibos!AK$4:AK$7493)</f>
        <v>0</v>
      </c>
      <c r="BZ11" s="313">
        <f>SUMIF(Recibos!$D$4:$D$7493,Cobranza!$B11,Recibos!AL$4:AL$7493)</f>
        <v>0</v>
      </c>
      <c r="CA11" s="313">
        <f>SUMIF(Recibos!$D$4:$D$7493,Cobranza!$B11,Recibos!AM$4:AM$7493)</f>
        <v>0</v>
      </c>
      <c r="CB11" s="313">
        <f>SUMIF(Recibos!$D$4:$D$7493,Cobranza!$B11,Recibos!AN$4:AN$7493)</f>
        <v>400</v>
      </c>
      <c r="CC11" s="313">
        <f>SUMIF(Recibos!$D$4:$D$7493,Cobranza!$B11,Recibos!AO$4:AO$7493)</f>
        <v>400</v>
      </c>
      <c r="CD11" s="313">
        <f>SUMIF(Recibos!$D$4:$D$7493,Cobranza!$B11,Recibos!AP$4:AP$7493)</f>
        <v>400</v>
      </c>
      <c r="CE11" s="313">
        <f>SUMIF(Recibos!$D$4:$D$7493,Cobranza!$B11,Recibos!AQ$4:AQ$7493)</f>
        <v>400</v>
      </c>
      <c r="CF11" s="313">
        <f>SUMIF(Recibos!$D$4:$D$7493,Cobranza!$B11,Recibos!AR$4:AR$7493)</f>
        <v>400</v>
      </c>
      <c r="CG11" s="313">
        <f>SUMIF(Recibos!$D$4:$D$7493,Cobranza!$B11,Recibos!AS$4:AS$7493)</f>
        <v>400</v>
      </c>
      <c r="CH11" s="313">
        <f>SUMIF(Recibos!$D$4:$D$7493,Cobranza!$B11,Recibos!AT$4:AT$7493)</f>
        <v>0</v>
      </c>
      <c r="CI11" s="313">
        <f>SUMIF(Recibos!$D$4:$D$7493,Cobranza!$B11,Recibos!AU$4:AU$7493)</f>
        <v>0</v>
      </c>
      <c r="CJ11" s="313">
        <f>SUMIF(Recibos!$D$4:$D$7493,Cobranza!$B11,Recibos!AV$4:AV$7493)</f>
        <v>0</v>
      </c>
      <c r="CK11" s="314">
        <f t="shared" si="6"/>
        <v>2400</v>
      </c>
    </row>
    <row r="12" spans="2:89" x14ac:dyDescent="0.2">
      <c r="B12" s="42" t="s">
        <v>746</v>
      </c>
      <c r="C12" s="42" t="s">
        <v>747</v>
      </c>
      <c r="D12" s="42" t="s">
        <v>748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250</v>
      </c>
      <c r="K12" s="44">
        <f t="shared" si="2"/>
        <v>250</v>
      </c>
      <c r="L12" s="43">
        <v>300</v>
      </c>
      <c r="M12" s="43">
        <v>300</v>
      </c>
      <c r="N12" s="43">
        <v>300</v>
      </c>
      <c r="O12" s="43">
        <v>300</v>
      </c>
      <c r="P12" s="43">
        <v>300</v>
      </c>
      <c r="Q12" s="43">
        <v>300</v>
      </c>
      <c r="R12" s="43">
        <v>300</v>
      </c>
      <c r="S12" s="43">
        <v>300</v>
      </c>
      <c r="T12" s="43">
        <v>300</v>
      </c>
      <c r="U12" s="43">
        <v>350</v>
      </c>
      <c r="V12" s="43">
        <v>350</v>
      </c>
      <c r="W12" s="43">
        <v>350</v>
      </c>
      <c r="X12" s="44">
        <f t="shared" si="3"/>
        <v>3750</v>
      </c>
      <c r="Y12" s="43">
        <v>300</v>
      </c>
      <c r="Z12" s="43">
        <v>300</v>
      </c>
      <c r="AA12" s="43">
        <v>300</v>
      </c>
      <c r="AB12" s="43">
        <v>300</v>
      </c>
      <c r="AC12" s="43">
        <v>300</v>
      </c>
      <c r="AD12" s="43">
        <v>300</v>
      </c>
      <c r="AE12" s="43">
        <v>300</v>
      </c>
      <c r="AF12" s="43">
        <v>300</v>
      </c>
      <c r="AG12" s="43">
        <v>300</v>
      </c>
      <c r="AH12" s="43">
        <v>300</v>
      </c>
      <c r="AI12" s="43">
        <v>300</v>
      </c>
      <c r="AJ12" s="43">
        <v>300</v>
      </c>
      <c r="AK12" s="44">
        <f t="shared" si="4"/>
        <v>3600</v>
      </c>
      <c r="AL12" s="43">
        <v>300</v>
      </c>
      <c r="AM12" s="43">
        <v>300</v>
      </c>
      <c r="AN12" s="43">
        <v>300</v>
      </c>
      <c r="AO12" s="43">
        <v>300</v>
      </c>
      <c r="AP12" s="43">
        <v>300</v>
      </c>
      <c r="AQ12" s="43">
        <v>300</v>
      </c>
      <c r="AR12" s="43">
        <v>300</v>
      </c>
      <c r="AS12" s="43">
        <v>300</v>
      </c>
      <c r="AT12" s="43">
        <v>300</v>
      </c>
      <c r="AU12" s="43">
        <v>300</v>
      </c>
      <c r="AV12" s="43">
        <v>300</v>
      </c>
      <c r="AW12" s="43">
        <v>300</v>
      </c>
      <c r="AX12" s="44">
        <f t="shared" si="0"/>
        <v>3600</v>
      </c>
      <c r="AY12" s="311">
        <f>SUMIF(Recibos!$D$4:$D$7493,Cobranza!$B12,Recibos!K$4:K$7493)</f>
        <v>300</v>
      </c>
      <c r="AZ12" s="311">
        <f>SUMIF(Recibos!$D$4:$D$7493,Cobranza!$B12,Recibos!L$4:L$7493)</f>
        <v>300</v>
      </c>
      <c r="BA12" s="311">
        <f>SUMIF(Recibos!$D$4:$D$7493,Cobranza!$B12,Recibos!M$4:M$7493)</f>
        <v>300</v>
      </c>
      <c r="BB12" s="311">
        <f>SUMIF(Recibos!$D$4:$D$7493,Cobranza!$B12,Recibos!N$4:N$7493)</f>
        <v>300</v>
      </c>
      <c r="BC12" s="311">
        <f>SUMIF(Recibos!$D$4:$D$7493,Cobranza!$B12,Recibos!O$4:O$7493)</f>
        <v>300</v>
      </c>
      <c r="BD12" s="311">
        <f>SUMIF(Recibos!$D$4:$D$7493,Cobranza!$B12,Recibos!P$4:P$7493)</f>
        <v>300</v>
      </c>
      <c r="BE12" s="311">
        <f>SUMIF(Recibos!$D$4:$D$7493,Cobranza!$B12,Recibos!Q$4:Q$7493)</f>
        <v>300</v>
      </c>
      <c r="BF12" s="311">
        <f>SUMIF(Recibos!$D$4:$D$7493,Cobranza!$B12,Recibos!R$4:R$7493)</f>
        <v>300</v>
      </c>
      <c r="BG12" s="311">
        <f>SUMIF(Recibos!$D$4:$D$7493,Cobranza!$B12,Recibos!S$4:S$7493)</f>
        <v>300</v>
      </c>
      <c r="BH12" s="311">
        <f>SUMIF(Recibos!$D$4:$D$7493,Cobranza!$B12,Recibos!T$4:T$7493)</f>
        <v>300</v>
      </c>
      <c r="BI12" s="311">
        <f>SUMIF(Recibos!$D$4:$D$7493,Cobranza!$B12,Recibos!U$4:U$7493)</f>
        <v>300</v>
      </c>
      <c r="BJ12" s="311">
        <f>SUMIF(Recibos!$D$4:$D$7493,Cobranza!$B12,Recibos!V$4:V$7493)</f>
        <v>300</v>
      </c>
      <c r="BK12" s="312">
        <f t="shared" si="1"/>
        <v>3600</v>
      </c>
      <c r="BL12" s="311">
        <f>SUMIF(Recibos!$D$4:$D$7493,Cobranza!$B12,Recibos!X$4:X$7493)</f>
        <v>350</v>
      </c>
      <c r="BM12" s="311">
        <f>SUMIF(Recibos!$D$4:$D$7493,Cobranza!$B12,Recibos!Y$4:Y$7493)</f>
        <v>350</v>
      </c>
      <c r="BN12" s="311">
        <f>SUMIF(Recibos!$D$4:$D$7493,Cobranza!$B12,Recibos!Z$4:Z$7493)</f>
        <v>350</v>
      </c>
      <c r="BO12" s="311">
        <f>SUMIF(Recibos!$D$4:$D$7493,Cobranza!$B12,Recibos!AA$4:AA$7493)</f>
        <v>350</v>
      </c>
      <c r="BP12" s="311">
        <f>SUMIF(Recibos!$D$4:$D$7493,Cobranza!$B12,Recibos!AB$4:AB$7493)</f>
        <v>0</v>
      </c>
      <c r="BQ12" s="311">
        <f>SUMIF(Recibos!$D$4:$D$7493,Cobranza!$B12,Recibos!AC$4:AC$7493)</f>
        <v>0</v>
      </c>
      <c r="BR12" s="311">
        <f>SUMIF(Recibos!$D$4:$D$7493,Cobranza!$B12,Recibos!AD$4:AD$7493)</f>
        <v>0</v>
      </c>
      <c r="BS12" s="311">
        <f>SUMIF(Recibos!$D$4:$D$7493,Cobranza!$B12,Recibos!AE$4:AE$7493)</f>
        <v>0</v>
      </c>
      <c r="BT12" s="311">
        <f>SUMIF(Recibos!$D$4:$D$7493,Cobranza!$B12,Recibos!AF$4:AF$7493)</f>
        <v>0</v>
      </c>
      <c r="BU12" s="311">
        <f>SUMIF(Recibos!$D$4:$D$7493,Cobranza!$B12,Recibos!AG$4:AG$7493)</f>
        <v>0</v>
      </c>
      <c r="BV12" s="311">
        <f>SUMIF(Recibos!$D$4:$D$7493,Cobranza!$B12,Recibos!AH$4:AH$7493)</f>
        <v>0</v>
      </c>
      <c r="BW12" s="311">
        <f>SUMIF(Recibos!$D$4:$D$7493,Cobranza!$B12,Recibos!AI$4:AI$7493)</f>
        <v>0</v>
      </c>
      <c r="BX12" s="312">
        <f t="shared" si="5"/>
        <v>1400</v>
      </c>
      <c r="BY12" s="311">
        <f>SUMIF(Recibos!$D$4:$D$7493,Cobranza!$B12,Recibos!AK$4:AK$7493)</f>
        <v>350</v>
      </c>
      <c r="BZ12" s="311">
        <f>SUMIF(Recibos!$D$4:$D$7493,Cobranza!$B12,Recibos!AL$4:AL$7493)</f>
        <v>350</v>
      </c>
      <c r="CA12" s="311">
        <f>SUMIF(Recibos!$D$4:$D$7493,Cobranza!$B12,Recibos!AM$4:AM$7493)</f>
        <v>350</v>
      </c>
      <c r="CB12" s="311">
        <f>SUMIF(Recibos!$D$4:$D$7493,Cobranza!$B12,Recibos!AN$4:AN$7493)</f>
        <v>350</v>
      </c>
      <c r="CC12" s="311">
        <f>SUMIF(Recibos!$D$4:$D$7493,Cobranza!$B12,Recibos!AO$4:AO$7493)</f>
        <v>350</v>
      </c>
      <c r="CD12" s="311">
        <f>SUMIF(Recibos!$D$4:$D$7493,Cobranza!$B12,Recibos!AP$4:AP$7493)</f>
        <v>350</v>
      </c>
      <c r="CE12" s="311">
        <f>SUMIF(Recibos!$D$4:$D$7493,Cobranza!$B12,Recibos!AQ$4:AQ$7493)</f>
        <v>350</v>
      </c>
      <c r="CF12" s="311">
        <f>SUMIF(Recibos!$D$4:$D$7493,Cobranza!$B12,Recibos!AR$4:AR$7493)</f>
        <v>350</v>
      </c>
      <c r="CG12" s="311">
        <f>SUMIF(Recibos!$D$4:$D$7493,Cobranza!$B12,Recibos!AS$4:AS$7493)</f>
        <v>350</v>
      </c>
      <c r="CH12" s="311">
        <f>SUMIF(Recibos!$D$4:$D$7493,Cobranza!$B12,Recibos!AT$4:AT$7493)</f>
        <v>350</v>
      </c>
      <c r="CI12" s="311">
        <f>SUMIF(Recibos!$D$4:$D$7493,Cobranza!$B12,Recibos!AU$4:AU$7493)</f>
        <v>350</v>
      </c>
      <c r="CJ12" s="311">
        <f>SUMIF(Recibos!$D$4:$D$7493,Cobranza!$B12,Recibos!AV$4:AV$7493)</f>
        <v>350</v>
      </c>
      <c r="CK12" s="312">
        <f t="shared" si="6"/>
        <v>4200</v>
      </c>
    </row>
    <row r="13" spans="2:89" x14ac:dyDescent="0.2">
      <c r="B13" s="45" t="s">
        <v>1145</v>
      </c>
      <c r="C13" s="45" t="s">
        <v>1146</v>
      </c>
      <c r="D13" s="45" t="s">
        <v>1147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7">
        <f t="shared" si="2"/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7">
        <f t="shared" si="3"/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7">
        <f t="shared" si="4"/>
        <v>0</v>
      </c>
      <c r="AL13" s="46">
        <v>0</v>
      </c>
      <c r="AM13" s="46">
        <v>0</v>
      </c>
      <c r="AN13" s="46">
        <v>0</v>
      </c>
      <c r="AO13" s="46">
        <v>0</v>
      </c>
      <c r="AP13" s="46">
        <v>0</v>
      </c>
      <c r="AQ13" s="46">
        <v>0</v>
      </c>
      <c r="AR13" s="46">
        <v>0</v>
      </c>
      <c r="AS13" s="46">
        <v>0</v>
      </c>
      <c r="AT13" s="46">
        <v>0</v>
      </c>
      <c r="AU13" s="46">
        <v>0</v>
      </c>
      <c r="AV13" s="46">
        <v>0</v>
      </c>
      <c r="AW13" s="46">
        <v>0</v>
      </c>
      <c r="AX13" s="47">
        <f t="shared" si="0"/>
        <v>0</v>
      </c>
      <c r="AY13" s="313">
        <f>SUMIF(Recibos!$D$4:$D$7493,Cobranza!$B13,Recibos!K$4:K$7493)</f>
        <v>0</v>
      </c>
      <c r="AZ13" s="313">
        <f>SUMIF(Recibos!$D$4:$D$7493,Cobranza!$B13,Recibos!L$4:L$7493)</f>
        <v>0</v>
      </c>
      <c r="BA13" s="313">
        <f>SUMIF(Recibos!$D$4:$D$7493,Cobranza!$B13,Recibos!M$4:M$7493)</f>
        <v>0</v>
      </c>
      <c r="BB13" s="313">
        <f>SUMIF(Recibos!$D$4:$D$7493,Cobranza!$B13,Recibos!N$4:N$7493)</f>
        <v>0</v>
      </c>
      <c r="BC13" s="313">
        <f>SUMIF(Recibos!$D$4:$D$7493,Cobranza!$B13,Recibos!O$4:O$7493)</f>
        <v>0</v>
      </c>
      <c r="BD13" s="313">
        <f>SUMIF(Recibos!$D$4:$D$7493,Cobranza!$B13,Recibos!P$4:P$7493)</f>
        <v>0</v>
      </c>
      <c r="BE13" s="313">
        <f>SUMIF(Recibos!$D$4:$D$7493,Cobranza!$B13,Recibos!Q$4:Q$7493)</f>
        <v>0</v>
      </c>
      <c r="BF13" s="313">
        <f>SUMIF(Recibos!$D$4:$D$7493,Cobranza!$B13,Recibos!R$4:R$7493)</f>
        <v>200</v>
      </c>
      <c r="BG13" s="313">
        <f>SUMIF(Recibos!$D$4:$D$7493,Cobranza!$B13,Recibos!S$4:S$7493)</f>
        <v>0</v>
      </c>
      <c r="BH13" s="313">
        <f>SUMIF(Recibos!$D$4:$D$7493,Cobranza!$B13,Recibos!T$4:T$7493)</f>
        <v>0</v>
      </c>
      <c r="BI13" s="313">
        <f>SUMIF(Recibos!$D$4:$D$7493,Cobranza!$B13,Recibos!U$4:U$7493)</f>
        <v>0</v>
      </c>
      <c r="BJ13" s="313">
        <f>SUMIF(Recibos!$D$4:$D$7493,Cobranza!$B13,Recibos!V$4:V$7493)</f>
        <v>0</v>
      </c>
      <c r="BK13" s="314">
        <f t="shared" si="1"/>
        <v>200</v>
      </c>
      <c r="BL13" s="313">
        <f>SUMIF(Recibos!$D$4:$D$7493,Cobranza!$B13,Recibos!X$4:X$7493)</f>
        <v>0</v>
      </c>
      <c r="BM13" s="313">
        <f>SUMIF(Recibos!$D$4:$D$7493,Cobranza!$B13,Recibos!Y$4:Y$7493)</f>
        <v>0</v>
      </c>
      <c r="BN13" s="313">
        <f>SUMIF(Recibos!$D$4:$D$7493,Cobranza!$B13,Recibos!Z$4:Z$7493)</f>
        <v>0</v>
      </c>
      <c r="BO13" s="313">
        <f>SUMIF(Recibos!$D$4:$D$7493,Cobranza!$B13,Recibos!AA$4:AA$7493)</f>
        <v>0</v>
      </c>
      <c r="BP13" s="313">
        <f>SUMIF(Recibos!$D$4:$D$7493,Cobranza!$B13,Recibos!AB$4:AB$7493)</f>
        <v>0</v>
      </c>
      <c r="BQ13" s="313">
        <f>SUMIF(Recibos!$D$4:$D$7493,Cobranza!$B13,Recibos!AC$4:AC$7493)</f>
        <v>0</v>
      </c>
      <c r="BR13" s="313">
        <f>SUMIF(Recibos!$D$4:$D$7493,Cobranza!$B13,Recibos!AD$4:AD$7493)</f>
        <v>0</v>
      </c>
      <c r="BS13" s="313">
        <f>SUMIF(Recibos!$D$4:$D$7493,Cobranza!$B13,Recibos!AE$4:AE$7493)</f>
        <v>0</v>
      </c>
      <c r="BT13" s="313">
        <f>SUMIF(Recibos!$D$4:$D$7493,Cobranza!$B13,Recibos!AF$4:AF$7493)</f>
        <v>0</v>
      </c>
      <c r="BU13" s="313">
        <f>SUMIF(Recibos!$D$4:$D$7493,Cobranza!$B13,Recibos!AG$4:AG$7493)</f>
        <v>0</v>
      </c>
      <c r="BV13" s="313">
        <f>SUMIF(Recibos!$D$4:$D$7493,Cobranza!$B13,Recibos!AH$4:AH$7493)</f>
        <v>0</v>
      </c>
      <c r="BW13" s="313">
        <f>SUMIF(Recibos!$D$4:$D$7493,Cobranza!$B13,Recibos!AI$4:AI$7493)</f>
        <v>0</v>
      </c>
      <c r="BX13" s="314">
        <f t="shared" si="5"/>
        <v>0</v>
      </c>
      <c r="BY13" s="313">
        <f>SUMIF(Recibos!$D$4:$D$7493,Cobranza!$B13,Recibos!AK$4:AK$7493)</f>
        <v>0</v>
      </c>
      <c r="BZ13" s="313">
        <f>SUMIF(Recibos!$D$4:$D$7493,Cobranza!$B13,Recibos!AL$4:AL$7493)</f>
        <v>0</v>
      </c>
      <c r="CA13" s="313">
        <f>SUMIF(Recibos!$D$4:$D$7493,Cobranza!$B13,Recibos!AM$4:AM$7493)</f>
        <v>0</v>
      </c>
      <c r="CB13" s="313">
        <f>SUMIF(Recibos!$D$4:$D$7493,Cobranza!$B13,Recibos!AN$4:AN$7493)</f>
        <v>0</v>
      </c>
      <c r="CC13" s="313">
        <f>SUMIF(Recibos!$D$4:$D$7493,Cobranza!$B13,Recibos!AO$4:AO$7493)</f>
        <v>0</v>
      </c>
      <c r="CD13" s="313">
        <f>SUMIF(Recibos!$D$4:$D$7493,Cobranza!$B13,Recibos!AP$4:AP$7493)</f>
        <v>0</v>
      </c>
      <c r="CE13" s="313">
        <f>SUMIF(Recibos!$D$4:$D$7493,Cobranza!$B13,Recibos!AQ$4:AQ$7493)</f>
        <v>0</v>
      </c>
      <c r="CF13" s="313">
        <f>SUMIF(Recibos!$D$4:$D$7493,Cobranza!$B13,Recibos!AR$4:AR$7493)</f>
        <v>0</v>
      </c>
      <c r="CG13" s="313">
        <f>SUMIF(Recibos!$D$4:$D$7493,Cobranza!$B13,Recibos!AS$4:AS$7493)</f>
        <v>0</v>
      </c>
      <c r="CH13" s="313">
        <f>SUMIF(Recibos!$D$4:$D$7493,Cobranza!$B13,Recibos!AT$4:AT$7493)</f>
        <v>0</v>
      </c>
      <c r="CI13" s="313">
        <f>SUMIF(Recibos!$D$4:$D$7493,Cobranza!$B13,Recibos!AU$4:AU$7493)</f>
        <v>0</v>
      </c>
      <c r="CJ13" s="313">
        <f>SUMIF(Recibos!$D$4:$D$7493,Cobranza!$B13,Recibos!AV$4:AV$7493)</f>
        <v>0</v>
      </c>
      <c r="CK13" s="314">
        <f t="shared" si="6"/>
        <v>0</v>
      </c>
    </row>
    <row r="14" spans="2:89" x14ac:dyDescent="0.2">
      <c r="B14" s="42" t="s">
        <v>229</v>
      </c>
      <c r="C14" s="42" t="s">
        <v>230</v>
      </c>
      <c r="D14" s="42" t="s">
        <v>231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4">
        <f t="shared" si="2"/>
        <v>0</v>
      </c>
      <c r="L14" s="43">
        <v>0</v>
      </c>
      <c r="M14" s="43">
        <v>0</v>
      </c>
      <c r="N14" s="43">
        <v>0</v>
      </c>
      <c r="O14" s="43">
        <v>0</v>
      </c>
      <c r="P14" s="43">
        <v>300</v>
      </c>
      <c r="Q14" s="43">
        <v>300</v>
      </c>
      <c r="R14" s="43">
        <v>300</v>
      </c>
      <c r="S14" s="43">
        <v>300</v>
      </c>
      <c r="T14" s="43">
        <v>300</v>
      </c>
      <c r="U14" s="43">
        <v>300</v>
      </c>
      <c r="V14" s="43">
        <v>400</v>
      </c>
      <c r="W14" s="43">
        <v>400</v>
      </c>
      <c r="X14" s="44">
        <f t="shared" si="3"/>
        <v>2600</v>
      </c>
      <c r="Y14" s="43">
        <v>400</v>
      </c>
      <c r="Z14" s="43">
        <v>400</v>
      </c>
      <c r="AA14" s="43">
        <v>400</v>
      </c>
      <c r="AB14" s="43">
        <v>400</v>
      </c>
      <c r="AC14" s="43">
        <v>400</v>
      </c>
      <c r="AD14" s="43">
        <v>400</v>
      </c>
      <c r="AE14" s="43">
        <v>400</v>
      </c>
      <c r="AF14" s="43">
        <v>400</v>
      </c>
      <c r="AG14" s="43">
        <v>400</v>
      </c>
      <c r="AH14" s="43">
        <v>400</v>
      </c>
      <c r="AI14" s="43">
        <v>400</v>
      </c>
      <c r="AJ14" s="43">
        <v>400</v>
      </c>
      <c r="AK14" s="44">
        <f t="shared" si="4"/>
        <v>4800</v>
      </c>
      <c r="AL14" s="43">
        <v>400</v>
      </c>
      <c r="AM14" s="43">
        <v>400</v>
      </c>
      <c r="AN14" s="43">
        <v>400</v>
      </c>
      <c r="AO14" s="43">
        <v>400</v>
      </c>
      <c r="AP14" s="43">
        <v>400</v>
      </c>
      <c r="AQ14" s="43">
        <v>400</v>
      </c>
      <c r="AR14" s="43">
        <v>400</v>
      </c>
      <c r="AS14" s="43">
        <v>400</v>
      </c>
      <c r="AT14" s="43">
        <v>400</v>
      </c>
      <c r="AU14" s="43">
        <v>400</v>
      </c>
      <c r="AV14" s="43">
        <v>400</v>
      </c>
      <c r="AW14" s="43">
        <v>400</v>
      </c>
      <c r="AX14" s="44">
        <f t="shared" si="0"/>
        <v>4800</v>
      </c>
      <c r="AY14" s="311">
        <f>SUMIF(Recibos!$D$4:$D$7493,Cobranza!$B14,Recibos!K$4:K$7493)</f>
        <v>400</v>
      </c>
      <c r="AZ14" s="311">
        <f>SUMIF(Recibos!$D$4:$D$7493,Cobranza!$B14,Recibos!L$4:L$7493)</f>
        <v>400</v>
      </c>
      <c r="BA14" s="311">
        <f>SUMIF(Recibos!$D$4:$D$7493,Cobranza!$B14,Recibos!M$4:M$7493)</f>
        <v>400</v>
      </c>
      <c r="BB14" s="311">
        <f>SUMIF(Recibos!$D$4:$D$7493,Cobranza!$B14,Recibos!N$4:N$7493)</f>
        <v>400</v>
      </c>
      <c r="BC14" s="311">
        <f>SUMIF(Recibos!$D$4:$D$7493,Cobranza!$B14,Recibos!O$4:O$7493)</f>
        <v>400</v>
      </c>
      <c r="BD14" s="311">
        <f>SUMIF(Recibos!$D$4:$D$7493,Cobranza!$B14,Recibos!P$4:P$7493)</f>
        <v>400</v>
      </c>
      <c r="BE14" s="311">
        <f>SUMIF(Recibos!$D$4:$D$7493,Cobranza!$B14,Recibos!Q$4:Q$7493)</f>
        <v>400</v>
      </c>
      <c r="BF14" s="311">
        <f>SUMIF(Recibos!$D$4:$D$7493,Cobranza!$B14,Recibos!R$4:R$7493)</f>
        <v>400</v>
      </c>
      <c r="BG14" s="311">
        <f>SUMIF(Recibos!$D$4:$D$7493,Cobranza!$B14,Recibos!S$4:S$7493)</f>
        <v>400</v>
      </c>
      <c r="BH14" s="311">
        <f>SUMIF(Recibos!$D$4:$D$7493,Cobranza!$B14,Recibos!T$4:T$7493)</f>
        <v>400</v>
      </c>
      <c r="BI14" s="311">
        <f>SUMIF(Recibos!$D$4:$D$7493,Cobranza!$B14,Recibos!U$4:U$7493)</f>
        <v>400</v>
      </c>
      <c r="BJ14" s="311">
        <f>SUMIF(Recibos!$D$4:$D$7493,Cobranza!$B14,Recibos!V$4:V$7493)</f>
        <v>0</v>
      </c>
      <c r="BK14" s="312">
        <f t="shared" si="1"/>
        <v>4400</v>
      </c>
      <c r="BL14" s="311">
        <f>SUMIF(Recibos!$D$4:$D$7493,Cobranza!$B14,Recibos!X$4:X$7493)</f>
        <v>400</v>
      </c>
      <c r="BM14" s="311">
        <f>SUMIF(Recibos!$D$4:$D$7493,Cobranza!$B14,Recibos!Y$4:Y$7493)</f>
        <v>400</v>
      </c>
      <c r="BN14" s="311">
        <f>SUMIF(Recibos!$D$4:$D$7493,Cobranza!$B14,Recibos!Z$4:Z$7493)</f>
        <v>400</v>
      </c>
      <c r="BO14" s="311">
        <f>SUMIF(Recibos!$D$4:$D$7493,Cobranza!$B14,Recibos!AA$4:AA$7493)</f>
        <v>400</v>
      </c>
      <c r="BP14" s="311">
        <f>SUMIF(Recibos!$D$4:$D$7493,Cobranza!$B14,Recibos!AB$4:AB$7493)</f>
        <v>400</v>
      </c>
      <c r="BQ14" s="311">
        <f>SUMIF(Recibos!$D$4:$D$7493,Cobranza!$B14,Recibos!AC$4:AC$7493)</f>
        <v>400</v>
      </c>
      <c r="BR14" s="311">
        <f>SUMIF(Recibos!$D$4:$D$7493,Cobranza!$B14,Recibos!AD$4:AD$7493)</f>
        <v>400</v>
      </c>
      <c r="BS14" s="311">
        <f>SUMIF(Recibos!$D$4:$D$7493,Cobranza!$B14,Recibos!AE$4:AE$7493)</f>
        <v>400</v>
      </c>
      <c r="BT14" s="311">
        <f>SUMIF(Recibos!$D$4:$D$7493,Cobranza!$B14,Recibos!AF$4:AF$7493)</f>
        <v>400</v>
      </c>
      <c r="BU14" s="311">
        <f>SUMIF(Recibos!$D$4:$D$7493,Cobranza!$B14,Recibos!AG$4:AG$7493)</f>
        <v>400</v>
      </c>
      <c r="BV14" s="311">
        <f>SUMIF(Recibos!$D$4:$D$7493,Cobranza!$B14,Recibos!AH$4:AH$7493)</f>
        <v>400</v>
      </c>
      <c r="BW14" s="311">
        <f>SUMIF(Recibos!$D$4:$D$7493,Cobranza!$B14,Recibos!AI$4:AI$7493)</f>
        <v>0</v>
      </c>
      <c r="BX14" s="312">
        <f t="shared" si="5"/>
        <v>4400</v>
      </c>
      <c r="BY14" s="311">
        <f>SUMIF(Recibos!$D$4:$D$7493,Cobranza!$B14,Recibos!AK$4:AK$7493)</f>
        <v>400</v>
      </c>
      <c r="BZ14" s="311">
        <f>SUMIF(Recibos!$D$4:$D$7493,Cobranza!$B14,Recibos!AL$4:AL$7493)</f>
        <v>400</v>
      </c>
      <c r="CA14" s="311">
        <f>SUMIF(Recibos!$D$4:$D$7493,Cobranza!$B14,Recibos!AM$4:AM$7493)</f>
        <v>400</v>
      </c>
      <c r="CB14" s="311">
        <f>SUMIF(Recibos!$D$4:$D$7493,Cobranza!$B14,Recibos!AN$4:AN$7493)</f>
        <v>400</v>
      </c>
      <c r="CC14" s="311">
        <f>SUMIF(Recibos!$D$4:$D$7493,Cobranza!$B14,Recibos!AO$4:AO$7493)</f>
        <v>400</v>
      </c>
      <c r="CD14" s="311">
        <f>SUMIF(Recibos!$D$4:$D$7493,Cobranza!$B14,Recibos!AP$4:AP$7493)</f>
        <v>400</v>
      </c>
      <c r="CE14" s="311">
        <f>SUMIF(Recibos!$D$4:$D$7493,Cobranza!$B14,Recibos!AQ$4:AQ$7493)</f>
        <v>400</v>
      </c>
      <c r="CF14" s="311">
        <f>SUMIF(Recibos!$D$4:$D$7493,Cobranza!$B14,Recibos!AR$4:AR$7493)</f>
        <v>400</v>
      </c>
      <c r="CG14" s="311">
        <f>SUMIF(Recibos!$D$4:$D$7493,Cobranza!$B14,Recibos!AS$4:AS$7493)</f>
        <v>400</v>
      </c>
      <c r="CH14" s="311">
        <f>SUMIF(Recibos!$D$4:$D$7493,Cobranza!$B14,Recibos!AT$4:AT$7493)</f>
        <v>400</v>
      </c>
      <c r="CI14" s="311">
        <f>SUMIF(Recibos!$D$4:$D$7493,Cobranza!$B14,Recibos!AU$4:AU$7493)</f>
        <v>400</v>
      </c>
      <c r="CJ14" s="311">
        <f>SUMIF(Recibos!$D$4:$D$7493,Cobranza!$B14,Recibos!AV$4:AV$7493)</f>
        <v>0</v>
      </c>
      <c r="CK14" s="312">
        <f t="shared" si="6"/>
        <v>4400</v>
      </c>
    </row>
    <row r="15" spans="2:89" x14ac:dyDescent="0.2">
      <c r="B15" s="45" t="s">
        <v>349</v>
      </c>
      <c r="C15" s="45" t="s">
        <v>350</v>
      </c>
      <c r="D15" s="45" t="s">
        <v>351</v>
      </c>
      <c r="E15" s="46">
        <v>0</v>
      </c>
      <c r="F15" s="46">
        <v>0</v>
      </c>
      <c r="G15" s="46">
        <v>0</v>
      </c>
      <c r="H15" s="46">
        <v>300</v>
      </c>
      <c r="I15" s="46">
        <v>300</v>
      </c>
      <c r="J15" s="46">
        <v>300</v>
      </c>
      <c r="K15" s="47">
        <f t="shared" si="2"/>
        <v>900</v>
      </c>
      <c r="L15" s="46">
        <v>300</v>
      </c>
      <c r="M15" s="46">
        <v>300</v>
      </c>
      <c r="N15" s="46">
        <v>300</v>
      </c>
      <c r="O15" s="46">
        <v>300</v>
      </c>
      <c r="P15" s="46">
        <v>300</v>
      </c>
      <c r="Q15" s="46">
        <v>300</v>
      </c>
      <c r="R15" s="46">
        <v>300</v>
      </c>
      <c r="S15" s="46">
        <v>300</v>
      </c>
      <c r="T15" s="46">
        <v>300</v>
      </c>
      <c r="U15" s="46">
        <v>300</v>
      </c>
      <c r="V15" s="46">
        <v>300</v>
      </c>
      <c r="W15" s="46">
        <v>300</v>
      </c>
      <c r="X15" s="47">
        <f t="shared" si="3"/>
        <v>3600</v>
      </c>
      <c r="Y15" s="46">
        <v>300</v>
      </c>
      <c r="Z15" s="46">
        <v>300</v>
      </c>
      <c r="AA15" s="46">
        <v>300</v>
      </c>
      <c r="AB15" s="46">
        <v>300</v>
      </c>
      <c r="AC15" s="46">
        <v>300</v>
      </c>
      <c r="AD15" s="46">
        <v>300</v>
      </c>
      <c r="AE15" s="46">
        <v>300</v>
      </c>
      <c r="AF15" s="46">
        <v>300</v>
      </c>
      <c r="AG15" s="46">
        <v>300</v>
      </c>
      <c r="AH15" s="46">
        <v>300</v>
      </c>
      <c r="AI15" s="46">
        <v>300</v>
      </c>
      <c r="AJ15" s="46">
        <v>300</v>
      </c>
      <c r="AK15" s="47">
        <f t="shared" si="4"/>
        <v>3600</v>
      </c>
      <c r="AL15" s="46">
        <v>300</v>
      </c>
      <c r="AM15" s="46">
        <v>300</v>
      </c>
      <c r="AN15" s="46">
        <v>300</v>
      </c>
      <c r="AO15" s="46">
        <v>300</v>
      </c>
      <c r="AP15" s="46">
        <v>300</v>
      </c>
      <c r="AQ15" s="46">
        <v>300</v>
      </c>
      <c r="AR15" s="46">
        <v>300</v>
      </c>
      <c r="AS15" s="46">
        <v>300</v>
      </c>
      <c r="AT15" s="46">
        <v>300</v>
      </c>
      <c r="AU15" s="46">
        <v>300</v>
      </c>
      <c r="AV15" s="46">
        <v>300</v>
      </c>
      <c r="AW15" s="46">
        <v>300</v>
      </c>
      <c r="AX15" s="47">
        <f t="shared" si="0"/>
        <v>3600</v>
      </c>
      <c r="AY15" s="313">
        <f>SUMIF(Recibos!$D$4:$D$7493,Cobranza!$B15,Recibos!K$4:K$7493)</f>
        <v>0</v>
      </c>
      <c r="AZ15" s="313">
        <f>SUMIF(Recibos!$D$4:$D$7493,Cobranza!$B15,Recibos!L$4:L$7493)</f>
        <v>0</v>
      </c>
      <c r="BA15" s="313">
        <f>SUMIF(Recibos!$D$4:$D$7493,Cobranza!$B15,Recibos!M$4:M$7493)</f>
        <v>300</v>
      </c>
      <c r="BB15" s="313">
        <f>SUMIF(Recibos!$D$4:$D$7493,Cobranza!$B15,Recibos!N$4:N$7493)</f>
        <v>300</v>
      </c>
      <c r="BC15" s="313">
        <f>SUMIF(Recibos!$D$4:$D$7493,Cobranza!$B15,Recibos!O$4:O$7493)</f>
        <v>0</v>
      </c>
      <c r="BD15" s="313">
        <f>SUMIF(Recibos!$D$4:$D$7493,Cobranza!$B15,Recibos!P$4:P$7493)</f>
        <v>300</v>
      </c>
      <c r="BE15" s="313">
        <f>SUMIF(Recibos!$D$4:$D$7493,Cobranza!$B15,Recibos!Q$4:Q$7493)</f>
        <v>300</v>
      </c>
      <c r="BF15" s="313">
        <f>SUMIF(Recibos!$D$4:$D$7493,Cobranza!$B15,Recibos!R$4:R$7493)</f>
        <v>300</v>
      </c>
      <c r="BG15" s="313">
        <f>SUMIF(Recibos!$D$4:$D$7493,Cobranza!$B15,Recibos!S$4:S$7493)</f>
        <v>300</v>
      </c>
      <c r="BH15" s="313">
        <f>SUMIF(Recibos!$D$4:$D$7493,Cobranza!$B15,Recibos!T$4:T$7493)</f>
        <v>300</v>
      </c>
      <c r="BI15" s="313">
        <f>SUMIF(Recibos!$D$4:$D$7493,Cobranza!$B15,Recibos!U$4:U$7493)</f>
        <v>300</v>
      </c>
      <c r="BJ15" s="313">
        <f>SUMIF(Recibos!$D$4:$D$7493,Cobranza!$B15,Recibos!V$4:V$7493)</f>
        <v>300</v>
      </c>
      <c r="BK15" s="314">
        <f t="shared" si="1"/>
        <v>2700</v>
      </c>
      <c r="BL15" s="313">
        <f>SUMIF(Recibos!$D$4:$D$7493,Cobranza!$B15,Recibos!X$4:X$7493)</f>
        <v>300</v>
      </c>
      <c r="BM15" s="313">
        <f>SUMIF(Recibos!$D$4:$D$7493,Cobranza!$B15,Recibos!Y$4:Y$7493)</f>
        <v>300</v>
      </c>
      <c r="BN15" s="313">
        <f>SUMIF(Recibos!$D$4:$D$7493,Cobranza!$B15,Recibos!Z$4:Z$7493)</f>
        <v>300</v>
      </c>
      <c r="BO15" s="313">
        <f>SUMIF(Recibos!$D$4:$D$7493,Cobranza!$B15,Recibos!AA$4:AA$7493)</f>
        <v>300</v>
      </c>
      <c r="BP15" s="313">
        <f>SUMIF(Recibos!$D$4:$D$7493,Cobranza!$B15,Recibos!AB$4:AB$7493)</f>
        <v>300</v>
      </c>
      <c r="BQ15" s="313">
        <f>SUMIF(Recibos!$D$4:$D$7493,Cobranza!$B15,Recibos!AC$4:AC$7493)</f>
        <v>300</v>
      </c>
      <c r="BR15" s="313">
        <f>SUMIF(Recibos!$D$4:$D$7493,Cobranza!$B15,Recibos!AD$4:AD$7493)</f>
        <v>300</v>
      </c>
      <c r="BS15" s="313">
        <f>SUMIF(Recibos!$D$4:$D$7493,Cobranza!$B15,Recibos!AE$4:AE$7493)</f>
        <v>300</v>
      </c>
      <c r="BT15" s="313">
        <f>SUMIF(Recibos!$D$4:$D$7493,Cobranza!$B15,Recibos!AF$4:AF$7493)</f>
        <v>300</v>
      </c>
      <c r="BU15" s="313">
        <f>SUMIF(Recibos!$D$4:$D$7493,Cobranza!$B15,Recibos!AG$4:AG$7493)</f>
        <v>300</v>
      </c>
      <c r="BV15" s="313">
        <f>SUMIF(Recibos!$D$4:$D$7493,Cobranza!$B15,Recibos!AH$4:AH$7493)</f>
        <v>300</v>
      </c>
      <c r="BW15" s="313">
        <f>SUMIF(Recibos!$D$4:$D$7493,Cobranza!$B15,Recibos!AI$4:AI$7493)</f>
        <v>300</v>
      </c>
      <c r="BX15" s="314">
        <f t="shared" si="5"/>
        <v>3600</v>
      </c>
      <c r="BY15" s="313">
        <f>SUMIF(Recibos!$D$4:$D$7493,Cobranza!$B15,Recibos!AK$4:AK$7493)</f>
        <v>300</v>
      </c>
      <c r="BZ15" s="313">
        <f>SUMIF(Recibos!$D$4:$D$7493,Cobranza!$B15,Recibos!AL$4:AL$7493)</f>
        <v>300</v>
      </c>
      <c r="CA15" s="313">
        <f>SUMIF(Recibos!$D$4:$D$7493,Cobranza!$B15,Recibos!AM$4:AM$7493)</f>
        <v>300</v>
      </c>
      <c r="CB15" s="313">
        <f>SUMIF(Recibos!$D$4:$D$7493,Cobranza!$B15,Recibos!AN$4:AN$7493)</f>
        <v>300</v>
      </c>
      <c r="CC15" s="313">
        <f>SUMIF(Recibos!$D$4:$D$7493,Cobranza!$B15,Recibos!AO$4:AO$7493)</f>
        <v>300</v>
      </c>
      <c r="CD15" s="313">
        <f>SUMIF(Recibos!$D$4:$D$7493,Cobranza!$B15,Recibos!AP$4:AP$7493)</f>
        <v>300</v>
      </c>
      <c r="CE15" s="313">
        <f>SUMIF(Recibos!$D$4:$D$7493,Cobranza!$B15,Recibos!AQ$4:AQ$7493)</f>
        <v>300</v>
      </c>
      <c r="CF15" s="313">
        <f>SUMIF(Recibos!$D$4:$D$7493,Cobranza!$B15,Recibos!AR$4:AR$7493)</f>
        <v>300</v>
      </c>
      <c r="CG15" s="313">
        <f>SUMIF(Recibos!$D$4:$D$7493,Cobranza!$B15,Recibos!AS$4:AS$7493)</f>
        <v>0</v>
      </c>
      <c r="CH15" s="313">
        <f>SUMIF(Recibos!$D$4:$D$7493,Cobranza!$B15,Recibos!AT$4:AT$7493)</f>
        <v>0</v>
      </c>
      <c r="CI15" s="313">
        <f>SUMIF(Recibos!$D$4:$D$7493,Cobranza!$B15,Recibos!AU$4:AU$7493)</f>
        <v>0</v>
      </c>
      <c r="CJ15" s="313">
        <f>SUMIF(Recibos!$D$4:$D$7493,Cobranza!$B15,Recibos!AV$4:AV$7493)</f>
        <v>0</v>
      </c>
      <c r="CK15" s="314">
        <f t="shared" si="6"/>
        <v>2400</v>
      </c>
    </row>
    <row r="16" spans="2:89" x14ac:dyDescent="0.2">
      <c r="B16" s="42" t="s">
        <v>1263</v>
      </c>
      <c r="C16" s="42"/>
      <c r="D16" s="42"/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4">
        <f t="shared" si="2"/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4">
        <f t="shared" si="3"/>
        <v>0</v>
      </c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4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4">
        <f t="shared" si="0"/>
        <v>0</v>
      </c>
      <c r="AY16" s="311">
        <f>SUMIF(Recibos!$D$4:$D$7493,Cobranza!$B16,Recibos!K$4:K$7493)</f>
        <v>0</v>
      </c>
      <c r="AZ16" s="311">
        <f>SUMIF(Recibos!$D$4:$D$7493,Cobranza!$B16,Recibos!L$4:L$7493)</f>
        <v>0</v>
      </c>
      <c r="BA16" s="311">
        <f>SUMIF(Recibos!$D$4:$D$7493,Cobranza!$B16,Recibos!M$4:M$7493)</f>
        <v>0</v>
      </c>
      <c r="BB16" s="311">
        <f>SUMIF(Recibos!$D$4:$D$7493,Cobranza!$B16,Recibos!N$4:N$7493)</f>
        <v>0</v>
      </c>
      <c r="BC16" s="311">
        <f>SUMIF(Recibos!$D$4:$D$7493,Cobranza!$B16,Recibos!O$4:O$7493)</f>
        <v>0</v>
      </c>
      <c r="BD16" s="311">
        <f>SUMIF(Recibos!$D$4:$D$7493,Cobranza!$B16,Recibos!P$4:P$7493)</f>
        <v>0</v>
      </c>
      <c r="BE16" s="311">
        <f>SUMIF(Recibos!$D$4:$D$7493,Cobranza!$B16,Recibos!Q$4:Q$7493)</f>
        <v>0</v>
      </c>
      <c r="BF16" s="311">
        <f>SUMIF(Recibos!$D$4:$D$7493,Cobranza!$B16,Recibos!R$4:R$7493)</f>
        <v>0</v>
      </c>
      <c r="BG16" s="311">
        <f>SUMIF(Recibos!$D$4:$D$7493,Cobranza!$B16,Recibos!S$4:S$7493)</f>
        <v>0</v>
      </c>
      <c r="BH16" s="311">
        <f>SUMIF(Recibos!$D$4:$D$7493,Cobranza!$B16,Recibos!T$4:T$7493)</f>
        <v>0</v>
      </c>
      <c r="BI16" s="311">
        <f>SUMIF(Recibos!$D$4:$D$7493,Cobranza!$B16,Recibos!U$4:U$7493)</f>
        <v>0</v>
      </c>
      <c r="BJ16" s="311">
        <f>SUMIF(Recibos!$D$4:$D$7493,Cobranza!$B16,Recibos!V$4:V$7493)</f>
        <v>0</v>
      </c>
      <c r="BK16" s="312">
        <f t="shared" si="1"/>
        <v>0</v>
      </c>
      <c r="BL16" s="311">
        <f>SUMIF(Recibos!$D$4:$D$7493,Cobranza!$B16,Recibos!X$4:X$7493)</f>
        <v>0</v>
      </c>
      <c r="BM16" s="311">
        <f>SUMIF(Recibos!$D$4:$D$7493,Cobranza!$B16,Recibos!Y$4:Y$7493)</f>
        <v>0</v>
      </c>
      <c r="BN16" s="311">
        <f>SUMIF(Recibos!$D$4:$D$7493,Cobranza!$B16,Recibos!Z$4:Z$7493)</f>
        <v>0</v>
      </c>
      <c r="BO16" s="311">
        <f>SUMIF(Recibos!$D$4:$D$7493,Cobranza!$B16,Recibos!AA$4:AA$7493)</f>
        <v>0</v>
      </c>
      <c r="BP16" s="311">
        <f>SUMIF(Recibos!$D$4:$D$7493,Cobranza!$B16,Recibos!AB$4:AB$7493)</f>
        <v>0</v>
      </c>
      <c r="BQ16" s="311">
        <f>SUMIF(Recibos!$D$4:$D$7493,Cobranza!$B16,Recibos!AC$4:AC$7493)</f>
        <v>0</v>
      </c>
      <c r="BR16" s="311">
        <f>SUMIF(Recibos!$D$4:$D$7493,Cobranza!$B16,Recibos!AD$4:AD$7493)</f>
        <v>0</v>
      </c>
      <c r="BS16" s="311">
        <f>SUMIF(Recibos!$D$4:$D$7493,Cobranza!$B16,Recibos!AE$4:AE$7493)</f>
        <v>0</v>
      </c>
      <c r="BT16" s="311">
        <f>SUMIF(Recibos!$D$4:$D$7493,Cobranza!$B16,Recibos!AF$4:AF$7493)</f>
        <v>0</v>
      </c>
      <c r="BU16" s="311">
        <f>SUMIF(Recibos!$D$4:$D$7493,Cobranza!$B16,Recibos!AG$4:AG$7493)</f>
        <v>0</v>
      </c>
      <c r="BV16" s="311">
        <f>SUMIF(Recibos!$D$4:$D$7493,Cobranza!$B16,Recibos!AH$4:AH$7493)</f>
        <v>0</v>
      </c>
      <c r="BW16" s="311">
        <f>SUMIF(Recibos!$D$4:$D$7493,Cobranza!$B16,Recibos!AI$4:AI$7493)</f>
        <v>0</v>
      </c>
      <c r="BX16" s="312">
        <f t="shared" si="5"/>
        <v>0</v>
      </c>
      <c r="BY16" s="311">
        <f>SUMIF(Recibos!$D$4:$D$7493,Cobranza!$B16,Recibos!AK$4:AK$7493)</f>
        <v>0</v>
      </c>
      <c r="BZ16" s="311">
        <f>SUMIF(Recibos!$D$4:$D$7493,Cobranza!$B16,Recibos!AL$4:AL$7493)</f>
        <v>0</v>
      </c>
      <c r="CA16" s="311">
        <f>SUMIF(Recibos!$D$4:$D$7493,Cobranza!$B16,Recibos!AM$4:AM$7493)</f>
        <v>0</v>
      </c>
      <c r="CB16" s="311">
        <f>SUMIF(Recibos!$D$4:$D$7493,Cobranza!$B16,Recibos!AN$4:AN$7493)</f>
        <v>0</v>
      </c>
      <c r="CC16" s="311">
        <f>SUMIF(Recibos!$D$4:$D$7493,Cobranza!$B16,Recibos!AO$4:AO$7493)</f>
        <v>0</v>
      </c>
      <c r="CD16" s="311">
        <f>SUMIF(Recibos!$D$4:$D$7493,Cobranza!$B16,Recibos!AP$4:AP$7493)</f>
        <v>0</v>
      </c>
      <c r="CE16" s="311">
        <f>SUMIF(Recibos!$D$4:$D$7493,Cobranza!$B16,Recibos!AQ$4:AQ$7493)</f>
        <v>0</v>
      </c>
      <c r="CF16" s="311">
        <f>SUMIF(Recibos!$D$4:$D$7493,Cobranza!$B16,Recibos!AR$4:AR$7493)</f>
        <v>0</v>
      </c>
      <c r="CG16" s="311">
        <f>SUMIF(Recibos!$D$4:$D$7493,Cobranza!$B16,Recibos!AS$4:AS$7493)</f>
        <v>0</v>
      </c>
      <c r="CH16" s="311">
        <f>SUMIF(Recibos!$D$4:$D$7493,Cobranza!$B16,Recibos!AT$4:AT$7493)</f>
        <v>0</v>
      </c>
      <c r="CI16" s="311">
        <f>SUMIF(Recibos!$D$4:$D$7493,Cobranza!$B16,Recibos!AU$4:AU$7493)</f>
        <v>0</v>
      </c>
      <c r="CJ16" s="311">
        <f>SUMIF(Recibos!$D$4:$D$7493,Cobranza!$B16,Recibos!AV$4:AV$7493)</f>
        <v>0</v>
      </c>
      <c r="CK16" s="312">
        <f t="shared" si="6"/>
        <v>0</v>
      </c>
    </row>
    <row r="17" spans="2:89" x14ac:dyDescent="0.2">
      <c r="B17" s="45" t="s">
        <v>699</v>
      </c>
      <c r="C17" s="45" t="s">
        <v>700</v>
      </c>
      <c r="D17" s="45" t="s">
        <v>701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300</v>
      </c>
      <c r="K17" s="47">
        <f t="shared" si="2"/>
        <v>300</v>
      </c>
      <c r="L17" s="46">
        <v>300</v>
      </c>
      <c r="M17" s="46">
        <v>300</v>
      </c>
      <c r="N17" s="46">
        <v>300</v>
      </c>
      <c r="O17" s="46">
        <v>300</v>
      </c>
      <c r="P17" s="46">
        <v>300</v>
      </c>
      <c r="Q17" s="46">
        <v>300</v>
      </c>
      <c r="R17" s="46">
        <v>300</v>
      </c>
      <c r="S17" s="46">
        <v>300</v>
      </c>
      <c r="T17" s="46">
        <v>300</v>
      </c>
      <c r="U17" s="46">
        <v>400</v>
      </c>
      <c r="V17" s="46">
        <v>400</v>
      </c>
      <c r="W17" s="46">
        <v>400</v>
      </c>
      <c r="X17" s="47">
        <f t="shared" si="3"/>
        <v>3900</v>
      </c>
      <c r="Y17" s="46">
        <v>400</v>
      </c>
      <c r="Z17" s="46">
        <v>400</v>
      </c>
      <c r="AA17" s="46">
        <v>400</v>
      </c>
      <c r="AB17" s="46">
        <v>400</v>
      </c>
      <c r="AC17" s="46">
        <v>400</v>
      </c>
      <c r="AD17" s="46">
        <v>400</v>
      </c>
      <c r="AE17" s="46">
        <v>400</v>
      </c>
      <c r="AF17" s="46">
        <v>400</v>
      </c>
      <c r="AG17" s="46">
        <v>400</v>
      </c>
      <c r="AH17" s="46">
        <v>400</v>
      </c>
      <c r="AI17" s="46">
        <v>400</v>
      </c>
      <c r="AJ17" s="46">
        <v>400</v>
      </c>
      <c r="AK17" s="47">
        <f t="shared" si="4"/>
        <v>4800</v>
      </c>
      <c r="AL17" s="46">
        <v>400</v>
      </c>
      <c r="AM17" s="46">
        <v>400</v>
      </c>
      <c r="AN17" s="46">
        <v>400</v>
      </c>
      <c r="AO17" s="46">
        <v>400</v>
      </c>
      <c r="AP17" s="46">
        <v>400</v>
      </c>
      <c r="AQ17" s="46">
        <v>400</v>
      </c>
      <c r="AR17" s="46">
        <v>400</v>
      </c>
      <c r="AS17" s="46">
        <v>400</v>
      </c>
      <c r="AT17" s="46">
        <v>400</v>
      </c>
      <c r="AU17" s="46">
        <v>400</v>
      </c>
      <c r="AV17" s="46">
        <v>400</v>
      </c>
      <c r="AW17" s="46">
        <v>400</v>
      </c>
      <c r="AX17" s="47">
        <f t="shared" ref="AX17:AX72" si="7">SUM(AL17:AW17)</f>
        <v>4800</v>
      </c>
      <c r="AY17" s="313">
        <f>SUMIF(Recibos!$D$4:$D$7493,Cobranza!$B17,Recibos!K$4:K$7493)</f>
        <v>400</v>
      </c>
      <c r="AZ17" s="313">
        <f>SUMIF(Recibos!$D$4:$D$7493,Cobranza!$B17,Recibos!L$4:L$7493)</f>
        <v>400</v>
      </c>
      <c r="BA17" s="313">
        <f>SUMIF(Recibos!$D$4:$D$7493,Cobranza!$B17,Recibos!M$4:M$7493)</f>
        <v>400</v>
      </c>
      <c r="BB17" s="313">
        <f>SUMIF(Recibos!$D$4:$D$7493,Cobranza!$B17,Recibos!N$4:N$7493)</f>
        <v>400</v>
      </c>
      <c r="BC17" s="313">
        <f>SUMIF(Recibos!$D$4:$D$7493,Cobranza!$B17,Recibos!O$4:O$7493)</f>
        <v>400</v>
      </c>
      <c r="BD17" s="313">
        <f>SUMIF(Recibos!$D$4:$D$7493,Cobranza!$B17,Recibos!P$4:P$7493)</f>
        <v>400</v>
      </c>
      <c r="BE17" s="313">
        <f>SUMIF(Recibos!$D$4:$D$7493,Cobranza!$B17,Recibos!Q$4:Q$7493)</f>
        <v>400</v>
      </c>
      <c r="BF17" s="313">
        <f>SUMIF(Recibos!$D$4:$D$7493,Cobranza!$B17,Recibos!R$4:R$7493)</f>
        <v>400</v>
      </c>
      <c r="BG17" s="313">
        <f>SUMIF(Recibos!$D$4:$D$7493,Cobranza!$B17,Recibos!S$4:S$7493)</f>
        <v>400</v>
      </c>
      <c r="BH17" s="313">
        <f>SUMIF(Recibos!$D$4:$D$7493,Cobranza!$B17,Recibos!T$4:T$7493)</f>
        <v>400</v>
      </c>
      <c r="BI17" s="313">
        <f>SUMIF(Recibos!$D$4:$D$7493,Cobranza!$B17,Recibos!U$4:U$7493)</f>
        <v>400</v>
      </c>
      <c r="BJ17" s="313">
        <f>SUMIF(Recibos!$D$4:$D$7493,Cobranza!$B17,Recibos!V$4:V$7493)</f>
        <v>400</v>
      </c>
      <c r="BK17" s="314">
        <f t="shared" ref="BK17:BK80" si="8">SUM(AY17:BJ17)</f>
        <v>4800</v>
      </c>
      <c r="BL17" s="313">
        <f>SUMIF(Recibos!$D$4:$D$7493,Cobranza!$B17,Recibos!X$4:X$7493)</f>
        <v>400</v>
      </c>
      <c r="BM17" s="313">
        <f>SUMIF(Recibos!$D$4:$D$7493,Cobranza!$B17,Recibos!Y$4:Y$7493)</f>
        <v>400</v>
      </c>
      <c r="BN17" s="313">
        <f>SUMIF(Recibos!$D$4:$D$7493,Cobranza!$B17,Recibos!Z$4:Z$7493)</f>
        <v>400</v>
      </c>
      <c r="BO17" s="313">
        <f>SUMIF(Recibos!$D$4:$D$7493,Cobranza!$B17,Recibos!AA$4:AA$7493)</f>
        <v>400</v>
      </c>
      <c r="BP17" s="313">
        <f>SUMIF(Recibos!$D$4:$D$7493,Cobranza!$B17,Recibos!AB$4:AB$7493)</f>
        <v>400</v>
      </c>
      <c r="BQ17" s="313">
        <f>SUMIF(Recibos!$D$4:$D$7493,Cobranza!$B17,Recibos!AC$4:AC$7493)</f>
        <v>400</v>
      </c>
      <c r="BR17" s="313">
        <f>SUMIF(Recibos!$D$4:$D$7493,Cobranza!$B17,Recibos!AD$4:AD$7493)</f>
        <v>400</v>
      </c>
      <c r="BS17" s="313">
        <f>SUMIF(Recibos!$D$4:$D$7493,Cobranza!$B17,Recibos!AE$4:AE$7493)</f>
        <v>400</v>
      </c>
      <c r="BT17" s="313">
        <f>SUMIF(Recibos!$D$4:$D$7493,Cobranza!$B17,Recibos!AF$4:AF$7493)</f>
        <v>400</v>
      </c>
      <c r="BU17" s="313">
        <f>SUMIF(Recibos!$D$4:$D$7493,Cobranza!$B17,Recibos!AG$4:AG$7493)</f>
        <v>400</v>
      </c>
      <c r="BV17" s="313">
        <f>SUMIF(Recibos!$D$4:$D$7493,Cobranza!$B17,Recibos!AH$4:AH$7493)</f>
        <v>400</v>
      </c>
      <c r="BW17" s="313">
        <f>SUMIF(Recibos!$D$4:$D$7493,Cobranza!$B17,Recibos!AI$4:AI$7493)</f>
        <v>400</v>
      </c>
      <c r="BX17" s="314">
        <f t="shared" ref="BX17:BX80" si="9">SUM(BL17:BW17)</f>
        <v>4800</v>
      </c>
      <c r="BY17" s="313">
        <f>SUMIF(Recibos!$D$4:$D$7493,Cobranza!$B17,Recibos!AK$4:AK$7493)</f>
        <v>400</v>
      </c>
      <c r="BZ17" s="313">
        <f>SUMIF(Recibos!$D$4:$D$7493,Cobranza!$B17,Recibos!AL$4:AL$7493)</f>
        <v>400</v>
      </c>
      <c r="CA17" s="313">
        <f>SUMIF(Recibos!$D$4:$D$7493,Cobranza!$B17,Recibos!AM$4:AM$7493)</f>
        <v>400</v>
      </c>
      <c r="CB17" s="313">
        <f>SUMIF(Recibos!$D$4:$D$7493,Cobranza!$B17,Recibos!AN$4:AN$7493)</f>
        <v>400</v>
      </c>
      <c r="CC17" s="313">
        <f>SUMIF(Recibos!$D$4:$D$7493,Cobranza!$B17,Recibos!AO$4:AO$7493)</f>
        <v>400</v>
      </c>
      <c r="CD17" s="313">
        <f>SUMIF(Recibos!$D$4:$D$7493,Cobranza!$B17,Recibos!AP$4:AP$7493)</f>
        <v>400</v>
      </c>
      <c r="CE17" s="313">
        <f>SUMIF(Recibos!$D$4:$D$7493,Cobranza!$B17,Recibos!AQ$4:AQ$7493)</f>
        <v>400</v>
      </c>
      <c r="CF17" s="313">
        <f>SUMIF(Recibos!$D$4:$D$7493,Cobranza!$B17,Recibos!AR$4:AR$7493)</f>
        <v>400</v>
      </c>
      <c r="CG17" s="313">
        <f>SUMIF(Recibos!$D$4:$D$7493,Cobranza!$B17,Recibos!AS$4:AS$7493)</f>
        <v>400</v>
      </c>
      <c r="CH17" s="313">
        <f>SUMIF(Recibos!$D$4:$D$7493,Cobranza!$B17,Recibos!AT$4:AT$7493)</f>
        <v>400</v>
      </c>
      <c r="CI17" s="313">
        <f>SUMIF(Recibos!$D$4:$D$7493,Cobranza!$B17,Recibos!AU$4:AU$7493)</f>
        <v>0</v>
      </c>
      <c r="CJ17" s="313">
        <f>SUMIF(Recibos!$D$4:$D$7493,Cobranza!$B17,Recibos!AV$4:AV$7493)</f>
        <v>0</v>
      </c>
      <c r="CK17" s="314">
        <f t="shared" si="6"/>
        <v>4000</v>
      </c>
    </row>
    <row r="18" spans="2:89" x14ac:dyDescent="0.2">
      <c r="B18" s="42" t="s">
        <v>144</v>
      </c>
      <c r="C18" s="42" t="s">
        <v>145</v>
      </c>
      <c r="D18" s="42" t="s">
        <v>146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300</v>
      </c>
      <c r="K18" s="44">
        <f t="shared" si="2"/>
        <v>300</v>
      </c>
      <c r="L18" s="43">
        <v>300</v>
      </c>
      <c r="M18" s="43">
        <v>300</v>
      </c>
      <c r="N18" s="43">
        <v>300</v>
      </c>
      <c r="O18" s="43">
        <v>300</v>
      </c>
      <c r="P18" s="43">
        <v>300</v>
      </c>
      <c r="Q18" s="43">
        <v>300</v>
      </c>
      <c r="R18" s="43">
        <v>300</v>
      </c>
      <c r="S18" s="43">
        <v>300</v>
      </c>
      <c r="T18" s="43">
        <v>300</v>
      </c>
      <c r="U18" s="43">
        <v>300</v>
      </c>
      <c r="V18" s="43">
        <v>300</v>
      </c>
      <c r="W18" s="43">
        <v>300</v>
      </c>
      <c r="X18" s="44">
        <f t="shared" si="3"/>
        <v>3600</v>
      </c>
      <c r="Y18" s="43">
        <v>300</v>
      </c>
      <c r="Z18" s="43">
        <v>300</v>
      </c>
      <c r="AA18" s="43">
        <v>300</v>
      </c>
      <c r="AB18" s="43">
        <v>300</v>
      </c>
      <c r="AC18" s="43">
        <v>300</v>
      </c>
      <c r="AD18" s="43">
        <v>300</v>
      </c>
      <c r="AE18" s="43">
        <v>300</v>
      </c>
      <c r="AF18" s="43">
        <v>300</v>
      </c>
      <c r="AG18" s="43">
        <v>300</v>
      </c>
      <c r="AH18" s="43">
        <v>300</v>
      </c>
      <c r="AI18" s="43">
        <v>300</v>
      </c>
      <c r="AJ18" s="43">
        <v>300</v>
      </c>
      <c r="AK18" s="44">
        <f t="shared" si="4"/>
        <v>3600</v>
      </c>
      <c r="AL18" s="43">
        <v>300</v>
      </c>
      <c r="AM18" s="43">
        <v>300</v>
      </c>
      <c r="AN18" s="43">
        <v>300</v>
      </c>
      <c r="AO18" s="43">
        <v>300</v>
      </c>
      <c r="AP18" s="43">
        <v>300</v>
      </c>
      <c r="AQ18" s="43">
        <v>300</v>
      </c>
      <c r="AR18" s="43">
        <v>300</v>
      </c>
      <c r="AS18" s="43">
        <v>300</v>
      </c>
      <c r="AT18" s="43">
        <v>300</v>
      </c>
      <c r="AU18" s="43">
        <v>300</v>
      </c>
      <c r="AV18" s="43">
        <v>300</v>
      </c>
      <c r="AW18" s="43">
        <v>300</v>
      </c>
      <c r="AX18" s="44">
        <f t="shared" si="7"/>
        <v>3600</v>
      </c>
      <c r="AY18" s="311">
        <f>SUMIF(Recibos!$D$4:$D$7493,Cobranza!$B18,Recibos!K$4:K$7493)</f>
        <v>300</v>
      </c>
      <c r="AZ18" s="311">
        <f>SUMIF(Recibos!$D$4:$D$7493,Cobranza!$B18,Recibos!L$4:L$7493)</f>
        <v>300</v>
      </c>
      <c r="BA18" s="311">
        <f>SUMIF(Recibos!$D$4:$D$7493,Cobranza!$B18,Recibos!M$4:M$7493)</f>
        <v>300</v>
      </c>
      <c r="BB18" s="311">
        <f>SUMIF(Recibos!$D$4:$D$7493,Cobranza!$B18,Recibos!N$4:N$7493)</f>
        <v>300</v>
      </c>
      <c r="BC18" s="311">
        <f>SUMIF(Recibos!$D$4:$D$7493,Cobranza!$B18,Recibos!O$4:O$7493)</f>
        <v>300</v>
      </c>
      <c r="BD18" s="311">
        <f>SUMIF(Recibos!$D$4:$D$7493,Cobranza!$B18,Recibos!P$4:P$7493)</f>
        <v>300</v>
      </c>
      <c r="BE18" s="311">
        <f>SUMIF(Recibos!$D$4:$D$7493,Cobranza!$B18,Recibos!Q$4:Q$7493)</f>
        <v>300</v>
      </c>
      <c r="BF18" s="311">
        <f>SUMIF(Recibos!$D$4:$D$7493,Cobranza!$B18,Recibos!R$4:R$7493)</f>
        <v>300</v>
      </c>
      <c r="BG18" s="311">
        <f>SUMIF(Recibos!$D$4:$D$7493,Cobranza!$B18,Recibos!S$4:S$7493)</f>
        <v>300</v>
      </c>
      <c r="BH18" s="311">
        <f>SUMIF(Recibos!$D$4:$D$7493,Cobranza!$B18,Recibos!T$4:T$7493)</f>
        <v>300</v>
      </c>
      <c r="BI18" s="311">
        <f>SUMIF(Recibos!$D$4:$D$7493,Cobranza!$B18,Recibos!U$4:U$7493)</f>
        <v>300</v>
      </c>
      <c r="BJ18" s="311">
        <f>SUMIF(Recibos!$D$4:$D$7493,Cobranza!$B18,Recibos!V$4:V$7493)</f>
        <v>0</v>
      </c>
      <c r="BK18" s="312">
        <f t="shared" si="8"/>
        <v>3300</v>
      </c>
      <c r="BL18" s="311">
        <f>SUMIF(Recibos!$D$4:$D$7493,Cobranza!$B18,Recibos!X$4:X$7493)</f>
        <v>300</v>
      </c>
      <c r="BM18" s="311">
        <f>SUMIF(Recibos!$D$4:$D$7493,Cobranza!$B18,Recibos!Y$4:Y$7493)</f>
        <v>300</v>
      </c>
      <c r="BN18" s="311">
        <f>SUMIF(Recibos!$D$4:$D$7493,Cobranza!$B18,Recibos!Z$4:Z$7493)</f>
        <v>300</v>
      </c>
      <c r="BO18" s="311">
        <f>SUMIF(Recibos!$D$4:$D$7493,Cobranza!$B18,Recibos!AA$4:AA$7493)</f>
        <v>300</v>
      </c>
      <c r="BP18" s="311">
        <f>SUMIF(Recibos!$D$4:$D$7493,Cobranza!$B18,Recibos!AB$4:AB$7493)</f>
        <v>300</v>
      </c>
      <c r="BQ18" s="311">
        <f>SUMIF(Recibos!$D$4:$D$7493,Cobranza!$B18,Recibos!AC$4:AC$7493)</f>
        <v>300</v>
      </c>
      <c r="BR18" s="311">
        <f>SUMIF(Recibos!$D$4:$D$7493,Cobranza!$B18,Recibos!AD$4:AD$7493)</f>
        <v>300</v>
      </c>
      <c r="BS18" s="311">
        <f>SUMIF(Recibos!$D$4:$D$7493,Cobranza!$B18,Recibos!AE$4:AE$7493)</f>
        <v>300</v>
      </c>
      <c r="BT18" s="311">
        <f>SUMIF(Recibos!$D$4:$D$7493,Cobranza!$B18,Recibos!AF$4:AF$7493)</f>
        <v>300</v>
      </c>
      <c r="BU18" s="311">
        <f>SUMIF(Recibos!$D$4:$D$7493,Cobranza!$B18,Recibos!AG$4:AG$7493)</f>
        <v>300</v>
      </c>
      <c r="BV18" s="311">
        <f>SUMIF(Recibos!$D$4:$D$7493,Cobranza!$B18,Recibos!AH$4:AH$7493)</f>
        <v>300</v>
      </c>
      <c r="BW18" s="311">
        <f>SUMIF(Recibos!$D$4:$D$7493,Cobranza!$B18,Recibos!AI$4:AI$7493)</f>
        <v>0</v>
      </c>
      <c r="BX18" s="312">
        <f t="shared" si="9"/>
        <v>3300</v>
      </c>
      <c r="BY18" s="311">
        <f>SUMIF(Recibos!$D$4:$D$7493,Cobranza!$B18,Recibos!AK$4:AK$7493)</f>
        <v>300</v>
      </c>
      <c r="BZ18" s="311">
        <f>SUMIF(Recibos!$D$4:$D$7493,Cobranza!$B18,Recibos!AL$4:AL$7493)</f>
        <v>300</v>
      </c>
      <c r="CA18" s="311">
        <f>SUMIF(Recibos!$D$4:$D$7493,Cobranza!$B18,Recibos!AM$4:AM$7493)</f>
        <v>300</v>
      </c>
      <c r="CB18" s="311">
        <f>SUMIF(Recibos!$D$4:$D$7493,Cobranza!$B18,Recibos!AN$4:AN$7493)</f>
        <v>300</v>
      </c>
      <c r="CC18" s="311">
        <f>SUMIF(Recibos!$D$4:$D$7493,Cobranza!$B18,Recibos!AO$4:AO$7493)</f>
        <v>300</v>
      </c>
      <c r="CD18" s="311">
        <f>SUMIF(Recibos!$D$4:$D$7493,Cobranza!$B18,Recibos!AP$4:AP$7493)</f>
        <v>300</v>
      </c>
      <c r="CE18" s="311">
        <f>SUMIF(Recibos!$D$4:$D$7493,Cobranza!$B18,Recibos!AQ$4:AQ$7493)</f>
        <v>300</v>
      </c>
      <c r="CF18" s="311">
        <f>SUMIF(Recibos!$D$4:$D$7493,Cobranza!$B18,Recibos!AR$4:AR$7493)</f>
        <v>300</v>
      </c>
      <c r="CG18" s="311">
        <f>SUMIF(Recibos!$D$4:$D$7493,Cobranza!$B18,Recibos!AS$4:AS$7493)</f>
        <v>300</v>
      </c>
      <c r="CH18" s="311">
        <f>SUMIF(Recibos!$D$4:$D$7493,Cobranza!$B18,Recibos!AT$4:AT$7493)</f>
        <v>300</v>
      </c>
      <c r="CI18" s="311">
        <f>SUMIF(Recibos!$D$4:$D$7493,Cobranza!$B18,Recibos!AU$4:AU$7493)</f>
        <v>300</v>
      </c>
      <c r="CJ18" s="311">
        <f>SUMIF(Recibos!$D$4:$D$7493,Cobranza!$B18,Recibos!AV$4:AV$7493)</f>
        <v>0</v>
      </c>
      <c r="CK18" s="312">
        <f t="shared" si="6"/>
        <v>3300</v>
      </c>
    </row>
    <row r="19" spans="2:89" x14ac:dyDescent="0.2">
      <c r="B19" s="45" t="s">
        <v>162</v>
      </c>
      <c r="C19" s="45" t="s">
        <v>163</v>
      </c>
      <c r="D19" s="45" t="s">
        <v>164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300</v>
      </c>
      <c r="K19" s="47">
        <f t="shared" si="2"/>
        <v>300</v>
      </c>
      <c r="L19" s="46">
        <v>300</v>
      </c>
      <c r="M19" s="46">
        <v>300</v>
      </c>
      <c r="N19" s="46">
        <v>300</v>
      </c>
      <c r="O19" s="46">
        <v>300</v>
      </c>
      <c r="P19" s="46">
        <v>300</v>
      </c>
      <c r="Q19" s="46">
        <v>300</v>
      </c>
      <c r="R19" s="46">
        <v>300</v>
      </c>
      <c r="S19" s="46">
        <v>300</v>
      </c>
      <c r="T19" s="46">
        <v>300</v>
      </c>
      <c r="U19" s="46">
        <v>400</v>
      </c>
      <c r="V19" s="46">
        <v>400</v>
      </c>
      <c r="W19" s="46">
        <v>400</v>
      </c>
      <c r="X19" s="47">
        <f t="shared" si="3"/>
        <v>3900</v>
      </c>
      <c r="Y19" s="46">
        <v>400</v>
      </c>
      <c r="Z19" s="46">
        <v>400</v>
      </c>
      <c r="AA19" s="46">
        <v>0</v>
      </c>
      <c r="AB19" s="46">
        <v>400</v>
      </c>
      <c r="AC19" s="46">
        <v>400</v>
      </c>
      <c r="AD19" s="46">
        <v>400</v>
      </c>
      <c r="AE19" s="46">
        <v>400</v>
      </c>
      <c r="AF19" s="46">
        <v>400</v>
      </c>
      <c r="AG19" s="46">
        <v>400</v>
      </c>
      <c r="AH19" s="46">
        <v>400</v>
      </c>
      <c r="AI19" s="46">
        <v>400</v>
      </c>
      <c r="AJ19" s="46">
        <v>400</v>
      </c>
      <c r="AK19" s="47">
        <f t="shared" si="4"/>
        <v>4400</v>
      </c>
      <c r="AL19" s="46">
        <v>400</v>
      </c>
      <c r="AM19" s="46">
        <v>400</v>
      </c>
      <c r="AN19" s="46">
        <v>400</v>
      </c>
      <c r="AO19" s="46">
        <v>400</v>
      </c>
      <c r="AP19" s="46">
        <v>400</v>
      </c>
      <c r="AQ19" s="46">
        <v>400</v>
      </c>
      <c r="AR19" s="46">
        <v>400</v>
      </c>
      <c r="AS19" s="46">
        <v>400</v>
      </c>
      <c r="AT19" s="46">
        <v>400</v>
      </c>
      <c r="AU19" s="46">
        <v>400</v>
      </c>
      <c r="AV19" s="46">
        <v>400</v>
      </c>
      <c r="AW19" s="46">
        <v>400</v>
      </c>
      <c r="AX19" s="47">
        <f t="shared" si="7"/>
        <v>4800</v>
      </c>
      <c r="AY19" s="313">
        <f>SUMIF(Recibos!$D$4:$D$7493,Cobranza!$B19,Recibos!K$4:K$7493)</f>
        <v>400</v>
      </c>
      <c r="AZ19" s="313">
        <f>SUMIF(Recibos!$D$4:$D$7493,Cobranza!$B19,Recibos!L$4:L$7493)</f>
        <v>400</v>
      </c>
      <c r="BA19" s="313">
        <f>SUMIF(Recibos!$D$4:$D$7493,Cobranza!$B19,Recibos!M$4:M$7493)</f>
        <v>400</v>
      </c>
      <c r="BB19" s="313">
        <f>SUMIF(Recibos!$D$4:$D$7493,Cobranza!$B19,Recibos!N$4:N$7493)</f>
        <v>400</v>
      </c>
      <c r="BC19" s="313">
        <f>SUMIF(Recibos!$D$4:$D$7493,Cobranza!$B19,Recibos!O$4:O$7493)</f>
        <v>400</v>
      </c>
      <c r="BD19" s="313">
        <f>SUMIF(Recibos!$D$4:$D$7493,Cobranza!$B19,Recibos!P$4:P$7493)</f>
        <v>400</v>
      </c>
      <c r="BE19" s="313">
        <f>SUMIF(Recibos!$D$4:$D$7493,Cobranza!$B19,Recibos!Q$4:Q$7493)</f>
        <v>400</v>
      </c>
      <c r="BF19" s="313">
        <f>SUMIF(Recibos!$D$4:$D$7493,Cobranza!$B19,Recibos!R$4:R$7493)</f>
        <v>400</v>
      </c>
      <c r="BG19" s="313">
        <f>SUMIF(Recibos!$D$4:$D$7493,Cobranza!$B19,Recibos!S$4:S$7493)</f>
        <v>400</v>
      </c>
      <c r="BH19" s="313">
        <f>SUMIF(Recibos!$D$4:$D$7493,Cobranza!$B19,Recibos!T$4:T$7493)</f>
        <v>400</v>
      </c>
      <c r="BI19" s="313">
        <f>SUMIF(Recibos!$D$4:$D$7493,Cobranza!$B19,Recibos!U$4:U$7493)</f>
        <v>400</v>
      </c>
      <c r="BJ19" s="313">
        <f>SUMIF(Recibos!$D$4:$D$7493,Cobranza!$B19,Recibos!V$4:V$7493)</f>
        <v>400</v>
      </c>
      <c r="BK19" s="314">
        <f t="shared" si="8"/>
        <v>4800</v>
      </c>
      <c r="BL19" s="313">
        <f>SUMIF(Recibos!$D$4:$D$7493,Cobranza!$B19,Recibos!X$4:X$7493)</f>
        <v>400</v>
      </c>
      <c r="BM19" s="313">
        <f>SUMIF(Recibos!$D$4:$D$7493,Cobranza!$B19,Recibos!Y$4:Y$7493)</f>
        <v>400</v>
      </c>
      <c r="BN19" s="313">
        <f>SUMIF(Recibos!$D$4:$D$7493,Cobranza!$B19,Recibos!Z$4:Z$7493)</f>
        <v>400</v>
      </c>
      <c r="BO19" s="313">
        <f>SUMIF(Recibos!$D$4:$D$7493,Cobranza!$B19,Recibos!AA$4:AA$7493)</f>
        <v>400</v>
      </c>
      <c r="BP19" s="313">
        <f>SUMIF(Recibos!$D$4:$D$7493,Cobranza!$B19,Recibos!AB$4:AB$7493)</f>
        <v>400</v>
      </c>
      <c r="BQ19" s="313">
        <f>SUMIF(Recibos!$D$4:$D$7493,Cobranza!$B19,Recibos!AC$4:AC$7493)</f>
        <v>400</v>
      </c>
      <c r="BR19" s="313">
        <f>SUMIF(Recibos!$D$4:$D$7493,Cobranza!$B19,Recibos!AD$4:AD$7493)</f>
        <v>400</v>
      </c>
      <c r="BS19" s="313">
        <f>SUMIF(Recibos!$D$4:$D$7493,Cobranza!$B19,Recibos!AE$4:AE$7493)</f>
        <v>400</v>
      </c>
      <c r="BT19" s="313">
        <f>SUMIF(Recibos!$D$4:$D$7493,Cobranza!$B19,Recibos!AF$4:AF$7493)</f>
        <v>400</v>
      </c>
      <c r="BU19" s="313">
        <f>SUMIF(Recibos!$D$4:$D$7493,Cobranza!$B19,Recibos!AG$4:AG$7493)</f>
        <v>400</v>
      </c>
      <c r="BV19" s="313">
        <f>SUMIF(Recibos!$D$4:$D$7493,Cobranza!$B19,Recibos!AH$4:AH$7493)</f>
        <v>400</v>
      </c>
      <c r="BW19" s="313">
        <f>SUMIF(Recibos!$D$4:$D$7493,Cobranza!$B19,Recibos!AI$4:AI$7493)</f>
        <v>400</v>
      </c>
      <c r="BX19" s="314">
        <f t="shared" si="9"/>
        <v>4800</v>
      </c>
      <c r="BY19" s="313">
        <f>SUMIF(Recibos!$D$4:$D$7493,Cobranza!$B19,Recibos!AK$4:AK$7493)</f>
        <v>400</v>
      </c>
      <c r="BZ19" s="313">
        <f>SUMIF(Recibos!$D$4:$D$7493,Cobranza!$B19,Recibos!AL$4:AL$7493)</f>
        <v>400</v>
      </c>
      <c r="CA19" s="313">
        <f>SUMIF(Recibos!$D$4:$D$7493,Cobranza!$B19,Recibos!AM$4:AM$7493)</f>
        <v>400</v>
      </c>
      <c r="CB19" s="313">
        <f>SUMIF(Recibos!$D$4:$D$7493,Cobranza!$B19,Recibos!AN$4:AN$7493)</f>
        <v>400</v>
      </c>
      <c r="CC19" s="313">
        <f>SUMIF(Recibos!$D$4:$D$7493,Cobranza!$B19,Recibos!AO$4:AO$7493)</f>
        <v>400</v>
      </c>
      <c r="CD19" s="313">
        <f>SUMIF(Recibos!$D$4:$D$7493,Cobranza!$B19,Recibos!AP$4:AP$7493)</f>
        <v>400</v>
      </c>
      <c r="CE19" s="313">
        <f>SUMIF(Recibos!$D$4:$D$7493,Cobranza!$B19,Recibos!AQ$4:AQ$7493)</f>
        <v>400</v>
      </c>
      <c r="CF19" s="313">
        <f>SUMIF(Recibos!$D$4:$D$7493,Cobranza!$B19,Recibos!AR$4:AR$7493)</f>
        <v>400</v>
      </c>
      <c r="CG19" s="313">
        <f>SUMIF(Recibos!$D$4:$D$7493,Cobranza!$B19,Recibos!AS$4:AS$7493)</f>
        <v>400</v>
      </c>
      <c r="CH19" s="313">
        <f>SUMIF(Recibos!$D$4:$D$7493,Cobranza!$B19,Recibos!AT$4:AT$7493)</f>
        <v>400</v>
      </c>
      <c r="CI19" s="313">
        <f>SUMIF(Recibos!$D$4:$D$7493,Cobranza!$B19,Recibos!AU$4:AU$7493)</f>
        <v>0</v>
      </c>
      <c r="CJ19" s="313">
        <f>SUMIF(Recibos!$D$4:$D$7493,Cobranza!$B19,Recibos!AV$4:AV$7493)</f>
        <v>0</v>
      </c>
      <c r="CK19" s="314">
        <f t="shared" si="6"/>
        <v>4000</v>
      </c>
    </row>
    <row r="20" spans="2:89" x14ac:dyDescent="0.2">
      <c r="B20" s="42" t="s">
        <v>352</v>
      </c>
      <c r="C20" s="42" t="s">
        <v>353</v>
      </c>
      <c r="D20" s="42" t="s">
        <v>354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4">
        <f t="shared" si="2"/>
        <v>0</v>
      </c>
      <c r="L20" s="43">
        <v>300</v>
      </c>
      <c r="M20" s="43">
        <v>300</v>
      </c>
      <c r="N20" s="43">
        <v>300</v>
      </c>
      <c r="O20" s="43">
        <v>300</v>
      </c>
      <c r="P20" s="43">
        <v>300</v>
      </c>
      <c r="Q20" s="43">
        <v>300</v>
      </c>
      <c r="R20" s="43">
        <v>300</v>
      </c>
      <c r="S20" s="43">
        <v>300</v>
      </c>
      <c r="T20" s="43">
        <v>300</v>
      </c>
      <c r="U20" s="43">
        <v>300</v>
      </c>
      <c r="V20" s="43">
        <v>300</v>
      </c>
      <c r="W20" s="43">
        <v>0</v>
      </c>
      <c r="X20" s="44">
        <f t="shared" si="3"/>
        <v>3300</v>
      </c>
      <c r="Y20" s="43">
        <v>400</v>
      </c>
      <c r="Z20" s="43">
        <v>400</v>
      </c>
      <c r="AA20" s="43">
        <v>400</v>
      </c>
      <c r="AB20" s="43">
        <v>400</v>
      </c>
      <c r="AC20" s="43">
        <v>400</v>
      </c>
      <c r="AD20" s="43">
        <v>400</v>
      </c>
      <c r="AE20" s="43">
        <v>400</v>
      </c>
      <c r="AF20" s="43">
        <v>400</v>
      </c>
      <c r="AG20" s="43">
        <v>800</v>
      </c>
      <c r="AH20" s="43">
        <v>400</v>
      </c>
      <c r="AI20" s="43">
        <v>400</v>
      </c>
      <c r="AJ20" s="43">
        <v>0</v>
      </c>
      <c r="AK20" s="44">
        <f t="shared" si="4"/>
        <v>4800</v>
      </c>
      <c r="AL20" s="43">
        <v>400</v>
      </c>
      <c r="AM20" s="43">
        <v>400</v>
      </c>
      <c r="AN20" s="43">
        <v>400</v>
      </c>
      <c r="AO20" s="43">
        <v>400</v>
      </c>
      <c r="AP20" s="43">
        <v>400</v>
      </c>
      <c r="AQ20" s="43">
        <v>400</v>
      </c>
      <c r="AR20" s="43">
        <v>400</v>
      </c>
      <c r="AS20" s="43">
        <v>400</v>
      </c>
      <c r="AT20" s="43">
        <v>400</v>
      </c>
      <c r="AU20" s="43">
        <v>400</v>
      </c>
      <c r="AV20" s="43">
        <v>400</v>
      </c>
      <c r="AW20" s="43">
        <v>0</v>
      </c>
      <c r="AX20" s="44">
        <f t="shared" si="7"/>
        <v>4400</v>
      </c>
      <c r="AY20" s="311">
        <f>SUMIF(Recibos!$D$4:$D$7493,Cobranza!$B20,Recibos!K$4:K$7493)</f>
        <v>400</v>
      </c>
      <c r="AZ20" s="311">
        <f>SUMIF(Recibos!$D$4:$D$7493,Cobranza!$B20,Recibos!L$4:L$7493)</f>
        <v>400</v>
      </c>
      <c r="BA20" s="311">
        <f>SUMIF(Recibos!$D$4:$D$7493,Cobranza!$B20,Recibos!M$4:M$7493)</f>
        <v>400</v>
      </c>
      <c r="BB20" s="311">
        <f>SUMIF(Recibos!$D$4:$D$7493,Cobranza!$B20,Recibos!N$4:N$7493)</f>
        <v>400</v>
      </c>
      <c r="BC20" s="311">
        <f>SUMIF(Recibos!$D$4:$D$7493,Cobranza!$B20,Recibos!O$4:O$7493)</f>
        <v>400</v>
      </c>
      <c r="BD20" s="311">
        <f>SUMIF(Recibos!$D$4:$D$7493,Cobranza!$B20,Recibos!P$4:P$7493)</f>
        <v>400</v>
      </c>
      <c r="BE20" s="311">
        <f>SUMIF(Recibos!$D$4:$D$7493,Cobranza!$B20,Recibos!Q$4:Q$7493)</f>
        <v>400</v>
      </c>
      <c r="BF20" s="311">
        <f>SUMIF(Recibos!$D$4:$D$7493,Cobranza!$B20,Recibos!R$4:R$7493)</f>
        <v>400</v>
      </c>
      <c r="BG20" s="311">
        <f>SUMIF(Recibos!$D$4:$D$7493,Cobranza!$B20,Recibos!S$4:S$7493)</f>
        <v>400</v>
      </c>
      <c r="BH20" s="311">
        <f>SUMIF(Recibos!$D$4:$D$7493,Cobranza!$B20,Recibos!T$4:T$7493)</f>
        <v>400</v>
      </c>
      <c r="BI20" s="311">
        <f>SUMIF(Recibos!$D$4:$D$7493,Cobranza!$B20,Recibos!U$4:U$7493)</f>
        <v>400</v>
      </c>
      <c r="BJ20" s="311">
        <f>SUMIF(Recibos!$D$4:$D$7493,Cobranza!$B20,Recibos!V$4:V$7493)</f>
        <v>0</v>
      </c>
      <c r="BK20" s="312">
        <f t="shared" si="8"/>
        <v>4400</v>
      </c>
      <c r="BL20" s="311">
        <f>SUMIF(Recibos!$D$4:$D$7493,Cobranza!$B20,Recibos!X$4:X$7493)</f>
        <v>400</v>
      </c>
      <c r="BM20" s="311">
        <f>SUMIF(Recibos!$D$4:$D$7493,Cobranza!$B20,Recibos!Y$4:Y$7493)</f>
        <v>400</v>
      </c>
      <c r="BN20" s="311">
        <f>SUMIF(Recibos!$D$4:$D$7493,Cobranza!$B20,Recibos!Z$4:Z$7493)</f>
        <v>400</v>
      </c>
      <c r="BO20" s="311">
        <f>SUMIF(Recibos!$D$4:$D$7493,Cobranza!$B20,Recibos!AA$4:AA$7493)</f>
        <v>400</v>
      </c>
      <c r="BP20" s="311">
        <f>SUMIF(Recibos!$D$4:$D$7493,Cobranza!$B20,Recibos!AB$4:AB$7493)</f>
        <v>400</v>
      </c>
      <c r="BQ20" s="311">
        <f>SUMIF(Recibos!$D$4:$D$7493,Cobranza!$B20,Recibos!AC$4:AC$7493)</f>
        <v>400</v>
      </c>
      <c r="BR20" s="311">
        <f>SUMIF(Recibos!$D$4:$D$7493,Cobranza!$B20,Recibos!AD$4:AD$7493)</f>
        <v>400</v>
      </c>
      <c r="BS20" s="311">
        <f>SUMIF(Recibos!$D$4:$D$7493,Cobranza!$B20,Recibos!AE$4:AE$7493)</f>
        <v>400</v>
      </c>
      <c r="BT20" s="311">
        <f>SUMIF(Recibos!$D$4:$D$7493,Cobranza!$B20,Recibos!AF$4:AF$7493)</f>
        <v>400</v>
      </c>
      <c r="BU20" s="311">
        <f>SUMIF(Recibos!$D$4:$D$7493,Cobranza!$B20,Recibos!AG$4:AG$7493)</f>
        <v>400</v>
      </c>
      <c r="BV20" s="311">
        <f>SUMIF(Recibos!$D$4:$D$7493,Cobranza!$B20,Recibos!AH$4:AH$7493)</f>
        <v>400</v>
      </c>
      <c r="BW20" s="311">
        <f>SUMIF(Recibos!$D$4:$D$7493,Cobranza!$B20,Recibos!AI$4:AI$7493)</f>
        <v>0</v>
      </c>
      <c r="BX20" s="312">
        <f t="shared" si="9"/>
        <v>4400</v>
      </c>
      <c r="BY20" s="311">
        <f>SUMIF(Recibos!$D$4:$D$7493,Cobranza!$B20,Recibos!AK$4:AK$7493)</f>
        <v>400</v>
      </c>
      <c r="BZ20" s="311">
        <f>SUMIF(Recibos!$D$4:$D$7493,Cobranza!$B20,Recibos!AL$4:AL$7493)</f>
        <v>400</v>
      </c>
      <c r="CA20" s="311">
        <f>SUMIF(Recibos!$D$4:$D$7493,Cobranza!$B20,Recibos!AM$4:AM$7493)</f>
        <v>400</v>
      </c>
      <c r="CB20" s="311">
        <f>SUMIF(Recibos!$D$4:$D$7493,Cobranza!$B20,Recibos!AN$4:AN$7493)</f>
        <v>400</v>
      </c>
      <c r="CC20" s="311">
        <f>SUMIF(Recibos!$D$4:$D$7493,Cobranza!$B20,Recibos!AO$4:AO$7493)</f>
        <v>400</v>
      </c>
      <c r="CD20" s="311">
        <f>SUMIF(Recibos!$D$4:$D$7493,Cobranza!$B20,Recibos!AP$4:AP$7493)</f>
        <v>400</v>
      </c>
      <c r="CE20" s="311">
        <f>SUMIF(Recibos!$D$4:$D$7493,Cobranza!$B20,Recibos!AQ$4:AQ$7493)</f>
        <v>400</v>
      </c>
      <c r="CF20" s="311">
        <f>SUMIF(Recibos!$D$4:$D$7493,Cobranza!$B20,Recibos!AR$4:AR$7493)</f>
        <v>400</v>
      </c>
      <c r="CG20" s="311">
        <f>SUMIF(Recibos!$D$4:$D$7493,Cobranza!$B20,Recibos!AS$4:AS$7493)</f>
        <v>400</v>
      </c>
      <c r="CH20" s="311">
        <f>SUMIF(Recibos!$D$4:$D$7493,Cobranza!$B20,Recibos!AT$4:AT$7493)</f>
        <v>400</v>
      </c>
      <c r="CI20" s="311">
        <f>SUMIF(Recibos!$D$4:$D$7493,Cobranza!$B20,Recibos!AU$4:AU$7493)</f>
        <v>400</v>
      </c>
      <c r="CJ20" s="311">
        <f>SUMIF(Recibos!$D$4:$D$7493,Cobranza!$B20,Recibos!AV$4:AV$7493)</f>
        <v>0</v>
      </c>
      <c r="CK20" s="312">
        <f t="shared" si="6"/>
        <v>4400</v>
      </c>
    </row>
    <row r="21" spans="2:89" x14ac:dyDescent="0.2">
      <c r="B21" s="45" t="s">
        <v>990</v>
      </c>
      <c r="C21" s="45" t="s">
        <v>991</v>
      </c>
      <c r="D21" s="45" t="s">
        <v>992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200</v>
      </c>
      <c r="K21" s="47">
        <f t="shared" si="2"/>
        <v>200</v>
      </c>
      <c r="L21" s="46">
        <v>200</v>
      </c>
      <c r="M21" s="46">
        <v>200</v>
      </c>
      <c r="N21" s="46">
        <v>200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7">
        <f t="shared" si="3"/>
        <v>600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7">
        <f t="shared" si="4"/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7">
        <f t="shared" si="7"/>
        <v>0</v>
      </c>
      <c r="AY21" s="313">
        <f>SUMIF(Recibos!$D$4:$D$7493,Cobranza!$B21,Recibos!K$4:K$7493)</f>
        <v>0</v>
      </c>
      <c r="AZ21" s="313">
        <f>SUMIF(Recibos!$D$4:$D$7493,Cobranza!$B21,Recibos!L$4:L$7493)</f>
        <v>0</v>
      </c>
      <c r="BA21" s="313">
        <f>SUMIF(Recibos!$D$4:$D$7493,Cobranza!$B21,Recibos!M$4:M$7493)</f>
        <v>0</v>
      </c>
      <c r="BB21" s="313">
        <f>SUMIF(Recibos!$D$4:$D$7493,Cobranza!$B21,Recibos!N$4:N$7493)</f>
        <v>0</v>
      </c>
      <c r="BC21" s="313">
        <f>SUMIF(Recibos!$D$4:$D$7493,Cobranza!$B21,Recibos!O$4:O$7493)</f>
        <v>0</v>
      </c>
      <c r="BD21" s="313">
        <f>SUMIF(Recibos!$D$4:$D$7493,Cobranza!$B21,Recibos!P$4:P$7493)</f>
        <v>200</v>
      </c>
      <c r="BE21" s="313">
        <f>SUMIF(Recibos!$D$4:$D$7493,Cobranza!$B21,Recibos!Q$4:Q$7493)</f>
        <v>200</v>
      </c>
      <c r="BF21" s="313">
        <f>SUMIF(Recibos!$D$4:$D$7493,Cobranza!$B21,Recibos!R$4:R$7493)</f>
        <v>200</v>
      </c>
      <c r="BG21" s="313">
        <f>SUMIF(Recibos!$D$4:$D$7493,Cobranza!$B21,Recibos!S$4:S$7493)</f>
        <v>200</v>
      </c>
      <c r="BH21" s="313">
        <f>SUMIF(Recibos!$D$4:$D$7493,Cobranza!$B21,Recibos!T$4:T$7493)</f>
        <v>200</v>
      </c>
      <c r="BI21" s="313">
        <f>SUMIF(Recibos!$D$4:$D$7493,Cobranza!$B21,Recibos!U$4:U$7493)</f>
        <v>200</v>
      </c>
      <c r="BJ21" s="313">
        <f>SUMIF(Recibos!$D$4:$D$7493,Cobranza!$B21,Recibos!V$4:V$7493)</f>
        <v>200</v>
      </c>
      <c r="BK21" s="314">
        <f t="shared" si="8"/>
        <v>1400</v>
      </c>
      <c r="BL21" s="313">
        <f>SUMIF(Recibos!$D$4:$D$7493,Cobranza!$B21,Recibos!X$4:X$7493)</f>
        <v>200</v>
      </c>
      <c r="BM21" s="313">
        <f>SUMIF(Recibos!$D$4:$D$7493,Cobranza!$B21,Recibos!Y$4:Y$7493)</f>
        <v>200</v>
      </c>
      <c r="BN21" s="313">
        <f>SUMIF(Recibos!$D$4:$D$7493,Cobranza!$B21,Recibos!Z$4:Z$7493)</f>
        <v>200</v>
      </c>
      <c r="BO21" s="313">
        <f>SUMIF(Recibos!$D$4:$D$7493,Cobranza!$B21,Recibos!AA$4:AA$7493)</f>
        <v>200</v>
      </c>
      <c r="BP21" s="313">
        <f>SUMIF(Recibos!$D$4:$D$7493,Cobranza!$B21,Recibos!AB$4:AB$7493)</f>
        <v>200</v>
      </c>
      <c r="BQ21" s="313">
        <f>SUMIF(Recibos!$D$4:$D$7493,Cobranza!$B21,Recibos!AC$4:AC$7493)</f>
        <v>200</v>
      </c>
      <c r="BR21" s="313">
        <f>SUMIF(Recibos!$D$4:$D$7493,Cobranza!$B21,Recibos!AD$4:AD$7493)</f>
        <v>0</v>
      </c>
      <c r="BS21" s="313">
        <f>SUMIF(Recibos!$D$4:$D$7493,Cobranza!$B21,Recibos!AE$4:AE$7493)</f>
        <v>0</v>
      </c>
      <c r="BT21" s="313">
        <f>SUMIF(Recibos!$D$4:$D$7493,Cobranza!$B21,Recibos!AF$4:AF$7493)</f>
        <v>0</v>
      </c>
      <c r="BU21" s="313">
        <f>SUMIF(Recibos!$D$4:$D$7493,Cobranza!$B21,Recibos!AG$4:AG$7493)</f>
        <v>0</v>
      </c>
      <c r="BV21" s="313">
        <f>SUMIF(Recibos!$D$4:$D$7493,Cobranza!$B21,Recibos!AH$4:AH$7493)</f>
        <v>0</v>
      </c>
      <c r="BW21" s="313">
        <f>SUMIF(Recibos!$D$4:$D$7493,Cobranza!$B21,Recibos!AI$4:AI$7493)</f>
        <v>0</v>
      </c>
      <c r="BX21" s="314">
        <f t="shared" si="9"/>
        <v>1200</v>
      </c>
      <c r="BY21" s="313">
        <f>SUMIF(Recibos!$D$4:$D$7493,Cobranza!$B21,Recibos!AK$4:AK$7493)</f>
        <v>0</v>
      </c>
      <c r="BZ21" s="313">
        <f>SUMIF(Recibos!$D$4:$D$7493,Cobranza!$B21,Recibos!AL$4:AL$7493)</f>
        <v>0</v>
      </c>
      <c r="CA21" s="313">
        <f>SUMIF(Recibos!$D$4:$D$7493,Cobranza!$B21,Recibos!AM$4:AM$7493)</f>
        <v>0</v>
      </c>
      <c r="CB21" s="313">
        <f>SUMIF(Recibos!$D$4:$D$7493,Cobranza!$B21,Recibos!AN$4:AN$7493)</f>
        <v>0</v>
      </c>
      <c r="CC21" s="313">
        <f>SUMIF(Recibos!$D$4:$D$7493,Cobranza!$B21,Recibos!AO$4:AO$7493)</f>
        <v>0</v>
      </c>
      <c r="CD21" s="313">
        <f>SUMIF(Recibos!$D$4:$D$7493,Cobranza!$B21,Recibos!AP$4:AP$7493)</f>
        <v>0</v>
      </c>
      <c r="CE21" s="313">
        <f>SUMIF(Recibos!$D$4:$D$7493,Cobranza!$B21,Recibos!AQ$4:AQ$7493)</f>
        <v>0</v>
      </c>
      <c r="CF21" s="313">
        <f>SUMIF(Recibos!$D$4:$D$7493,Cobranza!$B21,Recibos!AR$4:AR$7493)</f>
        <v>0</v>
      </c>
      <c r="CG21" s="313">
        <f>SUMIF(Recibos!$D$4:$D$7493,Cobranza!$B21,Recibos!AS$4:AS$7493)</f>
        <v>0</v>
      </c>
      <c r="CH21" s="313">
        <f>SUMIF(Recibos!$D$4:$D$7493,Cobranza!$B21,Recibos!AT$4:AT$7493)</f>
        <v>0</v>
      </c>
      <c r="CI21" s="313">
        <f>SUMIF(Recibos!$D$4:$D$7493,Cobranza!$B21,Recibos!AU$4:AU$7493)</f>
        <v>0</v>
      </c>
      <c r="CJ21" s="313">
        <f>SUMIF(Recibos!$D$4:$D$7493,Cobranza!$B21,Recibos!AV$4:AV$7493)</f>
        <v>0</v>
      </c>
      <c r="CK21" s="314">
        <f t="shared" si="6"/>
        <v>0</v>
      </c>
    </row>
    <row r="22" spans="2:89" x14ac:dyDescent="0.2">
      <c r="B22" s="42" t="s">
        <v>1264</v>
      </c>
      <c r="C22" s="42" t="s">
        <v>1265</v>
      </c>
      <c r="D22" s="42" t="s">
        <v>1266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4">
        <f t="shared" si="2"/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4">
        <f t="shared" si="3"/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4">
        <f t="shared" si="4"/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4">
        <f t="shared" si="7"/>
        <v>0</v>
      </c>
      <c r="AY22" s="311">
        <f>SUMIF(Recibos!$D$4:$D$7493,Cobranza!$B22,Recibos!K$4:K$7493)</f>
        <v>0</v>
      </c>
      <c r="AZ22" s="311">
        <f>SUMIF(Recibos!$D$4:$D$7493,Cobranza!$B22,Recibos!L$4:L$7493)</f>
        <v>0</v>
      </c>
      <c r="BA22" s="311">
        <f>SUMIF(Recibos!$D$4:$D$7493,Cobranza!$B22,Recibos!M$4:M$7493)</f>
        <v>0</v>
      </c>
      <c r="BB22" s="311">
        <f>SUMIF(Recibos!$D$4:$D$7493,Cobranza!$B22,Recibos!N$4:N$7493)</f>
        <v>0</v>
      </c>
      <c r="BC22" s="311">
        <f>SUMIF(Recibos!$D$4:$D$7493,Cobranza!$B22,Recibos!O$4:O$7493)</f>
        <v>0</v>
      </c>
      <c r="BD22" s="311">
        <f>SUMIF(Recibos!$D$4:$D$7493,Cobranza!$B22,Recibos!P$4:P$7493)</f>
        <v>0</v>
      </c>
      <c r="BE22" s="311">
        <f>SUMIF(Recibos!$D$4:$D$7493,Cobranza!$B22,Recibos!Q$4:Q$7493)</f>
        <v>0</v>
      </c>
      <c r="BF22" s="311">
        <f>SUMIF(Recibos!$D$4:$D$7493,Cobranza!$B22,Recibos!R$4:R$7493)</f>
        <v>0</v>
      </c>
      <c r="BG22" s="311">
        <f>SUMIF(Recibos!$D$4:$D$7493,Cobranza!$B22,Recibos!S$4:S$7493)</f>
        <v>0</v>
      </c>
      <c r="BH22" s="311">
        <f>SUMIF(Recibos!$D$4:$D$7493,Cobranza!$B22,Recibos!T$4:T$7493)</f>
        <v>0</v>
      </c>
      <c r="BI22" s="311">
        <f>SUMIF(Recibos!$D$4:$D$7493,Cobranza!$B22,Recibos!U$4:U$7493)</f>
        <v>0</v>
      </c>
      <c r="BJ22" s="311">
        <f>SUMIF(Recibos!$D$4:$D$7493,Cobranza!$B22,Recibos!V$4:V$7493)</f>
        <v>0</v>
      </c>
      <c r="BK22" s="312">
        <f t="shared" si="8"/>
        <v>0</v>
      </c>
      <c r="BL22" s="311">
        <f>SUMIF(Recibos!$D$4:$D$7493,Cobranza!$B22,Recibos!X$4:X$7493)</f>
        <v>0</v>
      </c>
      <c r="BM22" s="311">
        <f>SUMIF(Recibos!$D$4:$D$7493,Cobranza!$B22,Recibos!Y$4:Y$7493)</f>
        <v>0</v>
      </c>
      <c r="BN22" s="311">
        <f>SUMIF(Recibos!$D$4:$D$7493,Cobranza!$B22,Recibos!Z$4:Z$7493)</f>
        <v>0</v>
      </c>
      <c r="BO22" s="311">
        <f>SUMIF(Recibos!$D$4:$D$7493,Cobranza!$B22,Recibos!AA$4:AA$7493)</f>
        <v>0</v>
      </c>
      <c r="BP22" s="311">
        <f>SUMIF(Recibos!$D$4:$D$7493,Cobranza!$B22,Recibos!AB$4:AB$7493)</f>
        <v>0</v>
      </c>
      <c r="BQ22" s="311">
        <f>SUMIF(Recibos!$D$4:$D$7493,Cobranza!$B22,Recibos!AC$4:AC$7493)</f>
        <v>0</v>
      </c>
      <c r="BR22" s="311">
        <f>SUMIF(Recibos!$D$4:$D$7493,Cobranza!$B22,Recibos!AD$4:AD$7493)</f>
        <v>0</v>
      </c>
      <c r="BS22" s="311">
        <f>SUMIF(Recibos!$D$4:$D$7493,Cobranza!$B22,Recibos!AE$4:AE$7493)</f>
        <v>0</v>
      </c>
      <c r="BT22" s="311">
        <f>SUMIF(Recibos!$D$4:$D$7493,Cobranza!$B22,Recibos!AF$4:AF$7493)</f>
        <v>0</v>
      </c>
      <c r="BU22" s="311">
        <f>SUMIF(Recibos!$D$4:$D$7493,Cobranza!$B22,Recibos!AG$4:AG$7493)</f>
        <v>0</v>
      </c>
      <c r="BV22" s="311">
        <f>SUMIF(Recibos!$D$4:$D$7493,Cobranza!$B22,Recibos!AH$4:AH$7493)</f>
        <v>0</v>
      </c>
      <c r="BW22" s="311">
        <f>SUMIF(Recibos!$D$4:$D$7493,Cobranza!$B22,Recibos!AI$4:AI$7493)</f>
        <v>0</v>
      </c>
      <c r="BX22" s="312">
        <f t="shared" si="9"/>
        <v>0</v>
      </c>
      <c r="BY22" s="311">
        <f>SUMIF(Recibos!$D$4:$D$7493,Cobranza!$B22,Recibos!AK$4:AK$7493)</f>
        <v>0</v>
      </c>
      <c r="BZ22" s="311">
        <f>SUMIF(Recibos!$D$4:$D$7493,Cobranza!$B22,Recibos!AL$4:AL$7493)</f>
        <v>0</v>
      </c>
      <c r="CA22" s="311">
        <f>SUMIF(Recibos!$D$4:$D$7493,Cobranza!$B22,Recibos!AM$4:AM$7493)</f>
        <v>0</v>
      </c>
      <c r="CB22" s="311">
        <f>SUMIF(Recibos!$D$4:$D$7493,Cobranza!$B22,Recibos!AN$4:AN$7493)</f>
        <v>0</v>
      </c>
      <c r="CC22" s="311">
        <f>SUMIF(Recibos!$D$4:$D$7493,Cobranza!$B22,Recibos!AO$4:AO$7493)</f>
        <v>0</v>
      </c>
      <c r="CD22" s="311">
        <f>SUMIF(Recibos!$D$4:$D$7493,Cobranza!$B22,Recibos!AP$4:AP$7493)</f>
        <v>0</v>
      </c>
      <c r="CE22" s="311">
        <f>SUMIF(Recibos!$D$4:$D$7493,Cobranza!$B22,Recibos!AQ$4:AQ$7493)</f>
        <v>0</v>
      </c>
      <c r="CF22" s="311">
        <f>SUMIF(Recibos!$D$4:$D$7493,Cobranza!$B22,Recibos!AR$4:AR$7493)</f>
        <v>0</v>
      </c>
      <c r="CG22" s="311">
        <f>SUMIF(Recibos!$D$4:$D$7493,Cobranza!$B22,Recibos!AS$4:AS$7493)</f>
        <v>0</v>
      </c>
      <c r="CH22" s="311">
        <f>SUMIF(Recibos!$D$4:$D$7493,Cobranza!$B22,Recibos!AT$4:AT$7493)</f>
        <v>0</v>
      </c>
      <c r="CI22" s="311">
        <f>SUMIF(Recibos!$D$4:$D$7493,Cobranza!$B22,Recibos!AU$4:AU$7493)</f>
        <v>0</v>
      </c>
      <c r="CJ22" s="311">
        <f>SUMIF(Recibos!$D$4:$D$7493,Cobranza!$B22,Recibos!AV$4:AV$7493)</f>
        <v>0</v>
      </c>
      <c r="CK22" s="312">
        <f t="shared" si="6"/>
        <v>0</v>
      </c>
    </row>
    <row r="23" spans="2:89" x14ac:dyDescent="0.2">
      <c r="B23" s="45" t="s">
        <v>1112</v>
      </c>
      <c r="C23" s="45" t="s">
        <v>1113</v>
      </c>
      <c r="D23" s="45" t="s">
        <v>1114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7">
        <f t="shared" si="2"/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7">
        <f t="shared" si="3"/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7">
        <f t="shared" si="4"/>
        <v>0</v>
      </c>
      <c r="AL23" s="46">
        <v>0</v>
      </c>
      <c r="AM23" s="46">
        <v>0</v>
      </c>
      <c r="AN23" s="46">
        <v>0</v>
      </c>
      <c r="AO23" s="46">
        <v>0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7">
        <f t="shared" si="7"/>
        <v>0</v>
      </c>
      <c r="AY23" s="313">
        <f>SUMIF(Recibos!$D$4:$D$7493,Cobranza!$B23,Recibos!K$4:K$7493)</f>
        <v>0</v>
      </c>
      <c r="AZ23" s="313">
        <f>SUMIF(Recibos!$D$4:$D$7493,Cobranza!$B23,Recibos!L$4:L$7493)</f>
        <v>0</v>
      </c>
      <c r="BA23" s="313">
        <f>SUMIF(Recibos!$D$4:$D$7493,Cobranza!$B23,Recibos!M$4:M$7493)</f>
        <v>0</v>
      </c>
      <c r="BB23" s="313">
        <f>SUMIF(Recibos!$D$4:$D$7493,Cobranza!$B23,Recibos!N$4:N$7493)</f>
        <v>0</v>
      </c>
      <c r="BC23" s="313">
        <f>SUMIF(Recibos!$D$4:$D$7493,Cobranza!$B23,Recibos!O$4:O$7493)</f>
        <v>0</v>
      </c>
      <c r="BD23" s="313">
        <f>SUMIF(Recibos!$D$4:$D$7493,Cobranza!$B23,Recibos!P$4:P$7493)</f>
        <v>0</v>
      </c>
      <c r="BE23" s="313">
        <f>SUMIF(Recibos!$D$4:$D$7493,Cobranza!$B23,Recibos!Q$4:Q$7493)</f>
        <v>0</v>
      </c>
      <c r="BF23" s="313">
        <f>SUMIF(Recibos!$D$4:$D$7493,Cobranza!$B23,Recibos!R$4:R$7493)</f>
        <v>0</v>
      </c>
      <c r="BG23" s="313">
        <f>SUMIF(Recibos!$D$4:$D$7493,Cobranza!$B23,Recibos!S$4:S$7493)</f>
        <v>0</v>
      </c>
      <c r="BH23" s="313">
        <f>SUMIF(Recibos!$D$4:$D$7493,Cobranza!$B23,Recibos!T$4:T$7493)</f>
        <v>0</v>
      </c>
      <c r="BI23" s="313">
        <f>SUMIF(Recibos!$D$4:$D$7493,Cobranza!$B23,Recibos!U$4:U$7493)</f>
        <v>0</v>
      </c>
      <c r="BJ23" s="313">
        <f>SUMIF(Recibos!$D$4:$D$7493,Cobranza!$B23,Recibos!V$4:V$7493)</f>
        <v>0</v>
      </c>
      <c r="BK23" s="314">
        <f t="shared" si="8"/>
        <v>0</v>
      </c>
      <c r="BL23" s="313">
        <f>SUMIF(Recibos!$D$4:$D$7493,Cobranza!$B23,Recibos!X$4:X$7493)</f>
        <v>0</v>
      </c>
      <c r="BM23" s="313">
        <f>SUMIF(Recibos!$D$4:$D$7493,Cobranza!$B23,Recibos!Y$4:Y$7493)</f>
        <v>0</v>
      </c>
      <c r="BN23" s="313">
        <f>SUMIF(Recibos!$D$4:$D$7493,Cobranza!$B23,Recibos!Z$4:Z$7493)</f>
        <v>0</v>
      </c>
      <c r="BO23" s="313">
        <f>SUMIF(Recibos!$D$4:$D$7493,Cobranza!$B23,Recibos!AA$4:AA$7493)</f>
        <v>0</v>
      </c>
      <c r="BP23" s="313">
        <f>SUMIF(Recibos!$D$4:$D$7493,Cobranza!$B23,Recibos!AB$4:AB$7493)</f>
        <v>0</v>
      </c>
      <c r="BQ23" s="313">
        <f>SUMIF(Recibos!$D$4:$D$7493,Cobranza!$B23,Recibos!AC$4:AC$7493)</f>
        <v>0</v>
      </c>
      <c r="BR23" s="313">
        <f>SUMIF(Recibos!$D$4:$D$7493,Cobranza!$B23,Recibos!AD$4:AD$7493)</f>
        <v>0</v>
      </c>
      <c r="BS23" s="313">
        <f>SUMIF(Recibos!$D$4:$D$7493,Cobranza!$B23,Recibos!AE$4:AE$7493)</f>
        <v>0</v>
      </c>
      <c r="BT23" s="313">
        <f>SUMIF(Recibos!$D$4:$D$7493,Cobranza!$B23,Recibos!AF$4:AF$7493)</f>
        <v>0</v>
      </c>
      <c r="BU23" s="313">
        <f>SUMIF(Recibos!$D$4:$D$7493,Cobranza!$B23,Recibos!AG$4:AG$7493)</f>
        <v>0</v>
      </c>
      <c r="BV23" s="313">
        <f>SUMIF(Recibos!$D$4:$D$7493,Cobranza!$B23,Recibos!AH$4:AH$7493)</f>
        <v>0</v>
      </c>
      <c r="BW23" s="313">
        <f>SUMIF(Recibos!$D$4:$D$7493,Cobranza!$B23,Recibos!AI$4:AI$7493)</f>
        <v>0</v>
      </c>
      <c r="BX23" s="314">
        <f t="shared" si="9"/>
        <v>0</v>
      </c>
      <c r="BY23" s="313">
        <f>SUMIF(Recibos!$D$4:$D$7493,Cobranza!$B23,Recibos!AK$4:AK$7493)</f>
        <v>0</v>
      </c>
      <c r="BZ23" s="313">
        <f>SUMIF(Recibos!$D$4:$D$7493,Cobranza!$B23,Recibos!AL$4:AL$7493)</f>
        <v>0</v>
      </c>
      <c r="CA23" s="313">
        <f>SUMIF(Recibos!$D$4:$D$7493,Cobranza!$B23,Recibos!AM$4:AM$7493)</f>
        <v>0</v>
      </c>
      <c r="CB23" s="313">
        <f>SUMIF(Recibos!$D$4:$D$7493,Cobranza!$B23,Recibos!AN$4:AN$7493)</f>
        <v>0</v>
      </c>
      <c r="CC23" s="313">
        <f>SUMIF(Recibos!$D$4:$D$7493,Cobranza!$B23,Recibos!AO$4:AO$7493)</f>
        <v>0</v>
      </c>
      <c r="CD23" s="313">
        <f>SUMIF(Recibos!$D$4:$D$7493,Cobranza!$B23,Recibos!AP$4:AP$7493)</f>
        <v>0</v>
      </c>
      <c r="CE23" s="313">
        <f>SUMIF(Recibos!$D$4:$D$7493,Cobranza!$B23,Recibos!AQ$4:AQ$7493)</f>
        <v>0</v>
      </c>
      <c r="CF23" s="313">
        <f>SUMIF(Recibos!$D$4:$D$7493,Cobranza!$B23,Recibos!AR$4:AR$7493)</f>
        <v>0</v>
      </c>
      <c r="CG23" s="313">
        <f>SUMIF(Recibos!$D$4:$D$7493,Cobranza!$B23,Recibos!AS$4:AS$7493)</f>
        <v>0</v>
      </c>
      <c r="CH23" s="313">
        <f>SUMIF(Recibos!$D$4:$D$7493,Cobranza!$B23,Recibos!AT$4:AT$7493)</f>
        <v>0</v>
      </c>
      <c r="CI23" s="313">
        <f>SUMIF(Recibos!$D$4:$D$7493,Cobranza!$B23,Recibos!AU$4:AU$7493)</f>
        <v>0</v>
      </c>
      <c r="CJ23" s="313">
        <f>SUMIF(Recibos!$D$4:$D$7493,Cobranza!$B23,Recibos!AV$4:AV$7493)</f>
        <v>0</v>
      </c>
      <c r="CK23" s="314">
        <f t="shared" si="6"/>
        <v>0</v>
      </c>
    </row>
    <row r="24" spans="2:89" x14ac:dyDescent="0.2">
      <c r="B24" s="42" t="s">
        <v>244</v>
      </c>
      <c r="C24" s="42" t="s">
        <v>245</v>
      </c>
      <c r="D24" s="42" t="s">
        <v>246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4">
        <f t="shared" si="2"/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4">
        <f t="shared" si="3"/>
        <v>0</v>
      </c>
      <c r="Y24" s="43">
        <v>400</v>
      </c>
      <c r="Z24" s="43">
        <v>400</v>
      </c>
      <c r="AA24" s="43">
        <v>400</v>
      </c>
      <c r="AB24" s="43">
        <v>400</v>
      </c>
      <c r="AC24" s="43">
        <v>400</v>
      </c>
      <c r="AD24" s="43">
        <v>400</v>
      </c>
      <c r="AE24" s="43">
        <v>400</v>
      </c>
      <c r="AF24" s="43">
        <v>400</v>
      </c>
      <c r="AG24" s="43">
        <v>400</v>
      </c>
      <c r="AH24" s="43">
        <v>400</v>
      </c>
      <c r="AI24" s="43">
        <v>400</v>
      </c>
      <c r="AJ24" s="43">
        <v>0</v>
      </c>
      <c r="AK24" s="44">
        <f t="shared" si="4"/>
        <v>4400</v>
      </c>
      <c r="AL24" s="43">
        <v>400</v>
      </c>
      <c r="AM24" s="43">
        <v>400</v>
      </c>
      <c r="AN24" s="43">
        <v>400</v>
      </c>
      <c r="AO24" s="43">
        <v>400</v>
      </c>
      <c r="AP24" s="43">
        <v>400</v>
      </c>
      <c r="AQ24" s="43">
        <v>400</v>
      </c>
      <c r="AR24" s="43">
        <v>400</v>
      </c>
      <c r="AS24" s="43">
        <v>400</v>
      </c>
      <c r="AT24" s="43">
        <v>400</v>
      </c>
      <c r="AU24" s="43">
        <v>400</v>
      </c>
      <c r="AV24" s="43">
        <v>400</v>
      </c>
      <c r="AW24" s="43">
        <v>0</v>
      </c>
      <c r="AX24" s="44">
        <f t="shared" si="7"/>
        <v>4400</v>
      </c>
      <c r="AY24" s="311">
        <f>SUMIF(Recibos!$D$4:$D$7493,Cobranza!$B24,Recibos!K$4:K$7493)</f>
        <v>400</v>
      </c>
      <c r="AZ24" s="311">
        <f>SUMIF(Recibos!$D$4:$D$7493,Cobranza!$B24,Recibos!L$4:L$7493)</f>
        <v>400</v>
      </c>
      <c r="BA24" s="311">
        <f>SUMIF(Recibos!$D$4:$D$7493,Cobranza!$B24,Recibos!M$4:M$7493)</f>
        <v>400</v>
      </c>
      <c r="BB24" s="311">
        <f>SUMIF(Recibos!$D$4:$D$7493,Cobranza!$B24,Recibos!N$4:N$7493)</f>
        <v>400</v>
      </c>
      <c r="BC24" s="311">
        <f>SUMIF(Recibos!$D$4:$D$7493,Cobranza!$B24,Recibos!O$4:O$7493)</f>
        <v>400</v>
      </c>
      <c r="BD24" s="311">
        <f>SUMIF(Recibos!$D$4:$D$7493,Cobranza!$B24,Recibos!P$4:P$7493)</f>
        <v>400</v>
      </c>
      <c r="BE24" s="311">
        <f>SUMIF(Recibos!$D$4:$D$7493,Cobranza!$B24,Recibos!Q$4:Q$7493)</f>
        <v>400</v>
      </c>
      <c r="BF24" s="311">
        <f>SUMIF(Recibos!$D$4:$D$7493,Cobranza!$B24,Recibos!R$4:R$7493)</f>
        <v>400</v>
      </c>
      <c r="BG24" s="311">
        <f>SUMIF(Recibos!$D$4:$D$7493,Cobranza!$B24,Recibos!S$4:S$7493)</f>
        <v>400</v>
      </c>
      <c r="BH24" s="311">
        <f>SUMIF(Recibos!$D$4:$D$7493,Cobranza!$B24,Recibos!T$4:T$7493)</f>
        <v>400</v>
      </c>
      <c r="BI24" s="311">
        <f>SUMIF(Recibos!$D$4:$D$7493,Cobranza!$B24,Recibos!U$4:U$7493)</f>
        <v>400</v>
      </c>
      <c r="BJ24" s="311">
        <f>SUMIF(Recibos!$D$4:$D$7493,Cobranza!$B24,Recibos!V$4:V$7493)</f>
        <v>400</v>
      </c>
      <c r="BK24" s="312">
        <f t="shared" si="8"/>
        <v>4800</v>
      </c>
      <c r="BL24" s="311">
        <f>SUMIF(Recibos!$D$4:$D$7493,Cobranza!$B24,Recibos!X$4:X$7493)</f>
        <v>400</v>
      </c>
      <c r="BM24" s="311">
        <f>SUMIF(Recibos!$D$4:$D$7493,Cobranza!$B24,Recibos!Y$4:Y$7493)</f>
        <v>400</v>
      </c>
      <c r="BN24" s="311">
        <f>SUMIF(Recibos!$D$4:$D$7493,Cobranza!$B24,Recibos!Z$4:Z$7493)</f>
        <v>400</v>
      </c>
      <c r="BO24" s="311">
        <f>SUMIF(Recibos!$D$4:$D$7493,Cobranza!$B24,Recibos!AA$4:AA$7493)</f>
        <v>400</v>
      </c>
      <c r="BP24" s="311">
        <f>SUMIF(Recibos!$D$4:$D$7493,Cobranza!$B24,Recibos!AB$4:AB$7493)</f>
        <v>400</v>
      </c>
      <c r="BQ24" s="311">
        <f>SUMIF(Recibos!$D$4:$D$7493,Cobranza!$B24,Recibos!AC$4:AC$7493)</f>
        <v>400</v>
      </c>
      <c r="BR24" s="311">
        <f>SUMIF(Recibos!$D$4:$D$7493,Cobranza!$B24,Recibos!AD$4:AD$7493)</f>
        <v>400</v>
      </c>
      <c r="BS24" s="311">
        <f>SUMIF(Recibos!$D$4:$D$7493,Cobranza!$B24,Recibos!AE$4:AE$7493)</f>
        <v>400</v>
      </c>
      <c r="BT24" s="311">
        <f>SUMIF(Recibos!$D$4:$D$7493,Cobranza!$B24,Recibos!AF$4:AF$7493)</f>
        <v>400</v>
      </c>
      <c r="BU24" s="311">
        <f>SUMIF(Recibos!$D$4:$D$7493,Cobranza!$B24,Recibos!AG$4:AG$7493)</f>
        <v>400</v>
      </c>
      <c r="BV24" s="311">
        <f>SUMIF(Recibos!$D$4:$D$7493,Cobranza!$B24,Recibos!AH$4:AH$7493)</f>
        <v>400</v>
      </c>
      <c r="BW24" s="311">
        <f>SUMIF(Recibos!$D$4:$D$7493,Cobranza!$B24,Recibos!AI$4:AI$7493)</f>
        <v>0</v>
      </c>
      <c r="BX24" s="312">
        <f t="shared" si="9"/>
        <v>4400</v>
      </c>
      <c r="BY24" s="311">
        <f>SUMIF(Recibos!$D$4:$D$7493,Cobranza!$B24,Recibos!AK$4:AK$7493)</f>
        <v>400</v>
      </c>
      <c r="BZ24" s="311">
        <f>SUMIF(Recibos!$D$4:$D$7493,Cobranza!$B24,Recibos!AL$4:AL$7493)</f>
        <v>400</v>
      </c>
      <c r="CA24" s="311">
        <f>SUMIF(Recibos!$D$4:$D$7493,Cobranza!$B24,Recibos!AM$4:AM$7493)</f>
        <v>400</v>
      </c>
      <c r="CB24" s="311">
        <f>SUMIF(Recibos!$D$4:$D$7493,Cobranza!$B24,Recibos!AN$4:AN$7493)</f>
        <v>400</v>
      </c>
      <c r="CC24" s="311">
        <f>SUMIF(Recibos!$D$4:$D$7493,Cobranza!$B24,Recibos!AO$4:AO$7493)</f>
        <v>400</v>
      </c>
      <c r="CD24" s="311">
        <f>SUMIF(Recibos!$D$4:$D$7493,Cobranza!$B24,Recibos!AP$4:AP$7493)</f>
        <v>400</v>
      </c>
      <c r="CE24" s="311">
        <f>SUMIF(Recibos!$D$4:$D$7493,Cobranza!$B24,Recibos!AQ$4:AQ$7493)</f>
        <v>400</v>
      </c>
      <c r="CF24" s="311">
        <f>SUMIF(Recibos!$D$4:$D$7493,Cobranza!$B24,Recibos!AR$4:AR$7493)</f>
        <v>400</v>
      </c>
      <c r="CG24" s="311">
        <f>SUMIF(Recibos!$D$4:$D$7493,Cobranza!$B24,Recibos!AS$4:AS$7493)</f>
        <v>400</v>
      </c>
      <c r="CH24" s="311">
        <f>SUMIF(Recibos!$D$4:$D$7493,Cobranza!$B24,Recibos!AT$4:AT$7493)</f>
        <v>400</v>
      </c>
      <c r="CI24" s="311">
        <f>SUMIF(Recibos!$D$4:$D$7493,Cobranza!$B24,Recibos!AU$4:AU$7493)</f>
        <v>400</v>
      </c>
      <c r="CJ24" s="311">
        <f>SUMIF(Recibos!$D$4:$D$7493,Cobranza!$B24,Recibos!AV$4:AV$7493)</f>
        <v>400</v>
      </c>
      <c r="CK24" s="312">
        <f t="shared" si="6"/>
        <v>4800</v>
      </c>
    </row>
    <row r="25" spans="2:89" x14ac:dyDescent="0.2">
      <c r="B25" s="45" t="s">
        <v>208</v>
      </c>
      <c r="C25" s="45" t="s">
        <v>209</v>
      </c>
      <c r="D25" s="45" t="s">
        <v>210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7">
        <f t="shared" si="2"/>
        <v>0</v>
      </c>
      <c r="L25" s="46">
        <v>300</v>
      </c>
      <c r="M25" s="46">
        <v>300</v>
      </c>
      <c r="N25" s="46">
        <v>300</v>
      </c>
      <c r="O25" s="46">
        <v>300</v>
      </c>
      <c r="P25" s="46">
        <v>300</v>
      </c>
      <c r="Q25" s="46">
        <v>300</v>
      </c>
      <c r="R25" s="46">
        <v>0</v>
      </c>
      <c r="S25" s="46">
        <v>300</v>
      </c>
      <c r="T25" s="46">
        <v>300</v>
      </c>
      <c r="U25" s="46">
        <v>300</v>
      </c>
      <c r="V25" s="46">
        <v>0</v>
      </c>
      <c r="W25" s="46">
        <v>300</v>
      </c>
      <c r="X25" s="47">
        <f t="shared" si="3"/>
        <v>3000</v>
      </c>
      <c r="Y25" s="46">
        <v>300</v>
      </c>
      <c r="Z25" s="46">
        <v>300</v>
      </c>
      <c r="AA25" s="46">
        <v>300</v>
      </c>
      <c r="AB25" s="46">
        <v>300</v>
      </c>
      <c r="AC25" s="46">
        <v>300</v>
      </c>
      <c r="AD25" s="46">
        <v>300</v>
      </c>
      <c r="AE25" s="46">
        <v>300</v>
      </c>
      <c r="AF25" s="46">
        <v>300</v>
      </c>
      <c r="AG25" s="46">
        <v>300</v>
      </c>
      <c r="AH25" s="46">
        <v>300</v>
      </c>
      <c r="AI25" s="46">
        <v>400</v>
      </c>
      <c r="AJ25" s="46">
        <v>400</v>
      </c>
      <c r="AK25" s="47">
        <f t="shared" si="4"/>
        <v>3800</v>
      </c>
      <c r="AL25" s="46">
        <v>400</v>
      </c>
      <c r="AM25" s="46">
        <v>400</v>
      </c>
      <c r="AN25" s="46">
        <v>400</v>
      </c>
      <c r="AO25" s="46">
        <v>400</v>
      </c>
      <c r="AP25" s="46">
        <v>400</v>
      </c>
      <c r="AQ25" s="46">
        <v>400</v>
      </c>
      <c r="AR25" s="46">
        <v>400</v>
      </c>
      <c r="AS25" s="46">
        <v>400</v>
      </c>
      <c r="AT25" s="46">
        <v>400</v>
      </c>
      <c r="AU25" s="46">
        <v>400</v>
      </c>
      <c r="AV25" s="46">
        <v>400</v>
      </c>
      <c r="AW25" s="46">
        <v>400</v>
      </c>
      <c r="AX25" s="47">
        <f t="shared" si="7"/>
        <v>4800</v>
      </c>
      <c r="AY25" s="313">
        <f>SUMIF(Recibos!$D$4:$D$7493,Cobranza!$B25,Recibos!K$4:K$7493)</f>
        <v>400</v>
      </c>
      <c r="AZ25" s="313">
        <f>SUMIF(Recibos!$D$4:$D$7493,Cobranza!$B25,Recibos!L$4:L$7493)</f>
        <v>400</v>
      </c>
      <c r="BA25" s="313">
        <f>SUMIF(Recibos!$D$4:$D$7493,Cobranza!$B25,Recibos!M$4:M$7493)</f>
        <v>400</v>
      </c>
      <c r="BB25" s="313">
        <f>SUMIF(Recibos!$D$4:$D$7493,Cobranza!$B25,Recibos!N$4:N$7493)</f>
        <v>400</v>
      </c>
      <c r="BC25" s="313">
        <f>SUMIF(Recibos!$D$4:$D$7493,Cobranza!$B25,Recibos!O$4:O$7493)</f>
        <v>400</v>
      </c>
      <c r="BD25" s="313">
        <f>SUMIF(Recibos!$D$4:$D$7493,Cobranza!$B25,Recibos!P$4:P$7493)</f>
        <v>400</v>
      </c>
      <c r="BE25" s="313">
        <f>SUMIF(Recibos!$D$4:$D$7493,Cobranza!$B25,Recibos!Q$4:Q$7493)</f>
        <v>400</v>
      </c>
      <c r="BF25" s="313">
        <f>SUMIF(Recibos!$D$4:$D$7493,Cobranza!$B25,Recibos!R$4:R$7493)</f>
        <v>400</v>
      </c>
      <c r="BG25" s="313">
        <f>SUMIF(Recibos!$D$4:$D$7493,Cobranza!$B25,Recibos!S$4:S$7493)</f>
        <v>400</v>
      </c>
      <c r="BH25" s="313">
        <f>SUMIF(Recibos!$D$4:$D$7493,Cobranza!$B25,Recibos!T$4:T$7493)</f>
        <v>400</v>
      </c>
      <c r="BI25" s="313">
        <f>SUMIF(Recibos!$D$4:$D$7493,Cobranza!$B25,Recibos!U$4:U$7493)</f>
        <v>400</v>
      </c>
      <c r="BJ25" s="313">
        <f>SUMIF(Recibos!$D$4:$D$7493,Cobranza!$B25,Recibos!V$4:V$7493)</f>
        <v>400</v>
      </c>
      <c r="BK25" s="314">
        <f t="shared" si="8"/>
        <v>4800</v>
      </c>
      <c r="BL25" s="313">
        <f>SUMIF(Recibos!$D$4:$D$7493,Cobranza!$B25,Recibos!X$4:X$7493)</f>
        <v>400</v>
      </c>
      <c r="BM25" s="313">
        <f>SUMIF(Recibos!$D$4:$D$7493,Cobranza!$B25,Recibos!Y$4:Y$7493)</f>
        <v>400</v>
      </c>
      <c r="BN25" s="313">
        <f>SUMIF(Recibos!$D$4:$D$7493,Cobranza!$B25,Recibos!Z$4:Z$7493)</f>
        <v>400</v>
      </c>
      <c r="BO25" s="313">
        <f>SUMIF(Recibos!$D$4:$D$7493,Cobranza!$B25,Recibos!AA$4:AA$7493)</f>
        <v>400</v>
      </c>
      <c r="BP25" s="313">
        <f>SUMIF(Recibos!$D$4:$D$7493,Cobranza!$B25,Recibos!AB$4:AB$7493)</f>
        <v>400</v>
      </c>
      <c r="BQ25" s="313">
        <f>SUMIF(Recibos!$D$4:$D$7493,Cobranza!$B25,Recibos!AC$4:AC$7493)</f>
        <v>400</v>
      </c>
      <c r="BR25" s="313">
        <f>SUMIF(Recibos!$D$4:$D$7493,Cobranza!$B25,Recibos!AD$4:AD$7493)</f>
        <v>400</v>
      </c>
      <c r="BS25" s="313">
        <f>SUMIF(Recibos!$D$4:$D$7493,Cobranza!$B25,Recibos!AE$4:AE$7493)</f>
        <v>400</v>
      </c>
      <c r="BT25" s="313">
        <f>SUMIF(Recibos!$D$4:$D$7493,Cobranza!$B25,Recibos!AF$4:AF$7493)</f>
        <v>400</v>
      </c>
      <c r="BU25" s="313">
        <f>SUMIF(Recibos!$D$4:$D$7493,Cobranza!$B25,Recibos!AG$4:AG$7493)</f>
        <v>400</v>
      </c>
      <c r="BV25" s="313">
        <f>SUMIF(Recibos!$D$4:$D$7493,Cobranza!$B25,Recibos!AH$4:AH$7493)</f>
        <v>400</v>
      </c>
      <c r="BW25" s="313">
        <f>SUMIF(Recibos!$D$4:$D$7493,Cobranza!$B25,Recibos!AI$4:AI$7493)</f>
        <v>400</v>
      </c>
      <c r="BX25" s="314">
        <f t="shared" si="9"/>
        <v>4800</v>
      </c>
      <c r="BY25" s="313">
        <f>SUMIF(Recibos!$D$4:$D$7493,Cobranza!$B25,Recibos!AK$4:AK$7493)</f>
        <v>400</v>
      </c>
      <c r="BZ25" s="313">
        <f>SUMIF(Recibos!$D$4:$D$7493,Cobranza!$B25,Recibos!AL$4:AL$7493)</f>
        <v>400</v>
      </c>
      <c r="CA25" s="313">
        <f>SUMIF(Recibos!$D$4:$D$7493,Cobranza!$B25,Recibos!AM$4:AM$7493)</f>
        <v>400</v>
      </c>
      <c r="CB25" s="313">
        <f>SUMIF(Recibos!$D$4:$D$7493,Cobranza!$B25,Recibos!AN$4:AN$7493)</f>
        <v>400</v>
      </c>
      <c r="CC25" s="313">
        <f>SUMIF(Recibos!$D$4:$D$7493,Cobranza!$B25,Recibos!AO$4:AO$7493)</f>
        <v>400</v>
      </c>
      <c r="CD25" s="313">
        <f>SUMIF(Recibos!$D$4:$D$7493,Cobranza!$B25,Recibos!AP$4:AP$7493)</f>
        <v>400</v>
      </c>
      <c r="CE25" s="313">
        <f>SUMIF(Recibos!$D$4:$D$7493,Cobranza!$B25,Recibos!AQ$4:AQ$7493)</f>
        <v>400</v>
      </c>
      <c r="CF25" s="313">
        <f>SUMIF(Recibos!$D$4:$D$7493,Cobranza!$B25,Recibos!AR$4:AR$7493)</f>
        <v>400</v>
      </c>
      <c r="CG25" s="313">
        <f>SUMIF(Recibos!$D$4:$D$7493,Cobranza!$B25,Recibos!AS$4:AS$7493)</f>
        <v>0</v>
      </c>
      <c r="CH25" s="313">
        <f>SUMIF(Recibos!$D$4:$D$7493,Cobranza!$B25,Recibos!AT$4:AT$7493)</f>
        <v>0</v>
      </c>
      <c r="CI25" s="313">
        <f>SUMIF(Recibos!$D$4:$D$7493,Cobranza!$B25,Recibos!AU$4:AU$7493)</f>
        <v>0</v>
      </c>
      <c r="CJ25" s="313">
        <f>SUMIF(Recibos!$D$4:$D$7493,Cobranza!$B25,Recibos!AV$4:AV$7493)</f>
        <v>0</v>
      </c>
      <c r="CK25" s="314">
        <f t="shared" si="6"/>
        <v>3200</v>
      </c>
    </row>
    <row r="26" spans="2:89" x14ac:dyDescent="0.2">
      <c r="B26" s="42" t="s">
        <v>1134</v>
      </c>
      <c r="C26" s="42" t="s">
        <v>1135</v>
      </c>
      <c r="D26" s="42" t="s">
        <v>1136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4">
        <f t="shared" si="2"/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4">
        <f t="shared" si="3"/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4">
        <f t="shared" si="4"/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4">
        <f t="shared" si="7"/>
        <v>0</v>
      </c>
      <c r="AY26" s="311">
        <f>SUMIF(Recibos!$D$4:$D$7493,Cobranza!$B26,Recibos!K$4:K$7493)</f>
        <v>0</v>
      </c>
      <c r="AZ26" s="311">
        <f>SUMIF(Recibos!$D$4:$D$7493,Cobranza!$B26,Recibos!L$4:L$7493)</f>
        <v>0</v>
      </c>
      <c r="BA26" s="311">
        <f>SUMIF(Recibos!$D$4:$D$7493,Cobranza!$B26,Recibos!M$4:M$7493)</f>
        <v>0</v>
      </c>
      <c r="BB26" s="311">
        <f>SUMIF(Recibos!$D$4:$D$7493,Cobranza!$B26,Recibos!N$4:N$7493)</f>
        <v>0</v>
      </c>
      <c r="BC26" s="311">
        <f>SUMIF(Recibos!$D$4:$D$7493,Cobranza!$B26,Recibos!O$4:O$7493)</f>
        <v>0</v>
      </c>
      <c r="BD26" s="311">
        <f>SUMIF(Recibos!$D$4:$D$7493,Cobranza!$B26,Recibos!P$4:P$7493)</f>
        <v>0</v>
      </c>
      <c r="BE26" s="311">
        <f>SUMIF(Recibos!$D$4:$D$7493,Cobranza!$B26,Recibos!Q$4:Q$7493)</f>
        <v>0</v>
      </c>
      <c r="BF26" s="311">
        <f>SUMIF(Recibos!$D$4:$D$7493,Cobranza!$B26,Recibos!R$4:R$7493)</f>
        <v>0</v>
      </c>
      <c r="BG26" s="311">
        <f>SUMIF(Recibos!$D$4:$D$7493,Cobranza!$B26,Recibos!S$4:S$7493)</f>
        <v>0</v>
      </c>
      <c r="BH26" s="311">
        <f>SUMIF(Recibos!$D$4:$D$7493,Cobranza!$B26,Recibos!T$4:T$7493)</f>
        <v>0</v>
      </c>
      <c r="BI26" s="311">
        <f>SUMIF(Recibos!$D$4:$D$7493,Cobranza!$B26,Recibos!U$4:U$7493)</f>
        <v>0</v>
      </c>
      <c r="BJ26" s="311">
        <f>SUMIF(Recibos!$D$4:$D$7493,Cobranza!$B26,Recibos!V$4:V$7493)</f>
        <v>0</v>
      </c>
      <c r="BK26" s="312">
        <f t="shared" si="8"/>
        <v>0</v>
      </c>
      <c r="BL26" s="311">
        <f>SUMIF(Recibos!$D$4:$D$7493,Cobranza!$B26,Recibos!X$4:X$7493)</f>
        <v>0</v>
      </c>
      <c r="BM26" s="311">
        <f>SUMIF(Recibos!$D$4:$D$7493,Cobranza!$B26,Recibos!Y$4:Y$7493)</f>
        <v>0</v>
      </c>
      <c r="BN26" s="311">
        <f>SUMIF(Recibos!$D$4:$D$7493,Cobranza!$B26,Recibos!Z$4:Z$7493)</f>
        <v>0</v>
      </c>
      <c r="BO26" s="311">
        <f>SUMIF(Recibos!$D$4:$D$7493,Cobranza!$B26,Recibos!AA$4:AA$7493)</f>
        <v>0</v>
      </c>
      <c r="BP26" s="311">
        <f>SUMIF(Recibos!$D$4:$D$7493,Cobranza!$B26,Recibos!AB$4:AB$7493)</f>
        <v>0</v>
      </c>
      <c r="BQ26" s="311">
        <f>SUMIF(Recibos!$D$4:$D$7493,Cobranza!$B26,Recibos!AC$4:AC$7493)</f>
        <v>0</v>
      </c>
      <c r="BR26" s="311">
        <f>SUMIF(Recibos!$D$4:$D$7493,Cobranza!$B26,Recibos!AD$4:AD$7493)</f>
        <v>0</v>
      </c>
      <c r="BS26" s="311">
        <f>SUMIF(Recibos!$D$4:$D$7493,Cobranza!$B26,Recibos!AE$4:AE$7493)</f>
        <v>0</v>
      </c>
      <c r="BT26" s="311">
        <f>SUMIF(Recibos!$D$4:$D$7493,Cobranza!$B26,Recibos!AF$4:AF$7493)</f>
        <v>0</v>
      </c>
      <c r="BU26" s="311">
        <f>SUMIF(Recibos!$D$4:$D$7493,Cobranza!$B26,Recibos!AG$4:AG$7493)</f>
        <v>0</v>
      </c>
      <c r="BV26" s="311">
        <f>SUMIF(Recibos!$D$4:$D$7493,Cobranza!$B26,Recibos!AH$4:AH$7493)</f>
        <v>0</v>
      </c>
      <c r="BW26" s="311">
        <f>SUMIF(Recibos!$D$4:$D$7493,Cobranza!$B26,Recibos!AI$4:AI$7493)</f>
        <v>0</v>
      </c>
      <c r="BX26" s="312">
        <f t="shared" si="9"/>
        <v>0</v>
      </c>
      <c r="BY26" s="311">
        <f>SUMIF(Recibos!$D$4:$D$7493,Cobranza!$B26,Recibos!AK$4:AK$7493)</f>
        <v>0</v>
      </c>
      <c r="BZ26" s="311">
        <f>SUMIF(Recibos!$D$4:$D$7493,Cobranza!$B26,Recibos!AL$4:AL$7493)</f>
        <v>0</v>
      </c>
      <c r="CA26" s="311">
        <f>SUMIF(Recibos!$D$4:$D$7493,Cobranza!$B26,Recibos!AM$4:AM$7493)</f>
        <v>0</v>
      </c>
      <c r="CB26" s="311">
        <f>SUMIF(Recibos!$D$4:$D$7493,Cobranza!$B26,Recibos!AN$4:AN$7493)</f>
        <v>0</v>
      </c>
      <c r="CC26" s="311">
        <f>SUMIF(Recibos!$D$4:$D$7493,Cobranza!$B26,Recibos!AO$4:AO$7493)</f>
        <v>0</v>
      </c>
      <c r="CD26" s="311">
        <f>SUMIF(Recibos!$D$4:$D$7493,Cobranza!$B26,Recibos!AP$4:AP$7493)</f>
        <v>0</v>
      </c>
      <c r="CE26" s="311">
        <f>SUMIF(Recibos!$D$4:$D$7493,Cobranza!$B26,Recibos!AQ$4:AQ$7493)</f>
        <v>0</v>
      </c>
      <c r="CF26" s="311">
        <f>SUMIF(Recibos!$D$4:$D$7493,Cobranza!$B26,Recibos!AR$4:AR$7493)</f>
        <v>0</v>
      </c>
      <c r="CG26" s="311">
        <f>SUMIF(Recibos!$D$4:$D$7493,Cobranza!$B26,Recibos!AS$4:AS$7493)</f>
        <v>0</v>
      </c>
      <c r="CH26" s="311">
        <f>SUMIF(Recibos!$D$4:$D$7493,Cobranza!$B26,Recibos!AT$4:AT$7493)</f>
        <v>0</v>
      </c>
      <c r="CI26" s="311">
        <f>SUMIF(Recibos!$D$4:$D$7493,Cobranza!$B26,Recibos!AU$4:AU$7493)</f>
        <v>0</v>
      </c>
      <c r="CJ26" s="311">
        <f>SUMIF(Recibos!$D$4:$D$7493,Cobranza!$B26,Recibos!AV$4:AV$7493)</f>
        <v>0</v>
      </c>
      <c r="CK26" s="312">
        <f t="shared" si="6"/>
        <v>0</v>
      </c>
    </row>
    <row r="27" spans="2:89" x14ac:dyDescent="0.2">
      <c r="B27" s="45" t="s">
        <v>1267</v>
      </c>
      <c r="C27" s="45" t="s">
        <v>1268</v>
      </c>
      <c r="D27" s="45" t="s">
        <v>1269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7">
        <f t="shared" si="2"/>
        <v>0</v>
      </c>
      <c r="L27" s="46">
        <v>300</v>
      </c>
      <c r="M27" s="46">
        <v>300</v>
      </c>
      <c r="N27" s="46">
        <v>300</v>
      </c>
      <c r="O27" s="46">
        <v>400</v>
      </c>
      <c r="P27" s="46">
        <v>300</v>
      </c>
      <c r="Q27" s="46">
        <v>300</v>
      </c>
      <c r="R27" s="46">
        <v>300</v>
      </c>
      <c r="S27" s="46">
        <v>300</v>
      </c>
      <c r="T27" s="46">
        <v>300</v>
      </c>
      <c r="U27" s="46">
        <v>400</v>
      </c>
      <c r="V27" s="46">
        <v>400</v>
      </c>
      <c r="W27" s="46">
        <v>400</v>
      </c>
      <c r="X27" s="47">
        <f t="shared" si="3"/>
        <v>4000</v>
      </c>
      <c r="Y27" s="46">
        <v>300</v>
      </c>
      <c r="Z27" s="46">
        <v>0</v>
      </c>
      <c r="AA27" s="46">
        <v>0</v>
      </c>
      <c r="AB27" s="46">
        <v>0</v>
      </c>
      <c r="AC27" s="46">
        <v>400</v>
      </c>
      <c r="AD27" s="46">
        <v>300</v>
      </c>
      <c r="AE27" s="46">
        <v>300</v>
      </c>
      <c r="AF27" s="46">
        <v>300</v>
      </c>
      <c r="AG27" s="46">
        <v>0</v>
      </c>
      <c r="AH27" s="46">
        <v>0</v>
      </c>
      <c r="AI27" s="46">
        <v>0</v>
      </c>
      <c r="AJ27" s="46">
        <v>0</v>
      </c>
      <c r="AK27" s="47">
        <f t="shared" si="4"/>
        <v>1600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7">
        <f t="shared" si="7"/>
        <v>0</v>
      </c>
      <c r="AY27" s="313">
        <f>SUMIF(Recibos!$D$4:$D$7493,Cobranza!$B27,Recibos!K$4:K$7493)</f>
        <v>0</v>
      </c>
      <c r="AZ27" s="313">
        <f>SUMIF(Recibos!$D$4:$D$7493,Cobranza!$B27,Recibos!L$4:L$7493)</f>
        <v>0</v>
      </c>
      <c r="BA27" s="313">
        <f>SUMIF(Recibos!$D$4:$D$7493,Cobranza!$B27,Recibos!M$4:M$7493)</f>
        <v>0</v>
      </c>
      <c r="BB27" s="313">
        <f>SUMIF(Recibos!$D$4:$D$7493,Cobranza!$B27,Recibos!N$4:N$7493)</f>
        <v>0</v>
      </c>
      <c r="BC27" s="313">
        <f>SUMIF(Recibos!$D$4:$D$7493,Cobranza!$B27,Recibos!O$4:O$7493)</f>
        <v>0</v>
      </c>
      <c r="BD27" s="313">
        <f>SUMIF(Recibos!$D$4:$D$7493,Cobranza!$B27,Recibos!P$4:P$7493)</f>
        <v>0</v>
      </c>
      <c r="BE27" s="313">
        <f>SUMIF(Recibos!$D$4:$D$7493,Cobranza!$B27,Recibos!Q$4:Q$7493)</f>
        <v>0</v>
      </c>
      <c r="BF27" s="313">
        <f>SUMIF(Recibos!$D$4:$D$7493,Cobranza!$B27,Recibos!R$4:R$7493)</f>
        <v>0</v>
      </c>
      <c r="BG27" s="313">
        <f>SUMIF(Recibos!$D$4:$D$7493,Cobranza!$B27,Recibos!S$4:S$7493)</f>
        <v>0</v>
      </c>
      <c r="BH27" s="313">
        <f>SUMIF(Recibos!$D$4:$D$7493,Cobranza!$B27,Recibos!T$4:T$7493)</f>
        <v>0</v>
      </c>
      <c r="BI27" s="313">
        <f>SUMIF(Recibos!$D$4:$D$7493,Cobranza!$B27,Recibos!U$4:U$7493)</f>
        <v>0</v>
      </c>
      <c r="BJ27" s="313">
        <f>SUMIF(Recibos!$D$4:$D$7493,Cobranza!$B27,Recibos!V$4:V$7493)</f>
        <v>300</v>
      </c>
      <c r="BK27" s="314">
        <f t="shared" si="8"/>
        <v>300</v>
      </c>
      <c r="BL27" s="313">
        <f>SUMIF(Recibos!$D$4:$D$7493,Cobranza!$B27,Recibos!X$4:X$7493)</f>
        <v>300</v>
      </c>
      <c r="BM27" s="313">
        <f>SUMIF(Recibos!$D$4:$D$7493,Cobranza!$B27,Recibos!Y$4:Y$7493)</f>
        <v>300</v>
      </c>
      <c r="BN27" s="313">
        <f>SUMIF(Recibos!$D$4:$D$7493,Cobranza!$B27,Recibos!Z$4:Z$7493)</f>
        <v>300</v>
      </c>
      <c r="BO27" s="313">
        <f>SUMIF(Recibos!$D$4:$D$7493,Cobranza!$B27,Recibos!AA$4:AA$7493)</f>
        <v>300</v>
      </c>
      <c r="BP27" s="313">
        <f>SUMIF(Recibos!$D$4:$D$7493,Cobranza!$B27,Recibos!AB$4:AB$7493)</f>
        <v>300</v>
      </c>
      <c r="BQ27" s="313">
        <f>SUMIF(Recibos!$D$4:$D$7493,Cobranza!$B27,Recibos!AC$4:AC$7493)</f>
        <v>300</v>
      </c>
      <c r="BR27" s="313">
        <f>SUMIF(Recibos!$D$4:$D$7493,Cobranza!$B27,Recibos!AD$4:AD$7493)</f>
        <v>300</v>
      </c>
      <c r="BS27" s="313">
        <f>SUMIF(Recibos!$D$4:$D$7493,Cobranza!$B27,Recibos!AE$4:AE$7493)</f>
        <v>300</v>
      </c>
      <c r="BT27" s="313">
        <f>SUMIF(Recibos!$D$4:$D$7493,Cobranza!$B27,Recibos!AF$4:AF$7493)</f>
        <v>300</v>
      </c>
      <c r="BU27" s="313">
        <f>SUMIF(Recibos!$D$4:$D$7493,Cobranza!$B27,Recibos!AG$4:AG$7493)</f>
        <v>300</v>
      </c>
      <c r="BV27" s="313">
        <f>SUMIF(Recibos!$D$4:$D$7493,Cobranza!$B27,Recibos!AH$4:AH$7493)</f>
        <v>300</v>
      </c>
      <c r="BW27" s="313">
        <f>SUMIF(Recibos!$D$4:$D$7493,Cobranza!$B27,Recibos!AI$4:AI$7493)</f>
        <v>300</v>
      </c>
      <c r="BX27" s="314">
        <f t="shared" si="9"/>
        <v>3600</v>
      </c>
      <c r="BY27" s="313">
        <f>SUMIF(Recibos!$D$4:$D$7493,Cobranza!$B27,Recibos!AK$4:AK$7493)</f>
        <v>300</v>
      </c>
      <c r="BZ27" s="313">
        <f>SUMIF(Recibos!$D$4:$D$7493,Cobranza!$B27,Recibos!AL$4:AL$7493)</f>
        <v>300</v>
      </c>
      <c r="CA27" s="313">
        <f>SUMIF(Recibos!$D$4:$D$7493,Cobranza!$B27,Recibos!AM$4:AM$7493)</f>
        <v>300</v>
      </c>
      <c r="CB27" s="313">
        <f>SUMIF(Recibos!$D$4:$D$7493,Cobranza!$B27,Recibos!AN$4:AN$7493)</f>
        <v>300</v>
      </c>
      <c r="CC27" s="313">
        <f>SUMIF(Recibos!$D$4:$D$7493,Cobranza!$B27,Recibos!AO$4:AO$7493)</f>
        <v>300</v>
      </c>
      <c r="CD27" s="313">
        <f>SUMIF(Recibos!$D$4:$D$7493,Cobranza!$B27,Recibos!AP$4:AP$7493)</f>
        <v>0</v>
      </c>
      <c r="CE27" s="313">
        <f>SUMIF(Recibos!$D$4:$D$7493,Cobranza!$B27,Recibos!AQ$4:AQ$7493)</f>
        <v>0</v>
      </c>
      <c r="CF27" s="313">
        <f>SUMIF(Recibos!$D$4:$D$7493,Cobranza!$B27,Recibos!AR$4:AR$7493)</f>
        <v>0</v>
      </c>
      <c r="CG27" s="313">
        <f>SUMIF(Recibos!$D$4:$D$7493,Cobranza!$B27,Recibos!AS$4:AS$7493)</f>
        <v>0</v>
      </c>
      <c r="CH27" s="313">
        <f>SUMIF(Recibos!$D$4:$D$7493,Cobranza!$B27,Recibos!AT$4:AT$7493)</f>
        <v>0</v>
      </c>
      <c r="CI27" s="313">
        <f>SUMIF(Recibos!$D$4:$D$7493,Cobranza!$B27,Recibos!AU$4:AU$7493)</f>
        <v>0</v>
      </c>
      <c r="CJ27" s="313">
        <f>SUMIF(Recibos!$D$4:$D$7493,Cobranza!$B27,Recibos!AV$4:AV$7493)</f>
        <v>0</v>
      </c>
      <c r="CK27" s="314">
        <f t="shared" si="6"/>
        <v>1500</v>
      </c>
    </row>
    <row r="28" spans="2:89" x14ac:dyDescent="0.2">
      <c r="B28" s="42" t="s">
        <v>620</v>
      </c>
      <c r="C28" s="42" t="s">
        <v>621</v>
      </c>
      <c r="D28" s="42" t="s">
        <v>366</v>
      </c>
      <c r="E28" s="43">
        <v>0</v>
      </c>
      <c r="F28" s="43">
        <v>0</v>
      </c>
      <c r="G28" s="43">
        <v>300</v>
      </c>
      <c r="H28" s="43">
        <v>300</v>
      </c>
      <c r="I28" s="43">
        <v>300</v>
      </c>
      <c r="J28" s="43">
        <v>300</v>
      </c>
      <c r="K28" s="44">
        <f t="shared" si="2"/>
        <v>1200</v>
      </c>
      <c r="L28" s="43">
        <v>300</v>
      </c>
      <c r="M28" s="43">
        <v>300</v>
      </c>
      <c r="N28" s="43">
        <v>300</v>
      </c>
      <c r="O28" s="43">
        <v>300</v>
      </c>
      <c r="P28" s="43">
        <v>300</v>
      </c>
      <c r="Q28" s="43">
        <v>300</v>
      </c>
      <c r="R28" s="43">
        <v>300</v>
      </c>
      <c r="S28" s="43">
        <v>300</v>
      </c>
      <c r="T28" s="43">
        <v>300</v>
      </c>
      <c r="U28" s="43">
        <v>400</v>
      </c>
      <c r="V28" s="43">
        <v>400</v>
      </c>
      <c r="W28" s="43">
        <v>400</v>
      </c>
      <c r="X28" s="44">
        <f t="shared" si="3"/>
        <v>3900</v>
      </c>
      <c r="Y28" s="43">
        <v>400</v>
      </c>
      <c r="Z28" s="43">
        <v>400</v>
      </c>
      <c r="AA28" s="43">
        <v>400</v>
      </c>
      <c r="AB28" s="43">
        <v>400</v>
      </c>
      <c r="AC28" s="43">
        <v>400</v>
      </c>
      <c r="AD28" s="43">
        <v>0</v>
      </c>
      <c r="AE28" s="43">
        <v>800</v>
      </c>
      <c r="AF28" s="43">
        <v>400</v>
      </c>
      <c r="AG28" s="43">
        <v>400</v>
      </c>
      <c r="AH28" s="43">
        <v>400</v>
      </c>
      <c r="AI28" s="43">
        <v>400</v>
      </c>
      <c r="AJ28" s="43">
        <v>400</v>
      </c>
      <c r="AK28" s="44">
        <f t="shared" si="4"/>
        <v>4800</v>
      </c>
      <c r="AL28" s="43">
        <v>400</v>
      </c>
      <c r="AM28" s="43">
        <v>400</v>
      </c>
      <c r="AN28" s="43">
        <v>400</v>
      </c>
      <c r="AO28" s="43">
        <v>400</v>
      </c>
      <c r="AP28" s="43">
        <v>400</v>
      </c>
      <c r="AQ28" s="43">
        <v>400</v>
      </c>
      <c r="AR28" s="43">
        <v>400</v>
      </c>
      <c r="AS28" s="43">
        <v>400</v>
      </c>
      <c r="AT28" s="43">
        <v>400</v>
      </c>
      <c r="AU28" s="43">
        <v>400</v>
      </c>
      <c r="AV28" s="43">
        <v>400</v>
      </c>
      <c r="AW28" s="43">
        <v>400</v>
      </c>
      <c r="AX28" s="44">
        <f t="shared" si="7"/>
        <v>4800</v>
      </c>
      <c r="AY28" s="311">
        <f>SUMIF(Recibos!$D$4:$D$7493,Cobranza!$B28,Recibos!K$4:K$7493)</f>
        <v>400</v>
      </c>
      <c r="AZ28" s="311">
        <f>SUMIF(Recibos!$D$4:$D$7493,Cobranza!$B28,Recibos!L$4:L$7493)</f>
        <v>400</v>
      </c>
      <c r="BA28" s="311">
        <f>SUMIF(Recibos!$D$4:$D$7493,Cobranza!$B28,Recibos!M$4:M$7493)</f>
        <v>400</v>
      </c>
      <c r="BB28" s="311">
        <f>SUMIF(Recibos!$D$4:$D$7493,Cobranza!$B28,Recibos!N$4:N$7493)</f>
        <v>400</v>
      </c>
      <c r="BC28" s="311">
        <f>SUMIF(Recibos!$D$4:$D$7493,Cobranza!$B28,Recibos!O$4:O$7493)</f>
        <v>400</v>
      </c>
      <c r="BD28" s="311">
        <f>SUMIF(Recibos!$D$4:$D$7493,Cobranza!$B28,Recibos!P$4:P$7493)</f>
        <v>400</v>
      </c>
      <c r="BE28" s="311">
        <f>SUMIF(Recibos!$D$4:$D$7493,Cobranza!$B28,Recibos!Q$4:Q$7493)</f>
        <v>400</v>
      </c>
      <c r="BF28" s="311">
        <f>SUMIF(Recibos!$D$4:$D$7493,Cobranza!$B28,Recibos!R$4:R$7493)</f>
        <v>400</v>
      </c>
      <c r="BG28" s="311">
        <f>SUMIF(Recibos!$D$4:$D$7493,Cobranza!$B28,Recibos!S$4:S$7493)</f>
        <v>400</v>
      </c>
      <c r="BH28" s="311">
        <f>SUMIF(Recibos!$D$4:$D$7493,Cobranza!$B28,Recibos!T$4:T$7493)</f>
        <v>400</v>
      </c>
      <c r="BI28" s="311">
        <f>SUMIF(Recibos!$D$4:$D$7493,Cobranza!$B28,Recibos!U$4:U$7493)</f>
        <v>400</v>
      </c>
      <c r="BJ28" s="311">
        <f>SUMIF(Recibos!$D$4:$D$7493,Cobranza!$B28,Recibos!V$4:V$7493)</f>
        <v>400</v>
      </c>
      <c r="BK28" s="312">
        <f t="shared" si="8"/>
        <v>4800</v>
      </c>
      <c r="BL28" s="311">
        <f>SUMIF(Recibos!$D$4:$D$7493,Cobranza!$B28,Recibos!X$4:X$7493)</f>
        <v>0</v>
      </c>
      <c r="BM28" s="311">
        <f>SUMIF(Recibos!$D$4:$D$7493,Cobranza!$B28,Recibos!Y$4:Y$7493)</f>
        <v>400</v>
      </c>
      <c r="BN28" s="311">
        <f>SUMIF(Recibos!$D$4:$D$7493,Cobranza!$B28,Recibos!Z$4:Z$7493)</f>
        <v>400</v>
      </c>
      <c r="BO28" s="311">
        <f>SUMIF(Recibos!$D$4:$D$7493,Cobranza!$B28,Recibos!AA$4:AA$7493)</f>
        <v>400</v>
      </c>
      <c r="BP28" s="311">
        <f>SUMIF(Recibos!$D$4:$D$7493,Cobranza!$B28,Recibos!AB$4:AB$7493)</f>
        <v>400</v>
      </c>
      <c r="BQ28" s="311">
        <f>SUMIF(Recibos!$D$4:$D$7493,Cobranza!$B28,Recibos!AC$4:AC$7493)</f>
        <v>400</v>
      </c>
      <c r="BR28" s="311">
        <f>SUMIF(Recibos!$D$4:$D$7493,Cobranza!$B28,Recibos!AD$4:AD$7493)</f>
        <v>400</v>
      </c>
      <c r="BS28" s="311">
        <f>SUMIF(Recibos!$D$4:$D$7493,Cobranza!$B28,Recibos!AE$4:AE$7493)</f>
        <v>400</v>
      </c>
      <c r="BT28" s="311">
        <f>SUMIF(Recibos!$D$4:$D$7493,Cobranza!$B28,Recibos!AF$4:AF$7493)</f>
        <v>400</v>
      </c>
      <c r="BU28" s="311">
        <f>SUMIF(Recibos!$D$4:$D$7493,Cobranza!$B28,Recibos!AG$4:AG$7493)</f>
        <v>400</v>
      </c>
      <c r="BV28" s="311">
        <f>SUMIF(Recibos!$D$4:$D$7493,Cobranza!$B28,Recibos!AH$4:AH$7493)</f>
        <v>400</v>
      </c>
      <c r="BW28" s="311">
        <f>SUMIF(Recibos!$D$4:$D$7493,Cobranza!$B28,Recibos!AI$4:AI$7493)</f>
        <v>400</v>
      </c>
      <c r="BX28" s="312">
        <f t="shared" si="9"/>
        <v>4400</v>
      </c>
      <c r="BY28" s="311">
        <f>SUMIF(Recibos!$D$4:$D$7493,Cobranza!$B28,Recibos!AK$4:AK$7493)</f>
        <v>400</v>
      </c>
      <c r="BZ28" s="311">
        <f>SUMIF(Recibos!$D$4:$D$7493,Cobranza!$B28,Recibos!AL$4:AL$7493)</f>
        <v>400</v>
      </c>
      <c r="CA28" s="311">
        <f>SUMIF(Recibos!$D$4:$D$7493,Cobranza!$B28,Recibos!AM$4:AM$7493)</f>
        <v>400</v>
      </c>
      <c r="CB28" s="311">
        <f>SUMIF(Recibos!$D$4:$D$7493,Cobranza!$B28,Recibos!AN$4:AN$7493)</f>
        <v>400</v>
      </c>
      <c r="CC28" s="311">
        <f>SUMIF(Recibos!$D$4:$D$7493,Cobranza!$B28,Recibos!AO$4:AO$7493)</f>
        <v>400</v>
      </c>
      <c r="CD28" s="311">
        <f>SUMIF(Recibos!$D$4:$D$7493,Cobranza!$B28,Recibos!AP$4:AP$7493)</f>
        <v>400</v>
      </c>
      <c r="CE28" s="311">
        <f>SUMIF(Recibos!$D$4:$D$7493,Cobranza!$B28,Recibos!AQ$4:AQ$7493)</f>
        <v>400</v>
      </c>
      <c r="CF28" s="311">
        <f>SUMIF(Recibos!$D$4:$D$7493,Cobranza!$B28,Recibos!AR$4:AR$7493)</f>
        <v>400</v>
      </c>
      <c r="CG28" s="311">
        <f>SUMIF(Recibos!$D$4:$D$7493,Cobranza!$B28,Recibos!AS$4:AS$7493)</f>
        <v>400</v>
      </c>
      <c r="CH28" s="311">
        <f>SUMIF(Recibos!$D$4:$D$7493,Cobranza!$B28,Recibos!AT$4:AT$7493)</f>
        <v>0</v>
      </c>
      <c r="CI28" s="311">
        <f>SUMIF(Recibos!$D$4:$D$7493,Cobranza!$B28,Recibos!AU$4:AU$7493)</f>
        <v>0</v>
      </c>
      <c r="CJ28" s="311">
        <f>SUMIF(Recibos!$D$4:$D$7493,Cobranza!$B28,Recibos!AV$4:AV$7493)</f>
        <v>0</v>
      </c>
      <c r="CK28" s="312">
        <f t="shared" si="6"/>
        <v>3600</v>
      </c>
    </row>
    <row r="29" spans="2:89" x14ac:dyDescent="0.2">
      <c r="B29" s="45" t="s">
        <v>150</v>
      </c>
      <c r="C29" s="45" t="s">
        <v>151</v>
      </c>
      <c r="D29" s="45" t="s">
        <v>152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300</v>
      </c>
      <c r="K29" s="47">
        <f t="shared" si="2"/>
        <v>300</v>
      </c>
      <c r="L29" s="46">
        <v>300</v>
      </c>
      <c r="M29" s="46">
        <v>300</v>
      </c>
      <c r="N29" s="46">
        <v>300</v>
      </c>
      <c r="O29" s="46">
        <v>300</v>
      </c>
      <c r="P29" s="46">
        <v>300</v>
      </c>
      <c r="Q29" s="46">
        <v>300</v>
      </c>
      <c r="R29" s="46">
        <v>300</v>
      </c>
      <c r="S29" s="46">
        <v>300</v>
      </c>
      <c r="T29" s="46">
        <v>300</v>
      </c>
      <c r="U29" s="46">
        <v>400</v>
      </c>
      <c r="V29" s="46">
        <v>400</v>
      </c>
      <c r="W29" s="46">
        <v>400</v>
      </c>
      <c r="X29" s="47">
        <f t="shared" si="3"/>
        <v>3900</v>
      </c>
      <c r="Y29" s="46">
        <v>400</v>
      </c>
      <c r="Z29" s="46">
        <v>400</v>
      </c>
      <c r="AA29" s="46">
        <v>400</v>
      </c>
      <c r="AB29" s="46">
        <v>400</v>
      </c>
      <c r="AC29" s="46">
        <v>400</v>
      </c>
      <c r="AD29" s="46">
        <v>400</v>
      </c>
      <c r="AE29" s="46">
        <v>400</v>
      </c>
      <c r="AF29" s="46">
        <v>400</v>
      </c>
      <c r="AG29" s="46">
        <v>400</v>
      </c>
      <c r="AH29" s="46">
        <v>400</v>
      </c>
      <c r="AI29" s="46">
        <v>400</v>
      </c>
      <c r="AJ29" s="46">
        <v>400</v>
      </c>
      <c r="AK29" s="47">
        <f t="shared" si="4"/>
        <v>4800</v>
      </c>
      <c r="AL29" s="46">
        <v>400</v>
      </c>
      <c r="AM29" s="46">
        <v>400</v>
      </c>
      <c r="AN29" s="46">
        <v>400</v>
      </c>
      <c r="AO29" s="46">
        <v>400</v>
      </c>
      <c r="AP29" s="46">
        <v>400</v>
      </c>
      <c r="AQ29" s="46">
        <v>400</v>
      </c>
      <c r="AR29" s="46">
        <v>400</v>
      </c>
      <c r="AS29" s="46">
        <v>400</v>
      </c>
      <c r="AT29" s="46">
        <v>400</v>
      </c>
      <c r="AU29" s="46">
        <v>400</v>
      </c>
      <c r="AV29" s="46">
        <v>400</v>
      </c>
      <c r="AW29" s="46">
        <v>400</v>
      </c>
      <c r="AX29" s="47">
        <f t="shared" si="7"/>
        <v>4800</v>
      </c>
      <c r="AY29" s="313">
        <f>SUMIF(Recibos!$D$4:$D$7493,Cobranza!$B29,Recibos!K$4:K$7493)</f>
        <v>400</v>
      </c>
      <c r="AZ29" s="313">
        <f>SUMIF(Recibos!$D$4:$D$7493,Cobranza!$B29,Recibos!L$4:L$7493)</f>
        <v>400</v>
      </c>
      <c r="BA29" s="313">
        <f>SUMIF(Recibos!$D$4:$D$7493,Cobranza!$B29,Recibos!M$4:M$7493)</f>
        <v>400</v>
      </c>
      <c r="BB29" s="313">
        <f>SUMIF(Recibos!$D$4:$D$7493,Cobranza!$B29,Recibos!N$4:N$7493)</f>
        <v>400</v>
      </c>
      <c r="BC29" s="313">
        <f>SUMIF(Recibos!$D$4:$D$7493,Cobranza!$B29,Recibos!O$4:O$7493)</f>
        <v>400</v>
      </c>
      <c r="BD29" s="313">
        <f>SUMIF(Recibos!$D$4:$D$7493,Cobranza!$B29,Recibos!P$4:P$7493)</f>
        <v>400</v>
      </c>
      <c r="BE29" s="313">
        <f>SUMIF(Recibos!$D$4:$D$7493,Cobranza!$B29,Recibos!Q$4:Q$7493)</f>
        <v>400</v>
      </c>
      <c r="BF29" s="313">
        <f>SUMIF(Recibos!$D$4:$D$7493,Cobranza!$B29,Recibos!R$4:R$7493)</f>
        <v>400</v>
      </c>
      <c r="BG29" s="313">
        <f>SUMIF(Recibos!$D$4:$D$7493,Cobranza!$B29,Recibos!S$4:S$7493)</f>
        <v>400</v>
      </c>
      <c r="BH29" s="313">
        <f>SUMIF(Recibos!$D$4:$D$7493,Cobranza!$B29,Recibos!T$4:T$7493)</f>
        <v>400</v>
      </c>
      <c r="BI29" s="313">
        <f>SUMIF(Recibos!$D$4:$D$7493,Cobranza!$B29,Recibos!U$4:U$7493)</f>
        <v>400</v>
      </c>
      <c r="BJ29" s="313">
        <f>SUMIF(Recibos!$D$4:$D$7493,Cobranza!$B29,Recibos!V$4:V$7493)</f>
        <v>400</v>
      </c>
      <c r="BK29" s="314">
        <f t="shared" si="8"/>
        <v>4800</v>
      </c>
      <c r="BL29" s="313">
        <f>SUMIF(Recibos!$D$4:$D$7493,Cobranza!$B29,Recibos!X$4:X$7493)</f>
        <v>400</v>
      </c>
      <c r="BM29" s="313">
        <f>SUMIF(Recibos!$D$4:$D$7493,Cobranza!$B29,Recibos!Y$4:Y$7493)</f>
        <v>400</v>
      </c>
      <c r="BN29" s="313">
        <f>SUMIF(Recibos!$D$4:$D$7493,Cobranza!$B29,Recibos!Z$4:Z$7493)</f>
        <v>400</v>
      </c>
      <c r="BO29" s="313">
        <f>SUMIF(Recibos!$D$4:$D$7493,Cobranza!$B29,Recibos!AA$4:AA$7493)</f>
        <v>400</v>
      </c>
      <c r="BP29" s="313">
        <f>SUMIF(Recibos!$D$4:$D$7493,Cobranza!$B29,Recibos!AB$4:AB$7493)</f>
        <v>400</v>
      </c>
      <c r="BQ29" s="313">
        <f>SUMIF(Recibos!$D$4:$D$7493,Cobranza!$B29,Recibos!AC$4:AC$7493)</f>
        <v>400</v>
      </c>
      <c r="BR29" s="313">
        <f>SUMIF(Recibos!$D$4:$D$7493,Cobranza!$B29,Recibos!AD$4:AD$7493)</f>
        <v>400</v>
      </c>
      <c r="BS29" s="313">
        <f>SUMIF(Recibos!$D$4:$D$7493,Cobranza!$B29,Recibos!AE$4:AE$7493)</f>
        <v>400</v>
      </c>
      <c r="BT29" s="313">
        <f>SUMIF(Recibos!$D$4:$D$7493,Cobranza!$B29,Recibos!AF$4:AF$7493)</f>
        <v>400</v>
      </c>
      <c r="BU29" s="313">
        <f>SUMIF(Recibos!$D$4:$D$7493,Cobranza!$B29,Recibos!AG$4:AG$7493)</f>
        <v>400</v>
      </c>
      <c r="BV29" s="313">
        <f>SUMIF(Recibos!$D$4:$D$7493,Cobranza!$B29,Recibos!AH$4:AH$7493)</f>
        <v>0</v>
      </c>
      <c r="BW29" s="313">
        <f>SUMIF(Recibos!$D$4:$D$7493,Cobranza!$B29,Recibos!AI$4:AI$7493)</f>
        <v>400</v>
      </c>
      <c r="BX29" s="314">
        <f t="shared" si="9"/>
        <v>4400</v>
      </c>
      <c r="BY29" s="313">
        <f>SUMIF(Recibos!$D$4:$D$7493,Cobranza!$B29,Recibos!AK$4:AK$7493)</f>
        <v>400</v>
      </c>
      <c r="BZ29" s="313">
        <f>SUMIF(Recibos!$D$4:$D$7493,Cobranza!$B29,Recibos!AL$4:AL$7493)</f>
        <v>400</v>
      </c>
      <c r="CA29" s="313">
        <f>SUMIF(Recibos!$D$4:$D$7493,Cobranza!$B29,Recibos!AM$4:AM$7493)</f>
        <v>400</v>
      </c>
      <c r="CB29" s="313">
        <f>SUMIF(Recibos!$D$4:$D$7493,Cobranza!$B29,Recibos!AN$4:AN$7493)</f>
        <v>400</v>
      </c>
      <c r="CC29" s="313">
        <f>SUMIF(Recibos!$D$4:$D$7493,Cobranza!$B29,Recibos!AO$4:AO$7493)</f>
        <v>400</v>
      </c>
      <c r="CD29" s="313">
        <f>SUMIF(Recibos!$D$4:$D$7493,Cobranza!$B29,Recibos!AP$4:AP$7493)</f>
        <v>400</v>
      </c>
      <c r="CE29" s="313">
        <f>SUMIF(Recibos!$D$4:$D$7493,Cobranza!$B29,Recibos!AQ$4:AQ$7493)</f>
        <v>400</v>
      </c>
      <c r="CF29" s="313">
        <f>SUMIF(Recibos!$D$4:$D$7493,Cobranza!$B29,Recibos!AR$4:AR$7493)</f>
        <v>400</v>
      </c>
      <c r="CG29" s="313">
        <f>SUMIF(Recibos!$D$4:$D$7493,Cobranza!$B29,Recibos!AS$4:AS$7493)</f>
        <v>400</v>
      </c>
      <c r="CH29" s="313">
        <f>SUMIF(Recibos!$D$4:$D$7493,Cobranza!$B29,Recibos!AT$4:AT$7493)</f>
        <v>400</v>
      </c>
      <c r="CI29" s="313">
        <f>SUMIF(Recibos!$D$4:$D$7493,Cobranza!$B29,Recibos!AU$4:AU$7493)</f>
        <v>400</v>
      </c>
      <c r="CJ29" s="313">
        <f>SUMIF(Recibos!$D$4:$D$7493,Cobranza!$B29,Recibos!AV$4:AV$7493)</f>
        <v>0</v>
      </c>
      <c r="CK29" s="314">
        <f t="shared" si="6"/>
        <v>4400</v>
      </c>
    </row>
    <row r="30" spans="2:89" x14ac:dyDescent="0.2">
      <c r="B30" s="42" t="s">
        <v>1095</v>
      </c>
      <c r="C30" s="42" t="s">
        <v>1096</v>
      </c>
      <c r="D30" s="42" t="s">
        <v>765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150</v>
      </c>
      <c r="K30" s="44">
        <f t="shared" si="2"/>
        <v>150</v>
      </c>
      <c r="L30" s="43">
        <v>150</v>
      </c>
      <c r="M30" s="43">
        <v>150</v>
      </c>
      <c r="N30" s="43">
        <v>150</v>
      </c>
      <c r="O30" s="43">
        <v>150</v>
      </c>
      <c r="P30" s="43">
        <v>150</v>
      </c>
      <c r="Q30" s="43">
        <v>150</v>
      </c>
      <c r="R30" s="43">
        <v>150</v>
      </c>
      <c r="S30" s="43">
        <v>150</v>
      </c>
      <c r="T30" s="43">
        <v>150</v>
      </c>
      <c r="U30" s="43">
        <v>150</v>
      </c>
      <c r="V30" s="43">
        <v>150</v>
      </c>
      <c r="W30" s="43">
        <v>150</v>
      </c>
      <c r="X30" s="44">
        <f t="shared" si="3"/>
        <v>1800</v>
      </c>
      <c r="Y30" s="43">
        <v>150</v>
      </c>
      <c r="Z30" s="43">
        <v>150</v>
      </c>
      <c r="AA30" s="43">
        <v>150</v>
      </c>
      <c r="AB30" s="43">
        <v>150</v>
      </c>
      <c r="AC30" s="43">
        <v>150</v>
      </c>
      <c r="AD30" s="43">
        <v>150</v>
      </c>
      <c r="AE30" s="43">
        <v>150</v>
      </c>
      <c r="AF30" s="43">
        <v>150</v>
      </c>
      <c r="AG30" s="43">
        <v>150</v>
      </c>
      <c r="AH30" s="43">
        <v>150</v>
      </c>
      <c r="AI30" s="43">
        <v>0</v>
      </c>
      <c r="AJ30" s="43">
        <v>0</v>
      </c>
      <c r="AK30" s="44">
        <f t="shared" si="4"/>
        <v>1500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4">
        <f t="shared" si="7"/>
        <v>0</v>
      </c>
      <c r="AY30" s="311">
        <f>SUMIF(Recibos!$D$4:$D$7493,Cobranza!$B30,Recibos!K$4:K$7493)</f>
        <v>0</v>
      </c>
      <c r="AZ30" s="311">
        <f>SUMIF(Recibos!$D$4:$D$7493,Cobranza!$B30,Recibos!L$4:L$7493)</f>
        <v>0</v>
      </c>
      <c r="BA30" s="311">
        <f>SUMIF(Recibos!$D$4:$D$7493,Cobranza!$B30,Recibos!M$4:M$7493)</f>
        <v>0</v>
      </c>
      <c r="BB30" s="311">
        <f>SUMIF(Recibos!$D$4:$D$7493,Cobranza!$B30,Recibos!N$4:N$7493)</f>
        <v>0</v>
      </c>
      <c r="BC30" s="311">
        <f>SUMIF(Recibos!$D$4:$D$7493,Cobranza!$B30,Recibos!O$4:O$7493)</f>
        <v>0</v>
      </c>
      <c r="BD30" s="311">
        <f>SUMIF(Recibos!$D$4:$D$7493,Cobranza!$B30,Recibos!P$4:P$7493)</f>
        <v>0</v>
      </c>
      <c r="BE30" s="311">
        <f>SUMIF(Recibos!$D$4:$D$7493,Cobranza!$B30,Recibos!Q$4:Q$7493)</f>
        <v>0</v>
      </c>
      <c r="BF30" s="311">
        <f>SUMIF(Recibos!$D$4:$D$7493,Cobranza!$B30,Recibos!R$4:R$7493)</f>
        <v>250</v>
      </c>
      <c r="BG30" s="311">
        <f>SUMIF(Recibos!$D$4:$D$7493,Cobranza!$B30,Recibos!S$4:S$7493)</f>
        <v>250</v>
      </c>
      <c r="BH30" s="311">
        <f>SUMIF(Recibos!$D$4:$D$7493,Cobranza!$B30,Recibos!T$4:T$7493)</f>
        <v>250</v>
      </c>
      <c r="BI30" s="311">
        <f>SUMIF(Recibos!$D$4:$D$7493,Cobranza!$B30,Recibos!U$4:U$7493)</f>
        <v>250</v>
      </c>
      <c r="BJ30" s="311">
        <f>SUMIF(Recibos!$D$4:$D$7493,Cobranza!$B30,Recibos!V$4:V$7493)</f>
        <v>250</v>
      </c>
      <c r="BK30" s="312">
        <f t="shared" si="8"/>
        <v>1250</v>
      </c>
      <c r="BL30" s="311">
        <f>SUMIF(Recibos!$D$4:$D$7493,Cobranza!$B30,Recibos!X$4:X$7493)</f>
        <v>250</v>
      </c>
      <c r="BM30" s="311">
        <f>SUMIF(Recibos!$D$4:$D$7493,Cobranza!$B30,Recibos!Y$4:Y$7493)</f>
        <v>250</v>
      </c>
      <c r="BN30" s="311">
        <f>SUMIF(Recibos!$D$4:$D$7493,Cobranza!$B30,Recibos!Z$4:Z$7493)</f>
        <v>250</v>
      </c>
      <c r="BO30" s="311">
        <f>SUMIF(Recibos!$D$4:$D$7493,Cobranza!$B30,Recibos!AA$4:AA$7493)</f>
        <v>250</v>
      </c>
      <c r="BP30" s="311">
        <f>SUMIF(Recibos!$D$4:$D$7493,Cobranza!$B30,Recibos!AB$4:AB$7493)</f>
        <v>250</v>
      </c>
      <c r="BQ30" s="311">
        <f>SUMIF(Recibos!$D$4:$D$7493,Cobranza!$B30,Recibos!AC$4:AC$7493)</f>
        <v>250</v>
      </c>
      <c r="BR30" s="311">
        <f>SUMIF(Recibos!$D$4:$D$7493,Cobranza!$B30,Recibos!AD$4:AD$7493)</f>
        <v>250</v>
      </c>
      <c r="BS30" s="311">
        <f>SUMIF(Recibos!$D$4:$D$7493,Cobranza!$B30,Recibos!AE$4:AE$7493)</f>
        <v>250</v>
      </c>
      <c r="BT30" s="311">
        <f>SUMIF(Recibos!$D$4:$D$7493,Cobranza!$B30,Recibos!AF$4:AF$7493)</f>
        <v>250</v>
      </c>
      <c r="BU30" s="311">
        <f>SUMIF(Recibos!$D$4:$D$7493,Cobranza!$B30,Recibos!AG$4:AG$7493)</f>
        <v>250</v>
      </c>
      <c r="BV30" s="311">
        <f>SUMIF(Recibos!$D$4:$D$7493,Cobranza!$B30,Recibos!AH$4:AH$7493)</f>
        <v>250</v>
      </c>
      <c r="BW30" s="311">
        <f>SUMIF(Recibos!$D$4:$D$7493,Cobranza!$B30,Recibos!AI$4:AI$7493)</f>
        <v>250</v>
      </c>
      <c r="BX30" s="312">
        <f t="shared" si="9"/>
        <v>3000</v>
      </c>
      <c r="BY30" s="311">
        <f>SUMIF(Recibos!$D$4:$D$7493,Cobranza!$B30,Recibos!AK$4:AK$7493)</f>
        <v>250</v>
      </c>
      <c r="BZ30" s="311">
        <f>SUMIF(Recibos!$D$4:$D$7493,Cobranza!$B30,Recibos!AL$4:AL$7493)</f>
        <v>250</v>
      </c>
      <c r="CA30" s="311">
        <f>SUMIF(Recibos!$D$4:$D$7493,Cobranza!$B30,Recibos!AM$4:AM$7493)</f>
        <v>250</v>
      </c>
      <c r="CB30" s="311">
        <f>SUMIF(Recibos!$D$4:$D$7493,Cobranza!$B30,Recibos!AN$4:AN$7493)</f>
        <v>250</v>
      </c>
      <c r="CC30" s="311">
        <f>SUMIF(Recibos!$D$4:$D$7493,Cobranza!$B30,Recibos!AO$4:AO$7493)</f>
        <v>250</v>
      </c>
      <c r="CD30" s="311">
        <f>SUMIF(Recibos!$D$4:$D$7493,Cobranza!$B30,Recibos!AP$4:AP$7493)</f>
        <v>250</v>
      </c>
      <c r="CE30" s="311">
        <f>SUMIF(Recibos!$D$4:$D$7493,Cobranza!$B30,Recibos!AQ$4:AQ$7493)</f>
        <v>250</v>
      </c>
      <c r="CF30" s="311">
        <f>SUMIF(Recibos!$D$4:$D$7493,Cobranza!$B30,Recibos!AR$4:AR$7493)</f>
        <v>250</v>
      </c>
      <c r="CG30" s="311">
        <f>SUMIF(Recibos!$D$4:$D$7493,Cobranza!$B30,Recibos!AS$4:AS$7493)</f>
        <v>0</v>
      </c>
      <c r="CH30" s="311">
        <f>SUMIF(Recibos!$D$4:$D$7493,Cobranza!$B30,Recibos!AT$4:AT$7493)</f>
        <v>0</v>
      </c>
      <c r="CI30" s="311">
        <f>SUMIF(Recibos!$D$4:$D$7493,Cobranza!$B30,Recibos!AU$4:AU$7493)</f>
        <v>0</v>
      </c>
      <c r="CJ30" s="311">
        <f>SUMIF(Recibos!$D$4:$D$7493,Cobranza!$B30,Recibos!AV$4:AV$7493)</f>
        <v>0</v>
      </c>
      <c r="CK30" s="312">
        <f t="shared" si="6"/>
        <v>2000</v>
      </c>
    </row>
    <row r="31" spans="2:89" x14ac:dyDescent="0.2">
      <c r="B31" s="45" t="s">
        <v>803</v>
      </c>
      <c r="C31" s="45" t="s">
        <v>804</v>
      </c>
      <c r="D31" s="45" t="s">
        <v>312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300</v>
      </c>
      <c r="K31" s="47">
        <f t="shared" si="2"/>
        <v>300</v>
      </c>
      <c r="L31" s="46">
        <v>300</v>
      </c>
      <c r="M31" s="46">
        <v>300</v>
      </c>
      <c r="N31" s="46">
        <v>300</v>
      </c>
      <c r="O31" s="46">
        <v>300</v>
      </c>
      <c r="P31" s="46">
        <v>300</v>
      </c>
      <c r="Q31" s="46">
        <v>300</v>
      </c>
      <c r="R31" s="46">
        <v>300</v>
      </c>
      <c r="S31" s="46">
        <v>300</v>
      </c>
      <c r="T31" s="46">
        <v>300</v>
      </c>
      <c r="U31" s="46">
        <v>400</v>
      </c>
      <c r="V31" s="46">
        <v>400</v>
      </c>
      <c r="W31" s="46">
        <v>400</v>
      </c>
      <c r="X31" s="47">
        <f t="shared" si="3"/>
        <v>3900</v>
      </c>
      <c r="Y31" s="46">
        <v>400</v>
      </c>
      <c r="Z31" s="46">
        <v>400</v>
      </c>
      <c r="AA31" s="46">
        <v>400</v>
      </c>
      <c r="AB31" s="46">
        <v>800</v>
      </c>
      <c r="AC31" s="46">
        <v>400</v>
      </c>
      <c r="AD31" s="46">
        <v>400</v>
      </c>
      <c r="AE31" s="46">
        <v>0</v>
      </c>
      <c r="AF31" s="46">
        <v>400</v>
      </c>
      <c r="AG31" s="46">
        <v>400</v>
      </c>
      <c r="AH31" s="46">
        <v>400</v>
      </c>
      <c r="AI31" s="46">
        <v>400</v>
      </c>
      <c r="AJ31" s="46">
        <v>400</v>
      </c>
      <c r="AK31" s="47">
        <f t="shared" si="4"/>
        <v>4800</v>
      </c>
      <c r="AL31" s="46">
        <v>400</v>
      </c>
      <c r="AM31" s="46">
        <v>400</v>
      </c>
      <c r="AN31" s="46">
        <v>400</v>
      </c>
      <c r="AO31" s="46">
        <v>400</v>
      </c>
      <c r="AP31" s="46">
        <v>400</v>
      </c>
      <c r="AQ31" s="46">
        <v>400</v>
      </c>
      <c r="AR31" s="46">
        <v>400</v>
      </c>
      <c r="AS31" s="46">
        <v>400</v>
      </c>
      <c r="AT31" s="46">
        <v>400</v>
      </c>
      <c r="AU31" s="46">
        <v>400</v>
      </c>
      <c r="AV31" s="46">
        <v>400</v>
      </c>
      <c r="AW31" s="46">
        <v>400</v>
      </c>
      <c r="AX31" s="47">
        <f t="shared" si="7"/>
        <v>4800</v>
      </c>
      <c r="AY31" s="313">
        <f>SUMIF(Recibos!$D$4:$D$7493,Cobranza!$B31,Recibos!K$4:K$7493)</f>
        <v>0</v>
      </c>
      <c r="AZ31" s="313">
        <f>SUMIF(Recibos!$D$4:$D$7493,Cobranza!$B31,Recibos!L$4:L$7493)</f>
        <v>400</v>
      </c>
      <c r="BA31" s="313">
        <f>SUMIF(Recibos!$D$4:$D$7493,Cobranza!$B31,Recibos!M$4:M$7493)</f>
        <v>400</v>
      </c>
      <c r="BB31" s="313">
        <f>SUMIF(Recibos!$D$4:$D$7493,Cobranza!$B31,Recibos!N$4:N$7493)</f>
        <v>400</v>
      </c>
      <c r="BC31" s="313">
        <f>SUMIF(Recibos!$D$4:$D$7493,Cobranza!$B31,Recibos!O$4:O$7493)</f>
        <v>400</v>
      </c>
      <c r="BD31" s="313">
        <f>SUMIF(Recibos!$D$4:$D$7493,Cobranza!$B31,Recibos!P$4:P$7493)</f>
        <v>400</v>
      </c>
      <c r="BE31" s="313">
        <f>SUMIF(Recibos!$D$4:$D$7493,Cobranza!$B31,Recibos!Q$4:Q$7493)</f>
        <v>400</v>
      </c>
      <c r="BF31" s="313">
        <f>SUMIF(Recibos!$D$4:$D$7493,Cobranza!$B31,Recibos!R$4:R$7493)</f>
        <v>400</v>
      </c>
      <c r="BG31" s="313">
        <f>SUMIF(Recibos!$D$4:$D$7493,Cobranza!$B31,Recibos!S$4:S$7493)</f>
        <v>400</v>
      </c>
      <c r="BH31" s="313">
        <f>SUMIF(Recibos!$D$4:$D$7493,Cobranza!$B31,Recibos!T$4:T$7493)</f>
        <v>400</v>
      </c>
      <c r="BI31" s="313">
        <f>SUMIF(Recibos!$D$4:$D$7493,Cobranza!$B31,Recibos!U$4:U$7493)</f>
        <v>400</v>
      </c>
      <c r="BJ31" s="313">
        <f>SUMIF(Recibos!$D$4:$D$7493,Cobranza!$B31,Recibos!V$4:V$7493)</f>
        <v>400</v>
      </c>
      <c r="BK31" s="314">
        <f t="shared" si="8"/>
        <v>4400</v>
      </c>
      <c r="BL31" s="313">
        <f>SUMIF(Recibos!$D$4:$D$7493,Cobranza!$B31,Recibos!X$4:X$7493)</f>
        <v>400</v>
      </c>
      <c r="BM31" s="313">
        <f>SUMIF(Recibos!$D$4:$D$7493,Cobranza!$B31,Recibos!Y$4:Y$7493)</f>
        <v>400</v>
      </c>
      <c r="BN31" s="313">
        <f>SUMIF(Recibos!$D$4:$D$7493,Cobranza!$B31,Recibos!Z$4:Z$7493)</f>
        <v>400</v>
      </c>
      <c r="BO31" s="313">
        <f>SUMIF(Recibos!$D$4:$D$7493,Cobranza!$B31,Recibos!AA$4:AA$7493)</f>
        <v>400</v>
      </c>
      <c r="BP31" s="313">
        <f>SUMIF(Recibos!$D$4:$D$7493,Cobranza!$B31,Recibos!AB$4:AB$7493)</f>
        <v>400</v>
      </c>
      <c r="BQ31" s="313">
        <f>SUMIF(Recibos!$D$4:$D$7493,Cobranza!$B31,Recibos!AC$4:AC$7493)</f>
        <v>400</v>
      </c>
      <c r="BR31" s="313">
        <f>SUMIF(Recibos!$D$4:$D$7493,Cobranza!$B31,Recibos!AD$4:AD$7493)</f>
        <v>400</v>
      </c>
      <c r="BS31" s="313">
        <f>SUMIF(Recibos!$D$4:$D$7493,Cobranza!$B31,Recibos!AE$4:AE$7493)</f>
        <v>400</v>
      </c>
      <c r="BT31" s="313">
        <f>SUMIF(Recibos!$D$4:$D$7493,Cobranza!$B31,Recibos!AF$4:AF$7493)</f>
        <v>400</v>
      </c>
      <c r="BU31" s="313">
        <f>SUMIF(Recibos!$D$4:$D$7493,Cobranza!$B31,Recibos!AG$4:AG$7493)</f>
        <v>400</v>
      </c>
      <c r="BV31" s="313">
        <f>SUMIF(Recibos!$D$4:$D$7493,Cobranza!$B31,Recibos!AH$4:AH$7493)</f>
        <v>400</v>
      </c>
      <c r="BW31" s="313">
        <f>SUMIF(Recibos!$D$4:$D$7493,Cobranza!$B31,Recibos!AI$4:AI$7493)</f>
        <v>400</v>
      </c>
      <c r="BX31" s="314">
        <f t="shared" si="9"/>
        <v>4800</v>
      </c>
      <c r="BY31" s="313">
        <f>SUMIF(Recibos!$D$4:$D$7493,Cobranza!$B31,Recibos!AK$4:AK$7493)</f>
        <v>400</v>
      </c>
      <c r="BZ31" s="313">
        <f>SUMIF(Recibos!$D$4:$D$7493,Cobranza!$B31,Recibos!AL$4:AL$7493)</f>
        <v>400</v>
      </c>
      <c r="CA31" s="313">
        <f>SUMIF(Recibos!$D$4:$D$7493,Cobranza!$B31,Recibos!AM$4:AM$7493)</f>
        <v>400</v>
      </c>
      <c r="CB31" s="313">
        <f>SUMIF(Recibos!$D$4:$D$7493,Cobranza!$B31,Recibos!AN$4:AN$7493)</f>
        <v>400</v>
      </c>
      <c r="CC31" s="313">
        <f>SUMIF(Recibos!$D$4:$D$7493,Cobranza!$B31,Recibos!AO$4:AO$7493)</f>
        <v>400</v>
      </c>
      <c r="CD31" s="313">
        <f>SUMIF(Recibos!$D$4:$D$7493,Cobranza!$B31,Recibos!AP$4:AP$7493)</f>
        <v>400</v>
      </c>
      <c r="CE31" s="313">
        <f>SUMIF(Recibos!$D$4:$D$7493,Cobranza!$B31,Recibos!AQ$4:AQ$7493)</f>
        <v>400</v>
      </c>
      <c r="CF31" s="313">
        <f>SUMIF(Recibos!$D$4:$D$7493,Cobranza!$B31,Recibos!AR$4:AR$7493)</f>
        <v>400</v>
      </c>
      <c r="CG31" s="313">
        <f>SUMIF(Recibos!$D$4:$D$7493,Cobranza!$B31,Recibos!AS$4:AS$7493)</f>
        <v>400</v>
      </c>
      <c r="CH31" s="313">
        <f>SUMIF(Recibos!$D$4:$D$7493,Cobranza!$B31,Recibos!AT$4:AT$7493)</f>
        <v>400</v>
      </c>
      <c r="CI31" s="313">
        <f>SUMIF(Recibos!$D$4:$D$7493,Cobranza!$B31,Recibos!AU$4:AU$7493)</f>
        <v>0</v>
      </c>
      <c r="CJ31" s="313">
        <f>SUMIF(Recibos!$D$4:$D$7493,Cobranza!$B31,Recibos!AV$4:AV$7493)</f>
        <v>0</v>
      </c>
      <c r="CK31" s="314">
        <f t="shared" si="6"/>
        <v>4000</v>
      </c>
    </row>
    <row r="32" spans="2:89" x14ac:dyDescent="0.2">
      <c r="B32" s="42" t="s">
        <v>1058</v>
      </c>
      <c r="C32" s="42" t="s">
        <v>1059</v>
      </c>
      <c r="D32" s="42" t="s">
        <v>1060</v>
      </c>
      <c r="E32" s="43">
        <v>300</v>
      </c>
      <c r="F32" s="43">
        <v>300</v>
      </c>
      <c r="G32" s="43">
        <v>0</v>
      </c>
      <c r="H32" s="43">
        <v>0</v>
      </c>
      <c r="I32" s="43">
        <v>0</v>
      </c>
      <c r="J32" s="43">
        <v>0</v>
      </c>
      <c r="K32" s="44">
        <f t="shared" si="2"/>
        <v>600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4">
        <f t="shared" si="3"/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4">
        <f t="shared" si="4"/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4">
        <f t="shared" si="7"/>
        <v>0</v>
      </c>
      <c r="AY32" s="311">
        <f>SUMIF(Recibos!$D$4:$D$7493,Cobranza!$B32,Recibos!K$4:K$7493)</f>
        <v>0</v>
      </c>
      <c r="AZ32" s="311">
        <f>SUMIF(Recibos!$D$4:$D$7493,Cobranza!$B32,Recibos!L$4:L$7493)</f>
        <v>0</v>
      </c>
      <c r="BA32" s="311">
        <f>SUMIF(Recibos!$D$4:$D$7493,Cobranza!$B32,Recibos!M$4:M$7493)</f>
        <v>0</v>
      </c>
      <c r="BB32" s="311">
        <f>SUMIF(Recibos!$D$4:$D$7493,Cobranza!$B32,Recibos!N$4:N$7493)</f>
        <v>0</v>
      </c>
      <c r="BC32" s="311">
        <f>SUMIF(Recibos!$D$4:$D$7493,Cobranza!$B32,Recibos!O$4:O$7493)</f>
        <v>0</v>
      </c>
      <c r="BD32" s="311">
        <f>SUMIF(Recibos!$D$4:$D$7493,Cobranza!$B32,Recibos!P$4:P$7493)</f>
        <v>0</v>
      </c>
      <c r="BE32" s="311">
        <f>SUMIF(Recibos!$D$4:$D$7493,Cobranza!$B32,Recibos!Q$4:Q$7493)</f>
        <v>0</v>
      </c>
      <c r="BF32" s="311">
        <f>SUMIF(Recibos!$D$4:$D$7493,Cobranza!$B32,Recibos!R$4:R$7493)</f>
        <v>0</v>
      </c>
      <c r="BG32" s="311">
        <f>SUMIF(Recibos!$D$4:$D$7493,Cobranza!$B32,Recibos!S$4:S$7493)</f>
        <v>0</v>
      </c>
      <c r="BH32" s="311">
        <f>SUMIF(Recibos!$D$4:$D$7493,Cobranza!$B32,Recibos!T$4:T$7493)</f>
        <v>0</v>
      </c>
      <c r="BI32" s="311">
        <f>SUMIF(Recibos!$D$4:$D$7493,Cobranza!$B32,Recibos!U$4:U$7493)</f>
        <v>0</v>
      </c>
      <c r="BJ32" s="311">
        <f>SUMIF(Recibos!$D$4:$D$7493,Cobranza!$B32,Recibos!V$4:V$7493)</f>
        <v>0</v>
      </c>
      <c r="BK32" s="312">
        <f t="shared" si="8"/>
        <v>0</v>
      </c>
      <c r="BL32" s="311">
        <f>SUMIF(Recibos!$D$4:$D$7493,Cobranza!$B32,Recibos!X$4:X$7493)</f>
        <v>0</v>
      </c>
      <c r="BM32" s="311">
        <f>SUMIF(Recibos!$D$4:$D$7493,Cobranza!$B32,Recibos!Y$4:Y$7493)</f>
        <v>0</v>
      </c>
      <c r="BN32" s="311">
        <f>SUMIF(Recibos!$D$4:$D$7493,Cobranza!$B32,Recibos!Z$4:Z$7493)</f>
        <v>0</v>
      </c>
      <c r="BO32" s="311">
        <f>SUMIF(Recibos!$D$4:$D$7493,Cobranza!$B32,Recibos!AA$4:AA$7493)</f>
        <v>0</v>
      </c>
      <c r="BP32" s="311">
        <f>SUMIF(Recibos!$D$4:$D$7493,Cobranza!$B32,Recibos!AB$4:AB$7493)</f>
        <v>0</v>
      </c>
      <c r="BQ32" s="311">
        <f>SUMIF(Recibos!$D$4:$D$7493,Cobranza!$B32,Recibos!AC$4:AC$7493)</f>
        <v>0</v>
      </c>
      <c r="BR32" s="311">
        <f>SUMIF(Recibos!$D$4:$D$7493,Cobranza!$B32,Recibos!AD$4:AD$7493)</f>
        <v>0</v>
      </c>
      <c r="BS32" s="311">
        <f>SUMIF(Recibos!$D$4:$D$7493,Cobranza!$B32,Recibos!AE$4:AE$7493)</f>
        <v>0</v>
      </c>
      <c r="BT32" s="311">
        <f>SUMIF(Recibos!$D$4:$D$7493,Cobranza!$B32,Recibos!AF$4:AF$7493)</f>
        <v>0</v>
      </c>
      <c r="BU32" s="311">
        <f>SUMIF(Recibos!$D$4:$D$7493,Cobranza!$B32,Recibos!AG$4:AG$7493)</f>
        <v>0</v>
      </c>
      <c r="BV32" s="311">
        <f>SUMIF(Recibos!$D$4:$D$7493,Cobranza!$B32,Recibos!AH$4:AH$7493)</f>
        <v>0</v>
      </c>
      <c r="BW32" s="311">
        <f>SUMIF(Recibos!$D$4:$D$7493,Cobranza!$B32,Recibos!AI$4:AI$7493)</f>
        <v>0</v>
      </c>
      <c r="BX32" s="312">
        <f t="shared" si="9"/>
        <v>0</v>
      </c>
      <c r="BY32" s="311">
        <f>SUMIF(Recibos!$D$4:$D$7493,Cobranza!$B32,Recibos!AK$4:AK$7493)</f>
        <v>0</v>
      </c>
      <c r="BZ32" s="311">
        <f>SUMIF(Recibos!$D$4:$D$7493,Cobranza!$B32,Recibos!AL$4:AL$7493)</f>
        <v>0</v>
      </c>
      <c r="CA32" s="311">
        <f>SUMIF(Recibos!$D$4:$D$7493,Cobranza!$B32,Recibos!AM$4:AM$7493)</f>
        <v>0</v>
      </c>
      <c r="CB32" s="311">
        <f>SUMIF(Recibos!$D$4:$D$7493,Cobranza!$B32,Recibos!AN$4:AN$7493)</f>
        <v>0</v>
      </c>
      <c r="CC32" s="311">
        <f>SUMIF(Recibos!$D$4:$D$7493,Cobranza!$B32,Recibos!AO$4:AO$7493)</f>
        <v>0</v>
      </c>
      <c r="CD32" s="311">
        <f>SUMIF(Recibos!$D$4:$D$7493,Cobranza!$B32,Recibos!AP$4:AP$7493)</f>
        <v>0</v>
      </c>
      <c r="CE32" s="311">
        <f>SUMIF(Recibos!$D$4:$D$7493,Cobranza!$B32,Recibos!AQ$4:AQ$7493)</f>
        <v>0</v>
      </c>
      <c r="CF32" s="311">
        <f>SUMIF(Recibos!$D$4:$D$7493,Cobranza!$B32,Recibos!AR$4:AR$7493)</f>
        <v>0</v>
      </c>
      <c r="CG32" s="311">
        <f>SUMIF(Recibos!$D$4:$D$7493,Cobranza!$B32,Recibos!AS$4:AS$7493)</f>
        <v>0</v>
      </c>
      <c r="CH32" s="311">
        <f>SUMIF(Recibos!$D$4:$D$7493,Cobranza!$B32,Recibos!AT$4:AT$7493)</f>
        <v>0</v>
      </c>
      <c r="CI32" s="311">
        <f>SUMIF(Recibos!$D$4:$D$7493,Cobranza!$B32,Recibos!AU$4:AU$7493)</f>
        <v>0</v>
      </c>
      <c r="CJ32" s="311">
        <f>SUMIF(Recibos!$D$4:$D$7493,Cobranza!$B32,Recibos!AV$4:AV$7493)</f>
        <v>0</v>
      </c>
      <c r="CK32" s="312">
        <f t="shared" si="6"/>
        <v>0</v>
      </c>
    </row>
    <row r="33" spans="2:89" x14ac:dyDescent="0.2">
      <c r="B33" s="45" t="s">
        <v>1079</v>
      </c>
      <c r="C33" s="45" t="s">
        <v>1080</v>
      </c>
      <c r="D33" s="45" t="s">
        <v>1081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7">
        <f t="shared" si="2"/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7">
        <f t="shared" si="3"/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6">
        <v>0</v>
      </c>
      <c r="AH33" s="46">
        <v>0</v>
      </c>
      <c r="AI33" s="46">
        <v>0</v>
      </c>
      <c r="AJ33" s="46">
        <v>0</v>
      </c>
      <c r="AK33" s="47">
        <f t="shared" si="4"/>
        <v>0</v>
      </c>
      <c r="AL33" s="46">
        <v>0</v>
      </c>
      <c r="AM33" s="46">
        <v>0</v>
      </c>
      <c r="AN33" s="46">
        <v>0</v>
      </c>
      <c r="AO33" s="46">
        <v>0</v>
      </c>
      <c r="AP33" s="46">
        <v>0</v>
      </c>
      <c r="AQ33" s="46">
        <v>0</v>
      </c>
      <c r="AR33" s="46">
        <v>0</v>
      </c>
      <c r="AS33" s="46">
        <v>0</v>
      </c>
      <c r="AT33" s="46">
        <v>0</v>
      </c>
      <c r="AU33" s="46">
        <v>0</v>
      </c>
      <c r="AV33" s="46">
        <v>0</v>
      </c>
      <c r="AW33" s="46">
        <v>0</v>
      </c>
      <c r="AX33" s="47">
        <f t="shared" si="7"/>
        <v>0</v>
      </c>
      <c r="AY33" s="313">
        <f>SUMIF(Recibos!$D$4:$D$7493,Cobranza!$B33,Recibos!K$4:K$7493)</f>
        <v>0</v>
      </c>
      <c r="AZ33" s="313">
        <f>SUMIF(Recibos!$D$4:$D$7493,Cobranza!$B33,Recibos!L$4:L$7493)</f>
        <v>0</v>
      </c>
      <c r="BA33" s="313">
        <f>SUMIF(Recibos!$D$4:$D$7493,Cobranza!$B33,Recibos!M$4:M$7493)</f>
        <v>0</v>
      </c>
      <c r="BB33" s="313">
        <f>SUMIF(Recibos!$D$4:$D$7493,Cobranza!$B33,Recibos!N$4:N$7493)</f>
        <v>0</v>
      </c>
      <c r="BC33" s="313">
        <f>SUMIF(Recibos!$D$4:$D$7493,Cobranza!$B33,Recibos!O$4:O$7493)</f>
        <v>0</v>
      </c>
      <c r="BD33" s="313">
        <f>SUMIF(Recibos!$D$4:$D$7493,Cobranza!$B33,Recibos!P$4:P$7493)</f>
        <v>0</v>
      </c>
      <c r="BE33" s="313">
        <f>SUMIF(Recibos!$D$4:$D$7493,Cobranza!$B33,Recibos!Q$4:Q$7493)</f>
        <v>0</v>
      </c>
      <c r="BF33" s="313">
        <f>SUMIF(Recibos!$D$4:$D$7493,Cobranza!$B33,Recibos!R$4:R$7493)</f>
        <v>0</v>
      </c>
      <c r="BG33" s="313">
        <f>SUMIF(Recibos!$D$4:$D$7493,Cobranza!$B33,Recibos!S$4:S$7493)</f>
        <v>0</v>
      </c>
      <c r="BH33" s="313">
        <f>SUMIF(Recibos!$D$4:$D$7493,Cobranza!$B33,Recibos!T$4:T$7493)</f>
        <v>0</v>
      </c>
      <c r="BI33" s="313">
        <f>SUMIF(Recibos!$D$4:$D$7493,Cobranza!$B33,Recibos!U$4:U$7493)</f>
        <v>0</v>
      </c>
      <c r="BJ33" s="313">
        <f>SUMIF(Recibos!$D$4:$D$7493,Cobranza!$B33,Recibos!V$4:V$7493)</f>
        <v>0</v>
      </c>
      <c r="BK33" s="314">
        <f t="shared" si="8"/>
        <v>0</v>
      </c>
      <c r="BL33" s="313">
        <f>SUMIF(Recibos!$D$4:$D$7493,Cobranza!$B33,Recibos!X$4:X$7493)</f>
        <v>0</v>
      </c>
      <c r="BM33" s="313">
        <f>SUMIF(Recibos!$D$4:$D$7493,Cobranza!$B33,Recibos!Y$4:Y$7493)</f>
        <v>0</v>
      </c>
      <c r="BN33" s="313">
        <f>SUMIF(Recibos!$D$4:$D$7493,Cobranza!$B33,Recibos!Z$4:Z$7493)</f>
        <v>0</v>
      </c>
      <c r="BO33" s="313">
        <f>SUMIF(Recibos!$D$4:$D$7493,Cobranza!$B33,Recibos!AA$4:AA$7493)</f>
        <v>0</v>
      </c>
      <c r="BP33" s="313">
        <f>SUMIF(Recibos!$D$4:$D$7493,Cobranza!$B33,Recibos!AB$4:AB$7493)</f>
        <v>0</v>
      </c>
      <c r="BQ33" s="313">
        <f>SUMIF(Recibos!$D$4:$D$7493,Cobranza!$B33,Recibos!AC$4:AC$7493)</f>
        <v>0</v>
      </c>
      <c r="BR33" s="313">
        <f>SUMIF(Recibos!$D$4:$D$7493,Cobranza!$B33,Recibos!AD$4:AD$7493)</f>
        <v>0</v>
      </c>
      <c r="BS33" s="313">
        <f>SUMIF(Recibos!$D$4:$D$7493,Cobranza!$B33,Recibos!AE$4:AE$7493)</f>
        <v>0</v>
      </c>
      <c r="BT33" s="313">
        <f>SUMIF(Recibos!$D$4:$D$7493,Cobranza!$B33,Recibos!AF$4:AF$7493)</f>
        <v>0</v>
      </c>
      <c r="BU33" s="313">
        <f>SUMIF(Recibos!$D$4:$D$7493,Cobranza!$B33,Recibos!AG$4:AG$7493)</f>
        <v>0</v>
      </c>
      <c r="BV33" s="313">
        <f>SUMIF(Recibos!$D$4:$D$7493,Cobranza!$B33,Recibos!AH$4:AH$7493)</f>
        <v>0</v>
      </c>
      <c r="BW33" s="313">
        <f>SUMIF(Recibos!$D$4:$D$7493,Cobranza!$B33,Recibos!AI$4:AI$7493)</f>
        <v>0</v>
      </c>
      <c r="BX33" s="314">
        <f t="shared" si="9"/>
        <v>0</v>
      </c>
      <c r="BY33" s="313">
        <f>SUMIF(Recibos!$D$4:$D$7493,Cobranza!$B33,Recibos!AK$4:AK$7493)</f>
        <v>0</v>
      </c>
      <c r="BZ33" s="313">
        <f>SUMIF(Recibos!$D$4:$D$7493,Cobranza!$B33,Recibos!AL$4:AL$7493)</f>
        <v>0</v>
      </c>
      <c r="CA33" s="313">
        <f>SUMIF(Recibos!$D$4:$D$7493,Cobranza!$B33,Recibos!AM$4:AM$7493)</f>
        <v>0</v>
      </c>
      <c r="CB33" s="313">
        <f>SUMIF(Recibos!$D$4:$D$7493,Cobranza!$B33,Recibos!AN$4:AN$7493)</f>
        <v>0</v>
      </c>
      <c r="CC33" s="313">
        <f>SUMIF(Recibos!$D$4:$D$7493,Cobranza!$B33,Recibos!AO$4:AO$7493)</f>
        <v>0</v>
      </c>
      <c r="CD33" s="313">
        <f>SUMIF(Recibos!$D$4:$D$7493,Cobranza!$B33,Recibos!AP$4:AP$7493)</f>
        <v>0</v>
      </c>
      <c r="CE33" s="313">
        <f>SUMIF(Recibos!$D$4:$D$7493,Cobranza!$B33,Recibos!AQ$4:AQ$7493)</f>
        <v>0</v>
      </c>
      <c r="CF33" s="313">
        <f>SUMIF(Recibos!$D$4:$D$7493,Cobranza!$B33,Recibos!AR$4:AR$7493)</f>
        <v>0</v>
      </c>
      <c r="CG33" s="313">
        <f>SUMIF(Recibos!$D$4:$D$7493,Cobranza!$B33,Recibos!AS$4:AS$7493)</f>
        <v>0</v>
      </c>
      <c r="CH33" s="313">
        <f>SUMIF(Recibos!$D$4:$D$7493,Cobranza!$B33,Recibos!AT$4:AT$7493)</f>
        <v>0</v>
      </c>
      <c r="CI33" s="313">
        <f>SUMIF(Recibos!$D$4:$D$7493,Cobranza!$B33,Recibos!AU$4:AU$7493)</f>
        <v>0</v>
      </c>
      <c r="CJ33" s="313">
        <f>SUMIF(Recibos!$D$4:$D$7493,Cobranza!$B33,Recibos!AV$4:AV$7493)</f>
        <v>0</v>
      </c>
      <c r="CK33" s="314">
        <f t="shared" si="6"/>
        <v>0</v>
      </c>
    </row>
    <row r="34" spans="2:89" x14ac:dyDescent="0.2">
      <c r="B34" s="42" t="s">
        <v>280</v>
      </c>
      <c r="C34" s="42" t="s">
        <v>281</v>
      </c>
      <c r="D34" s="42" t="s">
        <v>282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300</v>
      </c>
      <c r="K34" s="44">
        <f t="shared" si="2"/>
        <v>300</v>
      </c>
      <c r="L34" s="43">
        <v>300</v>
      </c>
      <c r="M34" s="43">
        <v>300</v>
      </c>
      <c r="N34" s="43">
        <v>300</v>
      </c>
      <c r="O34" s="43">
        <v>300</v>
      </c>
      <c r="P34" s="43">
        <v>300</v>
      </c>
      <c r="Q34" s="43">
        <v>300</v>
      </c>
      <c r="R34" s="43">
        <v>300</v>
      </c>
      <c r="S34" s="43">
        <v>300</v>
      </c>
      <c r="T34" s="43">
        <v>300</v>
      </c>
      <c r="U34" s="43">
        <v>400</v>
      </c>
      <c r="V34" s="43">
        <v>400</v>
      </c>
      <c r="W34" s="43">
        <v>400</v>
      </c>
      <c r="X34" s="44">
        <f t="shared" si="3"/>
        <v>3900</v>
      </c>
      <c r="Y34" s="43">
        <v>400</v>
      </c>
      <c r="Z34" s="43">
        <v>400</v>
      </c>
      <c r="AA34" s="43">
        <v>400</v>
      </c>
      <c r="AB34" s="43">
        <v>400</v>
      </c>
      <c r="AC34" s="43">
        <v>400</v>
      </c>
      <c r="AD34" s="43">
        <v>400</v>
      </c>
      <c r="AE34" s="43">
        <v>400</v>
      </c>
      <c r="AF34" s="43">
        <v>400</v>
      </c>
      <c r="AG34" s="43">
        <v>400</v>
      </c>
      <c r="AH34" s="43">
        <v>400</v>
      </c>
      <c r="AI34" s="43">
        <v>400</v>
      </c>
      <c r="AJ34" s="43">
        <v>400</v>
      </c>
      <c r="AK34" s="44">
        <f t="shared" si="4"/>
        <v>4800</v>
      </c>
      <c r="AL34" s="43">
        <v>400</v>
      </c>
      <c r="AM34" s="43">
        <v>400</v>
      </c>
      <c r="AN34" s="43">
        <v>400</v>
      </c>
      <c r="AO34" s="43">
        <v>400</v>
      </c>
      <c r="AP34" s="43">
        <v>400</v>
      </c>
      <c r="AQ34" s="43">
        <v>400</v>
      </c>
      <c r="AR34" s="43">
        <v>400</v>
      </c>
      <c r="AS34" s="43">
        <v>400</v>
      </c>
      <c r="AT34" s="43">
        <v>400</v>
      </c>
      <c r="AU34" s="43">
        <v>400</v>
      </c>
      <c r="AV34" s="43">
        <v>400</v>
      </c>
      <c r="AW34" s="43">
        <v>400</v>
      </c>
      <c r="AX34" s="44">
        <f t="shared" si="7"/>
        <v>4800</v>
      </c>
      <c r="AY34" s="311">
        <f>SUMIF(Recibos!$D$4:$D$7493,Cobranza!$B34,Recibos!K$4:K$7493)</f>
        <v>400</v>
      </c>
      <c r="AZ34" s="311">
        <f>SUMIF(Recibos!$D$4:$D$7493,Cobranza!$B34,Recibos!L$4:L$7493)</f>
        <v>400</v>
      </c>
      <c r="BA34" s="311">
        <f>SUMIF(Recibos!$D$4:$D$7493,Cobranza!$B34,Recibos!M$4:M$7493)</f>
        <v>400</v>
      </c>
      <c r="BB34" s="311">
        <f>SUMIF(Recibos!$D$4:$D$7493,Cobranza!$B34,Recibos!N$4:N$7493)</f>
        <v>400</v>
      </c>
      <c r="BC34" s="311">
        <f>SUMIF(Recibos!$D$4:$D$7493,Cobranza!$B34,Recibos!O$4:O$7493)</f>
        <v>400</v>
      </c>
      <c r="BD34" s="311">
        <f>SUMIF(Recibos!$D$4:$D$7493,Cobranza!$B34,Recibos!P$4:P$7493)</f>
        <v>400</v>
      </c>
      <c r="BE34" s="311">
        <f>SUMIF(Recibos!$D$4:$D$7493,Cobranza!$B34,Recibos!Q$4:Q$7493)</f>
        <v>400</v>
      </c>
      <c r="BF34" s="311">
        <f>SUMIF(Recibos!$D$4:$D$7493,Cobranza!$B34,Recibos!R$4:R$7493)</f>
        <v>400</v>
      </c>
      <c r="BG34" s="311">
        <f>SUMIF(Recibos!$D$4:$D$7493,Cobranza!$B34,Recibos!S$4:S$7493)</f>
        <v>0</v>
      </c>
      <c r="BH34" s="311">
        <f>SUMIF(Recibos!$D$4:$D$7493,Cobranza!$B34,Recibos!T$4:T$7493)</f>
        <v>400</v>
      </c>
      <c r="BI34" s="311">
        <f>SUMIF(Recibos!$D$4:$D$7493,Cobranza!$B34,Recibos!U$4:U$7493)</f>
        <v>400</v>
      </c>
      <c r="BJ34" s="311">
        <f>SUMIF(Recibos!$D$4:$D$7493,Cobranza!$B34,Recibos!V$4:V$7493)</f>
        <v>400</v>
      </c>
      <c r="BK34" s="312">
        <f t="shared" si="8"/>
        <v>4400</v>
      </c>
      <c r="BL34" s="311">
        <f>SUMIF(Recibos!$D$4:$D$7493,Cobranza!$B34,Recibos!X$4:X$7493)</f>
        <v>400</v>
      </c>
      <c r="BM34" s="311">
        <f>SUMIF(Recibos!$D$4:$D$7493,Cobranza!$B34,Recibos!Y$4:Y$7493)</f>
        <v>400</v>
      </c>
      <c r="BN34" s="311">
        <f>SUMIF(Recibos!$D$4:$D$7493,Cobranza!$B34,Recibos!Z$4:Z$7493)</f>
        <v>400</v>
      </c>
      <c r="BO34" s="311">
        <f>SUMIF(Recibos!$D$4:$D$7493,Cobranza!$B34,Recibos!AA$4:AA$7493)</f>
        <v>400</v>
      </c>
      <c r="BP34" s="311">
        <f>SUMIF(Recibos!$D$4:$D$7493,Cobranza!$B34,Recibos!AB$4:AB$7493)</f>
        <v>400</v>
      </c>
      <c r="BQ34" s="311">
        <f>SUMIF(Recibos!$D$4:$D$7493,Cobranza!$B34,Recibos!AC$4:AC$7493)</f>
        <v>400</v>
      </c>
      <c r="BR34" s="311">
        <f>SUMIF(Recibos!$D$4:$D$7493,Cobranza!$B34,Recibos!AD$4:AD$7493)</f>
        <v>400</v>
      </c>
      <c r="BS34" s="311">
        <f>SUMIF(Recibos!$D$4:$D$7493,Cobranza!$B34,Recibos!AE$4:AE$7493)</f>
        <v>400</v>
      </c>
      <c r="BT34" s="311">
        <f>SUMIF(Recibos!$D$4:$D$7493,Cobranza!$B34,Recibos!AF$4:AF$7493)</f>
        <v>400</v>
      </c>
      <c r="BU34" s="311">
        <f>SUMIF(Recibos!$D$4:$D$7493,Cobranza!$B34,Recibos!AG$4:AG$7493)</f>
        <v>400</v>
      </c>
      <c r="BV34" s="311">
        <f>SUMIF(Recibos!$D$4:$D$7493,Cobranza!$B34,Recibos!AH$4:AH$7493)</f>
        <v>400</v>
      </c>
      <c r="BW34" s="311">
        <f>SUMIF(Recibos!$D$4:$D$7493,Cobranza!$B34,Recibos!AI$4:AI$7493)</f>
        <v>400</v>
      </c>
      <c r="BX34" s="312">
        <f t="shared" si="9"/>
        <v>4800</v>
      </c>
      <c r="BY34" s="311">
        <f>SUMIF(Recibos!$D$4:$D$7493,Cobranza!$B34,Recibos!AK$4:AK$7493)</f>
        <v>400</v>
      </c>
      <c r="BZ34" s="311">
        <f>SUMIF(Recibos!$D$4:$D$7493,Cobranza!$B34,Recibos!AL$4:AL$7493)</f>
        <v>400</v>
      </c>
      <c r="CA34" s="311">
        <f>SUMIF(Recibos!$D$4:$D$7493,Cobranza!$B34,Recibos!AM$4:AM$7493)</f>
        <v>400</v>
      </c>
      <c r="CB34" s="311">
        <f>SUMIF(Recibos!$D$4:$D$7493,Cobranza!$B34,Recibos!AN$4:AN$7493)</f>
        <v>400</v>
      </c>
      <c r="CC34" s="311">
        <f>SUMIF(Recibos!$D$4:$D$7493,Cobranza!$B34,Recibos!AO$4:AO$7493)</f>
        <v>400</v>
      </c>
      <c r="CD34" s="311">
        <f>SUMIF(Recibos!$D$4:$D$7493,Cobranza!$B34,Recibos!AP$4:AP$7493)</f>
        <v>400</v>
      </c>
      <c r="CE34" s="311">
        <f>SUMIF(Recibos!$D$4:$D$7493,Cobranza!$B34,Recibos!AQ$4:AQ$7493)</f>
        <v>400</v>
      </c>
      <c r="CF34" s="311">
        <f>SUMIF(Recibos!$D$4:$D$7493,Cobranza!$B34,Recibos!AR$4:AR$7493)</f>
        <v>400</v>
      </c>
      <c r="CG34" s="311">
        <f>SUMIF(Recibos!$D$4:$D$7493,Cobranza!$B34,Recibos!AS$4:AS$7493)</f>
        <v>400</v>
      </c>
      <c r="CH34" s="311">
        <f>SUMIF(Recibos!$D$4:$D$7493,Cobranza!$B34,Recibos!AT$4:AT$7493)</f>
        <v>400</v>
      </c>
      <c r="CI34" s="311">
        <f>SUMIF(Recibos!$D$4:$D$7493,Cobranza!$B34,Recibos!AU$4:AU$7493)</f>
        <v>0</v>
      </c>
      <c r="CJ34" s="311">
        <f>SUMIF(Recibos!$D$4:$D$7493,Cobranza!$B34,Recibos!AV$4:AV$7493)</f>
        <v>0</v>
      </c>
      <c r="CK34" s="312">
        <f t="shared" si="6"/>
        <v>4000</v>
      </c>
    </row>
    <row r="35" spans="2:89" x14ac:dyDescent="0.2">
      <c r="B35" s="45" t="s">
        <v>103</v>
      </c>
      <c r="C35" s="45" t="s">
        <v>104</v>
      </c>
      <c r="D35" s="45" t="s">
        <v>105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250</v>
      </c>
      <c r="K35" s="47">
        <f t="shared" si="2"/>
        <v>250</v>
      </c>
      <c r="L35" s="46">
        <v>250</v>
      </c>
      <c r="M35" s="46">
        <v>250</v>
      </c>
      <c r="N35" s="46">
        <v>250</v>
      </c>
      <c r="O35" s="46">
        <v>250</v>
      </c>
      <c r="P35" s="46">
        <v>250</v>
      </c>
      <c r="Q35" s="46">
        <v>250</v>
      </c>
      <c r="R35" s="46">
        <v>300</v>
      </c>
      <c r="S35" s="46">
        <v>300</v>
      </c>
      <c r="T35" s="46">
        <v>300</v>
      </c>
      <c r="U35" s="46">
        <v>400</v>
      </c>
      <c r="V35" s="46">
        <v>0</v>
      </c>
      <c r="W35" s="46">
        <v>400</v>
      </c>
      <c r="X35" s="47">
        <f t="shared" si="3"/>
        <v>3200</v>
      </c>
      <c r="Y35" s="46">
        <v>400</v>
      </c>
      <c r="Z35" s="46">
        <v>400</v>
      </c>
      <c r="AA35" s="46">
        <v>400</v>
      </c>
      <c r="AB35" s="46">
        <v>400</v>
      </c>
      <c r="AC35" s="46">
        <v>400</v>
      </c>
      <c r="AD35" s="46">
        <v>400</v>
      </c>
      <c r="AE35" s="46">
        <v>400</v>
      </c>
      <c r="AF35" s="46">
        <v>400</v>
      </c>
      <c r="AG35" s="46">
        <v>400</v>
      </c>
      <c r="AH35" s="46">
        <v>400</v>
      </c>
      <c r="AI35" s="46">
        <v>400</v>
      </c>
      <c r="AJ35" s="46">
        <v>400</v>
      </c>
      <c r="AK35" s="47">
        <f t="shared" si="4"/>
        <v>4800</v>
      </c>
      <c r="AL35" s="46">
        <v>400</v>
      </c>
      <c r="AM35" s="46">
        <v>400</v>
      </c>
      <c r="AN35" s="46">
        <v>400</v>
      </c>
      <c r="AO35" s="46">
        <v>400</v>
      </c>
      <c r="AP35" s="46">
        <v>400</v>
      </c>
      <c r="AQ35" s="46">
        <v>400</v>
      </c>
      <c r="AR35" s="46">
        <v>400</v>
      </c>
      <c r="AS35" s="46">
        <v>400</v>
      </c>
      <c r="AT35" s="46">
        <v>400</v>
      </c>
      <c r="AU35" s="46">
        <v>400</v>
      </c>
      <c r="AV35" s="46">
        <v>400</v>
      </c>
      <c r="AW35" s="46">
        <v>400</v>
      </c>
      <c r="AX35" s="47">
        <f t="shared" si="7"/>
        <v>4800</v>
      </c>
      <c r="AY35" s="313">
        <f>SUMIF(Recibos!$D$4:$D$7493,Cobranza!$B35,Recibos!K$4:K$7493)</f>
        <v>400</v>
      </c>
      <c r="AZ35" s="313">
        <f>SUMIF(Recibos!$D$4:$D$7493,Cobranza!$B35,Recibos!L$4:L$7493)</f>
        <v>400</v>
      </c>
      <c r="BA35" s="313">
        <f>SUMIF(Recibos!$D$4:$D$7493,Cobranza!$B35,Recibos!M$4:M$7493)</f>
        <v>400</v>
      </c>
      <c r="BB35" s="313">
        <f>SUMIF(Recibos!$D$4:$D$7493,Cobranza!$B35,Recibos!N$4:N$7493)</f>
        <v>400</v>
      </c>
      <c r="BC35" s="313">
        <f>SUMIF(Recibos!$D$4:$D$7493,Cobranza!$B35,Recibos!O$4:O$7493)</f>
        <v>400</v>
      </c>
      <c r="BD35" s="313">
        <f>SUMIF(Recibos!$D$4:$D$7493,Cobranza!$B35,Recibos!P$4:P$7493)</f>
        <v>400</v>
      </c>
      <c r="BE35" s="313">
        <f>SUMIF(Recibos!$D$4:$D$7493,Cobranza!$B35,Recibos!Q$4:Q$7493)</f>
        <v>400</v>
      </c>
      <c r="BF35" s="313">
        <f>SUMIF(Recibos!$D$4:$D$7493,Cobranza!$B35,Recibos!R$4:R$7493)</f>
        <v>400</v>
      </c>
      <c r="BG35" s="313">
        <f>SUMIF(Recibos!$D$4:$D$7493,Cobranza!$B35,Recibos!S$4:S$7493)</f>
        <v>400</v>
      </c>
      <c r="BH35" s="313">
        <f>SUMIF(Recibos!$D$4:$D$7493,Cobranza!$B35,Recibos!T$4:T$7493)</f>
        <v>400</v>
      </c>
      <c r="BI35" s="313">
        <f>SUMIF(Recibos!$D$4:$D$7493,Cobranza!$B35,Recibos!U$4:U$7493)</f>
        <v>400</v>
      </c>
      <c r="BJ35" s="313">
        <f>SUMIF(Recibos!$D$4:$D$7493,Cobranza!$B35,Recibos!V$4:V$7493)</f>
        <v>400</v>
      </c>
      <c r="BK35" s="314">
        <f t="shared" si="8"/>
        <v>4800</v>
      </c>
      <c r="BL35" s="313">
        <f>SUMIF(Recibos!$D$4:$D$7493,Cobranza!$B35,Recibos!X$4:X$7493)</f>
        <v>400</v>
      </c>
      <c r="BM35" s="313">
        <f>SUMIF(Recibos!$D$4:$D$7493,Cobranza!$B35,Recibos!Y$4:Y$7493)</f>
        <v>400</v>
      </c>
      <c r="BN35" s="313">
        <f>SUMIF(Recibos!$D$4:$D$7493,Cobranza!$B35,Recibos!Z$4:Z$7493)</f>
        <v>400</v>
      </c>
      <c r="BO35" s="313">
        <f>SUMIF(Recibos!$D$4:$D$7493,Cobranza!$B35,Recibos!AA$4:AA$7493)</f>
        <v>400</v>
      </c>
      <c r="BP35" s="313">
        <f>SUMIF(Recibos!$D$4:$D$7493,Cobranza!$B35,Recibos!AB$4:AB$7493)</f>
        <v>400</v>
      </c>
      <c r="BQ35" s="313">
        <f>SUMIF(Recibos!$D$4:$D$7493,Cobranza!$B35,Recibos!AC$4:AC$7493)</f>
        <v>400</v>
      </c>
      <c r="BR35" s="313">
        <f>SUMIF(Recibos!$D$4:$D$7493,Cobranza!$B35,Recibos!AD$4:AD$7493)</f>
        <v>400</v>
      </c>
      <c r="BS35" s="313">
        <f>SUMIF(Recibos!$D$4:$D$7493,Cobranza!$B35,Recibos!AE$4:AE$7493)</f>
        <v>400</v>
      </c>
      <c r="BT35" s="313">
        <f>SUMIF(Recibos!$D$4:$D$7493,Cobranza!$B35,Recibos!AF$4:AF$7493)</f>
        <v>400</v>
      </c>
      <c r="BU35" s="313">
        <f>SUMIF(Recibos!$D$4:$D$7493,Cobranza!$B35,Recibos!AG$4:AG$7493)</f>
        <v>400</v>
      </c>
      <c r="BV35" s="313">
        <f>SUMIF(Recibos!$D$4:$D$7493,Cobranza!$B35,Recibos!AH$4:AH$7493)</f>
        <v>400</v>
      </c>
      <c r="BW35" s="313">
        <f>SUMIF(Recibos!$D$4:$D$7493,Cobranza!$B35,Recibos!AI$4:AI$7493)</f>
        <v>400</v>
      </c>
      <c r="BX35" s="314">
        <f t="shared" si="9"/>
        <v>4800</v>
      </c>
      <c r="BY35" s="313">
        <f>SUMIF(Recibos!$D$4:$D$7493,Cobranza!$B35,Recibos!AK$4:AK$7493)</f>
        <v>400</v>
      </c>
      <c r="BZ35" s="313">
        <f>SUMIF(Recibos!$D$4:$D$7493,Cobranza!$B35,Recibos!AL$4:AL$7493)</f>
        <v>400</v>
      </c>
      <c r="CA35" s="313">
        <f>SUMIF(Recibos!$D$4:$D$7493,Cobranza!$B35,Recibos!AM$4:AM$7493)</f>
        <v>400</v>
      </c>
      <c r="CB35" s="313">
        <f>SUMIF(Recibos!$D$4:$D$7493,Cobranza!$B35,Recibos!AN$4:AN$7493)</f>
        <v>400</v>
      </c>
      <c r="CC35" s="313">
        <f>SUMIF(Recibos!$D$4:$D$7493,Cobranza!$B35,Recibos!AO$4:AO$7493)</f>
        <v>400</v>
      </c>
      <c r="CD35" s="313">
        <f>SUMIF(Recibos!$D$4:$D$7493,Cobranza!$B35,Recibos!AP$4:AP$7493)</f>
        <v>400</v>
      </c>
      <c r="CE35" s="313">
        <f>SUMIF(Recibos!$D$4:$D$7493,Cobranza!$B35,Recibos!AQ$4:AQ$7493)</f>
        <v>400</v>
      </c>
      <c r="CF35" s="313">
        <f>SUMIF(Recibos!$D$4:$D$7493,Cobranza!$B35,Recibos!AR$4:AR$7493)</f>
        <v>400</v>
      </c>
      <c r="CG35" s="313">
        <f>SUMIF(Recibos!$D$4:$D$7493,Cobranza!$B35,Recibos!AS$4:AS$7493)</f>
        <v>400</v>
      </c>
      <c r="CH35" s="313">
        <f>SUMIF(Recibos!$D$4:$D$7493,Cobranza!$B35,Recibos!AT$4:AT$7493)</f>
        <v>0</v>
      </c>
      <c r="CI35" s="313">
        <f>SUMIF(Recibos!$D$4:$D$7493,Cobranza!$B35,Recibos!AU$4:AU$7493)</f>
        <v>0</v>
      </c>
      <c r="CJ35" s="313">
        <f>SUMIF(Recibos!$D$4:$D$7493,Cobranza!$B35,Recibos!AV$4:AV$7493)</f>
        <v>0</v>
      </c>
      <c r="CK35" s="314">
        <f t="shared" si="6"/>
        <v>3600</v>
      </c>
    </row>
    <row r="36" spans="2:89" x14ac:dyDescent="0.2">
      <c r="B36" s="42" t="s">
        <v>189</v>
      </c>
      <c r="C36" s="42" t="s">
        <v>190</v>
      </c>
      <c r="D36" s="42" t="s">
        <v>191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300</v>
      </c>
      <c r="K36" s="44">
        <f t="shared" si="2"/>
        <v>300</v>
      </c>
      <c r="L36" s="43">
        <v>300</v>
      </c>
      <c r="M36" s="43">
        <v>300</v>
      </c>
      <c r="N36" s="43">
        <v>300</v>
      </c>
      <c r="O36" s="43">
        <v>300</v>
      </c>
      <c r="P36" s="43">
        <v>300</v>
      </c>
      <c r="Q36" s="43">
        <v>300</v>
      </c>
      <c r="R36" s="43">
        <v>300</v>
      </c>
      <c r="S36" s="43">
        <v>300</v>
      </c>
      <c r="T36" s="43">
        <v>300</v>
      </c>
      <c r="U36" s="43">
        <v>400</v>
      </c>
      <c r="V36" s="43">
        <v>400</v>
      </c>
      <c r="W36" s="43">
        <v>400</v>
      </c>
      <c r="X36" s="44">
        <f t="shared" si="3"/>
        <v>3900</v>
      </c>
      <c r="Y36" s="43">
        <v>400</v>
      </c>
      <c r="Z36" s="43">
        <v>400</v>
      </c>
      <c r="AA36" s="43">
        <v>400</v>
      </c>
      <c r="AB36" s="43">
        <v>400</v>
      </c>
      <c r="AC36" s="43">
        <v>400</v>
      </c>
      <c r="AD36" s="43">
        <v>400</v>
      </c>
      <c r="AE36" s="43">
        <v>400</v>
      </c>
      <c r="AF36" s="43">
        <v>400</v>
      </c>
      <c r="AG36" s="43">
        <v>400</v>
      </c>
      <c r="AH36" s="43">
        <v>400</v>
      </c>
      <c r="AI36" s="43">
        <v>0</v>
      </c>
      <c r="AJ36" s="43">
        <v>0</v>
      </c>
      <c r="AK36" s="44">
        <f t="shared" si="4"/>
        <v>4000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400</v>
      </c>
      <c r="AR36" s="43">
        <v>400</v>
      </c>
      <c r="AS36" s="43">
        <v>400</v>
      </c>
      <c r="AT36" s="43">
        <v>400</v>
      </c>
      <c r="AU36" s="43">
        <v>400</v>
      </c>
      <c r="AV36" s="43">
        <v>400</v>
      </c>
      <c r="AW36" s="43">
        <v>400</v>
      </c>
      <c r="AX36" s="44">
        <f t="shared" si="7"/>
        <v>2800</v>
      </c>
      <c r="AY36" s="311">
        <f>SUMIF(Recibos!$D$4:$D$7493,Cobranza!$B36,Recibos!K$4:K$7493)</f>
        <v>400</v>
      </c>
      <c r="AZ36" s="311">
        <f>SUMIF(Recibos!$D$4:$D$7493,Cobranza!$B36,Recibos!L$4:L$7493)</f>
        <v>400</v>
      </c>
      <c r="BA36" s="311">
        <f>SUMIF(Recibos!$D$4:$D$7493,Cobranza!$B36,Recibos!M$4:M$7493)</f>
        <v>400</v>
      </c>
      <c r="BB36" s="311">
        <f>SUMIF(Recibos!$D$4:$D$7493,Cobranza!$B36,Recibos!N$4:N$7493)</f>
        <v>400</v>
      </c>
      <c r="BC36" s="311">
        <f>SUMIF(Recibos!$D$4:$D$7493,Cobranza!$B36,Recibos!O$4:O$7493)</f>
        <v>400</v>
      </c>
      <c r="BD36" s="311">
        <f>SUMIF(Recibos!$D$4:$D$7493,Cobranza!$B36,Recibos!P$4:P$7493)</f>
        <v>400</v>
      </c>
      <c r="BE36" s="311">
        <f>SUMIF(Recibos!$D$4:$D$7493,Cobranza!$B36,Recibos!Q$4:Q$7493)</f>
        <v>400</v>
      </c>
      <c r="BF36" s="311">
        <f>SUMIF(Recibos!$D$4:$D$7493,Cobranza!$B36,Recibos!R$4:R$7493)</f>
        <v>400</v>
      </c>
      <c r="BG36" s="311">
        <f>SUMIF(Recibos!$D$4:$D$7493,Cobranza!$B36,Recibos!S$4:S$7493)</f>
        <v>400</v>
      </c>
      <c r="BH36" s="311">
        <f>SUMIF(Recibos!$D$4:$D$7493,Cobranza!$B36,Recibos!T$4:T$7493)</f>
        <v>400</v>
      </c>
      <c r="BI36" s="311">
        <f>SUMIF(Recibos!$D$4:$D$7493,Cobranza!$B36,Recibos!U$4:U$7493)</f>
        <v>400</v>
      </c>
      <c r="BJ36" s="311">
        <f>SUMIF(Recibos!$D$4:$D$7493,Cobranza!$B36,Recibos!V$4:V$7493)</f>
        <v>400</v>
      </c>
      <c r="BK36" s="312">
        <f t="shared" si="8"/>
        <v>4800</v>
      </c>
      <c r="BL36" s="311">
        <f>SUMIF(Recibos!$D$4:$D$7493,Cobranza!$B36,Recibos!X$4:X$7493)</f>
        <v>400</v>
      </c>
      <c r="BM36" s="311">
        <f>SUMIF(Recibos!$D$4:$D$7493,Cobranza!$B36,Recibos!Y$4:Y$7493)</f>
        <v>400</v>
      </c>
      <c r="BN36" s="311">
        <f>SUMIF(Recibos!$D$4:$D$7493,Cobranza!$B36,Recibos!Z$4:Z$7493)</f>
        <v>400</v>
      </c>
      <c r="BO36" s="311">
        <f>SUMIF(Recibos!$D$4:$D$7493,Cobranza!$B36,Recibos!AA$4:AA$7493)</f>
        <v>400</v>
      </c>
      <c r="BP36" s="311">
        <f>SUMIF(Recibos!$D$4:$D$7493,Cobranza!$B36,Recibos!AB$4:AB$7493)</f>
        <v>400</v>
      </c>
      <c r="BQ36" s="311">
        <f>SUMIF(Recibos!$D$4:$D$7493,Cobranza!$B36,Recibos!AC$4:AC$7493)</f>
        <v>400</v>
      </c>
      <c r="BR36" s="311">
        <f>SUMIF(Recibos!$D$4:$D$7493,Cobranza!$B36,Recibos!AD$4:AD$7493)</f>
        <v>400</v>
      </c>
      <c r="BS36" s="311">
        <f>SUMIF(Recibos!$D$4:$D$7493,Cobranza!$B36,Recibos!AE$4:AE$7493)</f>
        <v>400</v>
      </c>
      <c r="BT36" s="311">
        <f>SUMIF(Recibos!$D$4:$D$7493,Cobranza!$B36,Recibos!AF$4:AF$7493)</f>
        <v>400</v>
      </c>
      <c r="BU36" s="311">
        <f>SUMIF(Recibos!$D$4:$D$7493,Cobranza!$B36,Recibos!AG$4:AG$7493)</f>
        <v>400</v>
      </c>
      <c r="BV36" s="311">
        <f>SUMIF(Recibos!$D$4:$D$7493,Cobranza!$B36,Recibos!AH$4:AH$7493)</f>
        <v>400</v>
      </c>
      <c r="BW36" s="311">
        <f>SUMIF(Recibos!$D$4:$D$7493,Cobranza!$B36,Recibos!AI$4:AI$7493)</f>
        <v>400</v>
      </c>
      <c r="BX36" s="312">
        <f t="shared" si="9"/>
        <v>4800</v>
      </c>
      <c r="BY36" s="311">
        <f>SUMIF(Recibos!$D$4:$D$7493,Cobranza!$B36,Recibos!AK$4:AK$7493)</f>
        <v>400</v>
      </c>
      <c r="BZ36" s="311">
        <f>SUMIF(Recibos!$D$4:$D$7493,Cobranza!$B36,Recibos!AL$4:AL$7493)</f>
        <v>400</v>
      </c>
      <c r="CA36" s="311">
        <f>SUMIF(Recibos!$D$4:$D$7493,Cobranza!$B36,Recibos!AM$4:AM$7493)</f>
        <v>400</v>
      </c>
      <c r="CB36" s="311">
        <f>SUMIF(Recibos!$D$4:$D$7493,Cobranza!$B36,Recibos!AN$4:AN$7493)</f>
        <v>400</v>
      </c>
      <c r="CC36" s="311">
        <f>SUMIF(Recibos!$D$4:$D$7493,Cobranza!$B36,Recibos!AO$4:AO$7493)</f>
        <v>400</v>
      </c>
      <c r="CD36" s="311">
        <f>SUMIF(Recibos!$D$4:$D$7493,Cobranza!$B36,Recibos!AP$4:AP$7493)</f>
        <v>400</v>
      </c>
      <c r="CE36" s="311">
        <f>SUMIF(Recibos!$D$4:$D$7493,Cobranza!$B36,Recibos!AQ$4:AQ$7493)</f>
        <v>0</v>
      </c>
      <c r="CF36" s="311">
        <f>SUMIF(Recibos!$D$4:$D$7493,Cobranza!$B36,Recibos!AR$4:AR$7493)</f>
        <v>0</v>
      </c>
      <c r="CG36" s="311">
        <f>SUMIF(Recibos!$D$4:$D$7493,Cobranza!$B36,Recibos!AS$4:AS$7493)</f>
        <v>0</v>
      </c>
      <c r="CH36" s="311">
        <f>SUMIF(Recibos!$D$4:$D$7493,Cobranza!$B36,Recibos!AT$4:AT$7493)</f>
        <v>0</v>
      </c>
      <c r="CI36" s="311">
        <f>SUMIF(Recibos!$D$4:$D$7493,Cobranza!$B36,Recibos!AU$4:AU$7493)</f>
        <v>0</v>
      </c>
      <c r="CJ36" s="311">
        <f>SUMIF(Recibos!$D$4:$D$7493,Cobranza!$B36,Recibos!AV$4:AV$7493)</f>
        <v>0</v>
      </c>
      <c r="CK36" s="312">
        <f t="shared" si="6"/>
        <v>2400</v>
      </c>
    </row>
    <row r="37" spans="2:89" x14ac:dyDescent="0.2">
      <c r="B37" s="45" t="s">
        <v>235</v>
      </c>
      <c r="C37" s="45" t="s">
        <v>236</v>
      </c>
      <c r="D37" s="45" t="s">
        <v>237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200</v>
      </c>
      <c r="K37" s="47">
        <f t="shared" si="2"/>
        <v>200</v>
      </c>
      <c r="L37" s="46">
        <v>200</v>
      </c>
      <c r="M37" s="46">
        <v>200</v>
      </c>
      <c r="N37" s="46">
        <v>200</v>
      </c>
      <c r="O37" s="46">
        <v>200</v>
      </c>
      <c r="P37" s="46">
        <v>200</v>
      </c>
      <c r="Q37" s="46">
        <v>200</v>
      </c>
      <c r="R37" s="46">
        <v>200</v>
      </c>
      <c r="S37" s="46">
        <v>400</v>
      </c>
      <c r="T37" s="46">
        <v>0</v>
      </c>
      <c r="U37" s="46">
        <v>400</v>
      </c>
      <c r="V37" s="46">
        <v>400</v>
      </c>
      <c r="W37" s="46">
        <v>400</v>
      </c>
      <c r="X37" s="47">
        <f t="shared" si="3"/>
        <v>3000</v>
      </c>
      <c r="Y37" s="46">
        <v>400</v>
      </c>
      <c r="Z37" s="46">
        <v>400</v>
      </c>
      <c r="AA37" s="46">
        <v>400</v>
      </c>
      <c r="AB37" s="46">
        <v>0</v>
      </c>
      <c r="AC37" s="46">
        <v>400</v>
      </c>
      <c r="AD37" s="46">
        <v>800</v>
      </c>
      <c r="AE37" s="46">
        <v>400</v>
      </c>
      <c r="AF37" s="46">
        <v>400</v>
      </c>
      <c r="AG37" s="46">
        <v>400</v>
      </c>
      <c r="AH37" s="46">
        <v>400</v>
      </c>
      <c r="AI37" s="46">
        <v>400</v>
      </c>
      <c r="AJ37" s="46">
        <v>400</v>
      </c>
      <c r="AK37" s="47">
        <f t="shared" si="4"/>
        <v>4800</v>
      </c>
      <c r="AL37" s="46">
        <v>400</v>
      </c>
      <c r="AM37" s="46">
        <v>400</v>
      </c>
      <c r="AN37" s="46">
        <v>400</v>
      </c>
      <c r="AO37" s="46">
        <v>400</v>
      </c>
      <c r="AP37" s="46">
        <v>400</v>
      </c>
      <c r="AQ37" s="46">
        <v>400</v>
      </c>
      <c r="AR37" s="46">
        <v>400</v>
      </c>
      <c r="AS37" s="46">
        <v>400</v>
      </c>
      <c r="AT37" s="46">
        <v>400</v>
      </c>
      <c r="AU37" s="46">
        <v>400</v>
      </c>
      <c r="AV37" s="46">
        <v>400</v>
      </c>
      <c r="AW37" s="46">
        <v>400</v>
      </c>
      <c r="AX37" s="47">
        <f t="shared" si="7"/>
        <v>4800</v>
      </c>
      <c r="AY37" s="313">
        <f>SUMIF(Recibos!$D$4:$D$7493,Cobranza!$B37,Recibos!K$4:K$7493)</f>
        <v>400</v>
      </c>
      <c r="AZ37" s="313">
        <f>SUMIF(Recibos!$D$4:$D$7493,Cobranza!$B37,Recibos!L$4:L$7493)</f>
        <v>400</v>
      </c>
      <c r="BA37" s="313">
        <f>SUMIF(Recibos!$D$4:$D$7493,Cobranza!$B37,Recibos!M$4:M$7493)</f>
        <v>400</v>
      </c>
      <c r="BB37" s="313">
        <f>SUMIF(Recibos!$D$4:$D$7493,Cobranza!$B37,Recibos!N$4:N$7493)</f>
        <v>400</v>
      </c>
      <c r="BC37" s="313">
        <f>SUMIF(Recibos!$D$4:$D$7493,Cobranza!$B37,Recibos!O$4:O$7493)</f>
        <v>0</v>
      </c>
      <c r="BD37" s="313">
        <f>SUMIF(Recibos!$D$4:$D$7493,Cobranza!$B37,Recibos!P$4:P$7493)</f>
        <v>800</v>
      </c>
      <c r="BE37" s="313">
        <f>SUMIF(Recibos!$D$4:$D$7493,Cobranza!$B37,Recibos!Q$4:Q$7493)</f>
        <v>400</v>
      </c>
      <c r="BF37" s="313">
        <f>SUMIF(Recibos!$D$4:$D$7493,Cobranza!$B37,Recibos!R$4:R$7493)</f>
        <v>400</v>
      </c>
      <c r="BG37" s="313">
        <f>SUMIF(Recibos!$D$4:$D$7493,Cobranza!$B37,Recibos!S$4:S$7493)</f>
        <v>400</v>
      </c>
      <c r="BH37" s="313">
        <f>SUMIF(Recibos!$D$4:$D$7493,Cobranza!$B37,Recibos!T$4:T$7493)</f>
        <v>400</v>
      </c>
      <c r="BI37" s="313">
        <f>SUMIF(Recibos!$D$4:$D$7493,Cobranza!$B37,Recibos!U$4:U$7493)</f>
        <v>400</v>
      </c>
      <c r="BJ37" s="313">
        <f>SUMIF(Recibos!$D$4:$D$7493,Cobranza!$B37,Recibos!V$4:V$7493)</f>
        <v>400</v>
      </c>
      <c r="BK37" s="314">
        <f t="shared" si="8"/>
        <v>4800</v>
      </c>
      <c r="BL37" s="313">
        <f>SUMIF(Recibos!$D$4:$D$7493,Cobranza!$B37,Recibos!X$4:X$7493)</f>
        <v>400</v>
      </c>
      <c r="BM37" s="313">
        <f>SUMIF(Recibos!$D$4:$D$7493,Cobranza!$B37,Recibos!Y$4:Y$7493)</f>
        <v>400</v>
      </c>
      <c r="BN37" s="313">
        <f>SUMIF(Recibos!$D$4:$D$7493,Cobranza!$B37,Recibos!Z$4:Z$7493)</f>
        <v>400</v>
      </c>
      <c r="BO37" s="313">
        <f>SUMIF(Recibos!$D$4:$D$7493,Cobranza!$B37,Recibos!AA$4:AA$7493)</f>
        <v>400</v>
      </c>
      <c r="BP37" s="313">
        <f>SUMIF(Recibos!$D$4:$D$7493,Cobranza!$B37,Recibos!AB$4:AB$7493)</f>
        <v>400</v>
      </c>
      <c r="BQ37" s="313">
        <f>SUMIF(Recibos!$D$4:$D$7493,Cobranza!$B37,Recibos!AC$4:AC$7493)</f>
        <v>400</v>
      </c>
      <c r="BR37" s="313">
        <f>SUMIF(Recibos!$D$4:$D$7493,Cobranza!$B37,Recibos!AD$4:AD$7493)</f>
        <v>400</v>
      </c>
      <c r="BS37" s="313">
        <f>SUMIF(Recibos!$D$4:$D$7493,Cobranza!$B37,Recibos!AE$4:AE$7493)</f>
        <v>400</v>
      </c>
      <c r="BT37" s="313">
        <f>SUMIF(Recibos!$D$4:$D$7493,Cobranza!$B37,Recibos!AF$4:AF$7493)</f>
        <v>400</v>
      </c>
      <c r="BU37" s="313">
        <f>SUMIF(Recibos!$D$4:$D$7493,Cobranza!$B37,Recibos!AG$4:AG$7493)</f>
        <v>400</v>
      </c>
      <c r="BV37" s="313">
        <f>SUMIF(Recibos!$D$4:$D$7493,Cobranza!$B37,Recibos!AH$4:AH$7493)</f>
        <v>400</v>
      </c>
      <c r="BW37" s="313">
        <f>SUMIF(Recibos!$D$4:$D$7493,Cobranza!$B37,Recibos!AI$4:AI$7493)</f>
        <v>400</v>
      </c>
      <c r="BX37" s="314">
        <f t="shared" si="9"/>
        <v>4800</v>
      </c>
      <c r="BY37" s="313">
        <f>SUMIF(Recibos!$D$4:$D$7493,Cobranza!$B37,Recibos!AK$4:AK$7493)</f>
        <v>400</v>
      </c>
      <c r="BZ37" s="313">
        <f>SUMIF(Recibos!$D$4:$D$7493,Cobranza!$B37,Recibos!AL$4:AL$7493)</f>
        <v>400</v>
      </c>
      <c r="CA37" s="313">
        <f>SUMIF(Recibos!$D$4:$D$7493,Cobranza!$B37,Recibos!AM$4:AM$7493)</f>
        <v>400</v>
      </c>
      <c r="CB37" s="313">
        <f>SUMIF(Recibos!$D$4:$D$7493,Cobranza!$B37,Recibos!AN$4:AN$7493)</f>
        <v>400</v>
      </c>
      <c r="CC37" s="313">
        <f>SUMIF(Recibos!$D$4:$D$7493,Cobranza!$B37,Recibos!AO$4:AO$7493)</f>
        <v>400</v>
      </c>
      <c r="CD37" s="313">
        <f>SUMIF(Recibos!$D$4:$D$7493,Cobranza!$B37,Recibos!AP$4:AP$7493)</f>
        <v>400</v>
      </c>
      <c r="CE37" s="313">
        <f>SUMIF(Recibos!$D$4:$D$7493,Cobranza!$B37,Recibos!AQ$4:AQ$7493)</f>
        <v>400</v>
      </c>
      <c r="CF37" s="313">
        <f>SUMIF(Recibos!$D$4:$D$7493,Cobranza!$B37,Recibos!AR$4:AR$7493)</f>
        <v>400</v>
      </c>
      <c r="CG37" s="313">
        <f>SUMIF(Recibos!$D$4:$D$7493,Cobranza!$B37,Recibos!AS$4:AS$7493)</f>
        <v>0</v>
      </c>
      <c r="CH37" s="313">
        <f>SUMIF(Recibos!$D$4:$D$7493,Cobranza!$B37,Recibos!AT$4:AT$7493)</f>
        <v>0</v>
      </c>
      <c r="CI37" s="313">
        <f>SUMIF(Recibos!$D$4:$D$7493,Cobranza!$B37,Recibos!AU$4:AU$7493)</f>
        <v>0</v>
      </c>
      <c r="CJ37" s="313">
        <f>SUMIF(Recibos!$D$4:$D$7493,Cobranza!$B37,Recibos!AV$4:AV$7493)</f>
        <v>0</v>
      </c>
      <c r="CK37" s="314">
        <f t="shared" si="6"/>
        <v>3200</v>
      </c>
    </row>
    <row r="38" spans="2:89" x14ac:dyDescent="0.2">
      <c r="B38" s="42" t="s">
        <v>238</v>
      </c>
      <c r="C38" s="42" t="s">
        <v>239</v>
      </c>
      <c r="D38" s="42" t="s">
        <v>240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125</v>
      </c>
      <c r="K38" s="44">
        <f t="shared" si="2"/>
        <v>125</v>
      </c>
      <c r="L38" s="43">
        <v>125</v>
      </c>
      <c r="M38" s="43">
        <v>125</v>
      </c>
      <c r="N38" s="43">
        <v>125</v>
      </c>
      <c r="O38" s="43">
        <v>125</v>
      </c>
      <c r="P38" s="43">
        <v>125</v>
      </c>
      <c r="Q38" s="43">
        <v>125</v>
      </c>
      <c r="R38" s="43">
        <v>125</v>
      </c>
      <c r="S38" s="43">
        <v>125</v>
      </c>
      <c r="T38" s="43">
        <v>125</v>
      </c>
      <c r="U38" s="43">
        <v>125</v>
      </c>
      <c r="V38" s="43">
        <v>125</v>
      </c>
      <c r="W38" s="43">
        <v>120</v>
      </c>
      <c r="X38" s="44">
        <f t="shared" si="3"/>
        <v>1495</v>
      </c>
      <c r="Y38" s="43">
        <v>125</v>
      </c>
      <c r="Z38" s="43">
        <v>125</v>
      </c>
      <c r="AA38" s="43">
        <v>125</v>
      </c>
      <c r="AB38" s="43">
        <v>125</v>
      </c>
      <c r="AC38" s="43">
        <v>125</v>
      </c>
      <c r="AD38" s="43">
        <v>125</v>
      </c>
      <c r="AE38" s="43">
        <v>125</v>
      </c>
      <c r="AF38" s="43">
        <v>125</v>
      </c>
      <c r="AG38" s="43">
        <v>125</v>
      </c>
      <c r="AH38" s="43">
        <v>125</v>
      </c>
      <c r="AI38" s="43">
        <v>125</v>
      </c>
      <c r="AJ38" s="43">
        <v>125</v>
      </c>
      <c r="AK38" s="44">
        <f t="shared" si="4"/>
        <v>1500</v>
      </c>
      <c r="AL38" s="43">
        <v>125</v>
      </c>
      <c r="AM38" s="43">
        <v>125</v>
      </c>
      <c r="AN38" s="43">
        <v>125</v>
      </c>
      <c r="AO38" s="43">
        <v>125</v>
      </c>
      <c r="AP38" s="43">
        <v>125</v>
      </c>
      <c r="AQ38" s="43">
        <v>125</v>
      </c>
      <c r="AR38" s="43">
        <v>125</v>
      </c>
      <c r="AS38" s="43">
        <v>125</v>
      </c>
      <c r="AT38" s="43">
        <v>125</v>
      </c>
      <c r="AU38" s="43">
        <v>125</v>
      </c>
      <c r="AV38" s="43">
        <v>125</v>
      </c>
      <c r="AW38" s="43">
        <v>125</v>
      </c>
      <c r="AX38" s="44">
        <f t="shared" si="7"/>
        <v>1500</v>
      </c>
      <c r="AY38" s="311">
        <f>SUMIF(Recibos!$D$4:$D$7493,Cobranza!$B38,Recibos!K$4:K$7493)</f>
        <v>125</v>
      </c>
      <c r="AZ38" s="311">
        <f>SUMIF(Recibos!$D$4:$D$7493,Cobranza!$B38,Recibos!L$4:L$7493)</f>
        <v>125</v>
      </c>
      <c r="BA38" s="311">
        <f>SUMIF(Recibos!$D$4:$D$7493,Cobranza!$B38,Recibos!M$4:M$7493)</f>
        <v>125</v>
      </c>
      <c r="BB38" s="311">
        <f>SUMIF(Recibos!$D$4:$D$7493,Cobranza!$B38,Recibos!N$4:N$7493)</f>
        <v>125</v>
      </c>
      <c r="BC38" s="311">
        <f>SUMIF(Recibos!$D$4:$D$7493,Cobranza!$B38,Recibos!O$4:O$7493)</f>
        <v>125</v>
      </c>
      <c r="BD38" s="311">
        <f>SUMIF(Recibos!$D$4:$D$7493,Cobranza!$B38,Recibos!P$4:P$7493)</f>
        <v>125</v>
      </c>
      <c r="BE38" s="311">
        <f>SUMIF(Recibos!$D$4:$D$7493,Cobranza!$B38,Recibos!Q$4:Q$7493)</f>
        <v>125</v>
      </c>
      <c r="BF38" s="311">
        <f>SUMIF(Recibos!$D$4:$D$7493,Cobranza!$B38,Recibos!R$4:R$7493)</f>
        <v>125</v>
      </c>
      <c r="BG38" s="311">
        <f>SUMIF(Recibos!$D$4:$D$7493,Cobranza!$B38,Recibos!S$4:S$7493)</f>
        <v>125</v>
      </c>
      <c r="BH38" s="311">
        <f>SUMIF(Recibos!$D$4:$D$7493,Cobranza!$B38,Recibos!T$4:T$7493)</f>
        <v>125</v>
      </c>
      <c r="BI38" s="311">
        <f>SUMIF(Recibos!$D$4:$D$7493,Cobranza!$B38,Recibos!U$4:U$7493)</f>
        <v>125</v>
      </c>
      <c r="BJ38" s="311">
        <f>SUMIF(Recibos!$D$4:$D$7493,Cobranza!$B38,Recibos!V$4:V$7493)</f>
        <v>125</v>
      </c>
      <c r="BK38" s="312">
        <f t="shared" si="8"/>
        <v>1500</v>
      </c>
      <c r="BL38" s="311">
        <f>SUMIF(Recibos!$D$4:$D$7493,Cobranza!$B38,Recibos!X$4:X$7493)</f>
        <v>125</v>
      </c>
      <c r="BM38" s="311">
        <f>SUMIF(Recibos!$D$4:$D$7493,Cobranza!$B38,Recibos!Y$4:Y$7493)</f>
        <v>125</v>
      </c>
      <c r="BN38" s="311">
        <f>SUMIF(Recibos!$D$4:$D$7493,Cobranza!$B38,Recibos!Z$4:Z$7493)</f>
        <v>125</v>
      </c>
      <c r="BO38" s="311">
        <f>SUMIF(Recibos!$D$4:$D$7493,Cobranza!$B38,Recibos!AA$4:AA$7493)</f>
        <v>125</v>
      </c>
      <c r="BP38" s="311">
        <f>SUMIF(Recibos!$D$4:$D$7493,Cobranza!$B38,Recibos!AB$4:AB$7493)</f>
        <v>125</v>
      </c>
      <c r="BQ38" s="311">
        <f>SUMIF(Recibos!$D$4:$D$7493,Cobranza!$B38,Recibos!AC$4:AC$7493)</f>
        <v>125</v>
      </c>
      <c r="BR38" s="311">
        <f>SUMIF(Recibos!$D$4:$D$7493,Cobranza!$B38,Recibos!AD$4:AD$7493)</f>
        <v>125</v>
      </c>
      <c r="BS38" s="311">
        <f>SUMIF(Recibos!$D$4:$D$7493,Cobranza!$B38,Recibos!AE$4:AE$7493)</f>
        <v>125</v>
      </c>
      <c r="BT38" s="311">
        <f>SUMIF(Recibos!$D$4:$D$7493,Cobranza!$B38,Recibos!AF$4:AF$7493)</f>
        <v>125</v>
      </c>
      <c r="BU38" s="311">
        <f>SUMIF(Recibos!$D$4:$D$7493,Cobranza!$B38,Recibos!AG$4:AG$7493)</f>
        <v>125</v>
      </c>
      <c r="BV38" s="311">
        <f>SUMIF(Recibos!$D$4:$D$7493,Cobranza!$B38,Recibos!AH$4:AH$7493)</f>
        <v>125</v>
      </c>
      <c r="BW38" s="311">
        <f>SUMIF(Recibos!$D$4:$D$7493,Cobranza!$B38,Recibos!AI$4:AI$7493)</f>
        <v>125</v>
      </c>
      <c r="BX38" s="312">
        <f t="shared" si="9"/>
        <v>1500</v>
      </c>
      <c r="BY38" s="311">
        <f>SUMIF(Recibos!$D$4:$D$7493,Cobranza!$B38,Recibos!AK$4:AK$7493)</f>
        <v>125</v>
      </c>
      <c r="BZ38" s="311">
        <f>SUMIF(Recibos!$D$4:$D$7493,Cobranza!$B38,Recibos!AL$4:AL$7493)</f>
        <v>125</v>
      </c>
      <c r="CA38" s="311">
        <f>SUMIF(Recibos!$D$4:$D$7493,Cobranza!$B38,Recibos!AM$4:AM$7493)</f>
        <v>125</v>
      </c>
      <c r="CB38" s="311">
        <f>SUMIF(Recibos!$D$4:$D$7493,Cobranza!$B38,Recibos!AN$4:AN$7493)</f>
        <v>125</v>
      </c>
      <c r="CC38" s="311">
        <f>SUMIF(Recibos!$D$4:$D$7493,Cobranza!$B38,Recibos!AO$4:AO$7493)</f>
        <v>125</v>
      </c>
      <c r="CD38" s="311">
        <f>SUMIF(Recibos!$D$4:$D$7493,Cobranza!$B38,Recibos!AP$4:AP$7493)</f>
        <v>125</v>
      </c>
      <c r="CE38" s="311">
        <f>SUMIF(Recibos!$D$4:$D$7493,Cobranza!$B38,Recibos!AQ$4:AQ$7493)</f>
        <v>125</v>
      </c>
      <c r="CF38" s="311">
        <f>SUMIF(Recibos!$D$4:$D$7493,Cobranza!$B38,Recibos!AR$4:AR$7493)</f>
        <v>125</v>
      </c>
      <c r="CG38" s="311">
        <f>SUMIF(Recibos!$D$4:$D$7493,Cobranza!$B38,Recibos!AS$4:AS$7493)</f>
        <v>125</v>
      </c>
      <c r="CH38" s="311">
        <f>SUMIF(Recibos!$D$4:$D$7493,Cobranza!$B38,Recibos!AT$4:AT$7493)</f>
        <v>125</v>
      </c>
      <c r="CI38" s="311">
        <f>SUMIF(Recibos!$D$4:$D$7493,Cobranza!$B38,Recibos!AU$4:AU$7493)</f>
        <v>0</v>
      </c>
      <c r="CJ38" s="311">
        <f>SUMIF(Recibos!$D$4:$D$7493,Cobranza!$B38,Recibos!AV$4:AV$7493)</f>
        <v>0</v>
      </c>
      <c r="CK38" s="312">
        <f t="shared" si="6"/>
        <v>1250</v>
      </c>
    </row>
    <row r="39" spans="2:89" x14ac:dyDescent="0.2">
      <c r="B39" s="45" t="s">
        <v>909</v>
      </c>
      <c r="C39" s="45" t="s">
        <v>910</v>
      </c>
      <c r="D39" s="45" t="s">
        <v>222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7">
        <f t="shared" si="2"/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7">
        <f t="shared" si="3"/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7">
        <f t="shared" si="4"/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6">
        <v>0</v>
      </c>
      <c r="AS39" s="46">
        <v>0</v>
      </c>
      <c r="AT39" s="46">
        <v>0</v>
      </c>
      <c r="AU39" s="46">
        <v>0</v>
      </c>
      <c r="AV39" s="46">
        <v>0</v>
      </c>
      <c r="AW39" s="46">
        <v>100</v>
      </c>
      <c r="AX39" s="47">
        <f t="shared" si="7"/>
        <v>100</v>
      </c>
      <c r="AY39" s="313">
        <f>SUMIF(Recibos!$D$4:$D$7493,Cobranza!$B39,Recibos!K$4:K$7493)</f>
        <v>100</v>
      </c>
      <c r="AZ39" s="313">
        <f>SUMIF(Recibos!$D$4:$D$7493,Cobranza!$B39,Recibos!L$4:L$7493)</f>
        <v>100</v>
      </c>
      <c r="BA39" s="313">
        <f>SUMIF(Recibos!$D$4:$D$7493,Cobranza!$B39,Recibos!M$4:M$7493)</f>
        <v>100</v>
      </c>
      <c r="BB39" s="313">
        <f>SUMIF(Recibos!$D$4:$D$7493,Cobranza!$B39,Recibos!N$4:N$7493)</f>
        <v>100</v>
      </c>
      <c r="BC39" s="313">
        <f>SUMIF(Recibos!$D$4:$D$7493,Cobranza!$B39,Recibos!O$4:O$7493)</f>
        <v>100</v>
      </c>
      <c r="BD39" s="313">
        <f>SUMIF(Recibos!$D$4:$D$7493,Cobranza!$B39,Recibos!P$4:P$7493)</f>
        <v>0</v>
      </c>
      <c r="BE39" s="313">
        <f>SUMIF(Recibos!$D$4:$D$7493,Cobranza!$B39,Recibos!Q$4:Q$7493)</f>
        <v>0</v>
      </c>
      <c r="BF39" s="313">
        <f>SUMIF(Recibos!$D$4:$D$7493,Cobranza!$B39,Recibos!R$4:R$7493)</f>
        <v>0</v>
      </c>
      <c r="BG39" s="313">
        <f>SUMIF(Recibos!$D$4:$D$7493,Cobranza!$B39,Recibos!S$4:S$7493)</f>
        <v>0</v>
      </c>
      <c r="BH39" s="313">
        <f>SUMIF(Recibos!$D$4:$D$7493,Cobranza!$B39,Recibos!T$4:T$7493)</f>
        <v>0</v>
      </c>
      <c r="BI39" s="313">
        <f>SUMIF(Recibos!$D$4:$D$7493,Cobranza!$B39,Recibos!U$4:U$7493)</f>
        <v>0</v>
      </c>
      <c r="BJ39" s="313">
        <f>SUMIF(Recibos!$D$4:$D$7493,Cobranza!$B39,Recibos!V$4:V$7493)</f>
        <v>0</v>
      </c>
      <c r="BK39" s="314">
        <f t="shared" si="8"/>
        <v>500</v>
      </c>
      <c r="BL39" s="313">
        <f>SUMIF(Recibos!$D$4:$D$7493,Cobranza!$B39,Recibos!X$4:X$7493)</f>
        <v>0</v>
      </c>
      <c r="BM39" s="313">
        <f>SUMIF(Recibos!$D$4:$D$7493,Cobranza!$B39,Recibos!Y$4:Y$7493)</f>
        <v>0</v>
      </c>
      <c r="BN39" s="313">
        <f>SUMIF(Recibos!$D$4:$D$7493,Cobranza!$B39,Recibos!Z$4:Z$7493)</f>
        <v>0</v>
      </c>
      <c r="BO39" s="313">
        <f>SUMIF(Recibos!$D$4:$D$7493,Cobranza!$B39,Recibos!AA$4:AA$7493)</f>
        <v>0</v>
      </c>
      <c r="BP39" s="313">
        <f>SUMIF(Recibos!$D$4:$D$7493,Cobranza!$B39,Recibos!AB$4:AB$7493)</f>
        <v>0</v>
      </c>
      <c r="BQ39" s="313">
        <f>SUMIF(Recibos!$D$4:$D$7493,Cobranza!$B39,Recibos!AC$4:AC$7493)</f>
        <v>0</v>
      </c>
      <c r="BR39" s="313">
        <f>SUMIF(Recibos!$D$4:$D$7493,Cobranza!$B39,Recibos!AD$4:AD$7493)</f>
        <v>0</v>
      </c>
      <c r="BS39" s="313">
        <f>SUMIF(Recibos!$D$4:$D$7493,Cobranza!$B39,Recibos!AE$4:AE$7493)</f>
        <v>0</v>
      </c>
      <c r="BT39" s="313">
        <f>SUMIF(Recibos!$D$4:$D$7493,Cobranza!$B39,Recibos!AF$4:AF$7493)</f>
        <v>0</v>
      </c>
      <c r="BU39" s="313">
        <f>SUMIF(Recibos!$D$4:$D$7493,Cobranza!$B39,Recibos!AG$4:AG$7493)</f>
        <v>0</v>
      </c>
      <c r="BV39" s="313">
        <f>SUMIF(Recibos!$D$4:$D$7493,Cobranza!$B39,Recibos!AH$4:AH$7493)</f>
        <v>0</v>
      </c>
      <c r="BW39" s="313">
        <f>SUMIF(Recibos!$D$4:$D$7493,Cobranza!$B39,Recibos!AI$4:AI$7493)</f>
        <v>0</v>
      </c>
      <c r="BX39" s="314">
        <f t="shared" si="9"/>
        <v>0</v>
      </c>
      <c r="BY39" s="313">
        <f>SUMIF(Recibos!$D$4:$D$7493,Cobranza!$B39,Recibos!AK$4:AK$7493)</f>
        <v>0</v>
      </c>
      <c r="BZ39" s="313">
        <f>SUMIF(Recibos!$D$4:$D$7493,Cobranza!$B39,Recibos!AL$4:AL$7493)</f>
        <v>0</v>
      </c>
      <c r="CA39" s="313">
        <f>SUMIF(Recibos!$D$4:$D$7493,Cobranza!$B39,Recibos!AM$4:AM$7493)</f>
        <v>350</v>
      </c>
      <c r="CB39" s="313">
        <f>SUMIF(Recibos!$D$4:$D$7493,Cobranza!$B39,Recibos!AN$4:AN$7493)</f>
        <v>350</v>
      </c>
      <c r="CC39" s="313">
        <f>SUMIF(Recibos!$D$4:$D$7493,Cobranza!$B39,Recibos!AO$4:AO$7493)</f>
        <v>300</v>
      </c>
      <c r="CD39" s="313">
        <f>SUMIF(Recibos!$D$4:$D$7493,Cobranza!$B39,Recibos!AP$4:AP$7493)</f>
        <v>350</v>
      </c>
      <c r="CE39" s="313">
        <f>SUMIF(Recibos!$D$4:$D$7493,Cobranza!$B39,Recibos!AQ$4:AQ$7493)</f>
        <v>350</v>
      </c>
      <c r="CF39" s="313">
        <f>SUMIF(Recibos!$D$4:$D$7493,Cobranza!$B39,Recibos!AR$4:AR$7493)</f>
        <v>350</v>
      </c>
      <c r="CG39" s="313">
        <f>SUMIF(Recibos!$D$4:$D$7493,Cobranza!$B39,Recibos!AS$4:AS$7493)</f>
        <v>350</v>
      </c>
      <c r="CH39" s="313">
        <f>SUMIF(Recibos!$D$4:$D$7493,Cobranza!$B39,Recibos!AT$4:AT$7493)</f>
        <v>350</v>
      </c>
      <c r="CI39" s="313">
        <f>SUMIF(Recibos!$D$4:$D$7493,Cobranza!$B39,Recibos!AU$4:AU$7493)</f>
        <v>0</v>
      </c>
      <c r="CJ39" s="313">
        <f>SUMIF(Recibos!$D$4:$D$7493,Cobranza!$B39,Recibos!AV$4:AV$7493)</f>
        <v>0</v>
      </c>
      <c r="CK39" s="314">
        <f t="shared" si="6"/>
        <v>2750</v>
      </c>
    </row>
    <row r="40" spans="2:89" x14ac:dyDescent="0.2">
      <c r="B40" s="42" t="s">
        <v>106</v>
      </c>
      <c r="C40" s="42" t="s">
        <v>107</v>
      </c>
      <c r="D40" s="42" t="s">
        <v>108</v>
      </c>
      <c r="E40" s="43">
        <v>0</v>
      </c>
      <c r="F40" s="43">
        <v>0</v>
      </c>
      <c r="G40" s="43">
        <v>0</v>
      </c>
      <c r="H40" s="43">
        <v>0</v>
      </c>
      <c r="I40" s="43">
        <v>300</v>
      </c>
      <c r="J40" s="43">
        <v>300</v>
      </c>
      <c r="K40" s="44">
        <f t="shared" si="2"/>
        <v>600</v>
      </c>
      <c r="L40" s="43">
        <v>300</v>
      </c>
      <c r="M40" s="43">
        <v>300</v>
      </c>
      <c r="N40" s="43">
        <v>300</v>
      </c>
      <c r="O40" s="43">
        <v>300</v>
      </c>
      <c r="P40" s="43">
        <v>300</v>
      </c>
      <c r="Q40" s="43">
        <v>300</v>
      </c>
      <c r="R40" s="43">
        <v>300</v>
      </c>
      <c r="S40" s="43">
        <v>300</v>
      </c>
      <c r="T40" s="43">
        <v>300</v>
      </c>
      <c r="U40" s="43">
        <v>400</v>
      </c>
      <c r="V40" s="43">
        <v>400</v>
      </c>
      <c r="W40" s="43">
        <v>400</v>
      </c>
      <c r="X40" s="44">
        <f t="shared" si="3"/>
        <v>3900</v>
      </c>
      <c r="Y40" s="43">
        <v>400</v>
      </c>
      <c r="Z40" s="43">
        <v>400</v>
      </c>
      <c r="AA40" s="43">
        <v>400</v>
      </c>
      <c r="AB40" s="43">
        <v>400</v>
      </c>
      <c r="AC40" s="43">
        <v>400</v>
      </c>
      <c r="AD40" s="43">
        <v>400</v>
      </c>
      <c r="AE40" s="43">
        <v>400</v>
      </c>
      <c r="AF40" s="43">
        <v>400</v>
      </c>
      <c r="AG40" s="43">
        <v>800</v>
      </c>
      <c r="AH40" s="43">
        <v>0</v>
      </c>
      <c r="AI40" s="43">
        <v>400</v>
      </c>
      <c r="AJ40" s="43">
        <v>400</v>
      </c>
      <c r="AK40" s="44">
        <f t="shared" si="4"/>
        <v>4800</v>
      </c>
      <c r="AL40" s="43">
        <v>400</v>
      </c>
      <c r="AM40" s="43">
        <v>400</v>
      </c>
      <c r="AN40" s="43">
        <v>400</v>
      </c>
      <c r="AO40" s="43">
        <v>400</v>
      </c>
      <c r="AP40" s="43">
        <v>400</v>
      </c>
      <c r="AQ40" s="43">
        <v>400</v>
      </c>
      <c r="AR40" s="43">
        <v>400</v>
      </c>
      <c r="AS40" s="43">
        <v>400</v>
      </c>
      <c r="AT40" s="43">
        <v>400</v>
      </c>
      <c r="AU40" s="43">
        <v>400</v>
      </c>
      <c r="AV40" s="43">
        <v>400</v>
      </c>
      <c r="AW40" s="43">
        <v>400</v>
      </c>
      <c r="AX40" s="44">
        <f t="shared" si="7"/>
        <v>4800</v>
      </c>
      <c r="AY40" s="311">
        <f>SUMIF(Recibos!$D$4:$D$7493,Cobranza!$B40,Recibos!K$4:K$7493)</f>
        <v>400</v>
      </c>
      <c r="AZ40" s="311">
        <f>SUMIF(Recibos!$D$4:$D$7493,Cobranza!$B40,Recibos!L$4:L$7493)</f>
        <v>400</v>
      </c>
      <c r="BA40" s="311">
        <f>SUMIF(Recibos!$D$4:$D$7493,Cobranza!$B40,Recibos!M$4:M$7493)</f>
        <v>400</v>
      </c>
      <c r="BB40" s="311">
        <f>SUMIF(Recibos!$D$4:$D$7493,Cobranza!$B40,Recibos!N$4:N$7493)</f>
        <v>400</v>
      </c>
      <c r="BC40" s="311">
        <f>SUMIF(Recibos!$D$4:$D$7493,Cobranza!$B40,Recibos!O$4:O$7493)</f>
        <v>400</v>
      </c>
      <c r="BD40" s="311">
        <f>SUMIF(Recibos!$D$4:$D$7493,Cobranza!$B40,Recibos!P$4:P$7493)</f>
        <v>400</v>
      </c>
      <c r="BE40" s="311">
        <f>SUMIF(Recibos!$D$4:$D$7493,Cobranza!$B40,Recibos!Q$4:Q$7493)</f>
        <v>400</v>
      </c>
      <c r="BF40" s="311">
        <f>SUMIF(Recibos!$D$4:$D$7493,Cobranza!$B40,Recibos!R$4:R$7493)</f>
        <v>400</v>
      </c>
      <c r="BG40" s="311">
        <f>SUMIF(Recibos!$D$4:$D$7493,Cobranza!$B40,Recibos!S$4:S$7493)</f>
        <v>400</v>
      </c>
      <c r="BH40" s="311">
        <f>SUMIF(Recibos!$D$4:$D$7493,Cobranza!$B40,Recibos!T$4:T$7493)</f>
        <v>400</v>
      </c>
      <c r="BI40" s="311">
        <f>SUMIF(Recibos!$D$4:$D$7493,Cobranza!$B40,Recibos!U$4:U$7493)</f>
        <v>400</v>
      </c>
      <c r="BJ40" s="311">
        <f>SUMIF(Recibos!$D$4:$D$7493,Cobranza!$B40,Recibos!V$4:V$7493)</f>
        <v>0</v>
      </c>
      <c r="BK40" s="312">
        <f t="shared" si="8"/>
        <v>4400</v>
      </c>
      <c r="BL40" s="311">
        <f>SUMIF(Recibos!$D$4:$D$7493,Cobranza!$B40,Recibos!X$4:X$7493)</f>
        <v>400</v>
      </c>
      <c r="BM40" s="311">
        <f>SUMIF(Recibos!$D$4:$D$7493,Cobranza!$B40,Recibos!Y$4:Y$7493)</f>
        <v>400</v>
      </c>
      <c r="BN40" s="311">
        <f>SUMIF(Recibos!$D$4:$D$7493,Cobranza!$B40,Recibos!Z$4:Z$7493)</f>
        <v>400</v>
      </c>
      <c r="BO40" s="311">
        <f>SUMIF(Recibos!$D$4:$D$7493,Cobranza!$B40,Recibos!AA$4:AA$7493)</f>
        <v>400</v>
      </c>
      <c r="BP40" s="311">
        <f>SUMIF(Recibos!$D$4:$D$7493,Cobranza!$B40,Recibos!AB$4:AB$7493)</f>
        <v>400</v>
      </c>
      <c r="BQ40" s="311">
        <f>SUMIF(Recibos!$D$4:$D$7493,Cobranza!$B40,Recibos!AC$4:AC$7493)</f>
        <v>400</v>
      </c>
      <c r="BR40" s="311">
        <f>SUMIF(Recibos!$D$4:$D$7493,Cobranza!$B40,Recibos!AD$4:AD$7493)</f>
        <v>400</v>
      </c>
      <c r="BS40" s="311">
        <f>SUMIF(Recibos!$D$4:$D$7493,Cobranza!$B40,Recibos!AE$4:AE$7493)</f>
        <v>400</v>
      </c>
      <c r="BT40" s="311">
        <f>SUMIF(Recibos!$D$4:$D$7493,Cobranza!$B40,Recibos!AF$4:AF$7493)</f>
        <v>400</v>
      </c>
      <c r="BU40" s="311">
        <f>SUMIF(Recibos!$D$4:$D$7493,Cobranza!$B40,Recibos!AG$4:AG$7493)</f>
        <v>400</v>
      </c>
      <c r="BV40" s="311">
        <f>SUMIF(Recibos!$D$4:$D$7493,Cobranza!$B40,Recibos!AH$4:AH$7493)</f>
        <v>400</v>
      </c>
      <c r="BW40" s="311">
        <f>SUMIF(Recibos!$D$4:$D$7493,Cobranza!$B40,Recibos!AI$4:AI$7493)</f>
        <v>0</v>
      </c>
      <c r="BX40" s="312">
        <f t="shared" si="9"/>
        <v>4400</v>
      </c>
      <c r="BY40" s="311">
        <f>SUMIF(Recibos!$D$4:$D$7493,Cobranza!$B40,Recibos!AK$4:AK$7493)</f>
        <v>400</v>
      </c>
      <c r="BZ40" s="311">
        <f>SUMIF(Recibos!$D$4:$D$7493,Cobranza!$B40,Recibos!AL$4:AL$7493)</f>
        <v>400</v>
      </c>
      <c r="CA40" s="311">
        <f>SUMIF(Recibos!$D$4:$D$7493,Cobranza!$B40,Recibos!AM$4:AM$7493)</f>
        <v>400</v>
      </c>
      <c r="CB40" s="311">
        <f>SUMIF(Recibos!$D$4:$D$7493,Cobranza!$B40,Recibos!AN$4:AN$7493)</f>
        <v>400</v>
      </c>
      <c r="CC40" s="311">
        <f>SUMIF(Recibos!$D$4:$D$7493,Cobranza!$B40,Recibos!AO$4:AO$7493)</f>
        <v>400</v>
      </c>
      <c r="CD40" s="311">
        <f>SUMIF(Recibos!$D$4:$D$7493,Cobranza!$B40,Recibos!AP$4:AP$7493)</f>
        <v>400</v>
      </c>
      <c r="CE40" s="311">
        <f>SUMIF(Recibos!$D$4:$D$7493,Cobranza!$B40,Recibos!AQ$4:AQ$7493)</f>
        <v>400</v>
      </c>
      <c r="CF40" s="311">
        <f>SUMIF(Recibos!$D$4:$D$7493,Cobranza!$B40,Recibos!AR$4:AR$7493)</f>
        <v>400</v>
      </c>
      <c r="CG40" s="311">
        <f>SUMIF(Recibos!$D$4:$D$7493,Cobranza!$B40,Recibos!AS$4:AS$7493)</f>
        <v>400</v>
      </c>
      <c r="CH40" s="311">
        <f>SUMIF(Recibos!$D$4:$D$7493,Cobranza!$B40,Recibos!AT$4:AT$7493)</f>
        <v>400</v>
      </c>
      <c r="CI40" s="311">
        <f>SUMIF(Recibos!$D$4:$D$7493,Cobranza!$B40,Recibos!AU$4:AU$7493)</f>
        <v>400</v>
      </c>
      <c r="CJ40" s="311">
        <f>SUMIF(Recibos!$D$4:$D$7493,Cobranza!$B40,Recibos!AV$4:AV$7493)</f>
        <v>0</v>
      </c>
      <c r="CK40" s="312">
        <f t="shared" si="6"/>
        <v>4400</v>
      </c>
    </row>
    <row r="41" spans="2:89" x14ac:dyDescent="0.2">
      <c r="B41" s="45" t="s">
        <v>577</v>
      </c>
      <c r="C41" s="45" t="s">
        <v>578</v>
      </c>
      <c r="D41" s="45" t="s">
        <v>579</v>
      </c>
      <c r="E41" s="46">
        <v>0</v>
      </c>
      <c r="F41" s="46">
        <v>0</v>
      </c>
      <c r="G41" s="46">
        <v>0</v>
      </c>
      <c r="H41" s="46">
        <v>0</v>
      </c>
      <c r="I41" s="46">
        <v>300</v>
      </c>
      <c r="J41" s="46">
        <v>300</v>
      </c>
      <c r="K41" s="47">
        <f t="shared" si="2"/>
        <v>600</v>
      </c>
      <c r="L41" s="46">
        <v>300</v>
      </c>
      <c r="M41" s="46">
        <v>300</v>
      </c>
      <c r="N41" s="46">
        <v>300</v>
      </c>
      <c r="O41" s="46">
        <v>300</v>
      </c>
      <c r="P41" s="46">
        <v>300</v>
      </c>
      <c r="Q41" s="46">
        <v>300</v>
      </c>
      <c r="R41" s="46">
        <v>300</v>
      </c>
      <c r="S41" s="46">
        <v>300</v>
      </c>
      <c r="T41" s="46">
        <v>300</v>
      </c>
      <c r="U41" s="46">
        <v>300</v>
      </c>
      <c r="V41" s="46">
        <v>400</v>
      </c>
      <c r="W41" s="46">
        <v>400</v>
      </c>
      <c r="X41" s="47">
        <f t="shared" si="3"/>
        <v>3800</v>
      </c>
      <c r="Y41" s="46">
        <v>400</v>
      </c>
      <c r="Z41" s="46">
        <v>400</v>
      </c>
      <c r="AA41" s="46">
        <v>400</v>
      </c>
      <c r="AB41" s="46">
        <v>400</v>
      </c>
      <c r="AC41" s="46">
        <v>400</v>
      </c>
      <c r="AD41" s="46">
        <v>400</v>
      </c>
      <c r="AE41" s="46">
        <v>400</v>
      </c>
      <c r="AF41" s="46">
        <v>400</v>
      </c>
      <c r="AG41" s="46">
        <v>400</v>
      </c>
      <c r="AH41" s="46">
        <v>400</v>
      </c>
      <c r="AI41" s="46">
        <v>400</v>
      </c>
      <c r="AJ41" s="46">
        <v>400</v>
      </c>
      <c r="AK41" s="47">
        <f t="shared" si="4"/>
        <v>4800</v>
      </c>
      <c r="AL41" s="46">
        <v>400</v>
      </c>
      <c r="AM41" s="46">
        <v>400</v>
      </c>
      <c r="AN41" s="46">
        <v>400</v>
      </c>
      <c r="AO41" s="46">
        <v>400</v>
      </c>
      <c r="AP41" s="46">
        <v>400</v>
      </c>
      <c r="AQ41" s="46">
        <v>400</v>
      </c>
      <c r="AR41" s="46">
        <v>400</v>
      </c>
      <c r="AS41" s="46">
        <v>400</v>
      </c>
      <c r="AT41" s="46">
        <v>400</v>
      </c>
      <c r="AU41" s="46">
        <v>400</v>
      </c>
      <c r="AV41" s="46">
        <v>400</v>
      </c>
      <c r="AW41" s="46">
        <v>400</v>
      </c>
      <c r="AX41" s="47">
        <f t="shared" si="7"/>
        <v>4800</v>
      </c>
      <c r="AY41" s="313">
        <f>SUMIF(Recibos!$D$4:$D$7493,Cobranza!$B41,Recibos!K$4:K$7493)</f>
        <v>400</v>
      </c>
      <c r="AZ41" s="313">
        <f>SUMIF(Recibos!$D$4:$D$7493,Cobranza!$B41,Recibos!L$4:L$7493)</f>
        <v>400</v>
      </c>
      <c r="BA41" s="313">
        <f>SUMIF(Recibos!$D$4:$D$7493,Cobranza!$B41,Recibos!M$4:M$7493)</f>
        <v>400</v>
      </c>
      <c r="BB41" s="313">
        <f>SUMIF(Recibos!$D$4:$D$7493,Cobranza!$B41,Recibos!N$4:N$7493)</f>
        <v>400</v>
      </c>
      <c r="BC41" s="313">
        <f>SUMIF(Recibos!$D$4:$D$7493,Cobranza!$B41,Recibos!O$4:O$7493)</f>
        <v>400</v>
      </c>
      <c r="BD41" s="313">
        <f>SUMIF(Recibos!$D$4:$D$7493,Cobranza!$B41,Recibos!P$4:P$7493)</f>
        <v>400</v>
      </c>
      <c r="BE41" s="313">
        <f>SUMIF(Recibos!$D$4:$D$7493,Cobranza!$B41,Recibos!Q$4:Q$7493)</f>
        <v>400</v>
      </c>
      <c r="BF41" s="313">
        <f>SUMIF(Recibos!$D$4:$D$7493,Cobranza!$B41,Recibos!R$4:R$7493)</f>
        <v>400</v>
      </c>
      <c r="BG41" s="313">
        <f>SUMIF(Recibos!$D$4:$D$7493,Cobranza!$B41,Recibos!S$4:S$7493)</f>
        <v>400</v>
      </c>
      <c r="BH41" s="313">
        <f>SUMIF(Recibos!$D$4:$D$7493,Cobranza!$B41,Recibos!T$4:T$7493)</f>
        <v>400</v>
      </c>
      <c r="BI41" s="313">
        <f>SUMIF(Recibos!$D$4:$D$7493,Cobranza!$B41,Recibos!U$4:U$7493)</f>
        <v>400</v>
      </c>
      <c r="BJ41" s="313">
        <f>SUMIF(Recibos!$D$4:$D$7493,Cobranza!$B41,Recibos!V$4:V$7493)</f>
        <v>400</v>
      </c>
      <c r="BK41" s="314">
        <f t="shared" si="8"/>
        <v>4800</v>
      </c>
      <c r="BL41" s="313">
        <f>SUMIF(Recibos!$D$4:$D$7493,Cobranza!$B41,Recibos!X$4:X$7493)</f>
        <v>400</v>
      </c>
      <c r="BM41" s="313">
        <f>SUMIF(Recibos!$D$4:$D$7493,Cobranza!$B41,Recibos!Y$4:Y$7493)</f>
        <v>400</v>
      </c>
      <c r="BN41" s="313">
        <f>SUMIF(Recibos!$D$4:$D$7493,Cobranza!$B41,Recibos!Z$4:Z$7493)</f>
        <v>400</v>
      </c>
      <c r="BO41" s="313">
        <f>SUMIF(Recibos!$D$4:$D$7493,Cobranza!$B41,Recibos!AA$4:AA$7493)</f>
        <v>400</v>
      </c>
      <c r="BP41" s="313">
        <f>SUMIF(Recibos!$D$4:$D$7493,Cobranza!$B41,Recibos!AB$4:AB$7493)</f>
        <v>400</v>
      </c>
      <c r="BQ41" s="313">
        <f>SUMIF(Recibos!$D$4:$D$7493,Cobranza!$B41,Recibos!AC$4:AC$7493)</f>
        <v>400</v>
      </c>
      <c r="BR41" s="313">
        <f>SUMIF(Recibos!$D$4:$D$7493,Cobranza!$B41,Recibos!AD$4:AD$7493)</f>
        <v>400</v>
      </c>
      <c r="BS41" s="313">
        <f>SUMIF(Recibos!$D$4:$D$7493,Cobranza!$B41,Recibos!AE$4:AE$7493)</f>
        <v>400</v>
      </c>
      <c r="BT41" s="313">
        <f>SUMIF(Recibos!$D$4:$D$7493,Cobranza!$B41,Recibos!AF$4:AF$7493)</f>
        <v>400</v>
      </c>
      <c r="BU41" s="313">
        <f>SUMIF(Recibos!$D$4:$D$7493,Cobranza!$B41,Recibos!AG$4:AG$7493)</f>
        <v>400</v>
      </c>
      <c r="BV41" s="313">
        <f>SUMIF(Recibos!$D$4:$D$7493,Cobranza!$B41,Recibos!AH$4:AH$7493)</f>
        <v>400</v>
      </c>
      <c r="BW41" s="313">
        <f>SUMIF(Recibos!$D$4:$D$7493,Cobranza!$B41,Recibos!AI$4:AI$7493)</f>
        <v>400</v>
      </c>
      <c r="BX41" s="314">
        <f t="shared" si="9"/>
        <v>4800</v>
      </c>
      <c r="BY41" s="313">
        <f>SUMIF(Recibos!$D$4:$D$7493,Cobranza!$B41,Recibos!AK$4:AK$7493)</f>
        <v>400</v>
      </c>
      <c r="BZ41" s="313">
        <f>SUMIF(Recibos!$D$4:$D$7493,Cobranza!$B41,Recibos!AL$4:AL$7493)</f>
        <v>400</v>
      </c>
      <c r="CA41" s="313">
        <f>SUMIF(Recibos!$D$4:$D$7493,Cobranza!$B41,Recibos!AM$4:AM$7493)</f>
        <v>400</v>
      </c>
      <c r="CB41" s="313">
        <f>SUMIF(Recibos!$D$4:$D$7493,Cobranza!$B41,Recibos!AN$4:AN$7493)</f>
        <v>400</v>
      </c>
      <c r="CC41" s="313">
        <f>SUMIF(Recibos!$D$4:$D$7493,Cobranza!$B41,Recibos!AO$4:AO$7493)</f>
        <v>400</v>
      </c>
      <c r="CD41" s="313">
        <f>SUMIF(Recibos!$D$4:$D$7493,Cobranza!$B41,Recibos!AP$4:AP$7493)</f>
        <v>400</v>
      </c>
      <c r="CE41" s="313">
        <f>SUMIF(Recibos!$D$4:$D$7493,Cobranza!$B41,Recibos!AQ$4:AQ$7493)</f>
        <v>400</v>
      </c>
      <c r="CF41" s="313">
        <f>SUMIF(Recibos!$D$4:$D$7493,Cobranza!$B41,Recibos!AR$4:AR$7493)</f>
        <v>400</v>
      </c>
      <c r="CG41" s="313">
        <f>SUMIF(Recibos!$D$4:$D$7493,Cobranza!$B41,Recibos!AS$4:AS$7493)</f>
        <v>400</v>
      </c>
      <c r="CH41" s="313">
        <f>SUMIF(Recibos!$D$4:$D$7493,Cobranza!$B41,Recibos!AT$4:AT$7493)</f>
        <v>400</v>
      </c>
      <c r="CI41" s="313">
        <f>SUMIF(Recibos!$D$4:$D$7493,Cobranza!$B41,Recibos!AU$4:AU$7493)</f>
        <v>400</v>
      </c>
      <c r="CJ41" s="313">
        <f>SUMIF(Recibos!$D$4:$D$7493,Cobranza!$B41,Recibos!AV$4:AV$7493)</f>
        <v>400</v>
      </c>
      <c r="CK41" s="314">
        <f t="shared" si="6"/>
        <v>4800</v>
      </c>
    </row>
    <row r="42" spans="2:89" x14ac:dyDescent="0.2">
      <c r="B42" s="42" t="s">
        <v>963</v>
      </c>
      <c r="C42" s="42" t="s">
        <v>964</v>
      </c>
      <c r="D42" s="42" t="s">
        <v>460</v>
      </c>
      <c r="E42" s="43">
        <v>0</v>
      </c>
      <c r="F42" s="43">
        <v>0</v>
      </c>
      <c r="G42" s="43">
        <v>0</v>
      </c>
      <c r="H42" s="43">
        <v>0</v>
      </c>
      <c r="I42" s="43">
        <v>300</v>
      </c>
      <c r="J42" s="43">
        <v>300</v>
      </c>
      <c r="K42" s="44">
        <f t="shared" si="2"/>
        <v>600</v>
      </c>
      <c r="L42" s="43">
        <v>300</v>
      </c>
      <c r="M42" s="43">
        <v>300</v>
      </c>
      <c r="N42" s="43">
        <v>300</v>
      </c>
      <c r="O42" s="43">
        <v>300</v>
      </c>
      <c r="P42" s="43">
        <v>300</v>
      </c>
      <c r="Q42" s="43">
        <v>300</v>
      </c>
      <c r="R42" s="43">
        <v>300</v>
      </c>
      <c r="S42" s="43">
        <v>300</v>
      </c>
      <c r="T42" s="43">
        <v>300</v>
      </c>
      <c r="U42" s="43">
        <v>400</v>
      </c>
      <c r="V42" s="43">
        <v>400</v>
      </c>
      <c r="W42" s="43">
        <v>400</v>
      </c>
      <c r="X42" s="44">
        <f t="shared" si="3"/>
        <v>3900</v>
      </c>
      <c r="Y42" s="43">
        <v>400</v>
      </c>
      <c r="Z42" s="43">
        <v>400</v>
      </c>
      <c r="AA42" s="43">
        <v>400</v>
      </c>
      <c r="AB42" s="43">
        <v>400</v>
      </c>
      <c r="AC42" s="43">
        <v>400</v>
      </c>
      <c r="AD42" s="43">
        <v>400</v>
      </c>
      <c r="AE42" s="43">
        <v>400</v>
      </c>
      <c r="AF42" s="43">
        <v>400</v>
      </c>
      <c r="AG42" s="43">
        <v>400</v>
      </c>
      <c r="AH42" s="43">
        <v>400</v>
      </c>
      <c r="AI42" s="43">
        <v>0</v>
      </c>
      <c r="AJ42" s="43">
        <v>0</v>
      </c>
      <c r="AK42" s="44">
        <f t="shared" si="4"/>
        <v>4000</v>
      </c>
      <c r="AL42" s="43">
        <v>400</v>
      </c>
      <c r="AM42" s="43">
        <v>400</v>
      </c>
      <c r="AN42" s="43">
        <v>400</v>
      </c>
      <c r="AO42" s="43">
        <v>400</v>
      </c>
      <c r="AP42" s="43">
        <v>400</v>
      </c>
      <c r="AQ42" s="43">
        <v>400</v>
      </c>
      <c r="AR42" s="43">
        <v>400</v>
      </c>
      <c r="AS42" s="43">
        <v>400</v>
      </c>
      <c r="AT42" s="43">
        <v>400</v>
      </c>
      <c r="AU42" s="43">
        <v>400</v>
      </c>
      <c r="AV42" s="43">
        <v>0</v>
      </c>
      <c r="AW42" s="43">
        <v>0</v>
      </c>
      <c r="AX42" s="44">
        <f t="shared" si="7"/>
        <v>4000</v>
      </c>
      <c r="AY42" s="311">
        <f>SUMIF(Recibos!$D$4:$D$7493,Cobranza!$B42,Recibos!K$4:K$7493)</f>
        <v>400</v>
      </c>
      <c r="AZ42" s="311">
        <f>SUMIF(Recibos!$D$4:$D$7493,Cobranza!$B42,Recibos!L$4:L$7493)</f>
        <v>400</v>
      </c>
      <c r="BA42" s="311">
        <f>SUMIF(Recibos!$D$4:$D$7493,Cobranza!$B42,Recibos!M$4:M$7493)</f>
        <v>400</v>
      </c>
      <c r="BB42" s="311">
        <f>SUMIF(Recibos!$D$4:$D$7493,Cobranza!$B42,Recibos!N$4:N$7493)</f>
        <v>400</v>
      </c>
      <c r="BC42" s="311">
        <f>SUMIF(Recibos!$D$4:$D$7493,Cobranza!$B42,Recibos!O$4:O$7493)</f>
        <v>400</v>
      </c>
      <c r="BD42" s="311">
        <f>SUMIF(Recibos!$D$4:$D$7493,Cobranza!$B42,Recibos!P$4:P$7493)</f>
        <v>150</v>
      </c>
      <c r="BE42" s="311">
        <f>SUMIF(Recibos!$D$4:$D$7493,Cobranza!$B42,Recibos!Q$4:Q$7493)</f>
        <v>0</v>
      </c>
      <c r="BF42" s="311">
        <f>SUMIF(Recibos!$D$4:$D$7493,Cobranza!$B42,Recibos!R$4:R$7493)</f>
        <v>0</v>
      </c>
      <c r="BG42" s="311">
        <f>SUMIF(Recibos!$D$4:$D$7493,Cobranza!$B42,Recibos!S$4:S$7493)</f>
        <v>0</v>
      </c>
      <c r="BH42" s="311">
        <f>SUMIF(Recibos!$D$4:$D$7493,Cobranza!$B42,Recibos!T$4:T$7493)</f>
        <v>0</v>
      </c>
      <c r="BI42" s="311">
        <f>SUMIF(Recibos!$D$4:$D$7493,Cobranza!$B42,Recibos!U$4:U$7493)</f>
        <v>0</v>
      </c>
      <c r="BJ42" s="311">
        <f>SUMIF(Recibos!$D$4:$D$7493,Cobranza!$B42,Recibos!V$4:V$7493)</f>
        <v>400</v>
      </c>
      <c r="BK42" s="312">
        <f t="shared" si="8"/>
        <v>2550</v>
      </c>
      <c r="BL42" s="311">
        <f>SUMIF(Recibos!$D$4:$D$7493,Cobranza!$B42,Recibos!X$4:X$7493)</f>
        <v>400</v>
      </c>
      <c r="BM42" s="311">
        <f>SUMIF(Recibos!$D$4:$D$7493,Cobranza!$B42,Recibos!Y$4:Y$7493)</f>
        <v>400</v>
      </c>
      <c r="BN42" s="311">
        <f>SUMIF(Recibos!$D$4:$D$7493,Cobranza!$B42,Recibos!Z$4:Z$7493)</f>
        <v>300</v>
      </c>
      <c r="BO42" s="311">
        <f>SUMIF(Recibos!$D$4:$D$7493,Cobranza!$B42,Recibos!AA$4:AA$7493)</f>
        <v>300</v>
      </c>
      <c r="BP42" s="311">
        <f>SUMIF(Recibos!$D$4:$D$7493,Cobranza!$B42,Recibos!AB$4:AB$7493)</f>
        <v>300</v>
      </c>
      <c r="BQ42" s="311">
        <f>SUMIF(Recibos!$D$4:$D$7493,Cobranza!$B42,Recibos!AC$4:AC$7493)</f>
        <v>300</v>
      </c>
      <c r="BR42" s="311">
        <f>SUMIF(Recibos!$D$4:$D$7493,Cobranza!$B42,Recibos!AD$4:AD$7493)</f>
        <v>300</v>
      </c>
      <c r="BS42" s="311">
        <f>SUMIF(Recibos!$D$4:$D$7493,Cobranza!$B42,Recibos!AE$4:AE$7493)</f>
        <v>300</v>
      </c>
      <c r="BT42" s="311">
        <f>SUMIF(Recibos!$D$4:$D$7493,Cobranza!$B42,Recibos!AF$4:AF$7493)</f>
        <v>300</v>
      </c>
      <c r="BU42" s="311">
        <f>SUMIF(Recibos!$D$4:$D$7493,Cobranza!$B42,Recibos!AG$4:AG$7493)</f>
        <v>300</v>
      </c>
      <c r="BV42" s="311">
        <f>SUMIF(Recibos!$D$4:$D$7493,Cobranza!$B42,Recibos!AH$4:AH$7493)</f>
        <v>300</v>
      </c>
      <c r="BW42" s="311">
        <f>SUMIF(Recibos!$D$4:$D$7493,Cobranza!$B42,Recibos!AI$4:AI$7493)</f>
        <v>300</v>
      </c>
      <c r="BX42" s="312">
        <f t="shared" si="9"/>
        <v>3800</v>
      </c>
      <c r="BY42" s="311">
        <f>SUMIF(Recibos!$D$4:$D$7493,Cobranza!$B42,Recibos!AK$4:AK$7493)</f>
        <v>300</v>
      </c>
      <c r="BZ42" s="311">
        <f>SUMIF(Recibos!$D$4:$D$7493,Cobranza!$B42,Recibos!AL$4:AL$7493)</f>
        <v>300</v>
      </c>
      <c r="CA42" s="311">
        <f>SUMIF(Recibos!$D$4:$D$7493,Cobranza!$B42,Recibos!AM$4:AM$7493)</f>
        <v>300</v>
      </c>
      <c r="CB42" s="311">
        <f>SUMIF(Recibos!$D$4:$D$7493,Cobranza!$B42,Recibos!AN$4:AN$7493)</f>
        <v>300</v>
      </c>
      <c r="CC42" s="311">
        <f>SUMIF(Recibos!$D$4:$D$7493,Cobranza!$B42,Recibos!AO$4:AO$7493)</f>
        <v>300</v>
      </c>
      <c r="CD42" s="311">
        <f>SUMIF(Recibos!$D$4:$D$7493,Cobranza!$B42,Recibos!AP$4:AP$7493)</f>
        <v>300</v>
      </c>
      <c r="CE42" s="311">
        <f>SUMIF(Recibos!$D$4:$D$7493,Cobranza!$B42,Recibos!AQ$4:AQ$7493)</f>
        <v>300</v>
      </c>
      <c r="CF42" s="311">
        <f>SUMIF(Recibos!$D$4:$D$7493,Cobranza!$B42,Recibos!AR$4:AR$7493)</f>
        <v>300</v>
      </c>
      <c r="CG42" s="311">
        <f>SUMIF(Recibos!$D$4:$D$7493,Cobranza!$B42,Recibos!AS$4:AS$7493)</f>
        <v>0</v>
      </c>
      <c r="CH42" s="311">
        <f>SUMIF(Recibos!$D$4:$D$7493,Cobranza!$B42,Recibos!AT$4:AT$7493)</f>
        <v>0</v>
      </c>
      <c r="CI42" s="311">
        <f>SUMIF(Recibos!$D$4:$D$7493,Cobranza!$B42,Recibos!AU$4:AU$7493)</f>
        <v>0</v>
      </c>
      <c r="CJ42" s="311">
        <f>SUMIF(Recibos!$D$4:$D$7493,Cobranza!$B42,Recibos!AV$4:AV$7493)</f>
        <v>0</v>
      </c>
      <c r="CK42" s="312">
        <f t="shared" si="6"/>
        <v>2400</v>
      </c>
    </row>
    <row r="43" spans="2:89" x14ac:dyDescent="0.2">
      <c r="B43" s="45" t="s">
        <v>1142</v>
      </c>
      <c r="C43" s="45" t="s">
        <v>1143</v>
      </c>
      <c r="D43" s="45" t="s">
        <v>1144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7">
        <f t="shared" si="2"/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7">
        <f t="shared" si="3"/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7">
        <f t="shared" si="4"/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  <c r="AS43" s="46">
        <v>0</v>
      </c>
      <c r="AT43" s="46">
        <v>0</v>
      </c>
      <c r="AU43" s="46">
        <v>0</v>
      </c>
      <c r="AV43" s="46">
        <v>0</v>
      </c>
      <c r="AW43" s="46">
        <v>0</v>
      </c>
      <c r="AX43" s="47">
        <f t="shared" si="7"/>
        <v>0</v>
      </c>
      <c r="AY43" s="313">
        <f>SUMIF(Recibos!$D$4:$D$7493,Cobranza!$B43,Recibos!K$4:K$7493)</f>
        <v>0</v>
      </c>
      <c r="AZ43" s="313">
        <f>SUMIF(Recibos!$D$4:$D$7493,Cobranza!$B43,Recibos!L$4:L$7493)</f>
        <v>0</v>
      </c>
      <c r="BA43" s="313">
        <f>SUMIF(Recibos!$D$4:$D$7493,Cobranza!$B43,Recibos!M$4:M$7493)</f>
        <v>0</v>
      </c>
      <c r="BB43" s="313">
        <f>SUMIF(Recibos!$D$4:$D$7493,Cobranza!$B43,Recibos!N$4:N$7493)</f>
        <v>0</v>
      </c>
      <c r="BC43" s="313">
        <f>SUMIF(Recibos!$D$4:$D$7493,Cobranza!$B43,Recibos!O$4:O$7493)</f>
        <v>0</v>
      </c>
      <c r="BD43" s="313">
        <f>SUMIF(Recibos!$D$4:$D$7493,Cobranza!$B43,Recibos!P$4:P$7493)</f>
        <v>0</v>
      </c>
      <c r="BE43" s="313">
        <f>SUMIF(Recibos!$D$4:$D$7493,Cobranza!$B43,Recibos!Q$4:Q$7493)</f>
        <v>0</v>
      </c>
      <c r="BF43" s="313">
        <f>SUMIF(Recibos!$D$4:$D$7493,Cobranza!$B43,Recibos!R$4:R$7493)</f>
        <v>400</v>
      </c>
      <c r="BG43" s="313">
        <f>SUMIF(Recibos!$D$4:$D$7493,Cobranza!$B43,Recibos!S$4:S$7493)</f>
        <v>400</v>
      </c>
      <c r="BH43" s="313">
        <f>SUMIF(Recibos!$D$4:$D$7493,Cobranza!$B43,Recibos!T$4:T$7493)</f>
        <v>400</v>
      </c>
      <c r="BI43" s="313">
        <f>SUMIF(Recibos!$D$4:$D$7493,Cobranza!$B43,Recibos!U$4:U$7493)</f>
        <v>0</v>
      </c>
      <c r="BJ43" s="313">
        <f>SUMIF(Recibos!$D$4:$D$7493,Cobranza!$B43,Recibos!V$4:V$7493)</f>
        <v>0</v>
      </c>
      <c r="BK43" s="314">
        <f t="shared" si="8"/>
        <v>1200</v>
      </c>
      <c r="BL43" s="313">
        <f>SUMIF(Recibos!$D$4:$D$7493,Cobranza!$B43,Recibos!X$4:X$7493)</f>
        <v>400</v>
      </c>
      <c r="BM43" s="313">
        <f>SUMIF(Recibos!$D$4:$D$7493,Cobranza!$B43,Recibos!Y$4:Y$7493)</f>
        <v>400</v>
      </c>
      <c r="BN43" s="313">
        <f>SUMIF(Recibos!$D$4:$D$7493,Cobranza!$B43,Recibos!Z$4:Z$7493)</f>
        <v>400</v>
      </c>
      <c r="BO43" s="313">
        <f>SUMIF(Recibos!$D$4:$D$7493,Cobranza!$B43,Recibos!AA$4:AA$7493)</f>
        <v>400</v>
      </c>
      <c r="BP43" s="313">
        <f>SUMIF(Recibos!$D$4:$D$7493,Cobranza!$B43,Recibos!AB$4:AB$7493)</f>
        <v>400</v>
      </c>
      <c r="BQ43" s="313">
        <f>SUMIF(Recibos!$D$4:$D$7493,Cobranza!$B43,Recibos!AC$4:AC$7493)</f>
        <v>400</v>
      </c>
      <c r="BR43" s="313">
        <f>SUMIF(Recibos!$D$4:$D$7493,Cobranza!$B43,Recibos!AD$4:AD$7493)</f>
        <v>400</v>
      </c>
      <c r="BS43" s="313">
        <f>SUMIF(Recibos!$D$4:$D$7493,Cobranza!$B43,Recibos!AE$4:AE$7493)</f>
        <v>400</v>
      </c>
      <c r="BT43" s="313">
        <f>SUMIF(Recibos!$D$4:$D$7493,Cobranza!$B43,Recibos!AF$4:AF$7493)</f>
        <v>400</v>
      </c>
      <c r="BU43" s="313">
        <f>SUMIF(Recibos!$D$4:$D$7493,Cobranza!$B43,Recibos!AG$4:AG$7493)</f>
        <v>400</v>
      </c>
      <c r="BV43" s="313">
        <f>SUMIF(Recibos!$D$4:$D$7493,Cobranza!$B43,Recibos!AH$4:AH$7493)</f>
        <v>400</v>
      </c>
      <c r="BW43" s="313">
        <f>SUMIF(Recibos!$D$4:$D$7493,Cobranza!$B43,Recibos!AI$4:AI$7493)</f>
        <v>400</v>
      </c>
      <c r="BX43" s="314">
        <f t="shared" si="9"/>
        <v>4800</v>
      </c>
      <c r="BY43" s="313">
        <f>SUMIF(Recibos!$D$4:$D$7493,Cobranza!$B43,Recibos!AK$4:AK$7493)</f>
        <v>400</v>
      </c>
      <c r="BZ43" s="313">
        <f>SUMIF(Recibos!$D$4:$D$7493,Cobranza!$B43,Recibos!AL$4:AL$7493)</f>
        <v>400</v>
      </c>
      <c r="CA43" s="313">
        <f>SUMIF(Recibos!$D$4:$D$7493,Cobranza!$B43,Recibos!AM$4:AM$7493)</f>
        <v>400</v>
      </c>
      <c r="CB43" s="313">
        <f>SUMIF(Recibos!$D$4:$D$7493,Cobranza!$B43,Recibos!AN$4:AN$7493)</f>
        <v>400</v>
      </c>
      <c r="CC43" s="313">
        <f>SUMIF(Recibos!$D$4:$D$7493,Cobranza!$B43,Recibos!AO$4:AO$7493)</f>
        <v>400</v>
      </c>
      <c r="CD43" s="313">
        <f>SUMIF(Recibos!$D$4:$D$7493,Cobranza!$B43,Recibos!AP$4:AP$7493)</f>
        <v>400</v>
      </c>
      <c r="CE43" s="313">
        <f>SUMIF(Recibos!$D$4:$D$7493,Cobranza!$B43,Recibos!AQ$4:AQ$7493)</f>
        <v>400</v>
      </c>
      <c r="CF43" s="313">
        <f>SUMIF(Recibos!$D$4:$D$7493,Cobranza!$B43,Recibos!AR$4:AR$7493)</f>
        <v>400</v>
      </c>
      <c r="CG43" s="313">
        <f>SUMIF(Recibos!$D$4:$D$7493,Cobranza!$B43,Recibos!AS$4:AS$7493)</f>
        <v>400</v>
      </c>
      <c r="CH43" s="313">
        <f>SUMIF(Recibos!$D$4:$D$7493,Cobranza!$B43,Recibos!AT$4:AT$7493)</f>
        <v>400</v>
      </c>
      <c r="CI43" s="313">
        <f>SUMIF(Recibos!$D$4:$D$7493,Cobranza!$B43,Recibos!AU$4:AU$7493)</f>
        <v>0</v>
      </c>
      <c r="CJ43" s="313">
        <f>SUMIF(Recibos!$D$4:$D$7493,Cobranza!$B43,Recibos!AV$4:AV$7493)</f>
        <v>0</v>
      </c>
      <c r="CK43" s="314">
        <f t="shared" si="6"/>
        <v>4000</v>
      </c>
    </row>
    <row r="44" spans="2:89" x14ac:dyDescent="0.2">
      <c r="B44" s="42" t="s">
        <v>965</v>
      </c>
      <c r="C44" s="42" t="s">
        <v>966</v>
      </c>
      <c r="D44" s="42" t="s">
        <v>967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4">
        <f t="shared" si="2"/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4">
        <f t="shared" si="3"/>
        <v>0</v>
      </c>
      <c r="Y44" s="43">
        <v>300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4">
        <f t="shared" si="4"/>
        <v>300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0</v>
      </c>
      <c r="AW44" s="43">
        <v>0</v>
      </c>
      <c r="AX44" s="44">
        <f t="shared" si="7"/>
        <v>0</v>
      </c>
      <c r="AY44" s="311">
        <f>SUMIF(Recibos!$D$4:$D$7493,Cobranza!$B44,Recibos!K$4:K$7493)</f>
        <v>0</v>
      </c>
      <c r="AZ44" s="311">
        <f>SUMIF(Recibos!$D$4:$D$7493,Cobranza!$B44,Recibos!L$4:L$7493)</f>
        <v>0</v>
      </c>
      <c r="BA44" s="311">
        <f>SUMIF(Recibos!$D$4:$D$7493,Cobranza!$B44,Recibos!M$4:M$7493)</f>
        <v>0</v>
      </c>
      <c r="BB44" s="311">
        <f>SUMIF(Recibos!$D$4:$D$7493,Cobranza!$B44,Recibos!N$4:N$7493)</f>
        <v>0</v>
      </c>
      <c r="BC44" s="311">
        <f>SUMIF(Recibos!$D$4:$D$7493,Cobranza!$B44,Recibos!O$4:O$7493)</f>
        <v>400</v>
      </c>
      <c r="BD44" s="311">
        <f>SUMIF(Recibos!$D$4:$D$7493,Cobranza!$B44,Recibos!P$4:P$7493)</f>
        <v>400</v>
      </c>
      <c r="BE44" s="311">
        <f>SUMIF(Recibos!$D$4:$D$7493,Cobranza!$B44,Recibos!Q$4:Q$7493)</f>
        <v>400</v>
      </c>
      <c r="BF44" s="311">
        <f>SUMIF(Recibos!$D$4:$D$7493,Cobranza!$B44,Recibos!R$4:R$7493)</f>
        <v>400</v>
      </c>
      <c r="BG44" s="311">
        <f>SUMIF(Recibos!$D$4:$D$7493,Cobranza!$B44,Recibos!S$4:S$7493)</f>
        <v>400</v>
      </c>
      <c r="BH44" s="311">
        <f>SUMIF(Recibos!$D$4:$D$7493,Cobranza!$B44,Recibos!T$4:T$7493)</f>
        <v>100</v>
      </c>
      <c r="BI44" s="311">
        <f>SUMIF(Recibos!$D$4:$D$7493,Cobranza!$B44,Recibos!U$4:U$7493)</f>
        <v>0</v>
      </c>
      <c r="BJ44" s="311">
        <f>SUMIF(Recibos!$D$4:$D$7493,Cobranza!$B44,Recibos!V$4:V$7493)</f>
        <v>0</v>
      </c>
      <c r="BK44" s="312">
        <f t="shared" si="8"/>
        <v>2100</v>
      </c>
      <c r="BL44" s="311">
        <f>SUMIF(Recibos!$D$4:$D$7493,Cobranza!$B44,Recibos!X$4:X$7493)</f>
        <v>400</v>
      </c>
      <c r="BM44" s="311">
        <f>SUMIF(Recibos!$D$4:$D$7493,Cobranza!$B44,Recibos!Y$4:Y$7493)</f>
        <v>400</v>
      </c>
      <c r="BN44" s="311">
        <f>SUMIF(Recibos!$D$4:$D$7493,Cobranza!$B44,Recibos!Z$4:Z$7493)</f>
        <v>400</v>
      </c>
      <c r="BO44" s="311">
        <f>SUMIF(Recibos!$D$4:$D$7493,Cobranza!$B44,Recibos!AA$4:AA$7493)</f>
        <v>400</v>
      </c>
      <c r="BP44" s="311">
        <f>SUMIF(Recibos!$D$4:$D$7493,Cobranza!$B44,Recibos!AB$4:AB$7493)</f>
        <v>400</v>
      </c>
      <c r="BQ44" s="311">
        <f>SUMIF(Recibos!$D$4:$D$7493,Cobranza!$B44,Recibos!AC$4:AC$7493)</f>
        <v>400</v>
      </c>
      <c r="BR44" s="311">
        <f>SUMIF(Recibos!$D$4:$D$7493,Cobranza!$B44,Recibos!AD$4:AD$7493)</f>
        <v>400</v>
      </c>
      <c r="BS44" s="311">
        <f>SUMIF(Recibos!$D$4:$D$7493,Cobranza!$B44,Recibos!AE$4:AE$7493)</f>
        <v>400</v>
      </c>
      <c r="BT44" s="311">
        <f>SUMIF(Recibos!$D$4:$D$7493,Cobranza!$B44,Recibos!AF$4:AF$7493)</f>
        <v>400</v>
      </c>
      <c r="BU44" s="311">
        <f>SUMIF(Recibos!$D$4:$D$7493,Cobranza!$B44,Recibos!AG$4:AG$7493)</f>
        <v>400</v>
      </c>
      <c r="BV44" s="311">
        <f>SUMIF(Recibos!$D$4:$D$7493,Cobranza!$B44,Recibos!AH$4:AH$7493)</f>
        <v>400</v>
      </c>
      <c r="BW44" s="311">
        <f>SUMIF(Recibos!$D$4:$D$7493,Cobranza!$B44,Recibos!AI$4:AI$7493)</f>
        <v>400</v>
      </c>
      <c r="BX44" s="312">
        <f t="shared" si="9"/>
        <v>4800</v>
      </c>
      <c r="BY44" s="311">
        <f>SUMIF(Recibos!$D$4:$D$7493,Cobranza!$B44,Recibos!AK$4:AK$7493)</f>
        <v>400</v>
      </c>
      <c r="BZ44" s="311">
        <f>SUMIF(Recibos!$D$4:$D$7493,Cobranza!$B44,Recibos!AL$4:AL$7493)</f>
        <v>400</v>
      </c>
      <c r="CA44" s="311">
        <f>SUMIF(Recibos!$D$4:$D$7493,Cobranza!$B44,Recibos!AM$4:AM$7493)</f>
        <v>400</v>
      </c>
      <c r="CB44" s="311">
        <f>SUMIF(Recibos!$D$4:$D$7493,Cobranza!$B44,Recibos!AN$4:AN$7493)</f>
        <v>400</v>
      </c>
      <c r="CC44" s="311">
        <f>SUMIF(Recibos!$D$4:$D$7493,Cobranza!$B44,Recibos!AO$4:AO$7493)</f>
        <v>400</v>
      </c>
      <c r="CD44" s="311">
        <f>SUMIF(Recibos!$D$4:$D$7493,Cobranza!$B44,Recibos!AP$4:AP$7493)</f>
        <v>400</v>
      </c>
      <c r="CE44" s="311">
        <f>SUMIF(Recibos!$D$4:$D$7493,Cobranza!$B44,Recibos!AQ$4:AQ$7493)</f>
        <v>400</v>
      </c>
      <c r="CF44" s="311">
        <f>SUMIF(Recibos!$D$4:$D$7493,Cobranza!$B44,Recibos!AR$4:AR$7493)</f>
        <v>400</v>
      </c>
      <c r="CG44" s="311">
        <f>SUMIF(Recibos!$D$4:$D$7493,Cobranza!$B44,Recibos!AS$4:AS$7493)</f>
        <v>0</v>
      </c>
      <c r="CH44" s="311">
        <f>SUMIF(Recibos!$D$4:$D$7493,Cobranza!$B44,Recibos!AT$4:AT$7493)</f>
        <v>0</v>
      </c>
      <c r="CI44" s="311">
        <f>SUMIF(Recibos!$D$4:$D$7493,Cobranza!$B44,Recibos!AU$4:AU$7493)</f>
        <v>0</v>
      </c>
      <c r="CJ44" s="311">
        <f>SUMIF(Recibos!$D$4:$D$7493,Cobranza!$B44,Recibos!AV$4:AV$7493)</f>
        <v>0</v>
      </c>
      <c r="CK44" s="312">
        <f t="shared" si="6"/>
        <v>3200</v>
      </c>
    </row>
    <row r="45" spans="2:89" x14ac:dyDescent="0.2">
      <c r="B45" s="45" t="s">
        <v>971</v>
      </c>
      <c r="C45" s="45" t="s">
        <v>972</v>
      </c>
      <c r="D45" s="45" t="s">
        <v>973</v>
      </c>
      <c r="E45" s="46">
        <v>0</v>
      </c>
      <c r="F45" s="46">
        <v>0</v>
      </c>
      <c r="G45" s="46">
        <v>0</v>
      </c>
      <c r="H45" s="46">
        <v>300</v>
      </c>
      <c r="I45" s="46">
        <v>300</v>
      </c>
      <c r="J45" s="46">
        <v>300</v>
      </c>
      <c r="K45" s="47">
        <f t="shared" si="2"/>
        <v>900</v>
      </c>
      <c r="L45" s="46">
        <v>300</v>
      </c>
      <c r="M45" s="46">
        <v>300</v>
      </c>
      <c r="N45" s="46">
        <v>300</v>
      </c>
      <c r="O45" s="46">
        <v>300</v>
      </c>
      <c r="P45" s="46">
        <v>300</v>
      </c>
      <c r="Q45" s="46">
        <v>300</v>
      </c>
      <c r="R45" s="46">
        <v>300</v>
      </c>
      <c r="S45" s="46">
        <v>300</v>
      </c>
      <c r="T45" s="46">
        <v>300</v>
      </c>
      <c r="U45" s="46">
        <v>300</v>
      </c>
      <c r="V45" s="46">
        <v>300</v>
      </c>
      <c r="W45" s="46">
        <v>300</v>
      </c>
      <c r="X45" s="47">
        <f t="shared" si="3"/>
        <v>3600</v>
      </c>
      <c r="Y45" s="46">
        <v>400</v>
      </c>
      <c r="Z45" s="46">
        <v>400</v>
      </c>
      <c r="AA45" s="46">
        <v>400</v>
      </c>
      <c r="AB45" s="46">
        <v>400</v>
      </c>
      <c r="AC45" s="46">
        <v>400</v>
      </c>
      <c r="AD45" s="46">
        <v>400</v>
      </c>
      <c r="AE45" s="46">
        <v>400</v>
      </c>
      <c r="AF45" s="46">
        <v>400</v>
      </c>
      <c r="AG45" s="46">
        <v>400</v>
      </c>
      <c r="AH45" s="46">
        <v>400</v>
      </c>
      <c r="AI45" s="46">
        <v>400</v>
      </c>
      <c r="AJ45" s="46">
        <v>0</v>
      </c>
      <c r="AK45" s="47">
        <f t="shared" si="4"/>
        <v>4400</v>
      </c>
      <c r="AL45" s="46">
        <v>400</v>
      </c>
      <c r="AM45" s="46">
        <v>400</v>
      </c>
      <c r="AN45" s="46">
        <v>400</v>
      </c>
      <c r="AO45" s="46">
        <v>400</v>
      </c>
      <c r="AP45" s="46">
        <v>400</v>
      </c>
      <c r="AQ45" s="46">
        <v>400</v>
      </c>
      <c r="AR45" s="46">
        <v>400</v>
      </c>
      <c r="AS45" s="46">
        <v>400</v>
      </c>
      <c r="AT45" s="46">
        <v>400</v>
      </c>
      <c r="AU45" s="46">
        <v>400</v>
      </c>
      <c r="AV45" s="46">
        <v>400</v>
      </c>
      <c r="AW45" s="46">
        <v>0</v>
      </c>
      <c r="AX45" s="47">
        <f t="shared" si="7"/>
        <v>4400</v>
      </c>
      <c r="AY45" s="313">
        <f>SUMIF(Recibos!$D$4:$D$7493,Cobranza!$B45,Recibos!K$4:K$7493)</f>
        <v>400</v>
      </c>
      <c r="AZ45" s="313">
        <f>SUMIF(Recibos!$D$4:$D$7493,Cobranza!$B45,Recibos!L$4:L$7493)</f>
        <v>400</v>
      </c>
      <c r="BA45" s="313">
        <f>SUMIF(Recibos!$D$4:$D$7493,Cobranza!$B45,Recibos!M$4:M$7493)</f>
        <v>400</v>
      </c>
      <c r="BB45" s="313">
        <f>SUMIF(Recibos!$D$4:$D$7493,Cobranza!$B45,Recibos!N$4:N$7493)</f>
        <v>400</v>
      </c>
      <c r="BC45" s="313">
        <f>SUMIF(Recibos!$D$4:$D$7493,Cobranza!$B45,Recibos!O$4:O$7493)</f>
        <v>400</v>
      </c>
      <c r="BD45" s="313">
        <f>SUMIF(Recibos!$D$4:$D$7493,Cobranza!$B45,Recibos!P$4:P$7493)</f>
        <v>400</v>
      </c>
      <c r="BE45" s="313">
        <f>SUMIF(Recibos!$D$4:$D$7493,Cobranza!$B45,Recibos!Q$4:Q$7493)</f>
        <v>400</v>
      </c>
      <c r="BF45" s="313">
        <f>SUMIF(Recibos!$D$4:$D$7493,Cobranza!$B45,Recibos!R$4:R$7493)</f>
        <v>400</v>
      </c>
      <c r="BG45" s="313">
        <f>SUMIF(Recibos!$D$4:$D$7493,Cobranza!$B45,Recibos!S$4:S$7493)</f>
        <v>400</v>
      </c>
      <c r="BH45" s="313">
        <f>SUMIF(Recibos!$D$4:$D$7493,Cobranza!$B45,Recibos!T$4:T$7493)</f>
        <v>400</v>
      </c>
      <c r="BI45" s="313">
        <f>SUMIF(Recibos!$D$4:$D$7493,Cobranza!$B45,Recibos!U$4:U$7493)</f>
        <v>400</v>
      </c>
      <c r="BJ45" s="313">
        <f>SUMIF(Recibos!$D$4:$D$7493,Cobranza!$B45,Recibos!V$4:V$7493)</f>
        <v>0</v>
      </c>
      <c r="BK45" s="314">
        <f t="shared" si="8"/>
        <v>4400</v>
      </c>
      <c r="BL45" s="313">
        <f>SUMIF(Recibos!$D$4:$D$7493,Cobranza!$B45,Recibos!X$4:X$7493)</f>
        <v>400</v>
      </c>
      <c r="BM45" s="313">
        <f>SUMIF(Recibos!$D$4:$D$7493,Cobranza!$B45,Recibos!Y$4:Y$7493)</f>
        <v>400</v>
      </c>
      <c r="BN45" s="313">
        <f>SUMIF(Recibos!$D$4:$D$7493,Cobranza!$B45,Recibos!Z$4:Z$7493)</f>
        <v>400</v>
      </c>
      <c r="BO45" s="313">
        <f>SUMIF(Recibos!$D$4:$D$7493,Cobranza!$B45,Recibos!AA$4:AA$7493)</f>
        <v>400</v>
      </c>
      <c r="BP45" s="313">
        <f>SUMIF(Recibos!$D$4:$D$7493,Cobranza!$B45,Recibos!AB$4:AB$7493)</f>
        <v>400</v>
      </c>
      <c r="BQ45" s="313">
        <f>SUMIF(Recibos!$D$4:$D$7493,Cobranza!$B45,Recibos!AC$4:AC$7493)</f>
        <v>400</v>
      </c>
      <c r="BR45" s="313">
        <f>SUMIF(Recibos!$D$4:$D$7493,Cobranza!$B45,Recibos!AD$4:AD$7493)</f>
        <v>400</v>
      </c>
      <c r="BS45" s="313">
        <f>SUMIF(Recibos!$D$4:$D$7493,Cobranza!$B45,Recibos!AE$4:AE$7493)</f>
        <v>400</v>
      </c>
      <c r="BT45" s="313">
        <f>SUMIF(Recibos!$D$4:$D$7493,Cobranza!$B45,Recibos!AF$4:AF$7493)</f>
        <v>400</v>
      </c>
      <c r="BU45" s="313">
        <f>SUMIF(Recibos!$D$4:$D$7493,Cobranza!$B45,Recibos!AG$4:AG$7493)</f>
        <v>400</v>
      </c>
      <c r="BV45" s="313">
        <f>SUMIF(Recibos!$D$4:$D$7493,Cobranza!$B45,Recibos!AH$4:AH$7493)</f>
        <v>400</v>
      </c>
      <c r="BW45" s="313">
        <f>SUMIF(Recibos!$D$4:$D$7493,Cobranza!$B45,Recibos!AI$4:AI$7493)</f>
        <v>0</v>
      </c>
      <c r="BX45" s="314">
        <f t="shared" si="9"/>
        <v>4400</v>
      </c>
      <c r="BY45" s="313">
        <f>SUMIF(Recibos!$D$4:$D$7493,Cobranza!$B45,Recibos!AK$4:AK$7493)</f>
        <v>400</v>
      </c>
      <c r="BZ45" s="313">
        <f>SUMIF(Recibos!$D$4:$D$7493,Cobranza!$B45,Recibos!AL$4:AL$7493)</f>
        <v>400</v>
      </c>
      <c r="CA45" s="313">
        <f>SUMIF(Recibos!$D$4:$D$7493,Cobranza!$B45,Recibos!AM$4:AM$7493)</f>
        <v>400</v>
      </c>
      <c r="CB45" s="313">
        <f>SUMIF(Recibos!$D$4:$D$7493,Cobranza!$B45,Recibos!AN$4:AN$7493)</f>
        <v>400</v>
      </c>
      <c r="CC45" s="313">
        <f>SUMIF(Recibos!$D$4:$D$7493,Cobranza!$B45,Recibos!AO$4:AO$7493)</f>
        <v>400</v>
      </c>
      <c r="CD45" s="313">
        <f>SUMIF(Recibos!$D$4:$D$7493,Cobranza!$B45,Recibos!AP$4:AP$7493)</f>
        <v>400</v>
      </c>
      <c r="CE45" s="313">
        <f>SUMIF(Recibos!$D$4:$D$7493,Cobranza!$B45,Recibos!AQ$4:AQ$7493)</f>
        <v>400</v>
      </c>
      <c r="CF45" s="313">
        <f>SUMIF(Recibos!$D$4:$D$7493,Cobranza!$B45,Recibos!AR$4:AR$7493)</f>
        <v>400</v>
      </c>
      <c r="CG45" s="313">
        <f>SUMIF(Recibos!$D$4:$D$7493,Cobranza!$B45,Recibos!AS$4:AS$7493)</f>
        <v>400</v>
      </c>
      <c r="CH45" s="313">
        <f>SUMIF(Recibos!$D$4:$D$7493,Cobranza!$B45,Recibos!AT$4:AT$7493)</f>
        <v>400</v>
      </c>
      <c r="CI45" s="313">
        <f>SUMIF(Recibos!$D$4:$D$7493,Cobranza!$B45,Recibos!AU$4:AU$7493)</f>
        <v>400</v>
      </c>
      <c r="CJ45" s="313">
        <f>SUMIF(Recibos!$D$4:$D$7493,Cobranza!$B45,Recibos!AV$4:AV$7493)</f>
        <v>0</v>
      </c>
      <c r="CK45" s="314">
        <f t="shared" si="6"/>
        <v>4400</v>
      </c>
    </row>
    <row r="46" spans="2:89" x14ac:dyDescent="0.2">
      <c r="B46" s="42" t="s">
        <v>183</v>
      </c>
      <c r="C46" s="42" t="s">
        <v>184</v>
      </c>
      <c r="D46" s="42" t="s">
        <v>185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4">
        <f t="shared" si="2"/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300</v>
      </c>
      <c r="S46" s="43">
        <v>300</v>
      </c>
      <c r="T46" s="43">
        <v>0</v>
      </c>
      <c r="U46" s="43">
        <v>0</v>
      </c>
      <c r="V46" s="43">
        <v>0</v>
      </c>
      <c r="W46" s="43">
        <v>0</v>
      </c>
      <c r="X46" s="44">
        <f t="shared" si="3"/>
        <v>600</v>
      </c>
      <c r="Y46" s="43">
        <v>400</v>
      </c>
      <c r="Z46" s="43">
        <v>400</v>
      </c>
      <c r="AA46" s="43">
        <v>400</v>
      </c>
      <c r="AB46" s="43">
        <v>400</v>
      </c>
      <c r="AC46" s="43">
        <v>400</v>
      </c>
      <c r="AD46" s="43">
        <v>400</v>
      </c>
      <c r="AE46" s="43">
        <v>400</v>
      </c>
      <c r="AF46" s="43">
        <v>400</v>
      </c>
      <c r="AG46" s="43">
        <v>400</v>
      </c>
      <c r="AH46" s="43">
        <v>400</v>
      </c>
      <c r="AI46" s="43">
        <v>400</v>
      </c>
      <c r="AJ46" s="43">
        <v>400</v>
      </c>
      <c r="AK46" s="44">
        <f t="shared" si="4"/>
        <v>4800</v>
      </c>
      <c r="AL46" s="43">
        <v>400</v>
      </c>
      <c r="AM46" s="43">
        <v>400</v>
      </c>
      <c r="AN46" s="43">
        <v>400</v>
      </c>
      <c r="AO46" s="43">
        <v>400</v>
      </c>
      <c r="AP46" s="43">
        <v>400</v>
      </c>
      <c r="AQ46" s="43">
        <v>400</v>
      </c>
      <c r="AR46" s="43">
        <v>400</v>
      </c>
      <c r="AS46" s="43">
        <v>400</v>
      </c>
      <c r="AT46" s="43">
        <v>400</v>
      </c>
      <c r="AU46" s="43">
        <v>400</v>
      </c>
      <c r="AV46" s="43">
        <v>400</v>
      </c>
      <c r="AW46" s="43">
        <v>400</v>
      </c>
      <c r="AX46" s="44">
        <f t="shared" si="7"/>
        <v>4800</v>
      </c>
      <c r="AY46" s="311">
        <f>SUMIF(Recibos!$D$4:$D$7493,Cobranza!$B46,Recibos!K$4:K$7493)</f>
        <v>400</v>
      </c>
      <c r="AZ46" s="311">
        <f>SUMIF(Recibos!$D$4:$D$7493,Cobranza!$B46,Recibos!L$4:L$7493)</f>
        <v>400</v>
      </c>
      <c r="BA46" s="311">
        <f>SUMIF(Recibos!$D$4:$D$7493,Cobranza!$B46,Recibos!M$4:M$7493)</f>
        <v>400</v>
      </c>
      <c r="BB46" s="311">
        <f>SUMIF(Recibos!$D$4:$D$7493,Cobranza!$B46,Recibos!N$4:N$7493)</f>
        <v>400</v>
      </c>
      <c r="BC46" s="311">
        <f>SUMIF(Recibos!$D$4:$D$7493,Cobranza!$B46,Recibos!O$4:O$7493)</f>
        <v>400</v>
      </c>
      <c r="BD46" s="311">
        <f>SUMIF(Recibos!$D$4:$D$7493,Cobranza!$B46,Recibos!P$4:P$7493)</f>
        <v>400</v>
      </c>
      <c r="BE46" s="311">
        <f>SUMIF(Recibos!$D$4:$D$7493,Cobranza!$B46,Recibos!Q$4:Q$7493)</f>
        <v>400</v>
      </c>
      <c r="BF46" s="311">
        <f>SUMIF(Recibos!$D$4:$D$7493,Cobranza!$B46,Recibos!R$4:R$7493)</f>
        <v>400</v>
      </c>
      <c r="BG46" s="311">
        <f>SUMIF(Recibos!$D$4:$D$7493,Cobranza!$B46,Recibos!S$4:S$7493)</f>
        <v>400</v>
      </c>
      <c r="BH46" s="311">
        <f>SUMIF(Recibos!$D$4:$D$7493,Cobranza!$B46,Recibos!T$4:T$7493)</f>
        <v>400</v>
      </c>
      <c r="BI46" s="311">
        <f>SUMIF(Recibos!$D$4:$D$7493,Cobranza!$B46,Recibos!U$4:U$7493)</f>
        <v>400</v>
      </c>
      <c r="BJ46" s="311">
        <f>SUMIF(Recibos!$D$4:$D$7493,Cobranza!$B46,Recibos!V$4:V$7493)</f>
        <v>0</v>
      </c>
      <c r="BK46" s="312">
        <f t="shared" si="8"/>
        <v>4400</v>
      </c>
      <c r="BL46" s="311">
        <f>SUMIF(Recibos!$D$4:$D$7493,Cobranza!$B46,Recibos!X$4:X$7493)</f>
        <v>400</v>
      </c>
      <c r="BM46" s="311">
        <f>SUMIF(Recibos!$D$4:$D$7493,Cobranza!$B46,Recibos!Y$4:Y$7493)</f>
        <v>400</v>
      </c>
      <c r="BN46" s="311">
        <f>SUMIF(Recibos!$D$4:$D$7493,Cobranza!$B46,Recibos!Z$4:Z$7493)</f>
        <v>400</v>
      </c>
      <c r="BO46" s="311">
        <f>SUMIF(Recibos!$D$4:$D$7493,Cobranza!$B46,Recibos!AA$4:AA$7493)</f>
        <v>400</v>
      </c>
      <c r="BP46" s="311">
        <f>SUMIF(Recibos!$D$4:$D$7493,Cobranza!$B46,Recibos!AB$4:AB$7493)</f>
        <v>400</v>
      </c>
      <c r="BQ46" s="311">
        <f>SUMIF(Recibos!$D$4:$D$7493,Cobranza!$B46,Recibos!AC$4:AC$7493)</f>
        <v>400</v>
      </c>
      <c r="BR46" s="311">
        <f>SUMIF(Recibos!$D$4:$D$7493,Cobranza!$B46,Recibos!AD$4:AD$7493)</f>
        <v>400</v>
      </c>
      <c r="BS46" s="311">
        <f>SUMIF(Recibos!$D$4:$D$7493,Cobranza!$B46,Recibos!AE$4:AE$7493)</f>
        <v>400</v>
      </c>
      <c r="BT46" s="311">
        <f>SUMIF(Recibos!$D$4:$D$7493,Cobranza!$B46,Recibos!AF$4:AF$7493)</f>
        <v>400</v>
      </c>
      <c r="BU46" s="311">
        <f>SUMIF(Recibos!$D$4:$D$7493,Cobranza!$B46,Recibos!AG$4:AG$7493)</f>
        <v>400</v>
      </c>
      <c r="BV46" s="311">
        <f>SUMIF(Recibos!$D$4:$D$7493,Cobranza!$B46,Recibos!AH$4:AH$7493)</f>
        <v>400</v>
      </c>
      <c r="BW46" s="311">
        <f>SUMIF(Recibos!$D$4:$D$7493,Cobranza!$B46,Recibos!AI$4:AI$7493)</f>
        <v>400</v>
      </c>
      <c r="BX46" s="312">
        <f t="shared" si="9"/>
        <v>4800</v>
      </c>
      <c r="BY46" s="311">
        <f>SUMIF(Recibos!$D$4:$D$7493,Cobranza!$B46,Recibos!AK$4:AK$7493)</f>
        <v>400</v>
      </c>
      <c r="BZ46" s="311">
        <f>SUMIF(Recibos!$D$4:$D$7493,Cobranza!$B46,Recibos!AL$4:AL$7493)</f>
        <v>400</v>
      </c>
      <c r="CA46" s="311">
        <f>SUMIF(Recibos!$D$4:$D$7493,Cobranza!$B46,Recibos!AM$4:AM$7493)</f>
        <v>400</v>
      </c>
      <c r="CB46" s="311">
        <f>SUMIF(Recibos!$D$4:$D$7493,Cobranza!$B46,Recibos!AN$4:AN$7493)</f>
        <v>400</v>
      </c>
      <c r="CC46" s="311">
        <f>SUMIF(Recibos!$D$4:$D$7493,Cobranza!$B46,Recibos!AO$4:AO$7493)</f>
        <v>400</v>
      </c>
      <c r="CD46" s="311">
        <f>SUMIF(Recibos!$D$4:$D$7493,Cobranza!$B46,Recibos!AP$4:AP$7493)</f>
        <v>400</v>
      </c>
      <c r="CE46" s="311">
        <f>SUMIF(Recibos!$D$4:$D$7493,Cobranza!$B46,Recibos!AQ$4:AQ$7493)</f>
        <v>400</v>
      </c>
      <c r="CF46" s="311">
        <f>SUMIF(Recibos!$D$4:$D$7493,Cobranza!$B46,Recibos!AR$4:AR$7493)</f>
        <v>400</v>
      </c>
      <c r="CG46" s="311">
        <f>SUMIF(Recibos!$D$4:$D$7493,Cobranza!$B46,Recibos!AS$4:AS$7493)</f>
        <v>400</v>
      </c>
      <c r="CH46" s="311">
        <f>SUMIF(Recibos!$D$4:$D$7493,Cobranza!$B46,Recibos!AT$4:AT$7493)</f>
        <v>0</v>
      </c>
      <c r="CI46" s="311">
        <f>SUMIF(Recibos!$D$4:$D$7493,Cobranza!$B46,Recibos!AU$4:AU$7493)</f>
        <v>0</v>
      </c>
      <c r="CJ46" s="311">
        <f>SUMIF(Recibos!$D$4:$D$7493,Cobranza!$B46,Recibos!AV$4:AV$7493)</f>
        <v>0</v>
      </c>
      <c r="CK46" s="312">
        <f t="shared" si="6"/>
        <v>3600</v>
      </c>
    </row>
    <row r="47" spans="2:89" x14ac:dyDescent="0.2">
      <c r="B47" s="45" t="s">
        <v>434</v>
      </c>
      <c r="C47" s="45" t="s">
        <v>435</v>
      </c>
      <c r="D47" s="45" t="s">
        <v>436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300</v>
      </c>
      <c r="K47" s="47">
        <f t="shared" si="2"/>
        <v>300</v>
      </c>
      <c r="L47" s="46">
        <v>300</v>
      </c>
      <c r="M47" s="46">
        <v>300</v>
      </c>
      <c r="N47" s="46">
        <v>300</v>
      </c>
      <c r="O47" s="46">
        <v>300</v>
      </c>
      <c r="P47" s="46">
        <v>300</v>
      </c>
      <c r="Q47" s="46">
        <v>300</v>
      </c>
      <c r="R47" s="46">
        <v>300</v>
      </c>
      <c r="S47" s="46">
        <v>300</v>
      </c>
      <c r="T47" s="46">
        <v>300</v>
      </c>
      <c r="U47" s="46">
        <v>300</v>
      </c>
      <c r="V47" s="46">
        <v>300</v>
      </c>
      <c r="W47" s="46">
        <v>300</v>
      </c>
      <c r="X47" s="47">
        <f t="shared" si="3"/>
        <v>3600</v>
      </c>
      <c r="Y47" s="46">
        <v>400</v>
      </c>
      <c r="Z47" s="46">
        <v>400</v>
      </c>
      <c r="AA47" s="46">
        <v>400</v>
      </c>
      <c r="AB47" s="46">
        <v>400</v>
      </c>
      <c r="AC47" s="46">
        <v>400</v>
      </c>
      <c r="AD47" s="46">
        <v>400</v>
      </c>
      <c r="AE47" s="46">
        <v>400</v>
      </c>
      <c r="AF47" s="46">
        <v>400</v>
      </c>
      <c r="AG47" s="46">
        <v>400</v>
      </c>
      <c r="AH47" s="46">
        <v>400</v>
      </c>
      <c r="AI47" s="46">
        <v>400</v>
      </c>
      <c r="AJ47" s="46">
        <v>400</v>
      </c>
      <c r="AK47" s="47">
        <f t="shared" si="4"/>
        <v>4800</v>
      </c>
      <c r="AL47" s="46">
        <v>400</v>
      </c>
      <c r="AM47" s="46">
        <v>400</v>
      </c>
      <c r="AN47" s="46">
        <v>400</v>
      </c>
      <c r="AO47" s="46">
        <v>400</v>
      </c>
      <c r="AP47" s="46">
        <v>400</v>
      </c>
      <c r="AQ47" s="46">
        <v>400</v>
      </c>
      <c r="AR47" s="46">
        <v>400</v>
      </c>
      <c r="AS47" s="46">
        <v>400</v>
      </c>
      <c r="AT47" s="46">
        <v>400</v>
      </c>
      <c r="AU47" s="46">
        <v>400</v>
      </c>
      <c r="AV47" s="46">
        <v>400</v>
      </c>
      <c r="AW47" s="46">
        <v>400</v>
      </c>
      <c r="AX47" s="47">
        <f t="shared" si="7"/>
        <v>4800</v>
      </c>
      <c r="AY47" s="313">
        <f>SUMIF(Recibos!$D$4:$D$7493,Cobranza!$B47,Recibos!K$4:K$7493)</f>
        <v>400</v>
      </c>
      <c r="AZ47" s="313">
        <f>SUMIF(Recibos!$D$4:$D$7493,Cobranza!$B47,Recibos!L$4:L$7493)</f>
        <v>400</v>
      </c>
      <c r="BA47" s="313">
        <f>SUMIF(Recibos!$D$4:$D$7493,Cobranza!$B47,Recibos!M$4:M$7493)</f>
        <v>400</v>
      </c>
      <c r="BB47" s="313">
        <f>SUMIF(Recibos!$D$4:$D$7493,Cobranza!$B47,Recibos!N$4:N$7493)</f>
        <v>400</v>
      </c>
      <c r="BC47" s="313">
        <f>SUMIF(Recibos!$D$4:$D$7493,Cobranza!$B47,Recibos!O$4:O$7493)</f>
        <v>400</v>
      </c>
      <c r="BD47" s="313">
        <f>SUMIF(Recibos!$D$4:$D$7493,Cobranza!$B47,Recibos!P$4:P$7493)</f>
        <v>400</v>
      </c>
      <c r="BE47" s="313">
        <f>SUMIF(Recibos!$D$4:$D$7493,Cobranza!$B47,Recibos!Q$4:Q$7493)</f>
        <v>200</v>
      </c>
      <c r="BF47" s="313">
        <f>SUMIF(Recibos!$D$4:$D$7493,Cobranza!$B47,Recibos!R$4:R$7493)</f>
        <v>400</v>
      </c>
      <c r="BG47" s="313">
        <f>SUMIF(Recibos!$D$4:$D$7493,Cobranza!$B47,Recibos!S$4:S$7493)</f>
        <v>400</v>
      </c>
      <c r="BH47" s="313">
        <f>SUMIF(Recibos!$D$4:$D$7493,Cobranza!$B47,Recibos!T$4:T$7493)</f>
        <v>400</v>
      </c>
      <c r="BI47" s="313">
        <f>SUMIF(Recibos!$D$4:$D$7493,Cobranza!$B47,Recibos!U$4:U$7493)</f>
        <v>400</v>
      </c>
      <c r="BJ47" s="313">
        <f>SUMIF(Recibos!$D$4:$D$7493,Cobranza!$B47,Recibos!V$4:V$7493)</f>
        <v>400</v>
      </c>
      <c r="BK47" s="314">
        <f t="shared" si="8"/>
        <v>4600</v>
      </c>
      <c r="BL47" s="313">
        <f>SUMIF(Recibos!$D$4:$D$7493,Cobranza!$B47,Recibos!X$4:X$7493)</f>
        <v>400</v>
      </c>
      <c r="BM47" s="313">
        <f>SUMIF(Recibos!$D$4:$D$7493,Cobranza!$B47,Recibos!Y$4:Y$7493)</f>
        <v>400</v>
      </c>
      <c r="BN47" s="313">
        <f>SUMIF(Recibos!$D$4:$D$7493,Cobranza!$B47,Recibos!Z$4:Z$7493)</f>
        <v>400</v>
      </c>
      <c r="BO47" s="313">
        <f>SUMIF(Recibos!$D$4:$D$7493,Cobranza!$B47,Recibos!AA$4:AA$7493)</f>
        <v>400</v>
      </c>
      <c r="BP47" s="313">
        <f>SUMIF(Recibos!$D$4:$D$7493,Cobranza!$B47,Recibos!AB$4:AB$7493)</f>
        <v>400</v>
      </c>
      <c r="BQ47" s="313">
        <f>SUMIF(Recibos!$D$4:$D$7493,Cobranza!$B47,Recibos!AC$4:AC$7493)</f>
        <v>400</v>
      </c>
      <c r="BR47" s="313">
        <f>SUMIF(Recibos!$D$4:$D$7493,Cobranza!$B47,Recibos!AD$4:AD$7493)</f>
        <v>400</v>
      </c>
      <c r="BS47" s="313">
        <f>SUMIF(Recibos!$D$4:$D$7493,Cobranza!$B47,Recibos!AE$4:AE$7493)</f>
        <v>400</v>
      </c>
      <c r="BT47" s="313">
        <f>SUMIF(Recibos!$D$4:$D$7493,Cobranza!$B47,Recibos!AF$4:AF$7493)</f>
        <v>400</v>
      </c>
      <c r="BU47" s="313">
        <f>SUMIF(Recibos!$D$4:$D$7493,Cobranza!$B47,Recibos!AG$4:AG$7493)</f>
        <v>400</v>
      </c>
      <c r="BV47" s="313">
        <f>SUMIF(Recibos!$D$4:$D$7493,Cobranza!$B47,Recibos!AH$4:AH$7493)</f>
        <v>400</v>
      </c>
      <c r="BW47" s="313">
        <f>SUMIF(Recibos!$D$4:$D$7493,Cobranza!$B47,Recibos!AI$4:AI$7493)</f>
        <v>400</v>
      </c>
      <c r="BX47" s="314">
        <f t="shared" si="9"/>
        <v>4800</v>
      </c>
      <c r="BY47" s="313">
        <f>SUMIF(Recibos!$D$4:$D$7493,Cobranza!$B47,Recibos!AK$4:AK$7493)</f>
        <v>400</v>
      </c>
      <c r="BZ47" s="313">
        <f>SUMIF(Recibos!$D$4:$D$7493,Cobranza!$B47,Recibos!AL$4:AL$7493)</f>
        <v>400</v>
      </c>
      <c r="CA47" s="313">
        <f>SUMIF(Recibos!$D$4:$D$7493,Cobranza!$B47,Recibos!AM$4:AM$7493)</f>
        <v>400</v>
      </c>
      <c r="CB47" s="313">
        <f>SUMIF(Recibos!$D$4:$D$7493,Cobranza!$B47,Recibos!AN$4:AN$7493)</f>
        <v>400</v>
      </c>
      <c r="CC47" s="313">
        <f>SUMIF(Recibos!$D$4:$D$7493,Cobranza!$B47,Recibos!AO$4:AO$7493)</f>
        <v>400</v>
      </c>
      <c r="CD47" s="313">
        <f>SUMIF(Recibos!$D$4:$D$7493,Cobranza!$B47,Recibos!AP$4:AP$7493)</f>
        <v>400</v>
      </c>
      <c r="CE47" s="313">
        <f>SUMIF(Recibos!$D$4:$D$7493,Cobranza!$B47,Recibos!AQ$4:AQ$7493)</f>
        <v>400</v>
      </c>
      <c r="CF47" s="313">
        <f>SUMIF(Recibos!$D$4:$D$7493,Cobranza!$B47,Recibos!AR$4:AR$7493)</f>
        <v>400</v>
      </c>
      <c r="CG47" s="313">
        <f>SUMIF(Recibos!$D$4:$D$7493,Cobranza!$B47,Recibos!AS$4:AS$7493)</f>
        <v>400</v>
      </c>
      <c r="CH47" s="313">
        <f>SUMIF(Recibos!$D$4:$D$7493,Cobranza!$B47,Recibos!AT$4:AT$7493)</f>
        <v>400</v>
      </c>
      <c r="CI47" s="313">
        <f>SUMIF(Recibos!$D$4:$D$7493,Cobranza!$B47,Recibos!AU$4:AU$7493)</f>
        <v>400</v>
      </c>
      <c r="CJ47" s="313">
        <f>SUMIF(Recibos!$D$4:$D$7493,Cobranza!$B47,Recibos!AV$4:AV$7493)</f>
        <v>400</v>
      </c>
      <c r="CK47" s="314">
        <f t="shared" si="6"/>
        <v>4800</v>
      </c>
    </row>
    <row r="48" spans="2:89" x14ac:dyDescent="0.2">
      <c r="B48" s="42" t="s">
        <v>1270</v>
      </c>
      <c r="C48" s="42" t="s">
        <v>1271</v>
      </c>
      <c r="D48" s="42"/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4">
        <f t="shared" si="2"/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4">
        <f t="shared" si="3"/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4">
        <f t="shared" si="4"/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  <c r="AW48" s="43">
        <v>0</v>
      </c>
      <c r="AX48" s="44">
        <f t="shared" si="7"/>
        <v>0</v>
      </c>
      <c r="AY48" s="311">
        <f>SUMIF(Recibos!$D$4:$D$7493,Cobranza!$B48,Recibos!K$4:K$7493)</f>
        <v>0</v>
      </c>
      <c r="AZ48" s="311">
        <f>SUMIF(Recibos!$D$4:$D$7493,Cobranza!$B48,Recibos!L$4:L$7493)</f>
        <v>0</v>
      </c>
      <c r="BA48" s="311">
        <f>SUMIF(Recibos!$D$4:$D$7493,Cobranza!$B48,Recibos!M$4:M$7493)</f>
        <v>0</v>
      </c>
      <c r="BB48" s="311">
        <f>SUMIF(Recibos!$D$4:$D$7493,Cobranza!$B48,Recibos!N$4:N$7493)</f>
        <v>0</v>
      </c>
      <c r="BC48" s="311">
        <f>SUMIF(Recibos!$D$4:$D$7493,Cobranza!$B48,Recibos!O$4:O$7493)</f>
        <v>0</v>
      </c>
      <c r="BD48" s="311">
        <f>SUMIF(Recibos!$D$4:$D$7493,Cobranza!$B48,Recibos!P$4:P$7493)</f>
        <v>0</v>
      </c>
      <c r="BE48" s="311">
        <f>SUMIF(Recibos!$D$4:$D$7493,Cobranza!$B48,Recibos!Q$4:Q$7493)</f>
        <v>0</v>
      </c>
      <c r="BF48" s="311">
        <f>SUMIF(Recibos!$D$4:$D$7493,Cobranza!$B48,Recibos!R$4:R$7493)</f>
        <v>0</v>
      </c>
      <c r="BG48" s="311">
        <f>SUMIF(Recibos!$D$4:$D$7493,Cobranza!$B48,Recibos!S$4:S$7493)</f>
        <v>0</v>
      </c>
      <c r="BH48" s="311">
        <f>SUMIF(Recibos!$D$4:$D$7493,Cobranza!$B48,Recibos!T$4:T$7493)</f>
        <v>0</v>
      </c>
      <c r="BI48" s="311">
        <f>SUMIF(Recibos!$D$4:$D$7493,Cobranza!$B48,Recibos!U$4:U$7493)</f>
        <v>0</v>
      </c>
      <c r="BJ48" s="311">
        <f>SUMIF(Recibos!$D$4:$D$7493,Cobranza!$B48,Recibos!V$4:V$7493)</f>
        <v>0</v>
      </c>
      <c r="BK48" s="312">
        <f t="shared" si="8"/>
        <v>0</v>
      </c>
      <c r="BL48" s="311">
        <f>SUMIF(Recibos!$D$4:$D$7493,Cobranza!$B48,Recibos!X$4:X$7493)</f>
        <v>0</v>
      </c>
      <c r="BM48" s="311">
        <f>SUMIF(Recibos!$D$4:$D$7493,Cobranza!$B48,Recibos!Y$4:Y$7493)</f>
        <v>0</v>
      </c>
      <c r="BN48" s="311">
        <f>SUMIF(Recibos!$D$4:$D$7493,Cobranza!$B48,Recibos!Z$4:Z$7493)</f>
        <v>0</v>
      </c>
      <c r="BO48" s="311">
        <f>SUMIF(Recibos!$D$4:$D$7493,Cobranza!$B48,Recibos!AA$4:AA$7493)</f>
        <v>0</v>
      </c>
      <c r="BP48" s="311">
        <f>SUMIF(Recibos!$D$4:$D$7493,Cobranza!$B48,Recibos!AB$4:AB$7493)</f>
        <v>0</v>
      </c>
      <c r="BQ48" s="311">
        <f>SUMIF(Recibos!$D$4:$D$7493,Cobranza!$B48,Recibos!AC$4:AC$7493)</f>
        <v>0</v>
      </c>
      <c r="BR48" s="311">
        <f>SUMIF(Recibos!$D$4:$D$7493,Cobranza!$B48,Recibos!AD$4:AD$7493)</f>
        <v>0</v>
      </c>
      <c r="BS48" s="311">
        <f>SUMIF(Recibos!$D$4:$D$7493,Cobranza!$B48,Recibos!AE$4:AE$7493)</f>
        <v>0</v>
      </c>
      <c r="BT48" s="311">
        <f>SUMIF(Recibos!$D$4:$D$7493,Cobranza!$B48,Recibos!AF$4:AF$7493)</f>
        <v>0</v>
      </c>
      <c r="BU48" s="311">
        <f>SUMIF(Recibos!$D$4:$D$7493,Cobranza!$B48,Recibos!AG$4:AG$7493)</f>
        <v>0</v>
      </c>
      <c r="BV48" s="311">
        <f>SUMIF(Recibos!$D$4:$D$7493,Cobranza!$B48,Recibos!AH$4:AH$7493)</f>
        <v>0</v>
      </c>
      <c r="BW48" s="311">
        <f>SUMIF(Recibos!$D$4:$D$7493,Cobranza!$B48,Recibos!AI$4:AI$7493)</f>
        <v>0</v>
      </c>
      <c r="BX48" s="312">
        <f t="shared" si="9"/>
        <v>0</v>
      </c>
      <c r="BY48" s="311">
        <f>SUMIF(Recibos!$D$4:$D$7493,Cobranza!$B48,Recibos!AK$4:AK$7493)</f>
        <v>0</v>
      </c>
      <c r="BZ48" s="311">
        <f>SUMIF(Recibos!$D$4:$D$7493,Cobranza!$B48,Recibos!AL$4:AL$7493)</f>
        <v>0</v>
      </c>
      <c r="CA48" s="311">
        <f>SUMIF(Recibos!$D$4:$D$7493,Cobranza!$B48,Recibos!AM$4:AM$7493)</f>
        <v>0</v>
      </c>
      <c r="CB48" s="311">
        <f>SUMIF(Recibos!$D$4:$D$7493,Cobranza!$B48,Recibos!AN$4:AN$7493)</f>
        <v>0</v>
      </c>
      <c r="CC48" s="311">
        <f>SUMIF(Recibos!$D$4:$D$7493,Cobranza!$B48,Recibos!AO$4:AO$7493)</f>
        <v>0</v>
      </c>
      <c r="CD48" s="311">
        <f>SUMIF(Recibos!$D$4:$D$7493,Cobranza!$B48,Recibos!AP$4:AP$7493)</f>
        <v>0</v>
      </c>
      <c r="CE48" s="311">
        <f>SUMIF(Recibos!$D$4:$D$7493,Cobranza!$B48,Recibos!AQ$4:AQ$7493)</f>
        <v>0</v>
      </c>
      <c r="CF48" s="311">
        <f>SUMIF(Recibos!$D$4:$D$7493,Cobranza!$B48,Recibos!AR$4:AR$7493)</f>
        <v>0</v>
      </c>
      <c r="CG48" s="311">
        <f>SUMIF(Recibos!$D$4:$D$7493,Cobranza!$B48,Recibos!AS$4:AS$7493)</f>
        <v>0</v>
      </c>
      <c r="CH48" s="311">
        <f>SUMIF(Recibos!$D$4:$D$7493,Cobranza!$B48,Recibos!AT$4:AT$7493)</f>
        <v>0</v>
      </c>
      <c r="CI48" s="311">
        <f>SUMIF(Recibos!$D$4:$D$7493,Cobranza!$B48,Recibos!AU$4:AU$7493)</f>
        <v>0</v>
      </c>
      <c r="CJ48" s="311">
        <f>SUMIF(Recibos!$D$4:$D$7493,Cobranza!$B48,Recibos!AV$4:AV$7493)</f>
        <v>0</v>
      </c>
      <c r="CK48" s="312">
        <f t="shared" si="6"/>
        <v>0</v>
      </c>
    </row>
    <row r="49" spans="2:89" x14ac:dyDescent="0.2">
      <c r="B49" s="45" t="s">
        <v>1070</v>
      </c>
      <c r="C49" s="45" t="s">
        <v>1071</v>
      </c>
      <c r="D49" s="45" t="s">
        <v>1072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7">
        <f t="shared" si="2"/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7">
        <f t="shared" si="3"/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7">
        <f t="shared" si="4"/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7">
        <f t="shared" si="7"/>
        <v>0</v>
      </c>
      <c r="AY49" s="313">
        <f>SUMIF(Recibos!$D$4:$D$7493,Cobranza!$B49,Recibos!K$4:K$7493)</f>
        <v>0</v>
      </c>
      <c r="AZ49" s="313">
        <f>SUMIF(Recibos!$D$4:$D$7493,Cobranza!$B49,Recibos!L$4:L$7493)</f>
        <v>0</v>
      </c>
      <c r="BA49" s="313">
        <f>SUMIF(Recibos!$D$4:$D$7493,Cobranza!$B49,Recibos!M$4:M$7493)</f>
        <v>0</v>
      </c>
      <c r="BB49" s="313">
        <f>SUMIF(Recibos!$D$4:$D$7493,Cobranza!$B49,Recibos!N$4:N$7493)</f>
        <v>0</v>
      </c>
      <c r="BC49" s="313">
        <f>SUMIF(Recibos!$D$4:$D$7493,Cobranza!$B49,Recibos!O$4:O$7493)</f>
        <v>0</v>
      </c>
      <c r="BD49" s="313">
        <f>SUMIF(Recibos!$D$4:$D$7493,Cobranza!$B49,Recibos!P$4:P$7493)</f>
        <v>0</v>
      </c>
      <c r="BE49" s="313">
        <f>SUMIF(Recibos!$D$4:$D$7493,Cobranza!$B49,Recibos!Q$4:Q$7493)</f>
        <v>0</v>
      </c>
      <c r="BF49" s="313">
        <f>SUMIF(Recibos!$D$4:$D$7493,Cobranza!$B49,Recibos!R$4:R$7493)</f>
        <v>200</v>
      </c>
      <c r="BG49" s="313">
        <f>SUMIF(Recibos!$D$4:$D$7493,Cobranza!$B49,Recibos!S$4:S$7493)</f>
        <v>200</v>
      </c>
      <c r="BH49" s="313">
        <f>SUMIF(Recibos!$D$4:$D$7493,Cobranza!$B49,Recibos!T$4:T$7493)</f>
        <v>200</v>
      </c>
      <c r="BI49" s="313">
        <f>SUMIF(Recibos!$D$4:$D$7493,Cobranza!$B49,Recibos!U$4:U$7493)</f>
        <v>200</v>
      </c>
      <c r="BJ49" s="313">
        <f>SUMIF(Recibos!$D$4:$D$7493,Cobranza!$B49,Recibos!V$4:V$7493)</f>
        <v>200</v>
      </c>
      <c r="BK49" s="314">
        <f t="shared" si="8"/>
        <v>1000</v>
      </c>
      <c r="BL49" s="313">
        <f>SUMIF(Recibos!$D$4:$D$7493,Cobranza!$B49,Recibos!X$4:X$7493)</f>
        <v>200</v>
      </c>
      <c r="BM49" s="313">
        <f>SUMIF(Recibos!$D$4:$D$7493,Cobranza!$B49,Recibos!Y$4:Y$7493)</f>
        <v>200</v>
      </c>
      <c r="BN49" s="313">
        <f>SUMIF(Recibos!$D$4:$D$7493,Cobranza!$B49,Recibos!Z$4:Z$7493)</f>
        <v>200</v>
      </c>
      <c r="BO49" s="313">
        <f>SUMIF(Recibos!$D$4:$D$7493,Cobranza!$B49,Recibos!AA$4:AA$7493)</f>
        <v>200</v>
      </c>
      <c r="BP49" s="313">
        <f>SUMIF(Recibos!$D$4:$D$7493,Cobranza!$B49,Recibos!AB$4:AB$7493)</f>
        <v>200</v>
      </c>
      <c r="BQ49" s="313">
        <f>SUMIF(Recibos!$D$4:$D$7493,Cobranza!$B49,Recibos!AC$4:AC$7493)</f>
        <v>200</v>
      </c>
      <c r="BR49" s="313">
        <f>SUMIF(Recibos!$D$4:$D$7493,Cobranza!$B49,Recibos!AD$4:AD$7493)</f>
        <v>200</v>
      </c>
      <c r="BS49" s="313">
        <f>SUMIF(Recibos!$D$4:$D$7493,Cobranza!$B49,Recibos!AE$4:AE$7493)</f>
        <v>200</v>
      </c>
      <c r="BT49" s="313">
        <f>SUMIF(Recibos!$D$4:$D$7493,Cobranza!$B49,Recibos!AF$4:AF$7493)</f>
        <v>200</v>
      </c>
      <c r="BU49" s="313">
        <f>SUMIF(Recibos!$D$4:$D$7493,Cobranza!$B49,Recibos!AG$4:AG$7493)</f>
        <v>200</v>
      </c>
      <c r="BV49" s="313">
        <f>SUMIF(Recibos!$D$4:$D$7493,Cobranza!$B49,Recibos!AH$4:AH$7493)</f>
        <v>200</v>
      </c>
      <c r="BW49" s="313">
        <f>SUMIF(Recibos!$D$4:$D$7493,Cobranza!$B49,Recibos!AI$4:AI$7493)</f>
        <v>0</v>
      </c>
      <c r="BX49" s="314">
        <f t="shared" si="9"/>
        <v>2200</v>
      </c>
      <c r="BY49" s="313">
        <f>SUMIF(Recibos!$D$4:$D$7493,Cobranza!$B49,Recibos!AK$4:AK$7493)</f>
        <v>200</v>
      </c>
      <c r="BZ49" s="313">
        <f>SUMIF(Recibos!$D$4:$D$7493,Cobranza!$B49,Recibos!AL$4:AL$7493)</f>
        <v>200</v>
      </c>
      <c r="CA49" s="313">
        <f>SUMIF(Recibos!$D$4:$D$7493,Cobranza!$B49,Recibos!AM$4:AM$7493)</f>
        <v>200</v>
      </c>
      <c r="CB49" s="313">
        <f>SUMIF(Recibos!$D$4:$D$7493,Cobranza!$B49,Recibos!AN$4:AN$7493)</f>
        <v>200</v>
      </c>
      <c r="CC49" s="313">
        <f>SUMIF(Recibos!$D$4:$D$7493,Cobranza!$B49,Recibos!AO$4:AO$7493)</f>
        <v>200</v>
      </c>
      <c r="CD49" s="313">
        <f>SUMIF(Recibos!$D$4:$D$7493,Cobranza!$B49,Recibos!AP$4:AP$7493)</f>
        <v>200</v>
      </c>
      <c r="CE49" s="313">
        <f>SUMIF(Recibos!$D$4:$D$7493,Cobranza!$B49,Recibos!AQ$4:AQ$7493)</f>
        <v>200</v>
      </c>
      <c r="CF49" s="313">
        <f>SUMIF(Recibos!$D$4:$D$7493,Cobranza!$B49,Recibos!AR$4:AR$7493)</f>
        <v>200</v>
      </c>
      <c r="CG49" s="313">
        <f>SUMIF(Recibos!$D$4:$D$7493,Cobranza!$B49,Recibos!AS$4:AS$7493)</f>
        <v>200</v>
      </c>
      <c r="CH49" s="313">
        <f>SUMIF(Recibos!$D$4:$D$7493,Cobranza!$B49,Recibos!AT$4:AT$7493)</f>
        <v>200</v>
      </c>
      <c r="CI49" s="313">
        <f>SUMIF(Recibos!$D$4:$D$7493,Cobranza!$B49,Recibos!AU$4:AU$7493)</f>
        <v>200</v>
      </c>
      <c r="CJ49" s="313">
        <f>SUMIF(Recibos!$D$4:$D$7493,Cobranza!$B49,Recibos!AV$4:AV$7493)</f>
        <v>200</v>
      </c>
      <c r="CK49" s="314">
        <f t="shared" si="6"/>
        <v>2400</v>
      </c>
    </row>
    <row r="50" spans="2:89" x14ac:dyDescent="0.2">
      <c r="B50" s="42" t="s">
        <v>580</v>
      </c>
      <c r="C50" s="42" t="s">
        <v>581</v>
      </c>
      <c r="D50" s="42" t="s">
        <v>582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300</v>
      </c>
      <c r="K50" s="44">
        <f t="shared" si="2"/>
        <v>300</v>
      </c>
      <c r="L50" s="43">
        <v>300</v>
      </c>
      <c r="M50" s="43">
        <v>300</v>
      </c>
      <c r="N50" s="43">
        <v>300</v>
      </c>
      <c r="O50" s="43">
        <v>300</v>
      </c>
      <c r="P50" s="43">
        <v>300</v>
      </c>
      <c r="Q50" s="43">
        <v>300</v>
      </c>
      <c r="R50" s="43">
        <v>300</v>
      </c>
      <c r="S50" s="43">
        <v>300</v>
      </c>
      <c r="T50" s="43">
        <v>300</v>
      </c>
      <c r="U50" s="43">
        <v>0</v>
      </c>
      <c r="V50" s="43">
        <v>0</v>
      </c>
      <c r="W50" s="43">
        <v>0</v>
      </c>
      <c r="X50" s="44">
        <f t="shared" si="3"/>
        <v>2700</v>
      </c>
      <c r="Y50" s="43">
        <v>300</v>
      </c>
      <c r="Z50" s="43">
        <v>300</v>
      </c>
      <c r="AA50" s="43">
        <v>300</v>
      </c>
      <c r="AB50" s="43">
        <v>300</v>
      </c>
      <c r="AC50" s="43">
        <v>300</v>
      </c>
      <c r="AD50" s="43">
        <v>150</v>
      </c>
      <c r="AE50" s="43">
        <v>150</v>
      </c>
      <c r="AF50" s="43">
        <v>150</v>
      </c>
      <c r="AG50" s="43">
        <v>150</v>
      </c>
      <c r="AH50" s="43">
        <v>0</v>
      </c>
      <c r="AI50" s="43">
        <v>0</v>
      </c>
      <c r="AJ50" s="43">
        <v>0</v>
      </c>
      <c r="AK50" s="44">
        <f t="shared" si="4"/>
        <v>2100</v>
      </c>
      <c r="AL50" s="43">
        <v>150</v>
      </c>
      <c r="AM50" s="43">
        <v>150</v>
      </c>
      <c r="AN50" s="43">
        <v>150</v>
      </c>
      <c r="AO50" s="43">
        <v>150</v>
      </c>
      <c r="AP50" s="43">
        <v>150</v>
      </c>
      <c r="AQ50" s="43">
        <v>150</v>
      </c>
      <c r="AR50" s="43">
        <v>150</v>
      </c>
      <c r="AS50" s="43">
        <v>150</v>
      </c>
      <c r="AT50" s="43">
        <v>150</v>
      </c>
      <c r="AU50" s="43">
        <v>150</v>
      </c>
      <c r="AV50" s="43">
        <v>150</v>
      </c>
      <c r="AW50" s="43">
        <v>0</v>
      </c>
      <c r="AX50" s="44">
        <f t="shared" si="7"/>
        <v>1650</v>
      </c>
      <c r="AY50" s="311">
        <f>SUMIF(Recibos!$D$4:$D$7493,Cobranza!$B50,Recibos!K$4:K$7493)</f>
        <v>150</v>
      </c>
      <c r="AZ50" s="311">
        <f>SUMIF(Recibos!$D$4:$D$7493,Cobranza!$B50,Recibos!L$4:L$7493)</f>
        <v>150</v>
      </c>
      <c r="BA50" s="311">
        <f>SUMIF(Recibos!$D$4:$D$7493,Cobranza!$B50,Recibos!M$4:M$7493)</f>
        <v>150</v>
      </c>
      <c r="BB50" s="311">
        <f>SUMIF(Recibos!$D$4:$D$7493,Cobranza!$B50,Recibos!N$4:N$7493)</f>
        <v>150</v>
      </c>
      <c r="BC50" s="311">
        <f>SUMIF(Recibos!$D$4:$D$7493,Cobranza!$B50,Recibos!O$4:O$7493)</f>
        <v>150</v>
      </c>
      <c r="BD50" s="311">
        <f>SUMIF(Recibos!$D$4:$D$7493,Cobranza!$B50,Recibos!P$4:P$7493)</f>
        <v>150</v>
      </c>
      <c r="BE50" s="311">
        <f>SUMIF(Recibos!$D$4:$D$7493,Cobranza!$B50,Recibos!Q$4:Q$7493)</f>
        <v>150</v>
      </c>
      <c r="BF50" s="311">
        <f>SUMIF(Recibos!$D$4:$D$7493,Cobranza!$B50,Recibos!R$4:R$7493)</f>
        <v>150</v>
      </c>
      <c r="BG50" s="311">
        <f>SUMIF(Recibos!$D$4:$D$7493,Cobranza!$B50,Recibos!S$4:S$7493)</f>
        <v>150</v>
      </c>
      <c r="BH50" s="311">
        <f>SUMIF(Recibos!$D$4:$D$7493,Cobranza!$B50,Recibos!T$4:T$7493)</f>
        <v>150</v>
      </c>
      <c r="BI50" s="311">
        <f>SUMIF(Recibos!$D$4:$D$7493,Cobranza!$B50,Recibos!U$4:U$7493)</f>
        <v>150</v>
      </c>
      <c r="BJ50" s="311">
        <f>SUMIF(Recibos!$D$4:$D$7493,Cobranza!$B50,Recibos!V$4:V$7493)</f>
        <v>150</v>
      </c>
      <c r="BK50" s="312">
        <f t="shared" si="8"/>
        <v>1800</v>
      </c>
      <c r="BL50" s="311">
        <f>SUMIF(Recibos!$D$4:$D$7493,Cobranza!$B50,Recibos!X$4:X$7493)</f>
        <v>150</v>
      </c>
      <c r="BM50" s="311">
        <f>SUMIF(Recibos!$D$4:$D$7493,Cobranza!$B50,Recibos!Y$4:Y$7493)</f>
        <v>150</v>
      </c>
      <c r="BN50" s="311">
        <f>SUMIF(Recibos!$D$4:$D$7493,Cobranza!$B50,Recibos!Z$4:Z$7493)</f>
        <v>150</v>
      </c>
      <c r="BO50" s="311">
        <f>SUMIF(Recibos!$D$4:$D$7493,Cobranza!$B50,Recibos!AA$4:AA$7493)</f>
        <v>150</v>
      </c>
      <c r="BP50" s="311">
        <f>SUMIF(Recibos!$D$4:$D$7493,Cobranza!$B50,Recibos!AB$4:AB$7493)</f>
        <v>150</v>
      </c>
      <c r="BQ50" s="311">
        <f>SUMIF(Recibos!$D$4:$D$7493,Cobranza!$B50,Recibos!AC$4:AC$7493)</f>
        <v>150</v>
      </c>
      <c r="BR50" s="311">
        <f>SUMIF(Recibos!$D$4:$D$7493,Cobranza!$B50,Recibos!AD$4:AD$7493)</f>
        <v>150</v>
      </c>
      <c r="BS50" s="311">
        <f>SUMIF(Recibos!$D$4:$D$7493,Cobranza!$B50,Recibos!AE$4:AE$7493)</f>
        <v>150</v>
      </c>
      <c r="BT50" s="311">
        <f>SUMIF(Recibos!$D$4:$D$7493,Cobranza!$B50,Recibos!AF$4:AF$7493)</f>
        <v>150</v>
      </c>
      <c r="BU50" s="311">
        <f>SUMIF(Recibos!$D$4:$D$7493,Cobranza!$B50,Recibos!AG$4:AG$7493)</f>
        <v>150</v>
      </c>
      <c r="BV50" s="311">
        <f>SUMIF(Recibos!$D$4:$D$7493,Cobranza!$B50,Recibos!AH$4:AH$7493)</f>
        <v>150</v>
      </c>
      <c r="BW50" s="311">
        <f>SUMIF(Recibos!$D$4:$D$7493,Cobranza!$B50,Recibos!AI$4:AI$7493)</f>
        <v>150</v>
      </c>
      <c r="BX50" s="312">
        <f t="shared" si="9"/>
        <v>1800</v>
      </c>
      <c r="BY50" s="311">
        <f>SUMIF(Recibos!$D$4:$D$7493,Cobranza!$B50,Recibos!AK$4:AK$7493)</f>
        <v>150</v>
      </c>
      <c r="BZ50" s="311">
        <f>SUMIF(Recibos!$D$4:$D$7493,Cobranza!$B50,Recibos!AL$4:AL$7493)</f>
        <v>150</v>
      </c>
      <c r="CA50" s="311">
        <f>SUMIF(Recibos!$D$4:$D$7493,Cobranza!$B50,Recibos!AM$4:AM$7493)</f>
        <v>150</v>
      </c>
      <c r="CB50" s="311">
        <f>SUMIF(Recibos!$D$4:$D$7493,Cobranza!$B50,Recibos!AN$4:AN$7493)</f>
        <v>150</v>
      </c>
      <c r="CC50" s="311">
        <f>SUMIF(Recibos!$D$4:$D$7493,Cobranza!$B50,Recibos!AO$4:AO$7493)</f>
        <v>150</v>
      </c>
      <c r="CD50" s="311">
        <f>SUMIF(Recibos!$D$4:$D$7493,Cobranza!$B50,Recibos!AP$4:AP$7493)</f>
        <v>150</v>
      </c>
      <c r="CE50" s="311">
        <f>SUMIF(Recibos!$D$4:$D$7493,Cobranza!$B50,Recibos!AQ$4:AQ$7493)</f>
        <v>150</v>
      </c>
      <c r="CF50" s="311">
        <f>SUMIF(Recibos!$D$4:$D$7493,Cobranza!$B50,Recibos!AR$4:AR$7493)</f>
        <v>150</v>
      </c>
      <c r="CG50" s="311">
        <f>SUMIF(Recibos!$D$4:$D$7493,Cobranza!$B50,Recibos!AS$4:AS$7493)</f>
        <v>150</v>
      </c>
      <c r="CH50" s="311">
        <f>SUMIF(Recibos!$D$4:$D$7493,Cobranza!$B50,Recibos!AT$4:AT$7493)</f>
        <v>150</v>
      </c>
      <c r="CI50" s="311">
        <f>SUMIF(Recibos!$D$4:$D$7493,Cobranza!$B50,Recibos!AU$4:AU$7493)</f>
        <v>150</v>
      </c>
      <c r="CJ50" s="311">
        <f>SUMIF(Recibos!$D$4:$D$7493,Cobranza!$B50,Recibos!AV$4:AV$7493)</f>
        <v>150</v>
      </c>
      <c r="CK50" s="312">
        <f t="shared" si="6"/>
        <v>1800</v>
      </c>
    </row>
    <row r="51" spans="2:89" x14ac:dyDescent="0.2">
      <c r="B51" s="45" t="s">
        <v>1272</v>
      </c>
      <c r="C51" s="45" t="s">
        <v>1273</v>
      </c>
      <c r="D51" s="45" t="s">
        <v>4567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7">
        <f t="shared" si="2"/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7">
        <f t="shared" si="3"/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7">
        <f t="shared" si="4"/>
        <v>0</v>
      </c>
      <c r="AL51" s="46">
        <v>0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6">
        <v>0</v>
      </c>
      <c r="AX51" s="47">
        <f t="shared" si="7"/>
        <v>0</v>
      </c>
      <c r="AY51" s="313">
        <f>SUMIF(Recibos!$D$4:$D$7493,Cobranza!$B51,Recibos!K$4:K$7493)</f>
        <v>0</v>
      </c>
      <c r="AZ51" s="313">
        <f>SUMIF(Recibos!$D$4:$D$7493,Cobranza!$B51,Recibos!L$4:L$7493)</f>
        <v>0</v>
      </c>
      <c r="BA51" s="313">
        <f>SUMIF(Recibos!$D$4:$D$7493,Cobranza!$B51,Recibos!M$4:M$7493)</f>
        <v>0</v>
      </c>
      <c r="BB51" s="313">
        <f>SUMIF(Recibos!$D$4:$D$7493,Cobranza!$B51,Recibos!N$4:N$7493)</f>
        <v>0</v>
      </c>
      <c r="BC51" s="313">
        <f>SUMIF(Recibos!$D$4:$D$7493,Cobranza!$B51,Recibos!O$4:O$7493)</f>
        <v>0</v>
      </c>
      <c r="BD51" s="313">
        <f>SUMIF(Recibos!$D$4:$D$7493,Cobranza!$B51,Recibos!P$4:P$7493)</f>
        <v>0</v>
      </c>
      <c r="BE51" s="313">
        <f>SUMIF(Recibos!$D$4:$D$7493,Cobranza!$B51,Recibos!Q$4:Q$7493)</f>
        <v>0</v>
      </c>
      <c r="BF51" s="313">
        <f>SUMIF(Recibos!$D$4:$D$7493,Cobranza!$B51,Recibos!R$4:R$7493)</f>
        <v>0</v>
      </c>
      <c r="BG51" s="313">
        <f>SUMIF(Recibos!$D$4:$D$7493,Cobranza!$B51,Recibos!S$4:S$7493)</f>
        <v>0</v>
      </c>
      <c r="BH51" s="313">
        <f>SUMIF(Recibos!$D$4:$D$7493,Cobranza!$B51,Recibos!T$4:T$7493)</f>
        <v>0</v>
      </c>
      <c r="BI51" s="313">
        <f>SUMIF(Recibos!$D$4:$D$7493,Cobranza!$B51,Recibos!U$4:U$7493)</f>
        <v>0</v>
      </c>
      <c r="BJ51" s="313">
        <f>SUMIF(Recibos!$D$4:$D$7493,Cobranza!$B51,Recibos!V$4:V$7493)</f>
        <v>0</v>
      </c>
      <c r="BK51" s="314">
        <f t="shared" si="8"/>
        <v>0</v>
      </c>
      <c r="BL51" s="313">
        <f>SUMIF(Recibos!$D$4:$D$7493,Cobranza!$B51,Recibos!X$4:X$7493)</f>
        <v>400</v>
      </c>
      <c r="BM51" s="313">
        <f>SUMIF(Recibos!$D$4:$D$7493,Cobranza!$B51,Recibos!Y$4:Y$7493)</f>
        <v>400</v>
      </c>
      <c r="BN51" s="313">
        <f>SUMIF(Recibos!$D$4:$D$7493,Cobranza!$B51,Recibos!Z$4:Z$7493)</f>
        <v>400</v>
      </c>
      <c r="BO51" s="313">
        <f>SUMIF(Recibos!$D$4:$D$7493,Cobranza!$B51,Recibos!AA$4:AA$7493)</f>
        <v>400</v>
      </c>
      <c r="BP51" s="313">
        <f>SUMIF(Recibos!$D$4:$D$7493,Cobranza!$B51,Recibos!AB$4:AB$7493)</f>
        <v>400</v>
      </c>
      <c r="BQ51" s="313">
        <f>SUMIF(Recibos!$D$4:$D$7493,Cobranza!$B51,Recibos!AC$4:AC$7493)</f>
        <v>400</v>
      </c>
      <c r="BR51" s="313">
        <f>SUMIF(Recibos!$D$4:$D$7493,Cobranza!$B51,Recibos!AD$4:AD$7493)</f>
        <v>400</v>
      </c>
      <c r="BS51" s="313">
        <f>SUMIF(Recibos!$D$4:$D$7493,Cobranza!$B51,Recibos!AE$4:AE$7493)</f>
        <v>400</v>
      </c>
      <c r="BT51" s="313">
        <f>SUMIF(Recibos!$D$4:$D$7493,Cobranza!$B51,Recibos!AF$4:AF$7493)</f>
        <v>400</v>
      </c>
      <c r="BU51" s="313">
        <f>SUMIF(Recibos!$D$4:$D$7493,Cobranza!$B51,Recibos!AG$4:AG$7493)</f>
        <v>400</v>
      </c>
      <c r="BV51" s="313">
        <f>SUMIF(Recibos!$D$4:$D$7493,Cobranza!$B51,Recibos!AH$4:AH$7493)</f>
        <v>400</v>
      </c>
      <c r="BW51" s="313">
        <f>SUMIF(Recibos!$D$4:$D$7493,Cobranza!$B51,Recibos!AI$4:AI$7493)</f>
        <v>400</v>
      </c>
      <c r="BX51" s="314">
        <f t="shared" si="9"/>
        <v>4800</v>
      </c>
      <c r="BY51" s="313">
        <f>SUMIF(Recibos!$D$4:$D$7493,Cobranza!$B51,Recibos!AK$4:AK$7493)</f>
        <v>400</v>
      </c>
      <c r="BZ51" s="313">
        <f>SUMIF(Recibos!$D$4:$D$7493,Cobranza!$B51,Recibos!AL$4:AL$7493)</f>
        <v>400</v>
      </c>
      <c r="CA51" s="313">
        <f>SUMIF(Recibos!$D$4:$D$7493,Cobranza!$B51,Recibos!AM$4:AM$7493)</f>
        <v>400</v>
      </c>
      <c r="CB51" s="313">
        <f>SUMIF(Recibos!$D$4:$D$7493,Cobranza!$B51,Recibos!AN$4:AN$7493)</f>
        <v>400</v>
      </c>
      <c r="CC51" s="313">
        <f>SUMIF(Recibos!$D$4:$D$7493,Cobranza!$B51,Recibos!AO$4:AO$7493)</f>
        <v>400</v>
      </c>
      <c r="CD51" s="313">
        <f>SUMIF(Recibos!$D$4:$D$7493,Cobranza!$B51,Recibos!AP$4:AP$7493)</f>
        <v>400</v>
      </c>
      <c r="CE51" s="313">
        <f>SUMIF(Recibos!$D$4:$D$7493,Cobranza!$B51,Recibos!AQ$4:AQ$7493)</f>
        <v>400</v>
      </c>
      <c r="CF51" s="313">
        <f>SUMIF(Recibos!$D$4:$D$7493,Cobranza!$B51,Recibos!AR$4:AR$7493)</f>
        <v>400</v>
      </c>
      <c r="CG51" s="313">
        <f>SUMIF(Recibos!$D$4:$D$7493,Cobranza!$B51,Recibos!AS$4:AS$7493)</f>
        <v>400</v>
      </c>
      <c r="CH51" s="313">
        <f>SUMIF(Recibos!$D$4:$D$7493,Cobranza!$B51,Recibos!AT$4:AT$7493)</f>
        <v>400</v>
      </c>
      <c r="CI51" s="313">
        <f>SUMIF(Recibos!$D$4:$D$7493,Cobranza!$B51,Recibos!AU$4:AU$7493)</f>
        <v>400</v>
      </c>
      <c r="CJ51" s="313">
        <f>SUMIF(Recibos!$D$4:$D$7493,Cobranza!$B51,Recibos!AV$4:AV$7493)</f>
        <v>0</v>
      </c>
      <c r="CK51" s="314">
        <f t="shared" si="6"/>
        <v>4400</v>
      </c>
    </row>
    <row r="52" spans="2:89" x14ac:dyDescent="0.2">
      <c r="B52" s="42" t="s">
        <v>807</v>
      </c>
      <c r="C52" s="42" t="s">
        <v>808</v>
      </c>
      <c r="D52" s="42" t="s">
        <v>809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4">
        <f t="shared" si="2"/>
        <v>0</v>
      </c>
      <c r="L52" s="43">
        <v>300</v>
      </c>
      <c r="M52" s="43">
        <v>300</v>
      </c>
      <c r="N52" s="43">
        <v>300</v>
      </c>
      <c r="O52" s="43">
        <v>300</v>
      </c>
      <c r="P52" s="43">
        <v>300</v>
      </c>
      <c r="Q52" s="43">
        <v>300</v>
      </c>
      <c r="R52" s="43">
        <v>300</v>
      </c>
      <c r="S52" s="43">
        <v>300</v>
      </c>
      <c r="T52" s="43">
        <v>300</v>
      </c>
      <c r="U52" s="43">
        <v>400</v>
      </c>
      <c r="V52" s="43">
        <v>400</v>
      </c>
      <c r="W52" s="43">
        <v>400</v>
      </c>
      <c r="X52" s="44">
        <f t="shared" si="3"/>
        <v>3900</v>
      </c>
      <c r="Y52" s="43">
        <v>200</v>
      </c>
      <c r="Z52" s="43">
        <v>200</v>
      </c>
      <c r="AA52" s="43">
        <v>400</v>
      </c>
      <c r="AB52" s="43">
        <v>400</v>
      </c>
      <c r="AC52" s="43">
        <v>200</v>
      </c>
      <c r="AD52" s="43">
        <v>200</v>
      </c>
      <c r="AE52" s="43">
        <v>200</v>
      </c>
      <c r="AF52" s="43">
        <v>200</v>
      </c>
      <c r="AG52" s="43">
        <v>200</v>
      </c>
      <c r="AH52" s="43">
        <v>200</v>
      </c>
      <c r="AI52" s="43">
        <v>200</v>
      </c>
      <c r="AJ52" s="43">
        <v>200</v>
      </c>
      <c r="AK52" s="44">
        <f t="shared" si="4"/>
        <v>2800</v>
      </c>
      <c r="AL52" s="43">
        <v>200</v>
      </c>
      <c r="AM52" s="43">
        <v>200</v>
      </c>
      <c r="AN52" s="43">
        <v>200</v>
      </c>
      <c r="AO52" s="43">
        <v>200</v>
      </c>
      <c r="AP52" s="43">
        <v>200</v>
      </c>
      <c r="AQ52" s="43">
        <v>200</v>
      </c>
      <c r="AR52" s="43">
        <v>200</v>
      </c>
      <c r="AS52" s="43">
        <v>200</v>
      </c>
      <c r="AT52" s="43">
        <v>200</v>
      </c>
      <c r="AU52" s="43">
        <v>200</v>
      </c>
      <c r="AV52" s="43">
        <v>200</v>
      </c>
      <c r="AW52" s="43">
        <v>200</v>
      </c>
      <c r="AX52" s="44">
        <f t="shared" si="7"/>
        <v>2400</v>
      </c>
      <c r="AY52" s="311">
        <f>SUMIF(Recibos!$D$4:$D$7493,Cobranza!$B52,Recibos!K$4:K$7493)</f>
        <v>200</v>
      </c>
      <c r="AZ52" s="311">
        <f>SUMIF(Recibos!$D$4:$D$7493,Cobranza!$B52,Recibos!L$4:L$7493)</f>
        <v>200</v>
      </c>
      <c r="BA52" s="311">
        <f>SUMIF(Recibos!$D$4:$D$7493,Cobranza!$B52,Recibos!M$4:M$7493)</f>
        <v>200</v>
      </c>
      <c r="BB52" s="311">
        <f>SUMIF(Recibos!$D$4:$D$7493,Cobranza!$B52,Recibos!N$4:N$7493)</f>
        <v>200</v>
      </c>
      <c r="BC52" s="311">
        <f>SUMIF(Recibos!$D$4:$D$7493,Cobranza!$B52,Recibos!O$4:O$7493)</f>
        <v>200</v>
      </c>
      <c r="BD52" s="311">
        <f>SUMIF(Recibos!$D$4:$D$7493,Cobranza!$B52,Recibos!P$4:P$7493)</f>
        <v>200</v>
      </c>
      <c r="BE52" s="311">
        <f>SUMIF(Recibos!$D$4:$D$7493,Cobranza!$B52,Recibos!Q$4:Q$7493)</f>
        <v>200</v>
      </c>
      <c r="BF52" s="311">
        <f>SUMIF(Recibos!$D$4:$D$7493,Cobranza!$B52,Recibos!R$4:R$7493)</f>
        <v>200</v>
      </c>
      <c r="BG52" s="311">
        <f>SUMIF(Recibos!$D$4:$D$7493,Cobranza!$B52,Recibos!S$4:S$7493)</f>
        <v>200</v>
      </c>
      <c r="BH52" s="311">
        <f>SUMIF(Recibos!$D$4:$D$7493,Cobranza!$B52,Recibos!T$4:T$7493)</f>
        <v>200</v>
      </c>
      <c r="BI52" s="311">
        <f>SUMIF(Recibos!$D$4:$D$7493,Cobranza!$B52,Recibos!U$4:U$7493)</f>
        <v>200</v>
      </c>
      <c r="BJ52" s="311">
        <f>SUMIF(Recibos!$D$4:$D$7493,Cobranza!$B52,Recibos!V$4:V$7493)</f>
        <v>200</v>
      </c>
      <c r="BK52" s="312">
        <f t="shared" si="8"/>
        <v>2400</v>
      </c>
      <c r="BL52" s="311">
        <f>SUMIF(Recibos!$D$4:$D$7493,Cobranza!$B52,Recibos!X$4:X$7493)</f>
        <v>200</v>
      </c>
      <c r="BM52" s="311">
        <f>SUMIF(Recibos!$D$4:$D$7493,Cobranza!$B52,Recibos!Y$4:Y$7493)</f>
        <v>200</v>
      </c>
      <c r="BN52" s="311">
        <f>SUMIF(Recibos!$D$4:$D$7493,Cobranza!$B52,Recibos!Z$4:Z$7493)</f>
        <v>200</v>
      </c>
      <c r="BO52" s="311">
        <f>SUMIF(Recibos!$D$4:$D$7493,Cobranza!$B52,Recibos!AA$4:AA$7493)</f>
        <v>200</v>
      </c>
      <c r="BP52" s="311">
        <f>SUMIF(Recibos!$D$4:$D$7493,Cobranza!$B52,Recibos!AB$4:AB$7493)</f>
        <v>200</v>
      </c>
      <c r="BQ52" s="311">
        <f>SUMIF(Recibos!$D$4:$D$7493,Cobranza!$B52,Recibos!AC$4:AC$7493)</f>
        <v>200</v>
      </c>
      <c r="BR52" s="311">
        <f>SUMIF(Recibos!$D$4:$D$7493,Cobranza!$B52,Recibos!AD$4:AD$7493)</f>
        <v>200</v>
      </c>
      <c r="BS52" s="311">
        <f>SUMIF(Recibos!$D$4:$D$7493,Cobranza!$B52,Recibos!AE$4:AE$7493)</f>
        <v>200</v>
      </c>
      <c r="BT52" s="311">
        <f>SUMIF(Recibos!$D$4:$D$7493,Cobranza!$B52,Recibos!AF$4:AF$7493)</f>
        <v>200</v>
      </c>
      <c r="BU52" s="311">
        <f>SUMIF(Recibos!$D$4:$D$7493,Cobranza!$B52,Recibos!AG$4:AG$7493)</f>
        <v>200</v>
      </c>
      <c r="BV52" s="311">
        <f>SUMIF(Recibos!$D$4:$D$7493,Cobranza!$B52,Recibos!AH$4:AH$7493)</f>
        <v>200</v>
      </c>
      <c r="BW52" s="311">
        <f>SUMIF(Recibos!$D$4:$D$7493,Cobranza!$B52,Recibos!AI$4:AI$7493)</f>
        <v>200</v>
      </c>
      <c r="BX52" s="312">
        <f t="shared" si="9"/>
        <v>2400</v>
      </c>
      <c r="BY52" s="311">
        <f>SUMIF(Recibos!$D$4:$D$7493,Cobranza!$B52,Recibos!AK$4:AK$7493)</f>
        <v>200</v>
      </c>
      <c r="BZ52" s="311">
        <f>SUMIF(Recibos!$D$4:$D$7493,Cobranza!$B52,Recibos!AL$4:AL$7493)</f>
        <v>200</v>
      </c>
      <c r="CA52" s="311">
        <f>SUMIF(Recibos!$D$4:$D$7493,Cobranza!$B52,Recibos!AM$4:AM$7493)</f>
        <v>200</v>
      </c>
      <c r="CB52" s="311">
        <f>SUMIF(Recibos!$D$4:$D$7493,Cobranza!$B52,Recibos!AN$4:AN$7493)</f>
        <v>200</v>
      </c>
      <c r="CC52" s="311">
        <f>SUMIF(Recibos!$D$4:$D$7493,Cobranza!$B52,Recibos!AO$4:AO$7493)</f>
        <v>200</v>
      </c>
      <c r="CD52" s="311">
        <f>SUMIF(Recibos!$D$4:$D$7493,Cobranza!$B52,Recibos!AP$4:AP$7493)</f>
        <v>200</v>
      </c>
      <c r="CE52" s="311">
        <f>SUMIF(Recibos!$D$4:$D$7493,Cobranza!$B52,Recibos!AQ$4:AQ$7493)</f>
        <v>200</v>
      </c>
      <c r="CF52" s="311">
        <f>SUMIF(Recibos!$D$4:$D$7493,Cobranza!$B52,Recibos!AR$4:AR$7493)</f>
        <v>200</v>
      </c>
      <c r="CG52" s="311">
        <f>SUMIF(Recibos!$D$4:$D$7493,Cobranza!$B52,Recibos!AS$4:AS$7493)</f>
        <v>0</v>
      </c>
      <c r="CH52" s="311">
        <f>SUMIF(Recibos!$D$4:$D$7493,Cobranza!$B52,Recibos!AT$4:AT$7493)</f>
        <v>0</v>
      </c>
      <c r="CI52" s="311">
        <f>SUMIF(Recibos!$D$4:$D$7493,Cobranza!$B52,Recibos!AU$4:AU$7493)</f>
        <v>0</v>
      </c>
      <c r="CJ52" s="311">
        <f>SUMIF(Recibos!$D$4:$D$7493,Cobranza!$B52,Recibos!AV$4:AV$7493)</f>
        <v>0</v>
      </c>
      <c r="CK52" s="312">
        <f t="shared" si="6"/>
        <v>1600</v>
      </c>
    </row>
    <row r="53" spans="2:89" x14ac:dyDescent="0.2">
      <c r="B53" s="45" t="s">
        <v>1274</v>
      </c>
      <c r="C53" s="45" t="s">
        <v>1275</v>
      </c>
      <c r="D53" s="45" t="s">
        <v>857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200</v>
      </c>
      <c r="K53" s="47">
        <f t="shared" si="2"/>
        <v>200</v>
      </c>
      <c r="L53" s="46">
        <v>200</v>
      </c>
      <c r="M53" s="46">
        <v>200</v>
      </c>
      <c r="N53" s="46">
        <v>200</v>
      </c>
      <c r="O53" s="46">
        <v>200</v>
      </c>
      <c r="P53" s="46">
        <v>200</v>
      </c>
      <c r="Q53" s="46">
        <v>200</v>
      </c>
      <c r="R53" s="46">
        <v>200</v>
      </c>
      <c r="S53" s="46">
        <v>200</v>
      </c>
      <c r="T53" s="46">
        <v>200</v>
      </c>
      <c r="U53" s="46">
        <v>200</v>
      </c>
      <c r="V53" s="46">
        <v>0</v>
      </c>
      <c r="W53" s="46">
        <v>0</v>
      </c>
      <c r="X53" s="47">
        <f t="shared" si="3"/>
        <v>2000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7">
        <f t="shared" si="4"/>
        <v>0</v>
      </c>
      <c r="AL53" s="46">
        <v>0</v>
      </c>
      <c r="AM53" s="46">
        <v>0</v>
      </c>
      <c r="AN53" s="46">
        <v>0</v>
      </c>
      <c r="AO53" s="46">
        <v>0</v>
      </c>
      <c r="AP53" s="46">
        <v>0</v>
      </c>
      <c r="AQ53" s="46">
        <v>0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6">
        <v>0</v>
      </c>
      <c r="AX53" s="47">
        <f t="shared" si="7"/>
        <v>0</v>
      </c>
      <c r="AY53" s="313">
        <f>SUMIF(Recibos!$D$4:$D$7493,Cobranza!$B53,Recibos!K$4:K$7493)</f>
        <v>0</v>
      </c>
      <c r="AZ53" s="313">
        <f>SUMIF(Recibos!$D$4:$D$7493,Cobranza!$B53,Recibos!L$4:L$7493)</f>
        <v>0</v>
      </c>
      <c r="BA53" s="313">
        <f>SUMIF(Recibos!$D$4:$D$7493,Cobranza!$B53,Recibos!M$4:M$7493)</f>
        <v>0</v>
      </c>
      <c r="BB53" s="313">
        <f>SUMIF(Recibos!$D$4:$D$7493,Cobranza!$B53,Recibos!N$4:N$7493)</f>
        <v>0</v>
      </c>
      <c r="BC53" s="313">
        <f>SUMIF(Recibos!$D$4:$D$7493,Cobranza!$B53,Recibos!O$4:O$7493)</f>
        <v>0</v>
      </c>
      <c r="BD53" s="313">
        <f>SUMIF(Recibos!$D$4:$D$7493,Cobranza!$B53,Recibos!P$4:P$7493)</f>
        <v>0</v>
      </c>
      <c r="BE53" s="313">
        <f>SUMIF(Recibos!$D$4:$D$7493,Cobranza!$B53,Recibos!Q$4:Q$7493)</f>
        <v>0</v>
      </c>
      <c r="BF53" s="313">
        <f>SUMIF(Recibos!$D$4:$D$7493,Cobranza!$B53,Recibos!R$4:R$7493)</f>
        <v>0</v>
      </c>
      <c r="BG53" s="313">
        <f>SUMIF(Recibos!$D$4:$D$7493,Cobranza!$B53,Recibos!S$4:S$7493)</f>
        <v>0</v>
      </c>
      <c r="BH53" s="313">
        <f>SUMIF(Recibos!$D$4:$D$7493,Cobranza!$B53,Recibos!T$4:T$7493)</f>
        <v>0</v>
      </c>
      <c r="BI53" s="313">
        <f>SUMIF(Recibos!$D$4:$D$7493,Cobranza!$B53,Recibos!U$4:U$7493)</f>
        <v>0</v>
      </c>
      <c r="BJ53" s="313">
        <f>SUMIF(Recibos!$D$4:$D$7493,Cobranza!$B53,Recibos!V$4:V$7493)</f>
        <v>0</v>
      </c>
      <c r="BK53" s="314">
        <f t="shared" si="8"/>
        <v>0</v>
      </c>
      <c r="BL53" s="313">
        <f>SUMIF(Recibos!$D$4:$D$7493,Cobranza!$B53,Recibos!X$4:X$7493)</f>
        <v>0</v>
      </c>
      <c r="BM53" s="313">
        <f>SUMIF(Recibos!$D$4:$D$7493,Cobranza!$B53,Recibos!Y$4:Y$7493)</f>
        <v>0</v>
      </c>
      <c r="BN53" s="313">
        <f>SUMIF(Recibos!$D$4:$D$7493,Cobranza!$B53,Recibos!Z$4:Z$7493)</f>
        <v>0</v>
      </c>
      <c r="BO53" s="313">
        <f>SUMIF(Recibos!$D$4:$D$7493,Cobranza!$B53,Recibos!AA$4:AA$7493)</f>
        <v>0</v>
      </c>
      <c r="BP53" s="313">
        <f>SUMIF(Recibos!$D$4:$D$7493,Cobranza!$B53,Recibos!AB$4:AB$7493)</f>
        <v>0</v>
      </c>
      <c r="BQ53" s="313">
        <f>SUMIF(Recibos!$D$4:$D$7493,Cobranza!$B53,Recibos!AC$4:AC$7493)</f>
        <v>0</v>
      </c>
      <c r="BR53" s="313">
        <f>SUMIF(Recibos!$D$4:$D$7493,Cobranza!$B53,Recibos!AD$4:AD$7493)</f>
        <v>0</v>
      </c>
      <c r="BS53" s="313">
        <f>SUMIF(Recibos!$D$4:$D$7493,Cobranza!$B53,Recibos!AE$4:AE$7493)</f>
        <v>0</v>
      </c>
      <c r="BT53" s="313">
        <f>SUMIF(Recibos!$D$4:$D$7493,Cobranza!$B53,Recibos!AF$4:AF$7493)</f>
        <v>0</v>
      </c>
      <c r="BU53" s="313">
        <f>SUMIF(Recibos!$D$4:$D$7493,Cobranza!$B53,Recibos!AG$4:AG$7493)</f>
        <v>0</v>
      </c>
      <c r="BV53" s="313">
        <f>SUMIF(Recibos!$D$4:$D$7493,Cobranza!$B53,Recibos!AH$4:AH$7493)</f>
        <v>0</v>
      </c>
      <c r="BW53" s="313">
        <f>SUMIF(Recibos!$D$4:$D$7493,Cobranza!$B53,Recibos!AI$4:AI$7493)</f>
        <v>0</v>
      </c>
      <c r="BX53" s="314">
        <f t="shared" si="9"/>
        <v>0</v>
      </c>
      <c r="BY53" s="313">
        <f>SUMIF(Recibos!$D$4:$D$7493,Cobranza!$B53,Recibos!AK$4:AK$7493)</f>
        <v>0</v>
      </c>
      <c r="BZ53" s="313">
        <f>SUMIF(Recibos!$D$4:$D$7493,Cobranza!$B53,Recibos!AL$4:AL$7493)</f>
        <v>0</v>
      </c>
      <c r="CA53" s="313">
        <f>SUMIF(Recibos!$D$4:$D$7493,Cobranza!$B53,Recibos!AM$4:AM$7493)</f>
        <v>0</v>
      </c>
      <c r="CB53" s="313">
        <f>SUMIF(Recibos!$D$4:$D$7493,Cobranza!$B53,Recibos!AN$4:AN$7493)</f>
        <v>0</v>
      </c>
      <c r="CC53" s="313">
        <f>SUMIF(Recibos!$D$4:$D$7493,Cobranza!$B53,Recibos!AO$4:AO$7493)</f>
        <v>0</v>
      </c>
      <c r="CD53" s="313">
        <f>SUMIF(Recibos!$D$4:$D$7493,Cobranza!$B53,Recibos!AP$4:AP$7493)</f>
        <v>0</v>
      </c>
      <c r="CE53" s="313">
        <f>SUMIF(Recibos!$D$4:$D$7493,Cobranza!$B53,Recibos!AQ$4:AQ$7493)</f>
        <v>0</v>
      </c>
      <c r="CF53" s="313">
        <f>SUMIF(Recibos!$D$4:$D$7493,Cobranza!$B53,Recibos!AR$4:AR$7493)</f>
        <v>0</v>
      </c>
      <c r="CG53" s="313">
        <f>SUMIF(Recibos!$D$4:$D$7493,Cobranza!$B53,Recibos!AS$4:AS$7493)</f>
        <v>0</v>
      </c>
      <c r="CH53" s="313">
        <f>SUMIF(Recibos!$D$4:$D$7493,Cobranza!$B53,Recibos!AT$4:AT$7493)</f>
        <v>0</v>
      </c>
      <c r="CI53" s="313">
        <f>SUMIF(Recibos!$D$4:$D$7493,Cobranza!$B53,Recibos!AU$4:AU$7493)</f>
        <v>0</v>
      </c>
      <c r="CJ53" s="313">
        <f>SUMIF(Recibos!$D$4:$D$7493,Cobranza!$B53,Recibos!AV$4:AV$7493)</f>
        <v>0</v>
      </c>
      <c r="CK53" s="314">
        <f t="shared" si="6"/>
        <v>0</v>
      </c>
    </row>
    <row r="54" spans="2:89" x14ac:dyDescent="0.2">
      <c r="B54" s="42" t="s">
        <v>1276</v>
      </c>
      <c r="C54" s="42" t="s">
        <v>1277</v>
      </c>
      <c r="D54" s="42" t="s">
        <v>1278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4">
        <f t="shared" si="2"/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4">
        <f t="shared" si="3"/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300</v>
      </c>
      <c r="AJ54" s="43">
        <v>300</v>
      </c>
      <c r="AK54" s="44">
        <f t="shared" si="4"/>
        <v>600</v>
      </c>
      <c r="AL54" s="43">
        <v>300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4">
        <f t="shared" si="7"/>
        <v>300</v>
      </c>
      <c r="AY54" s="311">
        <f>SUMIF(Recibos!$D$4:$D$7493,Cobranza!$B54,Recibos!K$4:K$7493)</f>
        <v>0</v>
      </c>
      <c r="AZ54" s="311">
        <f>SUMIF(Recibos!$D$4:$D$7493,Cobranza!$B54,Recibos!L$4:L$7493)</f>
        <v>0</v>
      </c>
      <c r="BA54" s="311">
        <f>SUMIF(Recibos!$D$4:$D$7493,Cobranza!$B54,Recibos!M$4:M$7493)</f>
        <v>0</v>
      </c>
      <c r="BB54" s="311">
        <f>SUMIF(Recibos!$D$4:$D$7493,Cobranza!$B54,Recibos!N$4:N$7493)</f>
        <v>0</v>
      </c>
      <c r="BC54" s="311">
        <f>SUMIF(Recibos!$D$4:$D$7493,Cobranza!$B54,Recibos!O$4:O$7493)</f>
        <v>0</v>
      </c>
      <c r="BD54" s="311">
        <f>SUMIF(Recibos!$D$4:$D$7493,Cobranza!$B54,Recibos!P$4:P$7493)</f>
        <v>0</v>
      </c>
      <c r="BE54" s="311">
        <f>SUMIF(Recibos!$D$4:$D$7493,Cobranza!$B54,Recibos!Q$4:Q$7493)</f>
        <v>0</v>
      </c>
      <c r="BF54" s="311">
        <f>SUMIF(Recibos!$D$4:$D$7493,Cobranza!$B54,Recibos!R$4:R$7493)</f>
        <v>0</v>
      </c>
      <c r="BG54" s="311">
        <f>SUMIF(Recibos!$D$4:$D$7493,Cobranza!$B54,Recibos!S$4:S$7493)</f>
        <v>0</v>
      </c>
      <c r="BH54" s="311">
        <f>SUMIF(Recibos!$D$4:$D$7493,Cobranza!$B54,Recibos!T$4:T$7493)</f>
        <v>0</v>
      </c>
      <c r="BI54" s="311">
        <f>SUMIF(Recibos!$D$4:$D$7493,Cobranza!$B54,Recibos!U$4:U$7493)</f>
        <v>0</v>
      </c>
      <c r="BJ54" s="311">
        <f>SUMIF(Recibos!$D$4:$D$7493,Cobranza!$B54,Recibos!V$4:V$7493)</f>
        <v>0</v>
      </c>
      <c r="BK54" s="312">
        <f t="shared" si="8"/>
        <v>0</v>
      </c>
      <c r="BL54" s="311">
        <f>SUMIF(Recibos!$D$4:$D$7493,Cobranza!$B54,Recibos!X$4:X$7493)</f>
        <v>0</v>
      </c>
      <c r="BM54" s="311">
        <f>SUMIF(Recibos!$D$4:$D$7493,Cobranza!$B54,Recibos!Y$4:Y$7493)</f>
        <v>200</v>
      </c>
      <c r="BN54" s="311">
        <f>SUMIF(Recibos!$D$4:$D$7493,Cobranza!$B54,Recibos!Z$4:Z$7493)</f>
        <v>200</v>
      </c>
      <c r="BO54" s="311">
        <f>SUMIF(Recibos!$D$4:$D$7493,Cobranza!$B54,Recibos!AA$4:AA$7493)</f>
        <v>200</v>
      </c>
      <c r="BP54" s="311">
        <f>SUMIF(Recibos!$D$4:$D$7493,Cobranza!$B54,Recibos!AB$4:AB$7493)</f>
        <v>200</v>
      </c>
      <c r="BQ54" s="311">
        <f>SUMIF(Recibos!$D$4:$D$7493,Cobranza!$B54,Recibos!AC$4:AC$7493)</f>
        <v>0</v>
      </c>
      <c r="BR54" s="311">
        <f>SUMIF(Recibos!$D$4:$D$7493,Cobranza!$B54,Recibos!AD$4:AD$7493)</f>
        <v>0</v>
      </c>
      <c r="BS54" s="311">
        <f>SUMIF(Recibos!$D$4:$D$7493,Cobranza!$B54,Recibos!AE$4:AE$7493)</f>
        <v>0</v>
      </c>
      <c r="BT54" s="311">
        <f>SUMIF(Recibos!$D$4:$D$7493,Cobranza!$B54,Recibos!AF$4:AF$7493)</f>
        <v>200</v>
      </c>
      <c r="BU54" s="311">
        <f>SUMIF(Recibos!$D$4:$D$7493,Cobranza!$B54,Recibos!AG$4:AG$7493)</f>
        <v>200</v>
      </c>
      <c r="BV54" s="311">
        <f>SUMIF(Recibos!$D$4:$D$7493,Cobranza!$B54,Recibos!AH$4:AH$7493)</f>
        <v>0</v>
      </c>
      <c r="BW54" s="311">
        <f>SUMIF(Recibos!$D$4:$D$7493,Cobranza!$B54,Recibos!AI$4:AI$7493)</f>
        <v>200</v>
      </c>
      <c r="BX54" s="312">
        <f t="shared" si="9"/>
        <v>1400</v>
      </c>
      <c r="BY54" s="311">
        <f>SUMIF(Recibos!$D$4:$D$7493,Cobranza!$B54,Recibos!AK$4:AK$7493)</f>
        <v>200</v>
      </c>
      <c r="BZ54" s="311">
        <f>SUMIF(Recibos!$D$4:$D$7493,Cobranza!$B54,Recibos!AL$4:AL$7493)</f>
        <v>200</v>
      </c>
      <c r="CA54" s="311">
        <f>SUMIF(Recibos!$D$4:$D$7493,Cobranza!$B54,Recibos!AM$4:AM$7493)</f>
        <v>200</v>
      </c>
      <c r="CB54" s="311">
        <f>SUMIF(Recibos!$D$4:$D$7493,Cobranza!$B54,Recibos!AN$4:AN$7493)</f>
        <v>200</v>
      </c>
      <c r="CC54" s="311">
        <f>SUMIF(Recibos!$D$4:$D$7493,Cobranza!$B54,Recibos!AO$4:AO$7493)</f>
        <v>0</v>
      </c>
      <c r="CD54" s="311">
        <f>SUMIF(Recibos!$D$4:$D$7493,Cobranza!$B54,Recibos!AP$4:AP$7493)</f>
        <v>0</v>
      </c>
      <c r="CE54" s="311">
        <f>SUMIF(Recibos!$D$4:$D$7493,Cobranza!$B54,Recibos!AQ$4:AQ$7493)</f>
        <v>200</v>
      </c>
      <c r="CF54" s="311">
        <f>SUMIF(Recibos!$D$4:$D$7493,Cobranza!$B54,Recibos!AR$4:AR$7493)</f>
        <v>200</v>
      </c>
      <c r="CG54" s="311">
        <f>SUMIF(Recibos!$D$4:$D$7493,Cobranza!$B54,Recibos!AS$4:AS$7493)</f>
        <v>200</v>
      </c>
      <c r="CH54" s="311">
        <f>SUMIF(Recibos!$D$4:$D$7493,Cobranza!$B54,Recibos!AT$4:AT$7493)</f>
        <v>0</v>
      </c>
      <c r="CI54" s="311">
        <f>SUMIF(Recibos!$D$4:$D$7493,Cobranza!$B54,Recibos!AU$4:AU$7493)</f>
        <v>0</v>
      </c>
      <c r="CJ54" s="311">
        <f>SUMIF(Recibos!$D$4:$D$7493,Cobranza!$B54,Recibos!AV$4:AV$7493)</f>
        <v>0</v>
      </c>
      <c r="CK54" s="312">
        <f t="shared" si="6"/>
        <v>1400</v>
      </c>
    </row>
    <row r="55" spans="2:89" x14ac:dyDescent="0.2">
      <c r="B55" s="45" t="s">
        <v>1279</v>
      </c>
      <c r="C55" s="45" t="s">
        <v>1280</v>
      </c>
      <c r="D55" s="45" t="s">
        <v>222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7">
        <f t="shared" si="2"/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7">
        <f t="shared" si="3"/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7">
        <f t="shared" si="4"/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6">
        <v>0</v>
      </c>
      <c r="AX55" s="47">
        <f t="shared" si="7"/>
        <v>0</v>
      </c>
      <c r="AY55" s="313">
        <f>SUMIF(Recibos!$D$4:$D$7493,Cobranza!$B55,Recibos!K$4:K$7493)</f>
        <v>0</v>
      </c>
      <c r="AZ55" s="313">
        <f>SUMIF(Recibos!$D$4:$D$7493,Cobranza!$B55,Recibos!L$4:L$7493)</f>
        <v>0</v>
      </c>
      <c r="BA55" s="313">
        <f>SUMIF(Recibos!$D$4:$D$7493,Cobranza!$B55,Recibos!M$4:M$7493)</f>
        <v>0</v>
      </c>
      <c r="BB55" s="313">
        <f>SUMIF(Recibos!$D$4:$D$7493,Cobranza!$B55,Recibos!N$4:N$7493)</f>
        <v>0</v>
      </c>
      <c r="BC55" s="313">
        <f>SUMIF(Recibos!$D$4:$D$7493,Cobranza!$B55,Recibos!O$4:O$7493)</f>
        <v>0</v>
      </c>
      <c r="BD55" s="313">
        <f>SUMIF(Recibos!$D$4:$D$7493,Cobranza!$B55,Recibos!P$4:P$7493)</f>
        <v>0</v>
      </c>
      <c r="BE55" s="313">
        <f>SUMIF(Recibos!$D$4:$D$7493,Cobranza!$B55,Recibos!Q$4:Q$7493)</f>
        <v>0</v>
      </c>
      <c r="BF55" s="313">
        <f>SUMIF(Recibos!$D$4:$D$7493,Cobranza!$B55,Recibos!R$4:R$7493)</f>
        <v>0</v>
      </c>
      <c r="BG55" s="313">
        <f>SUMIF(Recibos!$D$4:$D$7493,Cobranza!$B55,Recibos!S$4:S$7493)</f>
        <v>0</v>
      </c>
      <c r="BH55" s="313">
        <f>SUMIF(Recibos!$D$4:$D$7493,Cobranza!$B55,Recibos!T$4:T$7493)</f>
        <v>0</v>
      </c>
      <c r="BI55" s="313">
        <f>SUMIF(Recibos!$D$4:$D$7493,Cobranza!$B55,Recibos!U$4:U$7493)</f>
        <v>0</v>
      </c>
      <c r="BJ55" s="313">
        <f>SUMIF(Recibos!$D$4:$D$7493,Cobranza!$B55,Recibos!V$4:V$7493)</f>
        <v>0</v>
      </c>
      <c r="BK55" s="314">
        <f t="shared" si="8"/>
        <v>0</v>
      </c>
      <c r="BL55" s="313">
        <f>SUMIF(Recibos!$D$4:$D$7493,Cobranza!$B55,Recibos!X$4:X$7493)</f>
        <v>0</v>
      </c>
      <c r="BM55" s="313">
        <f>SUMIF(Recibos!$D$4:$D$7493,Cobranza!$B55,Recibos!Y$4:Y$7493)</f>
        <v>0</v>
      </c>
      <c r="BN55" s="313">
        <f>SUMIF(Recibos!$D$4:$D$7493,Cobranza!$B55,Recibos!Z$4:Z$7493)</f>
        <v>0</v>
      </c>
      <c r="BO55" s="313">
        <f>SUMIF(Recibos!$D$4:$D$7493,Cobranza!$B55,Recibos!AA$4:AA$7493)</f>
        <v>0</v>
      </c>
      <c r="BP55" s="313">
        <f>SUMIF(Recibos!$D$4:$D$7493,Cobranza!$B55,Recibos!AB$4:AB$7493)</f>
        <v>0</v>
      </c>
      <c r="BQ55" s="313">
        <f>SUMIF(Recibos!$D$4:$D$7493,Cobranza!$B55,Recibos!AC$4:AC$7493)</f>
        <v>0</v>
      </c>
      <c r="BR55" s="313">
        <f>SUMIF(Recibos!$D$4:$D$7493,Cobranza!$B55,Recibos!AD$4:AD$7493)</f>
        <v>0</v>
      </c>
      <c r="BS55" s="313">
        <f>SUMIF(Recibos!$D$4:$D$7493,Cobranza!$B55,Recibos!AE$4:AE$7493)</f>
        <v>0</v>
      </c>
      <c r="BT55" s="313">
        <f>SUMIF(Recibos!$D$4:$D$7493,Cobranza!$B55,Recibos!AF$4:AF$7493)</f>
        <v>0</v>
      </c>
      <c r="BU55" s="313">
        <f>SUMIF(Recibos!$D$4:$D$7493,Cobranza!$B55,Recibos!AG$4:AG$7493)</f>
        <v>0</v>
      </c>
      <c r="BV55" s="313">
        <f>SUMIF(Recibos!$D$4:$D$7493,Cobranza!$B55,Recibos!AH$4:AH$7493)</f>
        <v>0</v>
      </c>
      <c r="BW55" s="313">
        <f>SUMIF(Recibos!$D$4:$D$7493,Cobranza!$B55,Recibos!AI$4:AI$7493)</f>
        <v>0</v>
      </c>
      <c r="BX55" s="314">
        <f t="shared" si="9"/>
        <v>0</v>
      </c>
      <c r="BY55" s="313">
        <f>SUMIF(Recibos!$D$4:$D$7493,Cobranza!$B55,Recibos!AK$4:AK$7493)</f>
        <v>0</v>
      </c>
      <c r="BZ55" s="313">
        <f>SUMIF(Recibos!$D$4:$D$7493,Cobranza!$B55,Recibos!AL$4:AL$7493)</f>
        <v>0</v>
      </c>
      <c r="CA55" s="313">
        <f>SUMIF(Recibos!$D$4:$D$7493,Cobranza!$B55,Recibos!AM$4:AM$7493)</f>
        <v>0</v>
      </c>
      <c r="CB55" s="313">
        <f>SUMIF(Recibos!$D$4:$D$7493,Cobranza!$B55,Recibos!AN$4:AN$7493)</f>
        <v>0</v>
      </c>
      <c r="CC55" s="313">
        <f>SUMIF(Recibos!$D$4:$D$7493,Cobranza!$B55,Recibos!AO$4:AO$7493)</f>
        <v>0</v>
      </c>
      <c r="CD55" s="313">
        <f>SUMIF(Recibos!$D$4:$D$7493,Cobranza!$B55,Recibos!AP$4:AP$7493)</f>
        <v>0</v>
      </c>
      <c r="CE55" s="313">
        <f>SUMIF(Recibos!$D$4:$D$7493,Cobranza!$B55,Recibos!AQ$4:AQ$7493)</f>
        <v>0</v>
      </c>
      <c r="CF55" s="313">
        <f>SUMIF(Recibos!$D$4:$D$7493,Cobranza!$B55,Recibos!AR$4:AR$7493)</f>
        <v>0</v>
      </c>
      <c r="CG55" s="313">
        <f>SUMIF(Recibos!$D$4:$D$7493,Cobranza!$B55,Recibos!AS$4:AS$7493)</f>
        <v>0</v>
      </c>
      <c r="CH55" s="313">
        <f>SUMIF(Recibos!$D$4:$D$7493,Cobranza!$B55,Recibos!AT$4:AT$7493)</f>
        <v>0</v>
      </c>
      <c r="CI55" s="313">
        <f>SUMIF(Recibos!$D$4:$D$7493,Cobranza!$B55,Recibos!AU$4:AU$7493)</f>
        <v>0</v>
      </c>
      <c r="CJ55" s="313">
        <f>SUMIF(Recibos!$D$4:$D$7493,Cobranza!$B55,Recibos!AV$4:AV$7493)</f>
        <v>0</v>
      </c>
      <c r="CK55" s="314">
        <f t="shared" si="6"/>
        <v>0</v>
      </c>
    </row>
    <row r="56" spans="2:89" x14ac:dyDescent="0.2">
      <c r="B56" s="42" t="s">
        <v>769</v>
      </c>
      <c r="C56" s="42" t="s">
        <v>770</v>
      </c>
      <c r="D56" s="42" t="s">
        <v>771</v>
      </c>
      <c r="E56" s="43">
        <v>0</v>
      </c>
      <c r="F56" s="43">
        <v>0</v>
      </c>
      <c r="G56" s="43">
        <v>0</v>
      </c>
      <c r="H56" s="43">
        <v>300</v>
      </c>
      <c r="I56" s="43">
        <v>300</v>
      </c>
      <c r="J56" s="43">
        <v>300</v>
      </c>
      <c r="K56" s="44">
        <f t="shared" si="2"/>
        <v>900</v>
      </c>
      <c r="L56" s="43">
        <v>300</v>
      </c>
      <c r="M56" s="43">
        <v>300</v>
      </c>
      <c r="N56" s="43">
        <v>300</v>
      </c>
      <c r="O56" s="43">
        <v>300</v>
      </c>
      <c r="P56" s="43">
        <v>300</v>
      </c>
      <c r="Q56" s="43">
        <v>300</v>
      </c>
      <c r="R56" s="43">
        <v>300</v>
      </c>
      <c r="S56" s="43">
        <v>300</v>
      </c>
      <c r="T56" s="43">
        <v>300</v>
      </c>
      <c r="U56" s="43">
        <v>300</v>
      </c>
      <c r="V56" s="43">
        <v>400</v>
      </c>
      <c r="W56" s="43">
        <v>400</v>
      </c>
      <c r="X56" s="44">
        <f t="shared" si="3"/>
        <v>3800</v>
      </c>
      <c r="Y56" s="43">
        <v>400</v>
      </c>
      <c r="Z56" s="43">
        <v>400</v>
      </c>
      <c r="AA56" s="43">
        <v>400</v>
      </c>
      <c r="AB56" s="43">
        <v>400</v>
      </c>
      <c r="AC56" s="43">
        <v>400</v>
      </c>
      <c r="AD56" s="43">
        <v>400</v>
      </c>
      <c r="AE56" s="43">
        <v>400</v>
      </c>
      <c r="AF56" s="43">
        <v>400</v>
      </c>
      <c r="AG56" s="43">
        <v>400</v>
      </c>
      <c r="AH56" s="43">
        <v>400</v>
      </c>
      <c r="AI56" s="43">
        <v>400</v>
      </c>
      <c r="AJ56" s="43">
        <v>400</v>
      </c>
      <c r="AK56" s="44">
        <f t="shared" si="4"/>
        <v>4800</v>
      </c>
      <c r="AL56" s="43">
        <v>400</v>
      </c>
      <c r="AM56" s="43">
        <v>400</v>
      </c>
      <c r="AN56" s="43">
        <v>400</v>
      </c>
      <c r="AO56" s="43">
        <v>400</v>
      </c>
      <c r="AP56" s="43">
        <v>400</v>
      </c>
      <c r="AQ56" s="43">
        <v>400</v>
      </c>
      <c r="AR56" s="43">
        <v>400</v>
      </c>
      <c r="AS56" s="43">
        <v>400</v>
      </c>
      <c r="AT56" s="43">
        <v>400</v>
      </c>
      <c r="AU56" s="43">
        <v>400</v>
      </c>
      <c r="AV56" s="43">
        <v>400</v>
      </c>
      <c r="AW56" s="43">
        <v>400</v>
      </c>
      <c r="AX56" s="44">
        <f t="shared" si="7"/>
        <v>4800</v>
      </c>
      <c r="AY56" s="311">
        <f>SUMIF(Recibos!$D$4:$D$7493,Cobranza!$B56,Recibos!K$4:K$7493)</f>
        <v>400</v>
      </c>
      <c r="AZ56" s="311">
        <f>SUMIF(Recibos!$D$4:$D$7493,Cobranza!$B56,Recibos!L$4:L$7493)</f>
        <v>400</v>
      </c>
      <c r="BA56" s="311">
        <f>SUMIF(Recibos!$D$4:$D$7493,Cobranza!$B56,Recibos!M$4:M$7493)</f>
        <v>400</v>
      </c>
      <c r="BB56" s="311">
        <f>SUMIF(Recibos!$D$4:$D$7493,Cobranza!$B56,Recibos!N$4:N$7493)</f>
        <v>400</v>
      </c>
      <c r="BC56" s="311">
        <f>SUMIF(Recibos!$D$4:$D$7493,Cobranza!$B56,Recibos!O$4:O$7493)</f>
        <v>400</v>
      </c>
      <c r="BD56" s="311">
        <f>SUMIF(Recibos!$D$4:$D$7493,Cobranza!$B56,Recibos!P$4:P$7493)</f>
        <v>400</v>
      </c>
      <c r="BE56" s="311">
        <f>SUMIF(Recibos!$D$4:$D$7493,Cobranza!$B56,Recibos!Q$4:Q$7493)</f>
        <v>400</v>
      </c>
      <c r="BF56" s="311">
        <f>SUMIF(Recibos!$D$4:$D$7493,Cobranza!$B56,Recibos!R$4:R$7493)</f>
        <v>400</v>
      </c>
      <c r="BG56" s="311">
        <f>SUMIF(Recibos!$D$4:$D$7493,Cobranza!$B56,Recibos!S$4:S$7493)</f>
        <v>400</v>
      </c>
      <c r="BH56" s="311">
        <f>SUMIF(Recibos!$D$4:$D$7493,Cobranza!$B56,Recibos!T$4:T$7493)</f>
        <v>400</v>
      </c>
      <c r="BI56" s="311">
        <f>SUMIF(Recibos!$D$4:$D$7493,Cobranza!$B56,Recibos!U$4:U$7493)</f>
        <v>400</v>
      </c>
      <c r="BJ56" s="311">
        <f>SUMIF(Recibos!$D$4:$D$7493,Cobranza!$B56,Recibos!V$4:V$7493)</f>
        <v>400</v>
      </c>
      <c r="BK56" s="312">
        <f t="shared" si="8"/>
        <v>4800</v>
      </c>
      <c r="BL56" s="311">
        <f>SUMIF(Recibos!$D$4:$D$7493,Cobranza!$B56,Recibos!X$4:X$7493)</f>
        <v>400</v>
      </c>
      <c r="BM56" s="311">
        <f>SUMIF(Recibos!$D$4:$D$7493,Cobranza!$B56,Recibos!Y$4:Y$7493)</f>
        <v>400</v>
      </c>
      <c r="BN56" s="311">
        <f>SUMIF(Recibos!$D$4:$D$7493,Cobranza!$B56,Recibos!Z$4:Z$7493)</f>
        <v>400</v>
      </c>
      <c r="BO56" s="311">
        <f>SUMIF(Recibos!$D$4:$D$7493,Cobranza!$B56,Recibos!AA$4:AA$7493)</f>
        <v>400</v>
      </c>
      <c r="BP56" s="311">
        <f>SUMIF(Recibos!$D$4:$D$7493,Cobranza!$B56,Recibos!AB$4:AB$7493)</f>
        <v>400</v>
      </c>
      <c r="BQ56" s="311">
        <f>SUMIF(Recibos!$D$4:$D$7493,Cobranza!$B56,Recibos!AC$4:AC$7493)</f>
        <v>400</v>
      </c>
      <c r="BR56" s="311">
        <f>SUMIF(Recibos!$D$4:$D$7493,Cobranza!$B56,Recibos!AD$4:AD$7493)</f>
        <v>400</v>
      </c>
      <c r="BS56" s="311">
        <f>SUMIF(Recibos!$D$4:$D$7493,Cobranza!$B56,Recibos!AE$4:AE$7493)</f>
        <v>400</v>
      </c>
      <c r="BT56" s="311">
        <f>SUMIF(Recibos!$D$4:$D$7493,Cobranza!$B56,Recibos!AF$4:AF$7493)</f>
        <v>400</v>
      </c>
      <c r="BU56" s="311">
        <f>SUMIF(Recibos!$D$4:$D$7493,Cobranza!$B56,Recibos!AG$4:AG$7493)</f>
        <v>400</v>
      </c>
      <c r="BV56" s="311">
        <f>SUMIF(Recibos!$D$4:$D$7493,Cobranza!$B56,Recibos!AH$4:AH$7493)</f>
        <v>400</v>
      </c>
      <c r="BW56" s="311">
        <f>SUMIF(Recibos!$D$4:$D$7493,Cobranza!$B56,Recibos!AI$4:AI$7493)</f>
        <v>400</v>
      </c>
      <c r="BX56" s="312">
        <f t="shared" si="9"/>
        <v>4800</v>
      </c>
      <c r="BY56" s="311">
        <f>SUMIF(Recibos!$D$4:$D$7493,Cobranza!$B56,Recibos!AK$4:AK$7493)</f>
        <v>400</v>
      </c>
      <c r="BZ56" s="311">
        <f>SUMIF(Recibos!$D$4:$D$7493,Cobranza!$B56,Recibos!AL$4:AL$7493)</f>
        <v>400</v>
      </c>
      <c r="CA56" s="311">
        <f>SUMIF(Recibos!$D$4:$D$7493,Cobranza!$B56,Recibos!AM$4:AM$7493)</f>
        <v>400</v>
      </c>
      <c r="CB56" s="311">
        <f>SUMIF(Recibos!$D$4:$D$7493,Cobranza!$B56,Recibos!AN$4:AN$7493)</f>
        <v>400</v>
      </c>
      <c r="CC56" s="311">
        <f>SUMIF(Recibos!$D$4:$D$7493,Cobranza!$B56,Recibos!AO$4:AO$7493)</f>
        <v>400</v>
      </c>
      <c r="CD56" s="311">
        <f>SUMIF(Recibos!$D$4:$D$7493,Cobranza!$B56,Recibos!AP$4:AP$7493)</f>
        <v>400</v>
      </c>
      <c r="CE56" s="311">
        <f>SUMIF(Recibos!$D$4:$D$7493,Cobranza!$B56,Recibos!AQ$4:AQ$7493)</f>
        <v>400</v>
      </c>
      <c r="CF56" s="311">
        <f>SUMIF(Recibos!$D$4:$D$7493,Cobranza!$B56,Recibos!AR$4:AR$7493)</f>
        <v>400</v>
      </c>
      <c r="CG56" s="311">
        <f>SUMIF(Recibos!$D$4:$D$7493,Cobranza!$B56,Recibos!AS$4:AS$7493)</f>
        <v>400</v>
      </c>
      <c r="CH56" s="311">
        <f>SUMIF(Recibos!$D$4:$D$7493,Cobranza!$B56,Recibos!AT$4:AT$7493)</f>
        <v>0</v>
      </c>
      <c r="CI56" s="311">
        <f>SUMIF(Recibos!$D$4:$D$7493,Cobranza!$B56,Recibos!AU$4:AU$7493)</f>
        <v>0</v>
      </c>
      <c r="CJ56" s="311">
        <f>SUMIF(Recibos!$D$4:$D$7493,Cobranza!$B56,Recibos!AV$4:AV$7493)</f>
        <v>0</v>
      </c>
      <c r="CK56" s="312">
        <f t="shared" si="6"/>
        <v>3600</v>
      </c>
    </row>
    <row r="57" spans="2:89" x14ac:dyDescent="0.2">
      <c r="B57" s="45" t="s">
        <v>1076</v>
      </c>
      <c r="C57" s="45" t="s">
        <v>1077</v>
      </c>
      <c r="D57" s="45" t="s">
        <v>1078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7">
        <f t="shared" si="2"/>
        <v>0</v>
      </c>
      <c r="L57" s="46">
        <v>300</v>
      </c>
      <c r="M57" s="46">
        <v>300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400</v>
      </c>
      <c r="V57" s="46">
        <v>400</v>
      </c>
      <c r="W57" s="46">
        <v>0</v>
      </c>
      <c r="X57" s="47">
        <f t="shared" si="3"/>
        <v>1400</v>
      </c>
      <c r="Y57" s="46">
        <v>400</v>
      </c>
      <c r="Z57" s="46">
        <v>400</v>
      </c>
      <c r="AA57" s="46">
        <v>400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7">
        <f t="shared" si="4"/>
        <v>1200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  <c r="AR57" s="46">
        <v>0</v>
      </c>
      <c r="AS57" s="46">
        <v>0</v>
      </c>
      <c r="AT57" s="46">
        <v>0</v>
      </c>
      <c r="AU57" s="46">
        <v>0</v>
      </c>
      <c r="AV57" s="46">
        <v>0</v>
      </c>
      <c r="AW57" s="46">
        <v>0</v>
      </c>
      <c r="AX57" s="47">
        <f t="shared" si="7"/>
        <v>0</v>
      </c>
      <c r="AY57" s="313">
        <f>SUMIF(Recibos!$D$4:$D$7493,Cobranza!$B57,Recibos!K$4:K$7493)</f>
        <v>0</v>
      </c>
      <c r="AZ57" s="313">
        <f>SUMIF(Recibos!$D$4:$D$7493,Cobranza!$B57,Recibos!L$4:L$7493)</f>
        <v>0</v>
      </c>
      <c r="BA57" s="313">
        <f>SUMIF(Recibos!$D$4:$D$7493,Cobranza!$B57,Recibos!M$4:M$7493)</f>
        <v>0</v>
      </c>
      <c r="BB57" s="313">
        <f>SUMIF(Recibos!$D$4:$D$7493,Cobranza!$B57,Recibos!N$4:N$7493)</f>
        <v>0</v>
      </c>
      <c r="BC57" s="313">
        <f>SUMIF(Recibos!$D$4:$D$7493,Cobranza!$B57,Recibos!O$4:O$7493)</f>
        <v>0</v>
      </c>
      <c r="BD57" s="313">
        <f>SUMIF(Recibos!$D$4:$D$7493,Cobranza!$B57,Recibos!P$4:P$7493)</f>
        <v>0</v>
      </c>
      <c r="BE57" s="313">
        <f>SUMIF(Recibos!$D$4:$D$7493,Cobranza!$B57,Recibos!Q$4:Q$7493)</f>
        <v>400</v>
      </c>
      <c r="BF57" s="313">
        <f>SUMIF(Recibos!$D$4:$D$7493,Cobranza!$B57,Recibos!R$4:R$7493)</f>
        <v>0</v>
      </c>
      <c r="BG57" s="313">
        <f>SUMIF(Recibos!$D$4:$D$7493,Cobranza!$B57,Recibos!S$4:S$7493)</f>
        <v>0</v>
      </c>
      <c r="BH57" s="313">
        <f>SUMIF(Recibos!$D$4:$D$7493,Cobranza!$B57,Recibos!T$4:T$7493)</f>
        <v>0</v>
      </c>
      <c r="BI57" s="313">
        <f>SUMIF(Recibos!$D$4:$D$7493,Cobranza!$B57,Recibos!U$4:U$7493)</f>
        <v>0</v>
      </c>
      <c r="BJ57" s="313">
        <f>SUMIF(Recibos!$D$4:$D$7493,Cobranza!$B57,Recibos!V$4:V$7493)</f>
        <v>0</v>
      </c>
      <c r="BK57" s="314">
        <f t="shared" si="8"/>
        <v>400</v>
      </c>
      <c r="BL57" s="313">
        <f>SUMIF(Recibos!$D$4:$D$7493,Cobranza!$B57,Recibos!X$4:X$7493)</f>
        <v>0</v>
      </c>
      <c r="BM57" s="313">
        <f>SUMIF(Recibos!$D$4:$D$7493,Cobranza!$B57,Recibos!Y$4:Y$7493)</f>
        <v>0</v>
      </c>
      <c r="BN57" s="313">
        <f>SUMIF(Recibos!$D$4:$D$7493,Cobranza!$B57,Recibos!Z$4:Z$7493)</f>
        <v>0</v>
      </c>
      <c r="BO57" s="313">
        <f>SUMIF(Recibos!$D$4:$D$7493,Cobranza!$B57,Recibos!AA$4:AA$7493)</f>
        <v>0</v>
      </c>
      <c r="BP57" s="313">
        <f>SUMIF(Recibos!$D$4:$D$7493,Cobranza!$B57,Recibos!AB$4:AB$7493)</f>
        <v>0</v>
      </c>
      <c r="BQ57" s="313">
        <f>SUMIF(Recibos!$D$4:$D$7493,Cobranza!$B57,Recibos!AC$4:AC$7493)</f>
        <v>0</v>
      </c>
      <c r="BR57" s="313">
        <f>SUMIF(Recibos!$D$4:$D$7493,Cobranza!$B57,Recibos!AD$4:AD$7493)</f>
        <v>0</v>
      </c>
      <c r="BS57" s="313">
        <f>SUMIF(Recibos!$D$4:$D$7493,Cobranza!$B57,Recibos!AE$4:AE$7493)</f>
        <v>0</v>
      </c>
      <c r="BT57" s="313">
        <f>SUMIF(Recibos!$D$4:$D$7493,Cobranza!$B57,Recibos!AF$4:AF$7493)</f>
        <v>0</v>
      </c>
      <c r="BU57" s="313">
        <f>SUMIF(Recibos!$D$4:$D$7493,Cobranza!$B57,Recibos!AG$4:AG$7493)</f>
        <v>0</v>
      </c>
      <c r="BV57" s="313">
        <f>SUMIF(Recibos!$D$4:$D$7493,Cobranza!$B57,Recibos!AH$4:AH$7493)</f>
        <v>0</v>
      </c>
      <c r="BW57" s="313">
        <f>SUMIF(Recibos!$D$4:$D$7493,Cobranza!$B57,Recibos!AI$4:AI$7493)</f>
        <v>0</v>
      </c>
      <c r="BX57" s="314">
        <f t="shared" si="9"/>
        <v>0</v>
      </c>
      <c r="BY57" s="313">
        <f>SUMIF(Recibos!$D$4:$D$7493,Cobranza!$B57,Recibos!AK$4:AK$7493)</f>
        <v>0</v>
      </c>
      <c r="BZ57" s="313">
        <f>SUMIF(Recibos!$D$4:$D$7493,Cobranza!$B57,Recibos!AL$4:AL$7493)</f>
        <v>0</v>
      </c>
      <c r="CA57" s="313">
        <f>SUMIF(Recibos!$D$4:$D$7493,Cobranza!$B57,Recibos!AM$4:AM$7493)</f>
        <v>0</v>
      </c>
      <c r="CB57" s="313">
        <f>SUMIF(Recibos!$D$4:$D$7493,Cobranza!$B57,Recibos!AN$4:AN$7493)</f>
        <v>0</v>
      </c>
      <c r="CC57" s="313">
        <f>SUMIF(Recibos!$D$4:$D$7493,Cobranza!$B57,Recibos!AO$4:AO$7493)</f>
        <v>400</v>
      </c>
      <c r="CD57" s="313">
        <f>SUMIF(Recibos!$D$4:$D$7493,Cobranza!$B57,Recibos!AP$4:AP$7493)</f>
        <v>400</v>
      </c>
      <c r="CE57" s="313">
        <f>SUMIF(Recibos!$D$4:$D$7493,Cobranza!$B57,Recibos!AQ$4:AQ$7493)</f>
        <v>400</v>
      </c>
      <c r="CF57" s="313">
        <f>SUMIF(Recibos!$D$4:$D$7493,Cobranza!$B57,Recibos!AR$4:AR$7493)</f>
        <v>400</v>
      </c>
      <c r="CG57" s="313">
        <f>SUMIF(Recibos!$D$4:$D$7493,Cobranza!$B57,Recibos!AS$4:AS$7493)</f>
        <v>0</v>
      </c>
      <c r="CH57" s="313">
        <f>SUMIF(Recibos!$D$4:$D$7493,Cobranza!$B57,Recibos!AT$4:AT$7493)</f>
        <v>0</v>
      </c>
      <c r="CI57" s="313">
        <f>SUMIF(Recibos!$D$4:$D$7493,Cobranza!$B57,Recibos!AU$4:AU$7493)</f>
        <v>0</v>
      </c>
      <c r="CJ57" s="313">
        <f>SUMIF(Recibos!$D$4:$D$7493,Cobranza!$B57,Recibos!AV$4:AV$7493)</f>
        <v>0</v>
      </c>
      <c r="CK57" s="314">
        <f t="shared" si="6"/>
        <v>1600</v>
      </c>
    </row>
    <row r="58" spans="2:89" x14ac:dyDescent="0.2">
      <c r="B58" s="42" t="s">
        <v>464</v>
      </c>
      <c r="C58" s="42" t="s">
        <v>465</v>
      </c>
      <c r="D58" s="42" t="s">
        <v>466</v>
      </c>
      <c r="E58" s="43">
        <v>0</v>
      </c>
      <c r="F58" s="43">
        <v>0</v>
      </c>
      <c r="G58" s="43">
        <v>0</v>
      </c>
      <c r="H58" s="43">
        <v>0</v>
      </c>
      <c r="I58" s="43">
        <v>300</v>
      </c>
      <c r="J58" s="43">
        <v>300</v>
      </c>
      <c r="K58" s="44">
        <f t="shared" si="2"/>
        <v>600</v>
      </c>
      <c r="L58" s="43">
        <v>300</v>
      </c>
      <c r="M58" s="43">
        <v>300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4">
        <f t="shared" si="3"/>
        <v>600</v>
      </c>
      <c r="Y58" s="43">
        <v>0</v>
      </c>
      <c r="Z58" s="43">
        <v>0</v>
      </c>
      <c r="AA58" s="43">
        <v>0</v>
      </c>
      <c r="AB58" s="43">
        <v>200</v>
      </c>
      <c r="AC58" s="43">
        <v>200</v>
      </c>
      <c r="AD58" s="43">
        <v>200</v>
      </c>
      <c r="AE58" s="43">
        <v>200</v>
      </c>
      <c r="AF58" s="43">
        <v>200</v>
      </c>
      <c r="AG58" s="43">
        <v>200</v>
      </c>
      <c r="AH58" s="43">
        <v>200</v>
      </c>
      <c r="AI58" s="43">
        <v>200</v>
      </c>
      <c r="AJ58" s="43">
        <v>200</v>
      </c>
      <c r="AK58" s="44">
        <f t="shared" si="4"/>
        <v>1800</v>
      </c>
      <c r="AL58" s="43">
        <v>200</v>
      </c>
      <c r="AM58" s="43">
        <v>200</v>
      </c>
      <c r="AN58" s="43">
        <v>200</v>
      </c>
      <c r="AO58" s="43">
        <v>200</v>
      </c>
      <c r="AP58" s="43">
        <v>200</v>
      </c>
      <c r="AQ58" s="43">
        <v>200</v>
      </c>
      <c r="AR58" s="43">
        <v>200</v>
      </c>
      <c r="AS58" s="43">
        <v>200</v>
      </c>
      <c r="AT58" s="43">
        <v>200</v>
      </c>
      <c r="AU58" s="43">
        <v>200</v>
      </c>
      <c r="AV58" s="43">
        <v>200</v>
      </c>
      <c r="AW58" s="43">
        <v>200</v>
      </c>
      <c r="AX58" s="44">
        <f t="shared" si="7"/>
        <v>2400</v>
      </c>
      <c r="AY58" s="311">
        <f>SUMIF(Recibos!$D$4:$D$7493,Cobranza!$B58,Recibos!K$4:K$7493)</f>
        <v>200</v>
      </c>
      <c r="AZ58" s="311">
        <f>SUMIF(Recibos!$D$4:$D$7493,Cobranza!$B58,Recibos!L$4:L$7493)</f>
        <v>200</v>
      </c>
      <c r="BA58" s="311">
        <f>SUMIF(Recibos!$D$4:$D$7493,Cobranza!$B58,Recibos!M$4:M$7493)</f>
        <v>200</v>
      </c>
      <c r="BB58" s="311">
        <f>SUMIF(Recibos!$D$4:$D$7493,Cobranza!$B58,Recibos!N$4:N$7493)</f>
        <v>200</v>
      </c>
      <c r="BC58" s="311">
        <f>SUMIF(Recibos!$D$4:$D$7493,Cobranza!$B58,Recibos!O$4:O$7493)</f>
        <v>200</v>
      </c>
      <c r="BD58" s="311">
        <f>SUMIF(Recibos!$D$4:$D$7493,Cobranza!$B58,Recibos!P$4:P$7493)</f>
        <v>200</v>
      </c>
      <c r="BE58" s="311">
        <f>SUMIF(Recibos!$D$4:$D$7493,Cobranza!$B58,Recibos!Q$4:Q$7493)</f>
        <v>200</v>
      </c>
      <c r="BF58" s="311">
        <f>SUMIF(Recibos!$D$4:$D$7493,Cobranza!$B58,Recibos!R$4:R$7493)</f>
        <v>200</v>
      </c>
      <c r="BG58" s="311">
        <f>SUMIF(Recibos!$D$4:$D$7493,Cobranza!$B58,Recibos!S$4:S$7493)</f>
        <v>200</v>
      </c>
      <c r="BH58" s="311">
        <f>SUMIF(Recibos!$D$4:$D$7493,Cobranza!$B58,Recibos!T$4:T$7493)</f>
        <v>200</v>
      </c>
      <c r="BI58" s="311">
        <f>SUMIF(Recibos!$D$4:$D$7493,Cobranza!$B58,Recibos!U$4:U$7493)</f>
        <v>200</v>
      </c>
      <c r="BJ58" s="311">
        <f>SUMIF(Recibos!$D$4:$D$7493,Cobranza!$B58,Recibos!V$4:V$7493)</f>
        <v>200</v>
      </c>
      <c r="BK58" s="312">
        <f t="shared" si="8"/>
        <v>2400</v>
      </c>
      <c r="BL58" s="311">
        <f>SUMIF(Recibos!$D$4:$D$7493,Cobranza!$B58,Recibos!X$4:X$7493)</f>
        <v>200</v>
      </c>
      <c r="BM58" s="311">
        <f>SUMIF(Recibos!$D$4:$D$7493,Cobranza!$B58,Recibos!Y$4:Y$7493)</f>
        <v>200</v>
      </c>
      <c r="BN58" s="311">
        <f>SUMIF(Recibos!$D$4:$D$7493,Cobranza!$B58,Recibos!Z$4:Z$7493)</f>
        <v>200</v>
      </c>
      <c r="BO58" s="311">
        <f>SUMIF(Recibos!$D$4:$D$7493,Cobranza!$B58,Recibos!AA$4:AA$7493)</f>
        <v>200</v>
      </c>
      <c r="BP58" s="311">
        <f>SUMIF(Recibos!$D$4:$D$7493,Cobranza!$B58,Recibos!AB$4:AB$7493)</f>
        <v>200</v>
      </c>
      <c r="BQ58" s="311">
        <f>SUMIF(Recibos!$D$4:$D$7493,Cobranza!$B58,Recibos!AC$4:AC$7493)</f>
        <v>200</v>
      </c>
      <c r="BR58" s="311">
        <f>SUMIF(Recibos!$D$4:$D$7493,Cobranza!$B58,Recibos!AD$4:AD$7493)</f>
        <v>200</v>
      </c>
      <c r="BS58" s="311">
        <f>SUMIF(Recibos!$D$4:$D$7493,Cobranza!$B58,Recibos!AE$4:AE$7493)</f>
        <v>200</v>
      </c>
      <c r="BT58" s="311">
        <f>SUMIF(Recibos!$D$4:$D$7493,Cobranza!$B58,Recibos!AF$4:AF$7493)</f>
        <v>200</v>
      </c>
      <c r="BU58" s="311">
        <f>SUMIF(Recibos!$D$4:$D$7493,Cobranza!$B58,Recibos!AG$4:AG$7493)</f>
        <v>200</v>
      </c>
      <c r="BV58" s="311">
        <f>SUMIF(Recibos!$D$4:$D$7493,Cobranza!$B58,Recibos!AH$4:AH$7493)</f>
        <v>200</v>
      </c>
      <c r="BW58" s="311">
        <f>SUMIF(Recibos!$D$4:$D$7493,Cobranza!$B58,Recibos!AI$4:AI$7493)</f>
        <v>200</v>
      </c>
      <c r="BX58" s="312">
        <f t="shared" si="9"/>
        <v>2400</v>
      </c>
      <c r="BY58" s="311">
        <f>SUMIF(Recibos!$D$4:$D$7493,Cobranza!$B58,Recibos!AK$4:AK$7493)</f>
        <v>200</v>
      </c>
      <c r="BZ58" s="311">
        <f>SUMIF(Recibos!$D$4:$D$7493,Cobranza!$B58,Recibos!AL$4:AL$7493)</f>
        <v>200</v>
      </c>
      <c r="CA58" s="311">
        <f>SUMIF(Recibos!$D$4:$D$7493,Cobranza!$B58,Recibos!AM$4:AM$7493)</f>
        <v>200</v>
      </c>
      <c r="CB58" s="311">
        <f>SUMIF(Recibos!$D$4:$D$7493,Cobranza!$B58,Recibos!AN$4:AN$7493)</f>
        <v>200</v>
      </c>
      <c r="CC58" s="311">
        <f>SUMIF(Recibos!$D$4:$D$7493,Cobranza!$B58,Recibos!AO$4:AO$7493)</f>
        <v>200</v>
      </c>
      <c r="CD58" s="311">
        <f>SUMIF(Recibos!$D$4:$D$7493,Cobranza!$B58,Recibos!AP$4:AP$7493)</f>
        <v>200</v>
      </c>
      <c r="CE58" s="311">
        <f>SUMIF(Recibos!$D$4:$D$7493,Cobranza!$B58,Recibos!AQ$4:AQ$7493)</f>
        <v>200</v>
      </c>
      <c r="CF58" s="311">
        <f>SUMIF(Recibos!$D$4:$D$7493,Cobranza!$B58,Recibos!AR$4:AR$7493)</f>
        <v>200</v>
      </c>
      <c r="CG58" s="311">
        <f>SUMIF(Recibos!$D$4:$D$7493,Cobranza!$B58,Recibos!AS$4:AS$7493)</f>
        <v>200</v>
      </c>
      <c r="CH58" s="311">
        <f>SUMIF(Recibos!$D$4:$D$7493,Cobranza!$B58,Recibos!AT$4:AT$7493)</f>
        <v>200</v>
      </c>
      <c r="CI58" s="311">
        <f>SUMIF(Recibos!$D$4:$D$7493,Cobranza!$B58,Recibos!AU$4:AU$7493)</f>
        <v>0</v>
      </c>
      <c r="CJ58" s="311">
        <f>SUMIF(Recibos!$D$4:$D$7493,Cobranza!$B58,Recibos!AV$4:AV$7493)</f>
        <v>0</v>
      </c>
      <c r="CK58" s="312">
        <f t="shared" si="6"/>
        <v>2000</v>
      </c>
    </row>
    <row r="59" spans="2:89" x14ac:dyDescent="0.2">
      <c r="B59" s="45" t="s">
        <v>825</v>
      </c>
      <c r="C59" s="45" t="s">
        <v>826</v>
      </c>
      <c r="D59" s="45" t="s">
        <v>827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7">
        <f t="shared" si="2"/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7">
        <f t="shared" si="3"/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400</v>
      </c>
      <c r="AJ59" s="46">
        <v>0</v>
      </c>
      <c r="AK59" s="47">
        <f t="shared" si="4"/>
        <v>400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7">
        <f t="shared" si="7"/>
        <v>0</v>
      </c>
      <c r="AY59" s="313">
        <f>SUMIF(Recibos!$D$4:$D$7493,Cobranza!$B59,Recibos!K$4:K$7493)</f>
        <v>0</v>
      </c>
      <c r="AZ59" s="313">
        <f>SUMIF(Recibos!$D$4:$D$7493,Cobranza!$B59,Recibos!L$4:L$7493)</f>
        <v>0</v>
      </c>
      <c r="BA59" s="313">
        <f>SUMIF(Recibos!$D$4:$D$7493,Cobranza!$B59,Recibos!M$4:M$7493)</f>
        <v>400</v>
      </c>
      <c r="BB59" s="313">
        <f>SUMIF(Recibos!$D$4:$D$7493,Cobranza!$B59,Recibos!N$4:N$7493)</f>
        <v>400</v>
      </c>
      <c r="BC59" s="313">
        <f>SUMIF(Recibos!$D$4:$D$7493,Cobranza!$B59,Recibos!O$4:O$7493)</f>
        <v>0</v>
      </c>
      <c r="BD59" s="313">
        <f>SUMIF(Recibos!$D$4:$D$7493,Cobranza!$B59,Recibos!P$4:P$7493)</f>
        <v>0</v>
      </c>
      <c r="BE59" s="313">
        <f>SUMIF(Recibos!$D$4:$D$7493,Cobranza!$B59,Recibos!Q$4:Q$7493)</f>
        <v>0</v>
      </c>
      <c r="BF59" s="313">
        <f>SUMIF(Recibos!$D$4:$D$7493,Cobranza!$B59,Recibos!R$4:R$7493)</f>
        <v>0</v>
      </c>
      <c r="BG59" s="313">
        <f>SUMIF(Recibos!$D$4:$D$7493,Cobranza!$B59,Recibos!S$4:S$7493)</f>
        <v>0</v>
      </c>
      <c r="BH59" s="313">
        <f>SUMIF(Recibos!$D$4:$D$7493,Cobranza!$B59,Recibos!T$4:T$7493)</f>
        <v>0</v>
      </c>
      <c r="BI59" s="313">
        <f>SUMIF(Recibos!$D$4:$D$7493,Cobranza!$B59,Recibos!U$4:U$7493)</f>
        <v>0</v>
      </c>
      <c r="BJ59" s="313">
        <f>SUMIF(Recibos!$D$4:$D$7493,Cobranza!$B59,Recibos!V$4:V$7493)</f>
        <v>0</v>
      </c>
      <c r="BK59" s="314">
        <f t="shared" si="8"/>
        <v>800</v>
      </c>
      <c r="BL59" s="313">
        <f>SUMIF(Recibos!$D$4:$D$7493,Cobranza!$B59,Recibos!X$4:X$7493)</f>
        <v>0</v>
      </c>
      <c r="BM59" s="313">
        <f>SUMIF(Recibos!$D$4:$D$7493,Cobranza!$B59,Recibos!Y$4:Y$7493)</f>
        <v>0</v>
      </c>
      <c r="BN59" s="313">
        <f>SUMIF(Recibos!$D$4:$D$7493,Cobranza!$B59,Recibos!Z$4:Z$7493)</f>
        <v>0</v>
      </c>
      <c r="BO59" s="313">
        <f>SUMIF(Recibos!$D$4:$D$7493,Cobranza!$B59,Recibos!AA$4:AA$7493)</f>
        <v>0</v>
      </c>
      <c r="BP59" s="313">
        <f>SUMIF(Recibos!$D$4:$D$7493,Cobranza!$B59,Recibos!AB$4:AB$7493)</f>
        <v>0</v>
      </c>
      <c r="BQ59" s="313">
        <f>SUMIF(Recibos!$D$4:$D$7493,Cobranza!$B59,Recibos!AC$4:AC$7493)</f>
        <v>0</v>
      </c>
      <c r="BR59" s="313">
        <f>SUMIF(Recibos!$D$4:$D$7493,Cobranza!$B59,Recibos!AD$4:AD$7493)</f>
        <v>0</v>
      </c>
      <c r="BS59" s="313">
        <f>SUMIF(Recibos!$D$4:$D$7493,Cobranza!$B59,Recibos!AE$4:AE$7493)</f>
        <v>0</v>
      </c>
      <c r="BT59" s="313">
        <f>SUMIF(Recibos!$D$4:$D$7493,Cobranza!$B59,Recibos!AF$4:AF$7493)</f>
        <v>0</v>
      </c>
      <c r="BU59" s="313">
        <f>SUMIF(Recibos!$D$4:$D$7493,Cobranza!$B59,Recibos!AG$4:AG$7493)</f>
        <v>0</v>
      </c>
      <c r="BV59" s="313">
        <f>SUMIF(Recibos!$D$4:$D$7493,Cobranza!$B59,Recibos!AH$4:AH$7493)</f>
        <v>0</v>
      </c>
      <c r="BW59" s="313">
        <f>SUMIF(Recibos!$D$4:$D$7493,Cobranza!$B59,Recibos!AI$4:AI$7493)</f>
        <v>0</v>
      </c>
      <c r="BX59" s="314">
        <f t="shared" si="9"/>
        <v>0</v>
      </c>
      <c r="BY59" s="313">
        <f>SUMIF(Recibos!$D$4:$D$7493,Cobranza!$B59,Recibos!AK$4:AK$7493)</f>
        <v>0</v>
      </c>
      <c r="BZ59" s="313">
        <f>SUMIF(Recibos!$D$4:$D$7493,Cobranza!$B59,Recibos!AL$4:AL$7493)</f>
        <v>0</v>
      </c>
      <c r="CA59" s="313">
        <f>SUMIF(Recibos!$D$4:$D$7493,Cobranza!$B59,Recibos!AM$4:AM$7493)</f>
        <v>0</v>
      </c>
      <c r="CB59" s="313">
        <f>SUMIF(Recibos!$D$4:$D$7493,Cobranza!$B59,Recibos!AN$4:AN$7493)</f>
        <v>0</v>
      </c>
      <c r="CC59" s="313">
        <f>SUMIF(Recibos!$D$4:$D$7493,Cobranza!$B59,Recibos!AO$4:AO$7493)</f>
        <v>0</v>
      </c>
      <c r="CD59" s="313">
        <f>SUMIF(Recibos!$D$4:$D$7493,Cobranza!$B59,Recibos!AP$4:AP$7493)</f>
        <v>0</v>
      </c>
      <c r="CE59" s="313">
        <f>SUMIF(Recibos!$D$4:$D$7493,Cobranza!$B59,Recibos!AQ$4:AQ$7493)</f>
        <v>0</v>
      </c>
      <c r="CF59" s="313">
        <f>SUMIF(Recibos!$D$4:$D$7493,Cobranza!$B59,Recibos!AR$4:AR$7493)</f>
        <v>0</v>
      </c>
      <c r="CG59" s="313">
        <f>SUMIF(Recibos!$D$4:$D$7493,Cobranza!$B59,Recibos!AS$4:AS$7493)</f>
        <v>0</v>
      </c>
      <c r="CH59" s="313">
        <f>SUMIF(Recibos!$D$4:$D$7493,Cobranza!$B59,Recibos!AT$4:AT$7493)</f>
        <v>0</v>
      </c>
      <c r="CI59" s="313">
        <f>SUMIF(Recibos!$D$4:$D$7493,Cobranza!$B59,Recibos!AU$4:AU$7493)</f>
        <v>0</v>
      </c>
      <c r="CJ59" s="313">
        <f>SUMIF(Recibos!$D$4:$D$7493,Cobranza!$B59,Recibos!AV$4:AV$7493)</f>
        <v>0</v>
      </c>
      <c r="CK59" s="314">
        <f t="shared" si="6"/>
        <v>0</v>
      </c>
    </row>
    <row r="60" spans="2:89" x14ac:dyDescent="0.2">
      <c r="B60" s="42" t="s">
        <v>1281</v>
      </c>
      <c r="C60" s="42" t="s">
        <v>1282</v>
      </c>
      <c r="D60" s="42"/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4">
        <f t="shared" si="2"/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4">
        <f t="shared" si="3"/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200</v>
      </c>
      <c r="AI60" s="43">
        <v>0</v>
      </c>
      <c r="AJ60" s="43">
        <v>0</v>
      </c>
      <c r="AK60" s="44">
        <f t="shared" si="4"/>
        <v>200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4">
        <f t="shared" si="7"/>
        <v>0</v>
      </c>
      <c r="AY60" s="311">
        <f>SUMIF(Recibos!$D$4:$D$7493,Cobranza!$B60,Recibos!K$4:K$7493)</f>
        <v>0</v>
      </c>
      <c r="AZ60" s="311">
        <f>SUMIF(Recibos!$D$4:$D$7493,Cobranza!$B60,Recibos!L$4:L$7493)</f>
        <v>0</v>
      </c>
      <c r="BA60" s="311">
        <f>SUMIF(Recibos!$D$4:$D$7493,Cobranza!$B60,Recibos!M$4:M$7493)</f>
        <v>0</v>
      </c>
      <c r="BB60" s="311">
        <f>SUMIF(Recibos!$D$4:$D$7493,Cobranza!$B60,Recibos!N$4:N$7493)</f>
        <v>0</v>
      </c>
      <c r="BC60" s="311">
        <f>SUMIF(Recibos!$D$4:$D$7493,Cobranza!$B60,Recibos!O$4:O$7493)</f>
        <v>0</v>
      </c>
      <c r="BD60" s="311">
        <f>SUMIF(Recibos!$D$4:$D$7493,Cobranza!$B60,Recibos!P$4:P$7493)</f>
        <v>0</v>
      </c>
      <c r="BE60" s="311">
        <f>SUMIF(Recibos!$D$4:$D$7493,Cobranza!$B60,Recibos!Q$4:Q$7493)</f>
        <v>0</v>
      </c>
      <c r="BF60" s="311">
        <f>SUMIF(Recibos!$D$4:$D$7493,Cobranza!$B60,Recibos!R$4:R$7493)</f>
        <v>0</v>
      </c>
      <c r="BG60" s="311">
        <f>SUMIF(Recibos!$D$4:$D$7493,Cobranza!$B60,Recibos!S$4:S$7493)</f>
        <v>0</v>
      </c>
      <c r="BH60" s="311">
        <f>SUMIF(Recibos!$D$4:$D$7493,Cobranza!$B60,Recibos!T$4:T$7493)</f>
        <v>0</v>
      </c>
      <c r="BI60" s="311">
        <f>SUMIF(Recibos!$D$4:$D$7493,Cobranza!$B60,Recibos!U$4:U$7493)</f>
        <v>0</v>
      </c>
      <c r="BJ60" s="311">
        <f>SUMIF(Recibos!$D$4:$D$7493,Cobranza!$B60,Recibos!V$4:V$7493)</f>
        <v>0</v>
      </c>
      <c r="BK60" s="312">
        <f t="shared" si="8"/>
        <v>0</v>
      </c>
      <c r="BL60" s="311">
        <f>SUMIF(Recibos!$D$4:$D$7493,Cobranza!$B60,Recibos!X$4:X$7493)</f>
        <v>0</v>
      </c>
      <c r="BM60" s="311">
        <f>SUMIF(Recibos!$D$4:$D$7493,Cobranza!$B60,Recibos!Y$4:Y$7493)</f>
        <v>0</v>
      </c>
      <c r="BN60" s="311">
        <f>SUMIF(Recibos!$D$4:$D$7493,Cobranza!$B60,Recibos!Z$4:Z$7493)</f>
        <v>0</v>
      </c>
      <c r="BO60" s="311">
        <f>SUMIF(Recibos!$D$4:$D$7493,Cobranza!$B60,Recibos!AA$4:AA$7493)</f>
        <v>0</v>
      </c>
      <c r="BP60" s="311">
        <f>SUMIF(Recibos!$D$4:$D$7493,Cobranza!$B60,Recibos!AB$4:AB$7493)</f>
        <v>0</v>
      </c>
      <c r="BQ60" s="311">
        <f>SUMIF(Recibos!$D$4:$D$7493,Cobranza!$B60,Recibos!AC$4:AC$7493)</f>
        <v>0</v>
      </c>
      <c r="BR60" s="311">
        <f>SUMIF(Recibos!$D$4:$D$7493,Cobranza!$B60,Recibos!AD$4:AD$7493)</f>
        <v>0</v>
      </c>
      <c r="BS60" s="311">
        <f>SUMIF(Recibos!$D$4:$D$7493,Cobranza!$B60,Recibos!AE$4:AE$7493)</f>
        <v>0</v>
      </c>
      <c r="BT60" s="311">
        <f>SUMIF(Recibos!$D$4:$D$7493,Cobranza!$B60,Recibos!AF$4:AF$7493)</f>
        <v>0</v>
      </c>
      <c r="BU60" s="311">
        <f>SUMIF(Recibos!$D$4:$D$7493,Cobranza!$B60,Recibos!AG$4:AG$7493)</f>
        <v>0</v>
      </c>
      <c r="BV60" s="311">
        <f>SUMIF(Recibos!$D$4:$D$7493,Cobranza!$B60,Recibos!AH$4:AH$7493)</f>
        <v>0</v>
      </c>
      <c r="BW60" s="311">
        <f>SUMIF(Recibos!$D$4:$D$7493,Cobranza!$B60,Recibos!AI$4:AI$7493)</f>
        <v>0</v>
      </c>
      <c r="BX60" s="312">
        <f t="shared" si="9"/>
        <v>0</v>
      </c>
      <c r="BY60" s="311">
        <f>SUMIF(Recibos!$D$4:$D$7493,Cobranza!$B60,Recibos!AK$4:AK$7493)</f>
        <v>0</v>
      </c>
      <c r="BZ60" s="311">
        <f>SUMIF(Recibos!$D$4:$D$7493,Cobranza!$B60,Recibos!AL$4:AL$7493)</f>
        <v>0</v>
      </c>
      <c r="CA60" s="311">
        <f>SUMIF(Recibos!$D$4:$D$7493,Cobranza!$B60,Recibos!AM$4:AM$7493)</f>
        <v>0</v>
      </c>
      <c r="CB60" s="311">
        <f>SUMIF(Recibos!$D$4:$D$7493,Cobranza!$B60,Recibos!AN$4:AN$7493)</f>
        <v>0</v>
      </c>
      <c r="CC60" s="311">
        <f>SUMIF(Recibos!$D$4:$D$7493,Cobranza!$B60,Recibos!AO$4:AO$7493)</f>
        <v>0</v>
      </c>
      <c r="CD60" s="311">
        <f>SUMIF(Recibos!$D$4:$D$7493,Cobranza!$B60,Recibos!AP$4:AP$7493)</f>
        <v>0</v>
      </c>
      <c r="CE60" s="311">
        <f>SUMIF(Recibos!$D$4:$D$7493,Cobranza!$B60,Recibos!AQ$4:AQ$7493)</f>
        <v>0</v>
      </c>
      <c r="CF60" s="311">
        <f>SUMIF(Recibos!$D$4:$D$7493,Cobranza!$B60,Recibos!AR$4:AR$7493)</f>
        <v>0</v>
      </c>
      <c r="CG60" s="311">
        <f>SUMIF(Recibos!$D$4:$D$7493,Cobranza!$B60,Recibos!AS$4:AS$7493)</f>
        <v>0</v>
      </c>
      <c r="CH60" s="311">
        <f>SUMIF(Recibos!$D$4:$D$7493,Cobranza!$B60,Recibos!AT$4:AT$7493)</f>
        <v>0</v>
      </c>
      <c r="CI60" s="311">
        <f>SUMIF(Recibos!$D$4:$D$7493,Cobranza!$B60,Recibos!AU$4:AU$7493)</f>
        <v>0</v>
      </c>
      <c r="CJ60" s="311">
        <f>SUMIF(Recibos!$D$4:$D$7493,Cobranza!$B60,Recibos!AV$4:AV$7493)</f>
        <v>0</v>
      </c>
      <c r="CK60" s="312">
        <f t="shared" si="6"/>
        <v>0</v>
      </c>
    </row>
    <row r="61" spans="2:89" x14ac:dyDescent="0.2">
      <c r="B61" s="45" t="s">
        <v>658</v>
      </c>
      <c r="C61" s="45" t="s">
        <v>659</v>
      </c>
      <c r="D61" s="45" t="s">
        <v>892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300</v>
      </c>
      <c r="K61" s="47">
        <f t="shared" si="2"/>
        <v>300</v>
      </c>
      <c r="L61" s="46">
        <v>300</v>
      </c>
      <c r="M61" s="46">
        <v>300</v>
      </c>
      <c r="N61" s="46">
        <v>300</v>
      </c>
      <c r="O61" s="46">
        <v>300</v>
      </c>
      <c r="P61" s="46">
        <v>300</v>
      </c>
      <c r="Q61" s="46">
        <v>300</v>
      </c>
      <c r="R61" s="46">
        <v>300</v>
      </c>
      <c r="S61" s="46">
        <v>300</v>
      </c>
      <c r="T61" s="46">
        <v>300</v>
      </c>
      <c r="U61" s="46">
        <v>300</v>
      </c>
      <c r="V61" s="46">
        <v>300</v>
      </c>
      <c r="W61" s="46">
        <v>300</v>
      </c>
      <c r="X61" s="47">
        <f t="shared" si="3"/>
        <v>3600</v>
      </c>
      <c r="Y61" s="46">
        <v>350</v>
      </c>
      <c r="Z61" s="46">
        <v>350</v>
      </c>
      <c r="AA61" s="46">
        <v>350</v>
      </c>
      <c r="AB61" s="46">
        <v>350</v>
      </c>
      <c r="AC61" s="46">
        <v>350</v>
      </c>
      <c r="AD61" s="46">
        <v>350</v>
      </c>
      <c r="AE61" s="46">
        <v>350</v>
      </c>
      <c r="AF61" s="46">
        <v>0</v>
      </c>
      <c r="AG61" s="46">
        <v>350</v>
      </c>
      <c r="AH61" s="46">
        <v>700</v>
      </c>
      <c r="AI61" s="46">
        <v>350</v>
      </c>
      <c r="AJ61" s="46">
        <v>350</v>
      </c>
      <c r="AK61" s="47">
        <f t="shared" si="4"/>
        <v>4200</v>
      </c>
      <c r="AL61" s="46">
        <v>350</v>
      </c>
      <c r="AM61" s="46">
        <v>350</v>
      </c>
      <c r="AN61" s="46">
        <v>350</v>
      </c>
      <c r="AO61" s="46">
        <v>350</v>
      </c>
      <c r="AP61" s="46">
        <v>350</v>
      </c>
      <c r="AQ61" s="46">
        <v>350</v>
      </c>
      <c r="AR61" s="46">
        <v>350</v>
      </c>
      <c r="AS61" s="46">
        <v>350</v>
      </c>
      <c r="AT61" s="46">
        <v>350</v>
      </c>
      <c r="AU61" s="46">
        <v>350</v>
      </c>
      <c r="AV61" s="46">
        <v>350</v>
      </c>
      <c r="AW61" s="46">
        <v>350</v>
      </c>
      <c r="AX61" s="47">
        <f t="shared" si="7"/>
        <v>4200</v>
      </c>
      <c r="AY61" s="313">
        <f>SUMIF(Recibos!$D$4:$D$7493,Cobranza!$B61,Recibos!K$4:K$7493)</f>
        <v>350</v>
      </c>
      <c r="AZ61" s="313">
        <f>SUMIF(Recibos!$D$4:$D$7493,Cobranza!$B61,Recibos!L$4:L$7493)</f>
        <v>350</v>
      </c>
      <c r="BA61" s="313">
        <f>SUMIF(Recibos!$D$4:$D$7493,Cobranza!$B61,Recibos!M$4:M$7493)</f>
        <v>350</v>
      </c>
      <c r="BB61" s="313">
        <f>SUMIF(Recibos!$D$4:$D$7493,Cobranza!$B61,Recibos!N$4:N$7493)</f>
        <v>350</v>
      </c>
      <c r="BC61" s="313">
        <f>SUMIF(Recibos!$D$4:$D$7493,Cobranza!$B61,Recibos!O$4:O$7493)</f>
        <v>400</v>
      </c>
      <c r="BD61" s="313">
        <f>SUMIF(Recibos!$D$4:$D$7493,Cobranza!$B61,Recibos!P$4:P$7493)</f>
        <v>400</v>
      </c>
      <c r="BE61" s="313">
        <f>SUMIF(Recibos!$D$4:$D$7493,Cobranza!$B61,Recibos!Q$4:Q$7493)</f>
        <v>400</v>
      </c>
      <c r="BF61" s="313">
        <f>SUMIF(Recibos!$D$4:$D$7493,Cobranza!$B61,Recibos!R$4:R$7493)</f>
        <v>400</v>
      </c>
      <c r="BG61" s="313">
        <f>SUMIF(Recibos!$D$4:$D$7493,Cobranza!$B61,Recibos!S$4:S$7493)</f>
        <v>400</v>
      </c>
      <c r="BH61" s="313">
        <f>SUMIF(Recibos!$D$4:$D$7493,Cobranza!$B61,Recibos!T$4:T$7493)</f>
        <v>400</v>
      </c>
      <c r="BI61" s="313">
        <f>SUMIF(Recibos!$D$4:$D$7493,Cobranza!$B61,Recibos!U$4:U$7493)</f>
        <v>400</v>
      </c>
      <c r="BJ61" s="313">
        <f>SUMIF(Recibos!$D$4:$D$7493,Cobranza!$B61,Recibos!V$4:V$7493)</f>
        <v>400</v>
      </c>
      <c r="BK61" s="314">
        <f t="shared" si="8"/>
        <v>4600</v>
      </c>
      <c r="BL61" s="313">
        <f>SUMIF(Recibos!$D$4:$D$7493,Cobranza!$B61,Recibos!X$4:X$7493)</f>
        <v>0</v>
      </c>
      <c r="BM61" s="313">
        <f>SUMIF(Recibos!$D$4:$D$7493,Cobranza!$B61,Recibos!Y$4:Y$7493)</f>
        <v>0</v>
      </c>
      <c r="BN61" s="313">
        <f>SUMIF(Recibos!$D$4:$D$7493,Cobranza!$B61,Recibos!Z$4:Z$7493)</f>
        <v>0</v>
      </c>
      <c r="BO61" s="313">
        <f>SUMIF(Recibos!$D$4:$D$7493,Cobranza!$B61,Recibos!AA$4:AA$7493)</f>
        <v>0</v>
      </c>
      <c r="BP61" s="313">
        <f>SUMIF(Recibos!$D$4:$D$7493,Cobranza!$B61,Recibos!AB$4:AB$7493)</f>
        <v>0</v>
      </c>
      <c r="BQ61" s="313">
        <f>SUMIF(Recibos!$D$4:$D$7493,Cobranza!$B61,Recibos!AC$4:AC$7493)</f>
        <v>0</v>
      </c>
      <c r="BR61" s="313">
        <f>SUMIF(Recibos!$D$4:$D$7493,Cobranza!$B61,Recibos!AD$4:AD$7493)</f>
        <v>0</v>
      </c>
      <c r="BS61" s="313">
        <f>SUMIF(Recibos!$D$4:$D$7493,Cobranza!$B61,Recibos!AE$4:AE$7493)</f>
        <v>0</v>
      </c>
      <c r="BT61" s="313">
        <f>SUMIF(Recibos!$D$4:$D$7493,Cobranza!$B61,Recibos!AF$4:AF$7493)</f>
        <v>0</v>
      </c>
      <c r="BU61" s="313">
        <f>SUMIF(Recibos!$D$4:$D$7493,Cobranza!$B61,Recibos!AG$4:AG$7493)</f>
        <v>0</v>
      </c>
      <c r="BV61" s="313">
        <f>SUMIF(Recibos!$D$4:$D$7493,Cobranza!$B61,Recibos!AH$4:AH$7493)</f>
        <v>0</v>
      </c>
      <c r="BW61" s="313">
        <f>SUMIF(Recibos!$D$4:$D$7493,Cobranza!$B61,Recibos!AI$4:AI$7493)</f>
        <v>0</v>
      </c>
      <c r="BX61" s="314">
        <f t="shared" si="9"/>
        <v>0</v>
      </c>
      <c r="BY61" s="313">
        <f>SUMIF(Recibos!$D$4:$D$7493,Cobranza!$B61,Recibos!AK$4:AK$7493)</f>
        <v>0</v>
      </c>
      <c r="BZ61" s="313">
        <f>SUMIF(Recibos!$D$4:$D$7493,Cobranza!$B61,Recibos!AL$4:AL$7493)</f>
        <v>0</v>
      </c>
      <c r="CA61" s="313">
        <f>SUMIF(Recibos!$D$4:$D$7493,Cobranza!$B61,Recibos!AM$4:AM$7493)</f>
        <v>0</v>
      </c>
      <c r="CB61" s="313">
        <f>SUMIF(Recibos!$D$4:$D$7493,Cobranza!$B61,Recibos!AN$4:AN$7493)</f>
        <v>0</v>
      </c>
      <c r="CC61" s="313">
        <f>SUMIF(Recibos!$D$4:$D$7493,Cobranza!$B61,Recibos!AO$4:AO$7493)</f>
        <v>0</v>
      </c>
      <c r="CD61" s="313">
        <f>SUMIF(Recibos!$D$4:$D$7493,Cobranza!$B61,Recibos!AP$4:AP$7493)</f>
        <v>0</v>
      </c>
      <c r="CE61" s="313">
        <f>SUMIF(Recibos!$D$4:$D$7493,Cobranza!$B61,Recibos!AQ$4:AQ$7493)</f>
        <v>0</v>
      </c>
      <c r="CF61" s="313">
        <f>SUMIF(Recibos!$D$4:$D$7493,Cobranza!$B61,Recibos!AR$4:AR$7493)</f>
        <v>0</v>
      </c>
      <c r="CG61" s="313">
        <f>SUMIF(Recibos!$D$4:$D$7493,Cobranza!$B61,Recibos!AS$4:AS$7493)</f>
        <v>0</v>
      </c>
      <c r="CH61" s="313">
        <f>SUMIF(Recibos!$D$4:$D$7493,Cobranza!$B61,Recibos!AT$4:AT$7493)</f>
        <v>0</v>
      </c>
      <c r="CI61" s="313">
        <f>SUMIF(Recibos!$D$4:$D$7493,Cobranza!$B61,Recibos!AU$4:AU$7493)</f>
        <v>0</v>
      </c>
      <c r="CJ61" s="313">
        <f>SUMIF(Recibos!$D$4:$D$7493,Cobranza!$B61,Recibos!AV$4:AV$7493)</f>
        <v>0</v>
      </c>
      <c r="CK61" s="314">
        <f t="shared" si="6"/>
        <v>0</v>
      </c>
    </row>
    <row r="62" spans="2:89" x14ac:dyDescent="0.2">
      <c r="B62" s="42" t="s">
        <v>171</v>
      </c>
      <c r="C62" s="42" t="s">
        <v>172</v>
      </c>
      <c r="D62" s="42" t="s">
        <v>173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300</v>
      </c>
      <c r="K62" s="44">
        <f t="shared" si="2"/>
        <v>300</v>
      </c>
      <c r="L62" s="43">
        <v>300</v>
      </c>
      <c r="M62" s="43">
        <v>300</v>
      </c>
      <c r="N62" s="43">
        <v>300</v>
      </c>
      <c r="O62" s="43">
        <v>300</v>
      </c>
      <c r="P62" s="43">
        <v>300</v>
      </c>
      <c r="Q62" s="43">
        <v>0</v>
      </c>
      <c r="R62" s="43">
        <v>300</v>
      </c>
      <c r="S62" s="43">
        <v>300</v>
      </c>
      <c r="T62" s="43">
        <v>300</v>
      </c>
      <c r="U62" s="43">
        <v>400</v>
      </c>
      <c r="V62" s="43">
        <v>400</v>
      </c>
      <c r="W62" s="43">
        <v>400</v>
      </c>
      <c r="X62" s="44">
        <f t="shared" si="3"/>
        <v>3600</v>
      </c>
      <c r="Y62" s="43">
        <v>400</v>
      </c>
      <c r="Z62" s="43">
        <v>400</v>
      </c>
      <c r="AA62" s="43">
        <v>400</v>
      </c>
      <c r="AB62" s="43">
        <v>400</v>
      </c>
      <c r="AC62" s="43">
        <v>400</v>
      </c>
      <c r="AD62" s="43">
        <v>400</v>
      </c>
      <c r="AE62" s="43">
        <v>400</v>
      </c>
      <c r="AF62" s="43">
        <v>400</v>
      </c>
      <c r="AG62" s="43">
        <v>400</v>
      </c>
      <c r="AH62" s="43">
        <v>400</v>
      </c>
      <c r="AI62" s="43">
        <v>400</v>
      </c>
      <c r="AJ62" s="43">
        <v>400</v>
      </c>
      <c r="AK62" s="44">
        <f t="shared" si="4"/>
        <v>4800</v>
      </c>
      <c r="AL62" s="43">
        <v>400</v>
      </c>
      <c r="AM62" s="43">
        <v>400</v>
      </c>
      <c r="AN62" s="43">
        <v>400</v>
      </c>
      <c r="AO62" s="43">
        <v>400</v>
      </c>
      <c r="AP62" s="43">
        <v>400</v>
      </c>
      <c r="AQ62" s="43">
        <v>400</v>
      </c>
      <c r="AR62" s="43">
        <v>400</v>
      </c>
      <c r="AS62" s="43">
        <v>400</v>
      </c>
      <c r="AT62" s="43">
        <v>400</v>
      </c>
      <c r="AU62" s="43">
        <v>400</v>
      </c>
      <c r="AV62" s="43">
        <v>400</v>
      </c>
      <c r="AW62" s="43">
        <v>400</v>
      </c>
      <c r="AX62" s="44">
        <f t="shared" si="7"/>
        <v>4800</v>
      </c>
      <c r="AY62" s="311">
        <f>SUMIF(Recibos!$D$4:$D$7493,Cobranza!$B62,Recibos!K$4:K$7493)</f>
        <v>400</v>
      </c>
      <c r="AZ62" s="311">
        <f>SUMIF(Recibos!$D$4:$D$7493,Cobranza!$B62,Recibos!L$4:L$7493)</f>
        <v>400</v>
      </c>
      <c r="BA62" s="311">
        <f>SUMIF(Recibos!$D$4:$D$7493,Cobranza!$B62,Recibos!M$4:M$7493)</f>
        <v>400</v>
      </c>
      <c r="BB62" s="311">
        <f>SUMIF(Recibos!$D$4:$D$7493,Cobranza!$B62,Recibos!N$4:N$7493)</f>
        <v>400</v>
      </c>
      <c r="BC62" s="311">
        <f>SUMIF(Recibos!$D$4:$D$7493,Cobranza!$B62,Recibos!O$4:O$7493)</f>
        <v>400</v>
      </c>
      <c r="BD62" s="311">
        <f>SUMIF(Recibos!$D$4:$D$7493,Cobranza!$B62,Recibos!P$4:P$7493)</f>
        <v>400</v>
      </c>
      <c r="BE62" s="311">
        <f>SUMIF(Recibos!$D$4:$D$7493,Cobranza!$B62,Recibos!Q$4:Q$7493)</f>
        <v>400</v>
      </c>
      <c r="BF62" s="311">
        <f>SUMIF(Recibos!$D$4:$D$7493,Cobranza!$B62,Recibos!R$4:R$7493)</f>
        <v>400</v>
      </c>
      <c r="BG62" s="311">
        <f>SUMIF(Recibos!$D$4:$D$7493,Cobranza!$B62,Recibos!S$4:S$7493)</f>
        <v>400</v>
      </c>
      <c r="BH62" s="311">
        <f>SUMIF(Recibos!$D$4:$D$7493,Cobranza!$B62,Recibos!T$4:T$7493)</f>
        <v>400</v>
      </c>
      <c r="BI62" s="311">
        <f>SUMIF(Recibos!$D$4:$D$7493,Cobranza!$B62,Recibos!U$4:U$7493)</f>
        <v>400</v>
      </c>
      <c r="BJ62" s="311">
        <f>SUMIF(Recibos!$D$4:$D$7493,Cobranza!$B62,Recibos!V$4:V$7493)</f>
        <v>400</v>
      </c>
      <c r="BK62" s="312">
        <f t="shared" si="8"/>
        <v>4800</v>
      </c>
      <c r="BL62" s="311">
        <f>SUMIF(Recibos!$D$4:$D$7493,Cobranza!$B62,Recibos!X$4:X$7493)</f>
        <v>400</v>
      </c>
      <c r="BM62" s="311">
        <f>SUMIF(Recibos!$D$4:$D$7493,Cobranza!$B62,Recibos!Y$4:Y$7493)</f>
        <v>400</v>
      </c>
      <c r="BN62" s="311">
        <f>SUMIF(Recibos!$D$4:$D$7493,Cobranza!$B62,Recibos!Z$4:Z$7493)</f>
        <v>400</v>
      </c>
      <c r="BO62" s="311">
        <f>SUMIF(Recibos!$D$4:$D$7493,Cobranza!$B62,Recibos!AA$4:AA$7493)</f>
        <v>400</v>
      </c>
      <c r="BP62" s="311">
        <f>SUMIF(Recibos!$D$4:$D$7493,Cobranza!$B62,Recibos!AB$4:AB$7493)</f>
        <v>400</v>
      </c>
      <c r="BQ62" s="311">
        <f>SUMIF(Recibos!$D$4:$D$7493,Cobranza!$B62,Recibos!AC$4:AC$7493)</f>
        <v>400</v>
      </c>
      <c r="BR62" s="311">
        <f>SUMIF(Recibos!$D$4:$D$7493,Cobranza!$B62,Recibos!AD$4:AD$7493)</f>
        <v>400</v>
      </c>
      <c r="BS62" s="311">
        <f>SUMIF(Recibos!$D$4:$D$7493,Cobranza!$B62,Recibos!AE$4:AE$7493)</f>
        <v>400</v>
      </c>
      <c r="BT62" s="311">
        <f>SUMIF(Recibos!$D$4:$D$7493,Cobranza!$B62,Recibos!AF$4:AF$7493)</f>
        <v>400</v>
      </c>
      <c r="BU62" s="311">
        <f>SUMIF(Recibos!$D$4:$D$7493,Cobranza!$B62,Recibos!AG$4:AG$7493)</f>
        <v>400</v>
      </c>
      <c r="BV62" s="311">
        <f>SUMIF(Recibos!$D$4:$D$7493,Cobranza!$B62,Recibos!AH$4:AH$7493)</f>
        <v>400</v>
      </c>
      <c r="BW62" s="311">
        <f>SUMIF(Recibos!$D$4:$D$7493,Cobranza!$B62,Recibos!AI$4:AI$7493)</f>
        <v>400</v>
      </c>
      <c r="BX62" s="312">
        <f t="shared" si="9"/>
        <v>4800</v>
      </c>
      <c r="BY62" s="311">
        <f>SUMIF(Recibos!$D$4:$D$7493,Cobranza!$B62,Recibos!AK$4:AK$7493)</f>
        <v>400</v>
      </c>
      <c r="BZ62" s="311">
        <f>SUMIF(Recibos!$D$4:$D$7493,Cobranza!$B62,Recibos!AL$4:AL$7493)</f>
        <v>400</v>
      </c>
      <c r="CA62" s="311">
        <f>SUMIF(Recibos!$D$4:$D$7493,Cobranza!$B62,Recibos!AM$4:AM$7493)</f>
        <v>400</v>
      </c>
      <c r="CB62" s="311">
        <f>SUMIF(Recibos!$D$4:$D$7493,Cobranza!$B62,Recibos!AN$4:AN$7493)</f>
        <v>400</v>
      </c>
      <c r="CC62" s="311">
        <f>SUMIF(Recibos!$D$4:$D$7493,Cobranza!$B62,Recibos!AO$4:AO$7493)</f>
        <v>400</v>
      </c>
      <c r="CD62" s="311">
        <f>SUMIF(Recibos!$D$4:$D$7493,Cobranza!$B62,Recibos!AP$4:AP$7493)</f>
        <v>400</v>
      </c>
      <c r="CE62" s="311">
        <f>SUMIF(Recibos!$D$4:$D$7493,Cobranza!$B62,Recibos!AQ$4:AQ$7493)</f>
        <v>400</v>
      </c>
      <c r="CF62" s="311">
        <f>SUMIF(Recibos!$D$4:$D$7493,Cobranza!$B62,Recibos!AR$4:AR$7493)</f>
        <v>400</v>
      </c>
      <c r="CG62" s="311">
        <f>SUMIF(Recibos!$D$4:$D$7493,Cobranza!$B62,Recibos!AS$4:AS$7493)</f>
        <v>400</v>
      </c>
      <c r="CH62" s="311">
        <f>SUMIF(Recibos!$D$4:$D$7493,Cobranza!$B62,Recibos!AT$4:AT$7493)</f>
        <v>400</v>
      </c>
      <c r="CI62" s="311">
        <f>SUMIF(Recibos!$D$4:$D$7493,Cobranza!$B62,Recibos!AU$4:AU$7493)</f>
        <v>0</v>
      </c>
      <c r="CJ62" s="311">
        <f>SUMIF(Recibos!$D$4:$D$7493,Cobranza!$B62,Recibos!AV$4:AV$7493)</f>
        <v>0</v>
      </c>
      <c r="CK62" s="312">
        <f t="shared" si="6"/>
        <v>4000</v>
      </c>
    </row>
    <row r="63" spans="2:89" x14ac:dyDescent="0.2">
      <c r="B63" s="45" t="s">
        <v>734</v>
      </c>
      <c r="C63" s="45" t="s">
        <v>735</v>
      </c>
      <c r="D63" s="45" t="s">
        <v>736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7">
        <f t="shared" si="2"/>
        <v>0</v>
      </c>
      <c r="L63" s="46">
        <v>300</v>
      </c>
      <c r="M63" s="46">
        <v>300</v>
      </c>
      <c r="N63" s="46">
        <v>0</v>
      </c>
      <c r="O63" s="46">
        <v>300</v>
      </c>
      <c r="P63" s="46">
        <v>300</v>
      </c>
      <c r="Q63" s="46">
        <v>300</v>
      </c>
      <c r="R63" s="46">
        <v>300</v>
      </c>
      <c r="S63" s="46">
        <v>300</v>
      </c>
      <c r="T63" s="46">
        <v>300</v>
      </c>
      <c r="U63" s="46">
        <v>300</v>
      </c>
      <c r="V63" s="46">
        <v>300</v>
      </c>
      <c r="W63" s="46">
        <v>300</v>
      </c>
      <c r="X63" s="47">
        <f t="shared" si="3"/>
        <v>3300</v>
      </c>
      <c r="Y63" s="46">
        <v>400</v>
      </c>
      <c r="Z63" s="46">
        <v>400</v>
      </c>
      <c r="AA63" s="46">
        <v>400</v>
      </c>
      <c r="AB63" s="46">
        <v>400</v>
      </c>
      <c r="AC63" s="46">
        <v>400</v>
      </c>
      <c r="AD63" s="46">
        <v>400</v>
      </c>
      <c r="AE63" s="46">
        <v>400</v>
      </c>
      <c r="AF63" s="46">
        <v>400</v>
      </c>
      <c r="AG63" s="46">
        <v>400</v>
      </c>
      <c r="AH63" s="46">
        <v>0</v>
      </c>
      <c r="AI63" s="46">
        <v>0</v>
      </c>
      <c r="AJ63" s="46">
        <v>0</v>
      </c>
      <c r="AK63" s="47">
        <f t="shared" si="4"/>
        <v>3600</v>
      </c>
      <c r="AL63" s="46">
        <v>400</v>
      </c>
      <c r="AM63" s="46">
        <v>400</v>
      </c>
      <c r="AN63" s="46">
        <v>400</v>
      </c>
      <c r="AO63" s="46">
        <v>400</v>
      </c>
      <c r="AP63" s="46">
        <v>400</v>
      </c>
      <c r="AQ63" s="46">
        <v>400</v>
      </c>
      <c r="AR63" s="46">
        <v>400</v>
      </c>
      <c r="AS63" s="46">
        <v>400</v>
      </c>
      <c r="AT63" s="46">
        <v>400</v>
      </c>
      <c r="AU63" s="46">
        <v>400</v>
      </c>
      <c r="AV63" s="46">
        <v>400</v>
      </c>
      <c r="AW63" s="46">
        <v>0</v>
      </c>
      <c r="AX63" s="47">
        <f t="shared" si="7"/>
        <v>4400</v>
      </c>
      <c r="AY63" s="313">
        <f>SUMIF(Recibos!$D$4:$D$7493,Cobranza!$B63,Recibos!K$4:K$7493)</f>
        <v>400</v>
      </c>
      <c r="AZ63" s="313">
        <f>SUMIF(Recibos!$D$4:$D$7493,Cobranza!$B63,Recibos!L$4:L$7493)</f>
        <v>400</v>
      </c>
      <c r="BA63" s="313">
        <f>SUMIF(Recibos!$D$4:$D$7493,Cobranza!$B63,Recibos!M$4:M$7493)</f>
        <v>400</v>
      </c>
      <c r="BB63" s="313">
        <f>SUMIF(Recibos!$D$4:$D$7493,Cobranza!$B63,Recibos!N$4:N$7493)</f>
        <v>400</v>
      </c>
      <c r="BC63" s="313">
        <f>SUMIF(Recibos!$D$4:$D$7493,Cobranza!$B63,Recibos!O$4:O$7493)</f>
        <v>400</v>
      </c>
      <c r="BD63" s="313">
        <f>SUMIF(Recibos!$D$4:$D$7493,Cobranza!$B63,Recibos!P$4:P$7493)</f>
        <v>400</v>
      </c>
      <c r="BE63" s="313">
        <f>SUMIF(Recibos!$D$4:$D$7493,Cobranza!$B63,Recibos!Q$4:Q$7493)</f>
        <v>400</v>
      </c>
      <c r="BF63" s="313">
        <f>SUMIF(Recibos!$D$4:$D$7493,Cobranza!$B63,Recibos!R$4:R$7493)</f>
        <v>400</v>
      </c>
      <c r="BG63" s="313">
        <f>SUMIF(Recibos!$D$4:$D$7493,Cobranza!$B63,Recibos!S$4:S$7493)</f>
        <v>400</v>
      </c>
      <c r="BH63" s="313">
        <f>SUMIF(Recibos!$D$4:$D$7493,Cobranza!$B63,Recibos!T$4:T$7493)</f>
        <v>400</v>
      </c>
      <c r="BI63" s="313">
        <f>SUMIF(Recibos!$D$4:$D$7493,Cobranza!$B63,Recibos!U$4:U$7493)</f>
        <v>400</v>
      </c>
      <c r="BJ63" s="313">
        <f>SUMIF(Recibos!$D$4:$D$7493,Cobranza!$B63,Recibos!V$4:V$7493)</f>
        <v>0</v>
      </c>
      <c r="BK63" s="314">
        <f t="shared" si="8"/>
        <v>4400</v>
      </c>
      <c r="BL63" s="313">
        <f>SUMIF(Recibos!$D$4:$D$7493,Cobranza!$B63,Recibos!X$4:X$7493)</f>
        <v>400</v>
      </c>
      <c r="BM63" s="313">
        <f>SUMIF(Recibos!$D$4:$D$7493,Cobranza!$B63,Recibos!Y$4:Y$7493)</f>
        <v>400</v>
      </c>
      <c r="BN63" s="313">
        <f>SUMIF(Recibos!$D$4:$D$7493,Cobranza!$B63,Recibos!Z$4:Z$7493)</f>
        <v>400</v>
      </c>
      <c r="BO63" s="313">
        <f>SUMIF(Recibos!$D$4:$D$7493,Cobranza!$B63,Recibos!AA$4:AA$7493)</f>
        <v>400</v>
      </c>
      <c r="BP63" s="313">
        <f>SUMIF(Recibos!$D$4:$D$7493,Cobranza!$B63,Recibos!AB$4:AB$7493)</f>
        <v>400</v>
      </c>
      <c r="BQ63" s="313">
        <f>SUMIF(Recibos!$D$4:$D$7493,Cobranza!$B63,Recibos!AC$4:AC$7493)</f>
        <v>400</v>
      </c>
      <c r="BR63" s="313">
        <f>SUMIF(Recibos!$D$4:$D$7493,Cobranza!$B63,Recibos!AD$4:AD$7493)</f>
        <v>400</v>
      </c>
      <c r="BS63" s="313">
        <f>SUMIF(Recibos!$D$4:$D$7493,Cobranza!$B63,Recibos!AE$4:AE$7493)</f>
        <v>400</v>
      </c>
      <c r="BT63" s="313">
        <f>SUMIF(Recibos!$D$4:$D$7493,Cobranza!$B63,Recibos!AF$4:AF$7493)</f>
        <v>400</v>
      </c>
      <c r="BU63" s="313">
        <f>SUMIF(Recibos!$D$4:$D$7493,Cobranza!$B63,Recibos!AG$4:AG$7493)</f>
        <v>400</v>
      </c>
      <c r="BV63" s="313">
        <f>SUMIF(Recibos!$D$4:$D$7493,Cobranza!$B63,Recibos!AH$4:AH$7493)</f>
        <v>400</v>
      </c>
      <c r="BW63" s="313">
        <f>SUMIF(Recibos!$D$4:$D$7493,Cobranza!$B63,Recibos!AI$4:AI$7493)</f>
        <v>400</v>
      </c>
      <c r="BX63" s="314">
        <f t="shared" si="9"/>
        <v>4800</v>
      </c>
      <c r="BY63" s="313">
        <f>SUMIF(Recibos!$D$4:$D$7493,Cobranza!$B63,Recibos!AK$4:AK$7493)</f>
        <v>400</v>
      </c>
      <c r="BZ63" s="313">
        <f>SUMIF(Recibos!$D$4:$D$7493,Cobranza!$B63,Recibos!AL$4:AL$7493)</f>
        <v>400</v>
      </c>
      <c r="CA63" s="313">
        <f>SUMIF(Recibos!$D$4:$D$7493,Cobranza!$B63,Recibos!AM$4:AM$7493)</f>
        <v>400</v>
      </c>
      <c r="CB63" s="313">
        <f>SUMIF(Recibos!$D$4:$D$7493,Cobranza!$B63,Recibos!AN$4:AN$7493)</f>
        <v>400</v>
      </c>
      <c r="CC63" s="313">
        <f>SUMIF(Recibos!$D$4:$D$7493,Cobranza!$B63,Recibos!AO$4:AO$7493)</f>
        <v>400</v>
      </c>
      <c r="CD63" s="313">
        <f>SUMIF(Recibos!$D$4:$D$7493,Cobranza!$B63,Recibos!AP$4:AP$7493)</f>
        <v>400</v>
      </c>
      <c r="CE63" s="313">
        <f>SUMIF(Recibos!$D$4:$D$7493,Cobranza!$B63,Recibos!AQ$4:AQ$7493)</f>
        <v>0</v>
      </c>
      <c r="CF63" s="313">
        <f>SUMIF(Recibos!$D$4:$D$7493,Cobranza!$B63,Recibos!AR$4:AR$7493)</f>
        <v>0</v>
      </c>
      <c r="CG63" s="313">
        <f>SUMIF(Recibos!$D$4:$D$7493,Cobranza!$B63,Recibos!AS$4:AS$7493)</f>
        <v>0</v>
      </c>
      <c r="CH63" s="313">
        <f>SUMIF(Recibos!$D$4:$D$7493,Cobranza!$B63,Recibos!AT$4:AT$7493)</f>
        <v>0</v>
      </c>
      <c r="CI63" s="313">
        <f>SUMIF(Recibos!$D$4:$D$7493,Cobranza!$B63,Recibos!AU$4:AU$7493)</f>
        <v>0</v>
      </c>
      <c r="CJ63" s="313">
        <f>SUMIF(Recibos!$D$4:$D$7493,Cobranza!$B63,Recibos!AV$4:AV$7493)</f>
        <v>0</v>
      </c>
      <c r="CK63" s="314">
        <f t="shared" si="6"/>
        <v>2400</v>
      </c>
    </row>
    <row r="64" spans="2:89" x14ac:dyDescent="0.2">
      <c r="B64" s="42" t="s">
        <v>250</v>
      </c>
      <c r="C64" s="42" t="s">
        <v>251</v>
      </c>
      <c r="D64" s="42" t="s">
        <v>252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4">
        <f t="shared" si="2"/>
        <v>0</v>
      </c>
      <c r="L64" s="43">
        <v>600</v>
      </c>
      <c r="M64" s="43">
        <v>300</v>
      </c>
      <c r="N64" s="43">
        <v>300</v>
      </c>
      <c r="O64" s="43">
        <v>300</v>
      </c>
      <c r="P64" s="43">
        <v>300</v>
      </c>
      <c r="Q64" s="43">
        <v>300</v>
      </c>
      <c r="R64" s="43">
        <v>300</v>
      </c>
      <c r="S64" s="43">
        <v>300</v>
      </c>
      <c r="T64" s="43">
        <v>300</v>
      </c>
      <c r="U64" s="43">
        <v>0</v>
      </c>
      <c r="V64" s="43">
        <v>0</v>
      </c>
      <c r="W64" s="43">
        <v>0</v>
      </c>
      <c r="X64" s="44">
        <f t="shared" si="3"/>
        <v>3000</v>
      </c>
      <c r="Y64" s="43">
        <v>0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4">
        <f t="shared" si="4"/>
        <v>0</v>
      </c>
      <c r="AL64" s="43">
        <v>400</v>
      </c>
      <c r="AM64" s="43">
        <v>400</v>
      </c>
      <c r="AN64" s="43">
        <v>400</v>
      </c>
      <c r="AO64" s="43">
        <v>400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4">
        <f t="shared" si="7"/>
        <v>1600</v>
      </c>
      <c r="AY64" s="311">
        <f>SUMIF(Recibos!$D$4:$D$7493,Cobranza!$B64,Recibos!K$4:K$7493)</f>
        <v>400</v>
      </c>
      <c r="AZ64" s="311">
        <f>SUMIF(Recibos!$D$4:$D$7493,Cobranza!$B64,Recibos!L$4:L$7493)</f>
        <v>400</v>
      </c>
      <c r="BA64" s="311">
        <f>SUMIF(Recibos!$D$4:$D$7493,Cobranza!$B64,Recibos!M$4:M$7493)</f>
        <v>400</v>
      </c>
      <c r="BB64" s="311">
        <f>SUMIF(Recibos!$D$4:$D$7493,Cobranza!$B64,Recibos!N$4:N$7493)</f>
        <v>400</v>
      </c>
      <c r="BC64" s="311">
        <f>SUMIF(Recibos!$D$4:$D$7493,Cobranza!$B64,Recibos!O$4:O$7493)</f>
        <v>400</v>
      </c>
      <c r="BD64" s="311">
        <f>SUMIF(Recibos!$D$4:$D$7493,Cobranza!$B64,Recibos!P$4:P$7493)</f>
        <v>0</v>
      </c>
      <c r="BE64" s="311">
        <f>SUMIF(Recibos!$D$4:$D$7493,Cobranza!$B64,Recibos!Q$4:Q$7493)</f>
        <v>0</v>
      </c>
      <c r="BF64" s="311">
        <f>SUMIF(Recibos!$D$4:$D$7493,Cobranza!$B64,Recibos!R$4:R$7493)</f>
        <v>0</v>
      </c>
      <c r="BG64" s="311">
        <f>SUMIF(Recibos!$D$4:$D$7493,Cobranza!$B64,Recibos!S$4:S$7493)</f>
        <v>0</v>
      </c>
      <c r="BH64" s="311">
        <f>SUMIF(Recibos!$D$4:$D$7493,Cobranza!$B64,Recibos!T$4:T$7493)</f>
        <v>0</v>
      </c>
      <c r="BI64" s="311">
        <f>SUMIF(Recibos!$D$4:$D$7493,Cobranza!$B64,Recibos!U$4:U$7493)</f>
        <v>0</v>
      </c>
      <c r="BJ64" s="311">
        <f>SUMIF(Recibos!$D$4:$D$7493,Cobranza!$B64,Recibos!V$4:V$7493)</f>
        <v>0</v>
      </c>
      <c r="BK64" s="312">
        <f t="shared" si="8"/>
        <v>2000</v>
      </c>
      <c r="BL64" s="311">
        <f>SUMIF(Recibos!$D$4:$D$7493,Cobranza!$B64,Recibos!X$4:X$7493)</f>
        <v>400</v>
      </c>
      <c r="BM64" s="311">
        <f>SUMIF(Recibos!$D$4:$D$7493,Cobranza!$B64,Recibos!Y$4:Y$7493)</f>
        <v>400</v>
      </c>
      <c r="BN64" s="311">
        <f>SUMIF(Recibos!$D$4:$D$7493,Cobranza!$B64,Recibos!Z$4:Z$7493)</f>
        <v>400</v>
      </c>
      <c r="BO64" s="311">
        <f>SUMIF(Recibos!$D$4:$D$7493,Cobranza!$B64,Recibos!AA$4:AA$7493)</f>
        <v>400</v>
      </c>
      <c r="BP64" s="311">
        <f>SUMIF(Recibos!$D$4:$D$7493,Cobranza!$B64,Recibos!AB$4:AB$7493)</f>
        <v>400</v>
      </c>
      <c r="BQ64" s="311">
        <f>SUMIF(Recibos!$D$4:$D$7493,Cobranza!$B64,Recibos!AC$4:AC$7493)</f>
        <v>400</v>
      </c>
      <c r="BR64" s="311">
        <f>SUMIF(Recibos!$D$4:$D$7493,Cobranza!$B64,Recibos!AD$4:AD$7493)</f>
        <v>0</v>
      </c>
      <c r="BS64" s="311">
        <f>SUMIF(Recibos!$D$4:$D$7493,Cobranza!$B64,Recibos!AE$4:AE$7493)</f>
        <v>0</v>
      </c>
      <c r="BT64" s="311">
        <f>SUMIF(Recibos!$D$4:$D$7493,Cobranza!$B64,Recibos!AF$4:AF$7493)</f>
        <v>0</v>
      </c>
      <c r="BU64" s="311">
        <f>SUMIF(Recibos!$D$4:$D$7493,Cobranza!$B64,Recibos!AG$4:AG$7493)</f>
        <v>0</v>
      </c>
      <c r="BV64" s="311">
        <f>SUMIF(Recibos!$D$4:$D$7493,Cobranza!$B64,Recibos!AH$4:AH$7493)</f>
        <v>0</v>
      </c>
      <c r="BW64" s="311">
        <f>SUMIF(Recibos!$D$4:$D$7493,Cobranza!$B64,Recibos!AI$4:AI$7493)</f>
        <v>0</v>
      </c>
      <c r="BX64" s="312">
        <f t="shared" si="9"/>
        <v>2400</v>
      </c>
      <c r="BY64" s="311">
        <f>SUMIF(Recibos!$D$4:$D$7493,Cobranza!$B64,Recibos!AK$4:AK$7493)</f>
        <v>0</v>
      </c>
      <c r="BZ64" s="311">
        <f>SUMIF(Recibos!$D$4:$D$7493,Cobranza!$B64,Recibos!AL$4:AL$7493)</f>
        <v>0</v>
      </c>
      <c r="CA64" s="311">
        <f>SUMIF(Recibos!$D$4:$D$7493,Cobranza!$B64,Recibos!AM$4:AM$7493)</f>
        <v>0</v>
      </c>
      <c r="CB64" s="311">
        <f>SUMIF(Recibos!$D$4:$D$7493,Cobranza!$B64,Recibos!AN$4:AN$7493)</f>
        <v>0</v>
      </c>
      <c r="CC64" s="311">
        <f>SUMIF(Recibos!$D$4:$D$7493,Cobranza!$B64,Recibos!AO$4:AO$7493)</f>
        <v>0</v>
      </c>
      <c r="CD64" s="311">
        <f>SUMIF(Recibos!$D$4:$D$7493,Cobranza!$B64,Recibos!AP$4:AP$7493)</f>
        <v>0</v>
      </c>
      <c r="CE64" s="311">
        <f>SUMIF(Recibos!$D$4:$D$7493,Cobranza!$B64,Recibos!AQ$4:AQ$7493)</f>
        <v>0</v>
      </c>
      <c r="CF64" s="311">
        <f>SUMIF(Recibos!$D$4:$D$7493,Cobranza!$B64,Recibos!AR$4:AR$7493)</f>
        <v>0</v>
      </c>
      <c r="CG64" s="311">
        <f>SUMIF(Recibos!$D$4:$D$7493,Cobranza!$B64,Recibos!AS$4:AS$7493)</f>
        <v>0</v>
      </c>
      <c r="CH64" s="311">
        <f>SUMIF(Recibos!$D$4:$D$7493,Cobranza!$B64,Recibos!AT$4:AT$7493)</f>
        <v>400</v>
      </c>
      <c r="CI64" s="311">
        <f>SUMIF(Recibos!$D$4:$D$7493,Cobranza!$B64,Recibos!AU$4:AU$7493)</f>
        <v>0</v>
      </c>
      <c r="CJ64" s="311">
        <f>SUMIF(Recibos!$D$4:$D$7493,Cobranza!$B64,Recibos!AV$4:AV$7493)</f>
        <v>0</v>
      </c>
      <c r="CK64" s="312">
        <f t="shared" si="6"/>
        <v>400</v>
      </c>
    </row>
    <row r="65" spans="2:89" x14ac:dyDescent="0.2">
      <c r="B65" s="45" t="s">
        <v>705</v>
      </c>
      <c r="C65" s="45" t="s">
        <v>706</v>
      </c>
      <c r="D65" s="45" t="s">
        <v>707</v>
      </c>
      <c r="E65" s="46">
        <v>0</v>
      </c>
      <c r="F65" s="46">
        <v>0</v>
      </c>
      <c r="G65" s="46">
        <v>0</v>
      </c>
      <c r="H65" s="46">
        <v>0</v>
      </c>
      <c r="I65" s="46">
        <v>300</v>
      </c>
      <c r="J65" s="46">
        <v>300</v>
      </c>
      <c r="K65" s="47">
        <f t="shared" si="2"/>
        <v>600</v>
      </c>
      <c r="L65" s="46">
        <v>300</v>
      </c>
      <c r="M65" s="46">
        <v>300</v>
      </c>
      <c r="N65" s="46">
        <v>300</v>
      </c>
      <c r="O65" s="46">
        <v>300</v>
      </c>
      <c r="P65" s="46">
        <v>300</v>
      </c>
      <c r="Q65" s="46">
        <v>300</v>
      </c>
      <c r="R65" s="46">
        <v>300</v>
      </c>
      <c r="S65" s="46">
        <v>300</v>
      </c>
      <c r="T65" s="46">
        <v>300</v>
      </c>
      <c r="U65" s="46">
        <v>400</v>
      </c>
      <c r="V65" s="46">
        <v>400</v>
      </c>
      <c r="W65" s="46">
        <v>400</v>
      </c>
      <c r="X65" s="47">
        <f t="shared" si="3"/>
        <v>3900</v>
      </c>
      <c r="Y65" s="46">
        <v>400</v>
      </c>
      <c r="Z65" s="46">
        <v>400</v>
      </c>
      <c r="AA65" s="46">
        <v>400</v>
      </c>
      <c r="AB65" s="46">
        <v>400</v>
      </c>
      <c r="AC65" s="46">
        <v>400</v>
      </c>
      <c r="AD65" s="46">
        <v>400</v>
      </c>
      <c r="AE65" s="46">
        <v>400</v>
      </c>
      <c r="AF65" s="46">
        <v>400</v>
      </c>
      <c r="AG65" s="46">
        <v>400</v>
      </c>
      <c r="AH65" s="46">
        <v>400</v>
      </c>
      <c r="AI65" s="46">
        <v>400</v>
      </c>
      <c r="AJ65" s="46">
        <v>300</v>
      </c>
      <c r="AK65" s="47">
        <f t="shared" si="4"/>
        <v>4700</v>
      </c>
      <c r="AL65" s="46">
        <v>300</v>
      </c>
      <c r="AM65" s="46">
        <v>300</v>
      </c>
      <c r="AN65" s="46">
        <v>300</v>
      </c>
      <c r="AO65" s="46">
        <v>300</v>
      </c>
      <c r="AP65" s="46">
        <v>300</v>
      </c>
      <c r="AQ65" s="46">
        <v>300</v>
      </c>
      <c r="AR65" s="46">
        <v>300</v>
      </c>
      <c r="AS65" s="46">
        <v>300</v>
      </c>
      <c r="AT65" s="46">
        <v>300</v>
      </c>
      <c r="AU65" s="46">
        <v>300</v>
      </c>
      <c r="AV65" s="46">
        <v>300</v>
      </c>
      <c r="AW65" s="46">
        <v>300</v>
      </c>
      <c r="AX65" s="47">
        <f t="shared" si="7"/>
        <v>3600</v>
      </c>
      <c r="AY65" s="313">
        <f>SUMIF(Recibos!$D$4:$D$7493,Cobranza!$B65,Recibos!K$4:K$7493)</f>
        <v>300</v>
      </c>
      <c r="AZ65" s="313">
        <f>SUMIF(Recibos!$D$4:$D$7493,Cobranza!$B65,Recibos!L$4:L$7493)</f>
        <v>300</v>
      </c>
      <c r="BA65" s="313">
        <f>SUMIF(Recibos!$D$4:$D$7493,Cobranza!$B65,Recibos!M$4:M$7493)</f>
        <v>300</v>
      </c>
      <c r="BB65" s="313">
        <f>SUMIF(Recibos!$D$4:$D$7493,Cobranza!$B65,Recibos!N$4:N$7493)</f>
        <v>300</v>
      </c>
      <c r="BC65" s="313">
        <f>SUMIF(Recibos!$D$4:$D$7493,Cobranza!$B65,Recibos!O$4:O$7493)</f>
        <v>300</v>
      </c>
      <c r="BD65" s="313">
        <f>SUMIF(Recibos!$D$4:$D$7493,Cobranza!$B65,Recibos!P$4:P$7493)</f>
        <v>300</v>
      </c>
      <c r="BE65" s="313">
        <f>SUMIF(Recibos!$D$4:$D$7493,Cobranza!$B65,Recibos!Q$4:Q$7493)</f>
        <v>300</v>
      </c>
      <c r="BF65" s="313">
        <f>SUMIF(Recibos!$D$4:$D$7493,Cobranza!$B65,Recibos!R$4:R$7493)</f>
        <v>300</v>
      </c>
      <c r="BG65" s="313">
        <f>SUMIF(Recibos!$D$4:$D$7493,Cobranza!$B65,Recibos!S$4:S$7493)</f>
        <v>300</v>
      </c>
      <c r="BH65" s="313">
        <f>SUMIF(Recibos!$D$4:$D$7493,Cobranza!$B65,Recibos!T$4:T$7493)</f>
        <v>300</v>
      </c>
      <c r="BI65" s="313">
        <f>SUMIF(Recibos!$D$4:$D$7493,Cobranza!$B65,Recibos!U$4:U$7493)</f>
        <v>300</v>
      </c>
      <c r="BJ65" s="313">
        <f>SUMIF(Recibos!$D$4:$D$7493,Cobranza!$B65,Recibos!V$4:V$7493)</f>
        <v>300</v>
      </c>
      <c r="BK65" s="314">
        <f t="shared" si="8"/>
        <v>3600</v>
      </c>
      <c r="BL65" s="313">
        <f>SUMIF(Recibos!$D$4:$D$7493,Cobranza!$B65,Recibos!X$4:X$7493)</f>
        <v>300</v>
      </c>
      <c r="BM65" s="313">
        <f>SUMIF(Recibos!$D$4:$D$7493,Cobranza!$B65,Recibos!Y$4:Y$7493)</f>
        <v>300</v>
      </c>
      <c r="BN65" s="313">
        <f>SUMIF(Recibos!$D$4:$D$7493,Cobranza!$B65,Recibos!Z$4:Z$7493)</f>
        <v>300</v>
      </c>
      <c r="BO65" s="313">
        <f>SUMIF(Recibos!$D$4:$D$7493,Cobranza!$B65,Recibos!AA$4:AA$7493)</f>
        <v>300</v>
      </c>
      <c r="BP65" s="313">
        <f>SUMIF(Recibos!$D$4:$D$7493,Cobranza!$B65,Recibos!AB$4:AB$7493)</f>
        <v>300</v>
      </c>
      <c r="BQ65" s="313">
        <f>SUMIF(Recibos!$D$4:$D$7493,Cobranza!$B65,Recibos!AC$4:AC$7493)</f>
        <v>300</v>
      </c>
      <c r="BR65" s="313">
        <f>SUMIF(Recibos!$D$4:$D$7493,Cobranza!$B65,Recibos!AD$4:AD$7493)</f>
        <v>300</v>
      </c>
      <c r="BS65" s="313">
        <f>SUMIF(Recibos!$D$4:$D$7493,Cobranza!$B65,Recibos!AE$4:AE$7493)</f>
        <v>300</v>
      </c>
      <c r="BT65" s="313">
        <f>SUMIF(Recibos!$D$4:$D$7493,Cobranza!$B65,Recibos!AF$4:AF$7493)</f>
        <v>300</v>
      </c>
      <c r="BU65" s="313">
        <f>SUMIF(Recibos!$D$4:$D$7493,Cobranza!$B65,Recibos!AG$4:AG$7493)</f>
        <v>300</v>
      </c>
      <c r="BV65" s="313">
        <f>SUMIF(Recibos!$D$4:$D$7493,Cobranza!$B65,Recibos!AH$4:AH$7493)</f>
        <v>300</v>
      </c>
      <c r="BW65" s="313">
        <f>SUMIF(Recibos!$D$4:$D$7493,Cobranza!$B65,Recibos!AI$4:AI$7493)</f>
        <v>300</v>
      </c>
      <c r="BX65" s="314">
        <f t="shared" si="9"/>
        <v>3600</v>
      </c>
      <c r="BY65" s="313">
        <f>SUMIF(Recibos!$D$4:$D$7493,Cobranza!$B65,Recibos!AK$4:AK$7493)</f>
        <v>300</v>
      </c>
      <c r="BZ65" s="313">
        <f>SUMIF(Recibos!$D$4:$D$7493,Cobranza!$B65,Recibos!AL$4:AL$7493)</f>
        <v>300</v>
      </c>
      <c r="CA65" s="313">
        <f>SUMIF(Recibos!$D$4:$D$7493,Cobranza!$B65,Recibos!AM$4:AM$7493)</f>
        <v>300</v>
      </c>
      <c r="CB65" s="313">
        <f>SUMIF(Recibos!$D$4:$D$7493,Cobranza!$B65,Recibos!AN$4:AN$7493)</f>
        <v>300</v>
      </c>
      <c r="CC65" s="313">
        <f>SUMIF(Recibos!$D$4:$D$7493,Cobranza!$B65,Recibos!AO$4:AO$7493)</f>
        <v>300</v>
      </c>
      <c r="CD65" s="313">
        <f>SUMIF(Recibos!$D$4:$D$7493,Cobranza!$B65,Recibos!AP$4:AP$7493)</f>
        <v>300</v>
      </c>
      <c r="CE65" s="313">
        <f>SUMIF(Recibos!$D$4:$D$7493,Cobranza!$B65,Recibos!AQ$4:AQ$7493)</f>
        <v>300</v>
      </c>
      <c r="CF65" s="313">
        <f>SUMIF(Recibos!$D$4:$D$7493,Cobranza!$B65,Recibos!AR$4:AR$7493)</f>
        <v>300</v>
      </c>
      <c r="CG65" s="313">
        <f>SUMIF(Recibos!$D$4:$D$7493,Cobranza!$B65,Recibos!AS$4:AS$7493)</f>
        <v>300</v>
      </c>
      <c r="CH65" s="313">
        <f>SUMIF(Recibos!$D$4:$D$7493,Cobranza!$B65,Recibos!AT$4:AT$7493)</f>
        <v>0</v>
      </c>
      <c r="CI65" s="313">
        <f>SUMIF(Recibos!$D$4:$D$7493,Cobranza!$B65,Recibos!AU$4:AU$7493)</f>
        <v>0</v>
      </c>
      <c r="CJ65" s="313">
        <f>SUMIF(Recibos!$D$4:$D$7493,Cobranza!$B65,Recibos!AV$4:AV$7493)</f>
        <v>0</v>
      </c>
      <c r="CK65" s="314">
        <f t="shared" si="6"/>
        <v>2700</v>
      </c>
    </row>
    <row r="66" spans="2:89" x14ac:dyDescent="0.2">
      <c r="B66" s="42" t="s">
        <v>1283</v>
      </c>
      <c r="C66" s="42" t="s">
        <v>1284</v>
      </c>
      <c r="D66" s="42"/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4">
        <f t="shared" si="2"/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4">
        <f t="shared" si="3"/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4">
        <f t="shared" si="4"/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4">
        <f t="shared" si="7"/>
        <v>0</v>
      </c>
      <c r="AY66" s="311">
        <f>SUMIF(Recibos!$D$4:$D$7493,Cobranza!$B66,Recibos!K$4:K$7493)</f>
        <v>0</v>
      </c>
      <c r="AZ66" s="311">
        <f>SUMIF(Recibos!$D$4:$D$7493,Cobranza!$B66,Recibos!L$4:L$7493)</f>
        <v>0</v>
      </c>
      <c r="BA66" s="311">
        <f>SUMIF(Recibos!$D$4:$D$7493,Cobranza!$B66,Recibos!M$4:M$7493)</f>
        <v>0</v>
      </c>
      <c r="BB66" s="311">
        <f>SUMIF(Recibos!$D$4:$D$7493,Cobranza!$B66,Recibos!N$4:N$7493)</f>
        <v>0</v>
      </c>
      <c r="BC66" s="311">
        <f>SUMIF(Recibos!$D$4:$D$7493,Cobranza!$B66,Recibos!O$4:O$7493)</f>
        <v>0</v>
      </c>
      <c r="BD66" s="311">
        <f>SUMIF(Recibos!$D$4:$D$7493,Cobranza!$B66,Recibos!P$4:P$7493)</f>
        <v>0</v>
      </c>
      <c r="BE66" s="311">
        <f>SUMIF(Recibos!$D$4:$D$7493,Cobranza!$B66,Recibos!Q$4:Q$7493)</f>
        <v>0</v>
      </c>
      <c r="BF66" s="311">
        <f>SUMIF(Recibos!$D$4:$D$7493,Cobranza!$B66,Recibos!R$4:R$7493)</f>
        <v>0</v>
      </c>
      <c r="BG66" s="311">
        <f>SUMIF(Recibos!$D$4:$D$7493,Cobranza!$B66,Recibos!S$4:S$7493)</f>
        <v>0</v>
      </c>
      <c r="BH66" s="311">
        <f>SUMIF(Recibos!$D$4:$D$7493,Cobranza!$B66,Recibos!T$4:T$7493)</f>
        <v>0</v>
      </c>
      <c r="BI66" s="311">
        <f>SUMIF(Recibos!$D$4:$D$7493,Cobranza!$B66,Recibos!U$4:U$7493)</f>
        <v>0</v>
      </c>
      <c r="BJ66" s="311">
        <f>SUMIF(Recibos!$D$4:$D$7493,Cobranza!$B66,Recibos!V$4:V$7493)</f>
        <v>0</v>
      </c>
      <c r="BK66" s="312">
        <f t="shared" si="8"/>
        <v>0</v>
      </c>
      <c r="BL66" s="311">
        <f>SUMIF(Recibos!$D$4:$D$7493,Cobranza!$B66,Recibos!X$4:X$7493)</f>
        <v>0</v>
      </c>
      <c r="BM66" s="311">
        <f>SUMIF(Recibos!$D$4:$D$7493,Cobranza!$B66,Recibos!Y$4:Y$7493)</f>
        <v>0</v>
      </c>
      <c r="BN66" s="311">
        <f>SUMIF(Recibos!$D$4:$D$7493,Cobranza!$B66,Recibos!Z$4:Z$7493)</f>
        <v>0</v>
      </c>
      <c r="BO66" s="311">
        <f>SUMIF(Recibos!$D$4:$D$7493,Cobranza!$B66,Recibos!AA$4:AA$7493)</f>
        <v>0</v>
      </c>
      <c r="BP66" s="311">
        <f>SUMIF(Recibos!$D$4:$D$7493,Cobranza!$B66,Recibos!AB$4:AB$7493)</f>
        <v>0</v>
      </c>
      <c r="BQ66" s="311">
        <f>SUMIF(Recibos!$D$4:$D$7493,Cobranza!$B66,Recibos!AC$4:AC$7493)</f>
        <v>0</v>
      </c>
      <c r="BR66" s="311">
        <f>SUMIF(Recibos!$D$4:$D$7493,Cobranza!$B66,Recibos!AD$4:AD$7493)</f>
        <v>0</v>
      </c>
      <c r="BS66" s="311">
        <f>SUMIF(Recibos!$D$4:$D$7493,Cobranza!$B66,Recibos!AE$4:AE$7493)</f>
        <v>0</v>
      </c>
      <c r="BT66" s="311">
        <f>SUMIF(Recibos!$D$4:$D$7493,Cobranza!$B66,Recibos!AF$4:AF$7493)</f>
        <v>0</v>
      </c>
      <c r="BU66" s="311">
        <f>SUMIF(Recibos!$D$4:$D$7493,Cobranza!$B66,Recibos!AG$4:AG$7493)</f>
        <v>0</v>
      </c>
      <c r="BV66" s="311">
        <f>SUMIF(Recibos!$D$4:$D$7493,Cobranza!$B66,Recibos!AH$4:AH$7493)</f>
        <v>0</v>
      </c>
      <c r="BW66" s="311">
        <f>SUMIF(Recibos!$D$4:$D$7493,Cobranza!$B66,Recibos!AI$4:AI$7493)</f>
        <v>0</v>
      </c>
      <c r="BX66" s="312">
        <f t="shared" si="9"/>
        <v>0</v>
      </c>
      <c r="BY66" s="311">
        <f>SUMIF(Recibos!$D$4:$D$7493,Cobranza!$B66,Recibos!AK$4:AK$7493)</f>
        <v>0</v>
      </c>
      <c r="BZ66" s="311">
        <f>SUMIF(Recibos!$D$4:$D$7493,Cobranza!$B66,Recibos!AL$4:AL$7493)</f>
        <v>0</v>
      </c>
      <c r="CA66" s="311">
        <f>SUMIF(Recibos!$D$4:$D$7493,Cobranza!$B66,Recibos!AM$4:AM$7493)</f>
        <v>0</v>
      </c>
      <c r="CB66" s="311">
        <f>SUMIF(Recibos!$D$4:$D$7493,Cobranza!$B66,Recibos!AN$4:AN$7493)</f>
        <v>0</v>
      </c>
      <c r="CC66" s="311">
        <f>SUMIF(Recibos!$D$4:$D$7493,Cobranza!$B66,Recibos!AO$4:AO$7493)</f>
        <v>0</v>
      </c>
      <c r="CD66" s="311">
        <f>SUMIF(Recibos!$D$4:$D$7493,Cobranza!$B66,Recibos!AP$4:AP$7493)</f>
        <v>0</v>
      </c>
      <c r="CE66" s="311">
        <f>SUMIF(Recibos!$D$4:$D$7493,Cobranza!$B66,Recibos!AQ$4:AQ$7493)</f>
        <v>0</v>
      </c>
      <c r="CF66" s="311">
        <f>SUMIF(Recibos!$D$4:$D$7493,Cobranza!$B66,Recibos!AR$4:AR$7493)</f>
        <v>0</v>
      </c>
      <c r="CG66" s="311">
        <f>SUMIF(Recibos!$D$4:$D$7493,Cobranza!$B66,Recibos!AS$4:AS$7493)</f>
        <v>0</v>
      </c>
      <c r="CH66" s="311">
        <f>SUMIF(Recibos!$D$4:$D$7493,Cobranza!$B66,Recibos!AT$4:AT$7493)</f>
        <v>0</v>
      </c>
      <c r="CI66" s="311">
        <f>SUMIF(Recibos!$D$4:$D$7493,Cobranza!$B66,Recibos!AU$4:AU$7493)</f>
        <v>0</v>
      </c>
      <c r="CJ66" s="311">
        <f>SUMIF(Recibos!$D$4:$D$7493,Cobranza!$B66,Recibos!AV$4:AV$7493)</f>
        <v>0</v>
      </c>
      <c r="CK66" s="312">
        <f t="shared" si="6"/>
        <v>0</v>
      </c>
    </row>
    <row r="67" spans="2:89" x14ac:dyDescent="0.2">
      <c r="B67" s="45" t="s">
        <v>509</v>
      </c>
      <c r="C67" s="45" t="s">
        <v>510</v>
      </c>
      <c r="D67" s="45" t="s">
        <v>511</v>
      </c>
      <c r="E67" s="46">
        <v>0</v>
      </c>
      <c r="F67" s="46">
        <v>0</v>
      </c>
      <c r="G67" s="46">
        <v>0</v>
      </c>
      <c r="H67" s="46">
        <v>300</v>
      </c>
      <c r="I67" s="46">
        <v>300</v>
      </c>
      <c r="J67" s="46">
        <v>0</v>
      </c>
      <c r="K67" s="47">
        <f t="shared" si="2"/>
        <v>600</v>
      </c>
      <c r="L67" s="46">
        <v>300</v>
      </c>
      <c r="M67" s="46">
        <v>300</v>
      </c>
      <c r="N67" s="46">
        <v>300</v>
      </c>
      <c r="O67" s="46">
        <v>300</v>
      </c>
      <c r="P67" s="46">
        <v>300</v>
      </c>
      <c r="Q67" s="46">
        <v>300</v>
      </c>
      <c r="R67" s="46">
        <v>300</v>
      </c>
      <c r="S67" s="46">
        <v>300</v>
      </c>
      <c r="T67" s="46">
        <v>0</v>
      </c>
      <c r="U67" s="46">
        <v>0</v>
      </c>
      <c r="V67" s="46">
        <v>0</v>
      </c>
      <c r="W67" s="46">
        <v>0</v>
      </c>
      <c r="X67" s="47">
        <f t="shared" si="3"/>
        <v>2400</v>
      </c>
      <c r="Y67" s="46">
        <v>300</v>
      </c>
      <c r="Z67" s="46">
        <v>300</v>
      </c>
      <c r="AA67" s="46">
        <v>300</v>
      </c>
      <c r="AB67" s="46">
        <v>300</v>
      </c>
      <c r="AC67" s="46">
        <v>300</v>
      </c>
      <c r="AD67" s="46">
        <v>0</v>
      </c>
      <c r="AE67" s="46">
        <v>300</v>
      </c>
      <c r="AF67" s="46">
        <v>300</v>
      </c>
      <c r="AG67" s="46">
        <v>300</v>
      </c>
      <c r="AH67" s="46">
        <v>0</v>
      </c>
      <c r="AI67" s="46">
        <v>0</v>
      </c>
      <c r="AJ67" s="46">
        <v>0</v>
      </c>
      <c r="AK67" s="47">
        <f t="shared" si="4"/>
        <v>2400</v>
      </c>
      <c r="AL67" s="46">
        <v>300</v>
      </c>
      <c r="AM67" s="46">
        <v>300</v>
      </c>
      <c r="AN67" s="46">
        <v>300</v>
      </c>
      <c r="AO67" s="46">
        <v>300</v>
      </c>
      <c r="AP67" s="46">
        <v>300</v>
      </c>
      <c r="AQ67" s="46">
        <v>300</v>
      </c>
      <c r="AR67" s="46">
        <v>300</v>
      </c>
      <c r="AS67" s="46">
        <v>300</v>
      </c>
      <c r="AT67" s="46">
        <v>300</v>
      </c>
      <c r="AU67" s="46">
        <v>300</v>
      </c>
      <c r="AV67" s="46">
        <v>300</v>
      </c>
      <c r="AW67" s="46">
        <v>300</v>
      </c>
      <c r="AX67" s="47">
        <f t="shared" si="7"/>
        <v>3600</v>
      </c>
      <c r="AY67" s="313">
        <f>SUMIF(Recibos!$D$4:$D$7493,Cobranza!$B67,Recibos!K$4:K$7493)</f>
        <v>300</v>
      </c>
      <c r="AZ67" s="313">
        <f>SUMIF(Recibos!$D$4:$D$7493,Cobranza!$B67,Recibos!L$4:L$7493)</f>
        <v>300</v>
      </c>
      <c r="BA67" s="313">
        <f>SUMIF(Recibos!$D$4:$D$7493,Cobranza!$B67,Recibos!M$4:M$7493)</f>
        <v>300</v>
      </c>
      <c r="BB67" s="313">
        <f>SUMIF(Recibos!$D$4:$D$7493,Cobranza!$B67,Recibos!N$4:N$7493)</f>
        <v>300</v>
      </c>
      <c r="BC67" s="313">
        <f>SUMIF(Recibos!$D$4:$D$7493,Cobranza!$B67,Recibos!O$4:O$7493)</f>
        <v>300</v>
      </c>
      <c r="BD67" s="313">
        <f>SUMIF(Recibos!$D$4:$D$7493,Cobranza!$B67,Recibos!P$4:P$7493)</f>
        <v>300</v>
      </c>
      <c r="BE67" s="313">
        <f>SUMIF(Recibos!$D$4:$D$7493,Cobranza!$B67,Recibos!Q$4:Q$7493)</f>
        <v>300</v>
      </c>
      <c r="BF67" s="313">
        <f>SUMIF(Recibos!$D$4:$D$7493,Cobranza!$B67,Recibos!R$4:R$7493)</f>
        <v>300</v>
      </c>
      <c r="BG67" s="313">
        <f>SUMIF(Recibos!$D$4:$D$7493,Cobranza!$B67,Recibos!S$4:S$7493)</f>
        <v>300</v>
      </c>
      <c r="BH67" s="313">
        <f>SUMIF(Recibos!$D$4:$D$7493,Cobranza!$B67,Recibos!T$4:T$7493)</f>
        <v>300</v>
      </c>
      <c r="BI67" s="313">
        <f>SUMIF(Recibos!$D$4:$D$7493,Cobranza!$B67,Recibos!U$4:U$7493)</f>
        <v>300</v>
      </c>
      <c r="BJ67" s="313">
        <f>SUMIF(Recibos!$D$4:$D$7493,Cobranza!$B67,Recibos!V$4:V$7493)</f>
        <v>300</v>
      </c>
      <c r="BK67" s="314">
        <f t="shared" si="8"/>
        <v>3600</v>
      </c>
      <c r="BL67" s="313">
        <f>SUMIF(Recibos!$D$4:$D$7493,Cobranza!$B67,Recibos!X$4:X$7493)</f>
        <v>300</v>
      </c>
      <c r="BM67" s="313">
        <f>SUMIF(Recibos!$D$4:$D$7493,Cobranza!$B67,Recibos!Y$4:Y$7493)</f>
        <v>300</v>
      </c>
      <c r="BN67" s="313">
        <f>SUMIF(Recibos!$D$4:$D$7493,Cobranza!$B67,Recibos!Z$4:Z$7493)</f>
        <v>300</v>
      </c>
      <c r="BO67" s="313">
        <f>SUMIF(Recibos!$D$4:$D$7493,Cobranza!$B67,Recibos!AA$4:AA$7493)</f>
        <v>300</v>
      </c>
      <c r="BP67" s="313">
        <f>SUMIF(Recibos!$D$4:$D$7493,Cobranza!$B67,Recibos!AB$4:AB$7493)</f>
        <v>0</v>
      </c>
      <c r="BQ67" s="313">
        <f>SUMIF(Recibos!$D$4:$D$7493,Cobranza!$B67,Recibos!AC$4:AC$7493)</f>
        <v>0</v>
      </c>
      <c r="BR67" s="313">
        <f>SUMIF(Recibos!$D$4:$D$7493,Cobranza!$B67,Recibos!AD$4:AD$7493)</f>
        <v>0</v>
      </c>
      <c r="BS67" s="313">
        <f>SUMIF(Recibos!$D$4:$D$7493,Cobranza!$B67,Recibos!AE$4:AE$7493)</f>
        <v>300</v>
      </c>
      <c r="BT67" s="313">
        <f>SUMIF(Recibos!$D$4:$D$7493,Cobranza!$B67,Recibos!AF$4:AF$7493)</f>
        <v>300</v>
      </c>
      <c r="BU67" s="313">
        <f>SUMIF(Recibos!$D$4:$D$7493,Cobranza!$B67,Recibos!AG$4:AG$7493)</f>
        <v>300</v>
      </c>
      <c r="BV67" s="313">
        <f>SUMIF(Recibos!$D$4:$D$7493,Cobranza!$B67,Recibos!AH$4:AH$7493)</f>
        <v>300</v>
      </c>
      <c r="BW67" s="313">
        <f>SUMIF(Recibos!$D$4:$D$7493,Cobranza!$B67,Recibos!AI$4:AI$7493)</f>
        <v>300</v>
      </c>
      <c r="BX67" s="314">
        <f t="shared" si="9"/>
        <v>2700</v>
      </c>
      <c r="BY67" s="313">
        <f>SUMIF(Recibos!$D$4:$D$7493,Cobranza!$B67,Recibos!AK$4:AK$7493)</f>
        <v>300</v>
      </c>
      <c r="BZ67" s="313">
        <f>SUMIF(Recibos!$D$4:$D$7493,Cobranza!$B67,Recibos!AL$4:AL$7493)</f>
        <v>300</v>
      </c>
      <c r="CA67" s="313">
        <f>SUMIF(Recibos!$D$4:$D$7493,Cobranza!$B67,Recibos!AM$4:AM$7493)</f>
        <v>300</v>
      </c>
      <c r="CB67" s="313">
        <f>SUMIF(Recibos!$D$4:$D$7493,Cobranza!$B67,Recibos!AN$4:AN$7493)</f>
        <v>300</v>
      </c>
      <c r="CC67" s="313">
        <f>SUMIF(Recibos!$D$4:$D$7493,Cobranza!$B67,Recibos!AO$4:AO$7493)</f>
        <v>300</v>
      </c>
      <c r="CD67" s="313">
        <f>SUMIF(Recibos!$D$4:$D$7493,Cobranza!$B67,Recibos!AP$4:AP$7493)</f>
        <v>300</v>
      </c>
      <c r="CE67" s="313">
        <f>SUMIF(Recibos!$D$4:$D$7493,Cobranza!$B67,Recibos!AQ$4:AQ$7493)</f>
        <v>300</v>
      </c>
      <c r="CF67" s="313">
        <f>SUMIF(Recibos!$D$4:$D$7493,Cobranza!$B67,Recibos!AR$4:AR$7493)</f>
        <v>300</v>
      </c>
      <c r="CG67" s="313">
        <f>SUMIF(Recibos!$D$4:$D$7493,Cobranza!$B67,Recibos!AS$4:AS$7493)</f>
        <v>0</v>
      </c>
      <c r="CH67" s="313">
        <f>SUMIF(Recibos!$D$4:$D$7493,Cobranza!$B67,Recibos!AT$4:AT$7493)</f>
        <v>0</v>
      </c>
      <c r="CI67" s="313">
        <f>SUMIF(Recibos!$D$4:$D$7493,Cobranza!$B67,Recibos!AU$4:AU$7493)</f>
        <v>0</v>
      </c>
      <c r="CJ67" s="313">
        <f>SUMIF(Recibos!$D$4:$D$7493,Cobranza!$B67,Recibos!AV$4:AV$7493)</f>
        <v>0</v>
      </c>
      <c r="CK67" s="314">
        <f t="shared" si="6"/>
        <v>2400</v>
      </c>
    </row>
    <row r="68" spans="2:89" x14ac:dyDescent="0.2">
      <c r="B68" s="42" t="s">
        <v>97</v>
      </c>
      <c r="C68" s="42" t="s">
        <v>98</v>
      </c>
      <c r="D68" s="42" t="s">
        <v>99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4">
        <f t="shared" si="2"/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4">
        <f t="shared" si="3"/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400</v>
      </c>
      <c r="AK68" s="44">
        <f t="shared" si="4"/>
        <v>400</v>
      </c>
      <c r="AL68" s="43">
        <v>400</v>
      </c>
      <c r="AM68" s="43">
        <v>400</v>
      </c>
      <c r="AN68" s="43">
        <v>400</v>
      </c>
      <c r="AO68" s="43">
        <v>400</v>
      </c>
      <c r="AP68" s="43">
        <v>400</v>
      </c>
      <c r="AQ68" s="43">
        <v>400</v>
      </c>
      <c r="AR68" s="43">
        <v>400</v>
      </c>
      <c r="AS68" s="43">
        <v>400</v>
      </c>
      <c r="AT68" s="43">
        <v>400</v>
      </c>
      <c r="AU68" s="43">
        <v>400</v>
      </c>
      <c r="AV68" s="43">
        <v>400</v>
      </c>
      <c r="AW68" s="43">
        <v>400</v>
      </c>
      <c r="AX68" s="44">
        <f t="shared" si="7"/>
        <v>4800</v>
      </c>
      <c r="AY68" s="311">
        <f>SUMIF(Recibos!$D$4:$D$7493,Cobranza!$B68,Recibos!K$4:K$7493)</f>
        <v>400</v>
      </c>
      <c r="AZ68" s="311">
        <f>SUMIF(Recibos!$D$4:$D$7493,Cobranza!$B68,Recibos!L$4:L$7493)</f>
        <v>400</v>
      </c>
      <c r="BA68" s="311">
        <f>SUMIF(Recibos!$D$4:$D$7493,Cobranza!$B68,Recibos!M$4:M$7493)</f>
        <v>400</v>
      </c>
      <c r="BB68" s="311">
        <f>SUMIF(Recibos!$D$4:$D$7493,Cobranza!$B68,Recibos!N$4:N$7493)</f>
        <v>400</v>
      </c>
      <c r="BC68" s="311">
        <f>SUMIF(Recibos!$D$4:$D$7493,Cobranza!$B68,Recibos!O$4:O$7493)</f>
        <v>400</v>
      </c>
      <c r="BD68" s="311">
        <f>SUMIF(Recibos!$D$4:$D$7493,Cobranza!$B68,Recibos!P$4:P$7493)</f>
        <v>400</v>
      </c>
      <c r="BE68" s="311">
        <f>SUMIF(Recibos!$D$4:$D$7493,Cobranza!$B68,Recibos!Q$4:Q$7493)</f>
        <v>400</v>
      </c>
      <c r="BF68" s="311">
        <f>SUMIF(Recibos!$D$4:$D$7493,Cobranza!$B68,Recibos!R$4:R$7493)</f>
        <v>400</v>
      </c>
      <c r="BG68" s="311">
        <f>SUMIF(Recibos!$D$4:$D$7493,Cobranza!$B68,Recibos!S$4:S$7493)</f>
        <v>400</v>
      </c>
      <c r="BH68" s="311">
        <f>SUMIF(Recibos!$D$4:$D$7493,Cobranza!$B68,Recibos!T$4:T$7493)</f>
        <v>400</v>
      </c>
      <c r="BI68" s="311">
        <f>SUMIF(Recibos!$D$4:$D$7493,Cobranza!$B68,Recibos!U$4:U$7493)</f>
        <v>400</v>
      </c>
      <c r="BJ68" s="311">
        <f>SUMIF(Recibos!$D$4:$D$7493,Cobranza!$B68,Recibos!V$4:V$7493)</f>
        <v>400</v>
      </c>
      <c r="BK68" s="312">
        <f t="shared" si="8"/>
        <v>4800</v>
      </c>
      <c r="BL68" s="311">
        <f>SUMIF(Recibos!$D$4:$D$7493,Cobranza!$B68,Recibos!X$4:X$7493)</f>
        <v>400</v>
      </c>
      <c r="BM68" s="311">
        <f>SUMIF(Recibos!$D$4:$D$7493,Cobranza!$B68,Recibos!Y$4:Y$7493)</f>
        <v>400</v>
      </c>
      <c r="BN68" s="311">
        <f>SUMIF(Recibos!$D$4:$D$7493,Cobranza!$B68,Recibos!Z$4:Z$7493)</f>
        <v>400</v>
      </c>
      <c r="BO68" s="311">
        <f>SUMIF(Recibos!$D$4:$D$7493,Cobranza!$B68,Recibos!AA$4:AA$7493)</f>
        <v>400</v>
      </c>
      <c r="BP68" s="311">
        <f>SUMIF(Recibos!$D$4:$D$7493,Cobranza!$B68,Recibos!AB$4:AB$7493)</f>
        <v>400</v>
      </c>
      <c r="BQ68" s="311">
        <f>SUMIF(Recibos!$D$4:$D$7493,Cobranza!$B68,Recibos!AC$4:AC$7493)</f>
        <v>400</v>
      </c>
      <c r="BR68" s="311">
        <f>SUMIF(Recibos!$D$4:$D$7493,Cobranza!$B68,Recibos!AD$4:AD$7493)</f>
        <v>300</v>
      </c>
      <c r="BS68" s="311">
        <f>SUMIF(Recibos!$D$4:$D$7493,Cobranza!$B68,Recibos!AE$4:AE$7493)</f>
        <v>400</v>
      </c>
      <c r="BT68" s="311">
        <f>SUMIF(Recibos!$D$4:$D$7493,Cobranza!$B68,Recibos!AF$4:AF$7493)</f>
        <v>400</v>
      </c>
      <c r="BU68" s="311">
        <f>SUMIF(Recibos!$D$4:$D$7493,Cobranza!$B68,Recibos!AG$4:AG$7493)</f>
        <v>400</v>
      </c>
      <c r="BV68" s="311">
        <f>SUMIF(Recibos!$D$4:$D$7493,Cobranza!$B68,Recibos!AH$4:AH$7493)</f>
        <v>400</v>
      </c>
      <c r="BW68" s="311">
        <f>SUMIF(Recibos!$D$4:$D$7493,Cobranza!$B68,Recibos!AI$4:AI$7493)</f>
        <v>400</v>
      </c>
      <c r="BX68" s="312">
        <f t="shared" si="9"/>
        <v>4700</v>
      </c>
      <c r="BY68" s="311">
        <f>SUMIF(Recibos!$D$4:$D$7493,Cobranza!$B68,Recibos!AK$4:AK$7493)</f>
        <v>400</v>
      </c>
      <c r="BZ68" s="311">
        <f>SUMIF(Recibos!$D$4:$D$7493,Cobranza!$B68,Recibos!AL$4:AL$7493)</f>
        <v>400</v>
      </c>
      <c r="CA68" s="311">
        <f>SUMIF(Recibos!$D$4:$D$7493,Cobranza!$B68,Recibos!AM$4:AM$7493)</f>
        <v>400</v>
      </c>
      <c r="CB68" s="311">
        <f>SUMIF(Recibos!$D$4:$D$7493,Cobranza!$B68,Recibos!AN$4:AN$7493)</f>
        <v>400</v>
      </c>
      <c r="CC68" s="311">
        <f>SUMIF(Recibos!$D$4:$D$7493,Cobranza!$B68,Recibos!AO$4:AO$7493)</f>
        <v>400</v>
      </c>
      <c r="CD68" s="311">
        <f>SUMIF(Recibos!$D$4:$D$7493,Cobranza!$B68,Recibos!AP$4:AP$7493)</f>
        <v>400</v>
      </c>
      <c r="CE68" s="311">
        <f>SUMIF(Recibos!$D$4:$D$7493,Cobranza!$B68,Recibos!AQ$4:AQ$7493)</f>
        <v>400</v>
      </c>
      <c r="CF68" s="311">
        <f>SUMIF(Recibos!$D$4:$D$7493,Cobranza!$B68,Recibos!AR$4:AR$7493)</f>
        <v>400</v>
      </c>
      <c r="CG68" s="311">
        <f>SUMIF(Recibos!$D$4:$D$7493,Cobranza!$B68,Recibos!AS$4:AS$7493)</f>
        <v>400</v>
      </c>
      <c r="CH68" s="311">
        <f>SUMIF(Recibos!$D$4:$D$7493,Cobranza!$B68,Recibos!AT$4:AT$7493)</f>
        <v>400</v>
      </c>
      <c r="CI68" s="311">
        <f>SUMIF(Recibos!$D$4:$D$7493,Cobranza!$B68,Recibos!AU$4:AU$7493)</f>
        <v>0</v>
      </c>
      <c r="CJ68" s="311">
        <f>SUMIF(Recibos!$D$4:$D$7493,Cobranza!$B68,Recibos!AV$4:AV$7493)</f>
        <v>0</v>
      </c>
      <c r="CK68" s="312">
        <f t="shared" si="6"/>
        <v>4000</v>
      </c>
    </row>
    <row r="69" spans="2:89" x14ac:dyDescent="0.2">
      <c r="B69" s="45" t="s">
        <v>772</v>
      </c>
      <c r="C69" s="45" t="s">
        <v>773</v>
      </c>
      <c r="D69" s="45" t="s">
        <v>1285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7">
        <f t="shared" si="2"/>
        <v>0</v>
      </c>
      <c r="L69" s="46">
        <v>0</v>
      </c>
      <c r="M69" s="46">
        <v>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47">
        <f t="shared" si="3"/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6">
        <v>0</v>
      </c>
      <c r="AG69" s="46">
        <v>0</v>
      </c>
      <c r="AH69" s="46">
        <v>0</v>
      </c>
      <c r="AI69" s="46">
        <v>0</v>
      </c>
      <c r="AJ69" s="46">
        <v>0</v>
      </c>
      <c r="AK69" s="47">
        <f t="shared" si="4"/>
        <v>0</v>
      </c>
      <c r="AL69" s="46">
        <v>0</v>
      </c>
      <c r="AM69" s="46">
        <v>200</v>
      </c>
      <c r="AN69" s="46">
        <v>200</v>
      </c>
      <c r="AO69" s="46">
        <v>200</v>
      </c>
      <c r="AP69" s="46">
        <v>200</v>
      </c>
      <c r="AQ69" s="46">
        <v>200</v>
      </c>
      <c r="AR69" s="46">
        <v>200</v>
      </c>
      <c r="AS69" s="46">
        <v>200</v>
      </c>
      <c r="AT69" s="46">
        <v>200</v>
      </c>
      <c r="AU69" s="46">
        <v>200</v>
      </c>
      <c r="AV69" s="46">
        <v>200</v>
      </c>
      <c r="AW69" s="46">
        <v>0</v>
      </c>
      <c r="AX69" s="47">
        <f t="shared" si="7"/>
        <v>2000</v>
      </c>
      <c r="AY69" s="313">
        <f>SUMIF(Recibos!$D$4:$D$7493,Cobranza!$B69,Recibos!K$4:K$7493)</f>
        <v>200</v>
      </c>
      <c r="AZ69" s="313">
        <f>SUMIF(Recibos!$D$4:$D$7493,Cobranza!$B69,Recibos!L$4:L$7493)</f>
        <v>200</v>
      </c>
      <c r="BA69" s="313">
        <f>SUMIF(Recibos!$D$4:$D$7493,Cobranza!$B69,Recibos!M$4:M$7493)</f>
        <v>200</v>
      </c>
      <c r="BB69" s="313">
        <f>SUMIF(Recibos!$D$4:$D$7493,Cobranza!$B69,Recibos!N$4:N$7493)</f>
        <v>200</v>
      </c>
      <c r="BC69" s="313">
        <f>SUMIF(Recibos!$D$4:$D$7493,Cobranza!$B69,Recibos!O$4:O$7493)</f>
        <v>200</v>
      </c>
      <c r="BD69" s="313">
        <f>SUMIF(Recibos!$D$4:$D$7493,Cobranza!$B69,Recibos!P$4:P$7493)</f>
        <v>200</v>
      </c>
      <c r="BE69" s="313">
        <f>SUMIF(Recibos!$D$4:$D$7493,Cobranza!$B69,Recibos!Q$4:Q$7493)</f>
        <v>0</v>
      </c>
      <c r="BF69" s="313">
        <f>SUMIF(Recibos!$D$4:$D$7493,Cobranza!$B69,Recibos!R$4:R$7493)</f>
        <v>0</v>
      </c>
      <c r="BG69" s="313">
        <f>SUMIF(Recibos!$D$4:$D$7493,Cobranza!$B69,Recibos!S$4:S$7493)</f>
        <v>0</v>
      </c>
      <c r="BH69" s="313">
        <f>SUMIF(Recibos!$D$4:$D$7493,Cobranza!$B69,Recibos!T$4:T$7493)</f>
        <v>0</v>
      </c>
      <c r="BI69" s="313">
        <f>SUMIF(Recibos!$D$4:$D$7493,Cobranza!$B69,Recibos!U$4:U$7493)</f>
        <v>0</v>
      </c>
      <c r="BJ69" s="313">
        <f>SUMIF(Recibos!$D$4:$D$7493,Cobranza!$B69,Recibos!V$4:V$7493)</f>
        <v>0</v>
      </c>
      <c r="BK69" s="314">
        <f t="shared" si="8"/>
        <v>1200</v>
      </c>
      <c r="BL69" s="313">
        <f>SUMIF(Recibos!$D$4:$D$7493,Cobranza!$B69,Recibos!X$4:X$7493)</f>
        <v>200</v>
      </c>
      <c r="BM69" s="313">
        <f>SUMIF(Recibos!$D$4:$D$7493,Cobranza!$B69,Recibos!Y$4:Y$7493)</f>
        <v>200</v>
      </c>
      <c r="BN69" s="313">
        <f>SUMIF(Recibos!$D$4:$D$7493,Cobranza!$B69,Recibos!Z$4:Z$7493)</f>
        <v>200</v>
      </c>
      <c r="BO69" s="313">
        <f>SUMIF(Recibos!$D$4:$D$7493,Cobranza!$B69,Recibos!AA$4:AA$7493)</f>
        <v>0</v>
      </c>
      <c r="BP69" s="313">
        <f>SUMIF(Recibos!$D$4:$D$7493,Cobranza!$B69,Recibos!AB$4:AB$7493)</f>
        <v>200</v>
      </c>
      <c r="BQ69" s="313">
        <f>SUMIF(Recibos!$D$4:$D$7493,Cobranza!$B69,Recibos!AC$4:AC$7493)</f>
        <v>200</v>
      </c>
      <c r="BR69" s="313">
        <f>SUMIF(Recibos!$D$4:$D$7493,Cobranza!$B69,Recibos!AD$4:AD$7493)</f>
        <v>200</v>
      </c>
      <c r="BS69" s="313">
        <f>SUMIF(Recibos!$D$4:$D$7493,Cobranza!$B69,Recibos!AE$4:AE$7493)</f>
        <v>200</v>
      </c>
      <c r="BT69" s="313">
        <f>SUMIF(Recibos!$D$4:$D$7493,Cobranza!$B69,Recibos!AF$4:AF$7493)</f>
        <v>200</v>
      </c>
      <c r="BU69" s="313">
        <f>SUMIF(Recibos!$D$4:$D$7493,Cobranza!$B69,Recibos!AG$4:AG$7493)</f>
        <v>200</v>
      </c>
      <c r="BV69" s="313">
        <f>SUMIF(Recibos!$D$4:$D$7493,Cobranza!$B69,Recibos!AH$4:AH$7493)</f>
        <v>0</v>
      </c>
      <c r="BW69" s="313">
        <f>SUMIF(Recibos!$D$4:$D$7493,Cobranza!$B69,Recibos!AI$4:AI$7493)</f>
        <v>0</v>
      </c>
      <c r="BX69" s="314">
        <f t="shared" si="9"/>
        <v>1800</v>
      </c>
      <c r="BY69" s="313">
        <f>SUMIF(Recibos!$D$4:$D$7493,Cobranza!$B69,Recibos!AK$4:AK$7493)</f>
        <v>200</v>
      </c>
      <c r="BZ69" s="313">
        <f>SUMIF(Recibos!$D$4:$D$7493,Cobranza!$B69,Recibos!AL$4:AL$7493)</f>
        <v>200</v>
      </c>
      <c r="CA69" s="313">
        <f>SUMIF(Recibos!$D$4:$D$7493,Cobranza!$B69,Recibos!AM$4:AM$7493)</f>
        <v>200</v>
      </c>
      <c r="CB69" s="313">
        <f>SUMIF(Recibos!$D$4:$D$7493,Cobranza!$B69,Recibos!AN$4:AN$7493)</f>
        <v>200</v>
      </c>
      <c r="CC69" s="313">
        <f>SUMIF(Recibos!$D$4:$D$7493,Cobranza!$B69,Recibos!AO$4:AO$7493)</f>
        <v>0</v>
      </c>
      <c r="CD69" s="313">
        <f>SUMIF(Recibos!$D$4:$D$7493,Cobranza!$B69,Recibos!AP$4:AP$7493)</f>
        <v>0</v>
      </c>
      <c r="CE69" s="313">
        <f>SUMIF(Recibos!$D$4:$D$7493,Cobranza!$B69,Recibos!AQ$4:AQ$7493)</f>
        <v>200</v>
      </c>
      <c r="CF69" s="313">
        <f>SUMIF(Recibos!$D$4:$D$7493,Cobranza!$B69,Recibos!AR$4:AR$7493)</f>
        <v>200</v>
      </c>
      <c r="CG69" s="313">
        <f>SUMIF(Recibos!$D$4:$D$7493,Cobranza!$B69,Recibos!AS$4:AS$7493)</f>
        <v>200</v>
      </c>
      <c r="CH69" s="313">
        <f>SUMIF(Recibos!$D$4:$D$7493,Cobranza!$B69,Recibos!AT$4:AT$7493)</f>
        <v>0</v>
      </c>
      <c r="CI69" s="313">
        <f>SUMIF(Recibos!$D$4:$D$7493,Cobranza!$B69,Recibos!AU$4:AU$7493)</f>
        <v>0</v>
      </c>
      <c r="CJ69" s="313">
        <f>SUMIF(Recibos!$D$4:$D$7493,Cobranza!$B69,Recibos!AV$4:AV$7493)</f>
        <v>0</v>
      </c>
      <c r="CK69" s="314">
        <f t="shared" si="6"/>
        <v>1400</v>
      </c>
    </row>
    <row r="70" spans="2:89" x14ac:dyDescent="0.2">
      <c r="B70" s="42" t="s">
        <v>54</v>
      </c>
      <c r="C70" s="42" t="s">
        <v>55</v>
      </c>
      <c r="D70" s="42" t="s">
        <v>56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4">
        <f t="shared" si="2"/>
        <v>0</v>
      </c>
      <c r="L70" s="43">
        <v>300</v>
      </c>
      <c r="M70" s="43">
        <v>300</v>
      </c>
      <c r="N70" s="43">
        <v>300</v>
      </c>
      <c r="O70" s="43">
        <v>300</v>
      </c>
      <c r="P70" s="43">
        <v>300</v>
      </c>
      <c r="Q70" s="43">
        <v>300</v>
      </c>
      <c r="R70" s="43">
        <v>300</v>
      </c>
      <c r="S70" s="43">
        <v>300</v>
      </c>
      <c r="T70" s="43">
        <v>300</v>
      </c>
      <c r="U70" s="43">
        <v>300</v>
      </c>
      <c r="V70" s="43">
        <v>300</v>
      </c>
      <c r="W70" s="43">
        <v>0</v>
      </c>
      <c r="X70" s="44">
        <f t="shared" si="3"/>
        <v>3300</v>
      </c>
      <c r="Y70" s="43">
        <v>400</v>
      </c>
      <c r="Z70" s="43">
        <v>400</v>
      </c>
      <c r="AA70" s="43">
        <v>400</v>
      </c>
      <c r="AB70" s="43">
        <v>400</v>
      </c>
      <c r="AC70" s="43">
        <v>400</v>
      </c>
      <c r="AD70" s="43">
        <v>400</v>
      </c>
      <c r="AE70" s="43">
        <v>400</v>
      </c>
      <c r="AF70" s="43">
        <v>400</v>
      </c>
      <c r="AG70" s="43">
        <v>400</v>
      </c>
      <c r="AH70" s="43">
        <v>400</v>
      </c>
      <c r="AI70" s="43">
        <v>400</v>
      </c>
      <c r="AJ70" s="43">
        <v>0</v>
      </c>
      <c r="AK70" s="44">
        <f t="shared" si="4"/>
        <v>4400</v>
      </c>
      <c r="AL70" s="43">
        <v>400</v>
      </c>
      <c r="AM70" s="43">
        <v>400</v>
      </c>
      <c r="AN70" s="43">
        <v>400</v>
      </c>
      <c r="AO70" s="43">
        <v>400</v>
      </c>
      <c r="AP70" s="43">
        <v>400</v>
      </c>
      <c r="AQ70" s="43">
        <v>400</v>
      </c>
      <c r="AR70" s="43">
        <v>400</v>
      </c>
      <c r="AS70" s="43">
        <v>400</v>
      </c>
      <c r="AT70" s="43">
        <v>400</v>
      </c>
      <c r="AU70" s="43">
        <v>400</v>
      </c>
      <c r="AV70" s="43">
        <v>400</v>
      </c>
      <c r="AW70" s="43">
        <v>0</v>
      </c>
      <c r="AX70" s="44">
        <f t="shared" si="7"/>
        <v>4400</v>
      </c>
      <c r="AY70" s="311">
        <f>SUMIF(Recibos!$D$4:$D$7493,Cobranza!$B70,Recibos!K$4:K$7493)</f>
        <v>400</v>
      </c>
      <c r="AZ70" s="311">
        <f>SUMIF(Recibos!$D$4:$D$7493,Cobranza!$B70,Recibos!L$4:L$7493)</f>
        <v>400</v>
      </c>
      <c r="BA70" s="311">
        <f>SUMIF(Recibos!$D$4:$D$7493,Cobranza!$B70,Recibos!M$4:M$7493)</f>
        <v>400</v>
      </c>
      <c r="BB70" s="311">
        <f>SUMIF(Recibos!$D$4:$D$7493,Cobranza!$B70,Recibos!N$4:N$7493)</f>
        <v>400</v>
      </c>
      <c r="BC70" s="311">
        <f>SUMIF(Recibos!$D$4:$D$7493,Cobranza!$B70,Recibos!O$4:O$7493)</f>
        <v>400</v>
      </c>
      <c r="BD70" s="311">
        <f>SUMIF(Recibos!$D$4:$D$7493,Cobranza!$B70,Recibos!P$4:P$7493)</f>
        <v>400</v>
      </c>
      <c r="BE70" s="311">
        <f>SUMIF(Recibos!$D$4:$D$7493,Cobranza!$B70,Recibos!Q$4:Q$7493)</f>
        <v>400</v>
      </c>
      <c r="BF70" s="311">
        <f>SUMIF(Recibos!$D$4:$D$7493,Cobranza!$B70,Recibos!R$4:R$7493)</f>
        <v>400</v>
      </c>
      <c r="BG70" s="311">
        <f>SUMIF(Recibos!$D$4:$D$7493,Cobranza!$B70,Recibos!S$4:S$7493)</f>
        <v>400</v>
      </c>
      <c r="BH70" s="311">
        <f>SUMIF(Recibos!$D$4:$D$7493,Cobranza!$B70,Recibos!T$4:T$7493)</f>
        <v>400</v>
      </c>
      <c r="BI70" s="311">
        <f>SUMIF(Recibos!$D$4:$D$7493,Cobranza!$B70,Recibos!U$4:U$7493)</f>
        <v>400</v>
      </c>
      <c r="BJ70" s="311">
        <f>SUMIF(Recibos!$D$4:$D$7493,Cobranza!$B70,Recibos!V$4:V$7493)</f>
        <v>0</v>
      </c>
      <c r="BK70" s="312">
        <f t="shared" si="8"/>
        <v>4400</v>
      </c>
      <c r="BL70" s="311">
        <f>SUMIF(Recibos!$D$4:$D$7493,Cobranza!$B70,Recibos!X$4:X$7493)</f>
        <v>400</v>
      </c>
      <c r="BM70" s="311">
        <f>SUMIF(Recibos!$D$4:$D$7493,Cobranza!$B70,Recibos!Y$4:Y$7493)</f>
        <v>400</v>
      </c>
      <c r="BN70" s="311">
        <f>SUMIF(Recibos!$D$4:$D$7493,Cobranza!$B70,Recibos!Z$4:Z$7493)</f>
        <v>400</v>
      </c>
      <c r="BO70" s="311">
        <f>SUMIF(Recibos!$D$4:$D$7493,Cobranza!$B70,Recibos!AA$4:AA$7493)</f>
        <v>400</v>
      </c>
      <c r="BP70" s="311">
        <f>SUMIF(Recibos!$D$4:$D$7493,Cobranza!$B70,Recibos!AB$4:AB$7493)</f>
        <v>400</v>
      </c>
      <c r="BQ70" s="311">
        <f>SUMIF(Recibos!$D$4:$D$7493,Cobranza!$B70,Recibos!AC$4:AC$7493)</f>
        <v>400</v>
      </c>
      <c r="BR70" s="311">
        <f>SUMIF(Recibos!$D$4:$D$7493,Cobranza!$B70,Recibos!AD$4:AD$7493)</f>
        <v>400</v>
      </c>
      <c r="BS70" s="311">
        <f>SUMIF(Recibos!$D$4:$D$7493,Cobranza!$B70,Recibos!AE$4:AE$7493)</f>
        <v>400</v>
      </c>
      <c r="BT70" s="311">
        <f>SUMIF(Recibos!$D$4:$D$7493,Cobranza!$B70,Recibos!AF$4:AF$7493)</f>
        <v>400</v>
      </c>
      <c r="BU70" s="311">
        <f>SUMIF(Recibos!$D$4:$D$7493,Cobranza!$B70,Recibos!AG$4:AG$7493)</f>
        <v>400</v>
      </c>
      <c r="BV70" s="311">
        <f>SUMIF(Recibos!$D$4:$D$7493,Cobranza!$B70,Recibos!AH$4:AH$7493)</f>
        <v>400</v>
      </c>
      <c r="BW70" s="311">
        <f>SUMIF(Recibos!$D$4:$D$7493,Cobranza!$B70,Recibos!AI$4:AI$7493)</f>
        <v>0</v>
      </c>
      <c r="BX70" s="312">
        <f t="shared" si="9"/>
        <v>4400</v>
      </c>
      <c r="BY70" s="311">
        <f>SUMIF(Recibos!$D$4:$D$7493,Cobranza!$B70,Recibos!AK$4:AK$7493)</f>
        <v>400</v>
      </c>
      <c r="BZ70" s="311">
        <f>SUMIF(Recibos!$D$4:$D$7493,Cobranza!$B70,Recibos!AL$4:AL$7493)</f>
        <v>400</v>
      </c>
      <c r="CA70" s="311">
        <f>SUMIF(Recibos!$D$4:$D$7493,Cobranza!$B70,Recibos!AM$4:AM$7493)</f>
        <v>400</v>
      </c>
      <c r="CB70" s="311">
        <f>SUMIF(Recibos!$D$4:$D$7493,Cobranza!$B70,Recibos!AN$4:AN$7493)</f>
        <v>400</v>
      </c>
      <c r="CC70" s="311">
        <f>SUMIF(Recibos!$D$4:$D$7493,Cobranza!$B70,Recibos!AO$4:AO$7493)</f>
        <v>400</v>
      </c>
      <c r="CD70" s="311">
        <f>SUMIF(Recibos!$D$4:$D$7493,Cobranza!$B70,Recibos!AP$4:AP$7493)</f>
        <v>400</v>
      </c>
      <c r="CE70" s="311">
        <f>SUMIF(Recibos!$D$4:$D$7493,Cobranza!$B70,Recibos!AQ$4:AQ$7493)</f>
        <v>400</v>
      </c>
      <c r="CF70" s="311">
        <f>SUMIF(Recibos!$D$4:$D$7493,Cobranza!$B70,Recibos!AR$4:AR$7493)</f>
        <v>400</v>
      </c>
      <c r="CG70" s="311">
        <f>SUMIF(Recibos!$D$4:$D$7493,Cobranza!$B70,Recibos!AS$4:AS$7493)</f>
        <v>400</v>
      </c>
      <c r="CH70" s="311">
        <f>SUMIF(Recibos!$D$4:$D$7493,Cobranza!$B70,Recibos!AT$4:AT$7493)</f>
        <v>400</v>
      </c>
      <c r="CI70" s="311">
        <f>SUMIF(Recibos!$D$4:$D$7493,Cobranza!$B70,Recibos!AU$4:AU$7493)</f>
        <v>400</v>
      </c>
      <c r="CJ70" s="311">
        <f>SUMIF(Recibos!$D$4:$D$7493,Cobranza!$B70,Recibos!AV$4:AV$7493)</f>
        <v>0</v>
      </c>
      <c r="CK70" s="312">
        <f t="shared" si="6"/>
        <v>4400</v>
      </c>
    </row>
    <row r="71" spans="2:89" x14ac:dyDescent="0.2">
      <c r="B71" s="45" t="s">
        <v>702</v>
      </c>
      <c r="C71" s="45" t="s">
        <v>703</v>
      </c>
      <c r="D71" s="45" t="s">
        <v>704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7">
        <f t="shared" si="2"/>
        <v>0</v>
      </c>
      <c r="L71" s="46">
        <v>0</v>
      </c>
      <c r="M71" s="46">
        <v>0</v>
      </c>
      <c r="N71" s="46">
        <v>0</v>
      </c>
      <c r="O71" s="46">
        <v>0</v>
      </c>
      <c r="P71" s="46">
        <v>0</v>
      </c>
      <c r="Q71" s="46">
        <v>0</v>
      </c>
      <c r="R71" s="46">
        <v>0</v>
      </c>
      <c r="S71" s="46">
        <v>0</v>
      </c>
      <c r="T71" s="46">
        <v>0</v>
      </c>
      <c r="U71" s="46">
        <v>0</v>
      </c>
      <c r="V71" s="46">
        <v>0</v>
      </c>
      <c r="W71" s="46">
        <v>0</v>
      </c>
      <c r="X71" s="47">
        <f t="shared" si="3"/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46">
        <v>0</v>
      </c>
      <c r="AH71" s="46">
        <v>0</v>
      </c>
      <c r="AI71" s="46">
        <v>0</v>
      </c>
      <c r="AJ71" s="46">
        <v>0</v>
      </c>
      <c r="AK71" s="47">
        <f t="shared" si="4"/>
        <v>0</v>
      </c>
      <c r="AL71" s="46">
        <v>400</v>
      </c>
      <c r="AM71" s="46">
        <v>400</v>
      </c>
      <c r="AN71" s="46">
        <v>400</v>
      </c>
      <c r="AO71" s="46">
        <v>400</v>
      </c>
      <c r="AP71" s="46">
        <v>400</v>
      </c>
      <c r="AQ71" s="46">
        <v>400</v>
      </c>
      <c r="AR71" s="46">
        <v>400</v>
      </c>
      <c r="AS71" s="46">
        <v>400</v>
      </c>
      <c r="AT71" s="46">
        <v>400</v>
      </c>
      <c r="AU71" s="46">
        <v>400</v>
      </c>
      <c r="AV71" s="46">
        <v>400</v>
      </c>
      <c r="AW71" s="46">
        <v>400</v>
      </c>
      <c r="AX71" s="47">
        <f t="shared" si="7"/>
        <v>4800</v>
      </c>
      <c r="AY71" s="313">
        <f>SUMIF(Recibos!$D$4:$D$7493,Cobranza!$B71,Recibos!K$4:K$7493)</f>
        <v>400</v>
      </c>
      <c r="AZ71" s="313">
        <f>SUMIF(Recibos!$D$4:$D$7493,Cobranza!$B71,Recibos!L$4:L$7493)</f>
        <v>400</v>
      </c>
      <c r="BA71" s="313">
        <f>SUMIF(Recibos!$D$4:$D$7493,Cobranza!$B71,Recibos!M$4:M$7493)</f>
        <v>400</v>
      </c>
      <c r="BB71" s="313">
        <f>SUMIF(Recibos!$D$4:$D$7493,Cobranza!$B71,Recibos!N$4:N$7493)</f>
        <v>400</v>
      </c>
      <c r="BC71" s="313">
        <f>SUMIF(Recibos!$D$4:$D$7493,Cobranza!$B71,Recibos!O$4:O$7493)</f>
        <v>400</v>
      </c>
      <c r="BD71" s="313">
        <f>SUMIF(Recibos!$D$4:$D$7493,Cobranza!$B71,Recibos!P$4:P$7493)</f>
        <v>400</v>
      </c>
      <c r="BE71" s="313">
        <f>SUMIF(Recibos!$D$4:$D$7493,Cobranza!$B71,Recibos!Q$4:Q$7493)</f>
        <v>400</v>
      </c>
      <c r="BF71" s="313">
        <f>SUMIF(Recibos!$D$4:$D$7493,Cobranza!$B71,Recibos!R$4:R$7493)</f>
        <v>400</v>
      </c>
      <c r="BG71" s="313">
        <f>SUMIF(Recibos!$D$4:$D$7493,Cobranza!$B71,Recibos!S$4:S$7493)</f>
        <v>400</v>
      </c>
      <c r="BH71" s="313">
        <f>SUMIF(Recibos!$D$4:$D$7493,Cobranza!$B71,Recibos!T$4:T$7493)</f>
        <v>400</v>
      </c>
      <c r="BI71" s="313">
        <f>SUMIF(Recibos!$D$4:$D$7493,Cobranza!$B71,Recibos!U$4:U$7493)</f>
        <v>400</v>
      </c>
      <c r="BJ71" s="313">
        <f>SUMIF(Recibos!$D$4:$D$7493,Cobranza!$B71,Recibos!V$4:V$7493)</f>
        <v>0</v>
      </c>
      <c r="BK71" s="314">
        <f t="shared" si="8"/>
        <v>4400</v>
      </c>
      <c r="BL71" s="313">
        <f>SUMIF(Recibos!$D$4:$D$7493,Cobranza!$B71,Recibos!X$4:X$7493)</f>
        <v>400</v>
      </c>
      <c r="BM71" s="313">
        <f>SUMIF(Recibos!$D$4:$D$7493,Cobranza!$B71,Recibos!Y$4:Y$7493)</f>
        <v>400</v>
      </c>
      <c r="BN71" s="313">
        <f>SUMIF(Recibos!$D$4:$D$7493,Cobranza!$B71,Recibos!Z$4:Z$7493)</f>
        <v>400</v>
      </c>
      <c r="BO71" s="313">
        <f>SUMIF(Recibos!$D$4:$D$7493,Cobranza!$B71,Recibos!AA$4:AA$7493)</f>
        <v>400</v>
      </c>
      <c r="BP71" s="313">
        <f>SUMIF(Recibos!$D$4:$D$7493,Cobranza!$B71,Recibos!AB$4:AB$7493)</f>
        <v>400</v>
      </c>
      <c r="BQ71" s="313">
        <f>SUMIF(Recibos!$D$4:$D$7493,Cobranza!$B71,Recibos!AC$4:AC$7493)</f>
        <v>400</v>
      </c>
      <c r="BR71" s="313">
        <f>SUMIF(Recibos!$D$4:$D$7493,Cobranza!$B71,Recibos!AD$4:AD$7493)</f>
        <v>400</v>
      </c>
      <c r="BS71" s="313">
        <f>SUMIF(Recibos!$D$4:$D$7493,Cobranza!$B71,Recibos!AE$4:AE$7493)</f>
        <v>400</v>
      </c>
      <c r="BT71" s="313">
        <f>SUMIF(Recibos!$D$4:$D$7493,Cobranza!$B71,Recibos!AF$4:AF$7493)</f>
        <v>400</v>
      </c>
      <c r="BU71" s="313">
        <f>SUMIF(Recibos!$D$4:$D$7493,Cobranza!$B71,Recibos!AG$4:AG$7493)</f>
        <v>400</v>
      </c>
      <c r="BV71" s="313">
        <f>SUMIF(Recibos!$D$4:$D$7493,Cobranza!$B71,Recibos!AH$4:AH$7493)</f>
        <v>400</v>
      </c>
      <c r="BW71" s="313">
        <f>SUMIF(Recibos!$D$4:$D$7493,Cobranza!$B71,Recibos!AI$4:AI$7493)</f>
        <v>0</v>
      </c>
      <c r="BX71" s="314">
        <f t="shared" si="9"/>
        <v>4400</v>
      </c>
      <c r="BY71" s="313">
        <f>SUMIF(Recibos!$D$4:$D$7493,Cobranza!$B71,Recibos!AK$4:AK$7493)</f>
        <v>400</v>
      </c>
      <c r="BZ71" s="313">
        <f>SUMIF(Recibos!$D$4:$D$7493,Cobranza!$B71,Recibos!AL$4:AL$7493)</f>
        <v>400</v>
      </c>
      <c r="CA71" s="313">
        <f>SUMIF(Recibos!$D$4:$D$7493,Cobranza!$B71,Recibos!AM$4:AM$7493)</f>
        <v>400</v>
      </c>
      <c r="CB71" s="313">
        <f>SUMIF(Recibos!$D$4:$D$7493,Cobranza!$B71,Recibos!AN$4:AN$7493)</f>
        <v>400</v>
      </c>
      <c r="CC71" s="313">
        <f>SUMIF(Recibos!$D$4:$D$7493,Cobranza!$B71,Recibos!AO$4:AO$7493)</f>
        <v>400</v>
      </c>
      <c r="CD71" s="313">
        <f>SUMIF(Recibos!$D$4:$D$7493,Cobranza!$B71,Recibos!AP$4:AP$7493)</f>
        <v>400</v>
      </c>
      <c r="CE71" s="313">
        <f>SUMIF(Recibos!$D$4:$D$7493,Cobranza!$B71,Recibos!AQ$4:AQ$7493)</f>
        <v>400</v>
      </c>
      <c r="CF71" s="313">
        <f>SUMIF(Recibos!$D$4:$D$7493,Cobranza!$B71,Recibos!AR$4:AR$7493)</f>
        <v>400</v>
      </c>
      <c r="CG71" s="313">
        <f>SUMIF(Recibos!$D$4:$D$7493,Cobranza!$B71,Recibos!AS$4:AS$7493)</f>
        <v>400</v>
      </c>
      <c r="CH71" s="313">
        <f>SUMIF(Recibos!$D$4:$D$7493,Cobranza!$B71,Recibos!AT$4:AT$7493)</f>
        <v>400</v>
      </c>
      <c r="CI71" s="313">
        <f>SUMIF(Recibos!$D$4:$D$7493,Cobranza!$B71,Recibos!AU$4:AU$7493)</f>
        <v>400</v>
      </c>
      <c r="CJ71" s="313">
        <f>SUMIF(Recibos!$D$4:$D$7493,Cobranza!$B71,Recibos!AV$4:AV$7493)</f>
        <v>0</v>
      </c>
      <c r="CK71" s="314">
        <f t="shared" ref="CK71:CK134" si="10">SUM(BY71:CJ71)</f>
        <v>4400</v>
      </c>
    </row>
    <row r="72" spans="2:89" x14ac:dyDescent="0.2">
      <c r="B72" s="42" t="s">
        <v>241</v>
      </c>
      <c r="C72" s="42" t="s">
        <v>242</v>
      </c>
      <c r="D72" s="42" t="s">
        <v>243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300</v>
      </c>
      <c r="K72" s="44">
        <f t="shared" si="2"/>
        <v>300</v>
      </c>
      <c r="L72" s="43">
        <v>300</v>
      </c>
      <c r="M72" s="43">
        <v>300</v>
      </c>
      <c r="N72" s="43">
        <v>300</v>
      </c>
      <c r="O72" s="43">
        <v>300</v>
      </c>
      <c r="P72" s="43">
        <v>300</v>
      </c>
      <c r="Q72" s="43">
        <v>300</v>
      </c>
      <c r="R72" s="43">
        <v>300</v>
      </c>
      <c r="S72" s="43">
        <v>300</v>
      </c>
      <c r="T72" s="43">
        <v>300</v>
      </c>
      <c r="U72" s="43">
        <v>500</v>
      </c>
      <c r="V72" s="43">
        <v>500</v>
      </c>
      <c r="W72" s="43">
        <v>500</v>
      </c>
      <c r="X72" s="44">
        <f t="shared" si="3"/>
        <v>4200</v>
      </c>
      <c r="Y72" s="43">
        <v>400</v>
      </c>
      <c r="Z72" s="43">
        <v>400</v>
      </c>
      <c r="AA72" s="43">
        <v>400</v>
      </c>
      <c r="AB72" s="43">
        <v>400</v>
      </c>
      <c r="AC72" s="43">
        <v>400</v>
      </c>
      <c r="AD72" s="43">
        <v>400</v>
      </c>
      <c r="AE72" s="43">
        <v>400</v>
      </c>
      <c r="AF72" s="43">
        <v>400</v>
      </c>
      <c r="AG72" s="43">
        <v>800</v>
      </c>
      <c r="AH72" s="43">
        <v>400</v>
      </c>
      <c r="AI72" s="43">
        <v>400</v>
      </c>
      <c r="AJ72" s="43">
        <v>400</v>
      </c>
      <c r="AK72" s="44">
        <f t="shared" si="4"/>
        <v>5200</v>
      </c>
      <c r="AL72" s="43">
        <v>400</v>
      </c>
      <c r="AM72" s="43">
        <v>400</v>
      </c>
      <c r="AN72" s="43">
        <v>400</v>
      </c>
      <c r="AO72" s="43">
        <v>400</v>
      </c>
      <c r="AP72" s="43">
        <v>400</v>
      </c>
      <c r="AQ72" s="43">
        <v>400</v>
      </c>
      <c r="AR72" s="43">
        <v>400</v>
      </c>
      <c r="AS72" s="43">
        <v>400</v>
      </c>
      <c r="AT72" s="43">
        <v>400</v>
      </c>
      <c r="AU72" s="43">
        <v>400</v>
      </c>
      <c r="AV72" s="43">
        <v>400</v>
      </c>
      <c r="AW72" s="43">
        <v>400</v>
      </c>
      <c r="AX72" s="44">
        <f t="shared" si="7"/>
        <v>4800</v>
      </c>
      <c r="AY72" s="311">
        <f>SUMIF(Recibos!$D$4:$D$7493,Cobranza!$B72,Recibos!K$4:K$7493)</f>
        <v>400</v>
      </c>
      <c r="AZ72" s="311">
        <f>SUMIF(Recibos!$D$4:$D$7493,Cobranza!$B72,Recibos!L$4:L$7493)</f>
        <v>400</v>
      </c>
      <c r="BA72" s="311">
        <f>SUMIF(Recibos!$D$4:$D$7493,Cobranza!$B72,Recibos!M$4:M$7493)</f>
        <v>400</v>
      </c>
      <c r="BB72" s="311">
        <f>SUMIF(Recibos!$D$4:$D$7493,Cobranza!$B72,Recibos!N$4:N$7493)</f>
        <v>400</v>
      </c>
      <c r="BC72" s="311">
        <f>SUMIF(Recibos!$D$4:$D$7493,Cobranza!$B72,Recibos!O$4:O$7493)</f>
        <v>400</v>
      </c>
      <c r="BD72" s="311">
        <f>SUMIF(Recibos!$D$4:$D$7493,Cobranza!$B72,Recibos!P$4:P$7493)</f>
        <v>400</v>
      </c>
      <c r="BE72" s="311">
        <f>SUMIF(Recibos!$D$4:$D$7493,Cobranza!$B72,Recibos!Q$4:Q$7493)</f>
        <v>400</v>
      </c>
      <c r="BF72" s="311">
        <f>SUMIF(Recibos!$D$4:$D$7493,Cobranza!$B72,Recibos!R$4:R$7493)</f>
        <v>400</v>
      </c>
      <c r="BG72" s="311">
        <f>SUMIF(Recibos!$D$4:$D$7493,Cobranza!$B72,Recibos!S$4:S$7493)</f>
        <v>400</v>
      </c>
      <c r="BH72" s="311">
        <f>SUMIF(Recibos!$D$4:$D$7493,Cobranza!$B72,Recibos!T$4:T$7493)</f>
        <v>400</v>
      </c>
      <c r="BI72" s="311">
        <f>SUMIF(Recibos!$D$4:$D$7493,Cobranza!$B72,Recibos!U$4:U$7493)</f>
        <v>400</v>
      </c>
      <c r="BJ72" s="311">
        <f>SUMIF(Recibos!$D$4:$D$7493,Cobranza!$B72,Recibos!V$4:V$7493)</f>
        <v>400</v>
      </c>
      <c r="BK72" s="312">
        <f t="shared" si="8"/>
        <v>4800</v>
      </c>
      <c r="BL72" s="311">
        <f>SUMIF(Recibos!$D$4:$D$7493,Cobranza!$B72,Recibos!X$4:X$7493)</f>
        <v>400</v>
      </c>
      <c r="BM72" s="311">
        <f>SUMIF(Recibos!$D$4:$D$7493,Cobranza!$B72,Recibos!Y$4:Y$7493)</f>
        <v>400</v>
      </c>
      <c r="BN72" s="311">
        <f>SUMIF(Recibos!$D$4:$D$7493,Cobranza!$B72,Recibos!Z$4:Z$7493)</f>
        <v>400</v>
      </c>
      <c r="BO72" s="311">
        <f>SUMIF(Recibos!$D$4:$D$7493,Cobranza!$B72,Recibos!AA$4:AA$7493)</f>
        <v>400</v>
      </c>
      <c r="BP72" s="311">
        <f>SUMIF(Recibos!$D$4:$D$7493,Cobranza!$B72,Recibos!AB$4:AB$7493)</f>
        <v>400</v>
      </c>
      <c r="BQ72" s="311">
        <f>SUMIF(Recibos!$D$4:$D$7493,Cobranza!$B72,Recibos!AC$4:AC$7493)</f>
        <v>400</v>
      </c>
      <c r="BR72" s="311">
        <f>SUMIF(Recibos!$D$4:$D$7493,Cobranza!$B72,Recibos!AD$4:AD$7493)</f>
        <v>400</v>
      </c>
      <c r="BS72" s="311">
        <f>SUMIF(Recibos!$D$4:$D$7493,Cobranza!$B72,Recibos!AE$4:AE$7493)</f>
        <v>400</v>
      </c>
      <c r="BT72" s="311">
        <f>SUMIF(Recibos!$D$4:$D$7493,Cobranza!$B72,Recibos!AF$4:AF$7493)</f>
        <v>400</v>
      </c>
      <c r="BU72" s="311">
        <f>SUMIF(Recibos!$D$4:$D$7493,Cobranza!$B72,Recibos!AG$4:AG$7493)</f>
        <v>400</v>
      </c>
      <c r="BV72" s="311">
        <f>SUMIF(Recibos!$D$4:$D$7493,Cobranza!$B72,Recibos!AH$4:AH$7493)</f>
        <v>400</v>
      </c>
      <c r="BW72" s="311">
        <f>SUMIF(Recibos!$D$4:$D$7493,Cobranza!$B72,Recibos!AI$4:AI$7493)</f>
        <v>400</v>
      </c>
      <c r="BX72" s="312">
        <f t="shared" si="9"/>
        <v>4800</v>
      </c>
      <c r="BY72" s="311">
        <f>SUMIF(Recibos!$D$4:$D$7493,Cobranza!$B72,Recibos!AK$4:AK$7493)</f>
        <v>400</v>
      </c>
      <c r="BZ72" s="311">
        <f>SUMIF(Recibos!$D$4:$D$7493,Cobranza!$B72,Recibos!AL$4:AL$7493)</f>
        <v>400</v>
      </c>
      <c r="CA72" s="311">
        <f>SUMIF(Recibos!$D$4:$D$7493,Cobranza!$B72,Recibos!AM$4:AM$7493)</f>
        <v>400</v>
      </c>
      <c r="CB72" s="311">
        <f>SUMIF(Recibos!$D$4:$D$7493,Cobranza!$B72,Recibos!AN$4:AN$7493)</f>
        <v>400</v>
      </c>
      <c r="CC72" s="311">
        <f>SUMIF(Recibos!$D$4:$D$7493,Cobranza!$B72,Recibos!AO$4:AO$7493)</f>
        <v>400</v>
      </c>
      <c r="CD72" s="311">
        <f>SUMIF(Recibos!$D$4:$D$7493,Cobranza!$B72,Recibos!AP$4:AP$7493)</f>
        <v>400</v>
      </c>
      <c r="CE72" s="311">
        <f>SUMIF(Recibos!$D$4:$D$7493,Cobranza!$B72,Recibos!AQ$4:AQ$7493)</f>
        <v>400</v>
      </c>
      <c r="CF72" s="311">
        <f>SUMIF(Recibos!$D$4:$D$7493,Cobranza!$B72,Recibos!AR$4:AR$7493)</f>
        <v>400</v>
      </c>
      <c r="CG72" s="311">
        <f>SUMIF(Recibos!$D$4:$D$7493,Cobranza!$B72,Recibos!AS$4:AS$7493)</f>
        <v>400</v>
      </c>
      <c r="CH72" s="311">
        <f>SUMIF(Recibos!$D$4:$D$7493,Cobranza!$B72,Recibos!AT$4:AT$7493)</f>
        <v>400</v>
      </c>
      <c r="CI72" s="311">
        <f>SUMIF(Recibos!$D$4:$D$7493,Cobranza!$B72,Recibos!AU$4:AU$7493)</f>
        <v>0</v>
      </c>
      <c r="CJ72" s="311">
        <f>SUMIF(Recibos!$D$4:$D$7493,Cobranza!$B72,Recibos!AV$4:AV$7493)</f>
        <v>0</v>
      </c>
      <c r="CK72" s="312">
        <f t="shared" si="10"/>
        <v>4000</v>
      </c>
    </row>
    <row r="73" spans="2:89" x14ac:dyDescent="0.2">
      <c r="B73" s="45" t="s">
        <v>1286</v>
      </c>
      <c r="C73" s="45" t="s">
        <v>1287</v>
      </c>
      <c r="D73" s="45" t="s">
        <v>1288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7">
        <f t="shared" ref="K73:K139" si="11">SUM(E73:J73)</f>
        <v>0</v>
      </c>
      <c r="L73" s="46">
        <v>300</v>
      </c>
      <c r="M73" s="46">
        <v>300</v>
      </c>
      <c r="N73" s="46">
        <v>300</v>
      </c>
      <c r="O73" s="46">
        <v>300</v>
      </c>
      <c r="P73" s="46">
        <v>300</v>
      </c>
      <c r="Q73" s="46">
        <v>300</v>
      </c>
      <c r="R73" s="46">
        <v>300</v>
      </c>
      <c r="S73" s="46">
        <v>300</v>
      </c>
      <c r="T73" s="46">
        <v>300</v>
      </c>
      <c r="U73" s="46">
        <v>300</v>
      </c>
      <c r="V73" s="46">
        <v>300</v>
      </c>
      <c r="W73" s="46">
        <v>0</v>
      </c>
      <c r="X73" s="47">
        <f t="shared" ref="X73:X139" si="12">SUM(L73:W73)</f>
        <v>3300</v>
      </c>
      <c r="Y73" s="46">
        <v>300</v>
      </c>
      <c r="Z73" s="46">
        <v>400</v>
      </c>
      <c r="AA73" s="46">
        <v>0</v>
      </c>
      <c r="AB73" s="46">
        <v>400</v>
      </c>
      <c r="AC73" s="46">
        <v>400</v>
      </c>
      <c r="AD73" s="46">
        <v>400</v>
      </c>
      <c r="AE73" s="46">
        <v>400</v>
      </c>
      <c r="AF73" s="46">
        <v>400</v>
      </c>
      <c r="AG73" s="46">
        <v>0</v>
      </c>
      <c r="AH73" s="46">
        <v>400</v>
      </c>
      <c r="AI73" s="46">
        <v>400</v>
      </c>
      <c r="AJ73" s="46">
        <v>400</v>
      </c>
      <c r="AK73" s="47">
        <f t="shared" ref="AK73:AK139" si="13">SUM(Y73:AJ73)</f>
        <v>3900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7">
        <f t="shared" ref="AX73:AX139" si="14">SUM(AL73:AW73)</f>
        <v>0</v>
      </c>
      <c r="AY73" s="313">
        <f>SUMIF(Recibos!$D$4:$D$7493,Cobranza!$B73,Recibos!K$4:K$7493)</f>
        <v>0</v>
      </c>
      <c r="AZ73" s="313">
        <f>SUMIF(Recibos!$D$4:$D$7493,Cobranza!$B73,Recibos!L$4:L$7493)</f>
        <v>0</v>
      </c>
      <c r="BA73" s="313">
        <f>SUMIF(Recibos!$D$4:$D$7493,Cobranza!$B73,Recibos!M$4:M$7493)</f>
        <v>0</v>
      </c>
      <c r="BB73" s="313">
        <f>SUMIF(Recibos!$D$4:$D$7493,Cobranza!$B73,Recibos!N$4:N$7493)</f>
        <v>0</v>
      </c>
      <c r="BC73" s="313">
        <f>SUMIF(Recibos!$D$4:$D$7493,Cobranza!$B73,Recibos!O$4:O$7493)</f>
        <v>0</v>
      </c>
      <c r="BD73" s="313">
        <f>SUMIF(Recibos!$D$4:$D$7493,Cobranza!$B73,Recibos!P$4:P$7493)</f>
        <v>0</v>
      </c>
      <c r="BE73" s="313">
        <f>SUMIF(Recibos!$D$4:$D$7493,Cobranza!$B73,Recibos!Q$4:Q$7493)</f>
        <v>0</v>
      </c>
      <c r="BF73" s="313">
        <f>SUMIF(Recibos!$D$4:$D$7493,Cobranza!$B73,Recibos!R$4:R$7493)</f>
        <v>0</v>
      </c>
      <c r="BG73" s="313">
        <f>SUMIF(Recibos!$D$4:$D$7493,Cobranza!$B73,Recibos!S$4:S$7493)</f>
        <v>0</v>
      </c>
      <c r="BH73" s="313">
        <f>SUMIF(Recibos!$D$4:$D$7493,Cobranza!$B73,Recibos!T$4:T$7493)</f>
        <v>0</v>
      </c>
      <c r="BI73" s="313">
        <f>SUMIF(Recibos!$D$4:$D$7493,Cobranza!$B73,Recibos!U$4:U$7493)</f>
        <v>0</v>
      </c>
      <c r="BJ73" s="313">
        <f>SUMIF(Recibos!$D$4:$D$7493,Cobranza!$B73,Recibos!V$4:V$7493)</f>
        <v>0</v>
      </c>
      <c r="BK73" s="314">
        <f t="shared" si="8"/>
        <v>0</v>
      </c>
      <c r="BL73" s="313">
        <f>SUMIF(Recibos!$D$4:$D$7493,Cobranza!$B73,Recibos!X$4:X$7493)</f>
        <v>0</v>
      </c>
      <c r="BM73" s="313">
        <f>SUMIF(Recibos!$D$4:$D$7493,Cobranza!$B73,Recibos!Y$4:Y$7493)</f>
        <v>0</v>
      </c>
      <c r="BN73" s="313">
        <f>SUMIF(Recibos!$D$4:$D$7493,Cobranza!$B73,Recibos!Z$4:Z$7493)</f>
        <v>0</v>
      </c>
      <c r="BO73" s="313">
        <f>SUMIF(Recibos!$D$4:$D$7493,Cobranza!$B73,Recibos!AA$4:AA$7493)</f>
        <v>0</v>
      </c>
      <c r="BP73" s="313">
        <f>SUMIF(Recibos!$D$4:$D$7493,Cobranza!$B73,Recibos!AB$4:AB$7493)</f>
        <v>0</v>
      </c>
      <c r="BQ73" s="313">
        <f>SUMIF(Recibos!$D$4:$D$7493,Cobranza!$B73,Recibos!AC$4:AC$7493)</f>
        <v>0</v>
      </c>
      <c r="BR73" s="313">
        <f>SUMIF(Recibos!$D$4:$D$7493,Cobranza!$B73,Recibos!AD$4:AD$7493)</f>
        <v>0</v>
      </c>
      <c r="BS73" s="313">
        <f>SUMIF(Recibos!$D$4:$D$7493,Cobranza!$B73,Recibos!AE$4:AE$7493)</f>
        <v>0</v>
      </c>
      <c r="BT73" s="313">
        <f>SUMIF(Recibos!$D$4:$D$7493,Cobranza!$B73,Recibos!AF$4:AF$7493)</f>
        <v>0</v>
      </c>
      <c r="BU73" s="313">
        <f>SUMIF(Recibos!$D$4:$D$7493,Cobranza!$B73,Recibos!AG$4:AG$7493)</f>
        <v>0</v>
      </c>
      <c r="BV73" s="313">
        <f>SUMIF(Recibos!$D$4:$D$7493,Cobranza!$B73,Recibos!AH$4:AH$7493)</f>
        <v>0</v>
      </c>
      <c r="BW73" s="313">
        <f>SUMIF(Recibos!$D$4:$D$7493,Cobranza!$B73,Recibos!AI$4:AI$7493)</f>
        <v>0</v>
      </c>
      <c r="BX73" s="314">
        <f t="shared" si="9"/>
        <v>0</v>
      </c>
      <c r="BY73" s="313">
        <f>SUMIF(Recibos!$D$4:$D$7493,Cobranza!$B73,Recibos!AK$4:AK$7493)</f>
        <v>0</v>
      </c>
      <c r="BZ73" s="313">
        <f>SUMIF(Recibos!$D$4:$D$7493,Cobranza!$B73,Recibos!AL$4:AL$7493)</f>
        <v>0</v>
      </c>
      <c r="CA73" s="313">
        <f>SUMIF(Recibos!$D$4:$D$7493,Cobranza!$B73,Recibos!AM$4:AM$7493)</f>
        <v>0</v>
      </c>
      <c r="CB73" s="313">
        <f>SUMIF(Recibos!$D$4:$D$7493,Cobranza!$B73,Recibos!AN$4:AN$7493)</f>
        <v>0</v>
      </c>
      <c r="CC73" s="313">
        <f>SUMIF(Recibos!$D$4:$D$7493,Cobranza!$B73,Recibos!AO$4:AO$7493)</f>
        <v>0</v>
      </c>
      <c r="CD73" s="313">
        <f>SUMIF(Recibos!$D$4:$D$7493,Cobranza!$B73,Recibos!AP$4:AP$7493)</f>
        <v>0</v>
      </c>
      <c r="CE73" s="313">
        <f>SUMIF(Recibos!$D$4:$D$7493,Cobranza!$B73,Recibos!AQ$4:AQ$7493)</f>
        <v>0</v>
      </c>
      <c r="CF73" s="313">
        <f>SUMIF(Recibos!$D$4:$D$7493,Cobranza!$B73,Recibos!AR$4:AR$7493)</f>
        <v>0</v>
      </c>
      <c r="CG73" s="313">
        <f>SUMIF(Recibos!$D$4:$D$7493,Cobranza!$B73,Recibos!AS$4:AS$7493)</f>
        <v>0</v>
      </c>
      <c r="CH73" s="313">
        <f>SUMIF(Recibos!$D$4:$D$7493,Cobranza!$B73,Recibos!AT$4:AT$7493)</f>
        <v>0</v>
      </c>
      <c r="CI73" s="313">
        <f>SUMIF(Recibos!$D$4:$D$7493,Cobranza!$B73,Recibos!AU$4:AU$7493)</f>
        <v>0</v>
      </c>
      <c r="CJ73" s="313">
        <f>SUMIF(Recibos!$D$4:$D$7493,Cobranza!$B73,Recibos!AV$4:AV$7493)</f>
        <v>0</v>
      </c>
      <c r="CK73" s="314">
        <f t="shared" si="10"/>
        <v>0</v>
      </c>
    </row>
    <row r="74" spans="2:89" x14ac:dyDescent="0.2">
      <c r="B74" s="42" t="s">
        <v>614</v>
      </c>
      <c r="C74" s="42" t="s">
        <v>615</v>
      </c>
      <c r="D74" s="42" t="s">
        <v>616</v>
      </c>
      <c r="E74" s="43">
        <v>0</v>
      </c>
      <c r="F74" s="43">
        <v>0</v>
      </c>
      <c r="G74" s="43">
        <v>0</v>
      </c>
      <c r="H74" s="43">
        <v>0</v>
      </c>
      <c r="I74" s="43">
        <v>300</v>
      </c>
      <c r="J74" s="43">
        <v>300</v>
      </c>
      <c r="K74" s="44">
        <f t="shared" si="11"/>
        <v>600</v>
      </c>
      <c r="L74" s="43">
        <v>300</v>
      </c>
      <c r="M74" s="43">
        <v>300</v>
      </c>
      <c r="N74" s="43">
        <v>300</v>
      </c>
      <c r="O74" s="43">
        <v>300</v>
      </c>
      <c r="P74" s="43">
        <v>300</v>
      </c>
      <c r="Q74" s="43">
        <v>300</v>
      </c>
      <c r="R74" s="43">
        <v>300</v>
      </c>
      <c r="S74" s="43">
        <v>300</v>
      </c>
      <c r="T74" s="43">
        <v>300</v>
      </c>
      <c r="U74" s="43">
        <v>400</v>
      </c>
      <c r="V74" s="43">
        <v>400</v>
      </c>
      <c r="W74" s="43">
        <v>400</v>
      </c>
      <c r="X74" s="44">
        <f t="shared" si="12"/>
        <v>3900</v>
      </c>
      <c r="Y74" s="43">
        <v>400</v>
      </c>
      <c r="Z74" s="43">
        <v>400</v>
      </c>
      <c r="AA74" s="43">
        <v>400</v>
      </c>
      <c r="AB74" s="43">
        <v>400</v>
      </c>
      <c r="AC74" s="43">
        <v>400</v>
      </c>
      <c r="AD74" s="43">
        <v>400</v>
      </c>
      <c r="AE74" s="43">
        <v>400</v>
      </c>
      <c r="AF74" s="43">
        <v>400</v>
      </c>
      <c r="AG74" s="43">
        <v>400</v>
      </c>
      <c r="AH74" s="43">
        <v>400</v>
      </c>
      <c r="AI74" s="43">
        <v>400</v>
      </c>
      <c r="AJ74" s="43">
        <v>400</v>
      </c>
      <c r="AK74" s="44">
        <f t="shared" si="13"/>
        <v>4800</v>
      </c>
      <c r="AL74" s="43">
        <v>400</v>
      </c>
      <c r="AM74" s="43">
        <v>400</v>
      </c>
      <c r="AN74" s="43">
        <v>400</v>
      </c>
      <c r="AO74" s="43">
        <v>400</v>
      </c>
      <c r="AP74" s="43">
        <v>400</v>
      </c>
      <c r="AQ74" s="43">
        <v>400</v>
      </c>
      <c r="AR74" s="43">
        <v>400</v>
      </c>
      <c r="AS74" s="43">
        <v>400</v>
      </c>
      <c r="AT74" s="43">
        <v>400</v>
      </c>
      <c r="AU74" s="43">
        <v>400</v>
      </c>
      <c r="AV74" s="43">
        <v>400</v>
      </c>
      <c r="AW74" s="43">
        <v>400</v>
      </c>
      <c r="AX74" s="44">
        <f t="shared" si="14"/>
        <v>4800</v>
      </c>
      <c r="AY74" s="311">
        <f>SUMIF(Recibos!$D$4:$D$7493,Cobranza!$B74,Recibos!K$4:K$7493)</f>
        <v>400</v>
      </c>
      <c r="AZ74" s="311">
        <f>SUMIF(Recibos!$D$4:$D$7493,Cobranza!$B74,Recibos!L$4:L$7493)</f>
        <v>400</v>
      </c>
      <c r="BA74" s="311">
        <f>SUMIF(Recibos!$D$4:$D$7493,Cobranza!$B74,Recibos!M$4:M$7493)</f>
        <v>400</v>
      </c>
      <c r="BB74" s="311">
        <f>SUMIF(Recibos!$D$4:$D$7493,Cobranza!$B74,Recibos!N$4:N$7493)</f>
        <v>400</v>
      </c>
      <c r="BC74" s="311">
        <f>SUMIF(Recibos!$D$4:$D$7493,Cobranza!$B74,Recibos!O$4:O$7493)</f>
        <v>400</v>
      </c>
      <c r="BD74" s="311">
        <f>SUMIF(Recibos!$D$4:$D$7493,Cobranza!$B74,Recibos!P$4:P$7493)</f>
        <v>400</v>
      </c>
      <c r="BE74" s="311">
        <f>SUMIF(Recibos!$D$4:$D$7493,Cobranza!$B74,Recibos!Q$4:Q$7493)</f>
        <v>400</v>
      </c>
      <c r="BF74" s="311">
        <f>SUMIF(Recibos!$D$4:$D$7493,Cobranza!$B74,Recibos!R$4:R$7493)</f>
        <v>400</v>
      </c>
      <c r="BG74" s="311">
        <f>SUMIF(Recibos!$D$4:$D$7493,Cobranza!$B74,Recibos!S$4:S$7493)</f>
        <v>400</v>
      </c>
      <c r="BH74" s="311">
        <f>SUMIF(Recibos!$D$4:$D$7493,Cobranza!$B74,Recibos!T$4:T$7493)</f>
        <v>400</v>
      </c>
      <c r="BI74" s="311">
        <f>SUMIF(Recibos!$D$4:$D$7493,Cobranza!$B74,Recibos!U$4:U$7493)</f>
        <v>400</v>
      </c>
      <c r="BJ74" s="311">
        <f>SUMIF(Recibos!$D$4:$D$7493,Cobranza!$B74,Recibos!V$4:V$7493)</f>
        <v>0</v>
      </c>
      <c r="BK74" s="312">
        <f t="shared" si="8"/>
        <v>4400</v>
      </c>
      <c r="BL74" s="311">
        <f>SUMIF(Recibos!$D$4:$D$7493,Cobranza!$B74,Recibos!X$4:X$7493)</f>
        <v>400</v>
      </c>
      <c r="BM74" s="311">
        <f>SUMIF(Recibos!$D$4:$D$7493,Cobranza!$B74,Recibos!Y$4:Y$7493)</f>
        <v>400</v>
      </c>
      <c r="BN74" s="311">
        <f>SUMIF(Recibos!$D$4:$D$7493,Cobranza!$B74,Recibos!Z$4:Z$7493)</f>
        <v>400</v>
      </c>
      <c r="BO74" s="311">
        <f>SUMIF(Recibos!$D$4:$D$7493,Cobranza!$B74,Recibos!AA$4:AA$7493)</f>
        <v>400</v>
      </c>
      <c r="BP74" s="311">
        <f>SUMIF(Recibos!$D$4:$D$7493,Cobranza!$B74,Recibos!AB$4:AB$7493)</f>
        <v>400</v>
      </c>
      <c r="BQ74" s="311">
        <f>SUMIF(Recibos!$D$4:$D$7493,Cobranza!$B74,Recibos!AC$4:AC$7493)</f>
        <v>400</v>
      </c>
      <c r="BR74" s="311">
        <f>SUMIF(Recibos!$D$4:$D$7493,Cobranza!$B74,Recibos!AD$4:AD$7493)</f>
        <v>400</v>
      </c>
      <c r="BS74" s="311">
        <f>SUMIF(Recibos!$D$4:$D$7493,Cobranza!$B74,Recibos!AE$4:AE$7493)</f>
        <v>400</v>
      </c>
      <c r="BT74" s="311">
        <f>SUMIF(Recibos!$D$4:$D$7493,Cobranza!$B74,Recibos!AF$4:AF$7493)</f>
        <v>400</v>
      </c>
      <c r="BU74" s="311">
        <f>SUMIF(Recibos!$D$4:$D$7493,Cobranza!$B74,Recibos!AG$4:AG$7493)</f>
        <v>400</v>
      </c>
      <c r="BV74" s="311">
        <f>SUMIF(Recibos!$D$4:$D$7493,Cobranza!$B74,Recibos!AH$4:AH$7493)</f>
        <v>400</v>
      </c>
      <c r="BW74" s="311">
        <f>SUMIF(Recibos!$D$4:$D$7493,Cobranza!$B74,Recibos!AI$4:AI$7493)</f>
        <v>400</v>
      </c>
      <c r="BX74" s="312">
        <f t="shared" si="9"/>
        <v>4800</v>
      </c>
      <c r="BY74" s="311">
        <f>SUMIF(Recibos!$D$4:$D$7493,Cobranza!$B74,Recibos!AK$4:AK$7493)</f>
        <v>400</v>
      </c>
      <c r="BZ74" s="311">
        <f>SUMIF(Recibos!$D$4:$D$7493,Cobranza!$B74,Recibos!AL$4:AL$7493)</f>
        <v>400</v>
      </c>
      <c r="CA74" s="311">
        <f>SUMIF(Recibos!$D$4:$D$7493,Cobranza!$B74,Recibos!AM$4:AM$7493)</f>
        <v>400</v>
      </c>
      <c r="CB74" s="311">
        <f>SUMIF(Recibos!$D$4:$D$7493,Cobranza!$B74,Recibos!AN$4:AN$7493)</f>
        <v>400</v>
      </c>
      <c r="CC74" s="311">
        <f>SUMIF(Recibos!$D$4:$D$7493,Cobranza!$B74,Recibos!AO$4:AO$7493)</f>
        <v>400</v>
      </c>
      <c r="CD74" s="311">
        <f>SUMIF(Recibos!$D$4:$D$7493,Cobranza!$B74,Recibos!AP$4:AP$7493)</f>
        <v>400</v>
      </c>
      <c r="CE74" s="311">
        <f>SUMIF(Recibos!$D$4:$D$7493,Cobranza!$B74,Recibos!AQ$4:AQ$7493)</f>
        <v>400</v>
      </c>
      <c r="CF74" s="311">
        <f>SUMIF(Recibos!$D$4:$D$7493,Cobranza!$B74,Recibos!AR$4:AR$7493)</f>
        <v>400</v>
      </c>
      <c r="CG74" s="311">
        <f>SUMIF(Recibos!$D$4:$D$7493,Cobranza!$B74,Recibos!AS$4:AS$7493)</f>
        <v>200</v>
      </c>
      <c r="CH74" s="311">
        <f>SUMIF(Recibos!$D$4:$D$7493,Cobranza!$B74,Recibos!AT$4:AT$7493)</f>
        <v>0</v>
      </c>
      <c r="CI74" s="311">
        <f>SUMIF(Recibos!$D$4:$D$7493,Cobranza!$B74,Recibos!AU$4:AU$7493)</f>
        <v>0</v>
      </c>
      <c r="CJ74" s="311">
        <f>SUMIF(Recibos!$D$4:$D$7493,Cobranza!$B74,Recibos!AV$4:AV$7493)</f>
        <v>0</v>
      </c>
      <c r="CK74" s="312">
        <f t="shared" si="10"/>
        <v>3400</v>
      </c>
    </row>
    <row r="75" spans="2:89" x14ac:dyDescent="0.2">
      <c r="B75" s="45" t="s">
        <v>1289</v>
      </c>
      <c r="C75" s="45" t="s">
        <v>1290</v>
      </c>
      <c r="D75" s="45" t="s">
        <v>1291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7">
        <f t="shared" si="11"/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47">
        <f t="shared" si="12"/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0</v>
      </c>
      <c r="AE75" s="46">
        <v>0</v>
      </c>
      <c r="AF75" s="46">
        <v>0</v>
      </c>
      <c r="AG75" s="46">
        <v>0</v>
      </c>
      <c r="AH75" s="46">
        <v>0</v>
      </c>
      <c r="AI75" s="46">
        <v>0</v>
      </c>
      <c r="AJ75" s="46">
        <v>0</v>
      </c>
      <c r="AK75" s="47">
        <f t="shared" si="13"/>
        <v>0</v>
      </c>
      <c r="AL75" s="46">
        <v>0</v>
      </c>
      <c r="AM75" s="46">
        <v>0</v>
      </c>
      <c r="AN75" s="46">
        <v>0</v>
      </c>
      <c r="AO75" s="46">
        <v>0</v>
      </c>
      <c r="AP75" s="46">
        <v>0</v>
      </c>
      <c r="AQ75" s="46">
        <v>0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6">
        <v>0</v>
      </c>
      <c r="AX75" s="47">
        <f t="shared" si="14"/>
        <v>0</v>
      </c>
      <c r="AY75" s="313">
        <f>SUMIF(Recibos!$D$4:$D$7493,Cobranza!$B75,Recibos!K$4:K$7493)</f>
        <v>0</v>
      </c>
      <c r="AZ75" s="313">
        <f>SUMIF(Recibos!$D$4:$D$7493,Cobranza!$B75,Recibos!L$4:L$7493)</f>
        <v>0</v>
      </c>
      <c r="BA75" s="313">
        <f>SUMIF(Recibos!$D$4:$D$7493,Cobranza!$B75,Recibos!M$4:M$7493)</f>
        <v>0</v>
      </c>
      <c r="BB75" s="313">
        <f>SUMIF(Recibos!$D$4:$D$7493,Cobranza!$B75,Recibos!N$4:N$7493)</f>
        <v>0</v>
      </c>
      <c r="BC75" s="313">
        <f>SUMIF(Recibos!$D$4:$D$7493,Cobranza!$B75,Recibos!O$4:O$7493)</f>
        <v>0</v>
      </c>
      <c r="BD75" s="313">
        <f>SUMIF(Recibos!$D$4:$D$7493,Cobranza!$B75,Recibos!P$4:P$7493)</f>
        <v>0</v>
      </c>
      <c r="BE75" s="313">
        <f>SUMIF(Recibos!$D$4:$D$7493,Cobranza!$B75,Recibos!Q$4:Q$7493)</f>
        <v>0</v>
      </c>
      <c r="BF75" s="313">
        <f>SUMIF(Recibos!$D$4:$D$7493,Cobranza!$B75,Recibos!R$4:R$7493)</f>
        <v>0</v>
      </c>
      <c r="BG75" s="313">
        <f>SUMIF(Recibos!$D$4:$D$7493,Cobranza!$B75,Recibos!S$4:S$7493)</f>
        <v>0</v>
      </c>
      <c r="BH75" s="313">
        <f>SUMIF(Recibos!$D$4:$D$7493,Cobranza!$B75,Recibos!T$4:T$7493)</f>
        <v>0</v>
      </c>
      <c r="BI75" s="313">
        <f>SUMIF(Recibos!$D$4:$D$7493,Cobranza!$B75,Recibos!U$4:U$7493)</f>
        <v>0</v>
      </c>
      <c r="BJ75" s="313">
        <f>SUMIF(Recibos!$D$4:$D$7493,Cobranza!$B75,Recibos!V$4:V$7493)</f>
        <v>0</v>
      </c>
      <c r="BK75" s="314">
        <f t="shared" si="8"/>
        <v>0</v>
      </c>
      <c r="BL75" s="313">
        <f>SUMIF(Recibos!$D$4:$D$7493,Cobranza!$B75,Recibos!X$4:X$7493)</f>
        <v>0</v>
      </c>
      <c r="BM75" s="313">
        <f>SUMIF(Recibos!$D$4:$D$7493,Cobranza!$B75,Recibos!Y$4:Y$7493)</f>
        <v>0</v>
      </c>
      <c r="BN75" s="313">
        <f>SUMIF(Recibos!$D$4:$D$7493,Cobranza!$B75,Recibos!Z$4:Z$7493)</f>
        <v>0</v>
      </c>
      <c r="BO75" s="313">
        <f>SUMIF(Recibos!$D$4:$D$7493,Cobranza!$B75,Recibos!AA$4:AA$7493)</f>
        <v>0</v>
      </c>
      <c r="BP75" s="313">
        <f>SUMIF(Recibos!$D$4:$D$7493,Cobranza!$B75,Recibos!AB$4:AB$7493)</f>
        <v>0</v>
      </c>
      <c r="BQ75" s="313">
        <f>SUMIF(Recibos!$D$4:$D$7493,Cobranza!$B75,Recibos!AC$4:AC$7493)</f>
        <v>0</v>
      </c>
      <c r="BR75" s="313">
        <f>SUMIF(Recibos!$D$4:$D$7493,Cobranza!$B75,Recibos!AD$4:AD$7493)</f>
        <v>0</v>
      </c>
      <c r="BS75" s="313">
        <f>SUMIF(Recibos!$D$4:$D$7493,Cobranza!$B75,Recibos!AE$4:AE$7493)</f>
        <v>0</v>
      </c>
      <c r="BT75" s="313">
        <f>SUMIF(Recibos!$D$4:$D$7493,Cobranza!$B75,Recibos!AF$4:AF$7493)</f>
        <v>0</v>
      </c>
      <c r="BU75" s="313">
        <f>SUMIF(Recibos!$D$4:$D$7493,Cobranza!$B75,Recibos!AG$4:AG$7493)</f>
        <v>0</v>
      </c>
      <c r="BV75" s="313">
        <f>SUMIF(Recibos!$D$4:$D$7493,Cobranza!$B75,Recibos!AH$4:AH$7493)</f>
        <v>0</v>
      </c>
      <c r="BW75" s="313">
        <f>SUMIF(Recibos!$D$4:$D$7493,Cobranza!$B75,Recibos!AI$4:AI$7493)</f>
        <v>0</v>
      </c>
      <c r="BX75" s="314">
        <f t="shared" si="9"/>
        <v>0</v>
      </c>
      <c r="BY75" s="313">
        <f>SUMIF(Recibos!$D$4:$D$7493,Cobranza!$B75,Recibos!AK$4:AK$7493)</f>
        <v>0</v>
      </c>
      <c r="BZ75" s="313">
        <f>SUMIF(Recibos!$D$4:$D$7493,Cobranza!$B75,Recibos!AL$4:AL$7493)</f>
        <v>0</v>
      </c>
      <c r="CA75" s="313">
        <f>SUMIF(Recibos!$D$4:$D$7493,Cobranza!$B75,Recibos!AM$4:AM$7493)</f>
        <v>0</v>
      </c>
      <c r="CB75" s="313">
        <f>SUMIF(Recibos!$D$4:$D$7493,Cobranza!$B75,Recibos!AN$4:AN$7493)</f>
        <v>0</v>
      </c>
      <c r="CC75" s="313">
        <f>SUMIF(Recibos!$D$4:$D$7493,Cobranza!$B75,Recibos!AO$4:AO$7493)</f>
        <v>0</v>
      </c>
      <c r="CD75" s="313">
        <f>SUMIF(Recibos!$D$4:$D$7493,Cobranza!$B75,Recibos!AP$4:AP$7493)</f>
        <v>0</v>
      </c>
      <c r="CE75" s="313">
        <f>SUMIF(Recibos!$D$4:$D$7493,Cobranza!$B75,Recibos!AQ$4:AQ$7493)</f>
        <v>0</v>
      </c>
      <c r="CF75" s="313">
        <f>SUMIF(Recibos!$D$4:$D$7493,Cobranza!$B75,Recibos!AR$4:AR$7493)</f>
        <v>0</v>
      </c>
      <c r="CG75" s="313">
        <f>SUMIF(Recibos!$D$4:$D$7493,Cobranza!$B75,Recibos!AS$4:AS$7493)</f>
        <v>0</v>
      </c>
      <c r="CH75" s="313">
        <f>SUMIF(Recibos!$D$4:$D$7493,Cobranza!$B75,Recibos!AT$4:AT$7493)</f>
        <v>0</v>
      </c>
      <c r="CI75" s="313">
        <f>SUMIF(Recibos!$D$4:$D$7493,Cobranza!$B75,Recibos!AU$4:AU$7493)</f>
        <v>0</v>
      </c>
      <c r="CJ75" s="313">
        <f>SUMIF(Recibos!$D$4:$D$7493,Cobranza!$B75,Recibos!AV$4:AV$7493)</f>
        <v>0</v>
      </c>
      <c r="CK75" s="314">
        <f t="shared" si="10"/>
        <v>0</v>
      </c>
    </row>
    <row r="76" spans="2:89" x14ac:dyDescent="0.2">
      <c r="B76" s="42" t="s">
        <v>1014</v>
      </c>
      <c r="C76" s="42" t="s">
        <v>1015</v>
      </c>
      <c r="D76" s="42" t="s">
        <v>1016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4">
        <f t="shared" si="11"/>
        <v>0</v>
      </c>
      <c r="L76" s="43">
        <v>300</v>
      </c>
      <c r="M76" s="43">
        <v>300</v>
      </c>
      <c r="N76" s="43">
        <v>300</v>
      </c>
      <c r="O76" s="43">
        <v>300</v>
      </c>
      <c r="P76" s="43">
        <v>300</v>
      </c>
      <c r="Q76" s="43">
        <v>300</v>
      </c>
      <c r="R76" s="43">
        <v>300</v>
      </c>
      <c r="S76" s="43">
        <v>300</v>
      </c>
      <c r="T76" s="43">
        <v>300</v>
      </c>
      <c r="U76" s="43">
        <v>400</v>
      </c>
      <c r="V76" s="43">
        <v>400</v>
      </c>
      <c r="W76" s="43">
        <v>400</v>
      </c>
      <c r="X76" s="44">
        <f t="shared" si="12"/>
        <v>3900</v>
      </c>
      <c r="Y76" s="43">
        <v>400</v>
      </c>
      <c r="Z76" s="43">
        <v>0</v>
      </c>
      <c r="AA76" s="43">
        <v>400</v>
      </c>
      <c r="AB76" s="43">
        <v>400</v>
      </c>
      <c r="AC76" s="43">
        <v>400</v>
      </c>
      <c r="AD76" s="43">
        <v>400</v>
      </c>
      <c r="AE76" s="43">
        <v>400</v>
      </c>
      <c r="AF76" s="43">
        <v>400</v>
      </c>
      <c r="AG76" s="43">
        <v>400</v>
      </c>
      <c r="AH76" s="43">
        <v>400</v>
      </c>
      <c r="AI76" s="43">
        <v>400</v>
      </c>
      <c r="AJ76" s="43">
        <v>400</v>
      </c>
      <c r="AK76" s="44">
        <f t="shared" si="13"/>
        <v>4400</v>
      </c>
      <c r="AL76" s="43">
        <v>400</v>
      </c>
      <c r="AM76" s="43">
        <v>400</v>
      </c>
      <c r="AN76" s="43">
        <v>400</v>
      </c>
      <c r="AO76" s="43">
        <v>400</v>
      </c>
      <c r="AP76" s="43">
        <v>300</v>
      </c>
      <c r="AQ76" s="43">
        <v>300</v>
      </c>
      <c r="AR76" s="43">
        <v>300</v>
      </c>
      <c r="AS76" s="43">
        <v>300</v>
      </c>
      <c r="AT76" s="43">
        <v>300</v>
      </c>
      <c r="AU76" s="43">
        <v>300</v>
      </c>
      <c r="AV76" s="43">
        <v>300</v>
      </c>
      <c r="AW76" s="43">
        <v>300</v>
      </c>
      <c r="AX76" s="44">
        <f t="shared" si="14"/>
        <v>4000</v>
      </c>
      <c r="AY76" s="311">
        <f>SUMIF(Recibos!$D$4:$D$7493,Cobranza!$B76,Recibos!K$4:K$7493)</f>
        <v>300</v>
      </c>
      <c r="AZ76" s="311">
        <f>SUMIF(Recibos!$D$4:$D$7493,Cobranza!$B76,Recibos!L$4:L$7493)</f>
        <v>300</v>
      </c>
      <c r="BA76" s="311">
        <f>SUMIF(Recibos!$D$4:$D$7493,Cobranza!$B76,Recibos!M$4:M$7493)</f>
        <v>300</v>
      </c>
      <c r="BB76" s="311">
        <f>SUMIF(Recibos!$D$4:$D$7493,Cobranza!$B76,Recibos!N$4:N$7493)</f>
        <v>300</v>
      </c>
      <c r="BC76" s="311">
        <f>SUMIF(Recibos!$D$4:$D$7493,Cobranza!$B76,Recibos!O$4:O$7493)</f>
        <v>300</v>
      </c>
      <c r="BD76" s="311">
        <f>SUMIF(Recibos!$D$4:$D$7493,Cobranza!$B76,Recibos!P$4:P$7493)</f>
        <v>300</v>
      </c>
      <c r="BE76" s="311">
        <f>SUMIF(Recibos!$D$4:$D$7493,Cobranza!$B76,Recibos!Q$4:Q$7493)</f>
        <v>300</v>
      </c>
      <c r="BF76" s="311">
        <f>SUMIF(Recibos!$D$4:$D$7493,Cobranza!$B76,Recibos!R$4:R$7493)</f>
        <v>300</v>
      </c>
      <c r="BG76" s="311">
        <f>SUMIF(Recibos!$D$4:$D$7493,Cobranza!$B76,Recibos!S$4:S$7493)</f>
        <v>300</v>
      </c>
      <c r="BH76" s="311">
        <f>SUMIF(Recibos!$D$4:$D$7493,Cobranza!$B76,Recibos!T$4:T$7493)</f>
        <v>300</v>
      </c>
      <c r="BI76" s="311">
        <f>SUMIF(Recibos!$D$4:$D$7493,Cobranza!$B76,Recibos!U$4:U$7493)</f>
        <v>300</v>
      </c>
      <c r="BJ76" s="311">
        <f>SUMIF(Recibos!$D$4:$D$7493,Cobranza!$B76,Recibos!V$4:V$7493)</f>
        <v>300</v>
      </c>
      <c r="BK76" s="312">
        <f t="shared" si="8"/>
        <v>3600</v>
      </c>
      <c r="BL76" s="311">
        <f>SUMIF(Recibos!$D$4:$D$7493,Cobranza!$B76,Recibos!X$4:X$7493)</f>
        <v>400</v>
      </c>
      <c r="BM76" s="311">
        <f>SUMIF(Recibos!$D$4:$D$7493,Cobranza!$B76,Recibos!Y$4:Y$7493)</f>
        <v>400</v>
      </c>
      <c r="BN76" s="311">
        <f>SUMIF(Recibos!$D$4:$D$7493,Cobranza!$B76,Recibos!Z$4:Z$7493)</f>
        <v>400</v>
      </c>
      <c r="BO76" s="311">
        <f>SUMIF(Recibos!$D$4:$D$7493,Cobranza!$B76,Recibos!AA$4:AA$7493)</f>
        <v>400</v>
      </c>
      <c r="BP76" s="311">
        <f>SUMIF(Recibos!$D$4:$D$7493,Cobranza!$B76,Recibos!AB$4:AB$7493)</f>
        <v>400</v>
      </c>
      <c r="BQ76" s="311">
        <f>SUMIF(Recibos!$D$4:$D$7493,Cobranza!$B76,Recibos!AC$4:AC$7493)</f>
        <v>400</v>
      </c>
      <c r="BR76" s="311">
        <f>SUMIF(Recibos!$D$4:$D$7493,Cobranza!$B76,Recibos!AD$4:AD$7493)</f>
        <v>400</v>
      </c>
      <c r="BS76" s="311">
        <f>SUMIF(Recibos!$D$4:$D$7493,Cobranza!$B76,Recibos!AE$4:AE$7493)</f>
        <v>400</v>
      </c>
      <c r="BT76" s="311">
        <f>SUMIF(Recibos!$D$4:$D$7493,Cobranza!$B76,Recibos!AF$4:AF$7493)</f>
        <v>400</v>
      </c>
      <c r="BU76" s="311">
        <f>SUMIF(Recibos!$D$4:$D$7493,Cobranza!$B76,Recibos!AG$4:AG$7493)</f>
        <v>400</v>
      </c>
      <c r="BV76" s="311">
        <f>SUMIF(Recibos!$D$4:$D$7493,Cobranza!$B76,Recibos!AH$4:AH$7493)</f>
        <v>400</v>
      </c>
      <c r="BW76" s="311">
        <f>SUMIF(Recibos!$D$4:$D$7493,Cobranza!$B76,Recibos!AI$4:AI$7493)</f>
        <v>0</v>
      </c>
      <c r="BX76" s="312">
        <f t="shared" si="9"/>
        <v>4400</v>
      </c>
      <c r="BY76" s="311">
        <f>SUMIF(Recibos!$D$4:$D$7493,Cobranza!$B76,Recibos!AK$4:AK$7493)</f>
        <v>400</v>
      </c>
      <c r="BZ76" s="311">
        <f>SUMIF(Recibos!$D$4:$D$7493,Cobranza!$B76,Recibos!AL$4:AL$7493)</f>
        <v>400</v>
      </c>
      <c r="CA76" s="311">
        <f>SUMIF(Recibos!$D$4:$D$7493,Cobranza!$B76,Recibos!AM$4:AM$7493)</f>
        <v>400</v>
      </c>
      <c r="CB76" s="311">
        <f>SUMIF(Recibos!$D$4:$D$7493,Cobranza!$B76,Recibos!AN$4:AN$7493)</f>
        <v>400</v>
      </c>
      <c r="CC76" s="311">
        <f>SUMIF(Recibos!$D$4:$D$7493,Cobranza!$B76,Recibos!AO$4:AO$7493)</f>
        <v>400</v>
      </c>
      <c r="CD76" s="311">
        <f>SUMIF(Recibos!$D$4:$D$7493,Cobranza!$B76,Recibos!AP$4:AP$7493)</f>
        <v>800</v>
      </c>
      <c r="CE76" s="311">
        <f>SUMIF(Recibos!$D$4:$D$7493,Cobranza!$B76,Recibos!AQ$4:AQ$7493)</f>
        <v>400</v>
      </c>
      <c r="CF76" s="311">
        <f>SUMIF(Recibos!$D$4:$D$7493,Cobranza!$B76,Recibos!AR$4:AR$7493)</f>
        <v>400</v>
      </c>
      <c r="CG76" s="311">
        <f>SUMIF(Recibos!$D$4:$D$7493,Cobranza!$B76,Recibos!AS$4:AS$7493)</f>
        <v>400</v>
      </c>
      <c r="CH76" s="311">
        <f>SUMIF(Recibos!$D$4:$D$7493,Cobranza!$B76,Recibos!AT$4:AT$7493)</f>
        <v>400</v>
      </c>
      <c r="CI76" s="311">
        <f>SUMIF(Recibos!$D$4:$D$7493,Cobranza!$B76,Recibos!AU$4:AU$7493)</f>
        <v>400</v>
      </c>
      <c r="CJ76" s="311">
        <f>SUMIF(Recibos!$D$4:$D$7493,Cobranza!$B76,Recibos!AV$4:AV$7493)</f>
        <v>0</v>
      </c>
      <c r="CK76" s="312">
        <f t="shared" si="10"/>
        <v>4800</v>
      </c>
    </row>
    <row r="77" spans="2:89" x14ac:dyDescent="0.2">
      <c r="B77" s="45" t="s">
        <v>313</v>
      </c>
      <c r="C77" s="45" t="s">
        <v>314</v>
      </c>
      <c r="D77" s="45" t="s">
        <v>315</v>
      </c>
      <c r="E77" s="46">
        <v>0</v>
      </c>
      <c r="F77" s="46">
        <v>0</v>
      </c>
      <c r="G77" s="46">
        <v>0</v>
      </c>
      <c r="H77" s="46">
        <v>0</v>
      </c>
      <c r="I77" s="46">
        <v>300</v>
      </c>
      <c r="J77" s="46">
        <v>300</v>
      </c>
      <c r="K77" s="47">
        <f t="shared" si="11"/>
        <v>600</v>
      </c>
      <c r="L77" s="46">
        <v>300</v>
      </c>
      <c r="M77" s="46">
        <v>300</v>
      </c>
      <c r="N77" s="46">
        <v>300</v>
      </c>
      <c r="O77" s="46">
        <v>300</v>
      </c>
      <c r="P77" s="46">
        <v>300</v>
      </c>
      <c r="Q77" s="46">
        <v>300</v>
      </c>
      <c r="R77" s="46">
        <v>300</v>
      </c>
      <c r="S77" s="46">
        <v>300</v>
      </c>
      <c r="T77" s="46">
        <v>300</v>
      </c>
      <c r="U77" s="46">
        <v>400</v>
      </c>
      <c r="V77" s="46">
        <v>400</v>
      </c>
      <c r="W77" s="46">
        <v>400</v>
      </c>
      <c r="X77" s="47">
        <f t="shared" si="12"/>
        <v>3900</v>
      </c>
      <c r="Y77" s="46">
        <v>400</v>
      </c>
      <c r="Z77" s="46">
        <v>400</v>
      </c>
      <c r="AA77" s="46">
        <v>400</v>
      </c>
      <c r="AB77" s="46">
        <v>400</v>
      </c>
      <c r="AC77" s="46">
        <v>400</v>
      </c>
      <c r="AD77" s="46">
        <v>400</v>
      </c>
      <c r="AE77" s="46">
        <v>400</v>
      </c>
      <c r="AF77" s="46">
        <v>400</v>
      </c>
      <c r="AG77" s="46">
        <v>400</v>
      </c>
      <c r="AH77" s="46">
        <v>400</v>
      </c>
      <c r="AI77" s="46">
        <v>400</v>
      </c>
      <c r="AJ77" s="46">
        <v>400</v>
      </c>
      <c r="AK77" s="47">
        <f t="shared" si="13"/>
        <v>4800</v>
      </c>
      <c r="AL77" s="46">
        <v>400</v>
      </c>
      <c r="AM77" s="46">
        <v>400</v>
      </c>
      <c r="AN77" s="46">
        <v>400</v>
      </c>
      <c r="AO77" s="46">
        <v>400</v>
      </c>
      <c r="AP77" s="46">
        <v>400</v>
      </c>
      <c r="AQ77" s="46">
        <v>400</v>
      </c>
      <c r="AR77" s="46">
        <v>400</v>
      </c>
      <c r="AS77" s="46">
        <v>400</v>
      </c>
      <c r="AT77" s="46">
        <v>400</v>
      </c>
      <c r="AU77" s="46">
        <v>400</v>
      </c>
      <c r="AV77" s="46">
        <v>400</v>
      </c>
      <c r="AW77" s="46">
        <v>400</v>
      </c>
      <c r="AX77" s="47">
        <f t="shared" si="14"/>
        <v>4800</v>
      </c>
      <c r="AY77" s="313">
        <f>SUMIF(Recibos!$D$4:$D$7493,Cobranza!$B77,Recibos!K$4:K$7493)</f>
        <v>400</v>
      </c>
      <c r="AZ77" s="313">
        <f>SUMIF(Recibos!$D$4:$D$7493,Cobranza!$B77,Recibos!L$4:L$7493)</f>
        <v>400</v>
      </c>
      <c r="BA77" s="313">
        <f>SUMIF(Recibos!$D$4:$D$7493,Cobranza!$B77,Recibos!M$4:M$7493)</f>
        <v>400</v>
      </c>
      <c r="BB77" s="313">
        <f>SUMIF(Recibos!$D$4:$D$7493,Cobranza!$B77,Recibos!N$4:N$7493)</f>
        <v>400</v>
      </c>
      <c r="BC77" s="313">
        <f>SUMIF(Recibos!$D$4:$D$7493,Cobranza!$B77,Recibos!O$4:O$7493)</f>
        <v>400</v>
      </c>
      <c r="BD77" s="313">
        <f>SUMIF(Recibos!$D$4:$D$7493,Cobranza!$B77,Recibos!P$4:P$7493)</f>
        <v>400</v>
      </c>
      <c r="BE77" s="313">
        <f>SUMIF(Recibos!$D$4:$D$7493,Cobranza!$B77,Recibos!Q$4:Q$7493)</f>
        <v>400</v>
      </c>
      <c r="BF77" s="313">
        <f>SUMIF(Recibos!$D$4:$D$7493,Cobranza!$B77,Recibos!R$4:R$7493)</f>
        <v>400</v>
      </c>
      <c r="BG77" s="313">
        <f>SUMIF(Recibos!$D$4:$D$7493,Cobranza!$B77,Recibos!S$4:S$7493)</f>
        <v>400</v>
      </c>
      <c r="BH77" s="313">
        <f>SUMIF(Recibos!$D$4:$D$7493,Cobranza!$B77,Recibos!T$4:T$7493)</f>
        <v>400</v>
      </c>
      <c r="BI77" s="313">
        <f>SUMIF(Recibos!$D$4:$D$7493,Cobranza!$B77,Recibos!U$4:U$7493)</f>
        <v>400</v>
      </c>
      <c r="BJ77" s="313">
        <f>SUMIF(Recibos!$D$4:$D$7493,Cobranza!$B77,Recibos!V$4:V$7493)</f>
        <v>400</v>
      </c>
      <c r="BK77" s="314">
        <f t="shared" si="8"/>
        <v>4800</v>
      </c>
      <c r="BL77" s="313">
        <f>SUMIF(Recibos!$D$4:$D$7493,Cobranza!$B77,Recibos!X$4:X$7493)</f>
        <v>400</v>
      </c>
      <c r="BM77" s="313">
        <f>SUMIF(Recibos!$D$4:$D$7493,Cobranza!$B77,Recibos!Y$4:Y$7493)</f>
        <v>400</v>
      </c>
      <c r="BN77" s="313">
        <f>SUMIF(Recibos!$D$4:$D$7493,Cobranza!$B77,Recibos!Z$4:Z$7493)</f>
        <v>400</v>
      </c>
      <c r="BO77" s="313">
        <f>SUMIF(Recibos!$D$4:$D$7493,Cobranza!$B77,Recibos!AA$4:AA$7493)</f>
        <v>400</v>
      </c>
      <c r="BP77" s="313">
        <f>SUMIF(Recibos!$D$4:$D$7493,Cobranza!$B77,Recibos!AB$4:AB$7493)</f>
        <v>400</v>
      </c>
      <c r="BQ77" s="313">
        <f>SUMIF(Recibos!$D$4:$D$7493,Cobranza!$B77,Recibos!AC$4:AC$7493)</f>
        <v>400</v>
      </c>
      <c r="BR77" s="313">
        <f>SUMIF(Recibos!$D$4:$D$7493,Cobranza!$B77,Recibos!AD$4:AD$7493)</f>
        <v>400</v>
      </c>
      <c r="BS77" s="313">
        <f>SUMIF(Recibos!$D$4:$D$7493,Cobranza!$B77,Recibos!AE$4:AE$7493)</f>
        <v>400</v>
      </c>
      <c r="BT77" s="313">
        <f>SUMIF(Recibos!$D$4:$D$7493,Cobranza!$B77,Recibos!AF$4:AF$7493)</f>
        <v>400</v>
      </c>
      <c r="BU77" s="313">
        <f>SUMIF(Recibos!$D$4:$D$7493,Cobranza!$B77,Recibos!AG$4:AG$7493)</f>
        <v>400</v>
      </c>
      <c r="BV77" s="313">
        <f>SUMIF(Recibos!$D$4:$D$7493,Cobranza!$B77,Recibos!AH$4:AH$7493)</f>
        <v>400</v>
      </c>
      <c r="BW77" s="313">
        <f>SUMIF(Recibos!$D$4:$D$7493,Cobranza!$B77,Recibos!AI$4:AI$7493)</f>
        <v>400</v>
      </c>
      <c r="BX77" s="314">
        <f t="shared" si="9"/>
        <v>4800</v>
      </c>
      <c r="BY77" s="313">
        <f>SUMIF(Recibos!$D$4:$D$7493,Cobranza!$B77,Recibos!AK$4:AK$7493)</f>
        <v>400</v>
      </c>
      <c r="BZ77" s="313">
        <f>SUMIF(Recibos!$D$4:$D$7493,Cobranza!$B77,Recibos!AL$4:AL$7493)</f>
        <v>400</v>
      </c>
      <c r="CA77" s="313">
        <f>SUMIF(Recibos!$D$4:$D$7493,Cobranza!$B77,Recibos!AM$4:AM$7493)</f>
        <v>400</v>
      </c>
      <c r="CB77" s="313">
        <f>SUMIF(Recibos!$D$4:$D$7493,Cobranza!$B77,Recibos!AN$4:AN$7493)</f>
        <v>400</v>
      </c>
      <c r="CC77" s="313">
        <f>SUMIF(Recibos!$D$4:$D$7493,Cobranza!$B77,Recibos!AO$4:AO$7493)</f>
        <v>800</v>
      </c>
      <c r="CD77" s="313">
        <f>SUMIF(Recibos!$D$4:$D$7493,Cobranza!$B77,Recibos!AP$4:AP$7493)</f>
        <v>400</v>
      </c>
      <c r="CE77" s="313">
        <f>SUMIF(Recibos!$D$4:$D$7493,Cobranza!$B77,Recibos!AQ$4:AQ$7493)</f>
        <v>400</v>
      </c>
      <c r="CF77" s="313">
        <f>SUMIF(Recibos!$D$4:$D$7493,Cobranza!$B77,Recibos!AR$4:AR$7493)</f>
        <v>400</v>
      </c>
      <c r="CG77" s="313">
        <f>SUMIF(Recibos!$D$4:$D$7493,Cobranza!$B77,Recibos!AS$4:AS$7493)</f>
        <v>400</v>
      </c>
      <c r="CH77" s="313">
        <f>SUMIF(Recibos!$D$4:$D$7493,Cobranza!$B77,Recibos!AT$4:AT$7493)</f>
        <v>400</v>
      </c>
      <c r="CI77" s="313">
        <f>SUMIF(Recibos!$D$4:$D$7493,Cobranza!$B77,Recibos!AU$4:AU$7493)</f>
        <v>0</v>
      </c>
      <c r="CJ77" s="313">
        <f>SUMIF(Recibos!$D$4:$D$7493,Cobranza!$B77,Recibos!AV$4:AV$7493)</f>
        <v>0</v>
      </c>
      <c r="CK77" s="314">
        <f t="shared" si="10"/>
        <v>4400</v>
      </c>
    </row>
    <row r="78" spans="2:89" x14ac:dyDescent="0.2">
      <c r="B78" s="42" t="s">
        <v>1292</v>
      </c>
      <c r="C78" s="42" t="s">
        <v>1293</v>
      </c>
      <c r="D78" s="42"/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4">
        <f t="shared" si="11"/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4">
        <f t="shared" si="12"/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4">
        <f t="shared" si="13"/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4">
        <f t="shared" si="14"/>
        <v>0</v>
      </c>
      <c r="AY78" s="311">
        <f>SUMIF(Recibos!$D$4:$D$7493,Cobranza!$B78,Recibos!K$4:K$7493)</f>
        <v>0</v>
      </c>
      <c r="AZ78" s="311">
        <f>SUMIF(Recibos!$D$4:$D$7493,Cobranza!$B78,Recibos!L$4:L$7493)</f>
        <v>0</v>
      </c>
      <c r="BA78" s="311">
        <f>SUMIF(Recibos!$D$4:$D$7493,Cobranza!$B78,Recibos!M$4:M$7493)</f>
        <v>0</v>
      </c>
      <c r="BB78" s="311">
        <f>SUMIF(Recibos!$D$4:$D$7493,Cobranza!$B78,Recibos!N$4:N$7493)</f>
        <v>0</v>
      </c>
      <c r="BC78" s="311">
        <f>SUMIF(Recibos!$D$4:$D$7493,Cobranza!$B78,Recibos!O$4:O$7493)</f>
        <v>0</v>
      </c>
      <c r="BD78" s="311">
        <f>SUMIF(Recibos!$D$4:$D$7493,Cobranza!$B78,Recibos!P$4:P$7493)</f>
        <v>0</v>
      </c>
      <c r="BE78" s="311">
        <f>SUMIF(Recibos!$D$4:$D$7493,Cobranza!$B78,Recibos!Q$4:Q$7493)</f>
        <v>0</v>
      </c>
      <c r="BF78" s="311">
        <f>SUMIF(Recibos!$D$4:$D$7493,Cobranza!$B78,Recibos!R$4:R$7493)</f>
        <v>0</v>
      </c>
      <c r="BG78" s="311">
        <f>SUMIF(Recibos!$D$4:$D$7493,Cobranza!$B78,Recibos!S$4:S$7493)</f>
        <v>0</v>
      </c>
      <c r="BH78" s="311">
        <f>SUMIF(Recibos!$D$4:$D$7493,Cobranza!$B78,Recibos!T$4:T$7493)</f>
        <v>0</v>
      </c>
      <c r="BI78" s="311">
        <f>SUMIF(Recibos!$D$4:$D$7493,Cobranza!$B78,Recibos!U$4:U$7493)</f>
        <v>0</v>
      </c>
      <c r="BJ78" s="311">
        <f>SUMIF(Recibos!$D$4:$D$7493,Cobranza!$B78,Recibos!V$4:V$7493)</f>
        <v>0</v>
      </c>
      <c r="BK78" s="312">
        <f t="shared" si="8"/>
        <v>0</v>
      </c>
      <c r="BL78" s="311">
        <f>SUMIF(Recibos!$D$4:$D$7493,Cobranza!$B78,Recibos!X$4:X$7493)</f>
        <v>0</v>
      </c>
      <c r="BM78" s="311">
        <f>SUMIF(Recibos!$D$4:$D$7493,Cobranza!$B78,Recibos!Y$4:Y$7493)</f>
        <v>0</v>
      </c>
      <c r="BN78" s="311">
        <f>SUMIF(Recibos!$D$4:$D$7493,Cobranza!$B78,Recibos!Z$4:Z$7493)</f>
        <v>0</v>
      </c>
      <c r="BO78" s="311">
        <f>SUMIF(Recibos!$D$4:$D$7493,Cobranza!$B78,Recibos!AA$4:AA$7493)</f>
        <v>0</v>
      </c>
      <c r="BP78" s="311">
        <f>SUMIF(Recibos!$D$4:$D$7493,Cobranza!$B78,Recibos!AB$4:AB$7493)</f>
        <v>0</v>
      </c>
      <c r="BQ78" s="311">
        <f>SUMIF(Recibos!$D$4:$D$7493,Cobranza!$B78,Recibos!AC$4:AC$7493)</f>
        <v>0</v>
      </c>
      <c r="BR78" s="311">
        <f>SUMIF(Recibos!$D$4:$D$7493,Cobranza!$B78,Recibos!AD$4:AD$7493)</f>
        <v>0</v>
      </c>
      <c r="BS78" s="311">
        <f>SUMIF(Recibos!$D$4:$D$7493,Cobranza!$B78,Recibos!AE$4:AE$7493)</f>
        <v>0</v>
      </c>
      <c r="BT78" s="311">
        <f>SUMIF(Recibos!$D$4:$D$7493,Cobranza!$B78,Recibos!AF$4:AF$7493)</f>
        <v>0</v>
      </c>
      <c r="BU78" s="311">
        <f>SUMIF(Recibos!$D$4:$D$7493,Cobranza!$B78,Recibos!AG$4:AG$7493)</f>
        <v>0</v>
      </c>
      <c r="BV78" s="311">
        <f>SUMIF(Recibos!$D$4:$D$7493,Cobranza!$B78,Recibos!AH$4:AH$7493)</f>
        <v>0</v>
      </c>
      <c r="BW78" s="311">
        <f>SUMIF(Recibos!$D$4:$D$7493,Cobranza!$B78,Recibos!AI$4:AI$7493)</f>
        <v>0</v>
      </c>
      <c r="BX78" s="312">
        <f t="shared" si="9"/>
        <v>0</v>
      </c>
      <c r="BY78" s="311">
        <f>SUMIF(Recibos!$D$4:$D$7493,Cobranza!$B78,Recibos!AK$4:AK$7493)</f>
        <v>0</v>
      </c>
      <c r="BZ78" s="311">
        <f>SUMIF(Recibos!$D$4:$D$7493,Cobranza!$B78,Recibos!AL$4:AL$7493)</f>
        <v>0</v>
      </c>
      <c r="CA78" s="311">
        <f>SUMIF(Recibos!$D$4:$D$7493,Cobranza!$B78,Recibos!AM$4:AM$7493)</f>
        <v>0</v>
      </c>
      <c r="CB78" s="311">
        <f>SUMIF(Recibos!$D$4:$D$7493,Cobranza!$B78,Recibos!AN$4:AN$7493)</f>
        <v>0</v>
      </c>
      <c r="CC78" s="311">
        <f>SUMIF(Recibos!$D$4:$D$7493,Cobranza!$B78,Recibos!AO$4:AO$7493)</f>
        <v>0</v>
      </c>
      <c r="CD78" s="311">
        <f>SUMIF(Recibos!$D$4:$D$7493,Cobranza!$B78,Recibos!AP$4:AP$7493)</f>
        <v>0</v>
      </c>
      <c r="CE78" s="311">
        <f>SUMIF(Recibos!$D$4:$D$7493,Cobranza!$B78,Recibos!AQ$4:AQ$7493)</f>
        <v>0</v>
      </c>
      <c r="CF78" s="311">
        <f>SUMIF(Recibos!$D$4:$D$7493,Cobranza!$B78,Recibos!AR$4:AR$7493)</f>
        <v>0</v>
      </c>
      <c r="CG78" s="311">
        <f>SUMIF(Recibos!$D$4:$D$7493,Cobranza!$B78,Recibos!AS$4:AS$7493)</f>
        <v>0</v>
      </c>
      <c r="CH78" s="311">
        <f>SUMIF(Recibos!$D$4:$D$7493,Cobranza!$B78,Recibos!AT$4:AT$7493)</f>
        <v>0</v>
      </c>
      <c r="CI78" s="311">
        <f>SUMIF(Recibos!$D$4:$D$7493,Cobranza!$B78,Recibos!AU$4:AU$7493)</f>
        <v>0</v>
      </c>
      <c r="CJ78" s="311">
        <f>SUMIF(Recibos!$D$4:$D$7493,Cobranza!$B78,Recibos!AV$4:AV$7493)</f>
        <v>0</v>
      </c>
      <c r="CK78" s="312">
        <f t="shared" si="10"/>
        <v>0</v>
      </c>
    </row>
    <row r="79" spans="2:89" x14ac:dyDescent="0.2">
      <c r="B79" s="45" t="s">
        <v>404</v>
      </c>
      <c r="C79" s="45" t="s">
        <v>405</v>
      </c>
      <c r="D79" s="45" t="s">
        <v>406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300</v>
      </c>
      <c r="K79" s="47">
        <f t="shared" si="11"/>
        <v>300</v>
      </c>
      <c r="L79" s="46">
        <v>300</v>
      </c>
      <c r="M79" s="46">
        <v>300</v>
      </c>
      <c r="N79" s="46">
        <v>300</v>
      </c>
      <c r="O79" s="46">
        <v>300</v>
      </c>
      <c r="P79" s="46">
        <v>300</v>
      </c>
      <c r="Q79" s="46">
        <v>300</v>
      </c>
      <c r="R79" s="46">
        <v>300</v>
      </c>
      <c r="S79" s="46">
        <v>300</v>
      </c>
      <c r="T79" s="46">
        <v>300</v>
      </c>
      <c r="U79" s="46">
        <v>400</v>
      </c>
      <c r="V79" s="46">
        <v>400</v>
      </c>
      <c r="W79" s="46">
        <v>400</v>
      </c>
      <c r="X79" s="47">
        <f t="shared" si="12"/>
        <v>3900</v>
      </c>
      <c r="Y79" s="46">
        <v>400</v>
      </c>
      <c r="Z79" s="46">
        <v>400</v>
      </c>
      <c r="AA79" s="46">
        <v>400</v>
      </c>
      <c r="AB79" s="46">
        <v>400</v>
      </c>
      <c r="AC79" s="46">
        <v>400</v>
      </c>
      <c r="AD79" s="46">
        <v>400</v>
      </c>
      <c r="AE79" s="46">
        <v>400</v>
      </c>
      <c r="AF79" s="46">
        <v>400</v>
      </c>
      <c r="AG79" s="46">
        <v>400</v>
      </c>
      <c r="AH79" s="46">
        <v>400</v>
      </c>
      <c r="AI79" s="46">
        <v>400</v>
      </c>
      <c r="AJ79" s="46">
        <v>400</v>
      </c>
      <c r="AK79" s="47">
        <f t="shared" si="13"/>
        <v>4800</v>
      </c>
      <c r="AL79" s="46">
        <v>400</v>
      </c>
      <c r="AM79" s="46">
        <v>400</v>
      </c>
      <c r="AN79" s="46">
        <v>400</v>
      </c>
      <c r="AO79" s="46">
        <v>400</v>
      </c>
      <c r="AP79" s="46">
        <v>400</v>
      </c>
      <c r="AQ79" s="46">
        <v>400</v>
      </c>
      <c r="AR79" s="46">
        <v>400</v>
      </c>
      <c r="AS79" s="46">
        <v>400</v>
      </c>
      <c r="AT79" s="46">
        <v>400</v>
      </c>
      <c r="AU79" s="46">
        <v>400</v>
      </c>
      <c r="AV79" s="46">
        <v>400</v>
      </c>
      <c r="AW79" s="46">
        <v>400</v>
      </c>
      <c r="AX79" s="47">
        <f t="shared" si="14"/>
        <v>4800</v>
      </c>
      <c r="AY79" s="313">
        <f>SUMIF(Recibos!$D$4:$D$7493,Cobranza!$B79,Recibos!K$4:K$7493)</f>
        <v>400</v>
      </c>
      <c r="AZ79" s="313">
        <f>SUMIF(Recibos!$D$4:$D$7493,Cobranza!$B79,Recibos!L$4:L$7493)</f>
        <v>400</v>
      </c>
      <c r="BA79" s="313">
        <f>SUMIF(Recibos!$D$4:$D$7493,Cobranza!$B79,Recibos!M$4:M$7493)</f>
        <v>400</v>
      </c>
      <c r="BB79" s="313">
        <f>SUMIF(Recibos!$D$4:$D$7493,Cobranza!$B79,Recibos!N$4:N$7493)</f>
        <v>400</v>
      </c>
      <c r="BC79" s="313">
        <f>SUMIF(Recibos!$D$4:$D$7493,Cobranza!$B79,Recibos!O$4:O$7493)</f>
        <v>400</v>
      </c>
      <c r="BD79" s="313">
        <f>SUMIF(Recibos!$D$4:$D$7493,Cobranza!$B79,Recibos!P$4:P$7493)</f>
        <v>400</v>
      </c>
      <c r="BE79" s="313">
        <f>SUMIF(Recibos!$D$4:$D$7493,Cobranza!$B79,Recibos!Q$4:Q$7493)</f>
        <v>400</v>
      </c>
      <c r="BF79" s="313">
        <f>SUMIF(Recibos!$D$4:$D$7493,Cobranza!$B79,Recibos!R$4:R$7493)</f>
        <v>400</v>
      </c>
      <c r="BG79" s="313">
        <f>SUMIF(Recibos!$D$4:$D$7493,Cobranza!$B79,Recibos!S$4:S$7493)</f>
        <v>400</v>
      </c>
      <c r="BH79" s="313">
        <f>SUMIF(Recibos!$D$4:$D$7493,Cobranza!$B79,Recibos!T$4:T$7493)</f>
        <v>400</v>
      </c>
      <c r="BI79" s="313">
        <f>SUMIF(Recibos!$D$4:$D$7493,Cobranza!$B79,Recibos!U$4:U$7493)</f>
        <v>400</v>
      </c>
      <c r="BJ79" s="313">
        <f>SUMIF(Recibos!$D$4:$D$7493,Cobranza!$B79,Recibos!V$4:V$7493)</f>
        <v>400</v>
      </c>
      <c r="BK79" s="314">
        <f t="shared" si="8"/>
        <v>4800</v>
      </c>
      <c r="BL79" s="313">
        <f>SUMIF(Recibos!$D$4:$D$7493,Cobranza!$B79,Recibos!X$4:X$7493)</f>
        <v>400</v>
      </c>
      <c r="BM79" s="313">
        <f>SUMIF(Recibos!$D$4:$D$7493,Cobranza!$B79,Recibos!Y$4:Y$7493)</f>
        <v>400</v>
      </c>
      <c r="BN79" s="313">
        <f>SUMIF(Recibos!$D$4:$D$7493,Cobranza!$B79,Recibos!Z$4:Z$7493)</f>
        <v>400</v>
      </c>
      <c r="BO79" s="313">
        <f>SUMIF(Recibos!$D$4:$D$7493,Cobranza!$B79,Recibos!AA$4:AA$7493)</f>
        <v>400</v>
      </c>
      <c r="BP79" s="313">
        <f>SUMIF(Recibos!$D$4:$D$7493,Cobranza!$B79,Recibos!AB$4:AB$7493)</f>
        <v>400</v>
      </c>
      <c r="BQ79" s="313">
        <f>SUMIF(Recibos!$D$4:$D$7493,Cobranza!$B79,Recibos!AC$4:AC$7493)</f>
        <v>400</v>
      </c>
      <c r="BR79" s="313">
        <f>SUMIF(Recibos!$D$4:$D$7493,Cobranza!$B79,Recibos!AD$4:AD$7493)</f>
        <v>400</v>
      </c>
      <c r="BS79" s="313">
        <f>SUMIF(Recibos!$D$4:$D$7493,Cobranza!$B79,Recibos!AE$4:AE$7493)</f>
        <v>400</v>
      </c>
      <c r="BT79" s="313">
        <f>SUMIF(Recibos!$D$4:$D$7493,Cobranza!$B79,Recibos!AF$4:AF$7493)</f>
        <v>400</v>
      </c>
      <c r="BU79" s="313">
        <f>SUMIF(Recibos!$D$4:$D$7493,Cobranza!$B79,Recibos!AG$4:AG$7493)</f>
        <v>400</v>
      </c>
      <c r="BV79" s="313">
        <f>SUMIF(Recibos!$D$4:$D$7493,Cobranza!$B79,Recibos!AH$4:AH$7493)</f>
        <v>400</v>
      </c>
      <c r="BW79" s="313">
        <f>SUMIF(Recibos!$D$4:$D$7493,Cobranza!$B79,Recibos!AI$4:AI$7493)</f>
        <v>400</v>
      </c>
      <c r="BX79" s="314">
        <f t="shared" si="9"/>
        <v>4800</v>
      </c>
      <c r="BY79" s="313">
        <f>SUMIF(Recibos!$D$4:$D$7493,Cobranza!$B79,Recibos!AK$4:AK$7493)</f>
        <v>400</v>
      </c>
      <c r="BZ79" s="313">
        <f>SUMIF(Recibos!$D$4:$D$7493,Cobranza!$B79,Recibos!AL$4:AL$7493)</f>
        <v>400</v>
      </c>
      <c r="CA79" s="313">
        <f>SUMIF(Recibos!$D$4:$D$7493,Cobranza!$B79,Recibos!AM$4:AM$7493)</f>
        <v>400</v>
      </c>
      <c r="CB79" s="313">
        <f>SUMIF(Recibos!$D$4:$D$7493,Cobranza!$B79,Recibos!AN$4:AN$7493)</f>
        <v>400</v>
      </c>
      <c r="CC79" s="313">
        <f>SUMIF(Recibos!$D$4:$D$7493,Cobranza!$B79,Recibos!AO$4:AO$7493)</f>
        <v>400</v>
      </c>
      <c r="CD79" s="313">
        <f>SUMIF(Recibos!$D$4:$D$7493,Cobranza!$B79,Recibos!AP$4:AP$7493)</f>
        <v>400</v>
      </c>
      <c r="CE79" s="313">
        <f>SUMIF(Recibos!$D$4:$D$7493,Cobranza!$B79,Recibos!AQ$4:AQ$7493)</f>
        <v>400</v>
      </c>
      <c r="CF79" s="313">
        <f>SUMIF(Recibos!$D$4:$D$7493,Cobranza!$B79,Recibos!AR$4:AR$7493)</f>
        <v>400</v>
      </c>
      <c r="CG79" s="313">
        <f>SUMIF(Recibos!$D$4:$D$7493,Cobranza!$B79,Recibos!AS$4:AS$7493)</f>
        <v>400</v>
      </c>
      <c r="CH79" s="313">
        <f>SUMIF(Recibos!$D$4:$D$7493,Cobranza!$B79,Recibos!AT$4:AT$7493)</f>
        <v>400</v>
      </c>
      <c r="CI79" s="313">
        <f>SUMIF(Recibos!$D$4:$D$7493,Cobranza!$B79,Recibos!AU$4:AU$7493)</f>
        <v>0</v>
      </c>
      <c r="CJ79" s="313">
        <f>SUMIF(Recibos!$D$4:$D$7493,Cobranza!$B79,Recibos!AV$4:AV$7493)</f>
        <v>0</v>
      </c>
      <c r="CK79" s="314">
        <f t="shared" si="10"/>
        <v>4000</v>
      </c>
    </row>
    <row r="80" spans="2:89" x14ac:dyDescent="0.2">
      <c r="B80" s="42" t="s">
        <v>810</v>
      </c>
      <c r="C80" s="42" t="s">
        <v>811</v>
      </c>
      <c r="D80" s="42" t="s">
        <v>812</v>
      </c>
      <c r="E80" s="43">
        <v>0</v>
      </c>
      <c r="F80" s="43">
        <v>0</v>
      </c>
      <c r="G80" s="43">
        <v>0</v>
      </c>
      <c r="H80" s="43">
        <v>0</v>
      </c>
      <c r="I80" s="43">
        <v>150</v>
      </c>
      <c r="J80" s="43">
        <v>150</v>
      </c>
      <c r="K80" s="44">
        <f t="shared" si="11"/>
        <v>300</v>
      </c>
      <c r="L80" s="43">
        <v>150</v>
      </c>
      <c r="M80" s="43">
        <v>150</v>
      </c>
      <c r="N80" s="43">
        <v>150</v>
      </c>
      <c r="O80" s="43">
        <v>150</v>
      </c>
      <c r="P80" s="43">
        <v>150</v>
      </c>
      <c r="Q80" s="43">
        <v>150</v>
      </c>
      <c r="R80" s="43">
        <v>150</v>
      </c>
      <c r="S80" s="43">
        <v>150</v>
      </c>
      <c r="T80" s="43">
        <v>150</v>
      </c>
      <c r="U80" s="43">
        <v>200</v>
      </c>
      <c r="V80" s="43">
        <v>200</v>
      </c>
      <c r="W80" s="43">
        <v>200</v>
      </c>
      <c r="X80" s="44">
        <f t="shared" si="12"/>
        <v>1950</v>
      </c>
      <c r="Y80" s="43">
        <v>200</v>
      </c>
      <c r="Z80" s="43">
        <v>200</v>
      </c>
      <c r="AA80" s="43">
        <v>200</v>
      </c>
      <c r="AB80" s="43">
        <v>200</v>
      </c>
      <c r="AC80" s="43">
        <v>200</v>
      </c>
      <c r="AD80" s="43">
        <v>200</v>
      </c>
      <c r="AE80" s="43">
        <v>200</v>
      </c>
      <c r="AF80" s="43">
        <v>200</v>
      </c>
      <c r="AG80" s="43">
        <v>0</v>
      </c>
      <c r="AH80" s="43">
        <v>0</v>
      </c>
      <c r="AI80" s="43">
        <v>200</v>
      </c>
      <c r="AJ80" s="43">
        <v>200</v>
      </c>
      <c r="AK80" s="44">
        <f t="shared" si="13"/>
        <v>2000</v>
      </c>
      <c r="AL80" s="43">
        <v>200</v>
      </c>
      <c r="AM80" s="43">
        <v>200</v>
      </c>
      <c r="AN80" s="43">
        <v>200</v>
      </c>
      <c r="AO80" s="43">
        <v>200</v>
      </c>
      <c r="AP80" s="43">
        <v>200</v>
      </c>
      <c r="AQ80" s="43">
        <v>200</v>
      </c>
      <c r="AR80" s="43">
        <v>200</v>
      </c>
      <c r="AS80" s="43">
        <v>200</v>
      </c>
      <c r="AT80" s="43">
        <v>200</v>
      </c>
      <c r="AU80" s="43">
        <v>200</v>
      </c>
      <c r="AV80" s="43">
        <v>200</v>
      </c>
      <c r="AW80" s="43">
        <v>200</v>
      </c>
      <c r="AX80" s="44">
        <f t="shared" si="14"/>
        <v>2400</v>
      </c>
      <c r="AY80" s="311">
        <f>SUMIF(Recibos!$D$4:$D$7493,Cobranza!$B80,Recibos!K$4:K$7493)</f>
        <v>200</v>
      </c>
      <c r="AZ80" s="311">
        <f>SUMIF(Recibos!$D$4:$D$7493,Cobranza!$B80,Recibos!L$4:L$7493)</f>
        <v>200</v>
      </c>
      <c r="BA80" s="311">
        <f>SUMIF(Recibos!$D$4:$D$7493,Cobranza!$B80,Recibos!M$4:M$7493)</f>
        <v>200</v>
      </c>
      <c r="BB80" s="311">
        <f>SUMIF(Recibos!$D$4:$D$7493,Cobranza!$B80,Recibos!N$4:N$7493)</f>
        <v>200</v>
      </c>
      <c r="BC80" s="311">
        <f>SUMIF(Recibos!$D$4:$D$7493,Cobranza!$B80,Recibos!O$4:O$7493)</f>
        <v>200</v>
      </c>
      <c r="BD80" s="311">
        <f>SUMIF(Recibos!$D$4:$D$7493,Cobranza!$B80,Recibos!P$4:P$7493)</f>
        <v>200</v>
      </c>
      <c r="BE80" s="311">
        <f>SUMIF(Recibos!$D$4:$D$7493,Cobranza!$B80,Recibos!Q$4:Q$7493)</f>
        <v>200</v>
      </c>
      <c r="BF80" s="311">
        <f>SUMIF(Recibos!$D$4:$D$7493,Cobranza!$B80,Recibos!R$4:R$7493)</f>
        <v>200</v>
      </c>
      <c r="BG80" s="311">
        <f>SUMIF(Recibos!$D$4:$D$7493,Cobranza!$B80,Recibos!S$4:S$7493)</f>
        <v>200</v>
      </c>
      <c r="BH80" s="311">
        <f>SUMIF(Recibos!$D$4:$D$7493,Cobranza!$B80,Recibos!T$4:T$7493)</f>
        <v>200</v>
      </c>
      <c r="BI80" s="311">
        <f>SUMIF(Recibos!$D$4:$D$7493,Cobranza!$B80,Recibos!U$4:U$7493)</f>
        <v>200</v>
      </c>
      <c r="BJ80" s="311">
        <f>SUMIF(Recibos!$D$4:$D$7493,Cobranza!$B80,Recibos!V$4:V$7493)</f>
        <v>200</v>
      </c>
      <c r="BK80" s="312">
        <f t="shared" si="8"/>
        <v>2400</v>
      </c>
      <c r="BL80" s="311">
        <f>SUMIF(Recibos!$D$4:$D$7493,Cobranza!$B80,Recibos!X$4:X$7493)</f>
        <v>200</v>
      </c>
      <c r="BM80" s="311">
        <f>SUMIF(Recibos!$D$4:$D$7493,Cobranza!$B80,Recibos!Y$4:Y$7493)</f>
        <v>200</v>
      </c>
      <c r="BN80" s="311">
        <f>SUMIF(Recibos!$D$4:$D$7493,Cobranza!$B80,Recibos!Z$4:Z$7493)</f>
        <v>200</v>
      </c>
      <c r="BO80" s="311">
        <f>SUMIF(Recibos!$D$4:$D$7493,Cobranza!$B80,Recibos!AA$4:AA$7493)</f>
        <v>200</v>
      </c>
      <c r="BP80" s="311">
        <f>SUMIF(Recibos!$D$4:$D$7493,Cobranza!$B80,Recibos!AB$4:AB$7493)</f>
        <v>200</v>
      </c>
      <c r="BQ80" s="311">
        <f>SUMIF(Recibos!$D$4:$D$7493,Cobranza!$B80,Recibos!AC$4:AC$7493)</f>
        <v>200</v>
      </c>
      <c r="BR80" s="311">
        <f>SUMIF(Recibos!$D$4:$D$7493,Cobranza!$B80,Recibos!AD$4:AD$7493)</f>
        <v>200</v>
      </c>
      <c r="BS80" s="311">
        <f>SUMIF(Recibos!$D$4:$D$7493,Cobranza!$B80,Recibos!AE$4:AE$7493)</f>
        <v>200</v>
      </c>
      <c r="BT80" s="311">
        <f>SUMIF(Recibos!$D$4:$D$7493,Cobranza!$B80,Recibos!AF$4:AF$7493)</f>
        <v>200</v>
      </c>
      <c r="BU80" s="311">
        <f>SUMIF(Recibos!$D$4:$D$7493,Cobranza!$B80,Recibos!AG$4:AG$7493)</f>
        <v>200</v>
      </c>
      <c r="BV80" s="311">
        <f>SUMIF(Recibos!$D$4:$D$7493,Cobranza!$B80,Recibos!AH$4:AH$7493)</f>
        <v>200</v>
      </c>
      <c r="BW80" s="311">
        <f>SUMIF(Recibos!$D$4:$D$7493,Cobranza!$B80,Recibos!AI$4:AI$7493)</f>
        <v>200</v>
      </c>
      <c r="BX80" s="312">
        <f t="shared" si="9"/>
        <v>2400</v>
      </c>
      <c r="BY80" s="311">
        <f>SUMIF(Recibos!$D$4:$D$7493,Cobranza!$B80,Recibos!AK$4:AK$7493)</f>
        <v>200</v>
      </c>
      <c r="BZ80" s="311">
        <f>SUMIF(Recibos!$D$4:$D$7493,Cobranza!$B80,Recibos!AL$4:AL$7493)</f>
        <v>200</v>
      </c>
      <c r="CA80" s="311">
        <f>SUMIF(Recibos!$D$4:$D$7493,Cobranza!$B80,Recibos!AM$4:AM$7493)</f>
        <v>200</v>
      </c>
      <c r="CB80" s="311">
        <f>SUMIF(Recibos!$D$4:$D$7493,Cobranza!$B80,Recibos!AN$4:AN$7493)</f>
        <v>200</v>
      </c>
      <c r="CC80" s="311">
        <f>SUMIF(Recibos!$D$4:$D$7493,Cobranza!$B80,Recibos!AO$4:AO$7493)</f>
        <v>200</v>
      </c>
      <c r="CD80" s="311">
        <f>SUMIF(Recibos!$D$4:$D$7493,Cobranza!$B80,Recibos!AP$4:AP$7493)</f>
        <v>200</v>
      </c>
      <c r="CE80" s="311">
        <f>SUMIF(Recibos!$D$4:$D$7493,Cobranza!$B80,Recibos!AQ$4:AQ$7493)</f>
        <v>200</v>
      </c>
      <c r="CF80" s="311">
        <f>SUMIF(Recibos!$D$4:$D$7493,Cobranza!$B80,Recibos!AR$4:AR$7493)</f>
        <v>200</v>
      </c>
      <c r="CG80" s="311">
        <f>SUMIF(Recibos!$D$4:$D$7493,Cobranza!$B80,Recibos!AS$4:AS$7493)</f>
        <v>200</v>
      </c>
      <c r="CH80" s="311">
        <f>SUMIF(Recibos!$D$4:$D$7493,Cobranza!$B80,Recibos!AT$4:AT$7493)</f>
        <v>200</v>
      </c>
      <c r="CI80" s="311">
        <f>SUMIF(Recibos!$D$4:$D$7493,Cobranza!$B80,Recibos!AU$4:AU$7493)</f>
        <v>0</v>
      </c>
      <c r="CJ80" s="311">
        <f>SUMIF(Recibos!$D$4:$D$7493,Cobranza!$B80,Recibos!AV$4:AV$7493)</f>
        <v>0</v>
      </c>
      <c r="CK80" s="312">
        <f t="shared" si="10"/>
        <v>2000</v>
      </c>
    </row>
    <row r="81" spans="2:89" x14ac:dyDescent="0.2">
      <c r="B81" s="45" t="s">
        <v>517</v>
      </c>
      <c r="C81" s="45" t="s">
        <v>518</v>
      </c>
      <c r="D81" s="45" t="s">
        <v>519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7">
        <f t="shared" si="11"/>
        <v>0</v>
      </c>
      <c r="L81" s="46">
        <v>300</v>
      </c>
      <c r="M81" s="46">
        <v>300</v>
      </c>
      <c r="N81" s="46">
        <v>300</v>
      </c>
      <c r="O81" s="46">
        <v>300</v>
      </c>
      <c r="P81" s="46">
        <v>300</v>
      </c>
      <c r="Q81" s="46">
        <v>300</v>
      </c>
      <c r="R81" s="46">
        <v>300</v>
      </c>
      <c r="S81" s="46">
        <v>300</v>
      </c>
      <c r="T81" s="46">
        <v>300</v>
      </c>
      <c r="U81" s="46">
        <v>300</v>
      </c>
      <c r="V81" s="46">
        <v>300</v>
      </c>
      <c r="W81" s="46">
        <v>0</v>
      </c>
      <c r="X81" s="47">
        <f t="shared" si="12"/>
        <v>3300</v>
      </c>
      <c r="Y81" s="46">
        <v>400</v>
      </c>
      <c r="Z81" s="46">
        <v>400</v>
      </c>
      <c r="AA81" s="46">
        <v>400</v>
      </c>
      <c r="AB81" s="46">
        <v>400</v>
      </c>
      <c r="AC81" s="46">
        <v>400</v>
      </c>
      <c r="AD81" s="46">
        <v>400</v>
      </c>
      <c r="AE81" s="46">
        <v>400</v>
      </c>
      <c r="AF81" s="46">
        <v>400</v>
      </c>
      <c r="AG81" s="46">
        <v>400</v>
      </c>
      <c r="AH81" s="46">
        <v>400</v>
      </c>
      <c r="AI81" s="46">
        <v>400</v>
      </c>
      <c r="AJ81" s="46">
        <v>0</v>
      </c>
      <c r="AK81" s="47">
        <f t="shared" si="13"/>
        <v>4400</v>
      </c>
      <c r="AL81" s="46">
        <v>400</v>
      </c>
      <c r="AM81" s="46">
        <v>400</v>
      </c>
      <c r="AN81" s="46">
        <v>400</v>
      </c>
      <c r="AO81" s="46">
        <v>400</v>
      </c>
      <c r="AP81" s="46">
        <v>400</v>
      </c>
      <c r="AQ81" s="46">
        <v>400</v>
      </c>
      <c r="AR81" s="46">
        <v>400</v>
      </c>
      <c r="AS81" s="46">
        <v>400</v>
      </c>
      <c r="AT81" s="46">
        <v>400</v>
      </c>
      <c r="AU81" s="46">
        <v>400</v>
      </c>
      <c r="AV81" s="46">
        <v>400</v>
      </c>
      <c r="AW81" s="46">
        <v>0</v>
      </c>
      <c r="AX81" s="47">
        <f t="shared" si="14"/>
        <v>4400</v>
      </c>
      <c r="AY81" s="313">
        <f>SUMIF(Recibos!$D$4:$D$7493,Cobranza!$B81,Recibos!K$4:K$7493)</f>
        <v>400</v>
      </c>
      <c r="AZ81" s="313">
        <f>SUMIF(Recibos!$D$4:$D$7493,Cobranza!$B81,Recibos!L$4:L$7493)</f>
        <v>400</v>
      </c>
      <c r="BA81" s="313">
        <f>SUMIF(Recibos!$D$4:$D$7493,Cobranza!$B81,Recibos!M$4:M$7493)</f>
        <v>400</v>
      </c>
      <c r="BB81" s="313">
        <f>SUMIF(Recibos!$D$4:$D$7493,Cobranza!$B81,Recibos!N$4:N$7493)</f>
        <v>400</v>
      </c>
      <c r="BC81" s="313">
        <f>SUMIF(Recibos!$D$4:$D$7493,Cobranza!$B81,Recibos!O$4:O$7493)</f>
        <v>400</v>
      </c>
      <c r="BD81" s="313">
        <f>SUMIF(Recibos!$D$4:$D$7493,Cobranza!$B81,Recibos!P$4:P$7493)</f>
        <v>400</v>
      </c>
      <c r="BE81" s="313">
        <f>SUMIF(Recibos!$D$4:$D$7493,Cobranza!$B81,Recibos!Q$4:Q$7493)</f>
        <v>400</v>
      </c>
      <c r="BF81" s="313">
        <f>SUMIF(Recibos!$D$4:$D$7493,Cobranza!$B81,Recibos!R$4:R$7493)</f>
        <v>400</v>
      </c>
      <c r="BG81" s="313">
        <f>SUMIF(Recibos!$D$4:$D$7493,Cobranza!$B81,Recibos!S$4:S$7493)</f>
        <v>400</v>
      </c>
      <c r="BH81" s="313">
        <f>SUMIF(Recibos!$D$4:$D$7493,Cobranza!$B81,Recibos!T$4:T$7493)</f>
        <v>400</v>
      </c>
      <c r="BI81" s="313">
        <f>SUMIF(Recibos!$D$4:$D$7493,Cobranza!$B81,Recibos!U$4:U$7493)</f>
        <v>400</v>
      </c>
      <c r="BJ81" s="313">
        <f>SUMIF(Recibos!$D$4:$D$7493,Cobranza!$B81,Recibos!V$4:V$7493)</f>
        <v>0</v>
      </c>
      <c r="BK81" s="314">
        <f t="shared" ref="BK81:BK147" si="15">SUM(AY81:BJ81)</f>
        <v>4400</v>
      </c>
      <c r="BL81" s="313">
        <f>SUMIF(Recibos!$D$4:$D$7493,Cobranza!$B81,Recibos!X$4:X$7493)</f>
        <v>400</v>
      </c>
      <c r="BM81" s="313">
        <f>SUMIF(Recibos!$D$4:$D$7493,Cobranza!$B81,Recibos!Y$4:Y$7493)</f>
        <v>400</v>
      </c>
      <c r="BN81" s="313">
        <f>SUMIF(Recibos!$D$4:$D$7493,Cobranza!$B81,Recibos!Z$4:Z$7493)</f>
        <v>400</v>
      </c>
      <c r="BO81" s="313">
        <f>SUMIF(Recibos!$D$4:$D$7493,Cobranza!$B81,Recibos!AA$4:AA$7493)</f>
        <v>400</v>
      </c>
      <c r="BP81" s="313">
        <f>SUMIF(Recibos!$D$4:$D$7493,Cobranza!$B81,Recibos!AB$4:AB$7493)</f>
        <v>400</v>
      </c>
      <c r="BQ81" s="313">
        <f>SUMIF(Recibos!$D$4:$D$7493,Cobranza!$B81,Recibos!AC$4:AC$7493)</f>
        <v>400</v>
      </c>
      <c r="BR81" s="313">
        <f>SUMIF(Recibos!$D$4:$D$7493,Cobranza!$B81,Recibos!AD$4:AD$7493)</f>
        <v>400</v>
      </c>
      <c r="BS81" s="313">
        <f>SUMIF(Recibos!$D$4:$D$7493,Cobranza!$B81,Recibos!AE$4:AE$7493)</f>
        <v>400</v>
      </c>
      <c r="BT81" s="313">
        <f>SUMIF(Recibos!$D$4:$D$7493,Cobranza!$B81,Recibos!AF$4:AF$7493)</f>
        <v>400</v>
      </c>
      <c r="BU81" s="313">
        <f>SUMIF(Recibos!$D$4:$D$7493,Cobranza!$B81,Recibos!AG$4:AG$7493)</f>
        <v>400</v>
      </c>
      <c r="BV81" s="313">
        <f>SUMIF(Recibos!$D$4:$D$7493,Cobranza!$B81,Recibos!AH$4:AH$7493)</f>
        <v>400</v>
      </c>
      <c r="BW81" s="313">
        <f>SUMIF(Recibos!$D$4:$D$7493,Cobranza!$B81,Recibos!AI$4:AI$7493)</f>
        <v>0</v>
      </c>
      <c r="BX81" s="314">
        <f t="shared" ref="BX81:BX147" si="16">SUM(BL81:BW81)</f>
        <v>4400</v>
      </c>
      <c r="BY81" s="313">
        <f>SUMIF(Recibos!$D$4:$D$7493,Cobranza!$B81,Recibos!AK$4:AK$7493)</f>
        <v>400</v>
      </c>
      <c r="BZ81" s="313">
        <f>SUMIF(Recibos!$D$4:$D$7493,Cobranza!$B81,Recibos!AL$4:AL$7493)</f>
        <v>400</v>
      </c>
      <c r="CA81" s="313">
        <f>SUMIF(Recibos!$D$4:$D$7493,Cobranza!$B81,Recibos!AM$4:AM$7493)</f>
        <v>400</v>
      </c>
      <c r="CB81" s="313">
        <f>SUMIF(Recibos!$D$4:$D$7493,Cobranza!$B81,Recibos!AN$4:AN$7493)</f>
        <v>400</v>
      </c>
      <c r="CC81" s="313">
        <f>SUMIF(Recibos!$D$4:$D$7493,Cobranza!$B81,Recibos!AO$4:AO$7493)</f>
        <v>400</v>
      </c>
      <c r="CD81" s="313">
        <f>SUMIF(Recibos!$D$4:$D$7493,Cobranza!$B81,Recibos!AP$4:AP$7493)</f>
        <v>400</v>
      </c>
      <c r="CE81" s="313">
        <f>SUMIF(Recibos!$D$4:$D$7493,Cobranza!$B81,Recibos!AQ$4:AQ$7493)</f>
        <v>400</v>
      </c>
      <c r="CF81" s="313">
        <f>SUMIF(Recibos!$D$4:$D$7493,Cobranza!$B81,Recibos!AR$4:AR$7493)</f>
        <v>400</v>
      </c>
      <c r="CG81" s="313">
        <f>SUMIF(Recibos!$D$4:$D$7493,Cobranza!$B81,Recibos!AS$4:AS$7493)</f>
        <v>400</v>
      </c>
      <c r="CH81" s="313">
        <f>SUMIF(Recibos!$D$4:$D$7493,Cobranza!$B81,Recibos!AT$4:AT$7493)</f>
        <v>400</v>
      </c>
      <c r="CI81" s="313">
        <f>SUMIF(Recibos!$D$4:$D$7493,Cobranza!$B81,Recibos!AU$4:AU$7493)</f>
        <v>400</v>
      </c>
      <c r="CJ81" s="313">
        <f>SUMIF(Recibos!$D$4:$D$7493,Cobranza!$B81,Recibos!AV$4:AV$7493)</f>
        <v>0</v>
      </c>
      <c r="CK81" s="314">
        <f t="shared" si="10"/>
        <v>4400</v>
      </c>
    </row>
    <row r="82" spans="2:89" x14ac:dyDescent="0.2">
      <c r="B82" s="42" t="s">
        <v>153</v>
      </c>
      <c r="C82" s="42" t="s">
        <v>154</v>
      </c>
      <c r="D82" s="42" t="s">
        <v>155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4">
        <f t="shared" si="11"/>
        <v>0</v>
      </c>
      <c r="L82" s="43">
        <v>300</v>
      </c>
      <c r="M82" s="43">
        <v>300</v>
      </c>
      <c r="N82" s="43">
        <v>300</v>
      </c>
      <c r="O82" s="43">
        <v>300</v>
      </c>
      <c r="P82" s="43">
        <v>300</v>
      </c>
      <c r="Q82" s="43">
        <v>300</v>
      </c>
      <c r="R82" s="43">
        <v>300</v>
      </c>
      <c r="S82" s="43">
        <v>300</v>
      </c>
      <c r="T82" s="43">
        <v>300</v>
      </c>
      <c r="U82" s="43">
        <v>400</v>
      </c>
      <c r="V82" s="43">
        <v>400</v>
      </c>
      <c r="W82" s="43">
        <v>400</v>
      </c>
      <c r="X82" s="44">
        <f t="shared" si="12"/>
        <v>3900</v>
      </c>
      <c r="Y82" s="43">
        <v>400</v>
      </c>
      <c r="Z82" s="43">
        <v>400</v>
      </c>
      <c r="AA82" s="43">
        <v>400</v>
      </c>
      <c r="AB82" s="43">
        <v>400</v>
      </c>
      <c r="AC82" s="43">
        <v>400</v>
      </c>
      <c r="AD82" s="43">
        <v>400</v>
      </c>
      <c r="AE82" s="43">
        <v>400</v>
      </c>
      <c r="AF82" s="43">
        <v>400</v>
      </c>
      <c r="AG82" s="43">
        <v>400</v>
      </c>
      <c r="AH82" s="43">
        <v>400</v>
      </c>
      <c r="AI82" s="43">
        <v>400</v>
      </c>
      <c r="AJ82" s="43">
        <v>400</v>
      </c>
      <c r="AK82" s="44">
        <f t="shared" si="13"/>
        <v>4800</v>
      </c>
      <c r="AL82" s="43">
        <v>400</v>
      </c>
      <c r="AM82" s="43">
        <v>400</v>
      </c>
      <c r="AN82" s="43">
        <v>400</v>
      </c>
      <c r="AO82" s="43">
        <v>400</v>
      </c>
      <c r="AP82" s="43">
        <v>400</v>
      </c>
      <c r="AQ82" s="43">
        <v>400</v>
      </c>
      <c r="AR82" s="43">
        <v>400</v>
      </c>
      <c r="AS82" s="43">
        <v>400</v>
      </c>
      <c r="AT82" s="43">
        <v>400</v>
      </c>
      <c r="AU82" s="43">
        <v>400</v>
      </c>
      <c r="AV82" s="43">
        <v>400</v>
      </c>
      <c r="AW82" s="43">
        <v>0</v>
      </c>
      <c r="AX82" s="44">
        <f t="shared" si="14"/>
        <v>4400</v>
      </c>
      <c r="AY82" s="311">
        <f>SUMIF(Recibos!$D$4:$D$7493,Cobranza!$B82,Recibos!K$4:K$7493)</f>
        <v>400</v>
      </c>
      <c r="AZ82" s="311">
        <f>SUMIF(Recibos!$D$4:$D$7493,Cobranza!$B82,Recibos!L$4:L$7493)</f>
        <v>400</v>
      </c>
      <c r="BA82" s="311">
        <f>SUMIF(Recibos!$D$4:$D$7493,Cobranza!$B82,Recibos!M$4:M$7493)</f>
        <v>400</v>
      </c>
      <c r="BB82" s="311">
        <f>SUMIF(Recibos!$D$4:$D$7493,Cobranza!$B82,Recibos!N$4:N$7493)</f>
        <v>400</v>
      </c>
      <c r="BC82" s="311">
        <f>SUMIF(Recibos!$D$4:$D$7493,Cobranza!$B82,Recibos!O$4:O$7493)</f>
        <v>400</v>
      </c>
      <c r="BD82" s="311">
        <f>SUMIF(Recibos!$D$4:$D$7493,Cobranza!$B82,Recibos!P$4:P$7493)</f>
        <v>400</v>
      </c>
      <c r="BE82" s="311">
        <f>SUMIF(Recibos!$D$4:$D$7493,Cobranza!$B82,Recibos!Q$4:Q$7493)</f>
        <v>400</v>
      </c>
      <c r="BF82" s="311">
        <f>SUMIF(Recibos!$D$4:$D$7493,Cobranza!$B82,Recibos!R$4:R$7493)</f>
        <v>400</v>
      </c>
      <c r="BG82" s="311">
        <f>SUMIF(Recibos!$D$4:$D$7493,Cobranza!$B82,Recibos!S$4:S$7493)</f>
        <v>400</v>
      </c>
      <c r="BH82" s="311">
        <f>SUMIF(Recibos!$D$4:$D$7493,Cobranza!$B82,Recibos!T$4:T$7493)</f>
        <v>400</v>
      </c>
      <c r="BI82" s="311">
        <f>SUMIF(Recibos!$D$4:$D$7493,Cobranza!$B82,Recibos!U$4:U$7493)</f>
        <v>400</v>
      </c>
      <c r="BJ82" s="311">
        <f>SUMIF(Recibos!$D$4:$D$7493,Cobranza!$B82,Recibos!V$4:V$7493)</f>
        <v>400</v>
      </c>
      <c r="BK82" s="312">
        <f t="shared" si="15"/>
        <v>4800</v>
      </c>
      <c r="BL82" s="311">
        <f>SUMIF(Recibos!$D$4:$D$7493,Cobranza!$B82,Recibos!X$4:X$7493)</f>
        <v>400</v>
      </c>
      <c r="BM82" s="311">
        <f>SUMIF(Recibos!$D$4:$D$7493,Cobranza!$B82,Recibos!Y$4:Y$7493)</f>
        <v>400</v>
      </c>
      <c r="BN82" s="311">
        <f>SUMIF(Recibos!$D$4:$D$7493,Cobranza!$B82,Recibos!Z$4:Z$7493)</f>
        <v>400</v>
      </c>
      <c r="BO82" s="311">
        <f>SUMIF(Recibos!$D$4:$D$7493,Cobranza!$B82,Recibos!AA$4:AA$7493)</f>
        <v>400</v>
      </c>
      <c r="BP82" s="311">
        <f>SUMIF(Recibos!$D$4:$D$7493,Cobranza!$B82,Recibos!AB$4:AB$7493)</f>
        <v>400</v>
      </c>
      <c r="BQ82" s="311">
        <f>SUMIF(Recibos!$D$4:$D$7493,Cobranza!$B82,Recibos!AC$4:AC$7493)</f>
        <v>0</v>
      </c>
      <c r="BR82" s="311">
        <f>SUMIF(Recibos!$D$4:$D$7493,Cobranza!$B82,Recibos!AD$4:AD$7493)</f>
        <v>0</v>
      </c>
      <c r="BS82" s="311">
        <f>SUMIF(Recibos!$D$4:$D$7493,Cobranza!$B82,Recibos!AE$4:AE$7493)</f>
        <v>0</v>
      </c>
      <c r="BT82" s="311">
        <f>SUMIF(Recibos!$D$4:$D$7493,Cobranza!$B82,Recibos!AF$4:AF$7493)</f>
        <v>0</v>
      </c>
      <c r="BU82" s="311">
        <f>SUMIF(Recibos!$D$4:$D$7493,Cobranza!$B82,Recibos!AG$4:AG$7493)</f>
        <v>0</v>
      </c>
      <c r="BV82" s="311">
        <f>SUMIF(Recibos!$D$4:$D$7493,Cobranza!$B82,Recibos!AH$4:AH$7493)</f>
        <v>0</v>
      </c>
      <c r="BW82" s="311">
        <f>SUMIF(Recibos!$D$4:$D$7493,Cobranza!$B82,Recibos!AI$4:AI$7493)</f>
        <v>0</v>
      </c>
      <c r="BX82" s="312">
        <f t="shared" si="16"/>
        <v>2000</v>
      </c>
      <c r="BY82" s="311">
        <f>SUMIF(Recibos!$D$4:$D$7493,Cobranza!$B82,Recibos!AK$4:AK$7493)</f>
        <v>0</v>
      </c>
      <c r="BZ82" s="311">
        <f>SUMIF(Recibos!$D$4:$D$7493,Cobranza!$B82,Recibos!AL$4:AL$7493)</f>
        <v>0</v>
      </c>
      <c r="CA82" s="311">
        <f>SUMIF(Recibos!$D$4:$D$7493,Cobranza!$B82,Recibos!AM$4:AM$7493)</f>
        <v>0</v>
      </c>
      <c r="CB82" s="311">
        <f>SUMIF(Recibos!$D$4:$D$7493,Cobranza!$B82,Recibos!AN$4:AN$7493)</f>
        <v>0</v>
      </c>
      <c r="CC82" s="311">
        <f>SUMIF(Recibos!$D$4:$D$7493,Cobranza!$B82,Recibos!AO$4:AO$7493)</f>
        <v>0</v>
      </c>
      <c r="CD82" s="311">
        <f>SUMIF(Recibos!$D$4:$D$7493,Cobranza!$B82,Recibos!AP$4:AP$7493)</f>
        <v>0</v>
      </c>
      <c r="CE82" s="311">
        <f>SUMIF(Recibos!$D$4:$D$7493,Cobranza!$B82,Recibos!AQ$4:AQ$7493)</f>
        <v>0</v>
      </c>
      <c r="CF82" s="311">
        <f>SUMIF(Recibos!$D$4:$D$7493,Cobranza!$B82,Recibos!AR$4:AR$7493)</f>
        <v>0</v>
      </c>
      <c r="CG82" s="311">
        <f>SUMIF(Recibos!$D$4:$D$7493,Cobranza!$B82,Recibos!AS$4:AS$7493)</f>
        <v>0</v>
      </c>
      <c r="CH82" s="311">
        <f>SUMIF(Recibos!$D$4:$D$7493,Cobranza!$B82,Recibos!AT$4:AT$7493)</f>
        <v>0</v>
      </c>
      <c r="CI82" s="311">
        <f>SUMIF(Recibos!$D$4:$D$7493,Cobranza!$B82,Recibos!AU$4:AU$7493)</f>
        <v>0</v>
      </c>
      <c r="CJ82" s="311">
        <f>SUMIF(Recibos!$D$4:$D$7493,Cobranza!$B82,Recibos!AV$4:AV$7493)</f>
        <v>0</v>
      </c>
      <c r="CK82" s="312">
        <f t="shared" si="10"/>
        <v>0</v>
      </c>
    </row>
    <row r="83" spans="2:89" x14ac:dyDescent="0.2">
      <c r="B83" s="45" t="s">
        <v>950</v>
      </c>
      <c r="C83" s="45" t="s">
        <v>951</v>
      </c>
      <c r="D83" s="45" t="s">
        <v>952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300</v>
      </c>
      <c r="K83" s="47">
        <f t="shared" si="11"/>
        <v>300</v>
      </c>
      <c r="L83" s="46">
        <v>300</v>
      </c>
      <c r="M83" s="46">
        <v>300</v>
      </c>
      <c r="N83" s="46">
        <v>300</v>
      </c>
      <c r="O83" s="46">
        <v>150</v>
      </c>
      <c r="P83" s="46">
        <v>170</v>
      </c>
      <c r="Q83" s="46">
        <v>300</v>
      </c>
      <c r="R83" s="46">
        <v>300</v>
      </c>
      <c r="S83" s="46">
        <v>300</v>
      </c>
      <c r="T83" s="46">
        <v>300</v>
      </c>
      <c r="U83" s="46">
        <v>400</v>
      </c>
      <c r="V83" s="46">
        <v>400</v>
      </c>
      <c r="W83" s="46">
        <v>400</v>
      </c>
      <c r="X83" s="47">
        <f t="shared" si="12"/>
        <v>3620</v>
      </c>
      <c r="Y83" s="46">
        <v>400</v>
      </c>
      <c r="Z83" s="46">
        <v>400</v>
      </c>
      <c r="AA83" s="46">
        <v>800</v>
      </c>
      <c r="AB83" s="46">
        <v>400</v>
      </c>
      <c r="AC83" s="46">
        <v>400</v>
      </c>
      <c r="AD83" s="46">
        <v>400</v>
      </c>
      <c r="AE83" s="46">
        <v>400</v>
      </c>
      <c r="AF83" s="46">
        <v>400</v>
      </c>
      <c r="AG83" s="46">
        <v>400</v>
      </c>
      <c r="AH83" s="46">
        <v>400</v>
      </c>
      <c r="AI83" s="46">
        <v>400</v>
      </c>
      <c r="AJ83" s="46">
        <v>400</v>
      </c>
      <c r="AK83" s="47">
        <f t="shared" si="13"/>
        <v>5200</v>
      </c>
      <c r="AL83" s="46">
        <v>400</v>
      </c>
      <c r="AM83" s="46">
        <v>400</v>
      </c>
      <c r="AN83" s="46">
        <v>400</v>
      </c>
      <c r="AO83" s="46">
        <v>400</v>
      </c>
      <c r="AP83" s="46">
        <v>400</v>
      </c>
      <c r="AQ83" s="46">
        <v>400</v>
      </c>
      <c r="AR83" s="46">
        <v>400</v>
      </c>
      <c r="AS83" s="46">
        <v>400</v>
      </c>
      <c r="AT83" s="46">
        <v>400</v>
      </c>
      <c r="AU83" s="46">
        <v>400</v>
      </c>
      <c r="AV83" s="46">
        <v>400</v>
      </c>
      <c r="AW83" s="46">
        <v>400</v>
      </c>
      <c r="AX83" s="47">
        <f t="shared" si="14"/>
        <v>4800</v>
      </c>
      <c r="AY83" s="313">
        <f>SUMIF(Recibos!$D$4:$D$7493,Cobranza!$B83,Recibos!K$4:K$7493)</f>
        <v>400</v>
      </c>
      <c r="AZ83" s="313">
        <f>SUMIF(Recibos!$D$4:$D$7493,Cobranza!$B83,Recibos!L$4:L$7493)</f>
        <v>400</v>
      </c>
      <c r="BA83" s="313">
        <f>SUMIF(Recibos!$D$4:$D$7493,Cobranza!$B83,Recibos!M$4:M$7493)</f>
        <v>400</v>
      </c>
      <c r="BB83" s="313">
        <f>SUMIF(Recibos!$D$4:$D$7493,Cobranza!$B83,Recibos!N$4:N$7493)</f>
        <v>400</v>
      </c>
      <c r="BC83" s="313">
        <f>SUMIF(Recibos!$D$4:$D$7493,Cobranza!$B83,Recibos!O$4:O$7493)</f>
        <v>400</v>
      </c>
      <c r="BD83" s="313">
        <f>SUMIF(Recibos!$D$4:$D$7493,Cobranza!$B83,Recibos!P$4:P$7493)</f>
        <v>400</v>
      </c>
      <c r="BE83" s="313">
        <f>SUMIF(Recibos!$D$4:$D$7493,Cobranza!$B83,Recibos!Q$4:Q$7493)</f>
        <v>400</v>
      </c>
      <c r="BF83" s="313">
        <f>SUMIF(Recibos!$D$4:$D$7493,Cobranza!$B83,Recibos!R$4:R$7493)</f>
        <v>400</v>
      </c>
      <c r="BG83" s="313">
        <f>SUMIF(Recibos!$D$4:$D$7493,Cobranza!$B83,Recibos!S$4:S$7493)</f>
        <v>400</v>
      </c>
      <c r="BH83" s="313">
        <f>SUMIF(Recibos!$D$4:$D$7493,Cobranza!$B83,Recibos!T$4:T$7493)</f>
        <v>400</v>
      </c>
      <c r="BI83" s="313">
        <f>SUMIF(Recibos!$D$4:$D$7493,Cobranza!$B83,Recibos!U$4:U$7493)</f>
        <v>400</v>
      </c>
      <c r="BJ83" s="313">
        <f>SUMIF(Recibos!$D$4:$D$7493,Cobranza!$B83,Recibos!V$4:V$7493)</f>
        <v>400</v>
      </c>
      <c r="BK83" s="314">
        <f t="shared" si="15"/>
        <v>4800</v>
      </c>
      <c r="BL83" s="313">
        <f>SUMIF(Recibos!$D$4:$D$7493,Cobranza!$B83,Recibos!X$4:X$7493)</f>
        <v>400</v>
      </c>
      <c r="BM83" s="313">
        <f>SUMIF(Recibos!$D$4:$D$7493,Cobranza!$B83,Recibos!Y$4:Y$7493)</f>
        <v>400</v>
      </c>
      <c r="BN83" s="313">
        <f>SUMIF(Recibos!$D$4:$D$7493,Cobranza!$B83,Recibos!Z$4:Z$7493)</f>
        <v>400</v>
      </c>
      <c r="BO83" s="313">
        <f>SUMIF(Recibos!$D$4:$D$7493,Cobranza!$B83,Recibos!AA$4:AA$7493)</f>
        <v>400</v>
      </c>
      <c r="BP83" s="313">
        <f>SUMIF(Recibos!$D$4:$D$7493,Cobranza!$B83,Recibos!AB$4:AB$7493)</f>
        <v>400</v>
      </c>
      <c r="BQ83" s="313">
        <f>SUMIF(Recibos!$D$4:$D$7493,Cobranza!$B83,Recibos!AC$4:AC$7493)</f>
        <v>400</v>
      </c>
      <c r="BR83" s="313">
        <f>SUMIF(Recibos!$D$4:$D$7493,Cobranza!$B83,Recibos!AD$4:AD$7493)</f>
        <v>400</v>
      </c>
      <c r="BS83" s="313">
        <f>SUMIF(Recibos!$D$4:$D$7493,Cobranza!$B83,Recibos!AE$4:AE$7493)</f>
        <v>400</v>
      </c>
      <c r="BT83" s="313">
        <f>SUMIF(Recibos!$D$4:$D$7493,Cobranza!$B83,Recibos!AF$4:AF$7493)</f>
        <v>400</v>
      </c>
      <c r="BU83" s="313">
        <f>SUMIF(Recibos!$D$4:$D$7493,Cobranza!$B83,Recibos!AG$4:AG$7493)</f>
        <v>400</v>
      </c>
      <c r="BV83" s="313">
        <f>SUMIF(Recibos!$D$4:$D$7493,Cobranza!$B83,Recibos!AH$4:AH$7493)</f>
        <v>400</v>
      </c>
      <c r="BW83" s="313">
        <f>SUMIF(Recibos!$D$4:$D$7493,Cobranza!$B83,Recibos!AI$4:AI$7493)</f>
        <v>400</v>
      </c>
      <c r="BX83" s="314">
        <f t="shared" si="16"/>
        <v>4800</v>
      </c>
      <c r="BY83" s="313">
        <f>SUMIF(Recibos!$D$4:$D$7493,Cobranza!$B83,Recibos!AK$4:AK$7493)</f>
        <v>400</v>
      </c>
      <c r="BZ83" s="313">
        <f>SUMIF(Recibos!$D$4:$D$7493,Cobranza!$B83,Recibos!AL$4:AL$7493)</f>
        <v>400</v>
      </c>
      <c r="CA83" s="313">
        <f>SUMIF(Recibos!$D$4:$D$7493,Cobranza!$B83,Recibos!AM$4:AM$7493)</f>
        <v>400</v>
      </c>
      <c r="CB83" s="313">
        <f>SUMIF(Recibos!$D$4:$D$7493,Cobranza!$B83,Recibos!AN$4:AN$7493)</f>
        <v>400</v>
      </c>
      <c r="CC83" s="313">
        <f>SUMIF(Recibos!$D$4:$D$7493,Cobranza!$B83,Recibos!AO$4:AO$7493)</f>
        <v>400</v>
      </c>
      <c r="CD83" s="313">
        <f>SUMIF(Recibos!$D$4:$D$7493,Cobranza!$B83,Recibos!AP$4:AP$7493)</f>
        <v>400</v>
      </c>
      <c r="CE83" s="313">
        <f>SUMIF(Recibos!$D$4:$D$7493,Cobranza!$B83,Recibos!AQ$4:AQ$7493)</f>
        <v>400</v>
      </c>
      <c r="CF83" s="313">
        <f>SUMIF(Recibos!$D$4:$D$7493,Cobranza!$B83,Recibos!AR$4:AR$7493)</f>
        <v>400</v>
      </c>
      <c r="CG83" s="313">
        <f>SUMIF(Recibos!$D$4:$D$7493,Cobranza!$B83,Recibos!AS$4:AS$7493)</f>
        <v>400</v>
      </c>
      <c r="CH83" s="313">
        <f>SUMIF(Recibos!$D$4:$D$7493,Cobranza!$B83,Recibos!AT$4:AT$7493)</f>
        <v>0</v>
      </c>
      <c r="CI83" s="313">
        <f>SUMIF(Recibos!$D$4:$D$7493,Cobranza!$B83,Recibos!AU$4:AU$7493)</f>
        <v>0</v>
      </c>
      <c r="CJ83" s="313">
        <f>SUMIF(Recibos!$D$4:$D$7493,Cobranza!$B83,Recibos!AV$4:AV$7493)</f>
        <v>0</v>
      </c>
      <c r="CK83" s="314">
        <f t="shared" si="10"/>
        <v>3600</v>
      </c>
    </row>
    <row r="84" spans="2:89" x14ac:dyDescent="0.2">
      <c r="B84" s="42" t="s">
        <v>497</v>
      </c>
      <c r="C84" s="42" t="s">
        <v>498</v>
      </c>
      <c r="D84" s="42" t="s">
        <v>499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300</v>
      </c>
      <c r="K84" s="44">
        <f t="shared" si="11"/>
        <v>300</v>
      </c>
      <c r="L84" s="43">
        <v>300</v>
      </c>
      <c r="M84" s="43">
        <v>300</v>
      </c>
      <c r="N84" s="43">
        <v>0</v>
      </c>
      <c r="O84" s="43">
        <v>300</v>
      </c>
      <c r="P84" s="43">
        <v>300</v>
      </c>
      <c r="Q84" s="43">
        <v>300</v>
      </c>
      <c r="R84" s="43">
        <v>300</v>
      </c>
      <c r="S84" s="43">
        <v>300</v>
      </c>
      <c r="T84" s="43">
        <v>300</v>
      </c>
      <c r="U84" s="43">
        <v>400</v>
      </c>
      <c r="V84" s="43">
        <v>400</v>
      </c>
      <c r="W84" s="43">
        <v>400</v>
      </c>
      <c r="X84" s="44">
        <f t="shared" si="12"/>
        <v>3600</v>
      </c>
      <c r="Y84" s="43">
        <v>400</v>
      </c>
      <c r="Z84" s="43">
        <v>400</v>
      </c>
      <c r="AA84" s="43">
        <v>400</v>
      </c>
      <c r="AB84" s="43">
        <v>0</v>
      </c>
      <c r="AC84" s="43">
        <v>400</v>
      </c>
      <c r="AD84" s="43">
        <v>400</v>
      </c>
      <c r="AE84" s="43">
        <v>400</v>
      </c>
      <c r="AF84" s="43">
        <v>400</v>
      </c>
      <c r="AG84" s="43">
        <v>400</v>
      </c>
      <c r="AH84" s="43">
        <v>400</v>
      </c>
      <c r="AI84" s="43">
        <v>400</v>
      </c>
      <c r="AJ84" s="43">
        <v>0</v>
      </c>
      <c r="AK84" s="44">
        <f t="shared" si="13"/>
        <v>4000</v>
      </c>
      <c r="AL84" s="43">
        <v>400</v>
      </c>
      <c r="AM84" s="43">
        <v>400</v>
      </c>
      <c r="AN84" s="43">
        <v>400</v>
      </c>
      <c r="AO84" s="43">
        <v>400</v>
      </c>
      <c r="AP84" s="43">
        <v>400</v>
      </c>
      <c r="AQ84" s="43">
        <v>400</v>
      </c>
      <c r="AR84" s="43">
        <v>400</v>
      </c>
      <c r="AS84" s="43">
        <v>400</v>
      </c>
      <c r="AT84" s="43">
        <v>400</v>
      </c>
      <c r="AU84" s="43">
        <v>400</v>
      </c>
      <c r="AV84" s="43">
        <v>400</v>
      </c>
      <c r="AW84" s="43">
        <v>400</v>
      </c>
      <c r="AX84" s="44">
        <f t="shared" si="14"/>
        <v>4800</v>
      </c>
      <c r="AY84" s="311">
        <f>SUMIF(Recibos!$D$4:$D$7493,Cobranza!$B84,Recibos!K$4:K$7493)</f>
        <v>400</v>
      </c>
      <c r="AZ84" s="311">
        <f>SUMIF(Recibos!$D$4:$D$7493,Cobranza!$B84,Recibos!L$4:L$7493)</f>
        <v>400</v>
      </c>
      <c r="BA84" s="311">
        <f>SUMIF(Recibos!$D$4:$D$7493,Cobranza!$B84,Recibos!M$4:M$7493)</f>
        <v>400</v>
      </c>
      <c r="BB84" s="311">
        <f>SUMIF(Recibos!$D$4:$D$7493,Cobranza!$B84,Recibos!N$4:N$7493)</f>
        <v>400</v>
      </c>
      <c r="BC84" s="311">
        <f>SUMIF(Recibos!$D$4:$D$7493,Cobranza!$B84,Recibos!O$4:O$7493)</f>
        <v>400</v>
      </c>
      <c r="BD84" s="311">
        <f>SUMIF(Recibos!$D$4:$D$7493,Cobranza!$B84,Recibos!P$4:P$7493)</f>
        <v>400</v>
      </c>
      <c r="BE84" s="311">
        <f>SUMIF(Recibos!$D$4:$D$7493,Cobranza!$B84,Recibos!Q$4:Q$7493)</f>
        <v>400</v>
      </c>
      <c r="BF84" s="311">
        <f>SUMIF(Recibos!$D$4:$D$7493,Cobranza!$B84,Recibos!R$4:R$7493)</f>
        <v>400</v>
      </c>
      <c r="BG84" s="311">
        <f>SUMIF(Recibos!$D$4:$D$7493,Cobranza!$B84,Recibos!S$4:S$7493)</f>
        <v>400</v>
      </c>
      <c r="BH84" s="311">
        <f>SUMIF(Recibos!$D$4:$D$7493,Cobranza!$B84,Recibos!T$4:T$7493)</f>
        <v>400</v>
      </c>
      <c r="BI84" s="311">
        <f>SUMIF(Recibos!$D$4:$D$7493,Cobranza!$B84,Recibos!U$4:U$7493)</f>
        <v>400</v>
      </c>
      <c r="BJ84" s="311">
        <f>SUMIF(Recibos!$D$4:$D$7493,Cobranza!$B84,Recibos!V$4:V$7493)</f>
        <v>400</v>
      </c>
      <c r="BK84" s="312">
        <f t="shared" si="15"/>
        <v>4800</v>
      </c>
      <c r="BL84" s="311">
        <f>SUMIF(Recibos!$D$4:$D$7493,Cobranza!$B84,Recibos!X$4:X$7493)</f>
        <v>400</v>
      </c>
      <c r="BM84" s="311">
        <f>SUMIF(Recibos!$D$4:$D$7493,Cobranza!$B84,Recibos!Y$4:Y$7493)</f>
        <v>400</v>
      </c>
      <c r="BN84" s="311">
        <f>SUMIF(Recibos!$D$4:$D$7493,Cobranza!$B84,Recibos!Z$4:Z$7493)</f>
        <v>400</v>
      </c>
      <c r="BO84" s="311">
        <f>SUMIF(Recibos!$D$4:$D$7493,Cobranza!$B84,Recibos!AA$4:AA$7493)</f>
        <v>400</v>
      </c>
      <c r="BP84" s="311">
        <f>SUMIF(Recibos!$D$4:$D$7493,Cobranza!$B84,Recibos!AB$4:AB$7493)</f>
        <v>400</v>
      </c>
      <c r="BQ84" s="311">
        <f>SUMIF(Recibos!$D$4:$D$7493,Cobranza!$B84,Recibos!AC$4:AC$7493)</f>
        <v>400</v>
      </c>
      <c r="BR84" s="311">
        <f>SUMIF(Recibos!$D$4:$D$7493,Cobranza!$B84,Recibos!AD$4:AD$7493)</f>
        <v>400</v>
      </c>
      <c r="BS84" s="311">
        <f>SUMIF(Recibos!$D$4:$D$7493,Cobranza!$B84,Recibos!AE$4:AE$7493)</f>
        <v>400</v>
      </c>
      <c r="BT84" s="311">
        <f>SUMIF(Recibos!$D$4:$D$7493,Cobranza!$B84,Recibos!AF$4:AF$7493)</f>
        <v>400</v>
      </c>
      <c r="BU84" s="311">
        <f>SUMIF(Recibos!$D$4:$D$7493,Cobranza!$B84,Recibos!AG$4:AG$7493)</f>
        <v>400</v>
      </c>
      <c r="BV84" s="311">
        <f>SUMIF(Recibos!$D$4:$D$7493,Cobranza!$B84,Recibos!AH$4:AH$7493)</f>
        <v>400</v>
      </c>
      <c r="BW84" s="311">
        <f>SUMIF(Recibos!$D$4:$D$7493,Cobranza!$B84,Recibos!AI$4:AI$7493)</f>
        <v>400</v>
      </c>
      <c r="BX84" s="312">
        <f t="shared" si="16"/>
        <v>4800</v>
      </c>
      <c r="BY84" s="311">
        <f>SUMIF(Recibos!$D$4:$D$7493,Cobranza!$B84,Recibos!AK$4:AK$7493)</f>
        <v>400</v>
      </c>
      <c r="BZ84" s="311">
        <f>SUMIF(Recibos!$D$4:$D$7493,Cobranza!$B84,Recibos!AL$4:AL$7493)</f>
        <v>400</v>
      </c>
      <c r="CA84" s="311">
        <f>SUMIF(Recibos!$D$4:$D$7493,Cobranza!$B84,Recibos!AM$4:AM$7493)</f>
        <v>400</v>
      </c>
      <c r="CB84" s="311">
        <f>SUMIF(Recibos!$D$4:$D$7493,Cobranza!$B84,Recibos!AN$4:AN$7493)</f>
        <v>400</v>
      </c>
      <c r="CC84" s="311">
        <f>SUMIF(Recibos!$D$4:$D$7493,Cobranza!$B84,Recibos!AO$4:AO$7493)</f>
        <v>400</v>
      </c>
      <c r="CD84" s="311">
        <f>SUMIF(Recibos!$D$4:$D$7493,Cobranza!$B84,Recibos!AP$4:AP$7493)</f>
        <v>400</v>
      </c>
      <c r="CE84" s="311">
        <f>SUMIF(Recibos!$D$4:$D$7493,Cobranza!$B84,Recibos!AQ$4:AQ$7493)</f>
        <v>400</v>
      </c>
      <c r="CF84" s="311">
        <f>SUMIF(Recibos!$D$4:$D$7493,Cobranza!$B84,Recibos!AR$4:AR$7493)</f>
        <v>400</v>
      </c>
      <c r="CG84" s="311">
        <f>SUMIF(Recibos!$D$4:$D$7493,Cobranza!$B84,Recibos!AS$4:AS$7493)</f>
        <v>400</v>
      </c>
      <c r="CH84" s="311">
        <f>SUMIF(Recibos!$D$4:$D$7493,Cobranza!$B84,Recibos!AT$4:AT$7493)</f>
        <v>0</v>
      </c>
      <c r="CI84" s="311">
        <f>SUMIF(Recibos!$D$4:$D$7493,Cobranza!$B84,Recibos!AU$4:AU$7493)</f>
        <v>0</v>
      </c>
      <c r="CJ84" s="311">
        <f>SUMIF(Recibos!$D$4:$D$7493,Cobranza!$B84,Recibos!AV$4:AV$7493)</f>
        <v>0</v>
      </c>
      <c r="CK84" s="312">
        <f t="shared" si="10"/>
        <v>3600</v>
      </c>
    </row>
    <row r="85" spans="2:89" x14ac:dyDescent="0.2">
      <c r="B85" s="45" t="s">
        <v>1294</v>
      </c>
      <c r="C85" s="45" t="s">
        <v>1295</v>
      </c>
      <c r="D85" s="45" t="s">
        <v>3417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300</v>
      </c>
      <c r="K85" s="47">
        <f t="shared" si="11"/>
        <v>300</v>
      </c>
      <c r="L85" s="46">
        <v>300</v>
      </c>
      <c r="M85" s="46">
        <v>300</v>
      </c>
      <c r="N85" s="46">
        <v>300</v>
      </c>
      <c r="O85" s="46">
        <v>300</v>
      </c>
      <c r="P85" s="46">
        <v>300</v>
      </c>
      <c r="Q85" s="46">
        <v>300</v>
      </c>
      <c r="R85" s="46">
        <v>300</v>
      </c>
      <c r="S85" s="46">
        <v>300</v>
      </c>
      <c r="T85" s="46">
        <v>300</v>
      </c>
      <c r="U85" s="46">
        <v>300</v>
      </c>
      <c r="V85" s="46">
        <v>400</v>
      </c>
      <c r="W85" s="46">
        <v>400</v>
      </c>
      <c r="X85" s="47">
        <f t="shared" si="12"/>
        <v>3800</v>
      </c>
      <c r="Y85" s="46">
        <v>400</v>
      </c>
      <c r="Z85" s="46">
        <v>400</v>
      </c>
      <c r="AA85" s="46">
        <v>400</v>
      </c>
      <c r="AB85" s="46">
        <v>400</v>
      </c>
      <c r="AC85" s="46">
        <v>400</v>
      </c>
      <c r="AD85" s="46">
        <v>400</v>
      </c>
      <c r="AE85" s="46">
        <v>400</v>
      </c>
      <c r="AF85" s="46">
        <v>400</v>
      </c>
      <c r="AG85" s="46">
        <v>400</v>
      </c>
      <c r="AH85" s="46">
        <v>400</v>
      </c>
      <c r="AI85" s="46">
        <v>400</v>
      </c>
      <c r="AJ85" s="46">
        <v>400</v>
      </c>
      <c r="AK85" s="47">
        <f t="shared" si="13"/>
        <v>4800</v>
      </c>
      <c r="AL85" s="46">
        <v>400</v>
      </c>
      <c r="AM85" s="46">
        <v>400</v>
      </c>
      <c r="AN85" s="46">
        <v>400</v>
      </c>
      <c r="AO85" s="46">
        <v>400</v>
      </c>
      <c r="AP85" s="46">
        <v>400</v>
      </c>
      <c r="AQ85" s="46">
        <v>400</v>
      </c>
      <c r="AR85" s="46">
        <v>400</v>
      </c>
      <c r="AS85" s="46">
        <v>400</v>
      </c>
      <c r="AT85" s="46">
        <v>400</v>
      </c>
      <c r="AU85" s="46">
        <v>400</v>
      </c>
      <c r="AV85" s="46">
        <v>400</v>
      </c>
      <c r="AW85" s="46">
        <v>0</v>
      </c>
      <c r="AX85" s="47">
        <f t="shared" si="14"/>
        <v>4400</v>
      </c>
      <c r="AY85" s="313">
        <f>SUMIF(Recibos!$D$4:$D$7493,Cobranza!$B85,Recibos!K$4:K$7493)</f>
        <v>0</v>
      </c>
      <c r="AZ85" s="313">
        <f>SUMIF(Recibos!$D$4:$D$7493,Cobranza!$B85,Recibos!L$4:L$7493)</f>
        <v>0</v>
      </c>
      <c r="BA85" s="313">
        <f>SUMIF(Recibos!$D$4:$D$7493,Cobranza!$B85,Recibos!M$4:M$7493)</f>
        <v>0</v>
      </c>
      <c r="BB85" s="313">
        <f>SUMIF(Recibos!$D$4:$D$7493,Cobranza!$B85,Recibos!N$4:N$7493)</f>
        <v>0</v>
      </c>
      <c r="BC85" s="313">
        <f>SUMIF(Recibos!$D$4:$D$7493,Cobranza!$B85,Recibos!O$4:O$7493)</f>
        <v>0</v>
      </c>
      <c r="BD85" s="313">
        <f>SUMIF(Recibos!$D$4:$D$7493,Cobranza!$B85,Recibos!P$4:P$7493)</f>
        <v>0</v>
      </c>
      <c r="BE85" s="313">
        <f>SUMIF(Recibos!$D$4:$D$7493,Cobranza!$B85,Recibos!Q$4:Q$7493)</f>
        <v>0</v>
      </c>
      <c r="BF85" s="313">
        <f>SUMIF(Recibos!$D$4:$D$7493,Cobranza!$B85,Recibos!R$4:R$7493)</f>
        <v>0</v>
      </c>
      <c r="BG85" s="313">
        <f>SUMIF(Recibos!$D$4:$D$7493,Cobranza!$B85,Recibos!S$4:S$7493)</f>
        <v>0</v>
      </c>
      <c r="BH85" s="313">
        <f>SUMIF(Recibos!$D$4:$D$7493,Cobranza!$B85,Recibos!T$4:T$7493)</f>
        <v>0</v>
      </c>
      <c r="BI85" s="313">
        <f>SUMIF(Recibos!$D$4:$D$7493,Cobranza!$B85,Recibos!U$4:U$7493)</f>
        <v>0</v>
      </c>
      <c r="BJ85" s="313">
        <f>SUMIF(Recibos!$D$4:$D$7493,Cobranza!$B85,Recibos!V$4:V$7493)</f>
        <v>0</v>
      </c>
      <c r="BK85" s="314">
        <f t="shared" si="15"/>
        <v>0</v>
      </c>
      <c r="BL85" s="313">
        <f>SUMIF(Recibos!$D$4:$D$7493,Cobranza!$B85,Recibos!X$4:X$7493)</f>
        <v>400</v>
      </c>
      <c r="BM85" s="313">
        <f>SUMIF(Recibos!$D$4:$D$7493,Cobranza!$B85,Recibos!Y$4:Y$7493)</f>
        <v>400</v>
      </c>
      <c r="BN85" s="313">
        <f>SUMIF(Recibos!$D$4:$D$7493,Cobranza!$B85,Recibos!Z$4:Z$7493)</f>
        <v>400</v>
      </c>
      <c r="BO85" s="313">
        <f>SUMIF(Recibos!$D$4:$D$7493,Cobranza!$B85,Recibos!AA$4:AA$7493)</f>
        <v>400</v>
      </c>
      <c r="BP85" s="313">
        <f>SUMIF(Recibos!$D$4:$D$7493,Cobranza!$B85,Recibos!AB$4:AB$7493)</f>
        <v>400</v>
      </c>
      <c r="BQ85" s="313">
        <f>SUMIF(Recibos!$D$4:$D$7493,Cobranza!$B85,Recibos!AC$4:AC$7493)</f>
        <v>400</v>
      </c>
      <c r="BR85" s="313">
        <f>SUMIF(Recibos!$D$4:$D$7493,Cobranza!$B85,Recibos!AD$4:AD$7493)</f>
        <v>400</v>
      </c>
      <c r="BS85" s="313">
        <f>SUMIF(Recibos!$D$4:$D$7493,Cobranza!$B85,Recibos!AE$4:AE$7493)</f>
        <v>400</v>
      </c>
      <c r="BT85" s="313">
        <f>SUMIF(Recibos!$D$4:$D$7493,Cobranza!$B85,Recibos!AF$4:AF$7493)</f>
        <v>400</v>
      </c>
      <c r="BU85" s="313">
        <f>SUMIF(Recibos!$D$4:$D$7493,Cobranza!$B85,Recibos!AG$4:AG$7493)</f>
        <v>400</v>
      </c>
      <c r="BV85" s="313">
        <f>SUMIF(Recibos!$D$4:$D$7493,Cobranza!$B85,Recibos!AH$4:AH$7493)</f>
        <v>400</v>
      </c>
      <c r="BW85" s="313">
        <f>SUMIF(Recibos!$D$4:$D$7493,Cobranza!$B85,Recibos!AI$4:AI$7493)</f>
        <v>0</v>
      </c>
      <c r="BX85" s="314">
        <f t="shared" si="16"/>
        <v>4400</v>
      </c>
      <c r="BY85" s="313">
        <f>SUMIF(Recibos!$D$4:$D$7493,Cobranza!$B85,Recibos!AK$4:AK$7493)</f>
        <v>400</v>
      </c>
      <c r="BZ85" s="313">
        <f>SUMIF(Recibos!$D$4:$D$7493,Cobranza!$B85,Recibos!AL$4:AL$7493)</f>
        <v>400</v>
      </c>
      <c r="CA85" s="313">
        <f>SUMIF(Recibos!$D$4:$D$7493,Cobranza!$B85,Recibos!AM$4:AM$7493)</f>
        <v>400</v>
      </c>
      <c r="CB85" s="313">
        <f>SUMIF(Recibos!$D$4:$D$7493,Cobranza!$B85,Recibos!AN$4:AN$7493)</f>
        <v>400</v>
      </c>
      <c r="CC85" s="313">
        <f>SUMIF(Recibos!$D$4:$D$7493,Cobranza!$B85,Recibos!AO$4:AO$7493)</f>
        <v>400</v>
      </c>
      <c r="CD85" s="313">
        <f>SUMIF(Recibos!$D$4:$D$7493,Cobranza!$B85,Recibos!AP$4:AP$7493)</f>
        <v>400</v>
      </c>
      <c r="CE85" s="313">
        <f>SUMIF(Recibos!$D$4:$D$7493,Cobranza!$B85,Recibos!AQ$4:AQ$7493)</f>
        <v>400</v>
      </c>
      <c r="CF85" s="313">
        <f>SUMIF(Recibos!$D$4:$D$7493,Cobranza!$B85,Recibos!AR$4:AR$7493)</f>
        <v>400</v>
      </c>
      <c r="CG85" s="313">
        <f>SUMIF(Recibos!$D$4:$D$7493,Cobranza!$B85,Recibos!AS$4:AS$7493)</f>
        <v>400</v>
      </c>
      <c r="CH85" s="313">
        <f>SUMIF(Recibos!$D$4:$D$7493,Cobranza!$B85,Recibos!AT$4:AT$7493)</f>
        <v>400</v>
      </c>
      <c r="CI85" s="313">
        <f>SUMIF(Recibos!$D$4:$D$7493,Cobranza!$B85,Recibos!AU$4:AU$7493)</f>
        <v>400</v>
      </c>
      <c r="CJ85" s="313">
        <f>SUMIF(Recibos!$D$4:$D$7493,Cobranza!$B85,Recibos!AV$4:AV$7493)</f>
        <v>0</v>
      </c>
      <c r="CK85" s="314">
        <f t="shared" si="10"/>
        <v>4400</v>
      </c>
    </row>
    <row r="86" spans="2:89" x14ac:dyDescent="0.2">
      <c r="B86" s="42" t="s">
        <v>337</v>
      </c>
      <c r="C86" s="42" t="s">
        <v>338</v>
      </c>
      <c r="D86" s="42" t="s">
        <v>339</v>
      </c>
      <c r="E86" s="43">
        <v>300</v>
      </c>
      <c r="F86" s="43">
        <v>300</v>
      </c>
      <c r="G86" s="43">
        <v>300</v>
      </c>
      <c r="H86" s="43">
        <v>300</v>
      </c>
      <c r="I86" s="43">
        <v>300</v>
      </c>
      <c r="J86" s="43">
        <v>300</v>
      </c>
      <c r="K86" s="44">
        <f t="shared" si="11"/>
        <v>1800</v>
      </c>
      <c r="L86" s="43">
        <v>300</v>
      </c>
      <c r="M86" s="43">
        <v>300</v>
      </c>
      <c r="N86" s="43">
        <v>300</v>
      </c>
      <c r="O86" s="43">
        <v>300</v>
      </c>
      <c r="P86" s="43">
        <v>300</v>
      </c>
      <c r="Q86" s="43">
        <v>300</v>
      </c>
      <c r="R86" s="43">
        <v>300</v>
      </c>
      <c r="S86" s="43">
        <v>300</v>
      </c>
      <c r="T86" s="43">
        <v>300</v>
      </c>
      <c r="U86" s="43">
        <v>400</v>
      </c>
      <c r="V86" s="43">
        <v>400</v>
      </c>
      <c r="W86" s="43">
        <v>400</v>
      </c>
      <c r="X86" s="44">
        <f t="shared" si="12"/>
        <v>3900</v>
      </c>
      <c r="Y86" s="43">
        <v>400</v>
      </c>
      <c r="Z86" s="43">
        <v>400</v>
      </c>
      <c r="AA86" s="43">
        <v>400</v>
      </c>
      <c r="AB86" s="43">
        <v>400</v>
      </c>
      <c r="AC86" s="43">
        <v>400</v>
      </c>
      <c r="AD86" s="43">
        <v>400</v>
      </c>
      <c r="AE86" s="43">
        <v>400</v>
      </c>
      <c r="AF86" s="43">
        <v>400</v>
      </c>
      <c r="AG86" s="43">
        <v>400</v>
      </c>
      <c r="AH86" s="43">
        <v>400</v>
      </c>
      <c r="AI86" s="43">
        <v>400</v>
      </c>
      <c r="AJ86" s="43">
        <v>0</v>
      </c>
      <c r="AK86" s="44">
        <f t="shared" si="13"/>
        <v>4400</v>
      </c>
      <c r="AL86" s="43">
        <v>400</v>
      </c>
      <c r="AM86" s="43">
        <v>400</v>
      </c>
      <c r="AN86" s="43">
        <v>400</v>
      </c>
      <c r="AO86" s="43">
        <v>400</v>
      </c>
      <c r="AP86" s="43">
        <v>400</v>
      </c>
      <c r="AQ86" s="43">
        <v>400</v>
      </c>
      <c r="AR86" s="43">
        <v>400</v>
      </c>
      <c r="AS86" s="43">
        <v>400</v>
      </c>
      <c r="AT86" s="43">
        <v>400</v>
      </c>
      <c r="AU86" s="43">
        <v>400</v>
      </c>
      <c r="AV86" s="43">
        <v>400</v>
      </c>
      <c r="AW86" s="43">
        <v>0</v>
      </c>
      <c r="AX86" s="44">
        <f t="shared" si="14"/>
        <v>4400</v>
      </c>
      <c r="AY86" s="311">
        <f>SUMIF(Recibos!$D$4:$D$7493,Cobranza!$B86,Recibos!K$4:K$7493)</f>
        <v>400</v>
      </c>
      <c r="AZ86" s="311">
        <f>SUMIF(Recibos!$D$4:$D$7493,Cobranza!$B86,Recibos!L$4:L$7493)</f>
        <v>400</v>
      </c>
      <c r="BA86" s="311">
        <f>SUMIF(Recibos!$D$4:$D$7493,Cobranza!$B86,Recibos!M$4:M$7493)</f>
        <v>400</v>
      </c>
      <c r="BB86" s="311">
        <f>SUMIF(Recibos!$D$4:$D$7493,Cobranza!$B86,Recibos!N$4:N$7493)</f>
        <v>400</v>
      </c>
      <c r="BC86" s="311">
        <f>SUMIF(Recibos!$D$4:$D$7493,Cobranza!$B86,Recibos!O$4:O$7493)</f>
        <v>400</v>
      </c>
      <c r="BD86" s="311">
        <f>SUMIF(Recibos!$D$4:$D$7493,Cobranza!$B86,Recibos!P$4:P$7493)</f>
        <v>400</v>
      </c>
      <c r="BE86" s="311">
        <f>SUMIF(Recibos!$D$4:$D$7493,Cobranza!$B86,Recibos!Q$4:Q$7493)</f>
        <v>400</v>
      </c>
      <c r="BF86" s="311">
        <f>SUMIF(Recibos!$D$4:$D$7493,Cobranza!$B86,Recibos!R$4:R$7493)</f>
        <v>400</v>
      </c>
      <c r="BG86" s="311">
        <f>SUMIF(Recibos!$D$4:$D$7493,Cobranza!$B86,Recibos!S$4:S$7493)</f>
        <v>400</v>
      </c>
      <c r="BH86" s="311">
        <f>SUMIF(Recibos!$D$4:$D$7493,Cobranza!$B86,Recibos!T$4:T$7493)</f>
        <v>400</v>
      </c>
      <c r="BI86" s="311">
        <f>SUMIF(Recibos!$D$4:$D$7493,Cobranza!$B86,Recibos!U$4:U$7493)</f>
        <v>400</v>
      </c>
      <c r="BJ86" s="311">
        <f>SUMIF(Recibos!$D$4:$D$7493,Cobranza!$B86,Recibos!V$4:V$7493)</f>
        <v>0</v>
      </c>
      <c r="BK86" s="312">
        <f t="shared" si="15"/>
        <v>4400</v>
      </c>
      <c r="BL86" s="311">
        <f>SUMIF(Recibos!$D$4:$D$7493,Cobranza!$B86,Recibos!X$4:X$7493)</f>
        <v>400</v>
      </c>
      <c r="BM86" s="311">
        <f>SUMIF(Recibos!$D$4:$D$7493,Cobranza!$B86,Recibos!Y$4:Y$7493)</f>
        <v>400</v>
      </c>
      <c r="BN86" s="311">
        <f>SUMIF(Recibos!$D$4:$D$7493,Cobranza!$B86,Recibos!Z$4:Z$7493)</f>
        <v>400</v>
      </c>
      <c r="BO86" s="311">
        <f>SUMIF(Recibos!$D$4:$D$7493,Cobranza!$B86,Recibos!AA$4:AA$7493)</f>
        <v>400</v>
      </c>
      <c r="BP86" s="311">
        <f>SUMIF(Recibos!$D$4:$D$7493,Cobranza!$B86,Recibos!AB$4:AB$7493)</f>
        <v>400</v>
      </c>
      <c r="BQ86" s="311">
        <f>SUMIF(Recibos!$D$4:$D$7493,Cobranza!$B86,Recibos!AC$4:AC$7493)</f>
        <v>400</v>
      </c>
      <c r="BR86" s="311">
        <f>SUMIF(Recibos!$D$4:$D$7493,Cobranza!$B86,Recibos!AD$4:AD$7493)</f>
        <v>400</v>
      </c>
      <c r="BS86" s="311">
        <f>SUMIF(Recibos!$D$4:$D$7493,Cobranza!$B86,Recibos!AE$4:AE$7493)</f>
        <v>400</v>
      </c>
      <c r="BT86" s="311">
        <f>SUMIF(Recibos!$D$4:$D$7493,Cobranza!$B86,Recibos!AF$4:AF$7493)</f>
        <v>400</v>
      </c>
      <c r="BU86" s="311">
        <f>SUMIF(Recibos!$D$4:$D$7493,Cobranza!$B86,Recibos!AG$4:AG$7493)</f>
        <v>400</v>
      </c>
      <c r="BV86" s="311">
        <f>SUMIF(Recibos!$D$4:$D$7493,Cobranza!$B86,Recibos!AH$4:AH$7493)</f>
        <v>400</v>
      </c>
      <c r="BW86" s="311">
        <f>SUMIF(Recibos!$D$4:$D$7493,Cobranza!$B86,Recibos!AI$4:AI$7493)</f>
        <v>0</v>
      </c>
      <c r="BX86" s="312">
        <f t="shared" si="16"/>
        <v>4400</v>
      </c>
      <c r="BY86" s="311">
        <f>SUMIF(Recibos!$D$4:$D$7493,Cobranza!$B86,Recibos!AK$4:AK$7493)</f>
        <v>400</v>
      </c>
      <c r="BZ86" s="311">
        <f>SUMIF(Recibos!$D$4:$D$7493,Cobranza!$B86,Recibos!AL$4:AL$7493)</f>
        <v>400</v>
      </c>
      <c r="CA86" s="311">
        <f>SUMIF(Recibos!$D$4:$D$7493,Cobranza!$B86,Recibos!AM$4:AM$7493)</f>
        <v>400</v>
      </c>
      <c r="CB86" s="311">
        <f>SUMIF(Recibos!$D$4:$D$7493,Cobranza!$B86,Recibos!AN$4:AN$7493)</f>
        <v>400</v>
      </c>
      <c r="CC86" s="311">
        <f>SUMIF(Recibos!$D$4:$D$7493,Cobranza!$B86,Recibos!AO$4:AO$7493)</f>
        <v>400</v>
      </c>
      <c r="CD86" s="311">
        <f>SUMIF(Recibos!$D$4:$D$7493,Cobranza!$B86,Recibos!AP$4:AP$7493)</f>
        <v>400</v>
      </c>
      <c r="CE86" s="311">
        <f>SUMIF(Recibos!$D$4:$D$7493,Cobranza!$B86,Recibos!AQ$4:AQ$7493)</f>
        <v>400</v>
      </c>
      <c r="CF86" s="311">
        <f>SUMIF(Recibos!$D$4:$D$7493,Cobranza!$B86,Recibos!AR$4:AR$7493)</f>
        <v>400</v>
      </c>
      <c r="CG86" s="311">
        <f>SUMIF(Recibos!$D$4:$D$7493,Cobranza!$B86,Recibos!AS$4:AS$7493)</f>
        <v>400</v>
      </c>
      <c r="CH86" s="311">
        <f>SUMIF(Recibos!$D$4:$D$7493,Cobranza!$B86,Recibos!AT$4:AT$7493)</f>
        <v>400</v>
      </c>
      <c r="CI86" s="311">
        <f>SUMIF(Recibos!$D$4:$D$7493,Cobranza!$B86,Recibos!AU$4:AU$7493)</f>
        <v>400</v>
      </c>
      <c r="CJ86" s="311">
        <f>SUMIF(Recibos!$D$4:$D$7493,Cobranza!$B86,Recibos!AV$4:AV$7493)</f>
        <v>0</v>
      </c>
      <c r="CK86" s="312">
        <f t="shared" si="10"/>
        <v>4400</v>
      </c>
    </row>
    <row r="87" spans="2:89" x14ac:dyDescent="0.2">
      <c r="B87" s="45" t="s">
        <v>852</v>
      </c>
      <c r="C87" s="45" t="s">
        <v>853</v>
      </c>
      <c r="D87" s="45" t="s">
        <v>854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  <c r="J87" s="46">
        <v>300</v>
      </c>
      <c r="K87" s="47">
        <f t="shared" si="11"/>
        <v>300</v>
      </c>
      <c r="L87" s="46">
        <v>300</v>
      </c>
      <c r="M87" s="46">
        <v>300</v>
      </c>
      <c r="N87" s="46">
        <v>300</v>
      </c>
      <c r="O87" s="46">
        <v>300</v>
      </c>
      <c r="P87" s="46">
        <v>300</v>
      </c>
      <c r="Q87" s="46">
        <v>300</v>
      </c>
      <c r="R87" s="46">
        <v>300</v>
      </c>
      <c r="S87" s="46">
        <v>300</v>
      </c>
      <c r="T87" s="46">
        <v>300</v>
      </c>
      <c r="U87" s="46">
        <v>300</v>
      </c>
      <c r="V87" s="46">
        <v>300</v>
      </c>
      <c r="W87" s="46">
        <v>300</v>
      </c>
      <c r="X87" s="47">
        <f t="shared" si="12"/>
        <v>3600</v>
      </c>
      <c r="Y87" s="46">
        <v>300</v>
      </c>
      <c r="Z87" s="46">
        <v>300</v>
      </c>
      <c r="AA87" s="46">
        <v>300</v>
      </c>
      <c r="AB87" s="46">
        <v>300</v>
      </c>
      <c r="AC87" s="46">
        <v>300</v>
      </c>
      <c r="AD87" s="46">
        <v>300</v>
      </c>
      <c r="AE87" s="46">
        <v>300</v>
      </c>
      <c r="AF87" s="46">
        <v>300</v>
      </c>
      <c r="AG87" s="46">
        <v>300</v>
      </c>
      <c r="AH87" s="46">
        <v>300</v>
      </c>
      <c r="AI87" s="46">
        <v>300</v>
      </c>
      <c r="AJ87" s="46">
        <v>300</v>
      </c>
      <c r="AK87" s="47">
        <f t="shared" si="13"/>
        <v>3600</v>
      </c>
      <c r="AL87" s="46">
        <v>300</v>
      </c>
      <c r="AM87" s="46">
        <v>300</v>
      </c>
      <c r="AN87" s="46">
        <v>300</v>
      </c>
      <c r="AO87" s="46">
        <v>300</v>
      </c>
      <c r="AP87" s="46">
        <v>300</v>
      </c>
      <c r="AQ87" s="46">
        <v>300</v>
      </c>
      <c r="AR87" s="46">
        <v>300</v>
      </c>
      <c r="AS87" s="46">
        <v>300</v>
      </c>
      <c r="AT87" s="46">
        <v>300</v>
      </c>
      <c r="AU87" s="46">
        <v>300</v>
      </c>
      <c r="AV87" s="46">
        <v>300</v>
      </c>
      <c r="AW87" s="46">
        <v>300</v>
      </c>
      <c r="AX87" s="47">
        <f t="shared" si="14"/>
        <v>3600</v>
      </c>
      <c r="AY87" s="313">
        <f>SUMIF(Recibos!$D$4:$D$7493,Cobranza!$B87,Recibos!K$4:K$7493)</f>
        <v>300</v>
      </c>
      <c r="AZ87" s="313">
        <f>SUMIF(Recibos!$D$4:$D$7493,Cobranza!$B87,Recibos!L$4:L$7493)</f>
        <v>300</v>
      </c>
      <c r="BA87" s="313">
        <f>SUMIF(Recibos!$D$4:$D$7493,Cobranza!$B87,Recibos!M$4:M$7493)</f>
        <v>300</v>
      </c>
      <c r="BB87" s="313">
        <f>SUMIF(Recibos!$D$4:$D$7493,Cobranza!$B87,Recibos!N$4:N$7493)</f>
        <v>300</v>
      </c>
      <c r="BC87" s="313">
        <f>SUMIF(Recibos!$D$4:$D$7493,Cobranza!$B87,Recibos!O$4:O$7493)</f>
        <v>300</v>
      </c>
      <c r="BD87" s="313">
        <f>SUMIF(Recibos!$D$4:$D$7493,Cobranza!$B87,Recibos!P$4:P$7493)</f>
        <v>300</v>
      </c>
      <c r="BE87" s="313">
        <f>SUMIF(Recibos!$D$4:$D$7493,Cobranza!$B87,Recibos!Q$4:Q$7493)</f>
        <v>300</v>
      </c>
      <c r="BF87" s="313">
        <f>SUMIF(Recibos!$D$4:$D$7493,Cobranza!$B87,Recibos!R$4:R$7493)</f>
        <v>300</v>
      </c>
      <c r="BG87" s="313">
        <f>SUMIF(Recibos!$D$4:$D$7493,Cobranza!$B87,Recibos!S$4:S$7493)</f>
        <v>300</v>
      </c>
      <c r="BH87" s="313">
        <f>SUMIF(Recibos!$D$4:$D$7493,Cobranza!$B87,Recibos!T$4:T$7493)</f>
        <v>300</v>
      </c>
      <c r="BI87" s="313">
        <f>SUMIF(Recibos!$D$4:$D$7493,Cobranza!$B87,Recibos!U$4:U$7493)</f>
        <v>300</v>
      </c>
      <c r="BJ87" s="313">
        <f>SUMIF(Recibos!$D$4:$D$7493,Cobranza!$B87,Recibos!V$4:V$7493)</f>
        <v>300</v>
      </c>
      <c r="BK87" s="314">
        <f t="shared" si="15"/>
        <v>3600</v>
      </c>
      <c r="BL87" s="313">
        <f>SUMIF(Recibos!$D$4:$D$7493,Cobranza!$B87,Recibos!X$4:X$7493)</f>
        <v>300</v>
      </c>
      <c r="BM87" s="313">
        <f>SUMIF(Recibos!$D$4:$D$7493,Cobranza!$B87,Recibos!Y$4:Y$7493)</f>
        <v>300</v>
      </c>
      <c r="BN87" s="313">
        <f>SUMIF(Recibos!$D$4:$D$7493,Cobranza!$B87,Recibos!Z$4:Z$7493)</f>
        <v>300</v>
      </c>
      <c r="BO87" s="313">
        <f>SUMIF(Recibos!$D$4:$D$7493,Cobranza!$B87,Recibos!AA$4:AA$7493)</f>
        <v>300</v>
      </c>
      <c r="BP87" s="313">
        <f>SUMIF(Recibos!$D$4:$D$7493,Cobranza!$B87,Recibos!AB$4:AB$7493)</f>
        <v>300</v>
      </c>
      <c r="BQ87" s="313">
        <f>SUMIF(Recibos!$D$4:$D$7493,Cobranza!$B87,Recibos!AC$4:AC$7493)</f>
        <v>300</v>
      </c>
      <c r="BR87" s="313">
        <f>SUMIF(Recibos!$D$4:$D$7493,Cobranza!$B87,Recibos!AD$4:AD$7493)</f>
        <v>300</v>
      </c>
      <c r="BS87" s="313">
        <f>SUMIF(Recibos!$D$4:$D$7493,Cobranza!$B87,Recibos!AE$4:AE$7493)</f>
        <v>300</v>
      </c>
      <c r="BT87" s="313">
        <f>SUMIF(Recibos!$D$4:$D$7493,Cobranza!$B87,Recibos!AF$4:AF$7493)</f>
        <v>300</v>
      </c>
      <c r="BU87" s="313">
        <f>SUMIF(Recibos!$D$4:$D$7493,Cobranza!$B87,Recibos!AG$4:AG$7493)</f>
        <v>300</v>
      </c>
      <c r="BV87" s="313">
        <f>SUMIF(Recibos!$D$4:$D$7493,Cobranza!$B87,Recibos!AH$4:AH$7493)</f>
        <v>300</v>
      </c>
      <c r="BW87" s="313">
        <f>SUMIF(Recibos!$D$4:$D$7493,Cobranza!$B87,Recibos!AI$4:AI$7493)</f>
        <v>300</v>
      </c>
      <c r="BX87" s="314">
        <f t="shared" si="16"/>
        <v>3600</v>
      </c>
      <c r="BY87" s="313">
        <f>SUMIF(Recibos!$D$4:$D$7493,Cobranza!$B87,Recibos!AK$4:AK$7493)</f>
        <v>300</v>
      </c>
      <c r="BZ87" s="313">
        <f>SUMIF(Recibos!$D$4:$D$7493,Cobranza!$B87,Recibos!AL$4:AL$7493)</f>
        <v>300</v>
      </c>
      <c r="CA87" s="313">
        <f>SUMIF(Recibos!$D$4:$D$7493,Cobranza!$B87,Recibos!AM$4:AM$7493)</f>
        <v>300</v>
      </c>
      <c r="CB87" s="313">
        <f>SUMIF(Recibos!$D$4:$D$7493,Cobranza!$B87,Recibos!AN$4:AN$7493)</f>
        <v>300</v>
      </c>
      <c r="CC87" s="313">
        <f>SUMIF(Recibos!$D$4:$D$7493,Cobranza!$B87,Recibos!AO$4:AO$7493)</f>
        <v>300</v>
      </c>
      <c r="CD87" s="313">
        <f>SUMIF(Recibos!$D$4:$D$7493,Cobranza!$B87,Recibos!AP$4:AP$7493)</f>
        <v>300</v>
      </c>
      <c r="CE87" s="313">
        <f>SUMIF(Recibos!$D$4:$D$7493,Cobranza!$B87,Recibos!AQ$4:AQ$7493)</f>
        <v>300</v>
      </c>
      <c r="CF87" s="313">
        <f>SUMIF(Recibos!$D$4:$D$7493,Cobranza!$B87,Recibos!AR$4:AR$7493)</f>
        <v>0</v>
      </c>
      <c r="CG87" s="313">
        <f>SUMIF(Recibos!$D$4:$D$7493,Cobranza!$B87,Recibos!AS$4:AS$7493)</f>
        <v>0</v>
      </c>
      <c r="CH87" s="313">
        <f>SUMIF(Recibos!$D$4:$D$7493,Cobranza!$B87,Recibos!AT$4:AT$7493)</f>
        <v>0</v>
      </c>
      <c r="CI87" s="313">
        <f>SUMIF(Recibos!$D$4:$D$7493,Cobranza!$B87,Recibos!AU$4:AU$7493)</f>
        <v>0</v>
      </c>
      <c r="CJ87" s="313">
        <f>SUMIF(Recibos!$D$4:$D$7493,Cobranza!$B87,Recibos!AV$4:AV$7493)</f>
        <v>0</v>
      </c>
      <c r="CK87" s="314">
        <f t="shared" si="10"/>
        <v>2100</v>
      </c>
    </row>
    <row r="88" spans="2:89" x14ac:dyDescent="0.2">
      <c r="B88" s="42" t="s">
        <v>1296</v>
      </c>
      <c r="C88" s="42" t="s">
        <v>1297</v>
      </c>
      <c r="D88" s="42" t="s">
        <v>1298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4">
        <f t="shared" si="11"/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4">
        <f t="shared" si="12"/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4">
        <f t="shared" si="13"/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4">
        <f t="shared" si="14"/>
        <v>0</v>
      </c>
      <c r="AY88" s="311">
        <f>SUMIF(Recibos!$D$4:$D$7493,Cobranza!$B88,Recibos!K$4:K$7493)</f>
        <v>0</v>
      </c>
      <c r="AZ88" s="311">
        <f>SUMIF(Recibos!$D$4:$D$7493,Cobranza!$B88,Recibos!L$4:L$7493)</f>
        <v>0</v>
      </c>
      <c r="BA88" s="311">
        <f>SUMIF(Recibos!$D$4:$D$7493,Cobranza!$B88,Recibos!M$4:M$7493)</f>
        <v>0</v>
      </c>
      <c r="BB88" s="311">
        <f>SUMIF(Recibos!$D$4:$D$7493,Cobranza!$B88,Recibos!N$4:N$7493)</f>
        <v>0</v>
      </c>
      <c r="BC88" s="311">
        <f>SUMIF(Recibos!$D$4:$D$7493,Cobranza!$B88,Recibos!O$4:O$7493)</f>
        <v>0</v>
      </c>
      <c r="BD88" s="311">
        <f>SUMIF(Recibos!$D$4:$D$7493,Cobranza!$B88,Recibos!P$4:P$7493)</f>
        <v>0</v>
      </c>
      <c r="BE88" s="311">
        <f>SUMIF(Recibos!$D$4:$D$7493,Cobranza!$B88,Recibos!Q$4:Q$7493)</f>
        <v>0</v>
      </c>
      <c r="BF88" s="311">
        <f>SUMIF(Recibos!$D$4:$D$7493,Cobranza!$B88,Recibos!R$4:R$7493)</f>
        <v>0</v>
      </c>
      <c r="BG88" s="311">
        <f>SUMIF(Recibos!$D$4:$D$7493,Cobranza!$B88,Recibos!S$4:S$7493)</f>
        <v>0</v>
      </c>
      <c r="BH88" s="311">
        <f>SUMIF(Recibos!$D$4:$D$7493,Cobranza!$B88,Recibos!T$4:T$7493)</f>
        <v>100</v>
      </c>
      <c r="BI88" s="311">
        <f>SUMIF(Recibos!$D$4:$D$7493,Cobranza!$B88,Recibos!U$4:U$7493)</f>
        <v>0</v>
      </c>
      <c r="BJ88" s="311">
        <f>SUMIF(Recibos!$D$4:$D$7493,Cobranza!$B88,Recibos!V$4:V$7493)</f>
        <v>0</v>
      </c>
      <c r="BK88" s="312">
        <f t="shared" si="15"/>
        <v>100</v>
      </c>
      <c r="BL88" s="311">
        <f>SUMIF(Recibos!$D$4:$D$7493,Cobranza!$B88,Recibos!X$4:X$7493)</f>
        <v>0</v>
      </c>
      <c r="BM88" s="311">
        <f>SUMIF(Recibos!$D$4:$D$7493,Cobranza!$B88,Recibos!Y$4:Y$7493)</f>
        <v>0</v>
      </c>
      <c r="BN88" s="311">
        <f>SUMIF(Recibos!$D$4:$D$7493,Cobranza!$B88,Recibos!Z$4:Z$7493)</f>
        <v>0</v>
      </c>
      <c r="BO88" s="311">
        <f>SUMIF(Recibos!$D$4:$D$7493,Cobranza!$B88,Recibos!AA$4:AA$7493)</f>
        <v>0</v>
      </c>
      <c r="BP88" s="311">
        <f>SUMIF(Recibos!$D$4:$D$7493,Cobranza!$B88,Recibos!AB$4:AB$7493)</f>
        <v>0</v>
      </c>
      <c r="BQ88" s="311">
        <f>SUMIF(Recibos!$D$4:$D$7493,Cobranza!$B88,Recibos!AC$4:AC$7493)</f>
        <v>0</v>
      </c>
      <c r="BR88" s="311">
        <f>SUMIF(Recibos!$D$4:$D$7493,Cobranza!$B88,Recibos!AD$4:AD$7493)</f>
        <v>0</v>
      </c>
      <c r="BS88" s="311">
        <f>SUMIF(Recibos!$D$4:$D$7493,Cobranza!$B88,Recibos!AE$4:AE$7493)</f>
        <v>0</v>
      </c>
      <c r="BT88" s="311">
        <f>SUMIF(Recibos!$D$4:$D$7493,Cobranza!$B88,Recibos!AF$4:AF$7493)</f>
        <v>0</v>
      </c>
      <c r="BU88" s="311">
        <f>SUMIF(Recibos!$D$4:$D$7493,Cobranza!$B88,Recibos!AG$4:AG$7493)</f>
        <v>0</v>
      </c>
      <c r="BV88" s="311">
        <f>SUMIF(Recibos!$D$4:$D$7493,Cobranza!$B88,Recibos!AH$4:AH$7493)</f>
        <v>0</v>
      </c>
      <c r="BW88" s="311">
        <f>SUMIF(Recibos!$D$4:$D$7493,Cobranza!$B88,Recibos!AI$4:AI$7493)</f>
        <v>0</v>
      </c>
      <c r="BX88" s="312">
        <f t="shared" si="16"/>
        <v>0</v>
      </c>
      <c r="BY88" s="311">
        <f>SUMIF(Recibos!$D$4:$D$7493,Cobranza!$B88,Recibos!AK$4:AK$7493)</f>
        <v>0</v>
      </c>
      <c r="BZ88" s="311">
        <f>SUMIF(Recibos!$D$4:$D$7493,Cobranza!$B88,Recibos!AL$4:AL$7493)</f>
        <v>0</v>
      </c>
      <c r="CA88" s="311">
        <f>SUMIF(Recibos!$D$4:$D$7493,Cobranza!$B88,Recibos!AM$4:AM$7493)</f>
        <v>0</v>
      </c>
      <c r="CB88" s="311">
        <f>SUMIF(Recibos!$D$4:$D$7493,Cobranza!$B88,Recibos!AN$4:AN$7493)</f>
        <v>0</v>
      </c>
      <c r="CC88" s="311">
        <f>SUMIF(Recibos!$D$4:$D$7493,Cobranza!$B88,Recibos!AO$4:AO$7493)</f>
        <v>0</v>
      </c>
      <c r="CD88" s="311">
        <f>SUMIF(Recibos!$D$4:$D$7493,Cobranza!$B88,Recibos!AP$4:AP$7493)</f>
        <v>0</v>
      </c>
      <c r="CE88" s="311">
        <f>SUMIF(Recibos!$D$4:$D$7493,Cobranza!$B88,Recibos!AQ$4:AQ$7493)</f>
        <v>0</v>
      </c>
      <c r="CF88" s="311">
        <f>SUMIF(Recibos!$D$4:$D$7493,Cobranza!$B88,Recibos!AR$4:AR$7493)</f>
        <v>0</v>
      </c>
      <c r="CG88" s="311">
        <f>SUMIF(Recibos!$D$4:$D$7493,Cobranza!$B88,Recibos!AS$4:AS$7493)</f>
        <v>0</v>
      </c>
      <c r="CH88" s="311">
        <f>SUMIF(Recibos!$D$4:$D$7493,Cobranza!$B88,Recibos!AT$4:AT$7493)</f>
        <v>0</v>
      </c>
      <c r="CI88" s="311">
        <f>SUMIF(Recibos!$D$4:$D$7493,Cobranza!$B88,Recibos!AU$4:AU$7493)</f>
        <v>0</v>
      </c>
      <c r="CJ88" s="311">
        <f>SUMIF(Recibos!$D$4:$D$7493,Cobranza!$B88,Recibos!AV$4:AV$7493)</f>
        <v>0</v>
      </c>
      <c r="CK88" s="312">
        <f t="shared" si="10"/>
        <v>0</v>
      </c>
    </row>
    <row r="89" spans="2:89" x14ac:dyDescent="0.2">
      <c r="B89" s="45" t="s">
        <v>3178</v>
      </c>
      <c r="C89" s="45" t="s">
        <v>3199</v>
      </c>
      <c r="D89" s="45"/>
      <c r="E89" s="46"/>
      <c r="F89" s="46"/>
      <c r="G89" s="46"/>
      <c r="H89" s="46"/>
      <c r="I89" s="46"/>
      <c r="J89" s="46"/>
      <c r="K89" s="47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7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7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7"/>
      <c r="AY89" s="313">
        <f>SUMIF(Recibos!$D$4:$D$7493,Cobranza!$B89,Recibos!K$4:K$7493)</f>
        <v>0</v>
      </c>
      <c r="AZ89" s="313">
        <f>SUMIF(Recibos!$D$4:$D$7493,Cobranza!$B89,Recibos!L$4:L$7493)</f>
        <v>0</v>
      </c>
      <c r="BA89" s="313">
        <f>SUMIF(Recibos!$D$4:$D$7493,Cobranza!$B89,Recibos!M$4:M$7493)</f>
        <v>0</v>
      </c>
      <c r="BB89" s="313">
        <f>SUMIF(Recibos!$D$4:$D$7493,Cobranza!$B89,Recibos!N$4:N$7493)</f>
        <v>0</v>
      </c>
      <c r="BC89" s="313">
        <f>SUMIF(Recibos!$D$4:$D$7493,Cobranza!$B89,Recibos!O$4:O$7493)</f>
        <v>0</v>
      </c>
      <c r="BD89" s="313">
        <f>SUMIF(Recibos!$D$4:$D$7493,Cobranza!$B89,Recibos!P$4:P$7493)</f>
        <v>0</v>
      </c>
      <c r="BE89" s="313">
        <f>SUMIF(Recibos!$D$4:$D$7493,Cobranza!$B89,Recibos!Q$4:Q$7493)</f>
        <v>0</v>
      </c>
      <c r="BF89" s="313">
        <f>SUMIF(Recibos!$D$4:$D$7493,Cobranza!$B89,Recibos!R$4:R$7493)</f>
        <v>0</v>
      </c>
      <c r="BG89" s="313">
        <f>SUMIF(Recibos!$D$4:$D$7493,Cobranza!$B89,Recibos!S$4:S$7493)</f>
        <v>0</v>
      </c>
      <c r="BH89" s="313">
        <f>SUMIF(Recibos!$D$4:$D$7493,Cobranza!$B89,Recibos!T$4:T$7493)</f>
        <v>0</v>
      </c>
      <c r="BI89" s="313">
        <f>SUMIF(Recibos!$D$4:$D$7493,Cobranza!$B89,Recibos!U$4:U$7493)</f>
        <v>0</v>
      </c>
      <c r="BJ89" s="313">
        <f>SUMIF(Recibos!$D$4:$D$7493,Cobranza!$B89,Recibos!V$4:V$7493)</f>
        <v>400</v>
      </c>
      <c r="BK89" s="314">
        <f>SUM(AY89:BJ89)</f>
        <v>400</v>
      </c>
      <c r="BL89" s="313">
        <f>SUMIF(Recibos!$D$4:$D$7493,Cobranza!$B89,Recibos!X$4:X$7493)</f>
        <v>500</v>
      </c>
      <c r="BM89" s="313">
        <f>SUMIF(Recibos!$D$4:$D$7493,Cobranza!$B89,Recibos!Y$4:Y$7493)</f>
        <v>500</v>
      </c>
      <c r="BN89" s="313">
        <f>SUMIF(Recibos!$D$4:$D$7493,Cobranza!$B89,Recibos!Z$4:Z$7493)</f>
        <v>500</v>
      </c>
      <c r="BO89" s="313">
        <f>SUMIF(Recibos!$D$4:$D$7493,Cobranza!$B89,Recibos!AA$4:AA$7493)</f>
        <v>500</v>
      </c>
      <c r="BP89" s="313">
        <f>SUMIF(Recibos!$D$4:$D$7493,Cobranza!$B89,Recibos!AB$4:AB$7493)</f>
        <v>500</v>
      </c>
      <c r="BQ89" s="313">
        <f>SUMIF(Recibos!$D$4:$D$7493,Cobranza!$B89,Recibos!AC$4:AC$7493)</f>
        <v>500</v>
      </c>
      <c r="BR89" s="313">
        <f>SUMIF(Recibos!$D$4:$D$7493,Cobranza!$B89,Recibos!AD$4:AD$7493)</f>
        <v>500</v>
      </c>
      <c r="BS89" s="313">
        <f>SUMIF(Recibos!$D$4:$D$7493,Cobranza!$B89,Recibos!AE$4:AE$7493)</f>
        <v>500</v>
      </c>
      <c r="BT89" s="313">
        <f>SUMIF(Recibos!$D$4:$D$7493,Cobranza!$B89,Recibos!AF$4:AF$7493)</f>
        <v>500</v>
      </c>
      <c r="BU89" s="313">
        <f>SUMIF(Recibos!$D$4:$D$7493,Cobranza!$B89,Recibos!AG$4:AG$7493)</f>
        <v>1000</v>
      </c>
      <c r="BV89" s="313">
        <f>SUMIF(Recibos!$D$4:$D$7493,Cobranza!$B89,Recibos!AH$4:AH$7493)</f>
        <v>0</v>
      </c>
      <c r="BW89" s="313">
        <f>SUMIF(Recibos!$D$4:$D$7493,Cobranza!$B89,Recibos!AI$4:AI$7493)</f>
        <v>500</v>
      </c>
      <c r="BX89" s="314">
        <f>SUM(BL89:BW89)</f>
        <v>6000</v>
      </c>
      <c r="BY89" s="313">
        <f>SUMIF(Recibos!$D$4:$D$7493,Cobranza!$B89,Recibos!AK$4:AK$7493)</f>
        <v>500</v>
      </c>
      <c r="BZ89" s="313">
        <f>SUMIF(Recibos!$D$4:$D$7493,Cobranza!$B89,Recibos!AL$4:AL$7493)</f>
        <v>500</v>
      </c>
      <c r="CA89" s="313">
        <f>SUMIF(Recibos!$D$4:$D$7493,Cobranza!$B89,Recibos!AM$4:AM$7493)</f>
        <v>500</v>
      </c>
      <c r="CB89" s="313">
        <f>SUMIF(Recibos!$D$4:$D$7493,Cobranza!$B89,Recibos!AN$4:AN$7493)</f>
        <v>500</v>
      </c>
      <c r="CC89" s="313">
        <f>SUMIF(Recibos!$D$4:$D$7493,Cobranza!$B89,Recibos!AO$4:AO$7493)</f>
        <v>500</v>
      </c>
      <c r="CD89" s="313">
        <f>SUMIF(Recibos!$D$4:$D$7493,Cobranza!$B89,Recibos!AP$4:AP$7493)</f>
        <v>500</v>
      </c>
      <c r="CE89" s="313">
        <f>SUMIF(Recibos!$D$4:$D$7493,Cobranza!$B89,Recibos!AQ$4:AQ$7493)</f>
        <v>500</v>
      </c>
      <c r="CF89" s="313">
        <f>SUMIF(Recibos!$D$4:$D$7493,Cobranza!$B89,Recibos!AR$4:AR$7493)</f>
        <v>500</v>
      </c>
      <c r="CG89" s="313">
        <f>SUMIF(Recibos!$D$4:$D$7493,Cobranza!$B89,Recibos!AS$4:AS$7493)</f>
        <v>500</v>
      </c>
      <c r="CH89" s="313">
        <f>SUMIF(Recibos!$D$4:$D$7493,Cobranza!$B89,Recibos!AT$4:AT$7493)</f>
        <v>500</v>
      </c>
      <c r="CI89" s="313">
        <f>SUMIF(Recibos!$D$4:$D$7493,Cobranza!$B89,Recibos!AU$4:AU$7493)</f>
        <v>0</v>
      </c>
      <c r="CJ89" s="313">
        <f>SUMIF(Recibos!$D$4:$D$7493,Cobranza!$B89,Recibos!AV$4:AV$7493)</f>
        <v>0</v>
      </c>
      <c r="CK89" s="314">
        <f>SUM(BY89:CJ89)</f>
        <v>5000</v>
      </c>
    </row>
    <row r="90" spans="2:89" x14ac:dyDescent="0.2">
      <c r="B90" s="42" t="s">
        <v>1299</v>
      </c>
      <c r="C90" s="42" t="s">
        <v>1300</v>
      </c>
      <c r="D90" s="42" t="s">
        <v>1301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300</v>
      </c>
      <c r="K90" s="44">
        <f t="shared" si="11"/>
        <v>300</v>
      </c>
      <c r="L90" s="43">
        <v>300</v>
      </c>
      <c r="M90" s="43">
        <v>300</v>
      </c>
      <c r="N90" s="43">
        <v>300</v>
      </c>
      <c r="O90" s="43">
        <v>300</v>
      </c>
      <c r="P90" s="43">
        <v>300</v>
      </c>
      <c r="Q90" s="43">
        <v>300</v>
      </c>
      <c r="R90" s="43">
        <v>300</v>
      </c>
      <c r="S90" s="43">
        <v>300</v>
      </c>
      <c r="T90" s="43">
        <v>300</v>
      </c>
      <c r="U90" s="43">
        <v>400</v>
      </c>
      <c r="V90" s="43">
        <v>400</v>
      </c>
      <c r="W90" s="43">
        <v>400</v>
      </c>
      <c r="X90" s="44">
        <f t="shared" si="12"/>
        <v>3900</v>
      </c>
      <c r="Y90" s="43">
        <v>400</v>
      </c>
      <c r="Z90" s="43">
        <v>400</v>
      </c>
      <c r="AA90" s="43">
        <v>400</v>
      </c>
      <c r="AB90" s="43">
        <v>400</v>
      </c>
      <c r="AC90" s="43">
        <v>0</v>
      </c>
      <c r="AD90" s="43">
        <v>400</v>
      </c>
      <c r="AE90" s="43">
        <v>800</v>
      </c>
      <c r="AF90" s="43">
        <v>400</v>
      </c>
      <c r="AG90" s="43">
        <v>400</v>
      </c>
      <c r="AH90" s="43">
        <v>400</v>
      </c>
      <c r="AI90" s="43">
        <v>400</v>
      </c>
      <c r="AJ90" s="43">
        <v>400</v>
      </c>
      <c r="AK90" s="44">
        <f t="shared" si="13"/>
        <v>4800</v>
      </c>
      <c r="AL90" s="43">
        <v>400</v>
      </c>
      <c r="AM90" s="43">
        <v>400</v>
      </c>
      <c r="AN90" s="43">
        <v>400</v>
      </c>
      <c r="AO90" s="43">
        <v>400</v>
      </c>
      <c r="AP90" s="43">
        <v>400</v>
      </c>
      <c r="AQ90" s="43">
        <v>400</v>
      </c>
      <c r="AR90" s="43">
        <v>400</v>
      </c>
      <c r="AS90" s="43">
        <v>400</v>
      </c>
      <c r="AT90" s="43">
        <v>400</v>
      </c>
      <c r="AU90" s="43">
        <v>400</v>
      </c>
      <c r="AV90" s="43">
        <v>400</v>
      </c>
      <c r="AW90" s="43">
        <v>0</v>
      </c>
      <c r="AX90" s="44">
        <f t="shared" si="14"/>
        <v>4400</v>
      </c>
      <c r="AY90" s="311">
        <f>SUMIF(Recibos!$D$4:$D$7493,Cobranza!$B90,Recibos!K$4:K$7493)</f>
        <v>0</v>
      </c>
      <c r="AZ90" s="311">
        <f>SUMIF(Recibos!$D$4:$D$7493,Cobranza!$B90,Recibos!L$4:L$7493)</f>
        <v>0</v>
      </c>
      <c r="BA90" s="311">
        <f>SUMIF(Recibos!$D$4:$D$7493,Cobranza!$B90,Recibos!M$4:M$7493)</f>
        <v>0</v>
      </c>
      <c r="BB90" s="311">
        <f>SUMIF(Recibos!$D$4:$D$7493,Cobranza!$B90,Recibos!N$4:N$7493)</f>
        <v>0</v>
      </c>
      <c r="BC90" s="311">
        <f>SUMIF(Recibos!$D$4:$D$7493,Cobranza!$B90,Recibos!O$4:O$7493)</f>
        <v>0</v>
      </c>
      <c r="BD90" s="311">
        <f>SUMIF(Recibos!$D$4:$D$7493,Cobranza!$B90,Recibos!P$4:P$7493)</f>
        <v>0</v>
      </c>
      <c r="BE90" s="311">
        <f>SUMIF(Recibos!$D$4:$D$7493,Cobranza!$B90,Recibos!Q$4:Q$7493)</f>
        <v>0</v>
      </c>
      <c r="BF90" s="311">
        <f>SUMIF(Recibos!$D$4:$D$7493,Cobranza!$B90,Recibos!R$4:R$7493)</f>
        <v>0</v>
      </c>
      <c r="BG90" s="311">
        <f>SUMIF(Recibos!$D$4:$D$7493,Cobranza!$B90,Recibos!S$4:S$7493)</f>
        <v>0</v>
      </c>
      <c r="BH90" s="311">
        <f>SUMIF(Recibos!$D$4:$D$7493,Cobranza!$B90,Recibos!T$4:T$7493)</f>
        <v>0</v>
      </c>
      <c r="BI90" s="311">
        <f>SUMIF(Recibos!$D$4:$D$7493,Cobranza!$B90,Recibos!U$4:U$7493)</f>
        <v>0</v>
      </c>
      <c r="BJ90" s="311">
        <f>SUMIF(Recibos!$D$4:$D$7493,Cobranza!$B90,Recibos!V$4:V$7493)</f>
        <v>400</v>
      </c>
      <c r="BK90" s="312">
        <f t="shared" si="15"/>
        <v>400</v>
      </c>
      <c r="BL90" s="311">
        <f>SUMIF(Recibos!$D$4:$D$7493,Cobranza!$B90,Recibos!X$4:X$7493)</f>
        <v>400</v>
      </c>
      <c r="BM90" s="311">
        <f>SUMIF(Recibos!$D$4:$D$7493,Cobranza!$B90,Recibos!Y$4:Y$7493)</f>
        <v>400</v>
      </c>
      <c r="BN90" s="311">
        <f>SUMIF(Recibos!$D$4:$D$7493,Cobranza!$B90,Recibos!Z$4:Z$7493)</f>
        <v>400</v>
      </c>
      <c r="BO90" s="311">
        <f>SUMIF(Recibos!$D$4:$D$7493,Cobranza!$B90,Recibos!AA$4:AA$7493)</f>
        <v>400</v>
      </c>
      <c r="BP90" s="311">
        <f>SUMIF(Recibos!$D$4:$D$7493,Cobranza!$B90,Recibos!AB$4:AB$7493)</f>
        <v>400</v>
      </c>
      <c r="BQ90" s="311">
        <f>SUMIF(Recibos!$D$4:$D$7493,Cobranza!$B90,Recibos!AC$4:AC$7493)</f>
        <v>400</v>
      </c>
      <c r="BR90" s="311">
        <f>SUMIF(Recibos!$D$4:$D$7493,Cobranza!$B90,Recibos!AD$4:AD$7493)</f>
        <v>400</v>
      </c>
      <c r="BS90" s="311">
        <f>SUMIF(Recibos!$D$4:$D$7493,Cobranza!$B90,Recibos!AE$4:AE$7493)</f>
        <v>400</v>
      </c>
      <c r="BT90" s="311">
        <f>SUMIF(Recibos!$D$4:$D$7493,Cobranza!$B90,Recibos!AF$4:AF$7493)</f>
        <v>400</v>
      </c>
      <c r="BU90" s="311">
        <f>SUMIF(Recibos!$D$4:$D$7493,Cobranza!$B90,Recibos!AG$4:AG$7493)</f>
        <v>400</v>
      </c>
      <c r="BV90" s="311">
        <f>SUMIF(Recibos!$D$4:$D$7493,Cobranza!$B90,Recibos!AH$4:AH$7493)</f>
        <v>400</v>
      </c>
      <c r="BW90" s="311">
        <f>SUMIF(Recibos!$D$4:$D$7493,Cobranza!$B90,Recibos!AI$4:AI$7493)</f>
        <v>400</v>
      </c>
      <c r="BX90" s="312">
        <f t="shared" si="16"/>
        <v>4800</v>
      </c>
      <c r="BY90" s="311">
        <f>SUMIF(Recibos!$D$4:$D$7493,Cobranza!$B90,Recibos!AK$4:AK$7493)</f>
        <v>400</v>
      </c>
      <c r="BZ90" s="311">
        <f>SUMIF(Recibos!$D$4:$D$7493,Cobranza!$B90,Recibos!AL$4:AL$7493)</f>
        <v>400</v>
      </c>
      <c r="CA90" s="311">
        <f>SUMIF(Recibos!$D$4:$D$7493,Cobranza!$B90,Recibos!AM$4:AM$7493)</f>
        <v>400</v>
      </c>
      <c r="CB90" s="311">
        <f>SUMIF(Recibos!$D$4:$D$7493,Cobranza!$B90,Recibos!AN$4:AN$7493)</f>
        <v>400</v>
      </c>
      <c r="CC90" s="311">
        <f>SUMIF(Recibos!$D$4:$D$7493,Cobranza!$B90,Recibos!AO$4:AO$7493)</f>
        <v>400</v>
      </c>
      <c r="CD90" s="311">
        <f>SUMIF(Recibos!$D$4:$D$7493,Cobranza!$B90,Recibos!AP$4:AP$7493)</f>
        <v>400</v>
      </c>
      <c r="CE90" s="311">
        <f>SUMIF(Recibos!$D$4:$D$7493,Cobranza!$B90,Recibos!AQ$4:AQ$7493)</f>
        <v>400</v>
      </c>
      <c r="CF90" s="311">
        <f>SUMIF(Recibos!$D$4:$D$7493,Cobranza!$B90,Recibos!AR$4:AR$7493)</f>
        <v>400</v>
      </c>
      <c r="CG90" s="311">
        <f>SUMIF(Recibos!$D$4:$D$7493,Cobranza!$B90,Recibos!AS$4:AS$7493)</f>
        <v>0</v>
      </c>
      <c r="CH90" s="311">
        <f>SUMIF(Recibos!$D$4:$D$7493,Cobranza!$B90,Recibos!AT$4:AT$7493)</f>
        <v>0</v>
      </c>
      <c r="CI90" s="311">
        <f>SUMIF(Recibos!$D$4:$D$7493,Cobranza!$B90,Recibos!AU$4:AU$7493)</f>
        <v>0</v>
      </c>
      <c r="CJ90" s="311">
        <f>SUMIF(Recibos!$D$4:$D$7493,Cobranza!$B90,Recibos!AV$4:AV$7493)</f>
        <v>0</v>
      </c>
      <c r="CK90" s="312">
        <f t="shared" si="10"/>
        <v>3200</v>
      </c>
    </row>
    <row r="91" spans="2:89" x14ac:dyDescent="0.2">
      <c r="B91" s="45" t="s">
        <v>48</v>
      </c>
      <c r="C91" s="45" t="s">
        <v>49</v>
      </c>
      <c r="D91" s="45" t="s">
        <v>50</v>
      </c>
      <c r="E91" s="46">
        <v>0</v>
      </c>
      <c r="F91" s="46">
        <v>0</v>
      </c>
      <c r="G91" s="46">
        <v>0</v>
      </c>
      <c r="H91" s="46">
        <v>0</v>
      </c>
      <c r="I91" s="46">
        <v>0</v>
      </c>
      <c r="J91" s="46">
        <v>300</v>
      </c>
      <c r="K91" s="47">
        <f t="shared" si="11"/>
        <v>300</v>
      </c>
      <c r="L91" s="46">
        <v>300</v>
      </c>
      <c r="M91" s="46">
        <v>300</v>
      </c>
      <c r="N91" s="46">
        <v>300</v>
      </c>
      <c r="O91" s="46">
        <v>300</v>
      </c>
      <c r="P91" s="46">
        <v>300</v>
      </c>
      <c r="Q91" s="46">
        <v>300</v>
      </c>
      <c r="R91" s="46">
        <v>300</v>
      </c>
      <c r="S91" s="46">
        <v>300</v>
      </c>
      <c r="T91" s="46">
        <v>300</v>
      </c>
      <c r="U91" s="46">
        <v>400</v>
      </c>
      <c r="V91" s="46">
        <v>400</v>
      </c>
      <c r="W91" s="46">
        <v>400</v>
      </c>
      <c r="X91" s="47">
        <f t="shared" si="12"/>
        <v>3900</v>
      </c>
      <c r="Y91" s="46">
        <v>400</v>
      </c>
      <c r="Z91" s="46">
        <v>400</v>
      </c>
      <c r="AA91" s="46">
        <v>400</v>
      </c>
      <c r="AB91" s="46">
        <v>400</v>
      </c>
      <c r="AC91" s="46">
        <v>400</v>
      </c>
      <c r="AD91" s="46">
        <v>400</v>
      </c>
      <c r="AE91" s="46">
        <v>400</v>
      </c>
      <c r="AF91" s="46">
        <v>400</v>
      </c>
      <c r="AG91" s="46">
        <v>400</v>
      </c>
      <c r="AH91" s="46">
        <v>400</v>
      </c>
      <c r="AI91" s="46">
        <v>400</v>
      </c>
      <c r="AJ91" s="46">
        <v>400</v>
      </c>
      <c r="AK91" s="47">
        <f t="shared" si="13"/>
        <v>4800</v>
      </c>
      <c r="AL91" s="46">
        <v>400</v>
      </c>
      <c r="AM91" s="46">
        <v>400</v>
      </c>
      <c r="AN91" s="46">
        <v>400</v>
      </c>
      <c r="AO91" s="46">
        <v>400</v>
      </c>
      <c r="AP91" s="46">
        <v>400</v>
      </c>
      <c r="AQ91" s="46">
        <v>400</v>
      </c>
      <c r="AR91" s="46">
        <v>400</v>
      </c>
      <c r="AS91" s="46">
        <v>400</v>
      </c>
      <c r="AT91" s="46">
        <v>400</v>
      </c>
      <c r="AU91" s="46">
        <v>400</v>
      </c>
      <c r="AV91" s="46">
        <v>400</v>
      </c>
      <c r="AW91" s="46">
        <v>400</v>
      </c>
      <c r="AX91" s="47">
        <f t="shared" si="14"/>
        <v>4800</v>
      </c>
      <c r="AY91" s="313">
        <f>SUMIF(Recibos!$D$4:$D$7493,Cobranza!$B91,Recibos!K$4:K$7493)</f>
        <v>400</v>
      </c>
      <c r="AZ91" s="313">
        <f>SUMIF(Recibos!$D$4:$D$7493,Cobranza!$B91,Recibos!L$4:L$7493)</f>
        <v>400</v>
      </c>
      <c r="BA91" s="313">
        <f>SUMIF(Recibos!$D$4:$D$7493,Cobranza!$B91,Recibos!M$4:M$7493)</f>
        <v>400</v>
      </c>
      <c r="BB91" s="313">
        <f>SUMIF(Recibos!$D$4:$D$7493,Cobranza!$B91,Recibos!N$4:N$7493)</f>
        <v>400</v>
      </c>
      <c r="BC91" s="313">
        <f>SUMIF(Recibos!$D$4:$D$7493,Cobranza!$B91,Recibos!O$4:O$7493)</f>
        <v>400</v>
      </c>
      <c r="BD91" s="313">
        <f>SUMIF(Recibos!$D$4:$D$7493,Cobranza!$B91,Recibos!P$4:P$7493)</f>
        <v>400</v>
      </c>
      <c r="BE91" s="313">
        <f>SUMIF(Recibos!$D$4:$D$7493,Cobranza!$B91,Recibos!Q$4:Q$7493)</f>
        <v>400</v>
      </c>
      <c r="BF91" s="313">
        <f>SUMIF(Recibos!$D$4:$D$7493,Cobranza!$B91,Recibos!R$4:R$7493)</f>
        <v>400</v>
      </c>
      <c r="BG91" s="313">
        <f>SUMIF(Recibos!$D$4:$D$7493,Cobranza!$B91,Recibos!S$4:S$7493)</f>
        <v>400</v>
      </c>
      <c r="BH91" s="313">
        <f>SUMIF(Recibos!$D$4:$D$7493,Cobranza!$B91,Recibos!T$4:T$7493)</f>
        <v>400</v>
      </c>
      <c r="BI91" s="313">
        <f>SUMIF(Recibos!$D$4:$D$7493,Cobranza!$B91,Recibos!U$4:U$7493)</f>
        <v>400</v>
      </c>
      <c r="BJ91" s="313">
        <f>SUMIF(Recibos!$D$4:$D$7493,Cobranza!$B91,Recibos!V$4:V$7493)</f>
        <v>400</v>
      </c>
      <c r="BK91" s="314">
        <f t="shared" si="15"/>
        <v>4800</v>
      </c>
      <c r="BL91" s="313">
        <f>SUMIF(Recibos!$D$4:$D$7493,Cobranza!$B91,Recibos!X$4:X$7493)</f>
        <v>400</v>
      </c>
      <c r="BM91" s="313">
        <f>SUMIF(Recibos!$D$4:$D$7493,Cobranza!$B91,Recibos!Y$4:Y$7493)</f>
        <v>0</v>
      </c>
      <c r="BN91" s="313">
        <f>SUMIF(Recibos!$D$4:$D$7493,Cobranza!$B91,Recibos!Z$4:Z$7493)</f>
        <v>0</v>
      </c>
      <c r="BO91" s="313">
        <f>SUMIF(Recibos!$D$4:$D$7493,Cobranza!$B91,Recibos!AA$4:AA$7493)</f>
        <v>0</v>
      </c>
      <c r="BP91" s="313">
        <f>SUMIF(Recibos!$D$4:$D$7493,Cobranza!$B91,Recibos!AB$4:AB$7493)</f>
        <v>0</v>
      </c>
      <c r="BQ91" s="313">
        <f>SUMIF(Recibos!$D$4:$D$7493,Cobranza!$B91,Recibos!AC$4:AC$7493)</f>
        <v>0</v>
      </c>
      <c r="BR91" s="313">
        <f>SUMIF(Recibos!$D$4:$D$7493,Cobranza!$B91,Recibos!AD$4:AD$7493)</f>
        <v>0</v>
      </c>
      <c r="BS91" s="313">
        <f>SUMIF(Recibos!$D$4:$D$7493,Cobranza!$B91,Recibos!AE$4:AE$7493)</f>
        <v>0</v>
      </c>
      <c r="BT91" s="313">
        <f>SUMIF(Recibos!$D$4:$D$7493,Cobranza!$B91,Recibos!AF$4:AF$7493)</f>
        <v>0</v>
      </c>
      <c r="BU91" s="313">
        <f>SUMIF(Recibos!$D$4:$D$7493,Cobranza!$B91,Recibos!AG$4:AG$7493)</f>
        <v>0</v>
      </c>
      <c r="BV91" s="313">
        <f>SUMIF(Recibos!$D$4:$D$7493,Cobranza!$B91,Recibos!AH$4:AH$7493)</f>
        <v>0</v>
      </c>
      <c r="BW91" s="313">
        <f>SUMIF(Recibos!$D$4:$D$7493,Cobranza!$B91,Recibos!AI$4:AI$7493)</f>
        <v>0</v>
      </c>
      <c r="BX91" s="314">
        <f t="shared" si="16"/>
        <v>400</v>
      </c>
      <c r="BY91" s="313">
        <f>SUMIF(Recibos!$D$4:$D$7493,Cobranza!$B91,Recibos!AK$4:AK$7493)</f>
        <v>400</v>
      </c>
      <c r="BZ91" s="313">
        <f>SUMIF(Recibos!$D$4:$D$7493,Cobranza!$B91,Recibos!AL$4:AL$7493)</f>
        <v>400</v>
      </c>
      <c r="CA91" s="313">
        <f>SUMIF(Recibos!$D$4:$D$7493,Cobranza!$B91,Recibos!AM$4:AM$7493)</f>
        <v>400</v>
      </c>
      <c r="CB91" s="313">
        <f>SUMIF(Recibos!$D$4:$D$7493,Cobranza!$B91,Recibos!AN$4:AN$7493)</f>
        <v>400</v>
      </c>
      <c r="CC91" s="313">
        <f>SUMIF(Recibos!$D$4:$D$7493,Cobranza!$B91,Recibos!AO$4:AO$7493)</f>
        <v>400</v>
      </c>
      <c r="CD91" s="313">
        <f>SUMIF(Recibos!$D$4:$D$7493,Cobranza!$B91,Recibos!AP$4:AP$7493)</f>
        <v>400</v>
      </c>
      <c r="CE91" s="313">
        <f>SUMIF(Recibos!$D$4:$D$7493,Cobranza!$B91,Recibos!AQ$4:AQ$7493)</f>
        <v>400</v>
      </c>
      <c r="CF91" s="313">
        <f>SUMIF(Recibos!$D$4:$D$7493,Cobranza!$B91,Recibos!AR$4:AR$7493)</f>
        <v>400</v>
      </c>
      <c r="CG91" s="313">
        <f>SUMIF(Recibos!$D$4:$D$7493,Cobranza!$B91,Recibos!AS$4:AS$7493)</f>
        <v>400</v>
      </c>
      <c r="CH91" s="313">
        <f>SUMIF(Recibos!$D$4:$D$7493,Cobranza!$B91,Recibos!AT$4:AT$7493)</f>
        <v>400</v>
      </c>
      <c r="CI91" s="313">
        <f>SUMIF(Recibos!$D$4:$D$7493,Cobranza!$B91,Recibos!AU$4:AU$7493)</f>
        <v>400</v>
      </c>
      <c r="CJ91" s="313">
        <f>SUMIF(Recibos!$D$4:$D$7493,Cobranza!$B91,Recibos!AV$4:AV$7493)</f>
        <v>0</v>
      </c>
      <c r="CK91" s="314">
        <f t="shared" si="10"/>
        <v>4400</v>
      </c>
    </row>
    <row r="92" spans="2:89" x14ac:dyDescent="0.2">
      <c r="B92" s="42" t="s">
        <v>583</v>
      </c>
      <c r="C92" s="42" t="s">
        <v>584</v>
      </c>
      <c r="D92" s="42" t="s">
        <v>585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150</v>
      </c>
      <c r="K92" s="44">
        <f t="shared" si="11"/>
        <v>150</v>
      </c>
      <c r="L92" s="43">
        <v>150</v>
      </c>
      <c r="M92" s="43">
        <v>150</v>
      </c>
      <c r="N92" s="43">
        <v>0</v>
      </c>
      <c r="O92" s="43">
        <v>300</v>
      </c>
      <c r="P92" s="43">
        <v>150</v>
      </c>
      <c r="Q92" s="43">
        <v>150</v>
      </c>
      <c r="R92" s="43">
        <v>150</v>
      </c>
      <c r="S92" s="43">
        <v>200</v>
      </c>
      <c r="T92" s="43">
        <v>200</v>
      </c>
      <c r="U92" s="43">
        <v>200</v>
      </c>
      <c r="V92" s="43">
        <v>200</v>
      </c>
      <c r="W92" s="43">
        <v>200</v>
      </c>
      <c r="X92" s="44">
        <f t="shared" si="12"/>
        <v>2050</v>
      </c>
      <c r="Y92" s="43">
        <v>200</v>
      </c>
      <c r="Z92" s="43">
        <v>200</v>
      </c>
      <c r="AA92" s="43">
        <v>200</v>
      </c>
      <c r="AB92" s="43">
        <v>200</v>
      </c>
      <c r="AC92" s="43">
        <v>200</v>
      </c>
      <c r="AD92" s="43">
        <v>200</v>
      </c>
      <c r="AE92" s="43">
        <v>200</v>
      </c>
      <c r="AF92" s="43">
        <v>200</v>
      </c>
      <c r="AG92" s="43">
        <v>200</v>
      </c>
      <c r="AH92" s="43">
        <v>0</v>
      </c>
      <c r="AI92" s="43">
        <v>200</v>
      </c>
      <c r="AJ92" s="43">
        <v>200</v>
      </c>
      <c r="AK92" s="44">
        <f t="shared" si="13"/>
        <v>2200</v>
      </c>
      <c r="AL92" s="43">
        <v>200</v>
      </c>
      <c r="AM92" s="43">
        <v>200</v>
      </c>
      <c r="AN92" s="43">
        <v>200</v>
      </c>
      <c r="AO92" s="43">
        <v>200</v>
      </c>
      <c r="AP92" s="43">
        <v>200</v>
      </c>
      <c r="AQ92" s="43">
        <v>200</v>
      </c>
      <c r="AR92" s="43">
        <v>200</v>
      </c>
      <c r="AS92" s="43">
        <v>200</v>
      </c>
      <c r="AT92" s="43">
        <v>200</v>
      </c>
      <c r="AU92" s="43">
        <v>200</v>
      </c>
      <c r="AV92" s="43">
        <v>200</v>
      </c>
      <c r="AW92" s="43">
        <v>200</v>
      </c>
      <c r="AX92" s="44">
        <f t="shared" si="14"/>
        <v>2400</v>
      </c>
      <c r="AY92" s="311">
        <f>SUMIF(Recibos!$D$4:$D$7493,Cobranza!$B92,Recibos!K$4:K$7493)</f>
        <v>200</v>
      </c>
      <c r="AZ92" s="311">
        <f>SUMIF(Recibos!$D$4:$D$7493,Cobranza!$B92,Recibos!L$4:L$7493)</f>
        <v>200</v>
      </c>
      <c r="BA92" s="311">
        <f>SUMIF(Recibos!$D$4:$D$7493,Cobranza!$B92,Recibos!M$4:M$7493)</f>
        <v>200</v>
      </c>
      <c r="BB92" s="311">
        <f>SUMIF(Recibos!$D$4:$D$7493,Cobranza!$B92,Recibos!N$4:N$7493)</f>
        <v>200</v>
      </c>
      <c r="BC92" s="311">
        <f>SUMIF(Recibos!$D$4:$D$7493,Cobranza!$B92,Recibos!O$4:O$7493)</f>
        <v>200</v>
      </c>
      <c r="BD92" s="311">
        <f>SUMIF(Recibos!$D$4:$D$7493,Cobranza!$B92,Recibos!P$4:P$7493)</f>
        <v>200</v>
      </c>
      <c r="BE92" s="311">
        <f>SUMIF(Recibos!$D$4:$D$7493,Cobranza!$B92,Recibos!Q$4:Q$7493)</f>
        <v>200</v>
      </c>
      <c r="BF92" s="311">
        <f>SUMIF(Recibos!$D$4:$D$7493,Cobranza!$B92,Recibos!R$4:R$7493)</f>
        <v>200</v>
      </c>
      <c r="BG92" s="311">
        <f>SUMIF(Recibos!$D$4:$D$7493,Cobranza!$B92,Recibos!S$4:S$7493)</f>
        <v>200</v>
      </c>
      <c r="BH92" s="311">
        <f>SUMIF(Recibos!$D$4:$D$7493,Cobranza!$B92,Recibos!T$4:T$7493)</f>
        <v>200</v>
      </c>
      <c r="BI92" s="311">
        <f>SUMIF(Recibos!$D$4:$D$7493,Cobranza!$B92,Recibos!U$4:U$7493)</f>
        <v>200</v>
      </c>
      <c r="BJ92" s="311">
        <f>SUMIF(Recibos!$D$4:$D$7493,Cobranza!$B92,Recibos!V$4:V$7493)</f>
        <v>200</v>
      </c>
      <c r="BK92" s="312">
        <f t="shared" si="15"/>
        <v>2400</v>
      </c>
      <c r="BL92" s="311">
        <f>SUMIF(Recibos!$D$4:$D$7493,Cobranza!$B92,Recibos!X$4:X$7493)</f>
        <v>200</v>
      </c>
      <c r="BM92" s="311">
        <f>SUMIF(Recibos!$D$4:$D$7493,Cobranza!$B92,Recibos!Y$4:Y$7493)</f>
        <v>200</v>
      </c>
      <c r="BN92" s="311">
        <f>SUMIF(Recibos!$D$4:$D$7493,Cobranza!$B92,Recibos!Z$4:Z$7493)</f>
        <v>200</v>
      </c>
      <c r="BO92" s="311">
        <f>SUMIF(Recibos!$D$4:$D$7493,Cobranza!$B92,Recibos!AA$4:AA$7493)</f>
        <v>200</v>
      </c>
      <c r="BP92" s="311">
        <f>SUMIF(Recibos!$D$4:$D$7493,Cobranza!$B92,Recibos!AB$4:AB$7493)</f>
        <v>200</v>
      </c>
      <c r="BQ92" s="311">
        <f>SUMIF(Recibos!$D$4:$D$7493,Cobranza!$B92,Recibos!AC$4:AC$7493)</f>
        <v>200</v>
      </c>
      <c r="BR92" s="311">
        <f>SUMIF(Recibos!$D$4:$D$7493,Cobranza!$B92,Recibos!AD$4:AD$7493)</f>
        <v>200</v>
      </c>
      <c r="BS92" s="311">
        <f>SUMIF(Recibos!$D$4:$D$7493,Cobranza!$B92,Recibos!AE$4:AE$7493)</f>
        <v>200</v>
      </c>
      <c r="BT92" s="311">
        <f>SUMIF(Recibos!$D$4:$D$7493,Cobranza!$B92,Recibos!AF$4:AF$7493)</f>
        <v>200</v>
      </c>
      <c r="BU92" s="311">
        <f>SUMIF(Recibos!$D$4:$D$7493,Cobranza!$B92,Recibos!AG$4:AG$7493)</f>
        <v>200</v>
      </c>
      <c r="BV92" s="311">
        <f>SUMIF(Recibos!$D$4:$D$7493,Cobranza!$B92,Recibos!AH$4:AH$7493)</f>
        <v>200</v>
      </c>
      <c r="BW92" s="311">
        <f>SUMIF(Recibos!$D$4:$D$7493,Cobranza!$B92,Recibos!AI$4:AI$7493)</f>
        <v>200</v>
      </c>
      <c r="BX92" s="312">
        <f t="shared" si="16"/>
        <v>2400</v>
      </c>
      <c r="BY92" s="311">
        <f>SUMIF(Recibos!$D$4:$D$7493,Cobranza!$B92,Recibos!AK$4:AK$7493)</f>
        <v>200</v>
      </c>
      <c r="BZ92" s="311">
        <f>SUMIF(Recibos!$D$4:$D$7493,Cobranza!$B92,Recibos!AL$4:AL$7493)</f>
        <v>200</v>
      </c>
      <c r="CA92" s="311">
        <f>SUMIF(Recibos!$D$4:$D$7493,Cobranza!$B92,Recibos!AM$4:AM$7493)</f>
        <v>200</v>
      </c>
      <c r="CB92" s="311">
        <f>SUMIF(Recibos!$D$4:$D$7493,Cobranza!$B92,Recibos!AN$4:AN$7493)</f>
        <v>200</v>
      </c>
      <c r="CC92" s="311">
        <f>SUMIF(Recibos!$D$4:$D$7493,Cobranza!$B92,Recibos!AO$4:AO$7493)</f>
        <v>200</v>
      </c>
      <c r="CD92" s="311">
        <f>SUMIF(Recibos!$D$4:$D$7493,Cobranza!$B92,Recibos!AP$4:AP$7493)</f>
        <v>200</v>
      </c>
      <c r="CE92" s="311">
        <f>SUMIF(Recibos!$D$4:$D$7493,Cobranza!$B92,Recibos!AQ$4:AQ$7493)</f>
        <v>200</v>
      </c>
      <c r="CF92" s="311">
        <f>SUMIF(Recibos!$D$4:$D$7493,Cobranza!$B92,Recibos!AR$4:AR$7493)</f>
        <v>200</v>
      </c>
      <c r="CG92" s="311">
        <f>SUMIF(Recibos!$D$4:$D$7493,Cobranza!$B92,Recibos!AS$4:AS$7493)</f>
        <v>200</v>
      </c>
      <c r="CH92" s="311">
        <f>SUMIF(Recibos!$D$4:$D$7493,Cobranza!$B92,Recibos!AT$4:AT$7493)</f>
        <v>200</v>
      </c>
      <c r="CI92" s="311">
        <f>SUMIF(Recibos!$D$4:$D$7493,Cobranza!$B92,Recibos!AU$4:AU$7493)</f>
        <v>0</v>
      </c>
      <c r="CJ92" s="311">
        <f>SUMIF(Recibos!$D$4:$D$7493,Cobranza!$B92,Recibos!AV$4:AV$7493)</f>
        <v>0</v>
      </c>
      <c r="CK92" s="312">
        <f t="shared" si="10"/>
        <v>2000</v>
      </c>
    </row>
    <row r="93" spans="2:89" x14ac:dyDescent="0.2">
      <c r="B93" s="45" t="s">
        <v>1154</v>
      </c>
      <c r="C93" s="45" t="s">
        <v>1302</v>
      </c>
      <c r="D93" s="45" t="s">
        <v>1156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7">
        <f t="shared" si="11"/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0</v>
      </c>
      <c r="V93" s="46">
        <v>0</v>
      </c>
      <c r="W93" s="46">
        <v>0</v>
      </c>
      <c r="X93" s="47">
        <f t="shared" si="12"/>
        <v>0</v>
      </c>
      <c r="Y93" s="46">
        <v>200</v>
      </c>
      <c r="Z93" s="46">
        <v>200</v>
      </c>
      <c r="AA93" s="46">
        <v>200</v>
      </c>
      <c r="AB93" s="46">
        <v>0</v>
      </c>
      <c r="AC93" s="46">
        <v>0</v>
      </c>
      <c r="AD93" s="46">
        <v>0</v>
      </c>
      <c r="AE93" s="46">
        <v>200</v>
      </c>
      <c r="AF93" s="46">
        <v>200</v>
      </c>
      <c r="AG93" s="46">
        <v>200</v>
      </c>
      <c r="AH93" s="46">
        <v>200</v>
      </c>
      <c r="AI93" s="46">
        <v>200</v>
      </c>
      <c r="AJ93" s="46">
        <v>200</v>
      </c>
      <c r="AK93" s="47">
        <f t="shared" si="13"/>
        <v>1800</v>
      </c>
      <c r="AL93" s="46">
        <v>200</v>
      </c>
      <c r="AM93" s="46">
        <v>200</v>
      </c>
      <c r="AN93" s="46">
        <v>200</v>
      </c>
      <c r="AO93" s="46">
        <v>200</v>
      </c>
      <c r="AP93" s="46">
        <v>200</v>
      </c>
      <c r="AQ93" s="46">
        <v>200</v>
      </c>
      <c r="AR93" s="46">
        <v>200</v>
      </c>
      <c r="AS93" s="46">
        <v>0</v>
      </c>
      <c r="AT93" s="46">
        <v>0</v>
      </c>
      <c r="AU93" s="46">
        <v>0</v>
      </c>
      <c r="AV93" s="46">
        <v>0</v>
      </c>
      <c r="AW93" s="46">
        <v>0</v>
      </c>
      <c r="AX93" s="47">
        <f t="shared" si="14"/>
        <v>1400</v>
      </c>
      <c r="AY93" s="313">
        <f>SUMIF(Recibos!$D$4:$D$7493,Cobranza!$B93,Recibos!K$4:K$7493)</f>
        <v>200</v>
      </c>
      <c r="AZ93" s="313">
        <f>SUMIF(Recibos!$D$4:$D$7493,Cobranza!$B93,Recibos!L$4:L$7493)</f>
        <v>0</v>
      </c>
      <c r="BA93" s="313">
        <f>SUMIF(Recibos!$D$4:$D$7493,Cobranza!$B93,Recibos!M$4:M$7493)</f>
        <v>0</v>
      </c>
      <c r="BB93" s="313">
        <f>SUMIF(Recibos!$D$4:$D$7493,Cobranza!$B93,Recibos!N$4:N$7493)</f>
        <v>0</v>
      </c>
      <c r="BC93" s="313">
        <f>SUMIF(Recibos!$D$4:$D$7493,Cobranza!$B93,Recibos!O$4:O$7493)</f>
        <v>0</v>
      </c>
      <c r="BD93" s="313">
        <f>SUMIF(Recibos!$D$4:$D$7493,Cobranza!$B93,Recibos!P$4:P$7493)</f>
        <v>0</v>
      </c>
      <c r="BE93" s="313">
        <f>SUMIF(Recibos!$D$4:$D$7493,Cobranza!$B93,Recibos!Q$4:Q$7493)</f>
        <v>0</v>
      </c>
      <c r="BF93" s="313">
        <f>SUMIF(Recibos!$D$4:$D$7493,Cobranza!$B93,Recibos!R$4:R$7493)</f>
        <v>200</v>
      </c>
      <c r="BG93" s="313">
        <f>SUMIF(Recibos!$D$4:$D$7493,Cobranza!$B93,Recibos!S$4:S$7493)</f>
        <v>0</v>
      </c>
      <c r="BH93" s="313">
        <f>SUMIF(Recibos!$D$4:$D$7493,Cobranza!$B93,Recibos!T$4:T$7493)</f>
        <v>0</v>
      </c>
      <c r="BI93" s="313">
        <f>SUMIF(Recibos!$D$4:$D$7493,Cobranza!$B93,Recibos!U$4:U$7493)</f>
        <v>0</v>
      </c>
      <c r="BJ93" s="313">
        <f>SUMIF(Recibos!$D$4:$D$7493,Cobranza!$B93,Recibos!V$4:V$7493)</f>
        <v>0</v>
      </c>
      <c r="BK93" s="314">
        <f t="shared" si="15"/>
        <v>400</v>
      </c>
      <c r="BL93" s="313">
        <f>SUMIF(Recibos!$D$4:$D$7493,Cobranza!$B93,Recibos!X$4:X$7493)</f>
        <v>200</v>
      </c>
      <c r="BM93" s="313">
        <f>SUMIF(Recibos!$D$4:$D$7493,Cobranza!$B93,Recibos!Y$4:Y$7493)</f>
        <v>200</v>
      </c>
      <c r="BN93" s="313">
        <f>SUMIF(Recibos!$D$4:$D$7493,Cobranza!$B93,Recibos!Z$4:Z$7493)</f>
        <v>0</v>
      </c>
      <c r="BO93" s="313">
        <f>SUMIF(Recibos!$D$4:$D$7493,Cobranza!$B93,Recibos!AA$4:AA$7493)</f>
        <v>0</v>
      </c>
      <c r="BP93" s="313">
        <f>SUMIF(Recibos!$D$4:$D$7493,Cobranza!$B93,Recibos!AB$4:AB$7493)</f>
        <v>0</v>
      </c>
      <c r="BQ93" s="313">
        <f>SUMIF(Recibos!$D$4:$D$7493,Cobranza!$B93,Recibos!AC$4:AC$7493)</f>
        <v>0</v>
      </c>
      <c r="BR93" s="313">
        <f>SUMIF(Recibos!$D$4:$D$7493,Cobranza!$B93,Recibos!AD$4:AD$7493)</f>
        <v>0</v>
      </c>
      <c r="BS93" s="313">
        <f>SUMIF(Recibos!$D$4:$D$7493,Cobranza!$B93,Recibos!AE$4:AE$7493)</f>
        <v>0</v>
      </c>
      <c r="BT93" s="313">
        <f>SUMIF(Recibos!$D$4:$D$7493,Cobranza!$B93,Recibos!AF$4:AF$7493)</f>
        <v>0</v>
      </c>
      <c r="BU93" s="313">
        <f>SUMIF(Recibos!$D$4:$D$7493,Cobranza!$B93,Recibos!AG$4:AG$7493)</f>
        <v>0</v>
      </c>
      <c r="BV93" s="313">
        <f>SUMIF(Recibos!$D$4:$D$7493,Cobranza!$B93,Recibos!AH$4:AH$7493)</f>
        <v>0</v>
      </c>
      <c r="BW93" s="313">
        <f>SUMIF(Recibos!$D$4:$D$7493,Cobranza!$B93,Recibos!AI$4:AI$7493)</f>
        <v>0</v>
      </c>
      <c r="BX93" s="314">
        <f t="shared" si="16"/>
        <v>400</v>
      </c>
      <c r="BY93" s="313">
        <f>SUMIF(Recibos!$D$4:$D$7493,Cobranza!$B93,Recibos!AK$4:AK$7493)</f>
        <v>200</v>
      </c>
      <c r="BZ93" s="313">
        <f>SUMIF(Recibos!$D$4:$D$7493,Cobranza!$B93,Recibos!AL$4:AL$7493)</f>
        <v>200</v>
      </c>
      <c r="CA93" s="313">
        <f>SUMIF(Recibos!$D$4:$D$7493,Cobranza!$B93,Recibos!AM$4:AM$7493)</f>
        <v>200</v>
      </c>
      <c r="CB93" s="313">
        <f>SUMIF(Recibos!$D$4:$D$7493,Cobranza!$B93,Recibos!AN$4:AN$7493)</f>
        <v>200</v>
      </c>
      <c r="CC93" s="313">
        <f>SUMIF(Recibos!$D$4:$D$7493,Cobranza!$B93,Recibos!AO$4:AO$7493)</f>
        <v>200</v>
      </c>
      <c r="CD93" s="313">
        <f>SUMIF(Recibos!$D$4:$D$7493,Cobranza!$B93,Recibos!AP$4:AP$7493)</f>
        <v>200</v>
      </c>
      <c r="CE93" s="313">
        <f>SUMIF(Recibos!$D$4:$D$7493,Cobranza!$B93,Recibos!AQ$4:AQ$7493)</f>
        <v>200</v>
      </c>
      <c r="CF93" s="313">
        <f>SUMIF(Recibos!$D$4:$D$7493,Cobranza!$B93,Recibos!AR$4:AR$7493)</f>
        <v>200</v>
      </c>
      <c r="CG93" s="313">
        <f>SUMIF(Recibos!$D$4:$D$7493,Cobranza!$B93,Recibos!AS$4:AS$7493)</f>
        <v>0</v>
      </c>
      <c r="CH93" s="313">
        <f>SUMIF(Recibos!$D$4:$D$7493,Cobranza!$B93,Recibos!AT$4:AT$7493)</f>
        <v>0</v>
      </c>
      <c r="CI93" s="313">
        <f>SUMIF(Recibos!$D$4:$D$7493,Cobranza!$B93,Recibos!AU$4:AU$7493)</f>
        <v>0</v>
      </c>
      <c r="CJ93" s="313">
        <f>SUMIF(Recibos!$D$4:$D$7493,Cobranza!$B93,Recibos!AV$4:AV$7493)</f>
        <v>0</v>
      </c>
      <c r="CK93" s="314">
        <f t="shared" si="10"/>
        <v>1600</v>
      </c>
    </row>
    <row r="94" spans="2:89" x14ac:dyDescent="0.2">
      <c r="B94" s="42" t="s">
        <v>416</v>
      </c>
      <c r="C94" s="42" t="s">
        <v>417</v>
      </c>
      <c r="D94" s="42" t="s">
        <v>418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150</v>
      </c>
      <c r="K94" s="44">
        <f t="shared" si="11"/>
        <v>150</v>
      </c>
      <c r="L94" s="43">
        <v>150</v>
      </c>
      <c r="M94" s="43">
        <v>150</v>
      </c>
      <c r="N94" s="43">
        <v>150</v>
      </c>
      <c r="O94" s="43">
        <v>150</v>
      </c>
      <c r="P94" s="43">
        <v>150</v>
      </c>
      <c r="Q94" s="43">
        <v>150</v>
      </c>
      <c r="R94" s="43">
        <v>150</v>
      </c>
      <c r="S94" s="43">
        <v>150</v>
      </c>
      <c r="T94" s="43">
        <v>150</v>
      </c>
      <c r="U94" s="43">
        <v>200</v>
      </c>
      <c r="V94" s="43">
        <v>200</v>
      </c>
      <c r="W94" s="43">
        <v>200</v>
      </c>
      <c r="X94" s="44">
        <f t="shared" si="12"/>
        <v>1950</v>
      </c>
      <c r="Y94" s="43">
        <v>200</v>
      </c>
      <c r="Z94" s="43">
        <v>200</v>
      </c>
      <c r="AA94" s="43">
        <v>250</v>
      </c>
      <c r="AB94" s="43">
        <v>150</v>
      </c>
      <c r="AC94" s="43">
        <v>200</v>
      </c>
      <c r="AD94" s="43">
        <v>200</v>
      </c>
      <c r="AE94" s="43">
        <v>200</v>
      </c>
      <c r="AF94" s="43">
        <v>200</v>
      </c>
      <c r="AG94" s="43">
        <v>200</v>
      </c>
      <c r="AH94" s="43">
        <v>200</v>
      </c>
      <c r="AI94" s="43">
        <v>200</v>
      </c>
      <c r="AJ94" s="43">
        <v>200</v>
      </c>
      <c r="AK94" s="44">
        <f t="shared" si="13"/>
        <v>2400</v>
      </c>
      <c r="AL94" s="43">
        <v>200</v>
      </c>
      <c r="AM94" s="43">
        <v>200</v>
      </c>
      <c r="AN94" s="43">
        <v>200</v>
      </c>
      <c r="AO94" s="43">
        <v>200</v>
      </c>
      <c r="AP94" s="43">
        <v>200</v>
      </c>
      <c r="AQ94" s="43">
        <v>200</v>
      </c>
      <c r="AR94" s="43">
        <v>200</v>
      </c>
      <c r="AS94" s="43">
        <v>200</v>
      </c>
      <c r="AT94" s="43">
        <v>200</v>
      </c>
      <c r="AU94" s="43">
        <v>200</v>
      </c>
      <c r="AV94" s="43">
        <v>200</v>
      </c>
      <c r="AW94" s="43">
        <v>200</v>
      </c>
      <c r="AX94" s="44">
        <f t="shared" si="14"/>
        <v>2400</v>
      </c>
      <c r="AY94" s="311">
        <f>SUMIF(Recibos!$D$4:$D$7493,Cobranza!$B94,Recibos!K$4:K$7493)</f>
        <v>200</v>
      </c>
      <c r="AZ94" s="311">
        <f>SUMIF(Recibos!$D$4:$D$7493,Cobranza!$B94,Recibos!L$4:L$7493)</f>
        <v>200</v>
      </c>
      <c r="BA94" s="311">
        <f>SUMIF(Recibos!$D$4:$D$7493,Cobranza!$B94,Recibos!M$4:M$7493)</f>
        <v>200</v>
      </c>
      <c r="BB94" s="311">
        <f>SUMIF(Recibos!$D$4:$D$7493,Cobranza!$B94,Recibos!N$4:N$7493)</f>
        <v>200</v>
      </c>
      <c r="BC94" s="311">
        <f>SUMIF(Recibos!$D$4:$D$7493,Cobranza!$B94,Recibos!O$4:O$7493)</f>
        <v>200</v>
      </c>
      <c r="BD94" s="311">
        <f>SUMIF(Recibos!$D$4:$D$7493,Cobranza!$B94,Recibos!P$4:P$7493)</f>
        <v>200</v>
      </c>
      <c r="BE94" s="311">
        <f>SUMIF(Recibos!$D$4:$D$7493,Cobranza!$B94,Recibos!Q$4:Q$7493)</f>
        <v>200</v>
      </c>
      <c r="BF94" s="311">
        <f>SUMIF(Recibos!$D$4:$D$7493,Cobranza!$B94,Recibos!R$4:R$7493)</f>
        <v>200</v>
      </c>
      <c r="BG94" s="311">
        <f>SUMIF(Recibos!$D$4:$D$7493,Cobranza!$B94,Recibos!S$4:S$7493)</f>
        <v>200</v>
      </c>
      <c r="BH94" s="311">
        <f>SUMIF(Recibos!$D$4:$D$7493,Cobranza!$B94,Recibos!T$4:T$7493)</f>
        <v>200</v>
      </c>
      <c r="BI94" s="311">
        <f>SUMIF(Recibos!$D$4:$D$7493,Cobranza!$B94,Recibos!U$4:U$7493)</f>
        <v>200</v>
      </c>
      <c r="BJ94" s="311">
        <f>SUMIF(Recibos!$D$4:$D$7493,Cobranza!$B94,Recibos!V$4:V$7493)</f>
        <v>200</v>
      </c>
      <c r="BK94" s="312">
        <f t="shared" si="15"/>
        <v>2400</v>
      </c>
      <c r="BL94" s="311">
        <f>SUMIF(Recibos!$D$4:$D$7493,Cobranza!$B94,Recibos!X$4:X$7493)</f>
        <v>200</v>
      </c>
      <c r="BM94" s="311">
        <f>SUMIF(Recibos!$D$4:$D$7493,Cobranza!$B94,Recibos!Y$4:Y$7493)</f>
        <v>200</v>
      </c>
      <c r="BN94" s="311">
        <f>SUMIF(Recibos!$D$4:$D$7493,Cobranza!$B94,Recibos!Z$4:Z$7493)</f>
        <v>200</v>
      </c>
      <c r="BO94" s="311">
        <f>SUMIF(Recibos!$D$4:$D$7493,Cobranza!$B94,Recibos!AA$4:AA$7493)</f>
        <v>200</v>
      </c>
      <c r="BP94" s="311">
        <f>SUMIF(Recibos!$D$4:$D$7493,Cobranza!$B94,Recibos!AB$4:AB$7493)</f>
        <v>200</v>
      </c>
      <c r="BQ94" s="311">
        <f>SUMIF(Recibos!$D$4:$D$7493,Cobranza!$B94,Recibos!AC$4:AC$7493)</f>
        <v>200</v>
      </c>
      <c r="BR94" s="311">
        <f>SUMIF(Recibos!$D$4:$D$7493,Cobranza!$B94,Recibos!AD$4:AD$7493)</f>
        <v>200</v>
      </c>
      <c r="BS94" s="311">
        <f>SUMIF(Recibos!$D$4:$D$7493,Cobranza!$B94,Recibos!AE$4:AE$7493)</f>
        <v>200</v>
      </c>
      <c r="BT94" s="311">
        <f>SUMIF(Recibos!$D$4:$D$7493,Cobranza!$B94,Recibos!AF$4:AF$7493)</f>
        <v>200</v>
      </c>
      <c r="BU94" s="311">
        <f>SUMIF(Recibos!$D$4:$D$7493,Cobranza!$B94,Recibos!AG$4:AG$7493)</f>
        <v>200</v>
      </c>
      <c r="BV94" s="311">
        <f>SUMIF(Recibos!$D$4:$D$7493,Cobranza!$B94,Recibos!AH$4:AH$7493)</f>
        <v>200</v>
      </c>
      <c r="BW94" s="311">
        <f>SUMIF(Recibos!$D$4:$D$7493,Cobranza!$B94,Recibos!AI$4:AI$7493)</f>
        <v>200</v>
      </c>
      <c r="BX94" s="312">
        <f t="shared" si="16"/>
        <v>2400</v>
      </c>
      <c r="BY94" s="311">
        <f>SUMIF(Recibos!$D$4:$D$7493,Cobranza!$B94,Recibos!AK$4:AK$7493)</f>
        <v>200</v>
      </c>
      <c r="BZ94" s="311">
        <f>SUMIF(Recibos!$D$4:$D$7493,Cobranza!$B94,Recibos!AL$4:AL$7493)</f>
        <v>200</v>
      </c>
      <c r="CA94" s="311">
        <f>SUMIF(Recibos!$D$4:$D$7493,Cobranza!$B94,Recibos!AM$4:AM$7493)</f>
        <v>200</v>
      </c>
      <c r="CB94" s="311">
        <f>SUMIF(Recibos!$D$4:$D$7493,Cobranza!$B94,Recibos!AN$4:AN$7493)</f>
        <v>200</v>
      </c>
      <c r="CC94" s="311">
        <f>SUMIF(Recibos!$D$4:$D$7493,Cobranza!$B94,Recibos!AO$4:AO$7493)</f>
        <v>200</v>
      </c>
      <c r="CD94" s="311">
        <f>SUMIF(Recibos!$D$4:$D$7493,Cobranza!$B94,Recibos!AP$4:AP$7493)</f>
        <v>200</v>
      </c>
      <c r="CE94" s="311">
        <f>SUMIF(Recibos!$D$4:$D$7493,Cobranza!$B94,Recibos!AQ$4:AQ$7493)</f>
        <v>200</v>
      </c>
      <c r="CF94" s="311">
        <f>SUMIF(Recibos!$D$4:$D$7493,Cobranza!$B94,Recibos!AR$4:AR$7493)</f>
        <v>200</v>
      </c>
      <c r="CG94" s="311">
        <f>SUMIF(Recibos!$D$4:$D$7493,Cobranza!$B94,Recibos!AS$4:AS$7493)</f>
        <v>200</v>
      </c>
      <c r="CH94" s="311">
        <f>SUMIF(Recibos!$D$4:$D$7493,Cobranza!$B94,Recibos!AT$4:AT$7493)</f>
        <v>200</v>
      </c>
      <c r="CI94" s="311">
        <f>SUMIF(Recibos!$D$4:$D$7493,Cobranza!$B94,Recibos!AU$4:AU$7493)</f>
        <v>0</v>
      </c>
      <c r="CJ94" s="311">
        <f>SUMIF(Recibos!$D$4:$D$7493,Cobranza!$B94,Recibos!AV$4:AV$7493)</f>
        <v>0</v>
      </c>
      <c r="CK94" s="312">
        <f t="shared" si="10"/>
        <v>2000</v>
      </c>
    </row>
    <row r="95" spans="2:89" x14ac:dyDescent="0.2">
      <c r="B95" s="45" t="s">
        <v>655</v>
      </c>
      <c r="C95" s="45" t="s">
        <v>656</v>
      </c>
      <c r="D95" s="45" t="s">
        <v>657</v>
      </c>
      <c r="E95" s="46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7">
        <f t="shared" si="11"/>
        <v>0</v>
      </c>
      <c r="L95" s="46">
        <v>300</v>
      </c>
      <c r="M95" s="46">
        <v>300</v>
      </c>
      <c r="N95" s="46">
        <v>300</v>
      </c>
      <c r="O95" s="46">
        <v>300</v>
      </c>
      <c r="P95" s="46">
        <v>300</v>
      </c>
      <c r="Q95" s="46">
        <v>300</v>
      </c>
      <c r="R95" s="46">
        <v>300</v>
      </c>
      <c r="S95" s="46">
        <v>300</v>
      </c>
      <c r="T95" s="46">
        <v>300</v>
      </c>
      <c r="U95" s="46">
        <v>400</v>
      </c>
      <c r="V95" s="46">
        <v>400</v>
      </c>
      <c r="W95" s="46">
        <v>400</v>
      </c>
      <c r="X95" s="47">
        <f t="shared" si="12"/>
        <v>3900</v>
      </c>
      <c r="Y95" s="46">
        <v>400</v>
      </c>
      <c r="Z95" s="46">
        <v>400</v>
      </c>
      <c r="AA95" s="46">
        <v>400</v>
      </c>
      <c r="AB95" s="46">
        <v>400</v>
      </c>
      <c r="AC95" s="46">
        <v>400</v>
      </c>
      <c r="AD95" s="46">
        <v>400</v>
      </c>
      <c r="AE95" s="46">
        <v>400</v>
      </c>
      <c r="AF95" s="46">
        <v>400</v>
      </c>
      <c r="AG95" s="46">
        <v>0</v>
      </c>
      <c r="AH95" s="46">
        <v>400</v>
      </c>
      <c r="AI95" s="46">
        <v>400</v>
      </c>
      <c r="AJ95" s="46">
        <v>400</v>
      </c>
      <c r="AK95" s="47">
        <f t="shared" si="13"/>
        <v>4400</v>
      </c>
      <c r="AL95" s="46">
        <v>400</v>
      </c>
      <c r="AM95" s="46">
        <v>400</v>
      </c>
      <c r="AN95" s="46">
        <v>400</v>
      </c>
      <c r="AO95" s="46">
        <v>400</v>
      </c>
      <c r="AP95" s="46">
        <v>400</v>
      </c>
      <c r="AQ95" s="46">
        <v>400</v>
      </c>
      <c r="AR95" s="46">
        <v>400</v>
      </c>
      <c r="AS95" s="46">
        <v>400</v>
      </c>
      <c r="AT95" s="46">
        <v>400</v>
      </c>
      <c r="AU95" s="46">
        <v>400</v>
      </c>
      <c r="AV95" s="46">
        <v>400</v>
      </c>
      <c r="AW95" s="46">
        <v>400</v>
      </c>
      <c r="AX95" s="47">
        <f t="shared" si="14"/>
        <v>4800</v>
      </c>
      <c r="AY95" s="313">
        <f>SUMIF(Recibos!$D$4:$D$7493,Cobranza!$B95,Recibos!K$4:K$7493)</f>
        <v>400</v>
      </c>
      <c r="AZ95" s="313">
        <f>SUMIF(Recibos!$D$4:$D$7493,Cobranza!$B95,Recibos!L$4:L$7493)</f>
        <v>400</v>
      </c>
      <c r="BA95" s="313">
        <f>SUMIF(Recibos!$D$4:$D$7493,Cobranza!$B95,Recibos!M$4:M$7493)</f>
        <v>400</v>
      </c>
      <c r="BB95" s="313">
        <f>SUMIF(Recibos!$D$4:$D$7493,Cobranza!$B95,Recibos!N$4:N$7493)</f>
        <v>400</v>
      </c>
      <c r="BC95" s="313">
        <f>SUMIF(Recibos!$D$4:$D$7493,Cobranza!$B95,Recibos!O$4:O$7493)</f>
        <v>400</v>
      </c>
      <c r="BD95" s="313">
        <f>SUMIF(Recibos!$D$4:$D$7493,Cobranza!$B95,Recibos!P$4:P$7493)</f>
        <v>400</v>
      </c>
      <c r="BE95" s="313">
        <f>SUMIF(Recibos!$D$4:$D$7493,Cobranza!$B95,Recibos!Q$4:Q$7493)</f>
        <v>400</v>
      </c>
      <c r="BF95" s="313">
        <f>SUMIF(Recibos!$D$4:$D$7493,Cobranza!$B95,Recibos!R$4:R$7493)</f>
        <v>400</v>
      </c>
      <c r="BG95" s="313">
        <f>SUMIF(Recibos!$D$4:$D$7493,Cobranza!$B95,Recibos!S$4:S$7493)</f>
        <v>400</v>
      </c>
      <c r="BH95" s="313">
        <f>SUMIF(Recibos!$D$4:$D$7493,Cobranza!$B95,Recibos!T$4:T$7493)</f>
        <v>400</v>
      </c>
      <c r="BI95" s="313">
        <f>SUMIF(Recibos!$D$4:$D$7493,Cobranza!$B95,Recibos!U$4:U$7493)</f>
        <v>400</v>
      </c>
      <c r="BJ95" s="313">
        <f>SUMIF(Recibos!$D$4:$D$7493,Cobranza!$B95,Recibos!V$4:V$7493)</f>
        <v>400</v>
      </c>
      <c r="BK95" s="314">
        <f t="shared" si="15"/>
        <v>4800</v>
      </c>
      <c r="BL95" s="313">
        <f>SUMIF(Recibos!$D$4:$D$7493,Cobranza!$B95,Recibos!X$4:X$7493)</f>
        <v>400</v>
      </c>
      <c r="BM95" s="313">
        <f>SUMIF(Recibos!$D$4:$D$7493,Cobranza!$B95,Recibos!Y$4:Y$7493)</f>
        <v>400</v>
      </c>
      <c r="BN95" s="313">
        <f>SUMIF(Recibos!$D$4:$D$7493,Cobranza!$B95,Recibos!Z$4:Z$7493)</f>
        <v>400</v>
      </c>
      <c r="BO95" s="313">
        <f>SUMIF(Recibos!$D$4:$D$7493,Cobranza!$B95,Recibos!AA$4:AA$7493)</f>
        <v>400</v>
      </c>
      <c r="BP95" s="313">
        <f>SUMIF(Recibos!$D$4:$D$7493,Cobranza!$B95,Recibos!AB$4:AB$7493)</f>
        <v>400</v>
      </c>
      <c r="BQ95" s="313">
        <f>SUMIF(Recibos!$D$4:$D$7493,Cobranza!$B95,Recibos!AC$4:AC$7493)</f>
        <v>400</v>
      </c>
      <c r="BR95" s="313">
        <f>SUMIF(Recibos!$D$4:$D$7493,Cobranza!$B95,Recibos!AD$4:AD$7493)</f>
        <v>400</v>
      </c>
      <c r="BS95" s="313">
        <f>SUMIF(Recibos!$D$4:$D$7493,Cobranza!$B95,Recibos!AE$4:AE$7493)</f>
        <v>400</v>
      </c>
      <c r="BT95" s="313">
        <f>SUMIF(Recibos!$D$4:$D$7493,Cobranza!$B95,Recibos!AF$4:AF$7493)</f>
        <v>400</v>
      </c>
      <c r="BU95" s="313">
        <f>SUMIF(Recibos!$D$4:$D$7493,Cobranza!$B95,Recibos!AG$4:AG$7493)</f>
        <v>400</v>
      </c>
      <c r="BV95" s="313">
        <f>SUMIF(Recibos!$D$4:$D$7493,Cobranza!$B95,Recibos!AH$4:AH$7493)</f>
        <v>400</v>
      </c>
      <c r="BW95" s="313">
        <f>SUMIF(Recibos!$D$4:$D$7493,Cobranza!$B95,Recibos!AI$4:AI$7493)</f>
        <v>400</v>
      </c>
      <c r="BX95" s="314">
        <f t="shared" si="16"/>
        <v>4800</v>
      </c>
      <c r="BY95" s="313">
        <f>SUMIF(Recibos!$D$4:$D$7493,Cobranza!$B95,Recibos!AK$4:AK$7493)</f>
        <v>400</v>
      </c>
      <c r="BZ95" s="313">
        <f>SUMIF(Recibos!$D$4:$D$7493,Cobranza!$B95,Recibos!AL$4:AL$7493)</f>
        <v>400</v>
      </c>
      <c r="CA95" s="313">
        <f>SUMIF(Recibos!$D$4:$D$7493,Cobranza!$B95,Recibos!AM$4:AM$7493)</f>
        <v>400</v>
      </c>
      <c r="CB95" s="313">
        <f>SUMIF(Recibos!$D$4:$D$7493,Cobranza!$B95,Recibos!AN$4:AN$7493)</f>
        <v>400</v>
      </c>
      <c r="CC95" s="313">
        <f>SUMIF(Recibos!$D$4:$D$7493,Cobranza!$B95,Recibos!AO$4:AO$7493)</f>
        <v>400</v>
      </c>
      <c r="CD95" s="313">
        <f>SUMIF(Recibos!$D$4:$D$7493,Cobranza!$B95,Recibos!AP$4:AP$7493)</f>
        <v>0</v>
      </c>
      <c r="CE95" s="313">
        <f>SUMIF(Recibos!$D$4:$D$7493,Cobranza!$B95,Recibos!AQ$4:AQ$7493)</f>
        <v>0</v>
      </c>
      <c r="CF95" s="313">
        <f>SUMIF(Recibos!$D$4:$D$7493,Cobranza!$B95,Recibos!AR$4:AR$7493)</f>
        <v>0</v>
      </c>
      <c r="CG95" s="313">
        <f>SUMIF(Recibos!$D$4:$D$7493,Cobranza!$B95,Recibos!AS$4:AS$7493)</f>
        <v>0</v>
      </c>
      <c r="CH95" s="313">
        <f>SUMIF(Recibos!$D$4:$D$7493,Cobranza!$B95,Recibos!AT$4:AT$7493)</f>
        <v>0</v>
      </c>
      <c r="CI95" s="313">
        <f>SUMIF(Recibos!$D$4:$D$7493,Cobranza!$B95,Recibos!AU$4:AU$7493)</f>
        <v>0</v>
      </c>
      <c r="CJ95" s="313">
        <f>SUMIF(Recibos!$D$4:$D$7493,Cobranza!$B95,Recibos!AV$4:AV$7493)</f>
        <v>0</v>
      </c>
      <c r="CK95" s="314">
        <f t="shared" si="10"/>
        <v>2000</v>
      </c>
    </row>
    <row r="96" spans="2:89" x14ac:dyDescent="0.2">
      <c r="B96" s="42" t="s">
        <v>999</v>
      </c>
      <c r="C96" s="42" t="s">
        <v>1000</v>
      </c>
      <c r="D96" s="42" t="s">
        <v>1001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4">
        <f t="shared" si="11"/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4">
        <f t="shared" si="12"/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4">
        <f t="shared" si="13"/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4">
        <f t="shared" si="14"/>
        <v>0</v>
      </c>
      <c r="AY96" s="311">
        <f>SUMIF(Recibos!$D$4:$D$7493,Cobranza!$B96,Recibos!K$4:K$7493)</f>
        <v>0</v>
      </c>
      <c r="AZ96" s="311">
        <f>SUMIF(Recibos!$D$4:$D$7493,Cobranza!$B96,Recibos!L$4:L$7493)</f>
        <v>0</v>
      </c>
      <c r="BA96" s="311">
        <f>SUMIF(Recibos!$D$4:$D$7493,Cobranza!$B96,Recibos!M$4:M$7493)</f>
        <v>0</v>
      </c>
      <c r="BB96" s="311">
        <f>SUMIF(Recibos!$D$4:$D$7493,Cobranza!$B96,Recibos!N$4:N$7493)</f>
        <v>0</v>
      </c>
      <c r="BC96" s="311">
        <f>SUMIF(Recibos!$D$4:$D$7493,Cobranza!$B96,Recibos!O$4:O$7493)</f>
        <v>0</v>
      </c>
      <c r="BD96" s="311">
        <f>SUMIF(Recibos!$D$4:$D$7493,Cobranza!$B96,Recibos!P$4:P$7493)</f>
        <v>0</v>
      </c>
      <c r="BE96" s="311">
        <f>SUMIF(Recibos!$D$4:$D$7493,Cobranza!$B96,Recibos!Q$4:Q$7493)</f>
        <v>0</v>
      </c>
      <c r="BF96" s="311">
        <f>SUMIF(Recibos!$D$4:$D$7493,Cobranza!$B96,Recibos!R$4:R$7493)</f>
        <v>0</v>
      </c>
      <c r="BG96" s="311">
        <f>SUMIF(Recibos!$D$4:$D$7493,Cobranza!$B96,Recibos!S$4:S$7493)</f>
        <v>0</v>
      </c>
      <c r="BH96" s="311">
        <f>SUMIF(Recibos!$D$4:$D$7493,Cobranza!$B96,Recibos!T$4:T$7493)</f>
        <v>0</v>
      </c>
      <c r="BI96" s="311">
        <f>SUMIF(Recibos!$D$4:$D$7493,Cobranza!$B96,Recibos!U$4:U$7493)</f>
        <v>0</v>
      </c>
      <c r="BJ96" s="311">
        <f>SUMIF(Recibos!$D$4:$D$7493,Cobranza!$B96,Recibos!V$4:V$7493)</f>
        <v>0</v>
      </c>
      <c r="BK96" s="312">
        <f t="shared" si="15"/>
        <v>0</v>
      </c>
      <c r="BL96" s="311">
        <f>SUMIF(Recibos!$D$4:$D$7493,Cobranza!$B96,Recibos!X$4:X$7493)</f>
        <v>0</v>
      </c>
      <c r="BM96" s="311">
        <f>SUMIF(Recibos!$D$4:$D$7493,Cobranza!$B96,Recibos!Y$4:Y$7493)</f>
        <v>0</v>
      </c>
      <c r="BN96" s="311">
        <f>SUMIF(Recibos!$D$4:$D$7493,Cobranza!$B96,Recibos!Z$4:Z$7493)</f>
        <v>0</v>
      </c>
      <c r="BO96" s="311">
        <f>SUMIF(Recibos!$D$4:$D$7493,Cobranza!$B96,Recibos!AA$4:AA$7493)</f>
        <v>0</v>
      </c>
      <c r="BP96" s="311">
        <f>SUMIF(Recibos!$D$4:$D$7493,Cobranza!$B96,Recibos!AB$4:AB$7493)</f>
        <v>0</v>
      </c>
      <c r="BQ96" s="311">
        <f>SUMIF(Recibos!$D$4:$D$7493,Cobranza!$B96,Recibos!AC$4:AC$7493)</f>
        <v>0</v>
      </c>
      <c r="BR96" s="311">
        <f>SUMIF(Recibos!$D$4:$D$7493,Cobranza!$B96,Recibos!AD$4:AD$7493)</f>
        <v>0</v>
      </c>
      <c r="BS96" s="311">
        <f>SUMIF(Recibos!$D$4:$D$7493,Cobranza!$B96,Recibos!AE$4:AE$7493)</f>
        <v>0</v>
      </c>
      <c r="BT96" s="311">
        <f>SUMIF(Recibos!$D$4:$D$7493,Cobranza!$B96,Recibos!AF$4:AF$7493)</f>
        <v>0</v>
      </c>
      <c r="BU96" s="311">
        <f>SUMIF(Recibos!$D$4:$D$7493,Cobranza!$B96,Recibos!AG$4:AG$7493)</f>
        <v>0</v>
      </c>
      <c r="BV96" s="311">
        <f>SUMIF(Recibos!$D$4:$D$7493,Cobranza!$B96,Recibos!AH$4:AH$7493)</f>
        <v>0</v>
      </c>
      <c r="BW96" s="311">
        <f>SUMIF(Recibos!$D$4:$D$7493,Cobranza!$B96,Recibos!AI$4:AI$7493)</f>
        <v>0</v>
      </c>
      <c r="BX96" s="312">
        <f t="shared" si="16"/>
        <v>0</v>
      </c>
      <c r="BY96" s="311">
        <f>SUMIF(Recibos!$D$4:$D$7493,Cobranza!$B96,Recibos!AK$4:AK$7493)</f>
        <v>0</v>
      </c>
      <c r="BZ96" s="311">
        <f>SUMIF(Recibos!$D$4:$D$7493,Cobranza!$B96,Recibos!AL$4:AL$7493)</f>
        <v>0</v>
      </c>
      <c r="CA96" s="311">
        <f>SUMIF(Recibos!$D$4:$D$7493,Cobranza!$B96,Recibos!AM$4:AM$7493)</f>
        <v>0</v>
      </c>
      <c r="CB96" s="311">
        <f>SUMIF(Recibos!$D$4:$D$7493,Cobranza!$B96,Recibos!AN$4:AN$7493)</f>
        <v>0</v>
      </c>
      <c r="CC96" s="311">
        <f>SUMIF(Recibos!$D$4:$D$7493,Cobranza!$B96,Recibos!AO$4:AO$7493)</f>
        <v>0</v>
      </c>
      <c r="CD96" s="311">
        <f>SUMIF(Recibos!$D$4:$D$7493,Cobranza!$B96,Recibos!AP$4:AP$7493)</f>
        <v>0</v>
      </c>
      <c r="CE96" s="311">
        <f>SUMIF(Recibos!$D$4:$D$7493,Cobranza!$B96,Recibos!AQ$4:AQ$7493)</f>
        <v>0</v>
      </c>
      <c r="CF96" s="311">
        <f>SUMIF(Recibos!$D$4:$D$7493,Cobranza!$B96,Recibos!AR$4:AR$7493)</f>
        <v>0</v>
      </c>
      <c r="CG96" s="311">
        <f>SUMIF(Recibos!$D$4:$D$7493,Cobranza!$B96,Recibos!AS$4:AS$7493)</f>
        <v>0</v>
      </c>
      <c r="CH96" s="311">
        <f>SUMIF(Recibos!$D$4:$D$7493,Cobranza!$B96,Recibos!AT$4:AT$7493)</f>
        <v>0</v>
      </c>
      <c r="CI96" s="311">
        <f>SUMIF(Recibos!$D$4:$D$7493,Cobranza!$B96,Recibos!AU$4:AU$7493)</f>
        <v>0</v>
      </c>
      <c r="CJ96" s="311">
        <f>SUMIF(Recibos!$D$4:$D$7493,Cobranza!$B96,Recibos!AV$4:AV$7493)</f>
        <v>0</v>
      </c>
      <c r="CK96" s="312">
        <f t="shared" si="10"/>
        <v>0</v>
      </c>
    </row>
    <row r="97" spans="2:89" x14ac:dyDescent="0.2">
      <c r="B97" s="45" t="s">
        <v>1170</v>
      </c>
      <c r="C97" s="45" t="s">
        <v>1171</v>
      </c>
      <c r="D97" s="45" t="s">
        <v>389</v>
      </c>
      <c r="E97" s="46">
        <v>0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7">
        <f t="shared" si="11"/>
        <v>0</v>
      </c>
      <c r="L97" s="46">
        <v>300</v>
      </c>
      <c r="M97" s="46">
        <v>300</v>
      </c>
      <c r="N97" s="46">
        <v>300</v>
      </c>
      <c r="O97" s="46">
        <v>300</v>
      </c>
      <c r="P97" s="46">
        <v>300</v>
      </c>
      <c r="Q97" s="46">
        <v>300</v>
      </c>
      <c r="R97" s="46">
        <v>300</v>
      </c>
      <c r="S97" s="46">
        <v>300</v>
      </c>
      <c r="T97" s="46">
        <v>300</v>
      </c>
      <c r="U97" s="46">
        <v>300</v>
      </c>
      <c r="V97" s="46">
        <v>400</v>
      </c>
      <c r="W97" s="46">
        <v>400</v>
      </c>
      <c r="X97" s="47">
        <f t="shared" si="12"/>
        <v>3800</v>
      </c>
      <c r="Y97" s="46">
        <v>400</v>
      </c>
      <c r="Z97" s="46">
        <v>400</v>
      </c>
      <c r="AA97" s="46">
        <v>400</v>
      </c>
      <c r="AB97" s="46">
        <v>400</v>
      </c>
      <c r="AC97" s="46">
        <v>400</v>
      </c>
      <c r="AD97" s="46">
        <v>400</v>
      </c>
      <c r="AE97" s="46">
        <v>400</v>
      </c>
      <c r="AF97" s="46">
        <v>400</v>
      </c>
      <c r="AG97" s="46">
        <v>400</v>
      </c>
      <c r="AH97" s="46">
        <v>400</v>
      </c>
      <c r="AI97" s="46">
        <v>400</v>
      </c>
      <c r="AJ97" s="46">
        <v>400</v>
      </c>
      <c r="AK97" s="47">
        <f t="shared" si="13"/>
        <v>4800</v>
      </c>
      <c r="AL97" s="46">
        <v>400</v>
      </c>
      <c r="AM97" s="46">
        <v>400</v>
      </c>
      <c r="AN97" s="46">
        <v>400</v>
      </c>
      <c r="AO97" s="46">
        <v>400</v>
      </c>
      <c r="AP97" s="46">
        <v>400</v>
      </c>
      <c r="AQ97" s="46">
        <v>400</v>
      </c>
      <c r="AR97" s="46">
        <v>400</v>
      </c>
      <c r="AS97" s="46">
        <v>400</v>
      </c>
      <c r="AT97" s="46">
        <v>400</v>
      </c>
      <c r="AU97" s="46">
        <v>400</v>
      </c>
      <c r="AV97" s="46">
        <v>400</v>
      </c>
      <c r="AW97" s="46">
        <v>0</v>
      </c>
      <c r="AX97" s="47">
        <f t="shared" si="14"/>
        <v>4400</v>
      </c>
      <c r="AY97" s="313">
        <f>SUMIF(Recibos!$D$4:$D$7493,Cobranza!$B97,Recibos!K$4:K$7493)</f>
        <v>400</v>
      </c>
      <c r="AZ97" s="313">
        <f>SUMIF(Recibos!$D$4:$D$7493,Cobranza!$B97,Recibos!L$4:L$7493)</f>
        <v>400</v>
      </c>
      <c r="BA97" s="313">
        <f>SUMIF(Recibos!$D$4:$D$7493,Cobranza!$B97,Recibos!M$4:M$7493)</f>
        <v>400</v>
      </c>
      <c r="BB97" s="313">
        <f>SUMIF(Recibos!$D$4:$D$7493,Cobranza!$B97,Recibos!N$4:N$7493)</f>
        <v>400</v>
      </c>
      <c r="BC97" s="313">
        <f>SUMIF(Recibos!$D$4:$D$7493,Cobranza!$B97,Recibos!O$4:O$7493)</f>
        <v>400</v>
      </c>
      <c r="BD97" s="313">
        <f>SUMIF(Recibos!$D$4:$D$7493,Cobranza!$B97,Recibos!P$4:P$7493)</f>
        <v>0</v>
      </c>
      <c r="BE97" s="313">
        <f>SUMIF(Recibos!$D$4:$D$7493,Cobranza!$B97,Recibos!Q$4:Q$7493)</f>
        <v>400</v>
      </c>
      <c r="BF97" s="313">
        <f>SUMIF(Recibos!$D$4:$D$7493,Cobranza!$B97,Recibos!R$4:R$7493)</f>
        <v>800</v>
      </c>
      <c r="BG97" s="313">
        <f>SUMIF(Recibos!$D$4:$D$7493,Cobranza!$B97,Recibos!S$4:S$7493)</f>
        <v>400</v>
      </c>
      <c r="BH97" s="313">
        <f>SUMIF(Recibos!$D$4:$D$7493,Cobranza!$B97,Recibos!T$4:T$7493)</f>
        <v>400</v>
      </c>
      <c r="BI97" s="313">
        <f>SUMIF(Recibos!$D$4:$D$7493,Cobranza!$B97,Recibos!U$4:U$7493)</f>
        <v>400</v>
      </c>
      <c r="BJ97" s="313">
        <f>SUMIF(Recibos!$D$4:$D$7493,Cobranza!$B97,Recibos!V$4:V$7493)</f>
        <v>0</v>
      </c>
      <c r="BK97" s="314">
        <f t="shared" si="15"/>
        <v>4400</v>
      </c>
      <c r="BL97" s="313">
        <f>SUMIF(Recibos!$D$4:$D$7493,Cobranza!$B97,Recibos!X$4:X$7493)</f>
        <v>400</v>
      </c>
      <c r="BM97" s="313">
        <f>SUMIF(Recibos!$D$4:$D$7493,Cobranza!$B97,Recibos!Y$4:Y$7493)</f>
        <v>400</v>
      </c>
      <c r="BN97" s="313">
        <f>SUMIF(Recibos!$D$4:$D$7493,Cobranza!$B97,Recibos!Z$4:Z$7493)</f>
        <v>400</v>
      </c>
      <c r="BO97" s="313">
        <f>SUMIF(Recibos!$D$4:$D$7493,Cobranza!$B97,Recibos!AA$4:AA$7493)</f>
        <v>400</v>
      </c>
      <c r="BP97" s="313">
        <f>SUMIF(Recibos!$D$4:$D$7493,Cobranza!$B97,Recibos!AB$4:AB$7493)</f>
        <v>400</v>
      </c>
      <c r="BQ97" s="313">
        <f>SUMIF(Recibos!$D$4:$D$7493,Cobranza!$B97,Recibos!AC$4:AC$7493)</f>
        <v>400</v>
      </c>
      <c r="BR97" s="313">
        <f>SUMIF(Recibos!$D$4:$D$7493,Cobranza!$B97,Recibos!AD$4:AD$7493)</f>
        <v>0</v>
      </c>
      <c r="BS97" s="313">
        <f>SUMIF(Recibos!$D$4:$D$7493,Cobranza!$B97,Recibos!AE$4:AE$7493)</f>
        <v>0</v>
      </c>
      <c r="BT97" s="313">
        <f>SUMIF(Recibos!$D$4:$D$7493,Cobranza!$B97,Recibos!AF$4:AF$7493)</f>
        <v>0</v>
      </c>
      <c r="BU97" s="313">
        <f>SUMIF(Recibos!$D$4:$D$7493,Cobranza!$B97,Recibos!AG$4:AG$7493)</f>
        <v>0</v>
      </c>
      <c r="BV97" s="313">
        <f>SUMIF(Recibos!$D$4:$D$7493,Cobranza!$B97,Recibos!AH$4:AH$7493)</f>
        <v>0</v>
      </c>
      <c r="BW97" s="313">
        <f>SUMIF(Recibos!$D$4:$D$7493,Cobranza!$B97,Recibos!AI$4:AI$7493)</f>
        <v>0</v>
      </c>
      <c r="BX97" s="314">
        <f t="shared" si="16"/>
        <v>2400</v>
      </c>
      <c r="BY97" s="313">
        <f>SUMIF(Recibos!$D$4:$D$7493,Cobranza!$B97,Recibos!AK$4:AK$7493)</f>
        <v>400</v>
      </c>
      <c r="BZ97" s="313">
        <f>SUMIF(Recibos!$D$4:$D$7493,Cobranza!$B97,Recibos!AL$4:AL$7493)</f>
        <v>400</v>
      </c>
      <c r="CA97" s="313">
        <f>SUMIF(Recibos!$D$4:$D$7493,Cobranza!$B97,Recibos!AM$4:AM$7493)</f>
        <v>400</v>
      </c>
      <c r="CB97" s="313">
        <f>SUMIF(Recibos!$D$4:$D$7493,Cobranza!$B97,Recibos!AN$4:AN$7493)</f>
        <v>400</v>
      </c>
      <c r="CC97" s="313">
        <f>SUMIF(Recibos!$D$4:$D$7493,Cobranza!$B97,Recibos!AO$4:AO$7493)</f>
        <v>400</v>
      </c>
      <c r="CD97" s="313">
        <f>SUMIF(Recibos!$D$4:$D$7493,Cobranza!$B97,Recibos!AP$4:AP$7493)</f>
        <v>400</v>
      </c>
      <c r="CE97" s="313">
        <f>SUMIF(Recibos!$D$4:$D$7493,Cobranza!$B97,Recibos!AQ$4:AQ$7493)</f>
        <v>400</v>
      </c>
      <c r="CF97" s="313">
        <f>SUMIF(Recibos!$D$4:$D$7493,Cobranza!$B97,Recibos!AR$4:AR$7493)</f>
        <v>400</v>
      </c>
      <c r="CG97" s="313">
        <f>SUMIF(Recibos!$D$4:$D$7493,Cobranza!$B97,Recibos!AS$4:AS$7493)</f>
        <v>0</v>
      </c>
      <c r="CH97" s="313">
        <f>SUMIF(Recibos!$D$4:$D$7493,Cobranza!$B97,Recibos!AT$4:AT$7493)</f>
        <v>0</v>
      </c>
      <c r="CI97" s="313">
        <f>SUMIF(Recibos!$D$4:$D$7493,Cobranza!$B97,Recibos!AU$4:AU$7493)</f>
        <v>0</v>
      </c>
      <c r="CJ97" s="313">
        <f>SUMIF(Recibos!$D$4:$D$7493,Cobranza!$B97,Recibos!AV$4:AV$7493)</f>
        <v>0</v>
      </c>
      <c r="CK97" s="314">
        <f t="shared" si="10"/>
        <v>3200</v>
      </c>
    </row>
    <row r="98" spans="2:89" x14ac:dyDescent="0.2">
      <c r="B98" s="42" t="s">
        <v>1148</v>
      </c>
      <c r="C98" s="42" t="s">
        <v>1149</v>
      </c>
      <c r="D98" s="42" t="s">
        <v>1150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4">
        <f t="shared" si="11"/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400</v>
      </c>
      <c r="V98" s="43">
        <v>0</v>
      </c>
      <c r="W98" s="43">
        <v>0</v>
      </c>
      <c r="X98" s="44">
        <f t="shared" si="12"/>
        <v>400</v>
      </c>
      <c r="Y98" s="43">
        <v>0</v>
      </c>
      <c r="Z98" s="43">
        <v>0</v>
      </c>
      <c r="AA98" s="43">
        <v>0</v>
      </c>
      <c r="AB98" s="43">
        <v>400</v>
      </c>
      <c r="AC98" s="43">
        <v>400</v>
      </c>
      <c r="AD98" s="43">
        <v>400</v>
      </c>
      <c r="AE98" s="43">
        <v>400</v>
      </c>
      <c r="AF98" s="43">
        <v>400</v>
      </c>
      <c r="AG98" s="43">
        <v>400</v>
      </c>
      <c r="AH98" s="43">
        <v>0</v>
      </c>
      <c r="AI98" s="43">
        <v>400</v>
      </c>
      <c r="AJ98" s="43">
        <v>400</v>
      </c>
      <c r="AK98" s="44">
        <f t="shared" si="13"/>
        <v>3200</v>
      </c>
      <c r="AL98" s="43">
        <v>400</v>
      </c>
      <c r="AM98" s="43">
        <v>400</v>
      </c>
      <c r="AN98" s="43">
        <v>400</v>
      </c>
      <c r="AO98" s="43">
        <v>400</v>
      </c>
      <c r="AP98" s="43">
        <v>400</v>
      </c>
      <c r="AQ98" s="43">
        <v>400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4">
        <f t="shared" si="14"/>
        <v>2400</v>
      </c>
      <c r="AY98" s="311">
        <f>SUMIF(Recibos!$D$4:$D$7493,Cobranza!$B98,Recibos!K$4:K$7493)</f>
        <v>0</v>
      </c>
      <c r="AZ98" s="311">
        <f>SUMIF(Recibos!$D$4:$D$7493,Cobranza!$B98,Recibos!L$4:L$7493)</f>
        <v>0</v>
      </c>
      <c r="BA98" s="311">
        <f>SUMIF(Recibos!$D$4:$D$7493,Cobranza!$B98,Recibos!M$4:M$7493)</f>
        <v>0</v>
      </c>
      <c r="BB98" s="311">
        <f>SUMIF(Recibos!$D$4:$D$7493,Cobranza!$B98,Recibos!N$4:N$7493)</f>
        <v>0</v>
      </c>
      <c r="BC98" s="311">
        <f>SUMIF(Recibos!$D$4:$D$7493,Cobranza!$B98,Recibos!O$4:O$7493)</f>
        <v>0</v>
      </c>
      <c r="BD98" s="311">
        <f>SUMIF(Recibos!$D$4:$D$7493,Cobranza!$B98,Recibos!P$4:P$7493)</f>
        <v>0</v>
      </c>
      <c r="BE98" s="311">
        <f>SUMIF(Recibos!$D$4:$D$7493,Cobranza!$B98,Recibos!Q$4:Q$7493)</f>
        <v>0</v>
      </c>
      <c r="BF98" s="311">
        <f>SUMIF(Recibos!$D$4:$D$7493,Cobranza!$B98,Recibos!R$4:R$7493)</f>
        <v>400</v>
      </c>
      <c r="BG98" s="311">
        <f>SUMIF(Recibos!$D$4:$D$7493,Cobranza!$B98,Recibos!S$4:S$7493)</f>
        <v>400</v>
      </c>
      <c r="BH98" s="311">
        <f>SUMIF(Recibos!$D$4:$D$7493,Cobranza!$B98,Recibos!T$4:T$7493)</f>
        <v>400</v>
      </c>
      <c r="BI98" s="311">
        <f>SUMIF(Recibos!$D$4:$D$7493,Cobranza!$B98,Recibos!U$4:U$7493)</f>
        <v>400</v>
      </c>
      <c r="BJ98" s="311">
        <f>SUMIF(Recibos!$D$4:$D$7493,Cobranza!$B98,Recibos!V$4:V$7493)</f>
        <v>400</v>
      </c>
      <c r="BK98" s="312">
        <f t="shared" si="15"/>
        <v>2000</v>
      </c>
      <c r="BL98" s="311">
        <f>SUMIF(Recibos!$D$4:$D$7493,Cobranza!$B98,Recibos!X$4:X$7493)</f>
        <v>400</v>
      </c>
      <c r="BM98" s="311">
        <f>SUMIF(Recibos!$D$4:$D$7493,Cobranza!$B98,Recibos!Y$4:Y$7493)</f>
        <v>400</v>
      </c>
      <c r="BN98" s="311">
        <f>SUMIF(Recibos!$D$4:$D$7493,Cobranza!$B98,Recibos!Z$4:Z$7493)</f>
        <v>400</v>
      </c>
      <c r="BO98" s="311">
        <f>SUMIF(Recibos!$D$4:$D$7493,Cobranza!$B98,Recibos!AA$4:AA$7493)</f>
        <v>400</v>
      </c>
      <c r="BP98" s="311">
        <f>SUMIF(Recibos!$D$4:$D$7493,Cobranza!$B98,Recibos!AB$4:AB$7493)</f>
        <v>400</v>
      </c>
      <c r="BQ98" s="311">
        <f>SUMIF(Recibos!$D$4:$D$7493,Cobranza!$B98,Recibos!AC$4:AC$7493)</f>
        <v>400</v>
      </c>
      <c r="BR98" s="311">
        <f>SUMIF(Recibos!$D$4:$D$7493,Cobranza!$B98,Recibos!AD$4:AD$7493)</f>
        <v>400</v>
      </c>
      <c r="BS98" s="311">
        <f>SUMIF(Recibos!$D$4:$D$7493,Cobranza!$B98,Recibos!AE$4:AE$7493)</f>
        <v>400</v>
      </c>
      <c r="BT98" s="311">
        <f>SUMIF(Recibos!$D$4:$D$7493,Cobranza!$B98,Recibos!AF$4:AF$7493)</f>
        <v>400</v>
      </c>
      <c r="BU98" s="311">
        <f>SUMIF(Recibos!$D$4:$D$7493,Cobranza!$B98,Recibos!AG$4:AG$7493)</f>
        <v>400</v>
      </c>
      <c r="BV98" s="311">
        <f>SUMIF(Recibos!$D$4:$D$7493,Cobranza!$B98,Recibos!AH$4:AH$7493)</f>
        <v>400</v>
      </c>
      <c r="BW98" s="311">
        <f>SUMIF(Recibos!$D$4:$D$7493,Cobranza!$B98,Recibos!AI$4:AI$7493)</f>
        <v>400</v>
      </c>
      <c r="BX98" s="312">
        <f t="shared" si="16"/>
        <v>4800</v>
      </c>
      <c r="BY98" s="311">
        <f>SUMIF(Recibos!$D$4:$D$7493,Cobranza!$B98,Recibos!AK$4:AK$7493)</f>
        <v>400</v>
      </c>
      <c r="BZ98" s="311">
        <f>SUMIF(Recibos!$D$4:$D$7493,Cobranza!$B98,Recibos!AL$4:AL$7493)</f>
        <v>400</v>
      </c>
      <c r="CA98" s="311">
        <f>SUMIF(Recibos!$D$4:$D$7493,Cobranza!$B98,Recibos!AM$4:AM$7493)</f>
        <v>400</v>
      </c>
      <c r="CB98" s="311">
        <f>SUMIF(Recibos!$D$4:$D$7493,Cobranza!$B98,Recibos!AN$4:AN$7493)</f>
        <v>400</v>
      </c>
      <c r="CC98" s="311">
        <f>SUMIF(Recibos!$D$4:$D$7493,Cobranza!$B98,Recibos!AO$4:AO$7493)</f>
        <v>400</v>
      </c>
      <c r="CD98" s="311">
        <f>SUMIF(Recibos!$D$4:$D$7493,Cobranza!$B98,Recibos!AP$4:AP$7493)</f>
        <v>400</v>
      </c>
      <c r="CE98" s="311">
        <f>SUMIF(Recibos!$D$4:$D$7493,Cobranza!$B98,Recibos!AQ$4:AQ$7493)</f>
        <v>400</v>
      </c>
      <c r="CF98" s="311">
        <f>SUMIF(Recibos!$D$4:$D$7493,Cobranza!$B98,Recibos!AR$4:AR$7493)</f>
        <v>400</v>
      </c>
      <c r="CG98" s="311">
        <f>SUMIF(Recibos!$D$4:$D$7493,Cobranza!$B98,Recibos!AS$4:AS$7493)</f>
        <v>400</v>
      </c>
      <c r="CH98" s="311">
        <f>SUMIF(Recibos!$D$4:$D$7493,Cobranza!$B98,Recibos!AT$4:AT$7493)</f>
        <v>400</v>
      </c>
      <c r="CI98" s="311">
        <f>SUMIF(Recibos!$D$4:$D$7493,Cobranza!$B98,Recibos!AU$4:AU$7493)</f>
        <v>0</v>
      </c>
      <c r="CJ98" s="311">
        <f>SUMIF(Recibos!$D$4:$D$7493,Cobranza!$B98,Recibos!AV$4:AV$7493)</f>
        <v>0</v>
      </c>
      <c r="CK98" s="312">
        <f t="shared" si="10"/>
        <v>4000</v>
      </c>
    </row>
    <row r="99" spans="2:89" x14ac:dyDescent="0.2">
      <c r="B99" s="45" t="s">
        <v>1303</v>
      </c>
      <c r="C99" s="45" t="s">
        <v>1304</v>
      </c>
      <c r="D99" s="45" t="s">
        <v>1305</v>
      </c>
      <c r="E99" s="46">
        <v>0</v>
      </c>
      <c r="F99" s="46">
        <v>0</v>
      </c>
      <c r="G99" s="46">
        <v>0</v>
      </c>
      <c r="H99" s="46">
        <v>0</v>
      </c>
      <c r="I99" s="46">
        <v>0</v>
      </c>
      <c r="J99" s="46">
        <v>0</v>
      </c>
      <c r="K99" s="47">
        <f t="shared" si="11"/>
        <v>0</v>
      </c>
      <c r="L99" s="46">
        <v>0</v>
      </c>
      <c r="M99" s="46">
        <v>0</v>
      </c>
      <c r="N99" s="46">
        <v>0</v>
      </c>
      <c r="O99" s="46">
        <v>0</v>
      </c>
      <c r="P99" s="46">
        <v>0</v>
      </c>
      <c r="Q99" s="46">
        <v>0</v>
      </c>
      <c r="R99" s="46">
        <v>0</v>
      </c>
      <c r="S99" s="46">
        <v>0</v>
      </c>
      <c r="T99" s="46">
        <v>0</v>
      </c>
      <c r="U99" s="46">
        <v>0</v>
      </c>
      <c r="V99" s="46">
        <v>0</v>
      </c>
      <c r="W99" s="46">
        <v>0</v>
      </c>
      <c r="X99" s="47">
        <f t="shared" si="12"/>
        <v>0</v>
      </c>
      <c r="Y99" s="46">
        <v>0</v>
      </c>
      <c r="Z99" s="46">
        <v>0</v>
      </c>
      <c r="AA99" s="46">
        <v>0</v>
      </c>
      <c r="AB99" s="46">
        <v>0</v>
      </c>
      <c r="AC99" s="46">
        <v>0</v>
      </c>
      <c r="AD99" s="46">
        <v>0</v>
      </c>
      <c r="AE99" s="46">
        <v>0</v>
      </c>
      <c r="AF99" s="46">
        <v>0</v>
      </c>
      <c r="AG99" s="46">
        <v>0</v>
      </c>
      <c r="AH99" s="46">
        <v>0</v>
      </c>
      <c r="AI99" s="46">
        <v>0</v>
      </c>
      <c r="AJ99" s="46">
        <v>0</v>
      </c>
      <c r="AK99" s="47">
        <f t="shared" si="13"/>
        <v>0</v>
      </c>
      <c r="AL99" s="46">
        <v>0</v>
      </c>
      <c r="AM99" s="46">
        <v>0</v>
      </c>
      <c r="AN99" s="46">
        <v>0</v>
      </c>
      <c r="AO99" s="46">
        <v>0</v>
      </c>
      <c r="AP99" s="46">
        <v>0</v>
      </c>
      <c r="AQ99" s="46">
        <v>0</v>
      </c>
      <c r="AR99" s="46">
        <v>0</v>
      </c>
      <c r="AS99" s="46">
        <v>0</v>
      </c>
      <c r="AT99" s="46">
        <v>0</v>
      </c>
      <c r="AU99" s="46">
        <v>0</v>
      </c>
      <c r="AV99" s="46">
        <v>0</v>
      </c>
      <c r="AW99" s="46">
        <v>0</v>
      </c>
      <c r="AX99" s="47">
        <f t="shared" si="14"/>
        <v>0</v>
      </c>
      <c r="AY99" s="313">
        <f>SUMIF(Recibos!$D$4:$D$7493,Cobranza!$B99,Recibos!K$4:K$7493)</f>
        <v>0</v>
      </c>
      <c r="AZ99" s="313">
        <f>SUMIF(Recibos!$D$4:$D$7493,Cobranza!$B99,Recibos!L$4:L$7493)</f>
        <v>0</v>
      </c>
      <c r="BA99" s="313">
        <f>SUMIF(Recibos!$D$4:$D$7493,Cobranza!$B99,Recibos!M$4:M$7493)</f>
        <v>0</v>
      </c>
      <c r="BB99" s="313">
        <f>SUMIF(Recibos!$D$4:$D$7493,Cobranza!$B99,Recibos!N$4:N$7493)</f>
        <v>0</v>
      </c>
      <c r="BC99" s="313">
        <f>SUMIF(Recibos!$D$4:$D$7493,Cobranza!$B99,Recibos!O$4:O$7493)</f>
        <v>0</v>
      </c>
      <c r="BD99" s="313">
        <f>SUMIF(Recibos!$D$4:$D$7493,Cobranza!$B99,Recibos!P$4:P$7493)</f>
        <v>0</v>
      </c>
      <c r="BE99" s="313">
        <f>SUMIF(Recibos!$D$4:$D$7493,Cobranza!$B99,Recibos!Q$4:Q$7493)</f>
        <v>0</v>
      </c>
      <c r="BF99" s="313">
        <f>SUMIF(Recibos!$D$4:$D$7493,Cobranza!$B99,Recibos!R$4:R$7493)</f>
        <v>0</v>
      </c>
      <c r="BG99" s="313">
        <f>SUMIF(Recibos!$D$4:$D$7493,Cobranza!$B99,Recibos!S$4:S$7493)</f>
        <v>0</v>
      </c>
      <c r="BH99" s="313">
        <f>SUMIF(Recibos!$D$4:$D$7493,Cobranza!$B99,Recibos!T$4:T$7493)</f>
        <v>0</v>
      </c>
      <c r="BI99" s="313">
        <f>SUMIF(Recibos!$D$4:$D$7493,Cobranza!$B99,Recibos!U$4:U$7493)</f>
        <v>0</v>
      </c>
      <c r="BJ99" s="313">
        <f>SUMIF(Recibos!$D$4:$D$7493,Cobranza!$B99,Recibos!V$4:V$7493)</f>
        <v>0</v>
      </c>
      <c r="BK99" s="314">
        <f t="shared" si="15"/>
        <v>0</v>
      </c>
      <c r="BL99" s="313">
        <f>SUMIF(Recibos!$D$4:$D$7493,Cobranza!$B99,Recibos!X$4:X$7493)</f>
        <v>0</v>
      </c>
      <c r="BM99" s="313">
        <f>SUMIF(Recibos!$D$4:$D$7493,Cobranza!$B99,Recibos!Y$4:Y$7493)</f>
        <v>0</v>
      </c>
      <c r="BN99" s="313">
        <f>SUMIF(Recibos!$D$4:$D$7493,Cobranza!$B99,Recibos!Z$4:Z$7493)</f>
        <v>0</v>
      </c>
      <c r="BO99" s="313">
        <f>SUMIF(Recibos!$D$4:$D$7493,Cobranza!$B99,Recibos!AA$4:AA$7493)</f>
        <v>0</v>
      </c>
      <c r="BP99" s="313">
        <f>SUMIF(Recibos!$D$4:$D$7493,Cobranza!$B99,Recibos!AB$4:AB$7493)</f>
        <v>0</v>
      </c>
      <c r="BQ99" s="313">
        <f>SUMIF(Recibos!$D$4:$D$7493,Cobranza!$B99,Recibos!AC$4:AC$7493)</f>
        <v>0</v>
      </c>
      <c r="BR99" s="313">
        <f>SUMIF(Recibos!$D$4:$D$7493,Cobranza!$B99,Recibos!AD$4:AD$7493)</f>
        <v>0</v>
      </c>
      <c r="BS99" s="313">
        <f>SUMIF(Recibos!$D$4:$D$7493,Cobranza!$B99,Recibos!AE$4:AE$7493)</f>
        <v>0</v>
      </c>
      <c r="BT99" s="313">
        <f>SUMIF(Recibos!$D$4:$D$7493,Cobranza!$B99,Recibos!AF$4:AF$7493)</f>
        <v>0</v>
      </c>
      <c r="BU99" s="313">
        <f>SUMIF(Recibos!$D$4:$D$7493,Cobranza!$B99,Recibos!AG$4:AG$7493)</f>
        <v>0</v>
      </c>
      <c r="BV99" s="313">
        <f>SUMIF(Recibos!$D$4:$D$7493,Cobranza!$B99,Recibos!AH$4:AH$7493)</f>
        <v>0</v>
      </c>
      <c r="BW99" s="313">
        <f>SUMIF(Recibos!$D$4:$D$7493,Cobranza!$B99,Recibos!AI$4:AI$7493)</f>
        <v>0</v>
      </c>
      <c r="BX99" s="314">
        <f t="shared" si="16"/>
        <v>0</v>
      </c>
      <c r="BY99" s="313">
        <f>SUMIF(Recibos!$D$4:$D$7493,Cobranza!$B99,Recibos!AK$4:AK$7493)</f>
        <v>0</v>
      </c>
      <c r="BZ99" s="313">
        <f>SUMIF(Recibos!$D$4:$D$7493,Cobranza!$B99,Recibos!AL$4:AL$7493)</f>
        <v>0</v>
      </c>
      <c r="CA99" s="313">
        <f>SUMIF(Recibos!$D$4:$D$7493,Cobranza!$B99,Recibos!AM$4:AM$7493)</f>
        <v>0</v>
      </c>
      <c r="CB99" s="313">
        <f>SUMIF(Recibos!$D$4:$D$7493,Cobranza!$B99,Recibos!AN$4:AN$7493)</f>
        <v>0</v>
      </c>
      <c r="CC99" s="313">
        <f>SUMIF(Recibos!$D$4:$D$7493,Cobranza!$B99,Recibos!AO$4:AO$7493)</f>
        <v>0</v>
      </c>
      <c r="CD99" s="313">
        <f>SUMIF(Recibos!$D$4:$D$7493,Cobranza!$B99,Recibos!AP$4:AP$7493)</f>
        <v>0</v>
      </c>
      <c r="CE99" s="313">
        <f>SUMIF(Recibos!$D$4:$D$7493,Cobranza!$B99,Recibos!AQ$4:AQ$7493)</f>
        <v>0</v>
      </c>
      <c r="CF99" s="313">
        <f>SUMIF(Recibos!$D$4:$D$7493,Cobranza!$B99,Recibos!AR$4:AR$7493)</f>
        <v>0</v>
      </c>
      <c r="CG99" s="313">
        <f>SUMIF(Recibos!$D$4:$D$7493,Cobranza!$B99,Recibos!AS$4:AS$7493)</f>
        <v>0</v>
      </c>
      <c r="CH99" s="313">
        <f>SUMIF(Recibos!$D$4:$D$7493,Cobranza!$B99,Recibos!AT$4:AT$7493)</f>
        <v>0</v>
      </c>
      <c r="CI99" s="313">
        <f>SUMIF(Recibos!$D$4:$D$7493,Cobranza!$B99,Recibos!AU$4:AU$7493)</f>
        <v>0</v>
      </c>
      <c r="CJ99" s="313">
        <f>SUMIF(Recibos!$D$4:$D$7493,Cobranza!$B99,Recibos!AV$4:AV$7493)</f>
        <v>0</v>
      </c>
      <c r="CK99" s="314">
        <f t="shared" si="10"/>
        <v>0</v>
      </c>
    </row>
    <row r="100" spans="2:89" x14ac:dyDescent="0.2">
      <c r="B100" s="42" t="s">
        <v>425</v>
      </c>
      <c r="C100" s="42" t="s">
        <v>426</v>
      </c>
      <c r="D100" s="42" t="s">
        <v>427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300</v>
      </c>
      <c r="K100" s="44">
        <f t="shared" si="11"/>
        <v>300</v>
      </c>
      <c r="L100" s="43">
        <v>300</v>
      </c>
      <c r="M100" s="43">
        <v>300</v>
      </c>
      <c r="N100" s="43">
        <v>300</v>
      </c>
      <c r="O100" s="43">
        <v>300</v>
      </c>
      <c r="P100" s="43">
        <v>300</v>
      </c>
      <c r="Q100" s="43">
        <v>300</v>
      </c>
      <c r="R100" s="43">
        <v>300</v>
      </c>
      <c r="S100" s="43">
        <v>300</v>
      </c>
      <c r="T100" s="43">
        <v>300</v>
      </c>
      <c r="U100" s="43">
        <v>400</v>
      </c>
      <c r="V100" s="43">
        <v>400</v>
      </c>
      <c r="W100" s="43">
        <v>400</v>
      </c>
      <c r="X100" s="44">
        <f t="shared" si="12"/>
        <v>3900</v>
      </c>
      <c r="Y100" s="43">
        <v>400</v>
      </c>
      <c r="Z100" s="43">
        <v>400</v>
      </c>
      <c r="AA100" s="43">
        <v>400</v>
      </c>
      <c r="AB100" s="43">
        <v>400</v>
      </c>
      <c r="AC100" s="43">
        <v>400</v>
      </c>
      <c r="AD100" s="43">
        <v>400</v>
      </c>
      <c r="AE100" s="43">
        <v>400</v>
      </c>
      <c r="AF100" s="43">
        <v>400</v>
      </c>
      <c r="AG100" s="43">
        <v>400</v>
      </c>
      <c r="AH100" s="43">
        <v>400</v>
      </c>
      <c r="AI100" s="43">
        <v>400</v>
      </c>
      <c r="AJ100" s="43">
        <v>400</v>
      </c>
      <c r="AK100" s="44">
        <f t="shared" si="13"/>
        <v>4800</v>
      </c>
      <c r="AL100" s="43">
        <v>400</v>
      </c>
      <c r="AM100" s="43">
        <v>400</v>
      </c>
      <c r="AN100" s="43">
        <v>400</v>
      </c>
      <c r="AO100" s="43">
        <v>400</v>
      </c>
      <c r="AP100" s="43">
        <v>400</v>
      </c>
      <c r="AQ100" s="43">
        <v>400</v>
      </c>
      <c r="AR100" s="43">
        <v>400</v>
      </c>
      <c r="AS100" s="43">
        <v>400</v>
      </c>
      <c r="AT100" s="43">
        <v>400</v>
      </c>
      <c r="AU100" s="43">
        <v>400</v>
      </c>
      <c r="AV100" s="43">
        <v>400</v>
      </c>
      <c r="AW100" s="43">
        <v>400</v>
      </c>
      <c r="AX100" s="44">
        <f t="shared" si="14"/>
        <v>4800</v>
      </c>
      <c r="AY100" s="311">
        <f>SUMIF(Recibos!$D$4:$D$7493,Cobranza!$B100,Recibos!K$4:K$7493)</f>
        <v>400</v>
      </c>
      <c r="AZ100" s="311">
        <f>SUMIF(Recibos!$D$4:$D$7493,Cobranza!$B100,Recibos!L$4:L$7493)</f>
        <v>400</v>
      </c>
      <c r="BA100" s="311">
        <f>SUMIF(Recibos!$D$4:$D$7493,Cobranza!$B100,Recibos!M$4:M$7493)</f>
        <v>400</v>
      </c>
      <c r="BB100" s="311">
        <f>SUMIF(Recibos!$D$4:$D$7493,Cobranza!$B100,Recibos!N$4:N$7493)</f>
        <v>400</v>
      </c>
      <c r="BC100" s="311">
        <f>SUMIF(Recibos!$D$4:$D$7493,Cobranza!$B100,Recibos!O$4:O$7493)</f>
        <v>400</v>
      </c>
      <c r="BD100" s="311">
        <f>SUMIF(Recibos!$D$4:$D$7493,Cobranza!$B100,Recibos!P$4:P$7493)</f>
        <v>400</v>
      </c>
      <c r="BE100" s="311">
        <f>SUMIF(Recibos!$D$4:$D$7493,Cobranza!$B100,Recibos!Q$4:Q$7493)</f>
        <v>400</v>
      </c>
      <c r="BF100" s="311">
        <f>SUMIF(Recibos!$D$4:$D$7493,Cobranza!$B100,Recibos!R$4:R$7493)</f>
        <v>400</v>
      </c>
      <c r="BG100" s="311">
        <f>SUMIF(Recibos!$D$4:$D$7493,Cobranza!$B100,Recibos!S$4:S$7493)</f>
        <v>400</v>
      </c>
      <c r="BH100" s="311">
        <f>SUMIF(Recibos!$D$4:$D$7493,Cobranza!$B100,Recibos!T$4:T$7493)</f>
        <v>400</v>
      </c>
      <c r="BI100" s="311">
        <f>SUMIF(Recibos!$D$4:$D$7493,Cobranza!$B100,Recibos!U$4:U$7493)</f>
        <v>400</v>
      </c>
      <c r="BJ100" s="311">
        <f>SUMIF(Recibos!$D$4:$D$7493,Cobranza!$B100,Recibos!V$4:V$7493)</f>
        <v>400</v>
      </c>
      <c r="BK100" s="312">
        <f t="shared" si="15"/>
        <v>4800</v>
      </c>
      <c r="BL100" s="311">
        <f>SUMIF(Recibos!$D$4:$D$7493,Cobranza!$B100,Recibos!X$4:X$7493)</f>
        <v>400</v>
      </c>
      <c r="BM100" s="311">
        <f>SUMIF(Recibos!$D$4:$D$7493,Cobranza!$B100,Recibos!Y$4:Y$7493)</f>
        <v>400</v>
      </c>
      <c r="BN100" s="311">
        <f>SUMIF(Recibos!$D$4:$D$7493,Cobranza!$B100,Recibos!Z$4:Z$7493)</f>
        <v>400</v>
      </c>
      <c r="BO100" s="311">
        <f>SUMIF(Recibos!$D$4:$D$7493,Cobranza!$B100,Recibos!AA$4:AA$7493)</f>
        <v>400</v>
      </c>
      <c r="BP100" s="311">
        <f>SUMIF(Recibos!$D$4:$D$7493,Cobranza!$B100,Recibos!AB$4:AB$7493)</f>
        <v>400</v>
      </c>
      <c r="BQ100" s="311">
        <f>SUMIF(Recibos!$D$4:$D$7493,Cobranza!$B100,Recibos!AC$4:AC$7493)</f>
        <v>400</v>
      </c>
      <c r="BR100" s="311">
        <f>SUMIF(Recibos!$D$4:$D$7493,Cobranza!$B100,Recibos!AD$4:AD$7493)</f>
        <v>400</v>
      </c>
      <c r="BS100" s="311">
        <f>SUMIF(Recibos!$D$4:$D$7493,Cobranza!$B100,Recibos!AE$4:AE$7493)</f>
        <v>400</v>
      </c>
      <c r="BT100" s="311">
        <f>SUMIF(Recibos!$D$4:$D$7493,Cobranza!$B100,Recibos!AF$4:AF$7493)</f>
        <v>400</v>
      </c>
      <c r="BU100" s="311">
        <f>SUMIF(Recibos!$D$4:$D$7493,Cobranza!$B100,Recibos!AG$4:AG$7493)</f>
        <v>400</v>
      </c>
      <c r="BV100" s="311">
        <f>SUMIF(Recibos!$D$4:$D$7493,Cobranza!$B100,Recibos!AH$4:AH$7493)</f>
        <v>400</v>
      </c>
      <c r="BW100" s="311">
        <f>SUMIF(Recibos!$D$4:$D$7493,Cobranza!$B100,Recibos!AI$4:AI$7493)</f>
        <v>400</v>
      </c>
      <c r="BX100" s="312">
        <f t="shared" si="16"/>
        <v>4800</v>
      </c>
      <c r="BY100" s="311">
        <f>SUMIF(Recibos!$D$4:$D$7493,Cobranza!$B100,Recibos!AK$4:AK$7493)</f>
        <v>400</v>
      </c>
      <c r="BZ100" s="311">
        <f>SUMIF(Recibos!$D$4:$D$7493,Cobranza!$B100,Recibos!AL$4:AL$7493)</f>
        <v>400</v>
      </c>
      <c r="CA100" s="311">
        <f>SUMIF(Recibos!$D$4:$D$7493,Cobranza!$B100,Recibos!AM$4:AM$7493)</f>
        <v>400</v>
      </c>
      <c r="CB100" s="311">
        <f>SUMIF(Recibos!$D$4:$D$7493,Cobranza!$B100,Recibos!AN$4:AN$7493)</f>
        <v>400</v>
      </c>
      <c r="CC100" s="311">
        <f>SUMIF(Recibos!$D$4:$D$7493,Cobranza!$B100,Recibos!AO$4:AO$7493)</f>
        <v>400</v>
      </c>
      <c r="CD100" s="311">
        <f>SUMIF(Recibos!$D$4:$D$7493,Cobranza!$B100,Recibos!AP$4:AP$7493)</f>
        <v>400</v>
      </c>
      <c r="CE100" s="311">
        <f>SUMIF(Recibos!$D$4:$D$7493,Cobranza!$B100,Recibos!AQ$4:AQ$7493)</f>
        <v>400</v>
      </c>
      <c r="CF100" s="311">
        <f>SUMIF(Recibos!$D$4:$D$7493,Cobranza!$B100,Recibos!AR$4:AR$7493)</f>
        <v>400</v>
      </c>
      <c r="CG100" s="311">
        <f>SUMIF(Recibos!$D$4:$D$7493,Cobranza!$B100,Recibos!AS$4:AS$7493)</f>
        <v>400</v>
      </c>
      <c r="CH100" s="311">
        <f>SUMIF(Recibos!$D$4:$D$7493,Cobranza!$B100,Recibos!AT$4:AT$7493)</f>
        <v>400</v>
      </c>
      <c r="CI100" s="311">
        <f>SUMIF(Recibos!$D$4:$D$7493,Cobranza!$B100,Recibos!AU$4:AU$7493)</f>
        <v>0</v>
      </c>
      <c r="CJ100" s="311">
        <f>SUMIF(Recibos!$D$4:$D$7493,Cobranza!$B100,Recibos!AV$4:AV$7493)</f>
        <v>0</v>
      </c>
      <c r="CK100" s="312">
        <f t="shared" si="10"/>
        <v>4000</v>
      </c>
    </row>
    <row r="101" spans="2:89" x14ac:dyDescent="0.2">
      <c r="B101" s="45" t="s">
        <v>968</v>
      </c>
      <c r="C101" s="45" t="s">
        <v>969</v>
      </c>
      <c r="D101" s="45" t="s">
        <v>970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7">
        <f t="shared" si="11"/>
        <v>0</v>
      </c>
      <c r="L101" s="46">
        <v>300</v>
      </c>
      <c r="M101" s="46">
        <v>300</v>
      </c>
      <c r="N101" s="46">
        <v>300</v>
      </c>
      <c r="O101" s="46">
        <v>300</v>
      </c>
      <c r="P101" s="46">
        <v>300</v>
      </c>
      <c r="Q101" s="46">
        <v>300</v>
      </c>
      <c r="R101" s="46">
        <v>300</v>
      </c>
      <c r="S101" s="46">
        <v>300</v>
      </c>
      <c r="T101" s="46">
        <v>300</v>
      </c>
      <c r="U101" s="46">
        <v>300</v>
      </c>
      <c r="V101" s="46">
        <v>300</v>
      </c>
      <c r="W101" s="46">
        <v>300</v>
      </c>
      <c r="X101" s="47">
        <f t="shared" si="12"/>
        <v>3600</v>
      </c>
      <c r="Y101" s="46">
        <v>400</v>
      </c>
      <c r="Z101" s="46">
        <v>400</v>
      </c>
      <c r="AA101" s="46">
        <v>400</v>
      </c>
      <c r="AB101" s="46">
        <v>400</v>
      </c>
      <c r="AC101" s="46">
        <v>400</v>
      </c>
      <c r="AD101" s="46">
        <v>400</v>
      </c>
      <c r="AE101" s="46">
        <v>400</v>
      </c>
      <c r="AF101" s="46">
        <v>400</v>
      </c>
      <c r="AG101" s="46">
        <v>400</v>
      </c>
      <c r="AH101" s="46">
        <v>400</v>
      </c>
      <c r="AI101" s="46">
        <v>400</v>
      </c>
      <c r="AJ101" s="46">
        <v>400</v>
      </c>
      <c r="AK101" s="47">
        <f t="shared" si="13"/>
        <v>4800</v>
      </c>
      <c r="AL101" s="46">
        <v>400</v>
      </c>
      <c r="AM101" s="46">
        <v>400</v>
      </c>
      <c r="AN101" s="46">
        <v>400</v>
      </c>
      <c r="AO101" s="46">
        <v>400</v>
      </c>
      <c r="AP101" s="46">
        <v>400</v>
      </c>
      <c r="AQ101" s="46">
        <v>400</v>
      </c>
      <c r="AR101" s="46">
        <v>400</v>
      </c>
      <c r="AS101" s="46">
        <v>400</v>
      </c>
      <c r="AT101" s="46">
        <v>400</v>
      </c>
      <c r="AU101" s="46">
        <v>400</v>
      </c>
      <c r="AV101" s="46">
        <v>400</v>
      </c>
      <c r="AW101" s="46">
        <v>400</v>
      </c>
      <c r="AX101" s="47">
        <f t="shared" si="14"/>
        <v>4800</v>
      </c>
      <c r="AY101" s="313">
        <f>SUMIF(Recibos!$D$4:$D$7493,Cobranza!$B101,Recibos!K$4:K$7493)</f>
        <v>400</v>
      </c>
      <c r="AZ101" s="313">
        <f>SUMIF(Recibos!$D$4:$D$7493,Cobranza!$B101,Recibos!L$4:L$7493)</f>
        <v>400</v>
      </c>
      <c r="BA101" s="313">
        <f>SUMIF(Recibos!$D$4:$D$7493,Cobranza!$B101,Recibos!M$4:M$7493)</f>
        <v>400</v>
      </c>
      <c r="BB101" s="313">
        <f>SUMIF(Recibos!$D$4:$D$7493,Cobranza!$B101,Recibos!N$4:N$7493)</f>
        <v>400</v>
      </c>
      <c r="BC101" s="313">
        <f>SUMIF(Recibos!$D$4:$D$7493,Cobranza!$B101,Recibos!O$4:O$7493)</f>
        <v>400</v>
      </c>
      <c r="BD101" s="313">
        <f>SUMIF(Recibos!$D$4:$D$7493,Cobranza!$B101,Recibos!P$4:P$7493)</f>
        <v>400</v>
      </c>
      <c r="BE101" s="313">
        <f>SUMIF(Recibos!$D$4:$D$7493,Cobranza!$B101,Recibos!Q$4:Q$7493)</f>
        <v>400</v>
      </c>
      <c r="BF101" s="313">
        <f>SUMIF(Recibos!$D$4:$D$7493,Cobranza!$B101,Recibos!R$4:R$7493)</f>
        <v>400</v>
      </c>
      <c r="BG101" s="313">
        <f>SUMIF(Recibos!$D$4:$D$7493,Cobranza!$B101,Recibos!S$4:S$7493)</f>
        <v>400</v>
      </c>
      <c r="BH101" s="313">
        <f>SUMIF(Recibos!$D$4:$D$7493,Cobranza!$B101,Recibos!T$4:T$7493)</f>
        <v>400</v>
      </c>
      <c r="BI101" s="313">
        <f>SUMIF(Recibos!$D$4:$D$7493,Cobranza!$B101,Recibos!U$4:U$7493)</f>
        <v>400</v>
      </c>
      <c r="BJ101" s="313">
        <f>SUMIF(Recibos!$D$4:$D$7493,Cobranza!$B101,Recibos!V$4:V$7493)</f>
        <v>400</v>
      </c>
      <c r="BK101" s="314">
        <f t="shared" si="15"/>
        <v>4800</v>
      </c>
      <c r="BL101" s="313">
        <f>SUMIF(Recibos!$D$4:$D$7493,Cobranza!$B101,Recibos!X$4:X$7493)</f>
        <v>400</v>
      </c>
      <c r="BM101" s="313">
        <f>SUMIF(Recibos!$D$4:$D$7493,Cobranza!$B101,Recibos!Y$4:Y$7493)</f>
        <v>400</v>
      </c>
      <c r="BN101" s="313">
        <f>SUMIF(Recibos!$D$4:$D$7493,Cobranza!$B101,Recibos!Z$4:Z$7493)</f>
        <v>400</v>
      </c>
      <c r="BO101" s="313">
        <f>SUMIF(Recibos!$D$4:$D$7493,Cobranza!$B101,Recibos!AA$4:AA$7493)</f>
        <v>400</v>
      </c>
      <c r="BP101" s="313">
        <f>SUMIF(Recibos!$D$4:$D$7493,Cobranza!$B101,Recibos!AB$4:AB$7493)</f>
        <v>400</v>
      </c>
      <c r="BQ101" s="313">
        <f>SUMIF(Recibos!$D$4:$D$7493,Cobranza!$B101,Recibos!AC$4:AC$7493)</f>
        <v>400</v>
      </c>
      <c r="BR101" s="313">
        <f>SUMIF(Recibos!$D$4:$D$7493,Cobranza!$B101,Recibos!AD$4:AD$7493)</f>
        <v>400</v>
      </c>
      <c r="BS101" s="313">
        <f>SUMIF(Recibos!$D$4:$D$7493,Cobranza!$B101,Recibos!AE$4:AE$7493)</f>
        <v>400</v>
      </c>
      <c r="BT101" s="313">
        <f>SUMIF(Recibos!$D$4:$D$7493,Cobranza!$B101,Recibos!AF$4:AF$7493)</f>
        <v>400</v>
      </c>
      <c r="BU101" s="313">
        <f>SUMIF(Recibos!$D$4:$D$7493,Cobranza!$B101,Recibos!AG$4:AG$7493)</f>
        <v>400</v>
      </c>
      <c r="BV101" s="313">
        <f>SUMIF(Recibos!$D$4:$D$7493,Cobranza!$B101,Recibos!AH$4:AH$7493)</f>
        <v>400</v>
      </c>
      <c r="BW101" s="313">
        <f>SUMIF(Recibos!$D$4:$D$7493,Cobranza!$B101,Recibos!AI$4:AI$7493)</f>
        <v>400</v>
      </c>
      <c r="BX101" s="314">
        <f t="shared" si="16"/>
        <v>4800</v>
      </c>
      <c r="BY101" s="313">
        <f>SUMIF(Recibos!$D$4:$D$7493,Cobranza!$B101,Recibos!AK$4:AK$7493)</f>
        <v>400</v>
      </c>
      <c r="BZ101" s="313">
        <f>SUMIF(Recibos!$D$4:$D$7493,Cobranza!$B101,Recibos!AL$4:AL$7493)</f>
        <v>400</v>
      </c>
      <c r="CA101" s="313">
        <f>SUMIF(Recibos!$D$4:$D$7493,Cobranza!$B101,Recibos!AM$4:AM$7493)</f>
        <v>400</v>
      </c>
      <c r="CB101" s="313">
        <f>SUMIF(Recibos!$D$4:$D$7493,Cobranza!$B101,Recibos!AN$4:AN$7493)</f>
        <v>400</v>
      </c>
      <c r="CC101" s="313">
        <f>SUMIF(Recibos!$D$4:$D$7493,Cobranza!$B101,Recibos!AO$4:AO$7493)</f>
        <v>400</v>
      </c>
      <c r="CD101" s="313">
        <f>SUMIF(Recibos!$D$4:$D$7493,Cobranza!$B101,Recibos!AP$4:AP$7493)</f>
        <v>400</v>
      </c>
      <c r="CE101" s="313">
        <f>SUMIF(Recibos!$D$4:$D$7493,Cobranza!$B101,Recibos!AQ$4:AQ$7493)</f>
        <v>400</v>
      </c>
      <c r="CF101" s="313">
        <f>SUMIF(Recibos!$D$4:$D$7493,Cobranza!$B101,Recibos!AR$4:AR$7493)</f>
        <v>400</v>
      </c>
      <c r="CG101" s="313">
        <f>SUMIF(Recibos!$D$4:$D$7493,Cobranza!$B101,Recibos!AS$4:AS$7493)</f>
        <v>400</v>
      </c>
      <c r="CH101" s="313">
        <f>SUMIF(Recibos!$D$4:$D$7493,Cobranza!$B101,Recibos!AT$4:AT$7493)</f>
        <v>400</v>
      </c>
      <c r="CI101" s="313">
        <f>SUMIF(Recibos!$D$4:$D$7493,Cobranza!$B101,Recibos!AU$4:AU$7493)</f>
        <v>400</v>
      </c>
      <c r="CJ101" s="313">
        <f>SUMIF(Recibos!$D$4:$D$7493,Cobranza!$B101,Recibos!AV$4:AV$7493)</f>
        <v>0</v>
      </c>
      <c r="CK101" s="314">
        <f t="shared" si="10"/>
        <v>4400</v>
      </c>
    </row>
    <row r="102" spans="2:89" x14ac:dyDescent="0.2">
      <c r="B102" s="42" t="s">
        <v>823</v>
      </c>
      <c r="C102" s="42" t="s">
        <v>824</v>
      </c>
      <c r="D102" s="42" t="s">
        <v>765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4">
        <f t="shared" si="11"/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4">
        <f t="shared" si="12"/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4">
        <f t="shared" si="13"/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4">
        <f t="shared" si="14"/>
        <v>0</v>
      </c>
      <c r="AY102" s="311">
        <f>SUMIF(Recibos!$D$4:$D$7493,Cobranza!$B102,Recibos!K$4:K$7493)</f>
        <v>200</v>
      </c>
      <c r="AZ102" s="311">
        <f>SUMIF(Recibos!$D$4:$D$7493,Cobranza!$B102,Recibos!L$4:L$7493)</f>
        <v>200</v>
      </c>
      <c r="BA102" s="311">
        <f>SUMIF(Recibos!$D$4:$D$7493,Cobranza!$B102,Recibos!M$4:M$7493)</f>
        <v>200</v>
      </c>
      <c r="BB102" s="311">
        <f>SUMIF(Recibos!$D$4:$D$7493,Cobranza!$B102,Recibos!N$4:N$7493)</f>
        <v>200</v>
      </c>
      <c r="BC102" s="311">
        <f>SUMIF(Recibos!$D$4:$D$7493,Cobranza!$B102,Recibos!O$4:O$7493)</f>
        <v>200</v>
      </c>
      <c r="BD102" s="311">
        <f>SUMIF(Recibos!$D$4:$D$7493,Cobranza!$B102,Recibos!P$4:P$7493)</f>
        <v>200</v>
      </c>
      <c r="BE102" s="311">
        <f>SUMIF(Recibos!$D$4:$D$7493,Cobranza!$B102,Recibos!Q$4:Q$7493)</f>
        <v>200</v>
      </c>
      <c r="BF102" s="311">
        <f>SUMIF(Recibos!$D$4:$D$7493,Cobranza!$B102,Recibos!R$4:R$7493)</f>
        <v>200</v>
      </c>
      <c r="BG102" s="311">
        <f>SUMIF(Recibos!$D$4:$D$7493,Cobranza!$B102,Recibos!S$4:S$7493)</f>
        <v>200</v>
      </c>
      <c r="BH102" s="311">
        <f>SUMIF(Recibos!$D$4:$D$7493,Cobranza!$B102,Recibos!T$4:T$7493)</f>
        <v>200</v>
      </c>
      <c r="BI102" s="311">
        <f>SUMIF(Recibos!$D$4:$D$7493,Cobranza!$B102,Recibos!U$4:U$7493)</f>
        <v>200</v>
      </c>
      <c r="BJ102" s="311">
        <f>SUMIF(Recibos!$D$4:$D$7493,Cobranza!$B102,Recibos!V$4:V$7493)</f>
        <v>200</v>
      </c>
      <c r="BK102" s="312">
        <f t="shared" si="15"/>
        <v>2400</v>
      </c>
      <c r="BL102" s="311">
        <f>SUMIF(Recibos!$D$4:$D$7493,Cobranza!$B102,Recibos!X$4:X$7493)</f>
        <v>200</v>
      </c>
      <c r="BM102" s="311">
        <f>SUMIF(Recibos!$D$4:$D$7493,Cobranza!$B102,Recibos!Y$4:Y$7493)</f>
        <v>200</v>
      </c>
      <c r="BN102" s="311">
        <f>SUMIF(Recibos!$D$4:$D$7493,Cobranza!$B102,Recibos!Z$4:Z$7493)</f>
        <v>200</v>
      </c>
      <c r="BO102" s="311">
        <f>SUMIF(Recibos!$D$4:$D$7493,Cobranza!$B102,Recibos!AA$4:AA$7493)</f>
        <v>200</v>
      </c>
      <c r="BP102" s="311">
        <f>SUMIF(Recibos!$D$4:$D$7493,Cobranza!$B102,Recibos!AB$4:AB$7493)</f>
        <v>200</v>
      </c>
      <c r="BQ102" s="311">
        <f>SUMIF(Recibos!$D$4:$D$7493,Cobranza!$B102,Recibos!AC$4:AC$7493)</f>
        <v>200</v>
      </c>
      <c r="BR102" s="311">
        <f>SUMIF(Recibos!$D$4:$D$7493,Cobranza!$B102,Recibos!AD$4:AD$7493)</f>
        <v>200</v>
      </c>
      <c r="BS102" s="311">
        <f>SUMIF(Recibos!$D$4:$D$7493,Cobranza!$B102,Recibos!AE$4:AE$7493)</f>
        <v>200</v>
      </c>
      <c r="BT102" s="311">
        <f>SUMIF(Recibos!$D$4:$D$7493,Cobranza!$B102,Recibos!AF$4:AF$7493)</f>
        <v>200</v>
      </c>
      <c r="BU102" s="311">
        <f>SUMIF(Recibos!$D$4:$D$7493,Cobranza!$B102,Recibos!AG$4:AG$7493)</f>
        <v>200</v>
      </c>
      <c r="BV102" s="311">
        <f>SUMIF(Recibos!$D$4:$D$7493,Cobranza!$B102,Recibos!AH$4:AH$7493)</f>
        <v>200</v>
      </c>
      <c r="BW102" s="311">
        <f>SUMIF(Recibos!$D$4:$D$7493,Cobranza!$B102,Recibos!AI$4:AI$7493)</f>
        <v>200</v>
      </c>
      <c r="BX102" s="312">
        <f t="shared" si="16"/>
        <v>2400</v>
      </c>
      <c r="BY102" s="311">
        <f>SUMIF(Recibos!$D$4:$D$7493,Cobranza!$B102,Recibos!AK$4:AK$7493)</f>
        <v>200</v>
      </c>
      <c r="BZ102" s="311">
        <f>SUMIF(Recibos!$D$4:$D$7493,Cobranza!$B102,Recibos!AL$4:AL$7493)</f>
        <v>200</v>
      </c>
      <c r="CA102" s="311">
        <f>SUMIF(Recibos!$D$4:$D$7493,Cobranza!$B102,Recibos!AM$4:AM$7493)</f>
        <v>200</v>
      </c>
      <c r="CB102" s="311">
        <f>SUMIF(Recibos!$D$4:$D$7493,Cobranza!$B102,Recibos!AN$4:AN$7493)</f>
        <v>200</v>
      </c>
      <c r="CC102" s="311">
        <f>SUMIF(Recibos!$D$4:$D$7493,Cobranza!$B102,Recibos!AO$4:AO$7493)</f>
        <v>200</v>
      </c>
      <c r="CD102" s="311">
        <f>SUMIF(Recibos!$D$4:$D$7493,Cobranza!$B102,Recibos!AP$4:AP$7493)</f>
        <v>200</v>
      </c>
      <c r="CE102" s="311">
        <f>SUMIF(Recibos!$D$4:$D$7493,Cobranza!$B102,Recibos!AQ$4:AQ$7493)</f>
        <v>200</v>
      </c>
      <c r="CF102" s="311">
        <f>SUMIF(Recibos!$D$4:$D$7493,Cobranza!$B102,Recibos!AR$4:AR$7493)</f>
        <v>200</v>
      </c>
      <c r="CG102" s="311">
        <f>SUMIF(Recibos!$D$4:$D$7493,Cobranza!$B102,Recibos!AS$4:AS$7493)</f>
        <v>200</v>
      </c>
      <c r="CH102" s="311">
        <f>SUMIF(Recibos!$D$4:$D$7493,Cobranza!$B102,Recibos!AT$4:AT$7493)</f>
        <v>0</v>
      </c>
      <c r="CI102" s="311">
        <f>SUMIF(Recibos!$D$4:$D$7493,Cobranza!$B102,Recibos!AU$4:AU$7493)</f>
        <v>0</v>
      </c>
      <c r="CJ102" s="311">
        <f>SUMIF(Recibos!$D$4:$D$7493,Cobranza!$B102,Recibos!AV$4:AV$7493)</f>
        <v>0</v>
      </c>
      <c r="CK102" s="312">
        <f t="shared" si="10"/>
        <v>1800</v>
      </c>
    </row>
    <row r="103" spans="2:89" x14ac:dyDescent="0.2">
      <c r="B103" s="45" t="s">
        <v>500</v>
      </c>
      <c r="C103" s="45" t="s">
        <v>501</v>
      </c>
      <c r="D103" s="45" t="s">
        <v>502</v>
      </c>
      <c r="E103" s="46">
        <v>0</v>
      </c>
      <c r="F103" s="46">
        <v>0</v>
      </c>
      <c r="G103" s="46">
        <v>0</v>
      </c>
      <c r="H103" s="46">
        <v>0</v>
      </c>
      <c r="I103" s="46">
        <v>0</v>
      </c>
      <c r="J103" s="46">
        <v>0</v>
      </c>
      <c r="K103" s="47">
        <f t="shared" si="11"/>
        <v>0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0</v>
      </c>
      <c r="U103" s="46">
        <v>0</v>
      </c>
      <c r="V103" s="46">
        <v>0</v>
      </c>
      <c r="W103" s="46">
        <v>0</v>
      </c>
      <c r="X103" s="47">
        <f t="shared" si="12"/>
        <v>0</v>
      </c>
      <c r="Y103" s="46">
        <v>0</v>
      </c>
      <c r="Z103" s="46">
        <v>0</v>
      </c>
      <c r="AA103" s="46">
        <v>0</v>
      </c>
      <c r="AB103" s="46">
        <v>0</v>
      </c>
      <c r="AC103" s="46">
        <v>0</v>
      </c>
      <c r="AD103" s="46">
        <v>0</v>
      </c>
      <c r="AE103" s="46">
        <v>0</v>
      </c>
      <c r="AF103" s="46">
        <v>0</v>
      </c>
      <c r="AG103" s="46">
        <v>0</v>
      </c>
      <c r="AH103" s="46">
        <v>0</v>
      </c>
      <c r="AI103" s="46">
        <v>0</v>
      </c>
      <c r="AJ103" s="46">
        <v>0</v>
      </c>
      <c r="AK103" s="47">
        <f t="shared" si="13"/>
        <v>0</v>
      </c>
      <c r="AL103" s="46">
        <v>0</v>
      </c>
      <c r="AM103" s="46">
        <v>0</v>
      </c>
      <c r="AN103" s="46">
        <v>0</v>
      </c>
      <c r="AO103" s="46">
        <v>0</v>
      </c>
      <c r="AP103" s="46">
        <v>0</v>
      </c>
      <c r="AQ103" s="46">
        <v>0</v>
      </c>
      <c r="AR103" s="46">
        <v>0</v>
      </c>
      <c r="AS103" s="46">
        <v>0</v>
      </c>
      <c r="AT103" s="46">
        <v>0</v>
      </c>
      <c r="AU103" s="46">
        <v>200</v>
      </c>
      <c r="AV103" s="46">
        <v>200</v>
      </c>
      <c r="AW103" s="46">
        <v>200</v>
      </c>
      <c r="AX103" s="47">
        <f t="shared" si="14"/>
        <v>600</v>
      </c>
      <c r="AY103" s="313">
        <f>SUMIF(Recibos!$D$4:$D$7493,Cobranza!$B103,Recibos!K$4:K$7493)</f>
        <v>200</v>
      </c>
      <c r="AZ103" s="313">
        <f>SUMIF(Recibos!$D$4:$D$7493,Cobranza!$B103,Recibos!L$4:L$7493)</f>
        <v>0</v>
      </c>
      <c r="BA103" s="313">
        <f>SUMIF(Recibos!$D$4:$D$7493,Cobranza!$B103,Recibos!M$4:M$7493)</f>
        <v>0</v>
      </c>
      <c r="BB103" s="313">
        <f>SUMIF(Recibos!$D$4:$D$7493,Cobranza!$B103,Recibos!N$4:N$7493)</f>
        <v>0</v>
      </c>
      <c r="BC103" s="313">
        <f>SUMIF(Recibos!$D$4:$D$7493,Cobranza!$B103,Recibos!O$4:O$7493)</f>
        <v>0</v>
      </c>
      <c r="BD103" s="313">
        <f>SUMIF(Recibos!$D$4:$D$7493,Cobranza!$B103,Recibos!P$4:P$7493)</f>
        <v>0</v>
      </c>
      <c r="BE103" s="313">
        <f>SUMIF(Recibos!$D$4:$D$7493,Cobranza!$B103,Recibos!Q$4:Q$7493)</f>
        <v>0</v>
      </c>
      <c r="BF103" s="313">
        <f>SUMIF(Recibos!$D$4:$D$7493,Cobranza!$B103,Recibos!R$4:R$7493)</f>
        <v>0</v>
      </c>
      <c r="BG103" s="313">
        <f>SUMIF(Recibos!$D$4:$D$7493,Cobranza!$B103,Recibos!S$4:S$7493)</f>
        <v>0</v>
      </c>
      <c r="BH103" s="313">
        <f>SUMIF(Recibos!$D$4:$D$7493,Cobranza!$B103,Recibos!T$4:T$7493)</f>
        <v>200</v>
      </c>
      <c r="BI103" s="313">
        <f>SUMIF(Recibos!$D$4:$D$7493,Cobranza!$B103,Recibos!U$4:U$7493)</f>
        <v>0</v>
      </c>
      <c r="BJ103" s="313">
        <f>SUMIF(Recibos!$D$4:$D$7493,Cobranza!$B103,Recibos!V$4:V$7493)</f>
        <v>0</v>
      </c>
      <c r="BK103" s="314">
        <f t="shared" si="15"/>
        <v>400</v>
      </c>
      <c r="BL103" s="313">
        <f>SUMIF(Recibos!$D$4:$D$7493,Cobranza!$B103,Recibos!X$4:X$7493)</f>
        <v>0</v>
      </c>
      <c r="BM103" s="313">
        <f>SUMIF(Recibos!$D$4:$D$7493,Cobranza!$B103,Recibos!Y$4:Y$7493)</f>
        <v>0</v>
      </c>
      <c r="BN103" s="313">
        <f>SUMIF(Recibos!$D$4:$D$7493,Cobranza!$B103,Recibos!Z$4:Z$7493)</f>
        <v>0</v>
      </c>
      <c r="BO103" s="313">
        <f>SUMIF(Recibos!$D$4:$D$7493,Cobranza!$B103,Recibos!AA$4:AA$7493)</f>
        <v>0</v>
      </c>
      <c r="BP103" s="313">
        <f>SUMIF(Recibos!$D$4:$D$7493,Cobranza!$B103,Recibos!AB$4:AB$7493)</f>
        <v>0</v>
      </c>
      <c r="BQ103" s="313">
        <f>SUMIF(Recibos!$D$4:$D$7493,Cobranza!$B103,Recibos!AC$4:AC$7493)</f>
        <v>0</v>
      </c>
      <c r="BR103" s="313">
        <f>SUMIF(Recibos!$D$4:$D$7493,Cobranza!$B103,Recibos!AD$4:AD$7493)</f>
        <v>0</v>
      </c>
      <c r="BS103" s="313">
        <f>SUMIF(Recibos!$D$4:$D$7493,Cobranza!$B103,Recibos!AE$4:AE$7493)</f>
        <v>0</v>
      </c>
      <c r="BT103" s="313">
        <f>SUMIF(Recibos!$D$4:$D$7493,Cobranza!$B103,Recibos!AF$4:AF$7493)</f>
        <v>0</v>
      </c>
      <c r="BU103" s="313">
        <f>SUMIF(Recibos!$D$4:$D$7493,Cobranza!$B103,Recibos!AG$4:AG$7493)</f>
        <v>0</v>
      </c>
      <c r="BV103" s="313">
        <f>SUMIF(Recibos!$D$4:$D$7493,Cobranza!$B103,Recibos!AH$4:AH$7493)</f>
        <v>0</v>
      </c>
      <c r="BW103" s="313">
        <f>SUMIF(Recibos!$D$4:$D$7493,Cobranza!$B103,Recibos!AI$4:AI$7493)</f>
        <v>0</v>
      </c>
      <c r="BX103" s="314">
        <f t="shared" si="16"/>
        <v>0</v>
      </c>
      <c r="BY103" s="313">
        <f>SUMIF(Recibos!$D$4:$D$7493,Cobranza!$B103,Recibos!AK$4:AK$7493)</f>
        <v>0</v>
      </c>
      <c r="BZ103" s="313">
        <f>SUMIF(Recibos!$D$4:$D$7493,Cobranza!$B103,Recibos!AL$4:AL$7493)</f>
        <v>0</v>
      </c>
      <c r="CA103" s="313">
        <f>SUMIF(Recibos!$D$4:$D$7493,Cobranza!$B103,Recibos!AM$4:AM$7493)</f>
        <v>400</v>
      </c>
      <c r="CB103" s="313">
        <f>SUMIF(Recibos!$D$4:$D$7493,Cobranza!$B103,Recibos!AN$4:AN$7493)</f>
        <v>0</v>
      </c>
      <c r="CC103" s="313">
        <f>SUMIF(Recibos!$D$4:$D$7493,Cobranza!$B103,Recibos!AO$4:AO$7493)</f>
        <v>0</v>
      </c>
      <c r="CD103" s="313">
        <f>SUMIF(Recibos!$D$4:$D$7493,Cobranza!$B103,Recibos!AP$4:AP$7493)</f>
        <v>0</v>
      </c>
      <c r="CE103" s="313">
        <f>SUMIF(Recibos!$D$4:$D$7493,Cobranza!$B103,Recibos!AQ$4:AQ$7493)</f>
        <v>0</v>
      </c>
      <c r="CF103" s="313">
        <f>SUMIF(Recibos!$D$4:$D$7493,Cobranza!$B103,Recibos!AR$4:AR$7493)</f>
        <v>0</v>
      </c>
      <c r="CG103" s="313">
        <f>SUMIF(Recibos!$D$4:$D$7493,Cobranza!$B103,Recibos!AS$4:AS$7493)</f>
        <v>0</v>
      </c>
      <c r="CH103" s="313">
        <f>SUMIF(Recibos!$D$4:$D$7493,Cobranza!$B103,Recibos!AT$4:AT$7493)</f>
        <v>0</v>
      </c>
      <c r="CI103" s="313">
        <f>SUMIF(Recibos!$D$4:$D$7493,Cobranza!$B103,Recibos!AU$4:AU$7493)</f>
        <v>0</v>
      </c>
      <c r="CJ103" s="313">
        <f>SUMIF(Recibos!$D$4:$D$7493,Cobranza!$B103,Recibos!AV$4:AV$7493)</f>
        <v>0</v>
      </c>
      <c r="CK103" s="314">
        <f t="shared" si="10"/>
        <v>400</v>
      </c>
    </row>
    <row r="104" spans="2:89" x14ac:dyDescent="0.2">
      <c r="B104" s="42" t="s">
        <v>849</v>
      </c>
      <c r="C104" s="42" t="s">
        <v>850</v>
      </c>
      <c r="D104" s="42" t="s">
        <v>851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4">
        <f t="shared" si="11"/>
        <v>0</v>
      </c>
      <c r="L104" s="43">
        <v>300</v>
      </c>
      <c r="M104" s="43">
        <v>300</v>
      </c>
      <c r="N104" s="43">
        <v>300</v>
      </c>
      <c r="O104" s="43">
        <v>300</v>
      </c>
      <c r="P104" s="43">
        <v>300</v>
      </c>
      <c r="Q104" s="43">
        <v>300</v>
      </c>
      <c r="R104" s="43">
        <v>300</v>
      </c>
      <c r="S104" s="43">
        <v>300</v>
      </c>
      <c r="T104" s="43">
        <v>300</v>
      </c>
      <c r="U104" s="43">
        <v>300</v>
      </c>
      <c r="V104" s="43">
        <v>300</v>
      </c>
      <c r="W104" s="43">
        <v>300</v>
      </c>
      <c r="X104" s="44">
        <f t="shared" si="12"/>
        <v>3600</v>
      </c>
      <c r="Y104" s="43">
        <v>400</v>
      </c>
      <c r="Z104" s="43">
        <v>400</v>
      </c>
      <c r="AA104" s="43">
        <v>400</v>
      </c>
      <c r="AB104" s="43">
        <v>400</v>
      </c>
      <c r="AC104" s="43">
        <v>400</v>
      </c>
      <c r="AD104" s="43">
        <v>400</v>
      </c>
      <c r="AE104" s="43">
        <v>400</v>
      </c>
      <c r="AF104" s="43">
        <v>400</v>
      </c>
      <c r="AG104" s="43">
        <v>400</v>
      </c>
      <c r="AH104" s="43">
        <v>400</v>
      </c>
      <c r="AI104" s="43">
        <v>400</v>
      </c>
      <c r="AJ104" s="43">
        <v>0</v>
      </c>
      <c r="AK104" s="44">
        <f t="shared" si="13"/>
        <v>4400</v>
      </c>
      <c r="AL104" s="43">
        <v>400</v>
      </c>
      <c r="AM104" s="43">
        <v>400</v>
      </c>
      <c r="AN104" s="43">
        <v>400</v>
      </c>
      <c r="AO104" s="43">
        <v>400</v>
      </c>
      <c r="AP104" s="43">
        <v>400</v>
      </c>
      <c r="AQ104" s="43">
        <v>400</v>
      </c>
      <c r="AR104" s="43">
        <v>400</v>
      </c>
      <c r="AS104" s="43">
        <v>400</v>
      </c>
      <c r="AT104" s="43">
        <v>0</v>
      </c>
      <c r="AU104" s="43">
        <v>0</v>
      </c>
      <c r="AV104" s="43">
        <v>0</v>
      </c>
      <c r="AW104" s="43">
        <v>0</v>
      </c>
      <c r="AX104" s="44">
        <f t="shared" si="14"/>
        <v>3200</v>
      </c>
      <c r="AY104" s="311">
        <f>SUMIF(Recibos!$D$4:$D$7493,Cobranza!$B104,Recibos!K$4:K$7493)</f>
        <v>400</v>
      </c>
      <c r="AZ104" s="311">
        <f>SUMIF(Recibos!$D$4:$D$7493,Cobranza!$B104,Recibos!L$4:L$7493)</f>
        <v>400</v>
      </c>
      <c r="BA104" s="311">
        <f>SUMIF(Recibos!$D$4:$D$7493,Cobranza!$B104,Recibos!M$4:M$7493)</f>
        <v>400</v>
      </c>
      <c r="BB104" s="311">
        <f>SUMIF(Recibos!$D$4:$D$7493,Cobranza!$B104,Recibos!N$4:N$7493)</f>
        <v>400</v>
      </c>
      <c r="BC104" s="311">
        <f>SUMIF(Recibos!$D$4:$D$7493,Cobranza!$B104,Recibos!O$4:O$7493)</f>
        <v>400</v>
      </c>
      <c r="BD104" s="311">
        <f>SUMIF(Recibos!$D$4:$D$7493,Cobranza!$B104,Recibos!P$4:P$7493)</f>
        <v>400</v>
      </c>
      <c r="BE104" s="311">
        <f>SUMIF(Recibos!$D$4:$D$7493,Cobranza!$B104,Recibos!Q$4:Q$7493)</f>
        <v>400</v>
      </c>
      <c r="BF104" s="311">
        <f>SUMIF(Recibos!$D$4:$D$7493,Cobranza!$B104,Recibos!R$4:R$7493)</f>
        <v>400</v>
      </c>
      <c r="BG104" s="311">
        <f>SUMIF(Recibos!$D$4:$D$7493,Cobranza!$B104,Recibos!S$4:S$7493)</f>
        <v>400</v>
      </c>
      <c r="BH104" s="311">
        <f>SUMIF(Recibos!$D$4:$D$7493,Cobranza!$B104,Recibos!T$4:T$7493)</f>
        <v>0</v>
      </c>
      <c r="BI104" s="311">
        <f>SUMIF(Recibos!$D$4:$D$7493,Cobranza!$B104,Recibos!U$4:U$7493)</f>
        <v>0</v>
      </c>
      <c r="BJ104" s="311">
        <f>SUMIF(Recibos!$D$4:$D$7493,Cobranza!$B104,Recibos!V$4:V$7493)</f>
        <v>0</v>
      </c>
      <c r="BK104" s="312">
        <f t="shared" si="15"/>
        <v>3600</v>
      </c>
      <c r="BL104" s="311">
        <f>SUMIF(Recibos!$D$4:$D$7493,Cobranza!$B104,Recibos!X$4:X$7493)</f>
        <v>300</v>
      </c>
      <c r="BM104" s="311">
        <f>SUMIF(Recibos!$D$4:$D$7493,Cobranza!$B104,Recibos!Y$4:Y$7493)</f>
        <v>300</v>
      </c>
      <c r="BN104" s="311">
        <f>SUMIF(Recibos!$D$4:$D$7493,Cobranza!$B104,Recibos!Z$4:Z$7493)</f>
        <v>300</v>
      </c>
      <c r="BO104" s="311">
        <f>SUMIF(Recibos!$D$4:$D$7493,Cobranza!$B104,Recibos!AA$4:AA$7493)</f>
        <v>300</v>
      </c>
      <c r="BP104" s="311">
        <f>SUMIF(Recibos!$D$4:$D$7493,Cobranza!$B104,Recibos!AB$4:AB$7493)</f>
        <v>300</v>
      </c>
      <c r="BQ104" s="311">
        <f>SUMIF(Recibos!$D$4:$D$7493,Cobranza!$B104,Recibos!AC$4:AC$7493)</f>
        <v>300</v>
      </c>
      <c r="BR104" s="311">
        <f>SUMIF(Recibos!$D$4:$D$7493,Cobranza!$B104,Recibos!AD$4:AD$7493)</f>
        <v>300</v>
      </c>
      <c r="BS104" s="311">
        <f>SUMIF(Recibos!$D$4:$D$7493,Cobranza!$B104,Recibos!AE$4:AE$7493)</f>
        <v>300</v>
      </c>
      <c r="BT104" s="311">
        <f>SUMIF(Recibos!$D$4:$D$7493,Cobranza!$B104,Recibos!AF$4:AF$7493)</f>
        <v>300</v>
      </c>
      <c r="BU104" s="311">
        <f>SUMIF(Recibos!$D$4:$D$7493,Cobranza!$B104,Recibos!AG$4:AG$7493)</f>
        <v>300</v>
      </c>
      <c r="BV104" s="311">
        <f>SUMIF(Recibos!$D$4:$D$7493,Cobranza!$B104,Recibos!AH$4:AH$7493)</f>
        <v>300</v>
      </c>
      <c r="BW104" s="311">
        <f>SUMIF(Recibos!$D$4:$D$7493,Cobranza!$B104,Recibos!AI$4:AI$7493)</f>
        <v>300</v>
      </c>
      <c r="BX104" s="312">
        <f t="shared" si="16"/>
        <v>3600</v>
      </c>
      <c r="BY104" s="311">
        <f>SUMIF(Recibos!$D$4:$D$7493,Cobranza!$B104,Recibos!AK$4:AK$7493)</f>
        <v>300</v>
      </c>
      <c r="BZ104" s="311">
        <f>SUMIF(Recibos!$D$4:$D$7493,Cobranza!$B104,Recibos!AL$4:AL$7493)</f>
        <v>300</v>
      </c>
      <c r="CA104" s="311">
        <f>SUMIF(Recibos!$D$4:$D$7493,Cobranza!$B104,Recibos!AM$4:AM$7493)</f>
        <v>300</v>
      </c>
      <c r="CB104" s="311">
        <f>SUMIF(Recibos!$D$4:$D$7493,Cobranza!$B104,Recibos!AN$4:AN$7493)</f>
        <v>300</v>
      </c>
      <c r="CC104" s="311">
        <f>SUMIF(Recibos!$D$4:$D$7493,Cobranza!$B104,Recibos!AO$4:AO$7493)</f>
        <v>300</v>
      </c>
      <c r="CD104" s="311">
        <f>SUMIF(Recibos!$D$4:$D$7493,Cobranza!$B104,Recibos!AP$4:AP$7493)</f>
        <v>300</v>
      </c>
      <c r="CE104" s="311">
        <f>SUMIF(Recibos!$D$4:$D$7493,Cobranza!$B104,Recibos!AQ$4:AQ$7493)</f>
        <v>300</v>
      </c>
      <c r="CF104" s="311">
        <f>SUMIF(Recibos!$D$4:$D$7493,Cobranza!$B104,Recibos!AR$4:AR$7493)</f>
        <v>0</v>
      </c>
      <c r="CG104" s="311">
        <f>SUMIF(Recibos!$D$4:$D$7493,Cobranza!$B104,Recibos!AS$4:AS$7493)</f>
        <v>0</v>
      </c>
      <c r="CH104" s="311">
        <f>SUMIF(Recibos!$D$4:$D$7493,Cobranza!$B104,Recibos!AT$4:AT$7493)</f>
        <v>0</v>
      </c>
      <c r="CI104" s="311">
        <f>SUMIF(Recibos!$D$4:$D$7493,Cobranza!$B104,Recibos!AU$4:AU$7493)</f>
        <v>0</v>
      </c>
      <c r="CJ104" s="311">
        <f>SUMIF(Recibos!$D$4:$D$7493,Cobranza!$B104,Recibos!AV$4:AV$7493)</f>
        <v>0</v>
      </c>
      <c r="CK104" s="312">
        <f t="shared" si="10"/>
        <v>2100</v>
      </c>
    </row>
    <row r="105" spans="2:89" x14ac:dyDescent="0.2">
      <c r="B105" s="45" t="s">
        <v>132</v>
      </c>
      <c r="C105" s="45" t="s">
        <v>133</v>
      </c>
      <c r="D105" s="45" t="s">
        <v>134</v>
      </c>
      <c r="E105" s="46">
        <v>0</v>
      </c>
      <c r="F105" s="46">
        <v>0</v>
      </c>
      <c r="G105" s="46">
        <v>0</v>
      </c>
      <c r="H105" s="46">
        <v>0</v>
      </c>
      <c r="I105" s="46">
        <v>200</v>
      </c>
      <c r="J105" s="46">
        <v>200</v>
      </c>
      <c r="K105" s="47">
        <f t="shared" si="11"/>
        <v>400</v>
      </c>
      <c r="L105" s="46">
        <v>200</v>
      </c>
      <c r="M105" s="46">
        <v>200</v>
      </c>
      <c r="N105" s="46">
        <v>200</v>
      </c>
      <c r="O105" s="46">
        <v>200</v>
      </c>
      <c r="P105" s="46">
        <v>200</v>
      </c>
      <c r="Q105" s="46">
        <v>200</v>
      </c>
      <c r="R105" s="46">
        <v>200</v>
      </c>
      <c r="S105" s="46">
        <v>200</v>
      </c>
      <c r="T105" s="46">
        <v>200</v>
      </c>
      <c r="U105" s="46">
        <v>300</v>
      </c>
      <c r="V105" s="46">
        <v>300</v>
      </c>
      <c r="W105" s="46">
        <v>300</v>
      </c>
      <c r="X105" s="47">
        <f t="shared" si="12"/>
        <v>2700</v>
      </c>
      <c r="Y105" s="46">
        <v>300</v>
      </c>
      <c r="Z105" s="46">
        <v>300</v>
      </c>
      <c r="AA105" s="46">
        <v>300</v>
      </c>
      <c r="AB105" s="46">
        <v>300</v>
      </c>
      <c r="AC105" s="46">
        <v>300</v>
      </c>
      <c r="AD105" s="46">
        <v>300</v>
      </c>
      <c r="AE105" s="46">
        <v>300</v>
      </c>
      <c r="AF105" s="46">
        <v>300</v>
      </c>
      <c r="AG105" s="46">
        <v>300</v>
      </c>
      <c r="AH105" s="46">
        <v>300</v>
      </c>
      <c r="AI105" s="46">
        <v>300</v>
      </c>
      <c r="AJ105" s="46">
        <v>300</v>
      </c>
      <c r="AK105" s="47">
        <f t="shared" si="13"/>
        <v>3600</v>
      </c>
      <c r="AL105" s="46">
        <v>300</v>
      </c>
      <c r="AM105" s="46">
        <v>300</v>
      </c>
      <c r="AN105" s="46">
        <v>300</v>
      </c>
      <c r="AO105" s="46">
        <v>300</v>
      </c>
      <c r="AP105" s="46">
        <v>300</v>
      </c>
      <c r="AQ105" s="46">
        <v>300</v>
      </c>
      <c r="AR105" s="46">
        <v>300</v>
      </c>
      <c r="AS105" s="46">
        <v>300</v>
      </c>
      <c r="AT105" s="46">
        <v>300</v>
      </c>
      <c r="AU105" s="46">
        <v>300</v>
      </c>
      <c r="AV105" s="46">
        <v>300</v>
      </c>
      <c r="AW105" s="46">
        <v>300</v>
      </c>
      <c r="AX105" s="47">
        <f t="shared" si="14"/>
        <v>3600</v>
      </c>
      <c r="AY105" s="313">
        <f>SUMIF(Recibos!$D$4:$D$7493,Cobranza!$B105,Recibos!K$4:K$7493)</f>
        <v>300</v>
      </c>
      <c r="AZ105" s="313">
        <f>SUMIF(Recibos!$D$4:$D$7493,Cobranza!$B105,Recibos!L$4:L$7493)</f>
        <v>300</v>
      </c>
      <c r="BA105" s="313">
        <f>SUMIF(Recibos!$D$4:$D$7493,Cobranza!$B105,Recibos!M$4:M$7493)</f>
        <v>300</v>
      </c>
      <c r="BB105" s="313">
        <f>SUMIF(Recibos!$D$4:$D$7493,Cobranza!$B105,Recibos!N$4:N$7493)</f>
        <v>300</v>
      </c>
      <c r="BC105" s="313">
        <f>SUMIF(Recibos!$D$4:$D$7493,Cobranza!$B105,Recibos!O$4:O$7493)</f>
        <v>300</v>
      </c>
      <c r="BD105" s="313">
        <f>SUMIF(Recibos!$D$4:$D$7493,Cobranza!$B105,Recibos!P$4:P$7493)</f>
        <v>300</v>
      </c>
      <c r="BE105" s="313">
        <f>SUMIF(Recibos!$D$4:$D$7493,Cobranza!$B105,Recibos!Q$4:Q$7493)</f>
        <v>300</v>
      </c>
      <c r="BF105" s="313">
        <f>SUMIF(Recibos!$D$4:$D$7493,Cobranza!$B105,Recibos!R$4:R$7493)</f>
        <v>300</v>
      </c>
      <c r="BG105" s="313">
        <f>SUMIF(Recibos!$D$4:$D$7493,Cobranza!$B105,Recibos!S$4:S$7493)</f>
        <v>300</v>
      </c>
      <c r="BH105" s="313">
        <f>SUMIF(Recibos!$D$4:$D$7493,Cobranza!$B105,Recibos!T$4:T$7493)</f>
        <v>300</v>
      </c>
      <c r="BI105" s="313">
        <f>SUMIF(Recibos!$D$4:$D$7493,Cobranza!$B105,Recibos!U$4:U$7493)</f>
        <v>300</v>
      </c>
      <c r="BJ105" s="313">
        <f>SUMIF(Recibos!$D$4:$D$7493,Cobranza!$B105,Recibos!V$4:V$7493)</f>
        <v>300</v>
      </c>
      <c r="BK105" s="314">
        <f t="shared" si="15"/>
        <v>3600</v>
      </c>
      <c r="BL105" s="313">
        <f>SUMIF(Recibos!$D$4:$D$7493,Cobranza!$B105,Recibos!X$4:X$7493)</f>
        <v>300</v>
      </c>
      <c r="BM105" s="313">
        <f>SUMIF(Recibos!$D$4:$D$7493,Cobranza!$B105,Recibos!Y$4:Y$7493)</f>
        <v>300</v>
      </c>
      <c r="BN105" s="313">
        <f>SUMIF(Recibos!$D$4:$D$7493,Cobranza!$B105,Recibos!Z$4:Z$7493)</f>
        <v>300</v>
      </c>
      <c r="BO105" s="313">
        <f>SUMIF(Recibos!$D$4:$D$7493,Cobranza!$B105,Recibos!AA$4:AA$7493)</f>
        <v>300</v>
      </c>
      <c r="BP105" s="313">
        <f>SUMIF(Recibos!$D$4:$D$7493,Cobranza!$B105,Recibos!AB$4:AB$7493)</f>
        <v>300</v>
      </c>
      <c r="BQ105" s="313">
        <f>SUMIF(Recibos!$D$4:$D$7493,Cobranza!$B105,Recibos!AC$4:AC$7493)</f>
        <v>0</v>
      </c>
      <c r="BR105" s="313">
        <f>SUMIF(Recibos!$D$4:$D$7493,Cobranza!$B105,Recibos!AD$4:AD$7493)</f>
        <v>0</v>
      </c>
      <c r="BS105" s="313">
        <f>SUMIF(Recibos!$D$4:$D$7493,Cobranza!$B105,Recibos!AE$4:AE$7493)</f>
        <v>0</v>
      </c>
      <c r="BT105" s="313">
        <f>SUMIF(Recibos!$D$4:$D$7493,Cobranza!$B105,Recibos!AF$4:AF$7493)</f>
        <v>100</v>
      </c>
      <c r="BU105" s="313">
        <f>SUMIF(Recibos!$D$4:$D$7493,Cobranza!$B105,Recibos!AG$4:AG$7493)</f>
        <v>200</v>
      </c>
      <c r="BV105" s="313">
        <f>SUMIF(Recibos!$D$4:$D$7493,Cobranza!$B105,Recibos!AH$4:AH$7493)</f>
        <v>200</v>
      </c>
      <c r="BW105" s="313">
        <f>SUMIF(Recibos!$D$4:$D$7493,Cobranza!$B105,Recibos!AI$4:AI$7493)</f>
        <v>200</v>
      </c>
      <c r="BX105" s="314">
        <f t="shared" si="16"/>
        <v>2200</v>
      </c>
      <c r="BY105" s="313">
        <f>SUMIF(Recibos!$D$4:$D$7493,Cobranza!$B105,Recibos!AK$4:AK$7493)</f>
        <v>200</v>
      </c>
      <c r="BZ105" s="313">
        <f>SUMIF(Recibos!$D$4:$D$7493,Cobranza!$B105,Recibos!AL$4:AL$7493)</f>
        <v>200</v>
      </c>
      <c r="CA105" s="313">
        <f>SUMIF(Recibos!$D$4:$D$7493,Cobranza!$B105,Recibos!AM$4:AM$7493)</f>
        <v>200</v>
      </c>
      <c r="CB105" s="313">
        <f>SUMIF(Recibos!$D$4:$D$7493,Cobranza!$B105,Recibos!AN$4:AN$7493)</f>
        <v>200</v>
      </c>
      <c r="CC105" s="313">
        <f>SUMIF(Recibos!$D$4:$D$7493,Cobranza!$B105,Recibos!AO$4:AO$7493)</f>
        <v>200</v>
      </c>
      <c r="CD105" s="313">
        <f>SUMIF(Recibos!$D$4:$D$7493,Cobranza!$B105,Recibos!AP$4:AP$7493)</f>
        <v>200</v>
      </c>
      <c r="CE105" s="313">
        <f>SUMIF(Recibos!$D$4:$D$7493,Cobranza!$B105,Recibos!AQ$4:AQ$7493)</f>
        <v>200</v>
      </c>
      <c r="CF105" s="313">
        <f>SUMIF(Recibos!$D$4:$D$7493,Cobranza!$B105,Recibos!AR$4:AR$7493)</f>
        <v>0</v>
      </c>
      <c r="CG105" s="313">
        <f>SUMIF(Recibos!$D$4:$D$7493,Cobranza!$B105,Recibos!AS$4:AS$7493)</f>
        <v>0</v>
      </c>
      <c r="CH105" s="313">
        <f>SUMIF(Recibos!$D$4:$D$7493,Cobranza!$B105,Recibos!AT$4:AT$7493)</f>
        <v>0</v>
      </c>
      <c r="CI105" s="313">
        <f>SUMIF(Recibos!$D$4:$D$7493,Cobranza!$B105,Recibos!AU$4:AU$7493)</f>
        <v>0</v>
      </c>
      <c r="CJ105" s="313">
        <f>SUMIF(Recibos!$D$4:$D$7493,Cobranza!$B105,Recibos!AV$4:AV$7493)</f>
        <v>0</v>
      </c>
      <c r="CK105" s="314">
        <f t="shared" si="10"/>
        <v>1400</v>
      </c>
    </row>
    <row r="106" spans="2:89" x14ac:dyDescent="0.2">
      <c r="B106" s="42" t="s">
        <v>328</v>
      </c>
      <c r="C106" s="42" t="s">
        <v>329</v>
      </c>
      <c r="D106" s="42" t="s">
        <v>330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300</v>
      </c>
      <c r="K106" s="44">
        <f t="shared" si="11"/>
        <v>300</v>
      </c>
      <c r="L106" s="43">
        <v>300</v>
      </c>
      <c r="M106" s="43">
        <v>300</v>
      </c>
      <c r="N106" s="43">
        <v>300</v>
      </c>
      <c r="O106" s="43">
        <v>300</v>
      </c>
      <c r="P106" s="43">
        <v>300</v>
      </c>
      <c r="Q106" s="43">
        <v>300</v>
      </c>
      <c r="R106" s="43">
        <v>300</v>
      </c>
      <c r="S106" s="43">
        <v>300</v>
      </c>
      <c r="T106" s="43">
        <v>300</v>
      </c>
      <c r="U106" s="43">
        <v>400</v>
      </c>
      <c r="V106" s="43">
        <v>400</v>
      </c>
      <c r="W106" s="43">
        <v>400</v>
      </c>
      <c r="X106" s="44">
        <f t="shared" si="12"/>
        <v>3900</v>
      </c>
      <c r="Y106" s="43">
        <v>400</v>
      </c>
      <c r="Z106" s="43">
        <v>400</v>
      </c>
      <c r="AA106" s="43">
        <v>400</v>
      </c>
      <c r="AB106" s="43">
        <v>400</v>
      </c>
      <c r="AC106" s="43">
        <v>400</v>
      </c>
      <c r="AD106" s="43">
        <v>0</v>
      </c>
      <c r="AE106" s="43">
        <v>400</v>
      </c>
      <c r="AF106" s="43">
        <v>1200</v>
      </c>
      <c r="AG106" s="43">
        <v>400</v>
      </c>
      <c r="AH106" s="43">
        <v>400</v>
      </c>
      <c r="AI106" s="43">
        <v>400</v>
      </c>
      <c r="AJ106" s="43">
        <v>400</v>
      </c>
      <c r="AK106" s="44">
        <f t="shared" si="13"/>
        <v>5200</v>
      </c>
      <c r="AL106" s="43">
        <v>400</v>
      </c>
      <c r="AM106" s="43">
        <v>400</v>
      </c>
      <c r="AN106" s="43">
        <v>400</v>
      </c>
      <c r="AO106" s="43">
        <v>400</v>
      </c>
      <c r="AP106" s="43">
        <v>400</v>
      </c>
      <c r="AQ106" s="43">
        <v>400</v>
      </c>
      <c r="AR106" s="43">
        <v>400</v>
      </c>
      <c r="AS106" s="43">
        <v>400</v>
      </c>
      <c r="AT106" s="43">
        <v>400</v>
      </c>
      <c r="AU106" s="43">
        <v>400</v>
      </c>
      <c r="AV106" s="43">
        <v>400</v>
      </c>
      <c r="AW106" s="43">
        <v>400</v>
      </c>
      <c r="AX106" s="44">
        <f t="shared" si="14"/>
        <v>4800</v>
      </c>
      <c r="AY106" s="311">
        <f>SUMIF(Recibos!$D$4:$D$7493,Cobranza!$B106,Recibos!K$4:K$7493)</f>
        <v>400</v>
      </c>
      <c r="AZ106" s="311">
        <f>SUMIF(Recibos!$D$4:$D$7493,Cobranza!$B106,Recibos!L$4:L$7493)</f>
        <v>400</v>
      </c>
      <c r="BA106" s="311">
        <f>SUMIF(Recibos!$D$4:$D$7493,Cobranza!$B106,Recibos!M$4:M$7493)</f>
        <v>400</v>
      </c>
      <c r="BB106" s="311">
        <f>SUMIF(Recibos!$D$4:$D$7493,Cobranza!$B106,Recibos!N$4:N$7493)</f>
        <v>400</v>
      </c>
      <c r="BC106" s="311">
        <f>SUMIF(Recibos!$D$4:$D$7493,Cobranza!$B106,Recibos!O$4:O$7493)</f>
        <v>400</v>
      </c>
      <c r="BD106" s="311">
        <f>SUMIF(Recibos!$D$4:$D$7493,Cobranza!$B106,Recibos!P$4:P$7493)</f>
        <v>400</v>
      </c>
      <c r="BE106" s="311">
        <f>SUMIF(Recibos!$D$4:$D$7493,Cobranza!$B106,Recibos!Q$4:Q$7493)</f>
        <v>400</v>
      </c>
      <c r="BF106" s="311">
        <f>SUMIF(Recibos!$D$4:$D$7493,Cobranza!$B106,Recibos!R$4:R$7493)</f>
        <v>400</v>
      </c>
      <c r="BG106" s="311">
        <f>SUMIF(Recibos!$D$4:$D$7493,Cobranza!$B106,Recibos!S$4:S$7493)</f>
        <v>400</v>
      </c>
      <c r="BH106" s="311">
        <f>SUMIF(Recibos!$D$4:$D$7493,Cobranza!$B106,Recibos!T$4:T$7493)</f>
        <v>400</v>
      </c>
      <c r="BI106" s="311">
        <f>SUMIF(Recibos!$D$4:$D$7493,Cobranza!$B106,Recibos!U$4:U$7493)</f>
        <v>400</v>
      </c>
      <c r="BJ106" s="311">
        <f>SUMIF(Recibos!$D$4:$D$7493,Cobranza!$B106,Recibos!V$4:V$7493)</f>
        <v>400</v>
      </c>
      <c r="BK106" s="312">
        <f t="shared" si="15"/>
        <v>4800</v>
      </c>
      <c r="BL106" s="311">
        <f>SUMIF(Recibos!$D$4:$D$7493,Cobranza!$B106,Recibos!X$4:X$7493)</f>
        <v>400</v>
      </c>
      <c r="BM106" s="311">
        <f>SUMIF(Recibos!$D$4:$D$7493,Cobranza!$B106,Recibos!Y$4:Y$7493)</f>
        <v>400</v>
      </c>
      <c r="BN106" s="311">
        <f>SUMIF(Recibos!$D$4:$D$7493,Cobranza!$B106,Recibos!Z$4:Z$7493)</f>
        <v>400</v>
      </c>
      <c r="BO106" s="311">
        <f>SUMIF(Recibos!$D$4:$D$7493,Cobranza!$B106,Recibos!AA$4:AA$7493)</f>
        <v>400</v>
      </c>
      <c r="BP106" s="311">
        <f>SUMIF(Recibos!$D$4:$D$7493,Cobranza!$B106,Recibos!AB$4:AB$7493)</f>
        <v>400</v>
      </c>
      <c r="BQ106" s="311">
        <f>SUMIF(Recibos!$D$4:$D$7493,Cobranza!$B106,Recibos!AC$4:AC$7493)</f>
        <v>400</v>
      </c>
      <c r="BR106" s="311">
        <f>SUMIF(Recibos!$D$4:$D$7493,Cobranza!$B106,Recibos!AD$4:AD$7493)</f>
        <v>400</v>
      </c>
      <c r="BS106" s="311">
        <f>SUMIF(Recibos!$D$4:$D$7493,Cobranza!$B106,Recibos!AE$4:AE$7493)</f>
        <v>400</v>
      </c>
      <c r="BT106" s="311">
        <f>SUMIF(Recibos!$D$4:$D$7493,Cobranza!$B106,Recibos!AF$4:AF$7493)</f>
        <v>400</v>
      </c>
      <c r="BU106" s="311">
        <f>SUMIF(Recibos!$D$4:$D$7493,Cobranza!$B106,Recibos!AG$4:AG$7493)</f>
        <v>400</v>
      </c>
      <c r="BV106" s="311">
        <f>SUMIF(Recibos!$D$4:$D$7493,Cobranza!$B106,Recibos!AH$4:AH$7493)</f>
        <v>400</v>
      </c>
      <c r="BW106" s="311">
        <f>SUMIF(Recibos!$D$4:$D$7493,Cobranza!$B106,Recibos!AI$4:AI$7493)</f>
        <v>400</v>
      </c>
      <c r="BX106" s="312">
        <f t="shared" si="16"/>
        <v>4800</v>
      </c>
      <c r="BY106" s="311">
        <f>SUMIF(Recibos!$D$4:$D$7493,Cobranza!$B106,Recibos!AK$4:AK$7493)</f>
        <v>400</v>
      </c>
      <c r="BZ106" s="311">
        <f>SUMIF(Recibos!$D$4:$D$7493,Cobranza!$B106,Recibos!AL$4:AL$7493)</f>
        <v>400</v>
      </c>
      <c r="CA106" s="311">
        <f>SUMIF(Recibos!$D$4:$D$7493,Cobranza!$B106,Recibos!AM$4:AM$7493)</f>
        <v>400</v>
      </c>
      <c r="CB106" s="311">
        <f>SUMIF(Recibos!$D$4:$D$7493,Cobranza!$B106,Recibos!AN$4:AN$7493)</f>
        <v>400</v>
      </c>
      <c r="CC106" s="311">
        <f>SUMIF(Recibos!$D$4:$D$7493,Cobranza!$B106,Recibos!AO$4:AO$7493)</f>
        <v>400</v>
      </c>
      <c r="CD106" s="311">
        <f>SUMIF(Recibos!$D$4:$D$7493,Cobranza!$B106,Recibos!AP$4:AP$7493)</f>
        <v>400</v>
      </c>
      <c r="CE106" s="311">
        <f>SUMIF(Recibos!$D$4:$D$7493,Cobranza!$B106,Recibos!AQ$4:AQ$7493)</f>
        <v>400</v>
      </c>
      <c r="CF106" s="311">
        <f>SUMIF(Recibos!$D$4:$D$7493,Cobranza!$B106,Recibos!AR$4:AR$7493)</f>
        <v>400</v>
      </c>
      <c r="CG106" s="311">
        <f>SUMIF(Recibos!$D$4:$D$7493,Cobranza!$B106,Recibos!AS$4:AS$7493)</f>
        <v>400</v>
      </c>
      <c r="CH106" s="311">
        <f>SUMIF(Recibos!$D$4:$D$7493,Cobranza!$B106,Recibos!AT$4:AT$7493)</f>
        <v>400</v>
      </c>
      <c r="CI106" s="311">
        <f>SUMIF(Recibos!$D$4:$D$7493,Cobranza!$B106,Recibos!AU$4:AU$7493)</f>
        <v>0</v>
      </c>
      <c r="CJ106" s="311">
        <f>SUMIF(Recibos!$D$4:$D$7493,Cobranza!$B106,Recibos!AV$4:AV$7493)</f>
        <v>0</v>
      </c>
      <c r="CK106" s="312">
        <f t="shared" si="10"/>
        <v>4000</v>
      </c>
    </row>
    <row r="107" spans="2:89" x14ac:dyDescent="0.2">
      <c r="B107" s="45" t="s">
        <v>1306</v>
      </c>
      <c r="C107" s="45" t="s">
        <v>1307</v>
      </c>
      <c r="D107" s="45" t="s">
        <v>1308</v>
      </c>
      <c r="E107" s="46">
        <v>0</v>
      </c>
      <c r="F107" s="46">
        <v>0</v>
      </c>
      <c r="G107" s="46">
        <v>0</v>
      </c>
      <c r="H107" s="46">
        <v>0</v>
      </c>
      <c r="I107" s="46">
        <v>0</v>
      </c>
      <c r="J107" s="46">
        <v>300</v>
      </c>
      <c r="K107" s="47">
        <f t="shared" si="11"/>
        <v>300</v>
      </c>
      <c r="L107" s="46">
        <v>300</v>
      </c>
      <c r="M107" s="46">
        <v>300</v>
      </c>
      <c r="N107" s="46">
        <v>300</v>
      </c>
      <c r="O107" s="46">
        <v>300</v>
      </c>
      <c r="P107" s="46">
        <v>300</v>
      </c>
      <c r="Q107" s="46">
        <v>300</v>
      </c>
      <c r="R107" s="46">
        <v>300</v>
      </c>
      <c r="S107" s="46">
        <v>300</v>
      </c>
      <c r="T107" s="46">
        <v>300</v>
      </c>
      <c r="U107" s="46">
        <v>300</v>
      </c>
      <c r="V107" s="46">
        <v>400</v>
      </c>
      <c r="W107" s="46">
        <v>400</v>
      </c>
      <c r="X107" s="47">
        <f t="shared" si="12"/>
        <v>3800</v>
      </c>
      <c r="Y107" s="46">
        <v>400</v>
      </c>
      <c r="Z107" s="46">
        <v>400</v>
      </c>
      <c r="AA107" s="46">
        <v>400</v>
      </c>
      <c r="AB107" s="46">
        <v>400</v>
      </c>
      <c r="AC107" s="46">
        <v>400</v>
      </c>
      <c r="AD107" s="46">
        <v>400</v>
      </c>
      <c r="AE107" s="46">
        <v>0</v>
      </c>
      <c r="AF107" s="46">
        <v>400</v>
      </c>
      <c r="AG107" s="46">
        <v>500</v>
      </c>
      <c r="AH107" s="46">
        <v>400</v>
      </c>
      <c r="AI107" s="46">
        <v>400</v>
      </c>
      <c r="AJ107" s="46">
        <v>400</v>
      </c>
      <c r="AK107" s="47">
        <f t="shared" si="13"/>
        <v>4500</v>
      </c>
      <c r="AL107" s="46">
        <v>400</v>
      </c>
      <c r="AM107" s="46">
        <v>0</v>
      </c>
      <c r="AN107" s="46">
        <v>0</v>
      </c>
      <c r="AO107" s="46">
        <v>0</v>
      </c>
      <c r="AP107" s="46">
        <v>0</v>
      </c>
      <c r="AQ107" s="46">
        <v>0</v>
      </c>
      <c r="AR107" s="46">
        <v>0</v>
      </c>
      <c r="AS107" s="46">
        <v>0</v>
      </c>
      <c r="AT107" s="46">
        <v>0</v>
      </c>
      <c r="AU107" s="46">
        <v>0</v>
      </c>
      <c r="AV107" s="46">
        <v>0</v>
      </c>
      <c r="AW107" s="46">
        <v>0</v>
      </c>
      <c r="AX107" s="47">
        <f t="shared" si="14"/>
        <v>400</v>
      </c>
      <c r="AY107" s="313">
        <f>SUMIF(Recibos!$D$4:$D$7493,Cobranza!$B107,Recibos!K$4:K$7493)</f>
        <v>0</v>
      </c>
      <c r="AZ107" s="313">
        <f>SUMIF(Recibos!$D$4:$D$7493,Cobranza!$B107,Recibos!L$4:L$7493)</f>
        <v>0</v>
      </c>
      <c r="BA107" s="313">
        <f>SUMIF(Recibos!$D$4:$D$7493,Cobranza!$B107,Recibos!M$4:M$7493)</f>
        <v>0</v>
      </c>
      <c r="BB107" s="313">
        <f>SUMIF(Recibos!$D$4:$D$7493,Cobranza!$B107,Recibos!N$4:N$7493)</f>
        <v>0</v>
      </c>
      <c r="BC107" s="313">
        <f>SUMIF(Recibos!$D$4:$D$7493,Cobranza!$B107,Recibos!O$4:O$7493)</f>
        <v>0</v>
      </c>
      <c r="BD107" s="313">
        <f>SUMIF(Recibos!$D$4:$D$7493,Cobranza!$B107,Recibos!P$4:P$7493)</f>
        <v>0</v>
      </c>
      <c r="BE107" s="313">
        <f>SUMIF(Recibos!$D$4:$D$7493,Cobranza!$B107,Recibos!Q$4:Q$7493)</f>
        <v>0</v>
      </c>
      <c r="BF107" s="313">
        <f>SUMIF(Recibos!$D$4:$D$7493,Cobranza!$B107,Recibos!R$4:R$7493)</f>
        <v>0</v>
      </c>
      <c r="BG107" s="313">
        <f>SUMIF(Recibos!$D$4:$D$7493,Cobranza!$B107,Recibos!S$4:S$7493)</f>
        <v>0</v>
      </c>
      <c r="BH107" s="313">
        <f>SUMIF(Recibos!$D$4:$D$7493,Cobranza!$B107,Recibos!T$4:T$7493)</f>
        <v>0</v>
      </c>
      <c r="BI107" s="313">
        <f>SUMIF(Recibos!$D$4:$D$7493,Cobranza!$B107,Recibos!U$4:U$7493)</f>
        <v>0</v>
      </c>
      <c r="BJ107" s="313">
        <f>SUMIF(Recibos!$D$4:$D$7493,Cobranza!$B107,Recibos!V$4:V$7493)</f>
        <v>0</v>
      </c>
      <c r="BK107" s="314">
        <f t="shared" si="15"/>
        <v>0</v>
      </c>
      <c r="BL107" s="313">
        <f>SUMIF(Recibos!$D$4:$D$7493,Cobranza!$B107,Recibos!X$4:X$7493)</f>
        <v>0</v>
      </c>
      <c r="BM107" s="313">
        <f>SUMIF(Recibos!$D$4:$D$7493,Cobranza!$B107,Recibos!Y$4:Y$7493)</f>
        <v>0</v>
      </c>
      <c r="BN107" s="313">
        <f>SUMIF(Recibos!$D$4:$D$7493,Cobranza!$B107,Recibos!Z$4:Z$7493)</f>
        <v>0</v>
      </c>
      <c r="BO107" s="313">
        <f>SUMIF(Recibos!$D$4:$D$7493,Cobranza!$B107,Recibos!AA$4:AA$7493)</f>
        <v>0</v>
      </c>
      <c r="BP107" s="313">
        <f>SUMIF(Recibos!$D$4:$D$7493,Cobranza!$B107,Recibos!AB$4:AB$7493)</f>
        <v>0</v>
      </c>
      <c r="BQ107" s="313">
        <f>SUMIF(Recibos!$D$4:$D$7493,Cobranza!$B107,Recibos!AC$4:AC$7493)</f>
        <v>0</v>
      </c>
      <c r="BR107" s="313">
        <f>SUMIF(Recibos!$D$4:$D$7493,Cobranza!$B107,Recibos!AD$4:AD$7493)</f>
        <v>0</v>
      </c>
      <c r="BS107" s="313">
        <f>SUMIF(Recibos!$D$4:$D$7493,Cobranza!$B107,Recibos!AE$4:AE$7493)</f>
        <v>0</v>
      </c>
      <c r="BT107" s="313">
        <f>SUMIF(Recibos!$D$4:$D$7493,Cobranza!$B107,Recibos!AF$4:AF$7493)</f>
        <v>0</v>
      </c>
      <c r="BU107" s="313">
        <f>SUMIF(Recibos!$D$4:$D$7493,Cobranza!$B107,Recibos!AG$4:AG$7493)</f>
        <v>200</v>
      </c>
      <c r="BV107" s="313">
        <f>SUMIF(Recibos!$D$4:$D$7493,Cobranza!$B107,Recibos!AH$4:AH$7493)</f>
        <v>200</v>
      </c>
      <c r="BW107" s="313">
        <f>SUMIF(Recibos!$D$4:$D$7493,Cobranza!$B107,Recibos!AI$4:AI$7493)</f>
        <v>200</v>
      </c>
      <c r="BX107" s="314">
        <f t="shared" si="16"/>
        <v>600</v>
      </c>
      <c r="BY107" s="313">
        <f>SUMIF(Recibos!$D$4:$D$7493,Cobranza!$B107,Recibos!AK$4:AK$7493)</f>
        <v>200</v>
      </c>
      <c r="BZ107" s="313">
        <f>SUMIF(Recibos!$D$4:$D$7493,Cobranza!$B107,Recibos!AL$4:AL$7493)</f>
        <v>0</v>
      </c>
      <c r="CA107" s="313">
        <f>SUMIF(Recibos!$D$4:$D$7493,Cobranza!$B107,Recibos!AM$4:AM$7493)</f>
        <v>0</v>
      </c>
      <c r="CB107" s="313">
        <f>SUMIF(Recibos!$D$4:$D$7493,Cobranza!$B107,Recibos!AN$4:AN$7493)</f>
        <v>0</v>
      </c>
      <c r="CC107" s="313">
        <f>SUMIF(Recibos!$D$4:$D$7493,Cobranza!$B107,Recibos!AO$4:AO$7493)</f>
        <v>0</v>
      </c>
      <c r="CD107" s="313">
        <f>SUMIF(Recibos!$D$4:$D$7493,Cobranza!$B107,Recibos!AP$4:AP$7493)</f>
        <v>0</v>
      </c>
      <c r="CE107" s="313">
        <f>SUMIF(Recibos!$D$4:$D$7493,Cobranza!$B107,Recibos!AQ$4:AQ$7493)</f>
        <v>0</v>
      </c>
      <c r="CF107" s="313">
        <f>SUMIF(Recibos!$D$4:$D$7493,Cobranza!$B107,Recibos!AR$4:AR$7493)</f>
        <v>0</v>
      </c>
      <c r="CG107" s="313">
        <f>SUMIF(Recibos!$D$4:$D$7493,Cobranza!$B107,Recibos!AS$4:AS$7493)</f>
        <v>0</v>
      </c>
      <c r="CH107" s="313">
        <f>SUMIF(Recibos!$D$4:$D$7493,Cobranza!$B107,Recibos!AT$4:AT$7493)</f>
        <v>0</v>
      </c>
      <c r="CI107" s="313">
        <f>SUMIF(Recibos!$D$4:$D$7493,Cobranza!$B107,Recibos!AU$4:AU$7493)</f>
        <v>0</v>
      </c>
      <c r="CJ107" s="313">
        <f>SUMIF(Recibos!$D$4:$D$7493,Cobranza!$B107,Recibos!AV$4:AV$7493)</f>
        <v>0</v>
      </c>
      <c r="CK107" s="314">
        <f t="shared" si="10"/>
        <v>200</v>
      </c>
    </row>
    <row r="108" spans="2:89" x14ac:dyDescent="0.2">
      <c r="B108" s="42" t="s">
        <v>449</v>
      </c>
      <c r="C108" s="42" t="s">
        <v>450</v>
      </c>
      <c r="D108" s="42" t="s">
        <v>451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300</v>
      </c>
      <c r="K108" s="44">
        <f t="shared" si="11"/>
        <v>300</v>
      </c>
      <c r="L108" s="43">
        <v>300</v>
      </c>
      <c r="M108" s="43">
        <v>300</v>
      </c>
      <c r="N108" s="43">
        <v>300</v>
      </c>
      <c r="O108" s="43">
        <v>300</v>
      </c>
      <c r="P108" s="43">
        <v>300</v>
      </c>
      <c r="Q108" s="43">
        <v>300</v>
      </c>
      <c r="R108" s="43">
        <v>300</v>
      </c>
      <c r="S108" s="43">
        <v>300</v>
      </c>
      <c r="T108" s="43">
        <v>300</v>
      </c>
      <c r="U108" s="43">
        <v>300</v>
      </c>
      <c r="V108" s="43">
        <v>0</v>
      </c>
      <c r="W108" s="43">
        <v>300</v>
      </c>
      <c r="X108" s="44">
        <f t="shared" si="12"/>
        <v>3300</v>
      </c>
      <c r="Y108" s="43">
        <v>300</v>
      </c>
      <c r="Z108" s="43">
        <v>300</v>
      </c>
      <c r="AA108" s="43">
        <v>300</v>
      </c>
      <c r="AB108" s="43">
        <v>300</v>
      </c>
      <c r="AC108" s="43">
        <v>300</v>
      </c>
      <c r="AD108" s="43">
        <v>300</v>
      </c>
      <c r="AE108" s="43">
        <v>300</v>
      </c>
      <c r="AF108" s="43">
        <v>300</v>
      </c>
      <c r="AG108" s="43">
        <v>300</v>
      </c>
      <c r="AH108" s="43">
        <v>300</v>
      </c>
      <c r="AI108" s="43">
        <v>300</v>
      </c>
      <c r="AJ108" s="43">
        <v>300</v>
      </c>
      <c r="AK108" s="44">
        <f t="shared" si="13"/>
        <v>3600</v>
      </c>
      <c r="AL108" s="43">
        <v>300</v>
      </c>
      <c r="AM108" s="43">
        <v>300</v>
      </c>
      <c r="AN108" s="43">
        <v>300</v>
      </c>
      <c r="AO108" s="43">
        <v>300</v>
      </c>
      <c r="AP108" s="43">
        <v>300</v>
      </c>
      <c r="AQ108" s="43">
        <v>300</v>
      </c>
      <c r="AR108" s="43">
        <v>300</v>
      </c>
      <c r="AS108" s="43">
        <v>300</v>
      </c>
      <c r="AT108" s="43">
        <v>300</v>
      </c>
      <c r="AU108" s="43">
        <v>300</v>
      </c>
      <c r="AV108" s="43">
        <v>300</v>
      </c>
      <c r="AW108" s="43">
        <v>300</v>
      </c>
      <c r="AX108" s="44">
        <f t="shared" si="14"/>
        <v>3600</v>
      </c>
      <c r="AY108" s="311">
        <f>SUMIF(Recibos!$D$4:$D$7493,Cobranza!$B108,Recibos!K$4:K$7493)</f>
        <v>300</v>
      </c>
      <c r="AZ108" s="311">
        <f>SUMIF(Recibos!$D$4:$D$7493,Cobranza!$B108,Recibos!L$4:L$7493)</f>
        <v>300</v>
      </c>
      <c r="BA108" s="311">
        <f>SUMIF(Recibos!$D$4:$D$7493,Cobranza!$B108,Recibos!M$4:M$7493)</f>
        <v>300</v>
      </c>
      <c r="BB108" s="311">
        <f>SUMIF(Recibos!$D$4:$D$7493,Cobranza!$B108,Recibos!N$4:N$7493)</f>
        <v>300</v>
      </c>
      <c r="BC108" s="311">
        <f>SUMIF(Recibos!$D$4:$D$7493,Cobranza!$B108,Recibos!O$4:O$7493)</f>
        <v>300</v>
      </c>
      <c r="BD108" s="311">
        <f>SUMIF(Recibos!$D$4:$D$7493,Cobranza!$B108,Recibos!P$4:P$7493)</f>
        <v>300</v>
      </c>
      <c r="BE108" s="311">
        <f>SUMIF(Recibos!$D$4:$D$7493,Cobranza!$B108,Recibos!Q$4:Q$7493)</f>
        <v>300</v>
      </c>
      <c r="BF108" s="311">
        <f>SUMIF(Recibos!$D$4:$D$7493,Cobranza!$B108,Recibos!R$4:R$7493)</f>
        <v>300</v>
      </c>
      <c r="BG108" s="311">
        <f>SUMIF(Recibos!$D$4:$D$7493,Cobranza!$B108,Recibos!S$4:S$7493)</f>
        <v>300</v>
      </c>
      <c r="BH108" s="311">
        <f>SUMIF(Recibos!$D$4:$D$7493,Cobranza!$B108,Recibos!T$4:T$7493)</f>
        <v>300</v>
      </c>
      <c r="BI108" s="311">
        <f>SUMIF(Recibos!$D$4:$D$7493,Cobranza!$B108,Recibos!U$4:U$7493)</f>
        <v>300</v>
      </c>
      <c r="BJ108" s="311">
        <f>SUMIF(Recibos!$D$4:$D$7493,Cobranza!$B108,Recibos!V$4:V$7493)</f>
        <v>300</v>
      </c>
      <c r="BK108" s="312">
        <f t="shared" si="15"/>
        <v>3600</v>
      </c>
      <c r="BL108" s="311">
        <f>SUMIF(Recibos!$D$4:$D$7493,Cobranza!$B108,Recibos!X$4:X$7493)</f>
        <v>300</v>
      </c>
      <c r="BM108" s="311">
        <f>SUMIF(Recibos!$D$4:$D$7493,Cobranza!$B108,Recibos!Y$4:Y$7493)</f>
        <v>300</v>
      </c>
      <c r="BN108" s="311">
        <f>SUMIF(Recibos!$D$4:$D$7493,Cobranza!$B108,Recibos!Z$4:Z$7493)</f>
        <v>300</v>
      </c>
      <c r="BO108" s="311">
        <f>SUMIF(Recibos!$D$4:$D$7493,Cobranza!$B108,Recibos!AA$4:AA$7493)</f>
        <v>300</v>
      </c>
      <c r="BP108" s="311">
        <f>SUMIF(Recibos!$D$4:$D$7493,Cobranza!$B108,Recibos!AB$4:AB$7493)</f>
        <v>300</v>
      </c>
      <c r="BQ108" s="311">
        <f>SUMIF(Recibos!$D$4:$D$7493,Cobranza!$B108,Recibos!AC$4:AC$7493)</f>
        <v>300</v>
      </c>
      <c r="BR108" s="311">
        <f>SUMIF(Recibos!$D$4:$D$7493,Cobranza!$B108,Recibos!AD$4:AD$7493)</f>
        <v>300</v>
      </c>
      <c r="BS108" s="311">
        <f>SUMIF(Recibos!$D$4:$D$7493,Cobranza!$B108,Recibos!AE$4:AE$7493)</f>
        <v>300</v>
      </c>
      <c r="BT108" s="311">
        <f>SUMIF(Recibos!$D$4:$D$7493,Cobranza!$B108,Recibos!AF$4:AF$7493)</f>
        <v>300</v>
      </c>
      <c r="BU108" s="311">
        <f>SUMIF(Recibos!$D$4:$D$7493,Cobranza!$B108,Recibos!AG$4:AG$7493)</f>
        <v>300</v>
      </c>
      <c r="BV108" s="311">
        <f>SUMIF(Recibos!$D$4:$D$7493,Cobranza!$B108,Recibos!AH$4:AH$7493)</f>
        <v>300</v>
      </c>
      <c r="BW108" s="311">
        <f>SUMIF(Recibos!$D$4:$D$7493,Cobranza!$B108,Recibos!AI$4:AI$7493)</f>
        <v>300</v>
      </c>
      <c r="BX108" s="312">
        <f t="shared" si="16"/>
        <v>3600</v>
      </c>
      <c r="BY108" s="311">
        <f>SUMIF(Recibos!$D$4:$D$7493,Cobranza!$B108,Recibos!AK$4:AK$7493)</f>
        <v>300</v>
      </c>
      <c r="BZ108" s="311">
        <f>SUMIF(Recibos!$D$4:$D$7493,Cobranza!$B108,Recibos!AL$4:AL$7493)</f>
        <v>300</v>
      </c>
      <c r="CA108" s="311">
        <f>SUMIF(Recibos!$D$4:$D$7493,Cobranza!$B108,Recibos!AM$4:AM$7493)</f>
        <v>300</v>
      </c>
      <c r="CB108" s="311">
        <f>SUMIF(Recibos!$D$4:$D$7493,Cobranza!$B108,Recibos!AN$4:AN$7493)</f>
        <v>300</v>
      </c>
      <c r="CC108" s="311">
        <f>SUMIF(Recibos!$D$4:$D$7493,Cobranza!$B108,Recibos!AO$4:AO$7493)</f>
        <v>300</v>
      </c>
      <c r="CD108" s="311">
        <f>SUMIF(Recibos!$D$4:$D$7493,Cobranza!$B108,Recibos!AP$4:AP$7493)</f>
        <v>300</v>
      </c>
      <c r="CE108" s="311">
        <f>SUMIF(Recibos!$D$4:$D$7493,Cobranza!$B108,Recibos!AQ$4:AQ$7493)</f>
        <v>300</v>
      </c>
      <c r="CF108" s="311">
        <f>SUMIF(Recibos!$D$4:$D$7493,Cobranza!$B108,Recibos!AR$4:AR$7493)</f>
        <v>300</v>
      </c>
      <c r="CG108" s="311">
        <f>SUMIF(Recibos!$D$4:$D$7493,Cobranza!$B108,Recibos!AS$4:AS$7493)</f>
        <v>0</v>
      </c>
      <c r="CH108" s="311">
        <f>SUMIF(Recibos!$D$4:$D$7493,Cobranza!$B108,Recibos!AT$4:AT$7493)</f>
        <v>0</v>
      </c>
      <c r="CI108" s="311">
        <f>SUMIF(Recibos!$D$4:$D$7493,Cobranza!$B108,Recibos!AU$4:AU$7493)</f>
        <v>0</v>
      </c>
      <c r="CJ108" s="311">
        <f>SUMIF(Recibos!$D$4:$D$7493,Cobranza!$B108,Recibos!AV$4:AV$7493)</f>
        <v>0</v>
      </c>
      <c r="CK108" s="312">
        <f t="shared" si="10"/>
        <v>2400</v>
      </c>
    </row>
    <row r="109" spans="2:89" x14ac:dyDescent="0.2">
      <c r="B109" s="45" t="s">
        <v>711</v>
      </c>
      <c r="C109" s="45" t="s">
        <v>712</v>
      </c>
      <c r="D109" s="45" t="s">
        <v>713</v>
      </c>
      <c r="E109" s="46">
        <v>0</v>
      </c>
      <c r="F109" s="46">
        <v>0</v>
      </c>
      <c r="G109" s="46">
        <v>0</v>
      </c>
      <c r="H109" s="46">
        <v>0</v>
      </c>
      <c r="I109" s="46">
        <v>300</v>
      </c>
      <c r="J109" s="46">
        <v>300</v>
      </c>
      <c r="K109" s="47">
        <f t="shared" si="11"/>
        <v>600</v>
      </c>
      <c r="L109" s="46">
        <v>300</v>
      </c>
      <c r="M109" s="46">
        <v>300</v>
      </c>
      <c r="N109" s="46">
        <v>300</v>
      </c>
      <c r="O109" s="46">
        <v>300</v>
      </c>
      <c r="P109" s="46">
        <v>300</v>
      </c>
      <c r="Q109" s="46">
        <v>300</v>
      </c>
      <c r="R109" s="46">
        <v>300</v>
      </c>
      <c r="S109" s="46">
        <v>300</v>
      </c>
      <c r="T109" s="46">
        <v>300</v>
      </c>
      <c r="U109" s="46">
        <v>400</v>
      </c>
      <c r="V109" s="46">
        <v>400</v>
      </c>
      <c r="W109" s="46">
        <v>400</v>
      </c>
      <c r="X109" s="47">
        <f t="shared" si="12"/>
        <v>3900</v>
      </c>
      <c r="Y109" s="46">
        <v>400</v>
      </c>
      <c r="Z109" s="46">
        <v>400</v>
      </c>
      <c r="AA109" s="46">
        <v>400</v>
      </c>
      <c r="AB109" s="46">
        <v>0</v>
      </c>
      <c r="AC109" s="46">
        <v>0</v>
      </c>
      <c r="AD109" s="46">
        <v>0</v>
      </c>
      <c r="AE109" s="46">
        <v>0</v>
      </c>
      <c r="AF109" s="46">
        <v>0</v>
      </c>
      <c r="AG109" s="46">
        <v>400</v>
      </c>
      <c r="AH109" s="46">
        <v>400</v>
      </c>
      <c r="AI109" s="46">
        <v>400</v>
      </c>
      <c r="AJ109" s="46">
        <v>400</v>
      </c>
      <c r="AK109" s="47">
        <f t="shared" si="13"/>
        <v>2800</v>
      </c>
      <c r="AL109" s="46">
        <v>0</v>
      </c>
      <c r="AM109" s="46">
        <v>0</v>
      </c>
      <c r="AN109" s="46">
        <v>0</v>
      </c>
      <c r="AO109" s="46">
        <v>0</v>
      </c>
      <c r="AP109" s="46">
        <v>0</v>
      </c>
      <c r="AQ109" s="46">
        <v>300</v>
      </c>
      <c r="AR109" s="46">
        <v>300</v>
      </c>
      <c r="AS109" s="46">
        <v>300</v>
      </c>
      <c r="AT109" s="46">
        <v>300</v>
      </c>
      <c r="AU109" s="46">
        <v>300</v>
      </c>
      <c r="AV109" s="46">
        <v>300</v>
      </c>
      <c r="AW109" s="46">
        <v>300</v>
      </c>
      <c r="AX109" s="47">
        <f t="shared" si="14"/>
        <v>2100</v>
      </c>
      <c r="AY109" s="313">
        <f>SUMIF(Recibos!$D$4:$D$7493,Cobranza!$B109,Recibos!K$4:K$7493)</f>
        <v>400</v>
      </c>
      <c r="AZ109" s="313">
        <f>SUMIF(Recibos!$D$4:$D$7493,Cobranza!$B109,Recibos!L$4:L$7493)</f>
        <v>0</v>
      </c>
      <c r="BA109" s="313">
        <f>SUMIF(Recibos!$D$4:$D$7493,Cobranza!$B109,Recibos!M$4:M$7493)</f>
        <v>0</v>
      </c>
      <c r="BB109" s="313">
        <f>SUMIF(Recibos!$D$4:$D$7493,Cobranza!$B109,Recibos!N$4:N$7493)</f>
        <v>0</v>
      </c>
      <c r="BC109" s="313">
        <f>SUMIF(Recibos!$D$4:$D$7493,Cobranza!$B109,Recibos!O$4:O$7493)</f>
        <v>0</v>
      </c>
      <c r="BD109" s="313">
        <f>SUMIF(Recibos!$D$4:$D$7493,Cobranza!$B109,Recibos!P$4:P$7493)</f>
        <v>0</v>
      </c>
      <c r="BE109" s="313">
        <f>SUMIF(Recibos!$D$4:$D$7493,Cobranza!$B109,Recibos!Q$4:Q$7493)</f>
        <v>0</v>
      </c>
      <c r="BF109" s="313">
        <f>SUMIF(Recibos!$D$4:$D$7493,Cobranza!$B109,Recibos!R$4:R$7493)</f>
        <v>0</v>
      </c>
      <c r="BG109" s="313">
        <f>SUMIF(Recibos!$D$4:$D$7493,Cobranza!$B109,Recibos!S$4:S$7493)</f>
        <v>0</v>
      </c>
      <c r="BH109" s="313">
        <f>SUMIF(Recibos!$D$4:$D$7493,Cobranza!$B109,Recibos!T$4:T$7493)</f>
        <v>0</v>
      </c>
      <c r="BI109" s="313">
        <f>SUMIF(Recibos!$D$4:$D$7493,Cobranza!$B109,Recibos!U$4:U$7493)</f>
        <v>0</v>
      </c>
      <c r="BJ109" s="313">
        <f>SUMIF(Recibos!$D$4:$D$7493,Cobranza!$B109,Recibos!V$4:V$7493)</f>
        <v>0</v>
      </c>
      <c r="BK109" s="314">
        <f t="shared" si="15"/>
        <v>400</v>
      </c>
      <c r="BL109" s="313">
        <f>SUMIF(Recibos!$D$4:$D$7493,Cobranza!$B109,Recibos!X$4:X$7493)</f>
        <v>0</v>
      </c>
      <c r="BM109" s="313">
        <f>SUMIF(Recibos!$D$4:$D$7493,Cobranza!$B109,Recibos!Y$4:Y$7493)</f>
        <v>0</v>
      </c>
      <c r="BN109" s="313">
        <f>SUMIF(Recibos!$D$4:$D$7493,Cobranza!$B109,Recibos!Z$4:Z$7493)</f>
        <v>0</v>
      </c>
      <c r="BO109" s="313">
        <f>SUMIF(Recibos!$D$4:$D$7493,Cobranza!$B109,Recibos!AA$4:AA$7493)</f>
        <v>0</v>
      </c>
      <c r="BP109" s="313">
        <f>SUMIF(Recibos!$D$4:$D$7493,Cobranza!$B109,Recibos!AB$4:AB$7493)</f>
        <v>0</v>
      </c>
      <c r="BQ109" s="313">
        <f>SUMIF(Recibos!$D$4:$D$7493,Cobranza!$B109,Recibos!AC$4:AC$7493)</f>
        <v>0</v>
      </c>
      <c r="BR109" s="313">
        <f>SUMIF(Recibos!$D$4:$D$7493,Cobranza!$B109,Recibos!AD$4:AD$7493)</f>
        <v>0</v>
      </c>
      <c r="BS109" s="313">
        <f>SUMIF(Recibos!$D$4:$D$7493,Cobranza!$B109,Recibos!AE$4:AE$7493)</f>
        <v>0</v>
      </c>
      <c r="BT109" s="313">
        <f>SUMIF(Recibos!$D$4:$D$7493,Cobranza!$B109,Recibos!AF$4:AF$7493)</f>
        <v>0</v>
      </c>
      <c r="BU109" s="313">
        <f>SUMIF(Recibos!$D$4:$D$7493,Cobranza!$B109,Recibos!AG$4:AG$7493)</f>
        <v>0</v>
      </c>
      <c r="BV109" s="313">
        <f>SUMIF(Recibos!$D$4:$D$7493,Cobranza!$B109,Recibos!AH$4:AH$7493)</f>
        <v>0</v>
      </c>
      <c r="BW109" s="313">
        <f>SUMIF(Recibos!$D$4:$D$7493,Cobranza!$B109,Recibos!AI$4:AI$7493)</f>
        <v>0</v>
      </c>
      <c r="BX109" s="314">
        <f t="shared" si="16"/>
        <v>0</v>
      </c>
      <c r="BY109" s="313">
        <f>SUMIF(Recibos!$D$4:$D$7493,Cobranza!$B109,Recibos!AK$4:AK$7493)</f>
        <v>0</v>
      </c>
      <c r="BZ109" s="313">
        <f>SUMIF(Recibos!$D$4:$D$7493,Cobranza!$B109,Recibos!AL$4:AL$7493)</f>
        <v>0</v>
      </c>
      <c r="CA109" s="313">
        <f>SUMIF(Recibos!$D$4:$D$7493,Cobranza!$B109,Recibos!AM$4:AM$7493)</f>
        <v>0</v>
      </c>
      <c r="CB109" s="313">
        <f>SUMIF(Recibos!$D$4:$D$7493,Cobranza!$B109,Recibos!AN$4:AN$7493)</f>
        <v>0</v>
      </c>
      <c r="CC109" s="313">
        <f>SUMIF(Recibos!$D$4:$D$7493,Cobranza!$B109,Recibos!AO$4:AO$7493)</f>
        <v>0</v>
      </c>
      <c r="CD109" s="313">
        <f>SUMIF(Recibos!$D$4:$D$7493,Cobranza!$B109,Recibos!AP$4:AP$7493)</f>
        <v>0</v>
      </c>
      <c r="CE109" s="313">
        <f>SUMIF(Recibos!$D$4:$D$7493,Cobranza!$B109,Recibos!AQ$4:AQ$7493)</f>
        <v>0</v>
      </c>
      <c r="CF109" s="313">
        <f>SUMIF(Recibos!$D$4:$D$7493,Cobranza!$B109,Recibos!AR$4:AR$7493)</f>
        <v>0</v>
      </c>
      <c r="CG109" s="313">
        <f>SUMIF(Recibos!$D$4:$D$7493,Cobranza!$B109,Recibos!AS$4:AS$7493)</f>
        <v>0</v>
      </c>
      <c r="CH109" s="313">
        <f>SUMIF(Recibos!$D$4:$D$7493,Cobranza!$B109,Recibos!AT$4:AT$7493)</f>
        <v>0</v>
      </c>
      <c r="CI109" s="313">
        <f>SUMIF(Recibos!$D$4:$D$7493,Cobranza!$B109,Recibos!AU$4:AU$7493)</f>
        <v>0</v>
      </c>
      <c r="CJ109" s="313">
        <f>SUMIF(Recibos!$D$4:$D$7493,Cobranza!$B109,Recibos!AV$4:AV$7493)</f>
        <v>0</v>
      </c>
      <c r="CK109" s="314">
        <f t="shared" si="10"/>
        <v>0</v>
      </c>
    </row>
    <row r="110" spans="2:89" x14ac:dyDescent="0.2">
      <c r="B110" s="42" t="s">
        <v>1029</v>
      </c>
      <c r="C110" s="42" t="s">
        <v>1030</v>
      </c>
      <c r="D110" s="42" t="s">
        <v>1031</v>
      </c>
      <c r="E110" s="43">
        <v>0</v>
      </c>
      <c r="F110" s="43">
        <v>0</v>
      </c>
      <c r="G110" s="43">
        <v>0</v>
      </c>
      <c r="H110" s="43">
        <v>300</v>
      </c>
      <c r="I110" s="43">
        <v>300</v>
      </c>
      <c r="J110" s="43">
        <v>300</v>
      </c>
      <c r="K110" s="44">
        <f t="shared" si="11"/>
        <v>900</v>
      </c>
      <c r="L110" s="43">
        <v>300</v>
      </c>
      <c r="M110" s="43">
        <v>300</v>
      </c>
      <c r="N110" s="43">
        <v>300</v>
      </c>
      <c r="O110" s="43">
        <v>300</v>
      </c>
      <c r="P110" s="43">
        <v>300</v>
      </c>
      <c r="Q110" s="43">
        <v>300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4">
        <f t="shared" si="12"/>
        <v>1800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4">
        <f t="shared" si="13"/>
        <v>0</v>
      </c>
      <c r="AL110" s="43">
        <v>400</v>
      </c>
      <c r="AM110" s="43">
        <v>400</v>
      </c>
      <c r="AN110" s="43">
        <v>400</v>
      </c>
      <c r="AO110" s="43">
        <v>400</v>
      </c>
      <c r="AP110" s="43">
        <v>400</v>
      </c>
      <c r="AQ110" s="43">
        <v>400</v>
      </c>
      <c r="AR110" s="43">
        <v>400</v>
      </c>
      <c r="AS110" s="43">
        <v>400</v>
      </c>
      <c r="AT110" s="43">
        <v>400</v>
      </c>
      <c r="AU110" s="43">
        <v>400</v>
      </c>
      <c r="AV110" s="43">
        <v>400</v>
      </c>
      <c r="AW110" s="43">
        <v>400</v>
      </c>
      <c r="AX110" s="44">
        <f t="shared" si="14"/>
        <v>4800</v>
      </c>
      <c r="AY110" s="311">
        <f>SUMIF(Recibos!$D$4:$D$7493,Cobranza!$B110,Recibos!K$4:K$7493)</f>
        <v>400</v>
      </c>
      <c r="AZ110" s="311">
        <f>SUMIF(Recibos!$D$4:$D$7493,Cobranza!$B110,Recibos!L$4:L$7493)</f>
        <v>400</v>
      </c>
      <c r="BA110" s="311">
        <f>SUMIF(Recibos!$D$4:$D$7493,Cobranza!$B110,Recibos!M$4:M$7493)</f>
        <v>400</v>
      </c>
      <c r="BB110" s="311">
        <f>SUMIF(Recibos!$D$4:$D$7493,Cobranza!$B110,Recibos!N$4:N$7493)</f>
        <v>400</v>
      </c>
      <c r="BC110" s="311">
        <f>SUMIF(Recibos!$D$4:$D$7493,Cobranza!$B110,Recibos!O$4:O$7493)</f>
        <v>400</v>
      </c>
      <c r="BD110" s="311">
        <f>SUMIF(Recibos!$D$4:$D$7493,Cobranza!$B110,Recibos!P$4:P$7493)</f>
        <v>400</v>
      </c>
      <c r="BE110" s="311">
        <f>SUMIF(Recibos!$D$4:$D$7493,Cobranza!$B110,Recibos!Q$4:Q$7493)</f>
        <v>400</v>
      </c>
      <c r="BF110" s="311">
        <f>SUMIF(Recibos!$D$4:$D$7493,Cobranza!$B110,Recibos!R$4:R$7493)</f>
        <v>400</v>
      </c>
      <c r="BG110" s="311">
        <f>SUMIF(Recibos!$D$4:$D$7493,Cobranza!$B110,Recibos!S$4:S$7493)</f>
        <v>400</v>
      </c>
      <c r="BH110" s="311">
        <f>SUMIF(Recibos!$D$4:$D$7493,Cobranza!$B110,Recibos!T$4:T$7493)</f>
        <v>400</v>
      </c>
      <c r="BI110" s="311">
        <f>SUMIF(Recibos!$D$4:$D$7493,Cobranza!$B110,Recibos!U$4:U$7493)</f>
        <v>400</v>
      </c>
      <c r="BJ110" s="311">
        <f>SUMIF(Recibos!$D$4:$D$7493,Cobranza!$B110,Recibos!V$4:V$7493)</f>
        <v>400</v>
      </c>
      <c r="BK110" s="312">
        <f t="shared" si="15"/>
        <v>4800</v>
      </c>
      <c r="BL110" s="311">
        <f>SUMIF(Recibos!$D$4:$D$7493,Cobranza!$B110,Recibos!X$4:X$7493)</f>
        <v>400</v>
      </c>
      <c r="BM110" s="311">
        <f>SUMIF(Recibos!$D$4:$D$7493,Cobranza!$B110,Recibos!Y$4:Y$7493)</f>
        <v>400</v>
      </c>
      <c r="BN110" s="311">
        <f>SUMIF(Recibos!$D$4:$D$7493,Cobranza!$B110,Recibos!Z$4:Z$7493)</f>
        <v>400</v>
      </c>
      <c r="BO110" s="311">
        <f>SUMIF(Recibos!$D$4:$D$7493,Cobranza!$B110,Recibos!AA$4:AA$7493)</f>
        <v>400</v>
      </c>
      <c r="BP110" s="311">
        <f>SUMIF(Recibos!$D$4:$D$7493,Cobranza!$B110,Recibos!AB$4:AB$7493)</f>
        <v>400</v>
      </c>
      <c r="BQ110" s="311">
        <f>SUMIF(Recibos!$D$4:$D$7493,Cobranza!$B110,Recibos!AC$4:AC$7493)</f>
        <v>400</v>
      </c>
      <c r="BR110" s="311">
        <f>SUMIF(Recibos!$D$4:$D$7493,Cobranza!$B110,Recibos!AD$4:AD$7493)</f>
        <v>400</v>
      </c>
      <c r="BS110" s="311">
        <f>SUMIF(Recibos!$D$4:$D$7493,Cobranza!$B110,Recibos!AE$4:AE$7493)</f>
        <v>400</v>
      </c>
      <c r="BT110" s="311">
        <f>SUMIF(Recibos!$D$4:$D$7493,Cobranza!$B110,Recibos!AF$4:AF$7493)</f>
        <v>400</v>
      </c>
      <c r="BU110" s="311">
        <f>SUMIF(Recibos!$D$4:$D$7493,Cobranza!$B110,Recibos!AG$4:AG$7493)</f>
        <v>400</v>
      </c>
      <c r="BV110" s="311">
        <f>SUMIF(Recibos!$D$4:$D$7493,Cobranza!$B110,Recibos!AH$4:AH$7493)</f>
        <v>400</v>
      </c>
      <c r="BW110" s="311">
        <f>SUMIF(Recibos!$D$4:$D$7493,Cobranza!$B110,Recibos!AI$4:AI$7493)</f>
        <v>0</v>
      </c>
      <c r="BX110" s="312">
        <f t="shared" si="16"/>
        <v>4400</v>
      </c>
      <c r="BY110" s="311">
        <f>SUMIF(Recibos!$D$4:$D$7493,Cobranza!$B110,Recibos!AK$4:AK$7493)</f>
        <v>400</v>
      </c>
      <c r="BZ110" s="311">
        <f>SUMIF(Recibos!$D$4:$D$7493,Cobranza!$B110,Recibos!AL$4:AL$7493)</f>
        <v>400</v>
      </c>
      <c r="CA110" s="311">
        <f>SUMIF(Recibos!$D$4:$D$7493,Cobranza!$B110,Recibos!AM$4:AM$7493)</f>
        <v>400</v>
      </c>
      <c r="CB110" s="311">
        <f>SUMIF(Recibos!$D$4:$D$7493,Cobranza!$B110,Recibos!AN$4:AN$7493)</f>
        <v>400</v>
      </c>
      <c r="CC110" s="311">
        <f>SUMIF(Recibos!$D$4:$D$7493,Cobranza!$B110,Recibos!AO$4:AO$7493)</f>
        <v>400</v>
      </c>
      <c r="CD110" s="311">
        <f>SUMIF(Recibos!$D$4:$D$7493,Cobranza!$B110,Recibos!AP$4:AP$7493)</f>
        <v>400</v>
      </c>
      <c r="CE110" s="311">
        <f>SUMIF(Recibos!$D$4:$D$7493,Cobranza!$B110,Recibos!AQ$4:AQ$7493)</f>
        <v>0</v>
      </c>
      <c r="CF110" s="311">
        <f>SUMIF(Recibos!$D$4:$D$7493,Cobranza!$B110,Recibos!AR$4:AR$7493)</f>
        <v>0</v>
      </c>
      <c r="CG110" s="311">
        <f>SUMIF(Recibos!$D$4:$D$7493,Cobranza!$B110,Recibos!AS$4:AS$7493)</f>
        <v>0</v>
      </c>
      <c r="CH110" s="311">
        <f>SUMIF(Recibos!$D$4:$D$7493,Cobranza!$B110,Recibos!AT$4:AT$7493)</f>
        <v>0</v>
      </c>
      <c r="CI110" s="311">
        <f>SUMIF(Recibos!$D$4:$D$7493,Cobranza!$B110,Recibos!AU$4:AU$7493)</f>
        <v>0</v>
      </c>
      <c r="CJ110" s="311">
        <f>SUMIF(Recibos!$D$4:$D$7493,Cobranza!$B110,Recibos!AV$4:AV$7493)</f>
        <v>0</v>
      </c>
      <c r="CK110" s="312">
        <f t="shared" si="10"/>
        <v>2400</v>
      </c>
    </row>
    <row r="111" spans="2:89" x14ac:dyDescent="0.2">
      <c r="B111" s="45" t="s">
        <v>138</v>
      </c>
      <c r="C111" s="45" t="s">
        <v>139</v>
      </c>
      <c r="D111" s="45" t="s">
        <v>140</v>
      </c>
      <c r="E111" s="46">
        <v>0</v>
      </c>
      <c r="F111" s="46">
        <v>0</v>
      </c>
      <c r="G111" s="46">
        <v>0</v>
      </c>
      <c r="H111" s="46">
        <v>0</v>
      </c>
      <c r="I111" s="46">
        <v>0</v>
      </c>
      <c r="J111" s="46">
        <v>0</v>
      </c>
      <c r="K111" s="47">
        <f t="shared" si="11"/>
        <v>0</v>
      </c>
      <c r="L111" s="46">
        <v>0</v>
      </c>
      <c r="M111" s="46">
        <v>0</v>
      </c>
      <c r="N111" s="46">
        <v>0</v>
      </c>
      <c r="O111" s="46">
        <v>0</v>
      </c>
      <c r="P111" s="46">
        <v>0</v>
      </c>
      <c r="Q111" s="46">
        <v>0</v>
      </c>
      <c r="R111" s="46">
        <v>0</v>
      </c>
      <c r="S111" s="46">
        <v>0</v>
      </c>
      <c r="T111" s="46">
        <v>0</v>
      </c>
      <c r="U111" s="46">
        <v>400</v>
      </c>
      <c r="V111" s="46">
        <v>400</v>
      </c>
      <c r="W111" s="46">
        <v>400</v>
      </c>
      <c r="X111" s="47">
        <f t="shared" si="12"/>
        <v>1200</v>
      </c>
      <c r="Y111" s="46">
        <v>400</v>
      </c>
      <c r="Z111" s="46">
        <v>400</v>
      </c>
      <c r="AA111" s="46">
        <v>400</v>
      </c>
      <c r="AB111" s="46">
        <v>0</v>
      </c>
      <c r="AC111" s="46">
        <v>400</v>
      </c>
      <c r="AD111" s="46">
        <v>400</v>
      </c>
      <c r="AE111" s="46">
        <v>400</v>
      </c>
      <c r="AF111" s="46">
        <v>400</v>
      </c>
      <c r="AG111" s="46">
        <v>0</v>
      </c>
      <c r="AH111" s="46">
        <v>400</v>
      </c>
      <c r="AI111" s="46">
        <v>400</v>
      </c>
      <c r="AJ111" s="46">
        <v>0</v>
      </c>
      <c r="AK111" s="47">
        <f t="shared" si="13"/>
        <v>3600</v>
      </c>
      <c r="AL111" s="46">
        <v>400</v>
      </c>
      <c r="AM111" s="46">
        <v>400</v>
      </c>
      <c r="AN111" s="46">
        <v>400</v>
      </c>
      <c r="AO111" s="46">
        <v>400</v>
      </c>
      <c r="AP111" s="46">
        <v>400</v>
      </c>
      <c r="AQ111" s="46">
        <v>400</v>
      </c>
      <c r="AR111" s="46">
        <v>400</v>
      </c>
      <c r="AS111" s="46">
        <v>400</v>
      </c>
      <c r="AT111" s="46">
        <v>400</v>
      </c>
      <c r="AU111" s="46">
        <v>400</v>
      </c>
      <c r="AV111" s="46">
        <v>400</v>
      </c>
      <c r="AW111" s="46">
        <v>400</v>
      </c>
      <c r="AX111" s="47">
        <f t="shared" si="14"/>
        <v>4800</v>
      </c>
      <c r="AY111" s="313">
        <f>SUMIF(Recibos!$D$4:$D$7493,Cobranza!$B111,Recibos!K$4:K$7493)</f>
        <v>400</v>
      </c>
      <c r="AZ111" s="313">
        <f>SUMIF(Recibos!$D$4:$D$7493,Cobranza!$B111,Recibos!L$4:L$7493)</f>
        <v>400</v>
      </c>
      <c r="BA111" s="313">
        <f>SUMIF(Recibos!$D$4:$D$7493,Cobranza!$B111,Recibos!M$4:M$7493)</f>
        <v>400</v>
      </c>
      <c r="BB111" s="313">
        <f>SUMIF(Recibos!$D$4:$D$7493,Cobranza!$B111,Recibos!N$4:N$7493)</f>
        <v>400</v>
      </c>
      <c r="BC111" s="313">
        <f>SUMIF(Recibos!$D$4:$D$7493,Cobranza!$B111,Recibos!O$4:O$7493)</f>
        <v>400</v>
      </c>
      <c r="BD111" s="313">
        <f>SUMIF(Recibos!$D$4:$D$7493,Cobranza!$B111,Recibos!P$4:P$7493)</f>
        <v>400</v>
      </c>
      <c r="BE111" s="313">
        <f>SUMIF(Recibos!$D$4:$D$7493,Cobranza!$B111,Recibos!Q$4:Q$7493)</f>
        <v>400</v>
      </c>
      <c r="BF111" s="313">
        <f>SUMIF(Recibos!$D$4:$D$7493,Cobranza!$B111,Recibos!R$4:R$7493)</f>
        <v>400</v>
      </c>
      <c r="BG111" s="313">
        <f>SUMIF(Recibos!$D$4:$D$7493,Cobranza!$B111,Recibos!S$4:S$7493)</f>
        <v>400</v>
      </c>
      <c r="BH111" s="313">
        <f>SUMIF(Recibos!$D$4:$D$7493,Cobranza!$B111,Recibos!T$4:T$7493)</f>
        <v>400</v>
      </c>
      <c r="BI111" s="313">
        <f>SUMIF(Recibos!$D$4:$D$7493,Cobranza!$B111,Recibos!U$4:U$7493)</f>
        <v>400</v>
      </c>
      <c r="BJ111" s="313">
        <f>SUMIF(Recibos!$D$4:$D$7493,Cobranza!$B111,Recibos!V$4:V$7493)</f>
        <v>400</v>
      </c>
      <c r="BK111" s="314">
        <f t="shared" si="15"/>
        <v>4800</v>
      </c>
      <c r="BL111" s="313">
        <f>SUMIF(Recibos!$D$4:$D$7493,Cobranza!$B111,Recibos!X$4:X$7493)</f>
        <v>400</v>
      </c>
      <c r="BM111" s="313">
        <f>SUMIF(Recibos!$D$4:$D$7493,Cobranza!$B111,Recibos!Y$4:Y$7493)</f>
        <v>0</v>
      </c>
      <c r="BN111" s="313">
        <f>SUMIF(Recibos!$D$4:$D$7493,Cobranza!$B111,Recibos!Z$4:Z$7493)</f>
        <v>0</v>
      </c>
      <c r="BO111" s="313">
        <f>SUMIF(Recibos!$D$4:$D$7493,Cobranza!$B111,Recibos!AA$4:AA$7493)</f>
        <v>400</v>
      </c>
      <c r="BP111" s="313">
        <f>SUMIF(Recibos!$D$4:$D$7493,Cobranza!$B111,Recibos!AB$4:AB$7493)</f>
        <v>400</v>
      </c>
      <c r="BQ111" s="313">
        <f>SUMIF(Recibos!$D$4:$D$7493,Cobranza!$B111,Recibos!AC$4:AC$7493)</f>
        <v>400</v>
      </c>
      <c r="BR111" s="313">
        <f>SUMIF(Recibos!$D$4:$D$7493,Cobranza!$B111,Recibos!AD$4:AD$7493)</f>
        <v>400</v>
      </c>
      <c r="BS111" s="313">
        <f>SUMIF(Recibos!$D$4:$D$7493,Cobranza!$B111,Recibos!AE$4:AE$7493)</f>
        <v>400</v>
      </c>
      <c r="BT111" s="313">
        <f>SUMIF(Recibos!$D$4:$D$7493,Cobranza!$B111,Recibos!AF$4:AF$7493)</f>
        <v>400</v>
      </c>
      <c r="BU111" s="313">
        <f>SUMIF(Recibos!$D$4:$D$7493,Cobranza!$B111,Recibos!AG$4:AG$7493)</f>
        <v>400</v>
      </c>
      <c r="BV111" s="313">
        <f>SUMIF(Recibos!$D$4:$D$7493,Cobranza!$B111,Recibos!AH$4:AH$7493)</f>
        <v>400</v>
      </c>
      <c r="BW111" s="313">
        <f>SUMIF(Recibos!$D$4:$D$7493,Cobranza!$B111,Recibos!AI$4:AI$7493)</f>
        <v>0</v>
      </c>
      <c r="BX111" s="314">
        <f t="shared" si="16"/>
        <v>3600</v>
      </c>
      <c r="BY111" s="313">
        <f>SUMIF(Recibos!$D$4:$D$7493,Cobranza!$B111,Recibos!AK$4:AK$7493)</f>
        <v>400</v>
      </c>
      <c r="BZ111" s="313">
        <f>SUMIF(Recibos!$D$4:$D$7493,Cobranza!$B111,Recibos!AL$4:AL$7493)</f>
        <v>400</v>
      </c>
      <c r="CA111" s="313">
        <f>SUMIF(Recibos!$D$4:$D$7493,Cobranza!$B111,Recibos!AM$4:AM$7493)</f>
        <v>400</v>
      </c>
      <c r="CB111" s="313">
        <f>SUMIF(Recibos!$D$4:$D$7493,Cobranza!$B111,Recibos!AN$4:AN$7493)</f>
        <v>400</v>
      </c>
      <c r="CC111" s="313">
        <f>SUMIF(Recibos!$D$4:$D$7493,Cobranza!$B111,Recibos!AO$4:AO$7493)</f>
        <v>400</v>
      </c>
      <c r="CD111" s="313">
        <f>SUMIF(Recibos!$D$4:$D$7493,Cobranza!$B111,Recibos!AP$4:AP$7493)</f>
        <v>400</v>
      </c>
      <c r="CE111" s="313">
        <f>SUMIF(Recibos!$D$4:$D$7493,Cobranza!$B111,Recibos!AQ$4:AQ$7493)</f>
        <v>400</v>
      </c>
      <c r="CF111" s="313">
        <f>SUMIF(Recibos!$D$4:$D$7493,Cobranza!$B111,Recibos!AR$4:AR$7493)</f>
        <v>400</v>
      </c>
      <c r="CG111" s="313">
        <f>SUMIF(Recibos!$D$4:$D$7493,Cobranza!$B111,Recibos!AS$4:AS$7493)</f>
        <v>400</v>
      </c>
      <c r="CH111" s="313">
        <f>SUMIF(Recibos!$D$4:$D$7493,Cobranza!$B111,Recibos!AT$4:AT$7493)</f>
        <v>400</v>
      </c>
      <c r="CI111" s="313">
        <f>SUMIF(Recibos!$D$4:$D$7493,Cobranza!$B111,Recibos!AU$4:AU$7493)</f>
        <v>400</v>
      </c>
      <c r="CJ111" s="313">
        <f>SUMIF(Recibos!$D$4:$D$7493,Cobranza!$B111,Recibos!AV$4:AV$7493)</f>
        <v>0</v>
      </c>
      <c r="CK111" s="314">
        <f t="shared" si="10"/>
        <v>4400</v>
      </c>
    </row>
    <row r="112" spans="2:89" x14ac:dyDescent="0.2">
      <c r="B112" s="42" t="s">
        <v>1309</v>
      </c>
      <c r="C112" s="42" t="s">
        <v>1310</v>
      </c>
      <c r="D112" s="42"/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4">
        <f t="shared" si="11"/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4">
        <f t="shared" si="12"/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4">
        <f t="shared" si="13"/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4">
        <f t="shared" si="14"/>
        <v>0</v>
      </c>
      <c r="AY112" s="311">
        <f>SUMIF(Recibos!$D$4:$D$7493,Cobranza!$B112,Recibos!K$4:K$7493)</f>
        <v>0</v>
      </c>
      <c r="AZ112" s="311">
        <f>SUMIF(Recibos!$D$4:$D$7493,Cobranza!$B112,Recibos!L$4:L$7493)</f>
        <v>0</v>
      </c>
      <c r="BA112" s="311">
        <f>SUMIF(Recibos!$D$4:$D$7493,Cobranza!$B112,Recibos!M$4:M$7493)</f>
        <v>0</v>
      </c>
      <c r="BB112" s="311">
        <f>SUMIF(Recibos!$D$4:$D$7493,Cobranza!$B112,Recibos!N$4:N$7493)</f>
        <v>0</v>
      </c>
      <c r="BC112" s="311">
        <f>SUMIF(Recibos!$D$4:$D$7493,Cobranza!$B112,Recibos!O$4:O$7493)</f>
        <v>0</v>
      </c>
      <c r="BD112" s="311">
        <f>SUMIF(Recibos!$D$4:$D$7493,Cobranza!$B112,Recibos!P$4:P$7493)</f>
        <v>0</v>
      </c>
      <c r="BE112" s="311">
        <f>SUMIF(Recibos!$D$4:$D$7493,Cobranza!$B112,Recibos!Q$4:Q$7493)</f>
        <v>0</v>
      </c>
      <c r="BF112" s="311">
        <f>SUMIF(Recibos!$D$4:$D$7493,Cobranza!$B112,Recibos!R$4:R$7493)</f>
        <v>0</v>
      </c>
      <c r="BG112" s="311">
        <f>SUMIF(Recibos!$D$4:$D$7493,Cobranza!$B112,Recibos!S$4:S$7493)</f>
        <v>0</v>
      </c>
      <c r="BH112" s="311">
        <f>SUMIF(Recibos!$D$4:$D$7493,Cobranza!$B112,Recibos!T$4:T$7493)</f>
        <v>0</v>
      </c>
      <c r="BI112" s="311">
        <f>SUMIF(Recibos!$D$4:$D$7493,Cobranza!$B112,Recibos!U$4:U$7493)</f>
        <v>0</v>
      </c>
      <c r="BJ112" s="311">
        <f>SUMIF(Recibos!$D$4:$D$7493,Cobranza!$B112,Recibos!V$4:V$7493)</f>
        <v>0</v>
      </c>
      <c r="BK112" s="312">
        <f t="shared" si="15"/>
        <v>0</v>
      </c>
      <c r="BL112" s="311">
        <f>SUMIF(Recibos!$D$4:$D$7493,Cobranza!$B112,Recibos!X$4:X$7493)</f>
        <v>0</v>
      </c>
      <c r="BM112" s="311">
        <f>SUMIF(Recibos!$D$4:$D$7493,Cobranza!$B112,Recibos!Y$4:Y$7493)</f>
        <v>0</v>
      </c>
      <c r="BN112" s="311">
        <f>SUMIF(Recibos!$D$4:$D$7493,Cobranza!$B112,Recibos!Z$4:Z$7493)</f>
        <v>0</v>
      </c>
      <c r="BO112" s="311">
        <f>SUMIF(Recibos!$D$4:$D$7493,Cobranza!$B112,Recibos!AA$4:AA$7493)</f>
        <v>0</v>
      </c>
      <c r="BP112" s="311">
        <f>SUMIF(Recibos!$D$4:$D$7493,Cobranza!$B112,Recibos!AB$4:AB$7493)</f>
        <v>0</v>
      </c>
      <c r="BQ112" s="311">
        <f>SUMIF(Recibos!$D$4:$D$7493,Cobranza!$B112,Recibos!AC$4:AC$7493)</f>
        <v>0</v>
      </c>
      <c r="BR112" s="311">
        <f>SUMIF(Recibos!$D$4:$D$7493,Cobranza!$B112,Recibos!AD$4:AD$7493)</f>
        <v>0</v>
      </c>
      <c r="BS112" s="311">
        <f>SUMIF(Recibos!$D$4:$D$7493,Cobranza!$B112,Recibos!AE$4:AE$7493)</f>
        <v>0</v>
      </c>
      <c r="BT112" s="311">
        <f>SUMIF(Recibos!$D$4:$D$7493,Cobranza!$B112,Recibos!AF$4:AF$7493)</f>
        <v>0</v>
      </c>
      <c r="BU112" s="311">
        <f>SUMIF(Recibos!$D$4:$D$7493,Cobranza!$B112,Recibos!AG$4:AG$7493)</f>
        <v>0</v>
      </c>
      <c r="BV112" s="311">
        <f>SUMIF(Recibos!$D$4:$D$7493,Cobranza!$B112,Recibos!AH$4:AH$7493)</f>
        <v>0</v>
      </c>
      <c r="BW112" s="311">
        <f>SUMIF(Recibos!$D$4:$D$7493,Cobranza!$B112,Recibos!AI$4:AI$7493)</f>
        <v>0</v>
      </c>
      <c r="BX112" s="312">
        <f t="shared" si="16"/>
        <v>0</v>
      </c>
      <c r="BY112" s="311">
        <f>SUMIF(Recibos!$D$4:$D$7493,Cobranza!$B112,Recibos!AK$4:AK$7493)</f>
        <v>0</v>
      </c>
      <c r="BZ112" s="311">
        <f>SUMIF(Recibos!$D$4:$D$7493,Cobranza!$B112,Recibos!AL$4:AL$7493)</f>
        <v>0</v>
      </c>
      <c r="CA112" s="311">
        <f>SUMIF(Recibos!$D$4:$D$7493,Cobranza!$B112,Recibos!AM$4:AM$7493)</f>
        <v>0</v>
      </c>
      <c r="CB112" s="311">
        <f>SUMIF(Recibos!$D$4:$D$7493,Cobranza!$B112,Recibos!AN$4:AN$7493)</f>
        <v>0</v>
      </c>
      <c r="CC112" s="311">
        <f>SUMIF(Recibos!$D$4:$D$7493,Cobranza!$B112,Recibos!AO$4:AO$7493)</f>
        <v>0</v>
      </c>
      <c r="CD112" s="311">
        <f>SUMIF(Recibos!$D$4:$D$7493,Cobranza!$B112,Recibos!AP$4:AP$7493)</f>
        <v>0</v>
      </c>
      <c r="CE112" s="311">
        <f>SUMIF(Recibos!$D$4:$D$7493,Cobranza!$B112,Recibos!AQ$4:AQ$7493)</f>
        <v>0</v>
      </c>
      <c r="CF112" s="311">
        <f>SUMIF(Recibos!$D$4:$D$7493,Cobranza!$B112,Recibos!AR$4:AR$7493)</f>
        <v>0</v>
      </c>
      <c r="CG112" s="311">
        <f>SUMIF(Recibos!$D$4:$D$7493,Cobranza!$B112,Recibos!AS$4:AS$7493)</f>
        <v>0</v>
      </c>
      <c r="CH112" s="311">
        <f>SUMIF(Recibos!$D$4:$D$7493,Cobranza!$B112,Recibos!AT$4:AT$7493)</f>
        <v>0</v>
      </c>
      <c r="CI112" s="311">
        <f>SUMIF(Recibos!$D$4:$D$7493,Cobranza!$B112,Recibos!AU$4:AU$7493)</f>
        <v>0</v>
      </c>
      <c r="CJ112" s="311">
        <f>SUMIF(Recibos!$D$4:$D$7493,Cobranza!$B112,Recibos!AV$4:AV$7493)</f>
        <v>0</v>
      </c>
      <c r="CK112" s="312">
        <f t="shared" si="10"/>
        <v>0</v>
      </c>
    </row>
    <row r="113" spans="2:89" x14ac:dyDescent="0.2">
      <c r="B113" s="45" t="s">
        <v>84</v>
      </c>
      <c r="C113" s="45" t="s">
        <v>85</v>
      </c>
      <c r="D113" s="45" t="s">
        <v>86</v>
      </c>
      <c r="E113" s="46">
        <v>0</v>
      </c>
      <c r="F113" s="46">
        <v>0</v>
      </c>
      <c r="G113" s="46">
        <v>0</v>
      </c>
      <c r="H113" s="46">
        <v>0</v>
      </c>
      <c r="I113" s="46">
        <v>0</v>
      </c>
      <c r="J113" s="46">
        <v>200</v>
      </c>
      <c r="K113" s="47">
        <f t="shared" si="11"/>
        <v>200</v>
      </c>
      <c r="L113" s="46">
        <v>200</v>
      </c>
      <c r="M113" s="46">
        <v>200</v>
      </c>
      <c r="N113" s="46">
        <v>200</v>
      </c>
      <c r="O113" s="46">
        <v>200</v>
      </c>
      <c r="P113" s="46">
        <v>200</v>
      </c>
      <c r="Q113" s="46">
        <v>200</v>
      </c>
      <c r="R113" s="46">
        <v>200</v>
      </c>
      <c r="S113" s="46">
        <v>200</v>
      </c>
      <c r="T113" s="46">
        <v>200</v>
      </c>
      <c r="U113" s="46">
        <v>200</v>
      </c>
      <c r="V113" s="46">
        <v>200</v>
      </c>
      <c r="W113" s="46">
        <v>200</v>
      </c>
      <c r="X113" s="47">
        <f t="shared" si="12"/>
        <v>2400</v>
      </c>
      <c r="Y113" s="46">
        <v>200</v>
      </c>
      <c r="Z113" s="46">
        <v>200</v>
      </c>
      <c r="AA113" s="46">
        <v>200</v>
      </c>
      <c r="AB113" s="46">
        <v>200</v>
      </c>
      <c r="AC113" s="46">
        <v>200</v>
      </c>
      <c r="AD113" s="46">
        <v>200</v>
      </c>
      <c r="AE113" s="46">
        <v>200</v>
      </c>
      <c r="AF113" s="46">
        <v>200</v>
      </c>
      <c r="AG113" s="46">
        <v>200</v>
      </c>
      <c r="AH113" s="46">
        <v>200</v>
      </c>
      <c r="AI113" s="46">
        <v>200</v>
      </c>
      <c r="AJ113" s="46">
        <v>200</v>
      </c>
      <c r="AK113" s="47">
        <f t="shared" si="13"/>
        <v>2400</v>
      </c>
      <c r="AL113" s="46">
        <v>200</v>
      </c>
      <c r="AM113" s="46">
        <v>200</v>
      </c>
      <c r="AN113" s="46">
        <v>200</v>
      </c>
      <c r="AO113" s="46">
        <v>200</v>
      </c>
      <c r="AP113" s="46">
        <v>200</v>
      </c>
      <c r="AQ113" s="46">
        <v>200</v>
      </c>
      <c r="AR113" s="46">
        <v>200</v>
      </c>
      <c r="AS113" s="46">
        <v>200</v>
      </c>
      <c r="AT113" s="46">
        <v>200</v>
      </c>
      <c r="AU113" s="46">
        <v>200</v>
      </c>
      <c r="AV113" s="46">
        <v>200</v>
      </c>
      <c r="AW113" s="46">
        <v>200</v>
      </c>
      <c r="AX113" s="47">
        <f t="shared" si="14"/>
        <v>2400</v>
      </c>
      <c r="AY113" s="313">
        <f>SUMIF(Recibos!$D$4:$D$7493,Cobranza!$B113,Recibos!K$4:K$7493)</f>
        <v>200</v>
      </c>
      <c r="AZ113" s="313">
        <f>SUMIF(Recibos!$D$4:$D$7493,Cobranza!$B113,Recibos!L$4:L$7493)</f>
        <v>200</v>
      </c>
      <c r="BA113" s="313">
        <f>SUMIF(Recibos!$D$4:$D$7493,Cobranza!$B113,Recibos!M$4:M$7493)</f>
        <v>200</v>
      </c>
      <c r="BB113" s="313">
        <f>SUMIF(Recibos!$D$4:$D$7493,Cobranza!$B113,Recibos!N$4:N$7493)</f>
        <v>200</v>
      </c>
      <c r="BC113" s="313">
        <f>SUMIF(Recibos!$D$4:$D$7493,Cobranza!$B113,Recibos!O$4:O$7493)</f>
        <v>200</v>
      </c>
      <c r="BD113" s="313">
        <f>SUMIF(Recibos!$D$4:$D$7493,Cobranza!$B113,Recibos!P$4:P$7493)</f>
        <v>200</v>
      </c>
      <c r="BE113" s="313">
        <f>SUMIF(Recibos!$D$4:$D$7493,Cobranza!$B113,Recibos!Q$4:Q$7493)</f>
        <v>0</v>
      </c>
      <c r="BF113" s="313">
        <f>SUMIF(Recibos!$D$4:$D$7493,Cobranza!$B113,Recibos!R$4:R$7493)</f>
        <v>200</v>
      </c>
      <c r="BG113" s="313">
        <f>SUMIF(Recibos!$D$4:$D$7493,Cobranza!$B113,Recibos!S$4:S$7493)</f>
        <v>200</v>
      </c>
      <c r="BH113" s="313">
        <f>SUMIF(Recibos!$D$4:$D$7493,Cobranza!$B113,Recibos!T$4:T$7493)</f>
        <v>200</v>
      </c>
      <c r="BI113" s="313">
        <f>SUMIF(Recibos!$D$4:$D$7493,Cobranza!$B113,Recibos!U$4:U$7493)</f>
        <v>200</v>
      </c>
      <c r="BJ113" s="313">
        <f>SUMIF(Recibos!$D$4:$D$7493,Cobranza!$B113,Recibos!V$4:V$7493)</f>
        <v>200</v>
      </c>
      <c r="BK113" s="314">
        <f t="shared" si="15"/>
        <v>2200</v>
      </c>
      <c r="BL113" s="313">
        <f>SUMIF(Recibos!$D$4:$D$7493,Cobranza!$B113,Recibos!X$4:X$7493)</f>
        <v>200</v>
      </c>
      <c r="BM113" s="313">
        <f>SUMIF(Recibos!$D$4:$D$7493,Cobranza!$B113,Recibos!Y$4:Y$7493)</f>
        <v>200</v>
      </c>
      <c r="BN113" s="313">
        <f>SUMIF(Recibos!$D$4:$D$7493,Cobranza!$B113,Recibos!Z$4:Z$7493)</f>
        <v>200</v>
      </c>
      <c r="BO113" s="313">
        <f>SUMIF(Recibos!$D$4:$D$7493,Cobranza!$B113,Recibos!AA$4:AA$7493)</f>
        <v>200</v>
      </c>
      <c r="BP113" s="313">
        <f>SUMIF(Recibos!$D$4:$D$7493,Cobranza!$B113,Recibos!AB$4:AB$7493)</f>
        <v>200</v>
      </c>
      <c r="BQ113" s="313">
        <f>SUMIF(Recibos!$D$4:$D$7493,Cobranza!$B113,Recibos!AC$4:AC$7493)</f>
        <v>200</v>
      </c>
      <c r="BR113" s="313">
        <f>SUMIF(Recibos!$D$4:$D$7493,Cobranza!$B113,Recibos!AD$4:AD$7493)</f>
        <v>200</v>
      </c>
      <c r="BS113" s="313">
        <f>SUMIF(Recibos!$D$4:$D$7493,Cobranza!$B113,Recibos!AE$4:AE$7493)</f>
        <v>200</v>
      </c>
      <c r="BT113" s="313">
        <f>SUMIF(Recibos!$D$4:$D$7493,Cobranza!$B113,Recibos!AF$4:AF$7493)</f>
        <v>200</v>
      </c>
      <c r="BU113" s="313">
        <f>SUMIF(Recibos!$D$4:$D$7493,Cobranza!$B113,Recibos!AG$4:AG$7493)</f>
        <v>200</v>
      </c>
      <c r="BV113" s="313">
        <f>SUMIF(Recibos!$D$4:$D$7493,Cobranza!$B113,Recibos!AH$4:AH$7493)</f>
        <v>200</v>
      </c>
      <c r="BW113" s="313">
        <f>SUMIF(Recibos!$D$4:$D$7493,Cobranza!$B113,Recibos!AI$4:AI$7493)</f>
        <v>200</v>
      </c>
      <c r="BX113" s="314">
        <f t="shared" si="16"/>
        <v>2400</v>
      </c>
      <c r="BY113" s="313">
        <f>SUMIF(Recibos!$D$4:$D$7493,Cobranza!$B113,Recibos!AK$4:AK$7493)</f>
        <v>200</v>
      </c>
      <c r="BZ113" s="313">
        <f>SUMIF(Recibos!$D$4:$D$7493,Cobranza!$B113,Recibos!AL$4:AL$7493)</f>
        <v>200</v>
      </c>
      <c r="CA113" s="313">
        <f>SUMIF(Recibos!$D$4:$D$7493,Cobranza!$B113,Recibos!AM$4:AM$7493)</f>
        <v>200</v>
      </c>
      <c r="CB113" s="313">
        <f>SUMIF(Recibos!$D$4:$D$7493,Cobranza!$B113,Recibos!AN$4:AN$7493)</f>
        <v>200</v>
      </c>
      <c r="CC113" s="313">
        <f>SUMIF(Recibos!$D$4:$D$7493,Cobranza!$B113,Recibos!AO$4:AO$7493)</f>
        <v>200</v>
      </c>
      <c r="CD113" s="313">
        <f>SUMIF(Recibos!$D$4:$D$7493,Cobranza!$B113,Recibos!AP$4:AP$7493)</f>
        <v>200</v>
      </c>
      <c r="CE113" s="313">
        <f>SUMIF(Recibos!$D$4:$D$7493,Cobranza!$B113,Recibos!AQ$4:AQ$7493)</f>
        <v>200</v>
      </c>
      <c r="CF113" s="313">
        <f>SUMIF(Recibos!$D$4:$D$7493,Cobranza!$B113,Recibos!AR$4:AR$7493)</f>
        <v>200</v>
      </c>
      <c r="CG113" s="313">
        <f>SUMIF(Recibos!$D$4:$D$7493,Cobranza!$B113,Recibos!AS$4:AS$7493)</f>
        <v>200</v>
      </c>
      <c r="CH113" s="313">
        <f>SUMIF(Recibos!$D$4:$D$7493,Cobranza!$B113,Recibos!AT$4:AT$7493)</f>
        <v>200</v>
      </c>
      <c r="CI113" s="313">
        <f>SUMIF(Recibos!$D$4:$D$7493,Cobranza!$B113,Recibos!AU$4:AU$7493)</f>
        <v>0</v>
      </c>
      <c r="CJ113" s="313">
        <f>SUMIF(Recibos!$D$4:$D$7493,Cobranza!$B113,Recibos!AV$4:AV$7493)</f>
        <v>0</v>
      </c>
      <c r="CK113" s="314">
        <f t="shared" si="10"/>
        <v>2000</v>
      </c>
    </row>
    <row r="114" spans="2:89" x14ac:dyDescent="0.2">
      <c r="B114" s="42" t="s">
        <v>65</v>
      </c>
      <c r="C114" s="42" t="s">
        <v>66</v>
      </c>
      <c r="D114" s="42" t="s">
        <v>67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4">
        <f t="shared" si="11"/>
        <v>0</v>
      </c>
      <c r="L114" s="43">
        <v>300</v>
      </c>
      <c r="M114" s="43">
        <v>300</v>
      </c>
      <c r="N114" s="43">
        <v>300</v>
      </c>
      <c r="O114" s="43">
        <v>300</v>
      </c>
      <c r="P114" s="43">
        <v>300</v>
      </c>
      <c r="Q114" s="43">
        <v>300</v>
      </c>
      <c r="R114" s="43">
        <v>300</v>
      </c>
      <c r="S114" s="43">
        <v>300</v>
      </c>
      <c r="T114" s="43">
        <v>300</v>
      </c>
      <c r="U114" s="43">
        <v>300</v>
      </c>
      <c r="V114" s="43">
        <v>300</v>
      </c>
      <c r="W114" s="43">
        <v>300</v>
      </c>
      <c r="X114" s="44">
        <f t="shared" si="12"/>
        <v>3600</v>
      </c>
      <c r="Y114" s="43">
        <v>400</v>
      </c>
      <c r="Z114" s="43">
        <v>400</v>
      </c>
      <c r="AA114" s="43">
        <v>400</v>
      </c>
      <c r="AB114" s="43">
        <v>400</v>
      </c>
      <c r="AC114" s="43">
        <v>400</v>
      </c>
      <c r="AD114" s="43">
        <v>400</v>
      </c>
      <c r="AE114" s="43">
        <v>400</v>
      </c>
      <c r="AF114" s="43">
        <v>400</v>
      </c>
      <c r="AG114" s="43">
        <v>400</v>
      </c>
      <c r="AH114" s="43">
        <v>400</v>
      </c>
      <c r="AI114" s="43">
        <v>400</v>
      </c>
      <c r="AJ114" s="43">
        <v>0</v>
      </c>
      <c r="AK114" s="44">
        <f t="shared" si="13"/>
        <v>4400</v>
      </c>
      <c r="AL114" s="43">
        <v>400</v>
      </c>
      <c r="AM114" s="43">
        <v>400</v>
      </c>
      <c r="AN114" s="43">
        <v>400</v>
      </c>
      <c r="AO114" s="43">
        <v>400</v>
      </c>
      <c r="AP114" s="43">
        <v>400</v>
      </c>
      <c r="AQ114" s="43">
        <v>400</v>
      </c>
      <c r="AR114" s="43">
        <v>400</v>
      </c>
      <c r="AS114" s="43">
        <v>400</v>
      </c>
      <c r="AT114" s="43">
        <v>400</v>
      </c>
      <c r="AU114" s="43">
        <v>400</v>
      </c>
      <c r="AV114" s="43">
        <v>400</v>
      </c>
      <c r="AW114" s="43">
        <v>0</v>
      </c>
      <c r="AX114" s="44">
        <f t="shared" si="14"/>
        <v>4400</v>
      </c>
      <c r="AY114" s="311">
        <f>SUMIF(Recibos!$D$4:$D$7493,Cobranza!$B114,Recibos!K$4:K$7493)</f>
        <v>400</v>
      </c>
      <c r="AZ114" s="311">
        <f>SUMIF(Recibos!$D$4:$D$7493,Cobranza!$B114,Recibos!L$4:L$7493)</f>
        <v>400</v>
      </c>
      <c r="BA114" s="311">
        <f>SUMIF(Recibos!$D$4:$D$7493,Cobranza!$B114,Recibos!M$4:M$7493)</f>
        <v>400</v>
      </c>
      <c r="BB114" s="311">
        <f>SUMIF(Recibos!$D$4:$D$7493,Cobranza!$B114,Recibos!N$4:N$7493)</f>
        <v>400</v>
      </c>
      <c r="BC114" s="311">
        <f>SUMIF(Recibos!$D$4:$D$7493,Cobranza!$B114,Recibos!O$4:O$7493)</f>
        <v>400</v>
      </c>
      <c r="BD114" s="311">
        <f>SUMIF(Recibos!$D$4:$D$7493,Cobranza!$B114,Recibos!P$4:P$7493)</f>
        <v>400</v>
      </c>
      <c r="BE114" s="311">
        <f>SUMIF(Recibos!$D$4:$D$7493,Cobranza!$B114,Recibos!Q$4:Q$7493)</f>
        <v>400</v>
      </c>
      <c r="BF114" s="311">
        <f>SUMIF(Recibos!$D$4:$D$7493,Cobranza!$B114,Recibos!R$4:R$7493)</f>
        <v>400</v>
      </c>
      <c r="BG114" s="311">
        <f>SUMIF(Recibos!$D$4:$D$7493,Cobranza!$B114,Recibos!S$4:S$7493)</f>
        <v>400</v>
      </c>
      <c r="BH114" s="311">
        <f>SUMIF(Recibos!$D$4:$D$7493,Cobranza!$B114,Recibos!T$4:T$7493)</f>
        <v>400</v>
      </c>
      <c r="BI114" s="311">
        <f>SUMIF(Recibos!$D$4:$D$7493,Cobranza!$B114,Recibos!U$4:U$7493)</f>
        <v>400</v>
      </c>
      <c r="BJ114" s="311">
        <f>SUMIF(Recibos!$D$4:$D$7493,Cobranza!$B114,Recibos!V$4:V$7493)</f>
        <v>0</v>
      </c>
      <c r="BK114" s="312">
        <f t="shared" si="15"/>
        <v>4400</v>
      </c>
      <c r="BL114" s="311">
        <f>SUMIF(Recibos!$D$4:$D$7493,Cobranza!$B114,Recibos!X$4:X$7493)</f>
        <v>400</v>
      </c>
      <c r="BM114" s="311">
        <f>SUMIF(Recibos!$D$4:$D$7493,Cobranza!$B114,Recibos!Y$4:Y$7493)</f>
        <v>400</v>
      </c>
      <c r="BN114" s="311">
        <f>SUMIF(Recibos!$D$4:$D$7493,Cobranza!$B114,Recibos!Z$4:Z$7493)</f>
        <v>400</v>
      </c>
      <c r="BO114" s="311">
        <f>SUMIF(Recibos!$D$4:$D$7493,Cobranza!$B114,Recibos!AA$4:AA$7493)</f>
        <v>400</v>
      </c>
      <c r="BP114" s="311">
        <f>SUMIF(Recibos!$D$4:$D$7493,Cobranza!$B114,Recibos!AB$4:AB$7493)</f>
        <v>400</v>
      </c>
      <c r="BQ114" s="311">
        <f>SUMIF(Recibos!$D$4:$D$7493,Cobranza!$B114,Recibos!AC$4:AC$7493)</f>
        <v>400</v>
      </c>
      <c r="BR114" s="311">
        <f>SUMIF(Recibos!$D$4:$D$7493,Cobranza!$B114,Recibos!AD$4:AD$7493)</f>
        <v>400</v>
      </c>
      <c r="BS114" s="311">
        <f>SUMIF(Recibos!$D$4:$D$7493,Cobranza!$B114,Recibos!AE$4:AE$7493)</f>
        <v>400</v>
      </c>
      <c r="BT114" s="311">
        <f>SUMIF(Recibos!$D$4:$D$7493,Cobranza!$B114,Recibos!AF$4:AF$7493)</f>
        <v>400</v>
      </c>
      <c r="BU114" s="311">
        <f>SUMIF(Recibos!$D$4:$D$7493,Cobranza!$B114,Recibos!AG$4:AG$7493)</f>
        <v>400</v>
      </c>
      <c r="BV114" s="311">
        <f>SUMIF(Recibos!$D$4:$D$7493,Cobranza!$B114,Recibos!AH$4:AH$7493)</f>
        <v>400</v>
      </c>
      <c r="BW114" s="311">
        <f>SUMIF(Recibos!$D$4:$D$7493,Cobranza!$B114,Recibos!AI$4:AI$7493)</f>
        <v>0</v>
      </c>
      <c r="BX114" s="312">
        <f t="shared" si="16"/>
        <v>4400</v>
      </c>
      <c r="BY114" s="311">
        <f>SUMIF(Recibos!$D$4:$D$7493,Cobranza!$B114,Recibos!AK$4:AK$7493)</f>
        <v>400</v>
      </c>
      <c r="BZ114" s="311">
        <f>SUMIF(Recibos!$D$4:$D$7493,Cobranza!$B114,Recibos!AL$4:AL$7493)</f>
        <v>400</v>
      </c>
      <c r="CA114" s="311">
        <f>SUMIF(Recibos!$D$4:$D$7493,Cobranza!$B114,Recibos!AM$4:AM$7493)</f>
        <v>400</v>
      </c>
      <c r="CB114" s="311">
        <f>SUMIF(Recibos!$D$4:$D$7493,Cobranza!$B114,Recibos!AN$4:AN$7493)</f>
        <v>400</v>
      </c>
      <c r="CC114" s="311">
        <f>SUMIF(Recibos!$D$4:$D$7493,Cobranza!$B114,Recibos!AO$4:AO$7493)</f>
        <v>400</v>
      </c>
      <c r="CD114" s="311">
        <f>SUMIF(Recibos!$D$4:$D$7493,Cobranza!$B114,Recibos!AP$4:AP$7493)</f>
        <v>400</v>
      </c>
      <c r="CE114" s="311">
        <f>SUMIF(Recibos!$D$4:$D$7493,Cobranza!$B114,Recibos!AQ$4:AQ$7493)</f>
        <v>400</v>
      </c>
      <c r="CF114" s="311">
        <f>SUMIF(Recibos!$D$4:$D$7493,Cobranza!$B114,Recibos!AR$4:AR$7493)</f>
        <v>400</v>
      </c>
      <c r="CG114" s="311">
        <f>SUMIF(Recibos!$D$4:$D$7493,Cobranza!$B114,Recibos!AS$4:AS$7493)</f>
        <v>400</v>
      </c>
      <c r="CH114" s="311">
        <f>SUMIF(Recibos!$D$4:$D$7493,Cobranza!$B114,Recibos!AT$4:AT$7493)</f>
        <v>400</v>
      </c>
      <c r="CI114" s="311">
        <f>SUMIF(Recibos!$D$4:$D$7493,Cobranza!$B114,Recibos!AU$4:AU$7493)</f>
        <v>400</v>
      </c>
      <c r="CJ114" s="311">
        <f>SUMIF(Recibos!$D$4:$D$7493,Cobranza!$B114,Recibos!AV$4:AV$7493)</f>
        <v>0</v>
      </c>
      <c r="CK114" s="312">
        <f t="shared" si="10"/>
        <v>4400</v>
      </c>
    </row>
    <row r="115" spans="2:89" x14ac:dyDescent="0.2">
      <c r="B115" s="45" t="s">
        <v>1311</v>
      </c>
      <c r="C115" s="45" t="s">
        <v>1312</v>
      </c>
      <c r="D115" s="45"/>
      <c r="E115" s="46">
        <v>0</v>
      </c>
      <c r="F115" s="46">
        <v>0</v>
      </c>
      <c r="G115" s="46">
        <v>0</v>
      </c>
      <c r="H115" s="46">
        <v>0</v>
      </c>
      <c r="I115" s="46">
        <v>0</v>
      </c>
      <c r="J115" s="46">
        <v>0</v>
      </c>
      <c r="K115" s="47">
        <f t="shared" si="11"/>
        <v>0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47">
        <f t="shared" si="12"/>
        <v>0</v>
      </c>
      <c r="Y115" s="46">
        <v>0</v>
      </c>
      <c r="Z115" s="46">
        <v>0</v>
      </c>
      <c r="AA115" s="46">
        <v>0</v>
      </c>
      <c r="AB115" s="46">
        <v>0</v>
      </c>
      <c r="AC115" s="46">
        <v>0</v>
      </c>
      <c r="AD115" s="46">
        <v>0</v>
      </c>
      <c r="AE115" s="46">
        <v>0</v>
      </c>
      <c r="AF115" s="46">
        <v>0</v>
      </c>
      <c r="AG115" s="46">
        <v>0</v>
      </c>
      <c r="AH115" s="46">
        <v>0</v>
      </c>
      <c r="AI115" s="46">
        <v>0</v>
      </c>
      <c r="AJ115" s="46">
        <v>0</v>
      </c>
      <c r="AK115" s="47">
        <f t="shared" si="13"/>
        <v>0</v>
      </c>
      <c r="AL115" s="46">
        <v>0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7">
        <f t="shared" si="14"/>
        <v>0</v>
      </c>
      <c r="AY115" s="313">
        <f>SUMIF(Recibos!$D$4:$D$7493,Cobranza!$B115,Recibos!K$4:K$7493)</f>
        <v>0</v>
      </c>
      <c r="AZ115" s="313">
        <f>SUMIF(Recibos!$D$4:$D$7493,Cobranza!$B115,Recibos!L$4:L$7493)</f>
        <v>0</v>
      </c>
      <c r="BA115" s="313">
        <f>SUMIF(Recibos!$D$4:$D$7493,Cobranza!$B115,Recibos!M$4:M$7493)</f>
        <v>0</v>
      </c>
      <c r="BB115" s="313">
        <f>SUMIF(Recibos!$D$4:$D$7493,Cobranza!$B115,Recibos!N$4:N$7493)</f>
        <v>0</v>
      </c>
      <c r="BC115" s="313">
        <f>SUMIF(Recibos!$D$4:$D$7493,Cobranza!$B115,Recibos!O$4:O$7493)</f>
        <v>0</v>
      </c>
      <c r="BD115" s="313">
        <f>SUMIF(Recibos!$D$4:$D$7493,Cobranza!$B115,Recibos!P$4:P$7493)</f>
        <v>0</v>
      </c>
      <c r="BE115" s="313">
        <f>SUMIF(Recibos!$D$4:$D$7493,Cobranza!$B115,Recibos!Q$4:Q$7493)</f>
        <v>0</v>
      </c>
      <c r="BF115" s="313">
        <f>SUMIF(Recibos!$D$4:$D$7493,Cobranza!$B115,Recibos!R$4:R$7493)</f>
        <v>0</v>
      </c>
      <c r="BG115" s="313">
        <f>SUMIF(Recibos!$D$4:$D$7493,Cobranza!$B115,Recibos!S$4:S$7493)</f>
        <v>0</v>
      </c>
      <c r="BH115" s="313">
        <f>SUMIF(Recibos!$D$4:$D$7493,Cobranza!$B115,Recibos!T$4:T$7493)</f>
        <v>0</v>
      </c>
      <c r="BI115" s="313">
        <f>SUMIF(Recibos!$D$4:$D$7493,Cobranza!$B115,Recibos!U$4:U$7493)</f>
        <v>0</v>
      </c>
      <c r="BJ115" s="313">
        <f>SUMIF(Recibos!$D$4:$D$7493,Cobranza!$B115,Recibos!V$4:V$7493)</f>
        <v>0</v>
      </c>
      <c r="BK115" s="314">
        <f t="shared" si="15"/>
        <v>0</v>
      </c>
      <c r="BL115" s="313">
        <f>SUMIF(Recibos!$D$4:$D$7493,Cobranza!$B115,Recibos!X$4:X$7493)</f>
        <v>0</v>
      </c>
      <c r="BM115" s="313">
        <f>SUMIF(Recibos!$D$4:$D$7493,Cobranza!$B115,Recibos!Y$4:Y$7493)</f>
        <v>0</v>
      </c>
      <c r="BN115" s="313">
        <f>SUMIF(Recibos!$D$4:$D$7493,Cobranza!$B115,Recibos!Z$4:Z$7493)</f>
        <v>0</v>
      </c>
      <c r="BO115" s="313">
        <f>SUMIF(Recibos!$D$4:$D$7493,Cobranza!$B115,Recibos!AA$4:AA$7493)</f>
        <v>0</v>
      </c>
      <c r="BP115" s="313">
        <f>SUMIF(Recibos!$D$4:$D$7493,Cobranza!$B115,Recibos!AB$4:AB$7493)</f>
        <v>0</v>
      </c>
      <c r="BQ115" s="313">
        <f>SUMIF(Recibos!$D$4:$D$7493,Cobranza!$B115,Recibos!AC$4:AC$7493)</f>
        <v>0</v>
      </c>
      <c r="BR115" s="313">
        <f>SUMIF(Recibos!$D$4:$D$7493,Cobranza!$B115,Recibos!AD$4:AD$7493)</f>
        <v>0</v>
      </c>
      <c r="BS115" s="313">
        <f>SUMIF(Recibos!$D$4:$D$7493,Cobranza!$B115,Recibos!AE$4:AE$7493)</f>
        <v>0</v>
      </c>
      <c r="BT115" s="313">
        <f>SUMIF(Recibos!$D$4:$D$7493,Cobranza!$B115,Recibos!AF$4:AF$7493)</f>
        <v>0</v>
      </c>
      <c r="BU115" s="313">
        <f>SUMIF(Recibos!$D$4:$D$7493,Cobranza!$B115,Recibos!AG$4:AG$7493)</f>
        <v>0</v>
      </c>
      <c r="BV115" s="313">
        <f>SUMIF(Recibos!$D$4:$D$7493,Cobranza!$B115,Recibos!AH$4:AH$7493)</f>
        <v>0</v>
      </c>
      <c r="BW115" s="313">
        <f>SUMIF(Recibos!$D$4:$D$7493,Cobranza!$B115,Recibos!AI$4:AI$7493)</f>
        <v>0</v>
      </c>
      <c r="BX115" s="314">
        <f t="shared" si="16"/>
        <v>0</v>
      </c>
      <c r="BY115" s="313">
        <f>SUMIF(Recibos!$D$4:$D$7493,Cobranza!$B115,Recibos!AK$4:AK$7493)</f>
        <v>0</v>
      </c>
      <c r="BZ115" s="313">
        <f>SUMIF(Recibos!$D$4:$D$7493,Cobranza!$B115,Recibos!AL$4:AL$7493)</f>
        <v>0</v>
      </c>
      <c r="CA115" s="313">
        <f>SUMIF(Recibos!$D$4:$D$7493,Cobranza!$B115,Recibos!AM$4:AM$7493)</f>
        <v>0</v>
      </c>
      <c r="CB115" s="313">
        <f>SUMIF(Recibos!$D$4:$D$7493,Cobranza!$B115,Recibos!AN$4:AN$7493)</f>
        <v>0</v>
      </c>
      <c r="CC115" s="313">
        <f>SUMIF(Recibos!$D$4:$D$7493,Cobranza!$B115,Recibos!AO$4:AO$7493)</f>
        <v>0</v>
      </c>
      <c r="CD115" s="313">
        <f>SUMIF(Recibos!$D$4:$D$7493,Cobranza!$B115,Recibos!AP$4:AP$7493)</f>
        <v>0</v>
      </c>
      <c r="CE115" s="313">
        <f>SUMIF(Recibos!$D$4:$D$7493,Cobranza!$B115,Recibos!AQ$4:AQ$7493)</f>
        <v>0</v>
      </c>
      <c r="CF115" s="313">
        <f>SUMIF(Recibos!$D$4:$D$7493,Cobranza!$B115,Recibos!AR$4:AR$7493)</f>
        <v>0</v>
      </c>
      <c r="CG115" s="313">
        <f>SUMIF(Recibos!$D$4:$D$7493,Cobranza!$B115,Recibos!AS$4:AS$7493)</f>
        <v>0</v>
      </c>
      <c r="CH115" s="313">
        <f>SUMIF(Recibos!$D$4:$D$7493,Cobranza!$B115,Recibos!AT$4:AT$7493)</f>
        <v>0</v>
      </c>
      <c r="CI115" s="313">
        <f>SUMIF(Recibos!$D$4:$D$7493,Cobranza!$B115,Recibos!AU$4:AU$7493)</f>
        <v>0</v>
      </c>
      <c r="CJ115" s="313">
        <f>SUMIF(Recibos!$D$4:$D$7493,Cobranza!$B115,Recibos!AV$4:AV$7493)</f>
        <v>0</v>
      </c>
      <c r="CK115" s="314">
        <f t="shared" si="10"/>
        <v>0</v>
      </c>
    </row>
    <row r="116" spans="2:89" x14ac:dyDescent="0.2">
      <c r="B116" s="42" t="s">
        <v>367</v>
      </c>
      <c r="C116" s="42" t="s">
        <v>368</v>
      </c>
      <c r="D116" s="42" t="s">
        <v>369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4">
        <f t="shared" si="11"/>
        <v>0</v>
      </c>
      <c r="L116" s="43">
        <v>300</v>
      </c>
      <c r="M116" s="43">
        <v>300</v>
      </c>
      <c r="N116" s="43">
        <v>300</v>
      </c>
      <c r="O116" s="43">
        <v>300</v>
      </c>
      <c r="P116" s="43">
        <v>300</v>
      </c>
      <c r="Q116" s="43">
        <v>300</v>
      </c>
      <c r="R116" s="43">
        <v>300</v>
      </c>
      <c r="S116" s="43">
        <v>300</v>
      </c>
      <c r="T116" s="43">
        <v>300</v>
      </c>
      <c r="U116" s="43">
        <v>400</v>
      </c>
      <c r="V116" s="43">
        <v>400</v>
      </c>
      <c r="W116" s="43">
        <v>100</v>
      </c>
      <c r="X116" s="44">
        <f t="shared" si="12"/>
        <v>3600</v>
      </c>
      <c r="Y116" s="43">
        <v>400</v>
      </c>
      <c r="Z116" s="43">
        <v>400</v>
      </c>
      <c r="AA116" s="43">
        <v>400</v>
      </c>
      <c r="AB116" s="43">
        <v>400</v>
      </c>
      <c r="AC116" s="43">
        <v>400</v>
      </c>
      <c r="AD116" s="43">
        <v>400</v>
      </c>
      <c r="AE116" s="43">
        <v>400</v>
      </c>
      <c r="AF116" s="43">
        <v>400</v>
      </c>
      <c r="AG116" s="43">
        <v>400</v>
      </c>
      <c r="AH116" s="43">
        <v>400</v>
      </c>
      <c r="AI116" s="43">
        <v>400</v>
      </c>
      <c r="AJ116" s="43">
        <v>0</v>
      </c>
      <c r="AK116" s="44">
        <f t="shared" si="13"/>
        <v>4400</v>
      </c>
      <c r="AL116" s="43">
        <v>400</v>
      </c>
      <c r="AM116" s="43">
        <v>400</v>
      </c>
      <c r="AN116" s="43">
        <v>400</v>
      </c>
      <c r="AO116" s="43">
        <v>400</v>
      </c>
      <c r="AP116" s="43">
        <v>400</v>
      </c>
      <c r="AQ116" s="43">
        <v>400</v>
      </c>
      <c r="AR116" s="43">
        <v>400</v>
      </c>
      <c r="AS116" s="43">
        <v>400</v>
      </c>
      <c r="AT116" s="43">
        <v>400</v>
      </c>
      <c r="AU116" s="43">
        <v>400</v>
      </c>
      <c r="AV116" s="43">
        <v>400</v>
      </c>
      <c r="AW116" s="43">
        <v>0</v>
      </c>
      <c r="AX116" s="44">
        <f t="shared" si="14"/>
        <v>4400</v>
      </c>
      <c r="AY116" s="311">
        <f>SUMIF(Recibos!$D$4:$D$7493,Cobranza!$B116,Recibos!K$4:K$7493)</f>
        <v>400</v>
      </c>
      <c r="AZ116" s="311">
        <f>SUMIF(Recibos!$D$4:$D$7493,Cobranza!$B116,Recibos!L$4:L$7493)</f>
        <v>400</v>
      </c>
      <c r="BA116" s="311">
        <f>SUMIF(Recibos!$D$4:$D$7493,Cobranza!$B116,Recibos!M$4:M$7493)</f>
        <v>400</v>
      </c>
      <c r="BB116" s="311">
        <f>SUMIF(Recibos!$D$4:$D$7493,Cobranza!$B116,Recibos!N$4:N$7493)</f>
        <v>400</v>
      </c>
      <c r="BC116" s="311">
        <f>SUMIF(Recibos!$D$4:$D$7493,Cobranza!$B116,Recibos!O$4:O$7493)</f>
        <v>400</v>
      </c>
      <c r="BD116" s="311">
        <f>SUMIF(Recibos!$D$4:$D$7493,Cobranza!$B116,Recibos!P$4:P$7493)</f>
        <v>400</v>
      </c>
      <c r="BE116" s="311">
        <f>SUMIF(Recibos!$D$4:$D$7493,Cobranza!$B116,Recibos!Q$4:Q$7493)</f>
        <v>400</v>
      </c>
      <c r="BF116" s="311">
        <f>SUMIF(Recibos!$D$4:$D$7493,Cobranza!$B116,Recibos!R$4:R$7493)</f>
        <v>400</v>
      </c>
      <c r="BG116" s="311">
        <f>SUMIF(Recibos!$D$4:$D$7493,Cobranza!$B116,Recibos!S$4:S$7493)</f>
        <v>400</v>
      </c>
      <c r="BH116" s="311">
        <f>SUMIF(Recibos!$D$4:$D$7493,Cobranza!$B116,Recibos!T$4:T$7493)</f>
        <v>400</v>
      </c>
      <c r="BI116" s="311">
        <f>SUMIF(Recibos!$D$4:$D$7493,Cobranza!$B116,Recibos!U$4:U$7493)</f>
        <v>400</v>
      </c>
      <c r="BJ116" s="311">
        <f>SUMIF(Recibos!$D$4:$D$7493,Cobranza!$B116,Recibos!V$4:V$7493)</f>
        <v>0</v>
      </c>
      <c r="BK116" s="312">
        <f t="shared" si="15"/>
        <v>4400</v>
      </c>
      <c r="BL116" s="311">
        <f>SUMIF(Recibos!$D$4:$D$7493,Cobranza!$B116,Recibos!X$4:X$7493)</f>
        <v>400</v>
      </c>
      <c r="BM116" s="311">
        <f>SUMIF(Recibos!$D$4:$D$7493,Cobranza!$B116,Recibos!Y$4:Y$7493)</f>
        <v>400</v>
      </c>
      <c r="BN116" s="311">
        <f>SUMIF(Recibos!$D$4:$D$7493,Cobranza!$B116,Recibos!Z$4:Z$7493)</f>
        <v>400</v>
      </c>
      <c r="BO116" s="311">
        <f>SUMIF(Recibos!$D$4:$D$7493,Cobranza!$B116,Recibos!AA$4:AA$7493)</f>
        <v>400</v>
      </c>
      <c r="BP116" s="311">
        <f>SUMIF(Recibos!$D$4:$D$7493,Cobranza!$B116,Recibos!AB$4:AB$7493)</f>
        <v>400</v>
      </c>
      <c r="BQ116" s="311">
        <f>SUMIF(Recibos!$D$4:$D$7493,Cobranza!$B116,Recibos!AC$4:AC$7493)</f>
        <v>400</v>
      </c>
      <c r="BR116" s="311">
        <f>SUMIF(Recibos!$D$4:$D$7493,Cobranza!$B116,Recibos!AD$4:AD$7493)</f>
        <v>400</v>
      </c>
      <c r="BS116" s="311">
        <f>SUMIF(Recibos!$D$4:$D$7493,Cobranza!$B116,Recibos!AE$4:AE$7493)</f>
        <v>400</v>
      </c>
      <c r="BT116" s="311">
        <f>SUMIF(Recibos!$D$4:$D$7493,Cobranza!$B116,Recibos!AF$4:AF$7493)</f>
        <v>400</v>
      </c>
      <c r="BU116" s="311">
        <f>SUMIF(Recibos!$D$4:$D$7493,Cobranza!$B116,Recibos!AG$4:AG$7493)</f>
        <v>400</v>
      </c>
      <c r="BV116" s="311">
        <f>SUMIF(Recibos!$D$4:$D$7493,Cobranza!$B116,Recibos!AH$4:AH$7493)</f>
        <v>400</v>
      </c>
      <c r="BW116" s="311">
        <f>SUMIF(Recibos!$D$4:$D$7493,Cobranza!$B116,Recibos!AI$4:AI$7493)</f>
        <v>0</v>
      </c>
      <c r="BX116" s="312">
        <f t="shared" si="16"/>
        <v>4400</v>
      </c>
      <c r="BY116" s="311">
        <f>SUMIF(Recibos!$D$4:$D$7493,Cobranza!$B116,Recibos!AK$4:AK$7493)</f>
        <v>400</v>
      </c>
      <c r="BZ116" s="311">
        <f>SUMIF(Recibos!$D$4:$D$7493,Cobranza!$B116,Recibos!AL$4:AL$7493)</f>
        <v>400</v>
      </c>
      <c r="CA116" s="311">
        <f>SUMIF(Recibos!$D$4:$D$7493,Cobranza!$B116,Recibos!AM$4:AM$7493)</f>
        <v>400</v>
      </c>
      <c r="CB116" s="311">
        <f>SUMIF(Recibos!$D$4:$D$7493,Cobranza!$B116,Recibos!AN$4:AN$7493)</f>
        <v>400</v>
      </c>
      <c r="CC116" s="311">
        <f>SUMIF(Recibos!$D$4:$D$7493,Cobranza!$B116,Recibos!AO$4:AO$7493)</f>
        <v>400</v>
      </c>
      <c r="CD116" s="311">
        <f>SUMIF(Recibos!$D$4:$D$7493,Cobranza!$B116,Recibos!AP$4:AP$7493)</f>
        <v>400</v>
      </c>
      <c r="CE116" s="311">
        <f>SUMIF(Recibos!$D$4:$D$7493,Cobranza!$B116,Recibos!AQ$4:AQ$7493)</f>
        <v>400</v>
      </c>
      <c r="CF116" s="311">
        <f>SUMIF(Recibos!$D$4:$D$7493,Cobranza!$B116,Recibos!AR$4:AR$7493)</f>
        <v>400</v>
      </c>
      <c r="CG116" s="311">
        <f>SUMIF(Recibos!$D$4:$D$7493,Cobranza!$B116,Recibos!AS$4:AS$7493)</f>
        <v>400</v>
      </c>
      <c r="CH116" s="311">
        <f>SUMIF(Recibos!$D$4:$D$7493,Cobranza!$B116,Recibos!AT$4:AT$7493)</f>
        <v>400</v>
      </c>
      <c r="CI116" s="311">
        <f>SUMIF(Recibos!$D$4:$D$7493,Cobranza!$B116,Recibos!AU$4:AU$7493)</f>
        <v>400</v>
      </c>
      <c r="CJ116" s="311">
        <f>SUMIF(Recibos!$D$4:$D$7493,Cobranza!$B116,Recibos!AV$4:AV$7493)</f>
        <v>0</v>
      </c>
      <c r="CK116" s="312">
        <f t="shared" si="10"/>
        <v>4400</v>
      </c>
    </row>
    <row r="117" spans="2:89" x14ac:dyDescent="0.2">
      <c r="B117" s="45" t="s">
        <v>752</v>
      </c>
      <c r="C117" s="45" t="s">
        <v>753</v>
      </c>
      <c r="D117" s="45" t="s">
        <v>1313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7">
        <f t="shared" si="11"/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47">
        <f t="shared" si="12"/>
        <v>0</v>
      </c>
      <c r="Y117" s="46">
        <v>0</v>
      </c>
      <c r="Z117" s="46">
        <v>0</v>
      </c>
      <c r="AA117" s="46">
        <v>0</v>
      </c>
      <c r="AB117" s="46">
        <v>0</v>
      </c>
      <c r="AC117" s="46">
        <v>0</v>
      </c>
      <c r="AD117" s="46">
        <v>0</v>
      </c>
      <c r="AE117" s="46">
        <v>200</v>
      </c>
      <c r="AF117" s="46">
        <v>200</v>
      </c>
      <c r="AG117" s="46">
        <v>200</v>
      </c>
      <c r="AH117" s="46">
        <v>200</v>
      </c>
      <c r="AI117" s="46">
        <v>200</v>
      </c>
      <c r="AJ117" s="46">
        <v>200</v>
      </c>
      <c r="AK117" s="47">
        <f t="shared" si="13"/>
        <v>1200</v>
      </c>
      <c r="AL117" s="46">
        <v>200</v>
      </c>
      <c r="AM117" s="46">
        <v>200</v>
      </c>
      <c r="AN117" s="46">
        <v>200</v>
      </c>
      <c r="AO117" s="46">
        <v>200</v>
      </c>
      <c r="AP117" s="46">
        <v>200</v>
      </c>
      <c r="AQ117" s="46">
        <v>200</v>
      </c>
      <c r="AR117" s="46">
        <v>0</v>
      </c>
      <c r="AS117" s="46">
        <v>0</v>
      </c>
      <c r="AT117" s="46">
        <v>400</v>
      </c>
      <c r="AU117" s="46">
        <v>400</v>
      </c>
      <c r="AV117" s="46">
        <v>400</v>
      </c>
      <c r="AW117" s="46">
        <v>400</v>
      </c>
      <c r="AX117" s="47">
        <f t="shared" si="14"/>
        <v>2800</v>
      </c>
      <c r="AY117" s="313">
        <f>SUMIF(Recibos!$D$4:$D$7493,Cobranza!$B117,Recibos!K$4:K$7493)</f>
        <v>400</v>
      </c>
      <c r="AZ117" s="313">
        <f>SUMIF(Recibos!$D$4:$D$7493,Cobranza!$B117,Recibos!L$4:L$7493)</f>
        <v>400</v>
      </c>
      <c r="BA117" s="313">
        <f>SUMIF(Recibos!$D$4:$D$7493,Cobranza!$B117,Recibos!M$4:M$7493)</f>
        <v>400</v>
      </c>
      <c r="BB117" s="313">
        <f>SUMIF(Recibos!$D$4:$D$7493,Cobranza!$B117,Recibos!N$4:N$7493)</f>
        <v>400</v>
      </c>
      <c r="BC117" s="313">
        <f>SUMIF(Recibos!$D$4:$D$7493,Cobranza!$B117,Recibos!O$4:O$7493)</f>
        <v>400</v>
      </c>
      <c r="BD117" s="313">
        <f>SUMIF(Recibos!$D$4:$D$7493,Cobranza!$B117,Recibos!P$4:P$7493)</f>
        <v>400</v>
      </c>
      <c r="BE117" s="313">
        <f>SUMIF(Recibos!$D$4:$D$7493,Cobranza!$B117,Recibos!Q$4:Q$7493)</f>
        <v>400</v>
      </c>
      <c r="BF117" s="313">
        <f>SUMIF(Recibos!$D$4:$D$7493,Cobranza!$B117,Recibos!R$4:R$7493)</f>
        <v>400</v>
      </c>
      <c r="BG117" s="313">
        <f>SUMIF(Recibos!$D$4:$D$7493,Cobranza!$B117,Recibos!S$4:S$7493)</f>
        <v>0</v>
      </c>
      <c r="BH117" s="313">
        <f>SUMIF(Recibos!$D$4:$D$7493,Cobranza!$B117,Recibos!T$4:T$7493)</f>
        <v>0</v>
      </c>
      <c r="BI117" s="313">
        <f>SUMIF(Recibos!$D$4:$D$7493,Cobranza!$B117,Recibos!U$4:U$7493)</f>
        <v>0</v>
      </c>
      <c r="BJ117" s="313">
        <f>SUMIF(Recibos!$D$4:$D$7493,Cobranza!$B117,Recibos!V$4:V$7493)</f>
        <v>0</v>
      </c>
      <c r="BK117" s="314">
        <f t="shared" si="15"/>
        <v>3200</v>
      </c>
      <c r="BL117" s="313">
        <f>SUMIF(Recibos!$D$4:$D$7493,Cobranza!$B117,Recibos!X$4:X$7493)</f>
        <v>0</v>
      </c>
      <c r="BM117" s="313">
        <f>SUMIF(Recibos!$D$4:$D$7493,Cobranza!$B117,Recibos!Y$4:Y$7493)</f>
        <v>0</v>
      </c>
      <c r="BN117" s="313">
        <f>SUMIF(Recibos!$D$4:$D$7493,Cobranza!$B117,Recibos!Z$4:Z$7493)</f>
        <v>0</v>
      </c>
      <c r="BO117" s="313">
        <f>SUMIF(Recibos!$D$4:$D$7493,Cobranza!$B117,Recibos!AA$4:AA$7493)</f>
        <v>0</v>
      </c>
      <c r="BP117" s="313">
        <f>SUMIF(Recibos!$D$4:$D$7493,Cobranza!$B117,Recibos!AB$4:AB$7493)</f>
        <v>0</v>
      </c>
      <c r="BQ117" s="313">
        <f>SUMIF(Recibos!$D$4:$D$7493,Cobranza!$B117,Recibos!AC$4:AC$7493)</f>
        <v>0</v>
      </c>
      <c r="BR117" s="313">
        <f>SUMIF(Recibos!$D$4:$D$7493,Cobranza!$B117,Recibos!AD$4:AD$7493)</f>
        <v>0</v>
      </c>
      <c r="BS117" s="313">
        <f>SUMIF(Recibos!$D$4:$D$7493,Cobranza!$B117,Recibos!AE$4:AE$7493)</f>
        <v>0</v>
      </c>
      <c r="BT117" s="313">
        <f>SUMIF(Recibos!$D$4:$D$7493,Cobranza!$B117,Recibos!AF$4:AF$7493)</f>
        <v>0</v>
      </c>
      <c r="BU117" s="313">
        <f>SUMIF(Recibos!$D$4:$D$7493,Cobranza!$B117,Recibos!AG$4:AG$7493)</f>
        <v>0</v>
      </c>
      <c r="BV117" s="313">
        <f>SUMIF(Recibos!$D$4:$D$7493,Cobranza!$B117,Recibos!AH$4:AH$7493)</f>
        <v>0</v>
      </c>
      <c r="BW117" s="313">
        <f>SUMIF(Recibos!$D$4:$D$7493,Cobranza!$B117,Recibos!AI$4:AI$7493)</f>
        <v>0</v>
      </c>
      <c r="BX117" s="314">
        <f t="shared" si="16"/>
        <v>0</v>
      </c>
      <c r="BY117" s="313">
        <f>SUMIF(Recibos!$D$4:$D$7493,Cobranza!$B117,Recibos!AK$4:AK$7493)</f>
        <v>0</v>
      </c>
      <c r="BZ117" s="313">
        <f>SUMIF(Recibos!$D$4:$D$7493,Cobranza!$B117,Recibos!AL$4:AL$7493)</f>
        <v>0</v>
      </c>
      <c r="CA117" s="313">
        <f>SUMIF(Recibos!$D$4:$D$7493,Cobranza!$B117,Recibos!AM$4:AM$7493)</f>
        <v>0</v>
      </c>
      <c r="CB117" s="313">
        <f>SUMIF(Recibos!$D$4:$D$7493,Cobranza!$B117,Recibos!AN$4:AN$7493)</f>
        <v>0</v>
      </c>
      <c r="CC117" s="313">
        <f>SUMIF(Recibos!$D$4:$D$7493,Cobranza!$B117,Recibos!AO$4:AO$7493)</f>
        <v>0</v>
      </c>
      <c r="CD117" s="313">
        <f>SUMIF(Recibos!$D$4:$D$7493,Cobranza!$B117,Recibos!AP$4:AP$7493)</f>
        <v>0</v>
      </c>
      <c r="CE117" s="313">
        <f>SUMIF(Recibos!$D$4:$D$7493,Cobranza!$B117,Recibos!AQ$4:AQ$7493)</f>
        <v>0</v>
      </c>
      <c r="CF117" s="313">
        <f>SUMIF(Recibos!$D$4:$D$7493,Cobranza!$B117,Recibos!AR$4:AR$7493)</f>
        <v>0</v>
      </c>
      <c r="CG117" s="313">
        <f>SUMIF(Recibos!$D$4:$D$7493,Cobranza!$B117,Recibos!AS$4:AS$7493)</f>
        <v>0</v>
      </c>
      <c r="CH117" s="313">
        <f>SUMIF(Recibos!$D$4:$D$7493,Cobranza!$B117,Recibos!AT$4:AT$7493)</f>
        <v>0</v>
      </c>
      <c r="CI117" s="313">
        <f>SUMIF(Recibos!$D$4:$D$7493,Cobranza!$B117,Recibos!AU$4:AU$7493)</f>
        <v>0</v>
      </c>
      <c r="CJ117" s="313">
        <f>SUMIF(Recibos!$D$4:$D$7493,Cobranza!$B117,Recibos!AV$4:AV$7493)</f>
        <v>0</v>
      </c>
      <c r="CK117" s="314">
        <f t="shared" si="10"/>
        <v>0</v>
      </c>
    </row>
    <row r="118" spans="2:89" x14ac:dyDescent="0.2">
      <c r="B118" s="42" t="s">
        <v>755</v>
      </c>
      <c r="C118" s="42" t="s">
        <v>756</v>
      </c>
      <c r="D118" s="42" t="s">
        <v>757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4">
        <f t="shared" si="11"/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4">
        <f t="shared" si="12"/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400</v>
      </c>
      <c r="AE118" s="43">
        <v>200</v>
      </c>
      <c r="AF118" s="43">
        <v>200</v>
      </c>
      <c r="AG118" s="43">
        <v>200</v>
      </c>
      <c r="AH118" s="43">
        <v>0</v>
      </c>
      <c r="AI118" s="43">
        <v>0</v>
      </c>
      <c r="AJ118" s="43">
        <v>0</v>
      </c>
      <c r="AK118" s="44">
        <f t="shared" si="13"/>
        <v>1000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400</v>
      </c>
      <c r="AX118" s="44">
        <f t="shared" si="14"/>
        <v>400</v>
      </c>
      <c r="AY118" s="311">
        <f>SUMIF(Recibos!$D$4:$D$7493,Cobranza!$B118,Recibos!K$4:K$7493)</f>
        <v>400</v>
      </c>
      <c r="AZ118" s="311">
        <f>SUMIF(Recibos!$D$4:$D$7493,Cobranza!$B118,Recibos!L$4:L$7493)</f>
        <v>0</v>
      </c>
      <c r="BA118" s="311">
        <f>SUMIF(Recibos!$D$4:$D$7493,Cobranza!$B118,Recibos!M$4:M$7493)</f>
        <v>0</v>
      </c>
      <c r="BB118" s="311">
        <f>SUMIF(Recibos!$D$4:$D$7493,Cobranza!$B118,Recibos!N$4:N$7493)</f>
        <v>0</v>
      </c>
      <c r="BC118" s="311">
        <f>SUMIF(Recibos!$D$4:$D$7493,Cobranza!$B118,Recibos!O$4:O$7493)</f>
        <v>0</v>
      </c>
      <c r="BD118" s="311">
        <f>SUMIF(Recibos!$D$4:$D$7493,Cobranza!$B118,Recibos!P$4:P$7493)</f>
        <v>400</v>
      </c>
      <c r="BE118" s="311">
        <f>SUMIF(Recibos!$D$4:$D$7493,Cobranza!$B118,Recibos!Q$4:Q$7493)</f>
        <v>0</v>
      </c>
      <c r="BF118" s="311">
        <f>SUMIF(Recibos!$D$4:$D$7493,Cobranza!$B118,Recibos!R$4:R$7493)</f>
        <v>200</v>
      </c>
      <c r="BG118" s="311">
        <f>SUMIF(Recibos!$D$4:$D$7493,Cobranza!$B118,Recibos!S$4:S$7493)</f>
        <v>200</v>
      </c>
      <c r="BH118" s="311">
        <f>SUMIF(Recibos!$D$4:$D$7493,Cobranza!$B118,Recibos!T$4:T$7493)</f>
        <v>200</v>
      </c>
      <c r="BI118" s="311">
        <f>SUMIF(Recibos!$D$4:$D$7493,Cobranza!$B118,Recibos!U$4:U$7493)</f>
        <v>200</v>
      </c>
      <c r="BJ118" s="311">
        <f>SUMIF(Recibos!$D$4:$D$7493,Cobranza!$B118,Recibos!V$4:V$7493)</f>
        <v>200</v>
      </c>
      <c r="BK118" s="312">
        <f t="shared" si="15"/>
        <v>1800</v>
      </c>
      <c r="BL118" s="311">
        <f>SUMIF(Recibos!$D$4:$D$7493,Cobranza!$B118,Recibos!X$4:X$7493)</f>
        <v>0</v>
      </c>
      <c r="BM118" s="311">
        <f>SUMIF(Recibos!$D$4:$D$7493,Cobranza!$B118,Recibos!Y$4:Y$7493)</f>
        <v>0</v>
      </c>
      <c r="BN118" s="311">
        <f>SUMIF(Recibos!$D$4:$D$7493,Cobranza!$B118,Recibos!Z$4:Z$7493)</f>
        <v>0</v>
      </c>
      <c r="BO118" s="311">
        <f>SUMIF(Recibos!$D$4:$D$7493,Cobranza!$B118,Recibos!AA$4:AA$7493)</f>
        <v>0</v>
      </c>
      <c r="BP118" s="311">
        <f>SUMIF(Recibos!$D$4:$D$7493,Cobranza!$B118,Recibos!AB$4:AB$7493)</f>
        <v>0</v>
      </c>
      <c r="BQ118" s="311">
        <f>SUMIF(Recibos!$D$4:$D$7493,Cobranza!$B118,Recibos!AC$4:AC$7493)</f>
        <v>0</v>
      </c>
      <c r="BR118" s="311">
        <f>SUMIF(Recibos!$D$4:$D$7493,Cobranza!$B118,Recibos!AD$4:AD$7493)</f>
        <v>0</v>
      </c>
      <c r="BS118" s="311">
        <f>SUMIF(Recibos!$D$4:$D$7493,Cobranza!$B118,Recibos!AE$4:AE$7493)</f>
        <v>0</v>
      </c>
      <c r="BT118" s="311">
        <f>SUMIF(Recibos!$D$4:$D$7493,Cobranza!$B118,Recibos!AF$4:AF$7493)</f>
        <v>0</v>
      </c>
      <c r="BU118" s="311">
        <f>SUMIF(Recibos!$D$4:$D$7493,Cobranza!$B118,Recibos!AG$4:AG$7493)</f>
        <v>0</v>
      </c>
      <c r="BV118" s="311">
        <f>SUMIF(Recibos!$D$4:$D$7493,Cobranza!$B118,Recibos!AH$4:AH$7493)</f>
        <v>0</v>
      </c>
      <c r="BW118" s="311">
        <f>SUMIF(Recibos!$D$4:$D$7493,Cobranza!$B118,Recibos!AI$4:AI$7493)</f>
        <v>0</v>
      </c>
      <c r="BX118" s="312">
        <f t="shared" si="16"/>
        <v>0</v>
      </c>
      <c r="BY118" s="311">
        <f>SUMIF(Recibos!$D$4:$D$7493,Cobranza!$B118,Recibos!AK$4:AK$7493)</f>
        <v>0</v>
      </c>
      <c r="BZ118" s="311">
        <f>SUMIF(Recibos!$D$4:$D$7493,Cobranza!$B118,Recibos!AL$4:AL$7493)</f>
        <v>0</v>
      </c>
      <c r="CA118" s="311">
        <f>SUMIF(Recibos!$D$4:$D$7493,Cobranza!$B118,Recibos!AM$4:AM$7493)</f>
        <v>0</v>
      </c>
      <c r="CB118" s="311">
        <f>SUMIF(Recibos!$D$4:$D$7493,Cobranza!$B118,Recibos!AN$4:AN$7493)</f>
        <v>0</v>
      </c>
      <c r="CC118" s="311">
        <f>SUMIF(Recibos!$D$4:$D$7493,Cobranza!$B118,Recibos!AO$4:AO$7493)</f>
        <v>0</v>
      </c>
      <c r="CD118" s="311">
        <f>SUMIF(Recibos!$D$4:$D$7493,Cobranza!$B118,Recibos!AP$4:AP$7493)</f>
        <v>0</v>
      </c>
      <c r="CE118" s="311">
        <f>SUMIF(Recibos!$D$4:$D$7493,Cobranza!$B118,Recibos!AQ$4:AQ$7493)</f>
        <v>0</v>
      </c>
      <c r="CF118" s="311">
        <f>SUMIF(Recibos!$D$4:$D$7493,Cobranza!$B118,Recibos!AR$4:AR$7493)</f>
        <v>0</v>
      </c>
      <c r="CG118" s="311">
        <f>SUMIF(Recibos!$D$4:$D$7493,Cobranza!$B118,Recibos!AS$4:AS$7493)</f>
        <v>0</v>
      </c>
      <c r="CH118" s="311">
        <f>SUMIF(Recibos!$D$4:$D$7493,Cobranza!$B118,Recibos!AT$4:AT$7493)</f>
        <v>0</v>
      </c>
      <c r="CI118" s="311">
        <f>SUMIF(Recibos!$D$4:$D$7493,Cobranza!$B118,Recibos!AU$4:AU$7493)</f>
        <v>0</v>
      </c>
      <c r="CJ118" s="311">
        <f>SUMIF(Recibos!$D$4:$D$7493,Cobranza!$B118,Recibos!AV$4:AV$7493)</f>
        <v>0</v>
      </c>
      <c r="CK118" s="312">
        <f t="shared" si="10"/>
        <v>0</v>
      </c>
    </row>
    <row r="119" spans="2:89" x14ac:dyDescent="0.2">
      <c r="B119" s="45" t="s">
        <v>957</v>
      </c>
      <c r="C119" s="45" t="s">
        <v>958</v>
      </c>
      <c r="D119" s="45" t="s">
        <v>959</v>
      </c>
      <c r="E119" s="46">
        <v>0</v>
      </c>
      <c r="F119" s="46">
        <v>0</v>
      </c>
      <c r="G119" s="46">
        <v>0</v>
      </c>
      <c r="H119" s="46">
        <v>0</v>
      </c>
      <c r="I119" s="46">
        <v>0</v>
      </c>
      <c r="J119" s="46">
        <v>300</v>
      </c>
      <c r="K119" s="47">
        <f t="shared" si="11"/>
        <v>300</v>
      </c>
      <c r="L119" s="46">
        <v>300</v>
      </c>
      <c r="M119" s="46">
        <v>300</v>
      </c>
      <c r="N119" s="46">
        <v>300</v>
      </c>
      <c r="O119" s="46">
        <v>300</v>
      </c>
      <c r="P119" s="46">
        <v>300</v>
      </c>
      <c r="Q119" s="46">
        <v>300</v>
      </c>
      <c r="R119" s="46">
        <v>300</v>
      </c>
      <c r="S119" s="46">
        <v>300</v>
      </c>
      <c r="T119" s="46">
        <v>300</v>
      </c>
      <c r="U119" s="46">
        <v>400</v>
      </c>
      <c r="V119" s="46">
        <v>400</v>
      </c>
      <c r="W119" s="46">
        <v>400</v>
      </c>
      <c r="X119" s="47">
        <f t="shared" si="12"/>
        <v>3900</v>
      </c>
      <c r="Y119" s="46">
        <v>400</v>
      </c>
      <c r="Z119" s="46">
        <v>400</v>
      </c>
      <c r="AA119" s="46">
        <v>400</v>
      </c>
      <c r="AB119" s="46">
        <v>400</v>
      </c>
      <c r="AC119" s="46">
        <v>400</v>
      </c>
      <c r="AD119" s="46">
        <v>400</v>
      </c>
      <c r="AE119" s="46">
        <v>400</v>
      </c>
      <c r="AF119" s="46">
        <v>400</v>
      </c>
      <c r="AG119" s="46">
        <v>400</v>
      </c>
      <c r="AH119" s="46">
        <v>400</v>
      </c>
      <c r="AI119" s="46">
        <v>400</v>
      </c>
      <c r="AJ119" s="46">
        <v>400</v>
      </c>
      <c r="AK119" s="47">
        <f t="shared" si="13"/>
        <v>4800</v>
      </c>
      <c r="AL119" s="46">
        <v>400</v>
      </c>
      <c r="AM119" s="46">
        <v>400</v>
      </c>
      <c r="AN119" s="46">
        <v>400</v>
      </c>
      <c r="AO119" s="46">
        <v>400</v>
      </c>
      <c r="AP119" s="46">
        <v>400</v>
      </c>
      <c r="AQ119" s="46">
        <v>400</v>
      </c>
      <c r="AR119" s="46">
        <v>400</v>
      </c>
      <c r="AS119" s="46">
        <v>400</v>
      </c>
      <c r="AT119" s="46">
        <v>400</v>
      </c>
      <c r="AU119" s="46">
        <v>400</v>
      </c>
      <c r="AV119" s="46">
        <v>400</v>
      </c>
      <c r="AW119" s="46">
        <v>400</v>
      </c>
      <c r="AX119" s="47">
        <f t="shared" si="14"/>
        <v>4800</v>
      </c>
      <c r="AY119" s="313">
        <f>SUMIF(Recibos!$D$4:$D$7493,Cobranza!$B119,Recibos!K$4:K$7493)</f>
        <v>400</v>
      </c>
      <c r="AZ119" s="313">
        <f>SUMIF(Recibos!$D$4:$D$7493,Cobranza!$B119,Recibos!L$4:L$7493)</f>
        <v>400</v>
      </c>
      <c r="BA119" s="313">
        <f>SUMIF(Recibos!$D$4:$D$7493,Cobranza!$B119,Recibos!M$4:M$7493)</f>
        <v>400</v>
      </c>
      <c r="BB119" s="313">
        <f>SUMIF(Recibos!$D$4:$D$7493,Cobranza!$B119,Recibos!N$4:N$7493)</f>
        <v>400</v>
      </c>
      <c r="BC119" s="313">
        <f>SUMIF(Recibos!$D$4:$D$7493,Cobranza!$B119,Recibos!O$4:O$7493)</f>
        <v>400</v>
      </c>
      <c r="BD119" s="313">
        <f>SUMIF(Recibos!$D$4:$D$7493,Cobranza!$B119,Recibos!P$4:P$7493)</f>
        <v>400</v>
      </c>
      <c r="BE119" s="313">
        <f>SUMIF(Recibos!$D$4:$D$7493,Cobranza!$B119,Recibos!Q$4:Q$7493)</f>
        <v>400</v>
      </c>
      <c r="BF119" s="313">
        <f>SUMIF(Recibos!$D$4:$D$7493,Cobranza!$B119,Recibos!R$4:R$7493)</f>
        <v>400</v>
      </c>
      <c r="BG119" s="313">
        <f>SUMIF(Recibos!$D$4:$D$7493,Cobranza!$B119,Recibos!S$4:S$7493)</f>
        <v>400</v>
      </c>
      <c r="BH119" s="313">
        <f>SUMIF(Recibos!$D$4:$D$7493,Cobranza!$B119,Recibos!T$4:T$7493)</f>
        <v>400</v>
      </c>
      <c r="BI119" s="313">
        <f>SUMIF(Recibos!$D$4:$D$7493,Cobranza!$B119,Recibos!U$4:U$7493)</f>
        <v>400</v>
      </c>
      <c r="BJ119" s="313">
        <f>SUMIF(Recibos!$D$4:$D$7493,Cobranza!$B119,Recibos!V$4:V$7493)</f>
        <v>400</v>
      </c>
      <c r="BK119" s="314">
        <f t="shared" si="15"/>
        <v>4800</v>
      </c>
      <c r="BL119" s="313">
        <f>SUMIF(Recibos!$D$4:$D$7493,Cobranza!$B119,Recibos!X$4:X$7493)</f>
        <v>400</v>
      </c>
      <c r="BM119" s="313">
        <f>SUMIF(Recibos!$D$4:$D$7493,Cobranza!$B119,Recibos!Y$4:Y$7493)</f>
        <v>400</v>
      </c>
      <c r="BN119" s="313">
        <f>SUMIF(Recibos!$D$4:$D$7493,Cobranza!$B119,Recibos!Z$4:Z$7493)</f>
        <v>400</v>
      </c>
      <c r="BO119" s="313">
        <f>SUMIF(Recibos!$D$4:$D$7493,Cobranza!$B119,Recibos!AA$4:AA$7493)</f>
        <v>400</v>
      </c>
      <c r="BP119" s="313">
        <f>SUMIF(Recibos!$D$4:$D$7493,Cobranza!$B119,Recibos!AB$4:AB$7493)</f>
        <v>400</v>
      </c>
      <c r="BQ119" s="313">
        <f>SUMIF(Recibos!$D$4:$D$7493,Cobranza!$B119,Recibos!AC$4:AC$7493)</f>
        <v>400</v>
      </c>
      <c r="BR119" s="313">
        <f>SUMIF(Recibos!$D$4:$D$7493,Cobranza!$B119,Recibos!AD$4:AD$7493)</f>
        <v>400</v>
      </c>
      <c r="BS119" s="313">
        <f>SUMIF(Recibos!$D$4:$D$7493,Cobranza!$B119,Recibos!AE$4:AE$7493)</f>
        <v>400</v>
      </c>
      <c r="BT119" s="313">
        <f>SUMIF(Recibos!$D$4:$D$7493,Cobranza!$B119,Recibos!AF$4:AF$7493)</f>
        <v>400</v>
      </c>
      <c r="BU119" s="313">
        <f>SUMIF(Recibos!$D$4:$D$7493,Cobranza!$B119,Recibos!AG$4:AG$7493)</f>
        <v>400</v>
      </c>
      <c r="BV119" s="313">
        <f>SUMIF(Recibos!$D$4:$D$7493,Cobranza!$B119,Recibos!AH$4:AH$7493)</f>
        <v>400</v>
      </c>
      <c r="BW119" s="313">
        <f>SUMIF(Recibos!$D$4:$D$7493,Cobranza!$B119,Recibos!AI$4:AI$7493)</f>
        <v>400</v>
      </c>
      <c r="BX119" s="314">
        <f t="shared" si="16"/>
        <v>4800</v>
      </c>
      <c r="BY119" s="313">
        <f>SUMIF(Recibos!$D$4:$D$7493,Cobranza!$B119,Recibos!AK$4:AK$7493)</f>
        <v>400</v>
      </c>
      <c r="BZ119" s="313">
        <f>SUMIF(Recibos!$D$4:$D$7493,Cobranza!$B119,Recibos!AL$4:AL$7493)</f>
        <v>400</v>
      </c>
      <c r="CA119" s="313">
        <f>SUMIF(Recibos!$D$4:$D$7493,Cobranza!$B119,Recibos!AM$4:AM$7493)</f>
        <v>400</v>
      </c>
      <c r="CB119" s="313">
        <f>SUMIF(Recibos!$D$4:$D$7493,Cobranza!$B119,Recibos!AN$4:AN$7493)</f>
        <v>400</v>
      </c>
      <c r="CC119" s="313">
        <f>SUMIF(Recibos!$D$4:$D$7493,Cobranza!$B119,Recibos!AO$4:AO$7493)</f>
        <v>400</v>
      </c>
      <c r="CD119" s="313">
        <f>SUMIF(Recibos!$D$4:$D$7493,Cobranza!$B119,Recibos!AP$4:AP$7493)</f>
        <v>400</v>
      </c>
      <c r="CE119" s="313">
        <f>SUMIF(Recibos!$D$4:$D$7493,Cobranza!$B119,Recibos!AQ$4:AQ$7493)</f>
        <v>400</v>
      </c>
      <c r="CF119" s="313">
        <f>SUMIF(Recibos!$D$4:$D$7493,Cobranza!$B119,Recibos!AR$4:AR$7493)</f>
        <v>0</v>
      </c>
      <c r="CG119" s="313">
        <f>SUMIF(Recibos!$D$4:$D$7493,Cobranza!$B119,Recibos!AS$4:AS$7493)</f>
        <v>0</v>
      </c>
      <c r="CH119" s="313">
        <f>SUMIF(Recibos!$D$4:$D$7493,Cobranza!$B119,Recibos!AT$4:AT$7493)</f>
        <v>0</v>
      </c>
      <c r="CI119" s="313">
        <f>SUMIF(Recibos!$D$4:$D$7493,Cobranza!$B119,Recibos!AU$4:AU$7493)</f>
        <v>0</v>
      </c>
      <c r="CJ119" s="313">
        <f>SUMIF(Recibos!$D$4:$D$7493,Cobranza!$B119,Recibos!AV$4:AV$7493)</f>
        <v>0</v>
      </c>
      <c r="CK119" s="314">
        <f t="shared" si="10"/>
        <v>2800</v>
      </c>
    </row>
    <row r="120" spans="2:89" x14ac:dyDescent="0.2">
      <c r="B120" s="42" t="s">
        <v>589</v>
      </c>
      <c r="C120" s="42" t="s">
        <v>590</v>
      </c>
      <c r="D120" s="42" t="s">
        <v>591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4">
        <f t="shared" si="11"/>
        <v>0</v>
      </c>
      <c r="L120" s="43">
        <v>300</v>
      </c>
      <c r="M120" s="43">
        <v>300</v>
      </c>
      <c r="N120" s="43">
        <v>300</v>
      </c>
      <c r="O120" s="43">
        <v>300</v>
      </c>
      <c r="P120" s="43">
        <v>300</v>
      </c>
      <c r="Q120" s="43">
        <v>300</v>
      </c>
      <c r="R120" s="43">
        <v>700</v>
      </c>
      <c r="S120" s="43">
        <v>700</v>
      </c>
      <c r="T120" s="43">
        <v>700</v>
      </c>
      <c r="U120" s="43">
        <v>700</v>
      </c>
      <c r="V120" s="43">
        <v>700</v>
      </c>
      <c r="W120" s="43">
        <v>0</v>
      </c>
      <c r="X120" s="44">
        <f t="shared" si="12"/>
        <v>5300</v>
      </c>
      <c r="Y120" s="43">
        <v>400</v>
      </c>
      <c r="Z120" s="43">
        <v>400</v>
      </c>
      <c r="AA120" s="43">
        <v>400</v>
      </c>
      <c r="AB120" s="43">
        <v>400</v>
      </c>
      <c r="AC120" s="43">
        <v>400</v>
      </c>
      <c r="AD120" s="43">
        <v>400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4">
        <f t="shared" si="13"/>
        <v>2400</v>
      </c>
      <c r="AL120" s="43">
        <v>400</v>
      </c>
      <c r="AM120" s="43">
        <v>400</v>
      </c>
      <c r="AN120" s="43">
        <v>400</v>
      </c>
      <c r="AO120" s="43">
        <v>400</v>
      </c>
      <c r="AP120" s="43">
        <v>400</v>
      </c>
      <c r="AQ120" s="43">
        <v>400</v>
      </c>
      <c r="AR120" s="43">
        <v>400</v>
      </c>
      <c r="AS120" s="43">
        <v>400</v>
      </c>
      <c r="AT120" s="43">
        <v>400</v>
      </c>
      <c r="AU120" s="43">
        <v>400</v>
      </c>
      <c r="AV120" s="43">
        <v>400</v>
      </c>
      <c r="AW120" s="43">
        <v>0</v>
      </c>
      <c r="AX120" s="44">
        <f t="shared" si="14"/>
        <v>4400</v>
      </c>
      <c r="AY120" s="311">
        <f>SUMIF(Recibos!$D$4:$D$7493,Cobranza!$B120,Recibos!K$4:K$7493)</f>
        <v>400</v>
      </c>
      <c r="AZ120" s="311">
        <f>SUMIF(Recibos!$D$4:$D$7493,Cobranza!$B120,Recibos!L$4:L$7493)</f>
        <v>400</v>
      </c>
      <c r="BA120" s="311">
        <f>SUMIF(Recibos!$D$4:$D$7493,Cobranza!$B120,Recibos!M$4:M$7493)</f>
        <v>400</v>
      </c>
      <c r="BB120" s="311">
        <f>SUMIF(Recibos!$D$4:$D$7493,Cobranza!$B120,Recibos!N$4:N$7493)</f>
        <v>400</v>
      </c>
      <c r="BC120" s="311">
        <f>SUMIF(Recibos!$D$4:$D$7493,Cobranza!$B120,Recibos!O$4:O$7493)</f>
        <v>400</v>
      </c>
      <c r="BD120" s="311">
        <f>SUMIF(Recibos!$D$4:$D$7493,Cobranza!$B120,Recibos!P$4:P$7493)</f>
        <v>400</v>
      </c>
      <c r="BE120" s="311">
        <f>SUMIF(Recibos!$D$4:$D$7493,Cobranza!$B120,Recibos!Q$4:Q$7493)</f>
        <v>400</v>
      </c>
      <c r="BF120" s="311">
        <f>SUMIF(Recibos!$D$4:$D$7493,Cobranza!$B120,Recibos!R$4:R$7493)</f>
        <v>400</v>
      </c>
      <c r="BG120" s="311">
        <f>SUMIF(Recibos!$D$4:$D$7493,Cobranza!$B120,Recibos!S$4:S$7493)</f>
        <v>400</v>
      </c>
      <c r="BH120" s="311">
        <f>SUMIF(Recibos!$D$4:$D$7493,Cobranza!$B120,Recibos!T$4:T$7493)</f>
        <v>400</v>
      </c>
      <c r="BI120" s="311">
        <f>SUMIF(Recibos!$D$4:$D$7493,Cobranza!$B120,Recibos!U$4:U$7493)</f>
        <v>400</v>
      </c>
      <c r="BJ120" s="311">
        <f>SUMIF(Recibos!$D$4:$D$7493,Cobranza!$B120,Recibos!V$4:V$7493)</f>
        <v>400</v>
      </c>
      <c r="BK120" s="312">
        <f t="shared" si="15"/>
        <v>4800</v>
      </c>
      <c r="BL120" s="311">
        <f>SUMIF(Recibos!$D$4:$D$7493,Cobranza!$B120,Recibos!X$4:X$7493)</f>
        <v>400</v>
      </c>
      <c r="BM120" s="311">
        <f>SUMIF(Recibos!$D$4:$D$7493,Cobranza!$B120,Recibos!Y$4:Y$7493)</f>
        <v>400</v>
      </c>
      <c r="BN120" s="311">
        <f>SUMIF(Recibos!$D$4:$D$7493,Cobranza!$B120,Recibos!Z$4:Z$7493)</f>
        <v>400</v>
      </c>
      <c r="BO120" s="311">
        <f>SUMIF(Recibos!$D$4:$D$7493,Cobranza!$B120,Recibos!AA$4:AA$7493)</f>
        <v>400</v>
      </c>
      <c r="BP120" s="311">
        <f>SUMIF(Recibos!$D$4:$D$7493,Cobranza!$B120,Recibos!AB$4:AB$7493)</f>
        <v>400</v>
      </c>
      <c r="BQ120" s="311">
        <f>SUMIF(Recibos!$D$4:$D$7493,Cobranza!$B120,Recibos!AC$4:AC$7493)</f>
        <v>400</v>
      </c>
      <c r="BR120" s="311">
        <f>SUMIF(Recibos!$D$4:$D$7493,Cobranza!$B120,Recibos!AD$4:AD$7493)</f>
        <v>400</v>
      </c>
      <c r="BS120" s="311">
        <f>SUMIF(Recibos!$D$4:$D$7493,Cobranza!$B120,Recibos!AE$4:AE$7493)</f>
        <v>400</v>
      </c>
      <c r="BT120" s="311">
        <f>SUMIF(Recibos!$D$4:$D$7493,Cobranza!$B120,Recibos!AF$4:AF$7493)</f>
        <v>400</v>
      </c>
      <c r="BU120" s="311">
        <f>SUMIF(Recibos!$D$4:$D$7493,Cobranza!$B120,Recibos!AG$4:AG$7493)</f>
        <v>400</v>
      </c>
      <c r="BV120" s="311">
        <f>SUMIF(Recibos!$D$4:$D$7493,Cobranza!$B120,Recibos!AH$4:AH$7493)</f>
        <v>400</v>
      </c>
      <c r="BW120" s="311">
        <f>SUMIF(Recibos!$D$4:$D$7493,Cobranza!$B120,Recibos!AI$4:AI$7493)</f>
        <v>400</v>
      </c>
      <c r="BX120" s="312">
        <f t="shared" si="16"/>
        <v>4800</v>
      </c>
      <c r="BY120" s="311">
        <f>SUMIF(Recibos!$D$4:$D$7493,Cobranza!$B120,Recibos!AK$4:AK$7493)</f>
        <v>400</v>
      </c>
      <c r="BZ120" s="311">
        <f>SUMIF(Recibos!$D$4:$D$7493,Cobranza!$B120,Recibos!AL$4:AL$7493)</f>
        <v>400</v>
      </c>
      <c r="CA120" s="311">
        <f>SUMIF(Recibos!$D$4:$D$7493,Cobranza!$B120,Recibos!AM$4:AM$7493)</f>
        <v>400</v>
      </c>
      <c r="CB120" s="311">
        <f>SUMIF(Recibos!$D$4:$D$7493,Cobranza!$B120,Recibos!AN$4:AN$7493)</f>
        <v>400</v>
      </c>
      <c r="CC120" s="311">
        <f>SUMIF(Recibos!$D$4:$D$7493,Cobranza!$B120,Recibos!AO$4:AO$7493)</f>
        <v>400</v>
      </c>
      <c r="CD120" s="311">
        <f>SUMIF(Recibos!$D$4:$D$7493,Cobranza!$B120,Recibos!AP$4:AP$7493)</f>
        <v>400</v>
      </c>
      <c r="CE120" s="311">
        <f>SUMIF(Recibos!$D$4:$D$7493,Cobranza!$B120,Recibos!AQ$4:AQ$7493)</f>
        <v>400</v>
      </c>
      <c r="CF120" s="311">
        <f>SUMIF(Recibos!$D$4:$D$7493,Cobranza!$B120,Recibos!AR$4:AR$7493)</f>
        <v>400</v>
      </c>
      <c r="CG120" s="311">
        <f>SUMIF(Recibos!$D$4:$D$7493,Cobranza!$B120,Recibos!AS$4:AS$7493)</f>
        <v>400</v>
      </c>
      <c r="CH120" s="311">
        <f>SUMIF(Recibos!$D$4:$D$7493,Cobranza!$B120,Recibos!AT$4:AT$7493)</f>
        <v>400</v>
      </c>
      <c r="CI120" s="311">
        <f>SUMIF(Recibos!$D$4:$D$7493,Cobranza!$B120,Recibos!AU$4:AU$7493)</f>
        <v>0</v>
      </c>
      <c r="CJ120" s="311">
        <f>SUMIF(Recibos!$D$4:$D$7493,Cobranza!$B120,Recibos!AV$4:AV$7493)</f>
        <v>0</v>
      </c>
      <c r="CK120" s="312">
        <f t="shared" si="10"/>
        <v>4000</v>
      </c>
    </row>
    <row r="121" spans="2:89" x14ac:dyDescent="0.2">
      <c r="B121" s="45" t="s">
        <v>1314</v>
      </c>
      <c r="C121" s="45" t="s">
        <v>1315</v>
      </c>
      <c r="D121" s="45" t="s">
        <v>1316</v>
      </c>
      <c r="E121" s="46">
        <v>0</v>
      </c>
      <c r="F121" s="46">
        <v>0</v>
      </c>
      <c r="G121" s="46">
        <v>0</v>
      </c>
      <c r="H121" s="46">
        <v>300</v>
      </c>
      <c r="I121" s="46">
        <v>300</v>
      </c>
      <c r="J121" s="46">
        <v>0</v>
      </c>
      <c r="K121" s="47">
        <f t="shared" si="11"/>
        <v>600</v>
      </c>
      <c r="L121" s="46">
        <v>300</v>
      </c>
      <c r="M121" s="46">
        <v>300</v>
      </c>
      <c r="N121" s="46">
        <v>300</v>
      </c>
      <c r="O121" s="46">
        <v>300</v>
      </c>
      <c r="P121" s="46">
        <v>300</v>
      </c>
      <c r="Q121" s="46">
        <v>300</v>
      </c>
      <c r="R121" s="46">
        <v>300</v>
      </c>
      <c r="S121" s="46">
        <v>300</v>
      </c>
      <c r="T121" s="46">
        <v>300</v>
      </c>
      <c r="U121" s="46">
        <v>0</v>
      </c>
      <c r="V121" s="46">
        <v>0</v>
      </c>
      <c r="W121" s="46">
        <v>0</v>
      </c>
      <c r="X121" s="47">
        <f t="shared" si="12"/>
        <v>2700</v>
      </c>
      <c r="Y121" s="46">
        <v>0</v>
      </c>
      <c r="Z121" s="46">
        <v>0</v>
      </c>
      <c r="AA121" s="46">
        <v>0</v>
      </c>
      <c r="AB121" s="46">
        <v>0</v>
      </c>
      <c r="AC121" s="46">
        <v>0</v>
      </c>
      <c r="AD121" s="46">
        <v>0</v>
      </c>
      <c r="AE121" s="46">
        <v>0</v>
      </c>
      <c r="AF121" s="46">
        <v>0</v>
      </c>
      <c r="AG121" s="46">
        <v>0</v>
      </c>
      <c r="AH121" s="46">
        <v>0</v>
      </c>
      <c r="AI121" s="46">
        <v>0</v>
      </c>
      <c r="AJ121" s="46">
        <v>0</v>
      </c>
      <c r="AK121" s="47">
        <f t="shared" si="13"/>
        <v>0</v>
      </c>
      <c r="AL121" s="46">
        <v>0</v>
      </c>
      <c r="AM121" s="46">
        <v>0</v>
      </c>
      <c r="AN121" s="46">
        <v>0</v>
      </c>
      <c r="AO121" s="46">
        <v>0</v>
      </c>
      <c r="AP121" s="46">
        <v>0</v>
      </c>
      <c r="AQ121" s="46">
        <v>0</v>
      </c>
      <c r="AR121" s="46">
        <v>0</v>
      </c>
      <c r="AS121" s="46">
        <v>0</v>
      </c>
      <c r="AT121" s="46">
        <v>0</v>
      </c>
      <c r="AU121" s="46">
        <v>0</v>
      </c>
      <c r="AV121" s="46">
        <v>0</v>
      </c>
      <c r="AW121" s="46">
        <v>0</v>
      </c>
      <c r="AX121" s="47">
        <f t="shared" si="14"/>
        <v>0</v>
      </c>
      <c r="AY121" s="313">
        <f>SUMIF(Recibos!$D$4:$D$7493,Cobranza!$B121,Recibos!K$4:K$7493)</f>
        <v>0</v>
      </c>
      <c r="AZ121" s="313">
        <f>SUMIF(Recibos!$D$4:$D$7493,Cobranza!$B121,Recibos!L$4:L$7493)</f>
        <v>0</v>
      </c>
      <c r="BA121" s="313">
        <f>SUMIF(Recibos!$D$4:$D$7493,Cobranza!$B121,Recibos!M$4:M$7493)</f>
        <v>0</v>
      </c>
      <c r="BB121" s="313">
        <f>SUMIF(Recibos!$D$4:$D$7493,Cobranza!$B121,Recibos!N$4:N$7493)</f>
        <v>0</v>
      </c>
      <c r="BC121" s="313">
        <f>SUMIF(Recibos!$D$4:$D$7493,Cobranza!$B121,Recibos!O$4:O$7493)</f>
        <v>0</v>
      </c>
      <c r="BD121" s="313">
        <f>SUMIF(Recibos!$D$4:$D$7493,Cobranza!$B121,Recibos!P$4:P$7493)</f>
        <v>0</v>
      </c>
      <c r="BE121" s="313">
        <f>SUMIF(Recibos!$D$4:$D$7493,Cobranza!$B121,Recibos!Q$4:Q$7493)</f>
        <v>0</v>
      </c>
      <c r="BF121" s="313">
        <f>SUMIF(Recibos!$D$4:$D$7493,Cobranza!$B121,Recibos!R$4:R$7493)</f>
        <v>0</v>
      </c>
      <c r="BG121" s="313">
        <f>SUMIF(Recibos!$D$4:$D$7493,Cobranza!$B121,Recibos!S$4:S$7493)</f>
        <v>0</v>
      </c>
      <c r="BH121" s="313">
        <f>SUMIF(Recibos!$D$4:$D$7493,Cobranza!$B121,Recibos!T$4:T$7493)</f>
        <v>0</v>
      </c>
      <c r="BI121" s="313">
        <f>SUMIF(Recibos!$D$4:$D$7493,Cobranza!$B121,Recibos!U$4:U$7493)</f>
        <v>0</v>
      </c>
      <c r="BJ121" s="313">
        <f>SUMIF(Recibos!$D$4:$D$7493,Cobranza!$B121,Recibos!V$4:V$7493)</f>
        <v>0</v>
      </c>
      <c r="BK121" s="314">
        <f t="shared" si="15"/>
        <v>0</v>
      </c>
      <c r="BL121" s="313">
        <f>SUMIF(Recibos!$D$4:$D$7493,Cobranza!$B121,Recibos!X$4:X$7493)</f>
        <v>0</v>
      </c>
      <c r="BM121" s="313">
        <f>SUMIF(Recibos!$D$4:$D$7493,Cobranza!$B121,Recibos!Y$4:Y$7493)</f>
        <v>0</v>
      </c>
      <c r="BN121" s="313">
        <f>SUMIF(Recibos!$D$4:$D$7493,Cobranza!$B121,Recibos!Z$4:Z$7493)</f>
        <v>0</v>
      </c>
      <c r="BO121" s="313">
        <f>SUMIF(Recibos!$D$4:$D$7493,Cobranza!$B121,Recibos!AA$4:AA$7493)</f>
        <v>0</v>
      </c>
      <c r="BP121" s="313">
        <f>SUMIF(Recibos!$D$4:$D$7493,Cobranza!$B121,Recibos!AB$4:AB$7493)</f>
        <v>0</v>
      </c>
      <c r="BQ121" s="313">
        <f>SUMIF(Recibos!$D$4:$D$7493,Cobranza!$B121,Recibos!AC$4:AC$7493)</f>
        <v>0</v>
      </c>
      <c r="BR121" s="313">
        <f>SUMIF(Recibos!$D$4:$D$7493,Cobranza!$B121,Recibos!AD$4:AD$7493)</f>
        <v>0</v>
      </c>
      <c r="BS121" s="313">
        <f>SUMIF(Recibos!$D$4:$D$7493,Cobranza!$B121,Recibos!AE$4:AE$7493)</f>
        <v>0</v>
      </c>
      <c r="BT121" s="313">
        <f>SUMIF(Recibos!$D$4:$D$7493,Cobranza!$B121,Recibos!AF$4:AF$7493)</f>
        <v>0</v>
      </c>
      <c r="BU121" s="313">
        <f>SUMIF(Recibos!$D$4:$D$7493,Cobranza!$B121,Recibos!AG$4:AG$7493)</f>
        <v>0</v>
      </c>
      <c r="BV121" s="313">
        <f>SUMIF(Recibos!$D$4:$D$7493,Cobranza!$B121,Recibos!AH$4:AH$7493)</f>
        <v>0</v>
      </c>
      <c r="BW121" s="313">
        <f>SUMIF(Recibos!$D$4:$D$7493,Cobranza!$B121,Recibos!AI$4:AI$7493)</f>
        <v>0</v>
      </c>
      <c r="BX121" s="314">
        <f t="shared" si="16"/>
        <v>0</v>
      </c>
      <c r="BY121" s="313">
        <f>SUMIF(Recibos!$D$4:$D$7493,Cobranza!$B121,Recibos!AK$4:AK$7493)</f>
        <v>0</v>
      </c>
      <c r="BZ121" s="313">
        <f>SUMIF(Recibos!$D$4:$D$7493,Cobranza!$B121,Recibos!AL$4:AL$7493)</f>
        <v>0</v>
      </c>
      <c r="CA121" s="313">
        <f>SUMIF(Recibos!$D$4:$D$7493,Cobranza!$B121,Recibos!AM$4:AM$7493)</f>
        <v>0</v>
      </c>
      <c r="CB121" s="313">
        <f>SUMIF(Recibos!$D$4:$D$7493,Cobranza!$B121,Recibos!AN$4:AN$7493)</f>
        <v>0</v>
      </c>
      <c r="CC121" s="313">
        <f>SUMIF(Recibos!$D$4:$D$7493,Cobranza!$B121,Recibos!AO$4:AO$7493)</f>
        <v>0</v>
      </c>
      <c r="CD121" s="313">
        <f>SUMIF(Recibos!$D$4:$D$7493,Cobranza!$B121,Recibos!AP$4:AP$7493)</f>
        <v>0</v>
      </c>
      <c r="CE121" s="313">
        <f>SUMIF(Recibos!$D$4:$D$7493,Cobranza!$B121,Recibos!AQ$4:AQ$7493)</f>
        <v>0</v>
      </c>
      <c r="CF121" s="313">
        <f>SUMIF(Recibos!$D$4:$D$7493,Cobranza!$B121,Recibos!AR$4:AR$7493)</f>
        <v>0</v>
      </c>
      <c r="CG121" s="313">
        <f>SUMIF(Recibos!$D$4:$D$7493,Cobranza!$B121,Recibos!AS$4:AS$7493)</f>
        <v>0</v>
      </c>
      <c r="CH121" s="313">
        <f>SUMIF(Recibos!$D$4:$D$7493,Cobranza!$B121,Recibos!AT$4:AT$7493)</f>
        <v>0</v>
      </c>
      <c r="CI121" s="313">
        <f>SUMIF(Recibos!$D$4:$D$7493,Cobranza!$B121,Recibos!AU$4:AU$7493)</f>
        <v>0</v>
      </c>
      <c r="CJ121" s="313">
        <f>SUMIF(Recibos!$D$4:$D$7493,Cobranza!$B121,Recibos!AV$4:AV$7493)</f>
        <v>0</v>
      </c>
      <c r="CK121" s="314">
        <f t="shared" si="10"/>
        <v>0</v>
      </c>
    </row>
    <row r="122" spans="2:89" x14ac:dyDescent="0.2">
      <c r="B122" s="42" t="s">
        <v>1317</v>
      </c>
      <c r="C122" s="42" t="s">
        <v>1318</v>
      </c>
      <c r="D122" s="42" t="s">
        <v>1319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4">
        <f t="shared" si="11"/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300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4">
        <f t="shared" si="12"/>
        <v>300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4">
        <f t="shared" si="13"/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4">
        <f t="shared" si="14"/>
        <v>0</v>
      </c>
      <c r="AY122" s="311">
        <f>SUMIF(Recibos!$D$4:$D$7493,Cobranza!$B122,Recibos!K$4:K$7493)</f>
        <v>0</v>
      </c>
      <c r="AZ122" s="311">
        <f>SUMIF(Recibos!$D$4:$D$7493,Cobranza!$B122,Recibos!L$4:L$7493)</f>
        <v>0</v>
      </c>
      <c r="BA122" s="311">
        <f>SUMIF(Recibos!$D$4:$D$7493,Cobranza!$B122,Recibos!M$4:M$7493)</f>
        <v>0</v>
      </c>
      <c r="BB122" s="311">
        <f>SUMIF(Recibos!$D$4:$D$7493,Cobranza!$B122,Recibos!N$4:N$7493)</f>
        <v>0</v>
      </c>
      <c r="BC122" s="311">
        <f>SUMIF(Recibos!$D$4:$D$7493,Cobranza!$B122,Recibos!O$4:O$7493)</f>
        <v>0</v>
      </c>
      <c r="BD122" s="311">
        <f>SUMIF(Recibos!$D$4:$D$7493,Cobranza!$B122,Recibos!P$4:P$7493)</f>
        <v>0</v>
      </c>
      <c r="BE122" s="311">
        <f>SUMIF(Recibos!$D$4:$D$7493,Cobranza!$B122,Recibos!Q$4:Q$7493)</f>
        <v>0</v>
      </c>
      <c r="BF122" s="311">
        <f>SUMIF(Recibos!$D$4:$D$7493,Cobranza!$B122,Recibos!R$4:R$7493)</f>
        <v>0</v>
      </c>
      <c r="BG122" s="311">
        <f>SUMIF(Recibos!$D$4:$D$7493,Cobranza!$B122,Recibos!S$4:S$7493)</f>
        <v>0</v>
      </c>
      <c r="BH122" s="311">
        <f>SUMIF(Recibos!$D$4:$D$7493,Cobranza!$B122,Recibos!T$4:T$7493)</f>
        <v>0</v>
      </c>
      <c r="BI122" s="311">
        <f>SUMIF(Recibos!$D$4:$D$7493,Cobranza!$B122,Recibos!U$4:U$7493)</f>
        <v>0</v>
      </c>
      <c r="BJ122" s="311">
        <f>SUMIF(Recibos!$D$4:$D$7493,Cobranza!$B122,Recibos!V$4:V$7493)</f>
        <v>0</v>
      </c>
      <c r="BK122" s="312">
        <f t="shared" si="15"/>
        <v>0</v>
      </c>
      <c r="BL122" s="311">
        <f>SUMIF(Recibos!$D$4:$D$7493,Cobranza!$B122,Recibos!X$4:X$7493)</f>
        <v>0</v>
      </c>
      <c r="BM122" s="311">
        <f>SUMIF(Recibos!$D$4:$D$7493,Cobranza!$B122,Recibos!Y$4:Y$7493)</f>
        <v>0</v>
      </c>
      <c r="BN122" s="311">
        <f>SUMIF(Recibos!$D$4:$D$7493,Cobranza!$B122,Recibos!Z$4:Z$7493)</f>
        <v>0</v>
      </c>
      <c r="BO122" s="311">
        <f>SUMIF(Recibos!$D$4:$D$7493,Cobranza!$B122,Recibos!AA$4:AA$7493)</f>
        <v>0</v>
      </c>
      <c r="BP122" s="311">
        <f>SUMIF(Recibos!$D$4:$D$7493,Cobranza!$B122,Recibos!AB$4:AB$7493)</f>
        <v>0</v>
      </c>
      <c r="BQ122" s="311">
        <f>SUMIF(Recibos!$D$4:$D$7493,Cobranza!$B122,Recibos!AC$4:AC$7493)</f>
        <v>0</v>
      </c>
      <c r="BR122" s="311">
        <f>SUMIF(Recibos!$D$4:$D$7493,Cobranza!$B122,Recibos!AD$4:AD$7493)</f>
        <v>0</v>
      </c>
      <c r="BS122" s="311">
        <f>SUMIF(Recibos!$D$4:$D$7493,Cobranza!$B122,Recibos!AE$4:AE$7493)</f>
        <v>0</v>
      </c>
      <c r="BT122" s="311">
        <f>SUMIF(Recibos!$D$4:$D$7493,Cobranza!$B122,Recibos!AF$4:AF$7493)</f>
        <v>0</v>
      </c>
      <c r="BU122" s="311">
        <f>SUMIF(Recibos!$D$4:$D$7493,Cobranza!$B122,Recibos!AG$4:AG$7493)</f>
        <v>0</v>
      </c>
      <c r="BV122" s="311">
        <f>SUMIF(Recibos!$D$4:$D$7493,Cobranza!$B122,Recibos!AH$4:AH$7493)</f>
        <v>0</v>
      </c>
      <c r="BW122" s="311">
        <f>SUMIF(Recibos!$D$4:$D$7493,Cobranza!$B122,Recibos!AI$4:AI$7493)</f>
        <v>0</v>
      </c>
      <c r="BX122" s="312">
        <f t="shared" si="16"/>
        <v>0</v>
      </c>
      <c r="BY122" s="311">
        <f>SUMIF(Recibos!$D$4:$D$7493,Cobranza!$B122,Recibos!AK$4:AK$7493)</f>
        <v>0</v>
      </c>
      <c r="BZ122" s="311">
        <f>SUMIF(Recibos!$D$4:$D$7493,Cobranza!$B122,Recibos!AL$4:AL$7493)</f>
        <v>0</v>
      </c>
      <c r="CA122" s="311">
        <f>SUMIF(Recibos!$D$4:$D$7493,Cobranza!$B122,Recibos!AM$4:AM$7493)</f>
        <v>0</v>
      </c>
      <c r="CB122" s="311">
        <f>SUMIF(Recibos!$D$4:$D$7493,Cobranza!$B122,Recibos!AN$4:AN$7493)</f>
        <v>0</v>
      </c>
      <c r="CC122" s="311">
        <f>SUMIF(Recibos!$D$4:$D$7493,Cobranza!$B122,Recibos!AO$4:AO$7493)</f>
        <v>0</v>
      </c>
      <c r="CD122" s="311">
        <f>SUMIF(Recibos!$D$4:$D$7493,Cobranza!$B122,Recibos!AP$4:AP$7493)</f>
        <v>0</v>
      </c>
      <c r="CE122" s="311">
        <f>SUMIF(Recibos!$D$4:$D$7493,Cobranza!$B122,Recibos!AQ$4:AQ$7493)</f>
        <v>0</v>
      </c>
      <c r="CF122" s="311">
        <f>SUMIF(Recibos!$D$4:$D$7493,Cobranza!$B122,Recibos!AR$4:AR$7493)</f>
        <v>0</v>
      </c>
      <c r="CG122" s="311">
        <f>SUMIF(Recibos!$D$4:$D$7493,Cobranza!$B122,Recibos!AS$4:AS$7493)</f>
        <v>0</v>
      </c>
      <c r="CH122" s="311">
        <f>SUMIF(Recibos!$D$4:$D$7493,Cobranza!$B122,Recibos!AT$4:AT$7493)</f>
        <v>0</v>
      </c>
      <c r="CI122" s="311">
        <f>SUMIF(Recibos!$D$4:$D$7493,Cobranza!$B122,Recibos!AU$4:AU$7493)</f>
        <v>0</v>
      </c>
      <c r="CJ122" s="311">
        <f>SUMIF(Recibos!$D$4:$D$7493,Cobranza!$B122,Recibos!AV$4:AV$7493)</f>
        <v>0</v>
      </c>
      <c r="CK122" s="312">
        <f t="shared" si="10"/>
        <v>0</v>
      </c>
    </row>
    <row r="123" spans="2:89" x14ac:dyDescent="0.2">
      <c r="B123" s="45" t="s">
        <v>392</v>
      </c>
      <c r="C123" s="45" t="s">
        <v>393</v>
      </c>
      <c r="D123" s="45" t="s">
        <v>394</v>
      </c>
      <c r="E123" s="46">
        <v>0</v>
      </c>
      <c r="F123" s="46">
        <v>0</v>
      </c>
      <c r="G123" s="46">
        <v>0</v>
      </c>
      <c r="H123" s="46">
        <v>0</v>
      </c>
      <c r="I123" s="46">
        <v>0</v>
      </c>
      <c r="J123" s="46">
        <v>300</v>
      </c>
      <c r="K123" s="47">
        <f t="shared" si="11"/>
        <v>300</v>
      </c>
      <c r="L123" s="46">
        <v>300</v>
      </c>
      <c r="M123" s="46">
        <v>300</v>
      </c>
      <c r="N123" s="46">
        <v>300</v>
      </c>
      <c r="O123" s="46">
        <v>300</v>
      </c>
      <c r="P123" s="46">
        <v>300</v>
      </c>
      <c r="Q123" s="46">
        <v>300</v>
      </c>
      <c r="R123" s="46">
        <v>300</v>
      </c>
      <c r="S123" s="46">
        <v>300</v>
      </c>
      <c r="T123" s="46">
        <v>300</v>
      </c>
      <c r="U123" s="46">
        <v>400</v>
      </c>
      <c r="V123" s="46">
        <v>400</v>
      </c>
      <c r="W123" s="46">
        <v>400</v>
      </c>
      <c r="X123" s="47">
        <f t="shared" si="12"/>
        <v>3900</v>
      </c>
      <c r="Y123" s="46">
        <v>400</v>
      </c>
      <c r="Z123" s="46">
        <v>400</v>
      </c>
      <c r="AA123" s="46">
        <v>400</v>
      </c>
      <c r="AB123" s="46">
        <v>400</v>
      </c>
      <c r="AC123" s="46">
        <v>400</v>
      </c>
      <c r="AD123" s="46">
        <v>400</v>
      </c>
      <c r="AE123" s="46">
        <v>400</v>
      </c>
      <c r="AF123" s="46">
        <v>400</v>
      </c>
      <c r="AG123" s="46">
        <v>400</v>
      </c>
      <c r="AH123" s="46">
        <v>400</v>
      </c>
      <c r="AI123" s="46">
        <v>400</v>
      </c>
      <c r="AJ123" s="46">
        <v>400</v>
      </c>
      <c r="AK123" s="47">
        <f t="shared" si="13"/>
        <v>4800</v>
      </c>
      <c r="AL123" s="46">
        <v>400</v>
      </c>
      <c r="AM123" s="46">
        <v>400</v>
      </c>
      <c r="AN123" s="46">
        <v>400</v>
      </c>
      <c r="AO123" s="46">
        <v>400</v>
      </c>
      <c r="AP123" s="46">
        <v>400</v>
      </c>
      <c r="AQ123" s="46">
        <v>400</v>
      </c>
      <c r="AR123" s="46">
        <v>400</v>
      </c>
      <c r="AS123" s="46">
        <v>400</v>
      </c>
      <c r="AT123" s="46">
        <v>400</v>
      </c>
      <c r="AU123" s="46">
        <v>400</v>
      </c>
      <c r="AV123" s="46">
        <v>400</v>
      </c>
      <c r="AW123" s="46">
        <v>400</v>
      </c>
      <c r="AX123" s="47">
        <f t="shared" si="14"/>
        <v>4800</v>
      </c>
      <c r="AY123" s="313">
        <f>SUMIF(Recibos!$D$4:$D$7493,Cobranza!$B123,Recibos!K$4:K$7493)</f>
        <v>400</v>
      </c>
      <c r="AZ123" s="313">
        <f>SUMIF(Recibos!$D$4:$D$7493,Cobranza!$B123,Recibos!L$4:L$7493)</f>
        <v>400</v>
      </c>
      <c r="BA123" s="313">
        <f>SUMIF(Recibos!$D$4:$D$7493,Cobranza!$B123,Recibos!M$4:M$7493)</f>
        <v>400</v>
      </c>
      <c r="BB123" s="313">
        <f>SUMIF(Recibos!$D$4:$D$7493,Cobranza!$B123,Recibos!N$4:N$7493)</f>
        <v>400</v>
      </c>
      <c r="BC123" s="313">
        <f>SUMIF(Recibos!$D$4:$D$7493,Cobranza!$B123,Recibos!O$4:O$7493)</f>
        <v>400</v>
      </c>
      <c r="BD123" s="313">
        <f>SUMIF(Recibos!$D$4:$D$7493,Cobranza!$B123,Recibos!P$4:P$7493)</f>
        <v>400</v>
      </c>
      <c r="BE123" s="313">
        <f>SUMIF(Recibos!$D$4:$D$7493,Cobranza!$B123,Recibos!Q$4:Q$7493)</f>
        <v>400</v>
      </c>
      <c r="BF123" s="313">
        <f>SUMIF(Recibos!$D$4:$D$7493,Cobranza!$B123,Recibos!R$4:R$7493)</f>
        <v>400</v>
      </c>
      <c r="BG123" s="313">
        <f>SUMIF(Recibos!$D$4:$D$7493,Cobranza!$B123,Recibos!S$4:S$7493)</f>
        <v>400</v>
      </c>
      <c r="BH123" s="313">
        <f>SUMIF(Recibos!$D$4:$D$7493,Cobranza!$B123,Recibos!T$4:T$7493)</f>
        <v>400</v>
      </c>
      <c r="BI123" s="313">
        <f>SUMIF(Recibos!$D$4:$D$7493,Cobranza!$B123,Recibos!U$4:U$7493)</f>
        <v>400</v>
      </c>
      <c r="BJ123" s="313">
        <f>SUMIF(Recibos!$D$4:$D$7493,Cobranza!$B123,Recibos!V$4:V$7493)</f>
        <v>0</v>
      </c>
      <c r="BK123" s="314">
        <f t="shared" si="15"/>
        <v>4400</v>
      </c>
      <c r="BL123" s="313">
        <f>SUMIF(Recibos!$D$4:$D$7493,Cobranza!$B123,Recibos!X$4:X$7493)</f>
        <v>400</v>
      </c>
      <c r="BM123" s="313">
        <f>SUMIF(Recibos!$D$4:$D$7493,Cobranza!$B123,Recibos!Y$4:Y$7493)</f>
        <v>400</v>
      </c>
      <c r="BN123" s="313">
        <f>SUMIF(Recibos!$D$4:$D$7493,Cobranza!$B123,Recibos!Z$4:Z$7493)</f>
        <v>400</v>
      </c>
      <c r="BO123" s="313">
        <f>SUMIF(Recibos!$D$4:$D$7493,Cobranza!$B123,Recibos!AA$4:AA$7493)</f>
        <v>400</v>
      </c>
      <c r="BP123" s="313">
        <f>SUMIF(Recibos!$D$4:$D$7493,Cobranza!$B123,Recibos!AB$4:AB$7493)</f>
        <v>400</v>
      </c>
      <c r="BQ123" s="313">
        <f>SUMIF(Recibos!$D$4:$D$7493,Cobranza!$B123,Recibos!AC$4:AC$7493)</f>
        <v>400</v>
      </c>
      <c r="BR123" s="313">
        <f>SUMIF(Recibos!$D$4:$D$7493,Cobranza!$B123,Recibos!AD$4:AD$7493)</f>
        <v>400</v>
      </c>
      <c r="BS123" s="313">
        <f>SUMIF(Recibos!$D$4:$D$7493,Cobranza!$B123,Recibos!AE$4:AE$7493)</f>
        <v>400</v>
      </c>
      <c r="BT123" s="313">
        <f>SUMIF(Recibos!$D$4:$D$7493,Cobranza!$B123,Recibos!AF$4:AF$7493)</f>
        <v>400</v>
      </c>
      <c r="BU123" s="313">
        <f>SUMIF(Recibos!$D$4:$D$7493,Cobranza!$B123,Recibos!AG$4:AG$7493)</f>
        <v>400</v>
      </c>
      <c r="BV123" s="313">
        <f>SUMIF(Recibos!$D$4:$D$7493,Cobranza!$B123,Recibos!AH$4:AH$7493)</f>
        <v>400</v>
      </c>
      <c r="BW123" s="313">
        <f>SUMIF(Recibos!$D$4:$D$7493,Cobranza!$B123,Recibos!AI$4:AI$7493)</f>
        <v>0</v>
      </c>
      <c r="BX123" s="314">
        <f t="shared" si="16"/>
        <v>4400</v>
      </c>
      <c r="BY123" s="313">
        <f>SUMIF(Recibos!$D$4:$D$7493,Cobranza!$B123,Recibos!AK$4:AK$7493)</f>
        <v>400</v>
      </c>
      <c r="BZ123" s="313">
        <f>SUMIF(Recibos!$D$4:$D$7493,Cobranza!$B123,Recibos!AL$4:AL$7493)</f>
        <v>400</v>
      </c>
      <c r="CA123" s="313">
        <f>SUMIF(Recibos!$D$4:$D$7493,Cobranza!$B123,Recibos!AM$4:AM$7493)</f>
        <v>400</v>
      </c>
      <c r="CB123" s="313">
        <f>SUMIF(Recibos!$D$4:$D$7493,Cobranza!$B123,Recibos!AN$4:AN$7493)</f>
        <v>400</v>
      </c>
      <c r="CC123" s="313">
        <f>SUMIF(Recibos!$D$4:$D$7493,Cobranza!$B123,Recibos!AO$4:AO$7493)</f>
        <v>400</v>
      </c>
      <c r="CD123" s="313">
        <f>SUMIF(Recibos!$D$4:$D$7493,Cobranza!$B123,Recibos!AP$4:AP$7493)</f>
        <v>400</v>
      </c>
      <c r="CE123" s="313">
        <f>SUMIF(Recibos!$D$4:$D$7493,Cobranza!$B123,Recibos!AQ$4:AQ$7493)</f>
        <v>400</v>
      </c>
      <c r="CF123" s="313">
        <f>SUMIF(Recibos!$D$4:$D$7493,Cobranza!$B123,Recibos!AR$4:AR$7493)</f>
        <v>400</v>
      </c>
      <c r="CG123" s="313">
        <f>SUMIF(Recibos!$D$4:$D$7493,Cobranza!$B123,Recibos!AS$4:AS$7493)</f>
        <v>400</v>
      </c>
      <c r="CH123" s="313">
        <f>SUMIF(Recibos!$D$4:$D$7493,Cobranza!$B123,Recibos!AT$4:AT$7493)</f>
        <v>400</v>
      </c>
      <c r="CI123" s="313">
        <f>SUMIF(Recibos!$D$4:$D$7493,Cobranza!$B123,Recibos!AU$4:AU$7493)</f>
        <v>400</v>
      </c>
      <c r="CJ123" s="313">
        <f>SUMIF(Recibos!$D$4:$D$7493,Cobranza!$B123,Recibos!AV$4:AV$7493)</f>
        <v>0</v>
      </c>
      <c r="CK123" s="314">
        <f t="shared" si="10"/>
        <v>4400</v>
      </c>
    </row>
    <row r="124" spans="2:89" x14ac:dyDescent="0.2">
      <c r="B124" s="42" t="s">
        <v>640</v>
      </c>
      <c r="C124" s="42" t="s">
        <v>641</v>
      </c>
      <c r="D124" s="42" t="s">
        <v>642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150</v>
      </c>
      <c r="K124" s="44">
        <f t="shared" si="11"/>
        <v>150</v>
      </c>
      <c r="L124" s="43">
        <v>150</v>
      </c>
      <c r="M124" s="43">
        <v>150</v>
      </c>
      <c r="N124" s="43">
        <v>150</v>
      </c>
      <c r="O124" s="43">
        <v>150</v>
      </c>
      <c r="P124" s="43">
        <v>150</v>
      </c>
      <c r="Q124" s="43">
        <v>150</v>
      </c>
      <c r="R124" s="43">
        <v>150</v>
      </c>
      <c r="S124" s="43">
        <v>150</v>
      </c>
      <c r="T124" s="43">
        <v>150</v>
      </c>
      <c r="U124" s="43">
        <v>200</v>
      </c>
      <c r="V124" s="43">
        <v>200</v>
      </c>
      <c r="W124" s="43">
        <v>200</v>
      </c>
      <c r="X124" s="44">
        <f t="shared" si="12"/>
        <v>1950</v>
      </c>
      <c r="Y124" s="43">
        <v>200</v>
      </c>
      <c r="Z124" s="43">
        <v>200</v>
      </c>
      <c r="AA124" s="43">
        <v>200</v>
      </c>
      <c r="AB124" s="43">
        <v>0</v>
      </c>
      <c r="AC124" s="43">
        <v>200</v>
      </c>
      <c r="AD124" s="43">
        <v>200</v>
      </c>
      <c r="AE124" s="43">
        <v>200</v>
      </c>
      <c r="AF124" s="43">
        <v>200</v>
      </c>
      <c r="AG124" s="43">
        <v>200</v>
      </c>
      <c r="AH124" s="43">
        <v>200</v>
      </c>
      <c r="AI124" s="43">
        <v>200</v>
      </c>
      <c r="AJ124" s="43">
        <v>200</v>
      </c>
      <c r="AK124" s="44">
        <f t="shared" si="13"/>
        <v>2200</v>
      </c>
      <c r="AL124" s="43">
        <v>200</v>
      </c>
      <c r="AM124" s="43">
        <v>200</v>
      </c>
      <c r="AN124" s="43">
        <v>200</v>
      </c>
      <c r="AO124" s="43">
        <v>200</v>
      </c>
      <c r="AP124" s="43">
        <v>200</v>
      </c>
      <c r="AQ124" s="43">
        <v>200</v>
      </c>
      <c r="AR124" s="43">
        <v>200</v>
      </c>
      <c r="AS124" s="43">
        <v>200</v>
      </c>
      <c r="AT124" s="43">
        <v>200</v>
      </c>
      <c r="AU124" s="43">
        <v>200</v>
      </c>
      <c r="AV124" s="43">
        <v>200</v>
      </c>
      <c r="AW124" s="43">
        <v>200</v>
      </c>
      <c r="AX124" s="44">
        <f t="shared" si="14"/>
        <v>2400</v>
      </c>
      <c r="AY124" s="311">
        <f>SUMIF(Recibos!$D$4:$D$7493,Cobranza!$B124,Recibos!K$4:K$7493)</f>
        <v>200</v>
      </c>
      <c r="AZ124" s="311">
        <f>SUMIF(Recibos!$D$4:$D$7493,Cobranza!$B124,Recibos!L$4:L$7493)</f>
        <v>200</v>
      </c>
      <c r="BA124" s="311">
        <f>SUMIF(Recibos!$D$4:$D$7493,Cobranza!$B124,Recibos!M$4:M$7493)</f>
        <v>200</v>
      </c>
      <c r="BB124" s="311">
        <f>SUMIF(Recibos!$D$4:$D$7493,Cobranza!$B124,Recibos!N$4:N$7493)</f>
        <v>200</v>
      </c>
      <c r="BC124" s="311">
        <f>SUMIF(Recibos!$D$4:$D$7493,Cobranza!$B124,Recibos!O$4:O$7493)</f>
        <v>200</v>
      </c>
      <c r="BD124" s="311">
        <f>SUMIF(Recibos!$D$4:$D$7493,Cobranza!$B124,Recibos!P$4:P$7493)</f>
        <v>200</v>
      </c>
      <c r="BE124" s="311">
        <f>SUMIF(Recibos!$D$4:$D$7493,Cobranza!$B124,Recibos!Q$4:Q$7493)</f>
        <v>200</v>
      </c>
      <c r="BF124" s="311">
        <f>SUMIF(Recibos!$D$4:$D$7493,Cobranza!$B124,Recibos!R$4:R$7493)</f>
        <v>200</v>
      </c>
      <c r="BG124" s="311">
        <f>SUMIF(Recibos!$D$4:$D$7493,Cobranza!$B124,Recibos!S$4:S$7493)</f>
        <v>200</v>
      </c>
      <c r="BH124" s="311">
        <f>SUMIF(Recibos!$D$4:$D$7493,Cobranza!$B124,Recibos!T$4:T$7493)</f>
        <v>200</v>
      </c>
      <c r="BI124" s="311">
        <f>SUMIF(Recibos!$D$4:$D$7493,Cobranza!$B124,Recibos!U$4:U$7493)</f>
        <v>200</v>
      </c>
      <c r="BJ124" s="311">
        <f>SUMIF(Recibos!$D$4:$D$7493,Cobranza!$B124,Recibos!V$4:V$7493)</f>
        <v>200</v>
      </c>
      <c r="BK124" s="312">
        <f t="shared" si="15"/>
        <v>2400</v>
      </c>
      <c r="BL124" s="311">
        <f>SUMIF(Recibos!$D$4:$D$7493,Cobranza!$B124,Recibos!X$4:X$7493)</f>
        <v>200</v>
      </c>
      <c r="BM124" s="311">
        <f>SUMIF(Recibos!$D$4:$D$7493,Cobranza!$B124,Recibos!Y$4:Y$7493)</f>
        <v>200</v>
      </c>
      <c r="BN124" s="311">
        <f>SUMIF(Recibos!$D$4:$D$7493,Cobranza!$B124,Recibos!Z$4:Z$7493)</f>
        <v>200</v>
      </c>
      <c r="BO124" s="311">
        <f>SUMIF(Recibos!$D$4:$D$7493,Cobranza!$B124,Recibos!AA$4:AA$7493)</f>
        <v>200</v>
      </c>
      <c r="BP124" s="311">
        <f>SUMIF(Recibos!$D$4:$D$7493,Cobranza!$B124,Recibos!AB$4:AB$7493)</f>
        <v>200</v>
      </c>
      <c r="BQ124" s="311">
        <f>SUMIF(Recibos!$D$4:$D$7493,Cobranza!$B124,Recibos!AC$4:AC$7493)</f>
        <v>200</v>
      </c>
      <c r="BR124" s="311">
        <f>SUMIF(Recibos!$D$4:$D$7493,Cobranza!$B124,Recibos!AD$4:AD$7493)</f>
        <v>200</v>
      </c>
      <c r="BS124" s="311">
        <f>SUMIF(Recibos!$D$4:$D$7493,Cobranza!$B124,Recibos!AE$4:AE$7493)</f>
        <v>200</v>
      </c>
      <c r="BT124" s="311">
        <f>SUMIF(Recibos!$D$4:$D$7493,Cobranza!$B124,Recibos!AF$4:AF$7493)</f>
        <v>200</v>
      </c>
      <c r="BU124" s="311">
        <f>SUMIF(Recibos!$D$4:$D$7493,Cobranza!$B124,Recibos!AG$4:AG$7493)</f>
        <v>200</v>
      </c>
      <c r="BV124" s="311">
        <f>SUMIF(Recibos!$D$4:$D$7493,Cobranza!$B124,Recibos!AH$4:AH$7493)</f>
        <v>200</v>
      </c>
      <c r="BW124" s="311">
        <f>SUMIF(Recibos!$D$4:$D$7493,Cobranza!$B124,Recibos!AI$4:AI$7493)</f>
        <v>200</v>
      </c>
      <c r="BX124" s="312">
        <f t="shared" si="16"/>
        <v>2400</v>
      </c>
      <c r="BY124" s="311">
        <f>SUMIF(Recibos!$D$4:$D$7493,Cobranza!$B124,Recibos!AK$4:AK$7493)</f>
        <v>200</v>
      </c>
      <c r="BZ124" s="311">
        <f>SUMIF(Recibos!$D$4:$D$7493,Cobranza!$B124,Recibos!AL$4:AL$7493)</f>
        <v>200</v>
      </c>
      <c r="CA124" s="311">
        <f>SUMIF(Recibos!$D$4:$D$7493,Cobranza!$B124,Recibos!AM$4:AM$7493)</f>
        <v>200</v>
      </c>
      <c r="CB124" s="311">
        <f>SUMIF(Recibos!$D$4:$D$7493,Cobranza!$B124,Recibos!AN$4:AN$7493)</f>
        <v>200</v>
      </c>
      <c r="CC124" s="311">
        <f>SUMIF(Recibos!$D$4:$D$7493,Cobranza!$B124,Recibos!AO$4:AO$7493)</f>
        <v>200</v>
      </c>
      <c r="CD124" s="311">
        <f>SUMIF(Recibos!$D$4:$D$7493,Cobranza!$B124,Recibos!AP$4:AP$7493)</f>
        <v>200</v>
      </c>
      <c r="CE124" s="311">
        <f>SUMIF(Recibos!$D$4:$D$7493,Cobranza!$B124,Recibos!AQ$4:AQ$7493)</f>
        <v>200</v>
      </c>
      <c r="CF124" s="311">
        <f>SUMIF(Recibos!$D$4:$D$7493,Cobranza!$B124,Recibos!AR$4:AR$7493)</f>
        <v>200</v>
      </c>
      <c r="CG124" s="311">
        <f>SUMIF(Recibos!$D$4:$D$7493,Cobranza!$B124,Recibos!AS$4:AS$7493)</f>
        <v>200</v>
      </c>
      <c r="CH124" s="311">
        <f>SUMIF(Recibos!$D$4:$D$7493,Cobranza!$B124,Recibos!AT$4:AT$7493)</f>
        <v>0</v>
      </c>
      <c r="CI124" s="311">
        <f>SUMIF(Recibos!$D$4:$D$7493,Cobranza!$B124,Recibos!AU$4:AU$7493)</f>
        <v>0</v>
      </c>
      <c r="CJ124" s="311">
        <f>SUMIF(Recibos!$D$4:$D$7493,Cobranza!$B124,Recibos!AV$4:AV$7493)</f>
        <v>0</v>
      </c>
      <c r="CK124" s="312">
        <f t="shared" si="10"/>
        <v>1800</v>
      </c>
    </row>
    <row r="125" spans="2:89" x14ac:dyDescent="0.2">
      <c r="B125" s="45" t="s">
        <v>482</v>
      </c>
      <c r="C125" s="45" t="s">
        <v>483</v>
      </c>
      <c r="D125" s="45" t="s">
        <v>484</v>
      </c>
      <c r="E125" s="46">
        <v>0</v>
      </c>
      <c r="F125" s="46">
        <v>0</v>
      </c>
      <c r="G125" s="46">
        <v>0</v>
      </c>
      <c r="H125" s="46">
        <v>0</v>
      </c>
      <c r="I125" s="46">
        <v>0</v>
      </c>
      <c r="J125" s="46">
        <v>0</v>
      </c>
      <c r="K125" s="47">
        <f t="shared" si="11"/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47">
        <f t="shared" si="12"/>
        <v>0</v>
      </c>
      <c r="Y125" s="46">
        <v>0</v>
      </c>
      <c r="Z125" s="46">
        <v>0</v>
      </c>
      <c r="AA125" s="46">
        <v>0</v>
      </c>
      <c r="AB125" s="46">
        <v>200</v>
      </c>
      <c r="AC125" s="46">
        <v>0</v>
      </c>
      <c r="AD125" s="46">
        <v>0</v>
      </c>
      <c r="AE125" s="46">
        <v>0</v>
      </c>
      <c r="AF125" s="46">
        <v>0</v>
      </c>
      <c r="AG125" s="46">
        <v>0</v>
      </c>
      <c r="AH125" s="46">
        <v>0</v>
      </c>
      <c r="AI125" s="46">
        <v>0</v>
      </c>
      <c r="AJ125" s="46">
        <v>0</v>
      </c>
      <c r="AK125" s="47">
        <f t="shared" si="13"/>
        <v>200</v>
      </c>
      <c r="AL125" s="46">
        <v>0</v>
      </c>
      <c r="AM125" s="46">
        <v>0</v>
      </c>
      <c r="AN125" s="46">
        <v>0</v>
      </c>
      <c r="AO125" s="46">
        <v>0</v>
      </c>
      <c r="AP125" s="46">
        <v>0</v>
      </c>
      <c r="AQ125" s="46">
        <v>0</v>
      </c>
      <c r="AR125" s="46">
        <v>0</v>
      </c>
      <c r="AS125" s="46">
        <v>0</v>
      </c>
      <c r="AT125" s="46">
        <v>0</v>
      </c>
      <c r="AU125" s="46">
        <v>200</v>
      </c>
      <c r="AV125" s="46">
        <v>200</v>
      </c>
      <c r="AW125" s="46">
        <v>200</v>
      </c>
      <c r="AX125" s="47">
        <f t="shared" si="14"/>
        <v>600</v>
      </c>
      <c r="AY125" s="313">
        <f>SUMIF(Recibos!$D$4:$D$7493,Cobranza!$B125,Recibos!K$4:K$7493)</f>
        <v>200</v>
      </c>
      <c r="AZ125" s="313">
        <f>SUMIF(Recibos!$D$4:$D$7493,Cobranza!$B125,Recibos!L$4:L$7493)</f>
        <v>200</v>
      </c>
      <c r="BA125" s="313">
        <f>SUMIF(Recibos!$D$4:$D$7493,Cobranza!$B125,Recibos!M$4:M$7493)</f>
        <v>200</v>
      </c>
      <c r="BB125" s="313">
        <f>SUMIF(Recibos!$D$4:$D$7493,Cobranza!$B125,Recibos!N$4:N$7493)</f>
        <v>200</v>
      </c>
      <c r="BC125" s="313">
        <f>SUMIF(Recibos!$D$4:$D$7493,Cobranza!$B125,Recibos!O$4:O$7493)</f>
        <v>200</v>
      </c>
      <c r="BD125" s="313">
        <f>SUMIF(Recibos!$D$4:$D$7493,Cobranza!$B125,Recibos!P$4:P$7493)</f>
        <v>200</v>
      </c>
      <c r="BE125" s="313">
        <f>SUMIF(Recibos!$D$4:$D$7493,Cobranza!$B125,Recibos!Q$4:Q$7493)</f>
        <v>200</v>
      </c>
      <c r="BF125" s="313">
        <f>SUMIF(Recibos!$D$4:$D$7493,Cobranza!$B125,Recibos!R$4:R$7493)</f>
        <v>200</v>
      </c>
      <c r="BG125" s="313">
        <f>SUMIF(Recibos!$D$4:$D$7493,Cobranza!$B125,Recibos!S$4:S$7493)</f>
        <v>200</v>
      </c>
      <c r="BH125" s="313">
        <f>SUMIF(Recibos!$D$4:$D$7493,Cobranza!$B125,Recibos!T$4:T$7493)</f>
        <v>200</v>
      </c>
      <c r="BI125" s="313">
        <f>SUMIF(Recibos!$D$4:$D$7493,Cobranza!$B125,Recibos!U$4:U$7493)</f>
        <v>200</v>
      </c>
      <c r="BJ125" s="313">
        <f>SUMIF(Recibos!$D$4:$D$7493,Cobranza!$B125,Recibos!V$4:V$7493)</f>
        <v>200</v>
      </c>
      <c r="BK125" s="314">
        <f t="shared" si="15"/>
        <v>2400</v>
      </c>
      <c r="BL125" s="313">
        <f>SUMIF(Recibos!$D$4:$D$7493,Cobranza!$B125,Recibos!X$4:X$7493)</f>
        <v>200</v>
      </c>
      <c r="BM125" s="313">
        <f>SUMIF(Recibos!$D$4:$D$7493,Cobranza!$B125,Recibos!Y$4:Y$7493)</f>
        <v>200</v>
      </c>
      <c r="BN125" s="313">
        <f>SUMIF(Recibos!$D$4:$D$7493,Cobranza!$B125,Recibos!Z$4:Z$7493)</f>
        <v>0</v>
      </c>
      <c r="BO125" s="313">
        <f>SUMIF(Recibos!$D$4:$D$7493,Cobranza!$B125,Recibos!AA$4:AA$7493)</f>
        <v>0</v>
      </c>
      <c r="BP125" s="313">
        <f>SUMIF(Recibos!$D$4:$D$7493,Cobranza!$B125,Recibos!AB$4:AB$7493)</f>
        <v>0</v>
      </c>
      <c r="BQ125" s="313">
        <f>SUMIF(Recibos!$D$4:$D$7493,Cobranza!$B125,Recibos!AC$4:AC$7493)</f>
        <v>0</v>
      </c>
      <c r="BR125" s="313">
        <f>SUMIF(Recibos!$D$4:$D$7493,Cobranza!$B125,Recibos!AD$4:AD$7493)</f>
        <v>0</v>
      </c>
      <c r="BS125" s="313">
        <f>SUMIF(Recibos!$D$4:$D$7493,Cobranza!$B125,Recibos!AE$4:AE$7493)</f>
        <v>0</v>
      </c>
      <c r="BT125" s="313">
        <f>SUMIF(Recibos!$D$4:$D$7493,Cobranza!$B125,Recibos!AF$4:AF$7493)</f>
        <v>0</v>
      </c>
      <c r="BU125" s="313">
        <f>SUMIF(Recibos!$D$4:$D$7493,Cobranza!$B125,Recibos!AG$4:AG$7493)</f>
        <v>0</v>
      </c>
      <c r="BV125" s="313">
        <f>SUMIF(Recibos!$D$4:$D$7493,Cobranza!$B125,Recibos!AH$4:AH$7493)</f>
        <v>0</v>
      </c>
      <c r="BW125" s="313">
        <f>SUMIF(Recibos!$D$4:$D$7493,Cobranza!$B125,Recibos!AI$4:AI$7493)</f>
        <v>0</v>
      </c>
      <c r="BX125" s="314">
        <f t="shared" si="16"/>
        <v>400</v>
      </c>
      <c r="BY125" s="313">
        <f>SUMIF(Recibos!$D$4:$D$7493,Cobranza!$B125,Recibos!AK$4:AK$7493)</f>
        <v>200</v>
      </c>
      <c r="BZ125" s="313">
        <f>SUMIF(Recibos!$D$4:$D$7493,Cobranza!$B125,Recibos!AL$4:AL$7493)</f>
        <v>200</v>
      </c>
      <c r="CA125" s="313">
        <f>SUMIF(Recibos!$D$4:$D$7493,Cobranza!$B125,Recibos!AM$4:AM$7493)</f>
        <v>200</v>
      </c>
      <c r="CB125" s="313">
        <f>SUMIF(Recibos!$D$4:$D$7493,Cobranza!$B125,Recibos!AN$4:AN$7493)</f>
        <v>200</v>
      </c>
      <c r="CC125" s="313">
        <f>SUMIF(Recibos!$D$4:$D$7493,Cobranza!$B125,Recibos!AO$4:AO$7493)</f>
        <v>200</v>
      </c>
      <c r="CD125" s="313">
        <f>SUMIF(Recibos!$D$4:$D$7493,Cobranza!$B125,Recibos!AP$4:AP$7493)</f>
        <v>200</v>
      </c>
      <c r="CE125" s="313">
        <f>SUMIF(Recibos!$D$4:$D$7493,Cobranza!$B125,Recibos!AQ$4:AQ$7493)</f>
        <v>200</v>
      </c>
      <c r="CF125" s="313">
        <f>SUMIF(Recibos!$D$4:$D$7493,Cobranza!$B125,Recibos!AR$4:AR$7493)</f>
        <v>200</v>
      </c>
      <c r="CG125" s="313">
        <f>SUMIF(Recibos!$D$4:$D$7493,Cobranza!$B125,Recibos!AS$4:AS$7493)</f>
        <v>200</v>
      </c>
      <c r="CH125" s="313">
        <f>SUMIF(Recibos!$D$4:$D$7493,Cobranza!$B125,Recibos!AT$4:AT$7493)</f>
        <v>200</v>
      </c>
      <c r="CI125" s="313">
        <f>SUMIF(Recibos!$D$4:$D$7493,Cobranza!$B125,Recibos!AU$4:AU$7493)</f>
        <v>200</v>
      </c>
      <c r="CJ125" s="313">
        <f>SUMIF(Recibos!$D$4:$D$7493,Cobranza!$B125,Recibos!AV$4:AV$7493)</f>
        <v>200</v>
      </c>
      <c r="CK125" s="314">
        <f t="shared" si="10"/>
        <v>2400</v>
      </c>
    </row>
    <row r="126" spans="2:89" x14ac:dyDescent="0.2">
      <c r="B126" s="42" t="s">
        <v>1320</v>
      </c>
      <c r="C126" s="42" t="s">
        <v>1321</v>
      </c>
      <c r="D126" s="42" t="s">
        <v>1322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4">
        <f t="shared" si="11"/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4">
        <f t="shared" si="12"/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4">
        <f t="shared" si="13"/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4">
        <f t="shared" si="14"/>
        <v>0</v>
      </c>
      <c r="AY126" s="311">
        <f>SUMIF(Recibos!$D$4:$D$7493,Cobranza!$B126,Recibos!K$4:K$7493)</f>
        <v>0</v>
      </c>
      <c r="AZ126" s="311">
        <f>SUMIF(Recibos!$D$4:$D$7493,Cobranza!$B126,Recibos!L$4:L$7493)</f>
        <v>0</v>
      </c>
      <c r="BA126" s="311">
        <f>SUMIF(Recibos!$D$4:$D$7493,Cobranza!$B126,Recibos!M$4:M$7493)</f>
        <v>0</v>
      </c>
      <c r="BB126" s="311">
        <f>SUMIF(Recibos!$D$4:$D$7493,Cobranza!$B126,Recibos!N$4:N$7493)</f>
        <v>0</v>
      </c>
      <c r="BC126" s="311">
        <f>SUMIF(Recibos!$D$4:$D$7493,Cobranza!$B126,Recibos!O$4:O$7493)</f>
        <v>0</v>
      </c>
      <c r="BD126" s="311">
        <f>SUMIF(Recibos!$D$4:$D$7493,Cobranza!$B126,Recibos!P$4:P$7493)</f>
        <v>0</v>
      </c>
      <c r="BE126" s="311">
        <f>SUMIF(Recibos!$D$4:$D$7493,Cobranza!$B126,Recibos!Q$4:Q$7493)</f>
        <v>0</v>
      </c>
      <c r="BF126" s="311">
        <f>SUMIF(Recibos!$D$4:$D$7493,Cobranza!$B126,Recibos!R$4:R$7493)</f>
        <v>0</v>
      </c>
      <c r="BG126" s="311">
        <f>SUMIF(Recibos!$D$4:$D$7493,Cobranza!$B126,Recibos!S$4:S$7493)</f>
        <v>0</v>
      </c>
      <c r="BH126" s="311">
        <f>SUMIF(Recibos!$D$4:$D$7493,Cobranza!$B126,Recibos!T$4:T$7493)</f>
        <v>0</v>
      </c>
      <c r="BI126" s="311">
        <f>SUMIF(Recibos!$D$4:$D$7493,Cobranza!$B126,Recibos!U$4:U$7493)</f>
        <v>0</v>
      </c>
      <c r="BJ126" s="311">
        <f>SUMIF(Recibos!$D$4:$D$7493,Cobranza!$B126,Recibos!V$4:V$7493)</f>
        <v>0</v>
      </c>
      <c r="BK126" s="312">
        <f t="shared" si="15"/>
        <v>0</v>
      </c>
      <c r="BL126" s="311">
        <f>SUMIF(Recibos!$D$4:$D$7493,Cobranza!$B126,Recibos!X$4:X$7493)</f>
        <v>0</v>
      </c>
      <c r="BM126" s="311">
        <f>SUMIF(Recibos!$D$4:$D$7493,Cobranza!$B126,Recibos!Y$4:Y$7493)</f>
        <v>0</v>
      </c>
      <c r="BN126" s="311">
        <f>SUMIF(Recibos!$D$4:$D$7493,Cobranza!$B126,Recibos!Z$4:Z$7493)</f>
        <v>0</v>
      </c>
      <c r="BO126" s="311">
        <f>SUMIF(Recibos!$D$4:$D$7493,Cobranza!$B126,Recibos!AA$4:AA$7493)</f>
        <v>0</v>
      </c>
      <c r="BP126" s="311">
        <f>SUMIF(Recibos!$D$4:$D$7493,Cobranza!$B126,Recibos!AB$4:AB$7493)</f>
        <v>0</v>
      </c>
      <c r="BQ126" s="311">
        <f>SUMIF(Recibos!$D$4:$D$7493,Cobranza!$B126,Recibos!AC$4:AC$7493)</f>
        <v>0</v>
      </c>
      <c r="BR126" s="311">
        <f>SUMIF(Recibos!$D$4:$D$7493,Cobranza!$B126,Recibos!AD$4:AD$7493)</f>
        <v>0</v>
      </c>
      <c r="BS126" s="311">
        <f>SUMIF(Recibos!$D$4:$D$7493,Cobranza!$B126,Recibos!AE$4:AE$7493)</f>
        <v>0</v>
      </c>
      <c r="BT126" s="311">
        <f>SUMIF(Recibos!$D$4:$D$7493,Cobranza!$B126,Recibos!AF$4:AF$7493)</f>
        <v>0</v>
      </c>
      <c r="BU126" s="311">
        <f>SUMIF(Recibos!$D$4:$D$7493,Cobranza!$B126,Recibos!AG$4:AG$7493)</f>
        <v>0</v>
      </c>
      <c r="BV126" s="311">
        <f>SUMIF(Recibos!$D$4:$D$7493,Cobranza!$B126,Recibos!AH$4:AH$7493)</f>
        <v>0</v>
      </c>
      <c r="BW126" s="311">
        <f>SUMIF(Recibos!$D$4:$D$7493,Cobranza!$B126,Recibos!AI$4:AI$7493)</f>
        <v>0</v>
      </c>
      <c r="BX126" s="312">
        <f t="shared" si="16"/>
        <v>0</v>
      </c>
      <c r="BY126" s="311">
        <f>SUMIF(Recibos!$D$4:$D$7493,Cobranza!$B126,Recibos!AK$4:AK$7493)</f>
        <v>0</v>
      </c>
      <c r="BZ126" s="311">
        <f>SUMIF(Recibos!$D$4:$D$7493,Cobranza!$B126,Recibos!AL$4:AL$7493)</f>
        <v>0</v>
      </c>
      <c r="CA126" s="311">
        <f>SUMIF(Recibos!$D$4:$D$7493,Cobranza!$B126,Recibos!AM$4:AM$7493)</f>
        <v>0</v>
      </c>
      <c r="CB126" s="311">
        <f>SUMIF(Recibos!$D$4:$D$7493,Cobranza!$B126,Recibos!AN$4:AN$7493)</f>
        <v>0</v>
      </c>
      <c r="CC126" s="311">
        <f>SUMIF(Recibos!$D$4:$D$7493,Cobranza!$B126,Recibos!AO$4:AO$7493)</f>
        <v>0</v>
      </c>
      <c r="CD126" s="311">
        <f>SUMIF(Recibos!$D$4:$D$7493,Cobranza!$B126,Recibos!AP$4:AP$7493)</f>
        <v>0</v>
      </c>
      <c r="CE126" s="311">
        <f>SUMIF(Recibos!$D$4:$D$7493,Cobranza!$B126,Recibos!AQ$4:AQ$7493)</f>
        <v>0</v>
      </c>
      <c r="CF126" s="311">
        <f>SUMIF(Recibos!$D$4:$D$7493,Cobranza!$B126,Recibos!AR$4:AR$7493)</f>
        <v>0</v>
      </c>
      <c r="CG126" s="311">
        <f>SUMIF(Recibos!$D$4:$D$7493,Cobranza!$B126,Recibos!AS$4:AS$7493)</f>
        <v>0</v>
      </c>
      <c r="CH126" s="311">
        <f>SUMIF(Recibos!$D$4:$D$7493,Cobranza!$B126,Recibos!AT$4:AT$7493)</f>
        <v>0</v>
      </c>
      <c r="CI126" s="311">
        <f>SUMIF(Recibos!$D$4:$D$7493,Cobranza!$B126,Recibos!AU$4:AU$7493)</f>
        <v>0</v>
      </c>
      <c r="CJ126" s="311">
        <f>SUMIF(Recibos!$D$4:$D$7493,Cobranza!$B126,Recibos!AV$4:AV$7493)</f>
        <v>0</v>
      </c>
      <c r="CK126" s="312">
        <f t="shared" si="10"/>
        <v>0</v>
      </c>
    </row>
    <row r="127" spans="2:89" x14ac:dyDescent="0.2">
      <c r="B127" s="45" t="s">
        <v>918</v>
      </c>
      <c r="C127" s="45" t="s">
        <v>919</v>
      </c>
      <c r="D127" s="45" t="s">
        <v>920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0</v>
      </c>
      <c r="K127" s="47">
        <f t="shared" si="11"/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47">
        <f t="shared" si="12"/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6">
        <v>0</v>
      </c>
      <c r="AG127" s="46">
        <v>0</v>
      </c>
      <c r="AH127" s="46">
        <v>0</v>
      </c>
      <c r="AI127" s="46">
        <v>0</v>
      </c>
      <c r="AJ127" s="46">
        <v>0</v>
      </c>
      <c r="AK127" s="47">
        <f t="shared" si="13"/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6">
        <v>0</v>
      </c>
      <c r="AX127" s="47">
        <f t="shared" si="14"/>
        <v>0</v>
      </c>
      <c r="AY127" s="313">
        <f>SUMIF(Recibos!$D$4:$D$7493,Cobranza!$B127,Recibos!K$4:K$7493)</f>
        <v>0</v>
      </c>
      <c r="AZ127" s="313">
        <f>SUMIF(Recibos!$D$4:$D$7493,Cobranza!$B127,Recibos!L$4:L$7493)</f>
        <v>0</v>
      </c>
      <c r="BA127" s="313">
        <f>SUMIF(Recibos!$D$4:$D$7493,Cobranza!$B127,Recibos!M$4:M$7493)</f>
        <v>0</v>
      </c>
      <c r="BB127" s="313">
        <f>SUMIF(Recibos!$D$4:$D$7493,Cobranza!$B127,Recibos!N$4:N$7493)</f>
        <v>0</v>
      </c>
      <c r="BC127" s="313">
        <f>SUMIF(Recibos!$D$4:$D$7493,Cobranza!$B127,Recibos!O$4:O$7493)</f>
        <v>250</v>
      </c>
      <c r="BD127" s="313">
        <f>SUMIF(Recibos!$D$4:$D$7493,Cobranza!$B127,Recibos!P$4:P$7493)</f>
        <v>0</v>
      </c>
      <c r="BE127" s="313">
        <f>SUMIF(Recibos!$D$4:$D$7493,Cobranza!$B127,Recibos!Q$4:Q$7493)</f>
        <v>0</v>
      </c>
      <c r="BF127" s="313">
        <f>SUMIF(Recibos!$D$4:$D$7493,Cobranza!$B127,Recibos!R$4:R$7493)</f>
        <v>0</v>
      </c>
      <c r="BG127" s="313">
        <f>SUMIF(Recibos!$D$4:$D$7493,Cobranza!$B127,Recibos!S$4:S$7493)</f>
        <v>0</v>
      </c>
      <c r="BH127" s="313">
        <f>SUMIF(Recibos!$D$4:$D$7493,Cobranza!$B127,Recibos!T$4:T$7493)</f>
        <v>0</v>
      </c>
      <c r="BI127" s="313">
        <f>SUMIF(Recibos!$D$4:$D$7493,Cobranza!$B127,Recibos!U$4:U$7493)</f>
        <v>0</v>
      </c>
      <c r="BJ127" s="313">
        <f>SUMIF(Recibos!$D$4:$D$7493,Cobranza!$B127,Recibos!V$4:V$7493)</f>
        <v>0</v>
      </c>
      <c r="BK127" s="314">
        <f t="shared" si="15"/>
        <v>250</v>
      </c>
      <c r="BL127" s="313">
        <f>SUMIF(Recibos!$D$4:$D$7493,Cobranza!$B127,Recibos!X$4:X$7493)</f>
        <v>0</v>
      </c>
      <c r="BM127" s="313">
        <f>SUMIF(Recibos!$D$4:$D$7493,Cobranza!$B127,Recibos!Y$4:Y$7493)</f>
        <v>0</v>
      </c>
      <c r="BN127" s="313">
        <f>SUMIF(Recibos!$D$4:$D$7493,Cobranza!$B127,Recibos!Z$4:Z$7493)</f>
        <v>0</v>
      </c>
      <c r="BO127" s="313">
        <f>SUMIF(Recibos!$D$4:$D$7493,Cobranza!$B127,Recibos!AA$4:AA$7493)</f>
        <v>0</v>
      </c>
      <c r="BP127" s="313">
        <f>SUMIF(Recibos!$D$4:$D$7493,Cobranza!$B127,Recibos!AB$4:AB$7493)</f>
        <v>0</v>
      </c>
      <c r="BQ127" s="313">
        <f>SUMIF(Recibos!$D$4:$D$7493,Cobranza!$B127,Recibos!AC$4:AC$7493)</f>
        <v>0</v>
      </c>
      <c r="BR127" s="313">
        <f>SUMIF(Recibos!$D$4:$D$7493,Cobranza!$B127,Recibos!AD$4:AD$7493)</f>
        <v>0</v>
      </c>
      <c r="BS127" s="313">
        <f>SUMIF(Recibos!$D$4:$D$7493,Cobranza!$B127,Recibos!AE$4:AE$7493)</f>
        <v>0</v>
      </c>
      <c r="BT127" s="313">
        <f>SUMIF(Recibos!$D$4:$D$7493,Cobranza!$B127,Recibos!AF$4:AF$7493)</f>
        <v>0</v>
      </c>
      <c r="BU127" s="313">
        <f>SUMIF(Recibos!$D$4:$D$7493,Cobranza!$B127,Recibos!AG$4:AG$7493)</f>
        <v>0</v>
      </c>
      <c r="BV127" s="313">
        <f>SUMIF(Recibos!$D$4:$D$7493,Cobranza!$B127,Recibos!AH$4:AH$7493)</f>
        <v>0</v>
      </c>
      <c r="BW127" s="313">
        <f>SUMIF(Recibos!$D$4:$D$7493,Cobranza!$B127,Recibos!AI$4:AI$7493)</f>
        <v>0</v>
      </c>
      <c r="BX127" s="314">
        <f t="shared" si="16"/>
        <v>0</v>
      </c>
      <c r="BY127" s="313">
        <f>SUMIF(Recibos!$D$4:$D$7493,Cobranza!$B127,Recibos!AK$4:AK$7493)</f>
        <v>0</v>
      </c>
      <c r="BZ127" s="313">
        <f>SUMIF(Recibos!$D$4:$D$7493,Cobranza!$B127,Recibos!AL$4:AL$7493)</f>
        <v>0</v>
      </c>
      <c r="CA127" s="313">
        <f>SUMIF(Recibos!$D$4:$D$7493,Cobranza!$B127,Recibos!AM$4:AM$7493)</f>
        <v>0</v>
      </c>
      <c r="CB127" s="313">
        <f>SUMIF(Recibos!$D$4:$D$7493,Cobranza!$B127,Recibos!AN$4:AN$7493)</f>
        <v>0</v>
      </c>
      <c r="CC127" s="313">
        <f>SUMIF(Recibos!$D$4:$D$7493,Cobranza!$B127,Recibos!AO$4:AO$7493)</f>
        <v>0</v>
      </c>
      <c r="CD127" s="313">
        <f>SUMIF(Recibos!$D$4:$D$7493,Cobranza!$B127,Recibos!AP$4:AP$7493)</f>
        <v>0</v>
      </c>
      <c r="CE127" s="313">
        <f>SUMIF(Recibos!$D$4:$D$7493,Cobranza!$B127,Recibos!AQ$4:AQ$7493)</f>
        <v>0</v>
      </c>
      <c r="CF127" s="313">
        <f>SUMIF(Recibos!$D$4:$D$7493,Cobranza!$B127,Recibos!AR$4:AR$7493)</f>
        <v>0</v>
      </c>
      <c r="CG127" s="313">
        <f>SUMIF(Recibos!$D$4:$D$7493,Cobranza!$B127,Recibos!AS$4:AS$7493)</f>
        <v>0</v>
      </c>
      <c r="CH127" s="313">
        <f>SUMIF(Recibos!$D$4:$D$7493,Cobranza!$B127,Recibos!AT$4:AT$7493)</f>
        <v>0</v>
      </c>
      <c r="CI127" s="313">
        <f>SUMIF(Recibos!$D$4:$D$7493,Cobranza!$B127,Recibos!AU$4:AU$7493)</f>
        <v>0</v>
      </c>
      <c r="CJ127" s="313">
        <f>SUMIF(Recibos!$D$4:$D$7493,Cobranza!$B127,Recibos!AV$4:AV$7493)</f>
        <v>0</v>
      </c>
      <c r="CK127" s="314">
        <f t="shared" si="10"/>
        <v>0</v>
      </c>
    </row>
    <row r="128" spans="2:89" x14ac:dyDescent="0.2">
      <c r="B128" s="42" t="s">
        <v>3852</v>
      </c>
      <c r="C128" s="42" t="s">
        <v>3853</v>
      </c>
      <c r="D128" s="42" t="s">
        <v>3854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4">
        <f t="shared" ref="K128" si="17">SUM(E128:J128)</f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4">
        <f t="shared" ref="X128" si="18">SUM(L128:W128)</f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4">
        <f t="shared" ref="AK128" si="19">SUM(Y128:AJ128)</f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4">
        <f t="shared" ref="AX128" si="20">SUM(AL128:AW128)</f>
        <v>0</v>
      </c>
      <c r="AY128" s="311">
        <f>SUMIF(Recibos!$D$4:$D$7493,Cobranza!$B128,Recibos!K$4:K$7493)</f>
        <v>0</v>
      </c>
      <c r="AZ128" s="311">
        <f>SUMIF(Recibos!$D$4:$D$7493,Cobranza!$B128,Recibos!L$4:L$7493)</f>
        <v>0</v>
      </c>
      <c r="BA128" s="311">
        <f>SUMIF(Recibos!$D$4:$D$7493,Cobranza!$B128,Recibos!M$4:M$7493)</f>
        <v>0</v>
      </c>
      <c r="BB128" s="311">
        <f>SUMIF(Recibos!$D$4:$D$7493,Cobranza!$B128,Recibos!N$4:N$7493)</f>
        <v>0</v>
      </c>
      <c r="BC128" s="311">
        <f>SUMIF(Recibos!$D$4:$D$7493,Cobranza!$B128,Recibos!O$4:O$7493)</f>
        <v>0</v>
      </c>
      <c r="BD128" s="311">
        <f>SUMIF(Recibos!$D$4:$D$7493,Cobranza!$B128,Recibos!P$4:P$7493)</f>
        <v>0</v>
      </c>
      <c r="BE128" s="311">
        <f>SUMIF(Recibos!$D$4:$D$7493,Cobranza!$B128,Recibos!Q$4:Q$7493)</f>
        <v>0</v>
      </c>
      <c r="BF128" s="311">
        <f>SUMIF(Recibos!$D$4:$D$7493,Cobranza!$B128,Recibos!R$4:R$7493)</f>
        <v>0</v>
      </c>
      <c r="BG128" s="311">
        <f>SUMIF(Recibos!$D$4:$D$7493,Cobranza!$B128,Recibos!S$4:S$7493)</f>
        <v>0</v>
      </c>
      <c r="BH128" s="311">
        <f>SUMIF(Recibos!$D$4:$D$7493,Cobranza!$B128,Recibos!T$4:T$7493)</f>
        <v>0</v>
      </c>
      <c r="BI128" s="311">
        <f>SUMIF(Recibos!$D$4:$D$7493,Cobranza!$B128,Recibos!U$4:U$7493)</f>
        <v>0</v>
      </c>
      <c r="BJ128" s="311">
        <f>SUMIF(Recibos!$D$4:$D$7493,Cobranza!$B128,Recibos!V$4:V$7493)</f>
        <v>0</v>
      </c>
      <c r="BK128" s="312">
        <f t="shared" ref="BK128" si="21">SUM(AY128:BJ128)</f>
        <v>0</v>
      </c>
      <c r="BL128" s="311">
        <f>SUMIF(Recibos!$D$4:$D$7493,Cobranza!$B128,Recibos!X$4:X$7493)</f>
        <v>0</v>
      </c>
      <c r="BM128" s="311">
        <f>SUMIF(Recibos!$D$4:$D$7493,Cobranza!$B128,Recibos!Y$4:Y$7493)</f>
        <v>0</v>
      </c>
      <c r="BN128" s="311">
        <f>SUMIF(Recibos!$D$4:$D$7493,Cobranza!$B128,Recibos!Z$4:Z$7493)</f>
        <v>0</v>
      </c>
      <c r="BO128" s="311">
        <f>SUMIF(Recibos!$D$4:$D$7493,Cobranza!$B128,Recibos!AA$4:AA$7493)</f>
        <v>200</v>
      </c>
      <c r="BP128" s="311">
        <f>SUMIF(Recibos!$D$4:$D$7493,Cobranza!$B128,Recibos!AB$4:AB$7493)</f>
        <v>200</v>
      </c>
      <c r="BQ128" s="311">
        <f>SUMIF(Recibos!$D$4:$D$7493,Cobranza!$B128,Recibos!AC$4:AC$7493)</f>
        <v>200</v>
      </c>
      <c r="BR128" s="311">
        <f>SUMIF(Recibos!$D$4:$D$7493,Cobranza!$B128,Recibos!AD$4:AD$7493)</f>
        <v>200</v>
      </c>
      <c r="BS128" s="311">
        <f>SUMIF(Recibos!$D$4:$D$7493,Cobranza!$B128,Recibos!AE$4:AE$7493)</f>
        <v>200</v>
      </c>
      <c r="BT128" s="311">
        <f>SUMIF(Recibos!$D$4:$D$7493,Cobranza!$B128,Recibos!AF$4:AF$7493)</f>
        <v>200</v>
      </c>
      <c r="BU128" s="311">
        <f>SUMIF(Recibos!$D$4:$D$7493,Cobranza!$B128,Recibos!AG$4:AG$7493)</f>
        <v>200</v>
      </c>
      <c r="BV128" s="311">
        <f>SUMIF(Recibos!$D$4:$D$7493,Cobranza!$B128,Recibos!AH$4:AH$7493)</f>
        <v>200</v>
      </c>
      <c r="BW128" s="311">
        <f>SUMIF(Recibos!$D$4:$D$7493,Cobranza!$B128,Recibos!AI$4:AI$7493)</f>
        <v>200</v>
      </c>
      <c r="BX128" s="312">
        <f t="shared" ref="BX128" si="22">SUM(BL128:BW128)</f>
        <v>1800</v>
      </c>
      <c r="BY128" s="311">
        <f>SUMIF(Recibos!$D$4:$D$7493,Cobranza!$B128,Recibos!AK$4:AK$7493)</f>
        <v>200</v>
      </c>
      <c r="BZ128" s="311">
        <f>SUMIF(Recibos!$D$4:$D$7493,Cobranza!$B128,Recibos!AL$4:AL$7493)</f>
        <v>200</v>
      </c>
      <c r="CA128" s="311">
        <f>SUMIF(Recibos!$D$4:$D$7493,Cobranza!$B128,Recibos!AM$4:AM$7493)</f>
        <v>200</v>
      </c>
      <c r="CB128" s="311">
        <f>SUMIF(Recibos!$D$4:$D$7493,Cobranza!$B128,Recibos!AN$4:AN$7493)</f>
        <v>200</v>
      </c>
      <c r="CC128" s="311">
        <f>SUMIF(Recibos!$D$4:$D$7493,Cobranza!$B128,Recibos!AO$4:AO$7493)</f>
        <v>200</v>
      </c>
      <c r="CD128" s="311">
        <f>SUMIF(Recibos!$D$4:$D$7493,Cobranza!$B128,Recibos!AP$4:AP$7493)</f>
        <v>200</v>
      </c>
      <c r="CE128" s="311">
        <f>SUMIF(Recibos!$D$4:$D$7493,Cobranza!$B128,Recibos!AQ$4:AQ$7493)</f>
        <v>200</v>
      </c>
      <c r="CF128" s="311">
        <f>SUMIF(Recibos!$D$4:$D$7493,Cobranza!$B128,Recibos!AR$4:AR$7493)</f>
        <v>0</v>
      </c>
      <c r="CG128" s="311">
        <f>SUMIF(Recibos!$D$4:$D$7493,Cobranza!$B128,Recibos!AS$4:AS$7493)</f>
        <v>0</v>
      </c>
      <c r="CH128" s="311">
        <f>SUMIF(Recibos!$D$4:$D$7493,Cobranza!$B128,Recibos!AT$4:AT$7493)</f>
        <v>0</v>
      </c>
      <c r="CI128" s="311">
        <f>SUMIF(Recibos!$D$4:$D$7493,Cobranza!$B128,Recibos!AU$4:AU$7493)</f>
        <v>0</v>
      </c>
      <c r="CJ128" s="311">
        <f>SUMIF(Recibos!$D$4:$D$7493,Cobranza!$B128,Recibos!AV$4:AV$7493)</f>
        <v>0</v>
      </c>
      <c r="CK128" s="312">
        <f t="shared" si="10"/>
        <v>1400</v>
      </c>
    </row>
    <row r="129" spans="2:89" x14ac:dyDescent="0.2">
      <c r="B129" s="45" t="s">
        <v>876</v>
      </c>
      <c r="C129" s="45" t="s">
        <v>877</v>
      </c>
      <c r="D129" s="45" t="s">
        <v>878</v>
      </c>
      <c r="E129" s="46">
        <v>0</v>
      </c>
      <c r="F129" s="46">
        <v>0</v>
      </c>
      <c r="G129" s="46">
        <v>0</v>
      </c>
      <c r="H129" s="46">
        <v>0</v>
      </c>
      <c r="I129" s="46">
        <v>0</v>
      </c>
      <c r="J129" s="46">
        <v>0</v>
      </c>
      <c r="K129" s="47">
        <f t="shared" si="11"/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47">
        <f t="shared" si="12"/>
        <v>0</v>
      </c>
      <c r="Y129" s="46">
        <v>0</v>
      </c>
      <c r="Z129" s="46">
        <v>0</v>
      </c>
      <c r="AA129" s="46">
        <v>0</v>
      </c>
      <c r="AB129" s="46">
        <v>0</v>
      </c>
      <c r="AC129" s="46">
        <v>0</v>
      </c>
      <c r="AD129" s="46">
        <v>0</v>
      </c>
      <c r="AE129" s="46">
        <v>0</v>
      </c>
      <c r="AF129" s="46">
        <v>0</v>
      </c>
      <c r="AG129" s="46">
        <v>0</v>
      </c>
      <c r="AH129" s="46">
        <v>0</v>
      </c>
      <c r="AI129" s="46">
        <v>0</v>
      </c>
      <c r="AJ129" s="46">
        <v>0</v>
      </c>
      <c r="AK129" s="47">
        <f t="shared" si="13"/>
        <v>0</v>
      </c>
      <c r="AL129" s="46">
        <v>0</v>
      </c>
      <c r="AM129" s="46">
        <v>0</v>
      </c>
      <c r="AN129" s="46">
        <v>0</v>
      </c>
      <c r="AO129" s="46">
        <v>0</v>
      </c>
      <c r="AP129" s="46">
        <v>0</v>
      </c>
      <c r="AQ129" s="46">
        <v>0</v>
      </c>
      <c r="AR129" s="46">
        <v>0</v>
      </c>
      <c r="AS129" s="46">
        <v>0</v>
      </c>
      <c r="AT129" s="46">
        <v>0</v>
      </c>
      <c r="AU129" s="46">
        <v>0</v>
      </c>
      <c r="AV129" s="46">
        <v>0</v>
      </c>
      <c r="AW129" s="46">
        <v>0</v>
      </c>
      <c r="AX129" s="47">
        <f t="shared" si="14"/>
        <v>0</v>
      </c>
      <c r="AY129" s="313">
        <f>SUMIF(Recibos!$D$4:$D$7493,Cobranza!$B129,Recibos!K$4:K$7493)</f>
        <v>0</v>
      </c>
      <c r="AZ129" s="313">
        <f>SUMIF(Recibos!$D$4:$D$7493,Cobranza!$B129,Recibos!L$4:L$7493)</f>
        <v>0</v>
      </c>
      <c r="BA129" s="313">
        <f>SUMIF(Recibos!$D$4:$D$7493,Cobranza!$B129,Recibos!M$4:M$7493)</f>
        <v>200</v>
      </c>
      <c r="BB129" s="313">
        <f>SUMIF(Recibos!$D$4:$D$7493,Cobranza!$B129,Recibos!N$4:N$7493)</f>
        <v>200</v>
      </c>
      <c r="BC129" s="313">
        <f>SUMIF(Recibos!$D$4:$D$7493,Cobranza!$B129,Recibos!O$4:O$7493)</f>
        <v>200</v>
      </c>
      <c r="BD129" s="313">
        <f>SUMIF(Recibos!$D$4:$D$7493,Cobranza!$B129,Recibos!P$4:P$7493)</f>
        <v>200</v>
      </c>
      <c r="BE129" s="313">
        <f>SUMIF(Recibos!$D$4:$D$7493,Cobranza!$B129,Recibos!Q$4:Q$7493)</f>
        <v>200</v>
      </c>
      <c r="BF129" s="313">
        <f>SUMIF(Recibos!$D$4:$D$7493,Cobranza!$B129,Recibos!R$4:R$7493)</f>
        <v>200</v>
      </c>
      <c r="BG129" s="313">
        <f>SUMIF(Recibos!$D$4:$D$7493,Cobranza!$B129,Recibos!S$4:S$7493)</f>
        <v>200</v>
      </c>
      <c r="BH129" s="313">
        <f>SUMIF(Recibos!$D$4:$D$7493,Cobranza!$B129,Recibos!T$4:T$7493)</f>
        <v>200</v>
      </c>
      <c r="BI129" s="313">
        <f>SUMIF(Recibos!$D$4:$D$7493,Cobranza!$B129,Recibos!U$4:U$7493)</f>
        <v>200</v>
      </c>
      <c r="BJ129" s="313">
        <f>SUMIF(Recibos!$D$4:$D$7493,Cobranza!$B129,Recibos!V$4:V$7493)</f>
        <v>200</v>
      </c>
      <c r="BK129" s="314">
        <f t="shared" si="15"/>
        <v>2000</v>
      </c>
      <c r="BL129" s="313">
        <f>SUMIF(Recibos!$D$4:$D$7493,Cobranza!$B129,Recibos!X$4:X$7493)</f>
        <v>200</v>
      </c>
      <c r="BM129" s="313">
        <f>SUMIF(Recibos!$D$4:$D$7493,Cobranza!$B129,Recibos!Y$4:Y$7493)</f>
        <v>200</v>
      </c>
      <c r="BN129" s="313">
        <f>SUMIF(Recibos!$D$4:$D$7493,Cobranza!$B129,Recibos!Z$4:Z$7493)</f>
        <v>200</v>
      </c>
      <c r="BO129" s="313">
        <f>SUMIF(Recibos!$D$4:$D$7493,Cobranza!$B129,Recibos!AA$4:AA$7493)</f>
        <v>200</v>
      </c>
      <c r="BP129" s="313">
        <f>SUMIF(Recibos!$D$4:$D$7493,Cobranza!$B129,Recibos!AB$4:AB$7493)</f>
        <v>200</v>
      </c>
      <c r="BQ129" s="313">
        <f>SUMIF(Recibos!$D$4:$D$7493,Cobranza!$B129,Recibos!AC$4:AC$7493)</f>
        <v>200</v>
      </c>
      <c r="BR129" s="313">
        <f>SUMIF(Recibos!$D$4:$D$7493,Cobranza!$B129,Recibos!AD$4:AD$7493)</f>
        <v>200</v>
      </c>
      <c r="BS129" s="313">
        <f>SUMIF(Recibos!$D$4:$D$7493,Cobranza!$B129,Recibos!AE$4:AE$7493)</f>
        <v>200</v>
      </c>
      <c r="BT129" s="313">
        <f>SUMIF(Recibos!$D$4:$D$7493,Cobranza!$B129,Recibos!AF$4:AF$7493)</f>
        <v>200</v>
      </c>
      <c r="BU129" s="313">
        <f>SUMIF(Recibos!$D$4:$D$7493,Cobranza!$B129,Recibos!AG$4:AG$7493)</f>
        <v>200</v>
      </c>
      <c r="BV129" s="313">
        <f>SUMIF(Recibos!$D$4:$D$7493,Cobranza!$B129,Recibos!AH$4:AH$7493)</f>
        <v>200</v>
      </c>
      <c r="BW129" s="313">
        <f>SUMIF(Recibos!$D$4:$D$7493,Cobranza!$B129,Recibos!AI$4:AI$7493)</f>
        <v>0</v>
      </c>
      <c r="BX129" s="314">
        <f t="shared" si="16"/>
        <v>2200</v>
      </c>
      <c r="BY129" s="313">
        <f>SUMIF(Recibos!$D$4:$D$7493,Cobranza!$B129,Recibos!AK$4:AK$7493)</f>
        <v>200</v>
      </c>
      <c r="BZ129" s="313">
        <f>SUMIF(Recibos!$D$4:$D$7493,Cobranza!$B129,Recibos!AL$4:AL$7493)</f>
        <v>200</v>
      </c>
      <c r="CA129" s="313">
        <f>SUMIF(Recibos!$D$4:$D$7493,Cobranza!$B129,Recibos!AM$4:AM$7493)</f>
        <v>200</v>
      </c>
      <c r="CB129" s="313">
        <f>SUMIF(Recibos!$D$4:$D$7493,Cobranza!$B129,Recibos!AN$4:AN$7493)</f>
        <v>200</v>
      </c>
      <c r="CC129" s="313">
        <f>SUMIF(Recibos!$D$4:$D$7493,Cobranza!$B129,Recibos!AO$4:AO$7493)</f>
        <v>200</v>
      </c>
      <c r="CD129" s="313">
        <f>SUMIF(Recibos!$D$4:$D$7493,Cobranza!$B129,Recibos!AP$4:AP$7493)</f>
        <v>200</v>
      </c>
      <c r="CE129" s="313">
        <f>SUMIF(Recibos!$D$4:$D$7493,Cobranza!$B129,Recibos!AQ$4:AQ$7493)</f>
        <v>200</v>
      </c>
      <c r="CF129" s="313">
        <f>SUMIF(Recibos!$D$4:$D$7493,Cobranza!$B129,Recibos!AR$4:AR$7493)</f>
        <v>200</v>
      </c>
      <c r="CG129" s="313">
        <f>SUMIF(Recibos!$D$4:$D$7493,Cobranza!$B129,Recibos!AS$4:AS$7493)</f>
        <v>200</v>
      </c>
      <c r="CH129" s="313">
        <f>SUMIF(Recibos!$D$4:$D$7493,Cobranza!$B129,Recibos!AT$4:AT$7493)</f>
        <v>200</v>
      </c>
      <c r="CI129" s="313">
        <f>SUMIF(Recibos!$D$4:$D$7493,Cobranza!$B129,Recibos!AU$4:AU$7493)</f>
        <v>200</v>
      </c>
      <c r="CJ129" s="313">
        <f>SUMIF(Recibos!$D$4:$D$7493,Cobranza!$B129,Recibos!AV$4:AV$7493)</f>
        <v>0</v>
      </c>
      <c r="CK129" s="314">
        <f t="shared" si="10"/>
        <v>2200</v>
      </c>
    </row>
    <row r="130" spans="2:89" x14ac:dyDescent="0.2">
      <c r="B130" s="42" t="s">
        <v>887</v>
      </c>
      <c r="C130" s="42" t="s">
        <v>888</v>
      </c>
      <c r="D130" s="42" t="s">
        <v>889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4">
        <f t="shared" si="11"/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4">
        <f t="shared" si="12"/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4">
        <f t="shared" si="13"/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4">
        <f t="shared" si="14"/>
        <v>0</v>
      </c>
      <c r="AY130" s="311">
        <f>SUMIF(Recibos!$D$4:$D$7493,Cobranza!$B130,Recibos!K$4:K$7493)</f>
        <v>0</v>
      </c>
      <c r="AZ130" s="311">
        <f>SUMIF(Recibos!$D$4:$D$7493,Cobranza!$B130,Recibos!L$4:L$7493)</f>
        <v>0</v>
      </c>
      <c r="BA130" s="311">
        <f>SUMIF(Recibos!$D$4:$D$7493,Cobranza!$B130,Recibos!M$4:M$7493)</f>
        <v>0</v>
      </c>
      <c r="BB130" s="311">
        <f>SUMIF(Recibos!$D$4:$D$7493,Cobranza!$B130,Recibos!N$4:N$7493)</f>
        <v>200</v>
      </c>
      <c r="BC130" s="311">
        <f>SUMIF(Recibos!$D$4:$D$7493,Cobranza!$B130,Recibos!O$4:O$7493)</f>
        <v>200</v>
      </c>
      <c r="BD130" s="311">
        <f>SUMIF(Recibos!$D$4:$D$7493,Cobranza!$B130,Recibos!P$4:P$7493)</f>
        <v>200</v>
      </c>
      <c r="BE130" s="311">
        <f>SUMIF(Recibos!$D$4:$D$7493,Cobranza!$B130,Recibos!Q$4:Q$7493)</f>
        <v>200</v>
      </c>
      <c r="BF130" s="311">
        <f>SUMIF(Recibos!$D$4:$D$7493,Cobranza!$B130,Recibos!R$4:R$7493)</f>
        <v>200</v>
      </c>
      <c r="BG130" s="311">
        <f>SUMIF(Recibos!$D$4:$D$7493,Cobranza!$B130,Recibos!S$4:S$7493)</f>
        <v>200</v>
      </c>
      <c r="BH130" s="311">
        <f>SUMIF(Recibos!$D$4:$D$7493,Cobranza!$B130,Recibos!T$4:T$7493)</f>
        <v>200</v>
      </c>
      <c r="BI130" s="311">
        <f>SUMIF(Recibos!$D$4:$D$7493,Cobranza!$B130,Recibos!U$4:U$7493)</f>
        <v>200</v>
      </c>
      <c r="BJ130" s="311">
        <f>SUMIF(Recibos!$D$4:$D$7493,Cobranza!$B130,Recibos!V$4:V$7493)</f>
        <v>200</v>
      </c>
      <c r="BK130" s="312">
        <f t="shared" si="15"/>
        <v>1800</v>
      </c>
      <c r="BL130" s="311">
        <f>SUMIF(Recibos!$D$4:$D$7493,Cobranza!$B130,Recibos!X$4:X$7493)</f>
        <v>200</v>
      </c>
      <c r="BM130" s="311">
        <f>SUMIF(Recibos!$D$4:$D$7493,Cobranza!$B130,Recibos!Y$4:Y$7493)</f>
        <v>200</v>
      </c>
      <c r="BN130" s="311">
        <f>SUMIF(Recibos!$D$4:$D$7493,Cobranza!$B130,Recibos!Z$4:Z$7493)</f>
        <v>200</v>
      </c>
      <c r="BO130" s="311">
        <f>SUMIF(Recibos!$D$4:$D$7493,Cobranza!$B130,Recibos!AA$4:AA$7493)</f>
        <v>200</v>
      </c>
      <c r="BP130" s="311">
        <f>SUMIF(Recibos!$D$4:$D$7493,Cobranza!$B130,Recibos!AB$4:AB$7493)</f>
        <v>200</v>
      </c>
      <c r="BQ130" s="311">
        <f>SUMIF(Recibos!$D$4:$D$7493,Cobranza!$B130,Recibos!AC$4:AC$7493)</f>
        <v>200</v>
      </c>
      <c r="BR130" s="311">
        <f>SUMIF(Recibos!$D$4:$D$7493,Cobranza!$B130,Recibos!AD$4:AD$7493)</f>
        <v>200</v>
      </c>
      <c r="BS130" s="311">
        <f>SUMIF(Recibos!$D$4:$D$7493,Cobranza!$B130,Recibos!AE$4:AE$7493)</f>
        <v>200</v>
      </c>
      <c r="BT130" s="311">
        <f>SUMIF(Recibos!$D$4:$D$7493,Cobranza!$B130,Recibos!AF$4:AF$7493)</f>
        <v>200</v>
      </c>
      <c r="BU130" s="311">
        <f>SUMIF(Recibos!$D$4:$D$7493,Cobranza!$B130,Recibos!AG$4:AG$7493)</f>
        <v>200</v>
      </c>
      <c r="BV130" s="311">
        <f>SUMIF(Recibos!$D$4:$D$7493,Cobranza!$B130,Recibos!AH$4:AH$7493)</f>
        <v>200</v>
      </c>
      <c r="BW130" s="311">
        <f>SUMIF(Recibos!$D$4:$D$7493,Cobranza!$B130,Recibos!AI$4:AI$7493)</f>
        <v>0</v>
      </c>
      <c r="BX130" s="312">
        <f t="shared" si="16"/>
        <v>2200</v>
      </c>
      <c r="BY130" s="311">
        <f>SUMIF(Recibos!$D$4:$D$7493,Cobranza!$B130,Recibos!AK$4:AK$7493)</f>
        <v>200</v>
      </c>
      <c r="BZ130" s="311">
        <f>SUMIF(Recibos!$D$4:$D$7493,Cobranza!$B130,Recibos!AL$4:AL$7493)</f>
        <v>200</v>
      </c>
      <c r="CA130" s="311">
        <f>SUMIF(Recibos!$D$4:$D$7493,Cobranza!$B130,Recibos!AM$4:AM$7493)</f>
        <v>200</v>
      </c>
      <c r="CB130" s="311">
        <f>SUMIF(Recibos!$D$4:$D$7493,Cobranza!$B130,Recibos!AN$4:AN$7493)</f>
        <v>200</v>
      </c>
      <c r="CC130" s="311">
        <f>SUMIF(Recibos!$D$4:$D$7493,Cobranza!$B130,Recibos!AO$4:AO$7493)</f>
        <v>200</v>
      </c>
      <c r="CD130" s="311">
        <f>SUMIF(Recibos!$D$4:$D$7493,Cobranza!$B130,Recibos!AP$4:AP$7493)</f>
        <v>200</v>
      </c>
      <c r="CE130" s="311">
        <f>SUMIF(Recibos!$D$4:$D$7493,Cobranza!$B130,Recibos!AQ$4:AQ$7493)</f>
        <v>200</v>
      </c>
      <c r="CF130" s="311">
        <f>SUMIF(Recibos!$D$4:$D$7493,Cobranza!$B130,Recibos!AR$4:AR$7493)</f>
        <v>200</v>
      </c>
      <c r="CG130" s="311">
        <f>SUMIF(Recibos!$D$4:$D$7493,Cobranza!$B130,Recibos!AS$4:AS$7493)</f>
        <v>200</v>
      </c>
      <c r="CH130" s="311">
        <f>SUMIF(Recibos!$D$4:$D$7493,Cobranza!$B130,Recibos!AT$4:AT$7493)</f>
        <v>200</v>
      </c>
      <c r="CI130" s="311">
        <f>SUMIF(Recibos!$D$4:$D$7493,Cobranza!$B130,Recibos!AU$4:AU$7493)</f>
        <v>200</v>
      </c>
      <c r="CJ130" s="311">
        <f>SUMIF(Recibos!$D$4:$D$7493,Cobranza!$B130,Recibos!AV$4:AV$7493)</f>
        <v>0</v>
      </c>
      <c r="CK130" s="312">
        <f t="shared" si="10"/>
        <v>2200</v>
      </c>
    </row>
    <row r="131" spans="2:89" x14ac:dyDescent="0.2">
      <c r="B131" s="45" t="s">
        <v>879</v>
      </c>
      <c r="C131" s="45" t="s">
        <v>880</v>
      </c>
      <c r="D131" s="45" t="s">
        <v>881</v>
      </c>
      <c r="E131" s="46">
        <v>0</v>
      </c>
      <c r="F131" s="46">
        <v>0</v>
      </c>
      <c r="G131" s="46">
        <v>0</v>
      </c>
      <c r="H131" s="46">
        <v>0</v>
      </c>
      <c r="I131" s="46">
        <v>0</v>
      </c>
      <c r="J131" s="46">
        <v>0</v>
      </c>
      <c r="K131" s="47">
        <f t="shared" si="11"/>
        <v>0</v>
      </c>
      <c r="L131" s="46">
        <v>0</v>
      </c>
      <c r="M131" s="46">
        <v>0</v>
      </c>
      <c r="N131" s="46">
        <v>0</v>
      </c>
      <c r="O131" s="46">
        <v>0</v>
      </c>
      <c r="P131" s="46">
        <v>0</v>
      </c>
      <c r="Q131" s="46">
        <v>0</v>
      </c>
      <c r="R131" s="46">
        <v>0</v>
      </c>
      <c r="S131" s="46">
        <v>0</v>
      </c>
      <c r="T131" s="46">
        <v>0</v>
      </c>
      <c r="U131" s="46">
        <v>0</v>
      </c>
      <c r="V131" s="46">
        <v>0</v>
      </c>
      <c r="W131" s="46">
        <v>0</v>
      </c>
      <c r="X131" s="47">
        <f t="shared" si="12"/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6">
        <v>0</v>
      </c>
      <c r="AG131" s="46">
        <v>0</v>
      </c>
      <c r="AH131" s="46">
        <v>0</v>
      </c>
      <c r="AI131" s="46">
        <v>0</v>
      </c>
      <c r="AJ131" s="46">
        <v>0</v>
      </c>
      <c r="AK131" s="47">
        <f t="shared" si="13"/>
        <v>0</v>
      </c>
      <c r="AL131" s="46">
        <v>0</v>
      </c>
      <c r="AM131" s="46">
        <v>0</v>
      </c>
      <c r="AN131" s="46">
        <v>0</v>
      </c>
      <c r="AO131" s="46">
        <v>0</v>
      </c>
      <c r="AP131" s="46">
        <v>0</v>
      </c>
      <c r="AQ131" s="46">
        <v>0</v>
      </c>
      <c r="AR131" s="46">
        <v>0</v>
      </c>
      <c r="AS131" s="46">
        <v>0</v>
      </c>
      <c r="AT131" s="46">
        <v>0</v>
      </c>
      <c r="AU131" s="46">
        <v>0</v>
      </c>
      <c r="AV131" s="46">
        <v>0</v>
      </c>
      <c r="AW131" s="46">
        <v>0</v>
      </c>
      <c r="AX131" s="47">
        <f t="shared" si="14"/>
        <v>0</v>
      </c>
      <c r="AY131" s="313">
        <f>SUMIF(Recibos!$D$4:$D$7493,Cobranza!$B131,Recibos!K$4:K$7493)</f>
        <v>0</v>
      </c>
      <c r="AZ131" s="313">
        <f>SUMIF(Recibos!$D$4:$D$7493,Cobranza!$B131,Recibos!L$4:L$7493)</f>
        <v>0</v>
      </c>
      <c r="BA131" s="313">
        <f>SUMIF(Recibos!$D$4:$D$7493,Cobranza!$B131,Recibos!M$4:M$7493)</f>
        <v>200</v>
      </c>
      <c r="BB131" s="313">
        <f>SUMIF(Recibos!$D$4:$D$7493,Cobranza!$B131,Recibos!N$4:N$7493)</f>
        <v>200</v>
      </c>
      <c r="BC131" s="313">
        <f>SUMIF(Recibos!$D$4:$D$7493,Cobranza!$B131,Recibos!O$4:O$7493)</f>
        <v>200</v>
      </c>
      <c r="BD131" s="313">
        <f>SUMIF(Recibos!$D$4:$D$7493,Cobranza!$B131,Recibos!P$4:P$7493)</f>
        <v>200</v>
      </c>
      <c r="BE131" s="313">
        <f>SUMIF(Recibos!$D$4:$D$7493,Cobranza!$B131,Recibos!Q$4:Q$7493)</f>
        <v>200</v>
      </c>
      <c r="BF131" s="313">
        <f>SUMIF(Recibos!$D$4:$D$7493,Cobranza!$B131,Recibos!R$4:R$7493)</f>
        <v>200</v>
      </c>
      <c r="BG131" s="313">
        <f>SUMIF(Recibos!$D$4:$D$7493,Cobranza!$B131,Recibos!S$4:S$7493)</f>
        <v>200</v>
      </c>
      <c r="BH131" s="313">
        <f>SUMIF(Recibos!$D$4:$D$7493,Cobranza!$B131,Recibos!T$4:T$7493)</f>
        <v>200</v>
      </c>
      <c r="BI131" s="313">
        <f>SUMIF(Recibos!$D$4:$D$7493,Cobranza!$B131,Recibos!U$4:U$7493)</f>
        <v>200</v>
      </c>
      <c r="BJ131" s="313">
        <f>SUMIF(Recibos!$D$4:$D$7493,Cobranza!$B131,Recibos!V$4:V$7493)</f>
        <v>200</v>
      </c>
      <c r="BK131" s="314">
        <f t="shared" si="15"/>
        <v>2000</v>
      </c>
      <c r="BL131" s="313">
        <f>SUMIF(Recibos!$D$4:$D$7493,Cobranza!$B131,Recibos!X$4:X$7493)</f>
        <v>200</v>
      </c>
      <c r="BM131" s="313">
        <f>SUMIF(Recibos!$D$4:$D$7493,Cobranza!$B131,Recibos!Y$4:Y$7493)</f>
        <v>200</v>
      </c>
      <c r="BN131" s="313">
        <f>SUMIF(Recibos!$D$4:$D$7493,Cobranza!$B131,Recibos!Z$4:Z$7493)</f>
        <v>200</v>
      </c>
      <c r="BO131" s="313">
        <f>SUMIF(Recibos!$D$4:$D$7493,Cobranza!$B131,Recibos!AA$4:AA$7493)</f>
        <v>200</v>
      </c>
      <c r="BP131" s="313">
        <f>SUMIF(Recibos!$D$4:$D$7493,Cobranza!$B131,Recibos!AB$4:AB$7493)</f>
        <v>200</v>
      </c>
      <c r="BQ131" s="313">
        <f>SUMIF(Recibos!$D$4:$D$7493,Cobranza!$B131,Recibos!AC$4:AC$7493)</f>
        <v>200</v>
      </c>
      <c r="BR131" s="313">
        <f>SUMIF(Recibos!$D$4:$D$7493,Cobranza!$B131,Recibos!AD$4:AD$7493)</f>
        <v>200</v>
      </c>
      <c r="BS131" s="313">
        <f>SUMIF(Recibos!$D$4:$D$7493,Cobranza!$B131,Recibos!AE$4:AE$7493)</f>
        <v>200</v>
      </c>
      <c r="BT131" s="313">
        <f>SUMIF(Recibos!$D$4:$D$7493,Cobranza!$B131,Recibos!AF$4:AF$7493)</f>
        <v>200</v>
      </c>
      <c r="BU131" s="313">
        <f>SUMIF(Recibos!$D$4:$D$7493,Cobranza!$B131,Recibos!AG$4:AG$7493)</f>
        <v>200</v>
      </c>
      <c r="BV131" s="313">
        <f>SUMIF(Recibos!$D$4:$D$7493,Cobranza!$B131,Recibos!AH$4:AH$7493)</f>
        <v>200</v>
      </c>
      <c r="BW131" s="313">
        <f>SUMIF(Recibos!$D$4:$D$7493,Cobranza!$B131,Recibos!AI$4:AI$7493)</f>
        <v>200</v>
      </c>
      <c r="BX131" s="314">
        <f t="shared" si="16"/>
        <v>2400</v>
      </c>
      <c r="BY131" s="313">
        <f>SUMIF(Recibos!$D$4:$D$7493,Cobranza!$B131,Recibos!AK$4:AK$7493)</f>
        <v>200</v>
      </c>
      <c r="BZ131" s="313">
        <f>SUMIF(Recibos!$D$4:$D$7493,Cobranza!$B131,Recibos!AL$4:AL$7493)</f>
        <v>200</v>
      </c>
      <c r="CA131" s="313">
        <f>SUMIF(Recibos!$D$4:$D$7493,Cobranza!$B131,Recibos!AM$4:AM$7493)</f>
        <v>200</v>
      </c>
      <c r="CB131" s="313">
        <f>SUMIF(Recibos!$D$4:$D$7493,Cobranza!$B131,Recibos!AN$4:AN$7493)</f>
        <v>200</v>
      </c>
      <c r="CC131" s="313">
        <f>SUMIF(Recibos!$D$4:$D$7493,Cobranza!$B131,Recibos!AO$4:AO$7493)</f>
        <v>200</v>
      </c>
      <c r="CD131" s="313">
        <f>SUMIF(Recibos!$D$4:$D$7493,Cobranza!$B131,Recibos!AP$4:AP$7493)</f>
        <v>200</v>
      </c>
      <c r="CE131" s="313">
        <f>SUMIF(Recibos!$D$4:$D$7493,Cobranza!$B131,Recibos!AQ$4:AQ$7493)</f>
        <v>200</v>
      </c>
      <c r="CF131" s="313">
        <f>SUMIF(Recibos!$D$4:$D$7493,Cobranza!$B131,Recibos!AR$4:AR$7493)</f>
        <v>200</v>
      </c>
      <c r="CG131" s="313">
        <f>SUMIF(Recibos!$D$4:$D$7493,Cobranza!$B131,Recibos!AS$4:AS$7493)</f>
        <v>200</v>
      </c>
      <c r="CH131" s="313">
        <f>SUMIF(Recibos!$D$4:$D$7493,Cobranza!$B131,Recibos!AT$4:AT$7493)</f>
        <v>200</v>
      </c>
      <c r="CI131" s="313">
        <f>SUMIF(Recibos!$D$4:$D$7493,Cobranza!$B131,Recibos!AU$4:AU$7493)</f>
        <v>0</v>
      </c>
      <c r="CJ131" s="313">
        <f>SUMIF(Recibos!$D$4:$D$7493,Cobranza!$B131,Recibos!AV$4:AV$7493)</f>
        <v>0</v>
      </c>
      <c r="CK131" s="314">
        <f t="shared" si="10"/>
        <v>2000</v>
      </c>
    </row>
    <row r="132" spans="2:89" x14ac:dyDescent="0.2">
      <c r="B132" s="42" t="s">
        <v>3527</v>
      </c>
      <c r="C132" s="42" t="s">
        <v>3528</v>
      </c>
      <c r="D132" s="42" t="s">
        <v>3529</v>
      </c>
      <c r="E132" s="43"/>
      <c r="F132" s="43"/>
      <c r="G132" s="43"/>
      <c r="H132" s="43"/>
      <c r="I132" s="43"/>
      <c r="J132" s="43"/>
      <c r="K132" s="44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4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4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4"/>
      <c r="AY132" s="311">
        <f>SUMIF(Recibos!$D$4:$D$7493,Cobranza!$B132,Recibos!K$4:K$7493)</f>
        <v>0</v>
      </c>
      <c r="AZ132" s="311">
        <f>SUMIF(Recibos!$D$4:$D$7493,Cobranza!$B132,Recibos!L$4:L$7493)</f>
        <v>0</v>
      </c>
      <c r="BA132" s="311">
        <f>SUMIF(Recibos!$D$4:$D$7493,Cobranza!$B132,Recibos!M$4:M$7493)</f>
        <v>0</v>
      </c>
      <c r="BB132" s="311">
        <f>SUMIF(Recibos!$D$4:$D$7493,Cobranza!$B132,Recibos!N$4:N$7493)</f>
        <v>0</v>
      </c>
      <c r="BC132" s="311">
        <f>SUMIF(Recibos!$D$4:$D$7493,Cobranza!$B132,Recibos!O$4:O$7493)</f>
        <v>0</v>
      </c>
      <c r="BD132" s="311">
        <f>SUMIF(Recibos!$D$4:$D$7493,Cobranza!$B132,Recibos!P$4:P$7493)</f>
        <v>0</v>
      </c>
      <c r="BE132" s="311">
        <f>SUMIF(Recibos!$D$4:$D$7493,Cobranza!$B132,Recibos!Q$4:Q$7493)</f>
        <v>0</v>
      </c>
      <c r="BF132" s="311">
        <f>SUMIF(Recibos!$D$4:$D$7493,Cobranza!$B132,Recibos!R$4:R$7493)</f>
        <v>0</v>
      </c>
      <c r="BG132" s="311">
        <f>SUMIF(Recibos!$D$4:$D$7493,Cobranza!$B132,Recibos!S$4:S$7493)</f>
        <v>0</v>
      </c>
      <c r="BH132" s="311">
        <f>SUMIF(Recibos!$D$4:$D$7493,Cobranza!$B132,Recibos!T$4:T$7493)</f>
        <v>0</v>
      </c>
      <c r="BI132" s="311">
        <f>SUMIF(Recibos!$D$4:$D$7493,Cobranza!$B132,Recibos!U$4:U$7493)</f>
        <v>0</v>
      </c>
      <c r="BJ132" s="311">
        <f>SUMIF(Recibos!$D$4:$D$7493,Cobranza!$B132,Recibos!V$4:V$7493)</f>
        <v>0</v>
      </c>
      <c r="BK132" s="312">
        <f t="shared" si="15"/>
        <v>0</v>
      </c>
      <c r="BL132" s="311">
        <f>SUMIF(Recibos!$D$4:$D$7493,Cobranza!$B132,Recibos!X$4:X$7493)</f>
        <v>0</v>
      </c>
      <c r="BM132" s="311">
        <f>SUMIF(Recibos!$D$4:$D$7493,Cobranza!$B132,Recibos!Y$4:Y$7493)</f>
        <v>200</v>
      </c>
      <c r="BN132" s="311">
        <f>SUMIF(Recibos!$D$4:$D$7493,Cobranza!$B132,Recibos!Z$4:Z$7493)</f>
        <v>0</v>
      </c>
      <c r="BO132" s="311">
        <f>SUMIF(Recibos!$D$4:$D$7493,Cobranza!$B132,Recibos!AA$4:AA$7493)</f>
        <v>0</v>
      </c>
      <c r="BP132" s="311">
        <f>SUMIF(Recibos!$D$4:$D$7493,Cobranza!$B132,Recibos!AB$4:AB$7493)</f>
        <v>0</v>
      </c>
      <c r="BQ132" s="311">
        <f>SUMIF(Recibos!$D$4:$D$7493,Cobranza!$B132,Recibos!AC$4:AC$7493)</f>
        <v>200</v>
      </c>
      <c r="BR132" s="311">
        <f>SUMIF(Recibos!$D$4:$D$7493,Cobranza!$B132,Recibos!AD$4:AD$7493)</f>
        <v>200</v>
      </c>
      <c r="BS132" s="311">
        <f>SUMIF(Recibos!$D$4:$D$7493,Cobranza!$B132,Recibos!AE$4:AE$7493)</f>
        <v>200</v>
      </c>
      <c r="BT132" s="311">
        <f>SUMIF(Recibos!$D$4:$D$7493,Cobranza!$B132,Recibos!AF$4:AF$7493)</f>
        <v>200</v>
      </c>
      <c r="BU132" s="311">
        <f>SUMIF(Recibos!$D$4:$D$7493,Cobranza!$B132,Recibos!AG$4:AG$7493)</f>
        <v>200</v>
      </c>
      <c r="BV132" s="311">
        <f>SUMIF(Recibos!$D$4:$D$7493,Cobranza!$B132,Recibos!AH$4:AH$7493)</f>
        <v>200</v>
      </c>
      <c r="BW132" s="311">
        <f>SUMIF(Recibos!$D$4:$D$7493,Cobranza!$B132,Recibos!AI$4:AI$7493)</f>
        <v>200</v>
      </c>
      <c r="BX132" s="312">
        <f t="shared" ref="BX132" si="23">SUM(BL132:BW132)</f>
        <v>1600</v>
      </c>
      <c r="BY132" s="311">
        <f>SUMIF(Recibos!$D$4:$D$7493,Cobranza!$B132,Recibos!AK$4:AK$7493)</f>
        <v>200</v>
      </c>
      <c r="BZ132" s="311">
        <f>SUMIF(Recibos!$D$4:$D$7493,Cobranza!$B132,Recibos!AL$4:AL$7493)</f>
        <v>200</v>
      </c>
      <c r="CA132" s="311">
        <f>SUMIF(Recibos!$D$4:$D$7493,Cobranza!$B132,Recibos!AM$4:AM$7493)</f>
        <v>200</v>
      </c>
      <c r="CB132" s="311">
        <f>SUMIF(Recibos!$D$4:$D$7493,Cobranza!$B132,Recibos!AN$4:AN$7493)</f>
        <v>200</v>
      </c>
      <c r="CC132" s="311">
        <f>SUMIF(Recibos!$D$4:$D$7493,Cobranza!$B132,Recibos!AO$4:AO$7493)</f>
        <v>0</v>
      </c>
      <c r="CD132" s="311">
        <f>SUMIF(Recibos!$D$4:$D$7493,Cobranza!$B132,Recibos!AP$4:AP$7493)</f>
        <v>0</v>
      </c>
      <c r="CE132" s="311">
        <f>SUMIF(Recibos!$D$4:$D$7493,Cobranza!$B132,Recibos!AQ$4:AQ$7493)</f>
        <v>0</v>
      </c>
      <c r="CF132" s="311">
        <f>SUMIF(Recibos!$D$4:$D$7493,Cobranza!$B132,Recibos!AR$4:AR$7493)</f>
        <v>0</v>
      </c>
      <c r="CG132" s="311">
        <f>SUMIF(Recibos!$D$4:$D$7493,Cobranza!$B132,Recibos!AS$4:AS$7493)</f>
        <v>0</v>
      </c>
      <c r="CH132" s="311">
        <f>SUMIF(Recibos!$D$4:$D$7493,Cobranza!$B132,Recibos!AT$4:AT$7493)</f>
        <v>0</v>
      </c>
      <c r="CI132" s="311">
        <f>SUMIF(Recibos!$D$4:$D$7493,Cobranza!$B132,Recibos!AU$4:AU$7493)</f>
        <v>0</v>
      </c>
      <c r="CJ132" s="311">
        <f>SUMIF(Recibos!$D$4:$D$7493,Cobranza!$B132,Recibos!AV$4:AV$7493)</f>
        <v>0</v>
      </c>
      <c r="CK132" s="312">
        <f t="shared" si="10"/>
        <v>800</v>
      </c>
    </row>
    <row r="133" spans="2:89" x14ac:dyDescent="0.2">
      <c r="B133" s="45" t="s">
        <v>81</v>
      </c>
      <c r="C133" s="45" t="s">
        <v>82</v>
      </c>
      <c r="D133" s="45" t="s">
        <v>83</v>
      </c>
      <c r="E133" s="46">
        <v>0</v>
      </c>
      <c r="F133" s="46">
        <v>0</v>
      </c>
      <c r="G133" s="46">
        <v>0</v>
      </c>
      <c r="H133" s="46">
        <v>0</v>
      </c>
      <c r="I133" s="46">
        <v>0</v>
      </c>
      <c r="J133" s="46">
        <v>150</v>
      </c>
      <c r="K133" s="47">
        <f t="shared" si="11"/>
        <v>150</v>
      </c>
      <c r="L133" s="46">
        <v>150</v>
      </c>
      <c r="M133" s="46">
        <v>150</v>
      </c>
      <c r="N133" s="46">
        <v>150</v>
      </c>
      <c r="O133" s="46">
        <v>150</v>
      </c>
      <c r="P133" s="46">
        <v>150</v>
      </c>
      <c r="Q133" s="46">
        <v>150</v>
      </c>
      <c r="R133" s="46">
        <v>300</v>
      </c>
      <c r="S133" s="46">
        <v>150</v>
      </c>
      <c r="T133" s="46">
        <v>150</v>
      </c>
      <c r="U133" s="46">
        <v>200</v>
      </c>
      <c r="V133" s="46">
        <v>200</v>
      </c>
      <c r="W133" s="46">
        <v>200</v>
      </c>
      <c r="X133" s="47">
        <f t="shared" si="12"/>
        <v>2100</v>
      </c>
      <c r="Y133" s="46">
        <v>200</v>
      </c>
      <c r="Z133" s="46">
        <v>200</v>
      </c>
      <c r="AA133" s="46">
        <v>200</v>
      </c>
      <c r="AB133" s="46">
        <v>200</v>
      </c>
      <c r="AC133" s="46">
        <v>200</v>
      </c>
      <c r="AD133" s="46">
        <v>200</v>
      </c>
      <c r="AE133" s="46">
        <v>200</v>
      </c>
      <c r="AF133" s="46">
        <v>200</v>
      </c>
      <c r="AG133" s="46">
        <v>200</v>
      </c>
      <c r="AH133" s="46">
        <v>200</v>
      </c>
      <c r="AI133" s="46">
        <v>200</v>
      </c>
      <c r="AJ133" s="46">
        <v>200</v>
      </c>
      <c r="AK133" s="47">
        <f t="shared" si="13"/>
        <v>2400</v>
      </c>
      <c r="AL133" s="46">
        <v>200</v>
      </c>
      <c r="AM133" s="46">
        <v>200</v>
      </c>
      <c r="AN133" s="46">
        <v>200</v>
      </c>
      <c r="AO133" s="46">
        <v>200</v>
      </c>
      <c r="AP133" s="46">
        <v>200</v>
      </c>
      <c r="AQ133" s="46">
        <v>200</v>
      </c>
      <c r="AR133" s="46">
        <v>200</v>
      </c>
      <c r="AS133" s="46">
        <v>200</v>
      </c>
      <c r="AT133" s="46">
        <v>200</v>
      </c>
      <c r="AU133" s="46">
        <v>200</v>
      </c>
      <c r="AV133" s="46">
        <v>200</v>
      </c>
      <c r="AW133" s="46">
        <v>200</v>
      </c>
      <c r="AX133" s="47">
        <f t="shared" si="14"/>
        <v>2400</v>
      </c>
      <c r="AY133" s="313">
        <f>SUMIF(Recibos!$D$4:$D$7493,Cobranza!$B133,Recibos!K$4:K$7493)</f>
        <v>200</v>
      </c>
      <c r="AZ133" s="313">
        <f>SUMIF(Recibos!$D$4:$D$7493,Cobranza!$B133,Recibos!L$4:L$7493)</f>
        <v>200</v>
      </c>
      <c r="BA133" s="313">
        <f>SUMIF(Recibos!$D$4:$D$7493,Cobranza!$B133,Recibos!M$4:M$7493)</f>
        <v>200</v>
      </c>
      <c r="BB133" s="313">
        <f>SUMIF(Recibos!$D$4:$D$7493,Cobranza!$B133,Recibos!N$4:N$7493)</f>
        <v>200</v>
      </c>
      <c r="BC133" s="313">
        <f>SUMIF(Recibos!$D$4:$D$7493,Cobranza!$B133,Recibos!O$4:O$7493)</f>
        <v>200</v>
      </c>
      <c r="BD133" s="313">
        <f>SUMIF(Recibos!$D$4:$D$7493,Cobranza!$B133,Recibos!P$4:P$7493)</f>
        <v>200</v>
      </c>
      <c r="BE133" s="313">
        <f>SUMIF(Recibos!$D$4:$D$7493,Cobranza!$B133,Recibos!Q$4:Q$7493)</f>
        <v>200</v>
      </c>
      <c r="BF133" s="313">
        <f>SUMIF(Recibos!$D$4:$D$7493,Cobranza!$B133,Recibos!R$4:R$7493)</f>
        <v>200</v>
      </c>
      <c r="BG133" s="313">
        <f>SUMIF(Recibos!$D$4:$D$7493,Cobranza!$B133,Recibos!S$4:S$7493)</f>
        <v>200</v>
      </c>
      <c r="BH133" s="313">
        <f>SUMIF(Recibos!$D$4:$D$7493,Cobranza!$B133,Recibos!T$4:T$7493)</f>
        <v>200</v>
      </c>
      <c r="BI133" s="313">
        <f>SUMIF(Recibos!$D$4:$D$7493,Cobranza!$B133,Recibos!U$4:U$7493)</f>
        <v>200</v>
      </c>
      <c r="BJ133" s="313">
        <f>SUMIF(Recibos!$D$4:$D$7493,Cobranza!$B133,Recibos!V$4:V$7493)</f>
        <v>0</v>
      </c>
      <c r="BK133" s="314">
        <f t="shared" si="15"/>
        <v>2200</v>
      </c>
      <c r="BL133" s="313">
        <f>SUMIF(Recibos!$D$4:$D$7493,Cobranza!$B133,Recibos!X$4:X$7493)</f>
        <v>200</v>
      </c>
      <c r="BM133" s="313">
        <f>SUMIF(Recibos!$D$4:$D$7493,Cobranza!$B133,Recibos!Y$4:Y$7493)</f>
        <v>200</v>
      </c>
      <c r="BN133" s="313">
        <f>SUMIF(Recibos!$D$4:$D$7493,Cobranza!$B133,Recibos!Z$4:Z$7493)</f>
        <v>200</v>
      </c>
      <c r="BO133" s="313">
        <f>SUMIF(Recibos!$D$4:$D$7493,Cobranza!$B133,Recibos!AA$4:AA$7493)</f>
        <v>200</v>
      </c>
      <c r="BP133" s="313">
        <f>SUMIF(Recibos!$D$4:$D$7493,Cobranza!$B133,Recibos!AB$4:AB$7493)</f>
        <v>200</v>
      </c>
      <c r="BQ133" s="313">
        <f>SUMIF(Recibos!$D$4:$D$7493,Cobranza!$B133,Recibos!AC$4:AC$7493)</f>
        <v>200</v>
      </c>
      <c r="BR133" s="313">
        <f>SUMIF(Recibos!$D$4:$D$7493,Cobranza!$B133,Recibos!AD$4:AD$7493)</f>
        <v>200</v>
      </c>
      <c r="BS133" s="313">
        <f>SUMIF(Recibos!$D$4:$D$7493,Cobranza!$B133,Recibos!AE$4:AE$7493)</f>
        <v>200</v>
      </c>
      <c r="BT133" s="313">
        <f>SUMIF(Recibos!$D$4:$D$7493,Cobranza!$B133,Recibos!AF$4:AF$7493)</f>
        <v>200</v>
      </c>
      <c r="BU133" s="313">
        <f>SUMIF(Recibos!$D$4:$D$7493,Cobranza!$B133,Recibos!AG$4:AG$7493)</f>
        <v>200</v>
      </c>
      <c r="BV133" s="313">
        <f>SUMIF(Recibos!$D$4:$D$7493,Cobranza!$B133,Recibos!AH$4:AH$7493)</f>
        <v>200</v>
      </c>
      <c r="BW133" s="313">
        <f>SUMIF(Recibos!$D$4:$D$7493,Cobranza!$B133,Recibos!AI$4:AI$7493)</f>
        <v>0</v>
      </c>
      <c r="BX133" s="314">
        <f t="shared" si="16"/>
        <v>2200</v>
      </c>
      <c r="BY133" s="313">
        <f>SUMIF(Recibos!$D$4:$D$7493,Cobranza!$B133,Recibos!AK$4:AK$7493)</f>
        <v>200</v>
      </c>
      <c r="BZ133" s="313">
        <f>SUMIF(Recibos!$D$4:$D$7493,Cobranza!$B133,Recibos!AL$4:AL$7493)</f>
        <v>200</v>
      </c>
      <c r="CA133" s="313">
        <f>SUMIF(Recibos!$D$4:$D$7493,Cobranza!$B133,Recibos!AM$4:AM$7493)</f>
        <v>200</v>
      </c>
      <c r="CB133" s="313">
        <f>SUMIF(Recibos!$D$4:$D$7493,Cobranza!$B133,Recibos!AN$4:AN$7493)</f>
        <v>200</v>
      </c>
      <c r="CC133" s="313">
        <f>SUMIF(Recibos!$D$4:$D$7493,Cobranza!$B133,Recibos!AO$4:AO$7493)</f>
        <v>200</v>
      </c>
      <c r="CD133" s="313">
        <f>SUMIF(Recibos!$D$4:$D$7493,Cobranza!$B133,Recibos!AP$4:AP$7493)</f>
        <v>200</v>
      </c>
      <c r="CE133" s="313">
        <f>SUMIF(Recibos!$D$4:$D$7493,Cobranza!$B133,Recibos!AQ$4:AQ$7493)</f>
        <v>200</v>
      </c>
      <c r="CF133" s="313">
        <f>SUMIF(Recibos!$D$4:$D$7493,Cobranza!$B133,Recibos!AR$4:AR$7493)</f>
        <v>200</v>
      </c>
      <c r="CG133" s="313">
        <f>SUMIF(Recibos!$D$4:$D$7493,Cobranza!$B133,Recibos!AS$4:AS$7493)</f>
        <v>200</v>
      </c>
      <c r="CH133" s="313">
        <f>SUMIF(Recibos!$D$4:$D$7493,Cobranza!$B133,Recibos!AT$4:AT$7493)</f>
        <v>200</v>
      </c>
      <c r="CI133" s="313">
        <f>SUMIF(Recibos!$D$4:$D$7493,Cobranza!$B133,Recibos!AU$4:AU$7493)</f>
        <v>200</v>
      </c>
      <c r="CJ133" s="313">
        <f>SUMIF(Recibos!$D$4:$D$7493,Cobranza!$B133,Recibos!AV$4:AV$7493)</f>
        <v>0</v>
      </c>
      <c r="CK133" s="314">
        <f t="shared" si="10"/>
        <v>2200</v>
      </c>
    </row>
    <row r="134" spans="2:89" x14ac:dyDescent="0.2">
      <c r="B134" s="42" t="s">
        <v>1323</v>
      </c>
      <c r="C134" s="42" t="s">
        <v>1324</v>
      </c>
      <c r="D134" s="42" t="s">
        <v>1325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4">
        <f t="shared" si="11"/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4">
        <f t="shared" si="12"/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4">
        <f t="shared" si="13"/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4">
        <f t="shared" si="14"/>
        <v>0</v>
      </c>
      <c r="AY134" s="311">
        <f>SUMIF(Recibos!$D$4:$D$7493,Cobranza!$B134,Recibos!K$4:K$7493)</f>
        <v>0</v>
      </c>
      <c r="AZ134" s="311">
        <f>SUMIF(Recibos!$D$4:$D$7493,Cobranza!$B134,Recibos!L$4:L$7493)</f>
        <v>0</v>
      </c>
      <c r="BA134" s="311">
        <f>SUMIF(Recibos!$D$4:$D$7493,Cobranza!$B134,Recibos!M$4:M$7493)</f>
        <v>0</v>
      </c>
      <c r="BB134" s="311">
        <f>SUMIF(Recibos!$D$4:$D$7493,Cobranza!$B134,Recibos!N$4:N$7493)</f>
        <v>0</v>
      </c>
      <c r="BC134" s="311">
        <f>SUMIF(Recibos!$D$4:$D$7493,Cobranza!$B134,Recibos!O$4:O$7493)</f>
        <v>0</v>
      </c>
      <c r="BD134" s="311">
        <f>SUMIF(Recibos!$D$4:$D$7493,Cobranza!$B134,Recibos!P$4:P$7493)</f>
        <v>0</v>
      </c>
      <c r="BE134" s="311">
        <f>SUMIF(Recibos!$D$4:$D$7493,Cobranza!$B134,Recibos!Q$4:Q$7493)</f>
        <v>0</v>
      </c>
      <c r="BF134" s="311">
        <f>SUMIF(Recibos!$D$4:$D$7493,Cobranza!$B134,Recibos!R$4:R$7493)</f>
        <v>0</v>
      </c>
      <c r="BG134" s="311">
        <f>SUMIF(Recibos!$D$4:$D$7493,Cobranza!$B134,Recibos!S$4:S$7493)</f>
        <v>0</v>
      </c>
      <c r="BH134" s="311">
        <f>SUMIF(Recibos!$D$4:$D$7493,Cobranza!$B134,Recibos!T$4:T$7493)</f>
        <v>0</v>
      </c>
      <c r="BI134" s="311">
        <f>SUMIF(Recibos!$D$4:$D$7493,Cobranza!$B134,Recibos!U$4:U$7493)</f>
        <v>0</v>
      </c>
      <c r="BJ134" s="311">
        <f>SUMIF(Recibos!$D$4:$D$7493,Cobranza!$B134,Recibos!V$4:V$7493)</f>
        <v>0</v>
      </c>
      <c r="BK134" s="312">
        <f t="shared" si="15"/>
        <v>0</v>
      </c>
      <c r="BL134" s="311">
        <f>SUMIF(Recibos!$D$4:$D$7493,Cobranza!$B134,Recibos!X$4:X$7493)</f>
        <v>200</v>
      </c>
      <c r="BM134" s="311">
        <f>SUMIF(Recibos!$D$4:$D$7493,Cobranza!$B134,Recibos!Y$4:Y$7493)</f>
        <v>200</v>
      </c>
      <c r="BN134" s="311">
        <f>SUMIF(Recibos!$D$4:$D$7493,Cobranza!$B134,Recibos!Z$4:Z$7493)</f>
        <v>0</v>
      </c>
      <c r="BO134" s="311">
        <f>SUMIF(Recibos!$D$4:$D$7493,Cobranza!$B134,Recibos!AA$4:AA$7493)</f>
        <v>0</v>
      </c>
      <c r="BP134" s="311">
        <f>SUMIF(Recibos!$D$4:$D$7493,Cobranza!$B134,Recibos!AB$4:AB$7493)</f>
        <v>0</v>
      </c>
      <c r="BQ134" s="311">
        <f>SUMIF(Recibos!$D$4:$D$7493,Cobranza!$B134,Recibos!AC$4:AC$7493)</f>
        <v>0</v>
      </c>
      <c r="BR134" s="311">
        <f>SUMIF(Recibos!$D$4:$D$7493,Cobranza!$B134,Recibos!AD$4:AD$7493)</f>
        <v>0</v>
      </c>
      <c r="BS134" s="311">
        <f>SUMIF(Recibos!$D$4:$D$7493,Cobranza!$B134,Recibos!AE$4:AE$7493)</f>
        <v>0</v>
      </c>
      <c r="BT134" s="311">
        <f>SUMIF(Recibos!$D$4:$D$7493,Cobranza!$B134,Recibos!AF$4:AF$7493)</f>
        <v>0</v>
      </c>
      <c r="BU134" s="311">
        <f>SUMIF(Recibos!$D$4:$D$7493,Cobranza!$B134,Recibos!AG$4:AG$7493)</f>
        <v>0</v>
      </c>
      <c r="BV134" s="311">
        <f>SUMIF(Recibos!$D$4:$D$7493,Cobranza!$B134,Recibos!AH$4:AH$7493)</f>
        <v>0</v>
      </c>
      <c r="BW134" s="311">
        <f>SUMIF(Recibos!$D$4:$D$7493,Cobranza!$B134,Recibos!AI$4:AI$7493)</f>
        <v>0</v>
      </c>
      <c r="BX134" s="312">
        <f t="shared" si="16"/>
        <v>400</v>
      </c>
      <c r="BY134" s="311">
        <f>SUMIF(Recibos!$D$4:$D$7493,Cobranza!$B134,Recibos!AK$4:AK$7493)</f>
        <v>0</v>
      </c>
      <c r="BZ134" s="311">
        <f>SUMIF(Recibos!$D$4:$D$7493,Cobranza!$B134,Recibos!AL$4:AL$7493)</f>
        <v>0</v>
      </c>
      <c r="CA134" s="311">
        <f>SUMIF(Recibos!$D$4:$D$7493,Cobranza!$B134,Recibos!AM$4:AM$7493)</f>
        <v>0</v>
      </c>
      <c r="CB134" s="311">
        <f>SUMIF(Recibos!$D$4:$D$7493,Cobranza!$B134,Recibos!AN$4:AN$7493)</f>
        <v>0</v>
      </c>
      <c r="CC134" s="311">
        <f>SUMIF(Recibos!$D$4:$D$7493,Cobranza!$B134,Recibos!AO$4:AO$7493)</f>
        <v>0</v>
      </c>
      <c r="CD134" s="311">
        <f>SUMIF(Recibos!$D$4:$D$7493,Cobranza!$B134,Recibos!AP$4:AP$7493)</f>
        <v>0</v>
      </c>
      <c r="CE134" s="311">
        <f>SUMIF(Recibos!$D$4:$D$7493,Cobranza!$B134,Recibos!AQ$4:AQ$7493)</f>
        <v>0</v>
      </c>
      <c r="CF134" s="311">
        <f>SUMIF(Recibos!$D$4:$D$7493,Cobranza!$B134,Recibos!AR$4:AR$7493)</f>
        <v>0</v>
      </c>
      <c r="CG134" s="311">
        <f>SUMIF(Recibos!$D$4:$D$7493,Cobranza!$B134,Recibos!AS$4:AS$7493)</f>
        <v>0</v>
      </c>
      <c r="CH134" s="311">
        <f>SUMIF(Recibos!$D$4:$D$7493,Cobranza!$B134,Recibos!AT$4:AT$7493)</f>
        <v>0</v>
      </c>
      <c r="CI134" s="311">
        <f>SUMIF(Recibos!$D$4:$D$7493,Cobranza!$B134,Recibos!AU$4:AU$7493)</f>
        <v>0</v>
      </c>
      <c r="CJ134" s="311">
        <f>SUMIF(Recibos!$D$4:$D$7493,Cobranza!$B134,Recibos!AV$4:AV$7493)</f>
        <v>0</v>
      </c>
      <c r="CK134" s="312">
        <f t="shared" si="10"/>
        <v>0</v>
      </c>
    </row>
    <row r="135" spans="2:89" x14ac:dyDescent="0.2">
      <c r="B135" s="45" t="s">
        <v>1326</v>
      </c>
      <c r="C135" s="45" t="s">
        <v>1327</v>
      </c>
      <c r="D135" s="45" t="s">
        <v>1328</v>
      </c>
      <c r="E135" s="46">
        <v>0</v>
      </c>
      <c r="F135" s="46">
        <v>0</v>
      </c>
      <c r="G135" s="46">
        <v>0</v>
      </c>
      <c r="H135" s="46">
        <v>0</v>
      </c>
      <c r="I135" s="46">
        <v>0</v>
      </c>
      <c r="J135" s="46">
        <v>0</v>
      </c>
      <c r="K135" s="47">
        <f t="shared" si="11"/>
        <v>0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0</v>
      </c>
      <c r="U135" s="46">
        <v>0</v>
      </c>
      <c r="V135" s="46">
        <v>0</v>
      </c>
      <c r="W135" s="46">
        <v>0</v>
      </c>
      <c r="X135" s="47">
        <f t="shared" si="12"/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6">
        <v>0</v>
      </c>
      <c r="AG135" s="46">
        <v>0</v>
      </c>
      <c r="AH135" s="46">
        <v>0</v>
      </c>
      <c r="AI135" s="46">
        <v>0</v>
      </c>
      <c r="AJ135" s="46">
        <v>0</v>
      </c>
      <c r="AK135" s="47">
        <f t="shared" si="13"/>
        <v>0</v>
      </c>
      <c r="AL135" s="46">
        <v>0</v>
      </c>
      <c r="AM135" s="46">
        <v>0</v>
      </c>
      <c r="AN135" s="46">
        <v>0</v>
      </c>
      <c r="AO135" s="46">
        <v>0</v>
      </c>
      <c r="AP135" s="46">
        <v>0</v>
      </c>
      <c r="AQ135" s="46">
        <v>0</v>
      </c>
      <c r="AR135" s="46">
        <v>0</v>
      </c>
      <c r="AS135" s="46">
        <v>0</v>
      </c>
      <c r="AT135" s="46">
        <v>0</v>
      </c>
      <c r="AU135" s="46">
        <v>0</v>
      </c>
      <c r="AV135" s="46">
        <v>0</v>
      </c>
      <c r="AW135" s="46">
        <v>0</v>
      </c>
      <c r="AX135" s="47">
        <f t="shared" si="14"/>
        <v>0</v>
      </c>
      <c r="AY135" s="313">
        <f>SUMIF(Recibos!$D$4:$D$7493,Cobranza!$B135,Recibos!K$4:K$7493)</f>
        <v>0</v>
      </c>
      <c r="AZ135" s="313">
        <f>SUMIF(Recibos!$D$4:$D$7493,Cobranza!$B135,Recibos!L$4:L$7493)</f>
        <v>0</v>
      </c>
      <c r="BA135" s="313">
        <f>SUMIF(Recibos!$D$4:$D$7493,Cobranza!$B135,Recibos!M$4:M$7493)</f>
        <v>0</v>
      </c>
      <c r="BB135" s="313">
        <f>SUMIF(Recibos!$D$4:$D$7493,Cobranza!$B135,Recibos!N$4:N$7493)</f>
        <v>0</v>
      </c>
      <c r="BC135" s="313">
        <f>SUMIF(Recibos!$D$4:$D$7493,Cobranza!$B135,Recibos!O$4:O$7493)</f>
        <v>0</v>
      </c>
      <c r="BD135" s="313">
        <f>SUMIF(Recibos!$D$4:$D$7493,Cobranza!$B135,Recibos!P$4:P$7493)</f>
        <v>0</v>
      </c>
      <c r="BE135" s="313">
        <f>SUMIF(Recibos!$D$4:$D$7493,Cobranza!$B135,Recibos!Q$4:Q$7493)</f>
        <v>0</v>
      </c>
      <c r="BF135" s="313">
        <f>SUMIF(Recibos!$D$4:$D$7493,Cobranza!$B135,Recibos!R$4:R$7493)</f>
        <v>0</v>
      </c>
      <c r="BG135" s="313">
        <f>SUMIF(Recibos!$D$4:$D$7493,Cobranza!$B135,Recibos!S$4:S$7493)</f>
        <v>0</v>
      </c>
      <c r="BH135" s="313">
        <f>SUMIF(Recibos!$D$4:$D$7493,Cobranza!$B135,Recibos!T$4:T$7493)</f>
        <v>0</v>
      </c>
      <c r="BI135" s="313">
        <f>SUMIF(Recibos!$D$4:$D$7493,Cobranza!$B135,Recibos!U$4:U$7493)</f>
        <v>0</v>
      </c>
      <c r="BJ135" s="313">
        <f>SUMIF(Recibos!$D$4:$D$7493,Cobranza!$B135,Recibos!V$4:V$7493)</f>
        <v>0</v>
      </c>
      <c r="BK135" s="314">
        <f t="shared" si="15"/>
        <v>0</v>
      </c>
      <c r="BL135" s="313">
        <f>SUMIF(Recibos!$D$4:$D$7493,Cobranza!$B135,Recibos!X$4:X$7493)</f>
        <v>0</v>
      </c>
      <c r="BM135" s="313">
        <f>SUMIF(Recibos!$D$4:$D$7493,Cobranza!$B135,Recibos!Y$4:Y$7493)</f>
        <v>0</v>
      </c>
      <c r="BN135" s="313">
        <f>SUMIF(Recibos!$D$4:$D$7493,Cobranza!$B135,Recibos!Z$4:Z$7493)</f>
        <v>200</v>
      </c>
      <c r="BO135" s="313">
        <f>SUMIF(Recibos!$D$4:$D$7493,Cobranza!$B135,Recibos!AA$4:AA$7493)</f>
        <v>200</v>
      </c>
      <c r="BP135" s="313">
        <f>SUMIF(Recibos!$D$4:$D$7493,Cobranza!$B135,Recibos!AB$4:AB$7493)</f>
        <v>200</v>
      </c>
      <c r="BQ135" s="313">
        <f>SUMIF(Recibos!$D$4:$D$7493,Cobranza!$B135,Recibos!AC$4:AC$7493)</f>
        <v>200</v>
      </c>
      <c r="BR135" s="313">
        <f>SUMIF(Recibos!$D$4:$D$7493,Cobranza!$B135,Recibos!AD$4:AD$7493)</f>
        <v>200</v>
      </c>
      <c r="BS135" s="313">
        <f>SUMIF(Recibos!$D$4:$D$7493,Cobranza!$B135,Recibos!AE$4:AE$7493)</f>
        <v>200</v>
      </c>
      <c r="BT135" s="313">
        <f>SUMIF(Recibos!$D$4:$D$7493,Cobranza!$B135,Recibos!AF$4:AF$7493)</f>
        <v>200</v>
      </c>
      <c r="BU135" s="313">
        <f>SUMIF(Recibos!$D$4:$D$7493,Cobranza!$B135,Recibos!AG$4:AG$7493)</f>
        <v>200</v>
      </c>
      <c r="BV135" s="313">
        <f>SUMIF(Recibos!$D$4:$D$7493,Cobranza!$B135,Recibos!AH$4:AH$7493)</f>
        <v>200</v>
      </c>
      <c r="BW135" s="313">
        <f>SUMIF(Recibos!$D$4:$D$7493,Cobranza!$B135,Recibos!AI$4:AI$7493)</f>
        <v>200</v>
      </c>
      <c r="BX135" s="314">
        <f t="shared" si="16"/>
        <v>2000</v>
      </c>
      <c r="BY135" s="313">
        <f>SUMIF(Recibos!$D$4:$D$7493,Cobranza!$B135,Recibos!AK$4:AK$7493)</f>
        <v>200</v>
      </c>
      <c r="BZ135" s="313">
        <f>SUMIF(Recibos!$D$4:$D$7493,Cobranza!$B135,Recibos!AL$4:AL$7493)</f>
        <v>200</v>
      </c>
      <c r="CA135" s="313">
        <f>SUMIF(Recibos!$D$4:$D$7493,Cobranza!$B135,Recibos!AM$4:AM$7493)</f>
        <v>200</v>
      </c>
      <c r="CB135" s="313">
        <f>SUMIF(Recibos!$D$4:$D$7493,Cobranza!$B135,Recibos!AN$4:AN$7493)</f>
        <v>200</v>
      </c>
      <c r="CC135" s="313">
        <f>SUMIF(Recibos!$D$4:$D$7493,Cobranza!$B135,Recibos!AO$4:AO$7493)</f>
        <v>200</v>
      </c>
      <c r="CD135" s="313">
        <f>SUMIF(Recibos!$D$4:$D$7493,Cobranza!$B135,Recibos!AP$4:AP$7493)</f>
        <v>200</v>
      </c>
      <c r="CE135" s="313">
        <f>SUMIF(Recibos!$D$4:$D$7493,Cobranza!$B135,Recibos!AQ$4:AQ$7493)</f>
        <v>200</v>
      </c>
      <c r="CF135" s="313">
        <f>SUMIF(Recibos!$D$4:$D$7493,Cobranza!$B135,Recibos!AR$4:AR$7493)</f>
        <v>200</v>
      </c>
      <c r="CG135" s="313">
        <f>SUMIF(Recibos!$D$4:$D$7493,Cobranza!$B135,Recibos!AS$4:AS$7493)</f>
        <v>0</v>
      </c>
      <c r="CH135" s="313">
        <f>SUMIF(Recibos!$D$4:$D$7493,Cobranza!$B135,Recibos!AT$4:AT$7493)</f>
        <v>0</v>
      </c>
      <c r="CI135" s="313">
        <f>SUMIF(Recibos!$D$4:$D$7493,Cobranza!$B135,Recibos!AU$4:AU$7493)</f>
        <v>0</v>
      </c>
      <c r="CJ135" s="313">
        <f>SUMIF(Recibos!$D$4:$D$7493,Cobranza!$B135,Recibos!AV$4:AV$7493)</f>
        <v>0</v>
      </c>
      <c r="CK135" s="314">
        <f t="shared" ref="CK135:CK201" si="24">SUM(BY135:CJ135)</f>
        <v>1600</v>
      </c>
    </row>
    <row r="136" spans="2:89" x14ac:dyDescent="0.2">
      <c r="B136" s="42" t="s">
        <v>277</v>
      </c>
      <c r="C136" s="42" t="s">
        <v>278</v>
      </c>
      <c r="D136" s="42" t="s">
        <v>279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150</v>
      </c>
      <c r="K136" s="44">
        <f t="shared" si="11"/>
        <v>150</v>
      </c>
      <c r="L136" s="43">
        <v>150</v>
      </c>
      <c r="M136" s="43">
        <v>150</v>
      </c>
      <c r="N136" s="43">
        <v>150</v>
      </c>
      <c r="O136" s="43">
        <v>150</v>
      </c>
      <c r="P136" s="43">
        <v>150</v>
      </c>
      <c r="Q136" s="43">
        <v>150</v>
      </c>
      <c r="R136" s="43">
        <v>150</v>
      </c>
      <c r="S136" s="43">
        <v>150</v>
      </c>
      <c r="T136" s="43">
        <v>150</v>
      </c>
      <c r="U136" s="43">
        <v>200</v>
      </c>
      <c r="V136" s="43">
        <v>200</v>
      </c>
      <c r="W136" s="43">
        <v>200</v>
      </c>
      <c r="X136" s="44">
        <f t="shared" si="12"/>
        <v>1950</v>
      </c>
      <c r="Y136" s="43">
        <v>200</v>
      </c>
      <c r="Z136" s="43">
        <v>200</v>
      </c>
      <c r="AA136" s="43">
        <v>200</v>
      </c>
      <c r="AB136" s="43">
        <v>200</v>
      </c>
      <c r="AC136" s="43">
        <v>200</v>
      </c>
      <c r="AD136" s="43">
        <v>200</v>
      </c>
      <c r="AE136" s="43">
        <v>200</v>
      </c>
      <c r="AF136" s="43">
        <v>200</v>
      </c>
      <c r="AG136" s="43">
        <v>200</v>
      </c>
      <c r="AH136" s="43">
        <v>200</v>
      </c>
      <c r="AI136" s="43">
        <v>200</v>
      </c>
      <c r="AJ136" s="43">
        <v>200</v>
      </c>
      <c r="AK136" s="44">
        <f t="shared" si="13"/>
        <v>2400</v>
      </c>
      <c r="AL136" s="43">
        <v>200</v>
      </c>
      <c r="AM136" s="43">
        <v>200</v>
      </c>
      <c r="AN136" s="43">
        <v>200</v>
      </c>
      <c r="AO136" s="43">
        <v>200</v>
      </c>
      <c r="AP136" s="43">
        <v>200</v>
      </c>
      <c r="AQ136" s="43">
        <v>200</v>
      </c>
      <c r="AR136" s="43">
        <v>200</v>
      </c>
      <c r="AS136" s="43">
        <v>200</v>
      </c>
      <c r="AT136" s="43">
        <v>200</v>
      </c>
      <c r="AU136" s="43">
        <v>200</v>
      </c>
      <c r="AV136" s="43">
        <v>200</v>
      </c>
      <c r="AW136" s="43">
        <v>200</v>
      </c>
      <c r="AX136" s="44">
        <f t="shared" si="14"/>
        <v>2400</v>
      </c>
      <c r="AY136" s="311">
        <f>SUMIF(Recibos!$D$4:$D$7493,Cobranza!$B136,Recibos!K$4:K$7493)</f>
        <v>200</v>
      </c>
      <c r="AZ136" s="311">
        <f>SUMIF(Recibos!$D$4:$D$7493,Cobranza!$B136,Recibos!L$4:L$7493)</f>
        <v>200</v>
      </c>
      <c r="BA136" s="311">
        <f>SUMIF(Recibos!$D$4:$D$7493,Cobranza!$B136,Recibos!M$4:M$7493)</f>
        <v>200</v>
      </c>
      <c r="BB136" s="311">
        <f>SUMIF(Recibos!$D$4:$D$7493,Cobranza!$B136,Recibos!N$4:N$7493)</f>
        <v>200</v>
      </c>
      <c r="BC136" s="311">
        <f>SUMIF(Recibos!$D$4:$D$7493,Cobranza!$B136,Recibos!O$4:O$7493)</f>
        <v>200</v>
      </c>
      <c r="BD136" s="311">
        <f>SUMIF(Recibos!$D$4:$D$7493,Cobranza!$B136,Recibos!P$4:P$7493)</f>
        <v>200</v>
      </c>
      <c r="BE136" s="311">
        <f>SUMIF(Recibos!$D$4:$D$7493,Cobranza!$B136,Recibos!Q$4:Q$7493)</f>
        <v>200</v>
      </c>
      <c r="BF136" s="311">
        <f>SUMIF(Recibos!$D$4:$D$7493,Cobranza!$B136,Recibos!R$4:R$7493)</f>
        <v>200</v>
      </c>
      <c r="BG136" s="311">
        <f>SUMIF(Recibos!$D$4:$D$7493,Cobranza!$B136,Recibos!S$4:S$7493)</f>
        <v>200</v>
      </c>
      <c r="BH136" s="311">
        <f>SUMIF(Recibos!$D$4:$D$7493,Cobranza!$B136,Recibos!T$4:T$7493)</f>
        <v>200</v>
      </c>
      <c r="BI136" s="311">
        <f>SUMIF(Recibos!$D$4:$D$7493,Cobranza!$B136,Recibos!U$4:U$7493)</f>
        <v>200</v>
      </c>
      <c r="BJ136" s="311">
        <f>SUMIF(Recibos!$D$4:$D$7493,Cobranza!$B136,Recibos!V$4:V$7493)</f>
        <v>200</v>
      </c>
      <c r="BK136" s="312">
        <f t="shared" si="15"/>
        <v>2400</v>
      </c>
      <c r="BL136" s="311">
        <f>SUMIF(Recibos!$D$4:$D$7493,Cobranza!$B136,Recibos!X$4:X$7493)</f>
        <v>200</v>
      </c>
      <c r="BM136" s="311">
        <f>SUMIF(Recibos!$D$4:$D$7493,Cobranza!$B136,Recibos!Y$4:Y$7493)</f>
        <v>200</v>
      </c>
      <c r="BN136" s="311">
        <f>SUMIF(Recibos!$D$4:$D$7493,Cobranza!$B136,Recibos!Z$4:Z$7493)</f>
        <v>200</v>
      </c>
      <c r="BO136" s="311">
        <f>SUMIF(Recibos!$D$4:$D$7493,Cobranza!$B136,Recibos!AA$4:AA$7493)</f>
        <v>200</v>
      </c>
      <c r="BP136" s="311">
        <f>SUMIF(Recibos!$D$4:$D$7493,Cobranza!$B136,Recibos!AB$4:AB$7493)</f>
        <v>200</v>
      </c>
      <c r="BQ136" s="311">
        <f>SUMIF(Recibos!$D$4:$D$7493,Cobranza!$B136,Recibos!AC$4:AC$7493)</f>
        <v>200</v>
      </c>
      <c r="BR136" s="311">
        <f>SUMIF(Recibos!$D$4:$D$7493,Cobranza!$B136,Recibos!AD$4:AD$7493)</f>
        <v>200</v>
      </c>
      <c r="BS136" s="311">
        <f>SUMIF(Recibos!$D$4:$D$7493,Cobranza!$B136,Recibos!AE$4:AE$7493)</f>
        <v>200</v>
      </c>
      <c r="BT136" s="311">
        <f>SUMIF(Recibos!$D$4:$D$7493,Cobranza!$B136,Recibos!AF$4:AF$7493)</f>
        <v>200</v>
      </c>
      <c r="BU136" s="311">
        <f>SUMIF(Recibos!$D$4:$D$7493,Cobranza!$B136,Recibos!AG$4:AG$7493)</f>
        <v>200</v>
      </c>
      <c r="BV136" s="311">
        <f>SUMIF(Recibos!$D$4:$D$7493,Cobranza!$B136,Recibos!AH$4:AH$7493)</f>
        <v>200</v>
      </c>
      <c r="BW136" s="311">
        <f>SUMIF(Recibos!$D$4:$D$7493,Cobranza!$B136,Recibos!AI$4:AI$7493)</f>
        <v>200</v>
      </c>
      <c r="BX136" s="312">
        <f t="shared" si="16"/>
        <v>2400</v>
      </c>
      <c r="BY136" s="311">
        <f>SUMIF(Recibos!$D$4:$D$7493,Cobranza!$B136,Recibos!AK$4:AK$7493)</f>
        <v>200</v>
      </c>
      <c r="BZ136" s="311">
        <f>SUMIF(Recibos!$D$4:$D$7493,Cobranza!$B136,Recibos!AL$4:AL$7493)</f>
        <v>200</v>
      </c>
      <c r="CA136" s="311">
        <f>SUMIF(Recibos!$D$4:$D$7493,Cobranza!$B136,Recibos!AM$4:AM$7493)</f>
        <v>200</v>
      </c>
      <c r="CB136" s="311">
        <f>SUMIF(Recibos!$D$4:$D$7493,Cobranza!$B136,Recibos!AN$4:AN$7493)</f>
        <v>200</v>
      </c>
      <c r="CC136" s="311">
        <f>SUMIF(Recibos!$D$4:$D$7493,Cobranza!$B136,Recibos!AO$4:AO$7493)</f>
        <v>200</v>
      </c>
      <c r="CD136" s="311">
        <f>SUMIF(Recibos!$D$4:$D$7493,Cobranza!$B136,Recibos!AP$4:AP$7493)</f>
        <v>200</v>
      </c>
      <c r="CE136" s="311">
        <f>SUMIF(Recibos!$D$4:$D$7493,Cobranza!$B136,Recibos!AQ$4:AQ$7493)</f>
        <v>200</v>
      </c>
      <c r="CF136" s="311">
        <f>SUMIF(Recibos!$D$4:$D$7493,Cobranza!$B136,Recibos!AR$4:AR$7493)</f>
        <v>200</v>
      </c>
      <c r="CG136" s="311">
        <f>SUMIF(Recibos!$D$4:$D$7493,Cobranza!$B136,Recibos!AS$4:AS$7493)</f>
        <v>200</v>
      </c>
      <c r="CH136" s="311">
        <f>SUMIF(Recibos!$D$4:$D$7493,Cobranza!$B136,Recibos!AT$4:AT$7493)</f>
        <v>200</v>
      </c>
      <c r="CI136" s="311">
        <f>SUMIF(Recibos!$D$4:$D$7493,Cobranza!$B136,Recibos!AU$4:AU$7493)</f>
        <v>0</v>
      </c>
      <c r="CJ136" s="311">
        <f>SUMIF(Recibos!$D$4:$D$7493,Cobranza!$B136,Recibos!AV$4:AV$7493)</f>
        <v>0</v>
      </c>
      <c r="CK136" s="312">
        <f t="shared" si="24"/>
        <v>2000</v>
      </c>
    </row>
    <row r="137" spans="2:89" x14ac:dyDescent="0.2">
      <c r="B137" s="45" t="s">
        <v>817</v>
      </c>
      <c r="C137" s="45" t="s">
        <v>818</v>
      </c>
      <c r="D137" s="45" t="s">
        <v>819</v>
      </c>
      <c r="E137" s="46">
        <v>0</v>
      </c>
      <c r="F137" s="46">
        <v>0</v>
      </c>
      <c r="G137" s="46">
        <v>0</v>
      </c>
      <c r="H137" s="46">
        <v>0</v>
      </c>
      <c r="I137" s="46">
        <v>0</v>
      </c>
      <c r="J137" s="46">
        <v>0</v>
      </c>
      <c r="K137" s="47">
        <f t="shared" si="11"/>
        <v>0</v>
      </c>
      <c r="L137" s="46">
        <v>150</v>
      </c>
      <c r="M137" s="46">
        <v>150</v>
      </c>
      <c r="N137" s="46">
        <v>150</v>
      </c>
      <c r="O137" s="46">
        <v>150</v>
      </c>
      <c r="P137" s="46">
        <v>150</v>
      </c>
      <c r="Q137" s="46">
        <v>150</v>
      </c>
      <c r="R137" s="46">
        <v>150</v>
      </c>
      <c r="S137" s="46">
        <v>150</v>
      </c>
      <c r="T137" s="46">
        <v>150</v>
      </c>
      <c r="U137" s="46">
        <v>200</v>
      </c>
      <c r="V137" s="46">
        <v>200</v>
      </c>
      <c r="W137" s="46">
        <v>200</v>
      </c>
      <c r="X137" s="47">
        <f t="shared" si="12"/>
        <v>1950</v>
      </c>
      <c r="Y137" s="46">
        <v>200</v>
      </c>
      <c r="Z137" s="46">
        <v>200</v>
      </c>
      <c r="AA137" s="46">
        <v>200</v>
      </c>
      <c r="AB137" s="46">
        <v>200</v>
      </c>
      <c r="AC137" s="46">
        <v>200</v>
      </c>
      <c r="AD137" s="46">
        <v>200</v>
      </c>
      <c r="AE137" s="46">
        <v>200</v>
      </c>
      <c r="AF137" s="46">
        <v>200</v>
      </c>
      <c r="AG137" s="46">
        <v>200</v>
      </c>
      <c r="AH137" s="46">
        <v>200</v>
      </c>
      <c r="AI137" s="46">
        <v>200</v>
      </c>
      <c r="AJ137" s="46">
        <v>200</v>
      </c>
      <c r="AK137" s="47">
        <f t="shared" si="13"/>
        <v>2400</v>
      </c>
      <c r="AL137" s="46">
        <v>200</v>
      </c>
      <c r="AM137" s="46">
        <v>200</v>
      </c>
      <c r="AN137" s="46">
        <v>200</v>
      </c>
      <c r="AO137" s="46">
        <v>200</v>
      </c>
      <c r="AP137" s="46">
        <v>200</v>
      </c>
      <c r="AQ137" s="46">
        <v>200</v>
      </c>
      <c r="AR137" s="46">
        <v>200</v>
      </c>
      <c r="AS137" s="46">
        <v>200</v>
      </c>
      <c r="AT137" s="46">
        <v>200</v>
      </c>
      <c r="AU137" s="46">
        <v>200</v>
      </c>
      <c r="AV137" s="46">
        <v>200</v>
      </c>
      <c r="AW137" s="46">
        <v>0</v>
      </c>
      <c r="AX137" s="47">
        <f t="shared" si="14"/>
        <v>2200</v>
      </c>
      <c r="AY137" s="313">
        <f>SUMIF(Recibos!$D$4:$D$7493,Cobranza!$B137,Recibos!K$4:K$7493)</f>
        <v>200</v>
      </c>
      <c r="AZ137" s="313">
        <f>SUMIF(Recibos!$D$4:$D$7493,Cobranza!$B137,Recibos!L$4:L$7493)</f>
        <v>200</v>
      </c>
      <c r="BA137" s="313">
        <f>SUMIF(Recibos!$D$4:$D$7493,Cobranza!$B137,Recibos!M$4:M$7493)</f>
        <v>200</v>
      </c>
      <c r="BB137" s="313">
        <f>SUMIF(Recibos!$D$4:$D$7493,Cobranza!$B137,Recibos!N$4:N$7493)</f>
        <v>200</v>
      </c>
      <c r="BC137" s="313">
        <f>SUMIF(Recibos!$D$4:$D$7493,Cobranza!$B137,Recibos!O$4:O$7493)</f>
        <v>200</v>
      </c>
      <c r="BD137" s="313">
        <f>SUMIF(Recibos!$D$4:$D$7493,Cobranza!$B137,Recibos!P$4:P$7493)</f>
        <v>200</v>
      </c>
      <c r="BE137" s="313">
        <f>SUMIF(Recibos!$D$4:$D$7493,Cobranza!$B137,Recibos!Q$4:Q$7493)</f>
        <v>200</v>
      </c>
      <c r="BF137" s="313">
        <f>SUMIF(Recibos!$D$4:$D$7493,Cobranza!$B137,Recibos!R$4:R$7493)</f>
        <v>200</v>
      </c>
      <c r="BG137" s="313">
        <f>SUMIF(Recibos!$D$4:$D$7493,Cobranza!$B137,Recibos!S$4:S$7493)</f>
        <v>200</v>
      </c>
      <c r="BH137" s="313">
        <f>SUMIF(Recibos!$D$4:$D$7493,Cobranza!$B137,Recibos!T$4:T$7493)</f>
        <v>200</v>
      </c>
      <c r="BI137" s="313">
        <f>SUMIF(Recibos!$D$4:$D$7493,Cobranza!$B137,Recibos!U$4:U$7493)</f>
        <v>200</v>
      </c>
      <c r="BJ137" s="313">
        <f>SUMIF(Recibos!$D$4:$D$7493,Cobranza!$B137,Recibos!V$4:V$7493)</f>
        <v>0</v>
      </c>
      <c r="BK137" s="314">
        <f t="shared" si="15"/>
        <v>2200</v>
      </c>
      <c r="BL137" s="313">
        <f>SUMIF(Recibos!$D$4:$D$7493,Cobranza!$B137,Recibos!X$4:X$7493)</f>
        <v>200</v>
      </c>
      <c r="BM137" s="313">
        <f>SUMIF(Recibos!$D$4:$D$7493,Cobranza!$B137,Recibos!Y$4:Y$7493)</f>
        <v>200</v>
      </c>
      <c r="BN137" s="313">
        <f>SUMIF(Recibos!$D$4:$D$7493,Cobranza!$B137,Recibos!Z$4:Z$7493)</f>
        <v>200</v>
      </c>
      <c r="BO137" s="313">
        <f>SUMIF(Recibos!$D$4:$D$7493,Cobranza!$B137,Recibos!AA$4:AA$7493)</f>
        <v>200</v>
      </c>
      <c r="BP137" s="313">
        <f>SUMIF(Recibos!$D$4:$D$7493,Cobranza!$B137,Recibos!AB$4:AB$7493)</f>
        <v>200</v>
      </c>
      <c r="BQ137" s="313">
        <f>SUMIF(Recibos!$D$4:$D$7493,Cobranza!$B137,Recibos!AC$4:AC$7493)</f>
        <v>200</v>
      </c>
      <c r="BR137" s="313">
        <f>SUMIF(Recibos!$D$4:$D$7493,Cobranza!$B137,Recibos!AD$4:AD$7493)</f>
        <v>200</v>
      </c>
      <c r="BS137" s="313">
        <f>SUMIF(Recibos!$D$4:$D$7493,Cobranza!$B137,Recibos!AE$4:AE$7493)</f>
        <v>200</v>
      </c>
      <c r="BT137" s="313">
        <f>SUMIF(Recibos!$D$4:$D$7493,Cobranza!$B137,Recibos!AF$4:AF$7493)</f>
        <v>200</v>
      </c>
      <c r="BU137" s="313">
        <f>SUMIF(Recibos!$D$4:$D$7493,Cobranza!$B137,Recibos!AG$4:AG$7493)</f>
        <v>200</v>
      </c>
      <c r="BV137" s="313">
        <f>SUMIF(Recibos!$D$4:$D$7493,Cobranza!$B137,Recibos!AH$4:AH$7493)</f>
        <v>200</v>
      </c>
      <c r="BW137" s="313">
        <f>SUMIF(Recibos!$D$4:$D$7493,Cobranza!$B137,Recibos!AI$4:AI$7493)</f>
        <v>200</v>
      </c>
      <c r="BX137" s="314">
        <f t="shared" si="16"/>
        <v>2400</v>
      </c>
      <c r="BY137" s="313">
        <f>SUMIF(Recibos!$D$4:$D$7493,Cobranza!$B137,Recibos!AK$4:AK$7493)</f>
        <v>200</v>
      </c>
      <c r="BZ137" s="313">
        <f>SUMIF(Recibos!$D$4:$D$7493,Cobranza!$B137,Recibos!AL$4:AL$7493)</f>
        <v>200</v>
      </c>
      <c r="CA137" s="313">
        <f>SUMIF(Recibos!$D$4:$D$7493,Cobranza!$B137,Recibos!AM$4:AM$7493)</f>
        <v>200</v>
      </c>
      <c r="CB137" s="313">
        <f>SUMIF(Recibos!$D$4:$D$7493,Cobranza!$B137,Recibos!AN$4:AN$7493)</f>
        <v>200</v>
      </c>
      <c r="CC137" s="313">
        <f>SUMIF(Recibos!$D$4:$D$7493,Cobranza!$B137,Recibos!AO$4:AO$7493)</f>
        <v>200</v>
      </c>
      <c r="CD137" s="313">
        <f>SUMIF(Recibos!$D$4:$D$7493,Cobranza!$B137,Recibos!AP$4:AP$7493)</f>
        <v>200</v>
      </c>
      <c r="CE137" s="313">
        <f>SUMIF(Recibos!$D$4:$D$7493,Cobranza!$B137,Recibos!AQ$4:AQ$7493)</f>
        <v>200</v>
      </c>
      <c r="CF137" s="313">
        <f>SUMIF(Recibos!$D$4:$D$7493,Cobranza!$B137,Recibos!AR$4:AR$7493)</f>
        <v>200</v>
      </c>
      <c r="CG137" s="313">
        <f>SUMIF(Recibos!$D$4:$D$7493,Cobranza!$B137,Recibos!AS$4:AS$7493)</f>
        <v>200</v>
      </c>
      <c r="CH137" s="313">
        <f>SUMIF(Recibos!$D$4:$D$7493,Cobranza!$B137,Recibos!AT$4:AT$7493)</f>
        <v>200</v>
      </c>
      <c r="CI137" s="313">
        <f>SUMIF(Recibos!$D$4:$D$7493,Cobranza!$B137,Recibos!AU$4:AU$7493)</f>
        <v>0</v>
      </c>
      <c r="CJ137" s="313">
        <f>SUMIF(Recibos!$D$4:$D$7493,Cobranza!$B137,Recibos!AV$4:AV$7493)</f>
        <v>0</v>
      </c>
      <c r="CK137" s="314">
        <f t="shared" si="24"/>
        <v>2000</v>
      </c>
    </row>
    <row r="138" spans="2:89" x14ac:dyDescent="0.2">
      <c r="B138" s="42" t="s">
        <v>1092</v>
      </c>
      <c r="C138" s="42" t="s">
        <v>1093</v>
      </c>
      <c r="D138" s="42" t="s">
        <v>1094</v>
      </c>
      <c r="E138" s="43">
        <v>0</v>
      </c>
      <c r="F138" s="43">
        <v>0</v>
      </c>
      <c r="G138" s="43">
        <v>100</v>
      </c>
      <c r="H138" s="43">
        <v>100</v>
      </c>
      <c r="I138" s="43">
        <v>100</v>
      </c>
      <c r="J138" s="43">
        <v>100</v>
      </c>
      <c r="K138" s="44">
        <f t="shared" si="11"/>
        <v>400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4">
        <f t="shared" si="12"/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4">
        <f t="shared" si="13"/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4">
        <f t="shared" si="14"/>
        <v>0</v>
      </c>
      <c r="AY138" s="311">
        <f>SUMIF(Recibos!$D$4:$D$7493,Cobranza!$B138,Recibos!K$4:K$7493)</f>
        <v>0</v>
      </c>
      <c r="AZ138" s="311">
        <f>SUMIF(Recibos!$D$4:$D$7493,Cobranza!$B138,Recibos!L$4:L$7493)</f>
        <v>0</v>
      </c>
      <c r="BA138" s="311">
        <f>SUMIF(Recibos!$D$4:$D$7493,Cobranza!$B138,Recibos!M$4:M$7493)</f>
        <v>0</v>
      </c>
      <c r="BB138" s="311">
        <f>SUMIF(Recibos!$D$4:$D$7493,Cobranza!$B138,Recibos!N$4:N$7493)</f>
        <v>0</v>
      </c>
      <c r="BC138" s="311">
        <f>SUMIF(Recibos!$D$4:$D$7493,Cobranza!$B138,Recibos!O$4:O$7493)</f>
        <v>0</v>
      </c>
      <c r="BD138" s="311">
        <f>SUMIF(Recibos!$D$4:$D$7493,Cobranza!$B138,Recibos!P$4:P$7493)</f>
        <v>0</v>
      </c>
      <c r="BE138" s="311">
        <f>SUMIF(Recibos!$D$4:$D$7493,Cobranza!$B138,Recibos!Q$4:Q$7493)</f>
        <v>200</v>
      </c>
      <c r="BF138" s="311">
        <f>SUMIF(Recibos!$D$4:$D$7493,Cobranza!$B138,Recibos!R$4:R$7493)</f>
        <v>200</v>
      </c>
      <c r="BG138" s="311">
        <f>SUMIF(Recibos!$D$4:$D$7493,Cobranza!$B138,Recibos!S$4:S$7493)</f>
        <v>200</v>
      </c>
      <c r="BH138" s="311">
        <f>SUMIF(Recibos!$D$4:$D$7493,Cobranza!$B138,Recibos!T$4:T$7493)</f>
        <v>200</v>
      </c>
      <c r="BI138" s="311">
        <f>SUMIF(Recibos!$D$4:$D$7493,Cobranza!$B138,Recibos!U$4:U$7493)</f>
        <v>200</v>
      </c>
      <c r="BJ138" s="311">
        <f>SUMIF(Recibos!$D$4:$D$7493,Cobranza!$B138,Recibos!V$4:V$7493)</f>
        <v>200</v>
      </c>
      <c r="BK138" s="312">
        <f t="shared" si="15"/>
        <v>1200</v>
      </c>
      <c r="BL138" s="311">
        <f>SUMIF(Recibos!$D$4:$D$7493,Cobranza!$B138,Recibos!X$4:X$7493)</f>
        <v>200</v>
      </c>
      <c r="BM138" s="311">
        <f>SUMIF(Recibos!$D$4:$D$7493,Cobranza!$B138,Recibos!Y$4:Y$7493)</f>
        <v>200</v>
      </c>
      <c r="BN138" s="311">
        <f>SUMIF(Recibos!$D$4:$D$7493,Cobranza!$B138,Recibos!Z$4:Z$7493)</f>
        <v>200</v>
      </c>
      <c r="BO138" s="311">
        <f>SUMIF(Recibos!$D$4:$D$7493,Cobranza!$B138,Recibos!AA$4:AA$7493)</f>
        <v>200</v>
      </c>
      <c r="BP138" s="311">
        <f>SUMIF(Recibos!$D$4:$D$7493,Cobranza!$B138,Recibos!AB$4:AB$7493)</f>
        <v>200</v>
      </c>
      <c r="BQ138" s="311">
        <f>SUMIF(Recibos!$D$4:$D$7493,Cobranza!$B138,Recibos!AC$4:AC$7493)</f>
        <v>200</v>
      </c>
      <c r="BR138" s="311">
        <f>SUMIF(Recibos!$D$4:$D$7493,Cobranza!$B138,Recibos!AD$4:AD$7493)</f>
        <v>200</v>
      </c>
      <c r="BS138" s="311">
        <f>SUMIF(Recibos!$D$4:$D$7493,Cobranza!$B138,Recibos!AE$4:AE$7493)</f>
        <v>200</v>
      </c>
      <c r="BT138" s="311">
        <f>SUMIF(Recibos!$D$4:$D$7493,Cobranza!$B138,Recibos!AF$4:AF$7493)</f>
        <v>200</v>
      </c>
      <c r="BU138" s="311">
        <f>SUMIF(Recibos!$D$4:$D$7493,Cobranza!$B138,Recibos!AG$4:AG$7493)</f>
        <v>200</v>
      </c>
      <c r="BV138" s="311">
        <f>SUMIF(Recibos!$D$4:$D$7493,Cobranza!$B138,Recibos!AH$4:AH$7493)</f>
        <v>200</v>
      </c>
      <c r="BW138" s="311">
        <f>SUMIF(Recibos!$D$4:$D$7493,Cobranza!$B138,Recibos!AI$4:AI$7493)</f>
        <v>200</v>
      </c>
      <c r="BX138" s="312">
        <f t="shared" si="16"/>
        <v>2400</v>
      </c>
      <c r="BY138" s="311">
        <f>SUMIF(Recibos!$D$4:$D$7493,Cobranza!$B138,Recibos!AK$4:AK$7493)</f>
        <v>200</v>
      </c>
      <c r="BZ138" s="311">
        <f>SUMIF(Recibos!$D$4:$D$7493,Cobranza!$B138,Recibos!AL$4:AL$7493)</f>
        <v>0</v>
      </c>
      <c r="CA138" s="311">
        <f>SUMIF(Recibos!$D$4:$D$7493,Cobranza!$B138,Recibos!AM$4:AM$7493)</f>
        <v>0</v>
      </c>
      <c r="CB138" s="311">
        <f>SUMIF(Recibos!$D$4:$D$7493,Cobranza!$B138,Recibos!AN$4:AN$7493)</f>
        <v>0</v>
      </c>
      <c r="CC138" s="311">
        <f>SUMIF(Recibos!$D$4:$D$7493,Cobranza!$B138,Recibos!AO$4:AO$7493)</f>
        <v>0</v>
      </c>
      <c r="CD138" s="311">
        <f>SUMIF(Recibos!$D$4:$D$7493,Cobranza!$B138,Recibos!AP$4:AP$7493)</f>
        <v>0</v>
      </c>
      <c r="CE138" s="311">
        <f>SUMIF(Recibos!$D$4:$D$7493,Cobranza!$B138,Recibos!AQ$4:AQ$7493)</f>
        <v>0</v>
      </c>
      <c r="CF138" s="311">
        <f>SUMIF(Recibos!$D$4:$D$7493,Cobranza!$B138,Recibos!AR$4:AR$7493)</f>
        <v>0</v>
      </c>
      <c r="CG138" s="311">
        <f>SUMIF(Recibos!$D$4:$D$7493,Cobranza!$B138,Recibos!AS$4:AS$7493)</f>
        <v>0</v>
      </c>
      <c r="CH138" s="311">
        <f>SUMIF(Recibos!$D$4:$D$7493,Cobranza!$B138,Recibos!AT$4:AT$7493)</f>
        <v>0</v>
      </c>
      <c r="CI138" s="311">
        <f>SUMIF(Recibos!$D$4:$D$7493,Cobranza!$B138,Recibos!AU$4:AU$7493)</f>
        <v>0</v>
      </c>
      <c r="CJ138" s="311">
        <f>SUMIF(Recibos!$D$4:$D$7493,Cobranza!$B138,Recibos!AV$4:AV$7493)</f>
        <v>0</v>
      </c>
      <c r="CK138" s="312">
        <f t="shared" si="24"/>
        <v>200</v>
      </c>
    </row>
    <row r="139" spans="2:89" x14ac:dyDescent="0.2">
      <c r="B139" s="45" t="s">
        <v>74</v>
      </c>
      <c r="C139" s="45" t="s">
        <v>75</v>
      </c>
      <c r="D139" s="45" t="s">
        <v>76</v>
      </c>
      <c r="E139" s="46">
        <v>0</v>
      </c>
      <c r="F139" s="46">
        <v>0</v>
      </c>
      <c r="G139" s="46">
        <v>0</v>
      </c>
      <c r="H139" s="46">
        <v>0</v>
      </c>
      <c r="I139" s="46">
        <v>0</v>
      </c>
      <c r="J139" s="46">
        <v>200</v>
      </c>
      <c r="K139" s="47">
        <f t="shared" si="11"/>
        <v>200</v>
      </c>
      <c r="L139" s="46">
        <v>200</v>
      </c>
      <c r="M139" s="46">
        <v>200</v>
      </c>
      <c r="N139" s="46">
        <v>200</v>
      </c>
      <c r="O139" s="46">
        <v>200</v>
      </c>
      <c r="P139" s="46">
        <v>200</v>
      </c>
      <c r="Q139" s="46">
        <v>200</v>
      </c>
      <c r="R139" s="46">
        <v>200</v>
      </c>
      <c r="S139" s="46">
        <v>200</v>
      </c>
      <c r="T139" s="46">
        <v>200</v>
      </c>
      <c r="U139" s="46">
        <v>200</v>
      </c>
      <c r="V139" s="46">
        <v>200</v>
      </c>
      <c r="W139" s="46">
        <v>200</v>
      </c>
      <c r="X139" s="47">
        <f t="shared" si="12"/>
        <v>2400</v>
      </c>
      <c r="Y139" s="46">
        <v>200</v>
      </c>
      <c r="Z139" s="46">
        <v>200</v>
      </c>
      <c r="AA139" s="46">
        <v>200</v>
      </c>
      <c r="AB139" s="46">
        <v>200</v>
      </c>
      <c r="AC139" s="46">
        <v>200</v>
      </c>
      <c r="AD139" s="46">
        <v>200</v>
      </c>
      <c r="AE139" s="46">
        <v>200</v>
      </c>
      <c r="AF139" s="46">
        <v>200</v>
      </c>
      <c r="AG139" s="46">
        <v>600</v>
      </c>
      <c r="AH139" s="46">
        <v>200</v>
      </c>
      <c r="AI139" s="46">
        <v>200</v>
      </c>
      <c r="AJ139" s="46">
        <v>200</v>
      </c>
      <c r="AK139" s="47">
        <f t="shared" si="13"/>
        <v>2800</v>
      </c>
      <c r="AL139" s="46">
        <v>200</v>
      </c>
      <c r="AM139" s="46">
        <v>200</v>
      </c>
      <c r="AN139" s="46">
        <v>200</v>
      </c>
      <c r="AO139" s="46">
        <v>200</v>
      </c>
      <c r="AP139" s="46">
        <v>200</v>
      </c>
      <c r="AQ139" s="46">
        <v>200</v>
      </c>
      <c r="AR139" s="46">
        <v>200</v>
      </c>
      <c r="AS139" s="46">
        <v>200</v>
      </c>
      <c r="AT139" s="46">
        <v>200</v>
      </c>
      <c r="AU139" s="46">
        <v>200</v>
      </c>
      <c r="AV139" s="46">
        <v>200</v>
      </c>
      <c r="AW139" s="46">
        <v>200</v>
      </c>
      <c r="AX139" s="47">
        <f t="shared" si="14"/>
        <v>2400</v>
      </c>
      <c r="AY139" s="313">
        <f>SUMIF(Recibos!$D$4:$D$7493,Cobranza!$B139,Recibos!K$4:K$7493)</f>
        <v>200</v>
      </c>
      <c r="AZ139" s="313">
        <f>SUMIF(Recibos!$D$4:$D$7493,Cobranza!$B139,Recibos!L$4:L$7493)</f>
        <v>200</v>
      </c>
      <c r="BA139" s="313">
        <f>SUMIF(Recibos!$D$4:$D$7493,Cobranza!$B139,Recibos!M$4:M$7493)</f>
        <v>200</v>
      </c>
      <c r="BB139" s="313">
        <f>SUMIF(Recibos!$D$4:$D$7493,Cobranza!$B139,Recibos!N$4:N$7493)</f>
        <v>200</v>
      </c>
      <c r="BC139" s="313">
        <f>SUMIF(Recibos!$D$4:$D$7493,Cobranza!$B139,Recibos!O$4:O$7493)</f>
        <v>200</v>
      </c>
      <c r="BD139" s="313">
        <f>SUMIF(Recibos!$D$4:$D$7493,Cobranza!$B139,Recibos!P$4:P$7493)</f>
        <v>200</v>
      </c>
      <c r="BE139" s="313">
        <f>SUMIF(Recibos!$D$4:$D$7493,Cobranza!$B139,Recibos!Q$4:Q$7493)</f>
        <v>200</v>
      </c>
      <c r="BF139" s="313">
        <f>SUMIF(Recibos!$D$4:$D$7493,Cobranza!$B139,Recibos!R$4:R$7493)</f>
        <v>200</v>
      </c>
      <c r="BG139" s="313">
        <f>SUMIF(Recibos!$D$4:$D$7493,Cobranza!$B139,Recibos!S$4:S$7493)</f>
        <v>200</v>
      </c>
      <c r="BH139" s="313">
        <f>SUMIF(Recibos!$D$4:$D$7493,Cobranza!$B139,Recibos!T$4:T$7493)</f>
        <v>200</v>
      </c>
      <c r="BI139" s="313">
        <f>SUMIF(Recibos!$D$4:$D$7493,Cobranza!$B139,Recibos!U$4:U$7493)</f>
        <v>200</v>
      </c>
      <c r="BJ139" s="313">
        <f>SUMIF(Recibos!$D$4:$D$7493,Cobranza!$B139,Recibos!V$4:V$7493)</f>
        <v>0</v>
      </c>
      <c r="BK139" s="314">
        <f t="shared" si="15"/>
        <v>2200</v>
      </c>
      <c r="BL139" s="313">
        <f>SUMIF(Recibos!$D$4:$D$7493,Cobranza!$B139,Recibos!X$4:X$7493)</f>
        <v>200</v>
      </c>
      <c r="BM139" s="313">
        <f>SUMIF(Recibos!$D$4:$D$7493,Cobranza!$B139,Recibos!Y$4:Y$7493)</f>
        <v>200</v>
      </c>
      <c r="BN139" s="313">
        <f>SUMIF(Recibos!$D$4:$D$7493,Cobranza!$B139,Recibos!Z$4:Z$7493)</f>
        <v>200</v>
      </c>
      <c r="BO139" s="313">
        <f>SUMIF(Recibos!$D$4:$D$7493,Cobranza!$B139,Recibos!AA$4:AA$7493)</f>
        <v>200</v>
      </c>
      <c r="BP139" s="313">
        <f>SUMIF(Recibos!$D$4:$D$7493,Cobranza!$B139,Recibos!AB$4:AB$7493)</f>
        <v>200</v>
      </c>
      <c r="BQ139" s="313">
        <f>SUMIF(Recibos!$D$4:$D$7493,Cobranza!$B139,Recibos!AC$4:AC$7493)</f>
        <v>200</v>
      </c>
      <c r="BR139" s="313">
        <f>SUMIF(Recibos!$D$4:$D$7493,Cobranza!$B139,Recibos!AD$4:AD$7493)</f>
        <v>200</v>
      </c>
      <c r="BS139" s="313">
        <f>SUMIF(Recibos!$D$4:$D$7493,Cobranza!$B139,Recibos!AE$4:AE$7493)</f>
        <v>200</v>
      </c>
      <c r="BT139" s="313">
        <f>SUMIF(Recibos!$D$4:$D$7493,Cobranza!$B139,Recibos!AF$4:AF$7493)</f>
        <v>200</v>
      </c>
      <c r="BU139" s="313">
        <f>SUMIF(Recibos!$D$4:$D$7493,Cobranza!$B139,Recibos!AG$4:AG$7493)</f>
        <v>200</v>
      </c>
      <c r="BV139" s="313">
        <f>SUMIF(Recibos!$D$4:$D$7493,Cobranza!$B139,Recibos!AH$4:AH$7493)</f>
        <v>200</v>
      </c>
      <c r="BW139" s="313">
        <f>SUMIF(Recibos!$D$4:$D$7493,Cobranza!$B139,Recibos!AI$4:AI$7493)</f>
        <v>0</v>
      </c>
      <c r="BX139" s="314">
        <f t="shared" si="16"/>
        <v>2200</v>
      </c>
      <c r="BY139" s="313">
        <f>SUMIF(Recibos!$D$4:$D$7493,Cobranza!$B139,Recibos!AK$4:AK$7493)</f>
        <v>200</v>
      </c>
      <c r="BZ139" s="313">
        <f>SUMIF(Recibos!$D$4:$D$7493,Cobranza!$B139,Recibos!AL$4:AL$7493)</f>
        <v>200</v>
      </c>
      <c r="CA139" s="313">
        <f>SUMIF(Recibos!$D$4:$D$7493,Cobranza!$B139,Recibos!AM$4:AM$7493)</f>
        <v>200</v>
      </c>
      <c r="CB139" s="313">
        <f>SUMIF(Recibos!$D$4:$D$7493,Cobranza!$B139,Recibos!AN$4:AN$7493)</f>
        <v>200</v>
      </c>
      <c r="CC139" s="313">
        <f>SUMIF(Recibos!$D$4:$D$7493,Cobranza!$B139,Recibos!AO$4:AO$7493)</f>
        <v>200</v>
      </c>
      <c r="CD139" s="313">
        <f>SUMIF(Recibos!$D$4:$D$7493,Cobranza!$B139,Recibos!AP$4:AP$7493)</f>
        <v>200</v>
      </c>
      <c r="CE139" s="313">
        <f>SUMIF(Recibos!$D$4:$D$7493,Cobranza!$B139,Recibos!AQ$4:AQ$7493)</f>
        <v>200</v>
      </c>
      <c r="CF139" s="313">
        <f>SUMIF(Recibos!$D$4:$D$7493,Cobranza!$B139,Recibos!AR$4:AR$7493)</f>
        <v>200</v>
      </c>
      <c r="CG139" s="313">
        <f>SUMIF(Recibos!$D$4:$D$7493,Cobranza!$B139,Recibos!AS$4:AS$7493)</f>
        <v>200</v>
      </c>
      <c r="CH139" s="313">
        <f>SUMIF(Recibos!$D$4:$D$7493,Cobranza!$B139,Recibos!AT$4:AT$7493)</f>
        <v>200</v>
      </c>
      <c r="CI139" s="313">
        <f>SUMIF(Recibos!$D$4:$D$7493,Cobranza!$B139,Recibos!AU$4:AU$7493)</f>
        <v>200</v>
      </c>
      <c r="CJ139" s="313">
        <f>SUMIF(Recibos!$D$4:$D$7493,Cobranza!$B139,Recibos!AV$4:AV$7493)</f>
        <v>0</v>
      </c>
      <c r="CK139" s="314">
        <f t="shared" si="24"/>
        <v>2200</v>
      </c>
    </row>
    <row r="140" spans="2:89" x14ac:dyDescent="0.2">
      <c r="B140" s="42" t="s">
        <v>355</v>
      </c>
      <c r="C140" s="42" t="s">
        <v>356</v>
      </c>
      <c r="D140" s="42" t="s">
        <v>357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300</v>
      </c>
      <c r="K140" s="44">
        <f t="shared" ref="K140:K204" si="25">SUM(E140:J140)</f>
        <v>300</v>
      </c>
      <c r="L140" s="43">
        <v>300</v>
      </c>
      <c r="M140" s="43">
        <v>300</v>
      </c>
      <c r="N140" s="43">
        <v>300</v>
      </c>
      <c r="O140" s="43">
        <v>300</v>
      </c>
      <c r="P140" s="43">
        <v>300</v>
      </c>
      <c r="Q140" s="43">
        <v>300</v>
      </c>
      <c r="R140" s="43">
        <v>300</v>
      </c>
      <c r="S140" s="43">
        <v>300</v>
      </c>
      <c r="T140" s="43">
        <v>0</v>
      </c>
      <c r="U140" s="43">
        <v>0</v>
      </c>
      <c r="V140" s="43">
        <v>0</v>
      </c>
      <c r="W140" s="43">
        <v>0</v>
      </c>
      <c r="X140" s="44">
        <f t="shared" ref="X140:X204" si="26">SUM(L140:W140)</f>
        <v>2400</v>
      </c>
      <c r="Y140" s="43">
        <v>300</v>
      </c>
      <c r="Z140" s="43">
        <v>300</v>
      </c>
      <c r="AA140" s="43">
        <v>300</v>
      </c>
      <c r="AB140" s="43">
        <v>300</v>
      </c>
      <c r="AC140" s="43">
        <v>300</v>
      </c>
      <c r="AD140" s="43">
        <v>300</v>
      </c>
      <c r="AE140" s="43">
        <v>300</v>
      </c>
      <c r="AF140" s="43">
        <v>300</v>
      </c>
      <c r="AG140" s="43">
        <v>300</v>
      </c>
      <c r="AH140" s="43">
        <v>300</v>
      </c>
      <c r="AI140" s="43">
        <v>300</v>
      </c>
      <c r="AJ140" s="43">
        <v>0</v>
      </c>
      <c r="AK140" s="44">
        <f t="shared" ref="AK140:AK204" si="27">SUM(Y140:AJ140)</f>
        <v>3300</v>
      </c>
      <c r="AL140" s="43">
        <v>300</v>
      </c>
      <c r="AM140" s="43">
        <v>300</v>
      </c>
      <c r="AN140" s="43">
        <v>300</v>
      </c>
      <c r="AO140" s="43">
        <v>300</v>
      </c>
      <c r="AP140" s="43">
        <v>300</v>
      </c>
      <c r="AQ140" s="43">
        <v>300</v>
      </c>
      <c r="AR140" s="43">
        <v>300</v>
      </c>
      <c r="AS140" s="43">
        <v>300</v>
      </c>
      <c r="AT140" s="43">
        <v>300</v>
      </c>
      <c r="AU140" s="43">
        <v>300</v>
      </c>
      <c r="AV140" s="43">
        <v>300</v>
      </c>
      <c r="AW140" s="43">
        <v>300</v>
      </c>
      <c r="AX140" s="44">
        <f t="shared" ref="AX140:AX204" si="28">SUM(AL140:AW140)</f>
        <v>3600</v>
      </c>
      <c r="AY140" s="311">
        <f>SUMIF(Recibos!$D$4:$D$7493,Cobranza!$B140,Recibos!K$4:K$7493)</f>
        <v>300</v>
      </c>
      <c r="AZ140" s="311">
        <f>SUMIF(Recibos!$D$4:$D$7493,Cobranza!$B140,Recibos!L$4:L$7493)</f>
        <v>300</v>
      </c>
      <c r="BA140" s="311">
        <f>SUMIF(Recibos!$D$4:$D$7493,Cobranza!$B140,Recibos!M$4:M$7493)</f>
        <v>300</v>
      </c>
      <c r="BB140" s="311">
        <f>SUMIF(Recibos!$D$4:$D$7493,Cobranza!$B140,Recibos!N$4:N$7493)</f>
        <v>300</v>
      </c>
      <c r="BC140" s="311">
        <f>SUMIF(Recibos!$D$4:$D$7493,Cobranza!$B140,Recibos!O$4:O$7493)</f>
        <v>300</v>
      </c>
      <c r="BD140" s="311">
        <f>SUMIF(Recibos!$D$4:$D$7493,Cobranza!$B140,Recibos!P$4:P$7493)</f>
        <v>300</v>
      </c>
      <c r="BE140" s="311">
        <f>SUMIF(Recibos!$D$4:$D$7493,Cobranza!$B140,Recibos!Q$4:Q$7493)</f>
        <v>300</v>
      </c>
      <c r="BF140" s="311">
        <f>SUMIF(Recibos!$D$4:$D$7493,Cobranza!$B140,Recibos!R$4:R$7493)</f>
        <v>300</v>
      </c>
      <c r="BG140" s="311">
        <f>SUMIF(Recibos!$D$4:$D$7493,Cobranza!$B140,Recibos!S$4:S$7493)</f>
        <v>300</v>
      </c>
      <c r="BH140" s="311">
        <f>SUMIF(Recibos!$D$4:$D$7493,Cobranza!$B140,Recibos!T$4:T$7493)</f>
        <v>300</v>
      </c>
      <c r="BI140" s="311">
        <f>SUMIF(Recibos!$D$4:$D$7493,Cobranza!$B140,Recibos!U$4:U$7493)</f>
        <v>300</v>
      </c>
      <c r="BJ140" s="311">
        <f>SUMIF(Recibos!$D$4:$D$7493,Cobranza!$B140,Recibos!V$4:V$7493)</f>
        <v>300</v>
      </c>
      <c r="BK140" s="312">
        <f t="shared" si="15"/>
        <v>3600</v>
      </c>
      <c r="BL140" s="311">
        <f>SUMIF(Recibos!$D$4:$D$7493,Cobranza!$B140,Recibos!X$4:X$7493)</f>
        <v>300</v>
      </c>
      <c r="BM140" s="311">
        <f>SUMIF(Recibos!$D$4:$D$7493,Cobranza!$B140,Recibos!Y$4:Y$7493)</f>
        <v>300</v>
      </c>
      <c r="BN140" s="311">
        <f>SUMIF(Recibos!$D$4:$D$7493,Cobranza!$B140,Recibos!Z$4:Z$7493)</f>
        <v>300</v>
      </c>
      <c r="BO140" s="311">
        <f>SUMIF(Recibos!$D$4:$D$7493,Cobranza!$B140,Recibos!AA$4:AA$7493)</f>
        <v>300</v>
      </c>
      <c r="BP140" s="311">
        <f>SUMIF(Recibos!$D$4:$D$7493,Cobranza!$B140,Recibos!AB$4:AB$7493)</f>
        <v>300</v>
      </c>
      <c r="BQ140" s="311">
        <f>SUMIF(Recibos!$D$4:$D$7493,Cobranza!$B140,Recibos!AC$4:AC$7493)</f>
        <v>300</v>
      </c>
      <c r="BR140" s="311">
        <f>SUMIF(Recibos!$D$4:$D$7493,Cobranza!$B140,Recibos!AD$4:AD$7493)</f>
        <v>300</v>
      </c>
      <c r="BS140" s="311">
        <f>SUMIF(Recibos!$D$4:$D$7493,Cobranza!$B140,Recibos!AE$4:AE$7493)</f>
        <v>300</v>
      </c>
      <c r="BT140" s="311">
        <f>SUMIF(Recibos!$D$4:$D$7493,Cobranza!$B140,Recibos!AF$4:AF$7493)</f>
        <v>300</v>
      </c>
      <c r="BU140" s="311">
        <f>SUMIF(Recibos!$D$4:$D$7493,Cobranza!$B140,Recibos!AG$4:AG$7493)</f>
        <v>300</v>
      </c>
      <c r="BV140" s="311">
        <f>SUMIF(Recibos!$D$4:$D$7493,Cobranza!$B140,Recibos!AH$4:AH$7493)</f>
        <v>300</v>
      </c>
      <c r="BW140" s="311">
        <f>SUMIF(Recibos!$D$4:$D$7493,Cobranza!$B140,Recibos!AI$4:AI$7493)</f>
        <v>300</v>
      </c>
      <c r="BX140" s="312">
        <f t="shared" si="16"/>
        <v>3600</v>
      </c>
      <c r="BY140" s="311">
        <f>SUMIF(Recibos!$D$4:$D$7493,Cobranza!$B140,Recibos!AK$4:AK$7493)</f>
        <v>300</v>
      </c>
      <c r="BZ140" s="311">
        <f>SUMIF(Recibos!$D$4:$D$7493,Cobranza!$B140,Recibos!AL$4:AL$7493)</f>
        <v>300</v>
      </c>
      <c r="CA140" s="311">
        <f>SUMIF(Recibos!$D$4:$D$7493,Cobranza!$B140,Recibos!AM$4:AM$7493)</f>
        <v>300</v>
      </c>
      <c r="CB140" s="311">
        <f>SUMIF(Recibos!$D$4:$D$7493,Cobranza!$B140,Recibos!AN$4:AN$7493)</f>
        <v>300</v>
      </c>
      <c r="CC140" s="311">
        <f>SUMIF(Recibos!$D$4:$D$7493,Cobranza!$B140,Recibos!AO$4:AO$7493)</f>
        <v>300</v>
      </c>
      <c r="CD140" s="311">
        <f>SUMIF(Recibos!$D$4:$D$7493,Cobranza!$B140,Recibos!AP$4:AP$7493)</f>
        <v>300</v>
      </c>
      <c r="CE140" s="311">
        <f>SUMIF(Recibos!$D$4:$D$7493,Cobranza!$B140,Recibos!AQ$4:AQ$7493)</f>
        <v>300</v>
      </c>
      <c r="CF140" s="311">
        <f>SUMIF(Recibos!$D$4:$D$7493,Cobranza!$B140,Recibos!AR$4:AR$7493)</f>
        <v>300</v>
      </c>
      <c r="CG140" s="311">
        <f>SUMIF(Recibos!$D$4:$D$7493,Cobranza!$B140,Recibos!AS$4:AS$7493)</f>
        <v>300</v>
      </c>
      <c r="CH140" s="311">
        <f>SUMIF(Recibos!$D$4:$D$7493,Cobranza!$B140,Recibos!AT$4:AT$7493)</f>
        <v>300</v>
      </c>
      <c r="CI140" s="311">
        <f>SUMIF(Recibos!$D$4:$D$7493,Cobranza!$B140,Recibos!AU$4:AU$7493)</f>
        <v>300</v>
      </c>
      <c r="CJ140" s="311">
        <f>SUMIF(Recibos!$D$4:$D$7493,Cobranza!$B140,Recibos!AV$4:AV$7493)</f>
        <v>300</v>
      </c>
      <c r="CK140" s="312">
        <f t="shared" si="24"/>
        <v>3600</v>
      </c>
    </row>
    <row r="141" spans="2:89" x14ac:dyDescent="0.2">
      <c r="B141" s="45" t="s">
        <v>672</v>
      </c>
      <c r="C141" s="45" t="s">
        <v>673</v>
      </c>
      <c r="D141" s="45" t="s">
        <v>674</v>
      </c>
      <c r="E141" s="46">
        <v>0</v>
      </c>
      <c r="F141" s="46">
        <v>0</v>
      </c>
      <c r="G141" s="46">
        <v>0</v>
      </c>
      <c r="H141" s="46">
        <v>0</v>
      </c>
      <c r="I141" s="46">
        <v>0</v>
      </c>
      <c r="J141" s="46">
        <v>200</v>
      </c>
      <c r="K141" s="47">
        <f t="shared" si="25"/>
        <v>200</v>
      </c>
      <c r="L141" s="46">
        <v>200</v>
      </c>
      <c r="M141" s="46">
        <v>200</v>
      </c>
      <c r="N141" s="46">
        <v>200</v>
      </c>
      <c r="O141" s="46">
        <v>200</v>
      </c>
      <c r="P141" s="46">
        <v>200</v>
      </c>
      <c r="Q141" s="46">
        <v>200</v>
      </c>
      <c r="R141" s="46">
        <v>200</v>
      </c>
      <c r="S141" s="46">
        <v>200</v>
      </c>
      <c r="T141" s="46">
        <v>200</v>
      </c>
      <c r="U141" s="46">
        <v>200</v>
      </c>
      <c r="V141" s="46">
        <v>0</v>
      </c>
      <c r="W141" s="46">
        <v>0</v>
      </c>
      <c r="X141" s="47">
        <f t="shared" si="26"/>
        <v>2000</v>
      </c>
      <c r="Y141" s="46">
        <v>200</v>
      </c>
      <c r="Z141" s="46">
        <v>200</v>
      </c>
      <c r="AA141" s="46">
        <v>200</v>
      </c>
      <c r="AB141" s="46">
        <v>200</v>
      </c>
      <c r="AC141" s="46">
        <v>200</v>
      </c>
      <c r="AD141" s="46">
        <v>200</v>
      </c>
      <c r="AE141" s="46">
        <v>200</v>
      </c>
      <c r="AF141" s="46">
        <v>200</v>
      </c>
      <c r="AG141" s="46">
        <v>200</v>
      </c>
      <c r="AH141" s="46">
        <v>200</v>
      </c>
      <c r="AI141" s="46">
        <v>200</v>
      </c>
      <c r="AJ141" s="46">
        <v>200</v>
      </c>
      <c r="AK141" s="47">
        <f t="shared" si="27"/>
        <v>2400</v>
      </c>
      <c r="AL141" s="46">
        <v>200</v>
      </c>
      <c r="AM141" s="46">
        <v>200</v>
      </c>
      <c r="AN141" s="46">
        <v>200</v>
      </c>
      <c r="AO141" s="46">
        <v>200</v>
      </c>
      <c r="AP141" s="46">
        <v>200</v>
      </c>
      <c r="AQ141" s="46">
        <v>200</v>
      </c>
      <c r="AR141" s="46">
        <v>200</v>
      </c>
      <c r="AS141" s="46">
        <v>200</v>
      </c>
      <c r="AT141" s="46">
        <v>200</v>
      </c>
      <c r="AU141" s="46">
        <v>200</v>
      </c>
      <c r="AV141" s="46">
        <v>200</v>
      </c>
      <c r="AW141" s="46">
        <v>200</v>
      </c>
      <c r="AX141" s="47">
        <f t="shared" si="28"/>
        <v>2400</v>
      </c>
      <c r="AY141" s="313">
        <f>SUMIF(Recibos!$D$4:$D$7493,Cobranza!$B141,Recibos!K$4:K$7493)</f>
        <v>200</v>
      </c>
      <c r="AZ141" s="313">
        <f>SUMIF(Recibos!$D$4:$D$7493,Cobranza!$B141,Recibos!L$4:L$7493)</f>
        <v>200</v>
      </c>
      <c r="BA141" s="313">
        <f>SUMIF(Recibos!$D$4:$D$7493,Cobranza!$B141,Recibos!M$4:M$7493)</f>
        <v>200</v>
      </c>
      <c r="BB141" s="313">
        <f>SUMIF(Recibos!$D$4:$D$7493,Cobranza!$B141,Recibos!N$4:N$7493)</f>
        <v>200</v>
      </c>
      <c r="BC141" s="313">
        <f>SUMIF(Recibos!$D$4:$D$7493,Cobranza!$B141,Recibos!O$4:O$7493)</f>
        <v>200</v>
      </c>
      <c r="BD141" s="313">
        <f>SUMIF(Recibos!$D$4:$D$7493,Cobranza!$B141,Recibos!P$4:P$7493)</f>
        <v>200</v>
      </c>
      <c r="BE141" s="313">
        <f>SUMIF(Recibos!$D$4:$D$7493,Cobranza!$B141,Recibos!Q$4:Q$7493)</f>
        <v>200</v>
      </c>
      <c r="BF141" s="313">
        <f>SUMIF(Recibos!$D$4:$D$7493,Cobranza!$B141,Recibos!R$4:R$7493)</f>
        <v>200</v>
      </c>
      <c r="BG141" s="313">
        <f>SUMIF(Recibos!$D$4:$D$7493,Cobranza!$B141,Recibos!S$4:S$7493)</f>
        <v>200</v>
      </c>
      <c r="BH141" s="313">
        <f>SUMIF(Recibos!$D$4:$D$7493,Cobranza!$B141,Recibos!T$4:T$7493)</f>
        <v>200</v>
      </c>
      <c r="BI141" s="313">
        <f>SUMIF(Recibos!$D$4:$D$7493,Cobranza!$B141,Recibos!U$4:U$7493)</f>
        <v>200</v>
      </c>
      <c r="BJ141" s="313">
        <f>SUMIF(Recibos!$D$4:$D$7493,Cobranza!$B141,Recibos!V$4:V$7493)</f>
        <v>200</v>
      </c>
      <c r="BK141" s="314">
        <f t="shared" si="15"/>
        <v>2400</v>
      </c>
      <c r="BL141" s="313">
        <f>SUMIF(Recibos!$D$4:$D$7493,Cobranza!$B141,Recibos!X$4:X$7493)</f>
        <v>200</v>
      </c>
      <c r="BM141" s="313">
        <f>SUMIF(Recibos!$D$4:$D$7493,Cobranza!$B141,Recibos!Y$4:Y$7493)</f>
        <v>200</v>
      </c>
      <c r="BN141" s="313">
        <f>SUMIF(Recibos!$D$4:$D$7493,Cobranza!$B141,Recibos!Z$4:Z$7493)</f>
        <v>200</v>
      </c>
      <c r="BO141" s="313">
        <f>SUMIF(Recibos!$D$4:$D$7493,Cobranza!$B141,Recibos!AA$4:AA$7493)</f>
        <v>200</v>
      </c>
      <c r="BP141" s="313">
        <f>SUMIF(Recibos!$D$4:$D$7493,Cobranza!$B141,Recibos!AB$4:AB$7493)</f>
        <v>200</v>
      </c>
      <c r="BQ141" s="313">
        <f>SUMIF(Recibos!$D$4:$D$7493,Cobranza!$B141,Recibos!AC$4:AC$7493)</f>
        <v>200</v>
      </c>
      <c r="BR141" s="313">
        <f>SUMIF(Recibos!$D$4:$D$7493,Cobranza!$B141,Recibos!AD$4:AD$7493)</f>
        <v>200</v>
      </c>
      <c r="BS141" s="313">
        <f>SUMIF(Recibos!$D$4:$D$7493,Cobranza!$B141,Recibos!AE$4:AE$7493)</f>
        <v>200</v>
      </c>
      <c r="BT141" s="313">
        <f>SUMIF(Recibos!$D$4:$D$7493,Cobranza!$B141,Recibos!AF$4:AF$7493)</f>
        <v>200</v>
      </c>
      <c r="BU141" s="313">
        <f>SUMIF(Recibos!$D$4:$D$7493,Cobranza!$B141,Recibos!AG$4:AG$7493)</f>
        <v>200</v>
      </c>
      <c r="BV141" s="313">
        <f>SUMIF(Recibos!$D$4:$D$7493,Cobranza!$B141,Recibos!AH$4:AH$7493)</f>
        <v>200</v>
      </c>
      <c r="BW141" s="313">
        <f>SUMIF(Recibos!$D$4:$D$7493,Cobranza!$B141,Recibos!AI$4:AI$7493)</f>
        <v>200</v>
      </c>
      <c r="BX141" s="314">
        <f t="shared" si="16"/>
        <v>2400</v>
      </c>
      <c r="BY141" s="313">
        <f>SUMIF(Recibos!$D$4:$D$7493,Cobranza!$B141,Recibos!AK$4:AK$7493)</f>
        <v>200</v>
      </c>
      <c r="BZ141" s="313">
        <f>SUMIF(Recibos!$D$4:$D$7493,Cobranza!$B141,Recibos!AL$4:AL$7493)</f>
        <v>200</v>
      </c>
      <c r="CA141" s="313">
        <f>SUMIF(Recibos!$D$4:$D$7493,Cobranza!$B141,Recibos!AM$4:AM$7493)</f>
        <v>200</v>
      </c>
      <c r="CB141" s="313">
        <f>SUMIF(Recibos!$D$4:$D$7493,Cobranza!$B141,Recibos!AN$4:AN$7493)</f>
        <v>200</v>
      </c>
      <c r="CC141" s="313">
        <f>SUMIF(Recibos!$D$4:$D$7493,Cobranza!$B141,Recibos!AO$4:AO$7493)</f>
        <v>200</v>
      </c>
      <c r="CD141" s="313">
        <f>SUMIF(Recibos!$D$4:$D$7493,Cobranza!$B141,Recibos!AP$4:AP$7493)</f>
        <v>200</v>
      </c>
      <c r="CE141" s="313">
        <f>SUMIF(Recibos!$D$4:$D$7493,Cobranza!$B141,Recibos!AQ$4:AQ$7493)</f>
        <v>200</v>
      </c>
      <c r="CF141" s="313">
        <f>SUMIF(Recibos!$D$4:$D$7493,Cobranza!$B141,Recibos!AR$4:AR$7493)</f>
        <v>200</v>
      </c>
      <c r="CG141" s="313">
        <f>SUMIF(Recibos!$D$4:$D$7493,Cobranza!$B141,Recibos!AS$4:AS$7493)</f>
        <v>200</v>
      </c>
      <c r="CH141" s="313">
        <f>SUMIF(Recibos!$D$4:$D$7493,Cobranza!$B141,Recibos!AT$4:AT$7493)</f>
        <v>200</v>
      </c>
      <c r="CI141" s="313">
        <f>SUMIF(Recibos!$D$4:$D$7493,Cobranza!$B141,Recibos!AU$4:AU$7493)</f>
        <v>0</v>
      </c>
      <c r="CJ141" s="313">
        <f>SUMIF(Recibos!$D$4:$D$7493,Cobranza!$B141,Recibos!AV$4:AV$7493)</f>
        <v>0</v>
      </c>
      <c r="CK141" s="314">
        <f t="shared" si="24"/>
        <v>2000</v>
      </c>
    </row>
    <row r="142" spans="2:89" x14ac:dyDescent="0.2">
      <c r="B142" s="42" t="s">
        <v>571</v>
      </c>
      <c r="C142" s="42" t="s">
        <v>572</v>
      </c>
      <c r="D142" s="42" t="s">
        <v>573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4">
        <f t="shared" si="25"/>
        <v>0</v>
      </c>
      <c r="L142" s="43">
        <v>150</v>
      </c>
      <c r="M142" s="43">
        <v>150</v>
      </c>
      <c r="N142" s="43">
        <v>150</v>
      </c>
      <c r="O142" s="43">
        <v>150</v>
      </c>
      <c r="P142" s="43">
        <v>150</v>
      </c>
      <c r="Q142" s="43">
        <v>150</v>
      </c>
      <c r="R142" s="43">
        <v>150</v>
      </c>
      <c r="S142" s="43">
        <v>150</v>
      </c>
      <c r="T142" s="43">
        <v>150</v>
      </c>
      <c r="U142" s="43">
        <v>200</v>
      </c>
      <c r="V142" s="43">
        <v>400</v>
      </c>
      <c r="W142" s="43">
        <v>400</v>
      </c>
      <c r="X142" s="44">
        <f t="shared" si="26"/>
        <v>2350</v>
      </c>
      <c r="Y142" s="43">
        <v>400</v>
      </c>
      <c r="Z142" s="43">
        <v>400</v>
      </c>
      <c r="AA142" s="43">
        <v>200</v>
      </c>
      <c r="AB142" s="43">
        <v>200</v>
      </c>
      <c r="AC142" s="43">
        <v>200</v>
      </c>
      <c r="AD142" s="43">
        <v>0</v>
      </c>
      <c r="AE142" s="43">
        <v>0</v>
      </c>
      <c r="AF142" s="43">
        <v>0</v>
      </c>
      <c r="AG142" s="43">
        <v>0</v>
      </c>
      <c r="AH142" s="43">
        <v>200</v>
      </c>
      <c r="AI142" s="43">
        <v>200</v>
      </c>
      <c r="AJ142" s="43">
        <v>200</v>
      </c>
      <c r="AK142" s="44">
        <f t="shared" si="27"/>
        <v>2000</v>
      </c>
      <c r="AL142" s="43">
        <v>200</v>
      </c>
      <c r="AM142" s="43">
        <v>200</v>
      </c>
      <c r="AN142" s="43">
        <v>200</v>
      </c>
      <c r="AO142" s="43">
        <v>200</v>
      </c>
      <c r="AP142" s="43">
        <v>200</v>
      </c>
      <c r="AQ142" s="43">
        <v>200</v>
      </c>
      <c r="AR142" s="43">
        <v>200</v>
      </c>
      <c r="AS142" s="43">
        <v>200</v>
      </c>
      <c r="AT142" s="43">
        <v>200</v>
      </c>
      <c r="AU142" s="43">
        <v>200</v>
      </c>
      <c r="AV142" s="43">
        <v>200</v>
      </c>
      <c r="AW142" s="43">
        <v>200</v>
      </c>
      <c r="AX142" s="44">
        <f t="shared" si="28"/>
        <v>2400</v>
      </c>
      <c r="AY142" s="311">
        <f>SUMIF(Recibos!$D$4:$D$7493,Cobranza!$B142,Recibos!K$4:K$7493)</f>
        <v>200</v>
      </c>
      <c r="AZ142" s="311">
        <f>SUMIF(Recibos!$D$4:$D$7493,Cobranza!$B142,Recibos!L$4:L$7493)</f>
        <v>200</v>
      </c>
      <c r="BA142" s="311">
        <f>SUMIF(Recibos!$D$4:$D$7493,Cobranza!$B142,Recibos!M$4:M$7493)</f>
        <v>200</v>
      </c>
      <c r="BB142" s="311">
        <f>SUMIF(Recibos!$D$4:$D$7493,Cobranza!$B142,Recibos!N$4:N$7493)</f>
        <v>200</v>
      </c>
      <c r="BC142" s="311">
        <f>SUMIF(Recibos!$D$4:$D$7493,Cobranza!$B142,Recibos!O$4:O$7493)</f>
        <v>200</v>
      </c>
      <c r="BD142" s="311">
        <f>SUMIF(Recibos!$D$4:$D$7493,Cobranza!$B142,Recibos!P$4:P$7493)</f>
        <v>200</v>
      </c>
      <c r="BE142" s="311">
        <f>SUMIF(Recibos!$D$4:$D$7493,Cobranza!$B142,Recibos!Q$4:Q$7493)</f>
        <v>200</v>
      </c>
      <c r="BF142" s="311">
        <f>SUMIF(Recibos!$D$4:$D$7493,Cobranza!$B142,Recibos!R$4:R$7493)</f>
        <v>200</v>
      </c>
      <c r="BG142" s="311">
        <f>SUMIF(Recibos!$D$4:$D$7493,Cobranza!$B142,Recibos!S$4:S$7493)</f>
        <v>200</v>
      </c>
      <c r="BH142" s="311">
        <f>SUMIF(Recibos!$D$4:$D$7493,Cobranza!$B142,Recibos!T$4:T$7493)</f>
        <v>200</v>
      </c>
      <c r="BI142" s="311">
        <f>SUMIF(Recibos!$D$4:$D$7493,Cobranza!$B142,Recibos!U$4:U$7493)</f>
        <v>200</v>
      </c>
      <c r="BJ142" s="311">
        <f>SUMIF(Recibos!$D$4:$D$7493,Cobranza!$B142,Recibos!V$4:V$7493)</f>
        <v>200</v>
      </c>
      <c r="BK142" s="312">
        <f t="shared" si="15"/>
        <v>2400</v>
      </c>
      <c r="BL142" s="311">
        <f>SUMIF(Recibos!$D$4:$D$7493,Cobranza!$B142,Recibos!X$4:X$7493)</f>
        <v>200</v>
      </c>
      <c r="BM142" s="311">
        <f>SUMIF(Recibos!$D$4:$D$7493,Cobranza!$B142,Recibos!Y$4:Y$7493)</f>
        <v>200</v>
      </c>
      <c r="BN142" s="311">
        <f>SUMIF(Recibos!$D$4:$D$7493,Cobranza!$B142,Recibos!Z$4:Z$7493)</f>
        <v>200</v>
      </c>
      <c r="BO142" s="311">
        <f>SUMIF(Recibos!$D$4:$D$7493,Cobranza!$B142,Recibos!AA$4:AA$7493)</f>
        <v>200</v>
      </c>
      <c r="BP142" s="311">
        <f>SUMIF(Recibos!$D$4:$D$7493,Cobranza!$B142,Recibos!AB$4:AB$7493)</f>
        <v>200</v>
      </c>
      <c r="BQ142" s="311">
        <f>SUMIF(Recibos!$D$4:$D$7493,Cobranza!$B142,Recibos!AC$4:AC$7493)</f>
        <v>200</v>
      </c>
      <c r="BR142" s="311">
        <f>SUMIF(Recibos!$D$4:$D$7493,Cobranza!$B142,Recibos!AD$4:AD$7493)</f>
        <v>200</v>
      </c>
      <c r="BS142" s="311">
        <f>SUMIF(Recibos!$D$4:$D$7493,Cobranza!$B142,Recibos!AE$4:AE$7493)</f>
        <v>200</v>
      </c>
      <c r="BT142" s="311">
        <f>SUMIF(Recibos!$D$4:$D$7493,Cobranza!$B142,Recibos!AF$4:AF$7493)</f>
        <v>200</v>
      </c>
      <c r="BU142" s="311">
        <f>SUMIF(Recibos!$D$4:$D$7493,Cobranza!$B142,Recibos!AG$4:AG$7493)</f>
        <v>200</v>
      </c>
      <c r="BV142" s="311">
        <f>SUMIF(Recibos!$D$4:$D$7493,Cobranza!$B142,Recibos!AH$4:AH$7493)</f>
        <v>200</v>
      </c>
      <c r="BW142" s="311">
        <f>SUMIF(Recibos!$D$4:$D$7493,Cobranza!$B142,Recibos!AI$4:AI$7493)</f>
        <v>200</v>
      </c>
      <c r="BX142" s="312">
        <f t="shared" si="16"/>
        <v>2400</v>
      </c>
      <c r="BY142" s="311">
        <f>SUMIF(Recibos!$D$4:$D$7493,Cobranza!$B142,Recibos!AK$4:AK$7493)</f>
        <v>200</v>
      </c>
      <c r="BZ142" s="311">
        <f>SUMIF(Recibos!$D$4:$D$7493,Cobranza!$B142,Recibos!AL$4:AL$7493)</f>
        <v>200</v>
      </c>
      <c r="CA142" s="311">
        <f>SUMIF(Recibos!$D$4:$D$7493,Cobranza!$B142,Recibos!AM$4:AM$7493)</f>
        <v>200</v>
      </c>
      <c r="CB142" s="311">
        <f>SUMIF(Recibos!$D$4:$D$7493,Cobranza!$B142,Recibos!AN$4:AN$7493)</f>
        <v>200</v>
      </c>
      <c r="CC142" s="311">
        <f>SUMIF(Recibos!$D$4:$D$7493,Cobranza!$B142,Recibos!AO$4:AO$7493)</f>
        <v>200</v>
      </c>
      <c r="CD142" s="311">
        <f>SUMIF(Recibos!$D$4:$D$7493,Cobranza!$B142,Recibos!AP$4:AP$7493)</f>
        <v>200</v>
      </c>
      <c r="CE142" s="311">
        <f>SUMIF(Recibos!$D$4:$D$7493,Cobranza!$B142,Recibos!AQ$4:AQ$7493)</f>
        <v>200</v>
      </c>
      <c r="CF142" s="311">
        <f>SUMIF(Recibos!$D$4:$D$7493,Cobranza!$B142,Recibos!AR$4:AR$7493)</f>
        <v>200</v>
      </c>
      <c r="CG142" s="311">
        <f>SUMIF(Recibos!$D$4:$D$7493,Cobranza!$B142,Recibos!AS$4:AS$7493)</f>
        <v>200</v>
      </c>
      <c r="CH142" s="311">
        <f>SUMIF(Recibos!$D$4:$D$7493,Cobranza!$B142,Recibos!AT$4:AT$7493)</f>
        <v>0</v>
      </c>
      <c r="CI142" s="311">
        <f>SUMIF(Recibos!$D$4:$D$7493,Cobranza!$B142,Recibos!AU$4:AU$7493)</f>
        <v>0</v>
      </c>
      <c r="CJ142" s="311">
        <f>SUMIF(Recibos!$D$4:$D$7493,Cobranza!$B142,Recibos!AV$4:AV$7493)</f>
        <v>0</v>
      </c>
      <c r="CK142" s="312">
        <f t="shared" si="24"/>
        <v>1800</v>
      </c>
    </row>
    <row r="143" spans="2:89" x14ac:dyDescent="0.2">
      <c r="B143" s="45" t="s">
        <v>1151</v>
      </c>
      <c r="C143" s="45" t="s">
        <v>1152</v>
      </c>
      <c r="D143" s="45" t="s">
        <v>1153</v>
      </c>
      <c r="E143" s="46">
        <v>0</v>
      </c>
      <c r="F143" s="46">
        <v>0</v>
      </c>
      <c r="G143" s="46">
        <v>0</v>
      </c>
      <c r="H143" s="46">
        <v>0</v>
      </c>
      <c r="I143" s="46">
        <v>0</v>
      </c>
      <c r="J143" s="46">
        <v>0</v>
      </c>
      <c r="K143" s="47">
        <f t="shared" si="25"/>
        <v>0</v>
      </c>
      <c r="L143" s="46">
        <v>150</v>
      </c>
      <c r="M143" s="46">
        <v>150</v>
      </c>
      <c r="N143" s="46">
        <v>150</v>
      </c>
      <c r="O143" s="46">
        <v>150</v>
      </c>
      <c r="P143" s="46">
        <v>150</v>
      </c>
      <c r="Q143" s="46">
        <v>150</v>
      </c>
      <c r="R143" s="46">
        <v>150</v>
      </c>
      <c r="S143" s="46">
        <v>150</v>
      </c>
      <c r="T143" s="46">
        <v>150</v>
      </c>
      <c r="U143" s="46">
        <v>150</v>
      </c>
      <c r="V143" s="46">
        <v>150</v>
      </c>
      <c r="W143" s="46">
        <v>0</v>
      </c>
      <c r="X143" s="47">
        <f t="shared" si="26"/>
        <v>1650</v>
      </c>
      <c r="Y143" s="46">
        <v>0</v>
      </c>
      <c r="Z143" s="46">
        <v>0</v>
      </c>
      <c r="AA143" s="46">
        <v>0</v>
      </c>
      <c r="AB143" s="46">
        <v>0</v>
      </c>
      <c r="AC143" s="46">
        <v>0</v>
      </c>
      <c r="AD143" s="46">
        <v>0</v>
      </c>
      <c r="AE143" s="46">
        <v>0</v>
      </c>
      <c r="AF143" s="46">
        <v>0</v>
      </c>
      <c r="AG143" s="46">
        <v>0</v>
      </c>
      <c r="AH143" s="46">
        <v>0</v>
      </c>
      <c r="AI143" s="46">
        <v>0</v>
      </c>
      <c r="AJ143" s="46">
        <v>0</v>
      </c>
      <c r="AK143" s="47">
        <f t="shared" si="27"/>
        <v>0</v>
      </c>
      <c r="AL143" s="46">
        <v>0</v>
      </c>
      <c r="AM143" s="46">
        <v>0</v>
      </c>
      <c r="AN143" s="46">
        <v>0</v>
      </c>
      <c r="AO143" s="46">
        <v>0</v>
      </c>
      <c r="AP143" s="46">
        <v>0</v>
      </c>
      <c r="AQ143" s="46">
        <v>0</v>
      </c>
      <c r="AR143" s="46">
        <v>0</v>
      </c>
      <c r="AS143" s="46">
        <v>0</v>
      </c>
      <c r="AT143" s="46">
        <v>0</v>
      </c>
      <c r="AU143" s="46">
        <v>0</v>
      </c>
      <c r="AV143" s="46">
        <v>0</v>
      </c>
      <c r="AW143" s="46">
        <v>0</v>
      </c>
      <c r="AX143" s="47">
        <f t="shared" si="28"/>
        <v>0</v>
      </c>
      <c r="AY143" s="313">
        <f>SUMIF(Recibos!$D$4:$D$7493,Cobranza!$B143,Recibos!K$4:K$7493)</f>
        <v>0</v>
      </c>
      <c r="AZ143" s="313">
        <f>SUMIF(Recibos!$D$4:$D$7493,Cobranza!$B143,Recibos!L$4:L$7493)</f>
        <v>0</v>
      </c>
      <c r="BA143" s="313">
        <f>SUMIF(Recibos!$D$4:$D$7493,Cobranza!$B143,Recibos!M$4:M$7493)</f>
        <v>0</v>
      </c>
      <c r="BB143" s="313">
        <f>SUMIF(Recibos!$D$4:$D$7493,Cobranza!$B143,Recibos!N$4:N$7493)</f>
        <v>0</v>
      </c>
      <c r="BC143" s="313">
        <f>SUMIF(Recibos!$D$4:$D$7493,Cobranza!$B143,Recibos!O$4:O$7493)</f>
        <v>0</v>
      </c>
      <c r="BD143" s="313">
        <f>SUMIF(Recibos!$D$4:$D$7493,Cobranza!$B143,Recibos!P$4:P$7493)</f>
        <v>0</v>
      </c>
      <c r="BE143" s="313">
        <f>SUMIF(Recibos!$D$4:$D$7493,Cobranza!$B143,Recibos!Q$4:Q$7493)</f>
        <v>0</v>
      </c>
      <c r="BF143" s="313">
        <f>SUMIF(Recibos!$D$4:$D$7493,Cobranza!$B143,Recibos!R$4:R$7493)</f>
        <v>100</v>
      </c>
      <c r="BG143" s="313">
        <f>SUMIF(Recibos!$D$4:$D$7493,Cobranza!$B143,Recibos!S$4:S$7493)</f>
        <v>100</v>
      </c>
      <c r="BH143" s="313">
        <f>SUMIF(Recibos!$D$4:$D$7493,Cobranza!$B143,Recibos!T$4:T$7493)</f>
        <v>100</v>
      </c>
      <c r="BI143" s="313">
        <f>SUMIF(Recibos!$D$4:$D$7493,Cobranza!$B143,Recibos!U$4:U$7493)</f>
        <v>100</v>
      </c>
      <c r="BJ143" s="313">
        <f>SUMIF(Recibos!$D$4:$D$7493,Cobranza!$B143,Recibos!V$4:V$7493)</f>
        <v>100</v>
      </c>
      <c r="BK143" s="314">
        <f t="shared" si="15"/>
        <v>500</v>
      </c>
      <c r="BL143" s="313">
        <f>SUMIF(Recibos!$D$4:$D$7493,Cobranza!$B143,Recibos!X$4:X$7493)</f>
        <v>0</v>
      </c>
      <c r="BM143" s="313">
        <f>SUMIF(Recibos!$D$4:$D$7493,Cobranza!$B143,Recibos!Y$4:Y$7493)</f>
        <v>0</v>
      </c>
      <c r="BN143" s="313">
        <f>SUMIF(Recibos!$D$4:$D$7493,Cobranza!$B143,Recibos!Z$4:Z$7493)</f>
        <v>0</v>
      </c>
      <c r="BO143" s="313">
        <f>SUMIF(Recibos!$D$4:$D$7493,Cobranza!$B143,Recibos!AA$4:AA$7493)</f>
        <v>0</v>
      </c>
      <c r="BP143" s="313">
        <f>SUMIF(Recibos!$D$4:$D$7493,Cobranza!$B143,Recibos!AB$4:AB$7493)</f>
        <v>0</v>
      </c>
      <c r="BQ143" s="313">
        <f>SUMIF(Recibos!$D$4:$D$7493,Cobranza!$B143,Recibos!AC$4:AC$7493)</f>
        <v>0</v>
      </c>
      <c r="BR143" s="313">
        <f>SUMIF(Recibos!$D$4:$D$7493,Cobranza!$B143,Recibos!AD$4:AD$7493)</f>
        <v>0</v>
      </c>
      <c r="BS143" s="313">
        <f>SUMIF(Recibos!$D$4:$D$7493,Cobranza!$B143,Recibos!AE$4:AE$7493)</f>
        <v>0</v>
      </c>
      <c r="BT143" s="313">
        <f>SUMIF(Recibos!$D$4:$D$7493,Cobranza!$B143,Recibos!AF$4:AF$7493)</f>
        <v>0</v>
      </c>
      <c r="BU143" s="313">
        <f>SUMIF(Recibos!$D$4:$D$7493,Cobranza!$B143,Recibos!AG$4:AG$7493)</f>
        <v>0</v>
      </c>
      <c r="BV143" s="313">
        <f>SUMIF(Recibos!$D$4:$D$7493,Cobranza!$B143,Recibos!AH$4:AH$7493)</f>
        <v>0</v>
      </c>
      <c r="BW143" s="313">
        <f>SUMIF(Recibos!$D$4:$D$7493,Cobranza!$B143,Recibos!AI$4:AI$7493)</f>
        <v>0</v>
      </c>
      <c r="BX143" s="314">
        <f t="shared" si="16"/>
        <v>0</v>
      </c>
      <c r="BY143" s="313">
        <f>SUMIF(Recibos!$D$4:$D$7493,Cobranza!$B143,Recibos!AK$4:AK$7493)</f>
        <v>0</v>
      </c>
      <c r="BZ143" s="313">
        <f>SUMIF(Recibos!$D$4:$D$7493,Cobranza!$B143,Recibos!AL$4:AL$7493)</f>
        <v>0</v>
      </c>
      <c r="CA143" s="313">
        <f>SUMIF(Recibos!$D$4:$D$7493,Cobranza!$B143,Recibos!AM$4:AM$7493)</f>
        <v>0</v>
      </c>
      <c r="CB143" s="313">
        <f>SUMIF(Recibos!$D$4:$D$7493,Cobranza!$B143,Recibos!AN$4:AN$7493)</f>
        <v>0</v>
      </c>
      <c r="CC143" s="313">
        <f>SUMIF(Recibos!$D$4:$D$7493,Cobranza!$B143,Recibos!AO$4:AO$7493)</f>
        <v>0</v>
      </c>
      <c r="CD143" s="313">
        <f>SUMIF(Recibos!$D$4:$D$7493,Cobranza!$B143,Recibos!AP$4:AP$7493)</f>
        <v>0</v>
      </c>
      <c r="CE143" s="313">
        <f>SUMIF(Recibos!$D$4:$D$7493,Cobranza!$B143,Recibos!AQ$4:AQ$7493)</f>
        <v>0</v>
      </c>
      <c r="CF143" s="313">
        <f>SUMIF(Recibos!$D$4:$D$7493,Cobranza!$B143,Recibos!AR$4:AR$7493)</f>
        <v>0</v>
      </c>
      <c r="CG143" s="313">
        <f>SUMIF(Recibos!$D$4:$D$7493,Cobranza!$B143,Recibos!AS$4:AS$7493)</f>
        <v>0</v>
      </c>
      <c r="CH143" s="313">
        <f>SUMIF(Recibos!$D$4:$D$7493,Cobranza!$B143,Recibos!AT$4:AT$7493)</f>
        <v>0</v>
      </c>
      <c r="CI143" s="313">
        <f>SUMIF(Recibos!$D$4:$D$7493,Cobranza!$B143,Recibos!AU$4:AU$7493)</f>
        <v>0</v>
      </c>
      <c r="CJ143" s="313">
        <f>SUMIF(Recibos!$D$4:$D$7493,Cobranza!$B143,Recibos!AV$4:AV$7493)</f>
        <v>0</v>
      </c>
      <c r="CK143" s="314">
        <f t="shared" si="24"/>
        <v>0</v>
      </c>
    </row>
    <row r="144" spans="2:89" x14ac:dyDescent="0.2">
      <c r="B144" s="42" t="s">
        <v>289</v>
      </c>
      <c r="C144" s="42" t="s">
        <v>290</v>
      </c>
      <c r="D144" s="42" t="s">
        <v>291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4">
        <f t="shared" si="25"/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4">
        <f t="shared" si="26"/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4">
        <f t="shared" si="27"/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250</v>
      </c>
      <c r="AU144" s="43">
        <v>250</v>
      </c>
      <c r="AV144" s="43">
        <v>250</v>
      </c>
      <c r="AW144" s="43">
        <v>250</v>
      </c>
      <c r="AX144" s="44">
        <f t="shared" si="28"/>
        <v>1000</v>
      </c>
      <c r="AY144" s="311">
        <f>SUMIF(Recibos!$D$4:$D$7493,Cobranza!$B144,Recibos!K$4:K$7493)</f>
        <v>250</v>
      </c>
      <c r="AZ144" s="311">
        <f>SUMIF(Recibos!$D$4:$D$7493,Cobranza!$B144,Recibos!L$4:L$7493)</f>
        <v>250</v>
      </c>
      <c r="BA144" s="311">
        <f>SUMIF(Recibos!$D$4:$D$7493,Cobranza!$B144,Recibos!M$4:M$7493)</f>
        <v>250</v>
      </c>
      <c r="BB144" s="311">
        <f>SUMIF(Recibos!$D$4:$D$7493,Cobranza!$B144,Recibos!N$4:N$7493)</f>
        <v>250</v>
      </c>
      <c r="BC144" s="311">
        <f>SUMIF(Recibos!$D$4:$D$7493,Cobranza!$B144,Recibos!O$4:O$7493)</f>
        <v>250</v>
      </c>
      <c r="BD144" s="311">
        <f>SUMIF(Recibos!$D$4:$D$7493,Cobranza!$B144,Recibos!P$4:P$7493)</f>
        <v>250</v>
      </c>
      <c r="BE144" s="311">
        <f>SUMIF(Recibos!$D$4:$D$7493,Cobranza!$B144,Recibos!Q$4:Q$7493)</f>
        <v>250</v>
      </c>
      <c r="BF144" s="311">
        <f>SUMIF(Recibos!$D$4:$D$7493,Cobranza!$B144,Recibos!R$4:R$7493)</f>
        <v>250</v>
      </c>
      <c r="BG144" s="311">
        <f>SUMIF(Recibos!$D$4:$D$7493,Cobranza!$B144,Recibos!S$4:S$7493)</f>
        <v>250</v>
      </c>
      <c r="BH144" s="311">
        <f>SUMIF(Recibos!$D$4:$D$7493,Cobranza!$B144,Recibos!T$4:T$7493)</f>
        <v>250</v>
      </c>
      <c r="BI144" s="311">
        <f>SUMIF(Recibos!$D$4:$D$7493,Cobranza!$B144,Recibos!U$4:U$7493)</f>
        <v>250</v>
      </c>
      <c r="BJ144" s="311">
        <f>SUMIF(Recibos!$D$4:$D$7493,Cobranza!$B144,Recibos!V$4:V$7493)</f>
        <v>0</v>
      </c>
      <c r="BK144" s="312">
        <f t="shared" si="15"/>
        <v>2750</v>
      </c>
      <c r="BL144" s="311">
        <f>SUMIF(Recibos!$D$4:$D$7493,Cobranza!$B144,Recibos!X$4:X$7493)</f>
        <v>200</v>
      </c>
      <c r="BM144" s="311">
        <f>SUMIF(Recibos!$D$4:$D$7493,Cobranza!$B144,Recibos!Y$4:Y$7493)</f>
        <v>200</v>
      </c>
      <c r="BN144" s="311">
        <f>SUMIF(Recibos!$D$4:$D$7493,Cobranza!$B144,Recibos!Z$4:Z$7493)</f>
        <v>200</v>
      </c>
      <c r="BO144" s="311">
        <f>SUMIF(Recibos!$D$4:$D$7493,Cobranza!$B144,Recibos!AA$4:AA$7493)</f>
        <v>200</v>
      </c>
      <c r="BP144" s="311">
        <f>SUMIF(Recibos!$D$4:$D$7493,Cobranza!$B144,Recibos!AB$4:AB$7493)</f>
        <v>200</v>
      </c>
      <c r="BQ144" s="311">
        <f>SUMIF(Recibos!$D$4:$D$7493,Cobranza!$B144,Recibos!AC$4:AC$7493)</f>
        <v>200</v>
      </c>
      <c r="BR144" s="311">
        <f>SUMIF(Recibos!$D$4:$D$7493,Cobranza!$B144,Recibos!AD$4:AD$7493)</f>
        <v>200</v>
      </c>
      <c r="BS144" s="311">
        <f>SUMIF(Recibos!$D$4:$D$7493,Cobranza!$B144,Recibos!AE$4:AE$7493)</f>
        <v>200</v>
      </c>
      <c r="BT144" s="311">
        <f>SUMIF(Recibos!$D$4:$D$7493,Cobranza!$B144,Recibos!AF$4:AF$7493)</f>
        <v>200</v>
      </c>
      <c r="BU144" s="311">
        <f>SUMIF(Recibos!$D$4:$D$7493,Cobranza!$B144,Recibos!AG$4:AG$7493)</f>
        <v>200</v>
      </c>
      <c r="BV144" s="311">
        <f>SUMIF(Recibos!$D$4:$D$7493,Cobranza!$B144,Recibos!AH$4:AH$7493)</f>
        <v>200</v>
      </c>
      <c r="BW144" s="311">
        <f>SUMIF(Recibos!$D$4:$D$7493,Cobranza!$B144,Recibos!AI$4:AI$7493)</f>
        <v>0</v>
      </c>
      <c r="BX144" s="312">
        <f t="shared" si="16"/>
        <v>2200</v>
      </c>
      <c r="BY144" s="311">
        <f>SUMIF(Recibos!$D$4:$D$7493,Cobranza!$B144,Recibos!AK$4:AK$7493)</f>
        <v>200</v>
      </c>
      <c r="BZ144" s="311">
        <f>SUMIF(Recibos!$D$4:$D$7493,Cobranza!$B144,Recibos!AL$4:AL$7493)</f>
        <v>200</v>
      </c>
      <c r="CA144" s="311">
        <f>SUMIF(Recibos!$D$4:$D$7493,Cobranza!$B144,Recibos!AM$4:AM$7493)</f>
        <v>200</v>
      </c>
      <c r="CB144" s="311">
        <f>SUMIF(Recibos!$D$4:$D$7493,Cobranza!$B144,Recibos!AN$4:AN$7493)</f>
        <v>200</v>
      </c>
      <c r="CC144" s="311">
        <f>SUMIF(Recibos!$D$4:$D$7493,Cobranza!$B144,Recibos!AO$4:AO$7493)</f>
        <v>200</v>
      </c>
      <c r="CD144" s="311">
        <f>SUMIF(Recibos!$D$4:$D$7493,Cobranza!$B144,Recibos!AP$4:AP$7493)</f>
        <v>200</v>
      </c>
      <c r="CE144" s="311">
        <f>SUMIF(Recibos!$D$4:$D$7493,Cobranza!$B144,Recibos!AQ$4:AQ$7493)</f>
        <v>200</v>
      </c>
      <c r="CF144" s="311">
        <f>SUMIF(Recibos!$D$4:$D$7493,Cobranza!$B144,Recibos!AR$4:AR$7493)</f>
        <v>200</v>
      </c>
      <c r="CG144" s="311">
        <f>SUMIF(Recibos!$D$4:$D$7493,Cobranza!$B144,Recibos!AS$4:AS$7493)</f>
        <v>200</v>
      </c>
      <c r="CH144" s="311">
        <f>SUMIF(Recibos!$D$4:$D$7493,Cobranza!$B144,Recibos!AT$4:AT$7493)</f>
        <v>200</v>
      </c>
      <c r="CI144" s="311">
        <f>SUMIF(Recibos!$D$4:$D$7493,Cobranza!$B144,Recibos!AU$4:AU$7493)</f>
        <v>200</v>
      </c>
      <c r="CJ144" s="311">
        <f>SUMIF(Recibos!$D$4:$D$7493,Cobranza!$B144,Recibos!AV$4:AV$7493)</f>
        <v>0</v>
      </c>
      <c r="CK144" s="312">
        <f t="shared" si="24"/>
        <v>2200</v>
      </c>
    </row>
    <row r="145" spans="2:89" x14ac:dyDescent="0.2">
      <c r="B145" s="45" t="s">
        <v>911</v>
      </c>
      <c r="C145" s="45" t="s">
        <v>912</v>
      </c>
      <c r="D145" s="45" t="s">
        <v>397</v>
      </c>
      <c r="E145" s="46">
        <v>0</v>
      </c>
      <c r="F145" s="46">
        <v>0</v>
      </c>
      <c r="G145" s="46">
        <v>0</v>
      </c>
      <c r="H145" s="46">
        <v>0</v>
      </c>
      <c r="I145" s="46">
        <v>0</v>
      </c>
      <c r="J145" s="46">
        <v>300</v>
      </c>
      <c r="K145" s="47">
        <f t="shared" si="25"/>
        <v>300</v>
      </c>
      <c r="L145" s="46">
        <v>300</v>
      </c>
      <c r="M145" s="46">
        <v>300</v>
      </c>
      <c r="N145" s="46">
        <v>300</v>
      </c>
      <c r="O145" s="46">
        <v>300</v>
      </c>
      <c r="P145" s="46">
        <v>300</v>
      </c>
      <c r="Q145" s="46">
        <v>300</v>
      </c>
      <c r="R145" s="46">
        <v>300</v>
      </c>
      <c r="S145" s="46">
        <v>300</v>
      </c>
      <c r="T145" s="46">
        <v>300</v>
      </c>
      <c r="U145" s="46">
        <v>400</v>
      </c>
      <c r="V145" s="46">
        <v>400</v>
      </c>
      <c r="W145" s="46">
        <v>400</v>
      </c>
      <c r="X145" s="47">
        <f t="shared" si="26"/>
        <v>3900</v>
      </c>
      <c r="Y145" s="46">
        <v>400</v>
      </c>
      <c r="Z145" s="46">
        <v>400</v>
      </c>
      <c r="AA145" s="46">
        <v>400</v>
      </c>
      <c r="AB145" s="46">
        <v>400</v>
      </c>
      <c r="AC145" s="46">
        <v>400</v>
      </c>
      <c r="AD145" s="46">
        <v>400</v>
      </c>
      <c r="AE145" s="46">
        <v>400</v>
      </c>
      <c r="AF145" s="46">
        <v>400</v>
      </c>
      <c r="AG145" s="46">
        <v>400</v>
      </c>
      <c r="AH145" s="46">
        <v>400</v>
      </c>
      <c r="AI145" s="46">
        <v>400</v>
      </c>
      <c r="AJ145" s="46">
        <v>400</v>
      </c>
      <c r="AK145" s="47">
        <f t="shared" si="27"/>
        <v>4800</v>
      </c>
      <c r="AL145" s="46">
        <v>400</v>
      </c>
      <c r="AM145" s="46">
        <v>400</v>
      </c>
      <c r="AN145" s="46">
        <v>400</v>
      </c>
      <c r="AO145" s="46">
        <v>400</v>
      </c>
      <c r="AP145" s="46">
        <v>400</v>
      </c>
      <c r="AQ145" s="46">
        <v>400</v>
      </c>
      <c r="AR145" s="46">
        <v>400</v>
      </c>
      <c r="AS145" s="46">
        <v>400</v>
      </c>
      <c r="AT145" s="46">
        <v>300</v>
      </c>
      <c r="AU145" s="46">
        <v>300</v>
      </c>
      <c r="AV145" s="46">
        <v>300</v>
      </c>
      <c r="AW145" s="46">
        <v>300</v>
      </c>
      <c r="AX145" s="47">
        <f t="shared" si="28"/>
        <v>4400</v>
      </c>
      <c r="AY145" s="313">
        <f>SUMIF(Recibos!$D$4:$D$7493,Cobranza!$B145,Recibos!K$4:K$7493)</f>
        <v>400</v>
      </c>
      <c r="AZ145" s="313">
        <f>SUMIF(Recibos!$D$4:$D$7493,Cobranza!$B145,Recibos!L$4:L$7493)</f>
        <v>400</v>
      </c>
      <c r="BA145" s="313">
        <f>SUMIF(Recibos!$D$4:$D$7493,Cobranza!$B145,Recibos!M$4:M$7493)</f>
        <v>400</v>
      </c>
      <c r="BB145" s="313">
        <f>SUMIF(Recibos!$D$4:$D$7493,Cobranza!$B145,Recibos!N$4:N$7493)</f>
        <v>400</v>
      </c>
      <c r="BC145" s="313">
        <f>SUMIF(Recibos!$D$4:$D$7493,Cobranza!$B145,Recibos!O$4:O$7493)</f>
        <v>400</v>
      </c>
      <c r="BD145" s="313">
        <f>SUMIF(Recibos!$D$4:$D$7493,Cobranza!$B145,Recibos!P$4:P$7493)</f>
        <v>400</v>
      </c>
      <c r="BE145" s="313">
        <f>SUMIF(Recibos!$D$4:$D$7493,Cobranza!$B145,Recibos!Q$4:Q$7493)</f>
        <v>400</v>
      </c>
      <c r="BF145" s="313">
        <f>SUMIF(Recibos!$D$4:$D$7493,Cobranza!$B145,Recibos!R$4:R$7493)</f>
        <v>400</v>
      </c>
      <c r="BG145" s="313">
        <f>SUMIF(Recibos!$D$4:$D$7493,Cobranza!$B145,Recibos!S$4:S$7493)</f>
        <v>400</v>
      </c>
      <c r="BH145" s="313">
        <f>SUMIF(Recibos!$D$4:$D$7493,Cobranza!$B145,Recibos!T$4:T$7493)</f>
        <v>400</v>
      </c>
      <c r="BI145" s="313">
        <f>SUMIF(Recibos!$D$4:$D$7493,Cobranza!$B145,Recibos!U$4:U$7493)</f>
        <v>400</v>
      </c>
      <c r="BJ145" s="313">
        <f>SUMIF(Recibos!$D$4:$D$7493,Cobranza!$B145,Recibos!V$4:V$7493)</f>
        <v>400</v>
      </c>
      <c r="BK145" s="314">
        <f t="shared" si="15"/>
        <v>4800</v>
      </c>
      <c r="BL145" s="313">
        <f>SUMIF(Recibos!$D$4:$D$7493,Cobranza!$B145,Recibos!X$4:X$7493)</f>
        <v>400</v>
      </c>
      <c r="BM145" s="313">
        <f>SUMIF(Recibos!$D$4:$D$7493,Cobranza!$B145,Recibos!Y$4:Y$7493)</f>
        <v>400</v>
      </c>
      <c r="BN145" s="313">
        <f>SUMIF(Recibos!$D$4:$D$7493,Cobranza!$B145,Recibos!Z$4:Z$7493)</f>
        <v>400</v>
      </c>
      <c r="BO145" s="313">
        <f>SUMIF(Recibos!$D$4:$D$7493,Cobranza!$B145,Recibos!AA$4:AA$7493)</f>
        <v>400</v>
      </c>
      <c r="BP145" s="313">
        <f>SUMIF(Recibos!$D$4:$D$7493,Cobranza!$B145,Recibos!AB$4:AB$7493)</f>
        <v>400</v>
      </c>
      <c r="BQ145" s="313">
        <f>SUMIF(Recibos!$D$4:$D$7493,Cobranza!$B145,Recibos!AC$4:AC$7493)</f>
        <v>400</v>
      </c>
      <c r="BR145" s="313">
        <f>SUMIF(Recibos!$D$4:$D$7493,Cobranza!$B145,Recibos!AD$4:AD$7493)</f>
        <v>400</v>
      </c>
      <c r="BS145" s="313">
        <f>SUMIF(Recibos!$D$4:$D$7493,Cobranza!$B145,Recibos!AE$4:AE$7493)</f>
        <v>400</v>
      </c>
      <c r="BT145" s="313">
        <f>SUMIF(Recibos!$D$4:$D$7493,Cobranza!$B145,Recibos!AF$4:AF$7493)</f>
        <v>400</v>
      </c>
      <c r="BU145" s="313">
        <f>SUMIF(Recibos!$D$4:$D$7493,Cobranza!$B145,Recibos!AG$4:AG$7493)</f>
        <v>400</v>
      </c>
      <c r="BV145" s="313">
        <f>SUMIF(Recibos!$D$4:$D$7493,Cobranza!$B145,Recibos!AH$4:AH$7493)</f>
        <v>400</v>
      </c>
      <c r="BW145" s="313">
        <f>SUMIF(Recibos!$D$4:$D$7493,Cobranza!$B145,Recibos!AI$4:AI$7493)</f>
        <v>400</v>
      </c>
      <c r="BX145" s="314">
        <f t="shared" si="16"/>
        <v>4800</v>
      </c>
      <c r="BY145" s="313">
        <f>SUMIF(Recibos!$D$4:$D$7493,Cobranza!$B145,Recibos!AK$4:AK$7493)</f>
        <v>400</v>
      </c>
      <c r="BZ145" s="313">
        <f>SUMIF(Recibos!$D$4:$D$7493,Cobranza!$B145,Recibos!AL$4:AL$7493)</f>
        <v>400</v>
      </c>
      <c r="CA145" s="313">
        <f>SUMIF(Recibos!$D$4:$D$7493,Cobranza!$B145,Recibos!AM$4:AM$7493)</f>
        <v>400</v>
      </c>
      <c r="CB145" s="313">
        <f>SUMIF(Recibos!$D$4:$D$7493,Cobranza!$B145,Recibos!AN$4:AN$7493)</f>
        <v>400</v>
      </c>
      <c r="CC145" s="313">
        <f>SUMIF(Recibos!$D$4:$D$7493,Cobranza!$B145,Recibos!AO$4:AO$7493)</f>
        <v>400</v>
      </c>
      <c r="CD145" s="313">
        <f>SUMIF(Recibos!$D$4:$D$7493,Cobranza!$B145,Recibos!AP$4:AP$7493)</f>
        <v>400</v>
      </c>
      <c r="CE145" s="313">
        <f>SUMIF(Recibos!$D$4:$D$7493,Cobranza!$B145,Recibos!AQ$4:AQ$7493)</f>
        <v>400</v>
      </c>
      <c r="CF145" s="313">
        <f>SUMIF(Recibos!$D$4:$D$7493,Cobranza!$B145,Recibos!AR$4:AR$7493)</f>
        <v>400</v>
      </c>
      <c r="CG145" s="313">
        <f>SUMIF(Recibos!$D$4:$D$7493,Cobranza!$B145,Recibos!AS$4:AS$7493)</f>
        <v>400</v>
      </c>
      <c r="CH145" s="313">
        <f>SUMIF(Recibos!$D$4:$D$7493,Cobranza!$B145,Recibos!AT$4:AT$7493)</f>
        <v>400</v>
      </c>
      <c r="CI145" s="313">
        <f>SUMIF(Recibos!$D$4:$D$7493,Cobranza!$B145,Recibos!AU$4:AU$7493)</f>
        <v>0</v>
      </c>
      <c r="CJ145" s="313">
        <f>SUMIF(Recibos!$D$4:$D$7493,Cobranza!$B145,Recibos!AV$4:AV$7493)</f>
        <v>0</v>
      </c>
      <c r="CK145" s="314">
        <f t="shared" si="24"/>
        <v>4000</v>
      </c>
    </row>
    <row r="146" spans="2:89" x14ac:dyDescent="0.2">
      <c r="B146" s="42" t="s">
        <v>598</v>
      </c>
      <c r="C146" s="42" t="s">
        <v>599</v>
      </c>
      <c r="D146" s="42" t="s">
        <v>886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300</v>
      </c>
      <c r="K146" s="44">
        <f t="shared" si="25"/>
        <v>300</v>
      </c>
      <c r="L146" s="43">
        <v>300</v>
      </c>
      <c r="M146" s="43">
        <v>300</v>
      </c>
      <c r="N146" s="43">
        <v>300</v>
      </c>
      <c r="O146" s="43">
        <v>300</v>
      </c>
      <c r="P146" s="43">
        <v>300</v>
      </c>
      <c r="Q146" s="43">
        <v>300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4">
        <f t="shared" si="26"/>
        <v>1800</v>
      </c>
      <c r="Y146" s="43">
        <v>0</v>
      </c>
      <c r="Z146" s="43">
        <v>0</v>
      </c>
      <c r="AA146" s="43">
        <v>0</v>
      </c>
      <c r="AB146" s="43">
        <v>0</v>
      </c>
      <c r="AC146" s="43">
        <v>0</v>
      </c>
      <c r="AD146" s="43">
        <v>0</v>
      </c>
      <c r="AE146" s="43">
        <v>0</v>
      </c>
      <c r="AF146" s="43">
        <v>0</v>
      </c>
      <c r="AG146" s="43">
        <v>0</v>
      </c>
      <c r="AH146" s="43">
        <v>0</v>
      </c>
      <c r="AI146" s="43">
        <v>0</v>
      </c>
      <c r="AJ146" s="43">
        <v>0</v>
      </c>
      <c r="AK146" s="44">
        <f t="shared" si="27"/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400</v>
      </c>
      <c r="AU146" s="43">
        <v>0</v>
      </c>
      <c r="AV146" s="43">
        <v>0</v>
      </c>
      <c r="AW146" s="43">
        <v>0</v>
      </c>
      <c r="AX146" s="44">
        <f t="shared" si="28"/>
        <v>400</v>
      </c>
      <c r="AY146" s="311">
        <f>SUMIF(Recibos!$D$4:$D$7493,Cobranza!$B146,Recibos!K$4:K$7493)</f>
        <v>0</v>
      </c>
      <c r="AZ146" s="311">
        <f>SUMIF(Recibos!$D$4:$D$7493,Cobranza!$B146,Recibos!L$4:L$7493)</f>
        <v>0</v>
      </c>
      <c r="BA146" s="311">
        <f>SUMIF(Recibos!$D$4:$D$7493,Cobranza!$B146,Recibos!M$4:M$7493)</f>
        <v>0</v>
      </c>
      <c r="BB146" s="311">
        <f>SUMIF(Recibos!$D$4:$D$7493,Cobranza!$B146,Recibos!N$4:N$7493)</f>
        <v>0</v>
      </c>
      <c r="BC146" s="311">
        <f>SUMIF(Recibos!$D$4:$D$7493,Cobranza!$B146,Recibos!O$4:O$7493)</f>
        <v>400</v>
      </c>
      <c r="BD146" s="311">
        <f>SUMIF(Recibos!$D$4:$D$7493,Cobranza!$B146,Recibos!P$4:P$7493)</f>
        <v>400</v>
      </c>
      <c r="BE146" s="311">
        <f>SUMIF(Recibos!$D$4:$D$7493,Cobranza!$B146,Recibos!Q$4:Q$7493)</f>
        <v>400</v>
      </c>
      <c r="BF146" s="311">
        <f>SUMIF(Recibos!$D$4:$D$7493,Cobranza!$B146,Recibos!R$4:R$7493)</f>
        <v>400</v>
      </c>
      <c r="BG146" s="311">
        <f>SUMIF(Recibos!$D$4:$D$7493,Cobranza!$B146,Recibos!S$4:S$7493)</f>
        <v>400</v>
      </c>
      <c r="BH146" s="311">
        <f>SUMIF(Recibos!$D$4:$D$7493,Cobranza!$B146,Recibos!T$4:T$7493)</f>
        <v>400</v>
      </c>
      <c r="BI146" s="311">
        <f>SUMIF(Recibos!$D$4:$D$7493,Cobranza!$B146,Recibos!U$4:U$7493)</f>
        <v>400</v>
      </c>
      <c r="BJ146" s="311">
        <f>SUMIF(Recibos!$D$4:$D$7493,Cobranza!$B146,Recibos!V$4:V$7493)</f>
        <v>400</v>
      </c>
      <c r="BK146" s="312">
        <f t="shared" si="15"/>
        <v>3200</v>
      </c>
      <c r="BL146" s="311">
        <f>SUMIF(Recibos!$D$4:$D$7493,Cobranza!$B146,Recibos!X$4:X$7493)</f>
        <v>400</v>
      </c>
      <c r="BM146" s="311">
        <f>SUMIF(Recibos!$D$4:$D$7493,Cobranza!$B146,Recibos!Y$4:Y$7493)</f>
        <v>400</v>
      </c>
      <c r="BN146" s="311">
        <f>SUMIF(Recibos!$D$4:$D$7493,Cobranza!$B146,Recibos!Z$4:Z$7493)</f>
        <v>400</v>
      </c>
      <c r="BO146" s="311">
        <f>SUMIF(Recibos!$D$4:$D$7493,Cobranza!$B146,Recibos!AA$4:AA$7493)</f>
        <v>400</v>
      </c>
      <c r="BP146" s="311">
        <f>SUMIF(Recibos!$D$4:$D$7493,Cobranza!$B146,Recibos!AB$4:AB$7493)</f>
        <v>400</v>
      </c>
      <c r="BQ146" s="311">
        <f>SUMIF(Recibos!$D$4:$D$7493,Cobranza!$B146,Recibos!AC$4:AC$7493)</f>
        <v>400</v>
      </c>
      <c r="BR146" s="311">
        <f>SUMIF(Recibos!$D$4:$D$7493,Cobranza!$B146,Recibos!AD$4:AD$7493)</f>
        <v>400</v>
      </c>
      <c r="BS146" s="311">
        <f>SUMIF(Recibos!$D$4:$D$7493,Cobranza!$B146,Recibos!AE$4:AE$7493)</f>
        <v>400</v>
      </c>
      <c r="BT146" s="311">
        <f>SUMIF(Recibos!$D$4:$D$7493,Cobranza!$B146,Recibos!AF$4:AF$7493)</f>
        <v>400</v>
      </c>
      <c r="BU146" s="311">
        <f>SUMIF(Recibos!$D$4:$D$7493,Cobranza!$B146,Recibos!AG$4:AG$7493)</f>
        <v>400</v>
      </c>
      <c r="BV146" s="311">
        <f>SUMIF(Recibos!$D$4:$D$7493,Cobranza!$B146,Recibos!AH$4:AH$7493)</f>
        <v>400</v>
      </c>
      <c r="BW146" s="311">
        <f>SUMIF(Recibos!$D$4:$D$7493,Cobranza!$B146,Recibos!AI$4:AI$7493)</f>
        <v>400</v>
      </c>
      <c r="BX146" s="312">
        <f t="shared" si="16"/>
        <v>4800</v>
      </c>
      <c r="BY146" s="311">
        <f>SUMIF(Recibos!$D$4:$D$7493,Cobranza!$B146,Recibos!AK$4:AK$7493)</f>
        <v>400</v>
      </c>
      <c r="BZ146" s="311">
        <f>SUMIF(Recibos!$D$4:$D$7493,Cobranza!$B146,Recibos!AL$4:AL$7493)</f>
        <v>400</v>
      </c>
      <c r="CA146" s="311">
        <f>SUMIF(Recibos!$D$4:$D$7493,Cobranza!$B146,Recibos!AM$4:AM$7493)</f>
        <v>400</v>
      </c>
      <c r="CB146" s="311">
        <f>SUMIF(Recibos!$D$4:$D$7493,Cobranza!$B146,Recibos!AN$4:AN$7493)</f>
        <v>400</v>
      </c>
      <c r="CC146" s="311">
        <f>SUMIF(Recibos!$D$4:$D$7493,Cobranza!$B146,Recibos!AO$4:AO$7493)</f>
        <v>400</v>
      </c>
      <c r="CD146" s="311">
        <f>SUMIF(Recibos!$D$4:$D$7493,Cobranza!$B146,Recibos!AP$4:AP$7493)</f>
        <v>400</v>
      </c>
      <c r="CE146" s="311">
        <f>SUMIF(Recibos!$D$4:$D$7493,Cobranza!$B146,Recibos!AQ$4:AQ$7493)</f>
        <v>400</v>
      </c>
      <c r="CF146" s="311">
        <f>SUMIF(Recibos!$D$4:$D$7493,Cobranza!$B146,Recibos!AR$4:AR$7493)</f>
        <v>400</v>
      </c>
      <c r="CG146" s="311">
        <f>SUMIF(Recibos!$D$4:$D$7493,Cobranza!$B146,Recibos!AS$4:AS$7493)</f>
        <v>400</v>
      </c>
      <c r="CH146" s="311">
        <f>SUMIF(Recibos!$D$4:$D$7493,Cobranza!$B146,Recibos!AT$4:AT$7493)</f>
        <v>400</v>
      </c>
      <c r="CI146" s="311">
        <f>SUMIF(Recibos!$D$4:$D$7493,Cobranza!$B146,Recibos!AU$4:AU$7493)</f>
        <v>0</v>
      </c>
      <c r="CJ146" s="311">
        <f>SUMIF(Recibos!$D$4:$D$7493,Cobranza!$B146,Recibos!AV$4:AV$7493)</f>
        <v>0</v>
      </c>
      <c r="CK146" s="312">
        <f t="shared" si="24"/>
        <v>4000</v>
      </c>
    </row>
    <row r="147" spans="2:89" x14ac:dyDescent="0.2">
      <c r="B147" s="45" t="s">
        <v>202</v>
      </c>
      <c r="C147" s="45" t="s">
        <v>203</v>
      </c>
      <c r="D147" s="45" t="s">
        <v>204</v>
      </c>
      <c r="E147" s="46">
        <v>0</v>
      </c>
      <c r="F147" s="46">
        <v>0</v>
      </c>
      <c r="G147" s="46">
        <v>0</v>
      </c>
      <c r="H147" s="46">
        <v>0</v>
      </c>
      <c r="I147" s="46">
        <v>0</v>
      </c>
      <c r="J147" s="46">
        <v>300</v>
      </c>
      <c r="K147" s="47">
        <f t="shared" si="25"/>
        <v>300</v>
      </c>
      <c r="L147" s="46">
        <v>300</v>
      </c>
      <c r="M147" s="46">
        <v>300</v>
      </c>
      <c r="N147" s="46">
        <v>300</v>
      </c>
      <c r="O147" s="46">
        <v>300</v>
      </c>
      <c r="P147" s="46">
        <v>300</v>
      </c>
      <c r="Q147" s="46">
        <v>300</v>
      </c>
      <c r="R147" s="46">
        <v>300</v>
      </c>
      <c r="S147" s="46">
        <v>300</v>
      </c>
      <c r="T147" s="46">
        <v>300</v>
      </c>
      <c r="U147" s="46">
        <v>300</v>
      </c>
      <c r="V147" s="46">
        <v>300</v>
      </c>
      <c r="W147" s="46">
        <v>300</v>
      </c>
      <c r="X147" s="47">
        <f t="shared" si="26"/>
        <v>3600</v>
      </c>
      <c r="Y147" s="46">
        <v>800</v>
      </c>
      <c r="Z147" s="46">
        <v>800</v>
      </c>
      <c r="AA147" s="46">
        <v>400</v>
      </c>
      <c r="AB147" s="46">
        <v>400</v>
      </c>
      <c r="AC147" s="46">
        <v>400</v>
      </c>
      <c r="AD147" s="46">
        <v>400</v>
      </c>
      <c r="AE147" s="46">
        <v>0</v>
      </c>
      <c r="AF147" s="46">
        <v>0</v>
      </c>
      <c r="AG147" s="46">
        <v>0</v>
      </c>
      <c r="AH147" s="46">
        <v>0</v>
      </c>
      <c r="AI147" s="46">
        <v>0</v>
      </c>
      <c r="AJ147" s="46">
        <v>0</v>
      </c>
      <c r="AK147" s="47">
        <f t="shared" si="27"/>
        <v>3200</v>
      </c>
      <c r="AL147" s="46">
        <v>0</v>
      </c>
      <c r="AM147" s="46">
        <v>0</v>
      </c>
      <c r="AN147" s="46">
        <v>0</v>
      </c>
      <c r="AO147" s="46">
        <v>0</v>
      </c>
      <c r="AP147" s="46">
        <v>0</v>
      </c>
      <c r="AQ147" s="46">
        <v>0</v>
      </c>
      <c r="AR147" s="46">
        <v>0</v>
      </c>
      <c r="AS147" s="46">
        <v>0</v>
      </c>
      <c r="AT147" s="46">
        <v>0</v>
      </c>
      <c r="AU147" s="46">
        <v>0</v>
      </c>
      <c r="AV147" s="46">
        <v>0</v>
      </c>
      <c r="AW147" s="46">
        <v>0</v>
      </c>
      <c r="AX147" s="47">
        <f t="shared" si="28"/>
        <v>0</v>
      </c>
      <c r="AY147" s="313">
        <f>SUMIF(Recibos!$D$4:$D$7493,Cobranza!$B147,Recibos!K$4:K$7493)</f>
        <v>400</v>
      </c>
      <c r="AZ147" s="313">
        <f>SUMIF(Recibos!$D$4:$D$7493,Cobranza!$B147,Recibos!L$4:L$7493)</f>
        <v>400</v>
      </c>
      <c r="BA147" s="313">
        <f>SUMIF(Recibos!$D$4:$D$7493,Cobranza!$B147,Recibos!M$4:M$7493)</f>
        <v>400</v>
      </c>
      <c r="BB147" s="313">
        <f>SUMIF(Recibos!$D$4:$D$7493,Cobranza!$B147,Recibos!N$4:N$7493)</f>
        <v>400</v>
      </c>
      <c r="BC147" s="313">
        <f>SUMIF(Recibos!$D$4:$D$7493,Cobranza!$B147,Recibos!O$4:O$7493)</f>
        <v>400</v>
      </c>
      <c r="BD147" s="313">
        <f>SUMIF(Recibos!$D$4:$D$7493,Cobranza!$B147,Recibos!P$4:P$7493)</f>
        <v>400</v>
      </c>
      <c r="BE147" s="313">
        <f>SUMIF(Recibos!$D$4:$D$7493,Cobranza!$B147,Recibos!Q$4:Q$7493)</f>
        <v>400</v>
      </c>
      <c r="BF147" s="313">
        <f>SUMIF(Recibos!$D$4:$D$7493,Cobranza!$B147,Recibos!R$4:R$7493)</f>
        <v>400</v>
      </c>
      <c r="BG147" s="313">
        <f>SUMIF(Recibos!$D$4:$D$7493,Cobranza!$B147,Recibos!S$4:S$7493)</f>
        <v>400</v>
      </c>
      <c r="BH147" s="313">
        <f>SUMIF(Recibos!$D$4:$D$7493,Cobranza!$B147,Recibos!T$4:T$7493)</f>
        <v>400</v>
      </c>
      <c r="BI147" s="313">
        <f>SUMIF(Recibos!$D$4:$D$7493,Cobranza!$B147,Recibos!U$4:U$7493)</f>
        <v>400</v>
      </c>
      <c r="BJ147" s="313">
        <f>SUMIF(Recibos!$D$4:$D$7493,Cobranza!$B147,Recibos!V$4:V$7493)</f>
        <v>400</v>
      </c>
      <c r="BK147" s="314">
        <f t="shared" si="15"/>
        <v>4800</v>
      </c>
      <c r="BL147" s="313">
        <f>SUMIF(Recibos!$D$4:$D$7493,Cobranza!$B147,Recibos!X$4:X$7493)</f>
        <v>400</v>
      </c>
      <c r="BM147" s="313">
        <f>SUMIF(Recibos!$D$4:$D$7493,Cobranza!$B147,Recibos!Y$4:Y$7493)</f>
        <v>400</v>
      </c>
      <c r="BN147" s="313">
        <f>SUMIF(Recibos!$D$4:$D$7493,Cobranza!$B147,Recibos!Z$4:Z$7493)</f>
        <v>400</v>
      </c>
      <c r="BO147" s="313">
        <f>SUMIF(Recibos!$D$4:$D$7493,Cobranza!$B147,Recibos!AA$4:AA$7493)</f>
        <v>400</v>
      </c>
      <c r="BP147" s="313">
        <f>SUMIF(Recibos!$D$4:$D$7493,Cobranza!$B147,Recibos!AB$4:AB$7493)</f>
        <v>400</v>
      </c>
      <c r="BQ147" s="313">
        <f>SUMIF(Recibos!$D$4:$D$7493,Cobranza!$B147,Recibos!AC$4:AC$7493)</f>
        <v>400</v>
      </c>
      <c r="BR147" s="313">
        <f>SUMIF(Recibos!$D$4:$D$7493,Cobranza!$B147,Recibos!AD$4:AD$7493)</f>
        <v>400</v>
      </c>
      <c r="BS147" s="313">
        <f>SUMIF(Recibos!$D$4:$D$7493,Cobranza!$B147,Recibos!AE$4:AE$7493)</f>
        <v>400</v>
      </c>
      <c r="BT147" s="313">
        <f>SUMIF(Recibos!$D$4:$D$7493,Cobranza!$B147,Recibos!AF$4:AF$7493)</f>
        <v>400</v>
      </c>
      <c r="BU147" s="313">
        <f>SUMIF(Recibos!$D$4:$D$7493,Cobranza!$B147,Recibos!AG$4:AG$7493)</f>
        <v>200</v>
      </c>
      <c r="BV147" s="313">
        <f>SUMIF(Recibos!$D$4:$D$7493,Cobranza!$B147,Recibos!AH$4:AH$7493)</f>
        <v>400</v>
      </c>
      <c r="BW147" s="313">
        <f>SUMIF(Recibos!$D$4:$D$7493,Cobranza!$B147,Recibos!AI$4:AI$7493)</f>
        <v>400</v>
      </c>
      <c r="BX147" s="314">
        <f t="shared" si="16"/>
        <v>4600</v>
      </c>
      <c r="BY147" s="313">
        <f>SUMIF(Recibos!$D$4:$D$7493,Cobranza!$B147,Recibos!AK$4:AK$7493)</f>
        <v>400</v>
      </c>
      <c r="BZ147" s="313">
        <f>SUMIF(Recibos!$D$4:$D$7493,Cobranza!$B147,Recibos!AL$4:AL$7493)</f>
        <v>400</v>
      </c>
      <c r="CA147" s="313">
        <f>SUMIF(Recibos!$D$4:$D$7493,Cobranza!$B147,Recibos!AM$4:AM$7493)</f>
        <v>400</v>
      </c>
      <c r="CB147" s="313">
        <f>SUMIF(Recibos!$D$4:$D$7493,Cobranza!$B147,Recibos!AN$4:AN$7493)</f>
        <v>400</v>
      </c>
      <c r="CC147" s="313">
        <f>SUMIF(Recibos!$D$4:$D$7493,Cobranza!$B147,Recibos!AO$4:AO$7493)</f>
        <v>400</v>
      </c>
      <c r="CD147" s="313">
        <f>SUMIF(Recibos!$D$4:$D$7493,Cobranza!$B147,Recibos!AP$4:AP$7493)</f>
        <v>400</v>
      </c>
      <c r="CE147" s="313">
        <f>SUMIF(Recibos!$D$4:$D$7493,Cobranza!$B147,Recibos!AQ$4:AQ$7493)</f>
        <v>400</v>
      </c>
      <c r="CF147" s="313">
        <f>SUMIF(Recibos!$D$4:$D$7493,Cobranza!$B147,Recibos!AR$4:AR$7493)</f>
        <v>400</v>
      </c>
      <c r="CG147" s="313">
        <f>SUMIF(Recibos!$D$4:$D$7493,Cobranza!$B147,Recibos!AS$4:AS$7493)</f>
        <v>400</v>
      </c>
      <c r="CH147" s="313">
        <f>SUMIF(Recibos!$D$4:$D$7493,Cobranza!$B147,Recibos!AT$4:AT$7493)</f>
        <v>400</v>
      </c>
      <c r="CI147" s="313">
        <f>SUMIF(Recibos!$D$4:$D$7493,Cobranza!$B147,Recibos!AU$4:AU$7493)</f>
        <v>0</v>
      </c>
      <c r="CJ147" s="313">
        <f>SUMIF(Recibos!$D$4:$D$7493,Cobranza!$B147,Recibos!AV$4:AV$7493)</f>
        <v>0</v>
      </c>
      <c r="CK147" s="314">
        <f t="shared" si="24"/>
        <v>4000</v>
      </c>
    </row>
    <row r="148" spans="2:89" x14ac:dyDescent="0.2">
      <c r="B148" s="42" t="s">
        <v>109</v>
      </c>
      <c r="C148" s="42" t="s">
        <v>110</v>
      </c>
      <c r="D148" s="42" t="s">
        <v>111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300</v>
      </c>
      <c r="K148" s="44">
        <f t="shared" si="25"/>
        <v>300</v>
      </c>
      <c r="L148" s="43">
        <v>300</v>
      </c>
      <c r="M148" s="43">
        <v>300</v>
      </c>
      <c r="N148" s="43">
        <v>300</v>
      </c>
      <c r="O148" s="43">
        <v>300</v>
      </c>
      <c r="P148" s="43">
        <v>300</v>
      </c>
      <c r="Q148" s="43">
        <v>300</v>
      </c>
      <c r="R148" s="43">
        <v>300</v>
      </c>
      <c r="S148" s="43">
        <v>300</v>
      </c>
      <c r="T148" s="43">
        <v>300</v>
      </c>
      <c r="U148" s="43">
        <v>400</v>
      </c>
      <c r="V148" s="43">
        <v>400</v>
      </c>
      <c r="W148" s="43">
        <v>400</v>
      </c>
      <c r="X148" s="44">
        <f t="shared" si="26"/>
        <v>3900</v>
      </c>
      <c r="Y148" s="43">
        <v>400</v>
      </c>
      <c r="Z148" s="43">
        <v>400</v>
      </c>
      <c r="AA148" s="43">
        <v>400</v>
      </c>
      <c r="AB148" s="43">
        <v>400</v>
      </c>
      <c r="AC148" s="43">
        <v>400</v>
      </c>
      <c r="AD148" s="43">
        <v>400</v>
      </c>
      <c r="AE148" s="43">
        <v>400</v>
      </c>
      <c r="AF148" s="43">
        <v>400</v>
      </c>
      <c r="AG148" s="43">
        <v>400</v>
      </c>
      <c r="AH148" s="43">
        <v>400</v>
      </c>
      <c r="AI148" s="43">
        <v>400</v>
      </c>
      <c r="AJ148" s="43">
        <v>400</v>
      </c>
      <c r="AK148" s="44">
        <f t="shared" si="27"/>
        <v>4800</v>
      </c>
      <c r="AL148" s="43">
        <v>400</v>
      </c>
      <c r="AM148" s="43">
        <v>400</v>
      </c>
      <c r="AN148" s="43">
        <v>400</v>
      </c>
      <c r="AO148" s="43">
        <v>400</v>
      </c>
      <c r="AP148" s="43">
        <v>400</v>
      </c>
      <c r="AQ148" s="43">
        <v>400</v>
      </c>
      <c r="AR148" s="43">
        <v>400</v>
      </c>
      <c r="AS148" s="43">
        <v>400</v>
      </c>
      <c r="AT148" s="43">
        <v>400</v>
      </c>
      <c r="AU148" s="43">
        <v>400</v>
      </c>
      <c r="AV148" s="43">
        <v>400</v>
      </c>
      <c r="AW148" s="43">
        <v>400</v>
      </c>
      <c r="AX148" s="44">
        <f t="shared" si="28"/>
        <v>4800</v>
      </c>
      <c r="AY148" s="311">
        <f>SUMIF(Recibos!$D$4:$D$7493,Cobranza!$B148,Recibos!K$4:K$7493)</f>
        <v>400</v>
      </c>
      <c r="AZ148" s="311">
        <f>SUMIF(Recibos!$D$4:$D$7493,Cobranza!$B148,Recibos!L$4:L$7493)</f>
        <v>400</v>
      </c>
      <c r="BA148" s="311">
        <f>SUMIF(Recibos!$D$4:$D$7493,Cobranza!$B148,Recibos!M$4:M$7493)</f>
        <v>400</v>
      </c>
      <c r="BB148" s="311">
        <f>SUMIF(Recibos!$D$4:$D$7493,Cobranza!$B148,Recibos!N$4:N$7493)</f>
        <v>400</v>
      </c>
      <c r="BC148" s="311">
        <f>SUMIF(Recibos!$D$4:$D$7493,Cobranza!$B148,Recibos!O$4:O$7493)</f>
        <v>400</v>
      </c>
      <c r="BD148" s="311">
        <f>SUMIF(Recibos!$D$4:$D$7493,Cobranza!$B148,Recibos!P$4:P$7493)</f>
        <v>400</v>
      </c>
      <c r="BE148" s="311">
        <f>SUMIF(Recibos!$D$4:$D$7493,Cobranza!$B148,Recibos!Q$4:Q$7493)</f>
        <v>400</v>
      </c>
      <c r="BF148" s="311">
        <f>SUMIF(Recibos!$D$4:$D$7493,Cobranza!$B148,Recibos!R$4:R$7493)</f>
        <v>400</v>
      </c>
      <c r="BG148" s="311">
        <f>SUMIF(Recibos!$D$4:$D$7493,Cobranza!$B148,Recibos!S$4:S$7493)</f>
        <v>400</v>
      </c>
      <c r="BH148" s="311">
        <f>SUMIF(Recibos!$D$4:$D$7493,Cobranza!$B148,Recibos!T$4:T$7493)</f>
        <v>400</v>
      </c>
      <c r="BI148" s="311">
        <f>SUMIF(Recibos!$D$4:$D$7493,Cobranza!$B148,Recibos!U$4:U$7493)</f>
        <v>400</v>
      </c>
      <c r="BJ148" s="311">
        <f>SUMIF(Recibos!$D$4:$D$7493,Cobranza!$B148,Recibos!V$4:V$7493)</f>
        <v>400</v>
      </c>
      <c r="BK148" s="312">
        <f t="shared" ref="BK148:BK211" si="29">SUM(AY148:BJ148)</f>
        <v>4800</v>
      </c>
      <c r="BL148" s="311">
        <f>SUMIF(Recibos!$D$4:$D$7493,Cobranza!$B148,Recibos!X$4:X$7493)</f>
        <v>400</v>
      </c>
      <c r="BM148" s="311">
        <f>SUMIF(Recibos!$D$4:$D$7493,Cobranza!$B148,Recibos!Y$4:Y$7493)</f>
        <v>400</v>
      </c>
      <c r="BN148" s="311">
        <f>SUMIF(Recibos!$D$4:$D$7493,Cobranza!$B148,Recibos!Z$4:Z$7493)</f>
        <v>400</v>
      </c>
      <c r="BO148" s="311">
        <f>SUMIF(Recibos!$D$4:$D$7493,Cobranza!$B148,Recibos!AA$4:AA$7493)</f>
        <v>400</v>
      </c>
      <c r="BP148" s="311">
        <f>SUMIF(Recibos!$D$4:$D$7493,Cobranza!$B148,Recibos!AB$4:AB$7493)</f>
        <v>400</v>
      </c>
      <c r="BQ148" s="311">
        <f>SUMIF(Recibos!$D$4:$D$7493,Cobranza!$B148,Recibos!AC$4:AC$7493)</f>
        <v>400</v>
      </c>
      <c r="BR148" s="311">
        <f>SUMIF(Recibos!$D$4:$D$7493,Cobranza!$B148,Recibos!AD$4:AD$7493)</f>
        <v>400</v>
      </c>
      <c r="BS148" s="311">
        <f>SUMIF(Recibos!$D$4:$D$7493,Cobranza!$B148,Recibos!AE$4:AE$7493)</f>
        <v>400</v>
      </c>
      <c r="BT148" s="311">
        <f>SUMIF(Recibos!$D$4:$D$7493,Cobranza!$B148,Recibos!AF$4:AF$7493)</f>
        <v>400</v>
      </c>
      <c r="BU148" s="311">
        <f>SUMIF(Recibos!$D$4:$D$7493,Cobranza!$B148,Recibos!AG$4:AG$7493)</f>
        <v>400</v>
      </c>
      <c r="BV148" s="311">
        <f>SUMIF(Recibos!$D$4:$D$7493,Cobranza!$B148,Recibos!AH$4:AH$7493)</f>
        <v>400</v>
      </c>
      <c r="BW148" s="311">
        <f>SUMIF(Recibos!$D$4:$D$7493,Cobranza!$B148,Recibos!AI$4:AI$7493)</f>
        <v>400</v>
      </c>
      <c r="BX148" s="312">
        <f t="shared" ref="BX148:BX211" si="30">SUM(BL148:BW148)</f>
        <v>4800</v>
      </c>
      <c r="BY148" s="311">
        <f>SUMIF(Recibos!$D$4:$D$7493,Cobranza!$B148,Recibos!AK$4:AK$7493)</f>
        <v>400</v>
      </c>
      <c r="BZ148" s="311">
        <f>SUMIF(Recibos!$D$4:$D$7493,Cobranza!$B148,Recibos!AL$4:AL$7493)</f>
        <v>400</v>
      </c>
      <c r="CA148" s="311">
        <f>SUMIF(Recibos!$D$4:$D$7493,Cobranza!$B148,Recibos!AM$4:AM$7493)</f>
        <v>400</v>
      </c>
      <c r="CB148" s="311">
        <f>SUMIF(Recibos!$D$4:$D$7493,Cobranza!$B148,Recibos!AN$4:AN$7493)</f>
        <v>400</v>
      </c>
      <c r="CC148" s="311">
        <f>SUMIF(Recibos!$D$4:$D$7493,Cobranza!$B148,Recibos!AO$4:AO$7493)</f>
        <v>400</v>
      </c>
      <c r="CD148" s="311">
        <f>SUMIF(Recibos!$D$4:$D$7493,Cobranza!$B148,Recibos!AP$4:AP$7493)</f>
        <v>400</v>
      </c>
      <c r="CE148" s="311">
        <f>SUMIF(Recibos!$D$4:$D$7493,Cobranza!$B148,Recibos!AQ$4:AQ$7493)</f>
        <v>400</v>
      </c>
      <c r="CF148" s="311">
        <f>SUMIF(Recibos!$D$4:$D$7493,Cobranza!$B148,Recibos!AR$4:AR$7493)</f>
        <v>400</v>
      </c>
      <c r="CG148" s="311">
        <f>SUMIF(Recibos!$D$4:$D$7493,Cobranza!$B148,Recibos!AS$4:AS$7493)</f>
        <v>400</v>
      </c>
      <c r="CH148" s="311">
        <f>SUMIF(Recibos!$D$4:$D$7493,Cobranza!$B148,Recibos!AT$4:AT$7493)</f>
        <v>0</v>
      </c>
      <c r="CI148" s="311">
        <f>SUMIF(Recibos!$D$4:$D$7493,Cobranza!$B148,Recibos!AU$4:AU$7493)</f>
        <v>0</v>
      </c>
      <c r="CJ148" s="311">
        <f>SUMIF(Recibos!$D$4:$D$7493,Cobranza!$B148,Recibos!AV$4:AV$7493)</f>
        <v>0</v>
      </c>
      <c r="CK148" s="312">
        <f t="shared" si="24"/>
        <v>3600</v>
      </c>
    </row>
    <row r="149" spans="2:89" x14ac:dyDescent="0.2">
      <c r="B149" s="45" t="s">
        <v>376</v>
      </c>
      <c r="C149" s="45" t="s">
        <v>377</v>
      </c>
      <c r="D149" s="45" t="s">
        <v>378</v>
      </c>
      <c r="E149" s="46">
        <v>0</v>
      </c>
      <c r="F149" s="46">
        <v>0</v>
      </c>
      <c r="G149" s="46">
        <v>0</v>
      </c>
      <c r="H149" s="46">
        <v>0</v>
      </c>
      <c r="I149" s="46">
        <v>0</v>
      </c>
      <c r="J149" s="46">
        <v>0</v>
      </c>
      <c r="K149" s="47">
        <f t="shared" si="25"/>
        <v>0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7">
        <f t="shared" si="26"/>
        <v>0</v>
      </c>
      <c r="Y149" s="46">
        <v>400</v>
      </c>
      <c r="Z149" s="46">
        <v>400</v>
      </c>
      <c r="AA149" s="46">
        <v>400</v>
      </c>
      <c r="AB149" s="46">
        <v>400</v>
      </c>
      <c r="AC149" s="46">
        <v>400</v>
      </c>
      <c r="AD149" s="46">
        <v>400</v>
      </c>
      <c r="AE149" s="46">
        <v>400</v>
      </c>
      <c r="AF149" s="46">
        <v>400</v>
      </c>
      <c r="AG149" s="46">
        <v>400</v>
      </c>
      <c r="AH149" s="46">
        <v>400</v>
      </c>
      <c r="AI149" s="46">
        <v>400</v>
      </c>
      <c r="AJ149" s="46">
        <v>0</v>
      </c>
      <c r="AK149" s="47">
        <f t="shared" si="27"/>
        <v>4400</v>
      </c>
      <c r="AL149" s="46">
        <v>400</v>
      </c>
      <c r="AM149" s="46">
        <v>400</v>
      </c>
      <c r="AN149" s="46">
        <v>400</v>
      </c>
      <c r="AO149" s="46">
        <v>400</v>
      </c>
      <c r="AP149" s="46">
        <v>400</v>
      </c>
      <c r="AQ149" s="46">
        <v>400</v>
      </c>
      <c r="AR149" s="46">
        <v>400</v>
      </c>
      <c r="AS149" s="46">
        <v>400</v>
      </c>
      <c r="AT149" s="46">
        <v>400</v>
      </c>
      <c r="AU149" s="46">
        <v>400</v>
      </c>
      <c r="AV149" s="46">
        <v>400</v>
      </c>
      <c r="AW149" s="46">
        <v>0</v>
      </c>
      <c r="AX149" s="47">
        <f t="shared" si="28"/>
        <v>4400</v>
      </c>
      <c r="AY149" s="313">
        <f>SUMIF(Recibos!$D$4:$D$7493,Cobranza!$B149,Recibos!K$4:K$7493)</f>
        <v>400</v>
      </c>
      <c r="AZ149" s="313">
        <f>SUMIF(Recibos!$D$4:$D$7493,Cobranza!$B149,Recibos!L$4:L$7493)</f>
        <v>400</v>
      </c>
      <c r="BA149" s="313">
        <f>SUMIF(Recibos!$D$4:$D$7493,Cobranza!$B149,Recibos!M$4:M$7493)</f>
        <v>400</v>
      </c>
      <c r="BB149" s="313">
        <f>SUMIF(Recibos!$D$4:$D$7493,Cobranza!$B149,Recibos!N$4:N$7493)</f>
        <v>400</v>
      </c>
      <c r="BC149" s="313">
        <f>SUMIF(Recibos!$D$4:$D$7493,Cobranza!$B149,Recibos!O$4:O$7493)</f>
        <v>400</v>
      </c>
      <c r="BD149" s="313">
        <f>SUMIF(Recibos!$D$4:$D$7493,Cobranza!$B149,Recibos!P$4:P$7493)</f>
        <v>400</v>
      </c>
      <c r="BE149" s="313">
        <f>SUMIF(Recibos!$D$4:$D$7493,Cobranza!$B149,Recibos!Q$4:Q$7493)</f>
        <v>400</v>
      </c>
      <c r="BF149" s="313">
        <f>SUMIF(Recibos!$D$4:$D$7493,Cobranza!$B149,Recibos!R$4:R$7493)</f>
        <v>400</v>
      </c>
      <c r="BG149" s="313">
        <f>SUMIF(Recibos!$D$4:$D$7493,Cobranza!$B149,Recibos!S$4:S$7493)</f>
        <v>400</v>
      </c>
      <c r="BH149" s="313">
        <f>SUMIF(Recibos!$D$4:$D$7493,Cobranza!$B149,Recibos!T$4:T$7493)</f>
        <v>400</v>
      </c>
      <c r="BI149" s="313">
        <f>SUMIF(Recibos!$D$4:$D$7493,Cobranza!$B149,Recibos!U$4:U$7493)</f>
        <v>400</v>
      </c>
      <c r="BJ149" s="313">
        <f>SUMIF(Recibos!$D$4:$D$7493,Cobranza!$B149,Recibos!V$4:V$7493)</f>
        <v>0</v>
      </c>
      <c r="BK149" s="314">
        <f t="shared" si="29"/>
        <v>4400</v>
      </c>
      <c r="BL149" s="313">
        <f>SUMIF(Recibos!$D$4:$D$7493,Cobranza!$B149,Recibos!X$4:X$7493)</f>
        <v>400</v>
      </c>
      <c r="BM149" s="313">
        <f>SUMIF(Recibos!$D$4:$D$7493,Cobranza!$B149,Recibos!Y$4:Y$7493)</f>
        <v>400</v>
      </c>
      <c r="BN149" s="313">
        <f>SUMIF(Recibos!$D$4:$D$7493,Cobranza!$B149,Recibos!Z$4:Z$7493)</f>
        <v>400</v>
      </c>
      <c r="BO149" s="313">
        <f>SUMIF(Recibos!$D$4:$D$7493,Cobranza!$B149,Recibos!AA$4:AA$7493)</f>
        <v>400</v>
      </c>
      <c r="BP149" s="313">
        <f>SUMIF(Recibos!$D$4:$D$7493,Cobranza!$B149,Recibos!AB$4:AB$7493)</f>
        <v>400</v>
      </c>
      <c r="BQ149" s="313">
        <f>SUMIF(Recibos!$D$4:$D$7493,Cobranza!$B149,Recibos!AC$4:AC$7493)</f>
        <v>400</v>
      </c>
      <c r="BR149" s="313">
        <f>SUMIF(Recibos!$D$4:$D$7493,Cobranza!$B149,Recibos!AD$4:AD$7493)</f>
        <v>400</v>
      </c>
      <c r="BS149" s="313">
        <f>SUMIF(Recibos!$D$4:$D$7493,Cobranza!$B149,Recibos!AE$4:AE$7493)</f>
        <v>400</v>
      </c>
      <c r="BT149" s="313">
        <f>SUMIF(Recibos!$D$4:$D$7493,Cobranza!$B149,Recibos!AF$4:AF$7493)</f>
        <v>400</v>
      </c>
      <c r="BU149" s="313">
        <f>SUMIF(Recibos!$D$4:$D$7493,Cobranza!$B149,Recibos!AG$4:AG$7493)</f>
        <v>400</v>
      </c>
      <c r="BV149" s="313">
        <f>SUMIF(Recibos!$D$4:$D$7493,Cobranza!$B149,Recibos!AH$4:AH$7493)</f>
        <v>400</v>
      </c>
      <c r="BW149" s="313">
        <f>SUMIF(Recibos!$D$4:$D$7493,Cobranza!$B149,Recibos!AI$4:AI$7493)</f>
        <v>400</v>
      </c>
      <c r="BX149" s="314">
        <f t="shared" si="30"/>
        <v>4800</v>
      </c>
      <c r="BY149" s="313">
        <f>SUMIF(Recibos!$D$4:$D$7493,Cobranza!$B149,Recibos!AK$4:AK$7493)</f>
        <v>400</v>
      </c>
      <c r="BZ149" s="313">
        <f>SUMIF(Recibos!$D$4:$D$7493,Cobranza!$B149,Recibos!AL$4:AL$7493)</f>
        <v>400</v>
      </c>
      <c r="CA149" s="313">
        <f>SUMIF(Recibos!$D$4:$D$7493,Cobranza!$B149,Recibos!AM$4:AM$7493)</f>
        <v>400</v>
      </c>
      <c r="CB149" s="313">
        <f>SUMIF(Recibos!$D$4:$D$7493,Cobranza!$B149,Recibos!AN$4:AN$7493)</f>
        <v>400</v>
      </c>
      <c r="CC149" s="313">
        <f>SUMIF(Recibos!$D$4:$D$7493,Cobranza!$B149,Recibos!AO$4:AO$7493)</f>
        <v>400</v>
      </c>
      <c r="CD149" s="313">
        <f>SUMIF(Recibos!$D$4:$D$7493,Cobranza!$B149,Recibos!AP$4:AP$7493)</f>
        <v>400</v>
      </c>
      <c r="CE149" s="313">
        <f>SUMIF(Recibos!$D$4:$D$7493,Cobranza!$B149,Recibos!AQ$4:AQ$7493)</f>
        <v>400</v>
      </c>
      <c r="CF149" s="313">
        <f>SUMIF(Recibos!$D$4:$D$7493,Cobranza!$B149,Recibos!AR$4:AR$7493)</f>
        <v>400</v>
      </c>
      <c r="CG149" s="313">
        <f>SUMIF(Recibos!$D$4:$D$7493,Cobranza!$B149,Recibos!AS$4:AS$7493)</f>
        <v>400</v>
      </c>
      <c r="CH149" s="313">
        <f>SUMIF(Recibos!$D$4:$D$7493,Cobranza!$B149,Recibos!AT$4:AT$7493)</f>
        <v>400</v>
      </c>
      <c r="CI149" s="313">
        <f>SUMIF(Recibos!$D$4:$D$7493,Cobranza!$B149,Recibos!AU$4:AU$7493)</f>
        <v>400</v>
      </c>
      <c r="CJ149" s="313">
        <f>SUMIF(Recibos!$D$4:$D$7493,Cobranza!$B149,Recibos!AV$4:AV$7493)</f>
        <v>400</v>
      </c>
      <c r="CK149" s="314">
        <f t="shared" si="24"/>
        <v>4800</v>
      </c>
    </row>
    <row r="150" spans="2:89" x14ac:dyDescent="0.2">
      <c r="B150" s="42" t="s">
        <v>782</v>
      </c>
      <c r="C150" s="42" t="s">
        <v>783</v>
      </c>
      <c r="D150" s="42" t="s">
        <v>784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300</v>
      </c>
      <c r="K150" s="44">
        <f t="shared" si="25"/>
        <v>300</v>
      </c>
      <c r="L150" s="43">
        <v>300</v>
      </c>
      <c r="M150" s="43">
        <v>300</v>
      </c>
      <c r="N150" s="43">
        <v>300</v>
      </c>
      <c r="O150" s="43">
        <v>300</v>
      </c>
      <c r="P150" s="43">
        <v>300</v>
      </c>
      <c r="Q150" s="43">
        <v>300</v>
      </c>
      <c r="R150" s="43">
        <v>300</v>
      </c>
      <c r="S150" s="43">
        <v>300</v>
      </c>
      <c r="T150" s="43">
        <v>300</v>
      </c>
      <c r="U150" s="43">
        <v>300</v>
      </c>
      <c r="V150" s="43">
        <v>400</v>
      </c>
      <c r="W150" s="43">
        <v>0</v>
      </c>
      <c r="X150" s="44">
        <f t="shared" si="26"/>
        <v>3400</v>
      </c>
      <c r="Y150" s="43">
        <v>400</v>
      </c>
      <c r="Z150" s="43">
        <v>400</v>
      </c>
      <c r="AA150" s="43">
        <v>400</v>
      </c>
      <c r="AB150" s="43">
        <v>400</v>
      </c>
      <c r="AC150" s="43">
        <v>400</v>
      </c>
      <c r="AD150" s="43">
        <v>400</v>
      </c>
      <c r="AE150" s="43">
        <v>400</v>
      </c>
      <c r="AF150" s="43">
        <v>400</v>
      </c>
      <c r="AG150" s="43">
        <v>400</v>
      </c>
      <c r="AH150" s="43">
        <v>400</v>
      </c>
      <c r="AI150" s="43">
        <v>400</v>
      </c>
      <c r="AJ150" s="43">
        <v>0</v>
      </c>
      <c r="AK150" s="44">
        <f t="shared" si="27"/>
        <v>4400</v>
      </c>
      <c r="AL150" s="43">
        <v>400</v>
      </c>
      <c r="AM150" s="43">
        <v>400</v>
      </c>
      <c r="AN150" s="43">
        <v>300</v>
      </c>
      <c r="AO150" s="43">
        <v>300</v>
      </c>
      <c r="AP150" s="43">
        <v>300</v>
      </c>
      <c r="AQ150" s="43">
        <v>300</v>
      </c>
      <c r="AR150" s="43">
        <v>300</v>
      </c>
      <c r="AS150" s="43">
        <v>100</v>
      </c>
      <c r="AT150" s="43">
        <v>100</v>
      </c>
      <c r="AU150" s="43">
        <v>100</v>
      </c>
      <c r="AV150" s="43">
        <v>100</v>
      </c>
      <c r="AW150" s="43">
        <v>100</v>
      </c>
      <c r="AX150" s="44">
        <f t="shared" si="28"/>
        <v>2800</v>
      </c>
      <c r="AY150" s="311">
        <f>SUMIF(Recibos!$D$4:$D$7493,Cobranza!$B150,Recibos!K$4:K$7493)</f>
        <v>100</v>
      </c>
      <c r="AZ150" s="311">
        <f>SUMIF(Recibos!$D$4:$D$7493,Cobranza!$B150,Recibos!L$4:L$7493)</f>
        <v>100</v>
      </c>
      <c r="BA150" s="311">
        <f>SUMIF(Recibos!$D$4:$D$7493,Cobranza!$B150,Recibos!M$4:M$7493)</f>
        <v>100</v>
      </c>
      <c r="BB150" s="311">
        <f>SUMIF(Recibos!$D$4:$D$7493,Cobranza!$B150,Recibos!N$4:N$7493)</f>
        <v>100</v>
      </c>
      <c r="BC150" s="311">
        <f>SUMIF(Recibos!$D$4:$D$7493,Cobranza!$B150,Recibos!O$4:O$7493)</f>
        <v>100</v>
      </c>
      <c r="BD150" s="311">
        <f>SUMIF(Recibos!$D$4:$D$7493,Cobranza!$B150,Recibos!P$4:P$7493)</f>
        <v>0</v>
      </c>
      <c r="BE150" s="311">
        <f>SUMIF(Recibos!$D$4:$D$7493,Cobranza!$B150,Recibos!Q$4:Q$7493)</f>
        <v>200</v>
      </c>
      <c r="BF150" s="311">
        <f>SUMIF(Recibos!$D$4:$D$7493,Cobranza!$B150,Recibos!R$4:R$7493)</f>
        <v>200</v>
      </c>
      <c r="BG150" s="311">
        <f>SUMIF(Recibos!$D$4:$D$7493,Cobranza!$B150,Recibos!S$4:S$7493)</f>
        <v>200</v>
      </c>
      <c r="BH150" s="311">
        <f>SUMIF(Recibos!$D$4:$D$7493,Cobranza!$B150,Recibos!T$4:T$7493)</f>
        <v>200</v>
      </c>
      <c r="BI150" s="311">
        <f>SUMIF(Recibos!$D$4:$D$7493,Cobranza!$B150,Recibos!U$4:U$7493)</f>
        <v>200</v>
      </c>
      <c r="BJ150" s="311">
        <f>SUMIF(Recibos!$D$4:$D$7493,Cobranza!$B150,Recibos!V$4:V$7493)</f>
        <v>200</v>
      </c>
      <c r="BK150" s="312">
        <f t="shared" si="29"/>
        <v>1700</v>
      </c>
      <c r="BL150" s="311">
        <f>SUMIF(Recibos!$D$4:$D$7493,Cobranza!$B150,Recibos!X$4:X$7493)</f>
        <v>200</v>
      </c>
      <c r="BM150" s="311">
        <f>SUMIF(Recibos!$D$4:$D$7493,Cobranza!$B150,Recibos!Y$4:Y$7493)</f>
        <v>200</v>
      </c>
      <c r="BN150" s="311">
        <f>SUMIF(Recibos!$D$4:$D$7493,Cobranza!$B150,Recibos!Z$4:Z$7493)</f>
        <v>200</v>
      </c>
      <c r="BO150" s="311">
        <f>SUMIF(Recibos!$D$4:$D$7493,Cobranza!$B150,Recibos!AA$4:AA$7493)</f>
        <v>200</v>
      </c>
      <c r="BP150" s="311">
        <f>SUMIF(Recibos!$D$4:$D$7493,Cobranza!$B150,Recibos!AB$4:AB$7493)</f>
        <v>200</v>
      </c>
      <c r="BQ150" s="311">
        <f>SUMIF(Recibos!$D$4:$D$7493,Cobranza!$B150,Recibos!AC$4:AC$7493)</f>
        <v>200</v>
      </c>
      <c r="BR150" s="311">
        <f>SUMIF(Recibos!$D$4:$D$7493,Cobranza!$B150,Recibos!AD$4:AD$7493)</f>
        <v>200</v>
      </c>
      <c r="BS150" s="311">
        <f>SUMIF(Recibos!$D$4:$D$7493,Cobranza!$B150,Recibos!AE$4:AE$7493)</f>
        <v>200</v>
      </c>
      <c r="BT150" s="311">
        <f>SUMIF(Recibos!$D$4:$D$7493,Cobranza!$B150,Recibos!AF$4:AF$7493)</f>
        <v>200</v>
      </c>
      <c r="BU150" s="311">
        <f>SUMIF(Recibos!$D$4:$D$7493,Cobranza!$B150,Recibos!AG$4:AG$7493)</f>
        <v>200</v>
      </c>
      <c r="BV150" s="311">
        <f>SUMIF(Recibos!$D$4:$D$7493,Cobranza!$B150,Recibos!AH$4:AH$7493)</f>
        <v>200</v>
      </c>
      <c r="BW150" s="311">
        <f>SUMIF(Recibos!$D$4:$D$7493,Cobranza!$B150,Recibos!AI$4:AI$7493)</f>
        <v>200</v>
      </c>
      <c r="BX150" s="312">
        <f t="shared" si="30"/>
        <v>2400</v>
      </c>
      <c r="BY150" s="311">
        <f>SUMIF(Recibos!$D$4:$D$7493,Cobranza!$B150,Recibos!AK$4:AK$7493)</f>
        <v>200</v>
      </c>
      <c r="BZ150" s="311">
        <f>SUMIF(Recibos!$D$4:$D$7493,Cobranza!$B150,Recibos!AL$4:AL$7493)</f>
        <v>200</v>
      </c>
      <c r="CA150" s="311">
        <f>SUMIF(Recibos!$D$4:$D$7493,Cobranza!$B150,Recibos!AM$4:AM$7493)</f>
        <v>200</v>
      </c>
      <c r="CB150" s="311">
        <f>SUMIF(Recibos!$D$4:$D$7493,Cobranza!$B150,Recibos!AN$4:AN$7493)</f>
        <v>200</v>
      </c>
      <c r="CC150" s="311">
        <f>SUMIF(Recibos!$D$4:$D$7493,Cobranza!$B150,Recibos!AO$4:AO$7493)</f>
        <v>200</v>
      </c>
      <c r="CD150" s="311">
        <f>SUMIF(Recibos!$D$4:$D$7493,Cobranza!$B150,Recibos!AP$4:AP$7493)</f>
        <v>200</v>
      </c>
      <c r="CE150" s="311">
        <f>SUMIF(Recibos!$D$4:$D$7493,Cobranza!$B150,Recibos!AQ$4:AQ$7493)</f>
        <v>200</v>
      </c>
      <c r="CF150" s="311">
        <f>SUMIF(Recibos!$D$4:$D$7493,Cobranza!$B150,Recibos!AR$4:AR$7493)</f>
        <v>200</v>
      </c>
      <c r="CG150" s="311">
        <f>SUMIF(Recibos!$D$4:$D$7493,Cobranza!$B150,Recibos!AS$4:AS$7493)</f>
        <v>200</v>
      </c>
      <c r="CH150" s="311">
        <f>SUMIF(Recibos!$D$4:$D$7493,Cobranza!$B150,Recibos!AT$4:AT$7493)</f>
        <v>200</v>
      </c>
      <c r="CI150" s="311">
        <f>SUMIF(Recibos!$D$4:$D$7493,Cobranza!$B150,Recibos!AU$4:AU$7493)</f>
        <v>200</v>
      </c>
      <c r="CJ150" s="311">
        <f>SUMIF(Recibos!$D$4:$D$7493,Cobranza!$B150,Recibos!AV$4:AV$7493)</f>
        <v>200</v>
      </c>
      <c r="CK150" s="312">
        <f t="shared" si="24"/>
        <v>2400</v>
      </c>
    </row>
    <row r="151" spans="2:89" x14ac:dyDescent="0.2">
      <c r="B151" s="45" t="s">
        <v>529</v>
      </c>
      <c r="C151" s="45" t="s">
        <v>530</v>
      </c>
      <c r="D151" s="45" t="s">
        <v>531</v>
      </c>
      <c r="E151" s="46">
        <v>0</v>
      </c>
      <c r="F151" s="46">
        <v>0</v>
      </c>
      <c r="G151" s="46">
        <v>0</v>
      </c>
      <c r="H151" s="46">
        <v>0</v>
      </c>
      <c r="I151" s="46">
        <v>300</v>
      </c>
      <c r="J151" s="46">
        <v>300</v>
      </c>
      <c r="K151" s="47">
        <f t="shared" si="25"/>
        <v>600</v>
      </c>
      <c r="L151" s="46">
        <v>300</v>
      </c>
      <c r="M151" s="46">
        <v>300</v>
      </c>
      <c r="N151" s="46">
        <v>300</v>
      </c>
      <c r="O151" s="46">
        <v>0</v>
      </c>
      <c r="P151" s="46">
        <v>300</v>
      </c>
      <c r="Q151" s="46">
        <v>300</v>
      </c>
      <c r="R151" s="46">
        <v>300</v>
      </c>
      <c r="S151" s="46">
        <v>300</v>
      </c>
      <c r="T151" s="46">
        <v>150</v>
      </c>
      <c r="U151" s="46">
        <v>550</v>
      </c>
      <c r="V151" s="46">
        <v>400</v>
      </c>
      <c r="W151" s="46">
        <v>400</v>
      </c>
      <c r="X151" s="47">
        <f t="shared" si="26"/>
        <v>3600</v>
      </c>
      <c r="Y151" s="46">
        <v>400</v>
      </c>
      <c r="Z151" s="46">
        <v>400</v>
      </c>
      <c r="AA151" s="46">
        <v>400</v>
      </c>
      <c r="AB151" s="46">
        <v>400</v>
      </c>
      <c r="AC151" s="46">
        <v>400</v>
      </c>
      <c r="AD151" s="46">
        <v>400</v>
      </c>
      <c r="AE151" s="46">
        <v>0</v>
      </c>
      <c r="AF151" s="46">
        <v>0</v>
      </c>
      <c r="AG151" s="46">
        <v>0</v>
      </c>
      <c r="AH151" s="46">
        <v>400</v>
      </c>
      <c r="AI151" s="46">
        <v>400</v>
      </c>
      <c r="AJ151" s="46">
        <v>400</v>
      </c>
      <c r="AK151" s="47">
        <f t="shared" si="27"/>
        <v>3600</v>
      </c>
      <c r="AL151" s="46">
        <v>400</v>
      </c>
      <c r="AM151" s="46">
        <v>400</v>
      </c>
      <c r="AN151" s="46">
        <v>400</v>
      </c>
      <c r="AO151" s="46">
        <v>400</v>
      </c>
      <c r="AP151" s="46">
        <v>400</v>
      </c>
      <c r="AQ151" s="46">
        <v>400</v>
      </c>
      <c r="AR151" s="46">
        <v>400</v>
      </c>
      <c r="AS151" s="46">
        <v>400</v>
      </c>
      <c r="AT151" s="46">
        <v>400</v>
      </c>
      <c r="AU151" s="46">
        <v>400</v>
      </c>
      <c r="AV151" s="46">
        <v>400</v>
      </c>
      <c r="AW151" s="46">
        <v>400</v>
      </c>
      <c r="AX151" s="47">
        <f t="shared" si="28"/>
        <v>4800</v>
      </c>
      <c r="AY151" s="313">
        <f>SUMIF(Recibos!$D$4:$D$7493,Cobranza!$B151,Recibos!K$4:K$7493)</f>
        <v>400</v>
      </c>
      <c r="AZ151" s="313">
        <f>SUMIF(Recibos!$D$4:$D$7493,Cobranza!$B151,Recibos!L$4:L$7493)</f>
        <v>400</v>
      </c>
      <c r="BA151" s="313">
        <f>SUMIF(Recibos!$D$4:$D$7493,Cobranza!$B151,Recibos!M$4:M$7493)</f>
        <v>400</v>
      </c>
      <c r="BB151" s="313">
        <f>SUMIF(Recibos!$D$4:$D$7493,Cobranza!$B151,Recibos!N$4:N$7493)</f>
        <v>400</v>
      </c>
      <c r="BC151" s="313">
        <f>SUMIF(Recibos!$D$4:$D$7493,Cobranza!$B151,Recibos!O$4:O$7493)</f>
        <v>400</v>
      </c>
      <c r="BD151" s="313">
        <f>SUMIF(Recibos!$D$4:$D$7493,Cobranza!$B151,Recibos!P$4:P$7493)</f>
        <v>400</v>
      </c>
      <c r="BE151" s="313">
        <f>SUMIF(Recibos!$D$4:$D$7493,Cobranza!$B151,Recibos!Q$4:Q$7493)</f>
        <v>400</v>
      </c>
      <c r="BF151" s="313">
        <f>SUMIF(Recibos!$D$4:$D$7493,Cobranza!$B151,Recibos!R$4:R$7493)</f>
        <v>400</v>
      </c>
      <c r="BG151" s="313">
        <f>SUMIF(Recibos!$D$4:$D$7493,Cobranza!$B151,Recibos!S$4:S$7493)</f>
        <v>400</v>
      </c>
      <c r="BH151" s="313">
        <f>SUMIF(Recibos!$D$4:$D$7493,Cobranza!$B151,Recibos!T$4:T$7493)</f>
        <v>400</v>
      </c>
      <c r="BI151" s="313">
        <f>SUMIF(Recibos!$D$4:$D$7493,Cobranza!$B151,Recibos!U$4:U$7493)</f>
        <v>400</v>
      </c>
      <c r="BJ151" s="313">
        <f>SUMIF(Recibos!$D$4:$D$7493,Cobranza!$B151,Recibos!V$4:V$7493)</f>
        <v>400</v>
      </c>
      <c r="BK151" s="314">
        <f t="shared" si="29"/>
        <v>4800</v>
      </c>
      <c r="BL151" s="313">
        <f>SUMIF(Recibos!$D$4:$D$7493,Cobranza!$B151,Recibos!X$4:X$7493)</f>
        <v>400</v>
      </c>
      <c r="BM151" s="313">
        <f>SUMIF(Recibos!$D$4:$D$7493,Cobranza!$B151,Recibos!Y$4:Y$7493)</f>
        <v>400</v>
      </c>
      <c r="BN151" s="313">
        <f>SUMIF(Recibos!$D$4:$D$7493,Cobranza!$B151,Recibos!Z$4:Z$7493)</f>
        <v>400</v>
      </c>
      <c r="BO151" s="313">
        <f>SUMIF(Recibos!$D$4:$D$7493,Cobranza!$B151,Recibos!AA$4:AA$7493)</f>
        <v>400</v>
      </c>
      <c r="BP151" s="313">
        <f>SUMIF(Recibos!$D$4:$D$7493,Cobranza!$B151,Recibos!AB$4:AB$7493)</f>
        <v>400</v>
      </c>
      <c r="BQ151" s="313">
        <f>SUMIF(Recibos!$D$4:$D$7493,Cobranza!$B151,Recibos!AC$4:AC$7493)</f>
        <v>400</v>
      </c>
      <c r="BR151" s="313">
        <f>SUMIF(Recibos!$D$4:$D$7493,Cobranza!$B151,Recibos!AD$4:AD$7493)</f>
        <v>400</v>
      </c>
      <c r="BS151" s="313">
        <f>SUMIF(Recibos!$D$4:$D$7493,Cobranza!$B151,Recibos!AE$4:AE$7493)</f>
        <v>400</v>
      </c>
      <c r="BT151" s="313">
        <f>SUMIF(Recibos!$D$4:$D$7493,Cobranza!$B151,Recibos!AF$4:AF$7493)</f>
        <v>400</v>
      </c>
      <c r="BU151" s="313">
        <f>SUMIF(Recibos!$D$4:$D$7493,Cobranza!$B151,Recibos!AG$4:AG$7493)</f>
        <v>400</v>
      </c>
      <c r="BV151" s="313">
        <f>SUMIF(Recibos!$D$4:$D$7493,Cobranza!$B151,Recibos!AH$4:AH$7493)</f>
        <v>400</v>
      </c>
      <c r="BW151" s="313">
        <f>SUMIF(Recibos!$D$4:$D$7493,Cobranza!$B151,Recibos!AI$4:AI$7493)</f>
        <v>400</v>
      </c>
      <c r="BX151" s="314">
        <f t="shared" si="30"/>
        <v>4800</v>
      </c>
      <c r="BY151" s="313">
        <f>SUMIF(Recibos!$D$4:$D$7493,Cobranza!$B151,Recibos!AK$4:AK$7493)</f>
        <v>400</v>
      </c>
      <c r="BZ151" s="313">
        <f>SUMIF(Recibos!$D$4:$D$7493,Cobranza!$B151,Recibos!AL$4:AL$7493)</f>
        <v>400</v>
      </c>
      <c r="CA151" s="313">
        <f>SUMIF(Recibos!$D$4:$D$7493,Cobranza!$B151,Recibos!AM$4:AM$7493)</f>
        <v>400</v>
      </c>
      <c r="CB151" s="313">
        <f>SUMIF(Recibos!$D$4:$D$7493,Cobranza!$B151,Recibos!AN$4:AN$7493)</f>
        <v>400</v>
      </c>
      <c r="CC151" s="313">
        <f>SUMIF(Recibos!$D$4:$D$7493,Cobranza!$B151,Recibos!AO$4:AO$7493)</f>
        <v>400</v>
      </c>
      <c r="CD151" s="313">
        <f>SUMIF(Recibos!$D$4:$D$7493,Cobranza!$B151,Recibos!AP$4:AP$7493)</f>
        <v>400</v>
      </c>
      <c r="CE151" s="313">
        <f>SUMIF(Recibos!$D$4:$D$7493,Cobranza!$B151,Recibos!AQ$4:AQ$7493)</f>
        <v>400</v>
      </c>
      <c r="CF151" s="313">
        <f>SUMIF(Recibos!$D$4:$D$7493,Cobranza!$B151,Recibos!AR$4:AR$7493)</f>
        <v>0</v>
      </c>
      <c r="CG151" s="313">
        <f>SUMIF(Recibos!$D$4:$D$7493,Cobranza!$B151,Recibos!AS$4:AS$7493)</f>
        <v>0</v>
      </c>
      <c r="CH151" s="313">
        <f>SUMIF(Recibos!$D$4:$D$7493,Cobranza!$B151,Recibos!AT$4:AT$7493)</f>
        <v>0</v>
      </c>
      <c r="CI151" s="313">
        <f>SUMIF(Recibos!$D$4:$D$7493,Cobranza!$B151,Recibos!AU$4:AU$7493)</f>
        <v>0</v>
      </c>
      <c r="CJ151" s="313">
        <f>SUMIF(Recibos!$D$4:$D$7493,Cobranza!$B151,Recibos!AV$4:AV$7493)</f>
        <v>0</v>
      </c>
      <c r="CK151" s="314">
        <f t="shared" si="24"/>
        <v>2800</v>
      </c>
    </row>
    <row r="152" spans="2:89" x14ac:dyDescent="0.2">
      <c r="B152" s="42" t="s">
        <v>1329</v>
      </c>
      <c r="C152" s="42" t="s">
        <v>1330</v>
      </c>
      <c r="D152" s="42" t="s">
        <v>264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4">
        <f t="shared" si="25"/>
        <v>0</v>
      </c>
      <c r="L152" s="43">
        <v>0</v>
      </c>
      <c r="M152" s="43">
        <v>0</v>
      </c>
      <c r="N152" s="43">
        <v>300</v>
      </c>
      <c r="O152" s="43">
        <v>300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4">
        <f t="shared" si="26"/>
        <v>600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4">
        <f t="shared" si="27"/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4">
        <f t="shared" si="28"/>
        <v>0</v>
      </c>
      <c r="AY152" s="311">
        <f>SUMIF(Recibos!$D$4:$D$7493,Cobranza!$B152,Recibos!K$4:K$7493)</f>
        <v>0</v>
      </c>
      <c r="AZ152" s="311">
        <f>SUMIF(Recibos!$D$4:$D$7493,Cobranza!$B152,Recibos!L$4:L$7493)</f>
        <v>0</v>
      </c>
      <c r="BA152" s="311">
        <f>SUMIF(Recibos!$D$4:$D$7493,Cobranza!$B152,Recibos!M$4:M$7493)</f>
        <v>0</v>
      </c>
      <c r="BB152" s="311">
        <f>SUMIF(Recibos!$D$4:$D$7493,Cobranza!$B152,Recibos!N$4:N$7493)</f>
        <v>0</v>
      </c>
      <c r="BC152" s="311">
        <f>SUMIF(Recibos!$D$4:$D$7493,Cobranza!$B152,Recibos!O$4:O$7493)</f>
        <v>0</v>
      </c>
      <c r="BD152" s="311">
        <f>SUMIF(Recibos!$D$4:$D$7493,Cobranza!$B152,Recibos!P$4:P$7493)</f>
        <v>0</v>
      </c>
      <c r="BE152" s="311">
        <f>SUMIF(Recibos!$D$4:$D$7493,Cobranza!$B152,Recibos!Q$4:Q$7493)</f>
        <v>0</v>
      </c>
      <c r="BF152" s="311">
        <f>SUMIF(Recibos!$D$4:$D$7493,Cobranza!$B152,Recibos!R$4:R$7493)</f>
        <v>0</v>
      </c>
      <c r="BG152" s="311">
        <f>SUMIF(Recibos!$D$4:$D$7493,Cobranza!$B152,Recibos!S$4:S$7493)</f>
        <v>0</v>
      </c>
      <c r="BH152" s="311">
        <f>SUMIF(Recibos!$D$4:$D$7493,Cobranza!$B152,Recibos!T$4:T$7493)</f>
        <v>0</v>
      </c>
      <c r="BI152" s="311">
        <f>SUMIF(Recibos!$D$4:$D$7493,Cobranza!$B152,Recibos!U$4:U$7493)</f>
        <v>0</v>
      </c>
      <c r="BJ152" s="311">
        <f>SUMIF(Recibos!$D$4:$D$7493,Cobranza!$B152,Recibos!V$4:V$7493)</f>
        <v>0</v>
      </c>
      <c r="BK152" s="312">
        <f t="shared" si="29"/>
        <v>0</v>
      </c>
      <c r="BL152" s="311">
        <f>SUMIF(Recibos!$D$4:$D$7493,Cobranza!$B152,Recibos!X$4:X$7493)</f>
        <v>0</v>
      </c>
      <c r="BM152" s="311">
        <f>SUMIF(Recibos!$D$4:$D$7493,Cobranza!$B152,Recibos!Y$4:Y$7493)</f>
        <v>0</v>
      </c>
      <c r="BN152" s="311">
        <f>SUMIF(Recibos!$D$4:$D$7493,Cobranza!$B152,Recibos!Z$4:Z$7493)</f>
        <v>0</v>
      </c>
      <c r="BO152" s="311">
        <f>SUMIF(Recibos!$D$4:$D$7493,Cobranza!$B152,Recibos!AA$4:AA$7493)</f>
        <v>0</v>
      </c>
      <c r="BP152" s="311">
        <f>SUMIF(Recibos!$D$4:$D$7493,Cobranza!$B152,Recibos!AB$4:AB$7493)</f>
        <v>0</v>
      </c>
      <c r="BQ152" s="311">
        <f>SUMIF(Recibos!$D$4:$D$7493,Cobranza!$B152,Recibos!AC$4:AC$7493)</f>
        <v>0</v>
      </c>
      <c r="BR152" s="311">
        <f>SUMIF(Recibos!$D$4:$D$7493,Cobranza!$B152,Recibos!AD$4:AD$7493)</f>
        <v>0</v>
      </c>
      <c r="BS152" s="311">
        <f>SUMIF(Recibos!$D$4:$D$7493,Cobranza!$B152,Recibos!AE$4:AE$7493)</f>
        <v>0</v>
      </c>
      <c r="BT152" s="311">
        <f>SUMIF(Recibos!$D$4:$D$7493,Cobranza!$B152,Recibos!AF$4:AF$7493)</f>
        <v>0</v>
      </c>
      <c r="BU152" s="311">
        <f>SUMIF(Recibos!$D$4:$D$7493,Cobranza!$B152,Recibos!AG$4:AG$7493)</f>
        <v>0</v>
      </c>
      <c r="BV152" s="311">
        <f>SUMIF(Recibos!$D$4:$D$7493,Cobranza!$B152,Recibos!AH$4:AH$7493)</f>
        <v>0</v>
      </c>
      <c r="BW152" s="311">
        <f>SUMIF(Recibos!$D$4:$D$7493,Cobranza!$B152,Recibos!AI$4:AI$7493)</f>
        <v>0</v>
      </c>
      <c r="BX152" s="312">
        <f t="shared" si="30"/>
        <v>0</v>
      </c>
      <c r="BY152" s="311">
        <f>SUMIF(Recibos!$D$4:$D$7493,Cobranza!$B152,Recibos!AK$4:AK$7493)</f>
        <v>0</v>
      </c>
      <c r="BZ152" s="311">
        <f>SUMIF(Recibos!$D$4:$D$7493,Cobranza!$B152,Recibos!AL$4:AL$7493)</f>
        <v>0</v>
      </c>
      <c r="CA152" s="311">
        <f>SUMIF(Recibos!$D$4:$D$7493,Cobranza!$B152,Recibos!AM$4:AM$7493)</f>
        <v>0</v>
      </c>
      <c r="CB152" s="311">
        <f>SUMIF(Recibos!$D$4:$D$7493,Cobranza!$B152,Recibos!AN$4:AN$7493)</f>
        <v>0</v>
      </c>
      <c r="CC152" s="311">
        <f>SUMIF(Recibos!$D$4:$D$7493,Cobranza!$B152,Recibos!AO$4:AO$7493)</f>
        <v>0</v>
      </c>
      <c r="CD152" s="311">
        <f>SUMIF(Recibos!$D$4:$D$7493,Cobranza!$B152,Recibos!AP$4:AP$7493)</f>
        <v>0</v>
      </c>
      <c r="CE152" s="311">
        <f>SUMIF(Recibos!$D$4:$D$7493,Cobranza!$B152,Recibos!AQ$4:AQ$7493)</f>
        <v>0</v>
      </c>
      <c r="CF152" s="311">
        <f>SUMIF(Recibos!$D$4:$D$7493,Cobranza!$B152,Recibos!AR$4:AR$7493)</f>
        <v>0</v>
      </c>
      <c r="CG152" s="311">
        <f>SUMIF(Recibos!$D$4:$D$7493,Cobranza!$B152,Recibos!AS$4:AS$7493)</f>
        <v>0</v>
      </c>
      <c r="CH152" s="311">
        <f>SUMIF(Recibos!$D$4:$D$7493,Cobranza!$B152,Recibos!AT$4:AT$7493)</f>
        <v>0</v>
      </c>
      <c r="CI152" s="311">
        <f>SUMIF(Recibos!$D$4:$D$7493,Cobranza!$B152,Recibos!AU$4:AU$7493)</f>
        <v>0</v>
      </c>
      <c r="CJ152" s="311">
        <f>SUMIF(Recibos!$D$4:$D$7493,Cobranza!$B152,Recibos!AV$4:AV$7493)</f>
        <v>0</v>
      </c>
      <c r="CK152" s="312">
        <f t="shared" si="24"/>
        <v>0</v>
      </c>
    </row>
    <row r="153" spans="2:89" x14ac:dyDescent="0.2">
      <c r="B153" s="45" t="s">
        <v>1331</v>
      </c>
      <c r="C153" s="45" t="s">
        <v>1332</v>
      </c>
      <c r="D153" s="45" t="s">
        <v>4430</v>
      </c>
      <c r="E153" s="46">
        <v>0</v>
      </c>
      <c r="F153" s="46">
        <v>0</v>
      </c>
      <c r="G153" s="46">
        <v>0</v>
      </c>
      <c r="H153" s="46">
        <v>0</v>
      </c>
      <c r="I153" s="46">
        <v>0</v>
      </c>
      <c r="J153" s="46">
        <v>0</v>
      </c>
      <c r="K153" s="47">
        <f t="shared" si="25"/>
        <v>0</v>
      </c>
      <c r="L153" s="46">
        <v>0</v>
      </c>
      <c r="M153" s="46">
        <v>0</v>
      </c>
      <c r="N153" s="46">
        <v>0</v>
      </c>
      <c r="O153" s="46">
        <v>0</v>
      </c>
      <c r="P153" s="46">
        <v>0</v>
      </c>
      <c r="Q153" s="46">
        <v>0</v>
      </c>
      <c r="R153" s="46">
        <v>0</v>
      </c>
      <c r="S153" s="46">
        <v>0</v>
      </c>
      <c r="T153" s="46">
        <v>0</v>
      </c>
      <c r="U153" s="46">
        <v>0</v>
      </c>
      <c r="V153" s="46">
        <v>0</v>
      </c>
      <c r="W153" s="46">
        <v>0</v>
      </c>
      <c r="X153" s="47">
        <f t="shared" si="26"/>
        <v>0</v>
      </c>
      <c r="Y153" s="46">
        <v>0</v>
      </c>
      <c r="Z153" s="46">
        <v>0</v>
      </c>
      <c r="AA153" s="46">
        <v>200</v>
      </c>
      <c r="AB153" s="46">
        <v>0</v>
      </c>
      <c r="AC153" s="46">
        <v>0</v>
      </c>
      <c r="AD153" s="46">
        <v>0</v>
      </c>
      <c r="AE153" s="46">
        <v>0</v>
      </c>
      <c r="AF153" s="46">
        <v>0</v>
      </c>
      <c r="AG153" s="46">
        <v>0</v>
      </c>
      <c r="AH153" s="46">
        <v>0</v>
      </c>
      <c r="AI153" s="46">
        <v>0</v>
      </c>
      <c r="AJ153" s="46">
        <v>0</v>
      </c>
      <c r="AK153" s="47">
        <f t="shared" si="27"/>
        <v>200</v>
      </c>
      <c r="AL153" s="46">
        <v>0</v>
      </c>
      <c r="AM153" s="46">
        <v>0</v>
      </c>
      <c r="AN153" s="46">
        <v>0</v>
      </c>
      <c r="AO153" s="46">
        <v>0</v>
      </c>
      <c r="AP153" s="46">
        <v>0</v>
      </c>
      <c r="AQ153" s="46">
        <v>0</v>
      </c>
      <c r="AR153" s="46">
        <v>0</v>
      </c>
      <c r="AS153" s="46">
        <v>0</v>
      </c>
      <c r="AT153" s="46">
        <v>0</v>
      </c>
      <c r="AU153" s="46">
        <v>0</v>
      </c>
      <c r="AV153" s="46">
        <v>0</v>
      </c>
      <c r="AW153" s="46">
        <v>0</v>
      </c>
      <c r="AX153" s="47">
        <f t="shared" si="28"/>
        <v>0</v>
      </c>
      <c r="AY153" s="313">
        <f>SUMIF(Recibos!$D$4:$D$7493,Cobranza!$B153,Recibos!K$4:K$7493)</f>
        <v>0</v>
      </c>
      <c r="AZ153" s="313">
        <f>SUMIF(Recibos!$D$4:$D$7493,Cobranza!$B153,Recibos!L$4:L$7493)</f>
        <v>0</v>
      </c>
      <c r="BA153" s="313">
        <f>SUMIF(Recibos!$D$4:$D$7493,Cobranza!$B153,Recibos!M$4:M$7493)</f>
        <v>0</v>
      </c>
      <c r="BB153" s="313">
        <f>SUMIF(Recibos!$D$4:$D$7493,Cobranza!$B153,Recibos!N$4:N$7493)</f>
        <v>0</v>
      </c>
      <c r="BC153" s="313">
        <f>SUMIF(Recibos!$D$4:$D$7493,Cobranza!$B153,Recibos!O$4:O$7493)</f>
        <v>0</v>
      </c>
      <c r="BD153" s="313">
        <f>SUMIF(Recibos!$D$4:$D$7493,Cobranza!$B153,Recibos!P$4:P$7493)</f>
        <v>0</v>
      </c>
      <c r="BE153" s="313">
        <f>SUMIF(Recibos!$D$4:$D$7493,Cobranza!$B153,Recibos!Q$4:Q$7493)</f>
        <v>0</v>
      </c>
      <c r="BF153" s="313">
        <f>SUMIF(Recibos!$D$4:$D$7493,Cobranza!$B153,Recibos!R$4:R$7493)</f>
        <v>0</v>
      </c>
      <c r="BG153" s="313">
        <f>SUMIF(Recibos!$D$4:$D$7493,Cobranza!$B153,Recibos!S$4:S$7493)</f>
        <v>0</v>
      </c>
      <c r="BH153" s="313">
        <f>SUMIF(Recibos!$D$4:$D$7493,Cobranza!$B153,Recibos!T$4:T$7493)</f>
        <v>0</v>
      </c>
      <c r="BI153" s="313">
        <f>SUMIF(Recibos!$D$4:$D$7493,Cobranza!$B153,Recibos!U$4:U$7493)</f>
        <v>0</v>
      </c>
      <c r="BJ153" s="313">
        <f>SUMIF(Recibos!$D$4:$D$7493,Cobranza!$B153,Recibos!V$4:V$7493)</f>
        <v>0</v>
      </c>
      <c r="BK153" s="314">
        <f t="shared" si="29"/>
        <v>0</v>
      </c>
      <c r="BL153" s="313">
        <f>SUMIF(Recibos!$D$4:$D$7493,Cobranza!$B153,Recibos!X$4:X$7493)</f>
        <v>0</v>
      </c>
      <c r="BM153" s="313">
        <f>SUMIF(Recibos!$D$4:$D$7493,Cobranza!$B153,Recibos!Y$4:Y$7493)</f>
        <v>400</v>
      </c>
      <c r="BN153" s="313">
        <f>SUMIF(Recibos!$D$4:$D$7493,Cobranza!$B153,Recibos!Z$4:Z$7493)</f>
        <v>400</v>
      </c>
      <c r="BO153" s="313">
        <f>SUMIF(Recibos!$D$4:$D$7493,Cobranza!$B153,Recibos!AA$4:AA$7493)</f>
        <v>400</v>
      </c>
      <c r="BP153" s="313">
        <f>SUMIF(Recibos!$D$4:$D$7493,Cobranza!$B153,Recibos!AB$4:AB$7493)</f>
        <v>400</v>
      </c>
      <c r="BQ153" s="313">
        <f>SUMIF(Recibos!$D$4:$D$7493,Cobranza!$B153,Recibos!AC$4:AC$7493)</f>
        <v>400</v>
      </c>
      <c r="BR153" s="313">
        <f>SUMIF(Recibos!$D$4:$D$7493,Cobranza!$B153,Recibos!AD$4:AD$7493)</f>
        <v>400</v>
      </c>
      <c r="BS153" s="313">
        <f>SUMIF(Recibos!$D$4:$D$7493,Cobranza!$B153,Recibos!AE$4:AE$7493)</f>
        <v>400</v>
      </c>
      <c r="BT153" s="313">
        <f>SUMIF(Recibos!$D$4:$D$7493,Cobranza!$B153,Recibos!AF$4:AF$7493)</f>
        <v>400</v>
      </c>
      <c r="BU153" s="313">
        <f>SUMIF(Recibos!$D$4:$D$7493,Cobranza!$B153,Recibos!AG$4:AG$7493)</f>
        <v>400</v>
      </c>
      <c r="BV153" s="313">
        <f>SUMIF(Recibos!$D$4:$D$7493,Cobranza!$B153,Recibos!AH$4:AH$7493)</f>
        <v>400</v>
      </c>
      <c r="BW153" s="313">
        <f>SUMIF(Recibos!$D$4:$D$7493,Cobranza!$B153,Recibos!AI$4:AI$7493)</f>
        <v>400</v>
      </c>
      <c r="BX153" s="314">
        <f t="shared" si="30"/>
        <v>4400</v>
      </c>
      <c r="BY153" s="313">
        <f>SUMIF(Recibos!$D$4:$D$7493,Cobranza!$B153,Recibos!AK$4:AK$7493)</f>
        <v>400</v>
      </c>
      <c r="BZ153" s="313">
        <f>SUMIF(Recibos!$D$4:$D$7493,Cobranza!$B153,Recibos!AL$4:AL$7493)</f>
        <v>400</v>
      </c>
      <c r="CA153" s="313">
        <f>SUMIF(Recibos!$D$4:$D$7493,Cobranza!$B153,Recibos!AM$4:AM$7493)</f>
        <v>200</v>
      </c>
      <c r="CB153" s="313">
        <f>SUMIF(Recibos!$D$4:$D$7493,Cobranza!$B153,Recibos!AN$4:AN$7493)</f>
        <v>200</v>
      </c>
      <c r="CC153" s="313">
        <f>SUMIF(Recibos!$D$4:$D$7493,Cobranza!$B153,Recibos!AO$4:AO$7493)</f>
        <v>200</v>
      </c>
      <c r="CD153" s="313">
        <f>SUMIF(Recibos!$D$4:$D$7493,Cobranza!$B153,Recibos!AP$4:AP$7493)</f>
        <v>200</v>
      </c>
      <c r="CE153" s="313">
        <f>SUMIF(Recibos!$D$4:$D$7493,Cobranza!$B153,Recibos!AQ$4:AQ$7493)</f>
        <v>200</v>
      </c>
      <c r="CF153" s="313">
        <f>SUMIF(Recibos!$D$4:$D$7493,Cobranza!$B153,Recibos!AR$4:AR$7493)</f>
        <v>200</v>
      </c>
      <c r="CG153" s="313">
        <f>SUMIF(Recibos!$D$4:$D$7493,Cobranza!$B153,Recibos!AS$4:AS$7493)</f>
        <v>200</v>
      </c>
      <c r="CH153" s="313">
        <f>SUMIF(Recibos!$D$4:$D$7493,Cobranza!$B153,Recibos!AT$4:AT$7493)</f>
        <v>200</v>
      </c>
      <c r="CI153" s="313">
        <f>SUMIF(Recibos!$D$4:$D$7493,Cobranza!$B153,Recibos!AU$4:AU$7493)</f>
        <v>0</v>
      </c>
      <c r="CJ153" s="313">
        <f>SUMIF(Recibos!$D$4:$D$7493,Cobranza!$B153,Recibos!AV$4:AV$7493)</f>
        <v>0</v>
      </c>
      <c r="CK153" s="314">
        <f t="shared" si="24"/>
        <v>2400</v>
      </c>
    </row>
    <row r="154" spans="2:89" x14ac:dyDescent="0.2">
      <c r="B154" s="42" t="s">
        <v>1333</v>
      </c>
      <c r="C154" s="42" t="s">
        <v>1334</v>
      </c>
      <c r="D154" s="42"/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4">
        <f t="shared" si="25"/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4">
        <f t="shared" si="26"/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4">
        <f t="shared" si="27"/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4">
        <f t="shared" si="28"/>
        <v>0</v>
      </c>
      <c r="AY154" s="311">
        <f>SUMIF(Recibos!$D$4:$D$7493,Cobranza!$B154,Recibos!K$4:K$7493)</f>
        <v>0</v>
      </c>
      <c r="AZ154" s="311">
        <f>SUMIF(Recibos!$D$4:$D$7493,Cobranza!$B154,Recibos!L$4:L$7493)</f>
        <v>0</v>
      </c>
      <c r="BA154" s="311">
        <f>SUMIF(Recibos!$D$4:$D$7493,Cobranza!$B154,Recibos!M$4:M$7493)</f>
        <v>0</v>
      </c>
      <c r="BB154" s="311">
        <f>SUMIF(Recibos!$D$4:$D$7493,Cobranza!$B154,Recibos!N$4:N$7493)</f>
        <v>0</v>
      </c>
      <c r="BC154" s="311">
        <f>SUMIF(Recibos!$D$4:$D$7493,Cobranza!$B154,Recibos!O$4:O$7493)</f>
        <v>0</v>
      </c>
      <c r="BD154" s="311">
        <f>SUMIF(Recibos!$D$4:$D$7493,Cobranza!$B154,Recibos!P$4:P$7493)</f>
        <v>0</v>
      </c>
      <c r="BE154" s="311">
        <f>SUMIF(Recibos!$D$4:$D$7493,Cobranza!$B154,Recibos!Q$4:Q$7493)</f>
        <v>0</v>
      </c>
      <c r="BF154" s="311">
        <f>SUMIF(Recibos!$D$4:$D$7493,Cobranza!$B154,Recibos!R$4:R$7493)</f>
        <v>0</v>
      </c>
      <c r="BG154" s="311">
        <f>SUMIF(Recibos!$D$4:$D$7493,Cobranza!$B154,Recibos!S$4:S$7493)</f>
        <v>0</v>
      </c>
      <c r="BH154" s="311">
        <f>SUMIF(Recibos!$D$4:$D$7493,Cobranza!$B154,Recibos!T$4:T$7493)</f>
        <v>0</v>
      </c>
      <c r="BI154" s="311">
        <f>SUMIF(Recibos!$D$4:$D$7493,Cobranza!$B154,Recibos!U$4:U$7493)</f>
        <v>0</v>
      </c>
      <c r="BJ154" s="311">
        <f>SUMIF(Recibos!$D$4:$D$7493,Cobranza!$B154,Recibos!V$4:V$7493)</f>
        <v>0</v>
      </c>
      <c r="BK154" s="312">
        <f t="shared" si="29"/>
        <v>0</v>
      </c>
      <c r="BL154" s="311">
        <f>SUMIF(Recibos!$D$4:$D$7493,Cobranza!$B154,Recibos!X$4:X$7493)</f>
        <v>0</v>
      </c>
      <c r="BM154" s="311">
        <f>SUMIF(Recibos!$D$4:$D$7493,Cobranza!$B154,Recibos!Y$4:Y$7493)</f>
        <v>0</v>
      </c>
      <c r="BN154" s="311">
        <f>SUMIF(Recibos!$D$4:$D$7493,Cobranza!$B154,Recibos!Z$4:Z$7493)</f>
        <v>0</v>
      </c>
      <c r="BO154" s="311">
        <f>SUMIF(Recibos!$D$4:$D$7493,Cobranza!$B154,Recibos!AA$4:AA$7493)</f>
        <v>0</v>
      </c>
      <c r="BP154" s="311">
        <f>SUMIF(Recibos!$D$4:$D$7493,Cobranza!$B154,Recibos!AB$4:AB$7493)</f>
        <v>0</v>
      </c>
      <c r="BQ154" s="311">
        <f>SUMIF(Recibos!$D$4:$D$7493,Cobranza!$B154,Recibos!AC$4:AC$7493)</f>
        <v>0</v>
      </c>
      <c r="BR154" s="311">
        <f>SUMIF(Recibos!$D$4:$D$7493,Cobranza!$B154,Recibos!AD$4:AD$7493)</f>
        <v>0</v>
      </c>
      <c r="BS154" s="311">
        <f>SUMIF(Recibos!$D$4:$D$7493,Cobranza!$B154,Recibos!AE$4:AE$7493)</f>
        <v>0</v>
      </c>
      <c r="BT154" s="311">
        <f>SUMIF(Recibos!$D$4:$D$7493,Cobranza!$B154,Recibos!AF$4:AF$7493)</f>
        <v>0</v>
      </c>
      <c r="BU154" s="311">
        <f>SUMIF(Recibos!$D$4:$D$7493,Cobranza!$B154,Recibos!AG$4:AG$7493)</f>
        <v>0</v>
      </c>
      <c r="BV154" s="311">
        <f>SUMIF(Recibos!$D$4:$D$7493,Cobranza!$B154,Recibos!AH$4:AH$7493)</f>
        <v>0</v>
      </c>
      <c r="BW154" s="311">
        <f>SUMIF(Recibos!$D$4:$D$7493,Cobranza!$B154,Recibos!AI$4:AI$7493)</f>
        <v>0</v>
      </c>
      <c r="BX154" s="312">
        <f t="shared" si="30"/>
        <v>0</v>
      </c>
      <c r="BY154" s="311">
        <f>SUMIF(Recibos!$D$4:$D$7493,Cobranza!$B154,Recibos!AK$4:AK$7493)</f>
        <v>0</v>
      </c>
      <c r="BZ154" s="311">
        <f>SUMIF(Recibos!$D$4:$D$7493,Cobranza!$B154,Recibos!AL$4:AL$7493)</f>
        <v>0</v>
      </c>
      <c r="CA154" s="311">
        <f>SUMIF(Recibos!$D$4:$D$7493,Cobranza!$B154,Recibos!AM$4:AM$7493)</f>
        <v>0</v>
      </c>
      <c r="CB154" s="311">
        <f>SUMIF(Recibos!$D$4:$D$7493,Cobranza!$B154,Recibos!AN$4:AN$7493)</f>
        <v>0</v>
      </c>
      <c r="CC154" s="311">
        <f>SUMIF(Recibos!$D$4:$D$7493,Cobranza!$B154,Recibos!AO$4:AO$7493)</f>
        <v>0</v>
      </c>
      <c r="CD154" s="311">
        <f>SUMIF(Recibos!$D$4:$D$7493,Cobranza!$B154,Recibos!AP$4:AP$7493)</f>
        <v>0</v>
      </c>
      <c r="CE154" s="311">
        <f>SUMIF(Recibos!$D$4:$D$7493,Cobranza!$B154,Recibos!AQ$4:AQ$7493)</f>
        <v>0</v>
      </c>
      <c r="CF154" s="311">
        <f>SUMIF(Recibos!$D$4:$D$7493,Cobranza!$B154,Recibos!AR$4:AR$7493)</f>
        <v>0</v>
      </c>
      <c r="CG154" s="311">
        <f>SUMIF(Recibos!$D$4:$D$7493,Cobranza!$B154,Recibos!AS$4:AS$7493)</f>
        <v>0</v>
      </c>
      <c r="CH154" s="311">
        <f>SUMIF(Recibos!$D$4:$D$7493,Cobranza!$B154,Recibos!AT$4:AT$7493)</f>
        <v>0</v>
      </c>
      <c r="CI154" s="311">
        <f>SUMIF(Recibos!$D$4:$D$7493,Cobranza!$B154,Recibos!AU$4:AU$7493)</f>
        <v>0</v>
      </c>
      <c r="CJ154" s="311">
        <f>SUMIF(Recibos!$D$4:$D$7493,Cobranza!$B154,Recibos!AV$4:AV$7493)</f>
        <v>0</v>
      </c>
      <c r="CK154" s="312">
        <f t="shared" si="24"/>
        <v>0</v>
      </c>
    </row>
    <row r="155" spans="2:89" x14ac:dyDescent="0.2">
      <c r="B155" s="45" t="s">
        <v>611</v>
      </c>
      <c r="C155" s="45" t="s">
        <v>612</v>
      </c>
      <c r="D155" s="45" t="s">
        <v>613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300</v>
      </c>
      <c r="K155" s="47">
        <f t="shared" si="25"/>
        <v>300</v>
      </c>
      <c r="L155" s="46">
        <v>300</v>
      </c>
      <c r="M155" s="46">
        <v>300</v>
      </c>
      <c r="N155" s="46">
        <v>300</v>
      </c>
      <c r="O155" s="46">
        <v>300</v>
      </c>
      <c r="P155" s="46">
        <v>300</v>
      </c>
      <c r="Q155" s="46">
        <v>0</v>
      </c>
      <c r="R155" s="46">
        <v>0</v>
      </c>
      <c r="S155" s="46">
        <v>0</v>
      </c>
      <c r="T155" s="46">
        <v>0</v>
      </c>
      <c r="U155" s="46">
        <v>0</v>
      </c>
      <c r="V155" s="46">
        <v>0</v>
      </c>
      <c r="W155" s="46">
        <v>400</v>
      </c>
      <c r="X155" s="47">
        <f t="shared" si="26"/>
        <v>1900</v>
      </c>
      <c r="Y155" s="46">
        <v>400</v>
      </c>
      <c r="Z155" s="46">
        <v>400</v>
      </c>
      <c r="AA155" s="46">
        <v>400</v>
      </c>
      <c r="AB155" s="46">
        <v>400</v>
      </c>
      <c r="AC155" s="46">
        <v>400</v>
      </c>
      <c r="AD155" s="46">
        <v>400</v>
      </c>
      <c r="AE155" s="46">
        <v>400</v>
      </c>
      <c r="AF155" s="46">
        <v>400</v>
      </c>
      <c r="AG155" s="46">
        <v>400</v>
      </c>
      <c r="AH155" s="46">
        <v>400</v>
      </c>
      <c r="AI155" s="46">
        <v>0</v>
      </c>
      <c r="AJ155" s="46">
        <v>400</v>
      </c>
      <c r="AK155" s="47">
        <f t="shared" si="27"/>
        <v>4400</v>
      </c>
      <c r="AL155" s="46">
        <v>400</v>
      </c>
      <c r="AM155" s="46">
        <v>400</v>
      </c>
      <c r="AN155" s="46">
        <v>400</v>
      </c>
      <c r="AO155" s="46">
        <v>400</v>
      </c>
      <c r="AP155" s="46">
        <v>400</v>
      </c>
      <c r="AQ155" s="46">
        <v>400</v>
      </c>
      <c r="AR155" s="46">
        <v>400</v>
      </c>
      <c r="AS155" s="46">
        <v>400</v>
      </c>
      <c r="AT155" s="46">
        <v>400</v>
      </c>
      <c r="AU155" s="46">
        <v>400</v>
      </c>
      <c r="AV155" s="46">
        <v>400</v>
      </c>
      <c r="AW155" s="46">
        <v>400</v>
      </c>
      <c r="AX155" s="47">
        <f t="shared" si="28"/>
        <v>4800</v>
      </c>
      <c r="AY155" s="313">
        <f>SUMIF(Recibos!$D$4:$D$7493,Cobranza!$B155,Recibos!K$4:K$7493)</f>
        <v>400</v>
      </c>
      <c r="AZ155" s="313">
        <f>SUMIF(Recibos!$D$4:$D$7493,Cobranza!$B155,Recibos!L$4:L$7493)</f>
        <v>400</v>
      </c>
      <c r="BA155" s="313">
        <f>SUMIF(Recibos!$D$4:$D$7493,Cobranza!$B155,Recibos!M$4:M$7493)</f>
        <v>400</v>
      </c>
      <c r="BB155" s="313">
        <f>SUMIF(Recibos!$D$4:$D$7493,Cobranza!$B155,Recibos!N$4:N$7493)</f>
        <v>400</v>
      </c>
      <c r="BC155" s="313">
        <f>SUMIF(Recibos!$D$4:$D$7493,Cobranza!$B155,Recibos!O$4:O$7493)</f>
        <v>400</v>
      </c>
      <c r="BD155" s="313">
        <f>SUMIF(Recibos!$D$4:$D$7493,Cobranza!$B155,Recibos!P$4:P$7493)</f>
        <v>400</v>
      </c>
      <c r="BE155" s="313">
        <f>SUMIF(Recibos!$D$4:$D$7493,Cobranza!$B155,Recibos!Q$4:Q$7493)</f>
        <v>400</v>
      </c>
      <c r="BF155" s="313">
        <f>SUMIF(Recibos!$D$4:$D$7493,Cobranza!$B155,Recibos!R$4:R$7493)</f>
        <v>400</v>
      </c>
      <c r="BG155" s="313">
        <f>SUMIF(Recibos!$D$4:$D$7493,Cobranza!$B155,Recibos!S$4:S$7493)</f>
        <v>400</v>
      </c>
      <c r="BH155" s="313">
        <f>SUMIF(Recibos!$D$4:$D$7493,Cobranza!$B155,Recibos!T$4:T$7493)</f>
        <v>400</v>
      </c>
      <c r="BI155" s="313">
        <f>SUMIF(Recibos!$D$4:$D$7493,Cobranza!$B155,Recibos!U$4:U$7493)</f>
        <v>400</v>
      </c>
      <c r="BJ155" s="313">
        <f>SUMIF(Recibos!$D$4:$D$7493,Cobranza!$B155,Recibos!V$4:V$7493)</f>
        <v>400</v>
      </c>
      <c r="BK155" s="314">
        <f t="shared" si="29"/>
        <v>4800</v>
      </c>
      <c r="BL155" s="313">
        <f>SUMIF(Recibos!$D$4:$D$7493,Cobranza!$B155,Recibos!X$4:X$7493)</f>
        <v>400</v>
      </c>
      <c r="BM155" s="313">
        <f>SUMIF(Recibos!$D$4:$D$7493,Cobranza!$B155,Recibos!Y$4:Y$7493)</f>
        <v>400</v>
      </c>
      <c r="BN155" s="313">
        <f>SUMIF(Recibos!$D$4:$D$7493,Cobranza!$B155,Recibos!Z$4:Z$7493)</f>
        <v>0</v>
      </c>
      <c r="BO155" s="313">
        <f>SUMIF(Recibos!$D$4:$D$7493,Cobranza!$B155,Recibos!AA$4:AA$7493)</f>
        <v>400</v>
      </c>
      <c r="BP155" s="313">
        <f>SUMIF(Recibos!$D$4:$D$7493,Cobranza!$B155,Recibos!AB$4:AB$7493)</f>
        <v>400</v>
      </c>
      <c r="BQ155" s="313">
        <f>SUMIF(Recibos!$D$4:$D$7493,Cobranza!$B155,Recibos!AC$4:AC$7493)</f>
        <v>400</v>
      </c>
      <c r="BR155" s="313">
        <f>SUMIF(Recibos!$D$4:$D$7493,Cobranza!$B155,Recibos!AD$4:AD$7493)</f>
        <v>400</v>
      </c>
      <c r="BS155" s="313">
        <f>SUMIF(Recibos!$D$4:$D$7493,Cobranza!$B155,Recibos!AE$4:AE$7493)</f>
        <v>400</v>
      </c>
      <c r="BT155" s="313">
        <f>SUMIF(Recibos!$D$4:$D$7493,Cobranza!$B155,Recibos!AF$4:AF$7493)</f>
        <v>400</v>
      </c>
      <c r="BU155" s="313">
        <f>SUMIF(Recibos!$D$4:$D$7493,Cobranza!$B155,Recibos!AG$4:AG$7493)</f>
        <v>400</v>
      </c>
      <c r="BV155" s="313">
        <f>SUMIF(Recibos!$D$4:$D$7493,Cobranza!$B155,Recibos!AH$4:AH$7493)</f>
        <v>400</v>
      </c>
      <c r="BW155" s="313">
        <f>SUMIF(Recibos!$D$4:$D$7493,Cobranza!$B155,Recibos!AI$4:AI$7493)</f>
        <v>400</v>
      </c>
      <c r="BX155" s="314">
        <f t="shared" si="30"/>
        <v>4400</v>
      </c>
      <c r="BY155" s="313">
        <f>SUMIF(Recibos!$D$4:$D$7493,Cobranza!$B155,Recibos!AK$4:AK$7493)</f>
        <v>400</v>
      </c>
      <c r="BZ155" s="313">
        <f>SUMIF(Recibos!$D$4:$D$7493,Cobranza!$B155,Recibos!AL$4:AL$7493)</f>
        <v>400</v>
      </c>
      <c r="CA155" s="313">
        <f>SUMIF(Recibos!$D$4:$D$7493,Cobranza!$B155,Recibos!AM$4:AM$7493)</f>
        <v>400</v>
      </c>
      <c r="CB155" s="313">
        <f>SUMIF(Recibos!$D$4:$D$7493,Cobranza!$B155,Recibos!AN$4:AN$7493)</f>
        <v>400</v>
      </c>
      <c r="CC155" s="313">
        <f>SUMIF(Recibos!$D$4:$D$7493,Cobranza!$B155,Recibos!AO$4:AO$7493)</f>
        <v>400</v>
      </c>
      <c r="CD155" s="313">
        <f>SUMIF(Recibos!$D$4:$D$7493,Cobranza!$B155,Recibos!AP$4:AP$7493)</f>
        <v>400</v>
      </c>
      <c r="CE155" s="313">
        <f>SUMIF(Recibos!$D$4:$D$7493,Cobranza!$B155,Recibos!AQ$4:AQ$7493)</f>
        <v>400</v>
      </c>
      <c r="CF155" s="313">
        <f>SUMIF(Recibos!$D$4:$D$7493,Cobranza!$B155,Recibos!AR$4:AR$7493)</f>
        <v>400</v>
      </c>
      <c r="CG155" s="313">
        <f>SUMIF(Recibos!$D$4:$D$7493,Cobranza!$B155,Recibos!AS$4:AS$7493)</f>
        <v>400</v>
      </c>
      <c r="CH155" s="313">
        <f>SUMIF(Recibos!$D$4:$D$7493,Cobranza!$B155,Recibos!AT$4:AT$7493)</f>
        <v>400</v>
      </c>
      <c r="CI155" s="313">
        <f>SUMIF(Recibos!$D$4:$D$7493,Cobranza!$B155,Recibos!AU$4:AU$7493)</f>
        <v>400</v>
      </c>
      <c r="CJ155" s="313">
        <f>SUMIF(Recibos!$D$4:$D$7493,Cobranza!$B155,Recibos!AV$4:AV$7493)</f>
        <v>0</v>
      </c>
      <c r="CK155" s="314">
        <f t="shared" si="24"/>
        <v>4400</v>
      </c>
    </row>
    <row r="156" spans="2:89" x14ac:dyDescent="0.2">
      <c r="B156" s="42" t="s">
        <v>1335</v>
      </c>
      <c r="C156" s="42" t="s">
        <v>1336</v>
      </c>
      <c r="D156" s="42" t="s">
        <v>1337</v>
      </c>
      <c r="E156" s="43">
        <v>0</v>
      </c>
      <c r="F156" s="43">
        <v>300</v>
      </c>
      <c r="G156" s="43">
        <v>300</v>
      </c>
      <c r="H156" s="43">
        <v>0</v>
      </c>
      <c r="I156" s="43">
        <v>0</v>
      </c>
      <c r="J156" s="43">
        <v>300</v>
      </c>
      <c r="K156" s="44">
        <f t="shared" si="25"/>
        <v>900</v>
      </c>
      <c r="L156" s="43">
        <v>300</v>
      </c>
      <c r="M156" s="43">
        <v>300</v>
      </c>
      <c r="N156" s="43">
        <v>300</v>
      </c>
      <c r="O156" s="43">
        <v>300</v>
      </c>
      <c r="P156" s="43">
        <v>300</v>
      </c>
      <c r="Q156" s="43">
        <v>300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4">
        <f t="shared" si="26"/>
        <v>1800</v>
      </c>
      <c r="Y156" s="43">
        <v>200</v>
      </c>
      <c r="Z156" s="43">
        <v>200</v>
      </c>
      <c r="AA156" s="43">
        <v>0</v>
      </c>
      <c r="AB156" s="43">
        <v>200</v>
      </c>
      <c r="AC156" s="43">
        <v>200</v>
      </c>
      <c r="AD156" s="43">
        <v>200</v>
      </c>
      <c r="AE156" s="43">
        <v>200</v>
      </c>
      <c r="AF156" s="43">
        <v>200</v>
      </c>
      <c r="AG156" s="43">
        <v>200</v>
      </c>
      <c r="AH156" s="43">
        <v>200</v>
      </c>
      <c r="AI156" s="43">
        <v>200</v>
      </c>
      <c r="AJ156" s="43">
        <v>200</v>
      </c>
      <c r="AK156" s="44">
        <f t="shared" si="27"/>
        <v>2200</v>
      </c>
      <c r="AL156" s="43">
        <v>200</v>
      </c>
      <c r="AM156" s="43">
        <v>200</v>
      </c>
      <c r="AN156" s="43">
        <v>200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4">
        <f t="shared" si="28"/>
        <v>600</v>
      </c>
      <c r="AY156" s="311">
        <f>SUMIF(Recibos!$D$4:$D$7493,Cobranza!$B156,Recibos!K$4:K$7493)</f>
        <v>0</v>
      </c>
      <c r="AZ156" s="311">
        <f>SUMIF(Recibos!$D$4:$D$7493,Cobranza!$B156,Recibos!L$4:L$7493)</f>
        <v>0</v>
      </c>
      <c r="BA156" s="311">
        <f>SUMIF(Recibos!$D$4:$D$7493,Cobranza!$B156,Recibos!M$4:M$7493)</f>
        <v>0</v>
      </c>
      <c r="BB156" s="311">
        <f>SUMIF(Recibos!$D$4:$D$7493,Cobranza!$B156,Recibos!N$4:N$7493)</f>
        <v>0</v>
      </c>
      <c r="BC156" s="311">
        <f>SUMIF(Recibos!$D$4:$D$7493,Cobranza!$B156,Recibos!O$4:O$7493)</f>
        <v>0</v>
      </c>
      <c r="BD156" s="311">
        <f>SUMIF(Recibos!$D$4:$D$7493,Cobranza!$B156,Recibos!P$4:P$7493)</f>
        <v>0</v>
      </c>
      <c r="BE156" s="311">
        <f>SUMIF(Recibos!$D$4:$D$7493,Cobranza!$B156,Recibos!Q$4:Q$7493)</f>
        <v>0</v>
      </c>
      <c r="BF156" s="311">
        <f>SUMIF(Recibos!$D$4:$D$7493,Cobranza!$B156,Recibos!R$4:R$7493)</f>
        <v>0</v>
      </c>
      <c r="BG156" s="311">
        <f>SUMIF(Recibos!$D$4:$D$7493,Cobranza!$B156,Recibos!S$4:S$7493)</f>
        <v>0</v>
      </c>
      <c r="BH156" s="311">
        <f>SUMIF(Recibos!$D$4:$D$7493,Cobranza!$B156,Recibos!T$4:T$7493)</f>
        <v>0</v>
      </c>
      <c r="BI156" s="311">
        <f>SUMIF(Recibos!$D$4:$D$7493,Cobranza!$B156,Recibos!U$4:U$7493)</f>
        <v>0</v>
      </c>
      <c r="BJ156" s="311">
        <f>SUMIF(Recibos!$D$4:$D$7493,Cobranza!$B156,Recibos!V$4:V$7493)</f>
        <v>0</v>
      </c>
      <c r="BK156" s="312">
        <f t="shared" si="29"/>
        <v>0</v>
      </c>
      <c r="BL156" s="311">
        <f>SUMIF(Recibos!$D$4:$D$7493,Cobranza!$B156,Recibos!X$4:X$7493)</f>
        <v>0</v>
      </c>
      <c r="BM156" s="311">
        <f>SUMIF(Recibos!$D$4:$D$7493,Cobranza!$B156,Recibos!Y$4:Y$7493)</f>
        <v>0</v>
      </c>
      <c r="BN156" s="311">
        <f>SUMIF(Recibos!$D$4:$D$7493,Cobranza!$B156,Recibos!Z$4:Z$7493)</f>
        <v>0</v>
      </c>
      <c r="BO156" s="311">
        <f>SUMIF(Recibos!$D$4:$D$7493,Cobranza!$B156,Recibos!AA$4:AA$7493)</f>
        <v>0</v>
      </c>
      <c r="BP156" s="311">
        <f>SUMIF(Recibos!$D$4:$D$7493,Cobranza!$B156,Recibos!AB$4:AB$7493)</f>
        <v>0</v>
      </c>
      <c r="BQ156" s="311">
        <f>SUMIF(Recibos!$D$4:$D$7493,Cobranza!$B156,Recibos!AC$4:AC$7493)</f>
        <v>0</v>
      </c>
      <c r="BR156" s="311">
        <f>SUMIF(Recibos!$D$4:$D$7493,Cobranza!$B156,Recibos!AD$4:AD$7493)</f>
        <v>0</v>
      </c>
      <c r="BS156" s="311">
        <f>SUMIF(Recibos!$D$4:$D$7493,Cobranza!$B156,Recibos!AE$4:AE$7493)</f>
        <v>0</v>
      </c>
      <c r="BT156" s="311">
        <f>SUMIF(Recibos!$D$4:$D$7493,Cobranza!$B156,Recibos!AF$4:AF$7493)</f>
        <v>200</v>
      </c>
      <c r="BU156" s="311">
        <f>SUMIF(Recibos!$D$4:$D$7493,Cobranza!$B156,Recibos!AG$4:AG$7493)</f>
        <v>0</v>
      </c>
      <c r="BV156" s="311">
        <f>SUMIF(Recibos!$D$4:$D$7493,Cobranza!$B156,Recibos!AH$4:AH$7493)</f>
        <v>0</v>
      </c>
      <c r="BW156" s="311">
        <f>SUMIF(Recibos!$D$4:$D$7493,Cobranza!$B156,Recibos!AI$4:AI$7493)</f>
        <v>200</v>
      </c>
      <c r="BX156" s="312">
        <f t="shared" si="30"/>
        <v>400</v>
      </c>
      <c r="BY156" s="311">
        <f>SUMIF(Recibos!$D$4:$D$7493,Cobranza!$B156,Recibos!AK$4:AK$7493)</f>
        <v>200</v>
      </c>
      <c r="BZ156" s="311">
        <f>SUMIF(Recibos!$D$4:$D$7493,Cobranza!$B156,Recibos!AL$4:AL$7493)</f>
        <v>200</v>
      </c>
      <c r="CA156" s="311">
        <f>SUMIF(Recibos!$D$4:$D$7493,Cobranza!$B156,Recibos!AM$4:AM$7493)</f>
        <v>200</v>
      </c>
      <c r="CB156" s="311">
        <f>SUMIF(Recibos!$D$4:$D$7493,Cobranza!$B156,Recibos!AN$4:AN$7493)</f>
        <v>200</v>
      </c>
      <c r="CC156" s="311">
        <f>SUMIF(Recibos!$D$4:$D$7493,Cobranza!$B156,Recibos!AO$4:AO$7493)</f>
        <v>200</v>
      </c>
      <c r="CD156" s="311">
        <f>SUMIF(Recibos!$D$4:$D$7493,Cobranza!$B156,Recibos!AP$4:AP$7493)</f>
        <v>200</v>
      </c>
      <c r="CE156" s="311">
        <f>SUMIF(Recibos!$D$4:$D$7493,Cobranza!$B156,Recibos!AQ$4:AQ$7493)</f>
        <v>200</v>
      </c>
      <c r="CF156" s="311">
        <f>SUMIF(Recibos!$D$4:$D$7493,Cobranza!$B156,Recibos!AR$4:AR$7493)</f>
        <v>0</v>
      </c>
      <c r="CG156" s="311">
        <f>SUMIF(Recibos!$D$4:$D$7493,Cobranza!$B156,Recibos!AS$4:AS$7493)</f>
        <v>0</v>
      </c>
      <c r="CH156" s="311">
        <f>SUMIF(Recibos!$D$4:$D$7493,Cobranza!$B156,Recibos!AT$4:AT$7493)</f>
        <v>0</v>
      </c>
      <c r="CI156" s="311">
        <f>SUMIF(Recibos!$D$4:$D$7493,Cobranza!$B156,Recibos!AU$4:AU$7493)</f>
        <v>0</v>
      </c>
      <c r="CJ156" s="311">
        <f>SUMIF(Recibos!$D$4:$D$7493,Cobranza!$B156,Recibos!AV$4:AV$7493)</f>
        <v>0</v>
      </c>
      <c r="CK156" s="312">
        <f t="shared" si="24"/>
        <v>1400</v>
      </c>
    </row>
    <row r="157" spans="2:89" x14ac:dyDescent="0.2">
      <c r="B157" s="45" t="s">
        <v>1006</v>
      </c>
      <c r="C157" s="45" t="s">
        <v>1007</v>
      </c>
      <c r="D157" s="45" t="s">
        <v>1008</v>
      </c>
      <c r="E157" s="46">
        <v>0</v>
      </c>
      <c r="F157" s="46">
        <v>0</v>
      </c>
      <c r="G157" s="46">
        <v>0</v>
      </c>
      <c r="H157" s="46">
        <v>0</v>
      </c>
      <c r="I157" s="46">
        <v>0</v>
      </c>
      <c r="J157" s="46">
        <v>0</v>
      </c>
      <c r="K157" s="47">
        <f t="shared" si="25"/>
        <v>0</v>
      </c>
      <c r="L157" s="46">
        <v>0</v>
      </c>
      <c r="M157" s="46">
        <v>0</v>
      </c>
      <c r="N157" s="46">
        <v>0</v>
      </c>
      <c r="O157" s="46">
        <v>0</v>
      </c>
      <c r="P157" s="46">
        <v>0</v>
      </c>
      <c r="Q157" s="46">
        <v>0</v>
      </c>
      <c r="R157" s="46">
        <v>0</v>
      </c>
      <c r="S157" s="46">
        <v>0</v>
      </c>
      <c r="T157" s="46">
        <v>0</v>
      </c>
      <c r="U157" s="46">
        <v>0</v>
      </c>
      <c r="V157" s="46">
        <v>0</v>
      </c>
      <c r="W157" s="46">
        <v>0</v>
      </c>
      <c r="X157" s="47">
        <f t="shared" si="26"/>
        <v>0</v>
      </c>
      <c r="Y157" s="46">
        <v>0</v>
      </c>
      <c r="Z157" s="46">
        <v>0</v>
      </c>
      <c r="AA157" s="46">
        <v>0</v>
      </c>
      <c r="AB157" s="46">
        <v>0</v>
      </c>
      <c r="AC157" s="46">
        <v>0</v>
      </c>
      <c r="AD157" s="46">
        <v>0</v>
      </c>
      <c r="AE157" s="46">
        <v>0</v>
      </c>
      <c r="AF157" s="46">
        <v>0</v>
      </c>
      <c r="AG157" s="46">
        <v>0</v>
      </c>
      <c r="AH157" s="46">
        <v>0</v>
      </c>
      <c r="AI157" s="46">
        <v>0</v>
      </c>
      <c r="AJ157" s="46">
        <v>0</v>
      </c>
      <c r="AK157" s="47">
        <f t="shared" si="27"/>
        <v>0</v>
      </c>
      <c r="AL157" s="46">
        <v>0</v>
      </c>
      <c r="AM157" s="46">
        <v>0</v>
      </c>
      <c r="AN157" s="46">
        <v>0</v>
      </c>
      <c r="AO157" s="46">
        <v>0</v>
      </c>
      <c r="AP157" s="46">
        <v>0</v>
      </c>
      <c r="AQ157" s="46">
        <v>0</v>
      </c>
      <c r="AR157" s="46">
        <v>0</v>
      </c>
      <c r="AS157" s="46">
        <v>0</v>
      </c>
      <c r="AT157" s="46">
        <v>0</v>
      </c>
      <c r="AU157" s="46">
        <v>0</v>
      </c>
      <c r="AV157" s="46">
        <v>0</v>
      </c>
      <c r="AW157" s="46">
        <v>0</v>
      </c>
      <c r="AX157" s="47">
        <f t="shared" si="28"/>
        <v>0</v>
      </c>
      <c r="AY157" s="313">
        <f>SUMIF(Recibos!$D$4:$D$7493,Cobranza!$B157,Recibos!K$4:K$7493)</f>
        <v>0</v>
      </c>
      <c r="AZ157" s="313">
        <f>SUMIF(Recibos!$D$4:$D$7493,Cobranza!$B157,Recibos!L$4:L$7493)</f>
        <v>0</v>
      </c>
      <c r="BA157" s="313">
        <f>SUMIF(Recibos!$D$4:$D$7493,Cobranza!$B157,Recibos!M$4:M$7493)</f>
        <v>0</v>
      </c>
      <c r="BB157" s="313">
        <f>SUMIF(Recibos!$D$4:$D$7493,Cobranza!$B157,Recibos!N$4:N$7493)</f>
        <v>0</v>
      </c>
      <c r="BC157" s="313">
        <f>SUMIF(Recibos!$D$4:$D$7493,Cobranza!$B157,Recibos!O$4:O$7493)</f>
        <v>0</v>
      </c>
      <c r="BD157" s="313">
        <f>SUMIF(Recibos!$D$4:$D$7493,Cobranza!$B157,Recibos!P$4:P$7493)</f>
        <v>0</v>
      </c>
      <c r="BE157" s="313">
        <f>SUMIF(Recibos!$D$4:$D$7493,Cobranza!$B157,Recibos!Q$4:Q$7493)</f>
        <v>0</v>
      </c>
      <c r="BF157" s="313">
        <f>SUMIF(Recibos!$D$4:$D$7493,Cobranza!$B157,Recibos!R$4:R$7493)</f>
        <v>0</v>
      </c>
      <c r="BG157" s="313">
        <f>SUMIF(Recibos!$D$4:$D$7493,Cobranza!$B157,Recibos!S$4:S$7493)</f>
        <v>0</v>
      </c>
      <c r="BH157" s="313">
        <f>SUMIF(Recibos!$D$4:$D$7493,Cobranza!$B157,Recibos!T$4:T$7493)</f>
        <v>0</v>
      </c>
      <c r="BI157" s="313">
        <f>SUMIF(Recibos!$D$4:$D$7493,Cobranza!$B157,Recibos!U$4:U$7493)</f>
        <v>0</v>
      </c>
      <c r="BJ157" s="313">
        <f>SUMIF(Recibos!$D$4:$D$7493,Cobranza!$B157,Recibos!V$4:V$7493)</f>
        <v>0</v>
      </c>
      <c r="BK157" s="314">
        <f t="shared" si="29"/>
        <v>0</v>
      </c>
      <c r="BL157" s="313">
        <f>SUMIF(Recibos!$D$4:$D$7493,Cobranza!$B157,Recibos!X$4:X$7493)</f>
        <v>0</v>
      </c>
      <c r="BM157" s="313">
        <f>SUMIF(Recibos!$D$4:$D$7493,Cobranza!$B157,Recibos!Y$4:Y$7493)</f>
        <v>0</v>
      </c>
      <c r="BN157" s="313">
        <f>SUMIF(Recibos!$D$4:$D$7493,Cobranza!$B157,Recibos!Z$4:Z$7493)</f>
        <v>0</v>
      </c>
      <c r="BO157" s="313">
        <f>SUMIF(Recibos!$D$4:$D$7493,Cobranza!$B157,Recibos!AA$4:AA$7493)</f>
        <v>0</v>
      </c>
      <c r="BP157" s="313">
        <f>SUMIF(Recibos!$D$4:$D$7493,Cobranza!$B157,Recibos!AB$4:AB$7493)</f>
        <v>0</v>
      </c>
      <c r="BQ157" s="313">
        <f>SUMIF(Recibos!$D$4:$D$7493,Cobranza!$B157,Recibos!AC$4:AC$7493)</f>
        <v>0</v>
      </c>
      <c r="BR157" s="313">
        <f>SUMIF(Recibos!$D$4:$D$7493,Cobranza!$B157,Recibos!AD$4:AD$7493)</f>
        <v>0</v>
      </c>
      <c r="BS157" s="313">
        <f>SUMIF(Recibos!$D$4:$D$7493,Cobranza!$B157,Recibos!AE$4:AE$7493)</f>
        <v>0</v>
      </c>
      <c r="BT157" s="313">
        <f>SUMIF(Recibos!$D$4:$D$7493,Cobranza!$B157,Recibos!AF$4:AF$7493)</f>
        <v>0</v>
      </c>
      <c r="BU157" s="313">
        <f>SUMIF(Recibos!$D$4:$D$7493,Cobranza!$B157,Recibos!AG$4:AG$7493)</f>
        <v>0</v>
      </c>
      <c r="BV157" s="313">
        <f>SUMIF(Recibos!$D$4:$D$7493,Cobranza!$B157,Recibos!AH$4:AH$7493)</f>
        <v>0</v>
      </c>
      <c r="BW157" s="313">
        <f>SUMIF(Recibos!$D$4:$D$7493,Cobranza!$B157,Recibos!AI$4:AI$7493)</f>
        <v>0</v>
      </c>
      <c r="BX157" s="314">
        <f t="shared" si="30"/>
        <v>0</v>
      </c>
      <c r="BY157" s="313">
        <f>SUMIF(Recibos!$D$4:$D$7493,Cobranza!$B157,Recibos!AK$4:AK$7493)</f>
        <v>0</v>
      </c>
      <c r="BZ157" s="313">
        <f>SUMIF(Recibos!$D$4:$D$7493,Cobranza!$B157,Recibos!AL$4:AL$7493)</f>
        <v>0</v>
      </c>
      <c r="CA157" s="313">
        <f>SUMIF(Recibos!$D$4:$D$7493,Cobranza!$B157,Recibos!AM$4:AM$7493)</f>
        <v>0</v>
      </c>
      <c r="CB157" s="313">
        <f>SUMIF(Recibos!$D$4:$D$7493,Cobranza!$B157,Recibos!AN$4:AN$7493)</f>
        <v>0</v>
      </c>
      <c r="CC157" s="313">
        <f>SUMIF(Recibos!$D$4:$D$7493,Cobranza!$B157,Recibos!AO$4:AO$7493)</f>
        <v>0</v>
      </c>
      <c r="CD157" s="313">
        <f>SUMIF(Recibos!$D$4:$D$7493,Cobranza!$B157,Recibos!AP$4:AP$7493)</f>
        <v>0</v>
      </c>
      <c r="CE157" s="313">
        <f>SUMIF(Recibos!$D$4:$D$7493,Cobranza!$B157,Recibos!AQ$4:AQ$7493)</f>
        <v>0</v>
      </c>
      <c r="CF157" s="313">
        <f>SUMIF(Recibos!$D$4:$D$7493,Cobranza!$B157,Recibos!AR$4:AR$7493)</f>
        <v>0</v>
      </c>
      <c r="CG157" s="313">
        <f>SUMIF(Recibos!$D$4:$D$7493,Cobranza!$B157,Recibos!AS$4:AS$7493)</f>
        <v>0</v>
      </c>
      <c r="CH157" s="313">
        <f>SUMIF(Recibos!$D$4:$D$7493,Cobranza!$B157,Recibos!AT$4:AT$7493)</f>
        <v>0</v>
      </c>
      <c r="CI157" s="313">
        <f>SUMIF(Recibos!$D$4:$D$7493,Cobranza!$B157,Recibos!AU$4:AU$7493)</f>
        <v>0</v>
      </c>
      <c r="CJ157" s="313">
        <f>SUMIF(Recibos!$D$4:$D$7493,Cobranza!$B157,Recibos!AV$4:AV$7493)</f>
        <v>0</v>
      </c>
      <c r="CK157" s="314">
        <f t="shared" si="24"/>
        <v>0</v>
      </c>
    </row>
    <row r="158" spans="2:89" x14ac:dyDescent="0.2">
      <c r="B158" s="42" t="s">
        <v>259</v>
      </c>
      <c r="C158" s="42" t="s">
        <v>260</v>
      </c>
      <c r="D158" s="42" t="s">
        <v>261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300</v>
      </c>
      <c r="K158" s="44">
        <f t="shared" si="25"/>
        <v>300</v>
      </c>
      <c r="L158" s="43">
        <v>300</v>
      </c>
      <c r="M158" s="43">
        <v>300</v>
      </c>
      <c r="N158" s="43">
        <v>300</v>
      </c>
      <c r="O158" s="43">
        <v>300</v>
      </c>
      <c r="P158" s="43">
        <v>300</v>
      </c>
      <c r="Q158" s="43">
        <v>300</v>
      </c>
      <c r="R158" s="43">
        <v>300</v>
      </c>
      <c r="S158" s="43">
        <v>300</v>
      </c>
      <c r="T158" s="43">
        <v>300</v>
      </c>
      <c r="U158" s="43">
        <v>400</v>
      </c>
      <c r="V158" s="43">
        <v>400</v>
      </c>
      <c r="W158" s="43">
        <v>400</v>
      </c>
      <c r="X158" s="44">
        <f t="shared" si="26"/>
        <v>3900</v>
      </c>
      <c r="Y158" s="43">
        <v>400</v>
      </c>
      <c r="Z158" s="43">
        <v>400</v>
      </c>
      <c r="AA158" s="43">
        <v>400</v>
      </c>
      <c r="AB158" s="43">
        <v>400</v>
      </c>
      <c r="AC158" s="43">
        <v>400</v>
      </c>
      <c r="AD158" s="43">
        <v>400</v>
      </c>
      <c r="AE158" s="43">
        <v>400</v>
      </c>
      <c r="AF158" s="43">
        <v>400</v>
      </c>
      <c r="AG158" s="43">
        <v>400</v>
      </c>
      <c r="AH158" s="43">
        <v>400</v>
      </c>
      <c r="AI158" s="43">
        <v>400</v>
      </c>
      <c r="AJ158" s="43">
        <v>400</v>
      </c>
      <c r="AK158" s="44">
        <f t="shared" si="27"/>
        <v>4800</v>
      </c>
      <c r="AL158" s="43">
        <v>400</v>
      </c>
      <c r="AM158" s="43">
        <v>400</v>
      </c>
      <c r="AN158" s="43">
        <v>400</v>
      </c>
      <c r="AO158" s="43">
        <v>400</v>
      </c>
      <c r="AP158" s="43">
        <v>400</v>
      </c>
      <c r="AQ158" s="43">
        <v>400</v>
      </c>
      <c r="AR158" s="43">
        <v>400</v>
      </c>
      <c r="AS158" s="43">
        <v>400</v>
      </c>
      <c r="AT158" s="43">
        <v>400</v>
      </c>
      <c r="AU158" s="43">
        <v>400</v>
      </c>
      <c r="AV158" s="43">
        <v>400</v>
      </c>
      <c r="AW158" s="43">
        <v>400</v>
      </c>
      <c r="AX158" s="44">
        <f t="shared" si="28"/>
        <v>4800</v>
      </c>
      <c r="AY158" s="311">
        <f>SUMIF(Recibos!$D$4:$D$7493,Cobranza!$B158,Recibos!K$4:K$7493)</f>
        <v>400</v>
      </c>
      <c r="AZ158" s="311">
        <f>SUMIF(Recibos!$D$4:$D$7493,Cobranza!$B158,Recibos!L$4:L$7493)</f>
        <v>400</v>
      </c>
      <c r="BA158" s="311">
        <f>SUMIF(Recibos!$D$4:$D$7493,Cobranza!$B158,Recibos!M$4:M$7493)</f>
        <v>400</v>
      </c>
      <c r="BB158" s="311">
        <f>SUMIF(Recibos!$D$4:$D$7493,Cobranza!$B158,Recibos!N$4:N$7493)</f>
        <v>400</v>
      </c>
      <c r="BC158" s="311">
        <f>SUMIF(Recibos!$D$4:$D$7493,Cobranza!$B158,Recibos!O$4:O$7493)</f>
        <v>400</v>
      </c>
      <c r="BD158" s="311">
        <f>SUMIF(Recibos!$D$4:$D$7493,Cobranza!$B158,Recibos!P$4:P$7493)</f>
        <v>400</v>
      </c>
      <c r="BE158" s="311">
        <f>SUMIF(Recibos!$D$4:$D$7493,Cobranza!$B158,Recibos!Q$4:Q$7493)</f>
        <v>400</v>
      </c>
      <c r="BF158" s="311">
        <f>SUMIF(Recibos!$D$4:$D$7493,Cobranza!$B158,Recibos!R$4:R$7493)</f>
        <v>400</v>
      </c>
      <c r="BG158" s="311">
        <f>SUMIF(Recibos!$D$4:$D$7493,Cobranza!$B158,Recibos!S$4:S$7493)</f>
        <v>400</v>
      </c>
      <c r="BH158" s="311">
        <f>SUMIF(Recibos!$D$4:$D$7493,Cobranza!$B158,Recibos!T$4:T$7493)</f>
        <v>400</v>
      </c>
      <c r="BI158" s="311">
        <f>SUMIF(Recibos!$D$4:$D$7493,Cobranza!$B158,Recibos!U$4:U$7493)</f>
        <v>400</v>
      </c>
      <c r="BJ158" s="311">
        <f>SUMIF(Recibos!$D$4:$D$7493,Cobranza!$B158,Recibos!V$4:V$7493)</f>
        <v>400</v>
      </c>
      <c r="BK158" s="312">
        <f t="shared" si="29"/>
        <v>4800</v>
      </c>
      <c r="BL158" s="311">
        <f>SUMIF(Recibos!$D$4:$D$7493,Cobranza!$B158,Recibos!X$4:X$7493)</f>
        <v>400</v>
      </c>
      <c r="BM158" s="311">
        <f>SUMIF(Recibos!$D$4:$D$7493,Cobranza!$B158,Recibos!Y$4:Y$7493)</f>
        <v>400</v>
      </c>
      <c r="BN158" s="311">
        <f>SUMIF(Recibos!$D$4:$D$7493,Cobranza!$B158,Recibos!Z$4:Z$7493)</f>
        <v>400</v>
      </c>
      <c r="BO158" s="311">
        <f>SUMIF(Recibos!$D$4:$D$7493,Cobranza!$B158,Recibos!AA$4:AA$7493)</f>
        <v>400</v>
      </c>
      <c r="BP158" s="311">
        <f>SUMIF(Recibos!$D$4:$D$7493,Cobranza!$B158,Recibos!AB$4:AB$7493)</f>
        <v>400</v>
      </c>
      <c r="BQ158" s="311">
        <f>SUMIF(Recibos!$D$4:$D$7493,Cobranza!$B158,Recibos!AC$4:AC$7493)</f>
        <v>400</v>
      </c>
      <c r="BR158" s="311">
        <f>SUMIF(Recibos!$D$4:$D$7493,Cobranza!$B158,Recibos!AD$4:AD$7493)</f>
        <v>400</v>
      </c>
      <c r="BS158" s="311">
        <f>SUMIF(Recibos!$D$4:$D$7493,Cobranza!$B158,Recibos!AE$4:AE$7493)</f>
        <v>400</v>
      </c>
      <c r="BT158" s="311">
        <f>SUMIF(Recibos!$D$4:$D$7493,Cobranza!$B158,Recibos!AF$4:AF$7493)</f>
        <v>400</v>
      </c>
      <c r="BU158" s="311">
        <f>SUMIF(Recibos!$D$4:$D$7493,Cobranza!$B158,Recibos!AG$4:AG$7493)</f>
        <v>400</v>
      </c>
      <c r="BV158" s="311">
        <f>SUMIF(Recibos!$D$4:$D$7493,Cobranza!$B158,Recibos!AH$4:AH$7493)</f>
        <v>400</v>
      </c>
      <c r="BW158" s="311">
        <f>SUMIF(Recibos!$D$4:$D$7493,Cobranza!$B158,Recibos!AI$4:AI$7493)</f>
        <v>400</v>
      </c>
      <c r="BX158" s="312">
        <f t="shared" si="30"/>
        <v>4800</v>
      </c>
      <c r="BY158" s="311">
        <f>SUMIF(Recibos!$D$4:$D$7493,Cobranza!$B158,Recibos!AK$4:AK$7493)</f>
        <v>400</v>
      </c>
      <c r="BZ158" s="311">
        <f>SUMIF(Recibos!$D$4:$D$7493,Cobranza!$B158,Recibos!AL$4:AL$7493)</f>
        <v>400</v>
      </c>
      <c r="CA158" s="311">
        <f>SUMIF(Recibos!$D$4:$D$7493,Cobranza!$B158,Recibos!AM$4:AM$7493)</f>
        <v>400</v>
      </c>
      <c r="CB158" s="311">
        <f>SUMIF(Recibos!$D$4:$D$7493,Cobranza!$B158,Recibos!AN$4:AN$7493)</f>
        <v>400</v>
      </c>
      <c r="CC158" s="311">
        <f>SUMIF(Recibos!$D$4:$D$7493,Cobranza!$B158,Recibos!AO$4:AO$7493)</f>
        <v>400</v>
      </c>
      <c r="CD158" s="311">
        <f>SUMIF(Recibos!$D$4:$D$7493,Cobranza!$B158,Recibos!AP$4:AP$7493)</f>
        <v>400</v>
      </c>
      <c r="CE158" s="311">
        <f>SUMIF(Recibos!$D$4:$D$7493,Cobranza!$B158,Recibos!AQ$4:AQ$7493)</f>
        <v>400</v>
      </c>
      <c r="CF158" s="311">
        <f>SUMIF(Recibos!$D$4:$D$7493,Cobranza!$B158,Recibos!AR$4:AR$7493)</f>
        <v>400</v>
      </c>
      <c r="CG158" s="311">
        <f>SUMIF(Recibos!$D$4:$D$7493,Cobranza!$B158,Recibos!AS$4:AS$7493)</f>
        <v>400</v>
      </c>
      <c r="CH158" s="311">
        <f>SUMIF(Recibos!$D$4:$D$7493,Cobranza!$B158,Recibos!AT$4:AT$7493)</f>
        <v>400</v>
      </c>
      <c r="CI158" s="311">
        <f>SUMIF(Recibos!$D$4:$D$7493,Cobranza!$B158,Recibos!AU$4:AU$7493)</f>
        <v>0</v>
      </c>
      <c r="CJ158" s="311">
        <f>SUMIF(Recibos!$D$4:$D$7493,Cobranza!$B158,Recibos!AV$4:AV$7493)</f>
        <v>0</v>
      </c>
      <c r="CK158" s="312">
        <f t="shared" si="24"/>
        <v>4000</v>
      </c>
    </row>
    <row r="159" spans="2:89" x14ac:dyDescent="0.2">
      <c r="B159" s="45" t="s">
        <v>649</v>
      </c>
      <c r="C159" s="45" t="s">
        <v>650</v>
      </c>
      <c r="D159" s="45" t="s">
        <v>651</v>
      </c>
      <c r="E159" s="46">
        <v>300</v>
      </c>
      <c r="F159" s="46">
        <v>300</v>
      </c>
      <c r="G159" s="46">
        <v>300</v>
      </c>
      <c r="H159" s="46">
        <v>300</v>
      </c>
      <c r="I159" s="46">
        <v>300</v>
      </c>
      <c r="J159" s="46">
        <v>300</v>
      </c>
      <c r="K159" s="47">
        <f t="shared" si="25"/>
        <v>1800</v>
      </c>
      <c r="L159" s="46">
        <v>600</v>
      </c>
      <c r="M159" s="46">
        <v>300</v>
      </c>
      <c r="N159" s="46">
        <v>300</v>
      </c>
      <c r="O159" s="46">
        <v>0</v>
      </c>
      <c r="P159" s="46">
        <v>300</v>
      </c>
      <c r="Q159" s="46">
        <v>300</v>
      </c>
      <c r="R159" s="46">
        <v>300</v>
      </c>
      <c r="S159" s="46">
        <v>300</v>
      </c>
      <c r="T159" s="46">
        <v>300</v>
      </c>
      <c r="U159" s="46">
        <v>400</v>
      </c>
      <c r="V159" s="46">
        <v>400</v>
      </c>
      <c r="W159" s="46">
        <v>400</v>
      </c>
      <c r="X159" s="47">
        <f t="shared" si="26"/>
        <v>3900</v>
      </c>
      <c r="Y159" s="46">
        <v>400</v>
      </c>
      <c r="Z159" s="46">
        <v>400</v>
      </c>
      <c r="AA159" s="46">
        <v>400</v>
      </c>
      <c r="AB159" s="46">
        <v>400</v>
      </c>
      <c r="AC159" s="46">
        <v>400</v>
      </c>
      <c r="AD159" s="46">
        <v>400</v>
      </c>
      <c r="AE159" s="46">
        <v>400</v>
      </c>
      <c r="AF159" s="46">
        <v>0</v>
      </c>
      <c r="AG159" s="46">
        <v>0</v>
      </c>
      <c r="AH159" s="46">
        <v>0</v>
      </c>
      <c r="AI159" s="46">
        <v>0</v>
      </c>
      <c r="AJ159" s="46">
        <v>0</v>
      </c>
      <c r="AK159" s="47">
        <f t="shared" si="27"/>
        <v>2800</v>
      </c>
      <c r="AL159" s="46">
        <v>400</v>
      </c>
      <c r="AM159" s="46">
        <v>400</v>
      </c>
      <c r="AN159" s="46">
        <v>400</v>
      </c>
      <c r="AO159" s="46">
        <v>400</v>
      </c>
      <c r="AP159" s="46">
        <v>400</v>
      </c>
      <c r="AQ159" s="46">
        <v>400</v>
      </c>
      <c r="AR159" s="46">
        <v>400</v>
      </c>
      <c r="AS159" s="46">
        <v>300</v>
      </c>
      <c r="AT159" s="46">
        <v>300</v>
      </c>
      <c r="AU159" s="46">
        <v>300</v>
      </c>
      <c r="AV159" s="46">
        <v>300</v>
      </c>
      <c r="AW159" s="46">
        <v>300</v>
      </c>
      <c r="AX159" s="47">
        <f t="shared" si="28"/>
        <v>4300</v>
      </c>
      <c r="AY159" s="313">
        <f>SUMIF(Recibos!$D$4:$D$7493,Cobranza!$B159,Recibos!K$4:K$7493)</f>
        <v>300</v>
      </c>
      <c r="AZ159" s="313">
        <f>SUMIF(Recibos!$D$4:$D$7493,Cobranza!$B159,Recibos!L$4:L$7493)</f>
        <v>300</v>
      </c>
      <c r="BA159" s="313">
        <f>SUMIF(Recibos!$D$4:$D$7493,Cobranza!$B159,Recibos!M$4:M$7493)</f>
        <v>300</v>
      </c>
      <c r="BB159" s="313">
        <f>SUMIF(Recibos!$D$4:$D$7493,Cobranza!$B159,Recibos!N$4:N$7493)</f>
        <v>300</v>
      </c>
      <c r="BC159" s="313">
        <f>SUMIF(Recibos!$D$4:$D$7493,Cobranza!$B159,Recibos!O$4:O$7493)</f>
        <v>300</v>
      </c>
      <c r="BD159" s="313">
        <f>SUMIF(Recibos!$D$4:$D$7493,Cobranza!$B159,Recibos!P$4:P$7493)</f>
        <v>300</v>
      </c>
      <c r="BE159" s="313">
        <f>SUMIF(Recibos!$D$4:$D$7493,Cobranza!$B159,Recibos!Q$4:Q$7493)</f>
        <v>300</v>
      </c>
      <c r="BF159" s="313">
        <f>SUMIF(Recibos!$D$4:$D$7493,Cobranza!$B159,Recibos!R$4:R$7493)</f>
        <v>300</v>
      </c>
      <c r="BG159" s="313">
        <f>SUMIF(Recibos!$D$4:$D$7493,Cobranza!$B159,Recibos!S$4:S$7493)</f>
        <v>300</v>
      </c>
      <c r="BH159" s="313">
        <f>SUMIF(Recibos!$D$4:$D$7493,Cobranza!$B159,Recibos!T$4:T$7493)</f>
        <v>300</v>
      </c>
      <c r="BI159" s="313">
        <f>SUMIF(Recibos!$D$4:$D$7493,Cobranza!$B159,Recibos!U$4:U$7493)</f>
        <v>300</v>
      </c>
      <c r="BJ159" s="313">
        <f>SUMIF(Recibos!$D$4:$D$7493,Cobranza!$B159,Recibos!V$4:V$7493)</f>
        <v>300</v>
      </c>
      <c r="BK159" s="314">
        <f t="shared" si="29"/>
        <v>3600</v>
      </c>
      <c r="BL159" s="313">
        <f>SUMIF(Recibos!$D$4:$D$7493,Cobranza!$B159,Recibos!X$4:X$7493)</f>
        <v>300</v>
      </c>
      <c r="BM159" s="313">
        <f>SUMIF(Recibos!$D$4:$D$7493,Cobranza!$B159,Recibos!Y$4:Y$7493)</f>
        <v>300</v>
      </c>
      <c r="BN159" s="313">
        <f>SUMIF(Recibos!$D$4:$D$7493,Cobranza!$B159,Recibos!Z$4:Z$7493)</f>
        <v>300</v>
      </c>
      <c r="BO159" s="313">
        <f>SUMIF(Recibos!$D$4:$D$7493,Cobranza!$B159,Recibos!AA$4:AA$7493)</f>
        <v>300</v>
      </c>
      <c r="BP159" s="313">
        <f>SUMIF(Recibos!$D$4:$D$7493,Cobranza!$B159,Recibos!AB$4:AB$7493)</f>
        <v>300</v>
      </c>
      <c r="BQ159" s="313">
        <f>SUMIF(Recibos!$D$4:$D$7493,Cobranza!$B159,Recibos!AC$4:AC$7493)</f>
        <v>300</v>
      </c>
      <c r="BR159" s="313">
        <f>SUMIF(Recibos!$D$4:$D$7493,Cobranza!$B159,Recibos!AD$4:AD$7493)</f>
        <v>300</v>
      </c>
      <c r="BS159" s="313">
        <f>SUMIF(Recibos!$D$4:$D$7493,Cobranza!$B159,Recibos!AE$4:AE$7493)</f>
        <v>300</v>
      </c>
      <c r="BT159" s="313">
        <f>SUMIF(Recibos!$D$4:$D$7493,Cobranza!$B159,Recibos!AF$4:AF$7493)</f>
        <v>300</v>
      </c>
      <c r="BU159" s="313">
        <f>SUMIF(Recibos!$D$4:$D$7493,Cobranza!$B159,Recibos!AG$4:AG$7493)</f>
        <v>300</v>
      </c>
      <c r="BV159" s="313">
        <f>SUMIF(Recibos!$D$4:$D$7493,Cobranza!$B159,Recibos!AH$4:AH$7493)</f>
        <v>300</v>
      </c>
      <c r="BW159" s="313">
        <f>SUMIF(Recibos!$D$4:$D$7493,Cobranza!$B159,Recibos!AI$4:AI$7493)</f>
        <v>300</v>
      </c>
      <c r="BX159" s="314">
        <f t="shared" si="30"/>
        <v>3600</v>
      </c>
      <c r="BY159" s="313">
        <f>SUMIF(Recibos!$D$4:$D$7493,Cobranza!$B159,Recibos!AK$4:AK$7493)</f>
        <v>300</v>
      </c>
      <c r="BZ159" s="313">
        <f>SUMIF(Recibos!$D$4:$D$7493,Cobranza!$B159,Recibos!AL$4:AL$7493)</f>
        <v>300</v>
      </c>
      <c r="CA159" s="313">
        <f>SUMIF(Recibos!$D$4:$D$7493,Cobranza!$B159,Recibos!AM$4:AM$7493)</f>
        <v>300</v>
      </c>
      <c r="CB159" s="313">
        <f>SUMIF(Recibos!$D$4:$D$7493,Cobranza!$B159,Recibos!AN$4:AN$7493)</f>
        <v>300</v>
      </c>
      <c r="CC159" s="313">
        <f>SUMIF(Recibos!$D$4:$D$7493,Cobranza!$B159,Recibos!AO$4:AO$7493)</f>
        <v>300</v>
      </c>
      <c r="CD159" s="313">
        <f>SUMIF(Recibos!$D$4:$D$7493,Cobranza!$B159,Recibos!AP$4:AP$7493)</f>
        <v>300</v>
      </c>
      <c r="CE159" s="313">
        <f>SUMIF(Recibos!$D$4:$D$7493,Cobranza!$B159,Recibos!AQ$4:AQ$7493)</f>
        <v>300</v>
      </c>
      <c r="CF159" s="313">
        <f>SUMIF(Recibos!$D$4:$D$7493,Cobranza!$B159,Recibos!AR$4:AR$7493)</f>
        <v>0</v>
      </c>
      <c r="CG159" s="313">
        <f>SUMIF(Recibos!$D$4:$D$7493,Cobranza!$B159,Recibos!AS$4:AS$7493)</f>
        <v>0</v>
      </c>
      <c r="CH159" s="313">
        <f>SUMIF(Recibos!$D$4:$D$7493,Cobranza!$B159,Recibos!AT$4:AT$7493)</f>
        <v>0</v>
      </c>
      <c r="CI159" s="313">
        <f>SUMIF(Recibos!$D$4:$D$7493,Cobranza!$B159,Recibos!AU$4:AU$7493)</f>
        <v>0</v>
      </c>
      <c r="CJ159" s="313">
        <f>SUMIF(Recibos!$D$4:$D$7493,Cobranza!$B159,Recibos!AV$4:AV$7493)</f>
        <v>0</v>
      </c>
      <c r="CK159" s="314">
        <f t="shared" si="24"/>
        <v>2100</v>
      </c>
    </row>
    <row r="160" spans="2:89" x14ac:dyDescent="0.2">
      <c r="B160" s="42" t="s">
        <v>1338</v>
      </c>
      <c r="C160" s="42" t="s">
        <v>1339</v>
      </c>
      <c r="D160" s="42"/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4">
        <f t="shared" si="25"/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4">
        <f t="shared" si="26"/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4">
        <f t="shared" si="27"/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4">
        <f t="shared" si="28"/>
        <v>0</v>
      </c>
      <c r="AY160" s="311">
        <f>SUMIF(Recibos!$D$4:$D$7493,Cobranza!$B160,Recibos!K$4:K$7493)</f>
        <v>0</v>
      </c>
      <c r="AZ160" s="311">
        <f>SUMIF(Recibos!$D$4:$D$7493,Cobranza!$B160,Recibos!L$4:L$7493)</f>
        <v>0</v>
      </c>
      <c r="BA160" s="311">
        <f>SUMIF(Recibos!$D$4:$D$7493,Cobranza!$B160,Recibos!M$4:M$7493)</f>
        <v>0</v>
      </c>
      <c r="BB160" s="311">
        <f>SUMIF(Recibos!$D$4:$D$7493,Cobranza!$B160,Recibos!N$4:N$7493)</f>
        <v>0</v>
      </c>
      <c r="BC160" s="311">
        <f>SUMIF(Recibos!$D$4:$D$7493,Cobranza!$B160,Recibos!O$4:O$7493)</f>
        <v>0</v>
      </c>
      <c r="BD160" s="311">
        <f>SUMIF(Recibos!$D$4:$D$7493,Cobranza!$B160,Recibos!P$4:P$7493)</f>
        <v>0</v>
      </c>
      <c r="BE160" s="311">
        <f>SUMIF(Recibos!$D$4:$D$7493,Cobranza!$B160,Recibos!Q$4:Q$7493)</f>
        <v>0</v>
      </c>
      <c r="BF160" s="311">
        <f>SUMIF(Recibos!$D$4:$D$7493,Cobranza!$B160,Recibos!R$4:R$7493)</f>
        <v>0</v>
      </c>
      <c r="BG160" s="311">
        <f>SUMIF(Recibos!$D$4:$D$7493,Cobranza!$B160,Recibos!S$4:S$7493)</f>
        <v>0</v>
      </c>
      <c r="BH160" s="311">
        <f>SUMIF(Recibos!$D$4:$D$7493,Cobranza!$B160,Recibos!T$4:T$7493)</f>
        <v>0</v>
      </c>
      <c r="BI160" s="311">
        <f>SUMIF(Recibos!$D$4:$D$7493,Cobranza!$B160,Recibos!U$4:U$7493)</f>
        <v>0</v>
      </c>
      <c r="BJ160" s="311">
        <f>SUMIF(Recibos!$D$4:$D$7493,Cobranza!$B160,Recibos!V$4:V$7493)</f>
        <v>0</v>
      </c>
      <c r="BK160" s="312">
        <f t="shared" si="29"/>
        <v>0</v>
      </c>
      <c r="BL160" s="311">
        <f>SUMIF(Recibos!$D$4:$D$7493,Cobranza!$B160,Recibos!X$4:X$7493)</f>
        <v>0</v>
      </c>
      <c r="BM160" s="311">
        <f>SUMIF(Recibos!$D$4:$D$7493,Cobranza!$B160,Recibos!Y$4:Y$7493)</f>
        <v>0</v>
      </c>
      <c r="BN160" s="311">
        <f>SUMIF(Recibos!$D$4:$D$7493,Cobranza!$B160,Recibos!Z$4:Z$7493)</f>
        <v>0</v>
      </c>
      <c r="BO160" s="311">
        <f>SUMIF(Recibos!$D$4:$D$7493,Cobranza!$B160,Recibos!AA$4:AA$7493)</f>
        <v>0</v>
      </c>
      <c r="BP160" s="311">
        <f>SUMIF(Recibos!$D$4:$D$7493,Cobranza!$B160,Recibos!AB$4:AB$7493)</f>
        <v>0</v>
      </c>
      <c r="BQ160" s="311">
        <f>SUMIF(Recibos!$D$4:$D$7493,Cobranza!$B160,Recibos!AC$4:AC$7493)</f>
        <v>0</v>
      </c>
      <c r="BR160" s="311">
        <f>SUMIF(Recibos!$D$4:$D$7493,Cobranza!$B160,Recibos!AD$4:AD$7493)</f>
        <v>0</v>
      </c>
      <c r="BS160" s="311">
        <f>SUMIF(Recibos!$D$4:$D$7493,Cobranza!$B160,Recibos!AE$4:AE$7493)</f>
        <v>0</v>
      </c>
      <c r="BT160" s="311">
        <f>SUMIF(Recibos!$D$4:$D$7493,Cobranza!$B160,Recibos!AF$4:AF$7493)</f>
        <v>0</v>
      </c>
      <c r="BU160" s="311">
        <f>SUMIF(Recibos!$D$4:$D$7493,Cobranza!$B160,Recibos!AG$4:AG$7493)</f>
        <v>0</v>
      </c>
      <c r="BV160" s="311">
        <f>SUMIF(Recibos!$D$4:$D$7493,Cobranza!$B160,Recibos!AH$4:AH$7493)</f>
        <v>0</v>
      </c>
      <c r="BW160" s="311">
        <f>SUMIF(Recibos!$D$4:$D$7493,Cobranza!$B160,Recibos!AI$4:AI$7493)</f>
        <v>0</v>
      </c>
      <c r="BX160" s="312">
        <f t="shared" si="30"/>
        <v>0</v>
      </c>
      <c r="BY160" s="311">
        <f>SUMIF(Recibos!$D$4:$D$7493,Cobranza!$B160,Recibos!AK$4:AK$7493)</f>
        <v>0</v>
      </c>
      <c r="BZ160" s="311">
        <f>SUMIF(Recibos!$D$4:$D$7493,Cobranza!$B160,Recibos!AL$4:AL$7493)</f>
        <v>0</v>
      </c>
      <c r="CA160" s="311">
        <f>SUMIF(Recibos!$D$4:$D$7493,Cobranza!$B160,Recibos!AM$4:AM$7493)</f>
        <v>0</v>
      </c>
      <c r="CB160" s="311">
        <f>SUMIF(Recibos!$D$4:$D$7493,Cobranza!$B160,Recibos!AN$4:AN$7493)</f>
        <v>0</v>
      </c>
      <c r="CC160" s="311">
        <f>SUMIF(Recibos!$D$4:$D$7493,Cobranza!$B160,Recibos!AO$4:AO$7493)</f>
        <v>0</v>
      </c>
      <c r="CD160" s="311">
        <f>SUMIF(Recibos!$D$4:$D$7493,Cobranza!$B160,Recibos!AP$4:AP$7493)</f>
        <v>0</v>
      </c>
      <c r="CE160" s="311">
        <f>SUMIF(Recibos!$D$4:$D$7493,Cobranza!$B160,Recibos!AQ$4:AQ$7493)</f>
        <v>0</v>
      </c>
      <c r="CF160" s="311">
        <f>SUMIF(Recibos!$D$4:$D$7493,Cobranza!$B160,Recibos!AR$4:AR$7493)</f>
        <v>0</v>
      </c>
      <c r="CG160" s="311">
        <f>SUMIF(Recibos!$D$4:$D$7493,Cobranza!$B160,Recibos!AS$4:AS$7493)</f>
        <v>0</v>
      </c>
      <c r="CH160" s="311">
        <f>SUMIF(Recibos!$D$4:$D$7493,Cobranza!$B160,Recibos!AT$4:AT$7493)</f>
        <v>0</v>
      </c>
      <c r="CI160" s="311">
        <f>SUMIF(Recibos!$D$4:$D$7493,Cobranza!$B160,Recibos!AU$4:AU$7493)</f>
        <v>0</v>
      </c>
      <c r="CJ160" s="311">
        <f>SUMIF(Recibos!$D$4:$D$7493,Cobranza!$B160,Recibos!AV$4:AV$7493)</f>
        <v>0</v>
      </c>
      <c r="CK160" s="312">
        <f t="shared" si="24"/>
        <v>0</v>
      </c>
    </row>
    <row r="161" spans="2:89" x14ac:dyDescent="0.2">
      <c r="B161" s="45" t="s">
        <v>785</v>
      </c>
      <c r="C161" s="45" t="s">
        <v>786</v>
      </c>
      <c r="D161" s="45" t="s">
        <v>787</v>
      </c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300</v>
      </c>
      <c r="K161" s="47">
        <f t="shared" si="25"/>
        <v>300</v>
      </c>
      <c r="L161" s="46">
        <v>300</v>
      </c>
      <c r="M161" s="46">
        <v>300</v>
      </c>
      <c r="N161" s="46">
        <v>300</v>
      </c>
      <c r="O161" s="46">
        <v>300</v>
      </c>
      <c r="P161" s="46">
        <v>300</v>
      </c>
      <c r="Q161" s="46">
        <v>300</v>
      </c>
      <c r="R161" s="46">
        <v>300</v>
      </c>
      <c r="S161" s="46">
        <v>300</v>
      </c>
      <c r="T161" s="46">
        <v>300</v>
      </c>
      <c r="U161" s="46">
        <v>400</v>
      </c>
      <c r="V161" s="46">
        <v>0</v>
      </c>
      <c r="W161" s="46">
        <v>0</v>
      </c>
      <c r="X161" s="47">
        <f t="shared" si="26"/>
        <v>3100</v>
      </c>
      <c r="Y161" s="46">
        <v>400</v>
      </c>
      <c r="Z161" s="46">
        <v>400</v>
      </c>
      <c r="AA161" s="46">
        <v>400</v>
      </c>
      <c r="AB161" s="46">
        <v>400</v>
      </c>
      <c r="AC161" s="46">
        <v>400</v>
      </c>
      <c r="AD161" s="46">
        <v>400</v>
      </c>
      <c r="AE161" s="46">
        <v>400</v>
      </c>
      <c r="AF161" s="46">
        <v>300</v>
      </c>
      <c r="AG161" s="46">
        <v>300</v>
      </c>
      <c r="AH161" s="46">
        <v>300</v>
      </c>
      <c r="AI161" s="46">
        <v>300</v>
      </c>
      <c r="AJ161" s="46">
        <v>300</v>
      </c>
      <c r="AK161" s="47">
        <f t="shared" si="27"/>
        <v>4300</v>
      </c>
      <c r="AL161" s="46">
        <v>300</v>
      </c>
      <c r="AM161" s="46">
        <v>300</v>
      </c>
      <c r="AN161" s="46">
        <v>300</v>
      </c>
      <c r="AO161" s="46">
        <v>300</v>
      </c>
      <c r="AP161" s="46">
        <v>300</v>
      </c>
      <c r="AQ161" s="46">
        <v>300</v>
      </c>
      <c r="AR161" s="46">
        <v>300</v>
      </c>
      <c r="AS161" s="46">
        <v>0</v>
      </c>
      <c r="AT161" s="46">
        <v>300</v>
      </c>
      <c r="AU161" s="46">
        <v>300</v>
      </c>
      <c r="AV161" s="46">
        <v>300</v>
      </c>
      <c r="AW161" s="46">
        <v>200</v>
      </c>
      <c r="AX161" s="47">
        <f t="shared" si="28"/>
        <v>3200</v>
      </c>
      <c r="AY161" s="313">
        <f>SUMIF(Recibos!$D$4:$D$7493,Cobranza!$B161,Recibos!K$4:K$7493)</f>
        <v>200</v>
      </c>
      <c r="AZ161" s="313">
        <f>SUMIF(Recibos!$D$4:$D$7493,Cobranza!$B161,Recibos!L$4:L$7493)</f>
        <v>200</v>
      </c>
      <c r="BA161" s="313">
        <f>SUMIF(Recibos!$D$4:$D$7493,Cobranza!$B161,Recibos!M$4:M$7493)</f>
        <v>200</v>
      </c>
      <c r="BB161" s="313">
        <f>SUMIF(Recibos!$D$4:$D$7493,Cobranza!$B161,Recibos!N$4:N$7493)</f>
        <v>200</v>
      </c>
      <c r="BC161" s="313">
        <f>SUMIF(Recibos!$D$4:$D$7493,Cobranza!$B161,Recibos!O$4:O$7493)</f>
        <v>200</v>
      </c>
      <c r="BD161" s="313">
        <f>SUMIF(Recibos!$D$4:$D$7493,Cobranza!$B161,Recibos!P$4:P$7493)</f>
        <v>200</v>
      </c>
      <c r="BE161" s="313">
        <f>SUMIF(Recibos!$D$4:$D$7493,Cobranza!$B161,Recibos!Q$4:Q$7493)</f>
        <v>200</v>
      </c>
      <c r="BF161" s="313">
        <f>SUMIF(Recibos!$D$4:$D$7493,Cobranza!$B161,Recibos!R$4:R$7493)</f>
        <v>200</v>
      </c>
      <c r="BG161" s="313">
        <f>SUMIF(Recibos!$D$4:$D$7493,Cobranza!$B161,Recibos!S$4:S$7493)</f>
        <v>200</v>
      </c>
      <c r="BH161" s="313">
        <f>SUMIF(Recibos!$D$4:$D$7493,Cobranza!$B161,Recibos!T$4:T$7493)</f>
        <v>200</v>
      </c>
      <c r="BI161" s="313">
        <f>SUMIF(Recibos!$D$4:$D$7493,Cobranza!$B161,Recibos!U$4:U$7493)</f>
        <v>200</v>
      </c>
      <c r="BJ161" s="313">
        <f>SUMIF(Recibos!$D$4:$D$7493,Cobranza!$B161,Recibos!V$4:V$7493)</f>
        <v>200</v>
      </c>
      <c r="BK161" s="314">
        <f t="shared" si="29"/>
        <v>2400</v>
      </c>
      <c r="BL161" s="313">
        <f>SUMIF(Recibos!$D$4:$D$7493,Cobranza!$B161,Recibos!X$4:X$7493)</f>
        <v>200</v>
      </c>
      <c r="BM161" s="313">
        <f>SUMIF(Recibos!$D$4:$D$7493,Cobranza!$B161,Recibos!Y$4:Y$7493)</f>
        <v>200</v>
      </c>
      <c r="BN161" s="313">
        <f>SUMIF(Recibos!$D$4:$D$7493,Cobranza!$B161,Recibos!Z$4:Z$7493)</f>
        <v>200</v>
      </c>
      <c r="BO161" s="313">
        <f>SUMIF(Recibos!$D$4:$D$7493,Cobranza!$B161,Recibos!AA$4:AA$7493)</f>
        <v>200</v>
      </c>
      <c r="BP161" s="313">
        <f>SUMIF(Recibos!$D$4:$D$7493,Cobranza!$B161,Recibos!AB$4:AB$7493)</f>
        <v>200</v>
      </c>
      <c r="BQ161" s="313">
        <f>SUMIF(Recibos!$D$4:$D$7493,Cobranza!$B161,Recibos!AC$4:AC$7493)</f>
        <v>200</v>
      </c>
      <c r="BR161" s="313">
        <f>SUMIF(Recibos!$D$4:$D$7493,Cobranza!$B161,Recibos!AD$4:AD$7493)</f>
        <v>200</v>
      </c>
      <c r="BS161" s="313">
        <f>SUMIF(Recibos!$D$4:$D$7493,Cobranza!$B161,Recibos!AE$4:AE$7493)</f>
        <v>200</v>
      </c>
      <c r="BT161" s="313">
        <f>SUMIF(Recibos!$D$4:$D$7493,Cobranza!$B161,Recibos!AF$4:AF$7493)</f>
        <v>200</v>
      </c>
      <c r="BU161" s="313">
        <f>SUMIF(Recibos!$D$4:$D$7493,Cobranza!$B161,Recibos!AG$4:AG$7493)</f>
        <v>200</v>
      </c>
      <c r="BV161" s="313">
        <f>SUMIF(Recibos!$D$4:$D$7493,Cobranza!$B161,Recibos!AH$4:AH$7493)</f>
        <v>200</v>
      </c>
      <c r="BW161" s="313">
        <f>SUMIF(Recibos!$D$4:$D$7493,Cobranza!$B161,Recibos!AI$4:AI$7493)</f>
        <v>200</v>
      </c>
      <c r="BX161" s="314">
        <f t="shared" si="30"/>
        <v>2400</v>
      </c>
      <c r="BY161" s="313">
        <f>SUMIF(Recibos!$D$4:$D$7493,Cobranza!$B161,Recibos!AK$4:AK$7493)</f>
        <v>200</v>
      </c>
      <c r="BZ161" s="313">
        <f>SUMIF(Recibos!$D$4:$D$7493,Cobranza!$B161,Recibos!AL$4:AL$7493)</f>
        <v>200</v>
      </c>
      <c r="CA161" s="313">
        <f>SUMIF(Recibos!$D$4:$D$7493,Cobranza!$B161,Recibos!AM$4:AM$7493)</f>
        <v>200</v>
      </c>
      <c r="CB161" s="313">
        <f>SUMIF(Recibos!$D$4:$D$7493,Cobranza!$B161,Recibos!AN$4:AN$7493)</f>
        <v>200</v>
      </c>
      <c r="CC161" s="313">
        <f>SUMIF(Recibos!$D$4:$D$7493,Cobranza!$B161,Recibos!AO$4:AO$7493)</f>
        <v>200</v>
      </c>
      <c r="CD161" s="313">
        <f>SUMIF(Recibos!$D$4:$D$7493,Cobranza!$B161,Recibos!AP$4:AP$7493)</f>
        <v>200</v>
      </c>
      <c r="CE161" s="313">
        <f>SUMIF(Recibos!$D$4:$D$7493,Cobranza!$B161,Recibos!AQ$4:AQ$7493)</f>
        <v>200</v>
      </c>
      <c r="CF161" s="313">
        <f>SUMIF(Recibos!$D$4:$D$7493,Cobranza!$B161,Recibos!AR$4:AR$7493)</f>
        <v>200</v>
      </c>
      <c r="CG161" s="313">
        <f>SUMIF(Recibos!$D$4:$D$7493,Cobranza!$B161,Recibos!AS$4:AS$7493)</f>
        <v>200</v>
      </c>
      <c r="CH161" s="313">
        <f>SUMIF(Recibos!$D$4:$D$7493,Cobranza!$B161,Recibos!AT$4:AT$7493)</f>
        <v>0</v>
      </c>
      <c r="CI161" s="313">
        <f>SUMIF(Recibos!$D$4:$D$7493,Cobranza!$B161,Recibos!AU$4:AU$7493)</f>
        <v>0</v>
      </c>
      <c r="CJ161" s="313">
        <f>SUMIF(Recibos!$D$4:$D$7493,Cobranza!$B161,Recibos!AV$4:AV$7493)</f>
        <v>0</v>
      </c>
      <c r="CK161" s="314">
        <f t="shared" si="24"/>
        <v>1800</v>
      </c>
    </row>
    <row r="162" spans="2:89" x14ac:dyDescent="0.2">
      <c r="B162" s="42" t="s">
        <v>1023</v>
      </c>
      <c r="C162" s="42" t="s">
        <v>1024</v>
      </c>
      <c r="D162" s="42" t="s">
        <v>1025</v>
      </c>
      <c r="E162" s="43">
        <v>0</v>
      </c>
      <c r="F162" s="43">
        <v>300</v>
      </c>
      <c r="G162" s="43">
        <v>300</v>
      </c>
      <c r="H162" s="43">
        <v>0</v>
      </c>
      <c r="I162" s="43">
        <v>0</v>
      </c>
      <c r="J162" s="43">
        <v>0</v>
      </c>
      <c r="K162" s="44">
        <f t="shared" si="25"/>
        <v>600</v>
      </c>
      <c r="L162" s="43">
        <v>200</v>
      </c>
      <c r="M162" s="43">
        <v>200</v>
      </c>
      <c r="N162" s="43">
        <v>200</v>
      </c>
      <c r="O162" s="43">
        <v>200</v>
      </c>
      <c r="P162" s="43">
        <v>200</v>
      </c>
      <c r="Q162" s="43">
        <v>200</v>
      </c>
      <c r="R162" s="43">
        <v>200</v>
      </c>
      <c r="S162" s="43">
        <v>200</v>
      </c>
      <c r="T162" s="43">
        <v>200</v>
      </c>
      <c r="U162" s="43">
        <v>200</v>
      </c>
      <c r="V162" s="43">
        <v>200</v>
      </c>
      <c r="W162" s="43">
        <v>200</v>
      </c>
      <c r="X162" s="44">
        <f t="shared" si="26"/>
        <v>2400</v>
      </c>
      <c r="Y162" s="43">
        <v>300</v>
      </c>
      <c r="Z162" s="43">
        <v>300</v>
      </c>
      <c r="AA162" s="43">
        <v>300</v>
      </c>
      <c r="AB162" s="43">
        <v>300</v>
      </c>
      <c r="AC162" s="43">
        <v>300</v>
      </c>
      <c r="AD162" s="43">
        <v>300</v>
      </c>
      <c r="AE162" s="43">
        <v>300</v>
      </c>
      <c r="AF162" s="43">
        <v>300</v>
      </c>
      <c r="AG162" s="43">
        <v>300</v>
      </c>
      <c r="AH162" s="43">
        <v>300</v>
      </c>
      <c r="AI162" s="43">
        <v>300</v>
      </c>
      <c r="AJ162" s="43">
        <v>300</v>
      </c>
      <c r="AK162" s="44">
        <f t="shared" si="27"/>
        <v>3600</v>
      </c>
      <c r="AL162" s="43">
        <v>300</v>
      </c>
      <c r="AM162" s="43">
        <v>300</v>
      </c>
      <c r="AN162" s="43">
        <v>300</v>
      </c>
      <c r="AO162" s="43">
        <v>300</v>
      </c>
      <c r="AP162" s="43">
        <v>300</v>
      </c>
      <c r="AQ162" s="43">
        <v>300</v>
      </c>
      <c r="AR162" s="43">
        <v>300</v>
      </c>
      <c r="AS162" s="43">
        <v>300</v>
      </c>
      <c r="AT162" s="43">
        <v>300</v>
      </c>
      <c r="AU162" s="43">
        <v>300</v>
      </c>
      <c r="AV162" s="43">
        <v>300</v>
      </c>
      <c r="AW162" s="43">
        <v>300</v>
      </c>
      <c r="AX162" s="44">
        <f t="shared" si="28"/>
        <v>3600</v>
      </c>
      <c r="AY162" s="311">
        <f>SUMIF(Recibos!$D$4:$D$7493,Cobranza!$B162,Recibos!K$4:K$7493)</f>
        <v>300</v>
      </c>
      <c r="AZ162" s="311">
        <f>SUMIF(Recibos!$D$4:$D$7493,Cobranza!$B162,Recibos!L$4:L$7493)</f>
        <v>300</v>
      </c>
      <c r="BA162" s="311">
        <f>SUMIF(Recibos!$D$4:$D$7493,Cobranza!$B162,Recibos!M$4:M$7493)</f>
        <v>300</v>
      </c>
      <c r="BB162" s="311">
        <f>SUMIF(Recibos!$D$4:$D$7493,Cobranza!$B162,Recibos!N$4:N$7493)</f>
        <v>300</v>
      </c>
      <c r="BC162" s="311">
        <f>SUMIF(Recibos!$D$4:$D$7493,Cobranza!$B162,Recibos!O$4:O$7493)</f>
        <v>300</v>
      </c>
      <c r="BD162" s="311">
        <f>SUMIF(Recibos!$D$4:$D$7493,Cobranza!$B162,Recibos!P$4:P$7493)</f>
        <v>300</v>
      </c>
      <c r="BE162" s="311">
        <f>SUMIF(Recibos!$D$4:$D$7493,Cobranza!$B162,Recibos!Q$4:Q$7493)</f>
        <v>300</v>
      </c>
      <c r="BF162" s="311">
        <f>SUMIF(Recibos!$D$4:$D$7493,Cobranza!$B162,Recibos!R$4:R$7493)</f>
        <v>300</v>
      </c>
      <c r="BG162" s="311">
        <f>SUMIF(Recibos!$D$4:$D$7493,Cobranza!$B162,Recibos!S$4:S$7493)</f>
        <v>300</v>
      </c>
      <c r="BH162" s="311">
        <f>SUMIF(Recibos!$D$4:$D$7493,Cobranza!$B162,Recibos!T$4:T$7493)</f>
        <v>300</v>
      </c>
      <c r="BI162" s="311">
        <f>SUMIF(Recibos!$D$4:$D$7493,Cobranza!$B162,Recibos!U$4:U$7493)</f>
        <v>300</v>
      </c>
      <c r="BJ162" s="311">
        <f>SUMIF(Recibos!$D$4:$D$7493,Cobranza!$B162,Recibos!V$4:V$7493)</f>
        <v>300</v>
      </c>
      <c r="BK162" s="312">
        <f t="shared" si="29"/>
        <v>3600</v>
      </c>
      <c r="BL162" s="311">
        <f>SUMIF(Recibos!$D$4:$D$7493,Cobranza!$B162,Recibos!X$4:X$7493)</f>
        <v>300</v>
      </c>
      <c r="BM162" s="311">
        <f>SUMIF(Recibos!$D$4:$D$7493,Cobranza!$B162,Recibos!Y$4:Y$7493)</f>
        <v>300</v>
      </c>
      <c r="BN162" s="311">
        <f>SUMIF(Recibos!$D$4:$D$7493,Cobranza!$B162,Recibos!Z$4:Z$7493)</f>
        <v>300</v>
      </c>
      <c r="BO162" s="311">
        <f>SUMIF(Recibos!$D$4:$D$7493,Cobranza!$B162,Recibos!AA$4:AA$7493)</f>
        <v>300</v>
      </c>
      <c r="BP162" s="311">
        <f>SUMIF(Recibos!$D$4:$D$7493,Cobranza!$B162,Recibos!AB$4:AB$7493)</f>
        <v>300</v>
      </c>
      <c r="BQ162" s="311">
        <f>SUMIF(Recibos!$D$4:$D$7493,Cobranza!$B162,Recibos!AC$4:AC$7493)</f>
        <v>300</v>
      </c>
      <c r="BR162" s="311">
        <f>SUMIF(Recibos!$D$4:$D$7493,Cobranza!$B162,Recibos!AD$4:AD$7493)</f>
        <v>300</v>
      </c>
      <c r="BS162" s="311">
        <f>SUMIF(Recibos!$D$4:$D$7493,Cobranza!$B162,Recibos!AE$4:AE$7493)</f>
        <v>300</v>
      </c>
      <c r="BT162" s="311">
        <f>SUMIF(Recibos!$D$4:$D$7493,Cobranza!$B162,Recibos!AF$4:AF$7493)</f>
        <v>300</v>
      </c>
      <c r="BU162" s="311">
        <f>SUMIF(Recibos!$D$4:$D$7493,Cobranza!$B162,Recibos!AG$4:AG$7493)</f>
        <v>300</v>
      </c>
      <c r="BV162" s="311">
        <f>SUMIF(Recibos!$D$4:$D$7493,Cobranza!$B162,Recibos!AH$4:AH$7493)</f>
        <v>300</v>
      </c>
      <c r="BW162" s="311">
        <f>SUMIF(Recibos!$D$4:$D$7493,Cobranza!$B162,Recibos!AI$4:AI$7493)</f>
        <v>300</v>
      </c>
      <c r="BX162" s="312">
        <f t="shared" si="30"/>
        <v>3600</v>
      </c>
      <c r="BY162" s="311">
        <f>SUMIF(Recibos!$D$4:$D$7493,Cobranza!$B162,Recibos!AK$4:AK$7493)</f>
        <v>0</v>
      </c>
      <c r="BZ162" s="311">
        <f>SUMIF(Recibos!$D$4:$D$7493,Cobranza!$B162,Recibos!AL$4:AL$7493)</f>
        <v>0</v>
      </c>
      <c r="CA162" s="311">
        <f>SUMIF(Recibos!$D$4:$D$7493,Cobranza!$B162,Recibos!AM$4:AM$7493)</f>
        <v>0</v>
      </c>
      <c r="CB162" s="311">
        <f>SUMIF(Recibos!$D$4:$D$7493,Cobranza!$B162,Recibos!AN$4:AN$7493)</f>
        <v>0</v>
      </c>
      <c r="CC162" s="311">
        <f>SUMIF(Recibos!$D$4:$D$7493,Cobranza!$B162,Recibos!AO$4:AO$7493)</f>
        <v>0</v>
      </c>
      <c r="CD162" s="311">
        <f>SUMIF(Recibos!$D$4:$D$7493,Cobranza!$B162,Recibos!AP$4:AP$7493)</f>
        <v>0</v>
      </c>
      <c r="CE162" s="311">
        <f>SUMIF(Recibos!$D$4:$D$7493,Cobranza!$B162,Recibos!AQ$4:AQ$7493)</f>
        <v>0</v>
      </c>
      <c r="CF162" s="311">
        <f>SUMIF(Recibos!$D$4:$D$7493,Cobranza!$B162,Recibos!AR$4:AR$7493)</f>
        <v>0</v>
      </c>
      <c r="CG162" s="311">
        <f>SUMIF(Recibos!$D$4:$D$7493,Cobranza!$B162,Recibos!AS$4:AS$7493)</f>
        <v>0</v>
      </c>
      <c r="CH162" s="311">
        <f>SUMIF(Recibos!$D$4:$D$7493,Cobranza!$B162,Recibos!AT$4:AT$7493)</f>
        <v>0</v>
      </c>
      <c r="CI162" s="311">
        <f>SUMIF(Recibos!$D$4:$D$7493,Cobranza!$B162,Recibos!AU$4:AU$7493)</f>
        <v>0</v>
      </c>
      <c r="CJ162" s="311">
        <f>SUMIF(Recibos!$D$4:$D$7493,Cobranza!$B162,Recibos!AV$4:AV$7493)</f>
        <v>0</v>
      </c>
      <c r="CK162" s="312">
        <f t="shared" si="24"/>
        <v>0</v>
      </c>
    </row>
    <row r="163" spans="2:89" x14ac:dyDescent="0.2">
      <c r="B163" s="45" t="s">
        <v>126</v>
      </c>
      <c r="C163" s="45" t="s">
        <v>127</v>
      </c>
      <c r="D163" s="45" t="s">
        <v>128</v>
      </c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300</v>
      </c>
      <c r="K163" s="47">
        <f t="shared" si="25"/>
        <v>300</v>
      </c>
      <c r="L163" s="46">
        <v>300</v>
      </c>
      <c r="M163" s="46">
        <v>300</v>
      </c>
      <c r="N163" s="46">
        <v>300</v>
      </c>
      <c r="O163" s="46">
        <v>300</v>
      </c>
      <c r="P163" s="46">
        <v>300</v>
      </c>
      <c r="Q163" s="46">
        <v>300</v>
      </c>
      <c r="R163" s="46">
        <v>300</v>
      </c>
      <c r="S163" s="46">
        <v>300</v>
      </c>
      <c r="T163" s="46">
        <v>300</v>
      </c>
      <c r="U163" s="46">
        <v>300</v>
      </c>
      <c r="V163" s="46">
        <v>300</v>
      </c>
      <c r="W163" s="46">
        <v>300</v>
      </c>
      <c r="X163" s="47">
        <f t="shared" si="26"/>
        <v>3600</v>
      </c>
      <c r="Y163" s="46">
        <v>400</v>
      </c>
      <c r="Z163" s="46">
        <v>400</v>
      </c>
      <c r="AA163" s="46">
        <v>400</v>
      </c>
      <c r="AB163" s="46">
        <v>400</v>
      </c>
      <c r="AC163" s="46">
        <v>400</v>
      </c>
      <c r="AD163" s="46">
        <v>400</v>
      </c>
      <c r="AE163" s="46">
        <v>400</v>
      </c>
      <c r="AF163" s="46">
        <v>400</v>
      </c>
      <c r="AG163" s="46">
        <v>400</v>
      </c>
      <c r="AH163" s="46">
        <v>400</v>
      </c>
      <c r="AI163" s="46">
        <v>400</v>
      </c>
      <c r="AJ163" s="46">
        <v>0</v>
      </c>
      <c r="AK163" s="47">
        <f t="shared" si="27"/>
        <v>4400</v>
      </c>
      <c r="AL163" s="46">
        <v>400</v>
      </c>
      <c r="AM163" s="46">
        <v>400</v>
      </c>
      <c r="AN163" s="46">
        <v>400</v>
      </c>
      <c r="AO163" s="46">
        <v>400</v>
      </c>
      <c r="AP163" s="46">
        <v>400</v>
      </c>
      <c r="AQ163" s="46">
        <v>400</v>
      </c>
      <c r="AR163" s="46">
        <v>400</v>
      </c>
      <c r="AS163" s="46">
        <v>400</v>
      </c>
      <c r="AT163" s="46">
        <v>400</v>
      </c>
      <c r="AU163" s="46">
        <v>400</v>
      </c>
      <c r="AV163" s="46">
        <v>400</v>
      </c>
      <c r="AW163" s="46">
        <v>400</v>
      </c>
      <c r="AX163" s="47">
        <f t="shared" si="28"/>
        <v>4800</v>
      </c>
      <c r="AY163" s="313">
        <f>SUMIF(Recibos!$D$4:$D$7493,Cobranza!$B163,Recibos!K$4:K$7493)</f>
        <v>400</v>
      </c>
      <c r="AZ163" s="313">
        <f>SUMIF(Recibos!$D$4:$D$7493,Cobranza!$B163,Recibos!L$4:L$7493)</f>
        <v>400</v>
      </c>
      <c r="BA163" s="313">
        <f>SUMIF(Recibos!$D$4:$D$7493,Cobranza!$B163,Recibos!M$4:M$7493)</f>
        <v>400</v>
      </c>
      <c r="BB163" s="313">
        <f>SUMIF(Recibos!$D$4:$D$7493,Cobranza!$B163,Recibos!N$4:N$7493)</f>
        <v>400</v>
      </c>
      <c r="BC163" s="313">
        <f>SUMIF(Recibos!$D$4:$D$7493,Cobranza!$B163,Recibos!O$4:O$7493)</f>
        <v>400</v>
      </c>
      <c r="BD163" s="313">
        <f>SUMIF(Recibos!$D$4:$D$7493,Cobranza!$B163,Recibos!P$4:P$7493)</f>
        <v>400</v>
      </c>
      <c r="BE163" s="313">
        <f>SUMIF(Recibos!$D$4:$D$7493,Cobranza!$B163,Recibos!Q$4:Q$7493)</f>
        <v>400</v>
      </c>
      <c r="BF163" s="313">
        <f>SUMIF(Recibos!$D$4:$D$7493,Cobranza!$B163,Recibos!R$4:R$7493)</f>
        <v>400</v>
      </c>
      <c r="BG163" s="313">
        <f>SUMIF(Recibos!$D$4:$D$7493,Cobranza!$B163,Recibos!S$4:S$7493)</f>
        <v>400</v>
      </c>
      <c r="BH163" s="313">
        <f>SUMIF(Recibos!$D$4:$D$7493,Cobranza!$B163,Recibos!T$4:T$7493)</f>
        <v>400</v>
      </c>
      <c r="BI163" s="313">
        <f>SUMIF(Recibos!$D$4:$D$7493,Cobranza!$B163,Recibos!U$4:U$7493)</f>
        <v>400</v>
      </c>
      <c r="BJ163" s="313">
        <f>SUMIF(Recibos!$D$4:$D$7493,Cobranza!$B163,Recibos!V$4:V$7493)</f>
        <v>0</v>
      </c>
      <c r="BK163" s="314">
        <f t="shared" si="29"/>
        <v>4400</v>
      </c>
      <c r="BL163" s="313">
        <f>SUMIF(Recibos!$D$4:$D$7493,Cobranza!$B163,Recibos!X$4:X$7493)</f>
        <v>400</v>
      </c>
      <c r="BM163" s="313">
        <f>SUMIF(Recibos!$D$4:$D$7493,Cobranza!$B163,Recibos!Y$4:Y$7493)</f>
        <v>400</v>
      </c>
      <c r="BN163" s="313">
        <f>SUMIF(Recibos!$D$4:$D$7493,Cobranza!$B163,Recibos!Z$4:Z$7493)</f>
        <v>400</v>
      </c>
      <c r="BO163" s="313">
        <f>SUMIF(Recibos!$D$4:$D$7493,Cobranza!$B163,Recibos!AA$4:AA$7493)</f>
        <v>400</v>
      </c>
      <c r="BP163" s="313">
        <f>SUMIF(Recibos!$D$4:$D$7493,Cobranza!$B163,Recibos!AB$4:AB$7493)</f>
        <v>400</v>
      </c>
      <c r="BQ163" s="313">
        <f>SUMIF(Recibos!$D$4:$D$7493,Cobranza!$B163,Recibos!AC$4:AC$7493)</f>
        <v>400</v>
      </c>
      <c r="BR163" s="313">
        <f>SUMIF(Recibos!$D$4:$D$7493,Cobranza!$B163,Recibos!AD$4:AD$7493)</f>
        <v>400</v>
      </c>
      <c r="BS163" s="313">
        <f>SUMIF(Recibos!$D$4:$D$7493,Cobranza!$B163,Recibos!AE$4:AE$7493)</f>
        <v>400</v>
      </c>
      <c r="BT163" s="313">
        <f>SUMIF(Recibos!$D$4:$D$7493,Cobranza!$B163,Recibos!AF$4:AF$7493)</f>
        <v>400</v>
      </c>
      <c r="BU163" s="313">
        <f>SUMIF(Recibos!$D$4:$D$7493,Cobranza!$B163,Recibos!AG$4:AG$7493)</f>
        <v>400</v>
      </c>
      <c r="BV163" s="313">
        <f>SUMIF(Recibos!$D$4:$D$7493,Cobranza!$B163,Recibos!AH$4:AH$7493)</f>
        <v>400</v>
      </c>
      <c r="BW163" s="313">
        <f>SUMIF(Recibos!$D$4:$D$7493,Cobranza!$B163,Recibos!AI$4:AI$7493)</f>
        <v>0</v>
      </c>
      <c r="BX163" s="314">
        <f t="shared" si="30"/>
        <v>4400</v>
      </c>
      <c r="BY163" s="313">
        <f>SUMIF(Recibos!$D$4:$D$7493,Cobranza!$B163,Recibos!AK$4:AK$7493)</f>
        <v>400</v>
      </c>
      <c r="BZ163" s="313">
        <f>SUMIF(Recibos!$D$4:$D$7493,Cobranza!$B163,Recibos!AL$4:AL$7493)</f>
        <v>400</v>
      </c>
      <c r="CA163" s="313">
        <f>SUMIF(Recibos!$D$4:$D$7493,Cobranza!$B163,Recibos!AM$4:AM$7493)</f>
        <v>400</v>
      </c>
      <c r="CB163" s="313">
        <f>SUMIF(Recibos!$D$4:$D$7493,Cobranza!$B163,Recibos!AN$4:AN$7493)</f>
        <v>400</v>
      </c>
      <c r="CC163" s="313">
        <f>SUMIF(Recibos!$D$4:$D$7493,Cobranza!$B163,Recibos!AO$4:AO$7493)</f>
        <v>400</v>
      </c>
      <c r="CD163" s="313">
        <f>SUMIF(Recibos!$D$4:$D$7493,Cobranza!$B163,Recibos!AP$4:AP$7493)</f>
        <v>400</v>
      </c>
      <c r="CE163" s="313">
        <f>SUMIF(Recibos!$D$4:$D$7493,Cobranza!$B163,Recibos!AQ$4:AQ$7493)</f>
        <v>400</v>
      </c>
      <c r="CF163" s="313">
        <f>SUMIF(Recibos!$D$4:$D$7493,Cobranza!$B163,Recibos!AR$4:AR$7493)</f>
        <v>400</v>
      </c>
      <c r="CG163" s="313">
        <f>SUMIF(Recibos!$D$4:$D$7493,Cobranza!$B163,Recibos!AS$4:AS$7493)</f>
        <v>400</v>
      </c>
      <c r="CH163" s="313">
        <f>SUMIF(Recibos!$D$4:$D$7493,Cobranza!$B163,Recibos!AT$4:AT$7493)</f>
        <v>400</v>
      </c>
      <c r="CI163" s="313">
        <f>SUMIF(Recibos!$D$4:$D$7493,Cobranza!$B163,Recibos!AU$4:AU$7493)</f>
        <v>400</v>
      </c>
      <c r="CJ163" s="313">
        <f>SUMIF(Recibos!$D$4:$D$7493,Cobranza!$B163,Recibos!AV$4:AV$7493)</f>
        <v>0</v>
      </c>
      <c r="CK163" s="314">
        <f t="shared" si="24"/>
        <v>4400</v>
      </c>
    </row>
    <row r="164" spans="2:89" x14ac:dyDescent="0.2">
      <c r="B164" s="42" t="s">
        <v>837</v>
      </c>
      <c r="C164" s="42" t="s">
        <v>838</v>
      </c>
      <c r="D164" s="42" t="s">
        <v>839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4">
        <f t="shared" si="25"/>
        <v>0</v>
      </c>
      <c r="L164" s="43">
        <v>300</v>
      </c>
      <c r="M164" s="43">
        <v>300</v>
      </c>
      <c r="N164" s="43">
        <v>300</v>
      </c>
      <c r="O164" s="43">
        <v>300</v>
      </c>
      <c r="P164" s="43">
        <v>300</v>
      </c>
      <c r="Q164" s="43">
        <v>300</v>
      </c>
      <c r="R164" s="43">
        <v>300</v>
      </c>
      <c r="S164" s="43">
        <v>300</v>
      </c>
      <c r="T164" s="43">
        <v>300</v>
      </c>
      <c r="U164" s="43">
        <v>300</v>
      </c>
      <c r="V164" s="43">
        <v>300</v>
      </c>
      <c r="W164" s="43">
        <v>0</v>
      </c>
      <c r="X164" s="44">
        <f t="shared" si="26"/>
        <v>3300</v>
      </c>
      <c r="Y164" s="43">
        <v>400</v>
      </c>
      <c r="Z164" s="43">
        <v>400</v>
      </c>
      <c r="AA164" s="43">
        <v>400</v>
      </c>
      <c r="AB164" s="43">
        <v>400</v>
      </c>
      <c r="AC164" s="43">
        <v>400</v>
      </c>
      <c r="AD164" s="43">
        <v>400</v>
      </c>
      <c r="AE164" s="43">
        <v>400</v>
      </c>
      <c r="AF164" s="43">
        <v>400</v>
      </c>
      <c r="AG164" s="43">
        <v>400</v>
      </c>
      <c r="AH164" s="43">
        <v>400</v>
      </c>
      <c r="AI164" s="43">
        <v>400</v>
      </c>
      <c r="AJ164" s="43">
        <v>400</v>
      </c>
      <c r="AK164" s="44">
        <f t="shared" si="27"/>
        <v>4800</v>
      </c>
      <c r="AL164" s="43">
        <v>400</v>
      </c>
      <c r="AM164" s="43">
        <v>400</v>
      </c>
      <c r="AN164" s="43">
        <v>400</v>
      </c>
      <c r="AO164" s="43">
        <v>400</v>
      </c>
      <c r="AP164" s="43">
        <v>400</v>
      </c>
      <c r="AQ164" s="43">
        <v>400</v>
      </c>
      <c r="AR164" s="43">
        <v>400</v>
      </c>
      <c r="AS164" s="43">
        <v>400</v>
      </c>
      <c r="AT164" s="43">
        <v>400</v>
      </c>
      <c r="AU164" s="43">
        <v>400</v>
      </c>
      <c r="AV164" s="43">
        <v>400</v>
      </c>
      <c r="AW164" s="43">
        <v>400</v>
      </c>
      <c r="AX164" s="44">
        <f t="shared" si="28"/>
        <v>4800</v>
      </c>
      <c r="AY164" s="311">
        <f>SUMIF(Recibos!$D$4:$D$7493,Cobranza!$B164,Recibos!K$4:K$7493)</f>
        <v>400</v>
      </c>
      <c r="AZ164" s="311">
        <f>SUMIF(Recibos!$D$4:$D$7493,Cobranza!$B164,Recibos!L$4:L$7493)</f>
        <v>400</v>
      </c>
      <c r="BA164" s="311">
        <f>SUMIF(Recibos!$D$4:$D$7493,Cobranza!$B164,Recibos!M$4:M$7493)</f>
        <v>400</v>
      </c>
      <c r="BB164" s="311">
        <f>SUMIF(Recibos!$D$4:$D$7493,Cobranza!$B164,Recibos!N$4:N$7493)</f>
        <v>400</v>
      </c>
      <c r="BC164" s="311">
        <f>SUMIF(Recibos!$D$4:$D$7493,Cobranza!$B164,Recibos!O$4:O$7493)</f>
        <v>400</v>
      </c>
      <c r="BD164" s="311">
        <f>SUMIF(Recibos!$D$4:$D$7493,Cobranza!$B164,Recibos!P$4:P$7493)</f>
        <v>400</v>
      </c>
      <c r="BE164" s="311">
        <f>SUMIF(Recibos!$D$4:$D$7493,Cobranza!$B164,Recibos!Q$4:Q$7493)</f>
        <v>400</v>
      </c>
      <c r="BF164" s="311">
        <f>SUMIF(Recibos!$D$4:$D$7493,Cobranza!$B164,Recibos!R$4:R$7493)</f>
        <v>400</v>
      </c>
      <c r="BG164" s="311">
        <f>SUMIF(Recibos!$D$4:$D$7493,Cobranza!$B164,Recibos!S$4:S$7493)</f>
        <v>400</v>
      </c>
      <c r="BH164" s="311">
        <f>SUMIF(Recibos!$D$4:$D$7493,Cobranza!$B164,Recibos!T$4:T$7493)</f>
        <v>400</v>
      </c>
      <c r="BI164" s="311">
        <f>SUMIF(Recibos!$D$4:$D$7493,Cobranza!$B164,Recibos!U$4:U$7493)</f>
        <v>400</v>
      </c>
      <c r="BJ164" s="311">
        <f>SUMIF(Recibos!$D$4:$D$7493,Cobranza!$B164,Recibos!V$4:V$7493)</f>
        <v>400</v>
      </c>
      <c r="BK164" s="312">
        <f t="shared" si="29"/>
        <v>4800</v>
      </c>
      <c r="BL164" s="311">
        <f>SUMIF(Recibos!$D$4:$D$7493,Cobranza!$B164,Recibos!X$4:X$7493)</f>
        <v>400</v>
      </c>
      <c r="BM164" s="311">
        <f>SUMIF(Recibos!$D$4:$D$7493,Cobranza!$B164,Recibos!Y$4:Y$7493)</f>
        <v>400</v>
      </c>
      <c r="BN164" s="311">
        <f>SUMIF(Recibos!$D$4:$D$7493,Cobranza!$B164,Recibos!Z$4:Z$7493)</f>
        <v>400</v>
      </c>
      <c r="BO164" s="311">
        <f>SUMIF(Recibos!$D$4:$D$7493,Cobranza!$B164,Recibos!AA$4:AA$7493)</f>
        <v>400</v>
      </c>
      <c r="BP164" s="311">
        <f>SUMIF(Recibos!$D$4:$D$7493,Cobranza!$B164,Recibos!AB$4:AB$7493)</f>
        <v>400</v>
      </c>
      <c r="BQ164" s="311">
        <f>SUMIF(Recibos!$D$4:$D$7493,Cobranza!$B164,Recibos!AC$4:AC$7493)</f>
        <v>400</v>
      </c>
      <c r="BR164" s="311">
        <f>SUMIF(Recibos!$D$4:$D$7493,Cobranza!$B164,Recibos!AD$4:AD$7493)</f>
        <v>400</v>
      </c>
      <c r="BS164" s="311">
        <f>SUMIF(Recibos!$D$4:$D$7493,Cobranza!$B164,Recibos!AE$4:AE$7493)</f>
        <v>400</v>
      </c>
      <c r="BT164" s="311">
        <f>SUMIF(Recibos!$D$4:$D$7493,Cobranza!$B164,Recibos!AF$4:AF$7493)</f>
        <v>400</v>
      </c>
      <c r="BU164" s="311">
        <f>SUMIF(Recibos!$D$4:$D$7493,Cobranza!$B164,Recibos!AG$4:AG$7493)</f>
        <v>400</v>
      </c>
      <c r="BV164" s="311">
        <f>SUMIF(Recibos!$D$4:$D$7493,Cobranza!$B164,Recibos!AH$4:AH$7493)</f>
        <v>400</v>
      </c>
      <c r="BW164" s="311">
        <f>SUMIF(Recibos!$D$4:$D$7493,Cobranza!$B164,Recibos!AI$4:AI$7493)</f>
        <v>400</v>
      </c>
      <c r="BX164" s="312">
        <f t="shared" si="30"/>
        <v>4800</v>
      </c>
      <c r="BY164" s="311">
        <f>SUMIF(Recibos!$D$4:$D$7493,Cobranza!$B164,Recibos!AK$4:AK$7493)</f>
        <v>400</v>
      </c>
      <c r="BZ164" s="311">
        <f>SUMIF(Recibos!$D$4:$D$7493,Cobranza!$B164,Recibos!AL$4:AL$7493)</f>
        <v>400</v>
      </c>
      <c r="CA164" s="311">
        <f>SUMIF(Recibos!$D$4:$D$7493,Cobranza!$B164,Recibos!AM$4:AM$7493)</f>
        <v>400</v>
      </c>
      <c r="CB164" s="311">
        <f>SUMIF(Recibos!$D$4:$D$7493,Cobranza!$B164,Recibos!AN$4:AN$7493)</f>
        <v>400</v>
      </c>
      <c r="CC164" s="311">
        <f>SUMIF(Recibos!$D$4:$D$7493,Cobranza!$B164,Recibos!AO$4:AO$7493)</f>
        <v>400</v>
      </c>
      <c r="CD164" s="311">
        <f>SUMIF(Recibos!$D$4:$D$7493,Cobranza!$B164,Recibos!AP$4:AP$7493)</f>
        <v>400</v>
      </c>
      <c r="CE164" s="311">
        <f>SUMIF(Recibos!$D$4:$D$7493,Cobranza!$B164,Recibos!AQ$4:AQ$7493)</f>
        <v>400</v>
      </c>
      <c r="CF164" s="311">
        <f>SUMIF(Recibos!$D$4:$D$7493,Cobranza!$B164,Recibos!AR$4:AR$7493)</f>
        <v>400</v>
      </c>
      <c r="CG164" s="311">
        <f>SUMIF(Recibos!$D$4:$D$7493,Cobranza!$B164,Recibos!AS$4:AS$7493)</f>
        <v>400</v>
      </c>
      <c r="CH164" s="311">
        <f>SUMIF(Recibos!$D$4:$D$7493,Cobranza!$B164,Recibos!AT$4:AT$7493)</f>
        <v>0</v>
      </c>
      <c r="CI164" s="311">
        <f>SUMIF(Recibos!$D$4:$D$7493,Cobranza!$B164,Recibos!AU$4:AU$7493)</f>
        <v>0</v>
      </c>
      <c r="CJ164" s="311">
        <f>SUMIF(Recibos!$D$4:$D$7493,Cobranza!$B164,Recibos!AV$4:AV$7493)</f>
        <v>0</v>
      </c>
      <c r="CK164" s="312">
        <f t="shared" si="24"/>
        <v>3600</v>
      </c>
    </row>
    <row r="165" spans="2:89" x14ac:dyDescent="0.2">
      <c r="B165" s="45" t="s">
        <v>90</v>
      </c>
      <c r="C165" s="45" t="s">
        <v>91</v>
      </c>
      <c r="D165" s="45" t="s">
        <v>92</v>
      </c>
      <c r="E165" s="46">
        <v>0</v>
      </c>
      <c r="F165" s="46">
        <v>0</v>
      </c>
      <c r="G165" s="46">
        <v>0</v>
      </c>
      <c r="H165" s="46">
        <v>0</v>
      </c>
      <c r="I165" s="46">
        <v>0</v>
      </c>
      <c r="J165" s="46">
        <v>300</v>
      </c>
      <c r="K165" s="47">
        <f t="shared" si="25"/>
        <v>300</v>
      </c>
      <c r="L165" s="46">
        <v>300</v>
      </c>
      <c r="M165" s="46">
        <v>300</v>
      </c>
      <c r="N165" s="46">
        <v>300</v>
      </c>
      <c r="O165" s="46">
        <v>300</v>
      </c>
      <c r="P165" s="46">
        <v>300</v>
      </c>
      <c r="Q165" s="46">
        <v>300</v>
      </c>
      <c r="R165" s="46">
        <v>300</v>
      </c>
      <c r="S165" s="46">
        <v>300</v>
      </c>
      <c r="T165" s="46">
        <v>300</v>
      </c>
      <c r="U165" s="46">
        <v>400</v>
      </c>
      <c r="V165" s="46">
        <v>400</v>
      </c>
      <c r="W165" s="46">
        <v>400</v>
      </c>
      <c r="X165" s="47">
        <f t="shared" si="26"/>
        <v>3900</v>
      </c>
      <c r="Y165" s="46">
        <v>400</v>
      </c>
      <c r="Z165" s="46">
        <v>400</v>
      </c>
      <c r="AA165" s="46">
        <v>400</v>
      </c>
      <c r="AB165" s="46">
        <v>400</v>
      </c>
      <c r="AC165" s="46">
        <v>400</v>
      </c>
      <c r="AD165" s="46">
        <v>400</v>
      </c>
      <c r="AE165" s="46">
        <v>400</v>
      </c>
      <c r="AF165" s="46">
        <v>400</v>
      </c>
      <c r="AG165" s="46">
        <v>400</v>
      </c>
      <c r="AH165" s="46">
        <v>400</v>
      </c>
      <c r="AI165" s="46">
        <v>400</v>
      </c>
      <c r="AJ165" s="46">
        <v>400</v>
      </c>
      <c r="AK165" s="47">
        <f t="shared" si="27"/>
        <v>4800</v>
      </c>
      <c r="AL165" s="46">
        <v>400</v>
      </c>
      <c r="AM165" s="46">
        <v>400</v>
      </c>
      <c r="AN165" s="46">
        <v>400</v>
      </c>
      <c r="AO165" s="46">
        <v>400</v>
      </c>
      <c r="AP165" s="46">
        <v>400</v>
      </c>
      <c r="AQ165" s="46">
        <v>400</v>
      </c>
      <c r="AR165" s="46">
        <v>400</v>
      </c>
      <c r="AS165" s="46">
        <v>400</v>
      </c>
      <c r="AT165" s="46">
        <v>400</v>
      </c>
      <c r="AU165" s="46">
        <v>400</v>
      </c>
      <c r="AV165" s="46">
        <v>400</v>
      </c>
      <c r="AW165" s="46">
        <v>400</v>
      </c>
      <c r="AX165" s="47">
        <f t="shared" si="28"/>
        <v>4800</v>
      </c>
      <c r="AY165" s="313">
        <f>SUMIF(Recibos!$D$4:$D$7493,Cobranza!$B165,Recibos!K$4:K$7493)</f>
        <v>400</v>
      </c>
      <c r="AZ165" s="313">
        <f>SUMIF(Recibos!$D$4:$D$7493,Cobranza!$B165,Recibos!L$4:L$7493)</f>
        <v>400</v>
      </c>
      <c r="BA165" s="313">
        <f>SUMIF(Recibos!$D$4:$D$7493,Cobranza!$B165,Recibos!M$4:M$7493)</f>
        <v>400</v>
      </c>
      <c r="BB165" s="313">
        <f>SUMIF(Recibos!$D$4:$D$7493,Cobranza!$B165,Recibos!N$4:N$7493)</f>
        <v>400</v>
      </c>
      <c r="BC165" s="313">
        <f>SUMIF(Recibos!$D$4:$D$7493,Cobranza!$B165,Recibos!O$4:O$7493)</f>
        <v>400</v>
      </c>
      <c r="BD165" s="313">
        <f>SUMIF(Recibos!$D$4:$D$7493,Cobranza!$B165,Recibos!P$4:P$7493)</f>
        <v>400</v>
      </c>
      <c r="BE165" s="313">
        <f>SUMIF(Recibos!$D$4:$D$7493,Cobranza!$B165,Recibos!Q$4:Q$7493)</f>
        <v>400</v>
      </c>
      <c r="BF165" s="313">
        <f>SUMIF(Recibos!$D$4:$D$7493,Cobranza!$B165,Recibos!R$4:R$7493)</f>
        <v>400</v>
      </c>
      <c r="BG165" s="313">
        <f>SUMIF(Recibos!$D$4:$D$7493,Cobranza!$B165,Recibos!S$4:S$7493)</f>
        <v>400</v>
      </c>
      <c r="BH165" s="313">
        <f>SUMIF(Recibos!$D$4:$D$7493,Cobranza!$B165,Recibos!T$4:T$7493)</f>
        <v>400</v>
      </c>
      <c r="BI165" s="313">
        <f>SUMIF(Recibos!$D$4:$D$7493,Cobranza!$B165,Recibos!U$4:U$7493)</f>
        <v>400</v>
      </c>
      <c r="BJ165" s="313">
        <f>SUMIF(Recibos!$D$4:$D$7493,Cobranza!$B165,Recibos!V$4:V$7493)</f>
        <v>0</v>
      </c>
      <c r="BK165" s="314">
        <f t="shared" si="29"/>
        <v>4400</v>
      </c>
      <c r="BL165" s="313">
        <f>SUMIF(Recibos!$D$4:$D$7493,Cobranza!$B165,Recibos!X$4:X$7493)</f>
        <v>400</v>
      </c>
      <c r="BM165" s="313">
        <f>SUMIF(Recibos!$D$4:$D$7493,Cobranza!$B165,Recibos!Y$4:Y$7493)</f>
        <v>400</v>
      </c>
      <c r="BN165" s="313">
        <f>SUMIF(Recibos!$D$4:$D$7493,Cobranza!$B165,Recibos!Z$4:Z$7493)</f>
        <v>400</v>
      </c>
      <c r="BO165" s="313">
        <f>SUMIF(Recibos!$D$4:$D$7493,Cobranza!$B165,Recibos!AA$4:AA$7493)</f>
        <v>400</v>
      </c>
      <c r="BP165" s="313">
        <f>SUMIF(Recibos!$D$4:$D$7493,Cobranza!$B165,Recibos!AB$4:AB$7493)</f>
        <v>400</v>
      </c>
      <c r="BQ165" s="313">
        <f>SUMIF(Recibos!$D$4:$D$7493,Cobranza!$B165,Recibos!AC$4:AC$7493)</f>
        <v>400</v>
      </c>
      <c r="BR165" s="313">
        <f>SUMIF(Recibos!$D$4:$D$7493,Cobranza!$B165,Recibos!AD$4:AD$7493)</f>
        <v>400</v>
      </c>
      <c r="BS165" s="313">
        <f>SUMIF(Recibos!$D$4:$D$7493,Cobranza!$B165,Recibos!AE$4:AE$7493)</f>
        <v>400</v>
      </c>
      <c r="BT165" s="313">
        <f>SUMIF(Recibos!$D$4:$D$7493,Cobranza!$B165,Recibos!AF$4:AF$7493)</f>
        <v>400</v>
      </c>
      <c r="BU165" s="313">
        <f>SUMIF(Recibos!$D$4:$D$7493,Cobranza!$B165,Recibos!AG$4:AG$7493)</f>
        <v>400</v>
      </c>
      <c r="BV165" s="313">
        <f>SUMIF(Recibos!$D$4:$D$7493,Cobranza!$B165,Recibos!AH$4:AH$7493)</f>
        <v>400</v>
      </c>
      <c r="BW165" s="313">
        <f>SUMIF(Recibos!$D$4:$D$7493,Cobranza!$B165,Recibos!AI$4:AI$7493)</f>
        <v>0</v>
      </c>
      <c r="BX165" s="314">
        <f t="shared" si="30"/>
        <v>4400</v>
      </c>
      <c r="BY165" s="313">
        <f>SUMIF(Recibos!$D$4:$D$7493,Cobranza!$B165,Recibos!AK$4:AK$7493)</f>
        <v>400</v>
      </c>
      <c r="BZ165" s="313">
        <f>SUMIF(Recibos!$D$4:$D$7493,Cobranza!$B165,Recibos!AL$4:AL$7493)</f>
        <v>400</v>
      </c>
      <c r="CA165" s="313">
        <f>SUMIF(Recibos!$D$4:$D$7493,Cobranza!$B165,Recibos!AM$4:AM$7493)</f>
        <v>400</v>
      </c>
      <c r="CB165" s="313">
        <f>SUMIF(Recibos!$D$4:$D$7493,Cobranza!$B165,Recibos!AN$4:AN$7493)</f>
        <v>400</v>
      </c>
      <c r="CC165" s="313">
        <f>SUMIF(Recibos!$D$4:$D$7493,Cobranza!$B165,Recibos!AO$4:AO$7493)</f>
        <v>400</v>
      </c>
      <c r="CD165" s="313">
        <f>SUMIF(Recibos!$D$4:$D$7493,Cobranza!$B165,Recibos!AP$4:AP$7493)</f>
        <v>400</v>
      </c>
      <c r="CE165" s="313">
        <f>SUMIF(Recibos!$D$4:$D$7493,Cobranza!$B165,Recibos!AQ$4:AQ$7493)</f>
        <v>400</v>
      </c>
      <c r="CF165" s="313">
        <f>SUMIF(Recibos!$D$4:$D$7493,Cobranza!$B165,Recibos!AR$4:AR$7493)</f>
        <v>400</v>
      </c>
      <c r="CG165" s="313">
        <f>SUMIF(Recibos!$D$4:$D$7493,Cobranza!$B165,Recibos!AS$4:AS$7493)</f>
        <v>400</v>
      </c>
      <c r="CH165" s="313">
        <f>SUMIF(Recibos!$D$4:$D$7493,Cobranza!$B165,Recibos!AT$4:AT$7493)</f>
        <v>400</v>
      </c>
      <c r="CI165" s="313">
        <f>SUMIF(Recibos!$D$4:$D$7493,Cobranza!$B165,Recibos!AU$4:AU$7493)</f>
        <v>400</v>
      </c>
      <c r="CJ165" s="313">
        <f>SUMIF(Recibos!$D$4:$D$7493,Cobranza!$B165,Recibos!AV$4:AV$7493)</f>
        <v>0</v>
      </c>
      <c r="CK165" s="314">
        <f t="shared" si="24"/>
        <v>4400</v>
      </c>
    </row>
    <row r="166" spans="2:89" x14ac:dyDescent="0.2">
      <c r="B166" s="42" t="s">
        <v>722</v>
      </c>
      <c r="C166" s="42" t="s">
        <v>723</v>
      </c>
      <c r="D166" s="42" t="s">
        <v>724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4">
        <f t="shared" si="25"/>
        <v>0</v>
      </c>
      <c r="L166" s="43">
        <v>300</v>
      </c>
      <c r="M166" s="43">
        <v>300</v>
      </c>
      <c r="N166" s="43">
        <v>300</v>
      </c>
      <c r="O166" s="43">
        <v>300</v>
      </c>
      <c r="P166" s="43">
        <v>300</v>
      </c>
      <c r="Q166" s="43">
        <v>300</v>
      </c>
      <c r="R166" s="43">
        <v>300</v>
      </c>
      <c r="S166" s="43">
        <v>300</v>
      </c>
      <c r="T166" s="43">
        <v>300</v>
      </c>
      <c r="U166" s="43">
        <v>300</v>
      </c>
      <c r="V166" s="43">
        <v>300</v>
      </c>
      <c r="W166" s="43">
        <v>0</v>
      </c>
      <c r="X166" s="44">
        <f t="shared" si="26"/>
        <v>3300</v>
      </c>
      <c r="Y166" s="43">
        <v>0</v>
      </c>
      <c r="Z166" s="43">
        <v>400</v>
      </c>
      <c r="AA166" s="43">
        <v>400</v>
      </c>
      <c r="AB166" s="43">
        <v>400</v>
      </c>
      <c r="AC166" s="43">
        <v>400</v>
      </c>
      <c r="AD166" s="43">
        <v>400</v>
      </c>
      <c r="AE166" s="43">
        <v>400</v>
      </c>
      <c r="AF166" s="43">
        <v>400</v>
      </c>
      <c r="AG166" s="43">
        <v>400</v>
      </c>
      <c r="AH166" s="43">
        <v>400</v>
      </c>
      <c r="AI166" s="43">
        <v>400</v>
      </c>
      <c r="AJ166" s="43">
        <v>400</v>
      </c>
      <c r="AK166" s="44">
        <f t="shared" si="27"/>
        <v>4400</v>
      </c>
      <c r="AL166" s="43">
        <v>400</v>
      </c>
      <c r="AM166" s="43">
        <v>400</v>
      </c>
      <c r="AN166" s="43">
        <v>400</v>
      </c>
      <c r="AO166" s="43">
        <v>400</v>
      </c>
      <c r="AP166" s="43">
        <v>400</v>
      </c>
      <c r="AQ166" s="43">
        <v>400</v>
      </c>
      <c r="AR166" s="43">
        <v>400</v>
      </c>
      <c r="AS166" s="43">
        <v>400</v>
      </c>
      <c r="AT166" s="43">
        <v>400</v>
      </c>
      <c r="AU166" s="43">
        <v>400</v>
      </c>
      <c r="AV166" s="43">
        <v>400</v>
      </c>
      <c r="AW166" s="43">
        <v>0</v>
      </c>
      <c r="AX166" s="44">
        <f t="shared" si="28"/>
        <v>4400</v>
      </c>
      <c r="AY166" s="311">
        <f>SUMIF(Recibos!$D$4:$D$7493,Cobranza!$B166,Recibos!K$4:K$7493)</f>
        <v>400</v>
      </c>
      <c r="AZ166" s="311">
        <f>SUMIF(Recibos!$D$4:$D$7493,Cobranza!$B166,Recibos!L$4:L$7493)</f>
        <v>400</v>
      </c>
      <c r="BA166" s="311">
        <f>SUMIF(Recibos!$D$4:$D$7493,Cobranza!$B166,Recibos!M$4:M$7493)</f>
        <v>400</v>
      </c>
      <c r="BB166" s="311">
        <f>SUMIF(Recibos!$D$4:$D$7493,Cobranza!$B166,Recibos!N$4:N$7493)</f>
        <v>400</v>
      </c>
      <c r="BC166" s="311">
        <f>SUMIF(Recibos!$D$4:$D$7493,Cobranza!$B166,Recibos!O$4:O$7493)</f>
        <v>400</v>
      </c>
      <c r="BD166" s="311">
        <f>SUMIF(Recibos!$D$4:$D$7493,Cobranza!$B166,Recibos!P$4:P$7493)</f>
        <v>400</v>
      </c>
      <c r="BE166" s="311">
        <f>SUMIF(Recibos!$D$4:$D$7493,Cobranza!$B166,Recibos!Q$4:Q$7493)</f>
        <v>400</v>
      </c>
      <c r="BF166" s="311">
        <f>SUMIF(Recibos!$D$4:$D$7493,Cobranza!$B166,Recibos!R$4:R$7493)</f>
        <v>400</v>
      </c>
      <c r="BG166" s="311">
        <f>SUMIF(Recibos!$D$4:$D$7493,Cobranza!$B166,Recibos!S$4:S$7493)</f>
        <v>400</v>
      </c>
      <c r="BH166" s="311">
        <f>SUMIF(Recibos!$D$4:$D$7493,Cobranza!$B166,Recibos!T$4:T$7493)</f>
        <v>400</v>
      </c>
      <c r="BI166" s="311">
        <f>SUMIF(Recibos!$D$4:$D$7493,Cobranza!$B166,Recibos!U$4:U$7493)</f>
        <v>400</v>
      </c>
      <c r="BJ166" s="311">
        <f>SUMIF(Recibos!$D$4:$D$7493,Cobranza!$B166,Recibos!V$4:V$7493)</f>
        <v>0</v>
      </c>
      <c r="BK166" s="312">
        <f t="shared" si="29"/>
        <v>4400</v>
      </c>
      <c r="BL166" s="311">
        <f>SUMIF(Recibos!$D$4:$D$7493,Cobranza!$B166,Recibos!X$4:X$7493)</f>
        <v>400</v>
      </c>
      <c r="BM166" s="311">
        <f>SUMIF(Recibos!$D$4:$D$7493,Cobranza!$B166,Recibos!Y$4:Y$7493)</f>
        <v>400</v>
      </c>
      <c r="BN166" s="311">
        <f>SUMIF(Recibos!$D$4:$D$7493,Cobranza!$B166,Recibos!Z$4:Z$7493)</f>
        <v>400</v>
      </c>
      <c r="BO166" s="311">
        <f>SUMIF(Recibos!$D$4:$D$7493,Cobranza!$B166,Recibos!AA$4:AA$7493)</f>
        <v>400</v>
      </c>
      <c r="BP166" s="311">
        <f>SUMIF(Recibos!$D$4:$D$7493,Cobranza!$B166,Recibos!AB$4:AB$7493)</f>
        <v>400</v>
      </c>
      <c r="BQ166" s="311">
        <f>SUMIF(Recibos!$D$4:$D$7493,Cobranza!$B166,Recibos!AC$4:AC$7493)</f>
        <v>400</v>
      </c>
      <c r="BR166" s="311">
        <f>SUMIF(Recibos!$D$4:$D$7493,Cobranza!$B166,Recibos!AD$4:AD$7493)</f>
        <v>400</v>
      </c>
      <c r="BS166" s="311">
        <f>SUMIF(Recibos!$D$4:$D$7493,Cobranza!$B166,Recibos!AE$4:AE$7493)</f>
        <v>400</v>
      </c>
      <c r="BT166" s="311">
        <f>SUMIF(Recibos!$D$4:$D$7493,Cobranza!$B166,Recibos!AF$4:AF$7493)</f>
        <v>400</v>
      </c>
      <c r="BU166" s="311">
        <f>SUMIF(Recibos!$D$4:$D$7493,Cobranza!$B166,Recibos!AG$4:AG$7493)</f>
        <v>400</v>
      </c>
      <c r="BV166" s="311">
        <f>SUMIF(Recibos!$D$4:$D$7493,Cobranza!$B166,Recibos!AH$4:AH$7493)</f>
        <v>400</v>
      </c>
      <c r="BW166" s="311">
        <f>SUMIF(Recibos!$D$4:$D$7493,Cobranza!$B166,Recibos!AI$4:AI$7493)</f>
        <v>0</v>
      </c>
      <c r="BX166" s="312">
        <f t="shared" si="30"/>
        <v>4400</v>
      </c>
      <c r="BY166" s="311">
        <f>SUMIF(Recibos!$D$4:$D$7493,Cobranza!$B166,Recibos!AK$4:AK$7493)</f>
        <v>400</v>
      </c>
      <c r="BZ166" s="311">
        <f>SUMIF(Recibos!$D$4:$D$7493,Cobranza!$B166,Recibos!AL$4:AL$7493)</f>
        <v>400</v>
      </c>
      <c r="CA166" s="311">
        <f>SUMIF(Recibos!$D$4:$D$7493,Cobranza!$B166,Recibos!AM$4:AM$7493)</f>
        <v>400</v>
      </c>
      <c r="CB166" s="311">
        <f>SUMIF(Recibos!$D$4:$D$7493,Cobranza!$B166,Recibos!AN$4:AN$7493)</f>
        <v>400</v>
      </c>
      <c r="CC166" s="311">
        <f>SUMIF(Recibos!$D$4:$D$7493,Cobranza!$B166,Recibos!AO$4:AO$7493)</f>
        <v>400</v>
      </c>
      <c r="CD166" s="311">
        <f>SUMIF(Recibos!$D$4:$D$7493,Cobranza!$B166,Recibos!AP$4:AP$7493)</f>
        <v>400</v>
      </c>
      <c r="CE166" s="311">
        <f>SUMIF(Recibos!$D$4:$D$7493,Cobranza!$B166,Recibos!AQ$4:AQ$7493)</f>
        <v>400</v>
      </c>
      <c r="CF166" s="311">
        <f>SUMIF(Recibos!$D$4:$D$7493,Cobranza!$B166,Recibos!AR$4:AR$7493)</f>
        <v>400</v>
      </c>
      <c r="CG166" s="311">
        <f>SUMIF(Recibos!$D$4:$D$7493,Cobranza!$B166,Recibos!AS$4:AS$7493)</f>
        <v>400</v>
      </c>
      <c r="CH166" s="311">
        <f>SUMIF(Recibos!$D$4:$D$7493,Cobranza!$B166,Recibos!AT$4:AT$7493)</f>
        <v>400</v>
      </c>
      <c r="CI166" s="311">
        <f>SUMIF(Recibos!$D$4:$D$7493,Cobranza!$B166,Recibos!AU$4:AU$7493)</f>
        <v>400</v>
      </c>
      <c r="CJ166" s="311">
        <f>SUMIF(Recibos!$D$4:$D$7493,Cobranza!$B166,Recibos!AV$4:AV$7493)</f>
        <v>0</v>
      </c>
      <c r="CK166" s="312">
        <f t="shared" si="24"/>
        <v>4400</v>
      </c>
    </row>
    <row r="167" spans="2:89" x14ac:dyDescent="0.2">
      <c r="B167" s="45" t="s">
        <v>1340</v>
      </c>
      <c r="C167" s="45" t="s">
        <v>1341</v>
      </c>
      <c r="D167" s="45" t="s">
        <v>1342</v>
      </c>
      <c r="E167" s="46">
        <v>0</v>
      </c>
      <c r="F167" s="46">
        <v>0</v>
      </c>
      <c r="G167" s="46">
        <v>0</v>
      </c>
      <c r="H167" s="46">
        <v>0</v>
      </c>
      <c r="I167" s="46">
        <v>0</v>
      </c>
      <c r="J167" s="46">
        <v>300</v>
      </c>
      <c r="K167" s="47">
        <f t="shared" si="25"/>
        <v>300</v>
      </c>
      <c r="L167" s="46">
        <v>300</v>
      </c>
      <c r="M167" s="46">
        <v>300</v>
      </c>
      <c r="N167" s="46">
        <v>300</v>
      </c>
      <c r="O167" s="46">
        <v>300</v>
      </c>
      <c r="P167" s="46">
        <v>300</v>
      </c>
      <c r="Q167" s="46">
        <v>300</v>
      </c>
      <c r="R167" s="46">
        <v>300</v>
      </c>
      <c r="S167" s="46">
        <v>0</v>
      </c>
      <c r="T167" s="46">
        <v>0</v>
      </c>
      <c r="U167" s="46">
        <v>0</v>
      </c>
      <c r="V167" s="46">
        <v>0</v>
      </c>
      <c r="W167" s="46">
        <v>0</v>
      </c>
      <c r="X167" s="47">
        <f t="shared" si="26"/>
        <v>2100</v>
      </c>
      <c r="Y167" s="46">
        <v>400</v>
      </c>
      <c r="Z167" s="46">
        <v>400</v>
      </c>
      <c r="AA167" s="46">
        <v>400</v>
      </c>
      <c r="AB167" s="46">
        <v>400</v>
      </c>
      <c r="AC167" s="46">
        <v>400</v>
      </c>
      <c r="AD167" s="46">
        <v>400</v>
      </c>
      <c r="AE167" s="46">
        <v>400</v>
      </c>
      <c r="AF167" s="46">
        <v>400</v>
      </c>
      <c r="AG167" s="46">
        <v>400</v>
      </c>
      <c r="AH167" s="46">
        <v>400</v>
      </c>
      <c r="AI167" s="46">
        <v>400</v>
      </c>
      <c r="AJ167" s="46">
        <v>0</v>
      </c>
      <c r="AK167" s="47">
        <f t="shared" si="27"/>
        <v>4400</v>
      </c>
      <c r="AL167" s="46">
        <v>0</v>
      </c>
      <c r="AM167" s="46">
        <v>0</v>
      </c>
      <c r="AN167" s="46">
        <v>0</v>
      </c>
      <c r="AO167" s="46">
        <v>0</v>
      </c>
      <c r="AP167" s="46">
        <v>0</v>
      </c>
      <c r="AQ167" s="46">
        <v>0</v>
      </c>
      <c r="AR167" s="46">
        <v>0</v>
      </c>
      <c r="AS167" s="46">
        <v>0</v>
      </c>
      <c r="AT167" s="46">
        <v>0</v>
      </c>
      <c r="AU167" s="46">
        <v>0</v>
      </c>
      <c r="AV167" s="46">
        <v>0</v>
      </c>
      <c r="AW167" s="46">
        <v>0</v>
      </c>
      <c r="AX167" s="47">
        <f t="shared" si="28"/>
        <v>0</v>
      </c>
      <c r="AY167" s="313">
        <f>SUMIF(Recibos!$D$4:$D$7493,Cobranza!$B167,Recibos!K$4:K$7493)</f>
        <v>0</v>
      </c>
      <c r="AZ167" s="313">
        <f>SUMIF(Recibos!$D$4:$D$7493,Cobranza!$B167,Recibos!L$4:L$7493)</f>
        <v>0</v>
      </c>
      <c r="BA167" s="313">
        <f>SUMIF(Recibos!$D$4:$D$7493,Cobranza!$B167,Recibos!M$4:M$7493)</f>
        <v>0</v>
      </c>
      <c r="BB167" s="313">
        <f>SUMIF(Recibos!$D$4:$D$7493,Cobranza!$B167,Recibos!N$4:N$7493)</f>
        <v>0</v>
      </c>
      <c r="BC167" s="313">
        <f>SUMIF(Recibos!$D$4:$D$7493,Cobranza!$B167,Recibos!O$4:O$7493)</f>
        <v>0</v>
      </c>
      <c r="BD167" s="313">
        <f>SUMIF(Recibos!$D$4:$D$7493,Cobranza!$B167,Recibos!P$4:P$7493)</f>
        <v>0</v>
      </c>
      <c r="BE167" s="313">
        <f>SUMIF(Recibos!$D$4:$D$7493,Cobranza!$B167,Recibos!Q$4:Q$7493)</f>
        <v>0</v>
      </c>
      <c r="BF167" s="313">
        <f>SUMIF(Recibos!$D$4:$D$7493,Cobranza!$B167,Recibos!R$4:R$7493)</f>
        <v>0</v>
      </c>
      <c r="BG167" s="313">
        <f>SUMIF(Recibos!$D$4:$D$7493,Cobranza!$B167,Recibos!S$4:S$7493)</f>
        <v>0</v>
      </c>
      <c r="BH167" s="313">
        <f>SUMIF(Recibos!$D$4:$D$7493,Cobranza!$B167,Recibos!T$4:T$7493)</f>
        <v>0</v>
      </c>
      <c r="BI167" s="313">
        <f>SUMIF(Recibos!$D$4:$D$7493,Cobranza!$B167,Recibos!U$4:U$7493)</f>
        <v>0</v>
      </c>
      <c r="BJ167" s="313">
        <f>SUMIF(Recibos!$D$4:$D$7493,Cobranza!$B167,Recibos!V$4:V$7493)</f>
        <v>0</v>
      </c>
      <c r="BK167" s="314">
        <f t="shared" si="29"/>
        <v>0</v>
      </c>
      <c r="BL167" s="313">
        <f>SUMIF(Recibos!$D$4:$D$7493,Cobranza!$B167,Recibos!X$4:X$7493)</f>
        <v>0</v>
      </c>
      <c r="BM167" s="313">
        <f>SUMIF(Recibos!$D$4:$D$7493,Cobranza!$B167,Recibos!Y$4:Y$7493)</f>
        <v>0</v>
      </c>
      <c r="BN167" s="313">
        <f>SUMIF(Recibos!$D$4:$D$7493,Cobranza!$B167,Recibos!Z$4:Z$7493)</f>
        <v>0</v>
      </c>
      <c r="BO167" s="313">
        <f>SUMIF(Recibos!$D$4:$D$7493,Cobranza!$B167,Recibos!AA$4:AA$7493)</f>
        <v>0</v>
      </c>
      <c r="BP167" s="313">
        <f>SUMIF(Recibos!$D$4:$D$7493,Cobranza!$B167,Recibos!AB$4:AB$7493)</f>
        <v>0</v>
      </c>
      <c r="BQ167" s="313">
        <f>SUMIF(Recibos!$D$4:$D$7493,Cobranza!$B167,Recibos!AC$4:AC$7493)</f>
        <v>0</v>
      </c>
      <c r="BR167" s="313">
        <f>SUMIF(Recibos!$D$4:$D$7493,Cobranza!$B167,Recibos!AD$4:AD$7493)</f>
        <v>0</v>
      </c>
      <c r="BS167" s="313">
        <f>SUMIF(Recibos!$D$4:$D$7493,Cobranza!$B167,Recibos!AE$4:AE$7493)</f>
        <v>0</v>
      </c>
      <c r="BT167" s="313">
        <f>SUMIF(Recibos!$D$4:$D$7493,Cobranza!$B167,Recibos!AF$4:AF$7493)</f>
        <v>0</v>
      </c>
      <c r="BU167" s="313">
        <f>SUMIF(Recibos!$D$4:$D$7493,Cobranza!$B167,Recibos!AG$4:AG$7493)</f>
        <v>400</v>
      </c>
      <c r="BV167" s="313">
        <f>SUMIF(Recibos!$D$4:$D$7493,Cobranza!$B167,Recibos!AH$4:AH$7493)</f>
        <v>400</v>
      </c>
      <c r="BW167" s="313">
        <f>SUMIF(Recibos!$D$4:$D$7493,Cobranza!$B167,Recibos!AI$4:AI$7493)</f>
        <v>400</v>
      </c>
      <c r="BX167" s="314">
        <f t="shared" si="30"/>
        <v>1200</v>
      </c>
      <c r="BY167" s="313">
        <f>SUMIF(Recibos!$D$4:$D$7493,Cobranza!$B167,Recibos!AK$4:AK$7493)</f>
        <v>400</v>
      </c>
      <c r="BZ167" s="313">
        <f>SUMIF(Recibos!$D$4:$D$7493,Cobranza!$B167,Recibos!AL$4:AL$7493)</f>
        <v>400</v>
      </c>
      <c r="CA167" s="313">
        <f>SUMIF(Recibos!$D$4:$D$7493,Cobranza!$B167,Recibos!AM$4:AM$7493)</f>
        <v>400</v>
      </c>
      <c r="CB167" s="313">
        <f>SUMIF(Recibos!$D$4:$D$7493,Cobranza!$B167,Recibos!AN$4:AN$7493)</f>
        <v>400</v>
      </c>
      <c r="CC167" s="313">
        <f>SUMIF(Recibos!$D$4:$D$7493,Cobranza!$B167,Recibos!AO$4:AO$7493)</f>
        <v>400</v>
      </c>
      <c r="CD167" s="313">
        <f>SUMIF(Recibos!$D$4:$D$7493,Cobranza!$B167,Recibos!AP$4:AP$7493)</f>
        <v>400</v>
      </c>
      <c r="CE167" s="313">
        <f>SUMIF(Recibos!$D$4:$D$7493,Cobranza!$B167,Recibos!AQ$4:AQ$7493)</f>
        <v>400</v>
      </c>
      <c r="CF167" s="313">
        <f>SUMIF(Recibos!$D$4:$D$7493,Cobranza!$B167,Recibos!AR$4:AR$7493)</f>
        <v>0</v>
      </c>
      <c r="CG167" s="313">
        <f>SUMIF(Recibos!$D$4:$D$7493,Cobranza!$B167,Recibos!AS$4:AS$7493)</f>
        <v>0</v>
      </c>
      <c r="CH167" s="313">
        <f>SUMIF(Recibos!$D$4:$D$7493,Cobranza!$B167,Recibos!AT$4:AT$7493)</f>
        <v>0</v>
      </c>
      <c r="CI167" s="313">
        <f>SUMIF(Recibos!$D$4:$D$7493,Cobranza!$B167,Recibos!AU$4:AU$7493)</f>
        <v>0</v>
      </c>
      <c r="CJ167" s="313">
        <f>SUMIF(Recibos!$D$4:$D$7493,Cobranza!$B167,Recibos!AV$4:AV$7493)</f>
        <v>0</v>
      </c>
      <c r="CK167" s="314">
        <f t="shared" si="24"/>
        <v>2800</v>
      </c>
    </row>
    <row r="168" spans="2:89" x14ac:dyDescent="0.2">
      <c r="B168" s="42" t="s">
        <v>922</v>
      </c>
      <c r="C168" s="42" t="s">
        <v>923</v>
      </c>
      <c r="D168" s="42" t="s">
        <v>924</v>
      </c>
      <c r="E168" s="43">
        <v>0</v>
      </c>
      <c r="F168" s="43">
        <v>0</v>
      </c>
      <c r="G168" s="43">
        <v>0</v>
      </c>
      <c r="H168" s="43">
        <v>150</v>
      </c>
      <c r="I168" s="43">
        <v>150</v>
      </c>
      <c r="J168" s="43">
        <v>150</v>
      </c>
      <c r="K168" s="44">
        <f t="shared" si="25"/>
        <v>450</v>
      </c>
      <c r="L168" s="43">
        <v>150</v>
      </c>
      <c r="M168" s="43">
        <v>150</v>
      </c>
      <c r="N168" s="43">
        <v>150</v>
      </c>
      <c r="O168" s="43">
        <v>150</v>
      </c>
      <c r="P168" s="43">
        <v>150</v>
      </c>
      <c r="Q168" s="43">
        <v>150</v>
      </c>
      <c r="R168" s="43">
        <v>150</v>
      </c>
      <c r="S168" s="43">
        <v>150</v>
      </c>
      <c r="T168" s="43">
        <v>200</v>
      </c>
      <c r="U168" s="43">
        <v>200</v>
      </c>
      <c r="V168" s="43">
        <v>200</v>
      </c>
      <c r="W168" s="43">
        <v>200</v>
      </c>
      <c r="X168" s="44">
        <f t="shared" si="26"/>
        <v>2000</v>
      </c>
      <c r="Y168" s="43">
        <v>200</v>
      </c>
      <c r="Z168" s="43">
        <v>200</v>
      </c>
      <c r="AA168" s="43">
        <v>200</v>
      </c>
      <c r="AB168" s="43">
        <v>200</v>
      </c>
      <c r="AC168" s="43">
        <v>200</v>
      </c>
      <c r="AD168" s="43">
        <v>200</v>
      </c>
      <c r="AE168" s="43">
        <v>200</v>
      </c>
      <c r="AF168" s="43">
        <v>200</v>
      </c>
      <c r="AG168" s="43">
        <v>200</v>
      </c>
      <c r="AH168" s="43">
        <v>200</v>
      </c>
      <c r="AI168" s="43">
        <v>0</v>
      </c>
      <c r="AJ168" s="43">
        <v>0</v>
      </c>
      <c r="AK168" s="44">
        <f t="shared" si="27"/>
        <v>2000</v>
      </c>
      <c r="AL168" s="43">
        <v>200</v>
      </c>
      <c r="AM168" s="43">
        <v>200</v>
      </c>
      <c r="AN168" s="43">
        <v>200</v>
      </c>
      <c r="AO168" s="43">
        <v>200</v>
      </c>
      <c r="AP168" s="43">
        <v>200</v>
      </c>
      <c r="AQ168" s="43">
        <v>200</v>
      </c>
      <c r="AR168" s="43">
        <v>200</v>
      </c>
      <c r="AS168" s="43">
        <v>200</v>
      </c>
      <c r="AT168" s="43">
        <v>200</v>
      </c>
      <c r="AU168" s="43">
        <v>200</v>
      </c>
      <c r="AV168" s="43">
        <v>0</v>
      </c>
      <c r="AW168" s="43">
        <v>0</v>
      </c>
      <c r="AX168" s="44">
        <f t="shared" si="28"/>
        <v>2000</v>
      </c>
      <c r="AY168" s="311">
        <f>SUMIF(Recibos!$D$4:$D$7493,Cobranza!$B168,Recibos!K$4:K$7493)</f>
        <v>250</v>
      </c>
      <c r="AZ168" s="311">
        <f>SUMIF(Recibos!$D$4:$D$7493,Cobranza!$B168,Recibos!L$4:L$7493)</f>
        <v>250</v>
      </c>
      <c r="BA168" s="311">
        <f>SUMIF(Recibos!$D$4:$D$7493,Cobranza!$B168,Recibos!M$4:M$7493)</f>
        <v>250</v>
      </c>
      <c r="BB168" s="311">
        <f>SUMIF(Recibos!$D$4:$D$7493,Cobranza!$B168,Recibos!N$4:N$7493)</f>
        <v>250</v>
      </c>
      <c r="BC168" s="311">
        <f>SUMIF(Recibos!$D$4:$D$7493,Cobranza!$B168,Recibos!O$4:O$7493)</f>
        <v>250</v>
      </c>
      <c r="BD168" s="311">
        <f>SUMIF(Recibos!$D$4:$D$7493,Cobranza!$B168,Recibos!P$4:P$7493)</f>
        <v>250</v>
      </c>
      <c r="BE168" s="311">
        <f>SUMIF(Recibos!$D$4:$D$7493,Cobranza!$B168,Recibos!Q$4:Q$7493)</f>
        <v>250</v>
      </c>
      <c r="BF168" s="311">
        <f>SUMIF(Recibos!$D$4:$D$7493,Cobranza!$B168,Recibos!R$4:R$7493)</f>
        <v>250</v>
      </c>
      <c r="BG168" s="311">
        <f>SUMIF(Recibos!$D$4:$D$7493,Cobranza!$B168,Recibos!S$4:S$7493)</f>
        <v>250</v>
      </c>
      <c r="BH168" s="311">
        <f>SUMIF(Recibos!$D$4:$D$7493,Cobranza!$B168,Recibos!T$4:T$7493)</f>
        <v>250</v>
      </c>
      <c r="BI168" s="311">
        <f>SUMIF(Recibos!$D$4:$D$7493,Cobranza!$B168,Recibos!U$4:U$7493)</f>
        <v>250</v>
      </c>
      <c r="BJ168" s="311">
        <f>SUMIF(Recibos!$D$4:$D$7493,Cobranza!$B168,Recibos!V$4:V$7493)</f>
        <v>250</v>
      </c>
      <c r="BK168" s="312">
        <f t="shared" si="29"/>
        <v>3000</v>
      </c>
      <c r="BL168" s="311">
        <f>SUMIF(Recibos!$D$4:$D$7493,Cobranza!$B168,Recibos!X$4:X$7493)</f>
        <v>250</v>
      </c>
      <c r="BM168" s="311">
        <f>SUMIF(Recibos!$D$4:$D$7493,Cobranza!$B168,Recibos!Y$4:Y$7493)</f>
        <v>250</v>
      </c>
      <c r="BN168" s="311">
        <f>SUMIF(Recibos!$D$4:$D$7493,Cobranza!$B168,Recibos!Z$4:Z$7493)</f>
        <v>250</v>
      </c>
      <c r="BO168" s="311">
        <f>SUMIF(Recibos!$D$4:$D$7493,Cobranza!$B168,Recibos!AA$4:AA$7493)</f>
        <v>250</v>
      </c>
      <c r="BP168" s="311">
        <f>SUMIF(Recibos!$D$4:$D$7493,Cobranza!$B168,Recibos!AB$4:AB$7493)</f>
        <v>250</v>
      </c>
      <c r="BQ168" s="311">
        <f>SUMIF(Recibos!$D$4:$D$7493,Cobranza!$B168,Recibos!AC$4:AC$7493)</f>
        <v>250</v>
      </c>
      <c r="BR168" s="311">
        <f>SUMIF(Recibos!$D$4:$D$7493,Cobranza!$B168,Recibos!AD$4:AD$7493)</f>
        <v>250</v>
      </c>
      <c r="BS168" s="311">
        <f>SUMIF(Recibos!$D$4:$D$7493,Cobranza!$B168,Recibos!AE$4:AE$7493)</f>
        <v>250</v>
      </c>
      <c r="BT168" s="311">
        <f>SUMIF(Recibos!$D$4:$D$7493,Cobranza!$B168,Recibos!AF$4:AF$7493)</f>
        <v>250</v>
      </c>
      <c r="BU168" s="311">
        <f>SUMIF(Recibos!$D$4:$D$7493,Cobranza!$B168,Recibos!AG$4:AG$7493)</f>
        <v>0</v>
      </c>
      <c r="BV168" s="311">
        <f>SUMIF(Recibos!$D$4:$D$7493,Cobranza!$B168,Recibos!AH$4:AH$7493)</f>
        <v>250</v>
      </c>
      <c r="BW168" s="311">
        <f>SUMIF(Recibos!$D$4:$D$7493,Cobranza!$B168,Recibos!AI$4:AI$7493)</f>
        <v>0</v>
      </c>
      <c r="BX168" s="312">
        <f t="shared" si="30"/>
        <v>2500</v>
      </c>
      <c r="BY168" s="311">
        <f>SUMIF(Recibos!$D$4:$D$7493,Cobranza!$B168,Recibos!AK$4:AK$7493)</f>
        <v>250</v>
      </c>
      <c r="BZ168" s="311">
        <f>SUMIF(Recibos!$D$4:$D$7493,Cobranza!$B168,Recibos!AL$4:AL$7493)</f>
        <v>250</v>
      </c>
      <c r="CA168" s="311">
        <f>SUMIF(Recibos!$D$4:$D$7493,Cobranza!$B168,Recibos!AM$4:AM$7493)</f>
        <v>250</v>
      </c>
      <c r="CB168" s="311">
        <f>SUMIF(Recibos!$D$4:$D$7493,Cobranza!$B168,Recibos!AN$4:AN$7493)</f>
        <v>250</v>
      </c>
      <c r="CC168" s="311">
        <f>SUMIF(Recibos!$D$4:$D$7493,Cobranza!$B168,Recibos!AO$4:AO$7493)</f>
        <v>250</v>
      </c>
      <c r="CD168" s="311">
        <f>SUMIF(Recibos!$D$4:$D$7493,Cobranza!$B168,Recibos!AP$4:AP$7493)</f>
        <v>250</v>
      </c>
      <c r="CE168" s="311">
        <f>SUMIF(Recibos!$D$4:$D$7493,Cobranza!$B168,Recibos!AQ$4:AQ$7493)</f>
        <v>250</v>
      </c>
      <c r="CF168" s="311">
        <f>SUMIF(Recibos!$D$4:$D$7493,Cobranza!$B168,Recibos!AR$4:AR$7493)</f>
        <v>250</v>
      </c>
      <c r="CG168" s="311">
        <f>SUMIF(Recibos!$D$4:$D$7493,Cobranza!$B168,Recibos!AS$4:AS$7493)</f>
        <v>250</v>
      </c>
      <c r="CH168" s="311">
        <f>SUMIF(Recibos!$D$4:$D$7493,Cobranza!$B168,Recibos!AT$4:AT$7493)</f>
        <v>0</v>
      </c>
      <c r="CI168" s="311">
        <f>SUMIF(Recibos!$D$4:$D$7493,Cobranza!$B168,Recibos!AU$4:AU$7493)</f>
        <v>0</v>
      </c>
      <c r="CJ168" s="311">
        <f>SUMIF(Recibos!$D$4:$D$7493,Cobranza!$B168,Recibos!AV$4:AV$7493)</f>
        <v>0</v>
      </c>
      <c r="CK168" s="312">
        <f t="shared" si="24"/>
        <v>2250</v>
      </c>
    </row>
    <row r="169" spans="2:89" x14ac:dyDescent="0.2">
      <c r="B169" s="45" t="s">
        <v>728</v>
      </c>
      <c r="C169" s="45" t="s">
        <v>729</v>
      </c>
      <c r="D169" s="45" t="s">
        <v>730</v>
      </c>
      <c r="E169" s="46">
        <v>0</v>
      </c>
      <c r="F169" s="46">
        <v>0</v>
      </c>
      <c r="G169" s="46">
        <v>300</v>
      </c>
      <c r="H169" s="46">
        <v>300</v>
      </c>
      <c r="I169" s="46">
        <v>0</v>
      </c>
      <c r="J169" s="46">
        <v>0</v>
      </c>
      <c r="K169" s="47">
        <f t="shared" si="25"/>
        <v>600</v>
      </c>
      <c r="L169" s="46">
        <v>300</v>
      </c>
      <c r="M169" s="46">
        <v>300</v>
      </c>
      <c r="N169" s="46">
        <v>300</v>
      </c>
      <c r="O169" s="46">
        <v>300</v>
      </c>
      <c r="P169" s="46">
        <v>600</v>
      </c>
      <c r="Q169" s="46">
        <v>600</v>
      </c>
      <c r="R169" s="46">
        <v>300</v>
      </c>
      <c r="S169" s="46">
        <v>300</v>
      </c>
      <c r="T169" s="46">
        <v>300</v>
      </c>
      <c r="U169" s="46">
        <v>400</v>
      </c>
      <c r="V169" s="46">
        <v>400</v>
      </c>
      <c r="W169" s="46">
        <v>400</v>
      </c>
      <c r="X169" s="47">
        <f t="shared" si="26"/>
        <v>4500</v>
      </c>
      <c r="Y169" s="46">
        <v>400</v>
      </c>
      <c r="Z169" s="46">
        <v>400</v>
      </c>
      <c r="AA169" s="46">
        <v>400</v>
      </c>
      <c r="AB169" s="46">
        <v>400</v>
      </c>
      <c r="AC169" s="46">
        <v>400</v>
      </c>
      <c r="AD169" s="46">
        <v>400</v>
      </c>
      <c r="AE169" s="46">
        <v>400</v>
      </c>
      <c r="AF169" s="46">
        <v>400</v>
      </c>
      <c r="AG169" s="46">
        <v>400</v>
      </c>
      <c r="AH169" s="46">
        <v>400</v>
      </c>
      <c r="AI169" s="46">
        <v>400</v>
      </c>
      <c r="AJ169" s="46">
        <v>400</v>
      </c>
      <c r="AK169" s="47">
        <f t="shared" si="27"/>
        <v>4800</v>
      </c>
      <c r="AL169" s="46">
        <v>400</v>
      </c>
      <c r="AM169" s="46">
        <v>400</v>
      </c>
      <c r="AN169" s="46">
        <v>400</v>
      </c>
      <c r="AO169" s="46">
        <v>400</v>
      </c>
      <c r="AP169" s="46">
        <v>400</v>
      </c>
      <c r="AQ169" s="46">
        <v>400</v>
      </c>
      <c r="AR169" s="46">
        <v>400</v>
      </c>
      <c r="AS169" s="46">
        <v>400</v>
      </c>
      <c r="AT169" s="46">
        <v>400</v>
      </c>
      <c r="AU169" s="46">
        <v>400</v>
      </c>
      <c r="AV169" s="46">
        <v>400</v>
      </c>
      <c r="AW169" s="46">
        <v>400</v>
      </c>
      <c r="AX169" s="47">
        <f t="shared" si="28"/>
        <v>4800</v>
      </c>
      <c r="AY169" s="313">
        <f>SUMIF(Recibos!$D$4:$D$7493,Cobranza!$B169,Recibos!K$4:K$7493)</f>
        <v>400</v>
      </c>
      <c r="AZ169" s="313">
        <f>SUMIF(Recibos!$D$4:$D$7493,Cobranza!$B169,Recibos!L$4:L$7493)</f>
        <v>400</v>
      </c>
      <c r="BA169" s="313">
        <f>SUMIF(Recibos!$D$4:$D$7493,Cobranza!$B169,Recibos!M$4:M$7493)</f>
        <v>400</v>
      </c>
      <c r="BB169" s="313">
        <f>SUMIF(Recibos!$D$4:$D$7493,Cobranza!$B169,Recibos!N$4:N$7493)</f>
        <v>400</v>
      </c>
      <c r="BC169" s="313">
        <f>SUMIF(Recibos!$D$4:$D$7493,Cobranza!$B169,Recibos!O$4:O$7493)</f>
        <v>400</v>
      </c>
      <c r="BD169" s="313">
        <f>SUMIF(Recibos!$D$4:$D$7493,Cobranza!$B169,Recibos!P$4:P$7493)</f>
        <v>400</v>
      </c>
      <c r="BE169" s="313">
        <f>SUMIF(Recibos!$D$4:$D$7493,Cobranza!$B169,Recibos!Q$4:Q$7493)</f>
        <v>400</v>
      </c>
      <c r="BF169" s="313">
        <f>SUMIF(Recibos!$D$4:$D$7493,Cobranza!$B169,Recibos!R$4:R$7493)</f>
        <v>400</v>
      </c>
      <c r="BG169" s="313">
        <f>SUMIF(Recibos!$D$4:$D$7493,Cobranza!$B169,Recibos!S$4:S$7493)</f>
        <v>400</v>
      </c>
      <c r="BH169" s="313">
        <f>SUMIF(Recibos!$D$4:$D$7493,Cobranza!$B169,Recibos!T$4:T$7493)</f>
        <v>400</v>
      </c>
      <c r="BI169" s="313">
        <f>SUMIF(Recibos!$D$4:$D$7493,Cobranza!$B169,Recibos!U$4:U$7493)</f>
        <v>400</v>
      </c>
      <c r="BJ169" s="313">
        <f>SUMIF(Recibos!$D$4:$D$7493,Cobranza!$B169,Recibos!V$4:V$7493)</f>
        <v>400</v>
      </c>
      <c r="BK169" s="314">
        <f t="shared" si="29"/>
        <v>4800</v>
      </c>
      <c r="BL169" s="313">
        <f>SUMIF(Recibos!$D$4:$D$7493,Cobranza!$B169,Recibos!X$4:X$7493)</f>
        <v>400</v>
      </c>
      <c r="BM169" s="313">
        <f>SUMIF(Recibos!$D$4:$D$7493,Cobranza!$B169,Recibos!Y$4:Y$7493)</f>
        <v>400</v>
      </c>
      <c r="BN169" s="313">
        <f>SUMIF(Recibos!$D$4:$D$7493,Cobranza!$B169,Recibos!Z$4:Z$7493)</f>
        <v>400</v>
      </c>
      <c r="BO169" s="313">
        <f>SUMIF(Recibos!$D$4:$D$7493,Cobranza!$B169,Recibos!AA$4:AA$7493)</f>
        <v>400</v>
      </c>
      <c r="BP169" s="313">
        <f>SUMIF(Recibos!$D$4:$D$7493,Cobranza!$B169,Recibos!AB$4:AB$7493)</f>
        <v>400</v>
      </c>
      <c r="BQ169" s="313">
        <f>SUMIF(Recibos!$D$4:$D$7493,Cobranza!$B169,Recibos!AC$4:AC$7493)</f>
        <v>400</v>
      </c>
      <c r="BR169" s="313">
        <f>SUMIF(Recibos!$D$4:$D$7493,Cobranza!$B169,Recibos!AD$4:AD$7493)</f>
        <v>400</v>
      </c>
      <c r="BS169" s="313">
        <f>SUMIF(Recibos!$D$4:$D$7493,Cobranza!$B169,Recibos!AE$4:AE$7493)</f>
        <v>400</v>
      </c>
      <c r="BT169" s="313">
        <f>SUMIF(Recibos!$D$4:$D$7493,Cobranza!$B169,Recibos!AF$4:AF$7493)</f>
        <v>400</v>
      </c>
      <c r="BU169" s="313">
        <f>SUMIF(Recibos!$D$4:$D$7493,Cobranza!$B169,Recibos!AG$4:AG$7493)</f>
        <v>400</v>
      </c>
      <c r="BV169" s="313">
        <f>SUMIF(Recibos!$D$4:$D$7493,Cobranza!$B169,Recibos!AH$4:AH$7493)</f>
        <v>400</v>
      </c>
      <c r="BW169" s="313">
        <f>SUMIF(Recibos!$D$4:$D$7493,Cobranza!$B169,Recibos!AI$4:AI$7493)</f>
        <v>400</v>
      </c>
      <c r="BX169" s="314">
        <f t="shared" si="30"/>
        <v>4800</v>
      </c>
      <c r="BY169" s="313">
        <f>SUMIF(Recibos!$D$4:$D$7493,Cobranza!$B169,Recibos!AK$4:AK$7493)</f>
        <v>400</v>
      </c>
      <c r="BZ169" s="313">
        <f>SUMIF(Recibos!$D$4:$D$7493,Cobranza!$B169,Recibos!AL$4:AL$7493)</f>
        <v>400</v>
      </c>
      <c r="CA169" s="313">
        <f>SUMIF(Recibos!$D$4:$D$7493,Cobranza!$B169,Recibos!AM$4:AM$7493)</f>
        <v>400</v>
      </c>
      <c r="CB169" s="313">
        <f>SUMIF(Recibos!$D$4:$D$7493,Cobranza!$B169,Recibos!AN$4:AN$7493)</f>
        <v>400</v>
      </c>
      <c r="CC169" s="313">
        <f>SUMIF(Recibos!$D$4:$D$7493,Cobranza!$B169,Recibos!AO$4:AO$7493)</f>
        <v>400</v>
      </c>
      <c r="CD169" s="313">
        <f>SUMIF(Recibos!$D$4:$D$7493,Cobranza!$B169,Recibos!AP$4:AP$7493)</f>
        <v>400</v>
      </c>
      <c r="CE169" s="313">
        <f>SUMIF(Recibos!$D$4:$D$7493,Cobranza!$B169,Recibos!AQ$4:AQ$7493)</f>
        <v>400</v>
      </c>
      <c r="CF169" s="313">
        <f>SUMIF(Recibos!$D$4:$D$7493,Cobranza!$B169,Recibos!AR$4:AR$7493)</f>
        <v>400</v>
      </c>
      <c r="CG169" s="313">
        <f>SUMIF(Recibos!$D$4:$D$7493,Cobranza!$B169,Recibos!AS$4:AS$7493)</f>
        <v>400</v>
      </c>
      <c r="CH169" s="313">
        <f>SUMIF(Recibos!$D$4:$D$7493,Cobranza!$B169,Recibos!AT$4:AT$7493)</f>
        <v>0</v>
      </c>
      <c r="CI169" s="313">
        <f>SUMIF(Recibos!$D$4:$D$7493,Cobranza!$B169,Recibos!AU$4:AU$7493)</f>
        <v>0</v>
      </c>
      <c r="CJ169" s="313">
        <f>SUMIF(Recibos!$D$4:$D$7493,Cobranza!$B169,Recibos!AV$4:AV$7493)</f>
        <v>0</v>
      </c>
      <c r="CK169" s="314">
        <f t="shared" si="24"/>
        <v>3600</v>
      </c>
    </row>
    <row r="170" spans="2:89" x14ac:dyDescent="0.2">
      <c r="B170" s="42" t="s">
        <v>763</v>
      </c>
      <c r="C170" s="42" t="s">
        <v>764</v>
      </c>
      <c r="D170" s="42" t="s">
        <v>765</v>
      </c>
      <c r="E170" s="43">
        <v>0</v>
      </c>
      <c r="F170" s="43">
        <v>0</v>
      </c>
      <c r="G170" s="43">
        <v>0</v>
      </c>
      <c r="H170" s="43">
        <v>0</v>
      </c>
      <c r="I170" s="43">
        <v>300</v>
      </c>
      <c r="J170" s="43">
        <v>300</v>
      </c>
      <c r="K170" s="44">
        <f t="shared" si="25"/>
        <v>600</v>
      </c>
      <c r="L170" s="43">
        <v>300</v>
      </c>
      <c r="M170" s="43">
        <v>300</v>
      </c>
      <c r="N170" s="43">
        <v>300</v>
      </c>
      <c r="O170" s="43">
        <v>300</v>
      </c>
      <c r="P170" s="43">
        <v>300</v>
      </c>
      <c r="Q170" s="43">
        <v>300</v>
      </c>
      <c r="R170" s="43">
        <v>300</v>
      </c>
      <c r="S170" s="43">
        <v>300</v>
      </c>
      <c r="T170" s="43">
        <v>300</v>
      </c>
      <c r="U170" s="43">
        <v>300</v>
      </c>
      <c r="V170" s="43">
        <v>300</v>
      </c>
      <c r="W170" s="43">
        <v>300</v>
      </c>
      <c r="X170" s="44">
        <f t="shared" si="26"/>
        <v>3600</v>
      </c>
      <c r="Y170" s="43">
        <v>400</v>
      </c>
      <c r="Z170" s="43">
        <v>400</v>
      </c>
      <c r="AA170" s="43">
        <v>400</v>
      </c>
      <c r="AB170" s="43">
        <v>400</v>
      </c>
      <c r="AC170" s="43">
        <v>400</v>
      </c>
      <c r="AD170" s="43">
        <v>400</v>
      </c>
      <c r="AE170" s="43">
        <v>400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4">
        <f t="shared" si="27"/>
        <v>2800</v>
      </c>
      <c r="AL170" s="43">
        <v>400</v>
      </c>
      <c r="AM170" s="43">
        <v>400</v>
      </c>
      <c r="AN170" s="43">
        <v>400</v>
      </c>
      <c r="AO170" s="43">
        <v>400</v>
      </c>
      <c r="AP170" s="43">
        <v>400</v>
      </c>
      <c r="AQ170" s="43">
        <v>400</v>
      </c>
      <c r="AR170" s="43">
        <v>400</v>
      </c>
      <c r="AS170" s="43">
        <v>400</v>
      </c>
      <c r="AT170" s="43">
        <v>400</v>
      </c>
      <c r="AU170" s="43">
        <v>400</v>
      </c>
      <c r="AV170" s="43">
        <v>400</v>
      </c>
      <c r="AW170" s="43">
        <v>400</v>
      </c>
      <c r="AX170" s="44">
        <f t="shared" si="28"/>
        <v>4800</v>
      </c>
      <c r="AY170" s="311">
        <f>SUMIF(Recibos!$D$4:$D$7493,Cobranza!$B170,Recibos!K$4:K$7493)</f>
        <v>400</v>
      </c>
      <c r="AZ170" s="311">
        <f>SUMIF(Recibos!$D$4:$D$7493,Cobranza!$B170,Recibos!L$4:L$7493)</f>
        <v>400</v>
      </c>
      <c r="BA170" s="311">
        <f>SUMIF(Recibos!$D$4:$D$7493,Cobranza!$B170,Recibos!M$4:M$7493)</f>
        <v>400</v>
      </c>
      <c r="BB170" s="311">
        <f>SUMIF(Recibos!$D$4:$D$7493,Cobranza!$B170,Recibos!N$4:N$7493)</f>
        <v>400</v>
      </c>
      <c r="BC170" s="311">
        <f>SUMIF(Recibos!$D$4:$D$7493,Cobranza!$B170,Recibos!O$4:O$7493)</f>
        <v>400</v>
      </c>
      <c r="BD170" s="311">
        <f>SUMIF(Recibos!$D$4:$D$7493,Cobranza!$B170,Recibos!P$4:P$7493)</f>
        <v>400</v>
      </c>
      <c r="BE170" s="311">
        <f>SUMIF(Recibos!$D$4:$D$7493,Cobranza!$B170,Recibos!Q$4:Q$7493)</f>
        <v>400</v>
      </c>
      <c r="BF170" s="311">
        <f>SUMIF(Recibos!$D$4:$D$7493,Cobranza!$B170,Recibos!R$4:R$7493)</f>
        <v>400</v>
      </c>
      <c r="BG170" s="311">
        <f>SUMIF(Recibos!$D$4:$D$7493,Cobranza!$B170,Recibos!S$4:S$7493)</f>
        <v>400</v>
      </c>
      <c r="BH170" s="311">
        <f>SUMIF(Recibos!$D$4:$D$7493,Cobranza!$B170,Recibos!T$4:T$7493)</f>
        <v>400</v>
      </c>
      <c r="BI170" s="311">
        <f>SUMIF(Recibos!$D$4:$D$7493,Cobranza!$B170,Recibos!U$4:U$7493)</f>
        <v>400</v>
      </c>
      <c r="BJ170" s="311">
        <f>SUMIF(Recibos!$D$4:$D$7493,Cobranza!$B170,Recibos!V$4:V$7493)</f>
        <v>400</v>
      </c>
      <c r="BK170" s="312">
        <f t="shared" si="29"/>
        <v>4800</v>
      </c>
      <c r="BL170" s="311">
        <f>SUMIF(Recibos!$D$4:$D$7493,Cobranza!$B170,Recibos!X$4:X$7493)</f>
        <v>400</v>
      </c>
      <c r="BM170" s="311">
        <f>SUMIF(Recibos!$D$4:$D$7493,Cobranza!$B170,Recibos!Y$4:Y$7493)</f>
        <v>400</v>
      </c>
      <c r="BN170" s="311">
        <f>SUMIF(Recibos!$D$4:$D$7493,Cobranza!$B170,Recibos!Z$4:Z$7493)</f>
        <v>400</v>
      </c>
      <c r="BO170" s="311">
        <f>SUMIF(Recibos!$D$4:$D$7493,Cobranza!$B170,Recibos!AA$4:AA$7493)</f>
        <v>400</v>
      </c>
      <c r="BP170" s="311">
        <f>SUMIF(Recibos!$D$4:$D$7493,Cobranza!$B170,Recibos!AB$4:AB$7493)</f>
        <v>400</v>
      </c>
      <c r="BQ170" s="311">
        <f>SUMIF(Recibos!$D$4:$D$7493,Cobranza!$B170,Recibos!AC$4:AC$7493)</f>
        <v>200</v>
      </c>
      <c r="BR170" s="311">
        <f>SUMIF(Recibos!$D$4:$D$7493,Cobranza!$B170,Recibos!AD$4:AD$7493)</f>
        <v>200</v>
      </c>
      <c r="BS170" s="311">
        <f>SUMIF(Recibos!$D$4:$D$7493,Cobranza!$B170,Recibos!AE$4:AE$7493)</f>
        <v>200</v>
      </c>
      <c r="BT170" s="311">
        <f>SUMIF(Recibos!$D$4:$D$7493,Cobranza!$B170,Recibos!AF$4:AF$7493)</f>
        <v>400</v>
      </c>
      <c r="BU170" s="311">
        <f>SUMIF(Recibos!$D$4:$D$7493,Cobranza!$B170,Recibos!AG$4:AG$7493)</f>
        <v>400</v>
      </c>
      <c r="BV170" s="311">
        <f>SUMIF(Recibos!$D$4:$D$7493,Cobranza!$B170,Recibos!AH$4:AH$7493)</f>
        <v>400</v>
      </c>
      <c r="BW170" s="311">
        <f>SUMIF(Recibos!$D$4:$D$7493,Cobranza!$B170,Recibos!AI$4:AI$7493)</f>
        <v>400</v>
      </c>
      <c r="BX170" s="312">
        <f t="shared" si="30"/>
        <v>4200</v>
      </c>
      <c r="BY170" s="311">
        <f>SUMIF(Recibos!$D$4:$D$7493,Cobranza!$B170,Recibos!AK$4:AK$7493)</f>
        <v>400</v>
      </c>
      <c r="BZ170" s="311">
        <f>SUMIF(Recibos!$D$4:$D$7493,Cobranza!$B170,Recibos!AL$4:AL$7493)</f>
        <v>400</v>
      </c>
      <c r="CA170" s="311">
        <f>SUMIF(Recibos!$D$4:$D$7493,Cobranza!$B170,Recibos!AM$4:AM$7493)</f>
        <v>400</v>
      </c>
      <c r="CB170" s="311">
        <f>SUMIF(Recibos!$D$4:$D$7493,Cobranza!$B170,Recibos!AN$4:AN$7493)</f>
        <v>400</v>
      </c>
      <c r="CC170" s="311">
        <f>SUMIF(Recibos!$D$4:$D$7493,Cobranza!$B170,Recibos!AO$4:AO$7493)</f>
        <v>400</v>
      </c>
      <c r="CD170" s="311">
        <f>SUMIF(Recibos!$D$4:$D$7493,Cobranza!$B170,Recibos!AP$4:AP$7493)</f>
        <v>200</v>
      </c>
      <c r="CE170" s="311">
        <f>SUMIF(Recibos!$D$4:$D$7493,Cobranza!$B170,Recibos!AQ$4:AQ$7493)</f>
        <v>200</v>
      </c>
      <c r="CF170" s="311">
        <f>SUMIF(Recibos!$D$4:$D$7493,Cobranza!$B170,Recibos!AR$4:AR$7493)</f>
        <v>200</v>
      </c>
      <c r="CG170" s="311">
        <f>SUMIF(Recibos!$D$4:$D$7493,Cobranza!$B170,Recibos!AS$4:AS$7493)</f>
        <v>200</v>
      </c>
      <c r="CH170" s="311">
        <f>SUMIF(Recibos!$D$4:$D$7493,Cobranza!$B170,Recibos!AT$4:AT$7493)</f>
        <v>200</v>
      </c>
      <c r="CI170" s="311">
        <f>SUMIF(Recibos!$D$4:$D$7493,Cobranza!$B170,Recibos!AU$4:AU$7493)</f>
        <v>200</v>
      </c>
      <c r="CJ170" s="311">
        <f>SUMIF(Recibos!$D$4:$D$7493,Cobranza!$B170,Recibos!AV$4:AV$7493)</f>
        <v>200</v>
      </c>
      <c r="CK170" s="312">
        <f t="shared" si="24"/>
        <v>3400</v>
      </c>
    </row>
    <row r="171" spans="2:89" x14ac:dyDescent="0.2">
      <c r="B171" s="45" t="s">
        <v>544</v>
      </c>
      <c r="C171" s="45" t="s">
        <v>545</v>
      </c>
      <c r="D171" s="45" t="s">
        <v>546</v>
      </c>
      <c r="E171" s="46">
        <v>0</v>
      </c>
      <c r="F171" s="46">
        <v>0</v>
      </c>
      <c r="G171" s="46">
        <v>0</v>
      </c>
      <c r="H171" s="46">
        <v>0</v>
      </c>
      <c r="I171" s="46">
        <v>0</v>
      </c>
      <c r="J171" s="46">
        <v>300</v>
      </c>
      <c r="K171" s="47">
        <f t="shared" si="25"/>
        <v>300</v>
      </c>
      <c r="L171" s="46">
        <v>300</v>
      </c>
      <c r="M171" s="46">
        <v>300</v>
      </c>
      <c r="N171" s="46">
        <v>300</v>
      </c>
      <c r="O171" s="46">
        <v>300</v>
      </c>
      <c r="P171" s="46">
        <v>300</v>
      </c>
      <c r="Q171" s="46">
        <v>300</v>
      </c>
      <c r="R171" s="46">
        <v>300</v>
      </c>
      <c r="S171" s="46">
        <v>300</v>
      </c>
      <c r="T171" s="46">
        <v>300</v>
      </c>
      <c r="U171" s="46">
        <v>400</v>
      </c>
      <c r="V171" s="46">
        <v>400</v>
      </c>
      <c r="W171" s="46">
        <v>400</v>
      </c>
      <c r="X171" s="47">
        <f t="shared" si="26"/>
        <v>3900</v>
      </c>
      <c r="Y171" s="46">
        <v>400</v>
      </c>
      <c r="Z171" s="46">
        <v>400</v>
      </c>
      <c r="AA171" s="46">
        <v>400</v>
      </c>
      <c r="AB171" s="46">
        <v>400</v>
      </c>
      <c r="AC171" s="46">
        <v>400</v>
      </c>
      <c r="AD171" s="46">
        <v>400</v>
      </c>
      <c r="AE171" s="46">
        <v>400</v>
      </c>
      <c r="AF171" s="46">
        <v>400</v>
      </c>
      <c r="AG171" s="46">
        <v>400</v>
      </c>
      <c r="AH171" s="46">
        <v>400</v>
      </c>
      <c r="AI171" s="46">
        <v>400</v>
      </c>
      <c r="AJ171" s="46">
        <v>400</v>
      </c>
      <c r="AK171" s="47">
        <f t="shared" si="27"/>
        <v>4800</v>
      </c>
      <c r="AL171" s="46">
        <v>400</v>
      </c>
      <c r="AM171" s="46">
        <v>400</v>
      </c>
      <c r="AN171" s="46">
        <v>400</v>
      </c>
      <c r="AO171" s="46">
        <v>400</v>
      </c>
      <c r="AP171" s="46">
        <v>400</v>
      </c>
      <c r="AQ171" s="46">
        <v>400</v>
      </c>
      <c r="AR171" s="46">
        <v>400</v>
      </c>
      <c r="AS171" s="46">
        <v>400</v>
      </c>
      <c r="AT171" s="46">
        <v>400</v>
      </c>
      <c r="AU171" s="46">
        <v>400</v>
      </c>
      <c r="AV171" s="46">
        <v>400</v>
      </c>
      <c r="AW171" s="46">
        <v>400</v>
      </c>
      <c r="AX171" s="47">
        <f t="shared" si="28"/>
        <v>4800</v>
      </c>
      <c r="AY171" s="313">
        <f>SUMIF(Recibos!$D$4:$D$7493,Cobranza!$B171,Recibos!K$4:K$7493)</f>
        <v>400</v>
      </c>
      <c r="AZ171" s="313">
        <f>SUMIF(Recibos!$D$4:$D$7493,Cobranza!$B171,Recibos!L$4:L$7493)</f>
        <v>400</v>
      </c>
      <c r="BA171" s="313">
        <f>SUMIF(Recibos!$D$4:$D$7493,Cobranza!$B171,Recibos!M$4:M$7493)</f>
        <v>400</v>
      </c>
      <c r="BB171" s="313">
        <f>SUMIF(Recibos!$D$4:$D$7493,Cobranza!$B171,Recibos!N$4:N$7493)</f>
        <v>400</v>
      </c>
      <c r="BC171" s="313">
        <f>SUMIF(Recibos!$D$4:$D$7493,Cobranza!$B171,Recibos!O$4:O$7493)</f>
        <v>400</v>
      </c>
      <c r="BD171" s="313">
        <f>SUMIF(Recibos!$D$4:$D$7493,Cobranza!$B171,Recibos!P$4:P$7493)</f>
        <v>400</v>
      </c>
      <c r="BE171" s="313">
        <f>SUMIF(Recibos!$D$4:$D$7493,Cobranza!$B171,Recibos!Q$4:Q$7493)</f>
        <v>400</v>
      </c>
      <c r="BF171" s="313">
        <f>SUMIF(Recibos!$D$4:$D$7493,Cobranza!$B171,Recibos!R$4:R$7493)</f>
        <v>400</v>
      </c>
      <c r="BG171" s="313">
        <f>SUMIF(Recibos!$D$4:$D$7493,Cobranza!$B171,Recibos!S$4:S$7493)</f>
        <v>400</v>
      </c>
      <c r="BH171" s="313">
        <f>SUMIF(Recibos!$D$4:$D$7493,Cobranza!$B171,Recibos!T$4:T$7493)</f>
        <v>400</v>
      </c>
      <c r="BI171" s="313">
        <f>SUMIF(Recibos!$D$4:$D$7493,Cobranza!$B171,Recibos!U$4:U$7493)</f>
        <v>400</v>
      </c>
      <c r="BJ171" s="313">
        <f>SUMIF(Recibos!$D$4:$D$7493,Cobranza!$B171,Recibos!V$4:V$7493)</f>
        <v>400</v>
      </c>
      <c r="BK171" s="314">
        <f t="shared" si="29"/>
        <v>4800</v>
      </c>
      <c r="BL171" s="313">
        <f>SUMIF(Recibos!$D$4:$D$7493,Cobranza!$B171,Recibos!X$4:X$7493)</f>
        <v>400</v>
      </c>
      <c r="BM171" s="313">
        <f>SUMIF(Recibos!$D$4:$D$7493,Cobranza!$B171,Recibos!Y$4:Y$7493)</f>
        <v>400</v>
      </c>
      <c r="BN171" s="313">
        <f>SUMIF(Recibos!$D$4:$D$7493,Cobranza!$B171,Recibos!Z$4:Z$7493)</f>
        <v>400</v>
      </c>
      <c r="BO171" s="313">
        <f>SUMIF(Recibos!$D$4:$D$7493,Cobranza!$B171,Recibos!AA$4:AA$7493)</f>
        <v>400</v>
      </c>
      <c r="BP171" s="313">
        <f>SUMIF(Recibos!$D$4:$D$7493,Cobranza!$B171,Recibos!AB$4:AB$7493)</f>
        <v>400</v>
      </c>
      <c r="BQ171" s="313">
        <f>SUMIF(Recibos!$D$4:$D$7493,Cobranza!$B171,Recibos!AC$4:AC$7493)</f>
        <v>400</v>
      </c>
      <c r="BR171" s="313">
        <f>SUMIF(Recibos!$D$4:$D$7493,Cobranza!$B171,Recibos!AD$4:AD$7493)</f>
        <v>400</v>
      </c>
      <c r="BS171" s="313">
        <f>SUMIF(Recibos!$D$4:$D$7493,Cobranza!$B171,Recibos!AE$4:AE$7493)</f>
        <v>400</v>
      </c>
      <c r="BT171" s="313">
        <f>SUMIF(Recibos!$D$4:$D$7493,Cobranza!$B171,Recibos!AF$4:AF$7493)</f>
        <v>400</v>
      </c>
      <c r="BU171" s="313">
        <f>SUMIF(Recibos!$D$4:$D$7493,Cobranza!$B171,Recibos!AG$4:AG$7493)</f>
        <v>400</v>
      </c>
      <c r="BV171" s="313">
        <f>SUMIF(Recibos!$D$4:$D$7493,Cobranza!$B171,Recibos!AH$4:AH$7493)</f>
        <v>400</v>
      </c>
      <c r="BW171" s="313">
        <f>SUMIF(Recibos!$D$4:$D$7493,Cobranza!$B171,Recibos!AI$4:AI$7493)</f>
        <v>400</v>
      </c>
      <c r="BX171" s="314">
        <f t="shared" si="30"/>
        <v>4800</v>
      </c>
      <c r="BY171" s="313">
        <f>SUMIF(Recibos!$D$4:$D$7493,Cobranza!$B171,Recibos!AK$4:AK$7493)</f>
        <v>400</v>
      </c>
      <c r="BZ171" s="313">
        <f>SUMIF(Recibos!$D$4:$D$7493,Cobranza!$B171,Recibos!AL$4:AL$7493)</f>
        <v>400</v>
      </c>
      <c r="CA171" s="313">
        <f>SUMIF(Recibos!$D$4:$D$7493,Cobranza!$B171,Recibos!AM$4:AM$7493)</f>
        <v>400</v>
      </c>
      <c r="CB171" s="313">
        <f>SUMIF(Recibos!$D$4:$D$7493,Cobranza!$B171,Recibos!AN$4:AN$7493)</f>
        <v>400</v>
      </c>
      <c r="CC171" s="313">
        <f>SUMIF(Recibos!$D$4:$D$7493,Cobranza!$B171,Recibos!AO$4:AO$7493)</f>
        <v>400</v>
      </c>
      <c r="CD171" s="313">
        <f>SUMIF(Recibos!$D$4:$D$7493,Cobranza!$B171,Recibos!AP$4:AP$7493)</f>
        <v>400</v>
      </c>
      <c r="CE171" s="313">
        <f>SUMIF(Recibos!$D$4:$D$7493,Cobranza!$B171,Recibos!AQ$4:AQ$7493)</f>
        <v>400</v>
      </c>
      <c r="CF171" s="313">
        <f>SUMIF(Recibos!$D$4:$D$7493,Cobranza!$B171,Recibos!AR$4:AR$7493)</f>
        <v>400</v>
      </c>
      <c r="CG171" s="313">
        <f>SUMIF(Recibos!$D$4:$D$7493,Cobranza!$B171,Recibos!AS$4:AS$7493)</f>
        <v>400</v>
      </c>
      <c r="CH171" s="313">
        <f>SUMIF(Recibos!$D$4:$D$7493,Cobranza!$B171,Recibos!AT$4:AT$7493)</f>
        <v>400</v>
      </c>
      <c r="CI171" s="313">
        <f>SUMIF(Recibos!$D$4:$D$7493,Cobranza!$B171,Recibos!AU$4:AU$7493)</f>
        <v>0</v>
      </c>
      <c r="CJ171" s="313">
        <f>SUMIF(Recibos!$D$4:$D$7493,Cobranza!$B171,Recibos!AV$4:AV$7493)</f>
        <v>0</v>
      </c>
      <c r="CK171" s="314">
        <f t="shared" si="24"/>
        <v>4000</v>
      </c>
    </row>
    <row r="172" spans="2:89" x14ac:dyDescent="0.2">
      <c r="B172" s="42" t="s">
        <v>141</v>
      </c>
      <c r="C172" s="42" t="s">
        <v>142</v>
      </c>
      <c r="D172" s="42" t="s">
        <v>143</v>
      </c>
      <c r="E172" s="43">
        <v>0</v>
      </c>
      <c r="F172" s="43">
        <v>0</v>
      </c>
      <c r="G172" s="43">
        <v>0</v>
      </c>
      <c r="H172" s="43">
        <v>300</v>
      </c>
      <c r="I172" s="43">
        <v>300</v>
      </c>
      <c r="J172" s="43">
        <v>300</v>
      </c>
      <c r="K172" s="44">
        <f t="shared" si="25"/>
        <v>900</v>
      </c>
      <c r="L172" s="43">
        <v>300</v>
      </c>
      <c r="M172" s="43">
        <v>300</v>
      </c>
      <c r="N172" s="43">
        <v>300</v>
      </c>
      <c r="O172" s="43">
        <v>300</v>
      </c>
      <c r="P172" s="43">
        <v>300</v>
      </c>
      <c r="Q172" s="43">
        <v>300</v>
      </c>
      <c r="R172" s="43">
        <v>300</v>
      </c>
      <c r="S172" s="43">
        <v>300</v>
      </c>
      <c r="T172" s="43">
        <v>300</v>
      </c>
      <c r="U172" s="43">
        <v>400</v>
      </c>
      <c r="V172" s="43">
        <v>400</v>
      </c>
      <c r="W172" s="43">
        <v>400</v>
      </c>
      <c r="X172" s="44">
        <f t="shared" si="26"/>
        <v>3900</v>
      </c>
      <c r="Y172" s="43">
        <v>400</v>
      </c>
      <c r="Z172" s="43">
        <v>400</v>
      </c>
      <c r="AA172" s="43">
        <v>400</v>
      </c>
      <c r="AB172" s="43">
        <v>400</v>
      </c>
      <c r="AC172" s="43">
        <v>400</v>
      </c>
      <c r="AD172" s="43">
        <v>400</v>
      </c>
      <c r="AE172" s="43">
        <v>400</v>
      </c>
      <c r="AF172" s="43">
        <v>400</v>
      </c>
      <c r="AG172" s="43">
        <v>400</v>
      </c>
      <c r="AH172" s="43">
        <v>400</v>
      </c>
      <c r="AI172" s="43">
        <v>400</v>
      </c>
      <c r="AJ172" s="43">
        <v>400</v>
      </c>
      <c r="AK172" s="44">
        <f t="shared" si="27"/>
        <v>4800</v>
      </c>
      <c r="AL172" s="43">
        <v>400</v>
      </c>
      <c r="AM172" s="43">
        <v>400</v>
      </c>
      <c r="AN172" s="43">
        <v>400</v>
      </c>
      <c r="AO172" s="43">
        <v>400</v>
      </c>
      <c r="AP172" s="43">
        <v>400</v>
      </c>
      <c r="AQ172" s="43">
        <v>400</v>
      </c>
      <c r="AR172" s="43">
        <v>400</v>
      </c>
      <c r="AS172" s="43">
        <v>400</v>
      </c>
      <c r="AT172" s="43">
        <v>400</v>
      </c>
      <c r="AU172" s="43">
        <v>400</v>
      </c>
      <c r="AV172" s="43">
        <v>400</v>
      </c>
      <c r="AW172" s="43">
        <v>400</v>
      </c>
      <c r="AX172" s="44">
        <f t="shared" si="28"/>
        <v>4800</v>
      </c>
      <c r="AY172" s="311">
        <f>SUMIF(Recibos!$D$4:$D$7493,Cobranza!$B172,Recibos!K$4:K$7493)</f>
        <v>400</v>
      </c>
      <c r="AZ172" s="311">
        <f>SUMIF(Recibos!$D$4:$D$7493,Cobranza!$B172,Recibos!L$4:L$7493)</f>
        <v>400</v>
      </c>
      <c r="BA172" s="311">
        <f>SUMIF(Recibos!$D$4:$D$7493,Cobranza!$B172,Recibos!M$4:M$7493)</f>
        <v>400</v>
      </c>
      <c r="BB172" s="311">
        <f>SUMIF(Recibos!$D$4:$D$7493,Cobranza!$B172,Recibos!N$4:N$7493)</f>
        <v>400</v>
      </c>
      <c r="BC172" s="311">
        <f>SUMIF(Recibos!$D$4:$D$7493,Cobranza!$B172,Recibos!O$4:O$7493)</f>
        <v>400</v>
      </c>
      <c r="BD172" s="311">
        <f>SUMIF(Recibos!$D$4:$D$7493,Cobranza!$B172,Recibos!P$4:P$7493)</f>
        <v>400</v>
      </c>
      <c r="BE172" s="311">
        <f>SUMIF(Recibos!$D$4:$D$7493,Cobranza!$B172,Recibos!Q$4:Q$7493)</f>
        <v>400</v>
      </c>
      <c r="BF172" s="311">
        <f>SUMIF(Recibos!$D$4:$D$7493,Cobranza!$B172,Recibos!R$4:R$7493)</f>
        <v>400</v>
      </c>
      <c r="BG172" s="311">
        <f>SUMIF(Recibos!$D$4:$D$7493,Cobranza!$B172,Recibos!S$4:S$7493)</f>
        <v>400</v>
      </c>
      <c r="BH172" s="311">
        <f>SUMIF(Recibos!$D$4:$D$7493,Cobranza!$B172,Recibos!T$4:T$7493)</f>
        <v>400</v>
      </c>
      <c r="BI172" s="311">
        <f>SUMIF(Recibos!$D$4:$D$7493,Cobranza!$B172,Recibos!U$4:U$7493)</f>
        <v>400</v>
      </c>
      <c r="BJ172" s="311">
        <f>SUMIF(Recibos!$D$4:$D$7493,Cobranza!$B172,Recibos!V$4:V$7493)</f>
        <v>400</v>
      </c>
      <c r="BK172" s="312">
        <f t="shared" si="29"/>
        <v>4800</v>
      </c>
      <c r="BL172" s="311">
        <f>SUMIF(Recibos!$D$4:$D$7493,Cobranza!$B172,Recibos!X$4:X$7493)</f>
        <v>400</v>
      </c>
      <c r="BM172" s="311">
        <f>SUMIF(Recibos!$D$4:$D$7493,Cobranza!$B172,Recibos!Y$4:Y$7493)</f>
        <v>400</v>
      </c>
      <c r="BN172" s="311">
        <f>SUMIF(Recibos!$D$4:$D$7493,Cobranza!$B172,Recibos!Z$4:Z$7493)</f>
        <v>400</v>
      </c>
      <c r="BO172" s="311">
        <f>SUMIF(Recibos!$D$4:$D$7493,Cobranza!$B172,Recibos!AA$4:AA$7493)</f>
        <v>400</v>
      </c>
      <c r="BP172" s="311">
        <f>SUMIF(Recibos!$D$4:$D$7493,Cobranza!$B172,Recibos!AB$4:AB$7493)</f>
        <v>400</v>
      </c>
      <c r="BQ172" s="311">
        <f>SUMIF(Recibos!$D$4:$D$7493,Cobranza!$B172,Recibos!AC$4:AC$7493)</f>
        <v>400</v>
      </c>
      <c r="BR172" s="311">
        <f>SUMIF(Recibos!$D$4:$D$7493,Cobranza!$B172,Recibos!AD$4:AD$7493)</f>
        <v>400</v>
      </c>
      <c r="BS172" s="311">
        <f>SUMIF(Recibos!$D$4:$D$7493,Cobranza!$B172,Recibos!AE$4:AE$7493)</f>
        <v>400</v>
      </c>
      <c r="BT172" s="311">
        <f>SUMIF(Recibos!$D$4:$D$7493,Cobranza!$B172,Recibos!AF$4:AF$7493)</f>
        <v>400</v>
      </c>
      <c r="BU172" s="311">
        <f>SUMIF(Recibos!$D$4:$D$7493,Cobranza!$B172,Recibos!AG$4:AG$7493)</f>
        <v>400</v>
      </c>
      <c r="BV172" s="311">
        <f>SUMIF(Recibos!$D$4:$D$7493,Cobranza!$B172,Recibos!AH$4:AH$7493)</f>
        <v>400</v>
      </c>
      <c r="BW172" s="311">
        <f>SUMIF(Recibos!$D$4:$D$7493,Cobranza!$B172,Recibos!AI$4:AI$7493)</f>
        <v>400</v>
      </c>
      <c r="BX172" s="312">
        <f t="shared" si="30"/>
        <v>4800</v>
      </c>
      <c r="BY172" s="311">
        <f>SUMIF(Recibos!$D$4:$D$7493,Cobranza!$B172,Recibos!AK$4:AK$7493)</f>
        <v>400</v>
      </c>
      <c r="BZ172" s="311">
        <f>SUMIF(Recibos!$D$4:$D$7493,Cobranza!$B172,Recibos!AL$4:AL$7493)</f>
        <v>400</v>
      </c>
      <c r="CA172" s="311">
        <f>SUMIF(Recibos!$D$4:$D$7493,Cobranza!$B172,Recibos!AM$4:AM$7493)</f>
        <v>400</v>
      </c>
      <c r="CB172" s="311">
        <f>SUMIF(Recibos!$D$4:$D$7493,Cobranza!$B172,Recibos!AN$4:AN$7493)</f>
        <v>400</v>
      </c>
      <c r="CC172" s="311">
        <f>SUMIF(Recibos!$D$4:$D$7493,Cobranza!$B172,Recibos!AO$4:AO$7493)</f>
        <v>400</v>
      </c>
      <c r="CD172" s="311">
        <f>SUMIF(Recibos!$D$4:$D$7493,Cobranza!$B172,Recibos!AP$4:AP$7493)</f>
        <v>400</v>
      </c>
      <c r="CE172" s="311">
        <f>SUMIF(Recibos!$D$4:$D$7493,Cobranza!$B172,Recibos!AQ$4:AQ$7493)</f>
        <v>400</v>
      </c>
      <c r="CF172" s="311">
        <f>SUMIF(Recibos!$D$4:$D$7493,Cobranza!$B172,Recibos!AR$4:AR$7493)</f>
        <v>400</v>
      </c>
      <c r="CG172" s="311">
        <f>SUMIF(Recibos!$D$4:$D$7493,Cobranza!$B172,Recibos!AS$4:AS$7493)</f>
        <v>400</v>
      </c>
      <c r="CH172" s="311">
        <f>SUMIF(Recibos!$D$4:$D$7493,Cobranza!$B172,Recibos!AT$4:AT$7493)</f>
        <v>0</v>
      </c>
      <c r="CI172" s="311">
        <f>SUMIF(Recibos!$D$4:$D$7493,Cobranza!$B172,Recibos!AU$4:AU$7493)</f>
        <v>0</v>
      </c>
      <c r="CJ172" s="311">
        <f>SUMIF(Recibos!$D$4:$D$7493,Cobranza!$B172,Recibos!AV$4:AV$7493)</f>
        <v>0</v>
      </c>
      <c r="CK172" s="312">
        <f t="shared" si="24"/>
        <v>3600</v>
      </c>
    </row>
    <row r="173" spans="2:89" x14ac:dyDescent="0.2">
      <c r="B173" s="45" t="s">
        <v>1131</v>
      </c>
      <c r="C173" s="45" t="s">
        <v>1132</v>
      </c>
      <c r="D173" s="45" t="s">
        <v>1133</v>
      </c>
      <c r="E173" s="46">
        <v>0</v>
      </c>
      <c r="F173" s="46">
        <v>0</v>
      </c>
      <c r="G173" s="46">
        <v>0</v>
      </c>
      <c r="H173" s="46">
        <v>0</v>
      </c>
      <c r="I173" s="46">
        <v>0</v>
      </c>
      <c r="J173" s="46">
        <v>0</v>
      </c>
      <c r="K173" s="47">
        <f t="shared" si="25"/>
        <v>0</v>
      </c>
      <c r="L173" s="46">
        <v>0</v>
      </c>
      <c r="M173" s="46">
        <v>0</v>
      </c>
      <c r="N173" s="46">
        <v>0</v>
      </c>
      <c r="O173" s="46">
        <v>0</v>
      </c>
      <c r="P173" s="46">
        <v>0</v>
      </c>
      <c r="Q173" s="46">
        <v>0</v>
      </c>
      <c r="R173" s="46">
        <v>0</v>
      </c>
      <c r="S173" s="46">
        <v>0</v>
      </c>
      <c r="T173" s="46">
        <v>0</v>
      </c>
      <c r="U173" s="46">
        <v>0</v>
      </c>
      <c r="V173" s="46">
        <v>0</v>
      </c>
      <c r="W173" s="46">
        <v>0</v>
      </c>
      <c r="X173" s="47">
        <f t="shared" si="26"/>
        <v>0</v>
      </c>
      <c r="Y173" s="46">
        <v>0</v>
      </c>
      <c r="Z173" s="46">
        <v>0</v>
      </c>
      <c r="AA173" s="46">
        <v>0</v>
      </c>
      <c r="AB173" s="46">
        <v>0</v>
      </c>
      <c r="AC173" s="46">
        <v>0</v>
      </c>
      <c r="AD173" s="46">
        <v>0</v>
      </c>
      <c r="AE173" s="46">
        <v>0</v>
      </c>
      <c r="AF173" s="46">
        <v>0</v>
      </c>
      <c r="AG173" s="46">
        <v>0</v>
      </c>
      <c r="AH173" s="46">
        <v>0</v>
      </c>
      <c r="AI173" s="46">
        <v>0</v>
      </c>
      <c r="AJ173" s="46">
        <v>0</v>
      </c>
      <c r="AK173" s="47">
        <f t="shared" si="27"/>
        <v>0</v>
      </c>
      <c r="AL173" s="46">
        <v>0</v>
      </c>
      <c r="AM173" s="46">
        <v>0</v>
      </c>
      <c r="AN173" s="46">
        <v>0</v>
      </c>
      <c r="AO173" s="46">
        <v>0</v>
      </c>
      <c r="AP173" s="46">
        <v>0</v>
      </c>
      <c r="AQ173" s="46">
        <v>0</v>
      </c>
      <c r="AR173" s="46">
        <v>0</v>
      </c>
      <c r="AS173" s="46">
        <v>0</v>
      </c>
      <c r="AT173" s="46">
        <v>0</v>
      </c>
      <c r="AU173" s="46">
        <v>0</v>
      </c>
      <c r="AV173" s="46">
        <v>0</v>
      </c>
      <c r="AW173" s="46">
        <v>0</v>
      </c>
      <c r="AX173" s="47">
        <f t="shared" si="28"/>
        <v>0</v>
      </c>
      <c r="AY173" s="313">
        <f>SUMIF(Recibos!$D$4:$D$7493,Cobranza!$B173,Recibos!K$4:K$7493)</f>
        <v>0</v>
      </c>
      <c r="AZ173" s="313">
        <f>SUMIF(Recibos!$D$4:$D$7493,Cobranza!$B173,Recibos!L$4:L$7493)</f>
        <v>0</v>
      </c>
      <c r="BA173" s="313">
        <f>SUMIF(Recibos!$D$4:$D$7493,Cobranza!$B173,Recibos!M$4:M$7493)</f>
        <v>0</v>
      </c>
      <c r="BB173" s="313">
        <f>SUMIF(Recibos!$D$4:$D$7493,Cobranza!$B173,Recibos!N$4:N$7493)</f>
        <v>0</v>
      </c>
      <c r="BC173" s="313">
        <f>SUMIF(Recibos!$D$4:$D$7493,Cobranza!$B173,Recibos!O$4:O$7493)</f>
        <v>0</v>
      </c>
      <c r="BD173" s="313">
        <f>SUMIF(Recibos!$D$4:$D$7493,Cobranza!$B173,Recibos!P$4:P$7493)</f>
        <v>0</v>
      </c>
      <c r="BE173" s="313">
        <f>SUMIF(Recibos!$D$4:$D$7493,Cobranza!$B173,Recibos!Q$4:Q$7493)</f>
        <v>0</v>
      </c>
      <c r="BF173" s="313">
        <f>SUMIF(Recibos!$D$4:$D$7493,Cobranza!$B173,Recibos!R$4:R$7493)</f>
        <v>300</v>
      </c>
      <c r="BG173" s="313">
        <f>SUMIF(Recibos!$D$4:$D$7493,Cobranza!$B173,Recibos!S$4:S$7493)</f>
        <v>300</v>
      </c>
      <c r="BH173" s="313">
        <f>SUMIF(Recibos!$D$4:$D$7493,Cobranza!$B173,Recibos!T$4:T$7493)</f>
        <v>300</v>
      </c>
      <c r="BI173" s="313">
        <f>SUMIF(Recibos!$D$4:$D$7493,Cobranza!$B173,Recibos!U$4:U$7493)</f>
        <v>0</v>
      </c>
      <c r="BJ173" s="313">
        <f>SUMIF(Recibos!$D$4:$D$7493,Cobranza!$B173,Recibos!V$4:V$7493)</f>
        <v>0</v>
      </c>
      <c r="BK173" s="314">
        <f t="shared" si="29"/>
        <v>900</v>
      </c>
      <c r="BL173" s="313">
        <f>SUMIF(Recibos!$D$4:$D$7493,Cobranza!$B173,Recibos!X$4:X$7493)</f>
        <v>0</v>
      </c>
      <c r="BM173" s="313">
        <f>SUMIF(Recibos!$D$4:$D$7493,Cobranza!$B173,Recibos!Y$4:Y$7493)</f>
        <v>0</v>
      </c>
      <c r="BN173" s="313">
        <f>SUMIF(Recibos!$D$4:$D$7493,Cobranza!$B173,Recibos!Z$4:Z$7493)</f>
        <v>0</v>
      </c>
      <c r="BO173" s="313">
        <f>SUMIF(Recibos!$D$4:$D$7493,Cobranza!$B173,Recibos!AA$4:AA$7493)</f>
        <v>0</v>
      </c>
      <c r="BP173" s="313">
        <f>SUMIF(Recibos!$D$4:$D$7493,Cobranza!$B173,Recibos!AB$4:AB$7493)</f>
        <v>0</v>
      </c>
      <c r="BQ173" s="313">
        <f>SUMIF(Recibos!$D$4:$D$7493,Cobranza!$B173,Recibos!AC$4:AC$7493)</f>
        <v>0</v>
      </c>
      <c r="BR173" s="313">
        <f>SUMIF(Recibos!$D$4:$D$7493,Cobranza!$B173,Recibos!AD$4:AD$7493)</f>
        <v>0</v>
      </c>
      <c r="BS173" s="313">
        <f>SUMIF(Recibos!$D$4:$D$7493,Cobranza!$B173,Recibos!AE$4:AE$7493)</f>
        <v>0</v>
      </c>
      <c r="BT173" s="313">
        <f>SUMIF(Recibos!$D$4:$D$7493,Cobranza!$B173,Recibos!AF$4:AF$7493)</f>
        <v>0</v>
      </c>
      <c r="BU173" s="313">
        <f>SUMIF(Recibos!$D$4:$D$7493,Cobranza!$B173,Recibos!AG$4:AG$7493)</f>
        <v>0</v>
      </c>
      <c r="BV173" s="313">
        <f>SUMIF(Recibos!$D$4:$D$7493,Cobranza!$B173,Recibos!AH$4:AH$7493)</f>
        <v>0</v>
      </c>
      <c r="BW173" s="313">
        <f>SUMIF(Recibos!$D$4:$D$7493,Cobranza!$B173,Recibos!AI$4:AI$7493)</f>
        <v>0</v>
      </c>
      <c r="BX173" s="314">
        <f t="shared" si="30"/>
        <v>0</v>
      </c>
      <c r="BY173" s="313">
        <f>SUMIF(Recibos!$D$4:$D$7493,Cobranza!$B173,Recibos!AK$4:AK$7493)</f>
        <v>0</v>
      </c>
      <c r="BZ173" s="313">
        <f>SUMIF(Recibos!$D$4:$D$7493,Cobranza!$B173,Recibos!AL$4:AL$7493)</f>
        <v>0</v>
      </c>
      <c r="CA173" s="313">
        <f>SUMIF(Recibos!$D$4:$D$7493,Cobranza!$B173,Recibos!AM$4:AM$7493)</f>
        <v>0</v>
      </c>
      <c r="CB173" s="313">
        <f>SUMIF(Recibos!$D$4:$D$7493,Cobranza!$B173,Recibos!AN$4:AN$7493)</f>
        <v>0</v>
      </c>
      <c r="CC173" s="313">
        <f>SUMIF(Recibos!$D$4:$D$7493,Cobranza!$B173,Recibos!AO$4:AO$7493)</f>
        <v>0</v>
      </c>
      <c r="CD173" s="313">
        <f>SUMIF(Recibos!$D$4:$D$7493,Cobranza!$B173,Recibos!AP$4:AP$7493)</f>
        <v>0</v>
      </c>
      <c r="CE173" s="313">
        <f>SUMIF(Recibos!$D$4:$D$7493,Cobranza!$B173,Recibos!AQ$4:AQ$7493)</f>
        <v>0</v>
      </c>
      <c r="CF173" s="313">
        <f>SUMIF(Recibos!$D$4:$D$7493,Cobranza!$B173,Recibos!AR$4:AR$7493)</f>
        <v>0</v>
      </c>
      <c r="CG173" s="313">
        <f>SUMIF(Recibos!$D$4:$D$7493,Cobranza!$B173,Recibos!AS$4:AS$7493)</f>
        <v>0</v>
      </c>
      <c r="CH173" s="313">
        <f>SUMIF(Recibos!$D$4:$D$7493,Cobranza!$B173,Recibos!AT$4:AT$7493)</f>
        <v>0</v>
      </c>
      <c r="CI173" s="313">
        <f>SUMIF(Recibos!$D$4:$D$7493,Cobranza!$B173,Recibos!AU$4:AU$7493)</f>
        <v>0</v>
      </c>
      <c r="CJ173" s="313">
        <f>SUMIF(Recibos!$D$4:$D$7493,Cobranza!$B173,Recibos!AV$4:AV$7493)</f>
        <v>0</v>
      </c>
      <c r="CK173" s="314">
        <f t="shared" si="24"/>
        <v>0</v>
      </c>
    </row>
    <row r="174" spans="2:89" x14ac:dyDescent="0.2">
      <c r="B174" s="42" t="s">
        <v>846</v>
      </c>
      <c r="C174" s="42" t="s">
        <v>847</v>
      </c>
      <c r="D174" s="42" t="s">
        <v>848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300</v>
      </c>
      <c r="K174" s="44">
        <f t="shared" si="25"/>
        <v>300</v>
      </c>
      <c r="L174" s="43">
        <v>300</v>
      </c>
      <c r="M174" s="43">
        <v>300</v>
      </c>
      <c r="N174" s="43">
        <v>300</v>
      </c>
      <c r="O174" s="43">
        <v>300</v>
      </c>
      <c r="P174" s="43">
        <v>300</v>
      </c>
      <c r="Q174" s="43">
        <v>300</v>
      </c>
      <c r="R174" s="43">
        <v>300</v>
      </c>
      <c r="S174" s="43">
        <v>300</v>
      </c>
      <c r="T174" s="43">
        <v>300</v>
      </c>
      <c r="U174" s="43">
        <v>400</v>
      </c>
      <c r="V174" s="43">
        <v>400</v>
      </c>
      <c r="W174" s="43">
        <v>400</v>
      </c>
      <c r="X174" s="44">
        <f t="shared" si="26"/>
        <v>3900</v>
      </c>
      <c r="Y174" s="43">
        <v>400</v>
      </c>
      <c r="Z174" s="43">
        <v>400</v>
      </c>
      <c r="AA174" s="43">
        <v>0</v>
      </c>
      <c r="AB174" s="43">
        <v>0</v>
      </c>
      <c r="AC174" s="43">
        <v>400</v>
      </c>
      <c r="AD174" s="43">
        <v>400</v>
      </c>
      <c r="AE174" s="43">
        <v>400</v>
      </c>
      <c r="AF174" s="43">
        <v>400</v>
      </c>
      <c r="AG174" s="43">
        <v>400</v>
      </c>
      <c r="AH174" s="43">
        <v>400</v>
      </c>
      <c r="AI174" s="43">
        <v>400</v>
      </c>
      <c r="AJ174" s="43">
        <v>400</v>
      </c>
      <c r="AK174" s="44">
        <f t="shared" si="27"/>
        <v>4000</v>
      </c>
      <c r="AL174" s="43">
        <v>400</v>
      </c>
      <c r="AM174" s="43">
        <v>400</v>
      </c>
      <c r="AN174" s="43">
        <v>400</v>
      </c>
      <c r="AO174" s="43">
        <v>400</v>
      </c>
      <c r="AP174" s="43">
        <v>400</v>
      </c>
      <c r="AQ174" s="43">
        <v>400</v>
      </c>
      <c r="AR174" s="43">
        <v>400</v>
      </c>
      <c r="AS174" s="43">
        <v>400</v>
      </c>
      <c r="AT174" s="43">
        <v>400</v>
      </c>
      <c r="AU174" s="43">
        <v>400</v>
      </c>
      <c r="AV174" s="43">
        <v>400</v>
      </c>
      <c r="AW174" s="43">
        <v>400</v>
      </c>
      <c r="AX174" s="44">
        <f t="shared" si="28"/>
        <v>4800</v>
      </c>
      <c r="AY174" s="311">
        <f>SUMIF(Recibos!$D$4:$D$7493,Cobranza!$B174,Recibos!K$4:K$7493)</f>
        <v>400</v>
      </c>
      <c r="AZ174" s="311">
        <f>SUMIF(Recibos!$D$4:$D$7493,Cobranza!$B174,Recibos!L$4:L$7493)</f>
        <v>400</v>
      </c>
      <c r="BA174" s="311">
        <f>SUMIF(Recibos!$D$4:$D$7493,Cobranza!$B174,Recibos!M$4:M$7493)</f>
        <v>400</v>
      </c>
      <c r="BB174" s="311">
        <f>SUMIF(Recibos!$D$4:$D$7493,Cobranza!$B174,Recibos!N$4:N$7493)</f>
        <v>400</v>
      </c>
      <c r="BC174" s="311">
        <f>SUMIF(Recibos!$D$4:$D$7493,Cobranza!$B174,Recibos!O$4:O$7493)</f>
        <v>400</v>
      </c>
      <c r="BD174" s="311">
        <f>SUMIF(Recibos!$D$4:$D$7493,Cobranza!$B174,Recibos!P$4:P$7493)</f>
        <v>400</v>
      </c>
      <c r="BE174" s="311">
        <f>SUMIF(Recibos!$D$4:$D$7493,Cobranza!$B174,Recibos!Q$4:Q$7493)</f>
        <v>400</v>
      </c>
      <c r="BF174" s="311">
        <f>SUMIF(Recibos!$D$4:$D$7493,Cobranza!$B174,Recibos!R$4:R$7493)</f>
        <v>400</v>
      </c>
      <c r="BG174" s="311">
        <f>SUMIF(Recibos!$D$4:$D$7493,Cobranza!$B174,Recibos!S$4:S$7493)</f>
        <v>400</v>
      </c>
      <c r="BH174" s="311">
        <f>SUMIF(Recibos!$D$4:$D$7493,Cobranza!$B174,Recibos!T$4:T$7493)</f>
        <v>400</v>
      </c>
      <c r="BI174" s="311">
        <f>SUMIF(Recibos!$D$4:$D$7493,Cobranza!$B174,Recibos!U$4:U$7493)</f>
        <v>400</v>
      </c>
      <c r="BJ174" s="311">
        <f>SUMIF(Recibos!$D$4:$D$7493,Cobranza!$B174,Recibos!V$4:V$7493)</f>
        <v>400</v>
      </c>
      <c r="BK174" s="312">
        <f t="shared" si="29"/>
        <v>4800</v>
      </c>
      <c r="BL174" s="311">
        <f>SUMIF(Recibos!$D$4:$D$7493,Cobranza!$B174,Recibos!X$4:X$7493)</f>
        <v>400</v>
      </c>
      <c r="BM174" s="311">
        <f>SUMIF(Recibos!$D$4:$D$7493,Cobranza!$B174,Recibos!Y$4:Y$7493)</f>
        <v>400</v>
      </c>
      <c r="BN174" s="311">
        <f>SUMIF(Recibos!$D$4:$D$7493,Cobranza!$B174,Recibos!Z$4:Z$7493)</f>
        <v>400</v>
      </c>
      <c r="BO174" s="311">
        <f>SUMIF(Recibos!$D$4:$D$7493,Cobranza!$B174,Recibos!AA$4:AA$7493)</f>
        <v>400</v>
      </c>
      <c r="BP174" s="311">
        <f>SUMIF(Recibos!$D$4:$D$7493,Cobranza!$B174,Recibos!AB$4:AB$7493)</f>
        <v>400</v>
      </c>
      <c r="BQ174" s="311">
        <f>SUMIF(Recibos!$D$4:$D$7493,Cobranza!$B174,Recibos!AC$4:AC$7493)</f>
        <v>400</v>
      </c>
      <c r="BR174" s="311">
        <f>SUMIF(Recibos!$D$4:$D$7493,Cobranza!$B174,Recibos!AD$4:AD$7493)</f>
        <v>400</v>
      </c>
      <c r="BS174" s="311">
        <f>SUMIF(Recibos!$D$4:$D$7493,Cobranza!$B174,Recibos!AE$4:AE$7493)</f>
        <v>400</v>
      </c>
      <c r="BT174" s="311">
        <f>SUMIF(Recibos!$D$4:$D$7493,Cobranza!$B174,Recibos!AF$4:AF$7493)</f>
        <v>400</v>
      </c>
      <c r="BU174" s="311">
        <f>SUMIF(Recibos!$D$4:$D$7493,Cobranza!$B174,Recibos!AG$4:AG$7493)</f>
        <v>400</v>
      </c>
      <c r="BV174" s="311">
        <f>SUMIF(Recibos!$D$4:$D$7493,Cobranza!$B174,Recibos!AH$4:AH$7493)</f>
        <v>400</v>
      </c>
      <c r="BW174" s="311">
        <f>SUMIF(Recibos!$D$4:$D$7493,Cobranza!$B174,Recibos!AI$4:AI$7493)</f>
        <v>400</v>
      </c>
      <c r="BX174" s="312">
        <f t="shared" si="30"/>
        <v>4800</v>
      </c>
      <c r="BY174" s="311">
        <f>SUMIF(Recibos!$D$4:$D$7493,Cobranza!$B174,Recibos!AK$4:AK$7493)</f>
        <v>400</v>
      </c>
      <c r="BZ174" s="311">
        <f>SUMIF(Recibos!$D$4:$D$7493,Cobranza!$B174,Recibos!AL$4:AL$7493)</f>
        <v>400</v>
      </c>
      <c r="CA174" s="311">
        <f>SUMIF(Recibos!$D$4:$D$7493,Cobranza!$B174,Recibos!AM$4:AM$7493)</f>
        <v>400</v>
      </c>
      <c r="CB174" s="311">
        <f>SUMIF(Recibos!$D$4:$D$7493,Cobranza!$B174,Recibos!AN$4:AN$7493)</f>
        <v>400</v>
      </c>
      <c r="CC174" s="311">
        <f>SUMIF(Recibos!$D$4:$D$7493,Cobranza!$B174,Recibos!AO$4:AO$7493)</f>
        <v>400</v>
      </c>
      <c r="CD174" s="311">
        <f>SUMIF(Recibos!$D$4:$D$7493,Cobranza!$B174,Recibos!AP$4:AP$7493)</f>
        <v>400</v>
      </c>
      <c r="CE174" s="311">
        <f>SUMIF(Recibos!$D$4:$D$7493,Cobranza!$B174,Recibos!AQ$4:AQ$7493)</f>
        <v>400</v>
      </c>
      <c r="CF174" s="311">
        <f>SUMIF(Recibos!$D$4:$D$7493,Cobranza!$B174,Recibos!AR$4:AR$7493)</f>
        <v>400</v>
      </c>
      <c r="CG174" s="311">
        <f>SUMIF(Recibos!$D$4:$D$7493,Cobranza!$B174,Recibos!AS$4:AS$7493)</f>
        <v>0</v>
      </c>
      <c r="CH174" s="311">
        <f>SUMIF(Recibos!$D$4:$D$7493,Cobranza!$B174,Recibos!AT$4:AT$7493)</f>
        <v>0</v>
      </c>
      <c r="CI174" s="311">
        <f>SUMIF(Recibos!$D$4:$D$7493,Cobranza!$B174,Recibos!AU$4:AU$7493)</f>
        <v>0</v>
      </c>
      <c r="CJ174" s="311">
        <f>SUMIF(Recibos!$D$4:$D$7493,Cobranza!$B174,Recibos!AV$4:AV$7493)</f>
        <v>0</v>
      </c>
      <c r="CK174" s="312">
        <f t="shared" si="24"/>
        <v>3200</v>
      </c>
    </row>
    <row r="175" spans="2:89" x14ac:dyDescent="0.2">
      <c r="B175" s="45" t="s">
        <v>1343</v>
      </c>
      <c r="C175" s="45" t="s">
        <v>1344</v>
      </c>
      <c r="D175" s="45" t="s">
        <v>1345</v>
      </c>
      <c r="E175" s="46">
        <v>0</v>
      </c>
      <c r="F175" s="46">
        <v>0</v>
      </c>
      <c r="G175" s="46">
        <v>0</v>
      </c>
      <c r="H175" s="46">
        <v>0</v>
      </c>
      <c r="I175" s="46">
        <v>0</v>
      </c>
      <c r="J175" s="46">
        <v>0</v>
      </c>
      <c r="K175" s="47">
        <f t="shared" si="25"/>
        <v>0</v>
      </c>
      <c r="L175" s="46">
        <v>0</v>
      </c>
      <c r="M175" s="46">
        <v>0</v>
      </c>
      <c r="N175" s="46">
        <v>0</v>
      </c>
      <c r="O175" s="46">
        <v>0</v>
      </c>
      <c r="P175" s="46">
        <v>0</v>
      </c>
      <c r="Q175" s="46">
        <v>0</v>
      </c>
      <c r="R175" s="46">
        <v>0</v>
      </c>
      <c r="S175" s="46">
        <v>0</v>
      </c>
      <c r="T175" s="46">
        <v>0</v>
      </c>
      <c r="U175" s="46">
        <v>0</v>
      </c>
      <c r="V175" s="46">
        <v>0</v>
      </c>
      <c r="W175" s="46">
        <v>0</v>
      </c>
      <c r="X175" s="47">
        <f t="shared" si="26"/>
        <v>0</v>
      </c>
      <c r="Y175" s="46">
        <v>0</v>
      </c>
      <c r="Z175" s="46">
        <v>0</v>
      </c>
      <c r="AA175" s="46">
        <v>0</v>
      </c>
      <c r="AB175" s="46">
        <v>0</v>
      </c>
      <c r="AC175" s="46">
        <v>0</v>
      </c>
      <c r="AD175" s="46">
        <v>0</v>
      </c>
      <c r="AE175" s="46">
        <v>0</v>
      </c>
      <c r="AF175" s="46">
        <v>0</v>
      </c>
      <c r="AG175" s="46">
        <v>0</v>
      </c>
      <c r="AH175" s="46">
        <v>0</v>
      </c>
      <c r="AI175" s="46">
        <v>0</v>
      </c>
      <c r="AJ175" s="46">
        <v>0</v>
      </c>
      <c r="AK175" s="47">
        <f t="shared" si="27"/>
        <v>0</v>
      </c>
      <c r="AL175" s="46">
        <v>0</v>
      </c>
      <c r="AM175" s="46">
        <v>0</v>
      </c>
      <c r="AN175" s="46">
        <v>0</v>
      </c>
      <c r="AO175" s="46">
        <v>0</v>
      </c>
      <c r="AP175" s="46">
        <v>0</v>
      </c>
      <c r="AQ175" s="46">
        <v>0</v>
      </c>
      <c r="AR175" s="46">
        <v>0</v>
      </c>
      <c r="AS175" s="46">
        <v>0</v>
      </c>
      <c r="AT175" s="46">
        <v>0</v>
      </c>
      <c r="AU175" s="46">
        <v>0</v>
      </c>
      <c r="AV175" s="46">
        <v>0</v>
      </c>
      <c r="AW175" s="46">
        <v>0</v>
      </c>
      <c r="AX175" s="47">
        <f t="shared" si="28"/>
        <v>0</v>
      </c>
      <c r="AY175" s="313">
        <f>SUMIF(Recibos!$D$4:$D$7493,Cobranza!$B175,Recibos!K$4:K$7493)</f>
        <v>0</v>
      </c>
      <c r="AZ175" s="313">
        <f>SUMIF(Recibos!$D$4:$D$7493,Cobranza!$B175,Recibos!L$4:L$7493)</f>
        <v>0</v>
      </c>
      <c r="BA175" s="313">
        <f>SUMIF(Recibos!$D$4:$D$7493,Cobranza!$B175,Recibos!M$4:M$7493)</f>
        <v>0</v>
      </c>
      <c r="BB175" s="313">
        <f>SUMIF(Recibos!$D$4:$D$7493,Cobranza!$B175,Recibos!N$4:N$7493)</f>
        <v>0</v>
      </c>
      <c r="BC175" s="313">
        <f>SUMIF(Recibos!$D$4:$D$7493,Cobranza!$B175,Recibos!O$4:O$7493)</f>
        <v>0</v>
      </c>
      <c r="BD175" s="313">
        <f>SUMIF(Recibos!$D$4:$D$7493,Cobranza!$B175,Recibos!P$4:P$7493)</f>
        <v>0</v>
      </c>
      <c r="BE175" s="313">
        <f>SUMIF(Recibos!$D$4:$D$7493,Cobranza!$B175,Recibos!Q$4:Q$7493)</f>
        <v>0</v>
      </c>
      <c r="BF175" s="313">
        <f>SUMIF(Recibos!$D$4:$D$7493,Cobranza!$B175,Recibos!R$4:R$7493)</f>
        <v>0</v>
      </c>
      <c r="BG175" s="313">
        <f>SUMIF(Recibos!$D$4:$D$7493,Cobranza!$B175,Recibos!S$4:S$7493)</f>
        <v>0</v>
      </c>
      <c r="BH175" s="313">
        <f>SUMIF(Recibos!$D$4:$D$7493,Cobranza!$B175,Recibos!T$4:T$7493)</f>
        <v>0</v>
      </c>
      <c r="BI175" s="313">
        <f>SUMIF(Recibos!$D$4:$D$7493,Cobranza!$B175,Recibos!U$4:U$7493)</f>
        <v>0</v>
      </c>
      <c r="BJ175" s="313">
        <f>SUMIF(Recibos!$D$4:$D$7493,Cobranza!$B175,Recibos!V$4:V$7493)</f>
        <v>0</v>
      </c>
      <c r="BK175" s="314">
        <f t="shared" si="29"/>
        <v>0</v>
      </c>
      <c r="BL175" s="313">
        <f>SUMIF(Recibos!$D$4:$D$7493,Cobranza!$B175,Recibos!X$4:X$7493)</f>
        <v>0</v>
      </c>
      <c r="BM175" s="313">
        <f>SUMIF(Recibos!$D$4:$D$7493,Cobranza!$B175,Recibos!Y$4:Y$7493)</f>
        <v>0</v>
      </c>
      <c r="BN175" s="313">
        <f>SUMIF(Recibos!$D$4:$D$7493,Cobranza!$B175,Recibos!Z$4:Z$7493)</f>
        <v>0</v>
      </c>
      <c r="BO175" s="313">
        <f>SUMIF(Recibos!$D$4:$D$7493,Cobranza!$B175,Recibos!AA$4:AA$7493)</f>
        <v>0</v>
      </c>
      <c r="BP175" s="313">
        <f>SUMIF(Recibos!$D$4:$D$7493,Cobranza!$B175,Recibos!AB$4:AB$7493)</f>
        <v>0</v>
      </c>
      <c r="BQ175" s="313">
        <f>SUMIF(Recibos!$D$4:$D$7493,Cobranza!$B175,Recibos!AC$4:AC$7493)</f>
        <v>0</v>
      </c>
      <c r="BR175" s="313">
        <f>SUMIF(Recibos!$D$4:$D$7493,Cobranza!$B175,Recibos!AD$4:AD$7493)</f>
        <v>0</v>
      </c>
      <c r="BS175" s="313">
        <f>SUMIF(Recibos!$D$4:$D$7493,Cobranza!$B175,Recibos!AE$4:AE$7493)</f>
        <v>0</v>
      </c>
      <c r="BT175" s="313">
        <f>SUMIF(Recibos!$D$4:$D$7493,Cobranza!$B175,Recibos!AF$4:AF$7493)</f>
        <v>0</v>
      </c>
      <c r="BU175" s="313">
        <f>SUMIF(Recibos!$D$4:$D$7493,Cobranza!$B175,Recibos!AG$4:AG$7493)</f>
        <v>0</v>
      </c>
      <c r="BV175" s="313">
        <f>SUMIF(Recibos!$D$4:$D$7493,Cobranza!$B175,Recibos!AH$4:AH$7493)</f>
        <v>0</v>
      </c>
      <c r="BW175" s="313">
        <f>SUMIF(Recibos!$D$4:$D$7493,Cobranza!$B175,Recibos!AI$4:AI$7493)</f>
        <v>0</v>
      </c>
      <c r="BX175" s="314">
        <f t="shared" si="30"/>
        <v>0</v>
      </c>
      <c r="BY175" s="313">
        <f>SUMIF(Recibos!$D$4:$D$7493,Cobranza!$B175,Recibos!AK$4:AK$7493)</f>
        <v>0</v>
      </c>
      <c r="BZ175" s="313">
        <f>SUMIF(Recibos!$D$4:$D$7493,Cobranza!$B175,Recibos!AL$4:AL$7493)</f>
        <v>0</v>
      </c>
      <c r="CA175" s="313">
        <f>SUMIF(Recibos!$D$4:$D$7493,Cobranza!$B175,Recibos!AM$4:AM$7493)</f>
        <v>0</v>
      </c>
      <c r="CB175" s="313">
        <f>SUMIF(Recibos!$D$4:$D$7493,Cobranza!$B175,Recibos!AN$4:AN$7493)</f>
        <v>0</v>
      </c>
      <c r="CC175" s="313">
        <f>SUMIF(Recibos!$D$4:$D$7493,Cobranza!$B175,Recibos!AO$4:AO$7493)</f>
        <v>0</v>
      </c>
      <c r="CD175" s="313">
        <f>SUMIF(Recibos!$D$4:$D$7493,Cobranza!$B175,Recibos!AP$4:AP$7493)</f>
        <v>0</v>
      </c>
      <c r="CE175" s="313">
        <f>SUMIF(Recibos!$D$4:$D$7493,Cobranza!$B175,Recibos!AQ$4:AQ$7493)</f>
        <v>0</v>
      </c>
      <c r="CF175" s="313">
        <f>SUMIF(Recibos!$D$4:$D$7493,Cobranza!$B175,Recibos!AR$4:AR$7493)</f>
        <v>0</v>
      </c>
      <c r="CG175" s="313">
        <f>SUMIF(Recibos!$D$4:$D$7493,Cobranza!$B175,Recibos!AS$4:AS$7493)</f>
        <v>0</v>
      </c>
      <c r="CH175" s="313">
        <f>SUMIF(Recibos!$D$4:$D$7493,Cobranza!$B175,Recibos!AT$4:AT$7493)</f>
        <v>0</v>
      </c>
      <c r="CI175" s="313">
        <f>SUMIF(Recibos!$D$4:$D$7493,Cobranza!$B175,Recibos!AU$4:AU$7493)</f>
        <v>0</v>
      </c>
      <c r="CJ175" s="313">
        <f>SUMIF(Recibos!$D$4:$D$7493,Cobranza!$B175,Recibos!AV$4:AV$7493)</f>
        <v>0</v>
      </c>
      <c r="CK175" s="314">
        <f t="shared" si="24"/>
        <v>0</v>
      </c>
    </row>
    <row r="176" spans="2:89" x14ac:dyDescent="0.2">
      <c r="B176" s="42" t="s">
        <v>407</v>
      </c>
      <c r="C176" s="42" t="s">
        <v>408</v>
      </c>
      <c r="D176" s="42" t="s">
        <v>409</v>
      </c>
      <c r="E176" s="43">
        <v>0</v>
      </c>
      <c r="F176" s="43">
        <v>0</v>
      </c>
      <c r="G176" s="43">
        <v>0</v>
      </c>
      <c r="H176" s="43">
        <v>0</v>
      </c>
      <c r="I176" s="43">
        <v>300</v>
      </c>
      <c r="J176" s="43">
        <v>300</v>
      </c>
      <c r="K176" s="44">
        <f t="shared" si="25"/>
        <v>600</v>
      </c>
      <c r="L176" s="43">
        <v>300</v>
      </c>
      <c r="M176" s="43">
        <v>300</v>
      </c>
      <c r="N176" s="43">
        <v>300</v>
      </c>
      <c r="O176" s="43">
        <v>300</v>
      </c>
      <c r="P176" s="43">
        <v>300</v>
      </c>
      <c r="Q176" s="43">
        <v>300</v>
      </c>
      <c r="R176" s="43">
        <v>300</v>
      </c>
      <c r="S176" s="43">
        <v>300</v>
      </c>
      <c r="T176" s="43">
        <v>300</v>
      </c>
      <c r="U176" s="43">
        <v>400</v>
      </c>
      <c r="V176" s="43">
        <v>400</v>
      </c>
      <c r="W176" s="43">
        <v>400</v>
      </c>
      <c r="X176" s="44">
        <f t="shared" si="26"/>
        <v>3900</v>
      </c>
      <c r="Y176" s="43">
        <v>400</v>
      </c>
      <c r="Z176" s="43">
        <v>400</v>
      </c>
      <c r="AA176" s="43">
        <v>400</v>
      </c>
      <c r="AB176" s="43">
        <v>400</v>
      </c>
      <c r="AC176" s="43">
        <v>400</v>
      </c>
      <c r="AD176" s="43">
        <v>400</v>
      </c>
      <c r="AE176" s="43">
        <v>400</v>
      </c>
      <c r="AF176" s="43">
        <v>400</v>
      </c>
      <c r="AG176" s="43">
        <v>400</v>
      </c>
      <c r="AH176" s="43">
        <v>400</v>
      </c>
      <c r="AI176" s="43">
        <v>400</v>
      </c>
      <c r="AJ176" s="43">
        <v>400</v>
      </c>
      <c r="AK176" s="44">
        <f t="shared" si="27"/>
        <v>4800</v>
      </c>
      <c r="AL176" s="43">
        <v>400</v>
      </c>
      <c r="AM176" s="43">
        <v>400</v>
      </c>
      <c r="AN176" s="43">
        <v>400</v>
      </c>
      <c r="AO176" s="43">
        <v>400</v>
      </c>
      <c r="AP176" s="43">
        <v>400</v>
      </c>
      <c r="AQ176" s="43">
        <v>400</v>
      </c>
      <c r="AR176" s="43">
        <v>400</v>
      </c>
      <c r="AS176" s="43">
        <v>400</v>
      </c>
      <c r="AT176" s="43">
        <v>400</v>
      </c>
      <c r="AU176" s="43">
        <v>400</v>
      </c>
      <c r="AV176" s="43">
        <v>400</v>
      </c>
      <c r="AW176" s="43">
        <v>400</v>
      </c>
      <c r="AX176" s="44">
        <f t="shared" si="28"/>
        <v>4800</v>
      </c>
      <c r="AY176" s="311">
        <f>SUMIF(Recibos!$D$4:$D$7493,Cobranza!$B176,Recibos!K$4:K$7493)</f>
        <v>400</v>
      </c>
      <c r="AZ176" s="311">
        <f>SUMIF(Recibos!$D$4:$D$7493,Cobranza!$B176,Recibos!L$4:L$7493)</f>
        <v>400</v>
      </c>
      <c r="BA176" s="311">
        <f>SUMIF(Recibos!$D$4:$D$7493,Cobranza!$B176,Recibos!M$4:M$7493)</f>
        <v>400</v>
      </c>
      <c r="BB176" s="311">
        <f>SUMIF(Recibos!$D$4:$D$7493,Cobranza!$B176,Recibos!N$4:N$7493)</f>
        <v>400</v>
      </c>
      <c r="BC176" s="311">
        <f>SUMIF(Recibos!$D$4:$D$7493,Cobranza!$B176,Recibos!O$4:O$7493)</f>
        <v>400</v>
      </c>
      <c r="BD176" s="311">
        <f>SUMIF(Recibos!$D$4:$D$7493,Cobranza!$B176,Recibos!P$4:P$7493)</f>
        <v>400</v>
      </c>
      <c r="BE176" s="311">
        <f>SUMIF(Recibos!$D$4:$D$7493,Cobranza!$B176,Recibos!Q$4:Q$7493)</f>
        <v>400</v>
      </c>
      <c r="BF176" s="311">
        <f>SUMIF(Recibos!$D$4:$D$7493,Cobranza!$B176,Recibos!R$4:R$7493)</f>
        <v>400</v>
      </c>
      <c r="BG176" s="311">
        <f>SUMIF(Recibos!$D$4:$D$7493,Cobranza!$B176,Recibos!S$4:S$7493)</f>
        <v>400</v>
      </c>
      <c r="BH176" s="311">
        <f>SUMIF(Recibos!$D$4:$D$7493,Cobranza!$B176,Recibos!T$4:T$7493)</f>
        <v>400</v>
      </c>
      <c r="BI176" s="311">
        <f>SUMIF(Recibos!$D$4:$D$7493,Cobranza!$B176,Recibos!U$4:U$7493)</f>
        <v>400</v>
      </c>
      <c r="BJ176" s="311">
        <f>SUMIF(Recibos!$D$4:$D$7493,Cobranza!$B176,Recibos!V$4:V$7493)</f>
        <v>400</v>
      </c>
      <c r="BK176" s="312">
        <f t="shared" si="29"/>
        <v>4800</v>
      </c>
      <c r="BL176" s="311">
        <f>SUMIF(Recibos!$D$4:$D$7493,Cobranza!$B176,Recibos!X$4:X$7493)</f>
        <v>400</v>
      </c>
      <c r="BM176" s="311">
        <f>SUMIF(Recibos!$D$4:$D$7493,Cobranza!$B176,Recibos!Y$4:Y$7493)</f>
        <v>400</v>
      </c>
      <c r="BN176" s="311">
        <f>SUMIF(Recibos!$D$4:$D$7493,Cobranza!$B176,Recibos!Z$4:Z$7493)</f>
        <v>400</v>
      </c>
      <c r="BO176" s="311">
        <f>SUMIF(Recibos!$D$4:$D$7493,Cobranza!$B176,Recibos!AA$4:AA$7493)</f>
        <v>400</v>
      </c>
      <c r="BP176" s="311">
        <f>SUMIF(Recibos!$D$4:$D$7493,Cobranza!$B176,Recibos!AB$4:AB$7493)</f>
        <v>400</v>
      </c>
      <c r="BQ176" s="311">
        <f>SUMIF(Recibos!$D$4:$D$7493,Cobranza!$B176,Recibos!AC$4:AC$7493)</f>
        <v>400</v>
      </c>
      <c r="BR176" s="311">
        <f>SUMIF(Recibos!$D$4:$D$7493,Cobranza!$B176,Recibos!AD$4:AD$7493)</f>
        <v>400</v>
      </c>
      <c r="BS176" s="311">
        <f>SUMIF(Recibos!$D$4:$D$7493,Cobranza!$B176,Recibos!AE$4:AE$7493)</f>
        <v>400</v>
      </c>
      <c r="BT176" s="311">
        <f>SUMIF(Recibos!$D$4:$D$7493,Cobranza!$B176,Recibos!AF$4:AF$7493)</f>
        <v>400</v>
      </c>
      <c r="BU176" s="311">
        <f>SUMIF(Recibos!$D$4:$D$7493,Cobranza!$B176,Recibos!AG$4:AG$7493)</f>
        <v>400</v>
      </c>
      <c r="BV176" s="311">
        <f>SUMIF(Recibos!$D$4:$D$7493,Cobranza!$B176,Recibos!AH$4:AH$7493)</f>
        <v>400</v>
      </c>
      <c r="BW176" s="311">
        <f>SUMIF(Recibos!$D$4:$D$7493,Cobranza!$B176,Recibos!AI$4:AI$7493)</f>
        <v>400</v>
      </c>
      <c r="BX176" s="312">
        <f t="shared" si="30"/>
        <v>4800</v>
      </c>
      <c r="BY176" s="311">
        <f>SUMIF(Recibos!$D$4:$D$7493,Cobranza!$B176,Recibos!AK$4:AK$7493)</f>
        <v>400</v>
      </c>
      <c r="BZ176" s="311">
        <f>SUMIF(Recibos!$D$4:$D$7493,Cobranza!$B176,Recibos!AL$4:AL$7493)</f>
        <v>400</v>
      </c>
      <c r="CA176" s="311">
        <f>SUMIF(Recibos!$D$4:$D$7493,Cobranza!$B176,Recibos!AM$4:AM$7493)</f>
        <v>400</v>
      </c>
      <c r="CB176" s="311">
        <f>SUMIF(Recibos!$D$4:$D$7493,Cobranza!$B176,Recibos!AN$4:AN$7493)</f>
        <v>400</v>
      </c>
      <c r="CC176" s="311">
        <f>SUMIF(Recibos!$D$4:$D$7493,Cobranza!$B176,Recibos!AO$4:AO$7493)</f>
        <v>400</v>
      </c>
      <c r="CD176" s="311">
        <f>SUMIF(Recibos!$D$4:$D$7493,Cobranza!$B176,Recibos!AP$4:AP$7493)</f>
        <v>400</v>
      </c>
      <c r="CE176" s="311">
        <f>SUMIF(Recibos!$D$4:$D$7493,Cobranza!$B176,Recibos!AQ$4:AQ$7493)</f>
        <v>400</v>
      </c>
      <c r="CF176" s="311">
        <f>SUMIF(Recibos!$D$4:$D$7493,Cobranza!$B176,Recibos!AR$4:AR$7493)</f>
        <v>400</v>
      </c>
      <c r="CG176" s="311">
        <f>SUMIF(Recibos!$D$4:$D$7493,Cobranza!$B176,Recibos!AS$4:AS$7493)</f>
        <v>400</v>
      </c>
      <c r="CH176" s="311">
        <f>SUMIF(Recibos!$D$4:$D$7493,Cobranza!$B176,Recibos!AT$4:AT$7493)</f>
        <v>400</v>
      </c>
      <c r="CI176" s="311">
        <f>SUMIF(Recibos!$D$4:$D$7493,Cobranza!$B176,Recibos!AU$4:AU$7493)</f>
        <v>0</v>
      </c>
      <c r="CJ176" s="311">
        <f>SUMIF(Recibos!$D$4:$D$7493,Cobranza!$B176,Recibos!AV$4:AV$7493)</f>
        <v>0</v>
      </c>
      <c r="CK176" s="312">
        <f t="shared" si="24"/>
        <v>4000</v>
      </c>
    </row>
    <row r="177" spans="2:89" x14ac:dyDescent="0.2">
      <c r="B177" s="45" t="s">
        <v>195</v>
      </c>
      <c r="C177" s="45" t="s">
        <v>196</v>
      </c>
      <c r="D177" s="45" t="s">
        <v>197</v>
      </c>
      <c r="E177" s="46">
        <v>0</v>
      </c>
      <c r="F177" s="46">
        <v>0</v>
      </c>
      <c r="G177" s="46">
        <v>0</v>
      </c>
      <c r="H177" s="46">
        <v>0</v>
      </c>
      <c r="I177" s="46">
        <v>0</v>
      </c>
      <c r="J177" s="46">
        <v>300</v>
      </c>
      <c r="K177" s="47">
        <f t="shared" si="25"/>
        <v>300</v>
      </c>
      <c r="L177" s="46">
        <v>300</v>
      </c>
      <c r="M177" s="46">
        <v>300</v>
      </c>
      <c r="N177" s="46">
        <v>300</v>
      </c>
      <c r="O177" s="46">
        <v>300</v>
      </c>
      <c r="P177" s="46">
        <v>300</v>
      </c>
      <c r="Q177" s="46">
        <v>300</v>
      </c>
      <c r="R177" s="46">
        <v>300</v>
      </c>
      <c r="S177" s="46">
        <v>300</v>
      </c>
      <c r="T177" s="46">
        <v>300</v>
      </c>
      <c r="U177" s="46">
        <v>400</v>
      </c>
      <c r="V177" s="46">
        <v>400</v>
      </c>
      <c r="W177" s="46">
        <v>400</v>
      </c>
      <c r="X177" s="47">
        <f t="shared" si="26"/>
        <v>3900</v>
      </c>
      <c r="Y177" s="46">
        <v>400</v>
      </c>
      <c r="Z177" s="46">
        <v>400</v>
      </c>
      <c r="AA177" s="46">
        <v>400</v>
      </c>
      <c r="AB177" s="46">
        <v>400</v>
      </c>
      <c r="AC177" s="46">
        <v>400</v>
      </c>
      <c r="AD177" s="46">
        <v>400</v>
      </c>
      <c r="AE177" s="46">
        <v>400</v>
      </c>
      <c r="AF177" s="46">
        <v>400</v>
      </c>
      <c r="AG177" s="46">
        <v>400</v>
      </c>
      <c r="AH177" s="46">
        <v>400</v>
      </c>
      <c r="AI177" s="46">
        <v>0</v>
      </c>
      <c r="AJ177" s="46">
        <v>0</v>
      </c>
      <c r="AK177" s="47">
        <f t="shared" si="27"/>
        <v>4000</v>
      </c>
      <c r="AL177" s="46">
        <v>400</v>
      </c>
      <c r="AM177" s="46">
        <v>400</v>
      </c>
      <c r="AN177" s="46">
        <v>400</v>
      </c>
      <c r="AO177" s="46">
        <v>400</v>
      </c>
      <c r="AP177" s="46">
        <v>400</v>
      </c>
      <c r="AQ177" s="46">
        <v>400</v>
      </c>
      <c r="AR177" s="46">
        <v>400</v>
      </c>
      <c r="AS177" s="46">
        <v>400</v>
      </c>
      <c r="AT177" s="46">
        <v>400</v>
      </c>
      <c r="AU177" s="46">
        <v>400</v>
      </c>
      <c r="AV177" s="46">
        <v>400</v>
      </c>
      <c r="AW177" s="46">
        <v>400</v>
      </c>
      <c r="AX177" s="47">
        <f t="shared" si="28"/>
        <v>4800</v>
      </c>
      <c r="AY177" s="313">
        <f>SUMIF(Recibos!$D$4:$D$7493,Cobranza!$B177,Recibos!K$4:K$7493)</f>
        <v>400</v>
      </c>
      <c r="AZ177" s="313">
        <f>SUMIF(Recibos!$D$4:$D$7493,Cobranza!$B177,Recibos!L$4:L$7493)</f>
        <v>400</v>
      </c>
      <c r="BA177" s="313">
        <f>SUMIF(Recibos!$D$4:$D$7493,Cobranza!$B177,Recibos!M$4:M$7493)</f>
        <v>400</v>
      </c>
      <c r="BB177" s="313">
        <f>SUMIF(Recibos!$D$4:$D$7493,Cobranza!$B177,Recibos!N$4:N$7493)</f>
        <v>400</v>
      </c>
      <c r="BC177" s="313">
        <f>SUMIF(Recibos!$D$4:$D$7493,Cobranza!$B177,Recibos!O$4:O$7493)</f>
        <v>400</v>
      </c>
      <c r="BD177" s="313">
        <f>SUMIF(Recibos!$D$4:$D$7493,Cobranza!$B177,Recibos!P$4:P$7493)</f>
        <v>400</v>
      </c>
      <c r="BE177" s="313">
        <f>SUMIF(Recibos!$D$4:$D$7493,Cobranza!$B177,Recibos!Q$4:Q$7493)</f>
        <v>400</v>
      </c>
      <c r="BF177" s="313">
        <f>SUMIF(Recibos!$D$4:$D$7493,Cobranza!$B177,Recibos!R$4:R$7493)</f>
        <v>400</v>
      </c>
      <c r="BG177" s="313">
        <f>SUMIF(Recibos!$D$4:$D$7493,Cobranza!$B177,Recibos!S$4:S$7493)</f>
        <v>400</v>
      </c>
      <c r="BH177" s="313">
        <f>SUMIF(Recibos!$D$4:$D$7493,Cobranza!$B177,Recibos!T$4:T$7493)</f>
        <v>400</v>
      </c>
      <c r="BI177" s="313">
        <f>SUMIF(Recibos!$D$4:$D$7493,Cobranza!$B177,Recibos!U$4:U$7493)</f>
        <v>400</v>
      </c>
      <c r="BJ177" s="313">
        <f>SUMIF(Recibos!$D$4:$D$7493,Cobranza!$B177,Recibos!V$4:V$7493)</f>
        <v>200</v>
      </c>
      <c r="BK177" s="314">
        <f t="shared" si="29"/>
        <v>4600</v>
      </c>
      <c r="BL177" s="313">
        <f>SUMIF(Recibos!$D$4:$D$7493,Cobranza!$B177,Recibos!X$4:X$7493)</f>
        <v>400</v>
      </c>
      <c r="BM177" s="313">
        <f>SUMIF(Recibos!$D$4:$D$7493,Cobranza!$B177,Recibos!Y$4:Y$7493)</f>
        <v>400</v>
      </c>
      <c r="BN177" s="313">
        <f>SUMIF(Recibos!$D$4:$D$7493,Cobranza!$B177,Recibos!Z$4:Z$7493)</f>
        <v>400</v>
      </c>
      <c r="BO177" s="313">
        <f>SUMIF(Recibos!$D$4:$D$7493,Cobranza!$B177,Recibos!AA$4:AA$7493)</f>
        <v>400</v>
      </c>
      <c r="BP177" s="313">
        <f>SUMIF(Recibos!$D$4:$D$7493,Cobranza!$B177,Recibos!AB$4:AB$7493)</f>
        <v>400</v>
      </c>
      <c r="BQ177" s="313">
        <f>SUMIF(Recibos!$D$4:$D$7493,Cobranza!$B177,Recibos!AC$4:AC$7493)</f>
        <v>400</v>
      </c>
      <c r="BR177" s="313">
        <f>SUMIF(Recibos!$D$4:$D$7493,Cobranza!$B177,Recibos!AD$4:AD$7493)</f>
        <v>400</v>
      </c>
      <c r="BS177" s="313">
        <f>SUMIF(Recibos!$D$4:$D$7493,Cobranza!$B177,Recibos!AE$4:AE$7493)</f>
        <v>400</v>
      </c>
      <c r="BT177" s="313">
        <f>SUMIF(Recibos!$D$4:$D$7493,Cobranza!$B177,Recibos!AF$4:AF$7493)</f>
        <v>400</v>
      </c>
      <c r="BU177" s="313">
        <f>SUMIF(Recibos!$D$4:$D$7493,Cobranza!$B177,Recibos!AG$4:AG$7493)</f>
        <v>400</v>
      </c>
      <c r="BV177" s="313">
        <f>SUMIF(Recibos!$D$4:$D$7493,Cobranza!$B177,Recibos!AH$4:AH$7493)</f>
        <v>400</v>
      </c>
      <c r="BW177" s="313">
        <f>SUMIF(Recibos!$D$4:$D$7493,Cobranza!$B177,Recibos!AI$4:AI$7493)</f>
        <v>400</v>
      </c>
      <c r="BX177" s="314">
        <f t="shared" si="30"/>
        <v>4800</v>
      </c>
      <c r="BY177" s="313">
        <f>SUMIF(Recibos!$D$4:$D$7493,Cobranza!$B177,Recibos!AK$4:AK$7493)</f>
        <v>400</v>
      </c>
      <c r="BZ177" s="313">
        <f>SUMIF(Recibos!$D$4:$D$7493,Cobranza!$B177,Recibos!AL$4:AL$7493)</f>
        <v>400</v>
      </c>
      <c r="CA177" s="313">
        <f>SUMIF(Recibos!$D$4:$D$7493,Cobranza!$B177,Recibos!AM$4:AM$7493)</f>
        <v>400</v>
      </c>
      <c r="CB177" s="313">
        <f>SUMIF(Recibos!$D$4:$D$7493,Cobranza!$B177,Recibos!AN$4:AN$7493)</f>
        <v>400</v>
      </c>
      <c r="CC177" s="313">
        <f>SUMIF(Recibos!$D$4:$D$7493,Cobranza!$B177,Recibos!AO$4:AO$7493)</f>
        <v>400</v>
      </c>
      <c r="CD177" s="313">
        <f>SUMIF(Recibos!$D$4:$D$7493,Cobranza!$B177,Recibos!AP$4:AP$7493)</f>
        <v>400</v>
      </c>
      <c r="CE177" s="313">
        <f>SUMIF(Recibos!$D$4:$D$7493,Cobranza!$B177,Recibos!AQ$4:AQ$7493)</f>
        <v>400</v>
      </c>
      <c r="CF177" s="313">
        <f>SUMIF(Recibos!$D$4:$D$7493,Cobranza!$B177,Recibos!AR$4:AR$7493)</f>
        <v>400</v>
      </c>
      <c r="CG177" s="313">
        <f>SUMIF(Recibos!$D$4:$D$7493,Cobranza!$B177,Recibos!AS$4:AS$7493)</f>
        <v>400</v>
      </c>
      <c r="CH177" s="313">
        <f>SUMIF(Recibos!$D$4:$D$7493,Cobranza!$B177,Recibos!AT$4:AT$7493)</f>
        <v>400</v>
      </c>
      <c r="CI177" s="313">
        <f>SUMIF(Recibos!$D$4:$D$7493,Cobranza!$B177,Recibos!AU$4:AU$7493)</f>
        <v>400</v>
      </c>
      <c r="CJ177" s="313">
        <f>SUMIF(Recibos!$D$4:$D$7493,Cobranza!$B177,Recibos!AV$4:AV$7493)</f>
        <v>400</v>
      </c>
      <c r="CK177" s="314">
        <f t="shared" si="24"/>
        <v>4800</v>
      </c>
    </row>
    <row r="178" spans="2:89" x14ac:dyDescent="0.2">
      <c r="B178" s="42" t="s">
        <v>532</v>
      </c>
      <c r="C178" s="42" t="s">
        <v>533</v>
      </c>
      <c r="D178" s="42" t="s">
        <v>534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300</v>
      </c>
      <c r="K178" s="44">
        <f t="shared" si="25"/>
        <v>300</v>
      </c>
      <c r="L178" s="43">
        <v>300</v>
      </c>
      <c r="M178" s="43">
        <v>300</v>
      </c>
      <c r="N178" s="43">
        <v>300</v>
      </c>
      <c r="O178" s="43">
        <v>300</v>
      </c>
      <c r="P178" s="43">
        <v>300</v>
      </c>
      <c r="Q178" s="43">
        <v>300</v>
      </c>
      <c r="R178" s="43">
        <v>300</v>
      </c>
      <c r="S178" s="43">
        <v>300</v>
      </c>
      <c r="T178" s="43">
        <v>300</v>
      </c>
      <c r="U178" s="43">
        <v>400</v>
      </c>
      <c r="V178" s="43">
        <v>400</v>
      </c>
      <c r="W178" s="43">
        <v>400</v>
      </c>
      <c r="X178" s="44">
        <f t="shared" si="26"/>
        <v>3900</v>
      </c>
      <c r="Y178" s="43">
        <v>400</v>
      </c>
      <c r="Z178" s="43">
        <v>400</v>
      </c>
      <c r="AA178" s="43">
        <v>400</v>
      </c>
      <c r="AB178" s="43">
        <v>400</v>
      </c>
      <c r="AC178" s="43">
        <v>400</v>
      </c>
      <c r="AD178" s="43">
        <v>400</v>
      </c>
      <c r="AE178" s="43">
        <v>400</v>
      </c>
      <c r="AF178" s="43">
        <v>400</v>
      </c>
      <c r="AG178" s="43">
        <v>400</v>
      </c>
      <c r="AH178" s="43">
        <v>400</v>
      </c>
      <c r="AI178" s="43">
        <v>400</v>
      </c>
      <c r="AJ178" s="43">
        <v>400</v>
      </c>
      <c r="AK178" s="44">
        <f t="shared" si="27"/>
        <v>4800</v>
      </c>
      <c r="AL178" s="43">
        <v>400</v>
      </c>
      <c r="AM178" s="43">
        <v>400</v>
      </c>
      <c r="AN178" s="43">
        <v>400</v>
      </c>
      <c r="AO178" s="43">
        <v>400</v>
      </c>
      <c r="AP178" s="43">
        <v>400</v>
      </c>
      <c r="AQ178" s="43">
        <v>400</v>
      </c>
      <c r="AR178" s="43">
        <v>400</v>
      </c>
      <c r="AS178" s="43">
        <v>400</v>
      </c>
      <c r="AT178" s="43">
        <v>400</v>
      </c>
      <c r="AU178" s="43">
        <v>400</v>
      </c>
      <c r="AV178" s="43">
        <v>400</v>
      </c>
      <c r="AW178" s="43">
        <v>400</v>
      </c>
      <c r="AX178" s="44">
        <f t="shared" si="28"/>
        <v>4800</v>
      </c>
      <c r="AY178" s="311">
        <f>SUMIF(Recibos!$D$4:$D$7493,Cobranza!$B178,Recibos!K$4:K$7493)</f>
        <v>400</v>
      </c>
      <c r="AZ178" s="311">
        <f>SUMIF(Recibos!$D$4:$D$7493,Cobranza!$B178,Recibos!L$4:L$7493)</f>
        <v>400</v>
      </c>
      <c r="BA178" s="311">
        <f>SUMIF(Recibos!$D$4:$D$7493,Cobranza!$B178,Recibos!M$4:M$7493)</f>
        <v>400</v>
      </c>
      <c r="BB178" s="311">
        <f>SUMIF(Recibos!$D$4:$D$7493,Cobranza!$B178,Recibos!N$4:N$7493)</f>
        <v>400</v>
      </c>
      <c r="BC178" s="311">
        <f>SUMIF(Recibos!$D$4:$D$7493,Cobranza!$B178,Recibos!O$4:O$7493)</f>
        <v>400</v>
      </c>
      <c r="BD178" s="311">
        <f>SUMIF(Recibos!$D$4:$D$7493,Cobranza!$B178,Recibos!P$4:P$7493)</f>
        <v>400</v>
      </c>
      <c r="BE178" s="311">
        <f>SUMIF(Recibos!$D$4:$D$7493,Cobranza!$B178,Recibos!Q$4:Q$7493)</f>
        <v>200</v>
      </c>
      <c r="BF178" s="311">
        <f>SUMIF(Recibos!$D$4:$D$7493,Cobranza!$B178,Recibos!R$4:R$7493)</f>
        <v>200</v>
      </c>
      <c r="BG178" s="311">
        <f>SUMIF(Recibos!$D$4:$D$7493,Cobranza!$B178,Recibos!S$4:S$7493)</f>
        <v>200</v>
      </c>
      <c r="BH178" s="311">
        <f>SUMIF(Recibos!$D$4:$D$7493,Cobranza!$B178,Recibos!T$4:T$7493)</f>
        <v>200</v>
      </c>
      <c r="BI178" s="311">
        <f>SUMIF(Recibos!$D$4:$D$7493,Cobranza!$B178,Recibos!U$4:U$7493)</f>
        <v>200</v>
      </c>
      <c r="BJ178" s="311">
        <f>SUMIF(Recibos!$D$4:$D$7493,Cobranza!$B178,Recibos!V$4:V$7493)</f>
        <v>200</v>
      </c>
      <c r="BK178" s="312">
        <f t="shared" si="29"/>
        <v>3600</v>
      </c>
      <c r="BL178" s="311">
        <f>SUMIF(Recibos!$D$4:$D$7493,Cobranza!$B178,Recibos!X$4:X$7493)</f>
        <v>200</v>
      </c>
      <c r="BM178" s="311">
        <f>SUMIF(Recibos!$D$4:$D$7493,Cobranza!$B178,Recibos!Y$4:Y$7493)</f>
        <v>200</v>
      </c>
      <c r="BN178" s="311">
        <f>SUMIF(Recibos!$D$4:$D$7493,Cobranza!$B178,Recibos!Z$4:Z$7493)</f>
        <v>200</v>
      </c>
      <c r="BO178" s="311">
        <f>SUMIF(Recibos!$D$4:$D$7493,Cobranza!$B178,Recibos!AA$4:AA$7493)</f>
        <v>200</v>
      </c>
      <c r="BP178" s="311">
        <f>SUMIF(Recibos!$D$4:$D$7493,Cobranza!$B178,Recibos!AB$4:AB$7493)</f>
        <v>200</v>
      </c>
      <c r="BQ178" s="311">
        <f>SUMIF(Recibos!$D$4:$D$7493,Cobranza!$B178,Recibos!AC$4:AC$7493)</f>
        <v>200</v>
      </c>
      <c r="BR178" s="311">
        <f>SUMIF(Recibos!$D$4:$D$7493,Cobranza!$B178,Recibos!AD$4:AD$7493)</f>
        <v>200</v>
      </c>
      <c r="BS178" s="311">
        <f>SUMIF(Recibos!$D$4:$D$7493,Cobranza!$B178,Recibos!AE$4:AE$7493)</f>
        <v>200</v>
      </c>
      <c r="BT178" s="311">
        <f>SUMIF(Recibos!$D$4:$D$7493,Cobranza!$B178,Recibos!AF$4:AF$7493)</f>
        <v>200</v>
      </c>
      <c r="BU178" s="311">
        <f>SUMIF(Recibos!$D$4:$D$7493,Cobranza!$B178,Recibos!AG$4:AG$7493)</f>
        <v>200</v>
      </c>
      <c r="BV178" s="311">
        <f>SUMIF(Recibos!$D$4:$D$7493,Cobranza!$B178,Recibos!AH$4:AH$7493)</f>
        <v>200</v>
      </c>
      <c r="BW178" s="311">
        <f>SUMIF(Recibos!$D$4:$D$7493,Cobranza!$B178,Recibos!AI$4:AI$7493)</f>
        <v>200</v>
      </c>
      <c r="BX178" s="312">
        <f t="shared" si="30"/>
        <v>2400</v>
      </c>
      <c r="BY178" s="311">
        <f>SUMIF(Recibos!$D$4:$D$7493,Cobranza!$B178,Recibos!AK$4:AK$7493)</f>
        <v>200</v>
      </c>
      <c r="BZ178" s="311">
        <f>SUMIF(Recibos!$D$4:$D$7493,Cobranza!$B178,Recibos!AL$4:AL$7493)</f>
        <v>200</v>
      </c>
      <c r="CA178" s="311">
        <f>SUMIF(Recibos!$D$4:$D$7493,Cobranza!$B178,Recibos!AM$4:AM$7493)</f>
        <v>200</v>
      </c>
      <c r="CB178" s="311">
        <f>SUMIF(Recibos!$D$4:$D$7493,Cobranza!$B178,Recibos!AN$4:AN$7493)</f>
        <v>200</v>
      </c>
      <c r="CC178" s="311">
        <f>SUMIF(Recibos!$D$4:$D$7493,Cobranza!$B178,Recibos!AO$4:AO$7493)</f>
        <v>200</v>
      </c>
      <c r="CD178" s="311">
        <f>SUMIF(Recibos!$D$4:$D$7493,Cobranza!$B178,Recibos!AP$4:AP$7493)</f>
        <v>200</v>
      </c>
      <c r="CE178" s="311">
        <f>SUMIF(Recibos!$D$4:$D$7493,Cobranza!$B178,Recibos!AQ$4:AQ$7493)</f>
        <v>200</v>
      </c>
      <c r="CF178" s="311">
        <f>SUMIF(Recibos!$D$4:$D$7493,Cobranza!$B178,Recibos!AR$4:AR$7493)</f>
        <v>200</v>
      </c>
      <c r="CG178" s="311">
        <f>SUMIF(Recibos!$D$4:$D$7493,Cobranza!$B178,Recibos!AS$4:AS$7493)</f>
        <v>0</v>
      </c>
      <c r="CH178" s="311">
        <f>SUMIF(Recibos!$D$4:$D$7493,Cobranza!$B178,Recibos!AT$4:AT$7493)</f>
        <v>0</v>
      </c>
      <c r="CI178" s="311">
        <f>SUMIF(Recibos!$D$4:$D$7493,Cobranza!$B178,Recibos!AU$4:AU$7493)</f>
        <v>0</v>
      </c>
      <c r="CJ178" s="311">
        <f>SUMIF(Recibos!$D$4:$D$7493,Cobranza!$B178,Recibos!AV$4:AV$7493)</f>
        <v>0</v>
      </c>
      <c r="CK178" s="312">
        <f t="shared" si="24"/>
        <v>1600</v>
      </c>
    </row>
    <row r="179" spans="2:89" x14ac:dyDescent="0.2">
      <c r="B179" s="45" t="s">
        <v>1061</v>
      </c>
      <c r="C179" s="45" t="s">
        <v>1062</v>
      </c>
      <c r="D179" s="45" t="s">
        <v>1063</v>
      </c>
      <c r="E179" s="46">
        <v>0</v>
      </c>
      <c r="F179" s="46">
        <v>0</v>
      </c>
      <c r="G179" s="46">
        <v>0</v>
      </c>
      <c r="H179" s="46">
        <v>0</v>
      </c>
      <c r="I179" s="46">
        <v>0</v>
      </c>
      <c r="J179" s="46">
        <v>0</v>
      </c>
      <c r="K179" s="47">
        <f t="shared" si="25"/>
        <v>0</v>
      </c>
      <c r="L179" s="46">
        <v>300</v>
      </c>
      <c r="M179" s="46">
        <v>300</v>
      </c>
      <c r="N179" s="46">
        <v>300</v>
      </c>
      <c r="O179" s="46">
        <v>300</v>
      </c>
      <c r="P179" s="46">
        <v>300</v>
      </c>
      <c r="Q179" s="46">
        <v>300</v>
      </c>
      <c r="R179" s="46">
        <v>300</v>
      </c>
      <c r="S179" s="46">
        <v>300</v>
      </c>
      <c r="T179" s="46">
        <v>300</v>
      </c>
      <c r="U179" s="46">
        <v>300</v>
      </c>
      <c r="V179" s="46">
        <v>300</v>
      </c>
      <c r="W179" s="46">
        <v>0</v>
      </c>
      <c r="X179" s="47">
        <f t="shared" si="26"/>
        <v>3300</v>
      </c>
      <c r="Y179" s="46">
        <v>400</v>
      </c>
      <c r="Z179" s="46">
        <v>400</v>
      </c>
      <c r="AA179" s="46">
        <v>400</v>
      </c>
      <c r="AB179" s="46">
        <v>400</v>
      </c>
      <c r="AC179" s="46">
        <v>400</v>
      </c>
      <c r="AD179" s="46">
        <v>400</v>
      </c>
      <c r="AE179" s="46">
        <v>400</v>
      </c>
      <c r="AF179" s="46">
        <v>400</v>
      </c>
      <c r="AG179" s="46">
        <v>0</v>
      </c>
      <c r="AH179" s="46">
        <v>0</v>
      </c>
      <c r="AI179" s="46">
        <v>200</v>
      </c>
      <c r="AJ179" s="46">
        <v>0</v>
      </c>
      <c r="AK179" s="47">
        <f t="shared" si="27"/>
        <v>3400</v>
      </c>
      <c r="AL179" s="46">
        <v>0</v>
      </c>
      <c r="AM179" s="46">
        <v>0</v>
      </c>
      <c r="AN179" s="46">
        <v>0</v>
      </c>
      <c r="AO179" s="46">
        <v>0</v>
      </c>
      <c r="AP179" s="46">
        <v>0</v>
      </c>
      <c r="AQ179" s="46">
        <v>0</v>
      </c>
      <c r="AR179" s="46">
        <v>0</v>
      </c>
      <c r="AS179" s="46">
        <v>0</v>
      </c>
      <c r="AT179" s="46">
        <v>0</v>
      </c>
      <c r="AU179" s="46">
        <v>0</v>
      </c>
      <c r="AV179" s="46">
        <v>0</v>
      </c>
      <c r="AW179" s="46">
        <v>0</v>
      </c>
      <c r="AX179" s="47">
        <f t="shared" si="28"/>
        <v>0</v>
      </c>
      <c r="AY179" s="313">
        <f>SUMIF(Recibos!$D$4:$D$7493,Cobranza!$B179,Recibos!K$4:K$7493)</f>
        <v>0</v>
      </c>
      <c r="AZ179" s="313">
        <f>SUMIF(Recibos!$D$4:$D$7493,Cobranza!$B179,Recibos!L$4:L$7493)</f>
        <v>0</v>
      </c>
      <c r="BA179" s="313">
        <f>SUMIF(Recibos!$D$4:$D$7493,Cobranza!$B179,Recibos!M$4:M$7493)</f>
        <v>0</v>
      </c>
      <c r="BB179" s="313">
        <f>SUMIF(Recibos!$D$4:$D$7493,Cobranza!$B179,Recibos!N$4:N$7493)</f>
        <v>0</v>
      </c>
      <c r="BC179" s="313">
        <f>SUMIF(Recibos!$D$4:$D$7493,Cobranza!$B179,Recibos!O$4:O$7493)</f>
        <v>0</v>
      </c>
      <c r="BD179" s="313">
        <f>SUMIF(Recibos!$D$4:$D$7493,Cobranza!$B179,Recibos!P$4:P$7493)</f>
        <v>0</v>
      </c>
      <c r="BE179" s="313">
        <f>SUMIF(Recibos!$D$4:$D$7493,Cobranza!$B179,Recibos!Q$4:Q$7493)</f>
        <v>200</v>
      </c>
      <c r="BF179" s="313">
        <f>SUMIF(Recibos!$D$4:$D$7493,Cobranza!$B179,Recibos!R$4:R$7493)</f>
        <v>0</v>
      </c>
      <c r="BG179" s="313">
        <f>SUMIF(Recibos!$D$4:$D$7493,Cobranza!$B179,Recibos!S$4:S$7493)</f>
        <v>0</v>
      </c>
      <c r="BH179" s="313">
        <f>SUMIF(Recibos!$D$4:$D$7493,Cobranza!$B179,Recibos!T$4:T$7493)</f>
        <v>0</v>
      </c>
      <c r="BI179" s="313">
        <f>SUMIF(Recibos!$D$4:$D$7493,Cobranza!$B179,Recibos!U$4:U$7493)</f>
        <v>0</v>
      </c>
      <c r="BJ179" s="313">
        <f>SUMIF(Recibos!$D$4:$D$7493,Cobranza!$B179,Recibos!V$4:V$7493)</f>
        <v>0</v>
      </c>
      <c r="BK179" s="314">
        <f t="shared" si="29"/>
        <v>200</v>
      </c>
      <c r="BL179" s="313">
        <f>SUMIF(Recibos!$D$4:$D$7493,Cobranza!$B179,Recibos!X$4:X$7493)</f>
        <v>0</v>
      </c>
      <c r="BM179" s="313">
        <f>SUMIF(Recibos!$D$4:$D$7493,Cobranza!$B179,Recibos!Y$4:Y$7493)</f>
        <v>0</v>
      </c>
      <c r="BN179" s="313">
        <f>SUMIF(Recibos!$D$4:$D$7493,Cobranza!$B179,Recibos!Z$4:Z$7493)</f>
        <v>0</v>
      </c>
      <c r="BO179" s="313">
        <f>SUMIF(Recibos!$D$4:$D$7493,Cobranza!$B179,Recibos!AA$4:AA$7493)</f>
        <v>0</v>
      </c>
      <c r="BP179" s="313">
        <f>SUMIF(Recibos!$D$4:$D$7493,Cobranza!$B179,Recibos!AB$4:AB$7493)</f>
        <v>0</v>
      </c>
      <c r="BQ179" s="313">
        <f>SUMIF(Recibos!$D$4:$D$7493,Cobranza!$B179,Recibos!AC$4:AC$7493)</f>
        <v>0</v>
      </c>
      <c r="BR179" s="313">
        <f>SUMIF(Recibos!$D$4:$D$7493,Cobranza!$B179,Recibos!AD$4:AD$7493)</f>
        <v>0</v>
      </c>
      <c r="BS179" s="313">
        <f>SUMIF(Recibos!$D$4:$D$7493,Cobranza!$B179,Recibos!AE$4:AE$7493)</f>
        <v>0</v>
      </c>
      <c r="BT179" s="313">
        <f>SUMIF(Recibos!$D$4:$D$7493,Cobranza!$B179,Recibos!AF$4:AF$7493)</f>
        <v>0</v>
      </c>
      <c r="BU179" s="313">
        <f>SUMIF(Recibos!$D$4:$D$7493,Cobranza!$B179,Recibos!AG$4:AG$7493)</f>
        <v>0</v>
      </c>
      <c r="BV179" s="313">
        <f>SUMIF(Recibos!$D$4:$D$7493,Cobranza!$B179,Recibos!AH$4:AH$7493)</f>
        <v>0</v>
      </c>
      <c r="BW179" s="313">
        <f>SUMIF(Recibos!$D$4:$D$7493,Cobranza!$B179,Recibos!AI$4:AI$7493)</f>
        <v>0</v>
      </c>
      <c r="BX179" s="314">
        <f t="shared" si="30"/>
        <v>0</v>
      </c>
      <c r="BY179" s="313">
        <f>SUMIF(Recibos!$D$4:$D$7493,Cobranza!$B179,Recibos!AK$4:AK$7493)</f>
        <v>250</v>
      </c>
      <c r="BZ179" s="313">
        <f>SUMIF(Recibos!$D$4:$D$7493,Cobranza!$B179,Recibos!AL$4:AL$7493)</f>
        <v>200</v>
      </c>
      <c r="CA179" s="313">
        <f>SUMIF(Recibos!$D$4:$D$7493,Cobranza!$B179,Recibos!AM$4:AM$7493)</f>
        <v>200</v>
      </c>
      <c r="CB179" s="313">
        <f>SUMIF(Recibos!$D$4:$D$7493,Cobranza!$B179,Recibos!AN$4:AN$7493)</f>
        <v>200</v>
      </c>
      <c r="CC179" s="313">
        <f>SUMIF(Recibos!$D$4:$D$7493,Cobranza!$B179,Recibos!AO$4:AO$7493)</f>
        <v>200</v>
      </c>
      <c r="CD179" s="313">
        <f>SUMIF(Recibos!$D$4:$D$7493,Cobranza!$B179,Recibos!AP$4:AP$7493)</f>
        <v>200</v>
      </c>
      <c r="CE179" s="313">
        <f>SUMIF(Recibos!$D$4:$D$7493,Cobranza!$B179,Recibos!AQ$4:AQ$7493)</f>
        <v>200</v>
      </c>
      <c r="CF179" s="313">
        <f>SUMIF(Recibos!$D$4:$D$7493,Cobranza!$B179,Recibos!AR$4:AR$7493)</f>
        <v>0</v>
      </c>
      <c r="CG179" s="313">
        <f>SUMIF(Recibos!$D$4:$D$7493,Cobranza!$B179,Recibos!AS$4:AS$7493)</f>
        <v>0</v>
      </c>
      <c r="CH179" s="313">
        <f>SUMIF(Recibos!$D$4:$D$7493,Cobranza!$B179,Recibos!AT$4:AT$7493)</f>
        <v>0</v>
      </c>
      <c r="CI179" s="313">
        <f>SUMIF(Recibos!$D$4:$D$7493,Cobranza!$B179,Recibos!AU$4:AU$7493)</f>
        <v>0</v>
      </c>
      <c r="CJ179" s="313">
        <f>SUMIF(Recibos!$D$4:$D$7493,Cobranza!$B179,Recibos!AV$4:AV$7493)</f>
        <v>0</v>
      </c>
      <c r="CK179" s="314">
        <f t="shared" si="24"/>
        <v>1450</v>
      </c>
    </row>
    <row r="180" spans="2:89" x14ac:dyDescent="0.2">
      <c r="B180" s="42" t="s">
        <v>541</v>
      </c>
      <c r="C180" s="42" t="s">
        <v>542</v>
      </c>
      <c r="D180" s="42" t="s">
        <v>543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4">
        <f t="shared" si="25"/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4">
        <f t="shared" si="26"/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400</v>
      </c>
      <c r="AH180" s="43">
        <v>400</v>
      </c>
      <c r="AI180" s="43">
        <v>400</v>
      </c>
      <c r="AJ180" s="43">
        <v>400</v>
      </c>
      <c r="AK180" s="44">
        <f t="shared" si="27"/>
        <v>1600</v>
      </c>
      <c r="AL180" s="43">
        <v>400</v>
      </c>
      <c r="AM180" s="43">
        <v>400</v>
      </c>
      <c r="AN180" s="43">
        <v>400</v>
      </c>
      <c r="AO180" s="43">
        <v>400</v>
      </c>
      <c r="AP180" s="43">
        <v>400</v>
      </c>
      <c r="AQ180" s="43">
        <v>400</v>
      </c>
      <c r="AR180" s="43">
        <v>400</v>
      </c>
      <c r="AS180" s="43">
        <v>400</v>
      </c>
      <c r="AT180" s="43">
        <v>400</v>
      </c>
      <c r="AU180" s="43">
        <v>400</v>
      </c>
      <c r="AV180" s="43">
        <v>400</v>
      </c>
      <c r="AW180" s="43">
        <v>400</v>
      </c>
      <c r="AX180" s="44">
        <f t="shared" si="28"/>
        <v>4800</v>
      </c>
      <c r="AY180" s="311">
        <f>SUMIF(Recibos!$D$4:$D$7493,Cobranza!$B180,Recibos!K$4:K$7493)</f>
        <v>400</v>
      </c>
      <c r="AZ180" s="311">
        <f>SUMIF(Recibos!$D$4:$D$7493,Cobranza!$B180,Recibos!L$4:L$7493)</f>
        <v>400</v>
      </c>
      <c r="BA180" s="311">
        <f>SUMIF(Recibos!$D$4:$D$7493,Cobranza!$B180,Recibos!M$4:M$7493)</f>
        <v>400</v>
      </c>
      <c r="BB180" s="311">
        <f>SUMIF(Recibos!$D$4:$D$7493,Cobranza!$B180,Recibos!N$4:N$7493)</f>
        <v>400</v>
      </c>
      <c r="BC180" s="311">
        <f>SUMIF(Recibos!$D$4:$D$7493,Cobranza!$B180,Recibos!O$4:O$7493)</f>
        <v>400</v>
      </c>
      <c r="BD180" s="311">
        <f>SUMIF(Recibos!$D$4:$D$7493,Cobranza!$B180,Recibos!P$4:P$7493)</f>
        <v>400</v>
      </c>
      <c r="BE180" s="311">
        <f>SUMIF(Recibos!$D$4:$D$7493,Cobranza!$B180,Recibos!Q$4:Q$7493)</f>
        <v>400</v>
      </c>
      <c r="BF180" s="311">
        <f>SUMIF(Recibos!$D$4:$D$7493,Cobranza!$B180,Recibos!R$4:R$7493)</f>
        <v>400</v>
      </c>
      <c r="BG180" s="311">
        <f>SUMIF(Recibos!$D$4:$D$7493,Cobranza!$B180,Recibos!S$4:S$7493)</f>
        <v>400</v>
      </c>
      <c r="BH180" s="311">
        <f>SUMIF(Recibos!$D$4:$D$7493,Cobranza!$B180,Recibos!T$4:T$7493)</f>
        <v>400</v>
      </c>
      <c r="BI180" s="311">
        <f>SUMIF(Recibos!$D$4:$D$7493,Cobranza!$B180,Recibos!U$4:U$7493)</f>
        <v>400</v>
      </c>
      <c r="BJ180" s="311">
        <f>SUMIF(Recibos!$D$4:$D$7493,Cobranza!$B180,Recibos!V$4:V$7493)</f>
        <v>400</v>
      </c>
      <c r="BK180" s="312">
        <f t="shared" si="29"/>
        <v>4800</v>
      </c>
      <c r="BL180" s="311">
        <f>SUMIF(Recibos!$D$4:$D$7493,Cobranza!$B180,Recibos!X$4:X$7493)</f>
        <v>400</v>
      </c>
      <c r="BM180" s="311">
        <f>SUMIF(Recibos!$D$4:$D$7493,Cobranza!$B180,Recibos!Y$4:Y$7493)</f>
        <v>400</v>
      </c>
      <c r="BN180" s="311">
        <f>SUMIF(Recibos!$D$4:$D$7493,Cobranza!$B180,Recibos!Z$4:Z$7493)</f>
        <v>400</v>
      </c>
      <c r="BO180" s="311">
        <f>SUMIF(Recibos!$D$4:$D$7493,Cobranza!$B180,Recibos!AA$4:AA$7493)</f>
        <v>400</v>
      </c>
      <c r="BP180" s="311">
        <f>SUMIF(Recibos!$D$4:$D$7493,Cobranza!$B180,Recibos!AB$4:AB$7493)</f>
        <v>400</v>
      </c>
      <c r="BQ180" s="311">
        <f>SUMIF(Recibos!$D$4:$D$7493,Cobranza!$B180,Recibos!AC$4:AC$7493)</f>
        <v>400</v>
      </c>
      <c r="BR180" s="311">
        <f>SUMIF(Recibos!$D$4:$D$7493,Cobranza!$B180,Recibos!AD$4:AD$7493)</f>
        <v>400</v>
      </c>
      <c r="BS180" s="311">
        <f>SUMIF(Recibos!$D$4:$D$7493,Cobranza!$B180,Recibos!AE$4:AE$7493)</f>
        <v>400</v>
      </c>
      <c r="BT180" s="311">
        <f>SUMIF(Recibos!$D$4:$D$7493,Cobranza!$B180,Recibos!AF$4:AF$7493)</f>
        <v>400</v>
      </c>
      <c r="BU180" s="311">
        <f>SUMIF(Recibos!$D$4:$D$7493,Cobranza!$B180,Recibos!AG$4:AG$7493)</f>
        <v>400</v>
      </c>
      <c r="BV180" s="311">
        <f>SUMIF(Recibos!$D$4:$D$7493,Cobranza!$B180,Recibos!AH$4:AH$7493)</f>
        <v>400</v>
      </c>
      <c r="BW180" s="311">
        <f>SUMIF(Recibos!$D$4:$D$7493,Cobranza!$B180,Recibos!AI$4:AI$7493)</f>
        <v>400</v>
      </c>
      <c r="BX180" s="312">
        <f t="shared" si="30"/>
        <v>4800</v>
      </c>
      <c r="BY180" s="311">
        <f>SUMIF(Recibos!$D$4:$D$7493,Cobranza!$B180,Recibos!AK$4:AK$7493)</f>
        <v>400</v>
      </c>
      <c r="BZ180" s="311">
        <f>SUMIF(Recibos!$D$4:$D$7493,Cobranza!$B180,Recibos!AL$4:AL$7493)</f>
        <v>400</v>
      </c>
      <c r="CA180" s="311">
        <f>SUMIF(Recibos!$D$4:$D$7493,Cobranza!$B180,Recibos!AM$4:AM$7493)</f>
        <v>400</v>
      </c>
      <c r="CB180" s="311">
        <f>SUMIF(Recibos!$D$4:$D$7493,Cobranza!$B180,Recibos!AN$4:AN$7493)</f>
        <v>400</v>
      </c>
      <c r="CC180" s="311">
        <f>SUMIF(Recibos!$D$4:$D$7493,Cobranza!$B180,Recibos!AO$4:AO$7493)</f>
        <v>400</v>
      </c>
      <c r="CD180" s="311">
        <f>SUMIF(Recibos!$D$4:$D$7493,Cobranza!$B180,Recibos!AP$4:AP$7493)</f>
        <v>400</v>
      </c>
      <c r="CE180" s="311">
        <f>SUMIF(Recibos!$D$4:$D$7493,Cobranza!$B180,Recibos!AQ$4:AQ$7493)</f>
        <v>400</v>
      </c>
      <c r="CF180" s="311">
        <f>SUMIF(Recibos!$D$4:$D$7493,Cobranza!$B180,Recibos!AR$4:AR$7493)</f>
        <v>400</v>
      </c>
      <c r="CG180" s="311">
        <f>SUMIF(Recibos!$D$4:$D$7493,Cobranza!$B180,Recibos!AS$4:AS$7493)</f>
        <v>400</v>
      </c>
      <c r="CH180" s="311">
        <f>SUMIF(Recibos!$D$4:$D$7493,Cobranza!$B180,Recibos!AT$4:AT$7493)</f>
        <v>400</v>
      </c>
      <c r="CI180" s="311">
        <f>SUMIF(Recibos!$D$4:$D$7493,Cobranza!$B180,Recibos!AU$4:AU$7493)</f>
        <v>0</v>
      </c>
      <c r="CJ180" s="311">
        <f>SUMIF(Recibos!$D$4:$D$7493,Cobranza!$B180,Recibos!AV$4:AV$7493)</f>
        <v>0</v>
      </c>
      <c r="CK180" s="312">
        <f t="shared" si="24"/>
        <v>4000</v>
      </c>
    </row>
    <row r="181" spans="2:89" x14ac:dyDescent="0.2">
      <c r="B181" s="45" t="s">
        <v>1064</v>
      </c>
      <c r="C181" s="45" t="s">
        <v>1065</v>
      </c>
      <c r="D181" s="45" t="s">
        <v>1066</v>
      </c>
      <c r="E181" s="46">
        <v>0</v>
      </c>
      <c r="F181" s="46">
        <v>0</v>
      </c>
      <c r="G181" s="46">
        <v>0</v>
      </c>
      <c r="H181" s="46">
        <v>0</v>
      </c>
      <c r="I181" s="46">
        <v>0</v>
      </c>
      <c r="J181" s="46">
        <v>0</v>
      </c>
      <c r="K181" s="47">
        <f t="shared" si="25"/>
        <v>0</v>
      </c>
      <c r="L181" s="46">
        <v>0</v>
      </c>
      <c r="M181" s="46">
        <v>0</v>
      </c>
      <c r="N181" s="46">
        <v>0</v>
      </c>
      <c r="O181" s="46">
        <v>0</v>
      </c>
      <c r="P181" s="46">
        <v>0</v>
      </c>
      <c r="Q181" s="46">
        <v>0</v>
      </c>
      <c r="R181" s="46">
        <v>0</v>
      </c>
      <c r="S181" s="46">
        <v>0</v>
      </c>
      <c r="T181" s="46">
        <v>0</v>
      </c>
      <c r="U181" s="46">
        <v>0</v>
      </c>
      <c r="V181" s="46">
        <v>0</v>
      </c>
      <c r="W181" s="46">
        <v>0</v>
      </c>
      <c r="X181" s="47">
        <f t="shared" si="26"/>
        <v>0</v>
      </c>
      <c r="Y181" s="46">
        <v>0</v>
      </c>
      <c r="Z181" s="46">
        <v>0</v>
      </c>
      <c r="AA181" s="46">
        <v>0</v>
      </c>
      <c r="AB181" s="46">
        <v>0</v>
      </c>
      <c r="AC181" s="46">
        <v>0</v>
      </c>
      <c r="AD181" s="46">
        <v>0</v>
      </c>
      <c r="AE181" s="46">
        <v>0</v>
      </c>
      <c r="AF181" s="46">
        <v>0</v>
      </c>
      <c r="AG181" s="46">
        <v>0</v>
      </c>
      <c r="AH181" s="46">
        <v>0</v>
      </c>
      <c r="AI181" s="46">
        <v>0</v>
      </c>
      <c r="AJ181" s="46">
        <v>0</v>
      </c>
      <c r="AK181" s="47">
        <f t="shared" si="27"/>
        <v>0</v>
      </c>
      <c r="AL181" s="46">
        <v>0</v>
      </c>
      <c r="AM181" s="46">
        <v>200</v>
      </c>
      <c r="AN181" s="46">
        <v>0</v>
      </c>
      <c r="AO181" s="46">
        <v>0</v>
      </c>
      <c r="AP181" s="46">
        <v>0</v>
      </c>
      <c r="AQ181" s="46">
        <v>0</v>
      </c>
      <c r="AR181" s="46">
        <v>0</v>
      </c>
      <c r="AS181" s="46">
        <v>0</v>
      </c>
      <c r="AT181" s="46">
        <v>0</v>
      </c>
      <c r="AU181" s="46">
        <v>0</v>
      </c>
      <c r="AV181" s="46">
        <v>0</v>
      </c>
      <c r="AW181" s="46">
        <v>0</v>
      </c>
      <c r="AX181" s="47">
        <f t="shared" si="28"/>
        <v>200</v>
      </c>
      <c r="AY181" s="313">
        <f>SUMIF(Recibos!$D$4:$D$7493,Cobranza!$B181,Recibos!K$4:K$7493)</f>
        <v>0</v>
      </c>
      <c r="AZ181" s="313">
        <f>SUMIF(Recibos!$D$4:$D$7493,Cobranza!$B181,Recibos!L$4:L$7493)</f>
        <v>0</v>
      </c>
      <c r="BA181" s="313">
        <f>SUMIF(Recibos!$D$4:$D$7493,Cobranza!$B181,Recibos!M$4:M$7493)</f>
        <v>0</v>
      </c>
      <c r="BB181" s="313">
        <f>SUMIF(Recibos!$D$4:$D$7493,Cobranza!$B181,Recibos!N$4:N$7493)</f>
        <v>0</v>
      </c>
      <c r="BC181" s="313">
        <f>SUMIF(Recibos!$D$4:$D$7493,Cobranza!$B181,Recibos!O$4:O$7493)</f>
        <v>0</v>
      </c>
      <c r="BD181" s="313">
        <f>SUMIF(Recibos!$D$4:$D$7493,Cobranza!$B181,Recibos!P$4:P$7493)</f>
        <v>0</v>
      </c>
      <c r="BE181" s="313">
        <f>SUMIF(Recibos!$D$4:$D$7493,Cobranza!$B181,Recibos!Q$4:Q$7493)</f>
        <v>100</v>
      </c>
      <c r="BF181" s="313">
        <f>SUMIF(Recibos!$D$4:$D$7493,Cobranza!$B181,Recibos!R$4:R$7493)</f>
        <v>100</v>
      </c>
      <c r="BG181" s="313">
        <f>SUMIF(Recibos!$D$4:$D$7493,Cobranza!$B181,Recibos!S$4:S$7493)</f>
        <v>0</v>
      </c>
      <c r="BH181" s="313">
        <f>SUMIF(Recibos!$D$4:$D$7493,Cobranza!$B181,Recibos!T$4:T$7493)</f>
        <v>0</v>
      </c>
      <c r="BI181" s="313">
        <f>SUMIF(Recibos!$D$4:$D$7493,Cobranza!$B181,Recibos!U$4:U$7493)</f>
        <v>0</v>
      </c>
      <c r="BJ181" s="313">
        <f>SUMIF(Recibos!$D$4:$D$7493,Cobranza!$B181,Recibos!V$4:V$7493)</f>
        <v>0</v>
      </c>
      <c r="BK181" s="314">
        <f t="shared" si="29"/>
        <v>200</v>
      </c>
      <c r="BL181" s="313">
        <f>SUMIF(Recibos!$D$4:$D$7493,Cobranza!$B181,Recibos!X$4:X$7493)</f>
        <v>0</v>
      </c>
      <c r="BM181" s="313">
        <f>SUMIF(Recibos!$D$4:$D$7493,Cobranza!$B181,Recibos!Y$4:Y$7493)</f>
        <v>0</v>
      </c>
      <c r="BN181" s="313">
        <f>SUMIF(Recibos!$D$4:$D$7493,Cobranza!$B181,Recibos!Z$4:Z$7493)</f>
        <v>0</v>
      </c>
      <c r="BO181" s="313">
        <f>SUMIF(Recibos!$D$4:$D$7493,Cobranza!$B181,Recibos!AA$4:AA$7493)</f>
        <v>0</v>
      </c>
      <c r="BP181" s="313">
        <f>SUMIF(Recibos!$D$4:$D$7493,Cobranza!$B181,Recibos!AB$4:AB$7493)</f>
        <v>0</v>
      </c>
      <c r="BQ181" s="313">
        <f>SUMIF(Recibos!$D$4:$D$7493,Cobranza!$B181,Recibos!AC$4:AC$7493)</f>
        <v>0</v>
      </c>
      <c r="BR181" s="313">
        <f>SUMIF(Recibos!$D$4:$D$7493,Cobranza!$B181,Recibos!AD$4:AD$7493)</f>
        <v>0</v>
      </c>
      <c r="BS181" s="313">
        <f>SUMIF(Recibos!$D$4:$D$7493,Cobranza!$B181,Recibos!AE$4:AE$7493)</f>
        <v>0</v>
      </c>
      <c r="BT181" s="313">
        <f>SUMIF(Recibos!$D$4:$D$7493,Cobranza!$B181,Recibos!AF$4:AF$7493)</f>
        <v>0</v>
      </c>
      <c r="BU181" s="313">
        <f>SUMIF(Recibos!$D$4:$D$7493,Cobranza!$B181,Recibos!AG$4:AG$7493)</f>
        <v>0</v>
      </c>
      <c r="BV181" s="313">
        <f>SUMIF(Recibos!$D$4:$D$7493,Cobranza!$B181,Recibos!AH$4:AH$7493)</f>
        <v>0</v>
      </c>
      <c r="BW181" s="313">
        <f>SUMIF(Recibos!$D$4:$D$7493,Cobranza!$B181,Recibos!AI$4:AI$7493)</f>
        <v>0</v>
      </c>
      <c r="BX181" s="314">
        <f t="shared" si="30"/>
        <v>0</v>
      </c>
      <c r="BY181" s="313">
        <f>SUMIF(Recibos!$D$4:$D$7493,Cobranza!$B181,Recibos!AK$4:AK$7493)</f>
        <v>0</v>
      </c>
      <c r="BZ181" s="313">
        <f>SUMIF(Recibos!$D$4:$D$7493,Cobranza!$B181,Recibos!AL$4:AL$7493)</f>
        <v>0</v>
      </c>
      <c r="CA181" s="313">
        <f>SUMIF(Recibos!$D$4:$D$7493,Cobranza!$B181,Recibos!AM$4:AM$7493)</f>
        <v>0</v>
      </c>
      <c r="CB181" s="313">
        <f>SUMIF(Recibos!$D$4:$D$7493,Cobranza!$B181,Recibos!AN$4:AN$7493)</f>
        <v>100</v>
      </c>
      <c r="CC181" s="313">
        <f>SUMIF(Recibos!$D$4:$D$7493,Cobranza!$B181,Recibos!AO$4:AO$7493)</f>
        <v>0</v>
      </c>
      <c r="CD181" s="313">
        <f>SUMIF(Recibos!$D$4:$D$7493,Cobranza!$B181,Recibos!AP$4:AP$7493)</f>
        <v>0</v>
      </c>
      <c r="CE181" s="313">
        <f>SUMIF(Recibos!$D$4:$D$7493,Cobranza!$B181,Recibos!AQ$4:AQ$7493)</f>
        <v>0</v>
      </c>
      <c r="CF181" s="313">
        <f>SUMIF(Recibos!$D$4:$D$7493,Cobranza!$B181,Recibos!AR$4:AR$7493)</f>
        <v>0</v>
      </c>
      <c r="CG181" s="313">
        <f>SUMIF(Recibos!$D$4:$D$7493,Cobranza!$B181,Recibos!AS$4:AS$7493)</f>
        <v>0</v>
      </c>
      <c r="CH181" s="313">
        <f>SUMIF(Recibos!$D$4:$D$7493,Cobranza!$B181,Recibos!AT$4:AT$7493)</f>
        <v>0</v>
      </c>
      <c r="CI181" s="313">
        <f>SUMIF(Recibos!$D$4:$D$7493,Cobranza!$B181,Recibos!AU$4:AU$7493)</f>
        <v>0</v>
      </c>
      <c r="CJ181" s="313">
        <f>SUMIF(Recibos!$D$4:$D$7493,Cobranza!$B181,Recibos!AV$4:AV$7493)</f>
        <v>0</v>
      </c>
      <c r="CK181" s="314">
        <f t="shared" si="24"/>
        <v>100</v>
      </c>
    </row>
    <row r="182" spans="2:89" x14ac:dyDescent="0.2">
      <c r="B182" s="42" t="s">
        <v>485</v>
      </c>
      <c r="C182" s="42" t="s">
        <v>486</v>
      </c>
      <c r="D182" s="42" t="s">
        <v>487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300</v>
      </c>
      <c r="K182" s="44">
        <f t="shared" si="25"/>
        <v>300</v>
      </c>
      <c r="L182" s="43">
        <v>300</v>
      </c>
      <c r="M182" s="43">
        <v>300</v>
      </c>
      <c r="N182" s="43">
        <v>300</v>
      </c>
      <c r="O182" s="43">
        <v>300</v>
      </c>
      <c r="P182" s="43">
        <v>300</v>
      </c>
      <c r="Q182" s="43">
        <v>300</v>
      </c>
      <c r="R182" s="43">
        <v>300</v>
      </c>
      <c r="S182" s="43">
        <v>300</v>
      </c>
      <c r="T182" s="43">
        <v>300</v>
      </c>
      <c r="U182" s="43">
        <v>400</v>
      </c>
      <c r="V182" s="43">
        <v>400</v>
      </c>
      <c r="W182" s="43">
        <v>400</v>
      </c>
      <c r="X182" s="44">
        <f t="shared" si="26"/>
        <v>3900</v>
      </c>
      <c r="Y182" s="43">
        <v>400</v>
      </c>
      <c r="Z182" s="43">
        <v>400</v>
      </c>
      <c r="AA182" s="43">
        <v>400</v>
      </c>
      <c r="AB182" s="43">
        <v>400</v>
      </c>
      <c r="AC182" s="43">
        <v>400</v>
      </c>
      <c r="AD182" s="43">
        <v>400</v>
      </c>
      <c r="AE182" s="43">
        <v>400</v>
      </c>
      <c r="AF182" s="43">
        <v>400</v>
      </c>
      <c r="AG182" s="43">
        <v>400</v>
      </c>
      <c r="AH182" s="43">
        <v>400</v>
      </c>
      <c r="AI182" s="43">
        <v>400</v>
      </c>
      <c r="AJ182" s="43">
        <v>400</v>
      </c>
      <c r="AK182" s="44">
        <f t="shared" si="27"/>
        <v>4800</v>
      </c>
      <c r="AL182" s="43">
        <v>400</v>
      </c>
      <c r="AM182" s="43">
        <v>400</v>
      </c>
      <c r="AN182" s="43">
        <v>400</v>
      </c>
      <c r="AO182" s="43">
        <v>400</v>
      </c>
      <c r="AP182" s="43">
        <v>400</v>
      </c>
      <c r="AQ182" s="43">
        <v>400</v>
      </c>
      <c r="AR182" s="43">
        <v>400</v>
      </c>
      <c r="AS182" s="43">
        <v>400</v>
      </c>
      <c r="AT182" s="43">
        <v>400</v>
      </c>
      <c r="AU182" s="43">
        <v>400</v>
      </c>
      <c r="AV182" s="43">
        <v>400</v>
      </c>
      <c r="AW182" s="43">
        <v>400</v>
      </c>
      <c r="AX182" s="44">
        <f t="shared" si="28"/>
        <v>4800</v>
      </c>
      <c r="AY182" s="311">
        <f>SUMIF(Recibos!$D$4:$D$7493,Cobranza!$B182,Recibos!K$4:K$7493)</f>
        <v>400</v>
      </c>
      <c r="AZ182" s="311">
        <f>SUMIF(Recibos!$D$4:$D$7493,Cobranza!$B182,Recibos!L$4:L$7493)</f>
        <v>400</v>
      </c>
      <c r="BA182" s="311">
        <f>SUMIF(Recibos!$D$4:$D$7493,Cobranza!$B182,Recibos!M$4:M$7493)</f>
        <v>400</v>
      </c>
      <c r="BB182" s="311">
        <f>SUMIF(Recibos!$D$4:$D$7493,Cobranza!$B182,Recibos!N$4:N$7493)</f>
        <v>400</v>
      </c>
      <c r="BC182" s="311">
        <f>SUMIF(Recibos!$D$4:$D$7493,Cobranza!$B182,Recibos!O$4:O$7493)</f>
        <v>400</v>
      </c>
      <c r="BD182" s="311">
        <f>SUMIF(Recibos!$D$4:$D$7493,Cobranza!$B182,Recibos!P$4:P$7493)</f>
        <v>400</v>
      </c>
      <c r="BE182" s="311">
        <f>SUMIF(Recibos!$D$4:$D$7493,Cobranza!$B182,Recibos!Q$4:Q$7493)</f>
        <v>400</v>
      </c>
      <c r="BF182" s="311">
        <f>SUMIF(Recibos!$D$4:$D$7493,Cobranza!$B182,Recibos!R$4:R$7493)</f>
        <v>400</v>
      </c>
      <c r="BG182" s="311">
        <f>SUMIF(Recibos!$D$4:$D$7493,Cobranza!$B182,Recibos!S$4:S$7493)</f>
        <v>400</v>
      </c>
      <c r="BH182" s="311">
        <f>SUMIF(Recibos!$D$4:$D$7493,Cobranza!$B182,Recibos!T$4:T$7493)</f>
        <v>400</v>
      </c>
      <c r="BI182" s="311">
        <f>SUMIF(Recibos!$D$4:$D$7493,Cobranza!$B182,Recibos!U$4:U$7493)</f>
        <v>400</v>
      </c>
      <c r="BJ182" s="311">
        <f>SUMIF(Recibos!$D$4:$D$7493,Cobranza!$B182,Recibos!V$4:V$7493)</f>
        <v>400</v>
      </c>
      <c r="BK182" s="312">
        <f t="shared" si="29"/>
        <v>4800</v>
      </c>
      <c r="BL182" s="311">
        <f>SUMIF(Recibos!$D$4:$D$7493,Cobranza!$B182,Recibos!X$4:X$7493)</f>
        <v>400</v>
      </c>
      <c r="BM182" s="311">
        <f>SUMIF(Recibos!$D$4:$D$7493,Cobranza!$B182,Recibos!Y$4:Y$7493)</f>
        <v>400</v>
      </c>
      <c r="BN182" s="311">
        <f>SUMIF(Recibos!$D$4:$D$7493,Cobranza!$B182,Recibos!Z$4:Z$7493)</f>
        <v>400</v>
      </c>
      <c r="BO182" s="311">
        <f>SUMIF(Recibos!$D$4:$D$7493,Cobranza!$B182,Recibos!AA$4:AA$7493)</f>
        <v>400</v>
      </c>
      <c r="BP182" s="311">
        <f>SUMIF(Recibos!$D$4:$D$7493,Cobranza!$B182,Recibos!AB$4:AB$7493)</f>
        <v>400</v>
      </c>
      <c r="BQ182" s="311">
        <f>SUMIF(Recibos!$D$4:$D$7493,Cobranza!$B182,Recibos!AC$4:AC$7493)</f>
        <v>400</v>
      </c>
      <c r="BR182" s="311">
        <f>SUMIF(Recibos!$D$4:$D$7493,Cobranza!$B182,Recibos!AD$4:AD$7493)</f>
        <v>400</v>
      </c>
      <c r="BS182" s="311">
        <f>SUMIF(Recibos!$D$4:$D$7493,Cobranza!$B182,Recibos!AE$4:AE$7493)</f>
        <v>400</v>
      </c>
      <c r="BT182" s="311">
        <f>SUMIF(Recibos!$D$4:$D$7493,Cobranza!$B182,Recibos!AF$4:AF$7493)</f>
        <v>400</v>
      </c>
      <c r="BU182" s="311">
        <f>SUMIF(Recibos!$D$4:$D$7493,Cobranza!$B182,Recibos!AG$4:AG$7493)</f>
        <v>400</v>
      </c>
      <c r="BV182" s="311">
        <f>SUMIF(Recibos!$D$4:$D$7493,Cobranza!$B182,Recibos!AH$4:AH$7493)</f>
        <v>400</v>
      </c>
      <c r="BW182" s="311">
        <f>SUMIF(Recibos!$D$4:$D$7493,Cobranza!$B182,Recibos!AI$4:AI$7493)</f>
        <v>400</v>
      </c>
      <c r="BX182" s="312">
        <f t="shared" si="30"/>
        <v>4800</v>
      </c>
      <c r="BY182" s="311">
        <f>SUMIF(Recibos!$D$4:$D$7493,Cobranza!$B182,Recibos!AK$4:AK$7493)</f>
        <v>400</v>
      </c>
      <c r="BZ182" s="311">
        <f>SUMIF(Recibos!$D$4:$D$7493,Cobranza!$B182,Recibos!AL$4:AL$7493)</f>
        <v>400</v>
      </c>
      <c r="CA182" s="311">
        <f>SUMIF(Recibos!$D$4:$D$7493,Cobranza!$B182,Recibos!AM$4:AM$7493)</f>
        <v>400</v>
      </c>
      <c r="CB182" s="311">
        <f>SUMIF(Recibos!$D$4:$D$7493,Cobranza!$B182,Recibos!AN$4:AN$7493)</f>
        <v>400</v>
      </c>
      <c r="CC182" s="311">
        <f>SUMIF(Recibos!$D$4:$D$7493,Cobranza!$B182,Recibos!AO$4:AO$7493)</f>
        <v>400</v>
      </c>
      <c r="CD182" s="311">
        <f>SUMIF(Recibos!$D$4:$D$7493,Cobranza!$B182,Recibos!AP$4:AP$7493)</f>
        <v>400</v>
      </c>
      <c r="CE182" s="311">
        <f>SUMIF(Recibos!$D$4:$D$7493,Cobranza!$B182,Recibos!AQ$4:AQ$7493)</f>
        <v>400</v>
      </c>
      <c r="CF182" s="311">
        <f>SUMIF(Recibos!$D$4:$D$7493,Cobranza!$B182,Recibos!AR$4:AR$7493)</f>
        <v>400</v>
      </c>
      <c r="CG182" s="311">
        <f>SUMIF(Recibos!$D$4:$D$7493,Cobranza!$B182,Recibos!AS$4:AS$7493)</f>
        <v>400</v>
      </c>
      <c r="CH182" s="311">
        <f>SUMIF(Recibos!$D$4:$D$7493,Cobranza!$B182,Recibos!AT$4:AT$7493)</f>
        <v>400</v>
      </c>
      <c r="CI182" s="311">
        <f>SUMIF(Recibos!$D$4:$D$7493,Cobranza!$B182,Recibos!AU$4:AU$7493)</f>
        <v>0</v>
      </c>
      <c r="CJ182" s="311">
        <f>SUMIF(Recibos!$D$4:$D$7493,Cobranza!$B182,Recibos!AV$4:AV$7493)</f>
        <v>0</v>
      </c>
      <c r="CK182" s="312">
        <f t="shared" si="24"/>
        <v>4000</v>
      </c>
    </row>
    <row r="183" spans="2:89" x14ac:dyDescent="0.2">
      <c r="B183" s="45" t="s">
        <v>283</v>
      </c>
      <c r="C183" s="45" t="s">
        <v>284</v>
      </c>
      <c r="D183" s="45" t="s">
        <v>285</v>
      </c>
      <c r="E183" s="46">
        <v>0</v>
      </c>
      <c r="F183" s="46">
        <v>0</v>
      </c>
      <c r="G183" s="46">
        <v>0</v>
      </c>
      <c r="H183" s="46">
        <v>0</v>
      </c>
      <c r="I183" s="46">
        <v>200</v>
      </c>
      <c r="J183" s="46">
        <v>200</v>
      </c>
      <c r="K183" s="47">
        <f t="shared" si="25"/>
        <v>400</v>
      </c>
      <c r="L183" s="46">
        <v>200</v>
      </c>
      <c r="M183" s="46">
        <v>200</v>
      </c>
      <c r="N183" s="46">
        <v>200</v>
      </c>
      <c r="O183" s="46">
        <v>200</v>
      </c>
      <c r="P183" s="46">
        <v>200</v>
      </c>
      <c r="Q183" s="46">
        <v>200</v>
      </c>
      <c r="R183" s="46">
        <v>200</v>
      </c>
      <c r="S183" s="46">
        <v>200</v>
      </c>
      <c r="T183" s="46">
        <v>200</v>
      </c>
      <c r="U183" s="46">
        <v>0</v>
      </c>
      <c r="V183" s="46">
        <v>200</v>
      </c>
      <c r="W183" s="46">
        <v>200</v>
      </c>
      <c r="X183" s="47">
        <f t="shared" si="26"/>
        <v>2200</v>
      </c>
      <c r="Y183" s="46">
        <v>250</v>
      </c>
      <c r="Z183" s="46">
        <v>250</v>
      </c>
      <c r="AA183" s="46">
        <v>250</v>
      </c>
      <c r="AB183" s="46">
        <v>250</v>
      </c>
      <c r="AC183" s="46">
        <v>250</v>
      </c>
      <c r="AD183" s="46">
        <v>250</v>
      </c>
      <c r="AE183" s="46">
        <v>250</v>
      </c>
      <c r="AF183" s="46">
        <v>250</v>
      </c>
      <c r="AG183" s="46">
        <v>250</v>
      </c>
      <c r="AH183" s="46">
        <v>250</v>
      </c>
      <c r="AI183" s="46">
        <v>250</v>
      </c>
      <c r="AJ183" s="46">
        <v>250</v>
      </c>
      <c r="AK183" s="47">
        <f t="shared" si="27"/>
        <v>3000</v>
      </c>
      <c r="AL183" s="46">
        <v>250</v>
      </c>
      <c r="AM183" s="46">
        <v>250</v>
      </c>
      <c r="AN183" s="46">
        <v>250</v>
      </c>
      <c r="AO183" s="46">
        <v>250</v>
      </c>
      <c r="AP183" s="46">
        <v>250</v>
      </c>
      <c r="AQ183" s="46">
        <v>250</v>
      </c>
      <c r="AR183" s="46">
        <v>250</v>
      </c>
      <c r="AS183" s="46">
        <v>250</v>
      </c>
      <c r="AT183" s="46">
        <v>250</v>
      </c>
      <c r="AU183" s="46">
        <v>250</v>
      </c>
      <c r="AV183" s="46">
        <v>250</v>
      </c>
      <c r="AW183" s="46">
        <v>250</v>
      </c>
      <c r="AX183" s="47">
        <f t="shared" si="28"/>
        <v>3000</v>
      </c>
      <c r="AY183" s="313">
        <f>SUMIF(Recibos!$D$4:$D$7493,Cobranza!$B183,Recibos!K$4:K$7493)</f>
        <v>250</v>
      </c>
      <c r="AZ183" s="313">
        <f>SUMIF(Recibos!$D$4:$D$7493,Cobranza!$B183,Recibos!L$4:L$7493)</f>
        <v>250</v>
      </c>
      <c r="BA183" s="313">
        <f>SUMIF(Recibos!$D$4:$D$7493,Cobranza!$B183,Recibos!M$4:M$7493)</f>
        <v>250</v>
      </c>
      <c r="BB183" s="313">
        <f>SUMIF(Recibos!$D$4:$D$7493,Cobranza!$B183,Recibos!N$4:N$7493)</f>
        <v>250</v>
      </c>
      <c r="BC183" s="313">
        <f>SUMIF(Recibos!$D$4:$D$7493,Cobranza!$B183,Recibos!O$4:O$7493)</f>
        <v>250</v>
      </c>
      <c r="BD183" s="313">
        <f>SUMIF(Recibos!$D$4:$D$7493,Cobranza!$B183,Recibos!P$4:P$7493)</f>
        <v>250</v>
      </c>
      <c r="BE183" s="313">
        <f>SUMIF(Recibos!$D$4:$D$7493,Cobranza!$B183,Recibos!Q$4:Q$7493)</f>
        <v>250</v>
      </c>
      <c r="BF183" s="313">
        <f>SUMIF(Recibos!$D$4:$D$7493,Cobranza!$B183,Recibos!R$4:R$7493)</f>
        <v>250</v>
      </c>
      <c r="BG183" s="313">
        <f>SUMIF(Recibos!$D$4:$D$7493,Cobranza!$B183,Recibos!S$4:S$7493)</f>
        <v>250</v>
      </c>
      <c r="BH183" s="313">
        <f>SUMIF(Recibos!$D$4:$D$7493,Cobranza!$B183,Recibos!T$4:T$7493)</f>
        <v>250</v>
      </c>
      <c r="BI183" s="313">
        <f>SUMIF(Recibos!$D$4:$D$7493,Cobranza!$B183,Recibos!U$4:U$7493)</f>
        <v>250</v>
      </c>
      <c r="BJ183" s="313">
        <f>SUMIF(Recibos!$D$4:$D$7493,Cobranza!$B183,Recibos!V$4:V$7493)</f>
        <v>250</v>
      </c>
      <c r="BK183" s="314">
        <f t="shared" si="29"/>
        <v>3000</v>
      </c>
      <c r="BL183" s="313">
        <f>SUMIF(Recibos!$D$4:$D$7493,Cobranza!$B183,Recibos!X$4:X$7493)</f>
        <v>250</v>
      </c>
      <c r="BM183" s="313">
        <f>SUMIF(Recibos!$D$4:$D$7493,Cobranza!$B183,Recibos!Y$4:Y$7493)</f>
        <v>250</v>
      </c>
      <c r="BN183" s="313">
        <f>SUMIF(Recibos!$D$4:$D$7493,Cobranza!$B183,Recibos!Z$4:Z$7493)</f>
        <v>250</v>
      </c>
      <c r="BO183" s="313">
        <f>SUMIF(Recibos!$D$4:$D$7493,Cobranza!$B183,Recibos!AA$4:AA$7493)</f>
        <v>250</v>
      </c>
      <c r="BP183" s="313">
        <f>SUMIF(Recibos!$D$4:$D$7493,Cobranza!$B183,Recibos!AB$4:AB$7493)</f>
        <v>250</v>
      </c>
      <c r="BQ183" s="313">
        <f>SUMIF(Recibos!$D$4:$D$7493,Cobranza!$B183,Recibos!AC$4:AC$7493)</f>
        <v>250</v>
      </c>
      <c r="BR183" s="313">
        <f>SUMIF(Recibos!$D$4:$D$7493,Cobranza!$B183,Recibos!AD$4:AD$7493)</f>
        <v>250</v>
      </c>
      <c r="BS183" s="313">
        <f>SUMIF(Recibos!$D$4:$D$7493,Cobranza!$B183,Recibos!AE$4:AE$7493)</f>
        <v>250</v>
      </c>
      <c r="BT183" s="313">
        <f>SUMIF(Recibos!$D$4:$D$7493,Cobranza!$B183,Recibos!AF$4:AF$7493)</f>
        <v>250</v>
      </c>
      <c r="BU183" s="313">
        <f>SUMIF(Recibos!$D$4:$D$7493,Cobranza!$B183,Recibos!AG$4:AG$7493)</f>
        <v>250</v>
      </c>
      <c r="BV183" s="313">
        <f>SUMIF(Recibos!$D$4:$D$7493,Cobranza!$B183,Recibos!AH$4:AH$7493)</f>
        <v>250</v>
      </c>
      <c r="BW183" s="313">
        <f>SUMIF(Recibos!$D$4:$D$7493,Cobranza!$B183,Recibos!AI$4:AI$7493)</f>
        <v>250</v>
      </c>
      <c r="BX183" s="314">
        <f t="shared" si="30"/>
        <v>3000</v>
      </c>
      <c r="BY183" s="313">
        <f>SUMIF(Recibos!$D$4:$D$7493,Cobranza!$B183,Recibos!AK$4:AK$7493)</f>
        <v>280</v>
      </c>
      <c r="BZ183" s="313">
        <f>SUMIF(Recibos!$D$4:$D$7493,Cobranza!$B183,Recibos!AL$4:AL$7493)</f>
        <v>280</v>
      </c>
      <c r="CA183" s="313">
        <f>SUMIF(Recibos!$D$4:$D$7493,Cobranza!$B183,Recibos!AM$4:AM$7493)</f>
        <v>280</v>
      </c>
      <c r="CB183" s="313">
        <f>SUMIF(Recibos!$D$4:$D$7493,Cobranza!$B183,Recibos!AN$4:AN$7493)</f>
        <v>280</v>
      </c>
      <c r="CC183" s="313">
        <f>SUMIF(Recibos!$D$4:$D$7493,Cobranza!$B183,Recibos!AO$4:AO$7493)</f>
        <v>280</v>
      </c>
      <c r="CD183" s="313">
        <f>SUMIF(Recibos!$D$4:$D$7493,Cobranza!$B183,Recibos!AP$4:AP$7493)</f>
        <v>280</v>
      </c>
      <c r="CE183" s="313">
        <f>SUMIF(Recibos!$D$4:$D$7493,Cobranza!$B183,Recibos!AQ$4:AQ$7493)</f>
        <v>280</v>
      </c>
      <c r="CF183" s="313">
        <f>SUMIF(Recibos!$D$4:$D$7493,Cobranza!$B183,Recibos!AR$4:AR$7493)</f>
        <v>280</v>
      </c>
      <c r="CG183" s="313">
        <f>SUMIF(Recibos!$D$4:$D$7493,Cobranza!$B183,Recibos!AS$4:AS$7493)</f>
        <v>280</v>
      </c>
      <c r="CH183" s="313">
        <f>SUMIF(Recibos!$D$4:$D$7493,Cobranza!$B183,Recibos!AT$4:AT$7493)</f>
        <v>280</v>
      </c>
      <c r="CI183" s="313">
        <f>SUMIF(Recibos!$D$4:$D$7493,Cobranza!$B183,Recibos!AU$4:AU$7493)</f>
        <v>280</v>
      </c>
      <c r="CJ183" s="313">
        <f>SUMIF(Recibos!$D$4:$D$7493,Cobranza!$B183,Recibos!AV$4:AV$7493)</f>
        <v>0</v>
      </c>
      <c r="CK183" s="314">
        <f t="shared" si="24"/>
        <v>3080</v>
      </c>
    </row>
    <row r="184" spans="2:89" x14ac:dyDescent="0.2">
      <c r="B184" s="42" t="s">
        <v>1200</v>
      </c>
      <c r="C184" s="42" t="s">
        <v>1201</v>
      </c>
      <c r="D184" s="42" t="s">
        <v>1202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4">
        <f t="shared" si="25"/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4">
        <f t="shared" si="26"/>
        <v>0</v>
      </c>
      <c r="Y184" s="43">
        <v>250</v>
      </c>
      <c r="Z184" s="43">
        <v>250</v>
      </c>
      <c r="AA184" s="43">
        <v>250</v>
      </c>
      <c r="AB184" s="43">
        <v>500</v>
      </c>
      <c r="AC184" s="43">
        <v>250</v>
      </c>
      <c r="AD184" s="43">
        <v>250</v>
      </c>
      <c r="AE184" s="43">
        <v>250</v>
      </c>
      <c r="AF184" s="43">
        <v>250</v>
      </c>
      <c r="AG184" s="43">
        <v>250</v>
      </c>
      <c r="AH184" s="43">
        <v>250</v>
      </c>
      <c r="AI184" s="43">
        <v>250</v>
      </c>
      <c r="AJ184" s="43">
        <v>250</v>
      </c>
      <c r="AK184" s="44">
        <f t="shared" si="27"/>
        <v>3250</v>
      </c>
      <c r="AL184" s="43">
        <v>250</v>
      </c>
      <c r="AM184" s="43">
        <v>250</v>
      </c>
      <c r="AN184" s="43">
        <v>250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4">
        <f t="shared" si="28"/>
        <v>750</v>
      </c>
      <c r="AY184" s="311">
        <f>SUMIF(Recibos!$D$4:$D$7493,Cobranza!$B184,Recibos!K$4:K$7493)</f>
        <v>250</v>
      </c>
      <c r="AZ184" s="311">
        <f>SUMIF(Recibos!$D$4:$D$7493,Cobranza!$B184,Recibos!L$4:L$7493)</f>
        <v>250</v>
      </c>
      <c r="BA184" s="311">
        <f>SUMIF(Recibos!$D$4:$D$7493,Cobranza!$B184,Recibos!M$4:M$7493)</f>
        <v>0</v>
      </c>
      <c r="BB184" s="311">
        <f>SUMIF(Recibos!$D$4:$D$7493,Cobranza!$B184,Recibos!N$4:N$7493)</f>
        <v>0</v>
      </c>
      <c r="BC184" s="311">
        <f>SUMIF(Recibos!$D$4:$D$7493,Cobranza!$B184,Recibos!O$4:O$7493)</f>
        <v>0</v>
      </c>
      <c r="BD184" s="311">
        <f>SUMIF(Recibos!$D$4:$D$7493,Cobranza!$B184,Recibos!P$4:P$7493)</f>
        <v>0</v>
      </c>
      <c r="BE184" s="311">
        <f>SUMIF(Recibos!$D$4:$D$7493,Cobranza!$B184,Recibos!Q$4:Q$7493)</f>
        <v>0</v>
      </c>
      <c r="BF184" s="311">
        <f>SUMIF(Recibos!$D$4:$D$7493,Cobranza!$B184,Recibos!R$4:R$7493)</f>
        <v>0</v>
      </c>
      <c r="BG184" s="311">
        <f>SUMIF(Recibos!$D$4:$D$7493,Cobranza!$B184,Recibos!S$4:S$7493)</f>
        <v>0</v>
      </c>
      <c r="BH184" s="311">
        <f>SUMIF(Recibos!$D$4:$D$7493,Cobranza!$B184,Recibos!T$4:T$7493)</f>
        <v>0</v>
      </c>
      <c r="BI184" s="311">
        <f>SUMIF(Recibos!$D$4:$D$7493,Cobranza!$B184,Recibos!U$4:U$7493)</f>
        <v>0</v>
      </c>
      <c r="BJ184" s="311">
        <f>SUMIF(Recibos!$D$4:$D$7493,Cobranza!$B184,Recibos!V$4:V$7493)</f>
        <v>0</v>
      </c>
      <c r="BK184" s="312">
        <f t="shared" si="29"/>
        <v>500</v>
      </c>
      <c r="BL184" s="311">
        <f>SUMIF(Recibos!$D$4:$D$7493,Cobranza!$B184,Recibos!X$4:X$7493)</f>
        <v>0</v>
      </c>
      <c r="BM184" s="311">
        <f>SUMIF(Recibos!$D$4:$D$7493,Cobranza!$B184,Recibos!Y$4:Y$7493)</f>
        <v>0</v>
      </c>
      <c r="BN184" s="311">
        <f>SUMIF(Recibos!$D$4:$D$7493,Cobranza!$B184,Recibos!Z$4:Z$7493)</f>
        <v>0</v>
      </c>
      <c r="BO184" s="311">
        <f>SUMIF(Recibos!$D$4:$D$7493,Cobranza!$B184,Recibos!AA$4:AA$7493)</f>
        <v>0</v>
      </c>
      <c r="BP184" s="311">
        <f>SUMIF(Recibos!$D$4:$D$7493,Cobranza!$B184,Recibos!AB$4:AB$7493)</f>
        <v>0</v>
      </c>
      <c r="BQ184" s="311">
        <f>SUMIF(Recibos!$D$4:$D$7493,Cobranza!$B184,Recibos!AC$4:AC$7493)</f>
        <v>0</v>
      </c>
      <c r="BR184" s="311">
        <f>SUMIF(Recibos!$D$4:$D$7493,Cobranza!$B184,Recibos!AD$4:AD$7493)</f>
        <v>0</v>
      </c>
      <c r="BS184" s="311">
        <f>SUMIF(Recibos!$D$4:$D$7493,Cobranza!$B184,Recibos!AE$4:AE$7493)</f>
        <v>0</v>
      </c>
      <c r="BT184" s="311">
        <f>SUMIF(Recibos!$D$4:$D$7493,Cobranza!$B184,Recibos!AF$4:AF$7493)</f>
        <v>0</v>
      </c>
      <c r="BU184" s="311">
        <f>SUMIF(Recibos!$D$4:$D$7493,Cobranza!$B184,Recibos!AG$4:AG$7493)</f>
        <v>0</v>
      </c>
      <c r="BV184" s="311">
        <f>SUMIF(Recibos!$D$4:$D$7493,Cobranza!$B184,Recibos!AH$4:AH$7493)</f>
        <v>0</v>
      </c>
      <c r="BW184" s="311">
        <f>SUMIF(Recibos!$D$4:$D$7493,Cobranza!$B184,Recibos!AI$4:AI$7493)</f>
        <v>0</v>
      </c>
      <c r="BX184" s="312">
        <f t="shared" si="30"/>
        <v>0</v>
      </c>
      <c r="BY184" s="311">
        <f>SUMIF(Recibos!$D$4:$D$7493,Cobranza!$B184,Recibos!AK$4:AK$7493)</f>
        <v>0</v>
      </c>
      <c r="BZ184" s="311">
        <f>SUMIF(Recibos!$D$4:$D$7493,Cobranza!$B184,Recibos!AL$4:AL$7493)</f>
        <v>0</v>
      </c>
      <c r="CA184" s="311">
        <f>SUMIF(Recibos!$D$4:$D$7493,Cobranza!$B184,Recibos!AM$4:AM$7493)</f>
        <v>0</v>
      </c>
      <c r="CB184" s="311">
        <f>SUMIF(Recibos!$D$4:$D$7493,Cobranza!$B184,Recibos!AN$4:AN$7493)</f>
        <v>0</v>
      </c>
      <c r="CC184" s="311">
        <f>SUMIF(Recibos!$D$4:$D$7493,Cobranza!$B184,Recibos!AO$4:AO$7493)</f>
        <v>0</v>
      </c>
      <c r="CD184" s="311">
        <f>SUMIF(Recibos!$D$4:$D$7493,Cobranza!$B184,Recibos!AP$4:AP$7493)</f>
        <v>0</v>
      </c>
      <c r="CE184" s="311">
        <f>SUMIF(Recibos!$D$4:$D$7493,Cobranza!$B184,Recibos!AQ$4:AQ$7493)</f>
        <v>0</v>
      </c>
      <c r="CF184" s="311">
        <f>SUMIF(Recibos!$D$4:$D$7493,Cobranza!$B184,Recibos!AR$4:AR$7493)</f>
        <v>0</v>
      </c>
      <c r="CG184" s="311">
        <f>SUMIF(Recibos!$D$4:$D$7493,Cobranza!$B184,Recibos!AS$4:AS$7493)</f>
        <v>0</v>
      </c>
      <c r="CH184" s="311">
        <f>SUMIF(Recibos!$D$4:$D$7493,Cobranza!$B184,Recibos!AT$4:AT$7493)</f>
        <v>0</v>
      </c>
      <c r="CI184" s="311">
        <f>SUMIF(Recibos!$D$4:$D$7493,Cobranza!$B184,Recibos!AU$4:AU$7493)</f>
        <v>0</v>
      </c>
      <c r="CJ184" s="311">
        <f>SUMIF(Recibos!$D$4:$D$7493,Cobranza!$B184,Recibos!AV$4:AV$7493)</f>
        <v>0</v>
      </c>
      <c r="CK184" s="312">
        <f t="shared" si="24"/>
        <v>0</v>
      </c>
    </row>
    <row r="185" spans="2:89" x14ac:dyDescent="0.2">
      <c r="B185" s="45" t="s">
        <v>719</v>
      </c>
      <c r="C185" s="45" t="s">
        <v>720</v>
      </c>
      <c r="D185" s="45" t="s">
        <v>867</v>
      </c>
      <c r="E185" s="46">
        <v>0</v>
      </c>
      <c r="F185" s="46">
        <v>0</v>
      </c>
      <c r="G185" s="46">
        <v>0</v>
      </c>
      <c r="H185" s="46">
        <v>250</v>
      </c>
      <c r="I185" s="46">
        <v>250</v>
      </c>
      <c r="J185" s="46">
        <v>300</v>
      </c>
      <c r="K185" s="47">
        <f t="shared" si="25"/>
        <v>800</v>
      </c>
      <c r="L185" s="46">
        <v>300</v>
      </c>
      <c r="M185" s="46">
        <v>0</v>
      </c>
      <c r="N185" s="46">
        <v>0</v>
      </c>
      <c r="O185" s="46">
        <v>0</v>
      </c>
      <c r="P185" s="46">
        <v>0</v>
      </c>
      <c r="Q185" s="46">
        <v>0</v>
      </c>
      <c r="R185" s="46">
        <v>0</v>
      </c>
      <c r="S185" s="46">
        <v>0</v>
      </c>
      <c r="T185" s="46">
        <v>0</v>
      </c>
      <c r="U185" s="46">
        <v>0</v>
      </c>
      <c r="V185" s="46">
        <v>0</v>
      </c>
      <c r="W185" s="46">
        <v>0</v>
      </c>
      <c r="X185" s="47">
        <f t="shared" si="26"/>
        <v>300</v>
      </c>
      <c r="Y185" s="46">
        <v>400</v>
      </c>
      <c r="Z185" s="46">
        <v>400</v>
      </c>
      <c r="AA185" s="46">
        <v>400</v>
      </c>
      <c r="AB185" s="46">
        <v>400</v>
      </c>
      <c r="AC185" s="46">
        <v>400</v>
      </c>
      <c r="AD185" s="46">
        <v>400</v>
      </c>
      <c r="AE185" s="46">
        <v>400</v>
      </c>
      <c r="AF185" s="46">
        <v>400</v>
      </c>
      <c r="AG185" s="46">
        <v>400</v>
      </c>
      <c r="AH185" s="46">
        <v>400</v>
      </c>
      <c r="AI185" s="46">
        <v>400</v>
      </c>
      <c r="AJ185" s="46">
        <v>400</v>
      </c>
      <c r="AK185" s="47">
        <f t="shared" si="27"/>
        <v>4800</v>
      </c>
      <c r="AL185" s="46">
        <v>400</v>
      </c>
      <c r="AM185" s="46">
        <v>400</v>
      </c>
      <c r="AN185" s="46">
        <v>400</v>
      </c>
      <c r="AO185" s="46">
        <v>400</v>
      </c>
      <c r="AP185" s="46">
        <v>200</v>
      </c>
      <c r="AQ185" s="46">
        <v>200</v>
      </c>
      <c r="AR185" s="46">
        <v>200</v>
      </c>
      <c r="AS185" s="46">
        <v>400</v>
      </c>
      <c r="AT185" s="46">
        <v>400</v>
      </c>
      <c r="AU185" s="46">
        <v>400</v>
      </c>
      <c r="AV185" s="46">
        <v>400</v>
      </c>
      <c r="AW185" s="46">
        <v>400</v>
      </c>
      <c r="AX185" s="47">
        <f t="shared" si="28"/>
        <v>4200</v>
      </c>
      <c r="AY185" s="313">
        <f>SUMIF(Recibos!$D$4:$D$7493,Cobranza!$B185,Recibos!K$4:K$7493)</f>
        <v>400</v>
      </c>
      <c r="AZ185" s="313">
        <f>SUMIF(Recibos!$D$4:$D$7493,Cobranza!$B185,Recibos!L$4:L$7493)</f>
        <v>400</v>
      </c>
      <c r="BA185" s="313">
        <f>SUMIF(Recibos!$D$4:$D$7493,Cobranza!$B185,Recibos!M$4:M$7493)</f>
        <v>400</v>
      </c>
      <c r="BB185" s="313">
        <f>SUMIF(Recibos!$D$4:$D$7493,Cobranza!$B185,Recibos!N$4:N$7493)</f>
        <v>400</v>
      </c>
      <c r="BC185" s="313">
        <f>SUMIF(Recibos!$D$4:$D$7493,Cobranza!$B185,Recibos!O$4:O$7493)</f>
        <v>200</v>
      </c>
      <c r="BD185" s="313">
        <f>SUMIF(Recibos!$D$4:$D$7493,Cobranza!$B185,Recibos!P$4:P$7493)</f>
        <v>200</v>
      </c>
      <c r="BE185" s="313">
        <f>SUMIF(Recibos!$D$4:$D$7493,Cobranza!$B185,Recibos!Q$4:Q$7493)</f>
        <v>200</v>
      </c>
      <c r="BF185" s="313">
        <f>SUMIF(Recibos!$D$4:$D$7493,Cobranza!$B185,Recibos!R$4:R$7493)</f>
        <v>200</v>
      </c>
      <c r="BG185" s="313">
        <f>SUMIF(Recibos!$D$4:$D$7493,Cobranza!$B185,Recibos!S$4:S$7493)</f>
        <v>200</v>
      </c>
      <c r="BH185" s="313">
        <f>SUMIF(Recibos!$D$4:$D$7493,Cobranza!$B185,Recibos!T$4:T$7493)</f>
        <v>200</v>
      </c>
      <c r="BI185" s="313">
        <f>SUMIF(Recibos!$D$4:$D$7493,Cobranza!$B185,Recibos!U$4:U$7493)</f>
        <v>200</v>
      </c>
      <c r="BJ185" s="313">
        <f>SUMIF(Recibos!$D$4:$D$7493,Cobranza!$B185,Recibos!V$4:V$7493)</f>
        <v>200</v>
      </c>
      <c r="BK185" s="314">
        <f t="shared" si="29"/>
        <v>3200</v>
      </c>
      <c r="BL185" s="313">
        <f>SUMIF(Recibos!$D$4:$D$7493,Cobranza!$B185,Recibos!X$4:X$7493)</f>
        <v>200</v>
      </c>
      <c r="BM185" s="313">
        <f>SUMIF(Recibos!$D$4:$D$7493,Cobranza!$B185,Recibos!Y$4:Y$7493)</f>
        <v>200</v>
      </c>
      <c r="BN185" s="313">
        <f>SUMIF(Recibos!$D$4:$D$7493,Cobranza!$B185,Recibos!Z$4:Z$7493)</f>
        <v>200</v>
      </c>
      <c r="BO185" s="313">
        <f>SUMIF(Recibos!$D$4:$D$7493,Cobranza!$B185,Recibos!AA$4:AA$7493)</f>
        <v>200</v>
      </c>
      <c r="BP185" s="313">
        <f>SUMIF(Recibos!$D$4:$D$7493,Cobranza!$B185,Recibos!AB$4:AB$7493)</f>
        <v>200</v>
      </c>
      <c r="BQ185" s="313">
        <f>SUMIF(Recibos!$D$4:$D$7493,Cobranza!$B185,Recibos!AC$4:AC$7493)</f>
        <v>200</v>
      </c>
      <c r="BR185" s="313">
        <f>SUMIF(Recibos!$D$4:$D$7493,Cobranza!$B185,Recibos!AD$4:AD$7493)</f>
        <v>200</v>
      </c>
      <c r="BS185" s="313">
        <f>SUMIF(Recibos!$D$4:$D$7493,Cobranza!$B185,Recibos!AE$4:AE$7493)</f>
        <v>200</v>
      </c>
      <c r="BT185" s="313">
        <f>SUMIF(Recibos!$D$4:$D$7493,Cobranza!$B185,Recibos!AF$4:AF$7493)</f>
        <v>200</v>
      </c>
      <c r="BU185" s="313">
        <f>SUMIF(Recibos!$D$4:$D$7493,Cobranza!$B185,Recibos!AG$4:AG$7493)</f>
        <v>200</v>
      </c>
      <c r="BV185" s="313">
        <f>SUMIF(Recibos!$D$4:$D$7493,Cobranza!$B185,Recibos!AH$4:AH$7493)</f>
        <v>200</v>
      </c>
      <c r="BW185" s="313">
        <f>SUMIF(Recibos!$D$4:$D$7493,Cobranza!$B185,Recibos!AI$4:AI$7493)</f>
        <v>200</v>
      </c>
      <c r="BX185" s="314">
        <f t="shared" si="30"/>
        <v>2400</v>
      </c>
      <c r="BY185" s="313">
        <f>SUMIF(Recibos!$D$4:$D$7493,Cobranza!$B185,Recibos!AK$4:AK$7493)</f>
        <v>200</v>
      </c>
      <c r="BZ185" s="313">
        <f>SUMIF(Recibos!$D$4:$D$7493,Cobranza!$B185,Recibos!AL$4:AL$7493)</f>
        <v>200</v>
      </c>
      <c r="CA185" s="313">
        <f>SUMIF(Recibos!$D$4:$D$7493,Cobranza!$B185,Recibos!AM$4:AM$7493)</f>
        <v>200</v>
      </c>
      <c r="CB185" s="313">
        <f>SUMIF(Recibos!$D$4:$D$7493,Cobranza!$B185,Recibos!AN$4:AN$7493)</f>
        <v>200</v>
      </c>
      <c r="CC185" s="313">
        <f>SUMIF(Recibos!$D$4:$D$7493,Cobranza!$B185,Recibos!AO$4:AO$7493)</f>
        <v>200</v>
      </c>
      <c r="CD185" s="313">
        <f>SUMIF(Recibos!$D$4:$D$7493,Cobranza!$B185,Recibos!AP$4:AP$7493)</f>
        <v>200</v>
      </c>
      <c r="CE185" s="313">
        <f>SUMIF(Recibos!$D$4:$D$7493,Cobranza!$B185,Recibos!AQ$4:AQ$7493)</f>
        <v>200</v>
      </c>
      <c r="CF185" s="313">
        <f>SUMIF(Recibos!$D$4:$D$7493,Cobranza!$B185,Recibos!AR$4:AR$7493)</f>
        <v>200</v>
      </c>
      <c r="CG185" s="313">
        <f>SUMIF(Recibos!$D$4:$D$7493,Cobranza!$B185,Recibos!AS$4:AS$7493)</f>
        <v>200</v>
      </c>
      <c r="CH185" s="313">
        <f>SUMIF(Recibos!$D$4:$D$7493,Cobranza!$B185,Recibos!AT$4:AT$7493)</f>
        <v>0</v>
      </c>
      <c r="CI185" s="313">
        <f>SUMIF(Recibos!$D$4:$D$7493,Cobranza!$B185,Recibos!AU$4:AU$7493)</f>
        <v>0</v>
      </c>
      <c r="CJ185" s="313">
        <f>SUMIF(Recibos!$D$4:$D$7493,Cobranza!$B185,Recibos!AV$4:AV$7493)</f>
        <v>0</v>
      </c>
      <c r="CK185" s="314">
        <f t="shared" si="24"/>
        <v>1800</v>
      </c>
    </row>
    <row r="186" spans="2:89" x14ac:dyDescent="0.2">
      <c r="B186" s="42" t="s">
        <v>1026</v>
      </c>
      <c r="C186" s="42" t="s">
        <v>1027</v>
      </c>
      <c r="D186" s="42" t="s">
        <v>1028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4">
        <f t="shared" si="25"/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4">
        <f t="shared" si="26"/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4">
        <f t="shared" si="27"/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200</v>
      </c>
      <c r="AQ186" s="43">
        <v>200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4">
        <f t="shared" si="28"/>
        <v>400</v>
      </c>
      <c r="AY186" s="311">
        <f>SUMIF(Recibos!$D$4:$D$7493,Cobranza!$B186,Recibos!K$4:K$7493)</f>
        <v>0</v>
      </c>
      <c r="AZ186" s="311">
        <f>SUMIF(Recibos!$D$4:$D$7493,Cobranza!$B186,Recibos!L$4:L$7493)</f>
        <v>0</v>
      </c>
      <c r="BA186" s="311">
        <f>SUMIF(Recibos!$D$4:$D$7493,Cobranza!$B186,Recibos!M$4:M$7493)</f>
        <v>0</v>
      </c>
      <c r="BB186" s="311">
        <f>SUMIF(Recibos!$D$4:$D$7493,Cobranza!$B186,Recibos!N$4:N$7493)</f>
        <v>0</v>
      </c>
      <c r="BC186" s="311">
        <f>SUMIF(Recibos!$D$4:$D$7493,Cobranza!$B186,Recibos!O$4:O$7493)</f>
        <v>200</v>
      </c>
      <c r="BD186" s="311">
        <f>SUMIF(Recibos!$D$4:$D$7493,Cobranza!$B186,Recibos!P$4:P$7493)</f>
        <v>200</v>
      </c>
      <c r="BE186" s="311">
        <f>SUMIF(Recibos!$D$4:$D$7493,Cobranza!$B186,Recibos!Q$4:Q$7493)</f>
        <v>200</v>
      </c>
      <c r="BF186" s="311">
        <f>SUMIF(Recibos!$D$4:$D$7493,Cobranza!$B186,Recibos!R$4:R$7493)</f>
        <v>200</v>
      </c>
      <c r="BG186" s="311">
        <f>SUMIF(Recibos!$D$4:$D$7493,Cobranza!$B186,Recibos!S$4:S$7493)</f>
        <v>200</v>
      </c>
      <c r="BH186" s="311">
        <f>SUMIF(Recibos!$D$4:$D$7493,Cobranza!$B186,Recibos!T$4:T$7493)</f>
        <v>200</v>
      </c>
      <c r="BI186" s="311">
        <f>SUMIF(Recibos!$D$4:$D$7493,Cobranza!$B186,Recibos!U$4:U$7493)</f>
        <v>200</v>
      </c>
      <c r="BJ186" s="311">
        <f>SUMIF(Recibos!$D$4:$D$7493,Cobranza!$B186,Recibos!V$4:V$7493)</f>
        <v>200</v>
      </c>
      <c r="BK186" s="312">
        <f t="shared" si="29"/>
        <v>1600</v>
      </c>
      <c r="BL186" s="311">
        <f>SUMIF(Recibos!$D$4:$D$7493,Cobranza!$B186,Recibos!X$4:X$7493)</f>
        <v>200</v>
      </c>
      <c r="BM186" s="311">
        <f>SUMIF(Recibos!$D$4:$D$7493,Cobranza!$B186,Recibos!Y$4:Y$7493)</f>
        <v>200</v>
      </c>
      <c r="BN186" s="311">
        <f>SUMIF(Recibos!$D$4:$D$7493,Cobranza!$B186,Recibos!Z$4:Z$7493)</f>
        <v>200</v>
      </c>
      <c r="BO186" s="311">
        <f>SUMIF(Recibos!$D$4:$D$7493,Cobranza!$B186,Recibos!AA$4:AA$7493)</f>
        <v>200</v>
      </c>
      <c r="BP186" s="311">
        <f>SUMIF(Recibos!$D$4:$D$7493,Cobranza!$B186,Recibos!AB$4:AB$7493)</f>
        <v>200</v>
      </c>
      <c r="BQ186" s="311">
        <f>SUMIF(Recibos!$D$4:$D$7493,Cobranza!$B186,Recibos!AC$4:AC$7493)</f>
        <v>200</v>
      </c>
      <c r="BR186" s="311">
        <f>SUMIF(Recibos!$D$4:$D$7493,Cobranza!$B186,Recibos!AD$4:AD$7493)</f>
        <v>200</v>
      </c>
      <c r="BS186" s="311">
        <f>SUMIF(Recibos!$D$4:$D$7493,Cobranza!$B186,Recibos!AE$4:AE$7493)</f>
        <v>200</v>
      </c>
      <c r="BT186" s="311">
        <f>SUMIF(Recibos!$D$4:$D$7493,Cobranza!$B186,Recibos!AF$4:AF$7493)</f>
        <v>200</v>
      </c>
      <c r="BU186" s="311">
        <f>SUMIF(Recibos!$D$4:$D$7493,Cobranza!$B186,Recibos!AG$4:AG$7493)</f>
        <v>200</v>
      </c>
      <c r="BV186" s="311">
        <f>SUMIF(Recibos!$D$4:$D$7493,Cobranza!$B186,Recibos!AH$4:AH$7493)</f>
        <v>200</v>
      </c>
      <c r="BW186" s="311">
        <f>SUMIF(Recibos!$D$4:$D$7493,Cobranza!$B186,Recibos!AI$4:AI$7493)</f>
        <v>200</v>
      </c>
      <c r="BX186" s="312">
        <f t="shared" si="30"/>
        <v>2400</v>
      </c>
      <c r="BY186" s="311">
        <f>SUMIF(Recibos!$D$4:$D$7493,Cobranza!$B186,Recibos!AK$4:AK$7493)</f>
        <v>200</v>
      </c>
      <c r="BZ186" s="311">
        <f>SUMIF(Recibos!$D$4:$D$7493,Cobranza!$B186,Recibos!AL$4:AL$7493)</f>
        <v>200</v>
      </c>
      <c r="CA186" s="311">
        <f>SUMIF(Recibos!$D$4:$D$7493,Cobranza!$B186,Recibos!AM$4:AM$7493)</f>
        <v>200</v>
      </c>
      <c r="CB186" s="311">
        <f>SUMIF(Recibos!$D$4:$D$7493,Cobranza!$B186,Recibos!AN$4:AN$7493)</f>
        <v>200</v>
      </c>
      <c r="CC186" s="311">
        <f>SUMIF(Recibos!$D$4:$D$7493,Cobranza!$B186,Recibos!AO$4:AO$7493)</f>
        <v>200</v>
      </c>
      <c r="CD186" s="311">
        <f>SUMIF(Recibos!$D$4:$D$7493,Cobranza!$B186,Recibos!AP$4:AP$7493)</f>
        <v>200</v>
      </c>
      <c r="CE186" s="311">
        <f>SUMIF(Recibos!$D$4:$D$7493,Cobranza!$B186,Recibos!AQ$4:AQ$7493)</f>
        <v>200</v>
      </c>
      <c r="CF186" s="311">
        <f>SUMIF(Recibos!$D$4:$D$7493,Cobranza!$B186,Recibos!AR$4:AR$7493)</f>
        <v>200</v>
      </c>
      <c r="CG186" s="311">
        <f>SUMIF(Recibos!$D$4:$D$7493,Cobranza!$B186,Recibos!AS$4:AS$7493)</f>
        <v>200</v>
      </c>
      <c r="CH186" s="311">
        <f>SUMIF(Recibos!$D$4:$D$7493,Cobranza!$B186,Recibos!AT$4:AT$7493)</f>
        <v>0</v>
      </c>
      <c r="CI186" s="311">
        <f>SUMIF(Recibos!$D$4:$D$7493,Cobranza!$B186,Recibos!AU$4:AU$7493)</f>
        <v>0</v>
      </c>
      <c r="CJ186" s="311">
        <f>SUMIF(Recibos!$D$4:$D$7493,Cobranza!$B186,Recibos!AV$4:AV$7493)</f>
        <v>0</v>
      </c>
      <c r="CK186" s="312">
        <f t="shared" si="24"/>
        <v>1800</v>
      </c>
    </row>
    <row r="187" spans="2:89" x14ac:dyDescent="0.2">
      <c r="B187" s="45" t="s">
        <v>1017</v>
      </c>
      <c r="C187" s="45" t="s">
        <v>1018</v>
      </c>
      <c r="D187" s="45" t="s">
        <v>1019</v>
      </c>
      <c r="E187" s="46">
        <v>0</v>
      </c>
      <c r="F187" s="46">
        <v>0</v>
      </c>
      <c r="G187" s="46">
        <v>0</v>
      </c>
      <c r="H187" s="46">
        <v>0</v>
      </c>
      <c r="I187" s="46">
        <v>0</v>
      </c>
      <c r="J187" s="46">
        <v>0</v>
      </c>
      <c r="K187" s="47">
        <f t="shared" si="25"/>
        <v>0</v>
      </c>
      <c r="L187" s="46">
        <v>0</v>
      </c>
      <c r="M187" s="46">
        <v>0</v>
      </c>
      <c r="N187" s="46">
        <v>0</v>
      </c>
      <c r="O187" s="46">
        <v>0</v>
      </c>
      <c r="P187" s="46">
        <v>0</v>
      </c>
      <c r="Q187" s="46">
        <v>0</v>
      </c>
      <c r="R187" s="46">
        <v>0</v>
      </c>
      <c r="S187" s="46">
        <v>0</v>
      </c>
      <c r="T187" s="46">
        <v>0</v>
      </c>
      <c r="U187" s="46">
        <v>0</v>
      </c>
      <c r="V187" s="46">
        <v>0</v>
      </c>
      <c r="W187" s="46">
        <v>0</v>
      </c>
      <c r="X187" s="47">
        <f t="shared" si="26"/>
        <v>0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0</v>
      </c>
      <c r="AE187" s="46">
        <v>0</v>
      </c>
      <c r="AF187" s="46">
        <v>0</v>
      </c>
      <c r="AG187" s="46">
        <v>0</v>
      </c>
      <c r="AH187" s="46">
        <v>0</v>
      </c>
      <c r="AI187" s="46">
        <v>0</v>
      </c>
      <c r="AJ187" s="46">
        <v>0</v>
      </c>
      <c r="AK187" s="47">
        <f t="shared" si="27"/>
        <v>0</v>
      </c>
      <c r="AL187" s="46">
        <v>0</v>
      </c>
      <c r="AM187" s="46">
        <v>0</v>
      </c>
      <c r="AN187" s="46">
        <v>0</v>
      </c>
      <c r="AO187" s="46">
        <v>0</v>
      </c>
      <c r="AP187" s="46">
        <v>0</v>
      </c>
      <c r="AQ187" s="46">
        <v>0</v>
      </c>
      <c r="AR187" s="46">
        <v>0</v>
      </c>
      <c r="AS187" s="46">
        <v>0</v>
      </c>
      <c r="AT187" s="46">
        <v>0</v>
      </c>
      <c r="AU187" s="46">
        <v>0</v>
      </c>
      <c r="AV187" s="46">
        <v>0</v>
      </c>
      <c r="AW187" s="46">
        <v>0</v>
      </c>
      <c r="AX187" s="47">
        <f t="shared" si="28"/>
        <v>0</v>
      </c>
      <c r="AY187" s="313">
        <f>SUMIF(Recibos!$D$4:$D$7493,Cobranza!$B187,Recibos!K$4:K$7493)</f>
        <v>0</v>
      </c>
      <c r="AZ187" s="313">
        <f>SUMIF(Recibos!$D$4:$D$7493,Cobranza!$B187,Recibos!L$4:L$7493)</f>
        <v>0</v>
      </c>
      <c r="BA187" s="313">
        <f>SUMIF(Recibos!$D$4:$D$7493,Cobranza!$B187,Recibos!M$4:M$7493)</f>
        <v>0</v>
      </c>
      <c r="BB187" s="313">
        <f>SUMIF(Recibos!$D$4:$D$7493,Cobranza!$B187,Recibos!N$4:N$7493)</f>
        <v>0</v>
      </c>
      <c r="BC187" s="313">
        <f>SUMIF(Recibos!$D$4:$D$7493,Cobranza!$B187,Recibos!O$4:O$7493)</f>
        <v>200</v>
      </c>
      <c r="BD187" s="313">
        <f>SUMIF(Recibos!$D$4:$D$7493,Cobranza!$B187,Recibos!P$4:P$7493)</f>
        <v>200</v>
      </c>
      <c r="BE187" s="313">
        <f>SUMIF(Recibos!$D$4:$D$7493,Cobranza!$B187,Recibos!Q$4:Q$7493)</f>
        <v>200</v>
      </c>
      <c r="BF187" s="313">
        <f>SUMIF(Recibos!$D$4:$D$7493,Cobranza!$B187,Recibos!R$4:R$7493)</f>
        <v>200</v>
      </c>
      <c r="BG187" s="313">
        <f>SUMIF(Recibos!$D$4:$D$7493,Cobranza!$B187,Recibos!S$4:S$7493)</f>
        <v>200</v>
      </c>
      <c r="BH187" s="313">
        <f>SUMIF(Recibos!$D$4:$D$7493,Cobranza!$B187,Recibos!T$4:T$7493)</f>
        <v>200</v>
      </c>
      <c r="BI187" s="313">
        <f>SUMIF(Recibos!$D$4:$D$7493,Cobranza!$B187,Recibos!U$4:U$7493)</f>
        <v>200</v>
      </c>
      <c r="BJ187" s="313">
        <f>SUMIF(Recibos!$D$4:$D$7493,Cobranza!$B187,Recibos!V$4:V$7493)</f>
        <v>200</v>
      </c>
      <c r="BK187" s="314">
        <f t="shared" si="29"/>
        <v>1600</v>
      </c>
      <c r="BL187" s="313">
        <f>SUMIF(Recibos!$D$4:$D$7493,Cobranza!$B187,Recibos!X$4:X$7493)</f>
        <v>200</v>
      </c>
      <c r="BM187" s="313">
        <f>SUMIF(Recibos!$D$4:$D$7493,Cobranza!$B187,Recibos!Y$4:Y$7493)</f>
        <v>200</v>
      </c>
      <c r="BN187" s="313">
        <f>SUMIF(Recibos!$D$4:$D$7493,Cobranza!$B187,Recibos!Z$4:Z$7493)</f>
        <v>200</v>
      </c>
      <c r="BO187" s="313">
        <f>SUMIF(Recibos!$D$4:$D$7493,Cobranza!$B187,Recibos!AA$4:AA$7493)</f>
        <v>200</v>
      </c>
      <c r="BP187" s="313">
        <f>SUMIF(Recibos!$D$4:$D$7493,Cobranza!$B187,Recibos!AB$4:AB$7493)</f>
        <v>200</v>
      </c>
      <c r="BQ187" s="313">
        <f>SUMIF(Recibos!$D$4:$D$7493,Cobranza!$B187,Recibos!AC$4:AC$7493)</f>
        <v>200</v>
      </c>
      <c r="BR187" s="313">
        <f>SUMIF(Recibos!$D$4:$D$7493,Cobranza!$B187,Recibos!AD$4:AD$7493)</f>
        <v>200</v>
      </c>
      <c r="BS187" s="313">
        <f>SUMIF(Recibos!$D$4:$D$7493,Cobranza!$B187,Recibos!AE$4:AE$7493)</f>
        <v>200</v>
      </c>
      <c r="BT187" s="313">
        <f>SUMIF(Recibos!$D$4:$D$7493,Cobranza!$B187,Recibos!AF$4:AF$7493)</f>
        <v>200</v>
      </c>
      <c r="BU187" s="313">
        <f>SUMIF(Recibos!$D$4:$D$7493,Cobranza!$B187,Recibos!AG$4:AG$7493)</f>
        <v>200</v>
      </c>
      <c r="BV187" s="313">
        <f>SUMIF(Recibos!$D$4:$D$7493,Cobranza!$B187,Recibos!AH$4:AH$7493)</f>
        <v>200</v>
      </c>
      <c r="BW187" s="313">
        <f>SUMIF(Recibos!$D$4:$D$7493,Cobranza!$B187,Recibos!AI$4:AI$7493)</f>
        <v>200</v>
      </c>
      <c r="BX187" s="314">
        <f t="shared" si="30"/>
        <v>2400</v>
      </c>
      <c r="BY187" s="313">
        <f>SUMIF(Recibos!$D$4:$D$7493,Cobranza!$B187,Recibos!AK$4:AK$7493)</f>
        <v>250</v>
      </c>
      <c r="BZ187" s="313">
        <f>SUMIF(Recibos!$D$4:$D$7493,Cobranza!$B187,Recibos!AL$4:AL$7493)</f>
        <v>250</v>
      </c>
      <c r="CA187" s="313">
        <f>SUMIF(Recibos!$D$4:$D$7493,Cobranza!$B187,Recibos!AM$4:AM$7493)</f>
        <v>250</v>
      </c>
      <c r="CB187" s="313">
        <f>SUMIF(Recibos!$D$4:$D$7493,Cobranza!$B187,Recibos!AN$4:AN$7493)</f>
        <v>250</v>
      </c>
      <c r="CC187" s="313">
        <f>SUMIF(Recibos!$D$4:$D$7493,Cobranza!$B187,Recibos!AO$4:AO$7493)</f>
        <v>250</v>
      </c>
      <c r="CD187" s="313">
        <f>SUMIF(Recibos!$D$4:$D$7493,Cobranza!$B187,Recibos!AP$4:AP$7493)</f>
        <v>250</v>
      </c>
      <c r="CE187" s="313">
        <f>SUMIF(Recibos!$D$4:$D$7493,Cobranza!$B187,Recibos!AQ$4:AQ$7493)</f>
        <v>250</v>
      </c>
      <c r="CF187" s="313">
        <f>SUMIF(Recibos!$D$4:$D$7493,Cobranza!$B187,Recibos!AR$4:AR$7493)</f>
        <v>250</v>
      </c>
      <c r="CG187" s="313">
        <f>SUMIF(Recibos!$D$4:$D$7493,Cobranza!$B187,Recibos!AS$4:AS$7493)</f>
        <v>250</v>
      </c>
      <c r="CH187" s="313">
        <f>SUMIF(Recibos!$D$4:$D$7493,Cobranza!$B187,Recibos!AT$4:AT$7493)</f>
        <v>250</v>
      </c>
      <c r="CI187" s="313">
        <f>SUMIF(Recibos!$D$4:$D$7493,Cobranza!$B187,Recibos!AU$4:AU$7493)</f>
        <v>0</v>
      </c>
      <c r="CJ187" s="313">
        <f>SUMIF(Recibos!$D$4:$D$7493,Cobranza!$B187,Recibos!AV$4:AV$7493)</f>
        <v>0</v>
      </c>
      <c r="CK187" s="314">
        <f t="shared" si="24"/>
        <v>2500</v>
      </c>
    </row>
    <row r="188" spans="2:89" x14ac:dyDescent="0.2">
      <c r="B188" s="42" t="s">
        <v>1055</v>
      </c>
      <c r="C188" s="42" t="s">
        <v>1056</v>
      </c>
      <c r="D188" s="42" t="s">
        <v>1057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4">
        <f t="shared" si="25"/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4">
        <f t="shared" si="26"/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4">
        <f t="shared" si="27"/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200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4">
        <f t="shared" si="28"/>
        <v>200</v>
      </c>
      <c r="AY188" s="311">
        <f>SUMIF(Recibos!$D$4:$D$7493,Cobranza!$B188,Recibos!K$4:K$7493)</f>
        <v>0</v>
      </c>
      <c r="AZ188" s="311">
        <f>SUMIF(Recibos!$D$4:$D$7493,Cobranza!$B188,Recibos!L$4:L$7493)</f>
        <v>0</v>
      </c>
      <c r="BA188" s="311">
        <f>SUMIF(Recibos!$D$4:$D$7493,Cobranza!$B188,Recibos!M$4:M$7493)</f>
        <v>0</v>
      </c>
      <c r="BB188" s="311">
        <f>SUMIF(Recibos!$D$4:$D$7493,Cobranza!$B188,Recibos!N$4:N$7493)</f>
        <v>0</v>
      </c>
      <c r="BC188" s="311">
        <f>SUMIF(Recibos!$D$4:$D$7493,Cobranza!$B188,Recibos!O$4:O$7493)</f>
        <v>200</v>
      </c>
      <c r="BD188" s="311">
        <f>SUMIF(Recibos!$D$4:$D$7493,Cobranza!$B188,Recibos!P$4:P$7493)</f>
        <v>200</v>
      </c>
      <c r="BE188" s="311">
        <f>SUMIF(Recibos!$D$4:$D$7493,Cobranza!$B188,Recibos!Q$4:Q$7493)</f>
        <v>200</v>
      </c>
      <c r="BF188" s="311">
        <f>SUMIF(Recibos!$D$4:$D$7493,Cobranza!$B188,Recibos!R$4:R$7493)</f>
        <v>200</v>
      </c>
      <c r="BG188" s="311">
        <f>SUMIF(Recibos!$D$4:$D$7493,Cobranza!$B188,Recibos!S$4:S$7493)</f>
        <v>200</v>
      </c>
      <c r="BH188" s="311">
        <f>SUMIF(Recibos!$D$4:$D$7493,Cobranza!$B188,Recibos!T$4:T$7493)</f>
        <v>200</v>
      </c>
      <c r="BI188" s="311">
        <f>SUMIF(Recibos!$D$4:$D$7493,Cobranza!$B188,Recibos!U$4:U$7493)</f>
        <v>200</v>
      </c>
      <c r="BJ188" s="311">
        <f>SUMIF(Recibos!$D$4:$D$7493,Cobranza!$B188,Recibos!V$4:V$7493)</f>
        <v>200</v>
      </c>
      <c r="BK188" s="312">
        <f t="shared" si="29"/>
        <v>1600</v>
      </c>
      <c r="BL188" s="311">
        <f>SUMIF(Recibos!$D$4:$D$7493,Cobranza!$B188,Recibos!X$4:X$7493)</f>
        <v>200</v>
      </c>
      <c r="BM188" s="311">
        <f>SUMIF(Recibos!$D$4:$D$7493,Cobranza!$B188,Recibos!Y$4:Y$7493)</f>
        <v>200</v>
      </c>
      <c r="BN188" s="311">
        <f>SUMIF(Recibos!$D$4:$D$7493,Cobranza!$B188,Recibos!Z$4:Z$7493)</f>
        <v>200</v>
      </c>
      <c r="BO188" s="311">
        <f>SUMIF(Recibos!$D$4:$D$7493,Cobranza!$B188,Recibos!AA$4:AA$7493)</f>
        <v>200</v>
      </c>
      <c r="BP188" s="311">
        <f>SUMIF(Recibos!$D$4:$D$7493,Cobranza!$B188,Recibos!AB$4:AB$7493)</f>
        <v>200</v>
      </c>
      <c r="BQ188" s="311">
        <f>SUMIF(Recibos!$D$4:$D$7493,Cobranza!$B188,Recibos!AC$4:AC$7493)</f>
        <v>200</v>
      </c>
      <c r="BR188" s="311">
        <f>SUMIF(Recibos!$D$4:$D$7493,Cobranza!$B188,Recibos!AD$4:AD$7493)</f>
        <v>200</v>
      </c>
      <c r="BS188" s="311">
        <f>SUMIF(Recibos!$D$4:$D$7493,Cobranza!$B188,Recibos!AE$4:AE$7493)</f>
        <v>200</v>
      </c>
      <c r="BT188" s="311">
        <f>SUMIF(Recibos!$D$4:$D$7493,Cobranza!$B188,Recibos!AF$4:AF$7493)</f>
        <v>200</v>
      </c>
      <c r="BU188" s="311">
        <f>SUMIF(Recibos!$D$4:$D$7493,Cobranza!$B188,Recibos!AG$4:AG$7493)</f>
        <v>200</v>
      </c>
      <c r="BV188" s="311">
        <f>SUMIF(Recibos!$D$4:$D$7493,Cobranza!$B188,Recibos!AH$4:AH$7493)</f>
        <v>200</v>
      </c>
      <c r="BW188" s="311">
        <f>SUMIF(Recibos!$D$4:$D$7493,Cobranza!$B188,Recibos!AI$4:AI$7493)</f>
        <v>200</v>
      </c>
      <c r="BX188" s="312">
        <f t="shared" si="30"/>
        <v>2400</v>
      </c>
      <c r="BY188" s="311">
        <f>SUMIF(Recibos!$D$4:$D$7493,Cobranza!$B188,Recibos!AK$4:AK$7493)</f>
        <v>200</v>
      </c>
      <c r="BZ188" s="311">
        <f>SUMIF(Recibos!$D$4:$D$7493,Cobranza!$B188,Recibos!AL$4:AL$7493)</f>
        <v>200</v>
      </c>
      <c r="CA188" s="311">
        <f>SUMIF(Recibos!$D$4:$D$7493,Cobranza!$B188,Recibos!AM$4:AM$7493)</f>
        <v>200</v>
      </c>
      <c r="CB188" s="311">
        <f>SUMIF(Recibos!$D$4:$D$7493,Cobranza!$B188,Recibos!AN$4:AN$7493)</f>
        <v>200</v>
      </c>
      <c r="CC188" s="311">
        <f>SUMIF(Recibos!$D$4:$D$7493,Cobranza!$B188,Recibos!AO$4:AO$7493)</f>
        <v>200</v>
      </c>
      <c r="CD188" s="311">
        <f>SUMIF(Recibos!$D$4:$D$7493,Cobranza!$B188,Recibos!AP$4:AP$7493)</f>
        <v>200</v>
      </c>
      <c r="CE188" s="311">
        <f>SUMIF(Recibos!$D$4:$D$7493,Cobranza!$B188,Recibos!AQ$4:AQ$7493)</f>
        <v>200</v>
      </c>
      <c r="CF188" s="311">
        <f>SUMIF(Recibos!$D$4:$D$7493,Cobranza!$B188,Recibos!AR$4:AR$7493)</f>
        <v>200</v>
      </c>
      <c r="CG188" s="311">
        <f>SUMIF(Recibos!$D$4:$D$7493,Cobranza!$B188,Recibos!AS$4:AS$7493)</f>
        <v>0</v>
      </c>
      <c r="CH188" s="311">
        <f>SUMIF(Recibos!$D$4:$D$7493,Cobranza!$B188,Recibos!AT$4:AT$7493)</f>
        <v>0</v>
      </c>
      <c r="CI188" s="311">
        <f>SUMIF(Recibos!$D$4:$D$7493,Cobranza!$B188,Recibos!AU$4:AU$7493)</f>
        <v>0</v>
      </c>
      <c r="CJ188" s="311">
        <f>SUMIF(Recibos!$D$4:$D$7493,Cobranza!$B188,Recibos!AV$4:AV$7493)</f>
        <v>0</v>
      </c>
      <c r="CK188" s="312">
        <f t="shared" si="24"/>
        <v>1600</v>
      </c>
    </row>
    <row r="189" spans="2:89" x14ac:dyDescent="0.2">
      <c r="B189" s="45" t="s">
        <v>690</v>
      </c>
      <c r="C189" s="45" t="s">
        <v>691</v>
      </c>
      <c r="D189" s="45" t="s">
        <v>692</v>
      </c>
      <c r="E189" s="46">
        <v>0</v>
      </c>
      <c r="F189" s="46">
        <v>0</v>
      </c>
      <c r="G189" s="46">
        <v>0</v>
      </c>
      <c r="H189" s="46">
        <v>0</v>
      </c>
      <c r="I189" s="46">
        <v>0</v>
      </c>
      <c r="J189" s="46">
        <v>0</v>
      </c>
      <c r="K189" s="47">
        <f t="shared" si="25"/>
        <v>0</v>
      </c>
      <c r="L189" s="46">
        <v>0</v>
      </c>
      <c r="M189" s="46">
        <v>0</v>
      </c>
      <c r="N189" s="46">
        <v>0</v>
      </c>
      <c r="O189" s="46">
        <v>0</v>
      </c>
      <c r="P189" s="46">
        <v>0</v>
      </c>
      <c r="Q189" s="46">
        <v>0</v>
      </c>
      <c r="R189" s="46">
        <v>0</v>
      </c>
      <c r="S189" s="46">
        <v>0</v>
      </c>
      <c r="T189" s="46">
        <v>0</v>
      </c>
      <c r="U189" s="46">
        <v>0</v>
      </c>
      <c r="V189" s="46">
        <v>0</v>
      </c>
      <c r="W189" s="46">
        <v>0</v>
      </c>
      <c r="X189" s="47">
        <f t="shared" si="26"/>
        <v>0</v>
      </c>
      <c r="Y189" s="46">
        <v>0</v>
      </c>
      <c r="Z189" s="46">
        <v>0</v>
      </c>
      <c r="AA189" s="46">
        <v>0</v>
      </c>
      <c r="AB189" s="46">
        <v>0</v>
      </c>
      <c r="AC189" s="46">
        <v>0</v>
      </c>
      <c r="AD189" s="46">
        <v>0</v>
      </c>
      <c r="AE189" s="46">
        <v>0</v>
      </c>
      <c r="AF189" s="46">
        <v>0</v>
      </c>
      <c r="AG189" s="46">
        <v>0</v>
      </c>
      <c r="AH189" s="46">
        <v>0</v>
      </c>
      <c r="AI189" s="46">
        <v>0</v>
      </c>
      <c r="AJ189" s="46">
        <v>0</v>
      </c>
      <c r="AK189" s="47">
        <f t="shared" si="27"/>
        <v>0</v>
      </c>
      <c r="AL189" s="46">
        <v>0</v>
      </c>
      <c r="AM189" s="46">
        <v>0</v>
      </c>
      <c r="AN189" s="46">
        <v>0</v>
      </c>
      <c r="AO189" s="46">
        <v>0</v>
      </c>
      <c r="AP189" s="46">
        <v>0</v>
      </c>
      <c r="AQ189" s="46">
        <v>0</v>
      </c>
      <c r="AR189" s="46">
        <v>0</v>
      </c>
      <c r="AS189" s="46">
        <v>0</v>
      </c>
      <c r="AT189" s="46">
        <v>0</v>
      </c>
      <c r="AU189" s="46">
        <v>0</v>
      </c>
      <c r="AV189" s="46">
        <v>0</v>
      </c>
      <c r="AW189" s="46">
        <v>0</v>
      </c>
      <c r="AX189" s="47">
        <f t="shared" si="28"/>
        <v>0</v>
      </c>
      <c r="AY189" s="313">
        <f>SUMIF(Recibos!$D$4:$D$7493,Cobranza!$B189,Recibos!K$4:K$7493)</f>
        <v>0</v>
      </c>
      <c r="AZ189" s="313">
        <f>SUMIF(Recibos!$D$4:$D$7493,Cobranza!$B189,Recibos!L$4:L$7493)</f>
        <v>0</v>
      </c>
      <c r="BA189" s="313">
        <f>SUMIF(Recibos!$D$4:$D$7493,Cobranza!$B189,Recibos!M$4:M$7493)</f>
        <v>0</v>
      </c>
      <c r="BB189" s="313">
        <f>SUMIF(Recibos!$D$4:$D$7493,Cobranza!$B189,Recibos!N$4:N$7493)</f>
        <v>0</v>
      </c>
      <c r="BC189" s="313">
        <f>SUMIF(Recibos!$D$4:$D$7493,Cobranza!$B189,Recibos!O$4:O$7493)</f>
        <v>0</v>
      </c>
      <c r="BD189" s="313">
        <f>SUMIF(Recibos!$D$4:$D$7493,Cobranza!$B189,Recibos!P$4:P$7493)</f>
        <v>0</v>
      </c>
      <c r="BE189" s="313">
        <f>SUMIF(Recibos!$D$4:$D$7493,Cobranza!$B189,Recibos!Q$4:Q$7493)</f>
        <v>0</v>
      </c>
      <c r="BF189" s="313">
        <f>SUMIF(Recibos!$D$4:$D$7493,Cobranza!$B189,Recibos!R$4:R$7493)</f>
        <v>0</v>
      </c>
      <c r="BG189" s="313">
        <f>SUMIF(Recibos!$D$4:$D$7493,Cobranza!$B189,Recibos!S$4:S$7493)</f>
        <v>0</v>
      </c>
      <c r="BH189" s="313">
        <f>SUMIF(Recibos!$D$4:$D$7493,Cobranza!$B189,Recibos!T$4:T$7493)</f>
        <v>0</v>
      </c>
      <c r="BI189" s="313">
        <f>SUMIF(Recibos!$D$4:$D$7493,Cobranza!$B189,Recibos!U$4:U$7493)</f>
        <v>0</v>
      </c>
      <c r="BJ189" s="313">
        <f>SUMIF(Recibos!$D$4:$D$7493,Cobranza!$B189,Recibos!V$4:V$7493)</f>
        <v>0</v>
      </c>
      <c r="BK189" s="314">
        <f t="shared" si="29"/>
        <v>0</v>
      </c>
      <c r="BL189" s="313">
        <f>SUMIF(Recibos!$D$4:$D$7493,Cobranza!$B189,Recibos!X$4:X$7493)</f>
        <v>0</v>
      </c>
      <c r="BM189" s="313">
        <f>SUMIF(Recibos!$D$4:$D$7493,Cobranza!$B189,Recibos!Y$4:Y$7493)</f>
        <v>0</v>
      </c>
      <c r="BN189" s="313">
        <f>SUMIF(Recibos!$D$4:$D$7493,Cobranza!$B189,Recibos!Z$4:Z$7493)</f>
        <v>0</v>
      </c>
      <c r="BO189" s="313">
        <f>SUMIF(Recibos!$D$4:$D$7493,Cobranza!$B189,Recibos!AA$4:AA$7493)</f>
        <v>0</v>
      </c>
      <c r="BP189" s="313">
        <f>SUMIF(Recibos!$D$4:$D$7493,Cobranza!$B189,Recibos!AB$4:AB$7493)</f>
        <v>0</v>
      </c>
      <c r="BQ189" s="313">
        <f>SUMIF(Recibos!$D$4:$D$7493,Cobranza!$B189,Recibos!AC$4:AC$7493)</f>
        <v>0</v>
      </c>
      <c r="BR189" s="313">
        <f>SUMIF(Recibos!$D$4:$D$7493,Cobranza!$B189,Recibos!AD$4:AD$7493)</f>
        <v>0</v>
      </c>
      <c r="BS189" s="313">
        <f>SUMIF(Recibos!$D$4:$D$7493,Cobranza!$B189,Recibos!AE$4:AE$7493)</f>
        <v>0</v>
      </c>
      <c r="BT189" s="313">
        <f>SUMIF(Recibos!$D$4:$D$7493,Cobranza!$B189,Recibos!AF$4:AF$7493)</f>
        <v>0</v>
      </c>
      <c r="BU189" s="313">
        <f>SUMIF(Recibos!$D$4:$D$7493,Cobranza!$B189,Recibos!AG$4:AG$7493)</f>
        <v>0</v>
      </c>
      <c r="BV189" s="313">
        <f>SUMIF(Recibos!$D$4:$D$7493,Cobranza!$B189,Recibos!AH$4:AH$7493)</f>
        <v>0</v>
      </c>
      <c r="BW189" s="313">
        <f>SUMIF(Recibos!$D$4:$D$7493,Cobranza!$B189,Recibos!AI$4:AI$7493)</f>
        <v>0</v>
      </c>
      <c r="BX189" s="314">
        <f t="shared" si="30"/>
        <v>0</v>
      </c>
      <c r="BY189" s="313">
        <f>SUMIF(Recibos!$D$4:$D$7493,Cobranza!$B189,Recibos!AK$4:AK$7493)</f>
        <v>0</v>
      </c>
      <c r="BZ189" s="313">
        <f>SUMIF(Recibos!$D$4:$D$7493,Cobranza!$B189,Recibos!AL$4:AL$7493)</f>
        <v>0</v>
      </c>
      <c r="CA189" s="313">
        <f>SUMIF(Recibos!$D$4:$D$7493,Cobranza!$B189,Recibos!AM$4:AM$7493)</f>
        <v>0</v>
      </c>
      <c r="CB189" s="313">
        <f>SUMIF(Recibos!$D$4:$D$7493,Cobranza!$B189,Recibos!AN$4:AN$7493)</f>
        <v>0</v>
      </c>
      <c r="CC189" s="313">
        <f>SUMIF(Recibos!$D$4:$D$7493,Cobranza!$B189,Recibos!AO$4:AO$7493)</f>
        <v>0</v>
      </c>
      <c r="CD189" s="313">
        <f>SUMIF(Recibos!$D$4:$D$7493,Cobranza!$B189,Recibos!AP$4:AP$7493)</f>
        <v>0</v>
      </c>
      <c r="CE189" s="313">
        <f>SUMIF(Recibos!$D$4:$D$7493,Cobranza!$B189,Recibos!AQ$4:AQ$7493)</f>
        <v>0</v>
      </c>
      <c r="CF189" s="313">
        <f>SUMIF(Recibos!$D$4:$D$7493,Cobranza!$B189,Recibos!AR$4:AR$7493)</f>
        <v>0</v>
      </c>
      <c r="CG189" s="313">
        <f>SUMIF(Recibos!$D$4:$D$7493,Cobranza!$B189,Recibos!AS$4:AS$7493)</f>
        <v>0</v>
      </c>
      <c r="CH189" s="313">
        <f>SUMIF(Recibos!$D$4:$D$7493,Cobranza!$B189,Recibos!AT$4:AT$7493)</f>
        <v>400</v>
      </c>
      <c r="CI189" s="313">
        <f>SUMIF(Recibos!$D$4:$D$7493,Cobranza!$B189,Recibos!AU$4:AU$7493)</f>
        <v>0</v>
      </c>
      <c r="CJ189" s="313">
        <f>SUMIF(Recibos!$D$4:$D$7493,Cobranza!$B189,Recibos!AV$4:AV$7493)</f>
        <v>0</v>
      </c>
      <c r="CK189" s="314">
        <f t="shared" si="24"/>
        <v>400</v>
      </c>
    </row>
    <row r="190" spans="2:89" x14ac:dyDescent="0.2">
      <c r="B190" s="42" t="s">
        <v>1346</v>
      </c>
      <c r="C190" s="42" t="s">
        <v>1347</v>
      </c>
      <c r="D190" s="42" t="s">
        <v>1348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150</v>
      </c>
      <c r="K190" s="44">
        <f t="shared" si="25"/>
        <v>150</v>
      </c>
      <c r="L190" s="43">
        <v>150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4">
        <f t="shared" si="26"/>
        <v>150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0</v>
      </c>
      <c r="AI190" s="43">
        <v>0</v>
      </c>
      <c r="AJ190" s="43">
        <v>0</v>
      </c>
      <c r="AK190" s="44">
        <f t="shared" si="27"/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250</v>
      </c>
      <c r="AS190" s="43">
        <v>0</v>
      </c>
      <c r="AT190" s="43">
        <v>250</v>
      </c>
      <c r="AU190" s="43">
        <v>250</v>
      </c>
      <c r="AV190" s="43">
        <v>0</v>
      </c>
      <c r="AW190" s="43">
        <v>0</v>
      </c>
      <c r="AX190" s="44">
        <f t="shared" si="28"/>
        <v>750</v>
      </c>
      <c r="AY190" s="311">
        <f>SUMIF(Recibos!$D$4:$D$7493,Cobranza!$B190,Recibos!K$4:K$7493)</f>
        <v>0</v>
      </c>
      <c r="AZ190" s="311">
        <f>SUMIF(Recibos!$D$4:$D$7493,Cobranza!$B190,Recibos!L$4:L$7493)</f>
        <v>0</v>
      </c>
      <c r="BA190" s="311">
        <f>SUMIF(Recibos!$D$4:$D$7493,Cobranza!$B190,Recibos!M$4:M$7493)</f>
        <v>0</v>
      </c>
      <c r="BB190" s="311">
        <f>SUMIF(Recibos!$D$4:$D$7493,Cobranza!$B190,Recibos!N$4:N$7493)</f>
        <v>0</v>
      </c>
      <c r="BC190" s="311">
        <f>SUMIF(Recibos!$D$4:$D$7493,Cobranza!$B190,Recibos!O$4:O$7493)</f>
        <v>0</v>
      </c>
      <c r="BD190" s="311">
        <f>SUMIF(Recibos!$D$4:$D$7493,Cobranza!$B190,Recibos!P$4:P$7493)</f>
        <v>0</v>
      </c>
      <c r="BE190" s="311">
        <f>SUMIF(Recibos!$D$4:$D$7493,Cobranza!$B190,Recibos!Q$4:Q$7493)</f>
        <v>0</v>
      </c>
      <c r="BF190" s="311">
        <f>SUMIF(Recibos!$D$4:$D$7493,Cobranza!$B190,Recibos!R$4:R$7493)</f>
        <v>0</v>
      </c>
      <c r="BG190" s="311">
        <f>SUMIF(Recibos!$D$4:$D$7493,Cobranza!$B190,Recibos!S$4:S$7493)</f>
        <v>0</v>
      </c>
      <c r="BH190" s="311">
        <f>SUMIF(Recibos!$D$4:$D$7493,Cobranza!$B190,Recibos!T$4:T$7493)</f>
        <v>0</v>
      </c>
      <c r="BI190" s="311">
        <f>SUMIF(Recibos!$D$4:$D$7493,Cobranza!$B190,Recibos!U$4:U$7493)</f>
        <v>0</v>
      </c>
      <c r="BJ190" s="311">
        <f>SUMIF(Recibos!$D$4:$D$7493,Cobranza!$B190,Recibos!V$4:V$7493)</f>
        <v>0</v>
      </c>
      <c r="BK190" s="312">
        <f t="shared" si="29"/>
        <v>0</v>
      </c>
      <c r="BL190" s="311">
        <f>SUMIF(Recibos!$D$4:$D$7493,Cobranza!$B190,Recibos!X$4:X$7493)</f>
        <v>200</v>
      </c>
      <c r="BM190" s="311">
        <f>SUMIF(Recibos!$D$4:$D$7493,Cobranza!$B190,Recibos!Y$4:Y$7493)</f>
        <v>200</v>
      </c>
      <c r="BN190" s="311">
        <f>SUMIF(Recibos!$D$4:$D$7493,Cobranza!$B190,Recibos!Z$4:Z$7493)</f>
        <v>200</v>
      </c>
      <c r="BO190" s="311">
        <f>SUMIF(Recibos!$D$4:$D$7493,Cobranza!$B190,Recibos!AA$4:AA$7493)</f>
        <v>200</v>
      </c>
      <c r="BP190" s="311">
        <f>SUMIF(Recibos!$D$4:$D$7493,Cobranza!$B190,Recibos!AB$4:AB$7493)</f>
        <v>200</v>
      </c>
      <c r="BQ190" s="311">
        <f>SUMIF(Recibos!$D$4:$D$7493,Cobranza!$B190,Recibos!AC$4:AC$7493)</f>
        <v>200</v>
      </c>
      <c r="BR190" s="311">
        <f>SUMIF(Recibos!$D$4:$D$7493,Cobranza!$B190,Recibos!AD$4:AD$7493)</f>
        <v>200</v>
      </c>
      <c r="BS190" s="311">
        <f>SUMIF(Recibos!$D$4:$D$7493,Cobranza!$B190,Recibos!AE$4:AE$7493)</f>
        <v>200</v>
      </c>
      <c r="BT190" s="311">
        <f>SUMIF(Recibos!$D$4:$D$7493,Cobranza!$B190,Recibos!AF$4:AF$7493)</f>
        <v>200</v>
      </c>
      <c r="BU190" s="311">
        <f>SUMIF(Recibos!$D$4:$D$7493,Cobranza!$B190,Recibos!AG$4:AG$7493)</f>
        <v>200</v>
      </c>
      <c r="BV190" s="311">
        <f>SUMIF(Recibos!$D$4:$D$7493,Cobranza!$B190,Recibos!AH$4:AH$7493)</f>
        <v>200</v>
      </c>
      <c r="BW190" s="311">
        <f>SUMIF(Recibos!$D$4:$D$7493,Cobranza!$B190,Recibos!AI$4:AI$7493)</f>
        <v>200</v>
      </c>
      <c r="BX190" s="312">
        <f t="shared" si="30"/>
        <v>2400</v>
      </c>
      <c r="BY190" s="311">
        <f>SUMIF(Recibos!$D$4:$D$7493,Cobranza!$B190,Recibos!AK$4:AK$7493)</f>
        <v>200</v>
      </c>
      <c r="BZ190" s="311">
        <f>SUMIF(Recibos!$D$4:$D$7493,Cobranza!$B190,Recibos!AL$4:AL$7493)</f>
        <v>200</v>
      </c>
      <c r="CA190" s="311">
        <f>SUMIF(Recibos!$D$4:$D$7493,Cobranza!$B190,Recibos!AM$4:AM$7493)</f>
        <v>200</v>
      </c>
      <c r="CB190" s="311">
        <f>SUMIF(Recibos!$D$4:$D$7493,Cobranza!$B190,Recibos!AN$4:AN$7493)</f>
        <v>200</v>
      </c>
      <c r="CC190" s="311">
        <f>SUMIF(Recibos!$D$4:$D$7493,Cobranza!$B190,Recibos!AO$4:AO$7493)</f>
        <v>200</v>
      </c>
      <c r="CD190" s="311">
        <f>SUMIF(Recibos!$D$4:$D$7493,Cobranza!$B190,Recibos!AP$4:AP$7493)</f>
        <v>200</v>
      </c>
      <c r="CE190" s="311">
        <f>SUMIF(Recibos!$D$4:$D$7493,Cobranza!$B190,Recibos!AQ$4:AQ$7493)</f>
        <v>200</v>
      </c>
      <c r="CF190" s="311">
        <f>SUMIF(Recibos!$D$4:$D$7493,Cobranza!$B190,Recibos!AR$4:AR$7493)</f>
        <v>200</v>
      </c>
      <c r="CG190" s="311">
        <f>SUMIF(Recibos!$D$4:$D$7493,Cobranza!$B190,Recibos!AS$4:AS$7493)</f>
        <v>0</v>
      </c>
      <c r="CH190" s="311">
        <f>SUMIF(Recibos!$D$4:$D$7493,Cobranza!$B190,Recibos!AT$4:AT$7493)</f>
        <v>0</v>
      </c>
      <c r="CI190" s="311">
        <f>SUMIF(Recibos!$D$4:$D$7493,Cobranza!$B190,Recibos!AU$4:AU$7493)</f>
        <v>0</v>
      </c>
      <c r="CJ190" s="311">
        <f>SUMIF(Recibos!$D$4:$D$7493,Cobranza!$B190,Recibos!AV$4:AV$7493)</f>
        <v>0</v>
      </c>
      <c r="CK190" s="312">
        <f t="shared" si="24"/>
        <v>1600</v>
      </c>
    </row>
    <row r="191" spans="2:89" x14ac:dyDescent="0.2">
      <c r="B191" s="45" t="s">
        <v>115</v>
      </c>
      <c r="C191" s="45" t="s">
        <v>116</v>
      </c>
      <c r="D191" s="45" t="s">
        <v>117</v>
      </c>
      <c r="E191" s="46">
        <v>0</v>
      </c>
      <c r="F191" s="46">
        <v>0</v>
      </c>
      <c r="G191" s="46">
        <v>200</v>
      </c>
      <c r="H191" s="46">
        <v>200</v>
      </c>
      <c r="I191" s="46">
        <v>0</v>
      </c>
      <c r="J191" s="46">
        <v>0</v>
      </c>
      <c r="K191" s="47">
        <f t="shared" si="25"/>
        <v>400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6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X191" s="47">
        <f t="shared" si="26"/>
        <v>0</v>
      </c>
      <c r="Y191" s="46">
        <v>0</v>
      </c>
      <c r="Z191" s="46">
        <v>150</v>
      </c>
      <c r="AA191" s="46">
        <v>150</v>
      </c>
      <c r="AB191" s="46">
        <v>300</v>
      </c>
      <c r="AC191" s="46">
        <v>150</v>
      </c>
      <c r="AD191" s="46">
        <v>0</v>
      </c>
      <c r="AE191" s="46">
        <v>150</v>
      </c>
      <c r="AF191" s="46">
        <v>150</v>
      </c>
      <c r="AG191" s="46">
        <v>150</v>
      </c>
      <c r="AH191" s="46">
        <v>150</v>
      </c>
      <c r="AI191" s="46">
        <v>150</v>
      </c>
      <c r="AJ191" s="46">
        <v>150</v>
      </c>
      <c r="AK191" s="47">
        <f t="shared" si="27"/>
        <v>1650</v>
      </c>
      <c r="AL191" s="46">
        <v>150</v>
      </c>
      <c r="AM191" s="46">
        <v>150</v>
      </c>
      <c r="AN191" s="46">
        <v>150</v>
      </c>
      <c r="AO191" s="46">
        <v>150</v>
      </c>
      <c r="AP191" s="46">
        <v>150</v>
      </c>
      <c r="AQ191" s="46">
        <v>150</v>
      </c>
      <c r="AR191" s="46">
        <v>150</v>
      </c>
      <c r="AS191" s="46">
        <v>150</v>
      </c>
      <c r="AT191" s="46">
        <v>150</v>
      </c>
      <c r="AU191" s="46">
        <v>150</v>
      </c>
      <c r="AV191" s="46">
        <v>150</v>
      </c>
      <c r="AW191" s="46">
        <v>150</v>
      </c>
      <c r="AX191" s="47">
        <f t="shared" si="28"/>
        <v>1800</v>
      </c>
      <c r="AY191" s="313">
        <f>SUMIF(Recibos!$D$4:$D$7493,Cobranza!$B191,Recibos!K$4:K$7493)</f>
        <v>150</v>
      </c>
      <c r="AZ191" s="313">
        <f>SUMIF(Recibos!$D$4:$D$7493,Cobranza!$B191,Recibos!L$4:L$7493)</f>
        <v>150</v>
      </c>
      <c r="BA191" s="313">
        <f>SUMIF(Recibos!$D$4:$D$7493,Cobranza!$B191,Recibos!M$4:M$7493)</f>
        <v>150</v>
      </c>
      <c r="BB191" s="313">
        <f>SUMIF(Recibos!$D$4:$D$7493,Cobranza!$B191,Recibos!N$4:N$7493)</f>
        <v>150</v>
      </c>
      <c r="BC191" s="313">
        <f>SUMIF(Recibos!$D$4:$D$7493,Cobranza!$B191,Recibos!O$4:O$7493)</f>
        <v>150</v>
      </c>
      <c r="BD191" s="313">
        <f>SUMIF(Recibos!$D$4:$D$7493,Cobranza!$B191,Recibos!P$4:P$7493)</f>
        <v>150</v>
      </c>
      <c r="BE191" s="313">
        <f>SUMIF(Recibos!$D$4:$D$7493,Cobranza!$B191,Recibos!Q$4:Q$7493)</f>
        <v>150</v>
      </c>
      <c r="BF191" s="313">
        <f>SUMIF(Recibos!$D$4:$D$7493,Cobranza!$B191,Recibos!R$4:R$7493)</f>
        <v>150</v>
      </c>
      <c r="BG191" s="313">
        <f>SUMIF(Recibos!$D$4:$D$7493,Cobranza!$B191,Recibos!S$4:S$7493)</f>
        <v>150</v>
      </c>
      <c r="BH191" s="313">
        <f>SUMIF(Recibos!$D$4:$D$7493,Cobranza!$B191,Recibos!T$4:T$7493)</f>
        <v>150</v>
      </c>
      <c r="BI191" s="313">
        <f>SUMIF(Recibos!$D$4:$D$7493,Cobranza!$B191,Recibos!U$4:U$7493)</f>
        <v>150</v>
      </c>
      <c r="BJ191" s="313">
        <f>SUMIF(Recibos!$D$4:$D$7493,Cobranza!$B191,Recibos!V$4:V$7493)</f>
        <v>150</v>
      </c>
      <c r="BK191" s="314">
        <f t="shared" si="29"/>
        <v>1800</v>
      </c>
      <c r="BL191" s="313">
        <f>SUMIF(Recibos!$D$4:$D$7493,Cobranza!$B191,Recibos!X$4:X$7493)</f>
        <v>150</v>
      </c>
      <c r="BM191" s="313">
        <f>SUMIF(Recibos!$D$4:$D$7493,Cobranza!$B191,Recibos!Y$4:Y$7493)</f>
        <v>150</v>
      </c>
      <c r="BN191" s="313">
        <f>SUMIF(Recibos!$D$4:$D$7493,Cobranza!$B191,Recibos!Z$4:Z$7493)</f>
        <v>150</v>
      </c>
      <c r="BO191" s="313">
        <f>SUMIF(Recibos!$D$4:$D$7493,Cobranza!$B191,Recibos!AA$4:AA$7493)</f>
        <v>150</v>
      </c>
      <c r="BP191" s="313">
        <f>SUMIF(Recibos!$D$4:$D$7493,Cobranza!$B191,Recibos!AB$4:AB$7493)</f>
        <v>150</v>
      </c>
      <c r="BQ191" s="313">
        <f>SUMIF(Recibos!$D$4:$D$7493,Cobranza!$B191,Recibos!AC$4:AC$7493)</f>
        <v>150</v>
      </c>
      <c r="BR191" s="313">
        <f>SUMIF(Recibos!$D$4:$D$7493,Cobranza!$B191,Recibos!AD$4:AD$7493)</f>
        <v>150</v>
      </c>
      <c r="BS191" s="313">
        <f>SUMIF(Recibos!$D$4:$D$7493,Cobranza!$B191,Recibos!AE$4:AE$7493)</f>
        <v>150</v>
      </c>
      <c r="BT191" s="313">
        <f>SUMIF(Recibos!$D$4:$D$7493,Cobranza!$B191,Recibos!AF$4:AF$7493)</f>
        <v>150</v>
      </c>
      <c r="BU191" s="313">
        <f>SUMIF(Recibos!$D$4:$D$7493,Cobranza!$B191,Recibos!AG$4:AG$7493)</f>
        <v>150</v>
      </c>
      <c r="BV191" s="313">
        <f>SUMIF(Recibos!$D$4:$D$7493,Cobranza!$B191,Recibos!AH$4:AH$7493)</f>
        <v>150</v>
      </c>
      <c r="BW191" s="313">
        <f>SUMIF(Recibos!$D$4:$D$7493,Cobranza!$B191,Recibos!AI$4:AI$7493)</f>
        <v>0</v>
      </c>
      <c r="BX191" s="314">
        <f t="shared" si="30"/>
        <v>1650</v>
      </c>
      <c r="BY191" s="313">
        <f>SUMIF(Recibos!$D$4:$D$7493,Cobranza!$B191,Recibos!AK$4:AK$7493)</f>
        <v>150</v>
      </c>
      <c r="BZ191" s="313">
        <f>SUMIF(Recibos!$D$4:$D$7493,Cobranza!$B191,Recibos!AL$4:AL$7493)</f>
        <v>150</v>
      </c>
      <c r="CA191" s="313">
        <f>SUMIF(Recibos!$D$4:$D$7493,Cobranza!$B191,Recibos!AM$4:AM$7493)</f>
        <v>150</v>
      </c>
      <c r="CB191" s="313">
        <f>SUMIF(Recibos!$D$4:$D$7493,Cobranza!$B191,Recibos!AN$4:AN$7493)</f>
        <v>150</v>
      </c>
      <c r="CC191" s="313">
        <f>SUMIF(Recibos!$D$4:$D$7493,Cobranza!$B191,Recibos!AO$4:AO$7493)</f>
        <v>150</v>
      </c>
      <c r="CD191" s="313">
        <f>SUMIF(Recibos!$D$4:$D$7493,Cobranza!$B191,Recibos!AP$4:AP$7493)</f>
        <v>150</v>
      </c>
      <c r="CE191" s="313">
        <f>SUMIF(Recibos!$D$4:$D$7493,Cobranza!$B191,Recibos!AQ$4:AQ$7493)</f>
        <v>150</v>
      </c>
      <c r="CF191" s="313">
        <f>SUMIF(Recibos!$D$4:$D$7493,Cobranza!$B191,Recibos!AR$4:AR$7493)</f>
        <v>150</v>
      </c>
      <c r="CG191" s="313">
        <f>SUMIF(Recibos!$D$4:$D$7493,Cobranza!$B191,Recibos!AS$4:AS$7493)</f>
        <v>150</v>
      </c>
      <c r="CH191" s="313">
        <f>SUMIF(Recibos!$D$4:$D$7493,Cobranza!$B191,Recibos!AT$4:AT$7493)</f>
        <v>150</v>
      </c>
      <c r="CI191" s="313">
        <f>SUMIF(Recibos!$D$4:$D$7493,Cobranza!$B191,Recibos!AU$4:AU$7493)</f>
        <v>150</v>
      </c>
      <c r="CJ191" s="313">
        <f>SUMIF(Recibos!$D$4:$D$7493,Cobranza!$B191,Recibos!AV$4:AV$7493)</f>
        <v>0</v>
      </c>
      <c r="CK191" s="314">
        <f t="shared" si="24"/>
        <v>1650</v>
      </c>
    </row>
    <row r="192" spans="2:89" x14ac:dyDescent="0.2">
      <c r="B192" s="42" t="s">
        <v>112</v>
      </c>
      <c r="C192" s="42" t="s">
        <v>113</v>
      </c>
      <c r="D192" s="42" t="s">
        <v>114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4">
        <f t="shared" si="25"/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250</v>
      </c>
      <c r="V192" s="43">
        <v>250</v>
      </c>
      <c r="W192" s="43">
        <v>250</v>
      </c>
      <c r="X192" s="44">
        <f t="shared" si="26"/>
        <v>750</v>
      </c>
      <c r="Y192" s="43">
        <v>250</v>
      </c>
      <c r="Z192" s="43">
        <v>250</v>
      </c>
      <c r="AA192" s="43">
        <v>250</v>
      </c>
      <c r="AB192" s="43">
        <v>250</v>
      </c>
      <c r="AC192" s="43">
        <v>250</v>
      </c>
      <c r="AD192" s="43">
        <v>250</v>
      </c>
      <c r="AE192" s="43">
        <v>250</v>
      </c>
      <c r="AF192" s="43">
        <v>250</v>
      </c>
      <c r="AG192" s="43">
        <v>250</v>
      </c>
      <c r="AH192" s="43">
        <v>0</v>
      </c>
      <c r="AI192" s="43">
        <v>0</v>
      </c>
      <c r="AJ192" s="43">
        <v>0</v>
      </c>
      <c r="AK192" s="44">
        <f t="shared" si="27"/>
        <v>2250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250</v>
      </c>
      <c r="AR192" s="43">
        <v>250</v>
      </c>
      <c r="AS192" s="43">
        <v>250</v>
      </c>
      <c r="AT192" s="43">
        <v>250</v>
      </c>
      <c r="AU192" s="43">
        <v>250</v>
      </c>
      <c r="AV192" s="43">
        <v>250</v>
      </c>
      <c r="AW192" s="43">
        <v>250</v>
      </c>
      <c r="AX192" s="44">
        <f t="shared" si="28"/>
        <v>1750</v>
      </c>
      <c r="AY192" s="311">
        <f>SUMIF(Recibos!$D$4:$D$7493,Cobranza!$B192,Recibos!K$4:K$7493)</f>
        <v>250</v>
      </c>
      <c r="AZ192" s="311">
        <f>SUMIF(Recibos!$D$4:$D$7493,Cobranza!$B192,Recibos!L$4:L$7493)</f>
        <v>250</v>
      </c>
      <c r="BA192" s="311">
        <f>SUMIF(Recibos!$D$4:$D$7493,Cobranza!$B192,Recibos!M$4:M$7493)</f>
        <v>250</v>
      </c>
      <c r="BB192" s="311">
        <f>SUMIF(Recibos!$D$4:$D$7493,Cobranza!$B192,Recibos!N$4:N$7493)</f>
        <v>250</v>
      </c>
      <c r="BC192" s="311">
        <f>SUMIF(Recibos!$D$4:$D$7493,Cobranza!$B192,Recibos!O$4:O$7493)</f>
        <v>250</v>
      </c>
      <c r="BD192" s="311">
        <f>SUMIF(Recibos!$D$4:$D$7493,Cobranza!$B192,Recibos!P$4:P$7493)</f>
        <v>250</v>
      </c>
      <c r="BE192" s="311">
        <f>SUMIF(Recibos!$D$4:$D$7493,Cobranza!$B192,Recibos!Q$4:Q$7493)</f>
        <v>250</v>
      </c>
      <c r="BF192" s="311">
        <f>SUMIF(Recibos!$D$4:$D$7493,Cobranza!$B192,Recibos!R$4:R$7493)</f>
        <v>250</v>
      </c>
      <c r="BG192" s="311">
        <f>SUMIF(Recibos!$D$4:$D$7493,Cobranza!$B192,Recibos!S$4:S$7493)</f>
        <v>250</v>
      </c>
      <c r="BH192" s="311">
        <f>SUMIF(Recibos!$D$4:$D$7493,Cobranza!$B192,Recibos!T$4:T$7493)</f>
        <v>250</v>
      </c>
      <c r="BI192" s="311">
        <f>SUMIF(Recibos!$D$4:$D$7493,Cobranza!$B192,Recibos!U$4:U$7493)</f>
        <v>250</v>
      </c>
      <c r="BJ192" s="311">
        <f>SUMIF(Recibos!$D$4:$D$7493,Cobranza!$B192,Recibos!V$4:V$7493)</f>
        <v>250</v>
      </c>
      <c r="BK192" s="312">
        <f t="shared" si="29"/>
        <v>3000</v>
      </c>
      <c r="BL192" s="311">
        <f>SUMIF(Recibos!$D$4:$D$7493,Cobranza!$B192,Recibos!X$4:X$7493)</f>
        <v>250</v>
      </c>
      <c r="BM192" s="311">
        <f>SUMIF(Recibos!$D$4:$D$7493,Cobranza!$B192,Recibos!Y$4:Y$7493)</f>
        <v>250</v>
      </c>
      <c r="BN192" s="311">
        <f>SUMIF(Recibos!$D$4:$D$7493,Cobranza!$B192,Recibos!Z$4:Z$7493)</f>
        <v>250</v>
      </c>
      <c r="BO192" s="311">
        <f>SUMIF(Recibos!$D$4:$D$7493,Cobranza!$B192,Recibos!AA$4:AA$7493)</f>
        <v>250</v>
      </c>
      <c r="BP192" s="311">
        <f>SUMIF(Recibos!$D$4:$D$7493,Cobranza!$B192,Recibos!AB$4:AB$7493)</f>
        <v>250</v>
      </c>
      <c r="BQ192" s="311">
        <f>SUMIF(Recibos!$D$4:$D$7493,Cobranza!$B192,Recibos!AC$4:AC$7493)</f>
        <v>250</v>
      </c>
      <c r="BR192" s="311">
        <f>SUMIF(Recibos!$D$4:$D$7493,Cobranza!$B192,Recibos!AD$4:AD$7493)</f>
        <v>250</v>
      </c>
      <c r="BS192" s="311">
        <f>SUMIF(Recibos!$D$4:$D$7493,Cobranza!$B192,Recibos!AE$4:AE$7493)</f>
        <v>250</v>
      </c>
      <c r="BT192" s="311">
        <f>SUMIF(Recibos!$D$4:$D$7493,Cobranza!$B192,Recibos!AF$4:AF$7493)</f>
        <v>250</v>
      </c>
      <c r="BU192" s="311">
        <f>SUMIF(Recibos!$D$4:$D$7493,Cobranza!$B192,Recibos!AG$4:AG$7493)</f>
        <v>250</v>
      </c>
      <c r="BV192" s="311">
        <f>SUMIF(Recibos!$D$4:$D$7493,Cobranza!$B192,Recibos!AH$4:AH$7493)</f>
        <v>250</v>
      </c>
      <c r="BW192" s="311">
        <f>SUMIF(Recibos!$D$4:$D$7493,Cobranza!$B192,Recibos!AI$4:AI$7493)</f>
        <v>250</v>
      </c>
      <c r="BX192" s="312">
        <f t="shared" si="30"/>
        <v>3000</v>
      </c>
      <c r="BY192" s="311">
        <f>SUMIF(Recibos!$D$4:$D$7493,Cobranza!$B192,Recibos!AK$4:AK$7493)</f>
        <v>250</v>
      </c>
      <c r="BZ192" s="311">
        <f>SUMIF(Recibos!$D$4:$D$7493,Cobranza!$B192,Recibos!AL$4:AL$7493)</f>
        <v>250</v>
      </c>
      <c r="CA192" s="311">
        <f>SUMIF(Recibos!$D$4:$D$7493,Cobranza!$B192,Recibos!AM$4:AM$7493)</f>
        <v>250</v>
      </c>
      <c r="CB192" s="311">
        <f>SUMIF(Recibos!$D$4:$D$7493,Cobranza!$B192,Recibos!AN$4:AN$7493)</f>
        <v>250</v>
      </c>
      <c r="CC192" s="311">
        <f>SUMIF(Recibos!$D$4:$D$7493,Cobranza!$B192,Recibos!AO$4:AO$7493)</f>
        <v>250</v>
      </c>
      <c r="CD192" s="311">
        <f>SUMIF(Recibos!$D$4:$D$7493,Cobranza!$B192,Recibos!AP$4:AP$7493)</f>
        <v>250</v>
      </c>
      <c r="CE192" s="311">
        <f>SUMIF(Recibos!$D$4:$D$7493,Cobranza!$B192,Recibos!AQ$4:AQ$7493)</f>
        <v>250</v>
      </c>
      <c r="CF192" s="311">
        <f>SUMIF(Recibos!$D$4:$D$7493,Cobranza!$B192,Recibos!AR$4:AR$7493)</f>
        <v>250</v>
      </c>
      <c r="CG192" s="311">
        <f>SUMIF(Recibos!$D$4:$D$7493,Cobranza!$B192,Recibos!AS$4:AS$7493)</f>
        <v>250</v>
      </c>
      <c r="CH192" s="311">
        <f>SUMIF(Recibos!$D$4:$D$7493,Cobranza!$B192,Recibos!AT$4:AT$7493)</f>
        <v>0</v>
      </c>
      <c r="CI192" s="311">
        <f>SUMIF(Recibos!$D$4:$D$7493,Cobranza!$B192,Recibos!AU$4:AU$7493)</f>
        <v>0</v>
      </c>
      <c r="CJ192" s="311">
        <f>SUMIF(Recibos!$D$4:$D$7493,Cobranza!$B192,Recibos!AV$4:AV$7493)</f>
        <v>0</v>
      </c>
      <c r="CK192" s="312">
        <f t="shared" si="24"/>
        <v>2250</v>
      </c>
    </row>
    <row r="193" spans="2:89" x14ac:dyDescent="0.2">
      <c r="B193" s="45" t="s">
        <v>806</v>
      </c>
      <c r="C193" s="45" t="s">
        <v>885</v>
      </c>
      <c r="D193" s="45" t="s">
        <v>805</v>
      </c>
      <c r="E193" s="46">
        <v>0</v>
      </c>
      <c r="F193" s="46">
        <v>0</v>
      </c>
      <c r="G193" s="46">
        <v>0</v>
      </c>
      <c r="H193" s="46">
        <v>0</v>
      </c>
      <c r="I193" s="46">
        <v>0</v>
      </c>
      <c r="J193" s="46">
        <v>0</v>
      </c>
      <c r="K193" s="47">
        <f t="shared" si="25"/>
        <v>0</v>
      </c>
      <c r="L193" s="46">
        <v>10000</v>
      </c>
      <c r="M193" s="46">
        <v>10000</v>
      </c>
      <c r="N193" s="46">
        <v>10000</v>
      </c>
      <c r="O193" s="46">
        <v>0</v>
      </c>
      <c r="P193" s="46">
        <v>20000</v>
      </c>
      <c r="Q193" s="46">
        <v>10000</v>
      </c>
      <c r="R193" s="46">
        <v>10000</v>
      </c>
      <c r="S193" s="46">
        <v>10000</v>
      </c>
      <c r="T193" s="46">
        <v>10000</v>
      </c>
      <c r="U193" s="46">
        <v>10000</v>
      </c>
      <c r="V193" s="46">
        <v>10000</v>
      </c>
      <c r="W193" s="46">
        <v>10000</v>
      </c>
      <c r="X193" s="47">
        <f t="shared" si="26"/>
        <v>120000</v>
      </c>
      <c r="Y193" s="46">
        <v>10000</v>
      </c>
      <c r="Z193" s="46">
        <v>10000</v>
      </c>
      <c r="AA193" s="46">
        <v>10000</v>
      </c>
      <c r="AB193" s="46">
        <v>10000</v>
      </c>
      <c r="AC193" s="46">
        <v>10000</v>
      </c>
      <c r="AD193" s="46">
        <v>10000</v>
      </c>
      <c r="AE193" s="46">
        <v>10000</v>
      </c>
      <c r="AF193" s="46">
        <v>10000</v>
      </c>
      <c r="AG193" s="46">
        <v>10000</v>
      </c>
      <c r="AH193" s="46">
        <v>10000</v>
      </c>
      <c r="AI193" s="46">
        <v>10000</v>
      </c>
      <c r="AJ193" s="46">
        <v>10000</v>
      </c>
      <c r="AK193" s="47">
        <f t="shared" si="27"/>
        <v>120000</v>
      </c>
      <c r="AL193" s="46">
        <v>11000</v>
      </c>
      <c r="AM193" s="46">
        <v>11000</v>
      </c>
      <c r="AN193" s="46">
        <v>11000</v>
      </c>
      <c r="AO193" s="46">
        <v>11000</v>
      </c>
      <c r="AP193" s="46">
        <v>11000</v>
      </c>
      <c r="AQ193" s="46">
        <v>11000</v>
      </c>
      <c r="AR193" s="46">
        <v>11000</v>
      </c>
      <c r="AS193" s="46">
        <v>11000</v>
      </c>
      <c r="AT193" s="46">
        <v>11000</v>
      </c>
      <c r="AU193" s="46">
        <v>11000</v>
      </c>
      <c r="AV193" s="46">
        <v>11000</v>
      </c>
      <c r="AW193" s="46">
        <v>11000</v>
      </c>
      <c r="AX193" s="47">
        <f t="shared" si="28"/>
        <v>132000</v>
      </c>
      <c r="AY193" s="313">
        <f>SUMIF(Recibos!$D$4:$D$7493,Cobranza!$B193,Recibos!K$4:K$7493)</f>
        <v>11000</v>
      </c>
      <c r="AZ193" s="313">
        <f>SUMIF(Recibos!$D$4:$D$7493,Cobranza!$B193,Recibos!L$4:L$7493)</f>
        <v>11000</v>
      </c>
      <c r="BA193" s="313">
        <f>SUMIF(Recibos!$D$4:$D$7493,Cobranza!$B193,Recibos!M$4:M$7493)</f>
        <v>11000</v>
      </c>
      <c r="BB193" s="313">
        <f>SUMIF(Recibos!$D$4:$D$7493,Cobranza!$B193,Recibos!N$4:N$7493)</f>
        <v>11000</v>
      </c>
      <c r="BC193" s="313">
        <f>SUMIF(Recibos!$D$4:$D$7493,Cobranza!$B193,Recibos!O$4:O$7493)</f>
        <v>11000</v>
      </c>
      <c r="BD193" s="313">
        <f>SUMIF(Recibos!$D$4:$D$7493,Cobranza!$B193,Recibos!P$4:P$7493)</f>
        <v>11000</v>
      </c>
      <c r="BE193" s="313">
        <f>SUMIF(Recibos!$D$4:$D$7493,Cobranza!$B193,Recibos!Q$4:Q$7493)</f>
        <v>11000</v>
      </c>
      <c r="BF193" s="313">
        <f>SUMIF(Recibos!$D$4:$D$7493,Cobranza!$B193,Recibos!R$4:R$7493)</f>
        <v>11000</v>
      </c>
      <c r="BG193" s="313">
        <f>SUMIF(Recibos!$D$4:$D$7493,Cobranza!$B193,Recibos!S$4:S$7493)</f>
        <v>11000</v>
      </c>
      <c r="BH193" s="313">
        <f>SUMIF(Recibos!$D$4:$D$7493,Cobranza!$B193,Recibos!T$4:T$7493)</f>
        <v>11000</v>
      </c>
      <c r="BI193" s="313">
        <f>SUMIF(Recibos!$D$4:$D$7493,Cobranza!$B193,Recibos!U$4:U$7493)</f>
        <v>11000</v>
      </c>
      <c r="BJ193" s="313">
        <f>SUMIF(Recibos!$D$4:$D$7493,Cobranza!$B193,Recibos!V$4:V$7493)</f>
        <v>11000</v>
      </c>
      <c r="BK193" s="314">
        <f t="shared" si="29"/>
        <v>132000</v>
      </c>
      <c r="BL193" s="313">
        <f>SUMIF(Recibos!$D$4:$D$7493,Cobranza!$B193,Recibos!X$4:X$7493)</f>
        <v>11000</v>
      </c>
      <c r="BM193" s="313">
        <f>SUMIF(Recibos!$D$4:$D$7493,Cobranza!$B193,Recibos!Y$4:Y$7493)</f>
        <v>11000</v>
      </c>
      <c r="BN193" s="313">
        <f>SUMIF(Recibos!$D$4:$D$7493,Cobranza!$B193,Recibos!Z$4:Z$7493)</f>
        <v>11000</v>
      </c>
      <c r="BO193" s="313">
        <f>SUMIF(Recibos!$D$4:$D$7493,Cobranza!$B193,Recibos!AA$4:AA$7493)</f>
        <v>11000</v>
      </c>
      <c r="BP193" s="313">
        <f>SUMIF(Recibos!$D$4:$D$7493,Cobranza!$B193,Recibos!AB$4:AB$7493)</f>
        <v>11000</v>
      </c>
      <c r="BQ193" s="313">
        <f>SUMIF(Recibos!$D$4:$D$7493,Cobranza!$B193,Recibos!AC$4:AC$7493)</f>
        <v>11000</v>
      </c>
      <c r="BR193" s="313">
        <f>SUMIF(Recibos!$D$4:$D$7493,Cobranza!$B193,Recibos!AD$4:AD$7493)</f>
        <v>11000</v>
      </c>
      <c r="BS193" s="313">
        <f>SUMIF(Recibos!$D$4:$D$7493,Cobranza!$B193,Recibos!AE$4:AE$7493)</f>
        <v>11000</v>
      </c>
      <c r="BT193" s="313">
        <f>SUMIF(Recibos!$D$4:$D$7493,Cobranza!$B193,Recibos!AF$4:AF$7493)</f>
        <v>11000</v>
      </c>
      <c r="BU193" s="313">
        <f>SUMIF(Recibos!$D$4:$D$7493,Cobranza!$B193,Recibos!AG$4:AG$7493)</f>
        <v>11000</v>
      </c>
      <c r="BV193" s="313">
        <f>SUMIF(Recibos!$D$4:$D$7493,Cobranza!$B193,Recibos!AH$4:AH$7493)</f>
        <v>11000</v>
      </c>
      <c r="BW193" s="313">
        <f>SUMIF(Recibos!$D$4:$D$7493,Cobranza!$B193,Recibos!AI$4:AI$7493)</f>
        <v>11000</v>
      </c>
      <c r="BX193" s="314">
        <f t="shared" si="30"/>
        <v>132000</v>
      </c>
      <c r="BY193" s="313">
        <f>SUMIF(Recibos!$D$4:$D$7493,Cobranza!$B193,Recibos!AK$4:AK$7493)</f>
        <v>11000</v>
      </c>
      <c r="BZ193" s="313">
        <f>SUMIF(Recibos!$D$4:$D$7493,Cobranza!$B193,Recibos!AL$4:AL$7493)</f>
        <v>11000</v>
      </c>
      <c r="CA193" s="313">
        <f>SUMIF(Recibos!$D$4:$D$7493,Cobranza!$B193,Recibos!AM$4:AM$7493)</f>
        <v>11000</v>
      </c>
      <c r="CB193" s="313">
        <f>SUMIF(Recibos!$D$4:$D$7493,Cobranza!$B193,Recibos!AN$4:AN$7493)</f>
        <v>11000</v>
      </c>
      <c r="CC193" s="313">
        <f>SUMIF(Recibos!$D$4:$D$7493,Cobranza!$B193,Recibos!AO$4:AO$7493)</f>
        <v>11000</v>
      </c>
      <c r="CD193" s="313">
        <f>SUMIF(Recibos!$D$4:$D$7493,Cobranza!$B193,Recibos!AP$4:AP$7493)</f>
        <v>11000</v>
      </c>
      <c r="CE193" s="313">
        <f>SUMIF(Recibos!$D$4:$D$7493,Cobranza!$B193,Recibos!AQ$4:AQ$7493)</f>
        <v>11000</v>
      </c>
      <c r="CF193" s="313">
        <f>SUMIF(Recibos!$D$4:$D$7493,Cobranza!$B193,Recibos!AR$4:AR$7493)</f>
        <v>11000</v>
      </c>
      <c r="CG193" s="313">
        <f>SUMIF(Recibos!$D$4:$D$7493,Cobranza!$B193,Recibos!AS$4:AS$7493)</f>
        <v>11000</v>
      </c>
      <c r="CH193" s="313">
        <f>SUMIF(Recibos!$D$4:$D$7493,Cobranza!$B193,Recibos!AT$4:AT$7493)</f>
        <v>0</v>
      </c>
      <c r="CI193" s="313">
        <f>SUMIF(Recibos!$D$4:$D$7493,Cobranza!$B193,Recibos!AU$4:AU$7493)</f>
        <v>0</v>
      </c>
      <c r="CJ193" s="313">
        <f>SUMIF(Recibos!$D$4:$D$7493,Cobranza!$B193,Recibos!AV$4:AV$7493)</f>
        <v>0</v>
      </c>
      <c r="CK193" s="314">
        <f t="shared" si="24"/>
        <v>99000</v>
      </c>
    </row>
    <row r="194" spans="2:89" x14ac:dyDescent="0.2">
      <c r="B194" s="42" t="s">
        <v>1349</v>
      </c>
      <c r="C194" s="42" t="s">
        <v>1350</v>
      </c>
      <c r="D194" s="42" t="s">
        <v>886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4">
        <f t="shared" si="25"/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4">
        <f t="shared" si="26"/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4">
        <f t="shared" si="27"/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4">
        <f t="shared" si="28"/>
        <v>0</v>
      </c>
      <c r="AY194" s="311">
        <f>SUMIF(Recibos!$D$4:$D$7493,Cobranza!$B194,Recibos!K$4:K$7493)</f>
        <v>0</v>
      </c>
      <c r="AZ194" s="311">
        <f>SUMIF(Recibos!$D$4:$D$7493,Cobranza!$B194,Recibos!L$4:L$7493)</f>
        <v>0</v>
      </c>
      <c r="BA194" s="311">
        <f>SUMIF(Recibos!$D$4:$D$7493,Cobranza!$B194,Recibos!M$4:M$7493)</f>
        <v>0</v>
      </c>
      <c r="BB194" s="311">
        <f>SUMIF(Recibos!$D$4:$D$7493,Cobranza!$B194,Recibos!N$4:N$7493)</f>
        <v>0</v>
      </c>
      <c r="BC194" s="311">
        <f>SUMIF(Recibos!$D$4:$D$7493,Cobranza!$B194,Recibos!O$4:O$7493)</f>
        <v>0</v>
      </c>
      <c r="BD194" s="311">
        <f>SUMIF(Recibos!$D$4:$D$7493,Cobranza!$B194,Recibos!P$4:P$7493)</f>
        <v>0</v>
      </c>
      <c r="BE194" s="311">
        <f>SUMIF(Recibos!$D$4:$D$7493,Cobranza!$B194,Recibos!Q$4:Q$7493)</f>
        <v>0</v>
      </c>
      <c r="BF194" s="311">
        <f>SUMIF(Recibos!$D$4:$D$7493,Cobranza!$B194,Recibos!R$4:R$7493)</f>
        <v>0</v>
      </c>
      <c r="BG194" s="311">
        <f>SUMIF(Recibos!$D$4:$D$7493,Cobranza!$B194,Recibos!S$4:S$7493)</f>
        <v>0</v>
      </c>
      <c r="BH194" s="311">
        <f>SUMIF(Recibos!$D$4:$D$7493,Cobranza!$B194,Recibos!T$4:T$7493)</f>
        <v>0</v>
      </c>
      <c r="BI194" s="311">
        <f>SUMIF(Recibos!$D$4:$D$7493,Cobranza!$B194,Recibos!U$4:U$7493)</f>
        <v>0</v>
      </c>
      <c r="BJ194" s="311">
        <f>SUMIF(Recibos!$D$4:$D$7493,Cobranza!$B194,Recibos!V$4:V$7493)</f>
        <v>0</v>
      </c>
      <c r="BK194" s="312">
        <f t="shared" si="29"/>
        <v>0</v>
      </c>
      <c r="BL194" s="311">
        <f>SUMIF(Recibos!$D$4:$D$7493,Cobranza!$B194,Recibos!X$4:X$7493)</f>
        <v>0</v>
      </c>
      <c r="BM194" s="311">
        <f>SUMIF(Recibos!$D$4:$D$7493,Cobranza!$B194,Recibos!Y$4:Y$7493)</f>
        <v>0</v>
      </c>
      <c r="BN194" s="311">
        <f>SUMIF(Recibos!$D$4:$D$7493,Cobranza!$B194,Recibos!Z$4:Z$7493)</f>
        <v>0</v>
      </c>
      <c r="BO194" s="311">
        <f>SUMIF(Recibos!$D$4:$D$7493,Cobranza!$B194,Recibos!AA$4:AA$7493)</f>
        <v>0</v>
      </c>
      <c r="BP194" s="311">
        <f>SUMIF(Recibos!$D$4:$D$7493,Cobranza!$B194,Recibos!AB$4:AB$7493)</f>
        <v>0</v>
      </c>
      <c r="BQ194" s="311">
        <f>SUMIF(Recibos!$D$4:$D$7493,Cobranza!$B194,Recibos!AC$4:AC$7493)</f>
        <v>0</v>
      </c>
      <c r="BR194" s="311">
        <f>SUMIF(Recibos!$D$4:$D$7493,Cobranza!$B194,Recibos!AD$4:AD$7493)</f>
        <v>0</v>
      </c>
      <c r="BS194" s="311">
        <f>SUMIF(Recibos!$D$4:$D$7493,Cobranza!$B194,Recibos!AE$4:AE$7493)</f>
        <v>0</v>
      </c>
      <c r="BT194" s="311">
        <f>SUMIF(Recibos!$D$4:$D$7493,Cobranza!$B194,Recibos!AF$4:AF$7493)</f>
        <v>0</v>
      </c>
      <c r="BU194" s="311">
        <f>SUMIF(Recibos!$D$4:$D$7493,Cobranza!$B194,Recibos!AG$4:AG$7493)</f>
        <v>0</v>
      </c>
      <c r="BV194" s="311">
        <f>SUMIF(Recibos!$D$4:$D$7493,Cobranza!$B194,Recibos!AH$4:AH$7493)</f>
        <v>0</v>
      </c>
      <c r="BW194" s="311">
        <f>SUMIF(Recibos!$D$4:$D$7493,Cobranza!$B194,Recibos!AI$4:AI$7493)</f>
        <v>0</v>
      </c>
      <c r="BX194" s="312">
        <f t="shared" si="30"/>
        <v>0</v>
      </c>
      <c r="BY194" s="311">
        <f>SUMIF(Recibos!$D$4:$D$7493,Cobranza!$B194,Recibos!AK$4:AK$7493)</f>
        <v>0</v>
      </c>
      <c r="BZ194" s="311">
        <f>SUMIF(Recibos!$D$4:$D$7493,Cobranza!$B194,Recibos!AL$4:AL$7493)</f>
        <v>0</v>
      </c>
      <c r="CA194" s="311">
        <f>SUMIF(Recibos!$D$4:$D$7493,Cobranza!$B194,Recibos!AM$4:AM$7493)</f>
        <v>0</v>
      </c>
      <c r="CB194" s="311">
        <f>SUMIF(Recibos!$D$4:$D$7493,Cobranza!$B194,Recibos!AN$4:AN$7493)</f>
        <v>0</v>
      </c>
      <c r="CC194" s="311">
        <f>SUMIF(Recibos!$D$4:$D$7493,Cobranza!$B194,Recibos!AO$4:AO$7493)</f>
        <v>0</v>
      </c>
      <c r="CD194" s="311">
        <f>SUMIF(Recibos!$D$4:$D$7493,Cobranza!$B194,Recibos!AP$4:AP$7493)</f>
        <v>0</v>
      </c>
      <c r="CE194" s="311">
        <f>SUMIF(Recibos!$D$4:$D$7493,Cobranza!$B194,Recibos!AQ$4:AQ$7493)</f>
        <v>0</v>
      </c>
      <c r="CF194" s="311">
        <f>SUMIF(Recibos!$D$4:$D$7493,Cobranza!$B194,Recibos!AR$4:AR$7493)</f>
        <v>0</v>
      </c>
      <c r="CG194" s="311">
        <f>SUMIF(Recibos!$D$4:$D$7493,Cobranza!$B194,Recibos!AS$4:AS$7493)</f>
        <v>0</v>
      </c>
      <c r="CH194" s="311">
        <f>SUMIF(Recibos!$D$4:$D$7493,Cobranza!$B194,Recibos!AT$4:AT$7493)</f>
        <v>0</v>
      </c>
      <c r="CI194" s="311">
        <f>SUMIF(Recibos!$D$4:$D$7493,Cobranza!$B194,Recibos!AU$4:AU$7493)</f>
        <v>0</v>
      </c>
      <c r="CJ194" s="311">
        <f>SUMIF(Recibos!$D$4:$D$7493,Cobranza!$B194,Recibos!AV$4:AV$7493)</f>
        <v>0</v>
      </c>
      <c r="CK194" s="312">
        <f t="shared" si="24"/>
        <v>0</v>
      </c>
    </row>
    <row r="195" spans="2:89" x14ac:dyDescent="0.2">
      <c r="B195" s="45" t="s">
        <v>731</v>
      </c>
      <c r="C195" s="45" t="s">
        <v>732</v>
      </c>
      <c r="D195" s="45" t="s">
        <v>733</v>
      </c>
      <c r="E195" s="46">
        <v>0</v>
      </c>
      <c r="F195" s="46">
        <v>0</v>
      </c>
      <c r="G195" s="46">
        <v>0</v>
      </c>
      <c r="H195" s="46">
        <v>0</v>
      </c>
      <c r="I195" s="46">
        <v>0</v>
      </c>
      <c r="J195" s="46">
        <v>0</v>
      </c>
      <c r="K195" s="47">
        <f t="shared" si="25"/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250</v>
      </c>
      <c r="T195" s="46">
        <v>250</v>
      </c>
      <c r="U195" s="46">
        <v>300</v>
      </c>
      <c r="V195" s="46">
        <v>300</v>
      </c>
      <c r="W195" s="46">
        <v>300</v>
      </c>
      <c r="X195" s="47">
        <f t="shared" si="26"/>
        <v>1400</v>
      </c>
      <c r="Y195" s="46">
        <v>300</v>
      </c>
      <c r="Z195" s="46">
        <v>300</v>
      </c>
      <c r="AA195" s="46">
        <v>300</v>
      </c>
      <c r="AB195" s="46">
        <v>300</v>
      </c>
      <c r="AC195" s="46">
        <v>300</v>
      </c>
      <c r="AD195" s="46">
        <v>300</v>
      </c>
      <c r="AE195" s="46">
        <v>300</v>
      </c>
      <c r="AF195" s="46">
        <v>300</v>
      </c>
      <c r="AG195" s="46">
        <v>300</v>
      </c>
      <c r="AH195" s="46">
        <v>300</v>
      </c>
      <c r="AI195" s="46">
        <v>300</v>
      </c>
      <c r="AJ195" s="46">
        <v>300</v>
      </c>
      <c r="AK195" s="47">
        <f t="shared" si="27"/>
        <v>3600</v>
      </c>
      <c r="AL195" s="46">
        <v>300</v>
      </c>
      <c r="AM195" s="46">
        <v>300</v>
      </c>
      <c r="AN195" s="46">
        <v>300</v>
      </c>
      <c r="AO195" s="46">
        <v>300</v>
      </c>
      <c r="AP195" s="46">
        <v>300</v>
      </c>
      <c r="AQ195" s="46">
        <v>300</v>
      </c>
      <c r="AR195" s="46">
        <v>300</v>
      </c>
      <c r="AS195" s="46">
        <v>300</v>
      </c>
      <c r="AT195" s="46">
        <v>300</v>
      </c>
      <c r="AU195" s="46">
        <v>300</v>
      </c>
      <c r="AV195" s="46">
        <v>0</v>
      </c>
      <c r="AW195" s="46">
        <v>0</v>
      </c>
      <c r="AX195" s="47">
        <f t="shared" si="28"/>
        <v>3000</v>
      </c>
      <c r="AY195" s="313">
        <f>SUMIF(Recibos!$D$4:$D$7493,Cobranza!$B195,Recibos!K$4:K$7493)</f>
        <v>300</v>
      </c>
      <c r="AZ195" s="313">
        <f>SUMIF(Recibos!$D$4:$D$7493,Cobranza!$B195,Recibos!L$4:L$7493)</f>
        <v>300</v>
      </c>
      <c r="BA195" s="313">
        <f>SUMIF(Recibos!$D$4:$D$7493,Cobranza!$B195,Recibos!M$4:M$7493)</f>
        <v>300</v>
      </c>
      <c r="BB195" s="313">
        <f>SUMIF(Recibos!$D$4:$D$7493,Cobranza!$B195,Recibos!N$4:N$7493)</f>
        <v>300</v>
      </c>
      <c r="BC195" s="313">
        <f>SUMIF(Recibos!$D$4:$D$7493,Cobranza!$B195,Recibos!O$4:O$7493)</f>
        <v>300</v>
      </c>
      <c r="BD195" s="313">
        <f>SUMIF(Recibos!$D$4:$D$7493,Cobranza!$B195,Recibos!P$4:P$7493)</f>
        <v>300</v>
      </c>
      <c r="BE195" s="313">
        <f>SUMIF(Recibos!$D$4:$D$7493,Cobranza!$B195,Recibos!Q$4:Q$7493)</f>
        <v>300</v>
      </c>
      <c r="BF195" s="313">
        <f>SUMIF(Recibos!$D$4:$D$7493,Cobranza!$B195,Recibos!R$4:R$7493)</f>
        <v>300</v>
      </c>
      <c r="BG195" s="313">
        <f>SUMIF(Recibos!$D$4:$D$7493,Cobranza!$B195,Recibos!S$4:S$7493)</f>
        <v>300</v>
      </c>
      <c r="BH195" s="313">
        <f>SUMIF(Recibos!$D$4:$D$7493,Cobranza!$B195,Recibos!T$4:T$7493)</f>
        <v>300</v>
      </c>
      <c r="BI195" s="313">
        <f>SUMIF(Recibos!$D$4:$D$7493,Cobranza!$B195,Recibos!U$4:U$7493)</f>
        <v>300</v>
      </c>
      <c r="BJ195" s="313">
        <f>SUMIF(Recibos!$D$4:$D$7493,Cobranza!$B195,Recibos!V$4:V$7493)</f>
        <v>300</v>
      </c>
      <c r="BK195" s="314">
        <f t="shared" si="29"/>
        <v>3600</v>
      </c>
      <c r="BL195" s="313">
        <f>SUMIF(Recibos!$D$4:$D$7493,Cobranza!$B195,Recibos!X$4:X$7493)</f>
        <v>300</v>
      </c>
      <c r="BM195" s="313">
        <f>SUMIF(Recibos!$D$4:$D$7493,Cobranza!$B195,Recibos!Y$4:Y$7493)</f>
        <v>300</v>
      </c>
      <c r="BN195" s="313">
        <f>SUMIF(Recibos!$D$4:$D$7493,Cobranza!$B195,Recibos!Z$4:Z$7493)</f>
        <v>300</v>
      </c>
      <c r="BO195" s="313">
        <f>SUMIF(Recibos!$D$4:$D$7493,Cobranza!$B195,Recibos!AA$4:AA$7493)</f>
        <v>300</v>
      </c>
      <c r="BP195" s="313">
        <f>SUMIF(Recibos!$D$4:$D$7493,Cobranza!$B195,Recibos!AB$4:AB$7493)</f>
        <v>300</v>
      </c>
      <c r="BQ195" s="313">
        <f>SUMIF(Recibos!$D$4:$D$7493,Cobranza!$B195,Recibos!AC$4:AC$7493)</f>
        <v>300</v>
      </c>
      <c r="BR195" s="313">
        <f>SUMIF(Recibos!$D$4:$D$7493,Cobranza!$B195,Recibos!AD$4:AD$7493)</f>
        <v>300</v>
      </c>
      <c r="BS195" s="313">
        <f>SUMIF(Recibos!$D$4:$D$7493,Cobranza!$B195,Recibos!AE$4:AE$7493)</f>
        <v>300</v>
      </c>
      <c r="BT195" s="313">
        <f>SUMIF(Recibos!$D$4:$D$7493,Cobranza!$B195,Recibos!AF$4:AF$7493)</f>
        <v>300</v>
      </c>
      <c r="BU195" s="313">
        <f>SUMIF(Recibos!$D$4:$D$7493,Cobranza!$B195,Recibos!AG$4:AG$7493)</f>
        <v>300</v>
      </c>
      <c r="BV195" s="313">
        <f>SUMIF(Recibos!$D$4:$D$7493,Cobranza!$B195,Recibos!AH$4:AH$7493)</f>
        <v>300</v>
      </c>
      <c r="BW195" s="313">
        <f>SUMIF(Recibos!$D$4:$D$7493,Cobranza!$B195,Recibos!AI$4:AI$7493)</f>
        <v>300</v>
      </c>
      <c r="BX195" s="314">
        <f t="shared" si="30"/>
        <v>3600</v>
      </c>
      <c r="BY195" s="313">
        <f>SUMIF(Recibos!$D$4:$D$7493,Cobranza!$B195,Recibos!AK$4:AK$7493)</f>
        <v>300</v>
      </c>
      <c r="BZ195" s="313">
        <f>SUMIF(Recibos!$D$4:$D$7493,Cobranza!$B195,Recibos!AL$4:AL$7493)</f>
        <v>300</v>
      </c>
      <c r="CA195" s="313">
        <f>SUMIF(Recibos!$D$4:$D$7493,Cobranza!$B195,Recibos!AM$4:AM$7493)</f>
        <v>300</v>
      </c>
      <c r="CB195" s="313">
        <f>SUMIF(Recibos!$D$4:$D$7493,Cobranza!$B195,Recibos!AN$4:AN$7493)</f>
        <v>300</v>
      </c>
      <c r="CC195" s="313">
        <f>SUMIF(Recibos!$D$4:$D$7493,Cobranza!$B195,Recibos!AO$4:AO$7493)</f>
        <v>300</v>
      </c>
      <c r="CD195" s="313">
        <f>SUMIF(Recibos!$D$4:$D$7493,Cobranza!$B195,Recibos!AP$4:AP$7493)</f>
        <v>300</v>
      </c>
      <c r="CE195" s="313">
        <f>SUMIF(Recibos!$D$4:$D$7493,Cobranza!$B195,Recibos!AQ$4:AQ$7493)</f>
        <v>300</v>
      </c>
      <c r="CF195" s="313">
        <f>SUMIF(Recibos!$D$4:$D$7493,Cobranza!$B195,Recibos!AR$4:AR$7493)</f>
        <v>300</v>
      </c>
      <c r="CG195" s="313">
        <f>SUMIF(Recibos!$D$4:$D$7493,Cobranza!$B195,Recibos!AS$4:AS$7493)</f>
        <v>300</v>
      </c>
      <c r="CH195" s="313">
        <f>SUMIF(Recibos!$D$4:$D$7493,Cobranza!$B195,Recibos!AT$4:AT$7493)</f>
        <v>300</v>
      </c>
      <c r="CI195" s="313">
        <f>SUMIF(Recibos!$D$4:$D$7493,Cobranza!$B195,Recibos!AU$4:AU$7493)</f>
        <v>300</v>
      </c>
      <c r="CJ195" s="313">
        <f>SUMIF(Recibos!$D$4:$D$7493,Cobranza!$B195,Recibos!AV$4:AV$7493)</f>
        <v>0</v>
      </c>
      <c r="CK195" s="314">
        <f t="shared" si="24"/>
        <v>3300</v>
      </c>
    </row>
    <row r="196" spans="2:89" x14ac:dyDescent="0.2">
      <c r="B196" s="42" t="s">
        <v>1351</v>
      </c>
      <c r="C196" s="42" t="s">
        <v>1350</v>
      </c>
      <c r="D196" s="42"/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250</v>
      </c>
      <c r="K196" s="44">
        <f t="shared" si="25"/>
        <v>250</v>
      </c>
      <c r="L196" s="43">
        <v>250</v>
      </c>
      <c r="M196" s="43">
        <v>250</v>
      </c>
      <c r="N196" s="43">
        <v>250</v>
      </c>
      <c r="O196" s="43">
        <v>250</v>
      </c>
      <c r="P196" s="43">
        <v>250</v>
      </c>
      <c r="Q196" s="43">
        <v>250</v>
      </c>
      <c r="R196" s="43">
        <v>250</v>
      </c>
      <c r="S196" s="43">
        <v>0</v>
      </c>
      <c r="T196" s="43">
        <v>0</v>
      </c>
      <c r="U196" s="43">
        <v>0</v>
      </c>
      <c r="V196" s="43">
        <v>0</v>
      </c>
      <c r="W196" s="43">
        <v>0</v>
      </c>
      <c r="X196" s="44">
        <f t="shared" si="26"/>
        <v>1750</v>
      </c>
      <c r="Y196" s="43">
        <v>0</v>
      </c>
      <c r="Z196" s="43">
        <v>0</v>
      </c>
      <c r="AA196" s="43">
        <v>0</v>
      </c>
      <c r="AB196" s="43">
        <v>0</v>
      </c>
      <c r="AC196" s="43">
        <v>0</v>
      </c>
      <c r="AD196" s="43">
        <v>0</v>
      </c>
      <c r="AE196" s="43">
        <v>0</v>
      </c>
      <c r="AF196" s="43">
        <v>0</v>
      </c>
      <c r="AG196" s="43">
        <v>0</v>
      </c>
      <c r="AH196" s="43">
        <v>0</v>
      </c>
      <c r="AI196" s="43">
        <v>0</v>
      </c>
      <c r="AJ196" s="43">
        <v>0</v>
      </c>
      <c r="AK196" s="44">
        <f t="shared" si="27"/>
        <v>0</v>
      </c>
      <c r="AL196" s="43">
        <v>0</v>
      </c>
      <c r="AM196" s="43">
        <v>0</v>
      </c>
      <c r="AN196" s="43">
        <v>0</v>
      </c>
      <c r="AO196" s="43">
        <v>0</v>
      </c>
      <c r="AP196" s="43">
        <v>0</v>
      </c>
      <c r="AQ196" s="43">
        <v>0</v>
      </c>
      <c r="AR196" s="43">
        <v>0</v>
      </c>
      <c r="AS196" s="43">
        <v>0</v>
      </c>
      <c r="AT196" s="43">
        <v>0</v>
      </c>
      <c r="AU196" s="43">
        <v>0</v>
      </c>
      <c r="AV196" s="43">
        <v>0</v>
      </c>
      <c r="AW196" s="43">
        <v>0</v>
      </c>
      <c r="AX196" s="44">
        <f t="shared" si="28"/>
        <v>0</v>
      </c>
      <c r="AY196" s="311">
        <f>SUMIF(Recibos!$D$4:$D$7493,Cobranza!$B196,Recibos!K$4:K$7493)</f>
        <v>0</v>
      </c>
      <c r="AZ196" s="311">
        <f>SUMIF(Recibos!$D$4:$D$7493,Cobranza!$B196,Recibos!L$4:L$7493)</f>
        <v>0</v>
      </c>
      <c r="BA196" s="311">
        <f>SUMIF(Recibos!$D$4:$D$7493,Cobranza!$B196,Recibos!M$4:M$7493)</f>
        <v>0</v>
      </c>
      <c r="BB196" s="311">
        <f>SUMIF(Recibos!$D$4:$D$7493,Cobranza!$B196,Recibos!N$4:N$7493)</f>
        <v>0</v>
      </c>
      <c r="BC196" s="311">
        <f>SUMIF(Recibos!$D$4:$D$7493,Cobranza!$B196,Recibos!O$4:O$7493)</f>
        <v>0</v>
      </c>
      <c r="BD196" s="311">
        <f>SUMIF(Recibos!$D$4:$D$7493,Cobranza!$B196,Recibos!P$4:P$7493)</f>
        <v>0</v>
      </c>
      <c r="BE196" s="311">
        <f>SUMIF(Recibos!$D$4:$D$7493,Cobranza!$B196,Recibos!Q$4:Q$7493)</f>
        <v>0</v>
      </c>
      <c r="BF196" s="311">
        <f>SUMIF(Recibos!$D$4:$D$7493,Cobranza!$B196,Recibos!R$4:R$7493)</f>
        <v>0</v>
      </c>
      <c r="BG196" s="311">
        <f>SUMIF(Recibos!$D$4:$D$7493,Cobranza!$B196,Recibos!S$4:S$7493)</f>
        <v>0</v>
      </c>
      <c r="BH196" s="311">
        <f>SUMIF(Recibos!$D$4:$D$7493,Cobranza!$B196,Recibos!T$4:T$7493)</f>
        <v>0</v>
      </c>
      <c r="BI196" s="311">
        <f>SUMIF(Recibos!$D$4:$D$7493,Cobranza!$B196,Recibos!U$4:U$7493)</f>
        <v>0</v>
      </c>
      <c r="BJ196" s="311">
        <f>SUMIF(Recibos!$D$4:$D$7493,Cobranza!$B196,Recibos!V$4:V$7493)</f>
        <v>0</v>
      </c>
      <c r="BK196" s="312">
        <f t="shared" si="29"/>
        <v>0</v>
      </c>
      <c r="BL196" s="311">
        <f>SUMIF(Recibos!$D$4:$D$7493,Cobranza!$B196,Recibos!X$4:X$7493)</f>
        <v>0</v>
      </c>
      <c r="BM196" s="311">
        <f>SUMIF(Recibos!$D$4:$D$7493,Cobranza!$B196,Recibos!Y$4:Y$7493)</f>
        <v>0</v>
      </c>
      <c r="BN196" s="311">
        <f>SUMIF(Recibos!$D$4:$D$7493,Cobranza!$B196,Recibos!Z$4:Z$7493)</f>
        <v>0</v>
      </c>
      <c r="BO196" s="311">
        <f>SUMIF(Recibos!$D$4:$D$7493,Cobranza!$B196,Recibos!AA$4:AA$7493)</f>
        <v>0</v>
      </c>
      <c r="BP196" s="311">
        <f>SUMIF(Recibos!$D$4:$D$7493,Cobranza!$B196,Recibos!AB$4:AB$7493)</f>
        <v>0</v>
      </c>
      <c r="BQ196" s="311">
        <f>SUMIF(Recibos!$D$4:$D$7493,Cobranza!$B196,Recibos!AC$4:AC$7493)</f>
        <v>0</v>
      </c>
      <c r="BR196" s="311">
        <f>SUMIF(Recibos!$D$4:$D$7493,Cobranza!$B196,Recibos!AD$4:AD$7493)</f>
        <v>0</v>
      </c>
      <c r="BS196" s="311">
        <f>SUMIF(Recibos!$D$4:$D$7493,Cobranza!$B196,Recibos!AE$4:AE$7493)</f>
        <v>0</v>
      </c>
      <c r="BT196" s="311">
        <f>SUMIF(Recibos!$D$4:$D$7493,Cobranza!$B196,Recibos!AF$4:AF$7493)</f>
        <v>0</v>
      </c>
      <c r="BU196" s="311">
        <f>SUMIF(Recibos!$D$4:$D$7493,Cobranza!$B196,Recibos!AG$4:AG$7493)</f>
        <v>0</v>
      </c>
      <c r="BV196" s="311">
        <f>SUMIF(Recibos!$D$4:$D$7493,Cobranza!$B196,Recibos!AH$4:AH$7493)</f>
        <v>0</v>
      </c>
      <c r="BW196" s="311">
        <f>SUMIF(Recibos!$D$4:$D$7493,Cobranza!$B196,Recibos!AI$4:AI$7493)</f>
        <v>0</v>
      </c>
      <c r="BX196" s="312">
        <f t="shared" si="30"/>
        <v>0</v>
      </c>
      <c r="BY196" s="311">
        <f>SUMIF(Recibos!$D$4:$D$7493,Cobranza!$B196,Recibos!AK$4:AK$7493)</f>
        <v>0</v>
      </c>
      <c r="BZ196" s="311">
        <f>SUMIF(Recibos!$D$4:$D$7493,Cobranza!$B196,Recibos!AL$4:AL$7493)</f>
        <v>0</v>
      </c>
      <c r="CA196" s="311">
        <f>SUMIF(Recibos!$D$4:$D$7493,Cobranza!$B196,Recibos!AM$4:AM$7493)</f>
        <v>0</v>
      </c>
      <c r="CB196" s="311">
        <f>SUMIF(Recibos!$D$4:$D$7493,Cobranza!$B196,Recibos!AN$4:AN$7493)</f>
        <v>0</v>
      </c>
      <c r="CC196" s="311">
        <f>SUMIF(Recibos!$D$4:$D$7493,Cobranza!$B196,Recibos!AO$4:AO$7493)</f>
        <v>0</v>
      </c>
      <c r="CD196" s="311">
        <f>SUMIF(Recibos!$D$4:$D$7493,Cobranza!$B196,Recibos!AP$4:AP$7493)</f>
        <v>0</v>
      </c>
      <c r="CE196" s="311">
        <f>SUMIF(Recibos!$D$4:$D$7493,Cobranza!$B196,Recibos!AQ$4:AQ$7493)</f>
        <v>0</v>
      </c>
      <c r="CF196" s="311">
        <f>SUMIF(Recibos!$D$4:$D$7493,Cobranza!$B196,Recibos!AR$4:AR$7493)</f>
        <v>0</v>
      </c>
      <c r="CG196" s="311">
        <f>SUMIF(Recibos!$D$4:$D$7493,Cobranza!$B196,Recibos!AS$4:AS$7493)</f>
        <v>0</v>
      </c>
      <c r="CH196" s="311">
        <f>SUMIF(Recibos!$D$4:$D$7493,Cobranza!$B196,Recibos!AT$4:AT$7493)</f>
        <v>0</v>
      </c>
      <c r="CI196" s="311">
        <f>SUMIF(Recibos!$D$4:$D$7493,Cobranza!$B196,Recibos!AU$4:AU$7493)</f>
        <v>0</v>
      </c>
      <c r="CJ196" s="311">
        <f>SUMIF(Recibos!$D$4:$D$7493,Cobranza!$B196,Recibos!AV$4:AV$7493)</f>
        <v>0</v>
      </c>
      <c r="CK196" s="312">
        <f t="shared" si="24"/>
        <v>0</v>
      </c>
    </row>
    <row r="197" spans="2:89" x14ac:dyDescent="0.2">
      <c r="B197" s="45" t="s">
        <v>199</v>
      </c>
      <c r="C197" s="45" t="s">
        <v>200</v>
      </c>
      <c r="D197" s="45" t="s">
        <v>201</v>
      </c>
      <c r="E197" s="46">
        <v>0</v>
      </c>
      <c r="F197" s="46">
        <v>0</v>
      </c>
      <c r="G197" s="46">
        <v>0</v>
      </c>
      <c r="H197" s="46">
        <v>0</v>
      </c>
      <c r="I197" s="46">
        <v>0</v>
      </c>
      <c r="J197" s="46">
        <v>0</v>
      </c>
      <c r="K197" s="47">
        <f t="shared" si="25"/>
        <v>0</v>
      </c>
      <c r="L197" s="46">
        <v>0</v>
      </c>
      <c r="M197" s="46">
        <v>0</v>
      </c>
      <c r="N197" s="46">
        <v>0</v>
      </c>
      <c r="O197" s="46">
        <v>0</v>
      </c>
      <c r="P197" s="46">
        <v>0</v>
      </c>
      <c r="Q197" s="46">
        <v>0</v>
      </c>
      <c r="R197" s="46">
        <v>0</v>
      </c>
      <c r="S197" s="46">
        <v>0</v>
      </c>
      <c r="T197" s="46">
        <v>0</v>
      </c>
      <c r="U197" s="46">
        <v>0</v>
      </c>
      <c r="V197" s="46">
        <v>0</v>
      </c>
      <c r="W197" s="46">
        <v>0</v>
      </c>
      <c r="X197" s="47">
        <f t="shared" si="26"/>
        <v>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0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7">
        <f t="shared" si="27"/>
        <v>0</v>
      </c>
      <c r="AL197" s="46">
        <v>0</v>
      </c>
      <c r="AM197" s="46">
        <v>0</v>
      </c>
      <c r="AN197" s="46">
        <v>0</v>
      </c>
      <c r="AO197" s="46">
        <v>0</v>
      </c>
      <c r="AP197" s="46">
        <v>0</v>
      </c>
      <c r="AQ197" s="46">
        <v>0</v>
      </c>
      <c r="AR197" s="46">
        <v>0</v>
      </c>
      <c r="AS197" s="46">
        <v>0</v>
      </c>
      <c r="AT197" s="46">
        <v>0</v>
      </c>
      <c r="AU197" s="46">
        <v>0</v>
      </c>
      <c r="AV197" s="46">
        <v>0</v>
      </c>
      <c r="AW197" s="46">
        <v>0</v>
      </c>
      <c r="AX197" s="47">
        <f t="shared" si="28"/>
        <v>0</v>
      </c>
      <c r="AY197" s="313">
        <f>SUMIF(Recibos!$D$4:$D$7493,Cobranza!$B197,Recibos!K$4:K$7493)</f>
        <v>400</v>
      </c>
      <c r="AZ197" s="313">
        <f>SUMIF(Recibos!$D$4:$D$7493,Cobranza!$B197,Recibos!L$4:L$7493)</f>
        <v>400</v>
      </c>
      <c r="BA197" s="313">
        <f>SUMIF(Recibos!$D$4:$D$7493,Cobranza!$B197,Recibos!M$4:M$7493)</f>
        <v>400</v>
      </c>
      <c r="BB197" s="313">
        <f>SUMIF(Recibos!$D$4:$D$7493,Cobranza!$B197,Recibos!N$4:N$7493)</f>
        <v>400</v>
      </c>
      <c r="BC197" s="313">
        <f>SUMIF(Recibos!$D$4:$D$7493,Cobranza!$B197,Recibos!O$4:O$7493)</f>
        <v>400</v>
      </c>
      <c r="BD197" s="313">
        <f>SUMIF(Recibos!$D$4:$D$7493,Cobranza!$B197,Recibos!P$4:P$7493)</f>
        <v>400</v>
      </c>
      <c r="BE197" s="313">
        <f>SUMIF(Recibos!$D$4:$D$7493,Cobranza!$B197,Recibos!Q$4:Q$7493)</f>
        <v>400</v>
      </c>
      <c r="BF197" s="313">
        <f>SUMIF(Recibos!$D$4:$D$7493,Cobranza!$B197,Recibos!R$4:R$7493)</f>
        <v>0</v>
      </c>
      <c r="BG197" s="313">
        <f>SUMIF(Recibos!$D$4:$D$7493,Cobranza!$B197,Recibos!S$4:S$7493)</f>
        <v>0</v>
      </c>
      <c r="BH197" s="313">
        <f>SUMIF(Recibos!$D$4:$D$7493,Cobranza!$B197,Recibos!T$4:T$7493)</f>
        <v>0</v>
      </c>
      <c r="BI197" s="313">
        <f>SUMIF(Recibos!$D$4:$D$7493,Cobranza!$B197,Recibos!U$4:U$7493)</f>
        <v>0</v>
      </c>
      <c r="BJ197" s="313">
        <f>SUMIF(Recibos!$D$4:$D$7493,Cobranza!$B197,Recibos!V$4:V$7493)</f>
        <v>0</v>
      </c>
      <c r="BK197" s="314">
        <f t="shared" si="29"/>
        <v>2800</v>
      </c>
      <c r="BL197" s="313">
        <f>SUMIF(Recibos!$D$4:$D$7493,Cobranza!$B197,Recibos!X$4:X$7493)</f>
        <v>400</v>
      </c>
      <c r="BM197" s="313">
        <f>SUMIF(Recibos!$D$4:$D$7493,Cobranza!$B197,Recibos!Y$4:Y$7493)</f>
        <v>400</v>
      </c>
      <c r="BN197" s="313">
        <f>SUMIF(Recibos!$D$4:$D$7493,Cobranza!$B197,Recibos!Z$4:Z$7493)</f>
        <v>400</v>
      </c>
      <c r="BO197" s="313">
        <f>SUMIF(Recibos!$D$4:$D$7493,Cobranza!$B197,Recibos!AA$4:AA$7493)</f>
        <v>400</v>
      </c>
      <c r="BP197" s="313">
        <f>SUMIF(Recibos!$D$4:$D$7493,Cobranza!$B197,Recibos!AB$4:AB$7493)</f>
        <v>400</v>
      </c>
      <c r="BQ197" s="313">
        <f>SUMIF(Recibos!$D$4:$D$7493,Cobranza!$B197,Recibos!AC$4:AC$7493)</f>
        <v>400</v>
      </c>
      <c r="BR197" s="313">
        <f>SUMIF(Recibos!$D$4:$D$7493,Cobranza!$B197,Recibos!AD$4:AD$7493)</f>
        <v>400</v>
      </c>
      <c r="BS197" s="313">
        <f>SUMIF(Recibos!$D$4:$D$7493,Cobranza!$B197,Recibos!AE$4:AE$7493)</f>
        <v>0</v>
      </c>
      <c r="BT197" s="313">
        <f>SUMIF(Recibos!$D$4:$D$7493,Cobranza!$B197,Recibos!AF$4:AF$7493)</f>
        <v>0</v>
      </c>
      <c r="BU197" s="313">
        <f>SUMIF(Recibos!$D$4:$D$7493,Cobranza!$B197,Recibos!AG$4:AG$7493)</f>
        <v>0</v>
      </c>
      <c r="BV197" s="313">
        <f>SUMIF(Recibos!$D$4:$D$7493,Cobranza!$B197,Recibos!AH$4:AH$7493)</f>
        <v>0</v>
      </c>
      <c r="BW197" s="313">
        <f>SUMIF(Recibos!$D$4:$D$7493,Cobranza!$B197,Recibos!AI$4:AI$7493)</f>
        <v>0</v>
      </c>
      <c r="BX197" s="314">
        <f t="shared" si="30"/>
        <v>2800</v>
      </c>
      <c r="BY197" s="313">
        <f>SUMIF(Recibos!$D$4:$D$7493,Cobranza!$B197,Recibos!AK$4:AK$7493)</f>
        <v>400</v>
      </c>
      <c r="BZ197" s="313">
        <f>SUMIF(Recibos!$D$4:$D$7493,Cobranza!$B197,Recibos!AL$4:AL$7493)</f>
        <v>400</v>
      </c>
      <c r="CA197" s="313">
        <f>SUMIF(Recibos!$D$4:$D$7493,Cobranza!$B197,Recibos!AM$4:AM$7493)</f>
        <v>400</v>
      </c>
      <c r="CB197" s="313">
        <f>SUMIF(Recibos!$D$4:$D$7493,Cobranza!$B197,Recibos!AN$4:AN$7493)</f>
        <v>400</v>
      </c>
      <c r="CC197" s="313">
        <f>SUMIF(Recibos!$D$4:$D$7493,Cobranza!$B197,Recibos!AO$4:AO$7493)</f>
        <v>400</v>
      </c>
      <c r="CD197" s="313">
        <f>SUMIF(Recibos!$D$4:$D$7493,Cobranza!$B197,Recibos!AP$4:AP$7493)</f>
        <v>400</v>
      </c>
      <c r="CE197" s="313">
        <f>SUMIF(Recibos!$D$4:$D$7493,Cobranza!$B197,Recibos!AQ$4:AQ$7493)</f>
        <v>400</v>
      </c>
      <c r="CF197" s="313">
        <f>SUMIF(Recibos!$D$4:$D$7493,Cobranza!$B197,Recibos!AR$4:AR$7493)</f>
        <v>400</v>
      </c>
      <c r="CG197" s="313">
        <f>SUMIF(Recibos!$D$4:$D$7493,Cobranza!$B197,Recibos!AS$4:AS$7493)</f>
        <v>400</v>
      </c>
      <c r="CH197" s="313">
        <f>SUMIF(Recibos!$D$4:$D$7493,Cobranza!$B197,Recibos!AT$4:AT$7493)</f>
        <v>0</v>
      </c>
      <c r="CI197" s="313">
        <f>SUMIF(Recibos!$D$4:$D$7493,Cobranza!$B197,Recibos!AU$4:AU$7493)</f>
        <v>0</v>
      </c>
      <c r="CJ197" s="313">
        <f>SUMIF(Recibos!$D$4:$D$7493,Cobranza!$B197,Recibos!AV$4:AV$7493)</f>
        <v>0</v>
      </c>
      <c r="CK197" s="314">
        <f t="shared" si="24"/>
        <v>3600</v>
      </c>
    </row>
    <row r="198" spans="2:89" x14ac:dyDescent="0.2">
      <c r="B198" s="42" t="s">
        <v>523</v>
      </c>
      <c r="C198" s="42" t="s">
        <v>524</v>
      </c>
      <c r="D198" s="42" t="s">
        <v>525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300</v>
      </c>
      <c r="K198" s="44">
        <f t="shared" si="25"/>
        <v>300</v>
      </c>
      <c r="L198" s="43">
        <v>300</v>
      </c>
      <c r="M198" s="43">
        <v>300</v>
      </c>
      <c r="N198" s="43">
        <v>300</v>
      </c>
      <c r="O198" s="43">
        <v>300</v>
      </c>
      <c r="P198" s="43">
        <v>300</v>
      </c>
      <c r="Q198" s="43">
        <v>300</v>
      </c>
      <c r="R198" s="43">
        <v>300</v>
      </c>
      <c r="S198" s="43">
        <v>300</v>
      </c>
      <c r="T198" s="43">
        <v>300</v>
      </c>
      <c r="U198" s="43">
        <v>300</v>
      </c>
      <c r="V198" s="43">
        <v>300</v>
      </c>
      <c r="W198" s="43">
        <v>300</v>
      </c>
      <c r="X198" s="44">
        <f t="shared" si="26"/>
        <v>3600</v>
      </c>
      <c r="Y198" s="43">
        <v>400</v>
      </c>
      <c r="Z198" s="43">
        <v>400</v>
      </c>
      <c r="AA198" s="43">
        <v>400</v>
      </c>
      <c r="AB198" s="43">
        <v>400</v>
      </c>
      <c r="AC198" s="43">
        <v>400</v>
      </c>
      <c r="AD198" s="43">
        <v>400</v>
      </c>
      <c r="AE198" s="43">
        <v>400</v>
      </c>
      <c r="AF198" s="43">
        <v>400</v>
      </c>
      <c r="AG198" s="43">
        <v>400</v>
      </c>
      <c r="AH198" s="43">
        <v>400</v>
      </c>
      <c r="AI198" s="43">
        <v>400</v>
      </c>
      <c r="AJ198" s="43">
        <v>400</v>
      </c>
      <c r="AK198" s="44">
        <f t="shared" si="27"/>
        <v>4800</v>
      </c>
      <c r="AL198" s="43">
        <v>400</v>
      </c>
      <c r="AM198" s="43">
        <v>400</v>
      </c>
      <c r="AN198" s="43">
        <v>400</v>
      </c>
      <c r="AO198" s="43">
        <v>400</v>
      </c>
      <c r="AP198" s="43">
        <v>400</v>
      </c>
      <c r="AQ198" s="43">
        <v>400</v>
      </c>
      <c r="AR198" s="43">
        <v>400</v>
      </c>
      <c r="AS198" s="43">
        <v>400</v>
      </c>
      <c r="AT198" s="43">
        <v>400</v>
      </c>
      <c r="AU198" s="43">
        <v>400</v>
      </c>
      <c r="AV198" s="43">
        <v>400</v>
      </c>
      <c r="AW198" s="43">
        <v>400</v>
      </c>
      <c r="AX198" s="44">
        <f t="shared" si="28"/>
        <v>4800</v>
      </c>
      <c r="AY198" s="311">
        <f>SUMIF(Recibos!$D$4:$D$7493,Cobranza!$B198,Recibos!K$4:K$7493)</f>
        <v>400</v>
      </c>
      <c r="AZ198" s="311">
        <f>SUMIF(Recibos!$D$4:$D$7493,Cobranza!$B198,Recibos!L$4:L$7493)</f>
        <v>400</v>
      </c>
      <c r="BA198" s="311">
        <f>SUMIF(Recibos!$D$4:$D$7493,Cobranza!$B198,Recibos!M$4:M$7493)</f>
        <v>400</v>
      </c>
      <c r="BB198" s="311">
        <f>SUMIF(Recibos!$D$4:$D$7493,Cobranza!$B198,Recibos!N$4:N$7493)</f>
        <v>400</v>
      </c>
      <c r="BC198" s="311">
        <f>SUMIF(Recibos!$D$4:$D$7493,Cobranza!$B198,Recibos!O$4:O$7493)</f>
        <v>400</v>
      </c>
      <c r="BD198" s="311">
        <f>SUMIF(Recibos!$D$4:$D$7493,Cobranza!$B198,Recibos!P$4:P$7493)</f>
        <v>400</v>
      </c>
      <c r="BE198" s="311">
        <f>SUMIF(Recibos!$D$4:$D$7493,Cobranza!$B198,Recibos!Q$4:Q$7493)</f>
        <v>400</v>
      </c>
      <c r="BF198" s="311">
        <f>SUMIF(Recibos!$D$4:$D$7493,Cobranza!$B198,Recibos!R$4:R$7493)</f>
        <v>400</v>
      </c>
      <c r="BG198" s="311">
        <f>SUMIF(Recibos!$D$4:$D$7493,Cobranza!$B198,Recibos!S$4:S$7493)</f>
        <v>400</v>
      </c>
      <c r="BH198" s="311">
        <f>SUMIF(Recibos!$D$4:$D$7493,Cobranza!$B198,Recibos!T$4:T$7493)</f>
        <v>400</v>
      </c>
      <c r="BI198" s="311">
        <f>SUMIF(Recibos!$D$4:$D$7493,Cobranza!$B198,Recibos!U$4:U$7493)</f>
        <v>400</v>
      </c>
      <c r="BJ198" s="311">
        <f>SUMIF(Recibos!$D$4:$D$7493,Cobranza!$B198,Recibos!V$4:V$7493)</f>
        <v>400</v>
      </c>
      <c r="BK198" s="312">
        <f t="shared" si="29"/>
        <v>4800</v>
      </c>
      <c r="BL198" s="311">
        <f>SUMIF(Recibos!$D$4:$D$7493,Cobranza!$B198,Recibos!X$4:X$7493)</f>
        <v>400</v>
      </c>
      <c r="BM198" s="311">
        <f>SUMIF(Recibos!$D$4:$D$7493,Cobranza!$B198,Recibos!Y$4:Y$7493)</f>
        <v>400</v>
      </c>
      <c r="BN198" s="311">
        <f>SUMIF(Recibos!$D$4:$D$7493,Cobranza!$B198,Recibos!Z$4:Z$7493)</f>
        <v>400</v>
      </c>
      <c r="BO198" s="311">
        <f>SUMIF(Recibos!$D$4:$D$7493,Cobranza!$B198,Recibos!AA$4:AA$7493)</f>
        <v>400</v>
      </c>
      <c r="BP198" s="311">
        <f>SUMIF(Recibos!$D$4:$D$7493,Cobranza!$B198,Recibos!AB$4:AB$7493)</f>
        <v>400</v>
      </c>
      <c r="BQ198" s="311">
        <f>SUMIF(Recibos!$D$4:$D$7493,Cobranza!$B198,Recibos!AC$4:AC$7493)</f>
        <v>0</v>
      </c>
      <c r="BR198" s="311">
        <f>SUMIF(Recibos!$D$4:$D$7493,Cobranza!$B198,Recibos!AD$4:AD$7493)</f>
        <v>400</v>
      </c>
      <c r="BS198" s="311">
        <f>SUMIF(Recibos!$D$4:$D$7493,Cobranza!$B198,Recibos!AE$4:AE$7493)</f>
        <v>400</v>
      </c>
      <c r="BT198" s="311">
        <f>SUMIF(Recibos!$D$4:$D$7493,Cobranza!$B198,Recibos!AF$4:AF$7493)</f>
        <v>400</v>
      </c>
      <c r="BU198" s="311">
        <f>SUMIF(Recibos!$D$4:$D$7493,Cobranza!$B198,Recibos!AG$4:AG$7493)</f>
        <v>400</v>
      </c>
      <c r="BV198" s="311">
        <f>SUMIF(Recibos!$D$4:$D$7493,Cobranza!$B198,Recibos!AH$4:AH$7493)</f>
        <v>400</v>
      </c>
      <c r="BW198" s="311">
        <f>SUMIF(Recibos!$D$4:$D$7493,Cobranza!$B198,Recibos!AI$4:AI$7493)</f>
        <v>400</v>
      </c>
      <c r="BX198" s="312">
        <f t="shared" si="30"/>
        <v>4400</v>
      </c>
      <c r="BY198" s="311">
        <f>SUMIF(Recibos!$D$4:$D$7493,Cobranza!$B198,Recibos!AK$4:AK$7493)</f>
        <v>400</v>
      </c>
      <c r="BZ198" s="311">
        <f>SUMIF(Recibos!$D$4:$D$7493,Cobranza!$B198,Recibos!AL$4:AL$7493)</f>
        <v>400</v>
      </c>
      <c r="CA198" s="311">
        <f>SUMIF(Recibos!$D$4:$D$7493,Cobranza!$B198,Recibos!AM$4:AM$7493)</f>
        <v>400</v>
      </c>
      <c r="CB198" s="311">
        <f>SUMIF(Recibos!$D$4:$D$7493,Cobranza!$B198,Recibos!AN$4:AN$7493)</f>
        <v>400</v>
      </c>
      <c r="CC198" s="311">
        <f>SUMIF(Recibos!$D$4:$D$7493,Cobranza!$B198,Recibos!AO$4:AO$7493)</f>
        <v>400</v>
      </c>
      <c r="CD198" s="311">
        <f>SUMIF(Recibos!$D$4:$D$7493,Cobranza!$B198,Recibos!AP$4:AP$7493)</f>
        <v>400</v>
      </c>
      <c r="CE198" s="311">
        <f>SUMIF(Recibos!$D$4:$D$7493,Cobranza!$B198,Recibos!AQ$4:AQ$7493)</f>
        <v>400</v>
      </c>
      <c r="CF198" s="311">
        <f>SUMIF(Recibos!$D$4:$D$7493,Cobranza!$B198,Recibos!AR$4:AR$7493)</f>
        <v>400</v>
      </c>
      <c r="CG198" s="311">
        <f>SUMIF(Recibos!$D$4:$D$7493,Cobranza!$B198,Recibos!AS$4:AS$7493)</f>
        <v>400</v>
      </c>
      <c r="CH198" s="311">
        <f>SUMIF(Recibos!$D$4:$D$7493,Cobranza!$B198,Recibos!AT$4:AT$7493)</f>
        <v>0</v>
      </c>
      <c r="CI198" s="311">
        <f>SUMIF(Recibos!$D$4:$D$7493,Cobranza!$B198,Recibos!AU$4:AU$7493)</f>
        <v>0</v>
      </c>
      <c r="CJ198" s="311">
        <f>SUMIF(Recibos!$D$4:$D$7493,Cobranza!$B198,Recibos!AV$4:AV$7493)</f>
        <v>0</v>
      </c>
      <c r="CK198" s="312">
        <f t="shared" si="24"/>
        <v>3600</v>
      </c>
    </row>
    <row r="199" spans="2:89" x14ac:dyDescent="0.2">
      <c r="B199" s="45" t="s">
        <v>980</v>
      </c>
      <c r="C199" s="45" t="s">
        <v>981</v>
      </c>
      <c r="D199" s="45" t="s">
        <v>982</v>
      </c>
      <c r="E199" s="46">
        <v>0</v>
      </c>
      <c r="F199" s="46">
        <v>0</v>
      </c>
      <c r="G199" s="46">
        <v>300</v>
      </c>
      <c r="H199" s="46">
        <v>300</v>
      </c>
      <c r="I199" s="46">
        <v>300</v>
      </c>
      <c r="J199" s="46">
        <v>300</v>
      </c>
      <c r="K199" s="47">
        <f t="shared" si="25"/>
        <v>1200</v>
      </c>
      <c r="L199" s="46">
        <v>300</v>
      </c>
      <c r="M199" s="46">
        <v>300</v>
      </c>
      <c r="N199" s="46">
        <v>300</v>
      </c>
      <c r="O199" s="46">
        <v>300</v>
      </c>
      <c r="P199" s="46">
        <v>300</v>
      </c>
      <c r="Q199" s="46">
        <v>300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7">
        <f t="shared" si="26"/>
        <v>1800</v>
      </c>
      <c r="Y199" s="46">
        <v>400</v>
      </c>
      <c r="Z199" s="46">
        <v>400</v>
      </c>
      <c r="AA199" s="46">
        <v>400</v>
      </c>
      <c r="AB199" s="46">
        <v>400</v>
      </c>
      <c r="AC199" s="46">
        <v>0</v>
      </c>
      <c r="AD199" s="46">
        <v>0</v>
      </c>
      <c r="AE199" s="46">
        <v>0</v>
      </c>
      <c r="AF199" s="46">
        <v>0</v>
      </c>
      <c r="AG199" s="46">
        <v>0</v>
      </c>
      <c r="AH199" s="46">
        <v>0</v>
      </c>
      <c r="AI199" s="46">
        <v>0</v>
      </c>
      <c r="AJ199" s="46">
        <v>0</v>
      </c>
      <c r="AK199" s="47">
        <f t="shared" si="27"/>
        <v>1600</v>
      </c>
      <c r="AL199" s="46">
        <v>0</v>
      </c>
      <c r="AM199" s="46">
        <v>0</v>
      </c>
      <c r="AN199" s="46">
        <v>0</v>
      </c>
      <c r="AO199" s="46">
        <v>0</v>
      </c>
      <c r="AP199" s="46">
        <v>0</v>
      </c>
      <c r="AQ199" s="46">
        <v>0</v>
      </c>
      <c r="AR199" s="46">
        <v>0</v>
      </c>
      <c r="AS199" s="46">
        <v>0</v>
      </c>
      <c r="AT199" s="46">
        <v>0</v>
      </c>
      <c r="AU199" s="46">
        <v>0</v>
      </c>
      <c r="AV199" s="46">
        <v>400</v>
      </c>
      <c r="AW199" s="46">
        <v>0</v>
      </c>
      <c r="AX199" s="47">
        <f t="shared" si="28"/>
        <v>400</v>
      </c>
      <c r="AY199" s="313">
        <f>SUMIF(Recibos!$D$4:$D$7493,Cobranza!$B199,Recibos!K$4:K$7493)</f>
        <v>0</v>
      </c>
      <c r="AZ199" s="313">
        <f>SUMIF(Recibos!$D$4:$D$7493,Cobranza!$B199,Recibos!L$4:L$7493)</f>
        <v>0</v>
      </c>
      <c r="BA199" s="313">
        <f>SUMIF(Recibos!$D$4:$D$7493,Cobranza!$B199,Recibos!M$4:M$7493)</f>
        <v>0</v>
      </c>
      <c r="BB199" s="313">
        <f>SUMIF(Recibos!$D$4:$D$7493,Cobranza!$B199,Recibos!N$4:N$7493)</f>
        <v>0</v>
      </c>
      <c r="BC199" s="313">
        <f>SUMIF(Recibos!$D$4:$D$7493,Cobranza!$B199,Recibos!O$4:O$7493)</f>
        <v>0</v>
      </c>
      <c r="BD199" s="313">
        <f>SUMIF(Recibos!$D$4:$D$7493,Cobranza!$B199,Recibos!P$4:P$7493)</f>
        <v>400</v>
      </c>
      <c r="BE199" s="313">
        <f>SUMIF(Recibos!$D$4:$D$7493,Cobranza!$B199,Recibos!Q$4:Q$7493)</f>
        <v>400</v>
      </c>
      <c r="BF199" s="313">
        <f>SUMIF(Recibos!$D$4:$D$7493,Cobranza!$B199,Recibos!R$4:R$7493)</f>
        <v>0</v>
      </c>
      <c r="BG199" s="313">
        <f>SUMIF(Recibos!$D$4:$D$7493,Cobranza!$B199,Recibos!S$4:S$7493)</f>
        <v>0</v>
      </c>
      <c r="BH199" s="313">
        <f>SUMIF(Recibos!$D$4:$D$7493,Cobranza!$B199,Recibos!T$4:T$7493)</f>
        <v>0</v>
      </c>
      <c r="BI199" s="313">
        <f>SUMIF(Recibos!$D$4:$D$7493,Cobranza!$B199,Recibos!U$4:U$7493)</f>
        <v>0</v>
      </c>
      <c r="BJ199" s="313">
        <f>SUMIF(Recibos!$D$4:$D$7493,Cobranza!$B199,Recibos!V$4:V$7493)</f>
        <v>0</v>
      </c>
      <c r="BK199" s="314">
        <f t="shared" si="29"/>
        <v>800</v>
      </c>
      <c r="BL199" s="313">
        <f>SUMIF(Recibos!$D$4:$D$7493,Cobranza!$B199,Recibos!X$4:X$7493)</f>
        <v>400</v>
      </c>
      <c r="BM199" s="313">
        <f>SUMIF(Recibos!$D$4:$D$7493,Cobranza!$B199,Recibos!Y$4:Y$7493)</f>
        <v>0</v>
      </c>
      <c r="BN199" s="313">
        <f>SUMIF(Recibos!$D$4:$D$7493,Cobranza!$B199,Recibos!Z$4:Z$7493)</f>
        <v>0</v>
      </c>
      <c r="BO199" s="313">
        <f>SUMIF(Recibos!$D$4:$D$7493,Cobranza!$B199,Recibos!AA$4:AA$7493)</f>
        <v>0</v>
      </c>
      <c r="BP199" s="313">
        <f>SUMIF(Recibos!$D$4:$D$7493,Cobranza!$B199,Recibos!AB$4:AB$7493)</f>
        <v>0</v>
      </c>
      <c r="BQ199" s="313">
        <f>SUMIF(Recibos!$D$4:$D$7493,Cobranza!$B199,Recibos!AC$4:AC$7493)</f>
        <v>0</v>
      </c>
      <c r="BR199" s="313">
        <f>SUMIF(Recibos!$D$4:$D$7493,Cobranza!$B199,Recibos!AD$4:AD$7493)</f>
        <v>0</v>
      </c>
      <c r="BS199" s="313">
        <f>SUMIF(Recibos!$D$4:$D$7493,Cobranza!$B199,Recibos!AE$4:AE$7493)</f>
        <v>400</v>
      </c>
      <c r="BT199" s="313">
        <f>SUMIF(Recibos!$D$4:$D$7493,Cobranza!$B199,Recibos!AF$4:AF$7493)</f>
        <v>0</v>
      </c>
      <c r="BU199" s="313">
        <f>SUMIF(Recibos!$D$4:$D$7493,Cobranza!$B199,Recibos!AG$4:AG$7493)</f>
        <v>0</v>
      </c>
      <c r="BV199" s="313">
        <f>SUMIF(Recibos!$D$4:$D$7493,Cobranza!$B199,Recibos!AH$4:AH$7493)</f>
        <v>0</v>
      </c>
      <c r="BW199" s="313">
        <f>SUMIF(Recibos!$D$4:$D$7493,Cobranza!$B199,Recibos!AI$4:AI$7493)</f>
        <v>0</v>
      </c>
      <c r="BX199" s="314">
        <f t="shared" si="30"/>
        <v>800</v>
      </c>
      <c r="BY199" s="313">
        <f>SUMIF(Recibos!$D$4:$D$7493,Cobranza!$B199,Recibos!AK$4:AK$7493)</f>
        <v>400</v>
      </c>
      <c r="BZ199" s="313">
        <f>SUMIF(Recibos!$D$4:$D$7493,Cobranza!$B199,Recibos!AL$4:AL$7493)</f>
        <v>0</v>
      </c>
      <c r="CA199" s="313">
        <f>SUMIF(Recibos!$D$4:$D$7493,Cobranza!$B199,Recibos!AM$4:AM$7493)</f>
        <v>0</v>
      </c>
      <c r="CB199" s="313">
        <f>SUMIF(Recibos!$D$4:$D$7493,Cobranza!$B199,Recibos!AN$4:AN$7493)</f>
        <v>0</v>
      </c>
      <c r="CC199" s="313">
        <f>SUMIF(Recibos!$D$4:$D$7493,Cobranza!$B199,Recibos!AO$4:AO$7493)</f>
        <v>0</v>
      </c>
      <c r="CD199" s="313">
        <f>SUMIF(Recibos!$D$4:$D$7493,Cobranza!$B199,Recibos!AP$4:AP$7493)</f>
        <v>400</v>
      </c>
      <c r="CE199" s="313">
        <f>SUMIF(Recibos!$D$4:$D$7493,Cobranza!$B199,Recibos!AQ$4:AQ$7493)</f>
        <v>400</v>
      </c>
      <c r="CF199" s="313">
        <f>SUMIF(Recibos!$D$4:$D$7493,Cobranza!$B199,Recibos!AR$4:AR$7493)</f>
        <v>400</v>
      </c>
      <c r="CG199" s="313">
        <f>SUMIF(Recibos!$D$4:$D$7493,Cobranza!$B199,Recibos!AS$4:AS$7493)</f>
        <v>0</v>
      </c>
      <c r="CH199" s="313">
        <f>SUMIF(Recibos!$D$4:$D$7493,Cobranza!$B199,Recibos!AT$4:AT$7493)</f>
        <v>0</v>
      </c>
      <c r="CI199" s="313">
        <f>SUMIF(Recibos!$D$4:$D$7493,Cobranza!$B199,Recibos!AU$4:AU$7493)</f>
        <v>0</v>
      </c>
      <c r="CJ199" s="313">
        <f>SUMIF(Recibos!$D$4:$D$7493,Cobranza!$B199,Recibos!AV$4:AV$7493)</f>
        <v>0</v>
      </c>
      <c r="CK199" s="314">
        <f t="shared" si="24"/>
        <v>1600</v>
      </c>
    </row>
    <row r="200" spans="2:89" x14ac:dyDescent="0.2">
      <c r="B200" s="42" t="s">
        <v>458</v>
      </c>
      <c r="C200" s="42" t="s">
        <v>459</v>
      </c>
      <c r="D200" s="42" t="s">
        <v>460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4">
        <f t="shared" si="25"/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4">
        <f t="shared" si="26"/>
        <v>0</v>
      </c>
      <c r="Y200" s="43">
        <v>300</v>
      </c>
      <c r="Z200" s="43">
        <v>400</v>
      </c>
      <c r="AA200" s="43">
        <v>400</v>
      </c>
      <c r="AB200" s="43">
        <v>400</v>
      </c>
      <c r="AC200" s="43">
        <v>400</v>
      </c>
      <c r="AD200" s="43">
        <v>0</v>
      </c>
      <c r="AE200" s="43">
        <v>400</v>
      </c>
      <c r="AF200" s="43">
        <v>800</v>
      </c>
      <c r="AG200" s="43">
        <v>400</v>
      </c>
      <c r="AH200" s="43">
        <v>400</v>
      </c>
      <c r="AI200" s="43">
        <v>400</v>
      </c>
      <c r="AJ200" s="43">
        <v>400</v>
      </c>
      <c r="AK200" s="44">
        <f t="shared" si="27"/>
        <v>4700</v>
      </c>
      <c r="AL200" s="43">
        <v>400</v>
      </c>
      <c r="AM200" s="43">
        <v>400</v>
      </c>
      <c r="AN200" s="43">
        <v>400</v>
      </c>
      <c r="AO200" s="43">
        <v>400</v>
      </c>
      <c r="AP200" s="43">
        <v>400</v>
      </c>
      <c r="AQ200" s="43">
        <v>400</v>
      </c>
      <c r="AR200" s="43">
        <v>400</v>
      </c>
      <c r="AS200" s="43">
        <v>400</v>
      </c>
      <c r="AT200" s="43">
        <v>400</v>
      </c>
      <c r="AU200" s="43">
        <v>400</v>
      </c>
      <c r="AV200" s="43">
        <v>400</v>
      </c>
      <c r="AW200" s="43">
        <v>400</v>
      </c>
      <c r="AX200" s="44">
        <f t="shared" si="28"/>
        <v>4800</v>
      </c>
      <c r="AY200" s="311">
        <f>SUMIF(Recibos!$D$4:$D$7493,Cobranza!$B200,Recibos!K$4:K$7493)</f>
        <v>400</v>
      </c>
      <c r="AZ200" s="311">
        <f>SUMIF(Recibos!$D$4:$D$7493,Cobranza!$B200,Recibos!L$4:L$7493)</f>
        <v>400</v>
      </c>
      <c r="BA200" s="311">
        <f>SUMIF(Recibos!$D$4:$D$7493,Cobranza!$B200,Recibos!M$4:M$7493)</f>
        <v>400</v>
      </c>
      <c r="BB200" s="311">
        <f>SUMIF(Recibos!$D$4:$D$7493,Cobranza!$B200,Recibos!N$4:N$7493)</f>
        <v>400</v>
      </c>
      <c r="BC200" s="311">
        <f>SUMIF(Recibos!$D$4:$D$7493,Cobranza!$B200,Recibos!O$4:O$7493)</f>
        <v>400</v>
      </c>
      <c r="BD200" s="311">
        <f>SUMIF(Recibos!$D$4:$D$7493,Cobranza!$B200,Recibos!P$4:P$7493)</f>
        <v>400</v>
      </c>
      <c r="BE200" s="311">
        <f>SUMIF(Recibos!$D$4:$D$7493,Cobranza!$B200,Recibos!Q$4:Q$7493)</f>
        <v>400</v>
      </c>
      <c r="BF200" s="311">
        <f>SUMIF(Recibos!$D$4:$D$7493,Cobranza!$B200,Recibos!R$4:R$7493)</f>
        <v>400</v>
      </c>
      <c r="BG200" s="311">
        <f>SUMIF(Recibos!$D$4:$D$7493,Cobranza!$B200,Recibos!S$4:S$7493)</f>
        <v>400</v>
      </c>
      <c r="BH200" s="311">
        <f>SUMIF(Recibos!$D$4:$D$7493,Cobranza!$B200,Recibos!T$4:T$7493)</f>
        <v>400</v>
      </c>
      <c r="BI200" s="311">
        <f>SUMIF(Recibos!$D$4:$D$7493,Cobranza!$B200,Recibos!U$4:U$7493)</f>
        <v>400</v>
      </c>
      <c r="BJ200" s="311">
        <f>SUMIF(Recibos!$D$4:$D$7493,Cobranza!$B200,Recibos!V$4:V$7493)</f>
        <v>400</v>
      </c>
      <c r="BK200" s="312">
        <f t="shared" si="29"/>
        <v>4800</v>
      </c>
      <c r="BL200" s="311">
        <f>SUMIF(Recibos!$D$4:$D$7493,Cobranza!$B200,Recibos!X$4:X$7493)</f>
        <v>400</v>
      </c>
      <c r="BM200" s="311">
        <f>SUMIF(Recibos!$D$4:$D$7493,Cobranza!$B200,Recibos!Y$4:Y$7493)</f>
        <v>400</v>
      </c>
      <c r="BN200" s="311">
        <f>SUMIF(Recibos!$D$4:$D$7493,Cobranza!$B200,Recibos!Z$4:Z$7493)</f>
        <v>400</v>
      </c>
      <c r="BO200" s="311">
        <f>SUMIF(Recibos!$D$4:$D$7493,Cobranza!$B200,Recibos!AA$4:AA$7493)</f>
        <v>400</v>
      </c>
      <c r="BP200" s="311">
        <f>SUMIF(Recibos!$D$4:$D$7493,Cobranza!$B200,Recibos!AB$4:AB$7493)</f>
        <v>400</v>
      </c>
      <c r="BQ200" s="311">
        <f>SUMIF(Recibos!$D$4:$D$7493,Cobranza!$B200,Recibos!AC$4:AC$7493)</f>
        <v>400</v>
      </c>
      <c r="BR200" s="311">
        <f>SUMIF(Recibos!$D$4:$D$7493,Cobranza!$B200,Recibos!AD$4:AD$7493)</f>
        <v>400</v>
      </c>
      <c r="BS200" s="311">
        <f>SUMIF(Recibos!$D$4:$D$7493,Cobranza!$B200,Recibos!AE$4:AE$7493)</f>
        <v>400</v>
      </c>
      <c r="BT200" s="311">
        <f>SUMIF(Recibos!$D$4:$D$7493,Cobranza!$B200,Recibos!AF$4:AF$7493)</f>
        <v>400</v>
      </c>
      <c r="BU200" s="311">
        <f>SUMIF(Recibos!$D$4:$D$7493,Cobranza!$B200,Recibos!AG$4:AG$7493)</f>
        <v>400</v>
      </c>
      <c r="BV200" s="311">
        <f>SUMIF(Recibos!$D$4:$D$7493,Cobranza!$B200,Recibos!AH$4:AH$7493)</f>
        <v>400</v>
      </c>
      <c r="BW200" s="311">
        <f>SUMIF(Recibos!$D$4:$D$7493,Cobranza!$B200,Recibos!AI$4:AI$7493)</f>
        <v>400</v>
      </c>
      <c r="BX200" s="312">
        <f t="shared" si="30"/>
        <v>4800</v>
      </c>
      <c r="BY200" s="311">
        <f>SUMIF(Recibos!$D$4:$D$7493,Cobranza!$B200,Recibos!AK$4:AK$7493)</f>
        <v>400</v>
      </c>
      <c r="BZ200" s="311">
        <f>SUMIF(Recibos!$D$4:$D$7493,Cobranza!$B200,Recibos!AL$4:AL$7493)</f>
        <v>400</v>
      </c>
      <c r="CA200" s="311">
        <f>SUMIF(Recibos!$D$4:$D$7493,Cobranza!$B200,Recibos!AM$4:AM$7493)</f>
        <v>400</v>
      </c>
      <c r="CB200" s="311">
        <f>SUMIF(Recibos!$D$4:$D$7493,Cobranza!$B200,Recibos!AN$4:AN$7493)</f>
        <v>400</v>
      </c>
      <c r="CC200" s="311">
        <f>SUMIF(Recibos!$D$4:$D$7493,Cobranza!$B200,Recibos!AO$4:AO$7493)</f>
        <v>400</v>
      </c>
      <c r="CD200" s="311">
        <f>SUMIF(Recibos!$D$4:$D$7493,Cobranza!$B200,Recibos!AP$4:AP$7493)</f>
        <v>400</v>
      </c>
      <c r="CE200" s="311">
        <f>SUMIF(Recibos!$D$4:$D$7493,Cobranza!$B200,Recibos!AQ$4:AQ$7493)</f>
        <v>400</v>
      </c>
      <c r="CF200" s="311">
        <f>SUMIF(Recibos!$D$4:$D$7493,Cobranza!$B200,Recibos!AR$4:AR$7493)</f>
        <v>400</v>
      </c>
      <c r="CG200" s="311">
        <f>SUMIF(Recibos!$D$4:$D$7493,Cobranza!$B200,Recibos!AS$4:AS$7493)</f>
        <v>0</v>
      </c>
      <c r="CH200" s="311">
        <f>SUMIF(Recibos!$D$4:$D$7493,Cobranza!$B200,Recibos!AT$4:AT$7493)</f>
        <v>0</v>
      </c>
      <c r="CI200" s="311">
        <f>SUMIF(Recibos!$D$4:$D$7493,Cobranza!$B200,Recibos!AU$4:AU$7493)</f>
        <v>0</v>
      </c>
      <c r="CJ200" s="311">
        <f>SUMIF(Recibos!$D$4:$D$7493,Cobranza!$B200,Recibos!AV$4:AV$7493)</f>
        <v>0</v>
      </c>
      <c r="CK200" s="312">
        <f t="shared" si="24"/>
        <v>3200</v>
      </c>
    </row>
    <row r="201" spans="2:89" x14ac:dyDescent="0.2">
      <c r="B201" s="45" t="s">
        <v>316</v>
      </c>
      <c r="C201" s="45" t="s">
        <v>317</v>
      </c>
      <c r="D201" s="45" t="s">
        <v>318</v>
      </c>
      <c r="E201" s="46">
        <v>0</v>
      </c>
      <c r="F201" s="46">
        <v>0</v>
      </c>
      <c r="G201" s="46">
        <v>0</v>
      </c>
      <c r="H201" s="46">
        <v>0</v>
      </c>
      <c r="I201" s="46">
        <v>0</v>
      </c>
      <c r="J201" s="46">
        <v>0</v>
      </c>
      <c r="K201" s="47">
        <f t="shared" si="25"/>
        <v>0</v>
      </c>
      <c r="L201" s="46">
        <v>100</v>
      </c>
      <c r="M201" s="46">
        <v>100</v>
      </c>
      <c r="N201" s="46">
        <v>100</v>
      </c>
      <c r="O201" s="46">
        <v>0</v>
      </c>
      <c r="P201" s="46">
        <v>0</v>
      </c>
      <c r="Q201" s="46">
        <v>0</v>
      </c>
      <c r="R201" s="46">
        <v>0</v>
      </c>
      <c r="S201" s="46">
        <v>0</v>
      </c>
      <c r="T201" s="46">
        <v>0</v>
      </c>
      <c r="U201" s="46">
        <v>0</v>
      </c>
      <c r="V201" s="46">
        <v>0</v>
      </c>
      <c r="W201" s="46">
        <v>0</v>
      </c>
      <c r="X201" s="47">
        <f t="shared" si="26"/>
        <v>300</v>
      </c>
      <c r="Y201" s="46">
        <v>100</v>
      </c>
      <c r="Z201" s="46">
        <v>100</v>
      </c>
      <c r="AA201" s="46">
        <v>100</v>
      </c>
      <c r="AB201" s="46">
        <v>0</v>
      </c>
      <c r="AC201" s="46">
        <v>0</v>
      </c>
      <c r="AD201" s="46">
        <v>200</v>
      </c>
      <c r="AE201" s="46">
        <v>200</v>
      </c>
      <c r="AF201" s="46">
        <v>100</v>
      </c>
      <c r="AG201" s="46">
        <v>100</v>
      </c>
      <c r="AH201" s="46">
        <v>100</v>
      </c>
      <c r="AI201" s="46">
        <v>100</v>
      </c>
      <c r="AJ201" s="46">
        <v>100</v>
      </c>
      <c r="AK201" s="47">
        <f t="shared" si="27"/>
        <v>1200</v>
      </c>
      <c r="AL201" s="46">
        <v>100</v>
      </c>
      <c r="AM201" s="46">
        <v>100</v>
      </c>
      <c r="AN201" s="46">
        <v>100</v>
      </c>
      <c r="AO201" s="46">
        <v>100</v>
      </c>
      <c r="AP201" s="46">
        <v>100</v>
      </c>
      <c r="AQ201" s="46">
        <v>100</v>
      </c>
      <c r="AR201" s="46">
        <v>100</v>
      </c>
      <c r="AS201" s="46">
        <v>100</v>
      </c>
      <c r="AT201" s="46">
        <v>100</v>
      </c>
      <c r="AU201" s="46">
        <v>100</v>
      </c>
      <c r="AV201" s="46">
        <v>100</v>
      </c>
      <c r="AW201" s="46">
        <v>100</v>
      </c>
      <c r="AX201" s="47">
        <f t="shared" si="28"/>
        <v>1200</v>
      </c>
      <c r="AY201" s="313">
        <f>SUMIF(Recibos!$D$4:$D$7493,Cobranza!$B201,Recibos!K$4:K$7493)</f>
        <v>100</v>
      </c>
      <c r="AZ201" s="313">
        <f>SUMIF(Recibos!$D$4:$D$7493,Cobranza!$B201,Recibos!L$4:L$7493)</f>
        <v>100</v>
      </c>
      <c r="BA201" s="313">
        <f>SUMIF(Recibos!$D$4:$D$7493,Cobranza!$B201,Recibos!M$4:M$7493)</f>
        <v>100</v>
      </c>
      <c r="BB201" s="313">
        <f>SUMIF(Recibos!$D$4:$D$7493,Cobranza!$B201,Recibos!N$4:N$7493)</f>
        <v>100</v>
      </c>
      <c r="BC201" s="313">
        <f>SUMIF(Recibos!$D$4:$D$7493,Cobranza!$B201,Recibos!O$4:O$7493)</f>
        <v>100</v>
      </c>
      <c r="BD201" s="313">
        <f>SUMIF(Recibos!$D$4:$D$7493,Cobranza!$B201,Recibos!P$4:P$7493)</f>
        <v>100</v>
      </c>
      <c r="BE201" s="313">
        <f>SUMIF(Recibos!$D$4:$D$7493,Cobranza!$B201,Recibos!Q$4:Q$7493)</f>
        <v>100</v>
      </c>
      <c r="BF201" s="313">
        <f>SUMIF(Recibos!$D$4:$D$7493,Cobranza!$B201,Recibos!R$4:R$7493)</f>
        <v>100</v>
      </c>
      <c r="BG201" s="313">
        <f>SUMIF(Recibos!$D$4:$D$7493,Cobranza!$B201,Recibos!S$4:S$7493)</f>
        <v>100</v>
      </c>
      <c r="BH201" s="313">
        <f>SUMIF(Recibos!$D$4:$D$7493,Cobranza!$B201,Recibos!T$4:T$7493)</f>
        <v>100</v>
      </c>
      <c r="BI201" s="313">
        <f>SUMIF(Recibos!$D$4:$D$7493,Cobranza!$B201,Recibos!U$4:U$7493)</f>
        <v>100</v>
      </c>
      <c r="BJ201" s="313">
        <f>SUMIF(Recibos!$D$4:$D$7493,Cobranza!$B201,Recibos!V$4:V$7493)</f>
        <v>100</v>
      </c>
      <c r="BK201" s="314">
        <f t="shared" si="29"/>
        <v>1200</v>
      </c>
      <c r="BL201" s="313">
        <f>SUMIF(Recibos!$D$4:$D$7493,Cobranza!$B201,Recibos!X$4:X$7493)</f>
        <v>100</v>
      </c>
      <c r="BM201" s="313">
        <f>SUMIF(Recibos!$D$4:$D$7493,Cobranza!$B201,Recibos!Y$4:Y$7493)</f>
        <v>100</v>
      </c>
      <c r="BN201" s="313">
        <f>SUMIF(Recibos!$D$4:$D$7493,Cobranza!$B201,Recibos!Z$4:Z$7493)</f>
        <v>100</v>
      </c>
      <c r="BO201" s="313">
        <f>SUMIF(Recibos!$D$4:$D$7493,Cobranza!$B201,Recibos!AA$4:AA$7493)</f>
        <v>100</v>
      </c>
      <c r="BP201" s="313">
        <f>SUMIF(Recibos!$D$4:$D$7493,Cobranza!$B201,Recibos!AB$4:AB$7493)</f>
        <v>100</v>
      </c>
      <c r="BQ201" s="313">
        <f>SUMIF(Recibos!$D$4:$D$7493,Cobranza!$B201,Recibos!AC$4:AC$7493)</f>
        <v>100</v>
      </c>
      <c r="BR201" s="313">
        <f>SUMIF(Recibos!$D$4:$D$7493,Cobranza!$B201,Recibos!AD$4:AD$7493)</f>
        <v>100</v>
      </c>
      <c r="BS201" s="313">
        <f>SUMIF(Recibos!$D$4:$D$7493,Cobranza!$B201,Recibos!AE$4:AE$7493)</f>
        <v>100</v>
      </c>
      <c r="BT201" s="313">
        <f>SUMIF(Recibos!$D$4:$D$7493,Cobranza!$B201,Recibos!AF$4:AF$7493)</f>
        <v>100</v>
      </c>
      <c r="BU201" s="313">
        <f>SUMIF(Recibos!$D$4:$D$7493,Cobranza!$B201,Recibos!AG$4:AG$7493)</f>
        <v>100</v>
      </c>
      <c r="BV201" s="313">
        <f>SUMIF(Recibos!$D$4:$D$7493,Cobranza!$B201,Recibos!AH$4:AH$7493)</f>
        <v>100</v>
      </c>
      <c r="BW201" s="313">
        <f>SUMIF(Recibos!$D$4:$D$7493,Cobranza!$B201,Recibos!AI$4:AI$7493)</f>
        <v>100</v>
      </c>
      <c r="BX201" s="314">
        <f t="shared" si="30"/>
        <v>1200</v>
      </c>
      <c r="BY201" s="313">
        <f>SUMIF(Recibos!$D$4:$D$7493,Cobranza!$B201,Recibos!AK$4:AK$7493)</f>
        <v>100</v>
      </c>
      <c r="BZ201" s="313">
        <f>SUMIF(Recibos!$D$4:$D$7493,Cobranza!$B201,Recibos!AL$4:AL$7493)</f>
        <v>100</v>
      </c>
      <c r="CA201" s="313">
        <f>SUMIF(Recibos!$D$4:$D$7493,Cobranza!$B201,Recibos!AM$4:AM$7493)</f>
        <v>100</v>
      </c>
      <c r="CB201" s="313">
        <f>SUMIF(Recibos!$D$4:$D$7493,Cobranza!$B201,Recibos!AN$4:AN$7493)</f>
        <v>100</v>
      </c>
      <c r="CC201" s="313">
        <f>SUMIF(Recibos!$D$4:$D$7493,Cobranza!$B201,Recibos!AO$4:AO$7493)</f>
        <v>100</v>
      </c>
      <c r="CD201" s="313">
        <f>SUMIF(Recibos!$D$4:$D$7493,Cobranza!$B201,Recibos!AP$4:AP$7493)</f>
        <v>100</v>
      </c>
      <c r="CE201" s="313">
        <f>SUMIF(Recibos!$D$4:$D$7493,Cobranza!$B201,Recibos!AQ$4:AQ$7493)</f>
        <v>100</v>
      </c>
      <c r="CF201" s="313">
        <f>SUMIF(Recibos!$D$4:$D$7493,Cobranza!$B201,Recibos!AR$4:AR$7493)</f>
        <v>100</v>
      </c>
      <c r="CG201" s="313">
        <f>SUMIF(Recibos!$D$4:$D$7493,Cobranza!$B201,Recibos!AS$4:AS$7493)</f>
        <v>0</v>
      </c>
      <c r="CH201" s="313">
        <f>SUMIF(Recibos!$D$4:$D$7493,Cobranza!$B201,Recibos!AT$4:AT$7493)</f>
        <v>0</v>
      </c>
      <c r="CI201" s="313">
        <f>SUMIF(Recibos!$D$4:$D$7493,Cobranza!$B201,Recibos!AU$4:AU$7493)</f>
        <v>0</v>
      </c>
      <c r="CJ201" s="313">
        <f>SUMIF(Recibos!$D$4:$D$7493,Cobranza!$B201,Recibos!AV$4:AV$7493)</f>
        <v>0</v>
      </c>
      <c r="CK201" s="314">
        <f t="shared" si="24"/>
        <v>800</v>
      </c>
    </row>
    <row r="202" spans="2:89" x14ac:dyDescent="0.2">
      <c r="B202" s="42" t="s">
        <v>319</v>
      </c>
      <c r="C202" s="42" t="s">
        <v>320</v>
      </c>
      <c r="D202" s="42" t="s">
        <v>321</v>
      </c>
      <c r="E202" s="43">
        <v>0</v>
      </c>
      <c r="F202" s="43">
        <v>0</v>
      </c>
      <c r="G202" s="43">
        <v>0</v>
      </c>
      <c r="H202" s="43">
        <v>0</v>
      </c>
      <c r="I202" s="43">
        <v>300</v>
      </c>
      <c r="J202" s="43">
        <v>300</v>
      </c>
      <c r="K202" s="44">
        <f t="shared" si="25"/>
        <v>600</v>
      </c>
      <c r="L202" s="43">
        <v>300</v>
      </c>
      <c r="M202" s="43">
        <v>300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  <c r="V202" s="43">
        <v>0</v>
      </c>
      <c r="W202" s="43">
        <v>0</v>
      </c>
      <c r="X202" s="44">
        <f t="shared" si="26"/>
        <v>600</v>
      </c>
      <c r="Y202" s="43">
        <v>100</v>
      </c>
      <c r="Z202" s="43">
        <v>100</v>
      </c>
      <c r="AA202" s="43">
        <v>0</v>
      </c>
      <c r="AB202" s="43">
        <v>0</v>
      </c>
      <c r="AC202" s="43">
        <v>0</v>
      </c>
      <c r="AD202" s="43">
        <v>0</v>
      </c>
      <c r="AE202" s="43">
        <v>0</v>
      </c>
      <c r="AF202" s="43">
        <v>100</v>
      </c>
      <c r="AG202" s="43">
        <v>100</v>
      </c>
      <c r="AH202" s="43">
        <v>100</v>
      </c>
      <c r="AI202" s="43">
        <v>100</v>
      </c>
      <c r="AJ202" s="43">
        <v>100</v>
      </c>
      <c r="AK202" s="44">
        <f t="shared" si="27"/>
        <v>700</v>
      </c>
      <c r="AL202" s="43">
        <v>100</v>
      </c>
      <c r="AM202" s="43">
        <v>100</v>
      </c>
      <c r="AN202" s="43">
        <v>100</v>
      </c>
      <c r="AO202" s="43">
        <v>100</v>
      </c>
      <c r="AP202" s="43">
        <v>100</v>
      </c>
      <c r="AQ202" s="43">
        <v>100</v>
      </c>
      <c r="AR202" s="43">
        <v>100</v>
      </c>
      <c r="AS202" s="43">
        <v>100</v>
      </c>
      <c r="AT202" s="43">
        <v>100</v>
      </c>
      <c r="AU202" s="43">
        <v>100</v>
      </c>
      <c r="AV202" s="43">
        <v>100</v>
      </c>
      <c r="AW202" s="43">
        <v>100</v>
      </c>
      <c r="AX202" s="44">
        <f t="shared" si="28"/>
        <v>1200</v>
      </c>
      <c r="AY202" s="311">
        <f>SUMIF(Recibos!$D$4:$D$7493,Cobranza!$B202,Recibos!K$4:K$7493)</f>
        <v>100</v>
      </c>
      <c r="AZ202" s="311">
        <f>SUMIF(Recibos!$D$4:$D$7493,Cobranza!$B202,Recibos!L$4:L$7493)</f>
        <v>100</v>
      </c>
      <c r="BA202" s="311">
        <f>SUMIF(Recibos!$D$4:$D$7493,Cobranza!$B202,Recibos!M$4:M$7493)</f>
        <v>100</v>
      </c>
      <c r="BB202" s="311">
        <f>SUMIF(Recibos!$D$4:$D$7493,Cobranza!$B202,Recibos!N$4:N$7493)</f>
        <v>100</v>
      </c>
      <c r="BC202" s="311">
        <f>SUMIF(Recibos!$D$4:$D$7493,Cobranza!$B202,Recibos!O$4:O$7493)</f>
        <v>100</v>
      </c>
      <c r="BD202" s="311">
        <f>SUMIF(Recibos!$D$4:$D$7493,Cobranza!$B202,Recibos!P$4:P$7493)</f>
        <v>100</v>
      </c>
      <c r="BE202" s="311">
        <f>SUMIF(Recibos!$D$4:$D$7493,Cobranza!$B202,Recibos!Q$4:Q$7493)</f>
        <v>100</v>
      </c>
      <c r="BF202" s="311">
        <f>SUMIF(Recibos!$D$4:$D$7493,Cobranza!$B202,Recibos!R$4:R$7493)</f>
        <v>100</v>
      </c>
      <c r="BG202" s="311">
        <f>SUMIF(Recibos!$D$4:$D$7493,Cobranza!$B202,Recibos!S$4:S$7493)</f>
        <v>100</v>
      </c>
      <c r="BH202" s="311">
        <f>SUMIF(Recibos!$D$4:$D$7493,Cobranza!$B202,Recibos!T$4:T$7493)</f>
        <v>100</v>
      </c>
      <c r="BI202" s="311">
        <f>SUMIF(Recibos!$D$4:$D$7493,Cobranza!$B202,Recibos!U$4:U$7493)</f>
        <v>100</v>
      </c>
      <c r="BJ202" s="311">
        <f>SUMIF(Recibos!$D$4:$D$7493,Cobranza!$B202,Recibos!V$4:V$7493)</f>
        <v>100</v>
      </c>
      <c r="BK202" s="312">
        <f t="shared" si="29"/>
        <v>1200</v>
      </c>
      <c r="BL202" s="311">
        <f>SUMIF(Recibos!$D$4:$D$7493,Cobranza!$B202,Recibos!X$4:X$7493)</f>
        <v>100</v>
      </c>
      <c r="BM202" s="311">
        <f>SUMIF(Recibos!$D$4:$D$7493,Cobranza!$B202,Recibos!Y$4:Y$7493)</f>
        <v>100</v>
      </c>
      <c r="BN202" s="311">
        <f>SUMIF(Recibos!$D$4:$D$7493,Cobranza!$B202,Recibos!Z$4:Z$7493)</f>
        <v>100</v>
      </c>
      <c r="BO202" s="311">
        <f>SUMIF(Recibos!$D$4:$D$7493,Cobranza!$B202,Recibos!AA$4:AA$7493)</f>
        <v>100</v>
      </c>
      <c r="BP202" s="311">
        <f>SUMIF(Recibos!$D$4:$D$7493,Cobranza!$B202,Recibos!AB$4:AB$7493)</f>
        <v>100</v>
      </c>
      <c r="BQ202" s="311">
        <f>SUMIF(Recibos!$D$4:$D$7493,Cobranza!$B202,Recibos!AC$4:AC$7493)</f>
        <v>100</v>
      </c>
      <c r="BR202" s="311">
        <f>SUMIF(Recibos!$D$4:$D$7493,Cobranza!$B202,Recibos!AD$4:AD$7493)</f>
        <v>100</v>
      </c>
      <c r="BS202" s="311">
        <f>SUMIF(Recibos!$D$4:$D$7493,Cobranza!$B202,Recibos!AE$4:AE$7493)</f>
        <v>100</v>
      </c>
      <c r="BT202" s="311">
        <f>SUMIF(Recibos!$D$4:$D$7493,Cobranza!$B202,Recibos!AF$4:AF$7493)</f>
        <v>100</v>
      </c>
      <c r="BU202" s="311">
        <f>SUMIF(Recibos!$D$4:$D$7493,Cobranza!$B202,Recibos!AG$4:AG$7493)</f>
        <v>100</v>
      </c>
      <c r="BV202" s="311">
        <f>SUMIF(Recibos!$D$4:$D$7493,Cobranza!$B202,Recibos!AH$4:AH$7493)</f>
        <v>100</v>
      </c>
      <c r="BW202" s="311">
        <f>SUMIF(Recibos!$D$4:$D$7493,Cobranza!$B202,Recibos!AI$4:AI$7493)</f>
        <v>100</v>
      </c>
      <c r="BX202" s="312">
        <f t="shared" si="30"/>
        <v>1200</v>
      </c>
      <c r="BY202" s="311">
        <f>SUMIF(Recibos!$D$4:$D$7493,Cobranza!$B202,Recibos!AK$4:AK$7493)</f>
        <v>100</v>
      </c>
      <c r="BZ202" s="311">
        <f>SUMIF(Recibos!$D$4:$D$7493,Cobranza!$B202,Recibos!AL$4:AL$7493)</f>
        <v>100</v>
      </c>
      <c r="CA202" s="311">
        <f>SUMIF(Recibos!$D$4:$D$7493,Cobranza!$B202,Recibos!AM$4:AM$7493)</f>
        <v>100</v>
      </c>
      <c r="CB202" s="311">
        <f>SUMIF(Recibos!$D$4:$D$7493,Cobranza!$B202,Recibos!AN$4:AN$7493)</f>
        <v>100</v>
      </c>
      <c r="CC202" s="311">
        <f>SUMIF(Recibos!$D$4:$D$7493,Cobranza!$B202,Recibos!AO$4:AO$7493)</f>
        <v>100</v>
      </c>
      <c r="CD202" s="311">
        <f>SUMIF(Recibos!$D$4:$D$7493,Cobranza!$B202,Recibos!AP$4:AP$7493)</f>
        <v>100</v>
      </c>
      <c r="CE202" s="311">
        <f>SUMIF(Recibos!$D$4:$D$7493,Cobranza!$B202,Recibos!AQ$4:AQ$7493)</f>
        <v>100</v>
      </c>
      <c r="CF202" s="311">
        <f>SUMIF(Recibos!$D$4:$D$7493,Cobranza!$B202,Recibos!AR$4:AR$7493)</f>
        <v>100</v>
      </c>
      <c r="CG202" s="311">
        <f>SUMIF(Recibos!$D$4:$D$7493,Cobranza!$B202,Recibos!AS$4:AS$7493)</f>
        <v>0</v>
      </c>
      <c r="CH202" s="311">
        <f>SUMIF(Recibos!$D$4:$D$7493,Cobranza!$B202,Recibos!AT$4:AT$7493)</f>
        <v>0</v>
      </c>
      <c r="CI202" s="311">
        <f>SUMIF(Recibos!$D$4:$D$7493,Cobranza!$B202,Recibos!AU$4:AU$7493)</f>
        <v>0</v>
      </c>
      <c r="CJ202" s="311">
        <f>SUMIF(Recibos!$D$4:$D$7493,Cobranza!$B202,Recibos!AV$4:AV$7493)</f>
        <v>0</v>
      </c>
      <c r="CK202" s="312">
        <f t="shared" ref="CK202:CK265" si="31">SUM(BY202:CJ202)</f>
        <v>800</v>
      </c>
    </row>
    <row r="203" spans="2:89" x14ac:dyDescent="0.2">
      <c r="B203" s="45" t="s">
        <v>1352</v>
      </c>
      <c r="C203" s="45" t="s">
        <v>1353</v>
      </c>
      <c r="D203" s="45" t="s">
        <v>1354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0</v>
      </c>
      <c r="K203" s="47">
        <f t="shared" si="25"/>
        <v>0</v>
      </c>
      <c r="L203" s="46">
        <v>0</v>
      </c>
      <c r="M203" s="46">
        <v>0</v>
      </c>
      <c r="N203" s="46">
        <v>0</v>
      </c>
      <c r="O203" s="46">
        <v>0</v>
      </c>
      <c r="P203" s="46">
        <v>0</v>
      </c>
      <c r="Q203" s="46">
        <v>0</v>
      </c>
      <c r="R203" s="46">
        <v>0</v>
      </c>
      <c r="S203" s="46">
        <v>0</v>
      </c>
      <c r="T203" s="46">
        <v>0</v>
      </c>
      <c r="U203" s="46">
        <v>0</v>
      </c>
      <c r="V203" s="46">
        <v>0</v>
      </c>
      <c r="W203" s="46">
        <v>0</v>
      </c>
      <c r="X203" s="47">
        <f t="shared" si="26"/>
        <v>0</v>
      </c>
      <c r="Y203" s="46">
        <v>0</v>
      </c>
      <c r="Z203" s="46">
        <v>0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6">
        <v>0</v>
      </c>
      <c r="AG203" s="46">
        <v>0</v>
      </c>
      <c r="AH203" s="46">
        <v>0</v>
      </c>
      <c r="AI203" s="46">
        <v>0</v>
      </c>
      <c r="AJ203" s="46">
        <v>0</v>
      </c>
      <c r="AK203" s="47">
        <f t="shared" si="27"/>
        <v>0</v>
      </c>
      <c r="AL203" s="46">
        <v>0</v>
      </c>
      <c r="AM203" s="46">
        <v>0</v>
      </c>
      <c r="AN203" s="46">
        <v>0</v>
      </c>
      <c r="AO203" s="46">
        <v>0</v>
      </c>
      <c r="AP203" s="46">
        <v>0</v>
      </c>
      <c r="AQ203" s="46">
        <v>0</v>
      </c>
      <c r="AR203" s="46">
        <v>0</v>
      </c>
      <c r="AS203" s="46">
        <v>0</v>
      </c>
      <c r="AT203" s="46">
        <v>0</v>
      </c>
      <c r="AU203" s="46">
        <v>0</v>
      </c>
      <c r="AV203" s="46">
        <v>0</v>
      </c>
      <c r="AW203" s="46">
        <v>0</v>
      </c>
      <c r="AX203" s="47">
        <f t="shared" si="28"/>
        <v>0</v>
      </c>
      <c r="AY203" s="313">
        <f>SUMIF(Recibos!$D$4:$D$7493,Cobranza!$B203,Recibos!K$4:K$7493)</f>
        <v>0</v>
      </c>
      <c r="AZ203" s="313">
        <f>SUMIF(Recibos!$D$4:$D$7493,Cobranza!$B203,Recibos!L$4:L$7493)</f>
        <v>0</v>
      </c>
      <c r="BA203" s="313">
        <f>SUMIF(Recibos!$D$4:$D$7493,Cobranza!$B203,Recibos!M$4:M$7493)</f>
        <v>0</v>
      </c>
      <c r="BB203" s="313">
        <f>SUMIF(Recibos!$D$4:$D$7493,Cobranza!$B203,Recibos!N$4:N$7493)</f>
        <v>0</v>
      </c>
      <c r="BC203" s="313">
        <f>SUMIF(Recibos!$D$4:$D$7493,Cobranza!$B203,Recibos!O$4:O$7493)</f>
        <v>0</v>
      </c>
      <c r="BD203" s="313">
        <f>SUMIF(Recibos!$D$4:$D$7493,Cobranza!$B203,Recibos!P$4:P$7493)</f>
        <v>0</v>
      </c>
      <c r="BE203" s="313">
        <f>SUMIF(Recibos!$D$4:$D$7493,Cobranza!$B203,Recibos!Q$4:Q$7493)</f>
        <v>0</v>
      </c>
      <c r="BF203" s="313">
        <f>SUMIF(Recibos!$D$4:$D$7493,Cobranza!$B203,Recibos!R$4:R$7493)</f>
        <v>0</v>
      </c>
      <c r="BG203" s="313">
        <f>SUMIF(Recibos!$D$4:$D$7493,Cobranza!$B203,Recibos!S$4:S$7493)</f>
        <v>0</v>
      </c>
      <c r="BH203" s="313">
        <f>SUMIF(Recibos!$D$4:$D$7493,Cobranza!$B203,Recibos!T$4:T$7493)</f>
        <v>0</v>
      </c>
      <c r="BI203" s="313">
        <f>SUMIF(Recibos!$D$4:$D$7493,Cobranza!$B203,Recibos!U$4:U$7493)</f>
        <v>0</v>
      </c>
      <c r="BJ203" s="313">
        <f>SUMIF(Recibos!$D$4:$D$7493,Cobranza!$B203,Recibos!V$4:V$7493)</f>
        <v>0</v>
      </c>
      <c r="BK203" s="314">
        <f t="shared" si="29"/>
        <v>0</v>
      </c>
      <c r="BL203" s="313">
        <f>SUMIF(Recibos!$D$4:$D$7493,Cobranza!$B203,Recibos!X$4:X$7493)</f>
        <v>0</v>
      </c>
      <c r="BM203" s="313">
        <f>SUMIF(Recibos!$D$4:$D$7493,Cobranza!$B203,Recibos!Y$4:Y$7493)</f>
        <v>0</v>
      </c>
      <c r="BN203" s="313">
        <f>SUMIF(Recibos!$D$4:$D$7493,Cobranza!$B203,Recibos!Z$4:Z$7493)</f>
        <v>0</v>
      </c>
      <c r="BO203" s="313">
        <f>SUMIF(Recibos!$D$4:$D$7493,Cobranza!$B203,Recibos!AA$4:AA$7493)</f>
        <v>0</v>
      </c>
      <c r="BP203" s="313">
        <f>SUMIF(Recibos!$D$4:$D$7493,Cobranza!$B203,Recibos!AB$4:AB$7493)</f>
        <v>0</v>
      </c>
      <c r="BQ203" s="313">
        <f>SUMIF(Recibos!$D$4:$D$7493,Cobranza!$B203,Recibos!AC$4:AC$7493)</f>
        <v>0</v>
      </c>
      <c r="BR203" s="313">
        <f>SUMIF(Recibos!$D$4:$D$7493,Cobranza!$B203,Recibos!AD$4:AD$7493)</f>
        <v>0</v>
      </c>
      <c r="BS203" s="313">
        <f>SUMIF(Recibos!$D$4:$D$7493,Cobranza!$B203,Recibos!AE$4:AE$7493)</f>
        <v>0</v>
      </c>
      <c r="BT203" s="313">
        <f>SUMIF(Recibos!$D$4:$D$7493,Cobranza!$B203,Recibos!AF$4:AF$7493)</f>
        <v>0</v>
      </c>
      <c r="BU203" s="313">
        <f>SUMIF(Recibos!$D$4:$D$7493,Cobranza!$B203,Recibos!AG$4:AG$7493)</f>
        <v>0</v>
      </c>
      <c r="BV203" s="313">
        <f>SUMIF(Recibos!$D$4:$D$7493,Cobranza!$B203,Recibos!AH$4:AH$7493)</f>
        <v>0</v>
      </c>
      <c r="BW203" s="313">
        <f>SUMIF(Recibos!$D$4:$D$7493,Cobranza!$B203,Recibos!AI$4:AI$7493)</f>
        <v>0</v>
      </c>
      <c r="BX203" s="314">
        <f t="shared" si="30"/>
        <v>0</v>
      </c>
      <c r="BY203" s="313">
        <f>SUMIF(Recibos!$D$4:$D$7493,Cobranza!$B203,Recibos!AK$4:AK$7493)</f>
        <v>0</v>
      </c>
      <c r="BZ203" s="313">
        <f>SUMIF(Recibos!$D$4:$D$7493,Cobranza!$B203,Recibos!AL$4:AL$7493)</f>
        <v>0</v>
      </c>
      <c r="CA203" s="313">
        <f>SUMIF(Recibos!$D$4:$D$7493,Cobranza!$B203,Recibos!AM$4:AM$7493)</f>
        <v>0</v>
      </c>
      <c r="CB203" s="313">
        <f>SUMIF(Recibos!$D$4:$D$7493,Cobranza!$B203,Recibos!AN$4:AN$7493)</f>
        <v>0</v>
      </c>
      <c r="CC203" s="313">
        <f>SUMIF(Recibos!$D$4:$D$7493,Cobranza!$B203,Recibos!AO$4:AO$7493)</f>
        <v>0</v>
      </c>
      <c r="CD203" s="313">
        <f>SUMIF(Recibos!$D$4:$D$7493,Cobranza!$B203,Recibos!AP$4:AP$7493)</f>
        <v>0</v>
      </c>
      <c r="CE203" s="313">
        <f>SUMIF(Recibos!$D$4:$D$7493,Cobranza!$B203,Recibos!AQ$4:AQ$7493)</f>
        <v>0</v>
      </c>
      <c r="CF203" s="313">
        <f>SUMIF(Recibos!$D$4:$D$7493,Cobranza!$B203,Recibos!AR$4:AR$7493)</f>
        <v>0</v>
      </c>
      <c r="CG203" s="313">
        <f>SUMIF(Recibos!$D$4:$D$7493,Cobranza!$B203,Recibos!AS$4:AS$7493)</f>
        <v>0</v>
      </c>
      <c r="CH203" s="313">
        <f>SUMIF(Recibos!$D$4:$D$7493,Cobranza!$B203,Recibos!AT$4:AT$7493)</f>
        <v>0</v>
      </c>
      <c r="CI203" s="313">
        <f>SUMIF(Recibos!$D$4:$D$7493,Cobranza!$B203,Recibos!AU$4:AU$7493)</f>
        <v>0</v>
      </c>
      <c r="CJ203" s="313">
        <f>SUMIF(Recibos!$D$4:$D$7493,Cobranza!$B203,Recibos!AV$4:AV$7493)</f>
        <v>0</v>
      </c>
      <c r="CK203" s="314">
        <f t="shared" si="31"/>
        <v>0</v>
      </c>
    </row>
    <row r="204" spans="2:89" x14ac:dyDescent="0.2">
      <c r="B204" s="42" t="s">
        <v>559</v>
      </c>
      <c r="C204" s="42" t="s">
        <v>560</v>
      </c>
      <c r="D204" s="42" t="s">
        <v>561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4">
        <f t="shared" si="25"/>
        <v>0</v>
      </c>
      <c r="L204" s="43">
        <v>300</v>
      </c>
      <c r="M204" s="43">
        <v>0</v>
      </c>
      <c r="N204" s="43">
        <v>0</v>
      </c>
      <c r="O204" s="43">
        <v>300</v>
      </c>
      <c r="P204" s="43">
        <v>300</v>
      </c>
      <c r="Q204" s="43">
        <v>300</v>
      </c>
      <c r="R204" s="43">
        <v>300</v>
      </c>
      <c r="S204" s="43">
        <v>300</v>
      </c>
      <c r="T204" s="43">
        <v>300</v>
      </c>
      <c r="U204" s="43">
        <v>400</v>
      </c>
      <c r="V204" s="43">
        <v>400</v>
      </c>
      <c r="W204" s="43">
        <v>400</v>
      </c>
      <c r="X204" s="44">
        <f t="shared" si="26"/>
        <v>3300</v>
      </c>
      <c r="Y204" s="43">
        <v>400</v>
      </c>
      <c r="Z204" s="43">
        <v>400</v>
      </c>
      <c r="AA204" s="43">
        <v>400</v>
      </c>
      <c r="AB204" s="43">
        <v>400</v>
      </c>
      <c r="AC204" s="43">
        <v>400</v>
      </c>
      <c r="AD204" s="43">
        <v>400</v>
      </c>
      <c r="AE204" s="43">
        <v>400</v>
      </c>
      <c r="AF204" s="43">
        <v>400</v>
      </c>
      <c r="AG204" s="43">
        <v>400</v>
      </c>
      <c r="AH204" s="43">
        <v>400</v>
      </c>
      <c r="AI204" s="43">
        <v>400</v>
      </c>
      <c r="AJ204" s="43">
        <v>0</v>
      </c>
      <c r="AK204" s="44">
        <f t="shared" si="27"/>
        <v>4400</v>
      </c>
      <c r="AL204" s="43">
        <v>400</v>
      </c>
      <c r="AM204" s="43">
        <v>400</v>
      </c>
      <c r="AN204" s="43">
        <v>400</v>
      </c>
      <c r="AO204" s="43">
        <v>400</v>
      </c>
      <c r="AP204" s="43">
        <v>400</v>
      </c>
      <c r="AQ204" s="43">
        <v>400</v>
      </c>
      <c r="AR204" s="43">
        <v>400</v>
      </c>
      <c r="AS204" s="43">
        <v>400</v>
      </c>
      <c r="AT204" s="43">
        <v>400</v>
      </c>
      <c r="AU204" s="43">
        <v>400</v>
      </c>
      <c r="AV204" s="43">
        <v>400</v>
      </c>
      <c r="AW204" s="43">
        <v>0</v>
      </c>
      <c r="AX204" s="44">
        <f t="shared" si="28"/>
        <v>4400</v>
      </c>
      <c r="AY204" s="311">
        <f>SUMIF(Recibos!$D$4:$D$7493,Cobranza!$B204,Recibos!K$4:K$7493)</f>
        <v>400</v>
      </c>
      <c r="AZ204" s="311">
        <f>SUMIF(Recibos!$D$4:$D$7493,Cobranza!$B204,Recibos!L$4:L$7493)</f>
        <v>400</v>
      </c>
      <c r="BA204" s="311">
        <f>SUMIF(Recibos!$D$4:$D$7493,Cobranza!$B204,Recibos!M$4:M$7493)</f>
        <v>400</v>
      </c>
      <c r="BB204" s="311">
        <f>SUMIF(Recibos!$D$4:$D$7493,Cobranza!$B204,Recibos!N$4:N$7493)</f>
        <v>400</v>
      </c>
      <c r="BC204" s="311">
        <f>SUMIF(Recibos!$D$4:$D$7493,Cobranza!$B204,Recibos!O$4:O$7493)</f>
        <v>400</v>
      </c>
      <c r="BD204" s="311">
        <f>SUMIF(Recibos!$D$4:$D$7493,Cobranza!$B204,Recibos!P$4:P$7493)</f>
        <v>400</v>
      </c>
      <c r="BE204" s="311">
        <f>SUMIF(Recibos!$D$4:$D$7493,Cobranza!$B204,Recibos!Q$4:Q$7493)</f>
        <v>400</v>
      </c>
      <c r="BF204" s="311">
        <f>SUMIF(Recibos!$D$4:$D$7493,Cobranza!$B204,Recibos!R$4:R$7493)</f>
        <v>400</v>
      </c>
      <c r="BG204" s="311">
        <f>SUMIF(Recibos!$D$4:$D$7493,Cobranza!$B204,Recibos!S$4:S$7493)</f>
        <v>400</v>
      </c>
      <c r="BH204" s="311">
        <f>SUMIF(Recibos!$D$4:$D$7493,Cobranza!$B204,Recibos!T$4:T$7493)</f>
        <v>400</v>
      </c>
      <c r="BI204" s="311">
        <f>SUMIF(Recibos!$D$4:$D$7493,Cobranza!$B204,Recibos!U$4:U$7493)</f>
        <v>400</v>
      </c>
      <c r="BJ204" s="311">
        <f>SUMIF(Recibos!$D$4:$D$7493,Cobranza!$B204,Recibos!V$4:V$7493)</f>
        <v>0</v>
      </c>
      <c r="BK204" s="312">
        <f t="shared" si="29"/>
        <v>4400</v>
      </c>
      <c r="BL204" s="311">
        <f>SUMIF(Recibos!$D$4:$D$7493,Cobranza!$B204,Recibos!X$4:X$7493)</f>
        <v>400</v>
      </c>
      <c r="BM204" s="311">
        <f>SUMIF(Recibos!$D$4:$D$7493,Cobranza!$B204,Recibos!Y$4:Y$7493)</f>
        <v>400</v>
      </c>
      <c r="BN204" s="311">
        <f>SUMIF(Recibos!$D$4:$D$7493,Cobranza!$B204,Recibos!Z$4:Z$7493)</f>
        <v>400</v>
      </c>
      <c r="BO204" s="311">
        <f>SUMIF(Recibos!$D$4:$D$7493,Cobranza!$B204,Recibos!AA$4:AA$7493)</f>
        <v>400</v>
      </c>
      <c r="BP204" s="311">
        <f>SUMIF(Recibos!$D$4:$D$7493,Cobranza!$B204,Recibos!AB$4:AB$7493)</f>
        <v>400</v>
      </c>
      <c r="BQ204" s="311">
        <f>SUMIF(Recibos!$D$4:$D$7493,Cobranza!$B204,Recibos!AC$4:AC$7493)</f>
        <v>400</v>
      </c>
      <c r="BR204" s="311">
        <f>SUMIF(Recibos!$D$4:$D$7493,Cobranza!$B204,Recibos!AD$4:AD$7493)</f>
        <v>400</v>
      </c>
      <c r="BS204" s="311">
        <f>SUMIF(Recibos!$D$4:$D$7493,Cobranza!$B204,Recibos!AE$4:AE$7493)</f>
        <v>400</v>
      </c>
      <c r="BT204" s="311">
        <f>SUMIF(Recibos!$D$4:$D$7493,Cobranza!$B204,Recibos!AF$4:AF$7493)</f>
        <v>400</v>
      </c>
      <c r="BU204" s="311">
        <f>SUMIF(Recibos!$D$4:$D$7493,Cobranza!$B204,Recibos!AG$4:AG$7493)</f>
        <v>400</v>
      </c>
      <c r="BV204" s="311">
        <f>SUMIF(Recibos!$D$4:$D$7493,Cobranza!$B204,Recibos!AH$4:AH$7493)</f>
        <v>400</v>
      </c>
      <c r="BW204" s="311">
        <f>SUMIF(Recibos!$D$4:$D$7493,Cobranza!$B204,Recibos!AI$4:AI$7493)</f>
        <v>0</v>
      </c>
      <c r="BX204" s="312">
        <f t="shared" si="30"/>
        <v>4400</v>
      </c>
      <c r="BY204" s="311">
        <f>SUMIF(Recibos!$D$4:$D$7493,Cobranza!$B204,Recibos!AK$4:AK$7493)</f>
        <v>400</v>
      </c>
      <c r="BZ204" s="311">
        <f>SUMIF(Recibos!$D$4:$D$7493,Cobranza!$B204,Recibos!AL$4:AL$7493)</f>
        <v>400</v>
      </c>
      <c r="CA204" s="311">
        <f>SUMIF(Recibos!$D$4:$D$7493,Cobranza!$B204,Recibos!AM$4:AM$7493)</f>
        <v>400</v>
      </c>
      <c r="CB204" s="311">
        <f>SUMIF(Recibos!$D$4:$D$7493,Cobranza!$B204,Recibos!AN$4:AN$7493)</f>
        <v>400</v>
      </c>
      <c r="CC204" s="311">
        <f>SUMIF(Recibos!$D$4:$D$7493,Cobranza!$B204,Recibos!AO$4:AO$7493)</f>
        <v>400</v>
      </c>
      <c r="CD204" s="311">
        <f>SUMIF(Recibos!$D$4:$D$7493,Cobranza!$B204,Recibos!AP$4:AP$7493)</f>
        <v>400</v>
      </c>
      <c r="CE204" s="311">
        <f>SUMIF(Recibos!$D$4:$D$7493,Cobranza!$B204,Recibos!AQ$4:AQ$7493)</f>
        <v>400</v>
      </c>
      <c r="CF204" s="311">
        <f>SUMIF(Recibos!$D$4:$D$7493,Cobranza!$B204,Recibos!AR$4:AR$7493)</f>
        <v>400</v>
      </c>
      <c r="CG204" s="311">
        <f>SUMIF(Recibos!$D$4:$D$7493,Cobranza!$B204,Recibos!AS$4:AS$7493)</f>
        <v>400</v>
      </c>
      <c r="CH204" s="311">
        <f>SUMIF(Recibos!$D$4:$D$7493,Cobranza!$B204,Recibos!AT$4:AT$7493)</f>
        <v>400</v>
      </c>
      <c r="CI204" s="311">
        <f>SUMIF(Recibos!$D$4:$D$7493,Cobranza!$B204,Recibos!AU$4:AU$7493)</f>
        <v>400</v>
      </c>
      <c r="CJ204" s="311">
        <f>SUMIF(Recibos!$D$4:$D$7493,Cobranza!$B204,Recibos!AV$4:AV$7493)</f>
        <v>0</v>
      </c>
      <c r="CK204" s="312">
        <f t="shared" si="31"/>
        <v>4400</v>
      </c>
    </row>
    <row r="205" spans="2:89" x14ac:dyDescent="0.2">
      <c r="B205" s="45" t="s">
        <v>398</v>
      </c>
      <c r="C205" s="45" t="s">
        <v>399</v>
      </c>
      <c r="D205" s="45" t="s">
        <v>400</v>
      </c>
      <c r="E205" s="46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300</v>
      </c>
      <c r="K205" s="47">
        <f t="shared" ref="K205:K268" si="32">SUM(E205:J205)</f>
        <v>300</v>
      </c>
      <c r="L205" s="46">
        <v>300</v>
      </c>
      <c r="M205" s="46">
        <v>300</v>
      </c>
      <c r="N205" s="46">
        <v>300</v>
      </c>
      <c r="O205" s="46">
        <v>300</v>
      </c>
      <c r="P205" s="46">
        <v>300</v>
      </c>
      <c r="Q205" s="46">
        <v>300</v>
      </c>
      <c r="R205" s="46">
        <v>300</v>
      </c>
      <c r="S205" s="46">
        <v>300</v>
      </c>
      <c r="T205" s="46">
        <v>300</v>
      </c>
      <c r="U205" s="46">
        <v>400</v>
      </c>
      <c r="V205" s="46">
        <v>400</v>
      </c>
      <c r="W205" s="46">
        <v>400</v>
      </c>
      <c r="X205" s="47">
        <f t="shared" ref="X205:X268" si="33">SUM(L205:W205)</f>
        <v>3900</v>
      </c>
      <c r="Y205" s="46">
        <v>400</v>
      </c>
      <c r="Z205" s="46">
        <v>400</v>
      </c>
      <c r="AA205" s="46">
        <v>400</v>
      </c>
      <c r="AB205" s="46">
        <v>550</v>
      </c>
      <c r="AC205" s="46">
        <v>400</v>
      </c>
      <c r="AD205" s="46">
        <v>400</v>
      </c>
      <c r="AE205" s="46">
        <v>400</v>
      </c>
      <c r="AF205" s="46">
        <v>400</v>
      </c>
      <c r="AG205" s="46">
        <v>400</v>
      </c>
      <c r="AH205" s="46">
        <v>400</v>
      </c>
      <c r="AI205" s="46">
        <v>400</v>
      </c>
      <c r="AJ205" s="46">
        <v>400</v>
      </c>
      <c r="AK205" s="47">
        <f t="shared" ref="AK205:AK268" si="34">SUM(Y205:AJ205)</f>
        <v>4950</v>
      </c>
      <c r="AL205" s="46">
        <v>400</v>
      </c>
      <c r="AM205" s="46">
        <v>400</v>
      </c>
      <c r="AN205" s="46">
        <v>400</v>
      </c>
      <c r="AO205" s="46">
        <v>400</v>
      </c>
      <c r="AP205" s="46">
        <v>400</v>
      </c>
      <c r="AQ205" s="46">
        <v>400</v>
      </c>
      <c r="AR205" s="46">
        <v>400</v>
      </c>
      <c r="AS205" s="46">
        <v>400</v>
      </c>
      <c r="AT205" s="46">
        <v>400</v>
      </c>
      <c r="AU205" s="46">
        <v>400</v>
      </c>
      <c r="AV205" s="46">
        <v>400</v>
      </c>
      <c r="AW205" s="46">
        <v>400</v>
      </c>
      <c r="AX205" s="47">
        <f t="shared" ref="AX205:AX268" si="35">SUM(AL205:AW205)</f>
        <v>4800</v>
      </c>
      <c r="AY205" s="313">
        <f>SUMIF(Recibos!$D$4:$D$7493,Cobranza!$B205,Recibos!K$4:K$7493)</f>
        <v>400</v>
      </c>
      <c r="AZ205" s="313">
        <f>SUMIF(Recibos!$D$4:$D$7493,Cobranza!$B205,Recibos!L$4:L$7493)</f>
        <v>400</v>
      </c>
      <c r="BA205" s="313">
        <f>SUMIF(Recibos!$D$4:$D$7493,Cobranza!$B205,Recibos!M$4:M$7493)</f>
        <v>400</v>
      </c>
      <c r="BB205" s="313">
        <f>SUMIF(Recibos!$D$4:$D$7493,Cobranza!$B205,Recibos!N$4:N$7493)</f>
        <v>400</v>
      </c>
      <c r="BC205" s="313">
        <f>SUMIF(Recibos!$D$4:$D$7493,Cobranza!$B205,Recibos!O$4:O$7493)</f>
        <v>400</v>
      </c>
      <c r="BD205" s="313">
        <f>SUMIF(Recibos!$D$4:$D$7493,Cobranza!$B205,Recibos!P$4:P$7493)</f>
        <v>400</v>
      </c>
      <c r="BE205" s="313">
        <f>SUMIF(Recibos!$D$4:$D$7493,Cobranza!$B205,Recibos!Q$4:Q$7493)</f>
        <v>400</v>
      </c>
      <c r="BF205" s="313">
        <f>SUMIF(Recibos!$D$4:$D$7493,Cobranza!$B205,Recibos!R$4:R$7493)</f>
        <v>400</v>
      </c>
      <c r="BG205" s="313">
        <f>SUMIF(Recibos!$D$4:$D$7493,Cobranza!$B205,Recibos!S$4:S$7493)</f>
        <v>400</v>
      </c>
      <c r="BH205" s="313">
        <f>SUMIF(Recibos!$D$4:$D$7493,Cobranza!$B205,Recibos!T$4:T$7493)</f>
        <v>400</v>
      </c>
      <c r="BI205" s="313">
        <f>SUMIF(Recibos!$D$4:$D$7493,Cobranza!$B205,Recibos!U$4:U$7493)</f>
        <v>400</v>
      </c>
      <c r="BJ205" s="313">
        <f>SUMIF(Recibos!$D$4:$D$7493,Cobranza!$B205,Recibos!V$4:V$7493)</f>
        <v>400</v>
      </c>
      <c r="BK205" s="314">
        <f t="shared" si="29"/>
        <v>4800</v>
      </c>
      <c r="BL205" s="313">
        <f>SUMIF(Recibos!$D$4:$D$7493,Cobranza!$B205,Recibos!X$4:X$7493)</f>
        <v>400</v>
      </c>
      <c r="BM205" s="313">
        <f>SUMIF(Recibos!$D$4:$D$7493,Cobranza!$B205,Recibos!Y$4:Y$7493)</f>
        <v>400</v>
      </c>
      <c r="BN205" s="313">
        <f>SUMIF(Recibos!$D$4:$D$7493,Cobranza!$B205,Recibos!Z$4:Z$7493)</f>
        <v>400</v>
      </c>
      <c r="BO205" s="313">
        <f>SUMIF(Recibos!$D$4:$D$7493,Cobranza!$B205,Recibos!AA$4:AA$7493)</f>
        <v>400</v>
      </c>
      <c r="BP205" s="313">
        <f>SUMIF(Recibos!$D$4:$D$7493,Cobranza!$B205,Recibos!AB$4:AB$7493)</f>
        <v>400</v>
      </c>
      <c r="BQ205" s="313">
        <f>SUMIF(Recibos!$D$4:$D$7493,Cobranza!$B205,Recibos!AC$4:AC$7493)</f>
        <v>400</v>
      </c>
      <c r="BR205" s="313">
        <f>SUMIF(Recibos!$D$4:$D$7493,Cobranza!$B205,Recibos!AD$4:AD$7493)</f>
        <v>400</v>
      </c>
      <c r="BS205" s="313">
        <f>SUMIF(Recibos!$D$4:$D$7493,Cobranza!$B205,Recibos!AE$4:AE$7493)</f>
        <v>400</v>
      </c>
      <c r="BT205" s="313">
        <f>SUMIF(Recibos!$D$4:$D$7493,Cobranza!$B205,Recibos!AF$4:AF$7493)</f>
        <v>400</v>
      </c>
      <c r="BU205" s="313">
        <f>SUMIF(Recibos!$D$4:$D$7493,Cobranza!$B205,Recibos!AG$4:AG$7493)</f>
        <v>400</v>
      </c>
      <c r="BV205" s="313">
        <f>SUMIF(Recibos!$D$4:$D$7493,Cobranza!$B205,Recibos!AH$4:AH$7493)</f>
        <v>400</v>
      </c>
      <c r="BW205" s="313">
        <f>SUMIF(Recibos!$D$4:$D$7493,Cobranza!$B205,Recibos!AI$4:AI$7493)</f>
        <v>400</v>
      </c>
      <c r="BX205" s="314">
        <f t="shared" si="30"/>
        <v>4800</v>
      </c>
      <c r="BY205" s="313">
        <f>SUMIF(Recibos!$D$4:$D$7493,Cobranza!$B205,Recibos!AK$4:AK$7493)</f>
        <v>0</v>
      </c>
      <c r="BZ205" s="313">
        <f>SUMIF(Recibos!$D$4:$D$7493,Cobranza!$B205,Recibos!AL$4:AL$7493)</f>
        <v>0</v>
      </c>
      <c r="CA205" s="313">
        <f>SUMIF(Recibos!$D$4:$D$7493,Cobranza!$B205,Recibos!AM$4:AM$7493)</f>
        <v>0</v>
      </c>
      <c r="CB205" s="313">
        <f>SUMIF(Recibos!$D$4:$D$7493,Cobranza!$B205,Recibos!AN$4:AN$7493)</f>
        <v>0</v>
      </c>
      <c r="CC205" s="313">
        <f>SUMIF(Recibos!$D$4:$D$7493,Cobranza!$B205,Recibos!AO$4:AO$7493)</f>
        <v>0</v>
      </c>
      <c r="CD205" s="313">
        <f>SUMIF(Recibos!$D$4:$D$7493,Cobranza!$B205,Recibos!AP$4:AP$7493)</f>
        <v>0</v>
      </c>
      <c r="CE205" s="313">
        <f>SUMIF(Recibos!$D$4:$D$7493,Cobranza!$B205,Recibos!AQ$4:AQ$7493)</f>
        <v>0</v>
      </c>
      <c r="CF205" s="313">
        <f>SUMIF(Recibos!$D$4:$D$7493,Cobranza!$B205,Recibos!AR$4:AR$7493)</f>
        <v>0</v>
      </c>
      <c r="CG205" s="313">
        <f>SUMIF(Recibos!$D$4:$D$7493,Cobranza!$B205,Recibos!AS$4:AS$7493)</f>
        <v>0</v>
      </c>
      <c r="CH205" s="313">
        <f>SUMIF(Recibos!$D$4:$D$7493,Cobranza!$B205,Recibos!AT$4:AT$7493)</f>
        <v>0</v>
      </c>
      <c r="CI205" s="313">
        <f>SUMIF(Recibos!$D$4:$D$7493,Cobranza!$B205,Recibos!AU$4:AU$7493)</f>
        <v>0</v>
      </c>
      <c r="CJ205" s="313">
        <f>SUMIF(Recibos!$D$4:$D$7493,Cobranza!$B205,Recibos!AV$4:AV$7493)</f>
        <v>0</v>
      </c>
      <c r="CK205" s="314">
        <f t="shared" si="31"/>
        <v>0</v>
      </c>
    </row>
    <row r="206" spans="2:89" x14ac:dyDescent="0.2">
      <c r="B206" s="42" t="s">
        <v>1355</v>
      </c>
      <c r="C206" s="42" t="s">
        <v>1356</v>
      </c>
      <c r="D206" s="42" t="s">
        <v>1357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4">
        <f t="shared" si="32"/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0</v>
      </c>
      <c r="W206" s="43">
        <v>0</v>
      </c>
      <c r="X206" s="44">
        <f t="shared" si="33"/>
        <v>0</v>
      </c>
      <c r="Y206" s="43">
        <v>0</v>
      </c>
      <c r="Z206" s="43">
        <v>0</v>
      </c>
      <c r="AA206" s="43">
        <v>0</v>
      </c>
      <c r="AB206" s="43">
        <v>0</v>
      </c>
      <c r="AC206" s="43">
        <v>0</v>
      </c>
      <c r="AD206" s="43">
        <v>0</v>
      </c>
      <c r="AE206" s="43">
        <v>0</v>
      </c>
      <c r="AF206" s="43">
        <v>0</v>
      </c>
      <c r="AG206" s="43">
        <v>0</v>
      </c>
      <c r="AH206" s="43">
        <v>0</v>
      </c>
      <c r="AI206" s="43">
        <v>0</v>
      </c>
      <c r="AJ206" s="43">
        <v>0</v>
      </c>
      <c r="AK206" s="44">
        <f t="shared" si="34"/>
        <v>0</v>
      </c>
      <c r="AL206" s="43">
        <v>400</v>
      </c>
      <c r="AM206" s="43">
        <v>400</v>
      </c>
      <c r="AN206" s="43">
        <v>400</v>
      </c>
      <c r="AO206" s="43">
        <v>400</v>
      </c>
      <c r="AP206" s="43">
        <v>400</v>
      </c>
      <c r="AQ206" s="43">
        <v>400</v>
      </c>
      <c r="AR206" s="43">
        <v>400</v>
      </c>
      <c r="AS206" s="43">
        <v>400</v>
      </c>
      <c r="AT206" s="43">
        <v>400</v>
      </c>
      <c r="AU206" s="43">
        <v>400</v>
      </c>
      <c r="AV206" s="43">
        <v>0</v>
      </c>
      <c r="AW206" s="43">
        <v>0</v>
      </c>
      <c r="AX206" s="44">
        <f t="shared" si="35"/>
        <v>4000</v>
      </c>
      <c r="AY206" s="311">
        <f>SUMIF(Recibos!$D$4:$D$7493,Cobranza!$B206,Recibos!K$4:K$7493)</f>
        <v>0</v>
      </c>
      <c r="AZ206" s="311">
        <f>SUMIF(Recibos!$D$4:$D$7493,Cobranza!$B206,Recibos!L$4:L$7493)</f>
        <v>0</v>
      </c>
      <c r="BA206" s="311">
        <f>SUMIF(Recibos!$D$4:$D$7493,Cobranza!$B206,Recibos!M$4:M$7493)</f>
        <v>0</v>
      </c>
      <c r="BB206" s="311">
        <f>SUMIF(Recibos!$D$4:$D$7493,Cobranza!$B206,Recibos!N$4:N$7493)</f>
        <v>0</v>
      </c>
      <c r="BC206" s="311">
        <f>SUMIF(Recibos!$D$4:$D$7493,Cobranza!$B206,Recibos!O$4:O$7493)</f>
        <v>0</v>
      </c>
      <c r="BD206" s="311">
        <f>SUMIF(Recibos!$D$4:$D$7493,Cobranza!$B206,Recibos!P$4:P$7493)</f>
        <v>0</v>
      </c>
      <c r="BE206" s="311">
        <f>SUMIF(Recibos!$D$4:$D$7493,Cobranza!$B206,Recibos!Q$4:Q$7493)</f>
        <v>0</v>
      </c>
      <c r="BF206" s="311">
        <f>SUMIF(Recibos!$D$4:$D$7493,Cobranza!$B206,Recibos!R$4:R$7493)</f>
        <v>0</v>
      </c>
      <c r="BG206" s="311">
        <f>SUMIF(Recibos!$D$4:$D$7493,Cobranza!$B206,Recibos!S$4:S$7493)</f>
        <v>0</v>
      </c>
      <c r="BH206" s="311">
        <f>SUMIF(Recibos!$D$4:$D$7493,Cobranza!$B206,Recibos!T$4:T$7493)</f>
        <v>0</v>
      </c>
      <c r="BI206" s="311">
        <f>SUMIF(Recibos!$D$4:$D$7493,Cobranza!$B206,Recibos!U$4:U$7493)</f>
        <v>0</v>
      </c>
      <c r="BJ206" s="311">
        <f>SUMIF(Recibos!$D$4:$D$7493,Cobranza!$B206,Recibos!V$4:V$7493)</f>
        <v>0</v>
      </c>
      <c r="BK206" s="312">
        <f t="shared" si="29"/>
        <v>0</v>
      </c>
      <c r="BL206" s="311">
        <f>SUMIF(Recibos!$D$4:$D$7493,Cobranza!$B206,Recibos!X$4:X$7493)</f>
        <v>0</v>
      </c>
      <c r="BM206" s="311">
        <f>SUMIF(Recibos!$D$4:$D$7493,Cobranza!$B206,Recibos!Y$4:Y$7493)</f>
        <v>0</v>
      </c>
      <c r="BN206" s="311">
        <f>SUMIF(Recibos!$D$4:$D$7493,Cobranza!$B206,Recibos!Z$4:Z$7493)</f>
        <v>0</v>
      </c>
      <c r="BO206" s="311">
        <f>SUMIF(Recibos!$D$4:$D$7493,Cobranza!$B206,Recibos!AA$4:AA$7493)</f>
        <v>0</v>
      </c>
      <c r="BP206" s="311">
        <f>SUMIF(Recibos!$D$4:$D$7493,Cobranza!$B206,Recibos!AB$4:AB$7493)</f>
        <v>0</v>
      </c>
      <c r="BQ206" s="311">
        <f>SUMIF(Recibos!$D$4:$D$7493,Cobranza!$B206,Recibos!AC$4:AC$7493)</f>
        <v>0</v>
      </c>
      <c r="BR206" s="311">
        <f>SUMIF(Recibos!$D$4:$D$7493,Cobranza!$B206,Recibos!AD$4:AD$7493)</f>
        <v>0</v>
      </c>
      <c r="BS206" s="311">
        <f>SUMIF(Recibos!$D$4:$D$7493,Cobranza!$B206,Recibos!AE$4:AE$7493)</f>
        <v>0</v>
      </c>
      <c r="BT206" s="311">
        <f>SUMIF(Recibos!$D$4:$D$7493,Cobranza!$B206,Recibos!AF$4:AF$7493)</f>
        <v>0</v>
      </c>
      <c r="BU206" s="311">
        <f>SUMIF(Recibos!$D$4:$D$7493,Cobranza!$B206,Recibos!AG$4:AG$7493)</f>
        <v>0</v>
      </c>
      <c r="BV206" s="311">
        <f>SUMIF(Recibos!$D$4:$D$7493,Cobranza!$B206,Recibos!AH$4:AH$7493)</f>
        <v>0</v>
      </c>
      <c r="BW206" s="311">
        <f>SUMIF(Recibos!$D$4:$D$7493,Cobranza!$B206,Recibos!AI$4:AI$7493)</f>
        <v>0</v>
      </c>
      <c r="BX206" s="312">
        <f t="shared" si="30"/>
        <v>0</v>
      </c>
      <c r="BY206" s="311">
        <f>SUMIF(Recibos!$D$4:$D$7493,Cobranza!$B206,Recibos!AK$4:AK$7493)</f>
        <v>0</v>
      </c>
      <c r="BZ206" s="311">
        <f>SUMIF(Recibos!$D$4:$D$7493,Cobranza!$B206,Recibos!AL$4:AL$7493)</f>
        <v>0</v>
      </c>
      <c r="CA206" s="311">
        <f>SUMIF(Recibos!$D$4:$D$7493,Cobranza!$B206,Recibos!AM$4:AM$7493)</f>
        <v>0</v>
      </c>
      <c r="CB206" s="311">
        <f>SUMIF(Recibos!$D$4:$D$7493,Cobranza!$B206,Recibos!AN$4:AN$7493)</f>
        <v>0</v>
      </c>
      <c r="CC206" s="311">
        <f>SUMIF(Recibos!$D$4:$D$7493,Cobranza!$B206,Recibos!AO$4:AO$7493)</f>
        <v>0</v>
      </c>
      <c r="CD206" s="311">
        <f>SUMIF(Recibos!$D$4:$D$7493,Cobranza!$B206,Recibos!AP$4:AP$7493)</f>
        <v>0</v>
      </c>
      <c r="CE206" s="311">
        <f>SUMIF(Recibos!$D$4:$D$7493,Cobranza!$B206,Recibos!AQ$4:AQ$7493)</f>
        <v>0</v>
      </c>
      <c r="CF206" s="311">
        <f>SUMIF(Recibos!$D$4:$D$7493,Cobranza!$B206,Recibos!AR$4:AR$7493)</f>
        <v>0</v>
      </c>
      <c r="CG206" s="311">
        <f>SUMIF(Recibos!$D$4:$D$7493,Cobranza!$B206,Recibos!AS$4:AS$7493)</f>
        <v>0</v>
      </c>
      <c r="CH206" s="311">
        <f>SUMIF(Recibos!$D$4:$D$7493,Cobranza!$B206,Recibos!AT$4:AT$7493)</f>
        <v>0</v>
      </c>
      <c r="CI206" s="311">
        <f>SUMIF(Recibos!$D$4:$D$7493,Cobranza!$B206,Recibos!AU$4:AU$7493)</f>
        <v>0</v>
      </c>
      <c r="CJ206" s="311">
        <f>SUMIF(Recibos!$D$4:$D$7493,Cobranza!$B206,Recibos!AV$4:AV$7493)</f>
        <v>0</v>
      </c>
      <c r="CK206" s="312">
        <f t="shared" si="31"/>
        <v>0</v>
      </c>
    </row>
    <row r="207" spans="2:89" x14ac:dyDescent="0.2">
      <c r="B207" s="45" t="s">
        <v>675</v>
      </c>
      <c r="C207" s="45" t="s">
        <v>676</v>
      </c>
      <c r="D207" s="45" t="s">
        <v>677</v>
      </c>
      <c r="E207" s="46">
        <v>0</v>
      </c>
      <c r="F207" s="46">
        <v>0</v>
      </c>
      <c r="G207" s="46">
        <v>0</v>
      </c>
      <c r="H207" s="46">
        <v>0</v>
      </c>
      <c r="I207" s="46">
        <v>0</v>
      </c>
      <c r="J207" s="46">
        <v>0</v>
      </c>
      <c r="K207" s="47">
        <f t="shared" si="32"/>
        <v>0</v>
      </c>
      <c r="L207" s="46">
        <v>0</v>
      </c>
      <c r="M207" s="46">
        <v>0</v>
      </c>
      <c r="N207" s="46">
        <v>0</v>
      </c>
      <c r="O207" s="46">
        <v>0</v>
      </c>
      <c r="P207" s="46">
        <v>0</v>
      </c>
      <c r="Q207" s="46">
        <v>0</v>
      </c>
      <c r="R207" s="46">
        <v>0</v>
      </c>
      <c r="S207" s="46">
        <v>0</v>
      </c>
      <c r="T207" s="46">
        <v>0</v>
      </c>
      <c r="U207" s="46">
        <v>0</v>
      </c>
      <c r="V207" s="46">
        <v>0</v>
      </c>
      <c r="W207" s="46">
        <v>0</v>
      </c>
      <c r="X207" s="47">
        <f t="shared" si="33"/>
        <v>0</v>
      </c>
      <c r="Y207" s="46">
        <v>0</v>
      </c>
      <c r="Z207" s="46">
        <v>0</v>
      </c>
      <c r="AA207" s="46">
        <v>0</v>
      </c>
      <c r="AB207" s="46">
        <v>0</v>
      </c>
      <c r="AC207" s="46">
        <v>0</v>
      </c>
      <c r="AD207" s="46">
        <v>0</v>
      </c>
      <c r="AE207" s="46">
        <v>0</v>
      </c>
      <c r="AF207" s="46">
        <v>0</v>
      </c>
      <c r="AG207" s="46">
        <v>0</v>
      </c>
      <c r="AH207" s="46">
        <v>0</v>
      </c>
      <c r="AI207" s="46">
        <v>0</v>
      </c>
      <c r="AJ207" s="46">
        <v>0</v>
      </c>
      <c r="AK207" s="47">
        <f t="shared" si="34"/>
        <v>0</v>
      </c>
      <c r="AL207" s="46">
        <v>400</v>
      </c>
      <c r="AM207" s="46">
        <v>400</v>
      </c>
      <c r="AN207" s="46">
        <v>400</v>
      </c>
      <c r="AO207" s="46">
        <v>400</v>
      </c>
      <c r="AP207" s="46">
        <v>400</v>
      </c>
      <c r="AQ207" s="46">
        <v>400</v>
      </c>
      <c r="AR207" s="46">
        <v>400</v>
      </c>
      <c r="AS207" s="46">
        <v>400</v>
      </c>
      <c r="AT207" s="46">
        <v>400</v>
      </c>
      <c r="AU207" s="46">
        <v>400</v>
      </c>
      <c r="AV207" s="46">
        <v>400</v>
      </c>
      <c r="AW207" s="46">
        <v>0</v>
      </c>
      <c r="AX207" s="47">
        <f t="shared" si="35"/>
        <v>4400</v>
      </c>
      <c r="AY207" s="313">
        <f>SUMIF(Recibos!$D$4:$D$7493,Cobranza!$B207,Recibos!K$4:K$7493)</f>
        <v>400</v>
      </c>
      <c r="AZ207" s="313">
        <f>SUMIF(Recibos!$D$4:$D$7493,Cobranza!$B207,Recibos!L$4:L$7493)</f>
        <v>400</v>
      </c>
      <c r="BA207" s="313">
        <f>SUMIF(Recibos!$D$4:$D$7493,Cobranza!$B207,Recibos!M$4:M$7493)</f>
        <v>400</v>
      </c>
      <c r="BB207" s="313">
        <f>SUMIF(Recibos!$D$4:$D$7493,Cobranza!$B207,Recibos!N$4:N$7493)</f>
        <v>400</v>
      </c>
      <c r="BC207" s="313">
        <f>SUMIF(Recibos!$D$4:$D$7493,Cobranza!$B207,Recibos!O$4:O$7493)</f>
        <v>400</v>
      </c>
      <c r="BD207" s="313">
        <f>SUMIF(Recibos!$D$4:$D$7493,Cobranza!$B207,Recibos!P$4:P$7493)</f>
        <v>400</v>
      </c>
      <c r="BE207" s="313">
        <f>SUMIF(Recibos!$D$4:$D$7493,Cobranza!$B207,Recibos!Q$4:Q$7493)</f>
        <v>400</v>
      </c>
      <c r="BF207" s="313">
        <f>SUMIF(Recibos!$D$4:$D$7493,Cobranza!$B207,Recibos!R$4:R$7493)</f>
        <v>400</v>
      </c>
      <c r="BG207" s="313">
        <f>SUMIF(Recibos!$D$4:$D$7493,Cobranza!$B207,Recibos!S$4:S$7493)</f>
        <v>400</v>
      </c>
      <c r="BH207" s="313">
        <f>SUMIF(Recibos!$D$4:$D$7493,Cobranza!$B207,Recibos!T$4:T$7493)</f>
        <v>400</v>
      </c>
      <c r="BI207" s="313">
        <f>SUMIF(Recibos!$D$4:$D$7493,Cobranza!$B207,Recibos!U$4:U$7493)</f>
        <v>400</v>
      </c>
      <c r="BJ207" s="313">
        <f>SUMIF(Recibos!$D$4:$D$7493,Cobranza!$B207,Recibos!V$4:V$7493)</f>
        <v>0</v>
      </c>
      <c r="BK207" s="314">
        <f t="shared" si="29"/>
        <v>4400</v>
      </c>
      <c r="BL207" s="313">
        <f>SUMIF(Recibos!$D$4:$D$7493,Cobranza!$B207,Recibos!X$4:X$7493)</f>
        <v>400</v>
      </c>
      <c r="BM207" s="313">
        <f>SUMIF(Recibos!$D$4:$D$7493,Cobranza!$B207,Recibos!Y$4:Y$7493)</f>
        <v>400</v>
      </c>
      <c r="BN207" s="313">
        <f>SUMIF(Recibos!$D$4:$D$7493,Cobranza!$B207,Recibos!Z$4:Z$7493)</f>
        <v>400</v>
      </c>
      <c r="BO207" s="313">
        <f>SUMIF(Recibos!$D$4:$D$7493,Cobranza!$B207,Recibos!AA$4:AA$7493)</f>
        <v>400</v>
      </c>
      <c r="BP207" s="313">
        <f>SUMIF(Recibos!$D$4:$D$7493,Cobranza!$B207,Recibos!AB$4:AB$7493)</f>
        <v>400</v>
      </c>
      <c r="BQ207" s="313">
        <f>SUMIF(Recibos!$D$4:$D$7493,Cobranza!$B207,Recibos!AC$4:AC$7493)</f>
        <v>400</v>
      </c>
      <c r="BR207" s="313">
        <f>SUMIF(Recibos!$D$4:$D$7493,Cobranza!$B207,Recibos!AD$4:AD$7493)</f>
        <v>400</v>
      </c>
      <c r="BS207" s="313">
        <f>SUMIF(Recibos!$D$4:$D$7493,Cobranza!$B207,Recibos!AE$4:AE$7493)</f>
        <v>400</v>
      </c>
      <c r="BT207" s="313">
        <f>SUMIF(Recibos!$D$4:$D$7493,Cobranza!$B207,Recibos!AF$4:AF$7493)</f>
        <v>400</v>
      </c>
      <c r="BU207" s="313">
        <f>SUMIF(Recibos!$D$4:$D$7493,Cobranza!$B207,Recibos!AG$4:AG$7493)</f>
        <v>400</v>
      </c>
      <c r="BV207" s="313">
        <f>SUMIF(Recibos!$D$4:$D$7493,Cobranza!$B207,Recibos!AH$4:AH$7493)</f>
        <v>400</v>
      </c>
      <c r="BW207" s="313">
        <f>SUMIF(Recibos!$D$4:$D$7493,Cobranza!$B207,Recibos!AI$4:AI$7493)</f>
        <v>0</v>
      </c>
      <c r="BX207" s="314">
        <f t="shared" si="30"/>
        <v>4400</v>
      </c>
      <c r="BY207" s="313">
        <f>SUMIF(Recibos!$D$4:$D$7493,Cobranza!$B207,Recibos!AK$4:AK$7493)</f>
        <v>400</v>
      </c>
      <c r="BZ207" s="313">
        <f>SUMIF(Recibos!$D$4:$D$7493,Cobranza!$B207,Recibos!AL$4:AL$7493)</f>
        <v>400</v>
      </c>
      <c r="CA207" s="313">
        <f>SUMIF(Recibos!$D$4:$D$7493,Cobranza!$B207,Recibos!AM$4:AM$7493)</f>
        <v>400</v>
      </c>
      <c r="CB207" s="313">
        <f>SUMIF(Recibos!$D$4:$D$7493,Cobranza!$B207,Recibos!AN$4:AN$7493)</f>
        <v>400</v>
      </c>
      <c r="CC207" s="313">
        <f>SUMIF(Recibos!$D$4:$D$7493,Cobranza!$B207,Recibos!AO$4:AO$7493)</f>
        <v>400</v>
      </c>
      <c r="CD207" s="313">
        <f>SUMIF(Recibos!$D$4:$D$7493,Cobranza!$B207,Recibos!AP$4:AP$7493)</f>
        <v>400</v>
      </c>
      <c r="CE207" s="313">
        <f>SUMIF(Recibos!$D$4:$D$7493,Cobranza!$B207,Recibos!AQ$4:AQ$7493)</f>
        <v>400</v>
      </c>
      <c r="CF207" s="313">
        <f>SUMIF(Recibos!$D$4:$D$7493,Cobranza!$B207,Recibos!AR$4:AR$7493)</f>
        <v>400</v>
      </c>
      <c r="CG207" s="313">
        <f>SUMIF(Recibos!$D$4:$D$7493,Cobranza!$B207,Recibos!AS$4:AS$7493)</f>
        <v>400</v>
      </c>
      <c r="CH207" s="313">
        <f>SUMIF(Recibos!$D$4:$D$7493,Cobranza!$B207,Recibos!AT$4:AT$7493)</f>
        <v>400</v>
      </c>
      <c r="CI207" s="313">
        <f>SUMIF(Recibos!$D$4:$D$7493,Cobranza!$B207,Recibos!AU$4:AU$7493)</f>
        <v>400</v>
      </c>
      <c r="CJ207" s="313">
        <f>SUMIF(Recibos!$D$4:$D$7493,Cobranza!$B207,Recibos!AV$4:AV$7493)</f>
        <v>0</v>
      </c>
      <c r="CK207" s="314">
        <f t="shared" si="31"/>
        <v>4400</v>
      </c>
    </row>
    <row r="208" spans="2:89" x14ac:dyDescent="0.2">
      <c r="B208" s="42" t="s">
        <v>1032</v>
      </c>
      <c r="C208" s="42" t="s">
        <v>1033</v>
      </c>
      <c r="D208" s="42" t="s">
        <v>1034</v>
      </c>
      <c r="E208" s="43">
        <v>0</v>
      </c>
      <c r="F208" s="43">
        <v>0</v>
      </c>
      <c r="G208" s="43">
        <v>0</v>
      </c>
      <c r="H208" s="43">
        <v>0</v>
      </c>
      <c r="I208" s="43">
        <v>450</v>
      </c>
      <c r="J208" s="43">
        <v>450</v>
      </c>
      <c r="K208" s="44">
        <f t="shared" si="32"/>
        <v>900</v>
      </c>
      <c r="L208" s="43">
        <v>450</v>
      </c>
      <c r="M208" s="43">
        <v>450</v>
      </c>
      <c r="N208" s="43">
        <v>450</v>
      </c>
      <c r="O208" s="43">
        <v>450</v>
      </c>
      <c r="P208" s="43">
        <v>450</v>
      </c>
      <c r="Q208" s="43">
        <v>450</v>
      </c>
      <c r="R208" s="43">
        <v>450</v>
      </c>
      <c r="S208" s="43">
        <v>150</v>
      </c>
      <c r="T208" s="43">
        <v>150</v>
      </c>
      <c r="U208" s="43">
        <v>150</v>
      </c>
      <c r="V208" s="43">
        <v>150</v>
      </c>
      <c r="W208" s="43">
        <v>0</v>
      </c>
      <c r="X208" s="44">
        <f t="shared" si="33"/>
        <v>3750</v>
      </c>
      <c r="Y208" s="43">
        <v>150</v>
      </c>
      <c r="Z208" s="43">
        <v>150</v>
      </c>
      <c r="AA208" s="43">
        <v>150</v>
      </c>
      <c r="AB208" s="43">
        <v>150</v>
      </c>
      <c r="AC208" s="43">
        <v>150</v>
      </c>
      <c r="AD208" s="43">
        <v>150</v>
      </c>
      <c r="AE208" s="43">
        <v>150</v>
      </c>
      <c r="AF208" s="43">
        <v>150</v>
      </c>
      <c r="AG208" s="43">
        <v>150</v>
      </c>
      <c r="AH208" s="43">
        <v>150</v>
      </c>
      <c r="AI208" s="43">
        <v>150</v>
      </c>
      <c r="AJ208" s="43">
        <v>150</v>
      </c>
      <c r="AK208" s="44">
        <f t="shared" si="34"/>
        <v>1800</v>
      </c>
      <c r="AL208" s="43">
        <v>150</v>
      </c>
      <c r="AM208" s="43">
        <v>150</v>
      </c>
      <c r="AN208" s="43">
        <v>150</v>
      </c>
      <c r="AO208" s="43">
        <v>150</v>
      </c>
      <c r="AP208" s="43">
        <v>150</v>
      </c>
      <c r="AQ208" s="43">
        <v>150</v>
      </c>
      <c r="AR208" s="43">
        <v>150</v>
      </c>
      <c r="AS208" s="43">
        <v>150</v>
      </c>
      <c r="AT208" s="43">
        <v>150</v>
      </c>
      <c r="AU208" s="43">
        <v>150</v>
      </c>
      <c r="AV208" s="43">
        <v>150</v>
      </c>
      <c r="AW208" s="43">
        <v>150</v>
      </c>
      <c r="AX208" s="44">
        <f t="shared" si="35"/>
        <v>1800</v>
      </c>
      <c r="AY208" s="311">
        <f>SUMIF(Recibos!$D$4:$D$7493,Cobranza!$B208,Recibos!K$4:K$7493)</f>
        <v>150</v>
      </c>
      <c r="AZ208" s="311">
        <f>SUMIF(Recibos!$D$4:$D$7493,Cobranza!$B208,Recibos!L$4:L$7493)</f>
        <v>150</v>
      </c>
      <c r="BA208" s="311">
        <f>SUMIF(Recibos!$D$4:$D$7493,Cobranza!$B208,Recibos!M$4:M$7493)</f>
        <v>150</v>
      </c>
      <c r="BB208" s="311">
        <f>SUMIF(Recibos!$D$4:$D$7493,Cobranza!$B208,Recibos!N$4:N$7493)</f>
        <v>150</v>
      </c>
      <c r="BC208" s="311">
        <f>SUMIF(Recibos!$D$4:$D$7493,Cobranza!$B208,Recibos!O$4:O$7493)</f>
        <v>150</v>
      </c>
      <c r="BD208" s="311">
        <f>SUMIF(Recibos!$D$4:$D$7493,Cobranza!$B208,Recibos!P$4:P$7493)</f>
        <v>150</v>
      </c>
      <c r="BE208" s="311">
        <f>SUMIF(Recibos!$D$4:$D$7493,Cobranza!$B208,Recibos!Q$4:Q$7493)</f>
        <v>150</v>
      </c>
      <c r="BF208" s="311">
        <f>SUMIF(Recibos!$D$4:$D$7493,Cobranza!$B208,Recibos!R$4:R$7493)</f>
        <v>150</v>
      </c>
      <c r="BG208" s="311">
        <f>SUMIF(Recibos!$D$4:$D$7493,Cobranza!$B208,Recibos!S$4:S$7493)</f>
        <v>150</v>
      </c>
      <c r="BH208" s="311">
        <f>SUMIF(Recibos!$D$4:$D$7493,Cobranza!$B208,Recibos!T$4:T$7493)</f>
        <v>150</v>
      </c>
      <c r="BI208" s="311">
        <f>SUMIF(Recibos!$D$4:$D$7493,Cobranza!$B208,Recibos!U$4:U$7493)</f>
        <v>150</v>
      </c>
      <c r="BJ208" s="311">
        <f>SUMIF(Recibos!$D$4:$D$7493,Cobranza!$B208,Recibos!V$4:V$7493)</f>
        <v>150</v>
      </c>
      <c r="BK208" s="312">
        <f t="shared" si="29"/>
        <v>1800</v>
      </c>
      <c r="BL208" s="311">
        <f>SUMIF(Recibos!$D$4:$D$7493,Cobranza!$B208,Recibos!X$4:X$7493)</f>
        <v>150</v>
      </c>
      <c r="BM208" s="311">
        <f>SUMIF(Recibos!$D$4:$D$7493,Cobranza!$B208,Recibos!Y$4:Y$7493)</f>
        <v>150</v>
      </c>
      <c r="BN208" s="311">
        <f>SUMIF(Recibos!$D$4:$D$7493,Cobranza!$B208,Recibos!Z$4:Z$7493)</f>
        <v>150</v>
      </c>
      <c r="BO208" s="311">
        <f>SUMIF(Recibos!$D$4:$D$7493,Cobranza!$B208,Recibos!AA$4:AA$7493)</f>
        <v>150</v>
      </c>
      <c r="BP208" s="311">
        <f>SUMIF(Recibos!$D$4:$D$7493,Cobranza!$B208,Recibos!AB$4:AB$7493)</f>
        <v>150</v>
      </c>
      <c r="BQ208" s="311">
        <f>SUMIF(Recibos!$D$4:$D$7493,Cobranza!$B208,Recibos!AC$4:AC$7493)</f>
        <v>150</v>
      </c>
      <c r="BR208" s="311">
        <f>SUMIF(Recibos!$D$4:$D$7493,Cobranza!$B208,Recibos!AD$4:AD$7493)</f>
        <v>150</v>
      </c>
      <c r="BS208" s="311">
        <f>SUMIF(Recibos!$D$4:$D$7493,Cobranza!$B208,Recibos!AE$4:AE$7493)</f>
        <v>150</v>
      </c>
      <c r="BT208" s="311">
        <f>SUMIF(Recibos!$D$4:$D$7493,Cobranza!$B208,Recibos!AF$4:AF$7493)</f>
        <v>150</v>
      </c>
      <c r="BU208" s="311">
        <f>SUMIF(Recibos!$D$4:$D$7493,Cobranza!$B208,Recibos!AG$4:AG$7493)</f>
        <v>150</v>
      </c>
      <c r="BV208" s="311">
        <f>SUMIF(Recibos!$D$4:$D$7493,Cobranza!$B208,Recibos!AH$4:AH$7493)</f>
        <v>0</v>
      </c>
      <c r="BW208" s="311">
        <f>SUMIF(Recibos!$D$4:$D$7493,Cobranza!$B208,Recibos!AI$4:AI$7493)</f>
        <v>0</v>
      </c>
      <c r="BX208" s="312">
        <f t="shared" si="30"/>
        <v>1500</v>
      </c>
      <c r="BY208" s="311">
        <f>SUMIF(Recibos!$D$4:$D$7493,Cobranza!$B208,Recibos!AK$4:AK$7493)</f>
        <v>150</v>
      </c>
      <c r="BZ208" s="311">
        <f>SUMIF(Recibos!$D$4:$D$7493,Cobranza!$B208,Recibos!AL$4:AL$7493)</f>
        <v>150</v>
      </c>
      <c r="CA208" s="311">
        <f>SUMIF(Recibos!$D$4:$D$7493,Cobranza!$B208,Recibos!AM$4:AM$7493)</f>
        <v>150</v>
      </c>
      <c r="CB208" s="311">
        <f>SUMIF(Recibos!$D$4:$D$7493,Cobranza!$B208,Recibos!AN$4:AN$7493)</f>
        <v>150</v>
      </c>
      <c r="CC208" s="311">
        <f>SUMIF(Recibos!$D$4:$D$7493,Cobranza!$B208,Recibos!AO$4:AO$7493)</f>
        <v>150</v>
      </c>
      <c r="CD208" s="311">
        <f>SUMIF(Recibos!$D$4:$D$7493,Cobranza!$B208,Recibos!AP$4:AP$7493)</f>
        <v>150</v>
      </c>
      <c r="CE208" s="311">
        <f>SUMIF(Recibos!$D$4:$D$7493,Cobranza!$B208,Recibos!AQ$4:AQ$7493)</f>
        <v>150</v>
      </c>
      <c r="CF208" s="311">
        <f>SUMIF(Recibos!$D$4:$D$7493,Cobranza!$B208,Recibos!AR$4:AR$7493)</f>
        <v>150</v>
      </c>
      <c r="CG208" s="311">
        <f>SUMIF(Recibos!$D$4:$D$7493,Cobranza!$B208,Recibos!AS$4:AS$7493)</f>
        <v>0</v>
      </c>
      <c r="CH208" s="311">
        <f>SUMIF(Recibos!$D$4:$D$7493,Cobranza!$B208,Recibos!AT$4:AT$7493)</f>
        <v>0</v>
      </c>
      <c r="CI208" s="311">
        <f>SUMIF(Recibos!$D$4:$D$7493,Cobranza!$B208,Recibos!AU$4:AU$7493)</f>
        <v>0</v>
      </c>
      <c r="CJ208" s="311">
        <f>SUMIF(Recibos!$D$4:$D$7493,Cobranza!$B208,Recibos!AV$4:AV$7493)</f>
        <v>0</v>
      </c>
      <c r="CK208" s="312">
        <f t="shared" si="31"/>
        <v>1200</v>
      </c>
    </row>
    <row r="209" spans="2:89" x14ac:dyDescent="0.2">
      <c r="B209" s="45" t="s">
        <v>926</v>
      </c>
      <c r="C209" s="45" t="s">
        <v>927</v>
      </c>
      <c r="D209" s="45" t="s">
        <v>928</v>
      </c>
      <c r="E209" s="46">
        <v>0</v>
      </c>
      <c r="F209" s="46">
        <v>0</v>
      </c>
      <c r="G209" s="46">
        <v>0</v>
      </c>
      <c r="H209" s="46">
        <v>0</v>
      </c>
      <c r="I209" s="46">
        <v>0</v>
      </c>
      <c r="J209" s="46">
        <v>0</v>
      </c>
      <c r="K209" s="47">
        <f t="shared" si="32"/>
        <v>0</v>
      </c>
      <c r="L209" s="46">
        <v>0</v>
      </c>
      <c r="M209" s="46">
        <v>0</v>
      </c>
      <c r="N209" s="46">
        <v>0</v>
      </c>
      <c r="O209" s="46">
        <v>0</v>
      </c>
      <c r="P209" s="46">
        <v>0</v>
      </c>
      <c r="Q209" s="46">
        <v>0</v>
      </c>
      <c r="R209" s="46">
        <v>0</v>
      </c>
      <c r="S209" s="46">
        <v>150</v>
      </c>
      <c r="T209" s="46">
        <v>150</v>
      </c>
      <c r="U209" s="46">
        <v>150</v>
      </c>
      <c r="V209" s="46">
        <v>150</v>
      </c>
      <c r="W209" s="46">
        <v>0</v>
      </c>
      <c r="X209" s="47">
        <f t="shared" si="33"/>
        <v>600</v>
      </c>
      <c r="Y209" s="46">
        <v>0</v>
      </c>
      <c r="Z209" s="46">
        <v>150</v>
      </c>
      <c r="AA209" s="46">
        <v>150</v>
      </c>
      <c r="AB209" s="46">
        <v>150</v>
      </c>
      <c r="AC209" s="46">
        <v>150</v>
      </c>
      <c r="AD209" s="46">
        <v>150</v>
      </c>
      <c r="AE209" s="46">
        <v>150</v>
      </c>
      <c r="AF209" s="46">
        <v>150</v>
      </c>
      <c r="AG209" s="46">
        <v>150</v>
      </c>
      <c r="AH209" s="46">
        <v>150</v>
      </c>
      <c r="AI209" s="46">
        <v>150</v>
      </c>
      <c r="AJ209" s="46">
        <v>150</v>
      </c>
      <c r="AK209" s="47">
        <f t="shared" si="34"/>
        <v>1650</v>
      </c>
      <c r="AL209" s="46">
        <v>150</v>
      </c>
      <c r="AM209" s="46">
        <v>150</v>
      </c>
      <c r="AN209" s="46">
        <v>150</v>
      </c>
      <c r="AO209" s="46">
        <v>150</v>
      </c>
      <c r="AP209" s="46">
        <v>150</v>
      </c>
      <c r="AQ209" s="46">
        <v>150</v>
      </c>
      <c r="AR209" s="46">
        <v>150</v>
      </c>
      <c r="AS209" s="46">
        <v>150</v>
      </c>
      <c r="AT209" s="46">
        <v>150</v>
      </c>
      <c r="AU209" s="46">
        <v>150</v>
      </c>
      <c r="AV209" s="46">
        <v>150</v>
      </c>
      <c r="AW209" s="46">
        <v>150</v>
      </c>
      <c r="AX209" s="47">
        <f t="shared" si="35"/>
        <v>1800</v>
      </c>
      <c r="AY209" s="313">
        <f>SUMIF(Recibos!$D$4:$D$7493,Cobranza!$B209,Recibos!K$4:K$7493)</f>
        <v>150</v>
      </c>
      <c r="AZ209" s="313">
        <f>SUMIF(Recibos!$D$4:$D$7493,Cobranza!$B209,Recibos!L$4:L$7493)</f>
        <v>150</v>
      </c>
      <c r="BA209" s="313">
        <f>SUMIF(Recibos!$D$4:$D$7493,Cobranza!$B209,Recibos!M$4:M$7493)</f>
        <v>150</v>
      </c>
      <c r="BB209" s="313">
        <f>SUMIF(Recibos!$D$4:$D$7493,Cobranza!$B209,Recibos!N$4:N$7493)</f>
        <v>150</v>
      </c>
      <c r="BC209" s="313">
        <f>SUMIF(Recibos!$D$4:$D$7493,Cobranza!$B209,Recibos!O$4:O$7493)</f>
        <v>150</v>
      </c>
      <c r="BD209" s="313">
        <f>SUMIF(Recibos!$D$4:$D$7493,Cobranza!$B209,Recibos!P$4:P$7493)</f>
        <v>150</v>
      </c>
      <c r="BE209" s="313">
        <f>SUMIF(Recibos!$D$4:$D$7493,Cobranza!$B209,Recibos!Q$4:Q$7493)</f>
        <v>150</v>
      </c>
      <c r="BF209" s="313">
        <f>SUMIF(Recibos!$D$4:$D$7493,Cobranza!$B209,Recibos!R$4:R$7493)</f>
        <v>150</v>
      </c>
      <c r="BG209" s="313">
        <f>SUMIF(Recibos!$D$4:$D$7493,Cobranza!$B209,Recibos!S$4:S$7493)</f>
        <v>150</v>
      </c>
      <c r="BH209" s="313">
        <f>SUMIF(Recibos!$D$4:$D$7493,Cobranza!$B209,Recibos!T$4:T$7493)</f>
        <v>150</v>
      </c>
      <c r="BI209" s="313">
        <f>SUMIF(Recibos!$D$4:$D$7493,Cobranza!$B209,Recibos!U$4:U$7493)</f>
        <v>150</v>
      </c>
      <c r="BJ209" s="313">
        <f>SUMIF(Recibos!$D$4:$D$7493,Cobranza!$B209,Recibos!V$4:V$7493)</f>
        <v>150</v>
      </c>
      <c r="BK209" s="314">
        <f t="shared" si="29"/>
        <v>1800</v>
      </c>
      <c r="BL209" s="313">
        <f>SUMIF(Recibos!$D$4:$D$7493,Cobranza!$B209,Recibos!X$4:X$7493)</f>
        <v>150</v>
      </c>
      <c r="BM209" s="313">
        <f>SUMIF(Recibos!$D$4:$D$7493,Cobranza!$B209,Recibos!Y$4:Y$7493)</f>
        <v>150</v>
      </c>
      <c r="BN209" s="313">
        <f>SUMIF(Recibos!$D$4:$D$7493,Cobranza!$B209,Recibos!Z$4:Z$7493)</f>
        <v>150</v>
      </c>
      <c r="BO209" s="313">
        <f>SUMIF(Recibos!$D$4:$D$7493,Cobranza!$B209,Recibos!AA$4:AA$7493)</f>
        <v>150</v>
      </c>
      <c r="BP209" s="313">
        <f>SUMIF(Recibos!$D$4:$D$7493,Cobranza!$B209,Recibos!AB$4:AB$7493)</f>
        <v>150</v>
      </c>
      <c r="BQ209" s="313">
        <f>SUMIF(Recibos!$D$4:$D$7493,Cobranza!$B209,Recibos!AC$4:AC$7493)</f>
        <v>150</v>
      </c>
      <c r="BR209" s="313">
        <f>SUMIF(Recibos!$D$4:$D$7493,Cobranza!$B209,Recibos!AD$4:AD$7493)</f>
        <v>150</v>
      </c>
      <c r="BS209" s="313">
        <f>SUMIF(Recibos!$D$4:$D$7493,Cobranza!$B209,Recibos!AE$4:AE$7493)</f>
        <v>150</v>
      </c>
      <c r="BT209" s="313">
        <f>SUMIF(Recibos!$D$4:$D$7493,Cobranza!$B209,Recibos!AF$4:AF$7493)</f>
        <v>150</v>
      </c>
      <c r="BU209" s="313">
        <f>SUMIF(Recibos!$D$4:$D$7493,Cobranza!$B209,Recibos!AG$4:AG$7493)</f>
        <v>150</v>
      </c>
      <c r="BV209" s="313">
        <f>SUMIF(Recibos!$D$4:$D$7493,Cobranza!$B209,Recibos!AH$4:AH$7493)</f>
        <v>0</v>
      </c>
      <c r="BW209" s="313">
        <f>SUMIF(Recibos!$D$4:$D$7493,Cobranza!$B209,Recibos!AI$4:AI$7493)</f>
        <v>0</v>
      </c>
      <c r="BX209" s="314">
        <f t="shared" si="30"/>
        <v>1500</v>
      </c>
      <c r="BY209" s="313">
        <f>SUMIF(Recibos!$D$4:$D$7493,Cobranza!$B209,Recibos!AK$4:AK$7493)</f>
        <v>150</v>
      </c>
      <c r="BZ209" s="313">
        <f>SUMIF(Recibos!$D$4:$D$7493,Cobranza!$B209,Recibos!AL$4:AL$7493)</f>
        <v>150</v>
      </c>
      <c r="CA209" s="313">
        <f>SUMIF(Recibos!$D$4:$D$7493,Cobranza!$B209,Recibos!AM$4:AM$7493)</f>
        <v>150</v>
      </c>
      <c r="CB209" s="313">
        <f>SUMIF(Recibos!$D$4:$D$7493,Cobranza!$B209,Recibos!AN$4:AN$7493)</f>
        <v>150</v>
      </c>
      <c r="CC209" s="313">
        <f>SUMIF(Recibos!$D$4:$D$7493,Cobranza!$B209,Recibos!AO$4:AO$7493)</f>
        <v>150</v>
      </c>
      <c r="CD209" s="313">
        <f>SUMIF(Recibos!$D$4:$D$7493,Cobranza!$B209,Recibos!AP$4:AP$7493)</f>
        <v>150</v>
      </c>
      <c r="CE209" s="313">
        <f>SUMIF(Recibos!$D$4:$D$7493,Cobranza!$B209,Recibos!AQ$4:AQ$7493)</f>
        <v>150</v>
      </c>
      <c r="CF209" s="313">
        <f>SUMIF(Recibos!$D$4:$D$7493,Cobranza!$B209,Recibos!AR$4:AR$7493)</f>
        <v>150</v>
      </c>
      <c r="CG209" s="313">
        <f>SUMIF(Recibos!$D$4:$D$7493,Cobranza!$B209,Recibos!AS$4:AS$7493)</f>
        <v>0</v>
      </c>
      <c r="CH209" s="313">
        <f>SUMIF(Recibos!$D$4:$D$7493,Cobranza!$B209,Recibos!AT$4:AT$7493)</f>
        <v>0</v>
      </c>
      <c r="CI209" s="313">
        <f>SUMIF(Recibos!$D$4:$D$7493,Cobranza!$B209,Recibos!AU$4:AU$7493)</f>
        <v>0</v>
      </c>
      <c r="CJ209" s="313">
        <f>SUMIF(Recibos!$D$4:$D$7493,Cobranza!$B209,Recibos!AV$4:AV$7493)</f>
        <v>0</v>
      </c>
      <c r="CK209" s="314">
        <f t="shared" si="31"/>
        <v>1200</v>
      </c>
    </row>
    <row r="210" spans="2:89" x14ac:dyDescent="0.2">
      <c r="B210" s="42" t="s">
        <v>929</v>
      </c>
      <c r="C210" s="42" t="s">
        <v>930</v>
      </c>
      <c r="D210" s="42" t="s">
        <v>931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4">
        <f t="shared" si="32"/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300</v>
      </c>
      <c r="T210" s="43">
        <v>300</v>
      </c>
      <c r="U210" s="43">
        <v>350</v>
      </c>
      <c r="V210" s="43">
        <v>150</v>
      </c>
      <c r="W210" s="43">
        <v>0</v>
      </c>
      <c r="X210" s="44">
        <f t="shared" si="33"/>
        <v>1100</v>
      </c>
      <c r="Y210" s="43">
        <v>150</v>
      </c>
      <c r="Z210" s="43">
        <v>150</v>
      </c>
      <c r="AA210" s="43">
        <v>150</v>
      </c>
      <c r="AB210" s="43">
        <v>0</v>
      </c>
      <c r="AC210" s="43">
        <v>150</v>
      </c>
      <c r="AD210" s="43">
        <v>150</v>
      </c>
      <c r="AE210" s="43">
        <v>150</v>
      </c>
      <c r="AF210" s="43">
        <v>150</v>
      </c>
      <c r="AG210" s="43">
        <v>150</v>
      </c>
      <c r="AH210" s="43">
        <v>150</v>
      </c>
      <c r="AI210" s="43">
        <v>150</v>
      </c>
      <c r="AJ210" s="43">
        <v>150</v>
      </c>
      <c r="AK210" s="44">
        <f t="shared" si="34"/>
        <v>1650</v>
      </c>
      <c r="AL210" s="43">
        <v>150</v>
      </c>
      <c r="AM210" s="43">
        <v>150</v>
      </c>
      <c r="AN210" s="43">
        <v>150</v>
      </c>
      <c r="AO210" s="43">
        <v>150</v>
      </c>
      <c r="AP210" s="43">
        <v>150</v>
      </c>
      <c r="AQ210" s="43">
        <v>150</v>
      </c>
      <c r="AR210" s="43">
        <v>150</v>
      </c>
      <c r="AS210" s="43">
        <v>150</v>
      </c>
      <c r="AT210" s="43">
        <v>150</v>
      </c>
      <c r="AU210" s="43">
        <v>150</v>
      </c>
      <c r="AV210" s="43">
        <v>150</v>
      </c>
      <c r="AW210" s="43">
        <v>150</v>
      </c>
      <c r="AX210" s="44">
        <f t="shared" si="35"/>
        <v>1800</v>
      </c>
      <c r="AY210" s="311">
        <f>SUMIF(Recibos!$D$4:$D$7493,Cobranza!$B210,Recibos!K$4:K$7493)</f>
        <v>150</v>
      </c>
      <c r="AZ210" s="311">
        <f>SUMIF(Recibos!$D$4:$D$7493,Cobranza!$B210,Recibos!L$4:L$7493)</f>
        <v>150</v>
      </c>
      <c r="BA210" s="311">
        <f>SUMIF(Recibos!$D$4:$D$7493,Cobranza!$B210,Recibos!M$4:M$7493)</f>
        <v>150</v>
      </c>
      <c r="BB210" s="311">
        <f>SUMIF(Recibos!$D$4:$D$7493,Cobranza!$B210,Recibos!N$4:N$7493)</f>
        <v>150</v>
      </c>
      <c r="BC210" s="311">
        <f>SUMIF(Recibos!$D$4:$D$7493,Cobranza!$B210,Recibos!O$4:O$7493)</f>
        <v>150</v>
      </c>
      <c r="BD210" s="311">
        <f>SUMIF(Recibos!$D$4:$D$7493,Cobranza!$B210,Recibos!P$4:P$7493)</f>
        <v>150</v>
      </c>
      <c r="BE210" s="311">
        <f>SUMIF(Recibos!$D$4:$D$7493,Cobranza!$B210,Recibos!Q$4:Q$7493)</f>
        <v>150</v>
      </c>
      <c r="BF210" s="311">
        <f>SUMIF(Recibos!$D$4:$D$7493,Cobranza!$B210,Recibos!R$4:R$7493)</f>
        <v>150</v>
      </c>
      <c r="BG210" s="311">
        <f>SUMIF(Recibos!$D$4:$D$7493,Cobranza!$B210,Recibos!S$4:S$7493)</f>
        <v>150</v>
      </c>
      <c r="BH210" s="311">
        <f>SUMIF(Recibos!$D$4:$D$7493,Cobranza!$B210,Recibos!T$4:T$7493)</f>
        <v>150</v>
      </c>
      <c r="BI210" s="311">
        <f>SUMIF(Recibos!$D$4:$D$7493,Cobranza!$B210,Recibos!U$4:U$7493)</f>
        <v>150</v>
      </c>
      <c r="BJ210" s="311">
        <f>SUMIF(Recibos!$D$4:$D$7493,Cobranza!$B210,Recibos!V$4:V$7493)</f>
        <v>150</v>
      </c>
      <c r="BK210" s="312">
        <f t="shared" si="29"/>
        <v>1800</v>
      </c>
      <c r="BL210" s="311">
        <f>SUMIF(Recibos!$D$4:$D$7493,Cobranza!$B210,Recibos!X$4:X$7493)</f>
        <v>150</v>
      </c>
      <c r="BM210" s="311">
        <f>SUMIF(Recibos!$D$4:$D$7493,Cobranza!$B210,Recibos!Y$4:Y$7493)</f>
        <v>150</v>
      </c>
      <c r="BN210" s="311">
        <f>SUMIF(Recibos!$D$4:$D$7493,Cobranza!$B210,Recibos!Z$4:Z$7493)</f>
        <v>150</v>
      </c>
      <c r="BO210" s="311">
        <f>SUMIF(Recibos!$D$4:$D$7493,Cobranza!$B210,Recibos!AA$4:AA$7493)</f>
        <v>150</v>
      </c>
      <c r="BP210" s="311">
        <f>SUMIF(Recibos!$D$4:$D$7493,Cobranza!$B210,Recibos!AB$4:AB$7493)</f>
        <v>150</v>
      </c>
      <c r="BQ210" s="311">
        <f>SUMIF(Recibos!$D$4:$D$7493,Cobranza!$B210,Recibos!AC$4:AC$7493)</f>
        <v>150</v>
      </c>
      <c r="BR210" s="311">
        <f>SUMIF(Recibos!$D$4:$D$7493,Cobranza!$B210,Recibos!AD$4:AD$7493)</f>
        <v>150</v>
      </c>
      <c r="BS210" s="311">
        <f>SUMIF(Recibos!$D$4:$D$7493,Cobranza!$B210,Recibos!AE$4:AE$7493)</f>
        <v>150</v>
      </c>
      <c r="BT210" s="311">
        <f>SUMIF(Recibos!$D$4:$D$7493,Cobranza!$B210,Recibos!AF$4:AF$7493)</f>
        <v>150</v>
      </c>
      <c r="BU210" s="311">
        <f>SUMIF(Recibos!$D$4:$D$7493,Cobranza!$B210,Recibos!AG$4:AG$7493)</f>
        <v>150</v>
      </c>
      <c r="BV210" s="311">
        <f>SUMIF(Recibos!$D$4:$D$7493,Cobranza!$B210,Recibos!AH$4:AH$7493)</f>
        <v>0</v>
      </c>
      <c r="BW210" s="311">
        <f>SUMIF(Recibos!$D$4:$D$7493,Cobranza!$B210,Recibos!AI$4:AI$7493)</f>
        <v>0</v>
      </c>
      <c r="BX210" s="312">
        <f t="shared" si="30"/>
        <v>1500</v>
      </c>
      <c r="BY210" s="311">
        <f>SUMIF(Recibos!$D$4:$D$7493,Cobranza!$B210,Recibos!AK$4:AK$7493)</f>
        <v>150</v>
      </c>
      <c r="BZ210" s="311">
        <f>SUMIF(Recibos!$D$4:$D$7493,Cobranza!$B210,Recibos!AL$4:AL$7493)</f>
        <v>150</v>
      </c>
      <c r="CA210" s="311">
        <f>SUMIF(Recibos!$D$4:$D$7493,Cobranza!$B210,Recibos!AM$4:AM$7493)</f>
        <v>150</v>
      </c>
      <c r="CB210" s="311">
        <f>SUMIF(Recibos!$D$4:$D$7493,Cobranza!$B210,Recibos!AN$4:AN$7493)</f>
        <v>150</v>
      </c>
      <c r="CC210" s="311">
        <f>SUMIF(Recibos!$D$4:$D$7493,Cobranza!$B210,Recibos!AO$4:AO$7493)</f>
        <v>150</v>
      </c>
      <c r="CD210" s="311">
        <f>SUMIF(Recibos!$D$4:$D$7493,Cobranza!$B210,Recibos!AP$4:AP$7493)</f>
        <v>150</v>
      </c>
      <c r="CE210" s="311">
        <f>SUMIF(Recibos!$D$4:$D$7493,Cobranza!$B210,Recibos!AQ$4:AQ$7493)</f>
        <v>150</v>
      </c>
      <c r="CF210" s="311">
        <f>SUMIF(Recibos!$D$4:$D$7493,Cobranza!$B210,Recibos!AR$4:AR$7493)</f>
        <v>150</v>
      </c>
      <c r="CG210" s="311">
        <f>SUMIF(Recibos!$D$4:$D$7493,Cobranza!$B210,Recibos!AS$4:AS$7493)</f>
        <v>0</v>
      </c>
      <c r="CH210" s="311">
        <f>SUMIF(Recibos!$D$4:$D$7493,Cobranza!$B210,Recibos!AT$4:AT$7493)</f>
        <v>0</v>
      </c>
      <c r="CI210" s="311">
        <f>SUMIF(Recibos!$D$4:$D$7493,Cobranza!$B210,Recibos!AU$4:AU$7493)</f>
        <v>0</v>
      </c>
      <c r="CJ210" s="311">
        <f>SUMIF(Recibos!$D$4:$D$7493,Cobranza!$B210,Recibos!AV$4:AV$7493)</f>
        <v>0</v>
      </c>
      <c r="CK210" s="312">
        <f t="shared" si="31"/>
        <v>1200</v>
      </c>
    </row>
    <row r="211" spans="2:89" x14ac:dyDescent="0.2">
      <c r="B211" s="45" t="s">
        <v>440</v>
      </c>
      <c r="C211" s="45" t="s">
        <v>441</v>
      </c>
      <c r="D211" s="45" t="s">
        <v>442</v>
      </c>
      <c r="E211" s="46">
        <v>0</v>
      </c>
      <c r="F211" s="46">
        <v>0</v>
      </c>
      <c r="G211" s="46">
        <v>0</v>
      </c>
      <c r="H211" s="46">
        <v>0</v>
      </c>
      <c r="I211" s="46">
        <v>0</v>
      </c>
      <c r="J211" s="46">
        <v>250</v>
      </c>
      <c r="K211" s="47">
        <f t="shared" si="32"/>
        <v>250</v>
      </c>
      <c r="L211" s="46">
        <v>250</v>
      </c>
      <c r="M211" s="46">
        <v>250</v>
      </c>
      <c r="N211" s="46">
        <v>250</v>
      </c>
      <c r="O211" s="46">
        <v>250</v>
      </c>
      <c r="P211" s="46">
        <v>250</v>
      </c>
      <c r="Q211" s="46">
        <v>250</v>
      </c>
      <c r="R211" s="46">
        <v>250</v>
      </c>
      <c r="S211" s="46">
        <v>250</v>
      </c>
      <c r="T211" s="46">
        <v>250</v>
      </c>
      <c r="U211" s="46">
        <v>300</v>
      </c>
      <c r="V211" s="46">
        <v>300</v>
      </c>
      <c r="W211" s="46">
        <v>300</v>
      </c>
      <c r="X211" s="47">
        <f t="shared" si="33"/>
        <v>3150</v>
      </c>
      <c r="Y211" s="46">
        <v>300</v>
      </c>
      <c r="Z211" s="46">
        <v>300</v>
      </c>
      <c r="AA211" s="46">
        <v>0</v>
      </c>
      <c r="AB211" s="46">
        <v>600</v>
      </c>
      <c r="AC211" s="46">
        <v>0</v>
      </c>
      <c r="AD211" s="46">
        <v>300</v>
      </c>
      <c r="AE211" s="46">
        <v>300</v>
      </c>
      <c r="AF211" s="46">
        <v>300</v>
      </c>
      <c r="AG211" s="46">
        <v>300</v>
      </c>
      <c r="AH211" s="46">
        <v>300</v>
      </c>
      <c r="AI211" s="46">
        <v>300</v>
      </c>
      <c r="AJ211" s="46">
        <v>300</v>
      </c>
      <c r="AK211" s="47">
        <f t="shared" si="34"/>
        <v>3300</v>
      </c>
      <c r="AL211" s="46">
        <v>300</v>
      </c>
      <c r="AM211" s="46">
        <v>300</v>
      </c>
      <c r="AN211" s="46">
        <v>300</v>
      </c>
      <c r="AO211" s="46">
        <v>300</v>
      </c>
      <c r="AP211" s="46">
        <v>300</v>
      </c>
      <c r="AQ211" s="46">
        <v>300</v>
      </c>
      <c r="AR211" s="46">
        <v>300</v>
      </c>
      <c r="AS211" s="46">
        <v>300</v>
      </c>
      <c r="AT211" s="46">
        <v>300</v>
      </c>
      <c r="AU211" s="46">
        <v>300</v>
      </c>
      <c r="AV211" s="46">
        <v>300</v>
      </c>
      <c r="AW211" s="46">
        <v>300</v>
      </c>
      <c r="AX211" s="47">
        <f t="shared" si="35"/>
        <v>3600</v>
      </c>
      <c r="AY211" s="313">
        <f>SUMIF(Recibos!$D$4:$D$7493,Cobranza!$B211,Recibos!K$4:K$7493)</f>
        <v>300</v>
      </c>
      <c r="AZ211" s="313">
        <f>SUMIF(Recibos!$D$4:$D$7493,Cobranza!$B211,Recibos!L$4:L$7493)</f>
        <v>300</v>
      </c>
      <c r="BA211" s="313">
        <f>SUMIF(Recibos!$D$4:$D$7493,Cobranza!$B211,Recibos!M$4:M$7493)</f>
        <v>0</v>
      </c>
      <c r="BB211" s="313">
        <f>SUMIF(Recibos!$D$4:$D$7493,Cobranza!$B211,Recibos!N$4:N$7493)</f>
        <v>300</v>
      </c>
      <c r="BC211" s="313">
        <f>SUMIF(Recibos!$D$4:$D$7493,Cobranza!$B211,Recibos!O$4:O$7493)</f>
        <v>300</v>
      </c>
      <c r="BD211" s="313">
        <f>SUMIF(Recibos!$D$4:$D$7493,Cobranza!$B211,Recibos!P$4:P$7493)</f>
        <v>300</v>
      </c>
      <c r="BE211" s="313">
        <f>SUMIF(Recibos!$D$4:$D$7493,Cobranza!$B211,Recibos!Q$4:Q$7493)</f>
        <v>300</v>
      </c>
      <c r="BF211" s="313">
        <f>SUMIF(Recibos!$D$4:$D$7493,Cobranza!$B211,Recibos!R$4:R$7493)</f>
        <v>300</v>
      </c>
      <c r="BG211" s="313">
        <f>SUMIF(Recibos!$D$4:$D$7493,Cobranza!$B211,Recibos!S$4:S$7493)</f>
        <v>300</v>
      </c>
      <c r="BH211" s="313">
        <f>SUMIF(Recibos!$D$4:$D$7493,Cobranza!$B211,Recibos!T$4:T$7493)</f>
        <v>300</v>
      </c>
      <c r="BI211" s="313">
        <f>SUMIF(Recibos!$D$4:$D$7493,Cobranza!$B211,Recibos!U$4:U$7493)</f>
        <v>300</v>
      </c>
      <c r="BJ211" s="313">
        <f>SUMIF(Recibos!$D$4:$D$7493,Cobranza!$B211,Recibos!V$4:V$7493)</f>
        <v>300</v>
      </c>
      <c r="BK211" s="314">
        <f t="shared" si="29"/>
        <v>3300</v>
      </c>
      <c r="BL211" s="313">
        <f>SUMIF(Recibos!$D$4:$D$7493,Cobranza!$B211,Recibos!X$4:X$7493)</f>
        <v>300</v>
      </c>
      <c r="BM211" s="313">
        <f>SUMIF(Recibos!$D$4:$D$7493,Cobranza!$B211,Recibos!Y$4:Y$7493)</f>
        <v>300</v>
      </c>
      <c r="BN211" s="313">
        <f>SUMIF(Recibos!$D$4:$D$7493,Cobranza!$B211,Recibos!Z$4:Z$7493)</f>
        <v>300</v>
      </c>
      <c r="BO211" s="313">
        <f>SUMIF(Recibos!$D$4:$D$7493,Cobranza!$B211,Recibos!AA$4:AA$7493)</f>
        <v>300</v>
      </c>
      <c r="BP211" s="313">
        <f>SUMIF(Recibos!$D$4:$D$7493,Cobranza!$B211,Recibos!AB$4:AB$7493)</f>
        <v>300</v>
      </c>
      <c r="BQ211" s="313">
        <f>SUMIF(Recibos!$D$4:$D$7493,Cobranza!$B211,Recibos!AC$4:AC$7493)</f>
        <v>300</v>
      </c>
      <c r="BR211" s="313">
        <f>SUMIF(Recibos!$D$4:$D$7493,Cobranza!$B211,Recibos!AD$4:AD$7493)</f>
        <v>300</v>
      </c>
      <c r="BS211" s="313">
        <f>SUMIF(Recibos!$D$4:$D$7493,Cobranza!$B211,Recibos!AE$4:AE$7493)</f>
        <v>300</v>
      </c>
      <c r="BT211" s="313">
        <f>SUMIF(Recibos!$D$4:$D$7493,Cobranza!$B211,Recibos!AF$4:AF$7493)</f>
        <v>300</v>
      </c>
      <c r="BU211" s="313">
        <f>SUMIF(Recibos!$D$4:$D$7493,Cobranza!$B211,Recibos!AG$4:AG$7493)</f>
        <v>300</v>
      </c>
      <c r="BV211" s="313">
        <f>SUMIF(Recibos!$D$4:$D$7493,Cobranza!$B211,Recibos!AH$4:AH$7493)</f>
        <v>300</v>
      </c>
      <c r="BW211" s="313">
        <f>SUMIF(Recibos!$D$4:$D$7493,Cobranza!$B211,Recibos!AI$4:AI$7493)</f>
        <v>300</v>
      </c>
      <c r="BX211" s="314">
        <f t="shared" si="30"/>
        <v>3600</v>
      </c>
      <c r="BY211" s="313">
        <f>SUMIF(Recibos!$D$4:$D$7493,Cobranza!$B211,Recibos!AK$4:AK$7493)</f>
        <v>300</v>
      </c>
      <c r="BZ211" s="313">
        <f>SUMIF(Recibos!$D$4:$D$7493,Cobranza!$B211,Recibos!AL$4:AL$7493)</f>
        <v>300</v>
      </c>
      <c r="CA211" s="313">
        <f>SUMIF(Recibos!$D$4:$D$7493,Cobranza!$B211,Recibos!AM$4:AM$7493)</f>
        <v>300</v>
      </c>
      <c r="CB211" s="313">
        <f>SUMIF(Recibos!$D$4:$D$7493,Cobranza!$B211,Recibos!AN$4:AN$7493)</f>
        <v>300</v>
      </c>
      <c r="CC211" s="313">
        <f>SUMIF(Recibos!$D$4:$D$7493,Cobranza!$B211,Recibos!AO$4:AO$7493)</f>
        <v>300</v>
      </c>
      <c r="CD211" s="313">
        <f>SUMIF(Recibos!$D$4:$D$7493,Cobranza!$B211,Recibos!AP$4:AP$7493)</f>
        <v>300</v>
      </c>
      <c r="CE211" s="313">
        <f>SUMIF(Recibos!$D$4:$D$7493,Cobranza!$B211,Recibos!AQ$4:AQ$7493)</f>
        <v>300</v>
      </c>
      <c r="CF211" s="313">
        <f>SUMIF(Recibos!$D$4:$D$7493,Cobranza!$B211,Recibos!AR$4:AR$7493)</f>
        <v>300</v>
      </c>
      <c r="CG211" s="313">
        <f>SUMIF(Recibos!$D$4:$D$7493,Cobranza!$B211,Recibos!AS$4:AS$7493)</f>
        <v>0</v>
      </c>
      <c r="CH211" s="313">
        <f>SUMIF(Recibos!$D$4:$D$7493,Cobranza!$B211,Recibos!AT$4:AT$7493)</f>
        <v>0</v>
      </c>
      <c r="CI211" s="313">
        <f>SUMIF(Recibos!$D$4:$D$7493,Cobranza!$B211,Recibos!AU$4:AU$7493)</f>
        <v>0</v>
      </c>
      <c r="CJ211" s="313">
        <f>SUMIF(Recibos!$D$4:$D$7493,Cobranza!$B211,Recibos!AV$4:AV$7493)</f>
        <v>0</v>
      </c>
      <c r="CK211" s="314">
        <f t="shared" si="31"/>
        <v>2400</v>
      </c>
    </row>
    <row r="212" spans="2:89" x14ac:dyDescent="0.2">
      <c r="B212" s="42" t="s">
        <v>586</v>
      </c>
      <c r="C212" s="42" t="s">
        <v>587</v>
      </c>
      <c r="D212" s="42" t="s">
        <v>588</v>
      </c>
      <c r="E212" s="43">
        <v>0</v>
      </c>
      <c r="F212" s="43">
        <v>0</v>
      </c>
      <c r="G212" s="43">
        <v>150</v>
      </c>
      <c r="H212" s="43">
        <v>150</v>
      </c>
      <c r="I212" s="43">
        <v>150</v>
      </c>
      <c r="J212" s="43">
        <v>150</v>
      </c>
      <c r="K212" s="44">
        <f t="shared" si="32"/>
        <v>600</v>
      </c>
      <c r="L212" s="43">
        <v>150</v>
      </c>
      <c r="M212" s="43">
        <v>150</v>
      </c>
      <c r="N212" s="43">
        <v>150</v>
      </c>
      <c r="O212" s="43">
        <v>150</v>
      </c>
      <c r="P212" s="43">
        <v>150</v>
      </c>
      <c r="Q212" s="43">
        <v>150</v>
      </c>
      <c r="R212" s="43">
        <v>150</v>
      </c>
      <c r="S212" s="43">
        <v>150</v>
      </c>
      <c r="T212" s="43">
        <v>150</v>
      </c>
      <c r="U212" s="43">
        <v>200</v>
      </c>
      <c r="V212" s="43">
        <v>200</v>
      </c>
      <c r="W212" s="43">
        <v>200</v>
      </c>
      <c r="X212" s="44">
        <f t="shared" si="33"/>
        <v>1950</v>
      </c>
      <c r="Y212" s="43">
        <v>200</v>
      </c>
      <c r="Z212" s="43">
        <v>200</v>
      </c>
      <c r="AA212" s="43">
        <v>200</v>
      </c>
      <c r="AB212" s="43">
        <v>200</v>
      </c>
      <c r="AC212" s="43">
        <v>200</v>
      </c>
      <c r="AD212" s="43">
        <v>200</v>
      </c>
      <c r="AE212" s="43">
        <v>200</v>
      </c>
      <c r="AF212" s="43">
        <v>200</v>
      </c>
      <c r="AG212" s="43">
        <v>200</v>
      </c>
      <c r="AH212" s="43">
        <v>200</v>
      </c>
      <c r="AI212" s="43">
        <v>200</v>
      </c>
      <c r="AJ212" s="43">
        <v>200</v>
      </c>
      <c r="AK212" s="44">
        <f t="shared" si="34"/>
        <v>2400</v>
      </c>
      <c r="AL212" s="43">
        <v>200</v>
      </c>
      <c r="AM212" s="43">
        <v>200</v>
      </c>
      <c r="AN212" s="43">
        <v>200</v>
      </c>
      <c r="AO212" s="43">
        <v>200</v>
      </c>
      <c r="AP212" s="43">
        <v>200</v>
      </c>
      <c r="AQ212" s="43">
        <v>200</v>
      </c>
      <c r="AR212" s="43">
        <v>200</v>
      </c>
      <c r="AS212" s="43">
        <v>200</v>
      </c>
      <c r="AT212" s="43">
        <v>200</v>
      </c>
      <c r="AU212" s="43">
        <v>200</v>
      </c>
      <c r="AV212" s="43">
        <v>200</v>
      </c>
      <c r="AW212" s="43">
        <v>200</v>
      </c>
      <c r="AX212" s="44">
        <f t="shared" si="35"/>
        <v>2400</v>
      </c>
      <c r="AY212" s="311">
        <f>SUMIF(Recibos!$D$4:$D$7493,Cobranza!$B212,Recibos!K$4:K$7493)</f>
        <v>200</v>
      </c>
      <c r="AZ212" s="311">
        <f>SUMIF(Recibos!$D$4:$D$7493,Cobranza!$B212,Recibos!L$4:L$7493)</f>
        <v>200</v>
      </c>
      <c r="BA212" s="311">
        <f>SUMIF(Recibos!$D$4:$D$7493,Cobranza!$B212,Recibos!M$4:M$7493)</f>
        <v>200</v>
      </c>
      <c r="BB212" s="311">
        <f>SUMIF(Recibos!$D$4:$D$7493,Cobranza!$B212,Recibos!N$4:N$7493)</f>
        <v>200</v>
      </c>
      <c r="BC212" s="311">
        <f>SUMIF(Recibos!$D$4:$D$7493,Cobranza!$B212,Recibos!O$4:O$7493)</f>
        <v>200</v>
      </c>
      <c r="BD212" s="311">
        <f>SUMIF(Recibos!$D$4:$D$7493,Cobranza!$B212,Recibos!P$4:P$7493)</f>
        <v>200</v>
      </c>
      <c r="BE212" s="311">
        <f>SUMIF(Recibos!$D$4:$D$7493,Cobranza!$B212,Recibos!Q$4:Q$7493)</f>
        <v>200</v>
      </c>
      <c r="BF212" s="311">
        <f>SUMIF(Recibos!$D$4:$D$7493,Cobranza!$B212,Recibos!R$4:R$7493)</f>
        <v>200</v>
      </c>
      <c r="BG212" s="311">
        <f>SUMIF(Recibos!$D$4:$D$7493,Cobranza!$B212,Recibos!S$4:S$7493)</f>
        <v>200</v>
      </c>
      <c r="BH212" s="311">
        <f>SUMIF(Recibos!$D$4:$D$7493,Cobranza!$B212,Recibos!T$4:T$7493)</f>
        <v>200</v>
      </c>
      <c r="BI212" s="311">
        <f>SUMIF(Recibos!$D$4:$D$7493,Cobranza!$B212,Recibos!U$4:U$7493)</f>
        <v>200</v>
      </c>
      <c r="BJ212" s="311">
        <f>SUMIF(Recibos!$D$4:$D$7493,Cobranza!$B212,Recibos!V$4:V$7493)</f>
        <v>200</v>
      </c>
      <c r="BK212" s="312">
        <f t="shared" ref="BK212:BK275" si="36">SUM(AY212:BJ212)</f>
        <v>2400</v>
      </c>
      <c r="BL212" s="311">
        <f>SUMIF(Recibos!$D$4:$D$7493,Cobranza!$B212,Recibos!X$4:X$7493)</f>
        <v>200</v>
      </c>
      <c r="BM212" s="311">
        <f>SUMIF(Recibos!$D$4:$D$7493,Cobranza!$B212,Recibos!Y$4:Y$7493)</f>
        <v>200</v>
      </c>
      <c r="BN212" s="311">
        <f>SUMIF(Recibos!$D$4:$D$7493,Cobranza!$B212,Recibos!Z$4:Z$7493)</f>
        <v>200</v>
      </c>
      <c r="BO212" s="311">
        <f>SUMIF(Recibos!$D$4:$D$7493,Cobranza!$B212,Recibos!AA$4:AA$7493)</f>
        <v>200</v>
      </c>
      <c r="BP212" s="311">
        <f>SUMIF(Recibos!$D$4:$D$7493,Cobranza!$B212,Recibos!AB$4:AB$7493)</f>
        <v>200</v>
      </c>
      <c r="BQ212" s="311">
        <f>SUMIF(Recibos!$D$4:$D$7493,Cobranza!$B212,Recibos!AC$4:AC$7493)</f>
        <v>200</v>
      </c>
      <c r="BR212" s="311">
        <f>SUMIF(Recibos!$D$4:$D$7493,Cobranza!$B212,Recibos!AD$4:AD$7493)</f>
        <v>200</v>
      </c>
      <c r="BS212" s="311">
        <f>SUMIF(Recibos!$D$4:$D$7493,Cobranza!$B212,Recibos!AE$4:AE$7493)</f>
        <v>200</v>
      </c>
      <c r="BT212" s="311">
        <f>SUMIF(Recibos!$D$4:$D$7493,Cobranza!$B212,Recibos!AF$4:AF$7493)</f>
        <v>200</v>
      </c>
      <c r="BU212" s="311">
        <f>SUMIF(Recibos!$D$4:$D$7493,Cobranza!$B212,Recibos!AG$4:AG$7493)</f>
        <v>200</v>
      </c>
      <c r="BV212" s="311">
        <f>SUMIF(Recibos!$D$4:$D$7493,Cobranza!$B212,Recibos!AH$4:AH$7493)</f>
        <v>200</v>
      </c>
      <c r="BW212" s="311">
        <f>SUMIF(Recibos!$D$4:$D$7493,Cobranza!$B212,Recibos!AI$4:AI$7493)</f>
        <v>200</v>
      </c>
      <c r="BX212" s="312">
        <f t="shared" ref="BX212:BX275" si="37">SUM(BL212:BW212)</f>
        <v>2400</v>
      </c>
      <c r="BY212" s="311">
        <f>SUMIF(Recibos!$D$4:$D$7493,Cobranza!$B212,Recibos!AK$4:AK$7493)</f>
        <v>200</v>
      </c>
      <c r="BZ212" s="311">
        <f>SUMIF(Recibos!$D$4:$D$7493,Cobranza!$B212,Recibos!AL$4:AL$7493)</f>
        <v>200</v>
      </c>
      <c r="CA212" s="311">
        <f>SUMIF(Recibos!$D$4:$D$7493,Cobranza!$B212,Recibos!AM$4:AM$7493)</f>
        <v>200</v>
      </c>
      <c r="CB212" s="311">
        <f>SUMIF(Recibos!$D$4:$D$7493,Cobranza!$B212,Recibos!AN$4:AN$7493)</f>
        <v>200</v>
      </c>
      <c r="CC212" s="311">
        <f>SUMIF(Recibos!$D$4:$D$7493,Cobranza!$B212,Recibos!AO$4:AO$7493)</f>
        <v>200</v>
      </c>
      <c r="CD212" s="311">
        <f>SUMIF(Recibos!$D$4:$D$7493,Cobranza!$B212,Recibos!AP$4:AP$7493)</f>
        <v>200</v>
      </c>
      <c r="CE212" s="311">
        <f>SUMIF(Recibos!$D$4:$D$7493,Cobranza!$B212,Recibos!AQ$4:AQ$7493)</f>
        <v>200</v>
      </c>
      <c r="CF212" s="311">
        <f>SUMIF(Recibos!$D$4:$D$7493,Cobranza!$B212,Recibos!AR$4:AR$7493)</f>
        <v>200</v>
      </c>
      <c r="CG212" s="311">
        <f>SUMIF(Recibos!$D$4:$D$7493,Cobranza!$B212,Recibos!AS$4:AS$7493)</f>
        <v>200</v>
      </c>
      <c r="CH212" s="311">
        <f>SUMIF(Recibos!$D$4:$D$7493,Cobranza!$B212,Recibos!AT$4:AT$7493)</f>
        <v>0</v>
      </c>
      <c r="CI212" s="311">
        <f>SUMIF(Recibos!$D$4:$D$7493,Cobranza!$B212,Recibos!AU$4:AU$7493)</f>
        <v>0</v>
      </c>
      <c r="CJ212" s="311">
        <f>SUMIF(Recibos!$D$4:$D$7493,Cobranza!$B212,Recibos!AV$4:AV$7493)</f>
        <v>0</v>
      </c>
      <c r="CK212" s="312">
        <f t="shared" si="31"/>
        <v>1800</v>
      </c>
    </row>
    <row r="213" spans="2:89" x14ac:dyDescent="0.2">
      <c r="B213" s="45" t="s">
        <v>1358</v>
      </c>
      <c r="C213" s="45" t="s">
        <v>1359</v>
      </c>
      <c r="D213" s="45" t="s">
        <v>1360</v>
      </c>
      <c r="E213" s="46">
        <v>0</v>
      </c>
      <c r="F213" s="46">
        <v>0</v>
      </c>
      <c r="G213" s="46">
        <v>0</v>
      </c>
      <c r="H213" s="46">
        <v>0</v>
      </c>
      <c r="I213" s="46">
        <v>0</v>
      </c>
      <c r="J213" s="46">
        <v>0</v>
      </c>
      <c r="K213" s="47">
        <f t="shared" si="32"/>
        <v>0</v>
      </c>
      <c r="L213" s="46">
        <v>0</v>
      </c>
      <c r="M213" s="46">
        <v>0</v>
      </c>
      <c r="N213" s="46">
        <v>0</v>
      </c>
      <c r="O213" s="46">
        <v>0</v>
      </c>
      <c r="P213" s="46">
        <v>0</v>
      </c>
      <c r="Q213" s="46">
        <v>0</v>
      </c>
      <c r="R213" s="46">
        <v>0</v>
      </c>
      <c r="S213" s="46">
        <v>0</v>
      </c>
      <c r="T213" s="46">
        <v>0</v>
      </c>
      <c r="U213" s="46">
        <v>0</v>
      </c>
      <c r="V213" s="46">
        <v>0</v>
      </c>
      <c r="W213" s="46">
        <v>0</v>
      </c>
      <c r="X213" s="47">
        <f t="shared" si="33"/>
        <v>0</v>
      </c>
      <c r="Y213" s="46">
        <v>0</v>
      </c>
      <c r="Z213" s="46">
        <v>0</v>
      </c>
      <c r="AA213" s="46">
        <v>0</v>
      </c>
      <c r="AB213" s="46">
        <v>0</v>
      </c>
      <c r="AC213" s="46">
        <v>0</v>
      </c>
      <c r="AD213" s="46">
        <v>0</v>
      </c>
      <c r="AE213" s="46">
        <v>0</v>
      </c>
      <c r="AF213" s="46">
        <v>0</v>
      </c>
      <c r="AG213" s="46">
        <v>0</v>
      </c>
      <c r="AH213" s="46">
        <v>0</v>
      </c>
      <c r="AI213" s="46">
        <v>0</v>
      </c>
      <c r="AJ213" s="46">
        <v>0</v>
      </c>
      <c r="AK213" s="47">
        <f t="shared" si="34"/>
        <v>0</v>
      </c>
      <c r="AL213" s="46">
        <v>0</v>
      </c>
      <c r="AM213" s="46">
        <v>0</v>
      </c>
      <c r="AN213" s="46">
        <v>0</v>
      </c>
      <c r="AO213" s="46">
        <v>0</v>
      </c>
      <c r="AP213" s="46">
        <v>0</v>
      </c>
      <c r="AQ213" s="46">
        <v>0</v>
      </c>
      <c r="AR213" s="46">
        <v>0</v>
      </c>
      <c r="AS213" s="46">
        <v>0</v>
      </c>
      <c r="AT213" s="46">
        <v>0</v>
      </c>
      <c r="AU213" s="46">
        <v>0</v>
      </c>
      <c r="AV213" s="46">
        <v>0</v>
      </c>
      <c r="AW213" s="46">
        <v>0</v>
      </c>
      <c r="AX213" s="47">
        <f t="shared" si="35"/>
        <v>0</v>
      </c>
      <c r="AY213" s="313">
        <f>SUMIF(Recibos!$D$4:$D$7493,Cobranza!$B213,Recibos!K$4:K$7493)</f>
        <v>0</v>
      </c>
      <c r="AZ213" s="313">
        <f>SUMIF(Recibos!$D$4:$D$7493,Cobranza!$B213,Recibos!L$4:L$7493)</f>
        <v>0</v>
      </c>
      <c r="BA213" s="313">
        <f>SUMIF(Recibos!$D$4:$D$7493,Cobranza!$B213,Recibos!M$4:M$7493)</f>
        <v>0</v>
      </c>
      <c r="BB213" s="313">
        <f>SUMIF(Recibos!$D$4:$D$7493,Cobranza!$B213,Recibos!N$4:N$7493)</f>
        <v>0</v>
      </c>
      <c r="BC213" s="313">
        <f>SUMIF(Recibos!$D$4:$D$7493,Cobranza!$B213,Recibos!O$4:O$7493)</f>
        <v>0</v>
      </c>
      <c r="BD213" s="313">
        <f>SUMIF(Recibos!$D$4:$D$7493,Cobranza!$B213,Recibos!P$4:P$7493)</f>
        <v>0</v>
      </c>
      <c r="BE213" s="313">
        <f>SUMIF(Recibos!$D$4:$D$7493,Cobranza!$B213,Recibos!Q$4:Q$7493)</f>
        <v>0</v>
      </c>
      <c r="BF213" s="313">
        <f>SUMIF(Recibos!$D$4:$D$7493,Cobranza!$B213,Recibos!R$4:R$7493)</f>
        <v>0</v>
      </c>
      <c r="BG213" s="313">
        <f>SUMIF(Recibos!$D$4:$D$7493,Cobranza!$B213,Recibos!S$4:S$7493)</f>
        <v>0</v>
      </c>
      <c r="BH213" s="313">
        <f>SUMIF(Recibos!$D$4:$D$7493,Cobranza!$B213,Recibos!T$4:T$7493)</f>
        <v>0</v>
      </c>
      <c r="BI213" s="313">
        <f>SUMIF(Recibos!$D$4:$D$7493,Cobranza!$B213,Recibos!U$4:U$7493)</f>
        <v>0</v>
      </c>
      <c r="BJ213" s="313">
        <f>SUMIF(Recibos!$D$4:$D$7493,Cobranza!$B213,Recibos!V$4:V$7493)</f>
        <v>0</v>
      </c>
      <c r="BK213" s="314">
        <f t="shared" si="36"/>
        <v>0</v>
      </c>
      <c r="BL213" s="313">
        <f>SUMIF(Recibos!$D$4:$D$7493,Cobranza!$B213,Recibos!X$4:X$7493)</f>
        <v>0</v>
      </c>
      <c r="BM213" s="313">
        <f>SUMIF(Recibos!$D$4:$D$7493,Cobranza!$B213,Recibos!Y$4:Y$7493)</f>
        <v>0</v>
      </c>
      <c r="BN213" s="313">
        <f>SUMIF(Recibos!$D$4:$D$7493,Cobranza!$B213,Recibos!Z$4:Z$7493)</f>
        <v>0</v>
      </c>
      <c r="BO213" s="313">
        <f>SUMIF(Recibos!$D$4:$D$7493,Cobranza!$B213,Recibos!AA$4:AA$7493)</f>
        <v>0</v>
      </c>
      <c r="BP213" s="313">
        <f>SUMIF(Recibos!$D$4:$D$7493,Cobranza!$B213,Recibos!AB$4:AB$7493)</f>
        <v>0</v>
      </c>
      <c r="BQ213" s="313">
        <f>SUMIF(Recibos!$D$4:$D$7493,Cobranza!$B213,Recibos!AC$4:AC$7493)</f>
        <v>0</v>
      </c>
      <c r="BR213" s="313">
        <f>SUMIF(Recibos!$D$4:$D$7493,Cobranza!$B213,Recibos!AD$4:AD$7493)</f>
        <v>0</v>
      </c>
      <c r="BS213" s="313">
        <f>SUMIF(Recibos!$D$4:$D$7493,Cobranza!$B213,Recibos!AE$4:AE$7493)</f>
        <v>0</v>
      </c>
      <c r="BT213" s="313">
        <f>SUMIF(Recibos!$D$4:$D$7493,Cobranza!$B213,Recibos!AF$4:AF$7493)</f>
        <v>0</v>
      </c>
      <c r="BU213" s="313">
        <f>SUMIF(Recibos!$D$4:$D$7493,Cobranza!$B213,Recibos!AG$4:AG$7493)</f>
        <v>0</v>
      </c>
      <c r="BV213" s="313">
        <f>SUMIF(Recibos!$D$4:$D$7493,Cobranza!$B213,Recibos!AH$4:AH$7493)</f>
        <v>0</v>
      </c>
      <c r="BW213" s="313">
        <f>SUMIF(Recibos!$D$4:$D$7493,Cobranza!$B213,Recibos!AI$4:AI$7493)</f>
        <v>0</v>
      </c>
      <c r="BX213" s="314">
        <f t="shared" si="37"/>
        <v>0</v>
      </c>
      <c r="BY213" s="313">
        <f>SUMIF(Recibos!$D$4:$D$7493,Cobranza!$B213,Recibos!AK$4:AK$7493)</f>
        <v>0</v>
      </c>
      <c r="BZ213" s="313">
        <f>SUMIF(Recibos!$D$4:$D$7493,Cobranza!$B213,Recibos!AL$4:AL$7493)</f>
        <v>0</v>
      </c>
      <c r="CA213" s="313">
        <f>SUMIF(Recibos!$D$4:$D$7493,Cobranza!$B213,Recibos!AM$4:AM$7493)</f>
        <v>0</v>
      </c>
      <c r="CB213" s="313">
        <f>SUMIF(Recibos!$D$4:$D$7493,Cobranza!$B213,Recibos!AN$4:AN$7493)</f>
        <v>0</v>
      </c>
      <c r="CC213" s="313">
        <f>SUMIF(Recibos!$D$4:$D$7493,Cobranza!$B213,Recibos!AO$4:AO$7493)</f>
        <v>0</v>
      </c>
      <c r="CD213" s="313">
        <f>SUMIF(Recibos!$D$4:$D$7493,Cobranza!$B213,Recibos!AP$4:AP$7493)</f>
        <v>0</v>
      </c>
      <c r="CE213" s="313">
        <f>SUMIF(Recibos!$D$4:$D$7493,Cobranza!$B213,Recibos!AQ$4:AQ$7493)</f>
        <v>0</v>
      </c>
      <c r="CF213" s="313">
        <f>SUMIF(Recibos!$D$4:$D$7493,Cobranza!$B213,Recibos!AR$4:AR$7493)</f>
        <v>0</v>
      </c>
      <c r="CG213" s="313">
        <f>SUMIF(Recibos!$D$4:$D$7493,Cobranza!$B213,Recibos!AS$4:AS$7493)</f>
        <v>0</v>
      </c>
      <c r="CH213" s="313">
        <f>SUMIF(Recibos!$D$4:$D$7493,Cobranza!$B213,Recibos!AT$4:AT$7493)</f>
        <v>0</v>
      </c>
      <c r="CI213" s="313">
        <f>SUMIF(Recibos!$D$4:$D$7493,Cobranza!$B213,Recibos!AU$4:AU$7493)</f>
        <v>0</v>
      </c>
      <c r="CJ213" s="313">
        <f>SUMIF(Recibos!$D$4:$D$7493,Cobranza!$B213,Recibos!AV$4:AV$7493)</f>
        <v>0</v>
      </c>
      <c r="CK213" s="314">
        <f t="shared" si="31"/>
        <v>0</v>
      </c>
    </row>
    <row r="214" spans="2:89" x14ac:dyDescent="0.2">
      <c r="B214" s="42" t="s">
        <v>938</v>
      </c>
      <c r="C214" s="42" t="s">
        <v>939</v>
      </c>
      <c r="D214" s="42" t="s">
        <v>940</v>
      </c>
      <c r="E214" s="43">
        <v>0</v>
      </c>
      <c r="F214" s="43">
        <v>0</v>
      </c>
      <c r="G214" s="43">
        <v>0</v>
      </c>
      <c r="H214" s="43">
        <v>0</v>
      </c>
      <c r="I214" s="43">
        <v>300</v>
      </c>
      <c r="J214" s="43">
        <v>300</v>
      </c>
      <c r="K214" s="44">
        <f t="shared" si="32"/>
        <v>600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  <c r="V214" s="43">
        <v>0</v>
      </c>
      <c r="W214" s="43">
        <v>0</v>
      </c>
      <c r="X214" s="44">
        <f t="shared" si="33"/>
        <v>0</v>
      </c>
      <c r="Y214" s="43">
        <v>0</v>
      </c>
      <c r="Z214" s="43">
        <v>0</v>
      </c>
      <c r="AA214" s="43">
        <v>0</v>
      </c>
      <c r="AB214" s="43">
        <v>0</v>
      </c>
      <c r="AC214" s="43">
        <v>0</v>
      </c>
      <c r="AD214" s="43">
        <v>0</v>
      </c>
      <c r="AE214" s="43">
        <v>0</v>
      </c>
      <c r="AF214" s="43">
        <v>0</v>
      </c>
      <c r="AG214" s="43">
        <v>0</v>
      </c>
      <c r="AH214" s="43">
        <v>0</v>
      </c>
      <c r="AI214" s="43">
        <v>0</v>
      </c>
      <c r="AJ214" s="43">
        <v>0</v>
      </c>
      <c r="AK214" s="44">
        <f t="shared" si="34"/>
        <v>0</v>
      </c>
      <c r="AL214" s="43">
        <v>0</v>
      </c>
      <c r="AM214" s="43">
        <v>0</v>
      </c>
      <c r="AN214" s="43">
        <v>0</v>
      </c>
      <c r="AO214" s="43">
        <v>0</v>
      </c>
      <c r="AP214" s="43">
        <v>0</v>
      </c>
      <c r="AQ214" s="43">
        <v>0</v>
      </c>
      <c r="AR214" s="43">
        <v>0</v>
      </c>
      <c r="AS214" s="43">
        <v>0</v>
      </c>
      <c r="AT214" s="43">
        <v>0</v>
      </c>
      <c r="AU214" s="43">
        <v>0</v>
      </c>
      <c r="AV214" s="43">
        <v>0</v>
      </c>
      <c r="AW214" s="43">
        <v>0</v>
      </c>
      <c r="AX214" s="44">
        <f t="shared" si="35"/>
        <v>0</v>
      </c>
      <c r="AY214" s="311">
        <f>SUMIF(Recibos!$D$4:$D$7493,Cobranza!$B214,Recibos!K$4:K$7493)</f>
        <v>0</v>
      </c>
      <c r="AZ214" s="311">
        <f>SUMIF(Recibos!$D$4:$D$7493,Cobranza!$B214,Recibos!L$4:L$7493)</f>
        <v>0</v>
      </c>
      <c r="BA214" s="311">
        <f>SUMIF(Recibos!$D$4:$D$7493,Cobranza!$B214,Recibos!M$4:M$7493)</f>
        <v>0</v>
      </c>
      <c r="BB214" s="311">
        <f>SUMIF(Recibos!$D$4:$D$7493,Cobranza!$B214,Recibos!N$4:N$7493)</f>
        <v>400</v>
      </c>
      <c r="BC214" s="311">
        <f>SUMIF(Recibos!$D$4:$D$7493,Cobranza!$B214,Recibos!O$4:O$7493)</f>
        <v>400</v>
      </c>
      <c r="BD214" s="311">
        <f>SUMIF(Recibos!$D$4:$D$7493,Cobranza!$B214,Recibos!P$4:P$7493)</f>
        <v>400</v>
      </c>
      <c r="BE214" s="311">
        <f>SUMIF(Recibos!$D$4:$D$7493,Cobranza!$B214,Recibos!Q$4:Q$7493)</f>
        <v>0</v>
      </c>
      <c r="BF214" s="311">
        <f>SUMIF(Recibos!$D$4:$D$7493,Cobranza!$B214,Recibos!R$4:R$7493)</f>
        <v>0</v>
      </c>
      <c r="BG214" s="311">
        <f>SUMIF(Recibos!$D$4:$D$7493,Cobranza!$B214,Recibos!S$4:S$7493)</f>
        <v>0</v>
      </c>
      <c r="BH214" s="311">
        <f>SUMIF(Recibos!$D$4:$D$7493,Cobranza!$B214,Recibos!T$4:T$7493)</f>
        <v>0</v>
      </c>
      <c r="BI214" s="311">
        <f>SUMIF(Recibos!$D$4:$D$7493,Cobranza!$B214,Recibos!U$4:U$7493)</f>
        <v>0</v>
      </c>
      <c r="BJ214" s="311">
        <f>SUMIF(Recibos!$D$4:$D$7493,Cobranza!$B214,Recibos!V$4:V$7493)</f>
        <v>0</v>
      </c>
      <c r="BK214" s="312">
        <f t="shared" si="36"/>
        <v>1200</v>
      </c>
      <c r="BL214" s="311">
        <f>SUMIF(Recibos!$D$4:$D$7493,Cobranza!$B214,Recibos!X$4:X$7493)</f>
        <v>400</v>
      </c>
      <c r="BM214" s="311">
        <f>SUMIF(Recibos!$D$4:$D$7493,Cobranza!$B214,Recibos!Y$4:Y$7493)</f>
        <v>0</v>
      </c>
      <c r="BN214" s="311">
        <f>SUMIF(Recibos!$D$4:$D$7493,Cobranza!$B214,Recibos!Z$4:Z$7493)</f>
        <v>0</v>
      </c>
      <c r="BO214" s="311">
        <f>SUMIF(Recibos!$D$4:$D$7493,Cobranza!$B214,Recibos!AA$4:AA$7493)</f>
        <v>0</v>
      </c>
      <c r="BP214" s="311">
        <f>SUMIF(Recibos!$D$4:$D$7493,Cobranza!$B214,Recibos!AB$4:AB$7493)</f>
        <v>0</v>
      </c>
      <c r="BQ214" s="311">
        <f>SUMIF(Recibos!$D$4:$D$7493,Cobranza!$B214,Recibos!AC$4:AC$7493)</f>
        <v>0</v>
      </c>
      <c r="BR214" s="311">
        <f>SUMIF(Recibos!$D$4:$D$7493,Cobranza!$B214,Recibos!AD$4:AD$7493)</f>
        <v>0</v>
      </c>
      <c r="BS214" s="311">
        <f>SUMIF(Recibos!$D$4:$D$7493,Cobranza!$B214,Recibos!AE$4:AE$7493)</f>
        <v>0</v>
      </c>
      <c r="BT214" s="311">
        <f>SUMIF(Recibos!$D$4:$D$7493,Cobranza!$B214,Recibos!AF$4:AF$7493)</f>
        <v>0</v>
      </c>
      <c r="BU214" s="311">
        <f>SUMIF(Recibos!$D$4:$D$7493,Cobranza!$B214,Recibos!AG$4:AG$7493)</f>
        <v>0</v>
      </c>
      <c r="BV214" s="311">
        <f>SUMIF(Recibos!$D$4:$D$7493,Cobranza!$B214,Recibos!AH$4:AH$7493)</f>
        <v>0</v>
      </c>
      <c r="BW214" s="311">
        <f>SUMIF(Recibos!$D$4:$D$7493,Cobranza!$B214,Recibos!AI$4:AI$7493)</f>
        <v>0</v>
      </c>
      <c r="BX214" s="312">
        <f t="shared" si="37"/>
        <v>400</v>
      </c>
      <c r="BY214" s="311">
        <f>SUMIF(Recibos!$D$4:$D$7493,Cobranza!$B214,Recibos!AK$4:AK$7493)</f>
        <v>0</v>
      </c>
      <c r="BZ214" s="311">
        <f>SUMIF(Recibos!$D$4:$D$7493,Cobranza!$B214,Recibos!AL$4:AL$7493)</f>
        <v>0</v>
      </c>
      <c r="CA214" s="311">
        <f>SUMIF(Recibos!$D$4:$D$7493,Cobranza!$B214,Recibos!AM$4:AM$7493)</f>
        <v>0</v>
      </c>
      <c r="CB214" s="311">
        <f>SUMIF(Recibos!$D$4:$D$7493,Cobranza!$B214,Recibos!AN$4:AN$7493)</f>
        <v>0</v>
      </c>
      <c r="CC214" s="311">
        <f>SUMIF(Recibos!$D$4:$D$7493,Cobranza!$B214,Recibos!AO$4:AO$7493)</f>
        <v>0</v>
      </c>
      <c r="CD214" s="311">
        <f>SUMIF(Recibos!$D$4:$D$7493,Cobranza!$B214,Recibos!AP$4:AP$7493)</f>
        <v>0</v>
      </c>
      <c r="CE214" s="311">
        <f>SUMIF(Recibos!$D$4:$D$7493,Cobranza!$B214,Recibos!AQ$4:AQ$7493)</f>
        <v>0</v>
      </c>
      <c r="CF214" s="311">
        <f>SUMIF(Recibos!$D$4:$D$7493,Cobranza!$B214,Recibos!AR$4:AR$7493)</f>
        <v>0</v>
      </c>
      <c r="CG214" s="311">
        <f>SUMIF(Recibos!$D$4:$D$7493,Cobranza!$B214,Recibos!AS$4:AS$7493)</f>
        <v>0</v>
      </c>
      <c r="CH214" s="311">
        <f>SUMIF(Recibos!$D$4:$D$7493,Cobranza!$B214,Recibos!AT$4:AT$7493)</f>
        <v>0</v>
      </c>
      <c r="CI214" s="311">
        <f>SUMIF(Recibos!$D$4:$D$7493,Cobranza!$B214,Recibos!AU$4:AU$7493)</f>
        <v>0</v>
      </c>
      <c r="CJ214" s="311">
        <f>SUMIF(Recibos!$D$4:$D$7493,Cobranza!$B214,Recibos!AV$4:AV$7493)</f>
        <v>0</v>
      </c>
      <c r="CK214" s="312">
        <f t="shared" si="31"/>
        <v>0</v>
      </c>
    </row>
    <row r="215" spans="2:89" x14ac:dyDescent="0.2">
      <c r="B215" s="45" t="s">
        <v>1361</v>
      </c>
      <c r="C215" s="45" t="s">
        <v>1362</v>
      </c>
      <c r="D215" s="45" t="s">
        <v>1363</v>
      </c>
      <c r="E215" s="46">
        <v>0</v>
      </c>
      <c r="F215" s="46">
        <v>0</v>
      </c>
      <c r="G215" s="46">
        <v>0</v>
      </c>
      <c r="H215" s="46">
        <v>0</v>
      </c>
      <c r="I215" s="46">
        <v>0</v>
      </c>
      <c r="J215" s="46">
        <v>0</v>
      </c>
      <c r="K215" s="47">
        <f t="shared" si="32"/>
        <v>0</v>
      </c>
      <c r="L215" s="46">
        <v>0</v>
      </c>
      <c r="M215" s="46">
        <v>0</v>
      </c>
      <c r="N215" s="46">
        <v>0</v>
      </c>
      <c r="O215" s="46">
        <v>0</v>
      </c>
      <c r="P215" s="46">
        <v>0</v>
      </c>
      <c r="Q215" s="46">
        <v>0</v>
      </c>
      <c r="R215" s="46">
        <v>0</v>
      </c>
      <c r="S215" s="46">
        <v>0</v>
      </c>
      <c r="T215" s="46">
        <v>0</v>
      </c>
      <c r="U215" s="46">
        <v>0</v>
      </c>
      <c r="V215" s="46">
        <v>0</v>
      </c>
      <c r="W215" s="46">
        <v>0</v>
      </c>
      <c r="X215" s="47">
        <f t="shared" si="33"/>
        <v>0</v>
      </c>
      <c r="Y215" s="46">
        <v>0</v>
      </c>
      <c r="Z215" s="46">
        <v>0</v>
      </c>
      <c r="AA215" s="46">
        <v>0</v>
      </c>
      <c r="AB215" s="46">
        <v>0</v>
      </c>
      <c r="AC215" s="46">
        <v>0</v>
      </c>
      <c r="AD215" s="46">
        <v>0</v>
      </c>
      <c r="AE215" s="46">
        <v>0</v>
      </c>
      <c r="AF215" s="46">
        <v>0</v>
      </c>
      <c r="AG215" s="46">
        <v>0</v>
      </c>
      <c r="AH215" s="46">
        <v>0</v>
      </c>
      <c r="AI215" s="46">
        <v>0</v>
      </c>
      <c r="AJ215" s="46">
        <v>0</v>
      </c>
      <c r="AK215" s="47">
        <f t="shared" si="34"/>
        <v>0</v>
      </c>
      <c r="AL215" s="46">
        <v>0</v>
      </c>
      <c r="AM215" s="46">
        <v>0</v>
      </c>
      <c r="AN215" s="46">
        <v>0</v>
      </c>
      <c r="AO215" s="46">
        <v>0</v>
      </c>
      <c r="AP215" s="46">
        <v>0</v>
      </c>
      <c r="AQ215" s="46">
        <v>0</v>
      </c>
      <c r="AR215" s="46">
        <v>0</v>
      </c>
      <c r="AS215" s="46">
        <v>0</v>
      </c>
      <c r="AT215" s="46">
        <v>0</v>
      </c>
      <c r="AU215" s="46">
        <v>0</v>
      </c>
      <c r="AV215" s="46">
        <v>0</v>
      </c>
      <c r="AW215" s="46">
        <v>0</v>
      </c>
      <c r="AX215" s="47">
        <f t="shared" si="35"/>
        <v>0</v>
      </c>
      <c r="AY215" s="313">
        <f>SUMIF(Recibos!$D$4:$D$7493,Cobranza!$B215,Recibos!K$4:K$7493)</f>
        <v>0</v>
      </c>
      <c r="AZ215" s="313">
        <f>SUMIF(Recibos!$D$4:$D$7493,Cobranza!$B215,Recibos!L$4:L$7493)</f>
        <v>0</v>
      </c>
      <c r="BA215" s="313">
        <f>SUMIF(Recibos!$D$4:$D$7493,Cobranza!$B215,Recibos!M$4:M$7493)</f>
        <v>0</v>
      </c>
      <c r="BB215" s="313">
        <f>SUMIF(Recibos!$D$4:$D$7493,Cobranza!$B215,Recibos!N$4:N$7493)</f>
        <v>0</v>
      </c>
      <c r="BC215" s="313">
        <f>SUMIF(Recibos!$D$4:$D$7493,Cobranza!$B215,Recibos!O$4:O$7493)</f>
        <v>0</v>
      </c>
      <c r="BD215" s="313">
        <f>SUMIF(Recibos!$D$4:$D$7493,Cobranza!$B215,Recibos!P$4:P$7493)</f>
        <v>0</v>
      </c>
      <c r="BE215" s="313">
        <f>SUMIF(Recibos!$D$4:$D$7493,Cobranza!$B215,Recibos!Q$4:Q$7493)</f>
        <v>0</v>
      </c>
      <c r="BF215" s="313">
        <f>SUMIF(Recibos!$D$4:$D$7493,Cobranza!$B215,Recibos!R$4:R$7493)</f>
        <v>0</v>
      </c>
      <c r="BG215" s="313">
        <f>SUMIF(Recibos!$D$4:$D$7493,Cobranza!$B215,Recibos!S$4:S$7493)</f>
        <v>0</v>
      </c>
      <c r="BH215" s="313">
        <f>SUMIF(Recibos!$D$4:$D$7493,Cobranza!$B215,Recibos!T$4:T$7493)</f>
        <v>0</v>
      </c>
      <c r="BI215" s="313">
        <f>SUMIF(Recibos!$D$4:$D$7493,Cobranza!$B215,Recibos!U$4:U$7493)</f>
        <v>0</v>
      </c>
      <c r="BJ215" s="313">
        <f>SUMIF(Recibos!$D$4:$D$7493,Cobranza!$B215,Recibos!V$4:V$7493)</f>
        <v>0</v>
      </c>
      <c r="BK215" s="314">
        <f t="shared" si="36"/>
        <v>0</v>
      </c>
      <c r="BL215" s="313">
        <f>SUMIF(Recibos!$D$4:$D$7493,Cobranza!$B215,Recibos!X$4:X$7493)</f>
        <v>0</v>
      </c>
      <c r="BM215" s="313">
        <f>SUMIF(Recibos!$D$4:$D$7493,Cobranza!$B215,Recibos!Y$4:Y$7493)</f>
        <v>0</v>
      </c>
      <c r="BN215" s="313">
        <f>SUMIF(Recibos!$D$4:$D$7493,Cobranza!$B215,Recibos!Z$4:Z$7493)</f>
        <v>0</v>
      </c>
      <c r="BO215" s="313">
        <f>SUMIF(Recibos!$D$4:$D$7493,Cobranza!$B215,Recibos!AA$4:AA$7493)</f>
        <v>0</v>
      </c>
      <c r="BP215" s="313">
        <f>SUMIF(Recibos!$D$4:$D$7493,Cobranza!$B215,Recibos!AB$4:AB$7493)</f>
        <v>0</v>
      </c>
      <c r="BQ215" s="313">
        <f>SUMIF(Recibos!$D$4:$D$7493,Cobranza!$B215,Recibos!AC$4:AC$7493)</f>
        <v>0</v>
      </c>
      <c r="BR215" s="313">
        <f>SUMIF(Recibos!$D$4:$D$7493,Cobranza!$B215,Recibos!AD$4:AD$7493)</f>
        <v>0</v>
      </c>
      <c r="BS215" s="313">
        <f>SUMIF(Recibos!$D$4:$D$7493,Cobranza!$B215,Recibos!AE$4:AE$7493)</f>
        <v>0</v>
      </c>
      <c r="BT215" s="313">
        <f>SUMIF(Recibos!$D$4:$D$7493,Cobranza!$B215,Recibos!AF$4:AF$7493)</f>
        <v>0</v>
      </c>
      <c r="BU215" s="313">
        <f>SUMIF(Recibos!$D$4:$D$7493,Cobranza!$B215,Recibos!AG$4:AG$7493)</f>
        <v>0</v>
      </c>
      <c r="BV215" s="313">
        <f>SUMIF(Recibos!$D$4:$D$7493,Cobranza!$B215,Recibos!AH$4:AH$7493)</f>
        <v>0</v>
      </c>
      <c r="BW215" s="313">
        <f>SUMIF(Recibos!$D$4:$D$7493,Cobranza!$B215,Recibos!AI$4:AI$7493)</f>
        <v>0</v>
      </c>
      <c r="BX215" s="314">
        <f t="shared" si="37"/>
        <v>0</v>
      </c>
      <c r="BY215" s="313">
        <f>SUMIF(Recibos!$D$4:$D$7493,Cobranza!$B215,Recibos!AK$4:AK$7493)</f>
        <v>0</v>
      </c>
      <c r="BZ215" s="313">
        <f>SUMIF(Recibos!$D$4:$D$7493,Cobranza!$B215,Recibos!AL$4:AL$7493)</f>
        <v>0</v>
      </c>
      <c r="CA215" s="313">
        <f>SUMIF(Recibos!$D$4:$D$7493,Cobranza!$B215,Recibos!AM$4:AM$7493)</f>
        <v>0</v>
      </c>
      <c r="CB215" s="313">
        <f>SUMIF(Recibos!$D$4:$D$7493,Cobranza!$B215,Recibos!AN$4:AN$7493)</f>
        <v>0</v>
      </c>
      <c r="CC215" s="313">
        <f>SUMIF(Recibos!$D$4:$D$7493,Cobranza!$B215,Recibos!AO$4:AO$7493)</f>
        <v>0</v>
      </c>
      <c r="CD215" s="313">
        <f>SUMIF(Recibos!$D$4:$D$7493,Cobranza!$B215,Recibos!AP$4:AP$7493)</f>
        <v>0</v>
      </c>
      <c r="CE215" s="313">
        <f>SUMIF(Recibos!$D$4:$D$7493,Cobranza!$B215,Recibos!AQ$4:AQ$7493)</f>
        <v>0</v>
      </c>
      <c r="CF215" s="313">
        <f>SUMIF(Recibos!$D$4:$D$7493,Cobranza!$B215,Recibos!AR$4:AR$7493)</f>
        <v>0</v>
      </c>
      <c r="CG215" s="313">
        <f>SUMIF(Recibos!$D$4:$D$7493,Cobranza!$B215,Recibos!AS$4:AS$7493)</f>
        <v>0</v>
      </c>
      <c r="CH215" s="313">
        <f>SUMIF(Recibos!$D$4:$D$7493,Cobranza!$B215,Recibos!AT$4:AT$7493)</f>
        <v>0</v>
      </c>
      <c r="CI215" s="313">
        <f>SUMIF(Recibos!$D$4:$D$7493,Cobranza!$B215,Recibos!AU$4:AU$7493)</f>
        <v>0</v>
      </c>
      <c r="CJ215" s="313">
        <f>SUMIF(Recibos!$D$4:$D$7493,Cobranza!$B215,Recibos!AV$4:AV$7493)</f>
        <v>0</v>
      </c>
      <c r="CK215" s="314">
        <f t="shared" si="31"/>
        <v>0</v>
      </c>
    </row>
    <row r="216" spans="2:89" x14ac:dyDescent="0.2">
      <c r="B216" s="42" t="s">
        <v>1052</v>
      </c>
      <c r="C216" s="42" t="s">
        <v>1053</v>
      </c>
      <c r="D216" s="42" t="s">
        <v>1054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4">
        <f t="shared" si="32"/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  <c r="V216" s="43">
        <v>0</v>
      </c>
      <c r="W216" s="43">
        <v>0</v>
      </c>
      <c r="X216" s="44">
        <f t="shared" si="33"/>
        <v>0</v>
      </c>
      <c r="Y216" s="43">
        <v>0</v>
      </c>
      <c r="Z216" s="43">
        <v>0</v>
      </c>
      <c r="AA216" s="43">
        <v>0</v>
      </c>
      <c r="AB216" s="43">
        <v>0</v>
      </c>
      <c r="AC216" s="43">
        <v>0</v>
      </c>
      <c r="AD216" s="43">
        <v>0</v>
      </c>
      <c r="AE216" s="43">
        <v>0</v>
      </c>
      <c r="AF216" s="43">
        <v>0</v>
      </c>
      <c r="AG216" s="43">
        <v>0</v>
      </c>
      <c r="AH216" s="43">
        <v>0</v>
      </c>
      <c r="AI216" s="43">
        <v>0</v>
      </c>
      <c r="AJ216" s="43">
        <v>0</v>
      </c>
      <c r="AK216" s="44">
        <f t="shared" si="34"/>
        <v>0</v>
      </c>
      <c r="AL216" s="43">
        <v>0</v>
      </c>
      <c r="AM216" s="43">
        <v>0</v>
      </c>
      <c r="AN216" s="43">
        <v>0</v>
      </c>
      <c r="AO216" s="43">
        <v>0</v>
      </c>
      <c r="AP216" s="43">
        <v>0</v>
      </c>
      <c r="AQ216" s="43">
        <v>0</v>
      </c>
      <c r="AR216" s="43">
        <v>0</v>
      </c>
      <c r="AS216" s="43">
        <v>0</v>
      </c>
      <c r="AT216" s="43">
        <v>0</v>
      </c>
      <c r="AU216" s="43">
        <v>0</v>
      </c>
      <c r="AV216" s="43">
        <v>0</v>
      </c>
      <c r="AW216" s="43">
        <v>0</v>
      </c>
      <c r="AX216" s="44">
        <f t="shared" si="35"/>
        <v>0</v>
      </c>
      <c r="AY216" s="311">
        <f>SUMIF(Recibos!$D$4:$D$7493,Cobranza!$B216,Recibos!K$4:K$7493)</f>
        <v>0</v>
      </c>
      <c r="AZ216" s="311">
        <f>SUMIF(Recibos!$D$4:$D$7493,Cobranza!$B216,Recibos!L$4:L$7493)</f>
        <v>0</v>
      </c>
      <c r="BA216" s="311">
        <f>SUMIF(Recibos!$D$4:$D$7493,Cobranza!$B216,Recibos!M$4:M$7493)</f>
        <v>0</v>
      </c>
      <c r="BB216" s="311">
        <f>SUMIF(Recibos!$D$4:$D$7493,Cobranza!$B216,Recibos!N$4:N$7493)</f>
        <v>0</v>
      </c>
      <c r="BC216" s="311">
        <f>SUMIF(Recibos!$D$4:$D$7493,Cobranza!$B216,Recibos!O$4:O$7493)</f>
        <v>0</v>
      </c>
      <c r="BD216" s="311">
        <f>SUMIF(Recibos!$D$4:$D$7493,Cobranza!$B216,Recibos!P$4:P$7493)</f>
        <v>0</v>
      </c>
      <c r="BE216" s="311">
        <f>SUMIF(Recibos!$D$4:$D$7493,Cobranza!$B216,Recibos!Q$4:Q$7493)</f>
        <v>0</v>
      </c>
      <c r="BF216" s="311">
        <f>SUMIF(Recibos!$D$4:$D$7493,Cobranza!$B216,Recibos!R$4:R$7493)</f>
        <v>0</v>
      </c>
      <c r="BG216" s="311">
        <f>SUMIF(Recibos!$D$4:$D$7493,Cobranza!$B216,Recibos!S$4:S$7493)</f>
        <v>0</v>
      </c>
      <c r="BH216" s="311">
        <f>SUMIF(Recibos!$D$4:$D$7493,Cobranza!$B216,Recibos!T$4:T$7493)</f>
        <v>0</v>
      </c>
      <c r="BI216" s="311">
        <f>SUMIF(Recibos!$D$4:$D$7493,Cobranza!$B216,Recibos!U$4:U$7493)</f>
        <v>0</v>
      </c>
      <c r="BJ216" s="311">
        <f>SUMIF(Recibos!$D$4:$D$7493,Cobranza!$B216,Recibos!V$4:V$7493)</f>
        <v>0</v>
      </c>
      <c r="BK216" s="312">
        <f t="shared" si="36"/>
        <v>0</v>
      </c>
      <c r="BL216" s="311">
        <f>SUMIF(Recibos!$D$4:$D$7493,Cobranza!$B216,Recibos!X$4:X$7493)</f>
        <v>0</v>
      </c>
      <c r="BM216" s="311">
        <f>SUMIF(Recibos!$D$4:$D$7493,Cobranza!$B216,Recibos!Y$4:Y$7493)</f>
        <v>0</v>
      </c>
      <c r="BN216" s="311">
        <f>SUMIF(Recibos!$D$4:$D$7493,Cobranza!$B216,Recibos!Z$4:Z$7493)</f>
        <v>0</v>
      </c>
      <c r="BO216" s="311">
        <f>SUMIF(Recibos!$D$4:$D$7493,Cobranza!$B216,Recibos!AA$4:AA$7493)</f>
        <v>0</v>
      </c>
      <c r="BP216" s="311">
        <f>SUMIF(Recibos!$D$4:$D$7493,Cobranza!$B216,Recibos!AB$4:AB$7493)</f>
        <v>0</v>
      </c>
      <c r="BQ216" s="311">
        <f>SUMIF(Recibos!$D$4:$D$7493,Cobranza!$B216,Recibos!AC$4:AC$7493)</f>
        <v>0</v>
      </c>
      <c r="BR216" s="311">
        <f>SUMIF(Recibos!$D$4:$D$7493,Cobranza!$B216,Recibos!AD$4:AD$7493)</f>
        <v>0</v>
      </c>
      <c r="BS216" s="311">
        <f>SUMIF(Recibos!$D$4:$D$7493,Cobranza!$B216,Recibos!AE$4:AE$7493)</f>
        <v>0</v>
      </c>
      <c r="BT216" s="311">
        <f>SUMIF(Recibos!$D$4:$D$7493,Cobranza!$B216,Recibos!AF$4:AF$7493)</f>
        <v>0</v>
      </c>
      <c r="BU216" s="311">
        <f>SUMIF(Recibos!$D$4:$D$7493,Cobranza!$B216,Recibos!AG$4:AG$7493)</f>
        <v>0</v>
      </c>
      <c r="BV216" s="311">
        <f>SUMIF(Recibos!$D$4:$D$7493,Cobranza!$B216,Recibos!AH$4:AH$7493)</f>
        <v>0</v>
      </c>
      <c r="BW216" s="311">
        <f>SUMIF(Recibos!$D$4:$D$7493,Cobranza!$B216,Recibos!AI$4:AI$7493)</f>
        <v>0</v>
      </c>
      <c r="BX216" s="312">
        <f t="shared" si="37"/>
        <v>0</v>
      </c>
      <c r="BY216" s="311">
        <f>SUMIF(Recibos!$D$4:$D$7493,Cobranza!$B216,Recibos!AK$4:AK$7493)</f>
        <v>0</v>
      </c>
      <c r="BZ216" s="311">
        <f>SUMIF(Recibos!$D$4:$D$7493,Cobranza!$B216,Recibos!AL$4:AL$7493)</f>
        <v>0</v>
      </c>
      <c r="CA216" s="311">
        <f>SUMIF(Recibos!$D$4:$D$7493,Cobranza!$B216,Recibos!AM$4:AM$7493)</f>
        <v>0</v>
      </c>
      <c r="CB216" s="311">
        <f>SUMIF(Recibos!$D$4:$D$7493,Cobranza!$B216,Recibos!AN$4:AN$7493)</f>
        <v>0</v>
      </c>
      <c r="CC216" s="311">
        <f>SUMIF(Recibos!$D$4:$D$7493,Cobranza!$B216,Recibos!AO$4:AO$7493)</f>
        <v>0</v>
      </c>
      <c r="CD216" s="311">
        <f>SUMIF(Recibos!$D$4:$D$7493,Cobranza!$B216,Recibos!AP$4:AP$7493)</f>
        <v>0</v>
      </c>
      <c r="CE216" s="311">
        <f>SUMIF(Recibos!$D$4:$D$7493,Cobranza!$B216,Recibos!AQ$4:AQ$7493)</f>
        <v>0</v>
      </c>
      <c r="CF216" s="311">
        <f>SUMIF(Recibos!$D$4:$D$7493,Cobranza!$B216,Recibos!AR$4:AR$7493)</f>
        <v>0</v>
      </c>
      <c r="CG216" s="311">
        <f>SUMIF(Recibos!$D$4:$D$7493,Cobranza!$B216,Recibos!AS$4:AS$7493)</f>
        <v>0</v>
      </c>
      <c r="CH216" s="311">
        <f>SUMIF(Recibos!$D$4:$D$7493,Cobranza!$B216,Recibos!AT$4:AT$7493)</f>
        <v>0</v>
      </c>
      <c r="CI216" s="311">
        <f>SUMIF(Recibos!$D$4:$D$7493,Cobranza!$B216,Recibos!AU$4:AU$7493)</f>
        <v>0</v>
      </c>
      <c r="CJ216" s="311">
        <f>SUMIF(Recibos!$D$4:$D$7493,Cobranza!$B216,Recibos!AV$4:AV$7493)</f>
        <v>0</v>
      </c>
      <c r="CK216" s="312">
        <f t="shared" si="31"/>
        <v>0</v>
      </c>
    </row>
    <row r="217" spans="2:89" x14ac:dyDescent="0.2">
      <c r="B217" s="45" t="s">
        <v>1364</v>
      </c>
      <c r="C217" s="45" t="s">
        <v>1365</v>
      </c>
      <c r="D217" s="45" t="s">
        <v>1366</v>
      </c>
      <c r="E217" s="46">
        <v>0</v>
      </c>
      <c r="F217" s="46">
        <v>0</v>
      </c>
      <c r="G217" s="46">
        <v>0</v>
      </c>
      <c r="H217" s="46">
        <v>0</v>
      </c>
      <c r="I217" s="46">
        <v>0</v>
      </c>
      <c r="J217" s="46">
        <v>300</v>
      </c>
      <c r="K217" s="47">
        <f t="shared" si="32"/>
        <v>300</v>
      </c>
      <c r="L217" s="46">
        <v>300</v>
      </c>
      <c r="M217" s="46">
        <v>300</v>
      </c>
      <c r="N217" s="46">
        <v>300</v>
      </c>
      <c r="O217" s="46">
        <v>300</v>
      </c>
      <c r="P217" s="46">
        <v>0</v>
      </c>
      <c r="Q217" s="46">
        <v>300</v>
      </c>
      <c r="R217" s="46">
        <v>300</v>
      </c>
      <c r="S217" s="46">
        <v>300</v>
      </c>
      <c r="T217" s="46">
        <v>0</v>
      </c>
      <c r="U217" s="46">
        <v>600</v>
      </c>
      <c r="V217" s="46">
        <v>400</v>
      </c>
      <c r="W217" s="46">
        <v>0</v>
      </c>
      <c r="X217" s="47">
        <f t="shared" si="33"/>
        <v>3100</v>
      </c>
      <c r="Y217" s="46">
        <v>400</v>
      </c>
      <c r="Z217" s="46">
        <v>400</v>
      </c>
      <c r="AA217" s="46">
        <v>400</v>
      </c>
      <c r="AB217" s="46">
        <v>400</v>
      </c>
      <c r="AC217" s="46">
        <v>400</v>
      </c>
      <c r="AD217" s="46">
        <v>400</v>
      </c>
      <c r="AE217" s="46">
        <v>0</v>
      </c>
      <c r="AF217" s="46">
        <v>0</v>
      </c>
      <c r="AG217" s="46">
        <v>0</v>
      </c>
      <c r="AH217" s="46">
        <v>0</v>
      </c>
      <c r="AI217" s="46">
        <v>0</v>
      </c>
      <c r="AJ217" s="46">
        <v>0</v>
      </c>
      <c r="AK217" s="47">
        <f t="shared" si="34"/>
        <v>2400</v>
      </c>
      <c r="AL217" s="46">
        <v>0</v>
      </c>
      <c r="AM217" s="46">
        <v>0</v>
      </c>
      <c r="AN217" s="46">
        <v>0</v>
      </c>
      <c r="AO217" s="46">
        <v>0</v>
      </c>
      <c r="AP217" s="46">
        <v>0</v>
      </c>
      <c r="AQ217" s="46">
        <v>0</v>
      </c>
      <c r="AR217" s="46">
        <v>0</v>
      </c>
      <c r="AS217" s="46">
        <v>0</v>
      </c>
      <c r="AT217" s="46">
        <v>0</v>
      </c>
      <c r="AU217" s="46">
        <v>0</v>
      </c>
      <c r="AV217" s="46">
        <v>0</v>
      </c>
      <c r="AW217" s="46">
        <v>0</v>
      </c>
      <c r="AX217" s="47">
        <f t="shared" si="35"/>
        <v>0</v>
      </c>
      <c r="AY217" s="313">
        <f>SUMIF(Recibos!$D$4:$D$7493,Cobranza!$B217,Recibos!K$4:K$7493)</f>
        <v>0</v>
      </c>
      <c r="AZ217" s="313">
        <f>SUMIF(Recibos!$D$4:$D$7493,Cobranza!$B217,Recibos!L$4:L$7493)</f>
        <v>0</v>
      </c>
      <c r="BA217" s="313">
        <f>SUMIF(Recibos!$D$4:$D$7493,Cobranza!$B217,Recibos!M$4:M$7493)</f>
        <v>0</v>
      </c>
      <c r="BB217" s="313">
        <f>SUMIF(Recibos!$D$4:$D$7493,Cobranza!$B217,Recibos!N$4:N$7493)</f>
        <v>0</v>
      </c>
      <c r="BC217" s="313">
        <f>SUMIF(Recibos!$D$4:$D$7493,Cobranza!$B217,Recibos!O$4:O$7493)</f>
        <v>0</v>
      </c>
      <c r="BD217" s="313">
        <f>SUMIF(Recibos!$D$4:$D$7493,Cobranza!$B217,Recibos!P$4:P$7493)</f>
        <v>0</v>
      </c>
      <c r="BE217" s="313">
        <f>SUMIF(Recibos!$D$4:$D$7493,Cobranza!$B217,Recibos!Q$4:Q$7493)</f>
        <v>0</v>
      </c>
      <c r="BF217" s="313">
        <f>SUMIF(Recibos!$D$4:$D$7493,Cobranza!$B217,Recibos!R$4:R$7493)</f>
        <v>0</v>
      </c>
      <c r="BG217" s="313">
        <f>SUMIF(Recibos!$D$4:$D$7493,Cobranza!$B217,Recibos!S$4:S$7493)</f>
        <v>0</v>
      </c>
      <c r="BH217" s="313">
        <f>SUMIF(Recibos!$D$4:$D$7493,Cobranza!$B217,Recibos!T$4:T$7493)</f>
        <v>0</v>
      </c>
      <c r="BI217" s="313">
        <f>SUMIF(Recibos!$D$4:$D$7493,Cobranza!$B217,Recibos!U$4:U$7493)</f>
        <v>0</v>
      </c>
      <c r="BJ217" s="313">
        <f>SUMIF(Recibos!$D$4:$D$7493,Cobranza!$B217,Recibos!V$4:V$7493)</f>
        <v>0</v>
      </c>
      <c r="BK217" s="314">
        <f t="shared" si="36"/>
        <v>0</v>
      </c>
      <c r="BL217" s="313">
        <f>SUMIF(Recibos!$D$4:$D$7493,Cobranza!$B217,Recibos!X$4:X$7493)</f>
        <v>0</v>
      </c>
      <c r="BM217" s="313">
        <f>SUMIF(Recibos!$D$4:$D$7493,Cobranza!$B217,Recibos!Y$4:Y$7493)</f>
        <v>0</v>
      </c>
      <c r="BN217" s="313">
        <f>SUMIF(Recibos!$D$4:$D$7493,Cobranza!$B217,Recibos!Z$4:Z$7493)</f>
        <v>0</v>
      </c>
      <c r="BO217" s="313">
        <f>SUMIF(Recibos!$D$4:$D$7493,Cobranza!$B217,Recibos!AA$4:AA$7493)</f>
        <v>0</v>
      </c>
      <c r="BP217" s="313">
        <f>SUMIF(Recibos!$D$4:$D$7493,Cobranza!$B217,Recibos!AB$4:AB$7493)</f>
        <v>0</v>
      </c>
      <c r="BQ217" s="313">
        <f>SUMIF(Recibos!$D$4:$D$7493,Cobranza!$B217,Recibos!AC$4:AC$7493)</f>
        <v>0</v>
      </c>
      <c r="BR217" s="313">
        <f>SUMIF(Recibos!$D$4:$D$7493,Cobranza!$B217,Recibos!AD$4:AD$7493)</f>
        <v>0</v>
      </c>
      <c r="BS217" s="313">
        <f>SUMIF(Recibos!$D$4:$D$7493,Cobranza!$B217,Recibos!AE$4:AE$7493)</f>
        <v>0</v>
      </c>
      <c r="BT217" s="313">
        <f>SUMIF(Recibos!$D$4:$D$7493,Cobranza!$B217,Recibos!AF$4:AF$7493)</f>
        <v>0</v>
      </c>
      <c r="BU217" s="313">
        <f>SUMIF(Recibos!$D$4:$D$7493,Cobranza!$B217,Recibos!AG$4:AG$7493)</f>
        <v>0</v>
      </c>
      <c r="BV217" s="313">
        <f>SUMIF(Recibos!$D$4:$D$7493,Cobranza!$B217,Recibos!AH$4:AH$7493)</f>
        <v>0</v>
      </c>
      <c r="BW217" s="313">
        <f>SUMIF(Recibos!$D$4:$D$7493,Cobranza!$B217,Recibos!AI$4:AI$7493)</f>
        <v>250</v>
      </c>
      <c r="BX217" s="314">
        <f t="shared" si="37"/>
        <v>250</v>
      </c>
      <c r="BY217" s="313">
        <f>SUMIF(Recibos!$D$4:$D$7493,Cobranza!$B217,Recibos!AK$4:AK$7493)</f>
        <v>0</v>
      </c>
      <c r="BZ217" s="313">
        <f>SUMIF(Recibos!$D$4:$D$7493,Cobranza!$B217,Recibos!AL$4:AL$7493)</f>
        <v>0</v>
      </c>
      <c r="CA217" s="313">
        <f>SUMIF(Recibos!$D$4:$D$7493,Cobranza!$B217,Recibos!AM$4:AM$7493)</f>
        <v>0</v>
      </c>
      <c r="CB217" s="313">
        <f>SUMIF(Recibos!$D$4:$D$7493,Cobranza!$B217,Recibos!AN$4:AN$7493)</f>
        <v>0</v>
      </c>
      <c r="CC217" s="313">
        <f>SUMIF(Recibos!$D$4:$D$7493,Cobranza!$B217,Recibos!AO$4:AO$7493)</f>
        <v>150</v>
      </c>
      <c r="CD217" s="313">
        <f>SUMIF(Recibos!$D$4:$D$7493,Cobranza!$B217,Recibos!AP$4:AP$7493)</f>
        <v>150</v>
      </c>
      <c r="CE217" s="313">
        <f>SUMIF(Recibos!$D$4:$D$7493,Cobranza!$B217,Recibos!AQ$4:AQ$7493)</f>
        <v>150</v>
      </c>
      <c r="CF217" s="313">
        <f>SUMIF(Recibos!$D$4:$D$7493,Cobranza!$B217,Recibos!AR$4:AR$7493)</f>
        <v>150</v>
      </c>
      <c r="CG217" s="313">
        <f>SUMIF(Recibos!$D$4:$D$7493,Cobranza!$B217,Recibos!AS$4:AS$7493)</f>
        <v>0</v>
      </c>
      <c r="CH217" s="313">
        <f>SUMIF(Recibos!$D$4:$D$7493,Cobranza!$B217,Recibos!AT$4:AT$7493)</f>
        <v>0</v>
      </c>
      <c r="CI217" s="313">
        <f>SUMIF(Recibos!$D$4:$D$7493,Cobranza!$B217,Recibos!AU$4:AU$7493)</f>
        <v>0</v>
      </c>
      <c r="CJ217" s="313">
        <f>SUMIF(Recibos!$D$4:$D$7493,Cobranza!$B217,Recibos!AV$4:AV$7493)</f>
        <v>0</v>
      </c>
      <c r="CK217" s="314">
        <f t="shared" si="31"/>
        <v>600</v>
      </c>
    </row>
    <row r="218" spans="2:89" x14ac:dyDescent="0.2">
      <c r="B218" s="42" t="s">
        <v>1119</v>
      </c>
      <c r="C218" s="42" t="s">
        <v>1120</v>
      </c>
      <c r="D218" s="42" t="s">
        <v>1121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4">
        <f t="shared" si="32"/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0</v>
      </c>
      <c r="X218" s="44">
        <f t="shared" si="33"/>
        <v>0</v>
      </c>
      <c r="Y218" s="43">
        <v>0</v>
      </c>
      <c r="Z218" s="43">
        <v>0</v>
      </c>
      <c r="AA218" s="43">
        <v>0</v>
      </c>
      <c r="AB218" s="43">
        <v>0</v>
      </c>
      <c r="AC218" s="43">
        <v>0</v>
      </c>
      <c r="AD218" s="43">
        <v>0</v>
      </c>
      <c r="AE218" s="43">
        <v>0</v>
      </c>
      <c r="AF218" s="43">
        <v>0</v>
      </c>
      <c r="AG218" s="43">
        <v>0</v>
      </c>
      <c r="AH218" s="43">
        <v>0</v>
      </c>
      <c r="AI218" s="43">
        <v>0</v>
      </c>
      <c r="AJ218" s="43">
        <v>0</v>
      </c>
      <c r="AK218" s="44">
        <f t="shared" si="34"/>
        <v>0</v>
      </c>
      <c r="AL218" s="43">
        <v>0</v>
      </c>
      <c r="AM218" s="43">
        <v>0</v>
      </c>
      <c r="AN218" s="43">
        <v>0</v>
      </c>
      <c r="AO218" s="43">
        <v>0</v>
      </c>
      <c r="AP218" s="43">
        <v>0</v>
      </c>
      <c r="AQ218" s="43">
        <v>0</v>
      </c>
      <c r="AR218" s="43">
        <v>0</v>
      </c>
      <c r="AS218" s="43">
        <v>0</v>
      </c>
      <c r="AT218" s="43">
        <v>150</v>
      </c>
      <c r="AU218" s="43">
        <v>150</v>
      </c>
      <c r="AV218" s="43">
        <v>150</v>
      </c>
      <c r="AW218" s="43">
        <v>150</v>
      </c>
      <c r="AX218" s="44">
        <f t="shared" si="35"/>
        <v>600</v>
      </c>
      <c r="AY218" s="311">
        <f>SUMIF(Recibos!$D$4:$D$7493,Cobranza!$B218,Recibos!K$4:K$7493)</f>
        <v>0</v>
      </c>
      <c r="AZ218" s="311">
        <f>SUMIF(Recibos!$D$4:$D$7493,Cobranza!$B218,Recibos!L$4:L$7493)</f>
        <v>0</v>
      </c>
      <c r="BA218" s="311">
        <f>SUMIF(Recibos!$D$4:$D$7493,Cobranza!$B218,Recibos!M$4:M$7493)</f>
        <v>0</v>
      </c>
      <c r="BB218" s="311">
        <f>SUMIF(Recibos!$D$4:$D$7493,Cobranza!$B218,Recibos!N$4:N$7493)</f>
        <v>0</v>
      </c>
      <c r="BC218" s="311">
        <f>SUMIF(Recibos!$D$4:$D$7493,Cobranza!$B218,Recibos!O$4:O$7493)</f>
        <v>0</v>
      </c>
      <c r="BD218" s="311">
        <f>SUMIF(Recibos!$D$4:$D$7493,Cobranza!$B218,Recibos!P$4:P$7493)</f>
        <v>0</v>
      </c>
      <c r="BE218" s="311">
        <f>SUMIF(Recibos!$D$4:$D$7493,Cobranza!$B218,Recibos!Q$4:Q$7493)</f>
        <v>0</v>
      </c>
      <c r="BF218" s="311">
        <f>SUMIF(Recibos!$D$4:$D$7493,Cobranza!$B218,Recibos!R$4:R$7493)</f>
        <v>150</v>
      </c>
      <c r="BG218" s="311">
        <f>SUMIF(Recibos!$D$4:$D$7493,Cobranza!$B218,Recibos!S$4:S$7493)</f>
        <v>150</v>
      </c>
      <c r="BH218" s="311">
        <f>SUMIF(Recibos!$D$4:$D$7493,Cobranza!$B218,Recibos!T$4:T$7493)</f>
        <v>150</v>
      </c>
      <c r="BI218" s="311">
        <f>SUMIF(Recibos!$D$4:$D$7493,Cobranza!$B218,Recibos!U$4:U$7493)</f>
        <v>150</v>
      </c>
      <c r="BJ218" s="311">
        <f>SUMIF(Recibos!$D$4:$D$7493,Cobranza!$B218,Recibos!V$4:V$7493)</f>
        <v>150</v>
      </c>
      <c r="BK218" s="312">
        <f t="shared" si="36"/>
        <v>750</v>
      </c>
      <c r="BL218" s="311">
        <f>SUMIF(Recibos!$D$4:$D$7493,Cobranza!$B218,Recibos!X$4:X$7493)</f>
        <v>150</v>
      </c>
      <c r="BM218" s="311">
        <f>SUMIF(Recibos!$D$4:$D$7493,Cobranza!$B218,Recibos!Y$4:Y$7493)</f>
        <v>150</v>
      </c>
      <c r="BN218" s="311">
        <f>SUMIF(Recibos!$D$4:$D$7493,Cobranza!$B218,Recibos!Z$4:Z$7493)</f>
        <v>150</v>
      </c>
      <c r="BO218" s="311">
        <f>SUMIF(Recibos!$D$4:$D$7493,Cobranza!$B218,Recibos!AA$4:AA$7493)</f>
        <v>150</v>
      </c>
      <c r="BP218" s="311">
        <f>SUMIF(Recibos!$D$4:$D$7493,Cobranza!$B218,Recibos!AB$4:AB$7493)</f>
        <v>300</v>
      </c>
      <c r="BQ218" s="311">
        <f>SUMIF(Recibos!$D$4:$D$7493,Cobranza!$B218,Recibos!AC$4:AC$7493)</f>
        <v>300</v>
      </c>
      <c r="BR218" s="311">
        <f>SUMIF(Recibos!$D$4:$D$7493,Cobranza!$B218,Recibos!AD$4:AD$7493)</f>
        <v>300</v>
      </c>
      <c r="BS218" s="311">
        <f>SUMIF(Recibos!$D$4:$D$7493,Cobranza!$B218,Recibos!AE$4:AE$7493)</f>
        <v>300</v>
      </c>
      <c r="BT218" s="311">
        <f>SUMIF(Recibos!$D$4:$D$7493,Cobranza!$B218,Recibos!AF$4:AF$7493)</f>
        <v>0</v>
      </c>
      <c r="BU218" s="311">
        <f>SUMIF(Recibos!$D$4:$D$7493,Cobranza!$B218,Recibos!AG$4:AG$7493)</f>
        <v>0</v>
      </c>
      <c r="BV218" s="311">
        <f>SUMIF(Recibos!$D$4:$D$7493,Cobranza!$B218,Recibos!AH$4:AH$7493)</f>
        <v>0</v>
      </c>
      <c r="BW218" s="311">
        <f>SUMIF(Recibos!$D$4:$D$7493,Cobranza!$B218,Recibos!AI$4:AI$7493)</f>
        <v>0</v>
      </c>
      <c r="BX218" s="312">
        <f t="shared" si="37"/>
        <v>1800</v>
      </c>
      <c r="BY218" s="311">
        <f>SUMIF(Recibos!$D$4:$D$7493,Cobranza!$B218,Recibos!AK$4:AK$7493)</f>
        <v>150</v>
      </c>
      <c r="BZ218" s="311">
        <f>SUMIF(Recibos!$D$4:$D$7493,Cobranza!$B218,Recibos!AL$4:AL$7493)</f>
        <v>150</v>
      </c>
      <c r="CA218" s="311">
        <f>SUMIF(Recibos!$D$4:$D$7493,Cobranza!$B218,Recibos!AM$4:AM$7493)</f>
        <v>150</v>
      </c>
      <c r="CB218" s="311">
        <f>SUMIF(Recibos!$D$4:$D$7493,Cobranza!$B218,Recibos!AN$4:AN$7493)</f>
        <v>150</v>
      </c>
      <c r="CC218" s="311">
        <f>SUMIF(Recibos!$D$4:$D$7493,Cobranza!$B218,Recibos!AO$4:AO$7493)</f>
        <v>150</v>
      </c>
      <c r="CD218" s="311">
        <f>SUMIF(Recibos!$D$4:$D$7493,Cobranza!$B218,Recibos!AP$4:AP$7493)</f>
        <v>0</v>
      </c>
      <c r="CE218" s="311">
        <f>SUMIF(Recibos!$D$4:$D$7493,Cobranza!$B218,Recibos!AQ$4:AQ$7493)</f>
        <v>0</v>
      </c>
      <c r="CF218" s="311">
        <f>SUMIF(Recibos!$D$4:$D$7493,Cobranza!$B218,Recibos!AR$4:AR$7493)</f>
        <v>0</v>
      </c>
      <c r="CG218" s="311">
        <f>SUMIF(Recibos!$D$4:$D$7493,Cobranza!$B218,Recibos!AS$4:AS$7493)</f>
        <v>0</v>
      </c>
      <c r="CH218" s="311">
        <f>SUMIF(Recibos!$D$4:$D$7493,Cobranza!$B218,Recibos!AT$4:AT$7493)</f>
        <v>150</v>
      </c>
      <c r="CI218" s="311">
        <f>SUMIF(Recibos!$D$4:$D$7493,Cobranza!$B218,Recibos!AU$4:AU$7493)</f>
        <v>0</v>
      </c>
      <c r="CJ218" s="311">
        <f>SUMIF(Recibos!$D$4:$D$7493,Cobranza!$B218,Recibos!AV$4:AV$7493)</f>
        <v>0</v>
      </c>
      <c r="CK218" s="312">
        <f t="shared" si="31"/>
        <v>900</v>
      </c>
    </row>
    <row r="219" spans="2:89" x14ac:dyDescent="0.2">
      <c r="B219" s="45" t="s">
        <v>1367</v>
      </c>
      <c r="C219" s="45" t="s">
        <v>1368</v>
      </c>
      <c r="D219" s="45" t="s">
        <v>1369</v>
      </c>
      <c r="E219" s="46">
        <v>0</v>
      </c>
      <c r="F219" s="46">
        <v>0</v>
      </c>
      <c r="G219" s="46">
        <v>0</v>
      </c>
      <c r="H219" s="46">
        <v>0</v>
      </c>
      <c r="I219" s="46">
        <v>0</v>
      </c>
      <c r="J219" s="46">
        <v>0</v>
      </c>
      <c r="K219" s="47">
        <f t="shared" si="32"/>
        <v>0</v>
      </c>
      <c r="L219" s="46">
        <v>0</v>
      </c>
      <c r="M219" s="46">
        <v>0</v>
      </c>
      <c r="N219" s="46">
        <v>0</v>
      </c>
      <c r="O219" s="46">
        <v>0</v>
      </c>
      <c r="P219" s="46">
        <v>0</v>
      </c>
      <c r="Q219" s="46">
        <v>0</v>
      </c>
      <c r="R219" s="46">
        <v>0</v>
      </c>
      <c r="S219" s="46">
        <v>0</v>
      </c>
      <c r="T219" s="46">
        <v>0</v>
      </c>
      <c r="U219" s="46">
        <v>0</v>
      </c>
      <c r="V219" s="46">
        <v>0</v>
      </c>
      <c r="W219" s="46">
        <v>0</v>
      </c>
      <c r="X219" s="47">
        <f t="shared" si="33"/>
        <v>0</v>
      </c>
      <c r="Y219" s="46">
        <v>400</v>
      </c>
      <c r="Z219" s="46">
        <v>400</v>
      </c>
      <c r="AA219" s="46">
        <v>0</v>
      </c>
      <c r="AB219" s="46">
        <v>0</v>
      </c>
      <c r="AC219" s="46">
        <v>0</v>
      </c>
      <c r="AD219" s="46">
        <v>0</v>
      </c>
      <c r="AE219" s="46">
        <v>0</v>
      </c>
      <c r="AF219" s="46">
        <v>0</v>
      </c>
      <c r="AG219" s="46">
        <v>0</v>
      </c>
      <c r="AH219" s="46">
        <v>0</v>
      </c>
      <c r="AI219" s="46">
        <v>0</v>
      </c>
      <c r="AJ219" s="46">
        <v>0</v>
      </c>
      <c r="AK219" s="47">
        <f t="shared" si="34"/>
        <v>800</v>
      </c>
      <c r="AL219" s="46">
        <v>0</v>
      </c>
      <c r="AM219" s="46">
        <v>0</v>
      </c>
      <c r="AN219" s="46">
        <v>0</v>
      </c>
      <c r="AO219" s="46">
        <v>0</v>
      </c>
      <c r="AP219" s="46">
        <v>0</v>
      </c>
      <c r="AQ219" s="46">
        <v>0</v>
      </c>
      <c r="AR219" s="46">
        <v>0</v>
      </c>
      <c r="AS219" s="46">
        <v>0</v>
      </c>
      <c r="AT219" s="46">
        <v>0</v>
      </c>
      <c r="AU219" s="46">
        <v>0</v>
      </c>
      <c r="AV219" s="46">
        <v>0</v>
      </c>
      <c r="AW219" s="46">
        <v>0</v>
      </c>
      <c r="AX219" s="47">
        <f t="shared" si="35"/>
        <v>0</v>
      </c>
      <c r="AY219" s="313">
        <f>SUMIF(Recibos!$D$4:$D$7493,Cobranza!$B219,Recibos!K$4:K$7493)</f>
        <v>0</v>
      </c>
      <c r="AZ219" s="313">
        <f>SUMIF(Recibos!$D$4:$D$7493,Cobranza!$B219,Recibos!L$4:L$7493)</f>
        <v>0</v>
      </c>
      <c r="BA219" s="313">
        <f>SUMIF(Recibos!$D$4:$D$7493,Cobranza!$B219,Recibos!M$4:M$7493)</f>
        <v>0</v>
      </c>
      <c r="BB219" s="313">
        <f>SUMIF(Recibos!$D$4:$D$7493,Cobranza!$B219,Recibos!N$4:N$7493)</f>
        <v>0</v>
      </c>
      <c r="BC219" s="313">
        <f>SUMIF(Recibos!$D$4:$D$7493,Cobranza!$B219,Recibos!O$4:O$7493)</f>
        <v>0</v>
      </c>
      <c r="BD219" s="313">
        <f>SUMIF(Recibos!$D$4:$D$7493,Cobranza!$B219,Recibos!P$4:P$7493)</f>
        <v>0</v>
      </c>
      <c r="BE219" s="313">
        <f>SUMIF(Recibos!$D$4:$D$7493,Cobranza!$B219,Recibos!Q$4:Q$7493)</f>
        <v>0</v>
      </c>
      <c r="BF219" s="313">
        <f>SUMIF(Recibos!$D$4:$D$7493,Cobranza!$B219,Recibos!R$4:R$7493)</f>
        <v>0</v>
      </c>
      <c r="BG219" s="313">
        <f>SUMIF(Recibos!$D$4:$D$7493,Cobranza!$B219,Recibos!S$4:S$7493)</f>
        <v>0</v>
      </c>
      <c r="BH219" s="313">
        <f>SUMIF(Recibos!$D$4:$D$7493,Cobranza!$B219,Recibos!T$4:T$7493)</f>
        <v>0</v>
      </c>
      <c r="BI219" s="313">
        <f>SUMIF(Recibos!$D$4:$D$7493,Cobranza!$B219,Recibos!U$4:U$7493)</f>
        <v>0</v>
      </c>
      <c r="BJ219" s="313">
        <f>SUMIF(Recibos!$D$4:$D$7493,Cobranza!$B219,Recibos!V$4:V$7493)</f>
        <v>0</v>
      </c>
      <c r="BK219" s="314">
        <f t="shared" si="36"/>
        <v>0</v>
      </c>
      <c r="BL219" s="313">
        <f>SUMIF(Recibos!$D$4:$D$7493,Cobranza!$B219,Recibos!X$4:X$7493)</f>
        <v>0</v>
      </c>
      <c r="BM219" s="313">
        <f>SUMIF(Recibos!$D$4:$D$7493,Cobranza!$B219,Recibos!Y$4:Y$7493)</f>
        <v>0</v>
      </c>
      <c r="BN219" s="313">
        <f>SUMIF(Recibos!$D$4:$D$7493,Cobranza!$B219,Recibos!Z$4:Z$7493)</f>
        <v>0</v>
      </c>
      <c r="BO219" s="313">
        <f>SUMIF(Recibos!$D$4:$D$7493,Cobranza!$B219,Recibos!AA$4:AA$7493)</f>
        <v>0</v>
      </c>
      <c r="BP219" s="313">
        <f>SUMIF(Recibos!$D$4:$D$7493,Cobranza!$B219,Recibos!AB$4:AB$7493)</f>
        <v>0</v>
      </c>
      <c r="BQ219" s="313">
        <f>SUMIF(Recibos!$D$4:$D$7493,Cobranza!$B219,Recibos!AC$4:AC$7493)</f>
        <v>0</v>
      </c>
      <c r="BR219" s="313">
        <f>SUMIF(Recibos!$D$4:$D$7493,Cobranza!$B219,Recibos!AD$4:AD$7493)</f>
        <v>0</v>
      </c>
      <c r="BS219" s="313">
        <f>SUMIF(Recibos!$D$4:$D$7493,Cobranza!$B219,Recibos!AE$4:AE$7493)</f>
        <v>0</v>
      </c>
      <c r="BT219" s="313">
        <f>SUMIF(Recibos!$D$4:$D$7493,Cobranza!$B219,Recibos!AF$4:AF$7493)</f>
        <v>0</v>
      </c>
      <c r="BU219" s="313">
        <f>SUMIF(Recibos!$D$4:$D$7493,Cobranza!$B219,Recibos!AG$4:AG$7493)</f>
        <v>0</v>
      </c>
      <c r="BV219" s="313">
        <f>SUMIF(Recibos!$D$4:$D$7493,Cobranza!$B219,Recibos!AH$4:AH$7493)</f>
        <v>0</v>
      </c>
      <c r="BW219" s="313">
        <f>SUMIF(Recibos!$D$4:$D$7493,Cobranza!$B219,Recibos!AI$4:AI$7493)</f>
        <v>0</v>
      </c>
      <c r="BX219" s="314">
        <f t="shared" si="37"/>
        <v>0</v>
      </c>
      <c r="BY219" s="313">
        <f>SUMIF(Recibos!$D$4:$D$7493,Cobranza!$B219,Recibos!AK$4:AK$7493)</f>
        <v>0</v>
      </c>
      <c r="BZ219" s="313">
        <f>SUMIF(Recibos!$D$4:$D$7493,Cobranza!$B219,Recibos!AL$4:AL$7493)</f>
        <v>0</v>
      </c>
      <c r="CA219" s="313">
        <f>SUMIF(Recibos!$D$4:$D$7493,Cobranza!$B219,Recibos!AM$4:AM$7493)</f>
        <v>0</v>
      </c>
      <c r="CB219" s="313">
        <f>SUMIF(Recibos!$D$4:$D$7493,Cobranza!$B219,Recibos!AN$4:AN$7493)</f>
        <v>0</v>
      </c>
      <c r="CC219" s="313">
        <f>SUMIF(Recibos!$D$4:$D$7493,Cobranza!$B219,Recibos!AO$4:AO$7493)</f>
        <v>0</v>
      </c>
      <c r="CD219" s="313">
        <f>SUMIF(Recibos!$D$4:$D$7493,Cobranza!$B219,Recibos!AP$4:AP$7493)</f>
        <v>0</v>
      </c>
      <c r="CE219" s="313">
        <f>SUMIF(Recibos!$D$4:$D$7493,Cobranza!$B219,Recibos!AQ$4:AQ$7493)</f>
        <v>0</v>
      </c>
      <c r="CF219" s="313">
        <f>SUMIF(Recibos!$D$4:$D$7493,Cobranza!$B219,Recibos!AR$4:AR$7493)</f>
        <v>0</v>
      </c>
      <c r="CG219" s="313">
        <f>SUMIF(Recibos!$D$4:$D$7493,Cobranza!$B219,Recibos!AS$4:AS$7493)</f>
        <v>0</v>
      </c>
      <c r="CH219" s="313">
        <f>SUMIF(Recibos!$D$4:$D$7493,Cobranza!$B219,Recibos!AT$4:AT$7493)</f>
        <v>0</v>
      </c>
      <c r="CI219" s="313">
        <f>SUMIF(Recibos!$D$4:$D$7493,Cobranza!$B219,Recibos!AU$4:AU$7493)</f>
        <v>0</v>
      </c>
      <c r="CJ219" s="313">
        <f>SUMIF(Recibos!$D$4:$D$7493,Cobranza!$B219,Recibos!AV$4:AV$7493)</f>
        <v>0</v>
      </c>
      <c r="CK219" s="314">
        <f t="shared" si="31"/>
        <v>0</v>
      </c>
    </row>
    <row r="220" spans="2:89" x14ac:dyDescent="0.2">
      <c r="B220" s="42" t="s">
        <v>1160</v>
      </c>
      <c r="C220" s="42" t="s">
        <v>1161</v>
      </c>
      <c r="D220" s="42" t="s">
        <v>1162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4">
        <f t="shared" si="32"/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4">
        <f t="shared" si="33"/>
        <v>0</v>
      </c>
      <c r="Y220" s="43">
        <v>0</v>
      </c>
      <c r="Z220" s="43">
        <v>0</v>
      </c>
      <c r="AA220" s="43">
        <v>0</v>
      </c>
      <c r="AB220" s="43">
        <v>0</v>
      </c>
      <c r="AC220" s="43">
        <v>0</v>
      </c>
      <c r="AD220" s="43">
        <v>0</v>
      </c>
      <c r="AE220" s="43">
        <v>0</v>
      </c>
      <c r="AF220" s="43">
        <v>0</v>
      </c>
      <c r="AG220" s="43">
        <v>0</v>
      </c>
      <c r="AH220" s="43">
        <v>0</v>
      </c>
      <c r="AI220" s="43">
        <v>0</v>
      </c>
      <c r="AJ220" s="43">
        <v>0</v>
      </c>
      <c r="AK220" s="44">
        <f t="shared" si="34"/>
        <v>0</v>
      </c>
      <c r="AL220" s="43">
        <v>0</v>
      </c>
      <c r="AM220" s="43">
        <v>0</v>
      </c>
      <c r="AN220" s="43">
        <v>0</v>
      </c>
      <c r="AO220" s="43">
        <v>0</v>
      </c>
      <c r="AP220" s="43">
        <v>0</v>
      </c>
      <c r="AQ220" s="43">
        <v>0</v>
      </c>
      <c r="AR220" s="43">
        <v>0</v>
      </c>
      <c r="AS220" s="43">
        <v>0</v>
      </c>
      <c r="AT220" s="43">
        <v>0</v>
      </c>
      <c r="AU220" s="43">
        <v>0</v>
      </c>
      <c r="AV220" s="43">
        <v>0</v>
      </c>
      <c r="AW220" s="43">
        <v>0</v>
      </c>
      <c r="AX220" s="44">
        <f t="shared" si="35"/>
        <v>0</v>
      </c>
      <c r="AY220" s="311">
        <f>SUMIF(Recibos!$D$4:$D$7493,Cobranza!$B220,Recibos!K$4:K$7493)</f>
        <v>0</v>
      </c>
      <c r="AZ220" s="311">
        <f>SUMIF(Recibos!$D$4:$D$7493,Cobranza!$B220,Recibos!L$4:L$7493)</f>
        <v>0</v>
      </c>
      <c r="BA220" s="311">
        <f>SUMIF(Recibos!$D$4:$D$7493,Cobranza!$B220,Recibos!M$4:M$7493)</f>
        <v>0</v>
      </c>
      <c r="BB220" s="311">
        <f>SUMIF(Recibos!$D$4:$D$7493,Cobranza!$B220,Recibos!N$4:N$7493)</f>
        <v>0</v>
      </c>
      <c r="BC220" s="311">
        <f>SUMIF(Recibos!$D$4:$D$7493,Cobranza!$B220,Recibos!O$4:O$7493)</f>
        <v>0</v>
      </c>
      <c r="BD220" s="311">
        <f>SUMIF(Recibos!$D$4:$D$7493,Cobranza!$B220,Recibos!P$4:P$7493)</f>
        <v>0</v>
      </c>
      <c r="BE220" s="311">
        <f>SUMIF(Recibos!$D$4:$D$7493,Cobranza!$B220,Recibos!Q$4:Q$7493)</f>
        <v>0</v>
      </c>
      <c r="BF220" s="311">
        <f>SUMIF(Recibos!$D$4:$D$7493,Cobranza!$B220,Recibos!R$4:R$7493)</f>
        <v>200</v>
      </c>
      <c r="BG220" s="311">
        <f>SUMIF(Recibos!$D$4:$D$7493,Cobranza!$B220,Recibos!S$4:S$7493)</f>
        <v>200</v>
      </c>
      <c r="BH220" s="311">
        <f>SUMIF(Recibos!$D$4:$D$7493,Cobranza!$B220,Recibos!T$4:T$7493)</f>
        <v>200</v>
      </c>
      <c r="BI220" s="311">
        <f>SUMIF(Recibos!$D$4:$D$7493,Cobranza!$B220,Recibos!U$4:U$7493)</f>
        <v>200</v>
      </c>
      <c r="BJ220" s="311">
        <f>SUMIF(Recibos!$D$4:$D$7493,Cobranza!$B220,Recibos!V$4:V$7493)</f>
        <v>200</v>
      </c>
      <c r="BK220" s="312">
        <f t="shared" si="36"/>
        <v>1000</v>
      </c>
      <c r="BL220" s="311">
        <f>SUMIF(Recibos!$D$4:$D$7493,Cobranza!$B220,Recibos!X$4:X$7493)</f>
        <v>0</v>
      </c>
      <c r="BM220" s="311">
        <f>SUMIF(Recibos!$D$4:$D$7493,Cobranza!$B220,Recibos!Y$4:Y$7493)</f>
        <v>0</v>
      </c>
      <c r="BN220" s="311">
        <f>SUMIF(Recibos!$D$4:$D$7493,Cobranza!$B220,Recibos!Z$4:Z$7493)</f>
        <v>0</v>
      </c>
      <c r="BO220" s="311">
        <f>SUMIF(Recibos!$D$4:$D$7493,Cobranza!$B220,Recibos!AA$4:AA$7493)</f>
        <v>0</v>
      </c>
      <c r="BP220" s="311">
        <f>SUMIF(Recibos!$D$4:$D$7493,Cobranza!$B220,Recibos!AB$4:AB$7493)</f>
        <v>0</v>
      </c>
      <c r="BQ220" s="311">
        <f>SUMIF(Recibos!$D$4:$D$7493,Cobranza!$B220,Recibos!AC$4:AC$7493)</f>
        <v>0</v>
      </c>
      <c r="BR220" s="311">
        <f>SUMIF(Recibos!$D$4:$D$7493,Cobranza!$B220,Recibos!AD$4:AD$7493)</f>
        <v>0</v>
      </c>
      <c r="BS220" s="311">
        <f>SUMIF(Recibos!$D$4:$D$7493,Cobranza!$B220,Recibos!AE$4:AE$7493)</f>
        <v>0</v>
      </c>
      <c r="BT220" s="311">
        <f>SUMIF(Recibos!$D$4:$D$7493,Cobranza!$B220,Recibos!AF$4:AF$7493)</f>
        <v>0</v>
      </c>
      <c r="BU220" s="311">
        <f>SUMIF(Recibos!$D$4:$D$7493,Cobranza!$B220,Recibos!AG$4:AG$7493)</f>
        <v>0</v>
      </c>
      <c r="BV220" s="311">
        <f>SUMIF(Recibos!$D$4:$D$7493,Cobranza!$B220,Recibos!AH$4:AH$7493)</f>
        <v>0</v>
      </c>
      <c r="BW220" s="311">
        <f>SUMIF(Recibos!$D$4:$D$7493,Cobranza!$B220,Recibos!AI$4:AI$7493)</f>
        <v>0</v>
      </c>
      <c r="BX220" s="312">
        <f t="shared" si="37"/>
        <v>0</v>
      </c>
      <c r="BY220" s="311">
        <f>SUMIF(Recibos!$D$4:$D$7493,Cobranza!$B220,Recibos!AK$4:AK$7493)</f>
        <v>0</v>
      </c>
      <c r="BZ220" s="311">
        <f>SUMIF(Recibos!$D$4:$D$7493,Cobranza!$B220,Recibos!AL$4:AL$7493)</f>
        <v>0</v>
      </c>
      <c r="CA220" s="311">
        <f>SUMIF(Recibos!$D$4:$D$7493,Cobranza!$B220,Recibos!AM$4:AM$7493)</f>
        <v>0</v>
      </c>
      <c r="CB220" s="311">
        <f>SUMIF(Recibos!$D$4:$D$7493,Cobranza!$B220,Recibos!AN$4:AN$7493)</f>
        <v>0</v>
      </c>
      <c r="CC220" s="311">
        <f>SUMIF(Recibos!$D$4:$D$7493,Cobranza!$B220,Recibos!AO$4:AO$7493)</f>
        <v>0</v>
      </c>
      <c r="CD220" s="311">
        <f>SUMIF(Recibos!$D$4:$D$7493,Cobranza!$B220,Recibos!AP$4:AP$7493)</f>
        <v>0</v>
      </c>
      <c r="CE220" s="311">
        <f>SUMIF(Recibos!$D$4:$D$7493,Cobranza!$B220,Recibos!AQ$4:AQ$7493)</f>
        <v>0</v>
      </c>
      <c r="CF220" s="311">
        <f>SUMIF(Recibos!$D$4:$D$7493,Cobranza!$B220,Recibos!AR$4:AR$7493)</f>
        <v>0</v>
      </c>
      <c r="CG220" s="311">
        <f>SUMIF(Recibos!$D$4:$D$7493,Cobranza!$B220,Recibos!AS$4:AS$7493)</f>
        <v>0</v>
      </c>
      <c r="CH220" s="311">
        <f>SUMIF(Recibos!$D$4:$D$7493,Cobranza!$B220,Recibos!AT$4:AT$7493)</f>
        <v>0</v>
      </c>
      <c r="CI220" s="311">
        <f>SUMIF(Recibos!$D$4:$D$7493,Cobranza!$B220,Recibos!AU$4:AU$7493)</f>
        <v>0</v>
      </c>
      <c r="CJ220" s="311">
        <f>SUMIF(Recibos!$D$4:$D$7493,Cobranza!$B220,Recibos!AV$4:AV$7493)</f>
        <v>0</v>
      </c>
      <c r="CK220" s="312">
        <f t="shared" si="31"/>
        <v>0</v>
      </c>
    </row>
    <row r="221" spans="2:89" x14ac:dyDescent="0.2">
      <c r="B221" s="45" t="s">
        <v>1370</v>
      </c>
      <c r="C221" s="45" t="s">
        <v>1371</v>
      </c>
      <c r="D221" s="45" t="s">
        <v>1372</v>
      </c>
      <c r="E221" s="46">
        <v>0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7">
        <f t="shared" si="32"/>
        <v>0</v>
      </c>
      <c r="L221" s="46">
        <v>1000</v>
      </c>
      <c r="M221" s="46">
        <v>1000</v>
      </c>
      <c r="N221" s="46">
        <v>1000</v>
      </c>
      <c r="O221" s="46">
        <v>1000</v>
      </c>
      <c r="P221" s="46">
        <v>1000</v>
      </c>
      <c r="Q221" s="46">
        <v>1000</v>
      </c>
      <c r="R221" s="46">
        <v>1000</v>
      </c>
      <c r="S221" s="46">
        <v>1000</v>
      </c>
      <c r="T221" s="46">
        <v>0</v>
      </c>
      <c r="U221" s="46">
        <v>0</v>
      </c>
      <c r="V221" s="46">
        <v>0</v>
      </c>
      <c r="W221" s="46">
        <v>0</v>
      </c>
      <c r="X221" s="47">
        <f t="shared" si="33"/>
        <v>8000</v>
      </c>
      <c r="Y221" s="46">
        <v>0</v>
      </c>
      <c r="Z221" s="46">
        <v>0</v>
      </c>
      <c r="AA221" s="46">
        <v>0</v>
      </c>
      <c r="AB221" s="46">
        <v>0</v>
      </c>
      <c r="AC221" s="46">
        <v>0</v>
      </c>
      <c r="AD221" s="46">
        <v>0</v>
      </c>
      <c r="AE221" s="46">
        <v>0</v>
      </c>
      <c r="AF221" s="46">
        <v>0</v>
      </c>
      <c r="AG221" s="46">
        <v>0</v>
      </c>
      <c r="AH221" s="46">
        <v>0</v>
      </c>
      <c r="AI221" s="46">
        <v>0</v>
      </c>
      <c r="AJ221" s="46">
        <v>0</v>
      </c>
      <c r="AK221" s="47">
        <f t="shared" si="34"/>
        <v>0</v>
      </c>
      <c r="AL221" s="46">
        <v>0</v>
      </c>
      <c r="AM221" s="46">
        <v>0</v>
      </c>
      <c r="AN221" s="46">
        <v>0</v>
      </c>
      <c r="AO221" s="46">
        <v>0</v>
      </c>
      <c r="AP221" s="46">
        <v>0</v>
      </c>
      <c r="AQ221" s="46">
        <v>0</v>
      </c>
      <c r="AR221" s="46">
        <v>0</v>
      </c>
      <c r="AS221" s="46">
        <v>0</v>
      </c>
      <c r="AT221" s="46">
        <v>0</v>
      </c>
      <c r="AU221" s="46">
        <v>0</v>
      </c>
      <c r="AV221" s="46">
        <v>0</v>
      </c>
      <c r="AW221" s="46">
        <v>0</v>
      </c>
      <c r="AX221" s="47">
        <f t="shared" si="35"/>
        <v>0</v>
      </c>
      <c r="AY221" s="313">
        <f>SUMIF(Recibos!$D$4:$D$7493,Cobranza!$B221,Recibos!K$4:K$7493)</f>
        <v>0</v>
      </c>
      <c r="AZ221" s="313">
        <f>SUMIF(Recibos!$D$4:$D$7493,Cobranza!$B221,Recibos!L$4:L$7493)</f>
        <v>0</v>
      </c>
      <c r="BA221" s="313">
        <f>SUMIF(Recibos!$D$4:$D$7493,Cobranza!$B221,Recibos!M$4:M$7493)</f>
        <v>0</v>
      </c>
      <c r="BB221" s="313">
        <f>SUMIF(Recibos!$D$4:$D$7493,Cobranza!$B221,Recibos!N$4:N$7493)</f>
        <v>0</v>
      </c>
      <c r="BC221" s="313">
        <f>SUMIF(Recibos!$D$4:$D$7493,Cobranza!$B221,Recibos!O$4:O$7493)</f>
        <v>0</v>
      </c>
      <c r="BD221" s="313">
        <f>SUMIF(Recibos!$D$4:$D$7493,Cobranza!$B221,Recibos!P$4:P$7493)</f>
        <v>0</v>
      </c>
      <c r="BE221" s="313">
        <f>SUMIF(Recibos!$D$4:$D$7493,Cobranza!$B221,Recibos!Q$4:Q$7493)</f>
        <v>0</v>
      </c>
      <c r="BF221" s="313">
        <f>SUMIF(Recibos!$D$4:$D$7493,Cobranza!$B221,Recibos!R$4:R$7493)</f>
        <v>0</v>
      </c>
      <c r="BG221" s="313">
        <f>SUMIF(Recibos!$D$4:$D$7493,Cobranza!$B221,Recibos!S$4:S$7493)</f>
        <v>0</v>
      </c>
      <c r="BH221" s="313">
        <f>SUMIF(Recibos!$D$4:$D$7493,Cobranza!$B221,Recibos!T$4:T$7493)</f>
        <v>0</v>
      </c>
      <c r="BI221" s="313">
        <f>SUMIF(Recibos!$D$4:$D$7493,Cobranza!$B221,Recibos!U$4:U$7493)</f>
        <v>0</v>
      </c>
      <c r="BJ221" s="313">
        <f>SUMIF(Recibos!$D$4:$D$7493,Cobranza!$B221,Recibos!V$4:V$7493)</f>
        <v>0</v>
      </c>
      <c r="BK221" s="314">
        <f t="shared" si="36"/>
        <v>0</v>
      </c>
      <c r="BL221" s="313">
        <f>SUMIF(Recibos!$D$4:$D$7493,Cobranza!$B221,Recibos!X$4:X$7493)</f>
        <v>0</v>
      </c>
      <c r="BM221" s="313">
        <f>SUMIF(Recibos!$D$4:$D$7493,Cobranza!$B221,Recibos!Y$4:Y$7493)</f>
        <v>0</v>
      </c>
      <c r="BN221" s="313">
        <f>SUMIF(Recibos!$D$4:$D$7493,Cobranza!$B221,Recibos!Z$4:Z$7493)</f>
        <v>0</v>
      </c>
      <c r="BO221" s="313">
        <f>SUMIF(Recibos!$D$4:$D$7493,Cobranza!$B221,Recibos!AA$4:AA$7493)</f>
        <v>0</v>
      </c>
      <c r="BP221" s="313">
        <f>SUMIF(Recibos!$D$4:$D$7493,Cobranza!$B221,Recibos!AB$4:AB$7493)</f>
        <v>0</v>
      </c>
      <c r="BQ221" s="313">
        <f>SUMIF(Recibos!$D$4:$D$7493,Cobranza!$B221,Recibos!AC$4:AC$7493)</f>
        <v>0</v>
      </c>
      <c r="BR221" s="313">
        <f>SUMIF(Recibos!$D$4:$D$7493,Cobranza!$B221,Recibos!AD$4:AD$7493)</f>
        <v>0</v>
      </c>
      <c r="BS221" s="313">
        <f>SUMIF(Recibos!$D$4:$D$7493,Cobranza!$B221,Recibos!AE$4:AE$7493)</f>
        <v>0</v>
      </c>
      <c r="BT221" s="313">
        <f>SUMIF(Recibos!$D$4:$D$7493,Cobranza!$B221,Recibos!AF$4:AF$7493)</f>
        <v>0</v>
      </c>
      <c r="BU221" s="313">
        <f>SUMIF(Recibos!$D$4:$D$7493,Cobranza!$B221,Recibos!AG$4:AG$7493)</f>
        <v>0</v>
      </c>
      <c r="BV221" s="313">
        <f>SUMIF(Recibos!$D$4:$D$7493,Cobranza!$B221,Recibos!AH$4:AH$7493)</f>
        <v>0</v>
      </c>
      <c r="BW221" s="313">
        <f>SUMIF(Recibos!$D$4:$D$7493,Cobranza!$B221,Recibos!AI$4:AI$7493)</f>
        <v>0</v>
      </c>
      <c r="BX221" s="314">
        <f t="shared" si="37"/>
        <v>0</v>
      </c>
      <c r="BY221" s="313">
        <f>SUMIF(Recibos!$D$4:$D$7493,Cobranza!$B221,Recibos!AK$4:AK$7493)</f>
        <v>0</v>
      </c>
      <c r="BZ221" s="313">
        <f>SUMIF(Recibos!$D$4:$D$7493,Cobranza!$B221,Recibos!AL$4:AL$7493)</f>
        <v>0</v>
      </c>
      <c r="CA221" s="313">
        <f>SUMIF(Recibos!$D$4:$D$7493,Cobranza!$B221,Recibos!AM$4:AM$7493)</f>
        <v>0</v>
      </c>
      <c r="CB221" s="313">
        <f>SUMIF(Recibos!$D$4:$D$7493,Cobranza!$B221,Recibos!AN$4:AN$7493)</f>
        <v>0</v>
      </c>
      <c r="CC221" s="313">
        <f>SUMIF(Recibos!$D$4:$D$7493,Cobranza!$B221,Recibos!AO$4:AO$7493)</f>
        <v>0</v>
      </c>
      <c r="CD221" s="313">
        <f>SUMIF(Recibos!$D$4:$D$7493,Cobranza!$B221,Recibos!AP$4:AP$7493)</f>
        <v>0</v>
      </c>
      <c r="CE221" s="313">
        <f>SUMIF(Recibos!$D$4:$D$7493,Cobranza!$B221,Recibos!AQ$4:AQ$7493)</f>
        <v>0</v>
      </c>
      <c r="CF221" s="313">
        <f>SUMIF(Recibos!$D$4:$D$7493,Cobranza!$B221,Recibos!AR$4:AR$7493)</f>
        <v>0</v>
      </c>
      <c r="CG221" s="313">
        <f>SUMIF(Recibos!$D$4:$D$7493,Cobranza!$B221,Recibos!AS$4:AS$7493)</f>
        <v>0</v>
      </c>
      <c r="CH221" s="313">
        <f>SUMIF(Recibos!$D$4:$D$7493,Cobranza!$B221,Recibos!AT$4:AT$7493)</f>
        <v>0</v>
      </c>
      <c r="CI221" s="313">
        <f>SUMIF(Recibos!$D$4:$D$7493,Cobranza!$B221,Recibos!AU$4:AU$7493)</f>
        <v>0</v>
      </c>
      <c r="CJ221" s="313">
        <f>SUMIF(Recibos!$D$4:$D$7493,Cobranza!$B221,Recibos!AV$4:AV$7493)</f>
        <v>0</v>
      </c>
      <c r="CK221" s="314">
        <f t="shared" si="31"/>
        <v>0</v>
      </c>
    </row>
    <row r="222" spans="2:89" x14ac:dyDescent="0.2">
      <c r="B222" s="42" t="s">
        <v>1373</v>
      </c>
      <c r="C222" s="42" t="s">
        <v>1374</v>
      </c>
      <c r="D222" s="42" t="s">
        <v>1375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4">
        <f t="shared" si="32"/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  <c r="V222" s="43">
        <v>0</v>
      </c>
      <c r="W222" s="43">
        <v>0</v>
      </c>
      <c r="X222" s="44">
        <f t="shared" si="33"/>
        <v>0</v>
      </c>
      <c r="Y222" s="43">
        <v>0</v>
      </c>
      <c r="Z222" s="43">
        <v>0</v>
      </c>
      <c r="AA222" s="43">
        <v>0</v>
      </c>
      <c r="AB222" s="43">
        <v>0</v>
      </c>
      <c r="AC222" s="43">
        <v>0</v>
      </c>
      <c r="AD222" s="43">
        <v>0</v>
      </c>
      <c r="AE222" s="43">
        <v>0</v>
      </c>
      <c r="AF222" s="43">
        <v>0</v>
      </c>
      <c r="AG222" s="43">
        <v>0</v>
      </c>
      <c r="AH222" s="43">
        <v>0</v>
      </c>
      <c r="AI222" s="43">
        <v>0</v>
      </c>
      <c r="AJ222" s="43">
        <v>0</v>
      </c>
      <c r="AK222" s="44">
        <f t="shared" si="34"/>
        <v>0</v>
      </c>
      <c r="AL222" s="43">
        <v>0</v>
      </c>
      <c r="AM222" s="43">
        <v>0</v>
      </c>
      <c r="AN222" s="43">
        <v>0</v>
      </c>
      <c r="AO222" s="43">
        <v>0</v>
      </c>
      <c r="AP222" s="43">
        <v>0</v>
      </c>
      <c r="AQ222" s="43">
        <v>0</v>
      </c>
      <c r="AR222" s="43">
        <v>0</v>
      </c>
      <c r="AS222" s="43">
        <v>0</v>
      </c>
      <c r="AT222" s="43">
        <v>0</v>
      </c>
      <c r="AU222" s="43">
        <v>0</v>
      </c>
      <c r="AV222" s="43">
        <v>0</v>
      </c>
      <c r="AW222" s="43">
        <v>0</v>
      </c>
      <c r="AX222" s="44">
        <f t="shared" si="35"/>
        <v>0</v>
      </c>
      <c r="AY222" s="311">
        <f>SUMIF(Recibos!$D$4:$D$7493,Cobranza!$B222,Recibos!K$4:K$7493)</f>
        <v>0</v>
      </c>
      <c r="AZ222" s="311">
        <f>SUMIF(Recibos!$D$4:$D$7493,Cobranza!$B222,Recibos!L$4:L$7493)</f>
        <v>0</v>
      </c>
      <c r="BA222" s="311">
        <f>SUMIF(Recibos!$D$4:$D$7493,Cobranza!$B222,Recibos!M$4:M$7493)</f>
        <v>0</v>
      </c>
      <c r="BB222" s="311">
        <f>SUMIF(Recibos!$D$4:$D$7493,Cobranza!$B222,Recibos!N$4:N$7493)</f>
        <v>0</v>
      </c>
      <c r="BC222" s="311">
        <f>SUMIF(Recibos!$D$4:$D$7493,Cobranza!$B222,Recibos!O$4:O$7493)</f>
        <v>0</v>
      </c>
      <c r="BD222" s="311">
        <f>SUMIF(Recibos!$D$4:$D$7493,Cobranza!$B222,Recibos!P$4:P$7493)</f>
        <v>0</v>
      </c>
      <c r="BE222" s="311">
        <f>SUMIF(Recibos!$D$4:$D$7493,Cobranza!$B222,Recibos!Q$4:Q$7493)</f>
        <v>0</v>
      </c>
      <c r="BF222" s="311">
        <f>SUMIF(Recibos!$D$4:$D$7493,Cobranza!$B222,Recibos!R$4:R$7493)</f>
        <v>0</v>
      </c>
      <c r="BG222" s="311">
        <f>SUMIF(Recibos!$D$4:$D$7493,Cobranza!$B222,Recibos!S$4:S$7493)</f>
        <v>0</v>
      </c>
      <c r="BH222" s="311">
        <f>SUMIF(Recibos!$D$4:$D$7493,Cobranza!$B222,Recibos!T$4:T$7493)</f>
        <v>0</v>
      </c>
      <c r="BI222" s="311">
        <f>SUMIF(Recibos!$D$4:$D$7493,Cobranza!$B222,Recibos!U$4:U$7493)</f>
        <v>0</v>
      </c>
      <c r="BJ222" s="311">
        <f>SUMIF(Recibos!$D$4:$D$7493,Cobranza!$B222,Recibos!V$4:V$7493)</f>
        <v>0</v>
      </c>
      <c r="BK222" s="312">
        <f t="shared" si="36"/>
        <v>0</v>
      </c>
      <c r="BL222" s="311">
        <f>SUMIF(Recibos!$D$4:$D$7493,Cobranza!$B222,Recibos!X$4:X$7493)</f>
        <v>0</v>
      </c>
      <c r="BM222" s="311">
        <f>SUMIF(Recibos!$D$4:$D$7493,Cobranza!$B222,Recibos!Y$4:Y$7493)</f>
        <v>0</v>
      </c>
      <c r="BN222" s="311">
        <f>SUMIF(Recibos!$D$4:$D$7493,Cobranza!$B222,Recibos!Z$4:Z$7493)</f>
        <v>0</v>
      </c>
      <c r="BO222" s="311">
        <f>SUMIF(Recibos!$D$4:$D$7493,Cobranza!$B222,Recibos!AA$4:AA$7493)</f>
        <v>0</v>
      </c>
      <c r="BP222" s="311">
        <f>SUMIF(Recibos!$D$4:$D$7493,Cobranza!$B222,Recibos!AB$4:AB$7493)</f>
        <v>0</v>
      </c>
      <c r="BQ222" s="311">
        <f>SUMIF(Recibos!$D$4:$D$7493,Cobranza!$B222,Recibos!AC$4:AC$7493)</f>
        <v>0</v>
      </c>
      <c r="BR222" s="311">
        <f>SUMIF(Recibos!$D$4:$D$7493,Cobranza!$B222,Recibos!AD$4:AD$7493)</f>
        <v>0</v>
      </c>
      <c r="BS222" s="311">
        <f>SUMIF(Recibos!$D$4:$D$7493,Cobranza!$B222,Recibos!AE$4:AE$7493)</f>
        <v>0</v>
      </c>
      <c r="BT222" s="311">
        <f>SUMIF(Recibos!$D$4:$D$7493,Cobranza!$B222,Recibos!AF$4:AF$7493)</f>
        <v>0</v>
      </c>
      <c r="BU222" s="311">
        <f>SUMIF(Recibos!$D$4:$D$7493,Cobranza!$B222,Recibos!AG$4:AG$7493)</f>
        <v>0</v>
      </c>
      <c r="BV222" s="311">
        <f>SUMIF(Recibos!$D$4:$D$7493,Cobranza!$B222,Recibos!AH$4:AH$7493)</f>
        <v>0</v>
      </c>
      <c r="BW222" s="311">
        <f>SUMIF(Recibos!$D$4:$D$7493,Cobranza!$B222,Recibos!AI$4:AI$7493)</f>
        <v>0</v>
      </c>
      <c r="BX222" s="312">
        <f t="shared" si="37"/>
        <v>0</v>
      </c>
      <c r="BY222" s="311">
        <f>SUMIF(Recibos!$D$4:$D$7493,Cobranza!$B222,Recibos!AK$4:AK$7493)</f>
        <v>0</v>
      </c>
      <c r="BZ222" s="311">
        <f>SUMIF(Recibos!$D$4:$D$7493,Cobranza!$B222,Recibos!AL$4:AL$7493)</f>
        <v>0</v>
      </c>
      <c r="CA222" s="311">
        <f>SUMIF(Recibos!$D$4:$D$7493,Cobranza!$B222,Recibos!AM$4:AM$7493)</f>
        <v>0</v>
      </c>
      <c r="CB222" s="311">
        <f>SUMIF(Recibos!$D$4:$D$7493,Cobranza!$B222,Recibos!AN$4:AN$7493)</f>
        <v>0</v>
      </c>
      <c r="CC222" s="311">
        <f>SUMIF(Recibos!$D$4:$D$7493,Cobranza!$B222,Recibos!AO$4:AO$7493)</f>
        <v>0</v>
      </c>
      <c r="CD222" s="311">
        <f>SUMIF(Recibos!$D$4:$D$7493,Cobranza!$B222,Recibos!AP$4:AP$7493)</f>
        <v>0</v>
      </c>
      <c r="CE222" s="311">
        <f>SUMIF(Recibos!$D$4:$D$7493,Cobranza!$B222,Recibos!AQ$4:AQ$7493)</f>
        <v>0</v>
      </c>
      <c r="CF222" s="311">
        <f>SUMIF(Recibos!$D$4:$D$7493,Cobranza!$B222,Recibos!AR$4:AR$7493)</f>
        <v>0</v>
      </c>
      <c r="CG222" s="311">
        <f>SUMIF(Recibos!$D$4:$D$7493,Cobranza!$B222,Recibos!AS$4:AS$7493)</f>
        <v>0</v>
      </c>
      <c r="CH222" s="311">
        <f>SUMIF(Recibos!$D$4:$D$7493,Cobranza!$B222,Recibos!AT$4:AT$7493)</f>
        <v>0</v>
      </c>
      <c r="CI222" s="311">
        <f>SUMIF(Recibos!$D$4:$D$7493,Cobranza!$B222,Recibos!AU$4:AU$7493)</f>
        <v>0</v>
      </c>
      <c r="CJ222" s="311">
        <f>SUMIF(Recibos!$D$4:$D$7493,Cobranza!$B222,Recibos!AV$4:AV$7493)</f>
        <v>0</v>
      </c>
      <c r="CK222" s="312">
        <f t="shared" si="31"/>
        <v>0</v>
      </c>
    </row>
    <row r="223" spans="2:89" x14ac:dyDescent="0.2">
      <c r="B223" s="45" t="s">
        <v>205</v>
      </c>
      <c r="C223" s="45" t="s">
        <v>206</v>
      </c>
      <c r="D223" s="45" t="s">
        <v>207</v>
      </c>
      <c r="E223" s="46">
        <v>0</v>
      </c>
      <c r="F223" s="46">
        <v>0</v>
      </c>
      <c r="G223" s="46">
        <v>0</v>
      </c>
      <c r="H223" s="46">
        <v>0</v>
      </c>
      <c r="I223" s="46">
        <v>0</v>
      </c>
      <c r="J223" s="46">
        <v>0</v>
      </c>
      <c r="K223" s="47">
        <f t="shared" si="32"/>
        <v>0</v>
      </c>
      <c r="L223" s="46">
        <v>0</v>
      </c>
      <c r="M223" s="46">
        <v>0</v>
      </c>
      <c r="N223" s="46">
        <v>0</v>
      </c>
      <c r="O223" s="46">
        <v>0</v>
      </c>
      <c r="P223" s="46">
        <v>0</v>
      </c>
      <c r="Q223" s="46">
        <v>0</v>
      </c>
      <c r="R223" s="46">
        <v>0</v>
      </c>
      <c r="S223" s="46">
        <v>0</v>
      </c>
      <c r="T223" s="46">
        <v>300</v>
      </c>
      <c r="U223" s="46">
        <v>400</v>
      </c>
      <c r="V223" s="46">
        <v>400</v>
      </c>
      <c r="W223" s="46">
        <v>400</v>
      </c>
      <c r="X223" s="47">
        <f t="shared" si="33"/>
        <v>1500</v>
      </c>
      <c r="Y223" s="46">
        <v>400</v>
      </c>
      <c r="Z223" s="46">
        <v>400</v>
      </c>
      <c r="AA223" s="46">
        <v>400</v>
      </c>
      <c r="AB223" s="46">
        <v>400</v>
      </c>
      <c r="AC223" s="46">
        <v>800</v>
      </c>
      <c r="AD223" s="46">
        <v>400</v>
      </c>
      <c r="AE223" s="46">
        <v>400</v>
      </c>
      <c r="AF223" s="46">
        <v>400</v>
      </c>
      <c r="AG223" s="46">
        <v>400</v>
      </c>
      <c r="AH223" s="46">
        <v>700</v>
      </c>
      <c r="AI223" s="46">
        <v>300</v>
      </c>
      <c r="AJ223" s="46">
        <v>600</v>
      </c>
      <c r="AK223" s="47">
        <f t="shared" si="34"/>
        <v>5600</v>
      </c>
      <c r="AL223" s="46">
        <v>600</v>
      </c>
      <c r="AM223" s="46">
        <v>600</v>
      </c>
      <c r="AN223" s="46">
        <v>600</v>
      </c>
      <c r="AO223" s="46">
        <v>600</v>
      </c>
      <c r="AP223" s="46">
        <v>600</v>
      </c>
      <c r="AQ223" s="46">
        <v>600</v>
      </c>
      <c r="AR223" s="46">
        <v>600</v>
      </c>
      <c r="AS223" s="46">
        <v>600</v>
      </c>
      <c r="AT223" s="46">
        <v>600</v>
      </c>
      <c r="AU223" s="46">
        <v>600</v>
      </c>
      <c r="AV223" s="46">
        <v>600</v>
      </c>
      <c r="AW223" s="46">
        <v>600</v>
      </c>
      <c r="AX223" s="47">
        <f t="shared" si="35"/>
        <v>7200</v>
      </c>
      <c r="AY223" s="313">
        <f>SUMIF(Recibos!$D$4:$D$7493,Cobranza!$B223,Recibos!K$4:K$7493)</f>
        <v>600</v>
      </c>
      <c r="AZ223" s="313">
        <f>SUMIF(Recibos!$D$4:$D$7493,Cobranza!$B223,Recibos!L$4:L$7493)</f>
        <v>600</v>
      </c>
      <c r="BA223" s="313">
        <f>SUMIF(Recibos!$D$4:$D$7493,Cobranza!$B223,Recibos!M$4:M$7493)</f>
        <v>600</v>
      </c>
      <c r="BB223" s="313">
        <f>SUMIF(Recibos!$D$4:$D$7493,Cobranza!$B223,Recibos!N$4:N$7493)</f>
        <v>600</v>
      </c>
      <c r="BC223" s="313">
        <f>SUMIF(Recibos!$D$4:$D$7493,Cobranza!$B223,Recibos!O$4:O$7493)</f>
        <v>600</v>
      </c>
      <c r="BD223" s="313">
        <f>SUMIF(Recibos!$D$4:$D$7493,Cobranza!$B223,Recibos!P$4:P$7493)</f>
        <v>600</v>
      </c>
      <c r="BE223" s="313">
        <f>SUMIF(Recibos!$D$4:$D$7493,Cobranza!$B223,Recibos!Q$4:Q$7493)</f>
        <v>600</v>
      </c>
      <c r="BF223" s="313">
        <f>SUMIF(Recibos!$D$4:$D$7493,Cobranza!$B223,Recibos!R$4:R$7493)</f>
        <v>600</v>
      </c>
      <c r="BG223" s="313">
        <f>SUMIF(Recibos!$D$4:$D$7493,Cobranza!$B223,Recibos!S$4:S$7493)</f>
        <v>600</v>
      </c>
      <c r="BH223" s="313">
        <f>SUMIF(Recibos!$D$4:$D$7493,Cobranza!$B223,Recibos!T$4:T$7493)</f>
        <v>600</v>
      </c>
      <c r="BI223" s="313">
        <f>SUMIF(Recibos!$D$4:$D$7493,Cobranza!$B223,Recibos!U$4:U$7493)</f>
        <v>600</v>
      </c>
      <c r="BJ223" s="313">
        <f>SUMIF(Recibos!$D$4:$D$7493,Cobranza!$B223,Recibos!V$4:V$7493)</f>
        <v>600</v>
      </c>
      <c r="BK223" s="314">
        <f t="shared" si="36"/>
        <v>7200</v>
      </c>
      <c r="BL223" s="313">
        <f>SUMIF(Recibos!$D$4:$D$7493,Cobranza!$B223,Recibos!X$4:X$7493)</f>
        <v>600</v>
      </c>
      <c r="BM223" s="313">
        <f>SUMIF(Recibos!$D$4:$D$7493,Cobranza!$B223,Recibos!Y$4:Y$7493)</f>
        <v>600</v>
      </c>
      <c r="BN223" s="313">
        <f>SUMIF(Recibos!$D$4:$D$7493,Cobranza!$B223,Recibos!Z$4:Z$7493)</f>
        <v>600</v>
      </c>
      <c r="BO223" s="313">
        <f>SUMIF(Recibos!$D$4:$D$7493,Cobranza!$B223,Recibos!AA$4:AA$7493)</f>
        <v>600</v>
      </c>
      <c r="BP223" s="313">
        <f>SUMIF(Recibos!$D$4:$D$7493,Cobranza!$B223,Recibos!AB$4:AB$7493)</f>
        <v>600</v>
      </c>
      <c r="BQ223" s="313">
        <f>SUMIF(Recibos!$D$4:$D$7493,Cobranza!$B223,Recibos!AC$4:AC$7493)</f>
        <v>600</v>
      </c>
      <c r="BR223" s="313">
        <f>SUMIF(Recibos!$D$4:$D$7493,Cobranza!$B223,Recibos!AD$4:AD$7493)</f>
        <v>600</v>
      </c>
      <c r="BS223" s="313">
        <f>SUMIF(Recibos!$D$4:$D$7493,Cobranza!$B223,Recibos!AE$4:AE$7493)</f>
        <v>600</v>
      </c>
      <c r="BT223" s="313">
        <f>SUMIF(Recibos!$D$4:$D$7493,Cobranza!$B223,Recibos!AF$4:AF$7493)</f>
        <v>600</v>
      </c>
      <c r="BU223" s="313">
        <f>SUMIF(Recibos!$D$4:$D$7493,Cobranza!$B223,Recibos!AG$4:AG$7493)</f>
        <v>600</v>
      </c>
      <c r="BV223" s="313">
        <f>SUMIF(Recibos!$D$4:$D$7493,Cobranza!$B223,Recibos!AH$4:AH$7493)</f>
        <v>600</v>
      </c>
      <c r="BW223" s="313">
        <f>SUMIF(Recibos!$D$4:$D$7493,Cobranza!$B223,Recibos!AI$4:AI$7493)</f>
        <v>600</v>
      </c>
      <c r="BX223" s="314">
        <f t="shared" si="37"/>
        <v>7200</v>
      </c>
      <c r="BY223" s="313">
        <f>SUMIF(Recibos!$D$4:$D$7493,Cobranza!$B223,Recibos!AK$4:AK$7493)</f>
        <v>600</v>
      </c>
      <c r="BZ223" s="313">
        <f>SUMIF(Recibos!$D$4:$D$7493,Cobranza!$B223,Recibos!AL$4:AL$7493)</f>
        <v>600</v>
      </c>
      <c r="CA223" s="313">
        <f>SUMIF(Recibos!$D$4:$D$7493,Cobranza!$B223,Recibos!AM$4:AM$7493)</f>
        <v>600</v>
      </c>
      <c r="CB223" s="313">
        <f>SUMIF(Recibos!$D$4:$D$7493,Cobranza!$B223,Recibos!AN$4:AN$7493)</f>
        <v>600</v>
      </c>
      <c r="CC223" s="313">
        <f>SUMIF(Recibos!$D$4:$D$7493,Cobranza!$B223,Recibos!AO$4:AO$7493)</f>
        <v>600</v>
      </c>
      <c r="CD223" s="313">
        <f>SUMIF(Recibos!$D$4:$D$7493,Cobranza!$B223,Recibos!AP$4:AP$7493)</f>
        <v>600</v>
      </c>
      <c r="CE223" s="313">
        <f>SUMIF(Recibos!$D$4:$D$7493,Cobranza!$B223,Recibos!AQ$4:AQ$7493)</f>
        <v>600</v>
      </c>
      <c r="CF223" s="313">
        <f>SUMIF(Recibos!$D$4:$D$7493,Cobranza!$B223,Recibos!AR$4:AR$7493)</f>
        <v>600</v>
      </c>
      <c r="CG223" s="313">
        <f>SUMIF(Recibos!$D$4:$D$7493,Cobranza!$B223,Recibos!AS$4:AS$7493)</f>
        <v>600</v>
      </c>
      <c r="CH223" s="313">
        <f>SUMIF(Recibos!$D$4:$D$7493,Cobranza!$B223,Recibos!AT$4:AT$7493)</f>
        <v>0</v>
      </c>
      <c r="CI223" s="313">
        <f>SUMIF(Recibos!$D$4:$D$7493,Cobranza!$B223,Recibos!AU$4:AU$7493)</f>
        <v>0</v>
      </c>
      <c r="CJ223" s="313">
        <f>SUMIF(Recibos!$D$4:$D$7493,Cobranza!$B223,Recibos!AV$4:AV$7493)</f>
        <v>0</v>
      </c>
      <c r="CK223" s="314">
        <f t="shared" si="31"/>
        <v>5400</v>
      </c>
    </row>
    <row r="224" spans="2:89" x14ac:dyDescent="0.2">
      <c r="B224" s="42" t="s">
        <v>1376</v>
      </c>
      <c r="C224" s="42" t="s">
        <v>1377</v>
      </c>
      <c r="D224" s="42" t="s">
        <v>790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4">
        <f t="shared" si="32"/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  <c r="V224" s="43">
        <v>0</v>
      </c>
      <c r="W224" s="43">
        <v>0</v>
      </c>
      <c r="X224" s="44">
        <f t="shared" si="33"/>
        <v>0</v>
      </c>
      <c r="Y224" s="43">
        <v>0</v>
      </c>
      <c r="Z224" s="43">
        <v>0</v>
      </c>
      <c r="AA224" s="43">
        <v>0</v>
      </c>
      <c r="AB224" s="43">
        <v>0</v>
      </c>
      <c r="AC224" s="43">
        <v>0</v>
      </c>
      <c r="AD224" s="43">
        <v>0</v>
      </c>
      <c r="AE224" s="43">
        <v>0</v>
      </c>
      <c r="AF224" s="43">
        <v>0</v>
      </c>
      <c r="AG224" s="43">
        <v>0</v>
      </c>
      <c r="AH224" s="43">
        <v>0</v>
      </c>
      <c r="AI224" s="43">
        <v>0</v>
      </c>
      <c r="AJ224" s="43">
        <v>0</v>
      </c>
      <c r="AK224" s="44">
        <f t="shared" si="34"/>
        <v>0</v>
      </c>
      <c r="AL224" s="43">
        <v>0</v>
      </c>
      <c r="AM224" s="43">
        <v>0</v>
      </c>
      <c r="AN224" s="43">
        <v>0</v>
      </c>
      <c r="AO224" s="43">
        <v>0</v>
      </c>
      <c r="AP224" s="43">
        <v>0</v>
      </c>
      <c r="AQ224" s="43">
        <v>0</v>
      </c>
      <c r="AR224" s="43">
        <v>0</v>
      </c>
      <c r="AS224" s="43">
        <v>0</v>
      </c>
      <c r="AT224" s="43">
        <v>0</v>
      </c>
      <c r="AU224" s="43">
        <v>0</v>
      </c>
      <c r="AV224" s="43">
        <v>0</v>
      </c>
      <c r="AW224" s="43">
        <v>0</v>
      </c>
      <c r="AX224" s="44">
        <f t="shared" si="35"/>
        <v>0</v>
      </c>
      <c r="AY224" s="311">
        <f>SUMIF(Recibos!$D$4:$D$7493,Cobranza!$B224,Recibos!K$4:K$7493)</f>
        <v>0</v>
      </c>
      <c r="AZ224" s="311">
        <f>SUMIF(Recibos!$D$4:$D$7493,Cobranza!$B224,Recibos!L$4:L$7493)</f>
        <v>0</v>
      </c>
      <c r="BA224" s="311">
        <f>SUMIF(Recibos!$D$4:$D$7493,Cobranza!$B224,Recibos!M$4:M$7493)</f>
        <v>0</v>
      </c>
      <c r="BB224" s="311">
        <f>SUMIF(Recibos!$D$4:$D$7493,Cobranza!$B224,Recibos!N$4:N$7493)</f>
        <v>0</v>
      </c>
      <c r="BC224" s="311">
        <f>SUMIF(Recibos!$D$4:$D$7493,Cobranza!$B224,Recibos!O$4:O$7493)</f>
        <v>0</v>
      </c>
      <c r="BD224" s="311">
        <f>SUMIF(Recibos!$D$4:$D$7493,Cobranza!$B224,Recibos!P$4:P$7493)</f>
        <v>0</v>
      </c>
      <c r="BE224" s="311">
        <f>SUMIF(Recibos!$D$4:$D$7493,Cobranza!$B224,Recibos!Q$4:Q$7493)</f>
        <v>0</v>
      </c>
      <c r="BF224" s="311">
        <f>SUMIF(Recibos!$D$4:$D$7493,Cobranza!$B224,Recibos!R$4:R$7493)</f>
        <v>0</v>
      </c>
      <c r="BG224" s="311">
        <f>SUMIF(Recibos!$D$4:$D$7493,Cobranza!$B224,Recibos!S$4:S$7493)</f>
        <v>0</v>
      </c>
      <c r="BH224" s="311">
        <f>SUMIF(Recibos!$D$4:$D$7493,Cobranza!$B224,Recibos!T$4:T$7493)</f>
        <v>0</v>
      </c>
      <c r="BI224" s="311">
        <f>SUMIF(Recibos!$D$4:$D$7493,Cobranza!$B224,Recibos!U$4:U$7493)</f>
        <v>0</v>
      </c>
      <c r="BJ224" s="311">
        <f>SUMIF(Recibos!$D$4:$D$7493,Cobranza!$B224,Recibos!V$4:V$7493)</f>
        <v>0</v>
      </c>
      <c r="BK224" s="312">
        <f t="shared" si="36"/>
        <v>0</v>
      </c>
      <c r="BL224" s="311">
        <f>SUMIF(Recibos!$D$4:$D$7493,Cobranza!$B224,Recibos!X$4:X$7493)</f>
        <v>0</v>
      </c>
      <c r="BM224" s="311">
        <f>SUMIF(Recibos!$D$4:$D$7493,Cobranza!$B224,Recibos!Y$4:Y$7493)</f>
        <v>0</v>
      </c>
      <c r="BN224" s="311">
        <f>SUMIF(Recibos!$D$4:$D$7493,Cobranza!$B224,Recibos!Z$4:Z$7493)</f>
        <v>0</v>
      </c>
      <c r="BO224" s="311">
        <f>SUMIF(Recibos!$D$4:$D$7493,Cobranza!$B224,Recibos!AA$4:AA$7493)</f>
        <v>0</v>
      </c>
      <c r="BP224" s="311">
        <f>SUMIF(Recibos!$D$4:$D$7493,Cobranza!$B224,Recibos!AB$4:AB$7493)</f>
        <v>0</v>
      </c>
      <c r="BQ224" s="311">
        <f>SUMIF(Recibos!$D$4:$D$7493,Cobranza!$B224,Recibos!AC$4:AC$7493)</f>
        <v>0</v>
      </c>
      <c r="BR224" s="311">
        <f>SUMIF(Recibos!$D$4:$D$7493,Cobranza!$B224,Recibos!AD$4:AD$7493)</f>
        <v>0</v>
      </c>
      <c r="BS224" s="311">
        <f>SUMIF(Recibos!$D$4:$D$7493,Cobranza!$B224,Recibos!AE$4:AE$7493)</f>
        <v>0</v>
      </c>
      <c r="BT224" s="311">
        <f>SUMIF(Recibos!$D$4:$D$7493,Cobranza!$B224,Recibos!AF$4:AF$7493)</f>
        <v>0</v>
      </c>
      <c r="BU224" s="311">
        <f>SUMIF(Recibos!$D$4:$D$7493,Cobranza!$B224,Recibos!AG$4:AG$7493)</f>
        <v>0</v>
      </c>
      <c r="BV224" s="311">
        <f>SUMIF(Recibos!$D$4:$D$7493,Cobranza!$B224,Recibos!AH$4:AH$7493)</f>
        <v>0</v>
      </c>
      <c r="BW224" s="311">
        <f>SUMIF(Recibos!$D$4:$D$7493,Cobranza!$B224,Recibos!AI$4:AI$7493)</f>
        <v>0</v>
      </c>
      <c r="BX224" s="312">
        <f t="shared" si="37"/>
        <v>0</v>
      </c>
      <c r="BY224" s="311">
        <f>SUMIF(Recibos!$D$4:$D$7493,Cobranza!$B224,Recibos!AK$4:AK$7493)</f>
        <v>0</v>
      </c>
      <c r="BZ224" s="311">
        <f>SUMIF(Recibos!$D$4:$D$7493,Cobranza!$B224,Recibos!AL$4:AL$7493)</f>
        <v>0</v>
      </c>
      <c r="CA224" s="311">
        <f>SUMIF(Recibos!$D$4:$D$7493,Cobranza!$B224,Recibos!AM$4:AM$7493)</f>
        <v>0</v>
      </c>
      <c r="CB224" s="311">
        <f>SUMIF(Recibos!$D$4:$D$7493,Cobranza!$B224,Recibos!AN$4:AN$7493)</f>
        <v>0</v>
      </c>
      <c r="CC224" s="311">
        <f>SUMIF(Recibos!$D$4:$D$7493,Cobranza!$B224,Recibos!AO$4:AO$7493)</f>
        <v>0</v>
      </c>
      <c r="CD224" s="311">
        <f>SUMIF(Recibos!$D$4:$D$7493,Cobranza!$B224,Recibos!AP$4:AP$7493)</f>
        <v>0</v>
      </c>
      <c r="CE224" s="311">
        <f>SUMIF(Recibos!$D$4:$D$7493,Cobranza!$B224,Recibos!AQ$4:AQ$7493)</f>
        <v>0</v>
      </c>
      <c r="CF224" s="311">
        <f>SUMIF(Recibos!$D$4:$D$7493,Cobranza!$B224,Recibos!AR$4:AR$7493)</f>
        <v>0</v>
      </c>
      <c r="CG224" s="311">
        <f>SUMIF(Recibos!$D$4:$D$7493,Cobranza!$B224,Recibos!AS$4:AS$7493)</f>
        <v>0</v>
      </c>
      <c r="CH224" s="311">
        <f>SUMIF(Recibos!$D$4:$D$7493,Cobranza!$B224,Recibos!AT$4:AT$7493)</f>
        <v>0</v>
      </c>
      <c r="CI224" s="311">
        <f>SUMIF(Recibos!$D$4:$D$7493,Cobranza!$B224,Recibos!AU$4:AU$7493)</f>
        <v>0</v>
      </c>
      <c r="CJ224" s="311">
        <f>SUMIF(Recibos!$D$4:$D$7493,Cobranza!$B224,Recibos!AV$4:AV$7493)</f>
        <v>0</v>
      </c>
      <c r="CK224" s="312">
        <f t="shared" si="31"/>
        <v>0</v>
      </c>
    </row>
    <row r="225" spans="2:89" x14ac:dyDescent="0.2">
      <c r="B225" s="45" t="s">
        <v>1206</v>
      </c>
      <c r="C225" s="45" t="s">
        <v>1378</v>
      </c>
      <c r="D225" s="45" t="s">
        <v>1208</v>
      </c>
      <c r="E225" s="46">
        <v>0</v>
      </c>
      <c r="F225" s="46">
        <v>0</v>
      </c>
      <c r="G225" s="46">
        <v>0</v>
      </c>
      <c r="H225" s="46">
        <v>0</v>
      </c>
      <c r="I225" s="46">
        <v>0</v>
      </c>
      <c r="J225" s="46">
        <v>0</v>
      </c>
      <c r="K225" s="47">
        <f t="shared" si="32"/>
        <v>0</v>
      </c>
      <c r="L225" s="46">
        <v>0</v>
      </c>
      <c r="M225" s="46">
        <v>0</v>
      </c>
      <c r="N225" s="46">
        <v>0</v>
      </c>
      <c r="O225" s="46">
        <v>0</v>
      </c>
      <c r="P225" s="46">
        <v>0</v>
      </c>
      <c r="Q225" s="46">
        <v>0</v>
      </c>
      <c r="R225" s="46">
        <v>0</v>
      </c>
      <c r="S225" s="46">
        <v>0</v>
      </c>
      <c r="T225" s="46">
        <v>0</v>
      </c>
      <c r="U225" s="46">
        <v>0</v>
      </c>
      <c r="V225" s="46">
        <v>0</v>
      </c>
      <c r="W225" s="46">
        <v>0</v>
      </c>
      <c r="X225" s="47">
        <f t="shared" si="33"/>
        <v>0</v>
      </c>
      <c r="Y225" s="46">
        <v>0</v>
      </c>
      <c r="Z225" s="46">
        <v>0</v>
      </c>
      <c r="AA225" s="46">
        <v>0</v>
      </c>
      <c r="AB225" s="46">
        <v>0</v>
      </c>
      <c r="AC225" s="46">
        <v>0</v>
      </c>
      <c r="AD225" s="46">
        <v>0</v>
      </c>
      <c r="AE225" s="46">
        <v>0</v>
      </c>
      <c r="AF225" s="46">
        <v>0</v>
      </c>
      <c r="AG225" s="46">
        <v>0</v>
      </c>
      <c r="AH225" s="46">
        <v>0</v>
      </c>
      <c r="AI225" s="46">
        <v>0</v>
      </c>
      <c r="AJ225" s="46">
        <v>0</v>
      </c>
      <c r="AK225" s="47">
        <f t="shared" si="34"/>
        <v>0</v>
      </c>
      <c r="AL225" s="46">
        <v>0</v>
      </c>
      <c r="AM225" s="46">
        <v>0</v>
      </c>
      <c r="AN225" s="46">
        <v>0</v>
      </c>
      <c r="AO225" s="46">
        <v>0</v>
      </c>
      <c r="AP225" s="46">
        <v>0</v>
      </c>
      <c r="AQ225" s="46">
        <v>0</v>
      </c>
      <c r="AR225" s="46">
        <v>0</v>
      </c>
      <c r="AS225" s="46">
        <v>0</v>
      </c>
      <c r="AT225" s="46">
        <v>0</v>
      </c>
      <c r="AU225" s="46">
        <v>0</v>
      </c>
      <c r="AV225" s="46">
        <v>0</v>
      </c>
      <c r="AW225" s="46">
        <v>0</v>
      </c>
      <c r="AX225" s="47">
        <f t="shared" si="35"/>
        <v>0</v>
      </c>
      <c r="AY225" s="313">
        <f>SUMIF(Recibos!$D$4:$D$7493,Cobranza!$B225,Recibos!K$4:K$7493)</f>
        <v>0</v>
      </c>
      <c r="AZ225" s="313">
        <f>SUMIF(Recibos!$D$4:$D$7493,Cobranza!$B225,Recibos!L$4:L$7493)</f>
        <v>0</v>
      </c>
      <c r="BA225" s="313">
        <f>SUMIF(Recibos!$D$4:$D$7493,Cobranza!$B225,Recibos!M$4:M$7493)</f>
        <v>0</v>
      </c>
      <c r="BB225" s="313">
        <f>SUMIF(Recibos!$D$4:$D$7493,Cobranza!$B225,Recibos!N$4:N$7493)</f>
        <v>150</v>
      </c>
      <c r="BC225" s="313">
        <f>SUMIF(Recibos!$D$4:$D$7493,Cobranza!$B225,Recibos!O$4:O$7493)</f>
        <v>150</v>
      </c>
      <c r="BD225" s="313">
        <f>SUMIF(Recibos!$D$4:$D$7493,Cobranza!$B225,Recibos!P$4:P$7493)</f>
        <v>150</v>
      </c>
      <c r="BE225" s="313">
        <f>SUMIF(Recibos!$D$4:$D$7493,Cobranza!$B225,Recibos!Q$4:Q$7493)</f>
        <v>150</v>
      </c>
      <c r="BF225" s="313">
        <f>SUMIF(Recibos!$D$4:$D$7493,Cobranza!$B225,Recibos!R$4:R$7493)</f>
        <v>150</v>
      </c>
      <c r="BG225" s="313">
        <f>SUMIF(Recibos!$D$4:$D$7493,Cobranza!$B225,Recibos!S$4:S$7493)</f>
        <v>150</v>
      </c>
      <c r="BH225" s="313">
        <f>SUMIF(Recibos!$D$4:$D$7493,Cobranza!$B225,Recibos!T$4:T$7493)</f>
        <v>150</v>
      </c>
      <c r="BI225" s="313">
        <f>SUMIF(Recibos!$D$4:$D$7493,Cobranza!$B225,Recibos!U$4:U$7493)</f>
        <v>150</v>
      </c>
      <c r="BJ225" s="313">
        <f>SUMIF(Recibos!$D$4:$D$7493,Cobranza!$B225,Recibos!V$4:V$7493)</f>
        <v>150</v>
      </c>
      <c r="BK225" s="314">
        <f t="shared" si="36"/>
        <v>1350</v>
      </c>
      <c r="BL225" s="313">
        <f>SUMIF(Recibos!$D$4:$D$7493,Cobranza!$B225,Recibos!X$4:X$7493)</f>
        <v>150</v>
      </c>
      <c r="BM225" s="313">
        <f>SUMIF(Recibos!$D$4:$D$7493,Cobranza!$B225,Recibos!Y$4:Y$7493)</f>
        <v>150</v>
      </c>
      <c r="BN225" s="313">
        <f>SUMIF(Recibos!$D$4:$D$7493,Cobranza!$B225,Recibos!Z$4:Z$7493)</f>
        <v>150</v>
      </c>
      <c r="BO225" s="313">
        <f>SUMIF(Recibos!$D$4:$D$7493,Cobranza!$B225,Recibos!AA$4:AA$7493)</f>
        <v>150</v>
      </c>
      <c r="BP225" s="313">
        <f>SUMIF(Recibos!$D$4:$D$7493,Cobranza!$B225,Recibos!AB$4:AB$7493)</f>
        <v>150</v>
      </c>
      <c r="BQ225" s="313">
        <f>SUMIF(Recibos!$D$4:$D$7493,Cobranza!$B225,Recibos!AC$4:AC$7493)</f>
        <v>150</v>
      </c>
      <c r="BR225" s="313">
        <f>SUMIF(Recibos!$D$4:$D$7493,Cobranza!$B225,Recibos!AD$4:AD$7493)</f>
        <v>150</v>
      </c>
      <c r="BS225" s="313">
        <f>SUMIF(Recibos!$D$4:$D$7493,Cobranza!$B225,Recibos!AE$4:AE$7493)</f>
        <v>150</v>
      </c>
      <c r="BT225" s="313">
        <f>SUMIF(Recibos!$D$4:$D$7493,Cobranza!$B225,Recibos!AF$4:AF$7493)</f>
        <v>150</v>
      </c>
      <c r="BU225" s="313">
        <f>SUMIF(Recibos!$D$4:$D$7493,Cobranza!$B225,Recibos!AG$4:AG$7493)</f>
        <v>150</v>
      </c>
      <c r="BV225" s="313">
        <f>SUMIF(Recibos!$D$4:$D$7493,Cobranza!$B225,Recibos!AH$4:AH$7493)</f>
        <v>150</v>
      </c>
      <c r="BW225" s="313">
        <f>SUMIF(Recibos!$D$4:$D$7493,Cobranza!$B225,Recibos!AI$4:AI$7493)</f>
        <v>150</v>
      </c>
      <c r="BX225" s="314">
        <f t="shared" si="37"/>
        <v>1800</v>
      </c>
      <c r="BY225" s="313">
        <f>SUMIF(Recibos!$D$4:$D$7493,Cobranza!$B225,Recibos!AK$4:AK$7493)</f>
        <v>0</v>
      </c>
      <c r="BZ225" s="313">
        <f>SUMIF(Recibos!$D$4:$D$7493,Cobranza!$B225,Recibos!AL$4:AL$7493)</f>
        <v>0</v>
      </c>
      <c r="CA225" s="313">
        <f>SUMIF(Recibos!$D$4:$D$7493,Cobranza!$B225,Recibos!AM$4:AM$7493)</f>
        <v>0</v>
      </c>
      <c r="CB225" s="313">
        <f>SUMIF(Recibos!$D$4:$D$7493,Cobranza!$B225,Recibos!AN$4:AN$7493)</f>
        <v>0</v>
      </c>
      <c r="CC225" s="313">
        <f>SUMIF(Recibos!$D$4:$D$7493,Cobranza!$B225,Recibos!AO$4:AO$7493)</f>
        <v>0</v>
      </c>
      <c r="CD225" s="313">
        <f>SUMIF(Recibos!$D$4:$D$7493,Cobranza!$B225,Recibos!AP$4:AP$7493)</f>
        <v>0</v>
      </c>
      <c r="CE225" s="313">
        <f>SUMIF(Recibos!$D$4:$D$7493,Cobranza!$B225,Recibos!AQ$4:AQ$7493)</f>
        <v>0</v>
      </c>
      <c r="CF225" s="313">
        <f>SUMIF(Recibos!$D$4:$D$7493,Cobranza!$B225,Recibos!AR$4:AR$7493)</f>
        <v>0</v>
      </c>
      <c r="CG225" s="313">
        <f>SUMIF(Recibos!$D$4:$D$7493,Cobranza!$B225,Recibos!AS$4:AS$7493)</f>
        <v>0</v>
      </c>
      <c r="CH225" s="313">
        <f>SUMIF(Recibos!$D$4:$D$7493,Cobranza!$B225,Recibos!AT$4:AT$7493)</f>
        <v>0</v>
      </c>
      <c r="CI225" s="313">
        <f>SUMIF(Recibos!$D$4:$D$7493,Cobranza!$B225,Recibos!AU$4:AU$7493)</f>
        <v>0</v>
      </c>
      <c r="CJ225" s="313">
        <f>SUMIF(Recibos!$D$4:$D$7493,Cobranza!$B225,Recibos!AV$4:AV$7493)</f>
        <v>0</v>
      </c>
      <c r="CK225" s="314">
        <f t="shared" si="31"/>
        <v>0</v>
      </c>
    </row>
    <row r="226" spans="2:89" x14ac:dyDescent="0.2">
      <c r="B226" s="42" t="s">
        <v>503</v>
      </c>
      <c r="C226" s="42" t="s">
        <v>1379</v>
      </c>
      <c r="D226" s="42" t="s">
        <v>1380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4">
        <f t="shared" si="32"/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43">
        <v>0</v>
      </c>
      <c r="W226" s="43">
        <v>0</v>
      </c>
      <c r="X226" s="44">
        <f t="shared" si="33"/>
        <v>0</v>
      </c>
      <c r="Y226" s="43">
        <v>0</v>
      </c>
      <c r="Z226" s="43">
        <v>0</v>
      </c>
      <c r="AA226" s="43">
        <v>0</v>
      </c>
      <c r="AB226" s="43">
        <v>0</v>
      </c>
      <c r="AC226" s="43">
        <v>0</v>
      </c>
      <c r="AD226" s="43">
        <v>0</v>
      </c>
      <c r="AE226" s="43">
        <v>0</v>
      </c>
      <c r="AF226" s="43">
        <v>0</v>
      </c>
      <c r="AG226" s="43">
        <v>0</v>
      </c>
      <c r="AH226" s="43">
        <v>0</v>
      </c>
      <c r="AI226" s="43">
        <v>0</v>
      </c>
      <c r="AJ226" s="43">
        <v>0</v>
      </c>
      <c r="AK226" s="44">
        <f t="shared" si="34"/>
        <v>0</v>
      </c>
      <c r="AL226" s="43">
        <v>0</v>
      </c>
      <c r="AM226" s="43">
        <v>0</v>
      </c>
      <c r="AN226" s="43">
        <v>0</v>
      </c>
      <c r="AO226" s="43">
        <v>0</v>
      </c>
      <c r="AP226" s="43">
        <v>0</v>
      </c>
      <c r="AQ226" s="43">
        <v>0</v>
      </c>
      <c r="AR226" s="43">
        <v>0</v>
      </c>
      <c r="AS226" s="43">
        <v>0</v>
      </c>
      <c r="AT226" s="43">
        <v>0</v>
      </c>
      <c r="AU226" s="43">
        <v>0</v>
      </c>
      <c r="AV226" s="43">
        <v>150</v>
      </c>
      <c r="AW226" s="43">
        <v>150</v>
      </c>
      <c r="AX226" s="44">
        <f t="shared" si="35"/>
        <v>300</v>
      </c>
      <c r="AY226" s="311">
        <f>SUMIF(Recibos!$D$4:$D$7493,Cobranza!$B226,Recibos!K$4:K$7493)</f>
        <v>150</v>
      </c>
      <c r="AZ226" s="311">
        <f>SUMIF(Recibos!$D$4:$D$7493,Cobranza!$B226,Recibos!L$4:L$7493)</f>
        <v>150</v>
      </c>
      <c r="BA226" s="311">
        <f>SUMIF(Recibos!$D$4:$D$7493,Cobranza!$B226,Recibos!M$4:M$7493)</f>
        <v>150</v>
      </c>
      <c r="BB226" s="311">
        <f>SUMIF(Recibos!$D$4:$D$7493,Cobranza!$B226,Recibos!N$4:N$7493)</f>
        <v>150</v>
      </c>
      <c r="BC226" s="311">
        <f>SUMIF(Recibos!$D$4:$D$7493,Cobranza!$B226,Recibos!O$4:O$7493)</f>
        <v>150</v>
      </c>
      <c r="BD226" s="311">
        <f>SUMIF(Recibos!$D$4:$D$7493,Cobranza!$B226,Recibos!P$4:P$7493)</f>
        <v>150</v>
      </c>
      <c r="BE226" s="311">
        <f>SUMIF(Recibos!$D$4:$D$7493,Cobranza!$B226,Recibos!Q$4:Q$7493)</f>
        <v>150</v>
      </c>
      <c r="BF226" s="311">
        <f>SUMIF(Recibos!$D$4:$D$7493,Cobranza!$B226,Recibos!R$4:R$7493)</f>
        <v>150</v>
      </c>
      <c r="BG226" s="311">
        <f>SUMIF(Recibos!$D$4:$D$7493,Cobranza!$B226,Recibos!S$4:S$7493)</f>
        <v>150</v>
      </c>
      <c r="BH226" s="311">
        <f>SUMIF(Recibos!$D$4:$D$7493,Cobranza!$B226,Recibos!T$4:T$7493)</f>
        <v>150</v>
      </c>
      <c r="BI226" s="311">
        <f>SUMIF(Recibos!$D$4:$D$7493,Cobranza!$B226,Recibos!U$4:U$7493)</f>
        <v>150</v>
      </c>
      <c r="BJ226" s="311">
        <f>SUMIF(Recibos!$D$4:$D$7493,Cobranza!$B226,Recibos!V$4:V$7493)</f>
        <v>150</v>
      </c>
      <c r="BK226" s="312">
        <f t="shared" si="36"/>
        <v>1800</v>
      </c>
      <c r="BL226" s="311">
        <f>SUMIF(Recibos!$D$4:$D$7493,Cobranza!$B226,Recibos!X$4:X$7493)</f>
        <v>150</v>
      </c>
      <c r="BM226" s="311">
        <f>SUMIF(Recibos!$D$4:$D$7493,Cobranza!$B226,Recibos!Y$4:Y$7493)</f>
        <v>100</v>
      </c>
      <c r="BN226" s="311">
        <f>SUMIF(Recibos!$D$4:$D$7493,Cobranza!$B226,Recibos!Z$4:Z$7493)</f>
        <v>0</v>
      </c>
      <c r="BO226" s="311">
        <f>SUMIF(Recibos!$D$4:$D$7493,Cobranza!$B226,Recibos!AA$4:AA$7493)</f>
        <v>0</v>
      </c>
      <c r="BP226" s="311">
        <f>SUMIF(Recibos!$D$4:$D$7493,Cobranza!$B226,Recibos!AB$4:AB$7493)</f>
        <v>0</v>
      </c>
      <c r="BQ226" s="311">
        <f>SUMIF(Recibos!$D$4:$D$7493,Cobranza!$B226,Recibos!AC$4:AC$7493)</f>
        <v>0</v>
      </c>
      <c r="BR226" s="311">
        <f>SUMIF(Recibos!$D$4:$D$7493,Cobranza!$B226,Recibos!AD$4:AD$7493)</f>
        <v>0</v>
      </c>
      <c r="BS226" s="311">
        <f>SUMIF(Recibos!$D$4:$D$7493,Cobranza!$B226,Recibos!AE$4:AE$7493)</f>
        <v>0</v>
      </c>
      <c r="BT226" s="311">
        <f>SUMIF(Recibos!$D$4:$D$7493,Cobranza!$B226,Recibos!AF$4:AF$7493)</f>
        <v>0</v>
      </c>
      <c r="BU226" s="311">
        <f>SUMIF(Recibos!$D$4:$D$7493,Cobranza!$B226,Recibos!AG$4:AG$7493)</f>
        <v>0</v>
      </c>
      <c r="BV226" s="311">
        <f>SUMIF(Recibos!$D$4:$D$7493,Cobranza!$B226,Recibos!AH$4:AH$7493)</f>
        <v>0</v>
      </c>
      <c r="BW226" s="311">
        <f>SUMIF(Recibos!$D$4:$D$7493,Cobranza!$B226,Recibos!AI$4:AI$7493)</f>
        <v>0</v>
      </c>
      <c r="BX226" s="312">
        <f t="shared" si="37"/>
        <v>250</v>
      </c>
      <c r="BY226" s="311">
        <f>SUMIF(Recibos!$D$4:$D$7493,Cobranza!$B226,Recibos!AK$4:AK$7493)</f>
        <v>0</v>
      </c>
      <c r="BZ226" s="311">
        <f>SUMIF(Recibos!$D$4:$D$7493,Cobranza!$B226,Recibos!AL$4:AL$7493)</f>
        <v>0</v>
      </c>
      <c r="CA226" s="311">
        <f>SUMIF(Recibos!$D$4:$D$7493,Cobranza!$B226,Recibos!AM$4:AM$7493)</f>
        <v>0</v>
      </c>
      <c r="CB226" s="311">
        <f>SUMIF(Recibos!$D$4:$D$7493,Cobranza!$B226,Recibos!AN$4:AN$7493)</f>
        <v>0</v>
      </c>
      <c r="CC226" s="311">
        <f>SUMIF(Recibos!$D$4:$D$7493,Cobranza!$B226,Recibos!AO$4:AO$7493)</f>
        <v>0</v>
      </c>
      <c r="CD226" s="311">
        <f>SUMIF(Recibos!$D$4:$D$7493,Cobranza!$B226,Recibos!AP$4:AP$7493)</f>
        <v>0</v>
      </c>
      <c r="CE226" s="311">
        <f>SUMIF(Recibos!$D$4:$D$7493,Cobranza!$B226,Recibos!AQ$4:AQ$7493)</f>
        <v>0</v>
      </c>
      <c r="CF226" s="311">
        <f>SUMIF(Recibos!$D$4:$D$7493,Cobranza!$B226,Recibos!AR$4:AR$7493)</f>
        <v>0</v>
      </c>
      <c r="CG226" s="311">
        <f>SUMIF(Recibos!$D$4:$D$7493,Cobranza!$B226,Recibos!AS$4:AS$7493)</f>
        <v>0</v>
      </c>
      <c r="CH226" s="311">
        <f>SUMIF(Recibos!$D$4:$D$7493,Cobranza!$B226,Recibos!AT$4:AT$7493)</f>
        <v>0</v>
      </c>
      <c r="CI226" s="311">
        <f>SUMIF(Recibos!$D$4:$D$7493,Cobranza!$B226,Recibos!AU$4:AU$7493)</f>
        <v>0</v>
      </c>
      <c r="CJ226" s="311">
        <f>SUMIF(Recibos!$D$4:$D$7493,Cobranza!$B226,Recibos!AV$4:AV$7493)</f>
        <v>0</v>
      </c>
      <c r="CK226" s="312">
        <f t="shared" si="31"/>
        <v>0</v>
      </c>
    </row>
    <row r="227" spans="2:89" x14ac:dyDescent="0.2">
      <c r="B227" s="45" t="s">
        <v>38</v>
      </c>
      <c r="C227" s="45" t="s">
        <v>993</v>
      </c>
      <c r="D227" s="45" t="s">
        <v>994</v>
      </c>
      <c r="E227" s="46">
        <v>150</v>
      </c>
      <c r="F227" s="46">
        <v>150</v>
      </c>
      <c r="G227" s="46">
        <v>150</v>
      </c>
      <c r="H227" s="46">
        <v>150</v>
      </c>
      <c r="I227" s="46">
        <v>150</v>
      </c>
      <c r="J227" s="46">
        <v>150</v>
      </c>
      <c r="K227" s="47">
        <f t="shared" si="32"/>
        <v>900</v>
      </c>
      <c r="L227" s="46">
        <v>150</v>
      </c>
      <c r="M227" s="46">
        <v>0</v>
      </c>
      <c r="N227" s="46">
        <v>150</v>
      </c>
      <c r="O227" s="46">
        <v>150</v>
      </c>
      <c r="P227" s="46">
        <v>150</v>
      </c>
      <c r="Q227" s="46">
        <v>150</v>
      </c>
      <c r="R227" s="46">
        <v>150</v>
      </c>
      <c r="S227" s="46">
        <v>150</v>
      </c>
      <c r="T227" s="46">
        <v>150</v>
      </c>
      <c r="U227" s="46">
        <v>150</v>
      </c>
      <c r="V227" s="46">
        <v>150</v>
      </c>
      <c r="W227" s="46">
        <v>150</v>
      </c>
      <c r="X227" s="47">
        <f t="shared" si="33"/>
        <v>1650</v>
      </c>
      <c r="Y227" s="46">
        <v>150</v>
      </c>
      <c r="Z227" s="46">
        <v>150</v>
      </c>
      <c r="AA227" s="46">
        <v>150</v>
      </c>
      <c r="AB227" s="46">
        <v>150</v>
      </c>
      <c r="AC227" s="46">
        <v>150</v>
      </c>
      <c r="AD227" s="46">
        <v>150</v>
      </c>
      <c r="AE227" s="46">
        <v>150</v>
      </c>
      <c r="AF227" s="46">
        <v>150</v>
      </c>
      <c r="AG227" s="46">
        <v>150</v>
      </c>
      <c r="AH227" s="46">
        <v>150</v>
      </c>
      <c r="AI227" s="46">
        <v>150</v>
      </c>
      <c r="AJ227" s="46">
        <v>150</v>
      </c>
      <c r="AK227" s="47">
        <f t="shared" si="34"/>
        <v>1800</v>
      </c>
      <c r="AL227" s="46">
        <v>150</v>
      </c>
      <c r="AM227" s="46">
        <v>150</v>
      </c>
      <c r="AN227" s="46">
        <v>150</v>
      </c>
      <c r="AO227" s="46">
        <v>150</v>
      </c>
      <c r="AP227" s="46">
        <v>150</v>
      </c>
      <c r="AQ227" s="46">
        <v>150</v>
      </c>
      <c r="AR227" s="46">
        <v>150</v>
      </c>
      <c r="AS227" s="46">
        <v>150</v>
      </c>
      <c r="AT227" s="46">
        <v>150</v>
      </c>
      <c r="AU227" s="46">
        <v>150</v>
      </c>
      <c r="AV227" s="46">
        <v>150</v>
      </c>
      <c r="AW227" s="46">
        <v>0</v>
      </c>
      <c r="AX227" s="47">
        <f t="shared" si="35"/>
        <v>1650</v>
      </c>
      <c r="AY227" s="313">
        <f>SUMIF(Recibos!$D$4:$D$7493,Cobranza!$B227,Recibos!K$4:K$7493)</f>
        <v>150</v>
      </c>
      <c r="AZ227" s="313">
        <f>SUMIF(Recibos!$D$4:$D$7493,Cobranza!$B227,Recibos!L$4:L$7493)</f>
        <v>150</v>
      </c>
      <c r="BA227" s="313">
        <f>SUMIF(Recibos!$D$4:$D$7493,Cobranza!$B227,Recibos!M$4:M$7493)</f>
        <v>150</v>
      </c>
      <c r="BB227" s="313">
        <f>SUMIF(Recibos!$D$4:$D$7493,Cobranza!$B227,Recibos!N$4:N$7493)</f>
        <v>150</v>
      </c>
      <c r="BC227" s="313">
        <f>SUMIF(Recibos!$D$4:$D$7493,Cobranza!$B227,Recibos!O$4:O$7493)</f>
        <v>150</v>
      </c>
      <c r="BD227" s="313">
        <f>SUMIF(Recibos!$D$4:$D$7493,Cobranza!$B227,Recibos!P$4:P$7493)</f>
        <v>150</v>
      </c>
      <c r="BE227" s="313">
        <f>SUMIF(Recibos!$D$4:$D$7493,Cobranza!$B227,Recibos!Q$4:Q$7493)</f>
        <v>150</v>
      </c>
      <c r="BF227" s="313">
        <f>SUMIF(Recibos!$D$4:$D$7493,Cobranza!$B227,Recibos!R$4:R$7493)</f>
        <v>150</v>
      </c>
      <c r="BG227" s="313">
        <f>SUMIF(Recibos!$D$4:$D$7493,Cobranza!$B227,Recibos!S$4:S$7493)</f>
        <v>150</v>
      </c>
      <c r="BH227" s="313">
        <f>SUMIF(Recibos!$D$4:$D$7493,Cobranza!$B227,Recibos!T$4:T$7493)</f>
        <v>150</v>
      </c>
      <c r="BI227" s="313">
        <f>SUMIF(Recibos!$D$4:$D$7493,Cobranza!$B227,Recibos!U$4:U$7493)</f>
        <v>150</v>
      </c>
      <c r="BJ227" s="313">
        <f>SUMIF(Recibos!$D$4:$D$7493,Cobranza!$B227,Recibos!V$4:V$7493)</f>
        <v>150</v>
      </c>
      <c r="BK227" s="314">
        <f t="shared" si="36"/>
        <v>1800</v>
      </c>
      <c r="BL227" s="313">
        <f>SUMIF(Recibos!$D$4:$D$7493,Cobranza!$B227,Recibos!X$4:X$7493)</f>
        <v>150</v>
      </c>
      <c r="BM227" s="313">
        <f>SUMIF(Recibos!$D$4:$D$7493,Cobranza!$B227,Recibos!Y$4:Y$7493)</f>
        <v>150</v>
      </c>
      <c r="BN227" s="313">
        <f>SUMIF(Recibos!$D$4:$D$7493,Cobranza!$B227,Recibos!Z$4:Z$7493)</f>
        <v>150</v>
      </c>
      <c r="BO227" s="313">
        <f>SUMIF(Recibos!$D$4:$D$7493,Cobranza!$B227,Recibos!AA$4:AA$7493)</f>
        <v>150</v>
      </c>
      <c r="BP227" s="313">
        <f>SUMIF(Recibos!$D$4:$D$7493,Cobranza!$B227,Recibos!AB$4:AB$7493)</f>
        <v>150</v>
      </c>
      <c r="BQ227" s="313">
        <f>SUMIF(Recibos!$D$4:$D$7493,Cobranza!$B227,Recibos!AC$4:AC$7493)</f>
        <v>150</v>
      </c>
      <c r="BR227" s="313">
        <f>SUMIF(Recibos!$D$4:$D$7493,Cobranza!$B227,Recibos!AD$4:AD$7493)</f>
        <v>150</v>
      </c>
      <c r="BS227" s="313">
        <f>SUMIF(Recibos!$D$4:$D$7493,Cobranza!$B227,Recibos!AE$4:AE$7493)</f>
        <v>150</v>
      </c>
      <c r="BT227" s="313">
        <f>SUMIF(Recibos!$D$4:$D$7493,Cobranza!$B227,Recibos!AF$4:AF$7493)</f>
        <v>150</v>
      </c>
      <c r="BU227" s="313">
        <f>SUMIF(Recibos!$D$4:$D$7493,Cobranza!$B227,Recibos!AG$4:AG$7493)</f>
        <v>150</v>
      </c>
      <c r="BV227" s="313">
        <f>SUMIF(Recibos!$D$4:$D$7493,Cobranza!$B227,Recibos!AH$4:AH$7493)</f>
        <v>150</v>
      </c>
      <c r="BW227" s="313">
        <f>SUMIF(Recibos!$D$4:$D$7493,Cobranza!$B227,Recibos!AI$4:AI$7493)</f>
        <v>0</v>
      </c>
      <c r="BX227" s="314">
        <f t="shared" si="37"/>
        <v>1650</v>
      </c>
      <c r="BY227" s="313">
        <f>SUMIF(Recibos!$D$4:$D$7493,Cobranza!$B227,Recibos!AK$4:AK$7493)</f>
        <v>200</v>
      </c>
      <c r="BZ227" s="313">
        <f>SUMIF(Recibos!$D$4:$D$7493,Cobranza!$B227,Recibos!AL$4:AL$7493)</f>
        <v>200</v>
      </c>
      <c r="CA227" s="313">
        <f>SUMIF(Recibos!$D$4:$D$7493,Cobranza!$B227,Recibos!AM$4:AM$7493)</f>
        <v>200</v>
      </c>
      <c r="CB227" s="313">
        <f>SUMIF(Recibos!$D$4:$D$7493,Cobranza!$B227,Recibos!AN$4:AN$7493)</f>
        <v>200</v>
      </c>
      <c r="CC227" s="313">
        <f>SUMIF(Recibos!$D$4:$D$7493,Cobranza!$B227,Recibos!AO$4:AO$7493)</f>
        <v>200</v>
      </c>
      <c r="CD227" s="313">
        <f>SUMIF(Recibos!$D$4:$D$7493,Cobranza!$B227,Recibos!AP$4:AP$7493)</f>
        <v>200</v>
      </c>
      <c r="CE227" s="313">
        <f>SUMIF(Recibos!$D$4:$D$7493,Cobranza!$B227,Recibos!AQ$4:AQ$7493)</f>
        <v>200</v>
      </c>
      <c r="CF227" s="313">
        <f>SUMIF(Recibos!$D$4:$D$7493,Cobranza!$B227,Recibos!AR$4:AR$7493)</f>
        <v>200</v>
      </c>
      <c r="CG227" s="313">
        <f>SUMIF(Recibos!$D$4:$D$7493,Cobranza!$B227,Recibos!AS$4:AS$7493)</f>
        <v>200</v>
      </c>
      <c r="CH227" s="313">
        <f>SUMIF(Recibos!$D$4:$D$7493,Cobranza!$B227,Recibos!AT$4:AT$7493)</f>
        <v>200</v>
      </c>
      <c r="CI227" s="313">
        <f>SUMIF(Recibos!$D$4:$D$7493,Cobranza!$B227,Recibos!AU$4:AU$7493)</f>
        <v>200</v>
      </c>
      <c r="CJ227" s="313">
        <f>SUMIF(Recibos!$D$4:$D$7493,Cobranza!$B227,Recibos!AV$4:AV$7493)</f>
        <v>0</v>
      </c>
      <c r="CK227" s="314">
        <f t="shared" si="31"/>
        <v>2200</v>
      </c>
    </row>
    <row r="228" spans="2:89" x14ac:dyDescent="0.2">
      <c r="B228" s="42" t="s">
        <v>358</v>
      </c>
      <c r="C228" s="42" t="s">
        <v>359</v>
      </c>
      <c r="D228" s="42" t="s">
        <v>360</v>
      </c>
      <c r="E228" s="43">
        <v>0</v>
      </c>
      <c r="F228" s="43">
        <v>0</v>
      </c>
      <c r="G228" s="43">
        <v>0</v>
      </c>
      <c r="H228" s="43">
        <v>0</v>
      </c>
      <c r="I228" s="43">
        <v>0</v>
      </c>
      <c r="J228" s="43">
        <v>0</v>
      </c>
      <c r="K228" s="44">
        <f t="shared" si="32"/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  <c r="V228" s="43">
        <v>0</v>
      </c>
      <c r="W228" s="43">
        <v>0</v>
      </c>
      <c r="X228" s="44">
        <f t="shared" si="33"/>
        <v>0</v>
      </c>
      <c r="Y228" s="43">
        <v>0</v>
      </c>
      <c r="Z228" s="43">
        <v>0</v>
      </c>
      <c r="AA228" s="43">
        <v>0</v>
      </c>
      <c r="AB228" s="43">
        <v>0</v>
      </c>
      <c r="AC228" s="43">
        <v>0</v>
      </c>
      <c r="AD228" s="43">
        <v>0</v>
      </c>
      <c r="AE228" s="43">
        <v>0</v>
      </c>
      <c r="AF228" s="43">
        <v>0</v>
      </c>
      <c r="AG228" s="43">
        <v>0</v>
      </c>
      <c r="AH228" s="43">
        <v>0</v>
      </c>
      <c r="AI228" s="43">
        <v>0</v>
      </c>
      <c r="AJ228" s="43">
        <v>0</v>
      </c>
      <c r="AK228" s="44">
        <f t="shared" si="34"/>
        <v>0</v>
      </c>
      <c r="AL228" s="43">
        <v>0</v>
      </c>
      <c r="AM228" s="43">
        <v>0</v>
      </c>
      <c r="AN228" s="43">
        <v>0</v>
      </c>
      <c r="AO228" s="43">
        <v>0</v>
      </c>
      <c r="AP228" s="43">
        <v>0</v>
      </c>
      <c r="AQ228" s="43">
        <v>0</v>
      </c>
      <c r="AR228" s="43">
        <v>0</v>
      </c>
      <c r="AS228" s="43">
        <v>150</v>
      </c>
      <c r="AT228" s="43">
        <v>150</v>
      </c>
      <c r="AU228" s="43">
        <v>0</v>
      </c>
      <c r="AV228" s="43">
        <v>150</v>
      </c>
      <c r="AW228" s="43">
        <v>150</v>
      </c>
      <c r="AX228" s="44">
        <f t="shared" si="35"/>
        <v>600</v>
      </c>
      <c r="AY228" s="311">
        <f>SUMIF(Recibos!$D$4:$D$7493,Cobranza!$B228,Recibos!K$4:K$7493)</f>
        <v>0</v>
      </c>
      <c r="AZ228" s="311">
        <f>SUMIF(Recibos!$D$4:$D$7493,Cobranza!$B228,Recibos!L$4:L$7493)</f>
        <v>0</v>
      </c>
      <c r="BA228" s="311">
        <f>SUMIF(Recibos!$D$4:$D$7493,Cobranza!$B228,Recibos!M$4:M$7493)</f>
        <v>0</v>
      </c>
      <c r="BB228" s="311">
        <f>SUMIF(Recibos!$D$4:$D$7493,Cobranza!$B228,Recibos!N$4:N$7493)</f>
        <v>0</v>
      </c>
      <c r="BC228" s="311">
        <f>SUMIF(Recibos!$D$4:$D$7493,Cobranza!$B228,Recibos!O$4:O$7493)</f>
        <v>150</v>
      </c>
      <c r="BD228" s="311">
        <f>SUMIF(Recibos!$D$4:$D$7493,Cobranza!$B228,Recibos!P$4:P$7493)</f>
        <v>100</v>
      </c>
      <c r="BE228" s="311">
        <f>SUMIF(Recibos!$D$4:$D$7493,Cobranza!$B228,Recibos!Q$4:Q$7493)</f>
        <v>150</v>
      </c>
      <c r="BF228" s="311">
        <f>SUMIF(Recibos!$D$4:$D$7493,Cobranza!$B228,Recibos!R$4:R$7493)</f>
        <v>150</v>
      </c>
      <c r="BG228" s="311">
        <f>SUMIF(Recibos!$D$4:$D$7493,Cobranza!$B228,Recibos!S$4:S$7493)</f>
        <v>150</v>
      </c>
      <c r="BH228" s="311">
        <f>SUMIF(Recibos!$D$4:$D$7493,Cobranza!$B228,Recibos!T$4:T$7493)</f>
        <v>150</v>
      </c>
      <c r="BI228" s="311">
        <f>SUMIF(Recibos!$D$4:$D$7493,Cobranza!$B228,Recibos!U$4:U$7493)</f>
        <v>150</v>
      </c>
      <c r="BJ228" s="311">
        <f>SUMIF(Recibos!$D$4:$D$7493,Cobranza!$B228,Recibos!V$4:V$7493)</f>
        <v>150</v>
      </c>
      <c r="BK228" s="312">
        <f t="shared" si="36"/>
        <v>1150</v>
      </c>
      <c r="BL228" s="311">
        <f>SUMIF(Recibos!$D$4:$D$7493,Cobranza!$B228,Recibos!X$4:X$7493)</f>
        <v>150</v>
      </c>
      <c r="BM228" s="311">
        <f>SUMIF(Recibos!$D$4:$D$7493,Cobranza!$B228,Recibos!Y$4:Y$7493)</f>
        <v>150</v>
      </c>
      <c r="BN228" s="311">
        <f>SUMIF(Recibos!$D$4:$D$7493,Cobranza!$B228,Recibos!Z$4:Z$7493)</f>
        <v>150</v>
      </c>
      <c r="BO228" s="311">
        <f>SUMIF(Recibos!$D$4:$D$7493,Cobranza!$B228,Recibos!AA$4:AA$7493)</f>
        <v>150</v>
      </c>
      <c r="BP228" s="311">
        <f>SUMIF(Recibos!$D$4:$D$7493,Cobranza!$B228,Recibos!AB$4:AB$7493)</f>
        <v>0</v>
      </c>
      <c r="BQ228" s="311">
        <f>SUMIF(Recibos!$D$4:$D$7493,Cobranza!$B228,Recibos!AC$4:AC$7493)</f>
        <v>0</v>
      </c>
      <c r="BR228" s="311">
        <f>SUMIF(Recibos!$D$4:$D$7493,Cobranza!$B228,Recibos!AD$4:AD$7493)</f>
        <v>0</v>
      </c>
      <c r="BS228" s="311">
        <f>SUMIF(Recibos!$D$4:$D$7493,Cobranza!$B228,Recibos!AE$4:AE$7493)</f>
        <v>150</v>
      </c>
      <c r="BT228" s="311">
        <f>SUMIF(Recibos!$D$4:$D$7493,Cobranza!$B228,Recibos!AF$4:AF$7493)</f>
        <v>0</v>
      </c>
      <c r="BU228" s="311">
        <f>SUMIF(Recibos!$D$4:$D$7493,Cobranza!$B228,Recibos!AG$4:AG$7493)</f>
        <v>0</v>
      </c>
      <c r="BV228" s="311">
        <f>SUMIF(Recibos!$D$4:$D$7493,Cobranza!$B228,Recibos!AH$4:AH$7493)</f>
        <v>0</v>
      </c>
      <c r="BW228" s="311">
        <f>SUMIF(Recibos!$D$4:$D$7493,Cobranza!$B228,Recibos!AI$4:AI$7493)</f>
        <v>0</v>
      </c>
      <c r="BX228" s="312">
        <f t="shared" si="37"/>
        <v>750</v>
      </c>
      <c r="BY228" s="311">
        <f>SUMIF(Recibos!$D$4:$D$7493,Cobranza!$B228,Recibos!AK$4:AK$7493)</f>
        <v>0</v>
      </c>
      <c r="BZ228" s="311">
        <f>SUMIF(Recibos!$D$4:$D$7493,Cobranza!$B228,Recibos!AL$4:AL$7493)</f>
        <v>0</v>
      </c>
      <c r="CA228" s="311">
        <f>SUMIF(Recibos!$D$4:$D$7493,Cobranza!$B228,Recibos!AM$4:AM$7493)</f>
        <v>0</v>
      </c>
      <c r="CB228" s="311">
        <f>SUMIF(Recibos!$D$4:$D$7493,Cobranza!$B228,Recibos!AN$4:AN$7493)</f>
        <v>0</v>
      </c>
      <c r="CC228" s="311">
        <f>SUMIF(Recibos!$D$4:$D$7493,Cobranza!$B228,Recibos!AO$4:AO$7493)</f>
        <v>200</v>
      </c>
      <c r="CD228" s="311">
        <f>SUMIF(Recibos!$D$4:$D$7493,Cobranza!$B228,Recibos!AP$4:AP$7493)</f>
        <v>200</v>
      </c>
      <c r="CE228" s="311">
        <f>SUMIF(Recibos!$D$4:$D$7493,Cobranza!$B228,Recibos!AQ$4:AQ$7493)</f>
        <v>200</v>
      </c>
      <c r="CF228" s="311">
        <f>SUMIF(Recibos!$D$4:$D$7493,Cobranza!$B228,Recibos!AR$4:AR$7493)</f>
        <v>0</v>
      </c>
      <c r="CG228" s="311">
        <f>SUMIF(Recibos!$D$4:$D$7493,Cobranza!$B228,Recibos!AS$4:AS$7493)</f>
        <v>0</v>
      </c>
      <c r="CH228" s="311">
        <f>SUMIF(Recibos!$D$4:$D$7493,Cobranza!$B228,Recibos!AT$4:AT$7493)</f>
        <v>0</v>
      </c>
      <c r="CI228" s="311">
        <f>SUMIF(Recibos!$D$4:$D$7493,Cobranza!$B228,Recibos!AU$4:AU$7493)</f>
        <v>0</v>
      </c>
      <c r="CJ228" s="311">
        <f>SUMIF(Recibos!$D$4:$D$7493,Cobranza!$B228,Recibos!AV$4:AV$7493)</f>
        <v>0</v>
      </c>
      <c r="CK228" s="312">
        <f t="shared" si="31"/>
        <v>600</v>
      </c>
    </row>
    <row r="229" spans="2:89" x14ac:dyDescent="0.2">
      <c r="B229" s="45" t="s">
        <v>1381</v>
      </c>
      <c r="C229" s="45" t="s">
        <v>39</v>
      </c>
      <c r="D229" s="45" t="s">
        <v>40</v>
      </c>
      <c r="E229" s="46">
        <v>0</v>
      </c>
      <c r="F229" s="46">
        <v>0</v>
      </c>
      <c r="G229" s="46">
        <v>0</v>
      </c>
      <c r="H229" s="46">
        <v>0</v>
      </c>
      <c r="I229" s="46">
        <v>0</v>
      </c>
      <c r="J229" s="46">
        <v>0</v>
      </c>
      <c r="K229" s="47">
        <f t="shared" si="32"/>
        <v>0</v>
      </c>
      <c r="L229" s="46">
        <v>150</v>
      </c>
      <c r="M229" s="46">
        <v>150</v>
      </c>
      <c r="N229" s="46">
        <v>0</v>
      </c>
      <c r="O229" s="46">
        <v>0</v>
      </c>
      <c r="P229" s="46">
        <v>0</v>
      </c>
      <c r="Q229" s="46">
        <v>0</v>
      </c>
      <c r="R229" s="46">
        <v>0</v>
      </c>
      <c r="S229" s="46">
        <v>0</v>
      </c>
      <c r="T229" s="46">
        <v>0</v>
      </c>
      <c r="U229" s="46">
        <v>0</v>
      </c>
      <c r="V229" s="46">
        <v>0</v>
      </c>
      <c r="W229" s="46">
        <v>0</v>
      </c>
      <c r="X229" s="47">
        <f t="shared" si="33"/>
        <v>300</v>
      </c>
      <c r="Y229" s="46">
        <v>0</v>
      </c>
      <c r="Z229" s="46">
        <v>0</v>
      </c>
      <c r="AA229" s="46">
        <v>0</v>
      </c>
      <c r="AB229" s="46">
        <v>0</v>
      </c>
      <c r="AC229" s="46">
        <v>0</v>
      </c>
      <c r="AD229" s="46">
        <v>0</v>
      </c>
      <c r="AE229" s="46">
        <v>0</v>
      </c>
      <c r="AF229" s="46">
        <v>0</v>
      </c>
      <c r="AG229" s="46">
        <v>0</v>
      </c>
      <c r="AH229" s="46">
        <v>0</v>
      </c>
      <c r="AI229" s="46">
        <v>0</v>
      </c>
      <c r="AJ229" s="46">
        <v>0</v>
      </c>
      <c r="AK229" s="47">
        <f t="shared" si="34"/>
        <v>0</v>
      </c>
      <c r="AL229" s="46">
        <v>0</v>
      </c>
      <c r="AM229" s="46">
        <v>0</v>
      </c>
      <c r="AN229" s="46">
        <v>0</v>
      </c>
      <c r="AO229" s="46">
        <v>0</v>
      </c>
      <c r="AP229" s="46">
        <v>0</v>
      </c>
      <c r="AQ229" s="46">
        <v>0</v>
      </c>
      <c r="AR229" s="46">
        <v>0</v>
      </c>
      <c r="AS229" s="46">
        <v>150</v>
      </c>
      <c r="AT229" s="46">
        <v>0</v>
      </c>
      <c r="AU229" s="46">
        <v>0</v>
      </c>
      <c r="AV229" s="46">
        <v>0</v>
      </c>
      <c r="AW229" s="46">
        <v>0</v>
      </c>
      <c r="AX229" s="47">
        <f t="shared" si="35"/>
        <v>150</v>
      </c>
      <c r="AY229" s="313">
        <f>SUMIF(Recibos!$D$4:$D$7493,Cobranza!$B229,Recibos!K$4:K$7493)</f>
        <v>0</v>
      </c>
      <c r="AZ229" s="313">
        <f>SUMIF(Recibos!$D$4:$D$7493,Cobranza!$B229,Recibos!L$4:L$7493)</f>
        <v>0</v>
      </c>
      <c r="BA229" s="313">
        <f>SUMIF(Recibos!$D$4:$D$7493,Cobranza!$B229,Recibos!M$4:M$7493)</f>
        <v>0</v>
      </c>
      <c r="BB229" s="313">
        <f>SUMIF(Recibos!$D$4:$D$7493,Cobranza!$B229,Recibos!N$4:N$7493)</f>
        <v>0</v>
      </c>
      <c r="BC229" s="313">
        <f>SUMIF(Recibos!$D$4:$D$7493,Cobranza!$B229,Recibos!O$4:O$7493)</f>
        <v>0</v>
      </c>
      <c r="BD229" s="313">
        <f>SUMIF(Recibos!$D$4:$D$7493,Cobranza!$B229,Recibos!P$4:P$7493)</f>
        <v>0</v>
      </c>
      <c r="BE229" s="313">
        <f>SUMIF(Recibos!$D$4:$D$7493,Cobranza!$B229,Recibos!Q$4:Q$7493)</f>
        <v>0</v>
      </c>
      <c r="BF229" s="313">
        <f>SUMIF(Recibos!$D$4:$D$7493,Cobranza!$B229,Recibos!R$4:R$7493)</f>
        <v>0</v>
      </c>
      <c r="BG229" s="313">
        <f>SUMIF(Recibos!$D$4:$D$7493,Cobranza!$B229,Recibos!S$4:S$7493)</f>
        <v>0</v>
      </c>
      <c r="BH229" s="313">
        <f>SUMIF(Recibos!$D$4:$D$7493,Cobranza!$B229,Recibos!T$4:T$7493)</f>
        <v>0</v>
      </c>
      <c r="BI229" s="313">
        <f>SUMIF(Recibos!$D$4:$D$7493,Cobranza!$B229,Recibos!U$4:U$7493)</f>
        <v>0</v>
      </c>
      <c r="BJ229" s="313">
        <f>SUMIF(Recibos!$D$4:$D$7493,Cobranza!$B229,Recibos!V$4:V$7493)</f>
        <v>0</v>
      </c>
      <c r="BK229" s="314">
        <f t="shared" si="36"/>
        <v>0</v>
      </c>
      <c r="BL229" s="313">
        <f>SUMIF(Recibos!$D$4:$D$7493,Cobranza!$B229,Recibos!X$4:X$7493)</f>
        <v>0</v>
      </c>
      <c r="BM229" s="313">
        <f>SUMIF(Recibos!$D$4:$D$7493,Cobranza!$B229,Recibos!Y$4:Y$7493)</f>
        <v>0</v>
      </c>
      <c r="BN229" s="313">
        <f>SUMIF(Recibos!$D$4:$D$7493,Cobranza!$B229,Recibos!Z$4:Z$7493)</f>
        <v>0</v>
      </c>
      <c r="BO229" s="313">
        <f>SUMIF(Recibos!$D$4:$D$7493,Cobranza!$B229,Recibos!AA$4:AA$7493)</f>
        <v>0</v>
      </c>
      <c r="BP229" s="313">
        <f>SUMIF(Recibos!$D$4:$D$7493,Cobranza!$B229,Recibos!AB$4:AB$7493)</f>
        <v>0</v>
      </c>
      <c r="BQ229" s="313">
        <f>SUMIF(Recibos!$D$4:$D$7493,Cobranza!$B229,Recibos!AC$4:AC$7493)</f>
        <v>0</v>
      </c>
      <c r="BR229" s="313">
        <f>SUMIF(Recibos!$D$4:$D$7493,Cobranza!$B229,Recibos!AD$4:AD$7493)</f>
        <v>0</v>
      </c>
      <c r="BS229" s="313">
        <f>SUMIF(Recibos!$D$4:$D$7493,Cobranza!$B229,Recibos!AE$4:AE$7493)</f>
        <v>0</v>
      </c>
      <c r="BT229" s="313">
        <f>SUMIF(Recibos!$D$4:$D$7493,Cobranza!$B229,Recibos!AF$4:AF$7493)</f>
        <v>0</v>
      </c>
      <c r="BU229" s="313">
        <f>SUMIF(Recibos!$D$4:$D$7493,Cobranza!$B229,Recibos!AG$4:AG$7493)</f>
        <v>0</v>
      </c>
      <c r="BV229" s="313">
        <f>SUMIF(Recibos!$D$4:$D$7493,Cobranza!$B229,Recibos!AH$4:AH$7493)</f>
        <v>0</v>
      </c>
      <c r="BW229" s="313">
        <f>SUMIF(Recibos!$D$4:$D$7493,Cobranza!$B229,Recibos!AI$4:AI$7493)</f>
        <v>0</v>
      </c>
      <c r="BX229" s="314">
        <f t="shared" si="37"/>
        <v>0</v>
      </c>
      <c r="BY229" s="313">
        <f>SUMIF(Recibos!$D$4:$D$7493,Cobranza!$B229,Recibos!AK$4:AK$7493)</f>
        <v>0</v>
      </c>
      <c r="BZ229" s="313">
        <f>SUMIF(Recibos!$D$4:$D$7493,Cobranza!$B229,Recibos!AL$4:AL$7493)</f>
        <v>0</v>
      </c>
      <c r="CA229" s="313">
        <f>SUMIF(Recibos!$D$4:$D$7493,Cobranza!$B229,Recibos!AM$4:AM$7493)</f>
        <v>0</v>
      </c>
      <c r="CB229" s="313">
        <f>SUMIF(Recibos!$D$4:$D$7493,Cobranza!$B229,Recibos!AN$4:AN$7493)</f>
        <v>0</v>
      </c>
      <c r="CC229" s="313">
        <f>SUMIF(Recibos!$D$4:$D$7493,Cobranza!$B229,Recibos!AO$4:AO$7493)</f>
        <v>0</v>
      </c>
      <c r="CD229" s="313">
        <f>SUMIF(Recibos!$D$4:$D$7493,Cobranza!$B229,Recibos!AP$4:AP$7493)</f>
        <v>0</v>
      </c>
      <c r="CE229" s="313">
        <f>SUMIF(Recibos!$D$4:$D$7493,Cobranza!$B229,Recibos!AQ$4:AQ$7493)</f>
        <v>0</v>
      </c>
      <c r="CF229" s="313">
        <f>SUMIF(Recibos!$D$4:$D$7493,Cobranza!$B229,Recibos!AR$4:AR$7493)</f>
        <v>0</v>
      </c>
      <c r="CG229" s="313">
        <f>SUMIF(Recibos!$D$4:$D$7493,Cobranza!$B229,Recibos!AS$4:AS$7493)</f>
        <v>0</v>
      </c>
      <c r="CH229" s="313">
        <f>SUMIF(Recibos!$D$4:$D$7493,Cobranza!$B229,Recibos!AT$4:AT$7493)</f>
        <v>0</v>
      </c>
      <c r="CI229" s="313">
        <f>SUMIF(Recibos!$D$4:$D$7493,Cobranza!$B229,Recibos!AU$4:AU$7493)</f>
        <v>0</v>
      </c>
      <c r="CJ229" s="313">
        <f>SUMIF(Recibos!$D$4:$D$7493,Cobranza!$B229,Recibos!AV$4:AV$7493)</f>
        <v>0</v>
      </c>
      <c r="CK229" s="314">
        <f t="shared" si="31"/>
        <v>0</v>
      </c>
    </row>
    <row r="230" spans="2:89" x14ac:dyDescent="0.2">
      <c r="B230" s="42" t="s">
        <v>494</v>
      </c>
      <c r="C230" s="42" t="s">
        <v>495</v>
      </c>
      <c r="D230" s="42" t="s">
        <v>496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4">
        <f t="shared" si="32"/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  <c r="V230" s="43">
        <v>0</v>
      </c>
      <c r="W230" s="43">
        <v>0</v>
      </c>
      <c r="X230" s="44">
        <f t="shared" si="33"/>
        <v>0</v>
      </c>
      <c r="Y230" s="43">
        <v>0</v>
      </c>
      <c r="Z230" s="43">
        <v>0</v>
      </c>
      <c r="AA230" s="43">
        <v>0</v>
      </c>
      <c r="AB230" s="43">
        <v>0</v>
      </c>
      <c r="AC230" s="43">
        <v>0</v>
      </c>
      <c r="AD230" s="43">
        <v>0</v>
      </c>
      <c r="AE230" s="43">
        <v>0</v>
      </c>
      <c r="AF230" s="43">
        <v>0</v>
      </c>
      <c r="AG230" s="43">
        <v>0</v>
      </c>
      <c r="AH230" s="43">
        <v>0</v>
      </c>
      <c r="AI230" s="43">
        <v>0</v>
      </c>
      <c r="AJ230" s="43">
        <v>0</v>
      </c>
      <c r="AK230" s="44">
        <f t="shared" si="34"/>
        <v>0</v>
      </c>
      <c r="AL230" s="43">
        <v>150</v>
      </c>
      <c r="AM230" s="43">
        <v>150</v>
      </c>
      <c r="AN230" s="43">
        <v>150</v>
      </c>
      <c r="AO230" s="43">
        <v>150</v>
      </c>
      <c r="AP230" s="43">
        <v>150</v>
      </c>
      <c r="AQ230" s="43">
        <v>150</v>
      </c>
      <c r="AR230" s="43">
        <v>0</v>
      </c>
      <c r="AS230" s="43">
        <v>0</v>
      </c>
      <c r="AT230" s="43">
        <v>150</v>
      </c>
      <c r="AU230" s="43">
        <v>150</v>
      </c>
      <c r="AV230" s="43">
        <v>150</v>
      </c>
      <c r="AW230" s="43">
        <v>150</v>
      </c>
      <c r="AX230" s="44">
        <f t="shared" si="35"/>
        <v>1500</v>
      </c>
      <c r="AY230" s="311">
        <f>SUMIF(Recibos!$D$4:$D$7493,Cobranza!$B230,Recibos!K$4:K$7493)</f>
        <v>150</v>
      </c>
      <c r="AZ230" s="311">
        <f>SUMIF(Recibos!$D$4:$D$7493,Cobranza!$B230,Recibos!L$4:L$7493)</f>
        <v>150</v>
      </c>
      <c r="BA230" s="311">
        <f>SUMIF(Recibos!$D$4:$D$7493,Cobranza!$B230,Recibos!M$4:M$7493)</f>
        <v>150</v>
      </c>
      <c r="BB230" s="311">
        <f>SUMIF(Recibos!$D$4:$D$7493,Cobranza!$B230,Recibos!N$4:N$7493)</f>
        <v>150</v>
      </c>
      <c r="BC230" s="311">
        <f>SUMIF(Recibos!$D$4:$D$7493,Cobranza!$B230,Recibos!O$4:O$7493)</f>
        <v>150</v>
      </c>
      <c r="BD230" s="311">
        <f>SUMIF(Recibos!$D$4:$D$7493,Cobranza!$B230,Recibos!P$4:P$7493)</f>
        <v>0</v>
      </c>
      <c r="BE230" s="311">
        <f>SUMIF(Recibos!$D$4:$D$7493,Cobranza!$B230,Recibos!Q$4:Q$7493)</f>
        <v>300</v>
      </c>
      <c r="BF230" s="311">
        <f>SUMIF(Recibos!$D$4:$D$7493,Cobranza!$B230,Recibos!R$4:R$7493)</f>
        <v>150</v>
      </c>
      <c r="BG230" s="311">
        <f>SUMIF(Recibos!$D$4:$D$7493,Cobranza!$B230,Recibos!S$4:S$7493)</f>
        <v>150</v>
      </c>
      <c r="BH230" s="311">
        <f>SUMIF(Recibos!$D$4:$D$7493,Cobranza!$B230,Recibos!T$4:T$7493)</f>
        <v>150</v>
      </c>
      <c r="BI230" s="311">
        <f>SUMIF(Recibos!$D$4:$D$7493,Cobranza!$B230,Recibos!U$4:U$7493)</f>
        <v>150</v>
      </c>
      <c r="BJ230" s="311">
        <f>SUMIF(Recibos!$D$4:$D$7493,Cobranza!$B230,Recibos!V$4:V$7493)</f>
        <v>150</v>
      </c>
      <c r="BK230" s="312">
        <f t="shared" si="36"/>
        <v>1800</v>
      </c>
      <c r="BL230" s="311">
        <f>SUMIF(Recibos!$D$4:$D$7493,Cobranza!$B230,Recibos!X$4:X$7493)</f>
        <v>150</v>
      </c>
      <c r="BM230" s="311">
        <f>SUMIF(Recibos!$D$4:$D$7493,Cobranza!$B230,Recibos!Y$4:Y$7493)</f>
        <v>150</v>
      </c>
      <c r="BN230" s="311">
        <f>SUMIF(Recibos!$D$4:$D$7493,Cobranza!$B230,Recibos!Z$4:Z$7493)</f>
        <v>150</v>
      </c>
      <c r="BO230" s="311">
        <f>SUMIF(Recibos!$D$4:$D$7493,Cobranza!$B230,Recibos!AA$4:AA$7493)</f>
        <v>150</v>
      </c>
      <c r="BP230" s="311">
        <f>SUMIF(Recibos!$D$4:$D$7493,Cobranza!$B230,Recibos!AB$4:AB$7493)</f>
        <v>150</v>
      </c>
      <c r="BQ230" s="311">
        <f>SUMIF(Recibos!$D$4:$D$7493,Cobranza!$B230,Recibos!AC$4:AC$7493)</f>
        <v>150</v>
      </c>
      <c r="BR230" s="311">
        <f>SUMIF(Recibos!$D$4:$D$7493,Cobranza!$B230,Recibos!AD$4:AD$7493)</f>
        <v>150</v>
      </c>
      <c r="BS230" s="311">
        <f>SUMIF(Recibos!$D$4:$D$7493,Cobranza!$B230,Recibos!AE$4:AE$7493)</f>
        <v>150</v>
      </c>
      <c r="BT230" s="311">
        <f>SUMIF(Recibos!$D$4:$D$7493,Cobranza!$B230,Recibos!AF$4:AF$7493)</f>
        <v>150</v>
      </c>
      <c r="BU230" s="311">
        <f>SUMIF(Recibos!$D$4:$D$7493,Cobranza!$B230,Recibos!AG$4:AG$7493)</f>
        <v>150</v>
      </c>
      <c r="BV230" s="311">
        <f>SUMIF(Recibos!$D$4:$D$7493,Cobranza!$B230,Recibos!AH$4:AH$7493)</f>
        <v>150</v>
      </c>
      <c r="BW230" s="311">
        <f>SUMIF(Recibos!$D$4:$D$7493,Cobranza!$B230,Recibos!AI$4:AI$7493)</f>
        <v>150</v>
      </c>
      <c r="BX230" s="312">
        <f t="shared" si="37"/>
        <v>1800</v>
      </c>
      <c r="BY230" s="311">
        <f>SUMIF(Recibos!$D$4:$D$7493,Cobranza!$B230,Recibos!AK$4:AK$7493)</f>
        <v>150</v>
      </c>
      <c r="BZ230" s="311">
        <f>SUMIF(Recibos!$D$4:$D$7493,Cobranza!$B230,Recibos!AL$4:AL$7493)</f>
        <v>150</v>
      </c>
      <c r="CA230" s="311">
        <f>SUMIF(Recibos!$D$4:$D$7493,Cobranza!$B230,Recibos!AM$4:AM$7493)</f>
        <v>150</v>
      </c>
      <c r="CB230" s="311">
        <f>SUMIF(Recibos!$D$4:$D$7493,Cobranza!$B230,Recibos!AN$4:AN$7493)</f>
        <v>150</v>
      </c>
      <c r="CC230" s="311">
        <f>SUMIF(Recibos!$D$4:$D$7493,Cobranza!$B230,Recibos!AO$4:AO$7493)</f>
        <v>150</v>
      </c>
      <c r="CD230" s="311">
        <f>SUMIF(Recibos!$D$4:$D$7493,Cobranza!$B230,Recibos!AP$4:AP$7493)</f>
        <v>150</v>
      </c>
      <c r="CE230" s="311">
        <f>SUMIF(Recibos!$D$4:$D$7493,Cobranza!$B230,Recibos!AQ$4:AQ$7493)</f>
        <v>150</v>
      </c>
      <c r="CF230" s="311">
        <f>SUMIF(Recibos!$D$4:$D$7493,Cobranza!$B230,Recibos!AR$4:AR$7493)</f>
        <v>150</v>
      </c>
      <c r="CG230" s="311">
        <f>SUMIF(Recibos!$D$4:$D$7493,Cobranza!$B230,Recibos!AS$4:AS$7493)</f>
        <v>150</v>
      </c>
      <c r="CH230" s="311">
        <f>SUMIF(Recibos!$D$4:$D$7493,Cobranza!$B230,Recibos!AT$4:AT$7493)</f>
        <v>150</v>
      </c>
      <c r="CI230" s="311">
        <f>SUMIF(Recibos!$D$4:$D$7493,Cobranza!$B230,Recibos!AU$4:AU$7493)</f>
        <v>0</v>
      </c>
      <c r="CJ230" s="311">
        <f>SUMIF(Recibos!$D$4:$D$7493,Cobranza!$B230,Recibos!AV$4:AV$7493)</f>
        <v>0</v>
      </c>
      <c r="CK230" s="312">
        <f t="shared" si="31"/>
        <v>1500</v>
      </c>
    </row>
    <row r="231" spans="2:89" x14ac:dyDescent="0.2">
      <c r="B231" s="45" t="s">
        <v>395</v>
      </c>
      <c r="C231" s="45" t="s">
        <v>396</v>
      </c>
      <c r="D231" s="45" t="s">
        <v>397</v>
      </c>
      <c r="E231" s="46">
        <v>0</v>
      </c>
      <c r="F231" s="46">
        <v>0</v>
      </c>
      <c r="G231" s="46">
        <v>0</v>
      </c>
      <c r="H231" s="46">
        <v>0</v>
      </c>
      <c r="I231" s="46">
        <v>0</v>
      </c>
      <c r="J231" s="46">
        <v>150</v>
      </c>
      <c r="K231" s="47">
        <f t="shared" si="32"/>
        <v>150</v>
      </c>
      <c r="L231" s="46">
        <v>150</v>
      </c>
      <c r="M231" s="46">
        <v>150</v>
      </c>
      <c r="N231" s="46">
        <v>150</v>
      </c>
      <c r="O231" s="46">
        <v>150</v>
      </c>
      <c r="P231" s="46">
        <v>150</v>
      </c>
      <c r="Q231" s="46">
        <v>150</v>
      </c>
      <c r="R231" s="46">
        <v>150</v>
      </c>
      <c r="S231" s="46">
        <v>150</v>
      </c>
      <c r="T231" s="46">
        <v>150</v>
      </c>
      <c r="U231" s="46">
        <v>150</v>
      </c>
      <c r="V231" s="46">
        <v>150</v>
      </c>
      <c r="W231" s="46">
        <v>150</v>
      </c>
      <c r="X231" s="47">
        <f t="shared" si="33"/>
        <v>1800</v>
      </c>
      <c r="Y231" s="46">
        <v>150</v>
      </c>
      <c r="Z231" s="46">
        <v>150</v>
      </c>
      <c r="AA231" s="46">
        <v>150</v>
      </c>
      <c r="AB231" s="46">
        <v>150</v>
      </c>
      <c r="AC231" s="46">
        <v>150</v>
      </c>
      <c r="AD231" s="46">
        <v>150</v>
      </c>
      <c r="AE231" s="46">
        <v>150</v>
      </c>
      <c r="AF231" s="46">
        <v>150</v>
      </c>
      <c r="AG231" s="46">
        <v>150</v>
      </c>
      <c r="AH231" s="46">
        <v>150</v>
      </c>
      <c r="AI231" s="46">
        <v>150</v>
      </c>
      <c r="AJ231" s="46">
        <v>150</v>
      </c>
      <c r="AK231" s="47">
        <f t="shared" si="34"/>
        <v>1800</v>
      </c>
      <c r="AL231" s="46">
        <v>150</v>
      </c>
      <c r="AM231" s="46">
        <v>150</v>
      </c>
      <c r="AN231" s="46">
        <v>150</v>
      </c>
      <c r="AO231" s="46">
        <v>150</v>
      </c>
      <c r="AP231" s="46">
        <v>150</v>
      </c>
      <c r="AQ231" s="46">
        <v>150</v>
      </c>
      <c r="AR231" s="46">
        <v>150</v>
      </c>
      <c r="AS231" s="46">
        <v>150</v>
      </c>
      <c r="AT231" s="46">
        <v>150</v>
      </c>
      <c r="AU231" s="46">
        <v>150</v>
      </c>
      <c r="AV231" s="46">
        <v>150</v>
      </c>
      <c r="AW231" s="46">
        <v>150</v>
      </c>
      <c r="AX231" s="47">
        <f t="shared" si="35"/>
        <v>1800</v>
      </c>
      <c r="AY231" s="313">
        <f>SUMIF(Recibos!$D$4:$D$7493,Cobranza!$B231,Recibos!K$4:K$7493)</f>
        <v>150</v>
      </c>
      <c r="AZ231" s="313">
        <f>SUMIF(Recibos!$D$4:$D$7493,Cobranza!$B231,Recibos!L$4:L$7493)</f>
        <v>150</v>
      </c>
      <c r="BA231" s="313">
        <f>SUMIF(Recibos!$D$4:$D$7493,Cobranza!$B231,Recibos!M$4:M$7493)</f>
        <v>150</v>
      </c>
      <c r="BB231" s="313">
        <f>SUMIF(Recibos!$D$4:$D$7493,Cobranza!$B231,Recibos!N$4:N$7493)</f>
        <v>150</v>
      </c>
      <c r="BC231" s="313">
        <f>SUMIF(Recibos!$D$4:$D$7493,Cobranza!$B231,Recibos!O$4:O$7493)</f>
        <v>150</v>
      </c>
      <c r="BD231" s="313">
        <f>SUMIF(Recibos!$D$4:$D$7493,Cobranza!$B231,Recibos!P$4:P$7493)</f>
        <v>150</v>
      </c>
      <c r="BE231" s="313">
        <f>SUMIF(Recibos!$D$4:$D$7493,Cobranza!$B231,Recibos!Q$4:Q$7493)</f>
        <v>150</v>
      </c>
      <c r="BF231" s="313">
        <f>SUMIF(Recibos!$D$4:$D$7493,Cobranza!$B231,Recibos!R$4:R$7493)</f>
        <v>200</v>
      </c>
      <c r="BG231" s="313">
        <f>SUMIF(Recibos!$D$4:$D$7493,Cobranza!$B231,Recibos!S$4:S$7493)</f>
        <v>200</v>
      </c>
      <c r="BH231" s="313">
        <f>SUMIF(Recibos!$D$4:$D$7493,Cobranza!$B231,Recibos!T$4:T$7493)</f>
        <v>200</v>
      </c>
      <c r="BI231" s="313">
        <f>SUMIF(Recibos!$D$4:$D$7493,Cobranza!$B231,Recibos!U$4:U$7493)</f>
        <v>200</v>
      </c>
      <c r="BJ231" s="313">
        <f>SUMIF(Recibos!$D$4:$D$7493,Cobranza!$B231,Recibos!V$4:V$7493)</f>
        <v>200</v>
      </c>
      <c r="BK231" s="314">
        <f t="shared" si="36"/>
        <v>2050</v>
      </c>
      <c r="BL231" s="313">
        <f>SUMIF(Recibos!$D$4:$D$7493,Cobranza!$B231,Recibos!X$4:X$7493)</f>
        <v>200</v>
      </c>
      <c r="BM231" s="313">
        <f>SUMIF(Recibos!$D$4:$D$7493,Cobranza!$B231,Recibos!Y$4:Y$7493)</f>
        <v>200</v>
      </c>
      <c r="BN231" s="313">
        <f>SUMIF(Recibos!$D$4:$D$7493,Cobranza!$B231,Recibos!Z$4:Z$7493)</f>
        <v>200</v>
      </c>
      <c r="BO231" s="313">
        <f>SUMIF(Recibos!$D$4:$D$7493,Cobranza!$B231,Recibos!AA$4:AA$7493)</f>
        <v>200</v>
      </c>
      <c r="BP231" s="313">
        <f>SUMIF(Recibos!$D$4:$D$7493,Cobranza!$B231,Recibos!AB$4:AB$7493)</f>
        <v>200</v>
      </c>
      <c r="BQ231" s="313">
        <f>SUMIF(Recibos!$D$4:$D$7493,Cobranza!$B231,Recibos!AC$4:AC$7493)</f>
        <v>200</v>
      </c>
      <c r="BR231" s="313">
        <f>SUMIF(Recibos!$D$4:$D$7493,Cobranza!$B231,Recibos!AD$4:AD$7493)</f>
        <v>200</v>
      </c>
      <c r="BS231" s="313">
        <f>SUMIF(Recibos!$D$4:$D$7493,Cobranza!$B231,Recibos!AE$4:AE$7493)</f>
        <v>200</v>
      </c>
      <c r="BT231" s="313">
        <f>SUMIF(Recibos!$D$4:$D$7493,Cobranza!$B231,Recibos!AF$4:AF$7493)</f>
        <v>200</v>
      </c>
      <c r="BU231" s="313">
        <f>SUMIF(Recibos!$D$4:$D$7493,Cobranza!$B231,Recibos!AG$4:AG$7493)</f>
        <v>200</v>
      </c>
      <c r="BV231" s="313">
        <f>SUMIF(Recibos!$D$4:$D$7493,Cobranza!$B231,Recibos!AH$4:AH$7493)</f>
        <v>200</v>
      </c>
      <c r="BW231" s="313">
        <f>SUMIF(Recibos!$D$4:$D$7493,Cobranza!$B231,Recibos!AI$4:AI$7493)</f>
        <v>200</v>
      </c>
      <c r="BX231" s="314">
        <f t="shared" si="37"/>
        <v>2400</v>
      </c>
      <c r="BY231" s="313">
        <f>SUMIF(Recibos!$D$4:$D$7493,Cobranza!$B231,Recibos!AK$4:AK$7493)</f>
        <v>200</v>
      </c>
      <c r="BZ231" s="313">
        <f>SUMIF(Recibos!$D$4:$D$7493,Cobranza!$B231,Recibos!AL$4:AL$7493)</f>
        <v>200</v>
      </c>
      <c r="CA231" s="313">
        <f>SUMIF(Recibos!$D$4:$D$7493,Cobranza!$B231,Recibos!AM$4:AM$7493)</f>
        <v>200</v>
      </c>
      <c r="CB231" s="313">
        <f>SUMIF(Recibos!$D$4:$D$7493,Cobranza!$B231,Recibos!AN$4:AN$7493)</f>
        <v>200</v>
      </c>
      <c r="CC231" s="313">
        <f>SUMIF(Recibos!$D$4:$D$7493,Cobranza!$B231,Recibos!AO$4:AO$7493)</f>
        <v>200</v>
      </c>
      <c r="CD231" s="313">
        <f>SUMIF(Recibos!$D$4:$D$7493,Cobranza!$B231,Recibos!AP$4:AP$7493)</f>
        <v>200</v>
      </c>
      <c r="CE231" s="313">
        <f>SUMIF(Recibos!$D$4:$D$7493,Cobranza!$B231,Recibos!AQ$4:AQ$7493)</f>
        <v>200</v>
      </c>
      <c r="CF231" s="313">
        <f>SUMIF(Recibos!$D$4:$D$7493,Cobranza!$B231,Recibos!AR$4:AR$7493)</f>
        <v>200</v>
      </c>
      <c r="CG231" s="313">
        <f>SUMIF(Recibos!$D$4:$D$7493,Cobranza!$B231,Recibos!AS$4:AS$7493)</f>
        <v>200</v>
      </c>
      <c r="CH231" s="313">
        <f>SUMIF(Recibos!$D$4:$D$7493,Cobranza!$B231,Recibos!AT$4:AT$7493)</f>
        <v>200</v>
      </c>
      <c r="CI231" s="313">
        <f>SUMIF(Recibos!$D$4:$D$7493,Cobranza!$B231,Recibos!AU$4:AU$7493)</f>
        <v>0</v>
      </c>
      <c r="CJ231" s="313">
        <f>SUMIF(Recibos!$D$4:$D$7493,Cobranza!$B231,Recibos!AV$4:AV$7493)</f>
        <v>0</v>
      </c>
      <c r="CK231" s="314">
        <f t="shared" si="31"/>
        <v>2000</v>
      </c>
    </row>
    <row r="232" spans="2:89" x14ac:dyDescent="0.2">
      <c r="B232" s="42" t="s">
        <v>899</v>
      </c>
      <c r="C232" s="42" t="s">
        <v>900</v>
      </c>
      <c r="D232" s="42" t="s">
        <v>901</v>
      </c>
      <c r="E232" s="43">
        <v>0</v>
      </c>
      <c r="F232" s="43">
        <v>0</v>
      </c>
      <c r="G232" s="43">
        <v>0</v>
      </c>
      <c r="H232" s="43">
        <v>0</v>
      </c>
      <c r="I232" s="43">
        <v>250</v>
      </c>
      <c r="J232" s="43">
        <v>250</v>
      </c>
      <c r="K232" s="44">
        <f t="shared" si="32"/>
        <v>500</v>
      </c>
      <c r="L232" s="43">
        <v>250</v>
      </c>
      <c r="M232" s="43">
        <v>250</v>
      </c>
      <c r="N232" s="43">
        <v>250</v>
      </c>
      <c r="O232" s="43">
        <v>250</v>
      </c>
      <c r="P232" s="43">
        <v>250</v>
      </c>
      <c r="Q232" s="43">
        <v>250</v>
      </c>
      <c r="R232" s="43">
        <v>250</v>
      </c>
      <c r="S232" s="43">
        <v>250</v>
      </c>
      <c r="T232" s="43">
        <v>250</v>
      </c>
      <c r="U232" s="43">
        <v>250</v>
      </c>
      <c r="V232" s="43">
        <v>250</v>
      </c>
      <c r="W232" s="43">
        <v>250</v>
      </c>
      <c r="X232" s="44">
        <f t="shared" si="33"/>
        <v>3000</v>
      </c>
      <c r="Y232" s="43">
        <v>250</v>
      </c>
      <c r="Z232" s="43">
        <v>250</v>
      </c>
      <c r="AA232" s="43">
        <v>250</v>
      </c>
      <c r="AB232" s="43">
        <v>250</v>
      </c>
      <c r="AC232" s="43">
        <v>250</v>
      </c>
      <c r="AD232" s="43">
        <v>250</v>
      </c>
      <c r="AE232" s="43">
        <v>250</v>
      </c>
      <c r="AF232" s="43">
        <v>250</v>
      </c>
      <c r="AG232" s="43">
        <v>250</v>
      </c>
      <c r="AH232" s="43">
        <v>250</v>
      </c>
      <c r="AI232" s="43">
        <v>250</v>
      </c>
      <c r="AJ232" s="43">
        <v>250</v>
      </c>
      <c r="AK232" s="44">
        <f t="shared" si="34"/>
        <v>3000</v>
      </c>
      <c r="AL232" s="43">
        <v>250</v>
      </c>
      <c r="AM232" s="43">
        <v>250</v>
      </c>
      <c r="AN232" s="43">
        <v>250</v>
      </c>
      <c r="AO232" s="43">
        <v>250</v>
      </c>
      <c r="AP232" s="43">
        <v>250</v>
      </c>
      <c r="AQ232" s="43">
        <v>250</v>
      </c>
      <c r="AR232" s="43">
        <v>250</v>
      </c>
      <c r="AS232" s="43">
        <v>250</v>
      </c>
      <c r="AT232" s="43">
        <v>250</v>
      </c>
      <c r="AU232" s="43">
        <v>250</v>
      </c>
      <c r="AV232" s="43">
        <v>250</v>
      </c>
      <c r="AW232" s="43">
        <v>250</v>
      </c>
      <c r="AX232" s="44">
        <f t="shared" si="35"/>
        <v>3000</v>
      </c>
      <c r="AY232" s="311">
        <f>SUMIF(Recibos!$D$4:$D$7493,Cobranza!$B232,Recibos!K$4:K$7493)</f>
        <v>0</v>
      </c>
      <c r="AZ232" s="311">
        <f>SUMIF(Recibos!$D$4:$D$7493,Cobranza!$B232,Recibos!L$4:L$7493)</f>
        <v>0</v>
      </c>
      <c r="BA232" s="311">
        <f>SUMIF(Recibos!$D$4:$D$7493,Cobranza!$B232,Recibos!M$4:M$7493)</f>
        <v>250</v>
      </c>
      <c r="BB232" s="311">
        <f>SUMIF(Recibos!$D$4:$D$7493,Cobranza!$B232,Recibos!N$4:N$7493)</f>
        <v>250</v>
      </c>
      <c r="BC232" s="311">
        <f>SUMIF(Recibos!$D$4:$D$7493,Cobranza!$B232,Recibos!O$4:O$7493)</f>
        <v>250</v>
      </c>
      <c r="BD232" s="311">
        <f>SUMIF(Recibos!$D$4:$D$7493,Cobranza!$B232,Recibos!P$4:P$7493)</f>
        <v>250</v>
      </c>
      <c r="BE232" s="311">
        <f>SUMIF(Recibos!$D$4:$D$7493,Cobranza!$B232,Recibos!Q$4:Q$7493)</f>
        <v>400</v>
      </c>
      <c r="BF232" s="311">
        <f>SUMIF(Recibos!$D$4:$D$7493,Cobranza!$B232,Recibos!R$4:R$7493)</f>
        <v>400</v>
      </c>
      <c r="BG232" s="311">
        <f>SUMIF(Recibos!$D$4:$D$7493,Cobranza!$B232,Recibos!S$4:S$7493)</f>
        <v>400</v>
      </c>
      <c r="BH232" s="311">
        <f>SUMIF(Recibos!$D$4:$D$7493,Cobranza!$B232,Recibos!T$4:T$7493)</f>
        <v>400</v>
      </c>
      <c r="BI232" s="311">
        <f>SUMIF(Recibos!$D$4:$D$7493,Cobranza!$B232,Recibos!U$4:U$7493)</f>
        <v>400</v>
      </c>
      <c r="BJ232" s="311">
        <f>SUMIF(Recibos!$D$4:$D$7493,Cobranza!$B232,Recibos!V$4:V$7493)</f>
        <v>400</v>
      </c>
      <c r="BK232" s="312">
        <f t="shared" si="36"/>
        <v>3400</v>
      </c>
      <c r="BL232" s="311">
        <f>SUMIF(Recibos!$D$4:$D$7493,Cobranza!$B232,Recibos!X$4:X$7493)</f>
        <v>400</v>
      </c>
      <c r="BM232" s="311">
        <f>SUMIF(Recibos!$D$4:$D$7493,Cobranza!$B232,Recibos!Y$4:Y$7493)</f>
        <v>400</v>
      </c>
      <c r="BN232" s="311">
        <f>SUMIF(Recibos!$D$4:$D$7493,Cobranza!$B232,Recibos!Z$4:Z$7493)</f>
        <v>400</v>
      </c>
      <c r="BO232" s="311">
        <f>SUMIF(Recibos!$D$4:$D$7493,Cobranza!$B232,Recibos!AA$4:AA$7493)</f>
        <v>400</v>
      </c>
      <c r="BP232" s="311">
        <f>SUMIF(Recibos!$D$4:$D$7493,Cobranza!$B232,Recibos!AB$4:AB$7493)</f>
        <v>400</v>
      </c>
      <c r="BQ232" s="311">
        <f>SUMIF(Recibos!$D$4:$D$7493,Cobranza!$B232,Recibos!AC$4:AC$7493)</f>
        <v>400</v>
      </c>
      <c r="BR232" s="311">
        <f>SUMIF(Recibos!$D$4:$D$7493,Cobranza!$B232,Recibos!AD$4:AD$7493)</f>
        <v>400</v>
      </c>
      <c r="BS232" s="311">
        <f>SUMIF(Recibos!$D$4:$D$7493,Cobranza!$B232,Recibos!AE$4:AE$7493)</f>
        <v>400</v>
      </c>
      <c r="BT232" s="311">
        <f>SUMIF(Recibos!$D$4:$D$7493,Cobranza!$B232,Recibos!AF$4:AF$7493)</f>
        <v>400</v>
      </c>
      <c r="BU232" s="311">
        <f>SUMIF(Recibos!$D$4:$D$7493,Cobranza!$B232,Recibos!AG$4:AG$7493)</f>
        <v>400</v>
      </c>
      <c r="BV232" s="311">
        <f>SUMIF(Recibos!$D$4:$D$7493,Cobranza!$B232,Recibos!AH$4:AH$7493)</f>
        <v>400</v>
      </c>
      <c r="BW232" s="311">
        <f>SUMIF(Recibos!$D$4:$D$7493,Cobranza!$B232,Recibos!AI$4:AI$7493)</f>
        <v>400</v>
      </c>
      <c r="BX232" s="312">
        <f t="shared" si="37"/>
        <v>4800</v>
      </c>
      <c r="BY232" s="311">
        <f>SUMIF(Recibos!$D$4:$D$7493,Cobranza!$B232,Recibos!AK$4:AK$7493)</f>
        <v>400</v>
      </c>
      <c r="BZ232" s="311">
        <f>SUMIF(Recibos!$D$4:$D$7493,Cobranza!$B232,Recibos!AL$4:AL$7493)</f>
        <v>400</v>
      </c>
      <c r="CA232" s="311">
        <f>SUMIF(Recibos!$D$4:$D$7493,Cobranza!$B232,Recibos!AM$4:AM$7493)</f>
        <v>400</v>
      </c>
      <c r="CB232" s="311">
        <f>SUMIF(Recibos!$D$4:$D$7493,Cobranza!$B232,Recibos!AN$4:AN$7493)</f>
        <v>400</v>
      </c>
      <c r="CC232" s="311">
        <f>SUMIF(Recibos!$D$4:$D$7493,Cobranza!$B232,Recibos!AO$4:AO$7493)</f>
        <v>400</v>
      </c>
      <c r="CD232" s="311">
        <f>SUMIF(Recibos!$D$4:$D$7493,Cobranza!$B232,Recibos!AP$4:AP$7493)</f>
        <v>400</v>
      </c>
      <c r="CE232" s="311">
        <f>SUMIF(Recibos!$D$4:$D$7493,Cobranza!$B232,Recibos!AQ$4:AQ$7493)</f>
        <v>400</v>
      </c>
      <c r="CF232" s="311">
        <f>SUMIF(Recibos!$D$4:$D$7493,Cobranza!$B232,Recibos!AR$4:AR$7493)</f>
        <v>400</v>
      </c>
      <c r="CG232" s="311">
        <f>SUMIF(Recibos!$D$4:$D$7493,Cobranza!$B232,Recibos!AS$4:AS$7493)</f>
        <v>400</v>
      </c>
      <c r="CH232" s="311">
        <f>SUMIF(Recibos!$D$4:$D$7493,Cobranza!$B232,Recibos!AT$4:AT$7493)</f>
        <v>400</v>
      </c>
      <c r="CI232" s="311">
        <f>SUMIF(Recibos!$D$4:$D$7493,Cobranza!$B232,Recibos!AU$4:AU$7493)</f>
        <v>0</v>
      </c>
      <c r="CJ232" s="311">
        <f>SUMIF(Recibos!$D$4:$D$7493,Cobranza!$B232,Recibos!AV$4:AV$7493)</f>
        <v>0</v>
      </c>
      <c r="CK232" s="312">
        <f t="shared" si="31"/>
        <v>4000</v>
      </c>
    </row>
    <row r="233" spans="2:89" x14ac:dyDescent="0.2">
      <c r="B233" s="45" t="s">
        <v>1036</v>
      </c>
      <c r="C233" s="45" t="s">
        <v>1037</v>
      </c>
      <c r="D233" s="45" t="s">
        <v>1038</v>
      </c>
      <c r="E233" s="46">
        <v>0</v>
      </c>
      <c r="F233" s="46">
        <v>0</v>
      </c>
      <c r="G233" s="46">
        <v>0</v>
      </c>
      <c r="H233" s="46">
        <v>0</v>
      </c>
      <c r="I233" s="46">
        <v>0</v>
      </c>
      <c r="J233" s="46">
        <v>0</v>
      </c>
      <c r="K233" s="47">
        <f t="shared" si="32"/>
        <v>0</v>
      </c>
      <c r="L233" s="46">
        <v>0</v>
      </c>
      <c r="M233" s="46">
        <v>0</v>
      </c>
      <c r="N233" s="46">
        <v>0</v>
      </c>
      <c r="O233" s="46">
        <v>0</v>
      </c>
      <c r="P233" s="46">
        <v>0</v>
      </c>
      <c r="Q233" s="46">
        <v>0</v>
      </c>
      <c r="R233" s="46">
        <v>0</v>
      </c>
      <c r="S233" s="46">
        <v>0</v>
      </c>
      <c r="T233" s="46">
        <v>0</v>
      </c>
      <c r="U233" s="46">
        <v>0</v>
      </c>
      <c r="V233" s="46">
        <v>0</v>
      </c>
      <c r="W233" s="46">
        <v>0</v>
      </c>
      <c r="X233" s="47">
        <f t="shared" si="33"/>
        <v>0</v>
      </c>
      <c r="Y233" s="46">
        <v>0</v>
      </c>
      <c r="Z233" s="46">
        <v>0</v>
      </c>
      <c r="AA233" s="46">
        <v>0</v>
      </c>
      <c r="AB233" s="46">
        <v>0</v>
      </c>
      <c r="AC233" s="46">
        <v>0</v>
      </c>
      <c r="AD233" s="46">
        <v>0</v>
      </c>
      <c r="AE233" s="46">
        <v>0</v>
      </c>
      <c r="AF233" s="46">
        <v>0</v>
      </c>
      <c r="AG233" s="46">
        <v>0</v>
      </c>
      <c r="AH233" s="46">
        <v>0</v>
      </c>
      <c r="AI233" s="46">
        <v>0</v>
      </c>
      <c r="AJ233" s="46">
        <v>0</v>
      </c>
      <c r="AK233" s="47">
        <f t="shared" si="34"/>
        <v>0</v>
      </c>
      <c r="AL233" s="46">
        <v>0</v>
      </c>
      <c r="AM233" s="46">
        <v>0</v>
      </c>
      <c r="AN233" s="46">
        <v>0</v>
      </c>
      <c r="AO233" s="46">
        <v>0</v>
      </c>
      <c r="AP233" s="46">
        <v>0</v>
      </c>
      <c r="AQ233" s="46">
        <v>0</v>
      </c>
      <c r="AR233" s="46">
        <v>0</v>
      </c>
      <c r="AS233" s="46">
        <v>0</v>
      </c>
      <c r="AT233" s="46">
        <v>0</v>
      </c>
      <c r="AU233" s="46">
        <v>0</v>
      </c>
      <c r="AV233" s="46">
        <v>0</v>
      </c>
      <c r="AW233" s="46">
        <v>0</v>
      </c>
      <c r="AX233" s="47">
        <f t="shared" si="35"/>
        <v>0</v>
      </c>
      <c r="AY233" s="313">
        <f>SUMIF(Recibos!$D$4:$D$7493,Cobranza!$B233,Recibos!K$4:K$7493)</f>
        <v>0</v>
      </c>
      <c r="AZ233" s="313">
        <f>SUMIF(Recibos!$D$4:$D$7493,Cobranza!$B233,Recibos!L$4:L$7493)</f>
        <v>0</v>
      </c>
      <c r="BA233" s="313">
        <f>SUMIF(Recibos!$D$4:$D$7493,Cobranza!$B233,Recibos!M$4:M$7493)</f>
        <v>0</v>
      </c>
      <c r="BB233" s="313">
        <f>SUMIF(Recibos!$D$4:$D$7493,Cobranza!$B233,Recibos!N$4:N$7493)</f>
        <v>0</v>
      </c>
      <c r="BC233" s="313">
        <f>SUMIF(Recibos!$D$4:$D$7493,Cobranza!$B233,Recibos!O$4:O$7493)</f>
        <v>0</v>
      </c>
      <c r="BD233" s="313">
        <f>SUMIF(Recibos!$D$4:$D$7493,Cobranza!$B233,Recibos!P$4:P$7493)</f>
        <v>0</v>
      </c>
      <c r="BE233" s="313">
        <f>SUMIF(Recibos!$D$4:$D$7493,Cobranza!$B233,Recibos!Q$4:Q$7493)</f>
        <v>400</v>
      </c>
      <c r="BF233" s="313">
        <f>SUMIF(Recibos!$D$4:$D$7493,Cobranza!$B233,Recibos!R$4:R$7493)</f>
        <v>400</v>
      </c>
      <c r="BG233" s="313">
        <f>SUMIF(Recibos!$D$4:$D$7493,Cobranza!$B233,Recibos!S$4:S$7493)</f>
        <v>400</v>
      </c>
      <c r="BH233" s="313">
        <f>SUMIF(Recibos!$D$4:$D$7493,Cobranza!$B233,Recibos!T$4:T$7493)</f>
        <v>400</v>
      </c>
      <c r="BI233" s="313">
        <f>SUMIF(Recibos!$D$4:$D$7493,Cobranza!$B233,Recibos!U$4:U$7493)</f>
        <v>400</v>
      </c>
      <c r="BJ233" s="313">
        <f>SUMIF(Recibos!$D$4:$D$7493,Cobranza!$B233,Recibos!V$4:V$7493)</f>
        <v>400</v>
      </c>
      <c r="BK233" s="314">
        <f t="shared" si="36"/>
        <v>2400</v>
      </c>
      <c r="BL233" s="313">
        <f>SUMIF(Recibos!$D$4:$D$7493,Cobranza!$B233,Recibos!X$4:X$7493)</f>
        <v>0</v>
      </c>
      <c r="BM233" s="313">
        <f>SUMIF(Recibos!$D$4:$D$7493,Cobranza!$B233,Recibos!Y$4:Y$7493)</f>
        <v>0</v>
      </c>
      <c r="BN233" s="313">
        <f>SUMIF(Recibos!$D$4:$D$7493,Cobranza!$B233,Recibos!Z$4:Z$7493)</f>
        <v>0</v>
      </c>
      <c r="BO233" s="313">
        <f>SUMIF(Recibos!$D$4:$D$7493,Cobranza!$B233,Recibos!AA$4:AA$7493)</f>
        <v>0</v>
      </c>
      <c r="BP233" s="313">
        <f>SUMIF(Recibos!$D$4:$D$7493,Cobranza!$B233,Recibos!AB$4:AB$7493)</f>
        <v>400</v>
      </c>
      <c r="BQ233" s="313">
        <f>SUMIF(Recibos!$D$4:$D$7493,Cobranza!$B233,Recibos!AC$4:AC$7493)</f>
        <v>400</v>
      </c>
      <c r="BR233" s="313">
        <f>SUMIF(Recibos!$D$4:$D$7493,Cobranza!$B233,Recibos!AD$4:AD$7493)</f>
        <v>0</v>
      </c>
      <c r="BS233" s="313">
        <f>SUMIF(Recibos!$D$4:$D$7493,Cobranza!$B233,Recibos!AE$4:AE$7493)</f>
        <v>0</v>
      </c>
      <c r="BT233" s="313">
        <f>SUMIF(Recibos!$D$4:$D$7493,Cobranza!$B233,Recibos!AF$4:AF$7493)</f>
        <v>0</v>
      </c>
      <c r="BU233" s="313">
        <f>SUMIF(Recibos!$D$4:$D$7493,Cobranza!$B233,Recibos!AG$4:AG$7493)</f>
        <v>0</v>
      </c>
      <c r="BV233" s="313">
        <f>SUMIF(Recibos!$D$4:$D$7493,Cobranza!$B233,Recibos!AH$4:AH$7493)</f>
        <v>0</v>
      </c>
      <c r="BW233" s="313">
        <f>SUMIF(Recibos!$D$4:$D$7493,Cobranza!$B233,Recibos!AI$4:AI$7493)</f>
        <v>0</v>
      </c>
      <c r="BX233" s="314">
        <f t="shared" si="37"/>
        <v>800</v>
      </c>
      <c r="BY233" s="313">
        <f>SUMIF(Recibos!$D$4:$D$7493,Cobranza!$B233,Recibos!AK$4:AK$7493)</f>
        <v>0</v>
      </c>
      <c r="BZ233" s="313">
        <f>SUMIF(Recibos!$D$4:$D$7493,Cobranza!$B233,Recibos!AL$4:AL$7493)</f>
        <v>0</v>
      </c>
      <c r="CA233" s="313">
        <f>SUMIF(Recibos!$D$4:$D$7493,Cobranza!$B233,Recibos!AM$4:AM$7493)</f>
        <v>0</v>
      </c>
      <c r="CB233" s="313">
        <f>SUMIF(Recibos!$D$4:$D$7493,Cobranza!$B233,Recibos!AN$4:AN$7493)</f>
        <v>0</v>
      </c>
      <c r="CC233" s="313">
        <f>SUMIF(Recibos!$D$4:$D$7493,Cobranza!$B233,Recibos!AO$4:AO$7493)</f>
        <v>0</v>
      </c>
      <c r="CD233" s="313">
        <f>SUMIF(Recibos!$D$4:$D$7493,Cobranza!$B233,Recibos!AP$4:AP$7493)</f>
        <v>0</v>
      </c>
      <c r="CE233" s="313">
        <f>SUMIF(Recibos!$D$4:$D$7493,Cobranza!$B233,Recibos!AQ$4:AQ$7493)</f>
        <v>0</v>
      </c>
      <c r="CF233" s="313">
        <f>SUMIF(Recibos!$D$4:$D$7493,Cobranza!$B233,Recibos!AR$4:AR$7493)</f>
        <v>0</v>
      </c>
      <c r="CG233" s="313">
        <f>SUMIF(Recibos!$D$4:$D$7493,Cobranza!$B233,Recibos!AS$4:AS$7493)</f>
        <v>0</v>
      </c>
      <c r="CH233" s="313">
        <f>SUMIF(Recibos!$D$4:$D$7493,Cobranza!$B233,Recibos!AT$4:AT$7493)</f>
        <v>0</v>
      </c>
      <c r="CI233" s="313">
        <f>SUMIF(Recibos!$D$4:$D$7493,Cobranza!$B233,Recibos!AU$4:AU$7493)</f>
        <v>0</v>
      </c>
      <c r="CJ233" s="313">
        <f>SUMIF(Recibos!$D$4:$D$7493,Cobranza!$B233,Recibos!AV$4:AV$7493)</f>
        <v>0</v>
      </c>
      <c r="CK233" s="314">
        <f t="shared" si="31"/>
        <v>0</v>
      </c>
    </row>
    <row r="234" spans="2:89" x14ac:dyDescent="0.2">
      <c r="B234" s="42" t="s">
        <v>443</v>
      </c>
      <c r="C234" s="42" t="s">
        <v>444</v>
      </c>
      <c r="D234" s="42" t="s">
        <v>445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4">
        <f t="shared" si="32"/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  <c r="V234" s="43">
        <v>0</v>
      </c>
      <c r="W234" s="43">
        <v>0</v>
      </c>
      <c r="X234" s="44">
        <f t="shared" si="33"/>
        <v>0</v>
      </c>
      <c r="Y234" s="43">
        <v>400</v>
      </c>
      <c r="Z234" s="43">
        <v>0</v>
      </c>
      <c r="AA234" s="43">
        <v>0</v>
      </c>
      <c r="AB234" s="43">
        <v>0</v>
      </c>
      <c r="AC234" s="43">
        <v>0</v>
      </c>
      <c r="AD234" s="43">
        <v>0</v>
      </c>
      <c r="AE234" s="43">
        <v>0</v>
      </c>
      <c r="AF234" s="43">
        <v>0</v>
      </c>
      <c r="AG234" s="43">
        <v>0</v>
      </c>
      <c r="AH234" s="43">
        <v>0</v>
      </c>
      <c r="AI234" s="43">
        <v>0</v>
      </c>
      <c r="AJ234" s="43">
        <v>0</v>
      </c>
      <c r="AK234" s="44">
        <f t="shared" si="34"/>
        <v>400</v>
      </c>
      <c r="AL234" s="43">
        <v>400</v>
      </c>
      <c r="AM234" s="43">
        <v>400</v>
      </c>
      <c r="AN234" s="43">
        <v>400</v>
      </c>
      <c r="AO234" s="43">
        <v>400</v>
      </c>
      <c r="AP234" s="43">
        <v>400</v>
      </c>
      <c r="AQ234" s="43">
        <v>0</v>
      </c>
      <c r="AR234" s="43">
        <v>0</v>
      </c>
      <c r="AS234" s="43">
        <v>0</v>
      </c>
      <c r="AT234" s="43">
        <v>400</v>
      </c>
      <c r="AU234" s="43">
        <v>0</v>
      </c>
      <c r="AV234" s="43">
        <v>0</v>
      </c>
      <c r="AW234" s="43">
        <v>0</v>
      </c>
      <c r="AX234" s="44">
        <f t="shared" si="35"/>
        <v>2400</v>
      </c>
      <c r="AY234" s="311">
        <f>SUMIF(Recibos!$D$4:$D$7493,Cobranza!$B234,Recibos!K$4:K$7493)</f>
        <v>400</v>
      </c>
      <c r="AZ234" s="311">
        <f>SUMIF(Recibos!$D$4:$D$7493,Cobranza!$B234,Recibos!L$4:L$7493)</f>
        <v>400</v>
      </c>
      <c r="BA234" s="311">
        <f>SUMIF(Recibos!$D$4:$D$7493,Cobranza!$B234,Recibos!M$4:M$7493)</f>
        <v>400</v>
      </c>
      <c r="BB234" s="311">
        <f>SUMIF(Recibos!$D$4:$D$7493,Cobranza!$B234,Recibos!N$4:N$7493)</f>
        <v>400</v>
      </c>
      <c r="BC234" s="311">
        <f>SUMIF(Recibos!$D$4:$D$7493,Cobranza!$B234,Recibos!O$4:O$7493)</f>
        <v>400</v>
      </c>
      <c r="BD234" s="311">
        <f>SUMIF(Recibos!$D$4:$D$7493,Cobranza!$B234,Recibos!P$4:P$7493)</f>
        <v>400</v>
      </c>
      <c r="BE234" s="311">
        <f>SUMIF(Recibos!$D$4:$D$7493,Cobranza!$B234,Recibos!Q$4:Q$7493)</f>
        <v>400</v>
      </c>
      <c r="BF234" s="311">
        <f>SUMIF(Recibos!$D$4:$D$7493,Cobranza!$B234,Recibos!R$4:R$7493)</f>
        <v>400</v>
      </c>
      <c r="BG234" s="311">
        <f>SUMIF(Recibos!$D$4:$D$7493,Cobranza!$B234,Recibos!S$4:S$7493)</f>
        <v>400</v>
      </c>
      <c r="BH234" s="311">
        <f>SUMIF(Recibos!$D$4:$D$7493,Cobranza!$B234,Recibos!T$4:T$7493)</f>
        <v>400</v>
      </c>
      <c r="BI234" s="311">
        <f>SUMIF(Recibos!$D$4:$D$7493,Cobranza!$B234,Recibos!U$4:U$7493)</f>
        <v>400</v>
      </c>
      <c r="BJ234" s="311">
        <f>SUMIF(Recibos!$D$4:$D$7493,Cobranza!$B234,Recibos!V$4:V$7493)</f>
        <v>0</v>
      </c>
      <c r="BK234" s="312">
        <f t="shared" si="36"/>
        <v>4400</v>
      </c>
      <c r="BL234" s="311">
        <f>SUMIF(Recibos!$D$4:$D$7493,Cobranza!$B234,Recibos!X$4:X$7493)</f>
        <v>400</v>
      </c>
      <c r="BM234" s="311">
        <f>SUMIF(Recibos!$D$4:$D$7493,Cobranza!$B234,Recibos!Y$4:Y$7493)</f>
        <v>400</v>
      </c>
      <c r="BN234" s="311">
        <f>SUMIF(Recibos!$D$4:$D$7493,Cobranza!$B234,Recibos!Z$4:Z$7493)</f>
        <v>400</v>
      </c>
      <c r="BO234" s="311">
        <f>SUMIF(Recibos!$D$4:$D$7493,Cobranza!$B234,Recibos!AA$4:AA$7493)</f>
        <v>400</v>
      </c>
      <c r="BP234" s="311">
        <f>SUMIF(Recibos!$D$4:$D$7493,Cobranza!$B234,Recibos!AB$4:AB$7493)</f>
        <v>400</v>
      </c>
      <c r="BQ234" s="311">
        <f>SUMIF(Recibos!$D$4:$D$7493,Cobranza!$B234,Recibos!AC$4:AC$7493)</f>
        <v>400</v>
      </c>
      <c r="BR234" s="311">
        <f>SUMIF(Recibos!$D$4:$D$7493,Cobranza!$B234,Recibos!AD$4:AD$7493)</f>
        <v>400</v>
      </c>
      <c r="BS234" s="311">
        <f>SUMIF(Recibos!$D$4:$D$7493,Cobranza!$B234,Recibos!AE$4:AE$7493)</f>
        <v>400</v>
      </c>
      <c r="BT234" s="311">
        <f>SUMIF(Recibos!$D$4:$D$7493,Cobranza!$B234,Recibos!AF$4:AF$7493)</f>
        <v>400</v>
      </c>
      <c r="BU234" s="311">
        <f>SUMIF(Recibos!$D$4:$D$7493,Cobranza!$B234,Recibos!AG$4:AG$7493)</f>
        <v>400</v>
      </c>
      <c r="BV234" s="311">
        <f>SUMIF(Recibos!$D$4:$D$7493,Cobranza!$B234,Recibos!AH$4:AH$7493)</f>
        <v>400</v>
      </c>
      <c r="BW234" s="311">
        <f>SUMIF(Recibos!$D$4:$D$7493,Cobranza!$B234,Recibos!AI$4:AI$7493)</f>
        <v>0</v>
      </c>
      <c r="BX234" s="312">
        <f t="shared" si="37"/>
        <v>4400</v>
      </c>
      <c r="BY234" s="311">
        <f>SUMIF(Recibos!$D$4:$D$7493,Cobranza!$B234,Recibos!AK$4:AK$7493)</f>
        <v>400</v>
      </c>
      <c r="BZ234" s="311">
        <f>SUMIF(Recibos!$D$4:$D$7493,Cobranza!$B234,Recibos!AL$4:AL$7493)</f>
        <v>400</v>
      </c>
      <c r="CA234" s="311">
        <f>SUMIF(Recibos!$D$4:$D$7493,Cobranza!$B234,Recibos!AM$4:AM$7493)</f>
        <v>400</v>
      </c>
      <c r="CB234" s="311">
        <f>SUMIF(Recibos!$D$4:$D$7493,Cobranza!$B234,Recibos!AN$4:AN$7493)</f>
        <v>400</v>
      </c>
      <c r="CC234" s="311">
        <f>SUMIF(Recibos!$D$4:$D$7493,Cobranza!$B234,Recibos!AO$4:AO$7493)</f>
        <v>400</v>
      </c>
      <c r="CD234" s="311">
        <f>SUMIF(Recibos!$D$4:$D$7493,Cobranza!$B234,Recibos!AP$4:AP$7493)</f>
        <v>400</v>
      </c>
      <c r="CE234" s="311">
        <f>SUMIF(Recibos!$D$4:$D$7493,Cobranza!$B234,Recibos!AQ$4:AQ$7493)</f>
        <v>400</v>
      </c>
      <c r="CF234" s="311">
        <f>SUMIF(Recibos!$D$4:$D$7493,Cobranza!$B234,Recibos!AR$4:AR$7493)</f>
        <v>400</v>
      </c>
      <c r="CG234" s="311">
        <f>SUMIF(Recibos!$D$4:$D$7493,Cobranza!$B234,Recibos!AS$4:AS$7493)</f>
        <v>400</v>
      </c>
      <c r="CH234" s="311">
        <f>SUMIF(Recibos!$D$4:$D$7493,Cobranza!$B234,Recibos!AT$4:AT$7493)</f>
        <v>400</v>
      </c>
      <c r="CI234" s="311">
        <f>SUMIF(Recibos!$D$4:$D$7493,Cobranza!$B234,Recibos!AU$4:AU$7493)</f>
        <v>400</v>
      </c>
      <c r="CJ234" s="311">
        <f>SUMIF(Recibos!$D$4:$D$7493,Cobranza!$B234,Recibos!AV$4:AV$7493)</f>
        <v>0</v>
      </c>
      <c r="CK234" s="312">
        <f t="shared" si="31"/>
        <v>4400</v>
      </c>
    </row>
    <row r="235" spans="2:89" x14ac:dyDescent="0.2">
      <c r="B235" s="45" t="s">
        <v>843</v>
      </c>
      <c r="C235" s="45" t="s">
        <v>844</v>
      </c>
      <c r="D235" s="45" t="s">
        <v>845</v>
      </c>
      <c r="E235" s="46">
        <v>0</v>
      </c>
      <c r="F235" s="46">
        <v>0</v>
      </c>
      <c r="G235" s="46">
        <v>0</v>
      </c>
      <c r="H235" s="46">
        <v>0</v>
      </c>
      <c r="I235" s="46">
        <v>0</v>
      </c>
      <c r="J235" s="46">
        <v>300</v>
      </c>
      <c r="K235" s="47">
        <f t="shared" si="32"/>
        <v>300</v>
      </c>
      <c r="L235" s="46">
        <v>300</v>
      </c>
      <c r="M235" s="46">
        <v>300</v>
      </c>
      <c r="N235" s="46">
        <v>300</v>
      </c>
      <c r="O235" s="46">
        <v>300</v>
      </c>
      <c r="P235" s="46">
        <v>300</v>
      </c>
      <c r="Q235" s="46">
        <v>300</v>
      </c>
      <c r="R235" s="46">
        <v>0</v>
      </c>
      <c r="S235" s="46">
        <v>0</v>
      </c>
      <c r="T235" s="46">
        <v>0</v>
      </c>
      <c r="U235" s="46">
        <v>0</v>
      </c>
      <c r="V235" s="46">
        <v>0</v>
      </c>
      <c r="W235" s="46">
        <v>0</v>
      </c>
      <c r="X235" s="47">
        <f t="shared" si="33"/>
        <v>1800</v>
      </c>
      <c r="Y235" s="46">
        <v>400</v>
      </c>
      <c r="Z235" s="46">
        <v>400</v>
      </c>
      <c r="AA235" s="46">
        <v>400</v>
      </c>
      <c r="AB235" s="46">
        <v>0</v>
      </c>
      <c r="AC235" s="46">
        <v>0</v>
      </c>
      <c r="AD235" s="46">
        <v>0</v>
      </c>
      <c r="AE235" s="46">
        <v>0</v>
      </c>
      <c r="AF235" s="46">
        <v>0</v>
      </c>
      <c r="AG235" s="46">
        <v>0</v>
      </c>
      <c r="AH235" s="46">
        <v>0</v>
      </c>
      <c r="AI235" s="46">
        <v>0</v>
      </c>
      <c r="AJ235" s="46">
        <v>0</v>
      </c>
      <c r="AK235" s="47">
        <f t="shared" si="34"/>
        <v>1200</v>
      </c>
      <c r="AL235" s="46">
        <v>200</v>
      </c>
      <c r="AM235" s="46">
        <v>200</v>
      </c>
      <c r="AN235" s="46">
        <v>200</v>
      </c>
      <c r="AO235" s="46">
        <v>200</v>
      </c>
      <c r="AP235" s="46">
        <v>200</v>
      </c>
      <c r="AQ235" s="46">
        <v>200</v>
      </c>
      <c r="AR235" s="46">
        <v>200</v>
      </c>
      <c r="AS235" s="46">
        <v>200</v>
      </c>
      <c r="AT235" s="46">
        <v>200</v>
      </c>
      <c r="AU235" s="46">
        <v>200</v>
      </c>
      <c r="AV235" s="46">
        <v>200</v>
      </c>
      <c r="AW235" s="46">
        <v>200</v>
      </c>
      <c r="AX235" s="47">
        <f t="shared" si="35"/>
        <v>2400</v>
      </c>
      <c r="AY235" s="313">
        <f>SUMIF(Recibos!$D$4:$D$7493,Cobranza!$B235,Recibos!K$4:K$7493)</f>
        <v>200</v>
      </c>
      <c r="AZ235" s="313">
        <f>SUMIF(Recibos!$D$4:$D$7493,Cobranza!$B235,Recibos!L$4:L$7493)</f>
        <v>200</v>
      </c>
      <c r="BA235" s="313">
        <f>SUMIF(Recibos!$D$4:$D$7493,Cobranza!$B235,Recibos!M$4:M$7493)</f>
        <v>200</v>
      </c>
      <c r="BB235" s="313">
        <f>SUMIF(Recibos!$D$4:$D$7493,Cobranza!$B235,Recibos!N$4:N$7493)</f>
        <v>200</v>
      </c>
      <c r="BC235" s="313">
        <f>SUMIF(Recibos!$D$4:$D$7493,Cobranza!$B235,Recibos!O$4:O$7493)</f>
        <v>200</v>
      </c>
      <c r="BD235" s="313">
        <f>SUMIF(Recibos!$D$4:$D$7493,Cobranza!$B235,Recibos!P$4:P$7493)</f>
        <v>200</v>
      </c>
      <c r="BE235" s="313">
        <f>SUMIF(Recibos!$D$4:$D$7493,Cobranza!$B235,Recibos!Q$4:Q$7493)</f>
        <v>200</v>
      </c>
      <c r="BF235" s="313">
        <f>SUMIF(Recibos!$D$4:$D$7493,Cobranza!$B235,Recibos!R$4:R$7493)</f>
        <v>200</v>
      </c>
      <c r="BG235" s="313">
        <f>SUMIF(Recibos!$D$4:$D$7493,Cobranza!$B235,Recibos!S$4:S$7493)</f>
        <v>200</v>
      </c>
      <c r="BH235" s="313">
        <f>SUMIF(Recibos!$D$4:$D$7493,Cobranza!$B235,Recibos!T$4:T$7493)</f>
        <v>200</v>
      </c>
      <c r="BI235" s="313">
        <f>SUMIF(Recibos!$D$4:$D$7493,Cobranza!$B235,Recibos!U$4:U$7493)</f>
        <v>200</v>
      </c>
      <c r="BJ235" s="313">
        <f>SUMIF(Recibos!$D$4:$D$7493,Cobranza!$B235,Recibos!V$4:V$7493)</f>
        <v>200</v>
      </c>
      <c r="BK235" s="314">
        <f t="shared" si="36"/>
        <v>2400</v>
      </c>
      <c r="BL235" s="313">
        <f>SUMIF(Recibos!$D$4:$D$7493,Cobranza!$B235,Recibos!X$4:X$7493)</f>
        <v>200</v>
      </c>
      <c r="BM235" s="313">
        <f>SUMIF(Recibos!$D$4:$D$7493,Cobranza!$B235,Recibos!Y$4:Y$7493)</f>
        <v>200</v>
      </c>
      <c r="BN235" s="313">
        <f>SUMIF(Recibos!$D$4:$D$7493,Cobranza!$B235,Recibos!Z$4:Z$7493)</f>
        <v>200</v>
      </c>
      <c r="BO235" s="313">
        <f>SUMIF(Recibos!$D$4:$D$7493,Cobranza!$B235,Recibos!AA$4:AA$7493)</f>
        <v>200</v>
      </c>
      <c r="BP235" s="313">
        <f>SUMIF(Recibos!$D$4:$D$7493,Cobranza!$B235,Recibos!AB$4:AB$7493)</f>
        <v>200</v>
      </c>
      <c r="BQ235" s="313">
        <f>SUMIF(Recibos!$D$4:$D$7493,Cobranza!$B235,Recibos!AC$4:AC$7493)</f>
        <v>200</v>
      </c>
      <c r="BR235" s="313">
        <f>SUMIF(Recibos!$D$4:$D$7493,Cobranza!$B235,Recibos!AD$4:AD$7493)</f>
        <v>200</v>
      </c>
      <c r="BS235" s="313">
        <f>SUMIF(Recibos!$D$4:$D$7493,Cobranza!$B235,Recibos!AE$4:AE$7493)</f>
        <v>200</v>
      </c>
      <c r="BT235" s="313">
        <f>SUMIF(Recibos!$D$4:$D$7493,Cobranza!$B235,Recibos!AF$4:AF$7493)</f>
        <v>200</v>
      </c>
      <c r="BU235" s="313">
        <f>SUMIF(Recibos!$D$4:$D$7493,Cobranza!$B235,Recibos!AG$4:AG$7493)</f>
        <v>200</v>
      </c>
      <c r="BV235" s="313">
        <f>SUMIF(Recibos!$D$4:$D$7493,Cobranza!$B235,Recibos!AH$4:AH$7493)</f>
        <v>200</v>
      </c>
      <c r="BW235" s="313">
        <f>SUMIF(Recibos!$D$4:$D$7493,Cobranza!$B235,Recibos!AI$4:AI$7493)</f>
        <v>200</v>
      </c>
      <c r="BX235" s="314">
        <f t="shared" si="37"/>
        <v>2400</v>
      </c>
      <c r="BY235" s="313">
        <f>SUMIF(Recibos!$D$4:$D$7493,Cobranza!$B235,Recibos!AK$4:AK$7493)</f>
        <v>200</v>
      </c>
      <c r="BZ235" s="313">
        <f>SUMIF(Recibos!$D$4:$D$7493,Cobranza!$B235,Recibos!AL$4:AL$7493)</f>
        <v>200</v>
      </c>
      <c r="CA235" s="313">
        <f>SUMIF(Recibos!$D$4:$D$7493,Cobranza!$B235,Recibos!AM$4:AM$7493)</f>
        <v>200</v>
      </c>
      <c r="CB235" s="313">
        <f>SUMIF(Recibos!$D$4:$D$7493,Cobranza!$B235,Recibos!AN$4:AN$7493)</f>
        <v>200</v>
      </c>
      <c r="CC235" s="313">
        <f>SUMIF(Recibos!$D$4:$D$7493,Cobranza!$B235,Recibos!AO$4:AO$7493)</f>
        <v>200</v>
      </c>
      <c r="CD235" s="313">
        <f>SUMIF(Recibos!$D$4:$D$7493,Cobranza!$B235,Recibos!AP$4:AP$7493)</f>
        <v>200</v>
      </c>
      <c r="CE235" s="313">
        <f>SUMIF(Recibos!$D$4:$D$7493,Cobranza!$B235,Recibos!AQ$4:AQ$7493)</f>
        <v>200</v>
      </c>
      <c r="CF235" s="313">
        <f>SUMIF(Recibos!$D$4:$D$7493,Cobranza!$B235,Recibos!AR$4:AR$7493)</f>
        <v>200</v>
      </c>
      <c r="CG235" s="313">
        <f>SUMIF(Recibos!$D$4:$D$7493,Cobranza!$B235,Recibos!AS$4:AS$7493)</f>
        <v>200</v>
      </c>
      <c r="CH235" s="313">
        <f>SUMIF(Recibos!$D$4:$D$7493,Cobranza!$B235,Recibos!AT$4:AT$7493)</f>
        <v>200</v>
      </c>
      <c r="CI235" s="313">
        <f>SUMIF(Recibos!$D$4:$D$7493,Cobranza!$B235,Recibos!AU$4:AU$7493)</f>
        <v>0</v>
      </c>
      <c r="CJ235" s="313">
        <f>SUMIF(Recibos!$D$4:$D$7493,Cobranza!$B235,Recibos!AV$4:AV$7493)</f>
        <v>0</v>
      </c>
      <c r="CK235" s="314">
        <f t="shared" si="31"/>
        <v>2000</v>
      </c>
    </row>
    <row r="236" spans="2:89" x14ac:dyDescent="0.2">
      <c r="B236" s="42" t="s">
        <v>1382</v>
      </c>
      <c r="C236" s="42" t="s">
        <v>1383</v>
      </c>
      <c r="D236" s="42" t="s">
        <v>827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4">
        <f t="shared" si="32"/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  <c r="V236" s="43">
        <v>0</v>
      </c>
      <c r="W236" s="43">
        <v>0</v>
      </c>
      <c r="X236" s="44">
        <f t="shared" si="33"/>
        <v>0</v>
      </c>
      <c r="Y236" s="43">
        <v>0</v>
      </c>
      <c r="Z236" s="43">
        <v>0</v>
      </c>
      <c r="AA236" s="43">
        <v>0</v>
      </c>
      <c r="AB236" s="43">
        <v>0</v>
      </c>
      <c r="AC236" s="43">
        <v>0</v>
      </c>
      <c r="AD236" s="43">
        <v>0</v>
      </c>
      <c r="AE236" s="43">
        <v>0</v>
      </c>
      <c r="AF236" s="43">
        <v>0</v>
      </c>
      <c r="AG236" s="43">
        <v>0</v>
      </c>
      <c r="AH236" s="43">
        <v>0</v>
      </c>
      <c r="AI236" s="43">
        <v>0</v>
      </c>
      <c r="AJ236" s="43">
        <v>0</v>
      </c>
      <c r="AK236" s="44">
        <f t="shared" si="34"/>
        <v>0</v>
      </c>
      <c r="AL236" s="43">
        <v>0</v>
      </c>
      <c r="AM236" s="43">
        <v>0</v>
      </c>
      <c r="AN236" s="43">
        <v>0</v>
      </c>
      <c r="AO236" s="43">
        <v>0</v>
      </c>
      <c r="AP236" s="43">
        <v>0</v>
      </c>
      <c r="AQ236" s="43">
        <v>0</v>
      </c>
      <c r="AR236" s="43">
        <v>0</v>
      </c>
      <c r="AS236" s="43">
        <v>0</v>
      </c>
      <c r="AT236" s="43">
        <v>0</v>
      </c>
      <c r="AU236" s="43">
        <v>0</v>
      </c>
      <c r="AV236" s="43">
        <v>0</v>
      </c>
      <c r="AW236" s="43">
        <v>0</v>
      </c>
      <c r="AX236" s="44">
        <f t="shared" si="35"/>
        <v>0</v>
      </c>
      <c r="AY236" s="311">
        <f>SUMIF(Recibos!$D$4:$D$7493,Cobranza!$B236,Recibos!K$4:K$7493)</f>
        <v>0</v>
      </c>
      <c r="AZ236" s="311">
        <f>SUMIF(Recibos!$D$4:$D$7493,Cobranza!$B236,Recibos!L$4:L$7493)</f>
        <v>0</v>
      </c>
      <c r="BA236" s="311">
        <f>SUMIF(Recibos!$D$4:$D$7493,Cobranza!$B236,Recibos!M$4:M$7493)</f>
        <v>0</v>
      </c>
      <c r="BB236" s="311">
        <f>SUMIF(Recibos!$D$4:$D$7493,Cobranza!$B236,Recibos!N$4:N$7493)</f>
        <v>0</v>
      </c>
      <c r="BC236" s="311">
        <f>SUMIF(Recibos!$D$4:$D$7493,Cobranza!$B236,Recibos!O$4:O$7493)</f>
        <v>0</v>
      </c>
      <c r="BD236" s="311">
        <f>SUMIF(Recibos!$D$4:$D$7493,Cobranza!$B236,Recibos!P$4:P$7493)</f>
        <v>0</v>
      </c>
      <c r="BE236" s="311">
        <f>SUMIF(Recibos!$D$4:$D$7493,Cobranza!$B236,Recibos!Q$4:Q$7493)</f>
        <v>0</v>
      </c>
      <c r="BF236" s="311">
        <f>SUMIF(Recibos!$D$4:$D$7493,Cobranza!$B236,Recibos!R$4:R$7493)</f>
        <v>0</v>
      </c>
      <c r="BG236" s="311">
        <f>SUMIF(Recibos!$D$4:$D$7493,Cobranza!$B236,Recibos!S$4:S$7493)</f>
        <v>0</v>
      </c>
      <c r="BH236" s="311">
        <f>SUMIF(Recibos!$D$4:$D$7493,Cobranza!$B236,Recibos!T$4:T$7493)</f>
        <v>0</v>
      </c>
      <c r="BI236" s="311">
        <f>SUMIF(Recibos!$D$4:$D$7493,Cobranza!$B236,Recibos!U$4:U$7493)</f>
        <v>0</v>
      </c>
      <c r="BJ236" s="311">
        <f>SUMIF(Recibos!$D$4:$D$7493,Cobranza!$B236,Recibos!V$4:V$7493)</f>
        <v>0</v>
      </c>
      <c r="BK236" s="312">
        <f t="shared" si="36"/>
        <v>0</v>
      </c>
      <c r="BL236" s="311">
        <f>SUMIF(Recibos!$D$4:$D$7493,Cobranza!$B236,Recibos!X$4:X$7493)</f>
        <v>0</v>
      </c>
      <c r="BM236" s="311">
        <f>SUMIF(Recibos!$D$4:$D$7493,Cobranza!$B236,Recibos!Y$4:Y$7493)</f>
        <v>0</v>
      </c>
      <c r="BN236" s="311">
        <f>SUMIF(Recibos!$D$4:$D$7493,Cobranza!$B236,Recibos!Z$4:Z$7493)</f>
        <v>0</v>
      </c>
      <c r="BO236" s="311">
        <f>SUMIF(Recibos!$D$4:$D$7493,Cobranza!$B236,Recibos!AA$4:AA$7493)</f>
        <v>0</v>
      </c>
      <c r="BP236" s="311">
        <f>SUMIF(Recibos!$D$4:$D$7493,Cobranza!$B236,Recibos!AB$4:AB$7493)</f>
        <v>0</v>
      </c>
      <c r="BQ236" s="311">
        <f>SUMIF(Recibos!$D$4:$D$7493,Cobranza!$B236,Recibos!AC$4:AC$7493)</f>
        <v>0</v>
      </c>
      <c r="BR236" s="311">
        <f>SUMIF(Recibos!$D$4:$D$7493,Cobranza!$B236,Recibos!AD$4:AD$7493)</f>
        <v>0</v>
      </c>
      <c r="BS236" s="311">
        <f>SUMIF(Recibos!$D$4:$D$7493,Cobranza!$B236,Recibos!AE$4:AE$7493)</f>
        <v>0</v>
      </c>
      <c r="BT236" s="311">
        <f>SUMIF(Recibos!$D$4:$D$7493,Cobranza!$B236,Recibos!AF$4:AF$7493)</f>
        <v>0</v>
      </c>
      <c r="BU236" s="311">
        <f>SUMIF(Recibos!$D$4:$D$7493,Cobranza!$B236,Recibos!AG$4:AG$7493)</f>
        <v>0</v>
      </c>
      <c r="BV236" s="311">
        <f>SUMIF(Recibos!$D$4:$D$7493,Cobranza!$B236,Recibos!AH$4:AH$7493)</f>
        <v>0</v>
      </c>
      <c r="BW236" s="311">
        <f>SUMIF(Recibos!$D$4:$D$7493,Cobranza!$B236,Recibos!AI$4:AI$7493)</f>
        <v>0</v>
      </c>
      <c r="BX236" s="312">
        <f t="shared" si="37"/>
        <v>0</v>
      </c>
      <c r="BY236" s="311">
        <f>SUMIF(Recibos!$D$4:$D$7493,Cobranza!$B236,Recibos!AK$4:AK$7493)</f>
        <v>0</v>
      </c>
      <c r="BZ236" s="311">
        <f>SUMIF(Recibos!$D$4:$D$7493,Cobranza!$B236,Recibos!AL$4:AL$7493)</f>
        <v>0</v>
      </c>
      <c r="CA236" s="311">
        <f>SUMIF(Recibos!$D$4:$D$7493,Cobranza!$B236,Recibos!AM$4:AM$7493)</f>
        <v>0</v>
      </c>
      <c r="CB236" s="311">
        <f>SUMIF(Recibos!$D$4:$D$7493,Cobranza!$B236,Recibos!AN$4:AN$7493)</f>
        <v>0</v>
      </c>
      <c r="CC236" s="311">
        <f>SUMIF(Recibos!$D$4:$D$7493,Cobranza!$B236,Recibos!AO$4:AO$7493)</f>
        <v>0</v>
      </c>
      <c r="CD236" s="311">
        <f>SUMIF(Recibos!$D$4:$D$7493,Cobranza!$B236,Recibos!AP$4:AP$7493)</f>
        <v>0</v>
      </c>
      <c r="CE236" s="311">
        <f>SUMIF(Recibos!$D$4:$D$7493,Cobranza!$B236,Recibos!AQ$4:AQ$7493)</f>
        <v>0</v>
      </c>
      <c r="CF236" s="311">
        <f>SUMIF(Recibos!$D$4:$D$7493,Cobranza!$B236,Recibos!AR$4:AR$7493)</f>
        <v>0</v>
      </c>
      <c r="CG236" s="311">
        <f>SUMIF(Recibos!$D$4:$D$7493,Cobranza!$B236,Recibos!AS$4:AS$7493)</f>
        <v>0</v>
      </c>
      <c r="CH236" s="311">
        <f>SUMIF(Recibos!$D$4:$D$7493,Cobranza!$B236,Recibos!AT$4:AT$7493)</f>
        <v>0</v>
      </c>
      <c r="CI236" s="311">
        <f>SUMIF(Recibos!$D$4:$D$7493,Cobranza!$B236,Recibos!AU$4:AU$7493)</f>
        <v>0</v>
      </c>
      <c r="CJ236" s="311">
        <f>SUMIF(Recibos!$D$4:$D$7493,Cobranza!$B236,Recibos!AV$4:AV$7493)</f>
        <v>0</v>
      </c>
      <c r="CK236" s="312">
        <f t="shared" si="31"/>
        <v>0</v>
      </c>
    </row>
    <row r="237" spans="2:89" x14ac:dyDescent="0.2">
      <c r="B237" s="45" t="s">
        <v>44</v>
      </c>
      <c r="C237" s="45" t="s">
        <v>45</v>
      </c>
      <c r="D237" s="45" t="s">
        <v>46</v>
      </c>
      <c r="E237" s="46">
        <v>0</v>
      </c>
      <c r="F237" s="46">
        <v>300</v>
      </c>
      <c r="G237" s="46">
        <v>300</v>
      </c>
      <c r="H237" s="46">
        <v>300</v>
      </c>
      <c r="I237" s="46">
        <v>300</v>
      </c>
      <c r="J237" s="46">
        <v>300</v>
      </c>
      <c r="K237" s="47">
        <f t="shared" si="32"/>
        <v>1500</v>
      </c>
      <c r="L237" s="46">
        <v>300</v>
      </c>
      <c r="M237" s="46">
        <v>300</v>
      </c>
      <c r="N237" s="46">
        <v>300</v>
      </c>
      <c r="O237" s="46">
        <v>300</v>
      </c>
      <c r="P237" s="46">
        <v>300</v>
      </c>
      <c r="Q237" s="46">
        <v>300</v>
      </c>
      <c r="R237" s="46">
        <v>300</v>
      </c>
      <c r="S237" s="46">
        <v>300</v>
      </c>
      <c r="T237" s="46">
        <v>300</v>
      </c>
      <c r="U237" s="46">
        <v>400</v>
      </c>
      <c r="V237" s="46">
        <v>400</v>
      </c>
      <c r="W237" s="46">
        <v>400</v>
      </c>
      <c r="X237" s="47">
        <f t="shared" si="33"/>
        <v>3900</v>
      </c>
      <c r="Y237" s="46">
        <v>400</v>
      </c>
      <c r="Z237" s="46">
        <v>400</v>
      </c>
      <c r="AA237" s="46">
        <v>400</v>
      </c>
      <c r="AB237" s="46">
        <v>400</v>
      </c>
      <c r="AC237" s="46">
        <v>400</v>
      </c>
      <c r="AD237" s="46">
        <v>400</v>
      </c>
      <c r="AE237" s="46">
        <v>400</v>
      </c>
      <c r="AF237" s="46">
        <v>400</v>
      </c>
      <c r="AG237" s="46">
        <v>400</v>
      </c>
      <c r="AH237" s="46">
        <v>400</v>
      </c>
      <c r="AI237" s="46">
        <v>400</v>
      </c>
      <c r="AJ237" s="46">
        <v>400</v>
      </c>
      <c r="AK237" s="47">
        <f t="shared" si="34"/>
        <v>4800</v>
      </c>
      <c r="AL237" s="46">
        <v>400</v>
      </c>
      <c r="AM237" s="46">
        <v>400</v>
      </c>
      <c r="AN237" s="46">
        <v>400</v>
      </c>
      <c r="AO237" s="46">
        <v>400</v>
      </c>
      <c r="AP237" s="46">
        <v>400</v>
      </c>
      <c r="AQ237" s="46">
        <v>400</v>
      </c>
      <c r="AR237" s="46">
        <v>400</v>
      </c>
      <c r="AS237" s="46">
        <v>400</v>
      </c>
      <c r="AT237" s="46">
        <v>400</v>
      </c>
      <c r="AU237" s="46">
        <v>400</v>
      </c>
      <c r="AV237" s="46">
        <v>400</v>
      </c>
      <c r="AW237" s="46">
        <v>400</v>
      </c>
      <c r="AX237" s="47">
        <f t="shared" si="35"/>
        <v>4800</v>
      </c>
      <c r="AY237" s="313">
        <f>SUMIF(Recibos!$D$4:$D$7493,Cobranza!$B237,Recibos!K$4:K$7493)</f>
        <v>400</v>
      </c>
      <c r="AZ237" s="313">
        <f>SUMIF(Recibos!$D$4:$D$7493,Cobranza!$B237,Recibos!L$4:L$7493)</f>
        <v>400</v>
      </c>
      <c r="BA237" s="313">
        <f>SUMIF(Recibos!$D$4:$D$7493,Cobranza!$B237,Recibos!M$4:M$7493)</f>
        <v>400</v>
      </c>
      <c r="BB237" s="313">
        <f>SUMIF(Recibos!$D$4:$D$7493,Cobranza!$B237,Recibos!N$4:N$7493)</f>
        <v>400</v>
      </c>
      <c r="BC237" s="313">
        <f>SUMIF(Recibos!$D$4:$D$7493,Cobranza!$B237,Recibos!O$4:O$7493)</f>
        <v>400</v>
      </c>
      <c r="BD237" s="313">
        <f>SUMIF(Recibos!$D$4:$D$7493,Cobranza!$B237,Recibos!P$4:P$7493)</f>
        <v>400</v>
      </c>
      <c r="BE237" s="313">
        <f>SUMIF(Recibos!$D$4:$D$7493,Cobranza!$B237,Recibos!Q$4:Q$7493)</f>
        <v>400</v>
      </c>
      <c r="BF237" s="313">
        <f>SUMIF(Recibos!$D$4:$D$7493,Cobranza!$B237,Recibos!R$4:R$7493)</f>
        <v>400</v>
      </c>
      <c r="BG237" s="313">
        <f>SUMIF(Recibos!$D$4:$D$7493,Cobranza!$B237,Recibos!S$4:S$7493)</f>
        <v>400</v>
      </c>
      <c r="BH237" s="313">
        <f>SUMIF(Recibos!$D$4:$D$7493,Cobranza!$B237,Recibos!T$4:T$7493)</f>
        <v>400</v>
      </c>
      <c r="BI237" s="313">
        <f>SUMIF(Recibos!$D$4:$D$7493,Cobranza!$B237,Recibos!U$4:U$7493)</f>
        <v>400</v>
      </c>
      <c r="BJ237" s="313">
        <f>SUMIF(Recibos!$D$4:$D$7493,Cobranza!$B237,Recibos!V$4:V$7493)</f>
        <v>400</v>
      </c>
      <c r="BK237" s="314">
        <f t="shared" si="36"/>
        <v>4800</v>
      </c>
      <c r="BL237" s="313">
        <f>SUMIF(Recibos!$D$4:$D$7493,Cobranza!$B237,Recibos!X$4:X$7493)</f>
        <v>400</v>
      </c>
      <c r="BM237" s="313">
        <f>SUMIF(Recibos!$D$4:$D$7493,Cobranza!$B237,Recibos!Y$4:Y$7493)</f>
        <v>400</v>
      </c>
      <c r="BN237" s="313">
        <f>SUMIF(Recibos!$D$4:$D$7493,Cobranza!$B237,Recibos!Z$4:Z$7493)</f>
        <v>400</v>
      </c>
      <c r="BO237" s="313">
        <f>SUMIF(Recibos!$D$4:$D$7493,Cobranza!$B237,Recibos!AA$4:AA$7493)</f>
        <v>400</v>
      </c>
      <c r="BP237" s="313">
        <f>SUMIF(Recibos!$D$4:$D$7493,Cobranza!$B237,Recibos!AB$4:AB$7493)</f>
        <v>400</v>
      </c>
      <c r="BQ237" s="313">
        <f>SUMIF(Recibos!$D$4:$D$7493,Cobranza!$B237,Recibos!AC$4:AC$7493)</f>
        <v>400</v>
      </c>
      <c r="BR237" s="313">
        <f>SUMIF(Recibos!$D$4:$D$7493,Cobranza!$B237,Recibos!AD$4:AD$7493)</f>
        <v>400</v>
      </c>
      <c r="BS237" s="313">
        <f>SUMIF(Recibos!$D$4:$D$7493,Cobranza!$B237,Recibos!AE$4:AE$7493)</f>
        <v>400</v>
      </c>
      <c r="BT237" s="313">
        <f>SUMIF(Recibos!$D$4:$D$7493,Cobranza!$B237,Recibos!AF$4:AF$7493)</f>
        <v>400</v>
      </c>
      <c r="BU237" s="313">
        <f>SUMIF(Recibos!$D$4:$D$7493,Cobranza!$B237,Recibos!AG$4:AG$7493)</f>
        <v>400</v>
      </c>
      <c r="BV237" s="313">
        <f>SUMIF(Recibos!$D$4:$D$7493,Cobranza!$B237,Recibos!AH$4:AH$7493)</f>
        <v>400</v>
      </c>
      <c r="BW237" s="313">
        <f>SUMIF(Recibos!$D$4:$D$7493,Cobranza!$B237,Recibos!AI$4:AI$7493)</f>
        <v>400</v>
      </c>
      <c r="BX237" s="314">
        <f t="shared" si="37"/>
        <v>4800</v>
      </c>
      <c r="BY237" s="313">
        <f>SUMIF(Recibos!$D$4:$D$7493,Cobranza!$B237,Recibos!AK$4:AK$7493)</f>
        <v>400</v>
      </c>
      <c r="BZ237" s="313">
        <f>SUMIF(Recibos!$D$4:$D$7493,Cobranza!$B237,Recibos!AL$4:AL$7493)</f>
        <v>400</v>
      </c>
      <c r="CA237" s="313">
        <f>SUMIF(Recibos!$D$4:$D$7493,Cobranza!$B237,Recibos!AM$4:AM$7493)</f>
        <v>400</v>
      </c>
      <c r="CB237" s="313">
        <f>SUMIF(Recibos!$D$4:$D$7493,Cobranza!$B237,Recibos!AN$4:AN$7493)</f>
        <v>400</v>
      </c>
      <c r="CC237" s="313">
        <f>SUMIF(Recibos!$D$4:$D$7493,Cobranza!$B237,Recibos!AO$4:AO$7493)</f>
        <v>400</v>
      </c>
      <c r="CD237" s="313">
        <f>SUMIF(Recibos!$D$4:$D$7493,Cobranza!$B237,Recibos!AP$4:AP$7493)</f>
        <v>400</v>
      </c>
      <c r="CE237" s="313">
        <f>SUMIF(Recibos!$D$4:$D$7493,Cobranza!$B237,Recibos!AQ$4:AQ$7493)</f>
        <v>400</v>
      </c>
      <c r="CF237" s="313">
        <f>SUMIF(Recibos!$D$4:$D$7493,Cobranza!$B237,Recibos!AR$4:AR$7493)</f>
        <v>400</v>
      </c>
      <c r="CG237" s="313">
        <f>SUMIF(Recibos!$D$4:$D$7493,Cobranza!$B237,Recibos!AS$4:AS$7493)</f>
        <v>400</v>
      </c>
      <c r="CH237" s="313">
        <f>SUMIF(Recibos!$D$4:$D$7493,Cobranza!$B237,Recibos!AT$4:AT$7493)</f>
        <v>400</v>
      </c>
      <c r="CI237" s="313">
        <f>SUMIF(Recibos!$D$4:$D$7493,Cobranza!$B237,Recibos!AU$4:AU$7493)</f>
        <v>400</v>
      </c>
      <c r="CJ237" s="313">
        <f>SUMIF(Recibos!$D$4:$D$7493,Cobranza!$B237,Recibos!AV$4:AV$7493)</f>
        <v>400</v>
      </c>
      <c r="CK237" s="314">
        <f t="shared" si="31"/>
        <v>4800</v>
      </c>
    </row>
    <row r="238" spans="2:89" x14ac:dyDescent="0.2">
      <c r="B238" s="42" t="s">
        <v>232</v>
      </c>
      <c r="C238" s="42" t="s">
        <v>233</v>
      </c>
      <c r="D238" s="42" t="s">
        <v>234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4">
        <f t="shared" si="32"/>
        <v>0</v>
      </c>
      <c r="L238" s="43">
        <v>300</v>
      </c>
      <c r="M238" s="43">
        <v>300</v>
      </c>
      <c r="N238" s="43">
        <v>300</v>
      </c>
      <c r="O238" s="43">
        <v>300</v>
      </c>
      <c r="P238" s="43">
        <v>300</v>
      </c>
      <c r="Q238" s="43">
        <v>300</v>
      </c>
      <c r="R238" s="43">
        <v>300</v>
      </c>
      <c r="S238" s="43">
        <v>300</v>
      </c>
      <c r="T238" s="43">
        <v>300</v>
      </c>
      <c r="U238" s="43">
        <v>300</v>
      </c>
      <c r="V238" s="43">
        <v>300</v>
      </c>
      <c r="W238" s="43">
        <v>0</v>
      </c>
      <c r="X238" s="44">
        <f t="shared" si="33"/>
        <v>3300</v>
      </c>
      <c r="Y238" s="43">
        <v>400</v>
      </c>
      <c r="Z238" s="43">
        <v>400</v>
      </c>
      <c r="AA238" s="43">
        <v>400</v>
      </c>
      <c r="AB238" s="43">
        <v>400</v>
      </c>
      <c r="AC238" s="43">
        <v>400</v>
      </c>
      <c r="AD238" s="43">
        <v>400</v>
      </c>
      <c r="AE238" s="43">
        <v>400</v>
      </c>
      <c r="AF238" s="43">
        <v>400</v>
      </c>
      <c r="AG238" s="43">
        <v>400</v>
      </c>
      <c r="AH238" s="43">
        <v>400</v>
      </c>
      <c r="AI238" s="43">
        <v>400</v>
      </c>
      <c r="AJ238" s="43">
        <v>0</v>
      </c>
      <c r="AK238" s="44">
        <f t="shared" si="34"/>
        <v>4400</v>
      </c>
      <c r="AL238" s="43">
        <v>400</v>
      </c>
      <c r="AM238" s="43">
        <v>400</v>
      </c>
      <c r="AN238" s="43">
        <v>400</v>
      </c>
      <c r="AO238" s="43">
        <v>400</v>
      </c>
      <c r="AP238" s="43">
        <v>400</v>
      </c>
      <c r="AQ238" s="43">
        <v>400</v>
      </c>
      <c r="AR238" s="43">
        <v>400</v>
      </c>
      <c r="AS238" s="43">
        <v>400</v>
      </c>
      <c r="AT238" s="43">
        <v>400</v>
      </c>
      <c r="AU238" s="43">
        <v>400</v>
      </c>
      <c r="AV238" s="43">
        <v>400</v>
      </c>
      <c r="AW238" s="43">
        <v>0</v>
      </c>
      <c r="AX238" s="44">
        <f t="shared" si="35"/>
        <v>4400</v>
      </c>
      <c r="AY238" s="311">
        <f>SUMIF(Recibos!$D$4:$D$7493,Cobranza!$B238,Recibos!K$4:K$7493)</f>
        <v>400</v>
      </c>
      <c r="AZ238" s="311">
        <f>SUMIF(Recibos!$D$4:$D$7493,Cobranza!$B238,Recibos!L$4:L$7493)</f>
        <v>400</v>
      </c>
      <c r="BA238" s="311">
        <f>SUMIF(Recibos!$D$4:$D$7493,Cobranza!$B238,Recibos!M$4:M$7493)</f>
        <v>400</v>
      </c>
      <c r="BB238" s="311">
        <f>SUMIF(Recibos!$D$4:$D$7493,Cobranza!$B238,Recibos!N$4:N$7493)</f>
        <v>400</v>
      </c>
      <c r="BC238" s="311">
        <f>SUMIF(Recibos!$D$4:$D$7493,Cobranza!$B238,Recibos!O$4:O$7493)</f>
        <v>400</v>
      </c>
      <c r="BD238" s="311">
        <f>SUMIF(Recibos!$D$4:$D$7493,Cobranza!$B238,Recibos!P$4:P$7493)</f>
        <v>400</v>
      </c>
      <c r="BE238" s="311">
        <f>SUMIF(Recibos!$D$4:$D$7493,Cobranza!$B238,Recibos!Q$4:Q$7493)</f>
        <v>400</v>
      </c>
      <c r="BF238" s="311">
        <f>SUMIF(Recibos!$D$4:$D$7493,Cobranza!$B238,Recibos!R$4:R$7493)</f>
        <v>400</v>
      </c>
      <c r="BG238" s="311">
        <f>SUMIF(Recibos!$D$4:$D$7493,Cobranza!$B238,Recibos!S$4:S$7493)</f>
        <v>400</v>
      </c>
      <c r="BH238" s="311">
        <f>SUMIF(Recibos!$D$4:$D$7493,Cobranza!$B238,Recibos!T$4:T$7493)</f>
        <v>400</v>
      </c>
      <c r="BI238" s="311">
        <f>SUMIF(Recibos!$D$4:$D$7493,Cobranza!$B238,Recibos!U$4:U$7493)</f>
        <v>400</v>
      </c>
      <c r="BJ238" s="311">
        <f>SUMIF(Recibos!$D$4:$D$7493,Cobranza!$B238,Recibos!V$4:V$7493)</f>
        <v>0</v>
      </c>
      <c r="BK238" s="312">
        <f t="shared" si="36"/>
        <v>4400</v>
      </c>
      <c r="BL238" s="311">
        <f>SUMIF(Recibos!$D$4:$D$7493,Cobranza!$B238,Recibos!X$4:X$7493)</f>
        <v>0</v>
      </c>
      <c r="BM238" s="311">
        <f>SUMIF(Recibos!$D$4:$D$7493,Cobranza!$B238,Recibos!Y$4:Y$7493)</f>
        <v>0</v>
      </c>
      <c r="BN238" s="311">
        <f>SUMIF(Recibos!$D$4:$D$7493,Cobranza!$B238,Recibos!Z$4:Z$7493)</f>
        <v>0</v>
      </c>
      <c r="BO238" s="311">
        <f>SUMIF(Recibos!$D$4:$D$7493,Cobranza!$B238,Recibos!AA$4:AA$7493)</f>
        <v>0</v>
      </c>
      <c r="BP238" s="311">
        <f>SUMIF(Recibos!$D$4:$D$7493,Cobranza!$B238,Recibos!AB$4:AB$7493)</f>
        <v>0</v>
      </c>
      <c r="BQ238" s="311">
        <f>SUMIF(Recibos!$D$4:$D$7493,Cobranza!$B238,Recibos!AC$4:AC$7493)</f>
        <v>0</v>
      </c>
      <c r="BR238" s="311">
        <f>SUMIF(Recibos!$D$4:$D$7493,Cobranza!$B238,Recibos!AD$4:AD$7493)</f>
        <v>0</v>
      </c>
      <c r="BS238" s="311">
        <f>SUMIF(Recibos!$D$4:$D$7493,Cobranza!$B238,Recibos!AE$4:AE$7493)</f>
        <v>0</v>
      </c>
      <c r="BT238" s="311">
        <f>SUMIF(Recibos!$D$4:$D$7493,Cobranza!$B238,Recibos!AF$4:AF$7493)</f>
        <v>0</v>
      </c>
      <c r="BU238" s="311">
        <f>SUMIF(Recibos!$D$4:$D$7493,Cobranza!$B238,Recibos!AG$4:AG$7493)</f>
        <v>0</v>
      </c>
      <c r="BV238" s="311">
        <f>SUMIF(Recibos!$D$4:$D$7493,Cobranza!$B238,Recibos!AH$4:AH$7493)</f>
        <v>0</v>
      </c>
      <c r="BW238" s="311">
        <f>SUMIF(Recibos!$D$4:$D$7493,Cobranza!$B238,Recibos!AI$4:AI$7493)</f>
        <v>0</v>
      </c>
      <c r="BX238" s="312">
        <f t="shared" si="37"/>
        <v>0</v>
      </c>
      <c r="BY238" s="311">
        <f>SUMIF(Recibos!$D$4:$D$7493,Cobranza!$B238,Recibos!AK$4:AK$7493)</f>
        <v>0</v>
      </c>
      <c r="BZ238" s="311">
        <f>SUMIF(Recibos!$D$4:$D$7493,Cobranza!$B238,Recibos!AL$4:AL$7493)</f>
        <v>0</v>
      </c>
      <c r="CA238" s="311">
        <f>SUMIF(Recibos!$D$4:$D$7493,Cobranza!$B238,Recibos!AM$4:AM$7493)</f>
        <v>0</v>
      </c>
      <c r="CB238" s="311">
        <f>SUMIF(Recibos!$D$4:$D$7493,Cobranza!$B238,Recibos!AN$4:AN$7493)</f>
        <v>0</v>
      </c>
      <c r="CC238" s="311">
        <f>SUMIF(Recibos!$D$4:$D$7493,Cobranza!$B238,Recibos!AO$4:AO$7493)</f>
        <v>0</v>
      </c>
      <c r="CD238" s="311">
        <f>SUMIF(Recibos!$D$4:$D$7493,Cobranza!$B238,Recibos!AP$4:AP$7493)</f>
        <v>0</v>
      </c>
      <c r="CE238" s="311">
        <f>SUMIF(Recibos!$D$4:$D$7493,Cobranza!$B238,Recibos!AQ$4:AQ$7493)</f>
        <v>0</v>
      </c>
      <c r="CF238" s="311">
        <f>SUMIF(Recibos!$D$4:$D$7493,Cobranza!$B238,Recibos!AR$4:AR$7493)</f>
        <v>0</v>
      </c>
      <c r="CG238" s="311">
        <f>SUMIF(Recibos!$D$4:$D$7493,Cobranza!$B238,Recibos!AS$4:AS$7493)</f>
        <v>0</v>
      </c>
      <c r="CH238" s="311">
        <f>SUMIF(Recibos!$D$4:$D$7493,Cobranza!$B238,Recibos!AT$4:AT$7493)</f>
        <v>0</v>
      </c>
      <c r="CI238" s="311">
        <f>SUMIF(Recibos!$D$4:$D$7493,Cobranza!$B238,Recibos!AU$4:AU$7493)</f>
        <v>0</v>
      </c>
      <c r="CJ238" s="311">
        <f>SUMIF(Recibos!$D$4:$D$7493,Cobranza!$B238,Recibos!AV$4:AV$7493)</f>
        <v>0</v>
      </c>
      <c r="CK238" s="312">
        <f t="shared" si="31"/>
        <v>0</v>
      </c>
    </row>
    <row r="239" spans="2:89" x14ac:dyDescent="0.2">
      <c r="B239" s="45" t="s">
        <v>975</v>
      </c>
      <c r="C239" s="45" t="s">
        <v>976</v>
      </c>
      <c r="D239" s="45" t="s">
        <v>573</v>
      </c>
      <c r="E239" s="46">
        <v>0</v>
      </c>
      <c r="F239" s="46">
        <v>0</v>
      </c>
      <c r="G239" s="46">
        <v>0</v>
      </c>
      <c r="H239" s="46">
        <v>0</v>
      </c>
      <c r="I239" s="46">
        <v>0</v>
      </c>
      <c r="J239" s="46">
        <v>0</v>
      </c>
      <c r="K239" s="47">
        <f t="shared" si="32"/>
        <v>0</v>
      </c>
      <c r="L239" s="46">
        <v>0</v>
      </c>
      <c r="M239" s="46">
        <v>0</v>
      </c>
      <c r="N239" s="46">
        <v>0</v>
      </c>
      <c r="O239" s="46">
        <v>0</v>
      </c>
      <c r="P239" s="46">
        <v>0</v>
      </c>
      <c r="Q239" s="46">
        <v>0</v>
      </c>
      <c r="R239" s="46">
        <v>0</v>
      </c>
      <c r="S239" s="46">
        <v>0</v>
      </c>
      <c r="T239" s="46">
        <v>0</v>
      </c>
      <c r="U239" s="46">
        <v>0</v>
      </c>
      <c r="V239" s="46">
        <v>0</v>
      </c>
      <c r="W239" s="46">
        <v>0</v>
      </c>
      <c r="X239" s="47">
        <f t="shared" si="33"/>
        <v>0</v>
      </c>
      <c r="Y239" s="46">
        <v>400</v>
      </c>
      <c r="Z239" s="46">
        <v>400</v>
      </c>
      <c r="AA239" s="46">
        <v>0</v>
      </c>
      <c r="AB239" s="46">
        <v>0</v>
      </c>
      <c r="AC239" s="46">
        <v>0</v>
      </c>
      <c r="AD239" s="46">
        <v>0</v>
      </c>
      <c r="AE239" s="46">
        <v>0</v>
      </c>
      <c r="AF239" s="46">
        <v>400</v>
      </c>
      <c r="AG239" s="46">
        <v>400</v>
      </c>
      <c r="AH239" s="46">
        <v>400</v>
      </c>
      <c r="AI239" s="46">
        <v>400</v>
      </c>
      <c r="AJ239" s="46">
        <v>400</v>
      </c>
      <c r="AK239" s="47">
        <f t="shared" si="34"/>
        <v>2800</v>
      </c>
      <c r="AL239" s="46">
        <v>400</v>
      </c>
      <c r="AM239" s="46">
        <v>400</v>
      </c>
      <c r="AN239" s="46">
        <v>400</v>
      </c>
      <c r="AO239" s="46">
        <v>400</v>
      </c>
      <c r="AP239" s="46">
        <v>400</v>
      </c>
      <c r="AQ239" s="46">
        <v>0</v>
      </c>
      <c r="AR239" s="46">
        <v>0</v>
      </c>
      <c r="AS239" s="46">
        <v>0</v>
      </c>
      <c r="AT239" s="46">
        <v>0</v>
      </c>
      <c r="AU239" s="46">
        <v>0</v>
      </c>
      <c r="AV239" s="46">
        <v>0</v>
      </c>
      <c r="AW239" s="46">
        <v>0</v>
      </c>
      <c r="AX239" s="47">
        <f t="shared" si="35"/>
        <v>2000</v>
      </c>
      <c r="AY239" s="313">
        <f>SUMIF(Recibos!$D$4:$D$7493,Cobranza!$B239,Recibos!K$4:K$7493)</f>
        <v>0</v>
      </c>
      <c r="AZ239" s="313">
        <f>SUMIF(Recibos!$D$4:$D$7493,Cobranza!$B239,Recibos!L$4:L$7493)</f>
        <v>0</v>
      </c>
      <c r="BA239" s="313">
        <f>SUMIF(Recibos!$D$4:$D$7493,Cobranza!$B239,Recibos!M$4:M$7493)</f>
        <v>0</v>
      </c>
      <c r="BB239" s="313">
        <f>SUMIF(Recibos!$D$4:$D$7493,Cobranza!$B239,Recibos!N$4:N$7493)</f>
        <v>0</v>
      </c>
      <c r="BC239" s="313">
        <f>SUMIF(Recibos!$D$4:$D$7493,Cobranza!$B239,Recibos!O$4:O$7493)</f>
        <v>0</v>
      </c>
      <c r="BD239" s="313">
        <f>SUMIF(Recibos!$D$4:$D$7493,Cobranza!$B239,Recibos!P$4:P$7493)</f>
        <v>400</v>
      </c>
      <c r="BE239" s="313">
        <f>SUMIF(Recibos!$D$4:$D$7493,Cobranza!$B239,Recibos!Q$4:Q$7493)</f>
        <v>400</v>
      </c>
      <c r="BF239" s="313">
        <f>SUMIF(Recibos!$D$4:$D$7493,Cobranza!$B239,Recibos!R$4:R$7493)</f>
        <v>0</v>
      </c>
      <c r="BG239" s="313">
        <f>SUMIF(Recibos!$D$4:$D$7493,Cobranza!$B239,Recibos!S$4:S$7493)</f>
        <v>0</v>
      </c>
      <c r="BH239" s="313">
        <f>SUMIF(Recibos!$D$4:$D$7493,Cobranza!$B239,Recibos!T$4:T$7493)</f>
        <v>0</v>
      </c>
      <c r="BI239" s="313">
        <f>SUMIF(Recibos!$D$4:$D$7493,Cobranza!$B239,Recibos!U$4:U$7493)</f>
        <v>0</v>
      </c>
      <c r="BJ239" s="313">
        <f>SUMIF(Recibos!$D$4:$D$7493,Cobranza!$B239,Recibos!V$4:V$7493)</f>
        <v>0</v>
      </c>
      <c r="BK239" s="314">
        <f t="shared" si="36"/>
        <v>800</v>
      </c>
      <c r="BL239" s="313">
        <f>SUMIF(Recibos!$D$4:$D$7493,Cobranza!$B239,Recibos!X$4:X$7493)</f>
        <v>0</v>
      </c>
      <c r="BM239" s="313">
        <f>SUMIF(Recibos!$D$4:$D$7493,Cobranza!$B239,Recibos!Y$4:Y$7493)</f>
        <v>0</v>
      </c>
      <c r="BN239" s="313">
        <f>SUMIF(Recibos!$D$4:$D$7493,Cobranza!$B239,Recibos!Z$4:Z$7493)</f>
        <v>0</v>
      </c>
      <c r="BO239" s="313">
        <f>SUMIF(Recibos!$D$4:$D$7493,Cobranza!$B239,Recibos!AA$4:AA$7493)</f>
        <v>0</v>
      </c>
      <c r="BP239" s="313">
        <f>SUMIF(Recibos!$D$4:$D$7493,Cobranza!$B239,Recibos!AB$4:AB$7493)</f>
        <v>0</v>
      </c>
      <c r="BQ239" s="313">
        <f>SUMIF(Recibos!$D$4:$D$7493,Cobranza!$B239,Recibos!AC$4:AC$7493)</f>
        <v>0</v>
      </c>
      <c r="BR239" s="313">
        <f>SUMIF(Recibos!$D$4:$D$7493,Cobranza!$B239,Recibos!AD$4:AD$7493)</f>
        <v>0</v>
      </c>
      <c r="BS239" s="313">
        <f>SUMIF(Recibos!$D$4:$D$7493,Cobranza!$B239,Recibos!AE$4:AE$7493)</f>
        <v>0</v>
      </c>
      <c r="BT239" s="313">
        <f>SUMIF(Recibos!$D$4:$D$7493,Cobranza!$B239,Recibos!AF$4:AF$7493)</f>
        <v>0</v>
      </c>
      <c r="BU239" s="313">
        <f>SUMIF(Recibos!$D$4:$D$7493,Cobranza!$B239,Recibos!AG$4:AG$7493)</f>
        <v>0</v>
      </c>
      <c r="BV239" s="313">
        <f>SUMIF(Recibos!$D$4:$D$7493,Cobranza!$B239,Recibos!AH$4:AH$7493)</f>
        <v>0</v>
      </c>
      <c r="BW239" s="313">
        <f>SUMIF(Recibos!$D$4:$D$7493,Cobranza!$B239,Recibos!AI$4:AI$7493)</f>
        <v>0</v>
      </c>
      <c r="BX239" s="314">
        <f t="shared" si="37"/>
        <v>0</v>
      </c>
      <c r="BY239" s="313">
        <f>SUMIF(Recibos!$D$4:$D$7493,Cobranza!$B239,Recibos!AK$4:AK$7493)</f>
        <v>0</v>
      </c>
      <c r="BZ239" s="313">
        <f>SUMIF(Recibos!$D$4:$D$7493,Cobranza!$B239,Recibos!AL$4:AL$7493)</f>
        <v>0</v>
      </c>
      <c r="CA239" s="313">
        <f>SUMIF(Recibos!$D$4:$D$7493,Cobranza!$B239,Recibos!AM$4:AM$7493)</f>
        <v>0</v>
      </c>
      <c r="CB239" s="313">
        <f>SUMIF(Recibos!$D$4:$D$7493,Cobranza!$B239,Recibos!AN$4:AN$7493)</f>
        <v>0</v>
      </c>
      <c r="CC239" s="313">
        <f>SUMIF(Recibos!$D$4:$D$7493,Cobranza!$B239,Recibos!AO$4:AO$7493)</f>
        <v>0</v>
      </c>
      <c r="CD239" s="313">
        <f>SUMIF(Recibos!$D$4:$D$7493,Cobranza!$B239,Recibos!AP$4:AP$7493)</f>
        <v>0</v>
      </c>
      <c r="CE239" s="313">
        <f>SUMIF(Recibos!$D$4:$D$7493,Cobranza!$B239,Recibos!AQ$4:AQ$7493)</f>
        <v>0</v>
      </c>
      <c r="CF239" s="313">
        <f>SUMIF(Recibos!$D$4:$D$7493,Cobranza!$B239,Recibos!AR$4:AR$7493)</f>
        <v>0</v>
      </c>
      <c r="CG239" s="313">
        <f>SUMIF(Recibos!$D$4:$D$7493,Cobranza!$B239,Recibos!AS$4:AS$7493)</f>
        <v>0</v>
      </c>
      <c r="CH239" s="313">
        <f>SUMIF(Recibos!$D$4:$D$7493,Cobranza!$B239,Recibos!AT$4:AT$7493)</f>
        <v>0</v>
      </c>
      <c r="CI239" s="313">
        <f>SUMIF(Recibos!$D$4:$D$7493,Cobranza!$B239,Recibos!AU$4:AU$7493)</f>
        <v>0</v>
      </c>
      <c r="CJ239" s="313">
        <f>SUMIF(Recibos!$D$4:$D$7493,Cobranza!$B239,Recibos!AV$4:AV$7493)</f>
        <v>0</v>
      </c>
      <c r="CK239" s="314">
        <f t="shared" si="31"/>
        <v>0</v>
      </c>
    </row>
    <row r="240" spans="2:89" x14ac:dyDescent="0.2">
      <c r="B240" s="42" t="s">
        <v>794</v>
      </c>
      <c r="C240" s="42" t="s">
        <v>795</v>
      </c>
      <c r="D240" s="42" t="s">
        <v>796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250</v>
      </c>
      <c r="K240" s="44">
        <f t="shared" si="32"/>
        <v>250</v>
      </c>
      <c r="L240" s="43">
        <v>250</v>
      </c>
      <c r="M240" s="43">
        <v>250</v>
      </c>
      <c r="N240" s="43">
        <v>250</v>
      </c>
      <c r="O240" s="43">
        <v>250</v>
      </c>
      <c r="P240" s="43">
        <v>250</v>
      </c>
      <c r="Q240" s="43">
        <v>250</v>
      </c>
      <c r="R240" s="43">
        <v>250</v>
      </c>
      <c r="S240" s="43">
        <v>250</v>
      </c>
      <c r="T240" s="43">
        <v>250</v>
      </c>
      <c r="U240" s="43">
        <v>0</v>
      </c>
      <c r="V240" s="43">
        <v>0</v>
      </c>
      <c r="W240" s="43">
        <v>0</v>
      </c>
      <c r="X240" s="44">
        <f t="shared" si="33"/>
        <v>2250</v>
      </c>
      <c r="Y240" s="43">
        <v>0</v>
      </c>
      <c r="Z240" s="43">
        <v>0</v>
      </c>
      <c r="AA240" s="43">
        <v>300</v>
      </c>
      <c r="AB240" s="43">
        <v>300</v>
      </c>
      <c r="AC240" s="43">
        <v>300</v>
      </c>
      <c r="AD240" s="43">
        <v>300</v>
      </c>
      <c r="AE240" s="43">
        <v>300</v>
      </c>
      <c r="AF240" s="43">
        <v>300</v>
      </c>
      <c r="AG240" s="43">
        <v>300</v>
      </c>
      <c r="AH240" s="43">
        <v>300</v>
      </c>
      <c r="AI240" s="43">
        <v>300</v>
      </c>
      <c r="AJ240" s="43">
        <v>300</v>
      </c>
      <c r="AK240" s="44">
        <f t="shared" si="34"/>
        <v>3000</v>
      </c>
      <c r="AL240" s="43">
        <v>300</v>
      </c>
      <c r="AM240" s="43">
        <v>300</v>
      </c>
      <c r="AN240" s="43">
        <v>300</v>
      </c>
      <c r="AO240" s="43">
        <v>300</v>
      </c>
      <c r="AP240" s="43">
        <v>300</v>
      </c>
      <c r="AQ240" s="43">
        <v>300</v>
      </c>
      <c r="AR240" s="43">
        <v>300</v>
      </c>
      <c r="AS240" s="43">
        <v>300</v>
      </c>
      <c r="AT240" s="43">
        <v>300</v>
      </c>
      <c r="AU240" s="43">
        <v>300</v>
      </c>
      <c r="AV240" s="43">
        <v>300</v>
      </c>
      <c r="AW240" s="43">
        <v>0</v>
      </c>
      <c r="AX240" s="44">
        <f t="shared" si="35"/>
        <v>3300</v>
      </c>
      <c r="AY240" s="311">
        <f>SUMIF(Recibos!$D$4:$D$7493,Cobranza!$B240,Recibos!K$4:K$7493)</f>
        <v>0</v>
      </c>
      <c r="AZ240" s="311">
        <f>SUMIF(Recibos!$D$4:$D$7493,Cobranza!$B240,Recibos!L$4:L$7493)</f>
        <v>300</v>
      </c>
      <c r="BA240" s="311">
        <f>SUMIF(Recibos!$D$4:$D$7493,Cobranza!$B240,Recibos!M$4:M$7493)</f>
        <v>300</v>
      </c>
      <c r="BB240" s="311">
        <f>SUMIF(Recibos!$D$4:$D$7493,Cobranza!$B240,Recibos!N$4:N$7493)</f>
        <v>300</v>
      </c>
      <c r="BC240" s="311">
        <f>SUMIF(Recibos!$D$4:$D$7493,Cobranza!$B240,Recibos!O$4:O$7493)</f>
        <v>300</v>
      </c>
      <c r="BD240" s="311">
        <f>SUMIF(Recibos!$D$4:$D$7493,Cobranza!$B240,Recibos!P$4:P$7493)</f>
        <v>0</v>
      </c>
      <c r="BE240" s="311">
        <f>SUMIF(Recibos!$D$4:$D$7493,Cobranza!$B240,Recibos!Q$4:Q$7493)</f>
        <v>600</v>
      </c>
      <c r="BF240" s="311">
        <f>SUMIF(Recibos!$D$4:$D$7493,Cobranza!$B240,Recibos!R$4:R$7493)</f>
        <v>300</v>
      </c>
      <c r="BG240" s="311">
        <f>SUMIF(Recibos!$D$4:$D$7493,Cobranza!$B240,Recibos!S$4:S$7493)</f>
        <v>300</v>
      </c>
      <c r="BH240" s="311">
        <f>SUMIF(Recibos!$D$4:$D$7493,Cobranza!$B240,Recibos!T$4:T$7493)</f>
        <v>300</v>
      </c>
      <c r="BI240" s="311">
        <f>SUMIF(Recibos!$D$4:$D$7493,Cobranza!$B240,Recibos!U$4:U$7493)</f>
        <v>300</v>
      </c>
      <c r="BJ240" s="311">
        <f>SUMIF(Recibos!$D$4:$D$7493,Cobranza!$B240,Recibos!V$4:V$7493)</f>
        <v>300</v>
      </c>
      <c r="BK240" s="312">
        <f t="shared" si="36"/>
        <v>3300</v>
      </c>
      <c r="BL240" s="311">
        <f>SUMIF(Recibos!$D$4:$D$7493,Cobranza!$B240,Recibos!X$4:X$7493)</f>
        <v>300</v>
      </c>
      <c r="BM240" s="311">
        <f>SUMIF(Recibos!$D$4:$D$7493,Cobranza!$B240,Recibos!Y$4:Y$7493)</f>
        <v>300</v>
      </c>
      <c r="BN240" s="311">
        <f>SUMIF(Recibos!$D$4:$D$7493,Cobranza!$B240,Recibos!Z$4:Z$7493)</f>
        <v>300</v>
      </c>
      <c r="BO240" s="311">
        <f>SUMIF(Recibos!$D$4:$D$7493,Cobranza!$B240,Recibos!AA$4:AA$7493)</f>
        <v>300</v>
      </c>
      <c r="BP240" s="311">
        <f>SUMIF(Recibos!$D$4:$D$7493,Cobranza!$B240,Recibos!AB$4:AB$7493)</f>
        <v>300</v>
      </c>
      <c r="BQ240" s="311">
        <f>SUMIF(Recibos!$D$4:$D$7493,Cobranza!$B240,Recibos!AC$4:AC$7493)</f>
        <v>300</v>
      </c>
      <c r="BR240" s="311">
        <f>SUMIF(Recibos!$D$4:$D$7493,Cobranza!$B240,Recibos!AD$4:AD$7493)</f>
        <v>300</v>
      </c>
      <c r="BS240" s="311">
        <f>SUMIF(Recibos!$D$4:$D$7493,Cobranza!$B240,Recibos!AE$4:AE$7493)</f>
        <v>300</v>
      </c>
      <c r="BT240" s="311">
        <f>SUMIF(Recibos!$D$4:$D$7493,Cobranza!$B240,Recibos!AF$4:AF$7493)</f>
        <v>300</v>
      </c>
      <c r="BU240" s="311">
        <f>SUMIF(Recibos!$D$4:$D$7493,Cobranza!$B240,Recibos!AG$4:AG$7493)</f>
        <v>300</v>
      </c>
      <c r="BV240" s="311">
        <f>SUMIF(Recibos!$D$4:$D$7493,Cobranza!$B240,Recibos!AH$4:AH$7493)</f>
        <v>300</v>
      </c>
      <c r="BW240" s="311">
        <f>SUMIF(Recibos!$D$4:$D$7493,Cobranza!$B240,Recibos!AI$4:AI$7493)</f>
        <v>300</v>
      </c>
      <c r="BX240" s="312">
        <f t="shared" si="37"/>
        <v>3600</v>
      </c>
      <c r="BY240" s="311">
        <f>SUMIF(Recibos!$D$4:$D$7493,Cobranza!$B240,Recibos!AK$4:AK$7493)</f>
        <v>300</v>
      </c>
      <c r="BZ240" s="311">
        <f>SUMIF(Recibos!$D$4:$D$7493,Cobranza!$B240,Recibos!AL$4:AL$7493)</f>
        <v>300</v>
      </c>
      <c r="CA240" s="311">
        <f>SUMIF(Recibos!$D$4:$D$7493,Cobranza!$B240,Recibos!AM$4:AM$7493)</f>
        <v>300</v>
      </c>
      <c r="CB240" s="311">
        <f>SUMIF(Recibos!$D$4:$D$7493,Cobranza!$B240,Recibos!AN$4:AN$7493)</f>
        <v>300</v>
      </c>
      <c r="CC240" s="311">
        <f>SUMIF(Recibos!$D$4:$D$7493,Cobranza!$B240,Recibos!AO$4:AO$7493)</f>
        <v>300</v>
      </c>
      <c r="CD240" s="311">
        <f>SUMIF(Recibos!$D$4:$D$7493,Cobranza!$B240,Recibos!AP$4:AP$7493)</f>
        <v>300</v>
      </c>
      <c r="CE240" s="311">
        <f>SUMIF(Recibos!$D$4:$D$7493,Cobranza!$B240,Recibos!AQ$4:AQ$7493)</f>
        <v>300</v>
      </c>
      <c r="CF240" s="311">
        <f>SUMIF(Recibos!$D$4:$D$7493,Cobranza!$B240,Recibos!AR$4:AR$7493)</f>
        <v>300</v>
      </c>
      <c r="CG240" s="311">
        <f>SUMIF(Recibos!$D$4:$D$7493,Cobranza!$B240,Recibos!AS$4:AS$7493)</f>
        <v>300</v>
      </c>
      <c r="CH240" s="311">
        <f>SUMIF(Recibos!$D$4:$D$7493,Cobranza!$B240,Recibos!AT$4:AT$7493)</f>
        <v>0</v>
      </c>
      <c r="CI240" s="311">
        <f>SUMIF(Recibos!$D$4:$D$7493,Cobranza!$B240,Recibos!AU$4:AU$7493)</f>
        <v>0</v>
      </c>
      <c r="CJ240" s="311">
        <f>SUMIF(Recibos!$D$4:$D$7493,Cobranza!$B240,Recibos!AV$4:AV$7493)</f>
        <v>0</v>
      </c>
      <c r="CK240" s="312">
        <f t="shared" si="31"/>
        <v>2700</v>
      </c>
    </row>
    <row r="241" spans="2:89" x14ac:dyDescent="0.2">
      <c r="B241" s="45" t="s">
        <v>58</v>
      </c>
      <c r="C241" s="45" t="s">
        <v>59</v>
      </c>
      <c r="D241" s="45" t="s">
        <v>60</v>
      </c>
      <c r="E241" s="46">
        <v>0</v>
      </c>
      <c r="F241" s="46">
        <v>0</v>
      </c>
      <c r="G241" s="46">
        <v>0</v>
      </c>
      <c r="H241" s="46">
        <v>0</v>
      </c>
      <c r="I241" s="46">
        <v>300</v>
      </c>
      <c r="J241" s="46">
        <v>300</v>
      </c>
      <c r="K241" s="47">
        <f t="shared" si="32"/>
        <v>600</v>
      </c>
      <c r="L241" s="46">
        <v>300</v>
      </c>
      <c r="M241" s="46">
        <v>300</v>
      </c>
      <c r="N241" s="46">
        <v>300</v>
      </c>
      <c r="O241" s="46">
        <v>300</v>
      </c>
      <c r="P241" s="46">
        <v>300</v>
      </c>
      <c r="Q241" s="46">
        <v>300</v>
      </c>
      <c r="R241" s="46">
        <v>300</v>
      </c>
      <c r="S241" s="46">
        <v>300</v>
      </c>
      <c r="T241" s="46">
        <v>300</v>
      </c>
      <c r="U241" s="46">
        <v>300</v>
      </c>
      <c r="V241" s="46">
        <v>300</v>
      </c>
      <c r="W241" s="46">
        <v>300</v>
      </c>
      <c r="X241" s="47">
        <f t="shared" si="33"/>
        <v>3600</v>
      </c>
      <c r="Y241" s="46">
        <v>300</v>
      </c>
      <c r="Z241" s="46">
        <v>300</v>
      </c>
      <c r="AA241" s="46">
        <v>300</v>
      </c>
      <c r="AB241" s="46">
        <v>300</v>
      </c>
      <c r="AC241" s="46">
        <v>300</v>
      </c>
      <c r="AD241" s="46">
        <v>300</v>
      </c>
      <c r="AE241" s="46">
        <v>300</v>
      </c>
      <c r="AF241" s="46">
        <v>300</v>
      </c>
      <c r="AG241" s="46">
        <v>300</v>
      </c>
      <c r="AH241" s="46">
        <v>300</v>
      </c>
      <c r="AI241" s="46">
        <v>300</v>
      </c>
      <c r="AJ241" s="46">
        <v>300</v>
      </c>
      <c r="AK241" s="47">
        <f t="shared" si="34"/>
        <v>3600</v>
      </c>
      <c r="AL241" s="46">
        <v>300</v>
      </c>
      <c r="AM241" s="46">
        <v>300</v>
      </c>
      <c r="AN241" s="46">
        <v>300</v>
      </c>
      <c r="AO241" s="46">
        <v>300</v>
      </c>
      <c r="AP241" s="46">
        <v>300</v>
      </c>
      <c r="AQ241" s="46">
        <v>300</v>
      </c>
      <c r="AR241" s="46">
        <v>300</v>
      </c>
      <c r="AS241" s="46">
        <v>300</v>
      </c>
      <c r="AT241" s="46">
        <v>300</v>
      </c>
      <c r="AU241" s="46">
        <v>300</v>
      </c>
      <c r="AV241" s="46">
        <v>300</v>
      </c>
      <c r="AW241" s="46">
        <v>300</v>
      </c>
      <c r="AX241" s="47">
        <f t="shared" si="35"/>
        <v>3600</v>
      </c>
      <c r="AY241" s="313">
        <f>SUMIF(Recibos!$D$4:$D$7493,Cobranza!$B241,Recibos!K$4:K$7493)</f>
        <v>300</v>
      </c>
      <c r="AZ241" s="313">
        <f>SUMIF(Recibos!$D$4:$D$7493,Cobranza!$B241,Recibos!L$4:L$7493)</f>
        <v>300</v>
      </c>
      <c r="BA241" s="313">
        <f>SUMIF(Recibos!$D$4:$D$7493,Cobranza!$B241,Recibos!M$4:M$7493)</f>
        <v>300</v>
      </c>
      <c r="BB241" s="313">
        <f>SUMIF(Recibos!$D$4:$D$7493,Cobranza!$B241,Recibos!N$4:N$7493)</f>
        <v>300</v>
      </c>
      <c r="BC241" s="313">
        <f>SUMIF(Recibos!$D$4:$D$7493,Cobranza!$B241,Recibos!O$4:O$7493)</f>
        <v>300</v>
      </c>
      <c r="BD241" s="313">
        <f>SUMIF(Recibos!$D$4:$D$7493,Cobranza!$B241,Recibos!P$4:P$7493)</f>
        <v>300</v>
      </c>
      <c r="BE241" s="313">
        <f>SUMIF(Recibos!$D$4:$D$7493,Cobranza!$B241,Recibos!Q$4:Q$7493)</f>
        <v>300</v>
      </c>
      <c r="BF241" s="313">
        <f>SUMIF(Recibos!$D$4:$D$7493,Cobranza!$B241,Recibos!R$4:R$7493)</f>
        <v>300</v>
      </c>
      <c r="BG241" s="313">
        <f>SUMIF(Recibos!$D$4:$D$7493,Cobranza!$B241,Recibos!S$4:S$7493)</f>
        <v>300</v>
      </c>
      <c r="BH241" s="313">
        <f>SUMIF(Recibos!$D$4:$D$7493,Cobranza!$B241,Recibos!T$4:T$7493)</f>
        <v>300</v>
      </c>
      <c r="BI241" s="313">
        <f>SUMIF(Recibos!$D$4:$D$7493,Cobranza!$B241,Recibos!U$4:U$7493)</f>
        <v>300</v>
      </c>
      <c r="BJ241" s="313">
        <f>SUMIF(Recibos!$D$4:$D$7493,Cobranza!$B241,Recibos!V$4:V$7493)</f>
        <v>300</v>
      </c>
      <c r="BK241" s="314">
        <f t="shared" si="36"/>
        <v>3600</v>
      </c>
      <c r="BL241" s="313">
        <f>SUMIF(Recibos!$D$4:$D$7493,Cobranza!$B241,Recibos!X$4:X$7493)</f>
        <v>300</v>
      </c>
      <c r="BM241" s="313">
        <f>SUMIF(Recibos!$D$4:$D$7493,Cobranza!$B241,Recibos!Y$4:Y$7493)</f>
        <v>300</v>
      </c>
      <c r="BN241" s="313">
        <f>SUMIF(Recibos!$D$4:$D$7493,Cobranza!$B241,Recibos!Z$4:Z$7493)</f>
        <v>300</v>
      </c>
      <c r="BO241" s="313">
        <f>SUMIF(Recibos!$D$4:$D$7493,Cobranza!$B241,Recibos!AA$4:AA$7493)</f>
        <v>300</v>
      </c>
      <c r="BP241" s="313">
        <f>SUMIF(Recibos!$D$4:$D$7493,Cobranza!$B241,Recibos!AB$4:AB$7493)</f>
        <v>300</v>
      </c>
      <c r="BQ241" s="313">
        <f>SUMIF(Recibos!$D$4:$D$7493,Cobranza!$B241,Recibos!AC$4:AC$7493)</f>
        <v>300</v>
      </c>
      <c r="BR241" s="313">
        <f>SUMIF(Recibos!$D$4:$D$7493,Cobranza!$B241,Recibos!AD$4:AD$7493)</f>
        <v>300</v>
      </c>
      <c r="BS241" s="313">
        <f>SUMIF(Recibos!$D$4:$D$7493,Cobranza!$B241,Recibos!AE$4:AE$7493)</f>
        <v>300</v>
      </c>
      <c r="BT241" s="313">
        <f>SUMIF(Recibos!$D$4:$D$7493,Cobranza!$B241,Recibos!AF$4:AF$7493)</f>
        <v>300</v>
      </c>
      <c r="BU241" s="313">
        <f>SUMIF(Recibos!$D$4:$D$7493,Cobranza!$B241,Recibos!AG$4:AG$7493)</f>
        <v>300</v>
      </c>
      <c r="BV241" s="313">
        <f>SUMIF(Recibos!$D$4:$D$7493,Cobranza!$B241,Recibos!AH$4:AH$7493)</f>
        <v>300</v>
      </c>
      <c r="BW241" s="313">
        <f>SUMIF(Recibos!$D$4:$D$7493,Cobranza!$B241,Recibos!AI$4:AI$7493)</f>
        <v>300</v>
      </c>
      <c r="BX241" s="314">
        <f t="shared" si="37"/>
        <v>3600</v>
      </c>
      <c r="BY241" s="313">
        <f>SUMIF(Recibos!$D$4:$D$7493,Cobranza!$B241,Recibos!AK$4:AK$7493)</f>
        <v>300</v>
      </c>
      <c r="BZ241" s="313">
        <f>SUMIF(Recibos!$D$4:$D$7493,Cobranza!$B241,Recibos!AL$4:AL$7493)</f>
        <v>300</v>
      </c>
      <c r="CA241" s="313">
        <f>SUMIF(Recibos!$D$4:$D$7493,Cobranza!$B241,Recibos!AM$4:AM$7493)</f>
        <v>300</v>
      </c>
      <c r="CB241" s="313">
        <f>SUMIF(Recibos!$D$4:$D$7493,Cobranza!$B241,Recibos!AN$4:AN$7493)</f>
        <v>300</v>
      </c>
      <c r="CC241" s="313">
        <f>SUMIF(Recibos!$D$4:$D$7493,Cobranza!$B241,Recibos!AO$4:AO$7493)</f>
        <v>300</v>
      </c>
      <c r="CD241" s="313">
        <f>SUMIF(Recibos!$D$4:$D$7493,Cobranza!$B241,Recibos!AP$4:AP$7493)</f>
        <v>300</v>
      </c>
      <c r="CE241" s="313">
        <f>SUMIF(Recibos!$D$4:$D$7493,Cobranza!$B241,Recibos!AQ$4:AQ$7493)</f>
        <v>300</v>
      </c>
      <c r="CF241" s="313">
        <f>SUMIF(Recibos!$D$4:$D$7493,Cobranza!$B241,Recibos!AR$4:AR$7493)</f>
        <v>300</v>
      </c>
      <c r="CG241" s="313">
        <f>SUMIF(Recibos!$D$4:$D$7493,Cobranza!$B241,Recibos!AS$4:AS$7493)</f>
        <v>300</v>
      </c>
      <c r="CH241" s="313">
        <f>SUMIF(Recibos!$D$4:$D$7493,Cobranza!$B241,Recibos!AT$4:AT$7493)</f>
        <v>300</v>
      </c>
      <c r="CI241" s="313">
        <f>SUMIF(Recibos!$D$4:$D$7493,Cobranza!$B241,Recibos!AU$4:AU$7493)</f>
        <v>300</v>
      </c>
      <c r="CJ241" s="313">
        <f>SUMIF(Recibos!$D$4:$D$7493,Cobranza!$B241,Recibos!AV$4:AV$7493)</f>
        <v>0</v>
      </c>
      <c r="CK241" s="314">
        <f t="shared" si="31"/>
        <v>3300</v>
      </c>
    </row>
    <row r="242" spans="2:89" x14ac:dyDescent="0.2">
      <c r="B242" s="42" t="s">
        <v>716</v>
      </c>
      <c r="C242" s="42" t="s">
        <v>717</v>
      </c>
      <c r="D242" s="42" t="s">
        <v>718</v>
      </c>
      <c r="E242" s="43">
        <v>0</v>
      </c>
      <c r="F242" s="43">
        <v>300</v>
      </c>
      <c r="G242" s="43">
        <v>300</v>
      </c>
      <c r="H242" s="43">
        <v>300</v>
      </c>
      <c r="I242" s="43">
        <v>300</v>
      </c>
      <c r="J242" s="43">
        <v>300</v>
      </c>
      <c r="K242" s="44">
        <f t="shared" si="32"/>
        <v>1500</v>
      </c>
      <c r="L242" s="43">
        <v>0</v>
      </c>
      <c r="M242" s="43">
        <v>0</v>
      </c>
      <c r="N242" s="43">
        <v>0</v>
      </c>
      <c r="O242" s="43">
        <v>300</v>
      </c>
      <c r="P242" s="43">
        <v>300</v>
      </c>
      <c r="Q242" s="43">
        <v>300</v>
      </c>
      <c r="R242" s="43">
        <v>300</v>
      </c>
      <c r="S242" s="43">
        <v>300</v>
      </c>
      <c r="T242" s="43">
        <v>300</v>
      </c>
      <c r="U242" s="43">
        <v>300</v>
      </c>
      <c r="V242" s="43">
        <v>300</v>
      </c>
      <c r="W242" s="43">
        <v>300</v>
      </c>
      <c r="X242" s="44">
        <f t="shared" si="33"/>
        <v>2700</v>
      </c>
      <c r="Y242" s="43">
        <v>300</v>
      </c>
      <c r="Z242" s="43">
        <v>300</v>
      </c>
      <c r="AA242" s="43">
        <v>300</v>
      </c>
      <c r="AB242" s="43">
        <v>300</v>
      </c>
      <c r="AC242" s="43">
        <v>300</v>
      </c>
      <c r="AD242" s="43">
        <v>300</v>
      </c>
      <c r="AE242" s="43">
        <v>300</v>
      </c>
      <c r="AF242" s="43">
        <v>300</v>
      </c>
      <c r="AG242" s="43">
        <v>300</v>
      </c>
      <c r="AH242" s="43">
        <v>300</v>
      </c>
      <c r="AI242" s="43">
        <v>300</v>
      </c>
      <c r="AJ242" s="43">
        <v>300</v>
      </c>
      <c r="AK242" s="44">
        <f t="shared" si="34"/>
        <v>3600</v>
      </c>
      <c r="AL242" s="43">
        <v>300</v>
      </c>
      <c r="AM242" s="43">
        <v>300</v>
      </c>
      <c r="AN242" s="43">
        <v>300</v>
      </c>
      <c r="AO242" s="43">
        <v>300</v>
      </c>
      <c r="AP242" s="43">
        <v>300</v>
      </c>
      <c r="AQ242" s="43">
        <v>300</v>
      </c>
      <c r="AR242" s="43">
        <v>300</v>
      </c>
      <c r="AS242" s="43">
        <v>300</v>
      </c>
      <c r="AT242" s="43">
        <v>300</v>
      </c>
      <c r="AU242" s="43">
        <v>300</v>
      </c>
      <c r="AV242" s="43">
        <v>300</v>
      </c>
      <c r="AW242" s="43">
        <v>300</v>
      </c>
      <c r="AX242" s="44">
        <f t="shared" si="35"/>
        <v>3600</v>
      </c>
      <c r="AY242" s="311">
        <f>SUMIF(Recibos!$D$4:$D$7493,Cobranza!$B242,Recibos!K$4:K$7493)</f>
        <v>300</v>
      </c>
      <c r="AZ242" s="311">
        <f>SUMIF(Recibos!$D$4:$D$7493,Cobranza!$B242,Recibos!L$4:L$7493)</f>
        <v>300</v>
      </c>
      <c r="BA242" s="311">
        <f>SUMIF(Recibos!$D$4:$D$7493,Cobranza!$B242,Recibos!M$4:M$7493)</f>
        <v>300</v>
      </c>
      <c r="BB242" s="311">
        <f>SUMIF(Recibos!$D$4:$D$7493,Cobranza!$B242,Recibos!N$4:N$7493)</f>
        <v>300</v>
      </c>
      <c r="BC242" s="311">
        <f>SUMIF(Recibos!$D$4:$D$7493,Cobranza!$B242,Recibos!O$4:O$7493)</f>
        <v>300</v>
      </c>
      <c r="BD242" s="311">
        <f>SUMIF(Recibos!$D$4:$D$7493,Cobranza!$B242,Recibos!P$4:P$7493)</f>
        <v>300</v>
      </c>
      <c r="BE242" s="311">
        <f>SUMIF(Recibos!$D$4:$D$7493,Cobranza!$B242,Recibos!Q$4:Q$7493)</f>
        <v>300</v>
      </c>
      <c r="BF242" s="311">
        <f>SUMIF(Recibos!$D$4:$D$7493,Cobranza!$B242,Recibos!R$4:R$7493)</f>
        <v>300</v>
      </c>
      <c r="BG242" s="311">
        <f>SUMIF(Recibos!$D$4:$D$7493,Cobranza!$B242,Recibos!S$4:S$7493)</f>
        <v>300</v>
      </c>
      <c r="BH242" s="311">
        <f>SUMIF(Recibos!$D$4:$D$7493,Cobranza!$B242,Recibos!T$4:T$7493)</f>
        <v>300</v>
      </c>
      <c r="BI242" s="311">
        <f>SUMIF(Recibos!$D$4:$D$7493,Cobranza!$B242,Recibos!U$4:U$7493)</f>
        <v>300</v>
      </c>
      <c r="BJ242" s="311">
        <f>SUMIF(Recibos!$D$4:$D$7493,Cobranza!$B242,Recibos!V$4:V$7493)</f>
        <v>300</v>
      </c>
      <c r="BK242" s="312">
        <f t="shared" si="36"/>
        <v>3600</v>
      </c>
      <c r="BL242" s="311">
        <f>SUMIF(Recibos!$D$4:$D$7493,Cobranza!$B242,Recibos!X$4:X$7493)</f>
        <v>300</v>
      </c>
      <c r="BM242" s="311">
        <f>SUMIF(Recibos!$D$4:$D$7493,Cobranza!$B242,Recibos!Y$4:Y$7493)</f>
        <v>300</v>
      </c>
      <c r="BN242" s="311">
        <f>SUMIF(Recibos!$D$4:$D$7493,Cobranza!$B242,Recibos!Z$4:Z$7493)</f>
        <v>300</v>
      </c>
      <c r="BO242" s="311">
        <f>SUMIF(Recibos!$D$4:$D$7493,Cobranza!$B242,Recibos!AA$4:AA$7493)</f>
        <v>300</v>
      </c>
      <c r="BP242" s="311">
        <f>SUMIF(Recibos!$D$4:$D$7493,Cobranza!$B242,Recibos!AB$4:AB$7493)</f>
        <v>300</v>
      </c>
      <c r="BQ242" s="311">
        <f>SUMIF(Recibos!$D$4:$D$7493,Cobranza!$B242,Recibos!AC$4:AC$7493)</f>
        <v>300</v>
      </c>
      <c r="BR242" s="311">
        <f>SUMIF(Recibos!$D$4:$D$7493,Cobranza!$B242,Recibos!AD$4:AD$7493)</f>
        <v>300</v>
      </c>
      <c r="BS242" s="311">
        <f>SUMIF(Recibos!$D$4:$D$7493,Cobranza!$B242,Recibos!AE$4:AE$7493)</f>
        <v>300</v>
      </c>
      <c r="BT242" s="311">
        <f>SUMIF(Recibos!$D$4:$D$7493,Cobranza!$B242,Recibos!AF$4:AF$7493)</f>
        <v>300</v>
      </c>
      <c r="BU242" s="311">
        <f>SUMIF(Recibos!$D$4:$D$7493,Cobranza!$B242,Recibos!AG$4:AG$7493)</f>
        <v>300</v>
      </c>
      <c r="BV242" s="311">
        <f>SUMIF(Recibos!$D$4:$D$7493,Cobranza!$B242,Recibos!AH$4:AH$7493)</f>
        <v>300</v>
      </c>
      <c r="BW242" s="311">
        <f>SUMIF(Recibos!$D$4:$D$7493,Cobranza!$B242,Recibos!AI$4:AI$7493)</f>
        <v>300</v>
      </c>
      <c r="BX242" s="312">
        <f t="shared" si="37"/>
        <v>3600</v>
      </c>
      <c r="BY242" s="311">
        <f>SUMIF(Recibos!$D$4:$D$7493,Cobranza!$B242,Recibos!AK$4:AK$7493)</f>
        <v>300</v>
      </c>
      <c r="BZ242" s="311">
        <f>SUMIF(Recibos!$D$4:$D$7493,Cobranza!$B242,Recibos!AL$4:AL$7493)</f>
        <v>300</v>
      </c>
      <c r="CA242" s="311">
        <f>SUMIF(Recibos!$D$4:$D$7493,Cobranza!$B242,Recibos!AM$4:AM$7493)</f>
        <v>300</v>
      </c>
      <c r="CB242" s="311">
        <f>SUMIF(Recibos!$D$4:$D$7493,Cobranza!$B242,Recibos!AN$4:AN$7493)</f>
        <v>300</v>
      </c>
      <c r="CC242" s="311">
        <f>SUMIF(Recibos!$D$4:$D$7493,Cobranza!$B242,Recibos!AO$4:AO$7493)</f>
        <v>300</v>
      </c>
      <c r="CD242" s="311">
        <f>SUMIF(Recibos!$D$4:$D$7493,Cobranza!$B242,Recibos!AP$4:AP$7493)</f>
        <v>300</v>
      </c>
      <c r="CE242" s="311">
        <f>SUMIF(Recibos!$D$4:$D$7493,Cobranza!$B242,Recibos!AQ$4:AQ$7493)</f>
        <v>300</v>
      </c>
      <c r="CF242" s="311">
        <f>SUMIF(Recibos!$D$4:$D$7493,Cobranza!$B242,Recibos!AR$4:AR$7493)</f>
        <v>300</v>
      </c>
      <c r="CG242" s="311">
        <f>SUMIF(Recibos!$D$4:$D$7493,Cobranza!$B242,Recibos!AS$4:AS$7493)</f>
        <v>300</v>
      </c>
      <c r="CH242" s="311">
        <f>SUMIF(Recibos!$D$4:$D$7493,Cobranza!$B242,Recibos!AT$4:AT$7493)</f>
        <v>300</v>
      </c>
      <c r="CI242" s="311">
        <f>SUMIF(Recibos!$D$4:$D$7493,Cobranza!$B242,Recibos!AU$4:AU$7493)</f>
        <v>0</v>
      </c>
      <c r="CJ242" s="311">
        <f>SUMIF(Recibos!$D$4:$D$7493,Cobranza!$B242,Recibos!AV$4:AV$7493)</f>
        <v>0</v>
      </c>
      <c r="CK242" s="312">
        <f t="shared" si="31"/>
        <v>3000</v>
      </c>
    </row>
    <row r="243" spans="2:89" x14ac:dyDescent="0.2">
      <c r="B243" s="45" t="s">
        <v>708</v>
      </c>
      <c r="C243" s="45" t="s">
        <v>709</v>
      </c>
      <c r="D243" s="45" t="s">
        <v>710</v>
      </c>
      <c r="E243" s="46">
        <v>0</v>
      </c>
      <c r="F243" s="46">
        <v>0</v>
      </c>
      <c r="G243" s="46">
        <v>0</v>
      </c>
      <c r="H243" s="46">
        <v>0</v>
      </c>
      <c r="I243" s="46">
        <v>0</v>
      </c>
      <c r="J243" s="46">
        <v>300</v>
      </c>
      <c r="K243" s="47">
        <f t="shared" si="32"/>
        <v>300</v>
      </c>
      <c r="L243" s="46">
        <v>300</v>
      </c>
      <c r="M243" s="46">
        <v>300</v>
      </c>
      <c r="N243" s="46">
        <v>300</v>
      </c>
      <c r="O243" s="46">
        <v>300</v>
      </c>
      <c r="P243" s="46">
        <v>300</v>
      </c>
      <c r="Q243" s="46">
        <v>300</v>
      </c>
      <c r="R243" s="46">
        <v>300</v>
      </c>
      <c r="S243" s="46">
        <v>300</v>
      </c>
      <c r="T243" s="46">
        <v>300</v>
      </c>
      <c r="U243" s="46">
        <v>400</v>
      </c>
      <c r="V243" s="46">
        <v>400</v>
      </c>
      <c r="W243" s="46">
        <v>400</v>
      </c>
      <c r="X243" s="47">
        <f t="shared" si="33"/>
        <v>3900</v>
      </c>
      <c r="Y243" s="46">
        <v>400</v>
      </c>
      <c r="Z243" s="46">
        <v>400</v>
      </c>
      <c r="AA243" s="46">
        <v>400</v>
      </c>
      <c r="AB243" s="46">
        <v>400</v>
      </c>
      <c r="AC243" s="46">
        <v>400</v>
      </c>
      <c r="AD243" s="46">
        <v>400</v>
      </c>
      <c r="AE243" s="46">
        <v>400</v>
      </c>
      <c r="AF243" s="46">
        <v>400</v>
      </c>
      <c r="AG243" s="46">
        <v>0</v>
      </c>
      <c r="AH243" s="46">
        <v>400</v>
      </c>
      <c r="AI243" s="46">
        <v>400</v>
      </c>
      <c r="AJ243" s="46">
        <v>400</v>
      </c>
      <c r="AK243" s="47">
        <f t="shared" si="34"/>
        <v>4400</v>
      </c>
      <c r="AL243" s="46">
        <v>400</v>
      </c>
      <c r="AM243" s="46">
        <v>400</v>
      </c>
      <c r="AN243" s="46">
        <v>400</v>
      </c>
      <c r="AO243" s="46">
        <v>400</v>
      </c>
      <c r="AP243" s="46">
        <v>400</v>
      </c>
      <c r="AQ243" s="46">
        <v>400</v>
      </c>
      <c r="AR243" s="46">
        <v>400</v>
      </c>
      <c r="AS243" s="46">
        <v>400</v>
      </c>
      <c r="AT243" s="46">
        <v>400</v>
      </c>
      <c r="AU243" s="46">
        <v>400</v>
      </c>
      <c r="AV243" s="46">
        <v>400</v>
      </c>
      <c r="AW243" s="46">
        <v>400</v>
      </c>
      <c r="AX243" s="47">
        <f t="shared" si="35"/>
        <v>4800</v>
      </c>
      <c r="AY243" s="313">
        <f>SUMIF(Recibos!$D$4:$D$7493,Cobranza!$B243,Recibos!K$4:K$7493)</f>
        <v>400</v>
      </c>
      <c r="AZ243" s="313">
        <f>SUMIF(Recibos!$D$4:$D$7493,Cobranza!$B243,Recibos!L$4:L$7493)</f>
        <v>400</v>
      </c>
      <c r="BA243" s="313">
        <f>SUMIF(Recibos!$D$4:$D$7493,Cobranza!$B243,Recibos!M$4:M$7493)</f>
        <v>400</v>
      </c>
      <c r="BB243" s="313">
        <f>SUMIF(Recibos!$D$4:$D$7493,Cobranza!$B243,Recibos!N$4:N$7493)</f>
        <v>400</v>
      </c>
      <c r="BC243" s="313">
        <f>SUMIF(Recibos!$D$4:$D$7493,Cobranza!$B243,Recibos!O$4:O$7493)</f>
        <v>400</v>
      </c>
      <c r="BD243" s="313">
        <f>SUMIF(Recibos!$D$4:$D$7493,Cobranza!$B243,Recibos!P$4:P$7493)</f>
        <v>0</v>
      </c>
      <c r="BE243" s="313">
        <f>SUMIF(Recibos!$D$4:$D$7493,Cobranza!$B243,Recibos!Q$4:Q$7493)</f>
        <v>400</v>
      </c>
      <c r="BF243" s="313">
        <f>SUMIF(Recibos!$D$4:$D$7493,Cobranza!$B243,Recibos!R$4:R$7493)</f>
        <v>800</v>
      </c>
      <c r="BG243" s="313">
        <f>SUMIF(Recibos!$D$4:$D$7493,Cobranza!$B243,Recibos!S$4:S$7493)</f>
        <v>400</v>
      </c>
      <c r="BH243" s="313">
        <f>SUMIF(Recibos!$D$4:$D$7493,Cobranza!$B243,Recibos!T$4:T$7493)</f>
        <v>400</v>
      </c>
      <c r="BI243" s="313">
        <f>SUMIF(Recibos!$D$4:$D$7493,Cobranza!$B243,Recibos!U$4:U$7493)</f>
        <v>400</v>
      </c>
      <c r="BJ243" s="313">
        <f>SUMIF(Recibos!$D$4:$D$7493,Cobranza!$B243,Recibos!V$4:V$7493)</f>
        <v>400</v>
      </c>
      <c r="BK243" s="314">
        <f t="shared" si="36"/>
        <v>4800</v>
      </c>
      <c r="BL243" s="313">
        <f>SUMIF(Recibos!$D$4:$D$7493,Cobranza!$B243,Recibos!X$4:X$7493)</f>
        <v>400</v>
      </c>
      <c r="BM243" s="313">
        <f>SUMIF(Recibos!$D$4:$D$7493,Cobranza!$B243,Recibos!Y$4:Y$7493)</f>
        <v>400</v>
      </c>
      <c r="BN243" s="313">
        <f>SUMIF(Recibos!$D$4:$D$7493,Cobranza!$B243,Recibos!Z$4:Z$7493)</f>
        <v>400</v>
      </c>
      <c r="BO243" s="313">
        <f>SUMIF(Recibos!$D$4:$D$7493,Cobranza!$B243,Recibos!AA$4:AA$7493)</f>
        <v>400</v>
      </c>
      <c r="BP243" s="313">
        <f>SUMIF(Recibos!$D$4:$D$7493,Cobranza!$B243,Recibos!AB$4:AB$7493)</f>
        <v>400</v>
      </c>
      <c r="BQ243" s="313">
        <f>SUMIF(Recibos!$D$4:$D$7493,Cobranza!$B243,Recibos!AC$4:AC$7493)</f>
        <v>400</v>
      </c>
      <c r="BR243" s="313">
        <f>SUMIF(Recibos!$D$4:$D$7493,Cobranza!$B243,Recibos!AD$4:AD$7493)</f>
        <v>400</v>
      </c>
      <c r="BS243" s="313">
        <f>SUMIF(Recibos!$D$4:$D$7493,Cobranza!$B243,Recibos!AE$4:AE$7493)</f>
        <v>400</v>
      </c>
      <c r="BT243" s="313">
        <f>SUMIF(Recibos!$D$4:$D$7493,Cobranza!$B243,Recibos!AF$4:AF$7493)</f>
        <v>400</v>
      </c>
      <c r="BU243" s="313">
        <f>SUMIF(Recibos!$D$4:$D$7493,Cobranza!$B243,Recibos!AG$4:AG$7493)</f>
        <v>400</v>
      </c>
      <c r="BV243" s="313">
        <f>SUMIF(Recibos!$D$4:$D$7493,Cobranza!$B243,Recibos!AH$4:AH$7493)</f>
        <v>400</v>
      </c>
      <c r="BW243" s="313">
        <f>SUMIF(Recibos!$D$4:$D$7493,Cobranza!$B243,Recibos!AI$4:AI$7493)</f>
        <v>400</v>
      </c>
      <c r="BX243" s="314">
        <f t="shared" si="37"/>
        <v>4800</v>
      </c>
      <c r="BY243" s="313">
        <f>SUMIF(Recibos!$D$4:$D$7493,Cobranza!$B243,Recibos!AK$4:AK$7493)</f>
        <v>400</v>
      </c>
      <c r="BZ243" s="313">
        <f>SUMIF(Recibos!$D$4:$D$7493,Cobranza!$B243,Recibos!AL$4:AL$7493)</f>
        <v>400</v>
      </c>
      <c r="CA243" s="313">
        <f>SUMIF(Recibos!$D$4:$D$7493,Cobranza!$B243,Recibos!AM$4:AM$7493)</f>
        <v>400</v>
      </c>
      <c r="CB243" s="313">
        <f>SUMIF(Recibos!$D$4:$D$7493,Cobranza!$B243,Recibos!AN$4:AN$7493)</f>
        <v>400</v>
      </c>
      <c r="CC243" s="313">
        <f>SUMIF(Recibos!$D$4:$D$7493,Cobranza!$B243,Recibos!AO$4:AO$7493)</f>
        <v>400</v>
      </c>
      <c r="CD243" s="313">
        <f>SUMIF(Recibos!$D$4:$D$7493,Cobranza!$B243,Recibos!AP$4:AP$7493)</f>
        <v>400</v>
      </c>
      <c r="CE243" s="313">
        <f>SUMIF(Recibos!$D$4:$D$7493,Cobranza!$B243,Recibos!AQ$4:AQ$7493)</f>
        <v>400</v>
      </c>
      <c r="CF243" s="313">
        <f>SUMIF(Recibos!$D$4:$D$7493,Cobranza!$B243,Recibos!AR$4:AR$7493)</f>
        <v>400</v>
      </c>
      <c r="CG243" s="313">
        <f>SUMIF(Recibos!$D$4:$D$7493,Cobranza!$B243,Recibos!AS$4:AS$7493)</f>
        <v>400</v>
      </c>
      <c r="CH243" s="313">
        <f>SUMIF(Recibos!$D$4:$D$7493,Cobranza!$B243,Recibos!AT$4:AT$7493)</f>
        <v>0</v>
      </c>
      <c r="CI243" s="313">
        <f>SUMIF(Recibos!$D$4:$D$7493,Cobranza!$B243,Recibos!AU$4:AU$7493)</f>
        <v>0</v>
      </c>
      <c r="CJ243" s="313">
        <f>SUMIF(Recibos!$D$4:$D$7493,Cobranza!$B243,Recibos!AV$4:AV$7493)</f>
        <v>0</v>
      </c>
      <c r="CK243" s="314">
        <f t="shared" si="31"/>
        <v>3600</v>
      </c>
    </row>
    <row r="244" spans="2:89" x14ac:dyDescent="0.2">
      <c r="B244" s="42" t="s">
        <v>51</v>
      </c>
      <c r="C244" s="42" t="s">
        <v>52</v>
      </c>
      <c r="D244" s="42" t="s">
        <v>53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150</v>
      </c>
      <c r="K244" s="44">
        <f t="shared" si="32"/>
        <v>150</v>
      </c>
      <c r="L244" s="43">
        <v>150</v>
      </c>
      <c r="M244" s="43">
        <v>150</v>
      </c>
      <c r="N244" s="43">
        <v>150</v>
      </c>
      <c r="O244" s="43">
        <v>150</v>
      </c>
      <c r="P244" s="43">
        <v>150</v>
      </c>
      <c r="Q244" s="43">
        <v>150</v>
      </c>
      <c r="R244" s="43">
        <v>150</v>
      </c>
      <c r="S244" s="43">
        <v>150</v>
      </c>
      <c r="T244" s="43">
        <v>150</v>
      </c>
      <c r="U244" s="43">
        <v>200</v>
      </c>
      <c r="V244" s="43">
        <v>200</v>
      </c>
      <c r="W244" s="43">
        <v>200</v>
      </c>
      <c r="X244" s="44">
        <f t="shared" si="33"/>
        <v>1950</v>
      </c>
      <c r="Y244" s="43">
        <v>200</v>
      </c>
      <c r="Z244" s="43">
        <v>200</v>
      </c>
      <c r="AA244" s="43">
        <v>200</v>
      </c>
      <c r="AB244" s="43">
        <v>200</v>
      </c>
      <c r="AC244" s="43">
        <v>200</v>
      </c>
      <c r="AD244" s="43">
        <v>200</v>
      </c>
      <c r="AE244" s="43">
        <v>200</v>
      </c>
      <c r="AF244" s="43">
        <v>0</v>
      </c>
      <c r="AG244" s="43">
        <v>400</v>
      </c>
      <c r="AH244" s="43">
        <v>0</v>
      </c>
      <c r="AI244" s="43">
        <v>400</v>
      </c>
      <c r="AJ244" s="43">
        <v>200</v>
      </c>
      <c r="AK244" s="44">
        <f t="shared" si="34"/>
        <v>2400</v>
      </c>
      <c r="AL244" s="43">
        <v>200</v>
      </c>
      <c r="AM244" s="43">
        <v>200</v>
      </c>
      <c r="AN244" s="43">
        <v>200</v>
      </c>
      <c r="AO244" s="43">
        <v>200</v>
      </c>
      <c r="AP244" s="43">
        <v>200</v>
      </c>
      <c r="AQ244" s="43">
        <v>200</v>
      </c>
      <c r="AR244" s="43">
        <v>200</v>
      </c>
      <c r="AS244" s="43">
        <v>200</v>
      </c>
      <c r="AT244" s="43">
        <v>250</v>
      </c>
      <c r="AU244" s="43">
        <v>250</v>
      </c>
      <c r="AV244" s="43">
        <v>250</v>
      </c>
      <c r="AW244" s="43">
        <v>250</v>
      </c>
      <c r="AX244" s="44">
        <f t="shared" si="35"/>
        <v>2600</v>
      </c>
      <c r="AY244" s="311">
        <f>SUMIF(Recibos!$D$4:$D$7493,Cobranza!$B244,Recibos!K$4:K$7493)</f>
        <v>250</v>
      </c>
      <c r="AZ244" s="311">
        <f>SUMIF(Recibos!$D$4:$D$7493,Cobranza!$B244,Recibos!L$4:L$7493)</f>
        <v>250</v>
      </c>
      <c r="BA244" s="311">
        <f>SUMIF(Recibos!$D$4:$D$7493,Cobranza!$B244,Recibos!M$4:M$7493)</f>
        <v>250</v>
      </c>
      <c r="BB244" s="311">
        <f>SUMIF(Recibos!$D$4:$D$7493,Cobranza!$B244,Recibos!N$4:N$7493)</f>
        <v>250</v>
      </c>
      <c r="BC244" s="311">
        <f>SUMIF(Recibos!$D$4:$D$7493,Cobranza!$B244,Recibos!O$4:O$7493)</f>
        <v>250</v>
      </c>
      <c r="BD244" s="311">
        <f>SUMIF(Recibos!$D$4:$D$7493,Cobranza!$B244,Recibos!P$4:P$7493)</f>
        <v>250</v>
      </c>
      <c r="BE244" s="311">
        <f>SUMIF(Recibos!$D$4:$D$7493,Cobranza!$B244,Recibos!Q$4:Q$7493)</f>
        <v>250</v>
      </c>
      <c r="BF244" s="311">
        <f>SUMIF(Recibos!$D$4:$D$7493,Cobranza!$B244,Recibos!R$4:R$7493)</f>
        <v>250</v>
      </c>
      <c r="BG244" s="311">
        <f>SUMIF(Recibos!$D$4:$D$7493,Cobranza!$B244,Recibos!S$4:S$7493)</f>
        <v>250</v>
      </c>
      <c r="BH244" s="311">
        <f>SUMIF(Recibos!$D$4:$D$7493,Cobranza!$B244,Recibos!T$4:T$7493)</f>
        <v>250</v>
      </c>
      <c r="BI244" s="311">
        <f>SUMIF(Recibos!$D$4:$D$7493,Cobranza!$B244,Recibos!U$4:U$7493)</f>
        <v>250</v>
      </c>
      <c r="BJ244" s="311">
        <f>SUMIF(Recibos!$D$4:$D$7493,Cobranza!$B244,Recibos!V$4:V$7493)</f>
        <v>250</v>
      </c>
      <c r="BK244" s="312">
        <f t="shared" si="36"/>
        <v>3000</v>
      </c>
      <c r="BL244" s="311">
        <f>SUMIF(Recibos!$D$4:$D$7493,Cobranza!$B244,Recibos!X$4:X$7493)</f>
        <v>250</v>
      </c>
      <c r="BM244" s="311">
        <f>SUMIF(Recibos!$D$4:$D$7493,Cobranza!$B244,Recibos!Y$4:Y$7493)</f>
        <v>250</v>
      </c>
      <c r="BN244" s="311">
        <f>SUMIF(Recibos!$D$4:$D$7493,Cobranza!$B244,Recibos!Z$4:Z$7493)</f>
        <v>250</v>
      </c>
      <c r="BO244" s="311">
        <f>SUMIF(Recibos!$D$4:$D$7493,Cobranza!$B244,Recibos!AA$4:AA$7493)</f>
        <v>250</v>
      </c>
      <c r="BP244" s="311">
        <f>SUMIF(Recibos!$D$4:$D$7493,Cobranza!$B244,Recibos!AB$4:AB$7493)</f>
        <v>250</v>
      </c>
      <c r="BQ244" s="311">
        <f>SUMIF(Recibos!$D$4:$D$7493,Cobranza!$B244,Recibos!AC$4:AC$7493)</f>
        <v>250</v>
      </c>
      <c r="BR244" s="311">
        <f>SUMIF(Recibos!$D$4:$D$7493,Cobranza!$B244,Recibos!AD$4:AD$7493)</f>
        <v>250</v>
      </c>
      <c r="BS244" s="311">
        <f>SUMIF(Recibos!$D$4:$D$7493,Cobranza!$B244,Recibos!AE$4:AE$7493)</f>
        <v>250</v>
      </c>
      <c r="BT244" s="311">
        <f>SUMIF(Recibos!$D$4:$D$7493,Cobranza!$B244,Recibos!AF$4:AF$7493)</f>
        <v>250</v>
      </c>
      <c r="BU244" s="311">
        <f>SUMIF(Recibos!$D$4:$D$7493,Cobranza!$B244,Recibos!AG$4:AG$7493)</f>
        <v>250</v>
      </c>
      <c r="BV244" s="311">
        <f>SUMIF(Recibos!$D$4:$D$7493,Cobranza!$B244,Recibos!AH$4:AH$7493)</f>
        <v>250</v>
      </c>
      <c r="BW244" s="311">
        <f>SUMIF(Recibos!$D$4:$D$7493,Cobranza!$B244,Recibos!AI$4:AI$7493)</f>
        <v>0</v>
      </c>
      <c r="BX244" s="312">
        <f t="shared" si="37"/>
        <v>2750</v>
      </c>
      <c r="BY244" s="311">
        <f>SUMIF(Recibos!$D$4:$D$7493,Cobranza!$B244,Recibos!AK$4:AK$7493)</f>
        <v>0</v>
      </c>
      <c r="BZ244" s="311">
        <f>SUMIF(Recibos!$D$4:$D$7493,Cobranza!$B244,Recibos!AL$4:AL$7493)</f>
        <v>250</v>
      </c>
      <c r="CA244" s="311">
        <f>SUMIF(Recibos!$D$4:$D$7493,Cobranza!$B244,Recibos!AM$4:AM$7493)</f>
        <v>250</v>
      </c>
      <c r="CB244" s="311">
        <f>SUMIF(Recibos!$D$4:$D$7493,Cobranza!$B244,Recibos!AN$4:AN$7493)</f>
        <v>250</v>
      </c>
      <c r="CC244" s="311">
        <f>SUMIF(Recibos!$D$4:$D$7493,Cobranza!$B244,Recibos!AO$4:AO$7493)</f>
        <v>250</v>
      </c>
      <c r="CD244" s="311">
        <f>SUMIF(Recibos!$D$4:$D$7493,Cobranza!$B244,Recibos!AP$4:AP$7493)</f>
        <v>250</v>
      </c>
      <c r="CE244" s="311">
        <f>SUMIF(Recibos!$D$4:$D$7493,Cobranza!$B244,Recibos!AQ$4:AQ$7493)</f>
        <v>250</v>
      </c>
      <c r="CF244" s="311">
        <f>SUMIF(Recibos!$D$4:$D$7493,Cobranza!$B244,Recibos!AR$4:AR$7493)</f>
        <v>250</v>
      </c>
      <c r="CG244" s="311">
        <f>SUMIF(Recibos!$D$4:$D$7493,Cobranza!$B244,Recibos!AS$4:AS$7493)</f>
        <v>250</v>
      </c>
      <c r="CH244" s="311">
        <f>SUMIF(Recibos!$D$4:$D$7493,Cobranza!$B244,Recibos!AT$4:AT$7493)</f>
        <v>0</v>
      </c>
      <c r="CI244" s="311">
        <f>SUMIF(Recibos!$D$4:$D$7493,Cobranza!$B244,Recibos!AU$4:AU$7493)</f>
        <v>0</v>
      </c>
      <c r="CJ244" s="311">
        <f>SUMIF(Recibos!$D$4:$D$7493,Cobranza!$B244,Recibos!AV$4:AV$7493)</f>
        <v>0</v>
      </c>
      <c r="CK244" s="312">
        <f t="shared" si="31"/>
        <v>2000</v>
      </c>
    </row>
    <row r="245" spans="2:89" x14ac:dyDescent="0.2">
      <c r="B245" s="45" t="s">
        <v>669</v>
      </c>
      <c r="C245" s="45" t="s">
        <v>670</v>
      </c>
      <c r="D245" s="45" t="s">
        <v>671</v>
      </c>
      <c r="E245" s="46">
        <v>0</v>
      </c>
      <c r="F245" s="46">
        <v>0</v>
      </c>
      <c r="G245" s="46">
        <v>0</v>
      </c>
      <c r="H245" s="46">
        <v>0</v>
      </c>
      <c r="I245" s="46">
        <v>0</v>
      </c>
      <c r="J245" s="46">
        <v>300</v>
      </c>
      <c r="K245" s="47">
        <f t="shared" si="32"/>
        <v>300</v>
      </c>
      <c r="L245" s="46">
        <v>300</v>
      </c>
      <c r="M245" s="46">
        <v>300</v>
      </c>
      <c r="N245" s="46">
        <v>300</v>
      </c>
      <c r="O245" s="46">
        <v>300</v>
      </c>
      <c r="P245" s="46">
        <v>300</v>
      </c>
      <c r="Q245" s="46">
        <v>300</v>
      </c>
      <c r="R245" s="46">
        <v>300</v>
      </c>
      <c r="S245" s="46">
        <v>300</v>
      </c>
      <c r="T245" s="46">
        <v>300</v>
      </c>
      <c r="U245" s="46">
        <v>400</v>
      </c>
      <c r="V245" s="46">
        <v>400</v>
      </c>
      <c r="W245" s="46">
        <v>400</v>
      </c>
      <c r="X245" s="47">
        <f t="shared" si="33"/>
        <v>3900</v>
      </c>
      <c r="Y245" s="46">
        <v>400</v>
      </c>
      <c r="Z245" s="46">
        <v>400</v>
      </c>
      <c r="AA245" s="46">
        <v>400</v>
      </c>
      <c r="AB245" s="46">
        <v>400</v>
      </c>
      <c r="AC245" s="46">
        <v>400</v>
      </c>
      <c r="AD245" s="46">
        <v>400</v>
      </c>
      <c r="AE245" s="46">
        <v>400</v>
      </c>
      <c r="AF245" s="46">
        <v>400</v>
      </c>
      <c r="AG245" s="46">
        <v>0</v>
      </c>
      <c r="AH245" s="46">
        <v>400</v>
      </c>
      <c r="AI245" s="46">
        <v>400</v>
      </c>
      <c r="AJ245" s="46">
        <v>400</v>
      </c>
      <c r="AK245" s="47">
        <f t="shared" si="34"/>
        <v>4400</v>
      </c>
      <c r="AL245" s="46">
        <v>400</v>
      </c>
      <c r="AM245" s="46">
        <v>400</v>
      </c>
      <c r="AN245" s="46">
        <v>400</v>
      </c>
      <c r="AO245" s="46">
        <v>400</v>
      </c>
      <c r="AP245" s="46">
        <v>400</v>
      </c>
      <c r="AQ245" s="46">
        <v>400</v>
      </c>
      <c r="AR245" s="46">
        <v>400</v>
      </c>
      <c r="AS245" s="46">
        <v>400</v>
      </c>
      <c r="AT245" s="46">
        <v>400</v>
      </c>
      <c r="AU245" s="46">
        <v>400</v>
      </c>
      <c r="AV245" s="46">
        <v>400</v>
      </c>
      <c r="AW245" s="46">
        <v>400</v>
      </c>
      <c r="AX245" s="47">
        <f t="shared" si="35"/>
        <v>4800</v>
      </c>
      <c r="AY245" s="313">
        <f>SUMIF(Recibos!$D$4:$D$7493,Cobranza!$B245,Recibos!K$4:K$7493)</f>
        <v>400</v>
      </c>
      <c r="AZ245" s="313">
        <f>SUMIF(Recibos!$D$4:$D$7493,Cobranza!$B245,Recibos!L$4:L$7493)</f>
        <v>400</v>
      </c>
      <c r="BA245" s="313">
        <f>SUMIF(Recibos!$D$4:$D$7493,Cobranza!$B245,Recibos!M$4:M$7493)</f>
        <v>400</v>
      </c>
      <c r="BB245" s="313">
        <f>SUMIF(Recibos!$D$4:$D$7493,Cobranza!$B245,Recibos!N$4:N$7493)</f>
        <v>400</v>
      </c>
      <c r="BC245" s="313">
        <f>SUMIF(Recibos!$D$4:$D$7493,Cobranza!$B245,Recibos!O$4:O$7493)</f>
        <v>400</v>
      </c>
      <c r="BD245" s="313">
        <f>SUMIF(Recibos!$D$4:$D$7493,Cobranza!$B245,Recibos!P$4:P$7493)</f>
        <v>400</v>
      </c>
      <c r="BE245" s="313">
        <f>SUMIF(Recibos!$D$4:$D$7493,Cobranza!$B245,Recibos!Q$4:Q$7493)</f>
        <v>400</v>
      </c>
      <c r="BF245" s="313">
        <f>SUMIF(Recibos!$D$4:$D$7493,Cobranza!$B245,Recibos!R$4:R$7493)</f>
        <v>400</v>
      </c>
      <c r="BG245" s="313">
        <f>SUMIF(Recibos!$D$4:$D$7493,Cobranza!$B245,Recibos!S$4:S$7493)</f>
        <v>400</v>
      </c>
      <c r="BH245" s="313">
        <f>SUMIF(Recibos!$D$4:$D$7493,Cobranza!$B245,Recibos!T$4:T$7493)</f>
        <v>400</v>
      </c>
      <c r="BI245" s="313">
        <f>SUMIF(Recibos!$D$4:$D$7493,Cobranza!$B245,Recibos!U$4:U$7493)</f>
        <v>400</v>
      </c>
      <c r="BJ245" s="313">
        <f>SUMIF(Recibos!$D$4:$D$7493,Cobranza!$B245,Recibos!V$4:V$7493)</f>
        <v>400</v>
      </c>
      <c r="BK245" s="314">
        <f t="shared" si="36"/>
        <v>4800</v>
      </c>
      <c r="BL245" s="313">
        <f>SUMIF(Recibos!$D$4:$D$7493,Cobranza!$B245,Recibos!X$4:X$7493)</f>
        <v>400</v>
      </c>
      <c r="BM245" s="313">
        <f>SUMIF(Recibos!$D$4:$D$7493,Cobranza!$B245,Recibos!Y$4:Y$7493)</f>
        <v>400</v>
      </c>
      <c r="BN245" s="313">
        <f>SUMIF(Recibos!$D$4:$D$7493,Cobranza!$B245,Recibos!Z$4:Z$7493)</f>
        <v>400</v>
      </c>
      <c r="BO245" s="313">
        <f>SUMIF(Recibos!$D$4:$D$7493,Cobranza!$B245,Recibos!AA$4:AA$7493)</f>
        <v>400</v>
      </c>
      <c r="BP245" s="313">
        <f>SUMIF(Recibos!$D$4:$D$7493,Cobranza!$B245,Recibos!AB$4:AB$7493)</f>
        <v>400</v>
      </c>
      <c r="BQ245" s="313">
        <f>SUMIF(Recibos!$D$4:$D$7493,Cobranza!$B245,Recibos!AC$4:AC$7493)</f>
        <v>400</v>
      </c>
      <c r="BR245" s="313">
        <f>SUMIF(Recibos!$D$4:$D$7493,Cobranza!$B245,Recibos!AD$4:AD$7493)</f>
        <v>400</v>
      </c>
      <c r="BS245" s="313">
        <f>SUMIF(Recibos!$D$4:$D$7493,Cobranza!$B245,Recibos!AE$4:AE$7493)</f>
        <v>400</v>
      </c>
      <c r="BT245" s="313">
        <f>SUMIF(Recibos!$D$4:$D$7493,Cobranza!$B245,Recibos!AF$4:AF$7493)</f>
        <v>400</v>
      </c>
      <c r="BU245" s="313">
        <f>SUMIF(Recibos!$D$4:$D$7493,Cobranza!$B245,Recibos!AG$4:AG$7493)</f>
        <v>400</v>
      </c>
      <c r="BV245" s="313">
        <f>SUMIF(Recibos!$D$4:$D$7493,Cobranza!$B245,Recibos!AH$4:AH$7493)</f>
        <v>400</v>
      </c>
      <c r="BW245" s="313">
        <f>SUMIF(Recibos!$D$4:$D$7493,Cobranza!$B245,Recibos!AI$4:AI$7493)</f>
        <v>0</v>
      </c>
      <c r="BX245" s="314">
        <f t="shared" si="37"/>
        <v>4400</v>
      </c>
      <c r="BY245" s="313">
        <f>SUMIF(Recibos!$D$4:$D$7493,Cobranza!$B245,Recibos!AK$4:AK$7493)</f>
        <v>400</v>
      </c>
      <c r="BZ245" s="313">
        <f>SUMIF(Recibos!$D$4:$D$7493,Cobranza!$B245,Recibos!AL$4:AL$7493)</f>
        <v>400</v>
      </c>
      <c r="CA245" s="313">
        <f>SUMIF(Recibos!$D$4:$D$7493,Cobranza!$B245,Recibos!AM$4:AM$7493)</f>
        <v>400</v>
      </c>
      <c r="CB245" s="313">
        <f>SUMIF(Recibos!$D$4:$D$7493,Cobranza!$B245,Recibos!AN$4:AN$7493)</f>
        <v>400</v>
      </c>
      <c r="CC245" s="313">
        <f>SUMIF(Recibos!$D$4:$D$7493,Cobranza!$B245,Recibos!AO$4:AO$7493)</f>
        <v>400</v>
      </c>
      <c r="CD245" s="313">
        <f>SUMIF(Recibos!$D$4:$D$7493,Cobranza!$B245,Recibos!AP$4:AP$7493)</f>
        <v>400</v>
      </c>
      <c r="CE245" s="313">
        <f>SUMIF(Recibos!$D$4:$D$7493,Cobranza!$B245,Recibos!AQ$4:AQ$7493)</f>
        <v>400</v>
      </c>
      <c r="CF245" s="313">
        <f>SUMIF(Recibos!$D$4:$D$7493,Cobranza!$B245,Recibos!AR$4:AR$7493)</f>
        <v>400</v>
      </c>
      <c r="CG245" s="313">
        <f>SUMIF(Recibos!$D$4:$D$7493,Cobranza!$B245,Recibos!AS$4:AS$7493)</f>
        <v>400</v>
      </c>
      <c r="CH245" s="313">
        <f>SUMIF(Recibos!$D$4:$D$7493,Cobranza!$B245,Recibos!AT$4:AT$7493)</f>
        <v>400</v>
      </c>
      <c r="CI245" s="313">
        <f>SUMIF(Recibos!$D$4:$D$7493,Cobranza!$B245,Recibos!AU$4:AU$7493)</f>
        <v>400</v>
      </c>
      <c r="CJ245" s="313">
        <f>SUMIF(Recibos!$D$4:$D$7493,Cobranza!$B245,Recibos!AV$4:AV$7493)</f>
        <v>0</v>
      </c>
      <c r="CK245" s="314">
        <f t="shared" si="31"/>
        <v>4400</v>
      </c>
    </row>
    <row r="246" spans="2:89" x14ac:dyDescent="0.2">
      <c r="B246" s="42" t="s">
        <v>119</v>
      </c>
      <c r="C246" s="42" t="s">
        <v>120</v>
      </c>
      <c r="D246" s="42" t="s">
        <v>121</v>
      </c>
      <c r="E246" s="43">
        <v>0</v>
      </c>
      <c r="F246" s="43">
        <v>0</v>
      </c>
      <c r="G246" s="43">
        <v>0</v>
      </c>
      <c r="H246" s="43">
        <v>0</v>
      </c>
      <c r="I246" s="43">
        <v>300</v>
      </c>
      <c r="J246" s="43">
        <v>300</v>
      </c>
      <c r="K246" s="44">
        <f t="shared" si="32"/>
        <v>600</v>
      </c>
      <c r="L246" s="43">
        <v>300</v>
      </c>
      <c r="M246" s="43">
        <v>300</v>
      </c>
      <c r="N246" s="43">
        <v>300</v>
      </c>
      <c r="O246" s="43">
        <v>300</v>
      </c>
      <c r="P246" s="43">
        <v>300</v>
      </c>
      <c r="Q246" s="43">
        <v>300</v>
      </c>
      <c r="R246" s="43">
        <v>300</v>
      </c>
      <c r="S246" s="43">
        <v>300</v>
      </c>
      <c r="T246" s="43">
        <v>300</v>
      </c>
      <c r="U246" s="43">
        <v>400</v>
      </c>
      <c r="V246" s="43">
        <v>400</v>
      </c>
      <c r="W246" s="43">
        <v>400</v>
      </c>
      <c r="X246" s="44">
        <f t="shared" si="33"/>
        <v>3900</v>
      </c>
      <c r="Y246" s="43">
        <v>0</v>
      </c>
      <c r="Z246" s="43">
        <v>400</v>
      </c>
      <c r="AA246" s="43">
        <v>400</v>
      </c>
      <c r="AB246" s="43">
        <v>400</v>
      </c>
      <c r="AC246" s="43">
        <v>400</v>
      </c>
      <c r="AD246" s="43">
        <v>400</v>
      </c>
      <c r="AE246" s="43">
        <v>400</v>
      </c>
      <c r="AF246" s="43">
        <v>400</v>
      </c>
      <c r="AG246" s="43">
        <v>400</v>
      </c>
      <c r="AH246" s="43">
        <v>400</v>
      </c>
      <c r="AI246" s="43">
        <v>400</v>
      </c>
      <c r="AJ246" s="43">
        <v>400</v>
      </c>
      <c r="AK246" s="44">
        <f t="shared" si="34"/>
        <v>4400</v>
      </c>
      <c r="AL246" s="43">
        <v>400</v>
      </c>
      <c r="AM246" s="43">
        <v>400</v>
      </c>
      <c r="AN246" s="43">
        <v>400</v>
      </c>
      <c r="AO246" s="43">
        <v>400</v>
      </c>
      <c r="AP246" s="43">
        <v>400</v>
      </c>
      <c r="AQ246" s="43">
        <v>400</v>
      </c>
      <c r="AR246" s="43">
        <v>400</v>
      </c>
      <c r="AS246" s="43">
        <v>400</v>
      </c>
      <c r="AT246" s="43">
        <v>400</v>
      </c>
      <c r="AU246" s="43">
        <v>400</v>
      </c>
      <c r="AV246" s="43">
        <v>400</v>
      </c>
      <c r="AW246" s="43">
        <v>0</v>
      </c>
      <c r="AX246" s="44">
        <f t="shared" si="35"/>
        <v>4400</v>
      </c>
      <c r="AY246" s="311">
        <f>SUMIF(Recibos!$D$4:$D$7493,Cobranza!$B246,Recibos!K$4:K$7493)</f>
        <v>400</v>
      </c>
      <c r="AZ246" s="311">
        <f>SUMIF(Recibos!$D$4:$D$7493,Cobranza!$B246,Recibos!L$4:L$7493)</f>
        <v>400</v>
      </c>
      <c r="BA246" s="311">
        <f>SUMIF(Recibos!$D$4:$D$7493,Cobranza!$B246,Recibos!M$4:M$7493)</f>
        <v>400</v>
      </c>
      <c r="BB246" s="311">
        <f>SUMIF(Recibos!$D$4:$D$7493,Cobranza!$B246,Recibos!N$4:N$7493)</f>
        <v>400</v>
      </c>
      <c r="BC246" s="311">
        <f>SUMIF(Recibos!$D$4:$D$7493,Cobranza!$B246,Recibos!O$4:O$7493)</f>
        <v>400</v>
      </c>
      <c r="BD246" s="311">
        <f>SUMIF(Recibos!$D$4:$D$7493,Cobranza!$B246,Recibos!P$4:P$7493)</f>
        <v>400</v>
      </c>
      <c r="BE246" s="311">
        <f>SUMIF(Recibos!$D$4:$D$7493,Cobranza!$B246,Recibos!Q$4:Q$7493)</f>
        <v>400</v>
      </c>
      <c r="BF246" s="311">
        <f>SUMIF(Recibos!$D$4:$D$7493,Cobranza!$B246,Recibos!R$4:R$7493)</f>
        <v>400</v>
      </c>
      <c r="BG246" s="311">
        <f>SUMIF(Recibos!$D$4:$D$7493,Cobranza!$B246,Recibos!S$4:S$7493)</f>
        <v>400</v>
      </c>
      <c r="BH246" s="311">
        <f>SUMIF(Recibos!$D$4:$D$7493,Cobranza!$B246,Recibos!T$4:T$7493)</f>
        <v>400</v>
      </c>
      <c r="BI246" s="311">
        <f>SUMIF(Recibos!$D$4:$D$7493,Cobranza!$B246,Recibos!U$4:U$7493)</f>
        <v>400</v>
      </c>
      <c r="BJ246" s="311">
        <f>SUMIF(Recibos!$D$4:$D$7493,Cobranza!$B246,Recibos!V$4:V$7493)</f>
        <v>400</v>
      </c>
      <c r="BK246" s="312">
        <f t="shared" si="36"/>
        <v>4800</v>
      </c>
      <c r="BL246" s="311">
        <f>SUMIF(Recibos!$D$4:$D$7493,Cobranza!$B246,Recibos!X$4:X$7493)</f>
        <v>400</v>
      </c>
      <c r="BM246" s="311">
        <f>SUMIF(Recibos!$D$4:$D$7493,Cobranza!$B246,Recibos!Y$4:Y$7493)</f>
        <v>400</v>
      </c>
      <c r="BN246" s="311">
        <f>SUMIF(Recibos!$D$4:$D$7493,Cobranza!$B246,Recibos!Z$4:Z$7493)</f>
        <v>400</v>
      </c>
      <c r="BO246" s="311">
        <f>SUMIF(Recibos!$D$4:$D$7493,Cobranza!$B246,Recibos!AA$4:AA$7493)</f>
        <v>400</v>
      </c>
      <c r="BP246" s="311">
        <f>SUMIF(Recibos!$D$4:$D$7493,Cobranza!$B246,Recibos!AB$4:AB$7493)</f>
        <v>400</v>
      </c>
      <c r="BQ246" s="311">
        <f>SUMIF(Recibos!$D$4:$D$7493,Cobranza!$B246,Recibos!AC$4:AC$7493)</f>
        <v>400</v>
      </c>
      <c r="BR246" s="311">
        <f>SUMIF(Recibos!$D$4:$D$7493,Cobranza!$B246,Recibos!AD$4:AD$7493)</f>
        <v>400</v>
      </c>
      <c r="BS246" s="311">
        <f>SUMIF(Recibos!$D$4:$D$7493,Cobranza!$B246,Recibos!AE$4:AE$7493)</f>
        <v>400</v>
      </c>
      <c r="BT246" s="311">
        <f>SUMIF(Recibos!$D$4:$D$7493,Cobranza!$B246,Recibos!AF$4:AF$7493)</f>
        <v>400</v>
      </c>
      <c r="BU246" s="311">
        <f>SUMIF(Recibos!$D$4:$D$7493,Cobranza!$B246,Recibos!AG$4:AG$7493)</f>
        <v>400</v>
      </c>
      <c r="BV246" s="311">
        <f>SUMIF(Recibos!$D$4:$D$7493,Cobranza!$B246,Recibos!AH$4:AH$7493)</f>
        <v>400</v>
      </c>
      <c r="BW246" s="311">
        <f>SUMIF(Recibos!$D$4:$D$7493,Cobranza!$B246,Recibos!AI$4:AI$7493)</f>
        <v>400</v>
      </c>
      <c r="BX246" s="312">
        <f t="shared" si="37"/>
        <v>4800</v>
      </c>
      <c r="BY246" s="311">
        <f>SUMIF(Recibos!$D$4:$D$7493,Cobranza!$B246,Recibos!AK$4:AK$7493)</f>
        <v>400</v>
      </c>
      <c r="BZ246" s="311">
        <f>SUMIF(Recibos!$D$4:$D$7493,Cobranza!$B246,Recibos!AL$4:AL$7493)</f>
        <v>400</v>
      </c>
      <c r="CA246" s="311">
        <f>SUMIF(Recibos!$D$4:$D$7493,Cobranza!$B246,Recibos!AM$4:AM$7493)</f>
        <v>400</v>
      </c>
      <c r="CB246" s="311">
        <f>SUMIF(Recibos!$D$4:$D$7493,Cobranza!$B246,Recibos!AN$4:AN$7493)</f>
        <v>400</v>
      </c>
      <c r="CC246" s="311">
        <f>SUMIF(Recibos!$D$4:$D$7493,Cobranza!$B246,Recibos!AO$4:AO$7493)</f>
        <v>0</v>
      </c>
      <c r="CD246" s="311">
        <f>SUMIF(Recibos!$D$4:$D$7493,Cobranza!$B246,Recibos!AP$4:AP$7493)</f>
        <v>0</v>
      </c>
      <c r="CE246" s="311">
        <f>SUMIF(Recibos!$D$4:$D$7493,Cobranza!$B246,Recibos!AQ$4:AQ$7493)</f>
        <v>0</v>
      </c>
      <c r="CF246" s="311">
        <f>SUMIF(Recibos!$D$4:$D$7493,Cobranza!$B246,Recibos!AR$4:AR$7493)</f>
        <v>0</v>
      </c>
      <c r="CG246" s="311">
        <f>SUMIF(Recibos!$D$4:$D$7493,Cobranza!$B246,Recibos!AS$4:AS$7493)</f>
        <v>0</v>
      </c>
      <c r="CH246" s="311">
        <f>SUMIF(Recibos!$D$4:$D$7493,Cobranza!$B246,Recibos!AT$4:AT$7493)</f>
        <v>0</v>
      </c>
      <c r="CI246" s="311">
        <f>SUMIF(Recibos!$D$4:$D$7493,Cobranza!$B246,Recibos!AU$4:AU$7493)</f>
        <v>0</v>
      </c>
      <c r="CJ246" s="311">
        <f>SUMIF(Recibos!$D$4:$D$7493,Cobranza!$B246,Recibos!AV$4:AV$7493)</f>
        <v>0</v>
      </c>
      <c r="CK246" s="312">
        <f t="shared" si="31"/>
        <v>1600</v>
      </c>
    </row>
    <row r="247" spans="2:89" x14ac:dyDescent="0.2">
      <c r="B247" s="45" t="s">
        <v>223</v>
      </c>
      <c r="C247" s="45" t="s">
        <v>224</v>
      </c>
      <c r="D247" s="45" t="s">
        <v>225</v>
      </c>
      <c r="E247" s="46">
        <v>0</v>
      </c>
      <c r="F247" s="46">
        <v>0</v>
      </c>
      <c r="G247" s="46">
        <v>0</v>
      </c>
      <c r="H247" s="46">
        <v>200</v>
      </c>
      <c r="I247" s="46">
        <v>200</v>
      </c>
      <c r="J247" s="46">
        <v>200</v>
      </c>
      <c r="K247" s="47">
        <f t="shared" si="32"/>
        <v>600</v>
      </c>
      <c r="L247" s="46">
        <v>200</v>
      </c>
      <c r="M247" s="46">
        <v>200</v>
      </c>
      <c r="N247" s="46">
        <v>200</v>
      </c>
      <c r="O247" s="46">
        <v>0</v>
      </c>
      <c r="P247" s="46">
        <v>0</v>
      </c>
      <c r="Q247" s="46">
        <v>0</v>
      </c>
      <c r="R247" s="46">
        <v>0</v>
      </c>
      <c r="S247" s="46">
        <v>0</v>
      </c>
      <c r="T247" s="46">
        <v>0</v>
      </c>
      <c r="U247" s="46">
        <v>0</v>
      </c>
      <c r="V247" s="46">
        <v>0</v>
      </c>
      <c r="W247" s="46">
        <v>0</v>
      </c>
      <c r="X247" s="47">
        <f t="shared" si="33"/>
        <v>600</v>
      </c>
      <c r="Y247" s="46">
        <v>0</v>
      </c>
      <c r="Z247" s="46">
        <v>0</v>
      </c>
      <c r="AA247" s="46">
        <v>0</v>
      </c>
      <c r="AB247" s="46">
        <v>0</v>
      </c>
      <c r="AC247" s="46">
        <v>0</v>
      </c>
      <c r="AD247" s="46">
        <v>0</v>
      </c>
      <c r="AE247" s="46">
        <v>0</v>
      </c>
      <c r="AF247" s="46">
        <v>0</v>
      </c>
      <c r="AG247" s="46">
        <v>0</v>
      </c>
      <c r="AH247" s="46">
        <v>0</v>
      </c>
      <c r="AI247" s="46">
        <v>0</v>
      </c>
      <c r="AJ247" s="46">
        <v>0</v>
      </c>
      <c r="AK247" s="47">
        <f t="shared" si="34"/>
        <v>0</v>
      </c>
      <c r="AL247" s="46">
        <v>0</v>
      </c>
      <c r="AM247" s="46">
        <v>0</v>
      </c>
      <c r="AN247" s="46">
        <v>0</v>
      </c>
      <c r="AO247" s="46">
        <v>0</v>
      </c>
      <c r="AP247" s="46">
        <v>0</v>
      </c>
      <c r="AQ247" s="46">
        <v>0</v>
      </c>
      <c r="AR247" s="46">
        <v>100</v>
      </c>
      <c r="AS247" s="46">
        <v>100</v>
      </c>
      <c r="AT247" s="46">
        <v>100</v>
      </c>
      <c r="AU247" s="46">
        <v>100</v>
      </c>
      <c r="AV247" s="46">
        <v>0</v>
      </c>
      <c r="AW247" s="46">
        <v>0</v>
      </c>
      <c r="AX247" s="47">
        <f t="shared" si="35"/>
        <v>400</v>
      </c>
      <c r="AY247" s="313">
        <f>SUMIF(Recibos!$D$4:$D$7493,Cobranza!$B247,Recibos!K$4:K$7493)</f>
        <v>100</v>
      </c>
      <c r="AZ247" s="313">
        <f>SUMIF(Recibos!$D$4:$D$7493,Cobranza!$B247,Recibos!L$4:L$7493)</f>
        <v>100</v>
      </c>
      <c r="BA247" s="313">
        <f>SUMIF(Recibos!$D$4:$D$7493,Cobranza!$B247,Recibos!M$4:M$7493)</f>
        <v>0</v>
      </c>
      <c r="BB247" s="313">
        <f>SUMIF(Recibos!$D$4:$D$7493,Cobranza!$B247,Recibos!N$4:N$7493)</f>
        <v>0</v>
      </c>
      <c r="BC247" s="313">
        <f>SUMIF(Recibos!$D$4:$D$7493,Cobranza!$B247,Recibos!O$4:O$7493)</f>
        <v>0</v>
      </c>
      <c r="BD247" s="313">
        <f>SUMIF(Recibos!$D$4:$D$7493,Cobranza!$B247,Recibos!P$4:P$7493)</f>
        <v>0</v>
      </c>
      <c r="BE247" s="313">
        <f>SUMIF(Recibos!$D$4:$D$7493,Cobranza!$B247,Recibos!Q$4:Q$7493)</f>
        <v>0</v>
      </c>
      <c r="BF247" s="313">
        <f>SUMIF(Recibos!$D$4:$D$7493,Cobranza!$B247,Recibos!R$4:R$7493)</f>
        <v>0</v>
      </c>
      <c r="BG247" s="313">
        <f>SUMIF(Recibos!$D$4:$D$7493,Cobranza!$B247,Recibos!S$4:S$7493)</f>
        <v>0</v>
      </c>
      <c r="BH247" s="313">
        <f>SUMIF(Recibos!$D$4:$D$7493,Cobranza!$B247,Recibos!T$4:T$7493)</f>
        <v>0</v>
      </c>
      <c r="BI247" s="313">
        <f>SUMIF(Recibos!$D$4:$D$7493,Cobranza!$B247,Recibos!U$4:U$7493)</f>
        <v>0</v>
      </c>
      <c r="BJ247" s="313">
        <f>SUMIF(Recibos!$D$4:$D$7493,Cobranza!$B247,Recibos!V$4:V$7493)</f>
        <v>0</v>
      </c>
      <c r="BK247" s="314">
        <f t="shared" si="36"/>
        <v>200</v>
      </c>
      <c r="BL247" s="313">
        <f>SUMIF(Recibos!$D$4:$D$7493,Cobranza!$B247,Recibos!X$4:X$7493)</f>
        <v>150</v>
      </c>
      <c r="BM247" s="313">
        <f>SUMIF(Recibos!$D$4:$D$7493,Cobranza!$B247,Recibos!Y$4:Y$7493)</f>
        <v>200</v>
      </c>
      <c r="BN247" s="313">
        <f>SUMIF(Recibos!$D$4:$D$7493,Cobranza!$B247,Recibos!Z$4:Z$7493)</f>
        <v>200</v>
      </c>
      <c r="BO247" s="313">
        <f>SUMIF(Recibos!$D$4:$D$7493,Cobranza!$B247,Recibos!AA$4:AA$7493)</f>
        <v>200</v>
      </c>
      <c r="BP247" s="313">
        <f>SUMIF(Recibos!$D$4:$D$7493,Cobranza!$B247,Recibos!AB$4:AB$7493)</f>
        <v>200</v>
      </c>
      <c r="BQ247" s="313">
        <f>SUMIF(Recibos!$D$4:$D$7493,Cobranza!$B247,Recibos!AC$4:AC$7493)</f>
        <v>200</v>
      </c>
      <c r="BR247" s="313">
        <f>SUMIF(Recibos!$D$4:$D$7493,Cobranza!$B247,Recibos!AD$4:AD$7493)</f>
        <v>200</v>
      </c>
      <c r="BS247" s="313">
        <f>SUMIF(Recibos!$D$4:$D$7493,Cobranza!$B247,Recibos!AE$4:AE$7493)</f>
        <v>200</v>
      </c>
      <c r="BT247" s="313">
        <f>SUMIF(Recibos!$D$4:$D$7493,Cobranza!$B247,Recibos!AF$4:AF$7493)</f>
        <v>200</v>
      </c>
      <c r="BU247" s="313">
        <f>SUMIF(Recibos!$D$4:$D$7493,Cobranza!$B247,Recibos!AG$4:AG$7493)</f>
        <v>200</v>
      </c>
      <c r="BV247" s="313">
        <f>SUMIF(Recibos!$D$4:$D$7493,Cobranza!$B247,Recibos!AH$4:AH$7493)</f>
        <v>200</v>
      </c>
      <c r="BW247" s="313">
        <f>SUMIF(Recibos!$D$4:$D$7493,Cobranza!$B247,Recibos!AI$4:AI$7493)</f>
        <v>200</v>
      </c>
      <c r="BX247" s="314">
        <f t="shared" si="37"/>
        <v>2350</v>
      </c>
      <c r="BY247" s="313">
        <f>SUMIF(Recibos!$D$4:$D$7493,Cobranza!$B247,Recibos!AK$4:AK$7493)</f>
        <v>200</v>
      </c>
      <c r="BZ247" s="313">
        <f>SUMIF(Recibos!$D$4:$D$7493,Cobranza!$B247,Recibos!AL$4:AL$7493)</f>
        <v>200</v>
      </c>
      <c r="CA247" s="313">
        <f>SUMIF(Recibos!$D$4:$D$7493,Cobranza!$B247,Recibos!AM$4:AM$7493)</f>
        <v>200</v>
      </c>
      <c r="CB247" s="313">
        <f>SUMIF(Recibos!$D$4:$D$7493,Cobranza!$B247,Recibos!AN$4:AN$7493)</f>
        <v>200</v>
      </c>
      <c r="CC247" s="313">
        <f>SUMIF(Recibos!$D$4:$D$7493,Cobranza!$B247,Recibos!AO$4:AO$7493)</f>
        <v>200</v>
      </c>
      <c r="CD247" s="313">
        <f>SUMIF(Recibos!$D$4:$D$7493,Cobranza!$B247,Recibos!AP$4:AP$7493)</f>
        <v>200</v>
      </c>
      <c r="CE247" s="313">
        <f>SUMIF(Recibos!$D$4:$D$7493,Cobranza!$B247,Recibos!AQ$4:AQ$7493)</f>
        <v>200</v>
      </c>
      <c r="CF247" s="313">
        <f>SUMIF(Recibos!$D$4:$D$7493,Cobranza!$B247,Recibos!AR$4:AR$7493)</f>
        <v>200</v>
      </c>
      <c r="CG247" s="313">
        <f>SUMIF(Recibos!$D$4:$D$7493,Cobranza!$B247,Recibos!AS$4:AS$7493)</f>
        <v>200</v>
      </c>
      <c r="CH247" s="313">
        <f>SUMIF(Recibos!$D$4:$D$7493,Cobranza!$B247,Recibos!AT$4:AT$7493)</f>
        <v>0</v>
      </c>
      <c r="CI247" s="313">
        <f>SUMIF(Recibos!$D$4:$D$7493,Cobranza!$B247,Recibos!AU$4:AU$7493)</f>
        <v>0</v>
      </c>
      <c r="CJ247" s="313">
        <f>SUMIF(Recibos!$D$4:$D$7493,Cobranza!$B247,Recibos!AV$4:AV$7493)</f>
        <v>0</v>
      </c>
      <c r="CK247" s="314">
        <f t="shared" si="31"/>
        <v>1800</v>
      </c>
    </row>
    <row r="248" spans="2:89" x14ac:dyDescent="0.2">
      <c r="B248" s="42" t="s">
        <v>960</v>
      </c>
      <c r="C248" s="42" t="s">
        <v>961</v>
      </c>
      <c r="D248" s="42" t="s">
        <v>5685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4">
        <f t="shared" si="32"/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>
        <v>0</v>
      </c>
      <c r="W248" s="43">
        <v>0</v>
      </c>
      <c r="X248" s="44">
        <f t="shared" si="33"/>
        <v>0</v>
      </c>
      <c r="Y248" s="43">
        <v>0</v>
      </c>
      <c r="Z248" s="43">
        <v>0</v>
      </c>
      <c r="AA248" s="43">
        <v>0</v>
      </c>
      <c r="AB248" s="43">
        <v>0</v>
      </c>
      <c r="AC248" s="43">
        <v>0</v>
      </c>
      <c r="AD248" s="43">
        <v>0</v>
      </c>
      <c r="AE248" s="43">
        <v>0</v>
      </c>
      <c r="AF248" s="43">
        <v>0</v>
      </c>
      <c r="AG248" s="43">
        <v>0</v>
      </c>
      <c r="AH248" s="43">
        <v>0</v>
      </c>
      <c r="AI248" s="43">
        <v>0</v>
      </c>
      <c r="AJ248" s="43">
        <v>0</v>
      </c>
      <c r="AK248" s="44">
        <f t="shared" si="34"/>
        <v>0</v>
      </c>
      <c r="AL248" s="43">
        <v>400</v>
      </c>
      <c r="AM248" s="43">
        <v>400</v>
      </c>
      <c r="AN248" s="43">
        <v>0</v>
      </c>
      <c r="AO248" s="43">
        <v>0</v>
      </c>
      <c r="AP248" s="43">
        <v>0</v>
      </c>
      <c r="AQ248" s="43">
        <v>0</v>
      </c>
      <c r="AR248" s="43">
        <v>0</v>
      </c>
      <c r="AS248" s="43">
        <v>0</v>
      </c>
      <c r="AT248" s="43">
        <v>400</v>
      </c>
      <c r="AU248" s="43">
        <v>0</v>
      </c>
      <c r="AV248" s="43">
        <v>0</v>
      </c>
      <c r="AW248" s="43">
        <v>0</v>
      </c>
      <c r="AX248" s="44">
        <f t="shared" si="35"/>
        <v>1200</v>
      </c>
      <c r="AY248" s="311">
        <f>SUMIF(Recibos!$D$4:$D$7493,Cobranza!$B248,Recibos!K$4:K$7493)</f>
        <v>400</v>
      </c>
      <c r="AZ248" s="311">
        <f>SUMIF(Recibos!$D$4:$D$7493,Cobranza!$B248,Recibos!L$4:L$7493)</f>
        <v>400</v>
      </c>
      <c r="BA248" s="311">
        <f>SUMIF(Recibos!$D$4:$D$7493,Cobranza!$B248,Recibos!M$4:M$7493)</f>
        <v>400</v>
      </c>
      <c r="BB248" s="311">
        <f>SUMIF(Recibos!$D$4:$D$7493,Cobranza!$B248,Recibos!N$4:N$7493)</f>
        <v>400</v>
      </c>
      <c r="BC248" s="311">
        <f>SUMIF(Recibos!$D$4:$D$7493,Cobranza!$B248,Recibos!O$4:O$7493)</f>
        <v>400</v>
      </c>
      <c r="BD248" s="311">
        <f>SUMIF(Recibos!$D$4:$D$7493,Cobranza!$B248,Recibos!P$4:P$7493)</f>
        <v>400</v>
      </c>
      <c r="BE248" s="311">
        <f>SUMIF(Recibos!$D$4:$D$7493,Cobranza!$B248,Recibos!Q$4:Q$7493)</f>
        <v>400</v>
      </c>
      <c r="BF248" s="311">
        <f>SUMIF(Recibos!$D$4:$D$7493,Cobranza!$B248,Recibos!R$4:R$7493)</f>
        <v>400</v>
      </c>
      <c r="BG248" s="311">
        <f>SUMIF(Recibos!$D$4:$D$7493,Cobranza!$B248,Recibos!S$4:S$7493)</f>
        <v>400</v>
      </c>
      <c r="BH248" s="311">
        <f>SUMIF(Recibos!$D$4:$D$7493,Cobranza!$B248,Recibos!T$4:T$7493)</f>
        <v>400</v>
      </c>
      <c r="BI248" s="311">
        <f>SUMIF(Recibos!$D$4:$D$7493,Cobranza!$B248,Recibos!U$4:U$7493)</f>
        <v>400</v>
      </c>
      <c r="BJ248" s="311">
        <f>SUMIF(Recibos!$D$4:$D$7493,Cobranza!$B248,Recibos!V$4:V$7493)</f>
        <v>400</v>
      </c>
      <c r="BK248" s="312">
        <f t="shared" si="36"/>
        <v>4800</v>
      </c>
      <c r="BL248" s="311">
        <f>SUMIF(Recibos!$D$4:$D$7493,Cobranza!$B248,Recibos!X$4:X$7493)</f>
        <v>400</v>
      </c>
      <c r="BM248" s="311">
        <f>SUMIF(Recibos!$D$4:$D$7493,Cobranza!$B248,Recibos!Y$4:Y$7493)</f>
        <v>400</v>
      </c>
      <c r="BN248" s="311">
        <f>SUMIF(Recibos!$D$4:$D$7493,Cobranza!$B248,Recibos!Z$4:Z$7493)</f>
        <v>400</v>
      </c>
      <c r="BO248" s="311">
        <f>SUMIF(Recibos!$D$4:$D$7493,Cobranza!$B248,Recibos!AA$4:AA$7493)</f>
        <v>400</v>
      </c>
      <c r="BP248" s="311">
        <f>SUMIF(Recibos!$D$4:$D$7493,Cobranza!$B248,Recibos!AB$4:AB$7493)</f>
        <v>400</v>
      </c>
      <c r="BQ248" s="311">
        <f>SUMIF(Recibos!$D$4:$D$7493,Cobranza!$B248,Recibos!AC$4:AC$7493)</f>
        <v>400</v>
      </c>
      <c r="BR248" s="311">
        <f>SUMIF(Recibos!$D$4:$D$7493,Cobranza!$B248,Recibos!AD$4:AD$7493)</f>
        <v>400</v>
      </c>
      <c r="BS248" s="311">
        <f>SUMIF(Recibos!$D$4:$D$7493,Cobranza!$B248,Recibos!AE$4:AE$7493)</f>
        <v>400</v>
      </c>
      <c r="BT248" s="311">
        <f>SUMIF(Recibos!$D$4:$D$7493,Cobranza!$B248,Recibos!AF$4:AF$7493)</f>
        <v>400</v>
      </c>
      <c r="BU248" s="311">
        <f>SUMIF(Recibos!$D$4:$D$7493,Cobranza!$B248,Recibos!AG$4:AG$7493)</f>
        <v>400</v>
      </c>
      <c r="BV248" s="311">
        <f>SUMIF(Recibos!$D$4:$D$7493,Cobranza!$B248,Recibos!AH$4:AH$7493)</f>
        <v>400</v>
      </c>
      <c r="BW248" s="311">
        <f>SUMIF(Recibos!$D$4:$D$7493,Cobranza!$B248,Recibos!AI$4:AI$7493)</f>
        <v>0</v>
      </c>
      <c r="BX248" s="312">
        <f t="shared" si="37"/>
        <v>4400</v>
      </c>
      <c r="BY248" s="311">
        <f>SUMIF(Recibos!$D$4:$D$7493,Cobranza!$B248,Recibos!AK$4:AK$7493)</f>
        <v>400</v>
      </c>
      <c r="BZ248" s="311">
        <f>SUMIF(Recibos!$D$4:$D$7493,Cobranza!$B248,Recibos!AL$4:AL$7493)</f>
        <v>0</v>
      </c>
      <c r="CA248" s="311">
        <f>SUMIF(Recibos!$D$4:$D$7493,Cobranza!$B248,Recibos!AM$4:AM$7493)</f>
        <v>0</v>
      </c>
      <c r="CB248" s="311">
        <f>SUMIF(Recibos!$D$4:$D$7493,Cobranza!$B248,Recibos!AN$4:AN$7493)</f>
        <v>0</v>
      </c>
      <c r="CC248" s="311">
        <f>SUMIF(Recibos!$D$4:$D$7493,Cobranza!$B248,Recibos!AO$4:AO$7493)</f>
        <v>0</v>
      </c>
      <c r="CD248" s="311">
        <f>SUMIF(Recibos!$D$4:$D$7493,Cobranza!$B248,Recibos!AP$4:AP$7493)</f>
        <v>0</v>
      </c>
      <c r="CE248" s="311">
        <f>SUMIF(Recibos!$D$4:$D$7493,Cobranza!$B248,Recibos!AQ$4:AQ$7493)</f>
        <v>0</v>
      </c>
      <c r="CF248" s="311">
        <f>SUMIF(Recibos!$D$4:$D$7493,Cobranza!$B248,Recibos!AR$4:AR$7493)</f>
        <v>0</v>
      </c>
      <c r="CG248" s="311">
        <f>SUMIF(Recibos!$D$4:$D$7493,Cobranza!$B248,Recibos!AS$4:AS$7493)</f>
        <v>0</v>
      </c>
      <c r="CH248" s="311">
        <f>SUMIF(Recibos!$D$4:$D$7493,Cobranza!$B248,Recibos!AT$4:AT$7493)</f>
        <v>400</v>
      </c>
      <c r="CI248" s="311">
        <f>SUMIF(Recibos!$D$4:$D$7493,Cobranza!$B248,Recibos!AU$4:AU$7493)</f>
        <v>0</v>
      </c>
      <c r="CJ248" s="311">
        <f>SUMIF(Recibos!$D$4:$D$7493,Cobranza!$B248,Recibos!AV$4:AV$7493)</f>
        <v>0</v>
      </c>
      <c r="CK248" s="312">
        <f t="shared" si="31"/>
        <v>800</v>
      </c>
    </row>
    <row r="249" spans="2:89" x14ac:dyDescent="0.2">
      <c r="B249" s="45" t="s">
        <v>941</v>
      </c>
      <c r="C249" s="45" t="s">
        <v>942</v>
      </c>
      <c r="D249" s="45" t="s">
        <v>943</v>
      </c>
      <c r="E249" s="46">
        <v>0</v>
      </c>
      <c r="F249" s="46">
        <v>0</v>
      </c>
      <c r="G249" s="46">
        <v>0</v>
      </c>
      <c r="H249" s="46">
        <v>0</v>
      </c>
      <c r="I249" s="46">
        <v>0</v>
      </c>
      <c r="J249" s="46">
        <v>0</v>
      </c>
      <c r="K249" s="47">
        <f t="shared" si="32"/>
        <v>0</v>
      </c>
      <c r="L249" s="46">
        <v>150</v>
      </c>
      <c r="M249" s="46">
        <v>0</v>
      </c>
      <c r="N249" s="46">
        <v>0</v>
      </c>
      <c r="O249" s="46">
        <v>0</v>
      </c>
      <c r="P249" s="46">
        <v>0</v>
      </c>
      <c r="Q249" s="46">
        <v>0</v>
      </c>
      <c r="R249" s="46">
        <v>0</v>
      </c>
      <c r="S249" s="46">
        <v>0</v>
      </c>
      <c r="T249" s="46">
        <v>0</v>
      </c>
      <c r="U249" s="46">
        <v>0</v>
      </c>
      <c r="V249" s="46">
        <v>0</v>
      </c>
      <c r="W249" s="46">
        <v>0</v>
      </c>
      <c r="X249" s="47">
        <f t="shared" si="33"/>
        <v>150</v>
      </c>
      <c r="Y249" s="46">
        <v>0</v>
      </c>
      <c r="Z249" s="46">
        <v>0</v>
      </c>
      <c r="AA249" s="46">
        <v>0</v>
      </c>
      <c r="AB249" s="46">
        <v>0</v>
      </c>
      <c r="AC249" s="46">
        <v>0</v>
      </c>
      <c r="AD249" s="46">
        <v>0</v>
      </c>
      <c r="AE249" s="46">
        <v>0</v>
      </c>
      <c r="AF249" s="46">
        <v>0</v>
      </c>
      <c r="AG249" s="46">
        <v>0</v>
      </c>
      <c r="AH249" s="46">
        <v>0</v>
      </c>
      <c r="AI249" s="46">
        <v>0</v>
      </c>
      <c r="AJ249" s="46">
        <v>0</v>
      </c>
      <c r="AK249" s="47">
        <f t="shared" si="34"/>
        <v>0</v>
      </c>
      <c r="AL249" s="46">
        <v>0</v>
      </c>
      <c r="AM249" s="46">
        <v>0</v>
      </c>
      <c r="AN249" s="46">
        <v>0</v>
      </c>
      <c r="AO249" s="46">
        <v>0</v>
      </c>
      <c r="AP249" s="46">
        <v>0</v>
      </c>
      <c r="AQ249" s="46">
        <v>0</v>
      </c>
      <c r="AR249" s="46">
        <v>0</v>
      </c>
      <c r="AS249" s="46">
        <v>0</v>
      </c>
      <c r="AT249" s="46">
        <v>0</v>
      </c>
      <c r="AU249" s="46">
        <v>0</v>
      </c>
      <c r="AV249" s="46">
        <v>0</v>
      </c>
      <c r="AW249" s="46">
        <v>0</v>
      </c>
      <c r="AX249" s="47">
        <f t="shared" si="35"/>
        <v>0</v>
      </c>
      <c r="AY249" s="313">
        <f>SUMIF(Recibos!$D$4:$D$7493,Cobranza!$B249,Recibos!K$4:K$7493)</f>
        <v>0</v>
      </c>
      <c r="AZ249" s="313">
        <f>SUMIF(Recibos!$D$4:$D$7493,Cobranza!$B249,Recibos!L$4:L$7493)</f>
        <v>0</v>
      </c>
      <c r="BA249" s="313">
        <f>SUMIF(Recibos!$D$4:$D$7493,Cobranza!$B249,Recibos!M$4:M$7493)</f>
        <v>0</v>
      </c>
      <c r="BB249" s="313">
        <f>SUMIF(Recibos!$D$4:$D$7493,Cobranza!$B249,Recibos!N$4:N$7493)</f>
        <v>0</v>
      </c>
      <c r="BC249" s="313">
        <f>SUMIF(Recibos!$D$4:$D$7493,Cobranza!$B249,Recibos!O$4:O$7493)</f>
        <v>200</v>
      </c>
      <c r="BD249" s="313">
        <f>SUMIF(Recibos!$D$4:$D$7493,Cobranza!$B249,Recibos!P$4:P$7493)</f>
        <v>0</v>
      </c>
      <c r="BE249" s="313">
        <f>SUMIF(Recibos!$D$4:$D$7493,Cobranza!$B249,Recibos!Q$4:Q$7493)</f>
        <v>0</v>
      </c>
      <c r="BF249" s="313">
        <f>SUMIF(Recibos!$D$4:$D$7493,Cobranza!$B249,Recibos!R$4:R$7493)</f>
        <v>200</v>
      </c>
      <c r="BG249" s="313">
        <f>SUMIF(Recibos!$D$4:$D$7493,Cobranza!$B249,Recibos!S$4:S$7493)</f>
        <v>200</v>
      </c>
      <c r="BH249" s="313">
        <f>SUMIF(Recibos!$D$4:$D$7493,Cobranza!$B249,Recibos!T$4:T$7493)</f>
        <v>200</v>
      </c>
      <c r="BI249" s="313">
        <f>SUMIF(Recibos!$D$4:$D$7493,Cobranza!$B249,Recibos!U$4:U$7493)</f>
        <v>200</v>
      </c>
      <c r="BJ249" s="313">
        <f>SUMIF(Recibos!$D$4:$D$7493,Cobranza!$B249,Recibos!V$4:V$7493)</f>
        <v>200</v>
      </c>
      <c r="BK249" s="314">
        <f t="shared" si="36"/>
        <v>1200</v>
      </c>
      <c r="BL249" s="313">
        <f>SUMIF(Recibos!$D$4:$D$7493,Cobranza!$B249,Recibos!X$4:X$7493)</f>
        <v>200</v>
      </c>
      <c r="BM249" s="313">
        <f>SUMIF(Recibos!$D$4:$D$7493,Cobranza!$B249,Recibos!Y$4:Y$7493)</f>
        <v>0</v>
      </c>
      <c r="BN249" s="313">
        <f>SUMIF(Recibos!$D$4:$D$7493,Cobranza!$B249,Recibos!Z$4:Z$7493)</f>
        <v>0</v>
      </c>
      <c r="BO249" s="313">
        <f>SUMIF(Recibos!$D$4:$D$7493,Cobranza!$B249,Recibos!AA$4:AA$7493)</f>
        <v>0</v>
      </c>
      <c r="BP249" s="313">
        <f>SUMIF(Recibos!$D$4:$D$7493,Cobranza!$B249,Recibos!AB$4:AB$7493)</f>
        <v>0</v>
      </c>
      <c r="BQ249" s="313">
        <f>SUMIF(Recibos!$D$4:$D$7493,Cobranza!$B249,Recibos!AC$4:AC$7493)</f>
        <v>0</v>
      </c>
      <c r="BR249" s="313">
        <f>SUMIF(Recibos!$D$4:$D$7493,Cobranza!$B249,Recibos!AD$4:AD$7493)</f>
        <v>0</v>
      </c>
      <c r="BS249" s="313">
        <f>SUMIF(Recibos!$D$4:$D$7493,Cobranza!$B249,Recibos!AE$4:AE$7493)</f>
        <v>0</v>
      </c>
      <c r="BT249" s="313">
        <f>SUMIF(Recibos!$D$4:$D$7493,Cobranza!$B249,Recibos!AF$4:AF$7493)</f>
        <v>0</v>
      </c>
      <c r="BU249" s="313">
        <f>SUMIF(Recibos!$D$4:$D$7493,Cobranza!$B249,Recibos!AG$4:AG$7493)</f>
        <v>0</v>
      </c>
      <c r="BV249" s="313">
        <f>SUMIF(Recibos!$D$4:$D$7493,Cobranza!$B249,Recibos!AH$4:AH$7493)</f>
        <v>0</v>
      </c>
      <c r="BW249" s="313">
        <f>SUMIF(Recibos!$D$4:$D$7493,Cobranza!$B249,Recibos!AI$4:AI$7493)</f>
        <v>0</v>
      </c>
      <c r="BX249" s="314">
        <f t="shared" si="37"/>
        <v>200</v>
      </c>
      <c r="BY249" s="313">
        <f>SUMIF(Recibos!$D$4:$D$7493,Cobranza!$B249,Recibos!AK$4:AK$7493)</f>
        <v>0</v>
      </c>
      <c r="BZ249" s="313">
        <f>SUMIF(Recibos!$D$4:$D$7493,Cobranza!$B249,Recibos!AL$4:AL$7493)</f>
        <v>0</v>
      </c>
      <c r="CA249" s="313">
        <f>SUMIF(Recibos!$D$4:$D$7493,Cobranza!$B249,Recibos!AM$4:AM$7493)</f>
        <v>0</v>
      </c>
      <c r="CB249" s="313">
        <f>SUMIF(Recibos!$D$4:$D$7493,Cobranza!$B249,Recibos!AN$4:AN$7493)</f>
        <v>0</v>
      </c>
      <c r="CC249" s="313">
        <f>SUMIF(Recibos!$D$4:$D$7493,Cobranza!$B249,Recibos!AO$4:AO$7493)</f>
        <v>0</v>
      </c>
      <c r="CD249" s="313">
        <f>SUMIF(Recibos!$D$4:$D$7493,Cobranza!$B249,Recibos!AP$4:AP$7493)</f>
        <v>0</v>
      </c>
      <c r="CE249" s="313">
        <f>SUMIF(Recibos!$D$4:$D$7493,Cobranza!$B249,Recibos!AQ$4:AQ$7493)</f>
        <v>0</v>
      </c>
      <c r="CF249" s="313">
        <f>SUMIF(Recibos!$D$4:$D$7493,Cobranza!$B249,Recibos!AR$4:AR$7493)</f>
        <v>0</v>
      </c>
      <c r="CG249" s="313">
        <f>SUMIF(Recibos!$D$4:$D$7493,Cobranza!$B249,Recibos!AS$4:AS$7493)</f>
        <v>0</v>
      </c>
      <c r="CH249" s="313">
        <f>SUMIF(Recibos!$D$4:$D$7493,Cobranza!$B249,Recibos!AT$4:AT$7493)</f>
        <v>0</v>
      </c>
      <c r="CI249" s="313">
        <f>SUMIF(Recibos!$D$4:$D$7493,Cobranza!$B249,Recibos!AU$4:AU$7493)</f>
        <v>0</v>
      </c>
      <c r="CJ249" s="313">
        <f>SUMIF(Recibos!$D$4:$D$7493,Cobranza!$B249,Recibos!AV$4:AV$7493)</f>
        <v>0</v>
      </c>
      <c r="CK249" s="314">
        <f t="shared" si="31"/>
        <v>0</v>
      </c>
    </row>
    <row r="250" spans="2:89" x14ac:dyDescent="0.2">
      <c r="B250" s="42" t="s">
        <v>592</v>
      </c>
      <c r="C250" s="42" t="s">
        <v>593</v>
      </c>
      <c r="D250" s="42" t="s">
        <v>594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300</v>
      </c>
      <c r="K250" s="44">
        <f t="shared" si="32"/>
        <v>300</v>
      </c>
      <c r="L250" s="43">
        <v>300</v>
      </c>
      <c r="M250" s="43">
        <v>300</v>
      </c>
      <c r="N250" s="43">
        <v>300</v>
      </c>
      <c r="O250" s="43">
        <v>300</v>
      </c>
      <c r="P250" s="43">
        <v>300</v>
      </c>
      <c r="Q250" s="43">
        <v>300</v>
      </c>
      <c r="R250" s="43">
        <v>300</v>
      </c>
      <c r="S250" s="43">
        <v>300</v>
      </c>
      <c r="T250" s="43">
        <v>300</v>
      </c>
      <c r="U250" s="43">
        <v>300</v>
      </c>
      <c r="V250" s="43">
        <v>400</v>
      </c>
      <c r="W250" s="43">
        <v>400</v>
      </c>
      <c r="X250" s="44">
        <f t="shared" si="33"/>
        <v>3800</v>
      </c>
      <c r="Y250" s="43">
        <v>400</v>
      </c>
      <c r="Z250" s="43">
        <v>400</v>
      </c>
      <c r="AA250" s="43">
        <v>400</v>
      </c>
      <c r="AB250" s="43">
        <v>400</v>
      </c>
      <c r="AC250" s="43">
        <v>400</v>
      </c>
      <c r="AD250" s="43">
        <v>400</v>
      </c>
      <c r="AE250" s="43">
        <v>400</v>
      </c>
      <c r="AF250" s="43">
        <v>400</v>
      </c>
      <c r="AG250" s="43">
        <v>400</v>
      </c>
      <c r="AH250" s="43">
        <v>400</v>
      </c>
      <c r="AI250" s="43">
        <v>400</v>
      </c>
      <c r="AJ250" s="43">
        <v>400</v>
      </c>
      <c r="AK250" s="44">
        <f t="shared" si="34"/>
        <v>4800</v>
      </c>
      <c r="AL250" s="43">
        <v>400</v>
      </c>
      <c r="AM250" s="43">
        <v>400</v>
      </c>
      <c r="AN250" s="43">
        <v>400</v>
      </c>
      <c r="AO250" s="43">
        <v>400</v>
      </c>
      <c r="AP250" s="43">
        <v>400</v>
      </c>
      <c r="AQ250" s="43">
        <v>400</v>
      </c>
      <c r="AR250" s="43">
        <v>400</v>
      </c>
      <c r="AS250" s="43">
        <v>400</v>
      </c>
      <c r="AT250" s="43">
        <v>400</v>
      </c>
      <c r="AU250" s="43">
        <v>400</v>
      </c>
      <c r="AV250" s="43">
        <v>400</v>
      </c>
      <c r="AW250" s="43">
        <v>400</v>
      </c>
      <c r="AX250" s="44">
        <f t="shared" si="35"/>
        <v>4800</v>
      </c>
      <c r="AY250" s="311">
        <f>SUMIF(Recibos!$D$4:$D$7493,Cobranza!$B250,Recibos!K$4:K$7493)</f>
        <v>400</v>
      </c>
      <c r="AZ250" s="311">
        <f>SUMIF(Recibos!$D$4:$D$7493,Cobranza!$B250,Recibos!L$4:L$7493)</f>
        <v>400</v>
      </c>
      <c r="BA250" s="311">
        <f>SUMIF(Recibos!$D$4:$D$7493,Cobranza!$B250,Recibos!M$4:M$7493)</f>
        <v>400</v>
      </c>
      <c r="BB250" s="311">
        <f>SUMIF(Recibos!$D$4:$D$7493,Cobranza!$B250,Recibos!N$4:N$7493)</f>
        <v>400</v>
      </c>
      <c r="BC250" s="311">
        <f>SUMIF(Recibos!$D$4:$D$7493,Cobranza!$B250,Recibos!O$4:O$7493)</f>
        <v>400</v>
      </c>
      <c r="BD250" s="311">
        <f>SUMIF(Recibos!$D$4:$D$7493,Cobranza!$B250,Recibos!P$4:P$7493)</f>
        <v>400</v>
      </c>
      <c r="BE250" s="311">
        <f>SUMIF(Recibos!$D$4:$D$7493,Cobranza!$B250,Recibos!Q$4:Q$7493)</f>
        <v>400</v>
      </c>
      <c r="BF250" s="311">
        <f>SUMIF(Recibos!$D$4:$D$7493,Cobranza!$B250,Recibos!R$4:R$7493)</f>
        <v>400</v>
      </c>
      <c r="BG250" s="311">
        <f>SUMIF(Recibos!$D$4:$D$7493,Cobranza!$B250,Recibos!S$4:S$7493)</f>
        <v>400</v>
      </c>
      <c r="BH250" s="311">
        <f>SUMIF(Recibos!$D$4:$D$7493,Cobranza!$B250,Recibos!T$4:T$7493)</f>
        <v>400</v>
      </c>
      <c r="BI250" s="311">
        <f>SUMIF(Recibos!$D$4:$D$7493,Cobranza!$B250,Recibos!U$4:U$7493)</f>
        <v>400</v>
      </c>
      <c r="BJ250" s="311">
        <f>SUMIF(Recibos!$D$4:$D$7493,Cobranza!$B250,Recibos!V$4:V$7493)</f>
        <v>400</v>
      </c>
      <c r="BK250" s="312">
        <f t="shared" si="36"/>
        <v>4800</v>
      </c>
      <c r="BL250" s="311">
        <f>SUMIF(Recibos!$D$4:$D$7493,Cobranza!$B250,Recibos!X$4:X$7493)</f>
        <v>300</v>
      </c>
      <c r="BM250" s="311">
        <f>SUMIF(Recibos!$D$4:$D$7493,Cobranza!$B250,Recibos!Y$4:Y$7493)</f>
        <v>300</v>
      </c>
      <c r="BN250" s="311">
        <f>SUMIF(Recibos!$D$4:$D$7493,Cobranza!$B250,Recibos!Z$4:Z$7493)</f>
        <v>300</v>
      </c>
      <c r="BO250" s="311">
        <f>SUMIF(Recibos!$D$4:$D$7493,Cobranza!$B250,Recibos!AA$4:AA$7493)</f>
        <v>300</v>
      </c>
      <c r="BP250" s="311">
        <f>SUMIF(Recibos!$D$4:$D$7493,Cobranza!$B250,Recibos!AB$4:AB$7493)</f>
        <v>300</v>
      </c>
      <c r="BQ250" s="311">
        <f>SUMIF(Recibos!$D$4:$D$7493,Cobranza!$B250,Recibos!AC$4:AC$7493)</f>
        <v>300</v>
      </c>
      <c r="BR250" s="311">
        <f>SUMIF(Recibos!$D$4:$D$7493,Cobranza!$B250,Recibos!AD$4:AD$7493)</f>
        <v>300</v>
      </c>
      <c r="BS250" s="311">
        <f>SUMIF(Recibos!$D$4:$D$7493,Cobranza!$B250,Recibos!AE$4:AE$7493)</f>
        <v>300</v>
      </c>
      <c r="BT250" s="311">
        <f>SUMIF(Recibos!$D$4:$D$7493,Cobranza!$B250,Recibos!AF$4:AF$7493)</f>
        <v>300</v>
      </c>
      <c r="BU250" s="311">
        <f>SUMIF(Recibos!$D$4:$D$7493,Cobranza!$B250,Recibos!AG$4:AG$7493)</f>
        <v>300</v>
      </c>
      <c r="BV250" s="311">
        <f>SUMIF(Recibos!$D$4:$D$7493,Cobranza!$B250,Recibos!AH$4:AH$7493)</f>
        <v>300</v>
      </c>
      <c r="BW250" s="311">
        <f>SUMIF(Recibos!$D$4:$D$7493,Cobranza!$B250,Recibos!AI$4:AI$7493)</f>
        <v>300</v>
      </c>
      <c r="BX250" s="312">
        <f t="shared" si="37"/>
        <v>3600</v>
      </c>
      <c r="BY250" s="311">
        <f>SUMIF(Recibos!$D$4:$D$7493,Cobranza!$B250,Recibos!AK$4:AK$7493)</f>
        <v>300</v>
      </c>
      <c r="BZ250" s="311">
        <f>SUMIF(Recibos!$D$4:$D$7493,Cobranza!$B250,Recibos!AL$4:AL$7493)</f>
        <v>300</v>
      </c>
      <c r="CA250" s="311">
        <f>SUMIF(Recibos!$D$4:$D$7493,Cobranza!$B250,Recibos!AM$4:AM$7493)</f>
        <v>300</v>
      </c>
      <c r="CB250" s="311">
        <f>SUMIF(Recibos!$D$4:$D$7493,Cobranza!$B250,Recibos!AN$4:AN$7493)</f>
        <v>300</v>
      </c>
      <c r="CC250" s="311">
        <f>SUMIF(Recibos!$D$4:$D$7493,Cobranza!$B250,Recibos!AO$4:AO$7493)</f>
        <v>300</v>
      </c>
      <c r="CD250" s="311">
        <f>SUMIF(Recibos!$D$4:$D$7493,Cobranza!$B250,Recibos!AP$4:AP$7493)</f>
        <v>300</v>
      </c>
      <c r="CE250" s="311">
        <f>SUMIF(Recibos!$D$4:$D$7493,Cobranza!$B250,Recibos!AQ$4:AQ$7493)</f>
        <v>300</v>
      </c>
      <c r="CF250" s="311">
        <f>SUMIF(Recibos!$D$4:$D$7493,Cobranza!$B250,Recibos!AR$4:AR$7493)</f>
        <v>300</v>
      </c>
      <c r="CG250" s="311">
        <f>SUMIF(Recibos!$D$4:$D$7493,Cobranza!$B250,Recibos!AS$4:AS$7493)</f>
        <v>300</v>
      </c>
      <c r="CH250" s="311">
        <f>SUMIF(Recibos!$D$4:$D$7493,Cobranza!$B250,Recibos!AT$4:AT$7493)</f>
        <v>0</v>
      </c>
      <c r="CI250" s="311">
        <f>SUMIF(Recibos!$D$4:$D$7493,Cobranza!$B250,Recibos!AU$4:AU$7493)</f>
        <v>0</v>
      </c>
      <c r="CJ250" s="311">
        <f>SUMIF(Recibos!$D$4:$D$7493,Cobranza!$B250,Recibos!AV$4:AV$7493)</f>
        <v>0</v>
      </c>
      <c r="CK250" s="312">
        <f t="shared" si="31"/>
        <v>2700</v>
      </c>
    </row>
    <row r="251" spans="2:89" x14ac:dyDescent="0.2">
      <c r="B251" s="45" t="s">
        <v>226</v>
      </c>
      <c r="C251" s="45" t="s">
        <v>227</v>
      </c>
      <c r="D251" s="45" t="s">
        <v>228</v>
      </c>
      <c r="E251" s="46">
        <v>0</v>
      </c>
      <c r="F251" s="46">
        <v>0</v>
      </c>
      <c r="G251" s="46">
        <v>0</v>
      </c>
      <c r="H251" s="46">
        <v>0</v>
      </c>
      <c r="I251" s="46">
        <v>0</v>
      </c>
      <c r="J251" s="46">
        <v>200</v>
      </c>
      <c r="K251" s="47">
        <f t="shared" si="32"/>
        <v>200</v>
      </c>
      <c r="L251" s="46">
        <v>200</v>
      </c>
      <c r="M251" s="46">
        <v>200</v>
      </c>
      <c r="N251" s="46">
        <v>200</v>
      </c>
      <c r="O251" s="46">
        <v>200</v>
      </c>
      <c r="P251" s="46">
        <v>200</v>
      </c>
      <c r="Q251" s="46">
        <v>200</v>
      </c>
      <c r="R251" s="46">
        <v>200</v>
      </c>
      <c r="S251" s="46">
        <v>200</v>
      </c>
      <c r="T251" s="46">
        <v>200</v>
      </c>
      <c r="U251" s="46">
        <v>200</v>
      </c>
      <c r="V251" s="46">
        <v>200</v>
      </c>
      <c r="W251" s="46">
        <v>0</v>
      </c>
      <c r="X251" s="47">
        <f t="shared" si="33"/>
        <v>2200</v>
      </c>
      <c r="Y251" s="46">
        <v>200</v>
      </c>
      <c r="Z251" s="46">
        <v>0</v>
      </c>
      <c r="AA251" s="46">
        <v>200</v>
      </c>
      <c r="AB251" s="46">
        <v>200</v>
      </c>
      <c r="AC251" s="46">
        <v>0</v>
      </c>
      <c r="AD251" s="46">
        <v>0</v>
      </c>
      <c r="AE251" s="46">
        <v>0</v>
      </c>
      <c r="AF251" s="46">
        <v>0</v>
      </c>
      <c r="AG251" s="46">
        <v>0</v>
      </c>
      <c r="AH251" s="46">
        <v>0</v>
      </c>
      <c r="AI251" s="46">
        <v>0</v>
      </c>
      <c r="AJ251" s="46">
        <v>0</v>
      </c>
      <c r="AK251" s="47">
        <f t="shared" si="34"/>
        <v>600</v>
      </c>
      <c r="AL251" s="46">
        <v>0</v>
      </c>
      <c r="AM251" s="46">
        <v>0</v>
      </c>
      <c r="AN251" s="46">
        <v>0</v>
      </c>
      <c r="AO251" s="46">
        <v>0</v>
      </c>
      <c r="AP251" s="46">
        <v>0</v>
      </c>
      <c r="AQ251" s="46">
        <v>0</v>
      </c>
      <c r="AR251" s="46">
        <v>0</v>
      </c>
      <c r="AS251" s="46">
        <v>0</v>
      </c>
      <c r="AT251" s="46">
        <v>0</v>
      </c>
      <c r="AU251" s="46">
        <v>200</v>
      </c>
      <c r="AV251" s="46">
        <v>200</v>
      </c>
      <c r="AW251" s="46">
        <v>200</v>
      </c>
      <c r="AX251" s="47">
        <f t="shared" si="35"/>
        <v>600</v>
      </c>
      <c r="AY251" s="313">
        <f>SUMIF(Recibos!$D$4:$D$7493,Cobranza!$B251,Recibos!K$4:K$7493)</f>
        <v>200</v>
      </c>
      <c r="AZ251" s="313">
        <f>SUMIF(Recibos!$D$4:$D$7493,Cobranza!$B251,Recibos!L$4:L$7493)</f>
        <v>200</v>
      </c>
      <c r="BA251" s="313">
        <f>SUMIF(Recibos!$D$4:$D$7493,Cobranza!$B251,Recibos!M$4:M$7493)</f>
        <v>0</v>
      </c>
      <c r="BB251" s="313">
        <f>SUMIF(Recibos!$D$4:$D$7493,Cobranza!$B251,Recibos!N$4:N$7493)</f>
        <v>200</v>
      </c>
      <c r="BC251" s="313">
        <f>SUMIF(Recibos!$D$4:$D$7493,Cobranza!$B251,Recibos!O$4:O$7493)</f>
        <v>200</v>
      </c>
      <c r="BD251" s="313">
        <f>SUMIF(Recibos!$D$4:$D$7493,Cobranza!$B251,Recibos!P$4:P$7493)</f>
        <v>200</v>
      </c>
      <c r="BE251" s="313">
        <f>SUMIF(Recibos!$D$4:$D$7493,Cobranza!$B251,Recibos!Q$4:Q$7493)</f>
        <v>200</v>
      </c>
      <c r="BF251" s="313">
        <f>SUMIF(Recibos!$D$4:$D$7493,Cobranza!$B251,Recibos!R$4:R$7493)</f>
        <v>200</v>
      </c>
      <c r="BG251" s="313">
        <f>SUMIF(Recibos!$D$4:$D$7493,Cobranza!$B251,Recibos!S$4:S$7493)</f>
        <v>200</v>
      </c>
      <c r="BH251" s="313">
        <f>SUMIF(Recibos!$D$4:$D$7493,Cobranza!$B251,Recibos!T$4:T$7493)</f>
        <v>200</v>
      </c>
      <c r="BI251" s="313">
        <f>SUMIF(Recibos!$D$4:$D$7493,Cobranza!$B251,Recibos!U$4:U$7493)</f>
        <v>200</v>
      </c>
      <c r="BJ251" s="313">
        <f>SUMIF(Recibos!$D$4:$D$7493,Cobranza!$B251,Recibos!V$4:V$7493)</f>
        <v>200</v>
      </c>
      <c r="BK251" s="314">
        <f t="shared" si="36"/>
        <v>2200</v>
      </c>
      <c r="BL251" s="313">
        <f>SUMIF(Recibos!$D$4:$D$7493,Cobranza!$B251,Recibos!X$4:X$7493)</f>
        <v>200</v>
      </c>
      <c r="BM251" s="313">
        <f>SUMIF(Recibos!$D$4:$D$7493,Cobranza!$B251,Recibos!Y$4:Y$7493)</f>
        <v>200</v>
      </c>
      <c r="BN251" s="313">
        <f>SUMIF(Recibos!$D$4:$D$7493,Cobranza!$B251,Recibos!Z$4:Z$7493)</f>
        <v>200</v>
      </c>
      <c r="BO251" s="313">
        <f>SUMIF(Recibos!$D$4:$D$7493,Cobranza!$B251,Recibos!AA$4:AA$7493)</f>
        <v>200</v>
      </c>
      <c r="BP251" s="313">
        <f>SUMIF(Recibos!$D$4:$D$7493,Cobranza!$B251,Recibos!AB$4:AB$7493)</f>
        <v>200</v>
      </c>
      <c r="BQ251" s="313">
        <f>SUMIF(Recibos!$D$4:$D$7493,Cobranza!$B251,Recibos!AC$4:AC$7493)</f>
        <v>200</v>
      </c>
      <c r="BR251" s="313">
        <f>SUMIF(Recibos!$D$4:$D$7493,Cobranza!$B251,Recibos!AD$4:AD$7493)</f>
        <v>200</v>
      </c>
      <c r="BS251" s="313">
        <f>SUMIF(Recibos!$D$4:$D$7493,Cobranza!$B251,Recibos!AE$4:AE$7493)</f>
        <v>200</v>
      </c>
      <c r="BT251" s="313">
        <f>SUMIF(Recibos!$D$4:$D$7493,Cobranza!$B251,Recibos!AF$4:AF$7493)</f>
        <v>200</v>
      </c>
      <c r="BU251" s="313">
        <f>SUMIF(Recibos!$D$4:$D$7493,Cobranza!$B251,Recibos!AG$4:AG$7493)</f>
        <v>200</v>
      </c>
      <c r="BV251" s="313">
        <f>SUMIF(Recibos!$D$4:$D$7493,Cobranza!$B251,Recibos!AH$4:AH$7493)</f>
        <v>200</v>
      </c>
      <c r="BW251" s="313">
        <f>SUMIF(Recibos!$D$4:$D$7493,Cobranza!$B251,Recibos!AI$4:AI$7493)</f>
        <v>200</v>
      </c>
      <c r="BX251" s="314">
        <f t="shared" si="37"/>
        <v>2400</v>
      </c>
      <c r="BY251" s="313">
        <f>SUMIF(Recibos!$D$4:$D$7493,Cobranza!$B251,Recibos!AK$4:AK$7493)</f>
        <v>200</v>
      </c>
      <c r="BZ251" s="313">
        <f>SUMIF(Recibos!$D$4:$D$7493,Cobranza!$B251,Recibos!AL$4:AL$7493)</f>
        <v>200</v>
      </c>
      <c r="CA251" s="313">
        <f>SUMIF(Recibos!$D$4:$D$7493,Cobranza!$B251,Recibos!AM$4:AM$7493)</f>
        <v>200</v>
      </c>
      <c r="CB251" s="313">
        <f>SUMIF(Recibos!$D$4:$D$7493,Cobranza!$B251,Recibos!AN$4:AN$7493)</f>
        <v>200</v>
      </c>
      <c r="CC251" s="313">
        <f>SUMIF(Recibos!$D$4:$D$7493,Cobranza!$B251,Recibos!AO$4:AO$7493)</f>
        <v>200</v>
      </c>
      <c r="CD251" s="313">
        <f>SUMIF(Recibos!$D$4:$D$7493,Cobranza!$B251,Recibos!AP$4:AP$7493)</f>
        <v>200</v>
      </c>
      <c r="CE251" s="313">
        <f>SUMIF(Recibos!$D$4:$D$7493,Cobranza!$B251,Recibos!AQ$4:AQ$7493)</f>
        <v>200</v>
      </c>
      <c r="CF251" s="313">
        <f>SUMIF(Recibos!$D$4:$D$7493,Cobranza!$B251,Recibos!AR$4:AR$7493)</f>
        <v>200</v>
      </c>
      <c r="CG251" s="313">
        <f>SUMIF(Recibos!$D$4:$D$7493,Cobranza!$B251,Recibos!AS$4:AS$7493)</f>
        <v>200</v>
      </c>
      <c r="CH251" s="313">
        <f>SUMIF(Recibos!$D$4:$D$7493,Cobranza!$B251,Recibos!AT$4:AT$7493)</f>
        <v>200</v>
      </c>
      <c r="CI251" s="313">
        <f>SUMIF(Recibos!$D$4:$D$7493,Cobranza!$B251,Recibos!AU$4:AU$7493)</f>
        <v>0</v>
      </c>
      <c r="CJ251" s="313">
        <f>SUMIF(Recibos!$D$4:$D$7493,Cobranza!$B251,Recibos!AV$4:AV$7493)</f>
        <v>0</v>
      </c>
      <c r="CK251" s="314">
        <f t="shared" si="31"/>
        <v>2000</v>
      </c>
    </row>
    <row r="252" spans="2:89" x14ac:dyDescent="0.2">
      <c r="B252" s="42" t="s">
        <v>840</v>
      </c>
      <c r="C252" s="42" t="s">
        <v>841</v>
      </c>
      <c r="D252" s="42" t="s">
        <v>842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300</v>
      </c>
      <c r="K252" s="44">
        <f t="shared" si="32"/>
        <v>300</v>
      </c>
      <c r="L252" s="43">
        <v>300</v>
      </c>
      <c r="M252" s="43">
        <v>300</v>
      </c>
      <c r="N252" s="43">
        <v>300</v>
      </c>
      <c r="O252" s="43">
        <v>300</v>
      </c>
      <c r="P252" s="43">
        <v>300</v>
      </c>
      <c r="Q252" s="43">
        <v>300</v>
      </c>
      <c r="R252" s="43">
        <v>300</v>
      </c>
      <c r="S252" s="43">
        <v>300</v>
      </c>
      <c r="T252" s="43">
        <v>300</v>
      </c>
      <c r="U252" s="43">
        <v>400</v>
      </c>
      <c r="V252" s="43">
        <v>400</v>
      </c>
      <c r="W252" s="43">
        <v>400</v>
      </c>
      <c r="X252" s="44">
        <f t="shared" si="33"/>
        <v>3900</v>
      </c>
      <c r="Y252" s="43">
        <v>400</v>
      </c>
      <c r="Z252" s="43">
        <v>400</v>
      </c>
      <c r="AA252" s="43">
        <v>400</v>
      </c>
      <c r="AB252" s="43">
        <v>400</v>
      </c>
      <c r="AC252" s="43">
        <v>400</v>
      </c>
      <c r="AD252" s="43">
        <v>400</v>
      </c>
      <c r="AE252" s="43">
        <v>400</v>
      </c>
      <c r="AF252" s="43">
        <v>400</v>
      </c>
      <c r="AG252" s="43">
        <v>400</v>
      </c>
      <c r="AH252" s="43">
        <v>400</v>
      </c>
      <c r="AI252" s="43">
        <v>400</v>
      </c>
      <c r="AJ252" s="43">
        <v>400</v>
      </c>
      <c r="AK252" s="44">
        <f t="shared" si="34"/>
        <v>4800</v>
      </c>
      <c r="AL252" s="43">
        <v>400</v>
      </c>
      <c r="AM252" s="43">
        <v>400</v>
      </c>
      <c r="AN252" s="43">
        <v>400</v>
      </c>
      <c r="AO252" s="43">
        <v>400</v>
      </c>
      <c r="AP252" s="43">
        <v>400</v>
      </c>
      <c r="AQ252" s="43">
        <v>400</v>
      </c>
      <c r="AR252" s="43">
        <v>400</v>
      </c>
      <c r="AS252" s="43">
        <v>400</v>
      </c>
      <c r="AT252" s="43">
        <v>400</v>
      </c>
      <c r="AU252" s="43">
        <v>400</v>
      </c>
      <c r="AV252" s="43">
        <v>400</v>
      </c>
      <c r="AW252" s="43">
        <v>400</v>
      </c>
      <c r="AX252" s="44">
        <f t="shared" si="35"/>
        <v>4800</v>
      </c>
      <c r="AY252" s="311">
        <f>SUMIF(Recibos!$D$4:$D$7493,Cobranza!$B252,Recibos!K$4:K$7493)</f>
        <v>400</v>
      </c>
      <c r="AZ252" s="311">
        <f>SUMIF(Recibos!$D$4:$D$7493,Cobranza!$B252,Recibos!L$4:L$7493)</f>
        <v>400</v>
      </c>
      <c r="BA252" s="311">
        <f>SUMIF(Recibos!$D$4:$D$7493,Cobranza!$B252,Recibos!M$4:M$7493)</f>
        <v>400</v>
      </c>
      <c r="BB252" s="311">
        <f>SUMIF(Recibos!$D$4:$D$7493,Cobranza!$B252,Recibos!N$4:N$7493)</f>
        <v>400</v>
      </c>
      <c r="BC252" s="311">
        <f>SUMIF(Recibos!$D$4:$D$7493,Cobranza!$B252,Recibos!O$4:O$7493)</f>
        <v>400</v>
      </c>
      <c r="BD252" s="311">
        <f>SUMIF(Recibos!$D$4:$D$7493,Cobranza!$B252,Recibos!P$4:P$7493)</f>
        <v>400</v>
      </c>
      <c r="BE252" s="311">
        <f>SUMIF(Recibos!$D$4:$D$7493,Cobranza!$B252,Recibos!Q$4:Q$7493)</f>
        <v>400</v>
      </c>
      <c r="BF252" s="311">
        <f>SUMIF(Recibos!$D$4:$D$7493,Cobranza!$B252,Recibos!R$4:R$7493)</f>
        <v>400</v>
      </c>
      <c r="BG252" s="311">
        <f>SUMIF(Recibos!$D$4:$D$7493,Cobranza!$B252,Recibos!S$4:S$7493)</f>
        <v>400</v>
      </c>
      <c r="BH252" s="311">
        <f>SUMIF(Recibos!$D$4:$D$7493,Cobranza!$B252,Recibos!T$4:T$7493)</f>
        <v>400</v>
      </c>
      <c r="BI252" s="311">
        <f>SUMIF(Recibos!$D$4:$D$7493,Cobranza!$B252,Recibos!U$4:U$7493)</f>
        <v>400</v>
      </c>
      <c r="BJ252" s="311">
        <f>SUMIF(Recibos!$D$4:$D$7493,Cobranza!$B252,Recibos!V$4:V$7493)</f>
        <v>400</v>
      </c>
      <c r="BK252" s="312">
        <f t="shared" si="36"/>
        <v>4800</v>
      </c>
      <c r="BL252" s="311">
        <f>SUMIF(Recibos!$D$4:$D$7493,Cobranza!$B252,Recibos!X$4:X$7493)</f>
        <v>400</v>
      </c>
      <c r="BM252" s="311">
        <f>SUMIF(Recibos!$D$4:$D$7493,Cobranza!$B252,Recibos!Y$4:Y$7493)</f>
        <v>400</v>
      </c>
      <c r="BN252" s="311">
        <f>SUMIF(Recibos!$D$4:$D$7493,Cobranza!$B252,Recibos!Z$4:Z$7493)</f>
        <v>400</v>
      </c>
      <c r="BO252" s="311">
        <f>SUMIF(Recibos!$D$4:$D$7493,Cobranza!$B252,Recibos!AA$4:AA$7493)</f>
        <v>400</v>
      </c>
      <c r="BP252" s="311">
        <f>SUMIF(Recibos!$D$4:$D$7493,Cobranza!$B252,Recibos!AB$4:AB$7493)</f>
        <v>400</v>
      </c>
      <c r="BQ252" s="311">
        <f>SUMIF(Recibos!$D$4:$D$7493,Cobranza!$B252,Recibos!AC$4:AC$7493)</f>
        <v>400</v>
      </c>
      <c r="BR252" s="311">
        <f>SUMIF(Recibos!$D$4:$D$7493,Cobranza!$B252,Recibos!AD$4:AD$7493)</f>
        <v>400</v>
      </c>
      <c r="BS252" s="311">
        <f>SUMIF(Recibos!$D$4:$D$7493,Cobranza!$B252,Recibos!AE$4:AE$7493)</f>
        <v>400</v>
      </c>
      <c r="BT252" s="311">
        <f>SUMIF(Recibos!$D$4:$D$7493,Cobranza!$B252,Recibos!AF$4:AF$7493)</f>
        <v>400</v>
      </c>
      <c r="BU252" s="311">
        <f>SUMIF(Recibos!$D$4:$D$7493,Cobranza!$B252,Recibos!AG$4:AG$7493)</f>
        <v>400</v>
      </c>
      <c r="BV252" s="311">
        <f>SUMIF(Recibos!$D$4:$D$7493,Cobranza!$B252,Recibos!AH$4:AH$7493)</f>
        <v>400</v>
      </c>
      <c r="BW252" s="311">
        <f>SUMIF(Recibos!$D$4:$D$7493,Cobranza!$B252,Recibos!AI$4:AI$7493)</f>
        <v>400</v>
      </c>
      <c r="BX252" s="312">
        <f t="shared" si="37"/>
        <v>4800</v>
      </c>
      <c r="BY252" s="311">
        <f>SUMIF(Recibos!$D$4:$D$7493,Cobranza!$B252,Recibos!AK$4:AK$7493)</f>
        <v>400</v>
      </c>
      <c r="BZ252" s="311">
        <f>SUMIF(Recibos!$D$4:$D$7493,Cobranza!$B252,Recibos!AL$4:AL$7493)</f>
        <v>400</v>
      </c>
      <c r="CA252" s="311">
        <f>SUMIF(Recibos!$D$4:$D$7493,Cobranza!$B252,Recibos!AM$4:AM$7493)</f>
        <v>400</v>
      </c>
      <c r="CB252" s="311">
        <f>SUMIF(Recibos!$D$4:$D$7493,Cobranza!$B252,Recibos!AN$4:AN$7493)</f>
        <v>400</v>
      </c>
      <c r="CC252" s="311">
        <f>SUMIF(Recibos!$D$4:$D$7493,Cobranza!$B252,Recibos!AO$4:AO$7493)</f>
        <v>400</v>
      </c>
      <c r="CD252" s="311">
        <f>SUMIF(Recibos!$D$4:$D$7493,Cobranza!$B252,Recibos!AP$4:AP$7493)</f>
        <v>400</v>
      </c>
      <c r="CE252" s="311">
        <f>SUMIF(Recibos!$D$4:$D$7493,Cobranza!$B252,Recibos!AQ$4:AQ$7493)</f>
        <v>400</v>
      </c>
      <c r="CF252" s="311">
        <f>SUMIF(Recibos!$D$4:$D$7493,Cobranza!$B252,Recibos!AR$4:AR$7493)</f>
        <v>0</v>
      </c>
      <c r="CG252" s="311">
        <f>SUMIF(Recibos!$D$4:$D$7493,Cobranza!$B252,Recibos!AS$4:AS$7493)</f>
        <v>0</v>
      </c>
      <c r="CH252" s="311">
        <f>SUMIF(Recibos!$D$4:$D$7493,Cobranza!$B252,Recibos!AT$4:AT$7493)</f>
        <v>0</v>
      </c>
      <c r="CI252" s="311">
        <f>SUMIF(Recibos!$D$4:$D$7493,Cobranza!$B252,Recibos!AU$4:AU$7493)</f>
        <v>0</v>
      </c>
      <c r="CJ252" s="311">
        <f>SUMIF(Recibos!$D$4:$D$7493,Cobranza!$B252,Recibos!AV$4:AV$7493)</f>
        <v>0</v>
      </c>
      <c r="CK252" s="312">
        <f t="shared" si="31"/>
        <v>2800</v>
      </c>
    </row>
    <row r="253" spans="2:89" x14ac:dyDescent="0.2">
      <c r="B253" s="45" t="s">
        <v>977</v>
      </c>
      <c r="C253" s="45" t="s">
        <v>978</v>
      </c>
      <c r="D253" s="45" t="s">
        <v>979</v>
      </c>
      <c r="E253" s="46">
        <v>0</v>
      </c>
      <c r="F253" s="46">
        <v>0</v>
      </c>
      <c r="G253" s="46">
        <v>0</v>
      </c>
      <c r="H253" s="46">
        <v>300</v>
      </c>
      <c r="I253" s="46">
        <v>300</v>
      </c>
      <c r="J253" s="46">
        <v>300</v>
      </c>
      <c r="K253" s="47">
        <f t="shared" si="32"/>
        <v>900</v>
      </c>
      <c r="L253" s="46">
        <v>300</v>
      </c>
      <c r="M253" s="46">
        <v>300</v>
      </c>
      <c r="N253" s="46">
        <v>300</v>
      </c>
      <c r="O253" s="46">
        <v>300</v>
      </c>
      <c r="P253" s="46">
        <v>0</v>
      </c>
      <c r="Q253" s="46">
        <v>0</v>
      </c>
      <c r="R253" s="46">
        <v>0</v>
      </c>
      <c r="S253" s="46">
        <v>0</v>
      </c>
      <c r="T253" s="46">
        <v>0</v>
      </c>
      <c r="U253" s="46">
        <v>0</v>
      </c>
      <c r="V253" s="46">
        <v>0</v>
      </c>
      <c r="W253" s="46">
        <v>0</v>
      </c>
      <c r="X253" s="47">
        <f t="shared" si="33"/>
        <v>1200</v>
      </c>
      <c r="Y253" s="46">
        <v>300</v>
      </c>
      <c r="Z253" s="46">
        <v>300</v>
      </c>
      <c r="AA253" s="46">
        <v>300</v>
      </c>
      <c r="AB253" s="46">
        <v>300</v>
      </c>
      <c r="AC253" s="46">
        <v>0</v>
      </c>
      <c r="AD253" s="46">
        <v>0</v>
      </c>
      <c r="AE253" s="46">
        <v>0</v>
      </c>
      <c r="AF253" s="46">
        <v>0</v>
      </c>
      <c r="AG253" s="46">
        <v>0</v>
      </c>
      <c r="AH253" s="46">
        <v>0</v>
      </c>
      <c r="AI253" s="46">
        <v>0</v>
      </c>
      <c r="AJ253" s="46">
        <v>0</v>
      </c>
      <c r="AK253" s="47">
        <f t="shared" si="34"/>
        <v>1200</v>
      </c>
      <c r="AL253" s="46">
        <v>0</v>
      </c>
      <c r="AM253" s="46">
        <v>0</v>
      </c>
      <c r="AN253" s="46">
        <v>0</v>
      </c>
      <c r="AO253" s="46">
        <v>0</v>
      </c>
      <c r="AP253" s="46">
        <v>0</v>
      </c>
      <c r="AQ253" s="46">
        <v>0</v>
      </c>
      <c r="AR253" s="46">
        <v>0</v>
      </c>
      <c r="AS253" s="46">
        <v>0</v>
      </c>
      <c r="AT253" s="46">
        <v>0</v>
      </c>
      <c r="AU253" s="46">
        <v>0</v>
      </c>
      <c r="AV253" s="46">
        <v>0</v>
      </c>
      <c r="AW253" s="46">
        <v>0</v>
      </c>
      <c r="AX253" s="47">
        <f t="shared" si="35"/>
        <v>0</v>
      </c>
      <c r="AY253" s="313">
        <f>SUMIF(Recibos!$D$4:$D$7493,Cobranza!$B253,Recibos!K$4:K$7493)</f>
        <v>0</v>
      </c>
      <c r="AZ253" s="313">
        <f>SUMIF(Recibos!$D$4:$D$7493,Cobranza!$B253,Recibos!L$4:L$7493)</f>
        <v>0</v>
      </c>
      <c r="BA253" s="313">
        <f>SUMIF(Recibos!$D$4:$D$7493,Cobranza!$B253,Recibos!M$4:M$7493)</f>
        <v>0</v>
      </c>
      <c r="BB253" s="313">
        <f>SUMIF(Recibos!$D$4:$D$7493,Cobranza!$B253,Recibos!N$4:N$7493)</f>
        <v>0</v>
      </c>
      <c r="BC253" s="313">
        <f>SUMIF(Recibos!$D$4:$D$7493,Cobranza!$B253,Recibos!O$4:O$7493)</f>
        <v>0</v>
      </c>
      <c r="BD253" s="313">
        <f>SUMIF(Recibos!$D$4:$D$7493,Cobranza!$B253,Recibos!P$4:P$7493)</f>
        <v>250</v>
      </c>
      <c r="BE253" s="313">
        <f>SUMIF(Recibos!$D$4:$D$7493,Cobranza!$B253,Recibos!Q$4:Q$7493)</f>
        <v>0</v>
      </c>
      <c r="BF253" s="313">
        <f>SUMIF(Recibos!$D$4:$D$7493,Cobranza!$B253,Recibos!R$4:R$7493)</f>
        <v>0</v>
      </c>
      <c r="BG253" s="313">
        <f>SUMIF(Recibos!$D$4:$D$7493,Cobranza!$B253,Recibos!S$4:S$7493)</f>
        <v>0</v>
      </c>
      <c r="BH253" s="313">
        <f>SUMIF(Recibos!$D$4:$D$7493,Cobranza!$B253,Recibos!T$4:T$7493)</f>
        <v>0</v>
      </c>
      <c r="BI253" s="313">
        <f>SUMIF(Recibos!$D$4:$D$7493,Cobranza!$B253,Recibos!U$4:U$7493)</f>
        <v>0</v>
      </c>
      <c r="BJ253" s="313">
        <f>SUMIF(Recibos!$D$4:$D$7493,Cobranza!$B253,Recibos!V$4:V$7493)</f>
        <v>0</v>
      </c>
      <c r="BK253" s="314">
        <f t="shared" si="36"/>
        <v>250</v>
      </c>
      <c r="BL253" s="313">
        <f>SUMIF(Recibos!$D$4:$D$7493,Cobranza!$B253,Recibos!X$4:X$7493)</f>
        <v>400</v>
      </c>
      <c r="BM253" s="313">
        <f>SUMIF(Recibos!$D$4:$D$7493,Cobranza!$B253,Recibos!Y$4:Y$7493)</f>
        <v>0</v>
      </c>
      <c r="BN253" s="313">
        <f>SUMIF(Recibos!$D$4:$D$7493,Cobranza!$B253,Recibos!Z$4:Z$7493)</f>
        <v>0</v>
      </c>
      <c r="BO253" s="313">
        <f>SUMIF(Recibos!$D$4:$D$7493,Cobranza!$B253,Recibos!AA$4:AA$7493)</f>
        <v>0</v>
      </c>
      <c r="BP253" s="313">
        <f>SUMIF(Recibos!$D$4:$D$7493,Cobranza!$B253,Recibos!AB$4:AB$7493)</f>
        <v>0</v>
      </c>
      <c r="BQ253" s="313">
        <f>SUMIF(Recibos!$D$4:$D$7493,Cobranza!$B253,Recibos!AC$4:AC$7493)</f>
        <v>0</v>
      </c>
      <c r="BR253" s="313">
        <f>SUMIF(Recibos!$D$4:$D$7493,Cobranza!$B253,Recibos!AD$4:AD$7493)</f>
        <v>0</v>
      </c>
      <c r="BS253" s="313">
        <f>SUMIF(Recibos!$D$4:$D$7493,Cobranza!$B253,Recibos!AE$4:AE$7493)</f>
        <v>0</v>
      </c>
      <c r="BT253" s="313">
        <f>SUMIF(Recibos!$D$4:$D$7493,Cobranza!$B253,Recibos!AF$4:AF$7493)</f>
        <v>0</v>
      </c>
      <c r="BU253" s="313">
        <f>SUMIF(Recibos!$D$4:$D$7493,Cobranza!$B253,Recibos!AG$4:AG$7493)</f>
        <v>0</v>
      </c>
      <c r="BV253" s="313">
        <f>SUMIF(Recibos!$D$4:$D$7493,Cobranza!$B253,Recibos!AH$4:AH$7493)</f>
        <v>0</v>
      </c>
      <c r="BW253" s="313">
        <f>SUMIF(Recibos!$D$4:$D$7493,Cobranza!$B253,Recibos!AI$4:AI$7493)</f>
        <v>0</v>
      </c>
      <c r="BX253" s="314">
        <f t="shared" si="37"/>
        <v>400</v>
      </c>
      <c r="BY253" s="313">
        <f>SUMIF(Recibos!$D$4:$D$7493,Cobranza!$B253,Recibos!AK$4:AK$7493)</f>
        <v>400</v>
      </c>
      <c r="BZ253" s="313">
        <f>SUMIF(Recibos!$D$4:$D$7493,Cobranza!$B253,Recibos!AL$4:AL$7493)</f>
        <v>400</v>
      </c>
      <c r="CA253" s="313">
        <f>SUMIF(Recibos!$D$4:$D$7493,Cobranza!$B253,Recibos!AM$4:AM$7493)</f>
        <v>300</v>
      </c>
      <c r="CB253" s="313">
        <f>SUMIF(Recibos!$D$4:$D$7493,Cobranza!$B253,Recibos!AN$4:AN$7493)</f>
        <v>300</v>
      </c>
      <c r="CC253" s="313">
        <f>SUMIF(Recibos!$D$4:$D$7493,Cobranza!$B253,Recibos!AO$4:AO$7493)</f>
        <v>300</v>
      </c>
      <c r="CD253" s="313">
        <f>SUMIF(Recibos!$D$4:$D$7493,Cobranza!$B253,Recibos!AP$4:AP$7493)</f>
        <v>300</v>
      </c>
      <c r="CE253" s="313">
        <f>SUMIF(Recibos!$D$4:$D$7493,Cobranza!$B253,Recibos!AQ$4:AQ$7493)</f>
        <v>300</v>
      </c>
      <c r="CF253" s="313">
        <f>SUMIF(Recibos!$D$4:$D$7493,Cobranza!$B253,Recibos!AR$4:AR$7493)</f>
        <v>300</v>
      </c>
      <c r="CG253" s="313">
        <f>SUMIF(Recibos!$D$4:$D$7493,Cobranza!$B253,Recibos!AS$4:AS$7493)</f>
        <v>300</v>
      </c>
      <c r="CH253" s="313">
        <f>SUMIF(Recibos!$D$4:$D$7493,Cobranza!$B253,Recibos!AT$4:AT$7493)</f>
        <v>0</v>
      </c>
      <c r="CI253" s="313">
        <f>SUMIF(Recibos!$D$4:$D$7493,Cobranza!$B253,Recibos!AU$4:AU$7493)</f>
        <v>0</v>
      </c>
      <c r="CJ253" s="313">
        <f>SUMIF(Recibos!$D$4:$D$7493,Cobranza!$B253,Recibos!AV$4:AV$7493)</f>
        <v>0</v>
      </c>
      <c r="CK253" s="314">
        <f t="shared" si="31"/>
        <v>2900</v>
      </c>
    </row>
    <row r="254" spans="2:89" x14ac:dyDescent="0.2">
      <c r="B254" s="42" t="s">
        <v>512</v>
      </c>
      <c r="C254" s="42" t="s">
        <v>513</v>
      </c>
      <c r="D254" s="42" t="s">
        <v>511</v>
      </c>
      <c r="E254" s="43">
        <v>0</v>
      </c>
      <c r="F254" s="43">
        <v>0</v>
      </c>
      <c r="G254" s="43">
        <v>0</v>
      </c>
      <c r="H254" s="43">
        <v>300</v>
      </c>
      <c r="I254" s="43">
        <v>300</v>
      </c>
      <c r="J254" s="43">
        <v>300</v>
      </c>
      <c r="K254" s="44">
        <f t="shared" si="32"/>
        <v>900</v>
      </c>
      <c r="L254" s="43">
        <v>300</v>
      </c>
      <c r="M254" s="43">
        <v>300</v>
      </c>
      <c r="N254" s="43">
        <v>300</v>
      </c>
      <c r="O254" s="43">
        <v>300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  <c r="V254" s="43">
        <v>0</v>
      </c>
      <c r="W254" s="43">
        <v>0</v>
      </c>
      <c r="X254" s="44">
        <f t="shared" si="33"/>
        <v>1200</v>
      </c>
      <c r="Y254" s="43">
        <v>400</v>
      </c>
      <c r="Z254" s="43">
        <v>400</v>
      </c>
      <c r="AA254" s="43">
        <v>400</v>
      </c>
      <c r="AB254" s="43">
        <v>400</v>
      </c>
      <c r="AC254" s="43">
        <v>400</v>
      </c>
      <c r="AD254" s="43">
        <v>400</v>
      </c>
      <c r="AE254" s="43">
        <v>400</v>
      </c>
      <c r="AF254" s="43">
        <v>400</v>
      </c>
      <c r="AG254" s="43">
        <v>400</v>
      </c>
      <c r="AH254" s="43">
        <v>0</v>
      </c>
      <c r="AI254" s="43">
        <v>0</v>
      </c>
      <c r="AJ254" s="43">
        <v>0</v>
      </c>
      <c r="AK254" s="44">
        <f t="shared" si="34"/>
        <v>3600</v>
      </c>
      <c r="AL254" s="43">
        <v>400</v>
      </c>
      <c r="AM254" s="43">
        <v>400</v>
      </c>
      <c r="AN254" s="43">
        <v>400</v>
      </c>
      <c r="AO254" s="43">
        <v>400</v>
      </c>
      <c r="AP254" s="43">
        <v>400</v>
      </c>
      <c r="AQ254" s="43">
        <v>400</v>
      </c>
      <c r="AR254" s="43">
        <v>400</v>
      </c>
      <c r="AS254" s="43">
        <v>400</v>
      </c>
      <c r="AT254" s="43">
        <v>400</v>
      </c>
      <c r="AU254" s="43">
        <v>400</v>
      </c>
      <c r="AV254" s="43">
        <v>400</v>
      </c>
      <c r="AW254" s="43">
        <v>400</v>
      </c>
      <c r="AX254" s="44">
        <f t="shared" si="35"/>
        <v>4800</v>
      </c>
      <c r="AY254" s="311">
        <f>SUMIF(Recibos!$D$4:$D$7493,Cobranza!$B254,Recibos!K$4:K$7493)</f>
        <v>400</v>
      </c>
      <c r="AZ254" s="311">
        <f>SUMIF(Recibos!$D$4:$D$7493,Cobranza!$B254,Recibos!L$4:L$7493)</f>
        <v>0</v>
      </c>
      <c r="BA254" s="311">
        <f>SUMIF(Recibos!$D$4:$D$7493,Cobranza!$B254,Recibos!M$4:M$7493)</f>
        <v>0</v>
      </c>
      <c r="BB254" s="311">
        <f>SUMIF(Recibos!$D$4:$D$7493,Cobranza!$B254,Recibos!N$4:N$7493)</f>
        <v>400</v>
      </c>
      <c r="BC254" s="311">
        <f>SUMIF(Recibos!$D$4:$D$7493,Cobranza!$B254,Recibos!O$4:O$7493)</f>
        <v>400</v>
      </c>
      <c r="BD254" s="311">
        <f>SUMIF(Recibos!$D$4:$D$7493,Cobranza!$B254,Recibos!P$4:P$7493)</f>
        <v>400</v>
      </c>
      <c r="BE254" s="311">
        <f>SUMIF(Recibos!$D$4:$D$7493,Cobranza!$B254,Recibos!Q$4:Q$7493)</f>
        <v>400</v>
      </c>
      <c r="BF254" s="311">
        <f>SUMIF(Recibos!$D$4:$D$7493,Cobranza!$B254,Recibos!R$4:R$7493)</f>
        <v>400</v>
      </c>
      <c r="BG254" s="311">
        <f>SUMIF(Recibos!$D$4:$D$7493,Cobranza!$B254,Recibos!S$4:S$7493)</f>
        <v>400</v>
      </c>
      <c r="BH254" s="311">
        <f>SUMIF(Recibos!$D$4:$D$7493,Cobranza!$B254,Recibos!T$4:T$7493)</f>
        <v>400</v>
      </c>
      <c r="BI254" s="311">
        <f>SUMIF(Recibos!$D$4:$D$7493,Cobranza!$B254,Recibos!U$4:U$7493)</f>
        <v>400</v>
      </c>
      <c r="BJ254" s="311">
        <f>SUMIF(Recibos!$D$4:$D$7493,Cobranza!$B254,Recibos!V$4:V$7493)</f>
        <v>400</v>
      </c>
      <c r="BK254" s="312">
        <f t="shared" si="36"/>
        <v>4000</v>
      </c>
      <c r="BL254" s="311">
        <f>SUMIF(Recibos!$D$4:$D$7493,Cobranza!$B254,Recibos!X$4:X$7493)</f>
        <v>400</v>
      </c>
      <c r="BM254" s="311">
        <f>SUMIF(Recibos!$D$4:$D$7493,Cobranza!$B254,Recibos!Y$4:Y$7493)</f>
        <v>400</v>
      </c>
      <c r="BN254" s="311">
        <f>SUMIF(Recibos!$D$4:$D$7493,Cobranza!$B254,Recibos!Z$4:Z$7493)</f>
        <v>400</v>
      </c>
      <c r="BO254" s="311">
        <f>SUMIF(Recibos!$D$4:$D$7493,Cobranza!$B254,Recibos!AA$4:AA$7493)</f>
        <v>400</v>
      </c>
      <c r="BP254" s="311">
        <f>SUMIF(Recibos!$D$4:$D$7493,Cobranza!$B254,Recibos!AB$4:AB$7493)</f>
        <v>400</v>
      </c>
      <c r="BQ254" s="311">
        <f>SUMIF(Recibos!$D$4:$D$7493,Cobranza!$B254,Recibos!AC$4:AC$7493)</f>
        <v>400</v>
      </c>
      <c r="BR254" s="311">
        <f>SUMIF(Recibos!$D$4:$D$7493,Cobranza!$B254,Recibos!AD$4:AD$7493)</f>
        <v>400</v>
      </c>
      <c r="BS254" s="311">
        <f>SUMIF(Recibos!$D$4:$D$7493,Cobranza!$B254,Recibos!AE$4:AE$7493)</f>
        <v>400</v>
      </c>
      <c r="BT254" s="311">
        <f>SUMIF(Recibos!$D$4:$D$7493,Cobranza!$B254,Recibos!AF$4:AF$7493)</f>
        <v>400</v>
      </c>
      <c r="BU254" s="311">
        <f>SUMIF(Recibos!$D$4:$D$7493,Cobranza!$B254,Recibos!AG$4:AG$7493)</f>
        <v>400</v>
      </c>
      <c r="BV254" s="311">
        <f>SUMIF(Recibos!$D$4:$D$7493,Cobranza!$B254,Recibos!AH$4:AH$7493)</f>
        <v>400</v>
      </c>
      <c r="BW254" s="311">
        <f>SUMIF(Recibos!$D$4:$D$7493,Cobranza!$B254,Recibos!AI$4:AI$7493)</f>
        <v>400</v>
      </c>
      <c r="BX254" s="312">
        <f t="shared" si="37"/>
        <v>4800</v>
      </c>
      <c r="BY254" s="311">
        <f>SUMIF(Recibos!$D$4:$D$7493,Cobranza!$B254,Recibos!AK$4:AK$7493)</f>
        <v>400</v>
      </c>
      <c r="BZ254" s="311">
        <f>SUMIF(Recibos!$D$4:$D$7493,Cobranza!$B254,Recibos!AL$4:AL$7493)</f>
        <v>400</v>
      </c>
      <c r="CA254" s="311">
        <f>SUMIF(Recibos!$D$4:$D$7493,Cobranza!$B254,Recibos!AM$4:AM$7493)</f>
        <v>400</v>
      </c>
      <c r="CB254" s="311">
        <f>SUMIF(Recibos!$D$4:$D$7493,Cobranza!$B254,Recibos!AN$4:AN$7493)</f>
        <v>300</v>
      </c>
      <c r="CC254" s="311">
        <f>SUMIF(Recibos!$D$4:$D$7493,Cobranza!$B254,Recibos!AO$4:AO$7493)</f>
        <v>300</v>
      </c>
      <c r="CD254" s="311">
        <f>SUMIF(Recibos!$D$4:$D$7493,Cobranza!$B254,Recibos!AP$4:AP$7493)</f>
        <v>300</v>
      </c>
      <c r="CE254" s="311">
        <f>SUMIF(Recibos!$D$4:$D$7493,Cobranza!$B254,Recibos!AQ$4:AQ$7493)</f>
        <v>300</v>
      </c>
      <c r="CF254" s="311">
        <f>SUMIF(Recibos!$D$4:$D$7493,Cobranza!$B254,Recibos!AR$4:AR$7493)</f>
        <v>300</v>
      </c>
      <c r="CG254" s="311">
        <f>SUMIF(Recibos!$D$4:$D$7493,Cobranza!$B254,Recibos!AS$4:AS$7493)</f>
        <v>300</v>
      </c>
      <c r="CH254" s="311">
        <f>SUMIF(Recibos!$D$4:$D$7493,Cobranza!$B254,Recibos!AT$4:AT$7493)</f>
        <v>0</v>
      </c>
      <c r="CI254" s="311">
        <f>SUMIF(Recibos!$D$4:$D$7493,Cobranza!$B254,Recibos!AU$4:AU$7493)</f>
        <v>0</v>
      </c>
      <c r="CJ254" s="311">
        <f>SUMIF(Recibos!$D$4:$D$7493,Cobranza!$B254,Recibos!AV$4:AV$7493)</f>
        <v>0</v>
      </c>
      <c r="CK254" s="312">
        <f t="shared" si="31"/>
        <v>3000</v>
      </c>
    </row>
    <row r="255" spans="2:89" x14ac:dyDescent="0.2">
      <c r="B255" s="45" t="s">
        <v>954</v>
      </c>
      <c r="C255" s="45" t="s">
        <v>955</v>
      </c>
      <c r="D255" s="45" t="s">
        <v>956</v>
      </c>
      <c r="E255" s="46">
        <v>0</v>
      </c>
      <c r="F255" s="46">
        <v>0</v>
      </c>
      <c r="G255" s="46">
        <v>0</v>
      </c>
      <c r="H255" s="46">
        <v>0</v>
      </c>
      <c r="I255" s="46">
        <v>0</v>
      </c>
      <c r="J255" s="46">
        <v>0</v>
      </c>
      <c r="K255" s="47">
        <f t="shared" si="32"/>
        <v>0</v>
      </c>
      <c r="L255" s="46">
        <v>200</v>
      </c>
      <c r="M255" s="46">
        <v>200</v>
      </c>
      <c r="N255" s="46">
        <v>200</v>
      </c>
      <c r="O255" s="46">
        <v>0</v>
      </c>
      <c r="P255" s="46">
        <v>0</v>
      </c>
      <c r="Q255" s="46">
        <v>0</v>
      </c>
      <c r="R255" s="46">
        <v>0</v>
      </c>
      <c r="S255" s="46">
        <v>0</v>
      </c>
      <c r="T255" s="46">
        <v>0</v>
      </c>
      <c r="U255" s="46">
        <v>0</v>
      </c>
      <c r="V255" s="46">
        <v>0</v>
      </c>
      <c r="W255" s="46">
        <v>0</v>
      </c>
      <c r="X255" s="47">
        <f t="shared" si="33"/>
        <v>600</v>
      </c>
      <c r="Y255" s="46">
        <v>0</v>
      </c>
      <c r="Z255" s="46">
        <v>0</v>
      </c>
      <c r="AA255" s="46">
        <v>0</v>
      </c>
      <c r="AB255" s="46">
        <v>0</v>
      </c>
      <c r="AC255" s="46">
        <v>0</v>
      </c>
      <c r="AD255" s="46">
        <v>0</v>
      </c>
      <c r="AE255" s="46">
        <v>0</v>
      </c>
      <c r="AF255" s="46">
        <v>0</v>
      </c>
      <c r="AG255" s="46">
        <v>0</v>
      </c>
      <c r="AH255" s="46">
        <v>0</v>
      </c>
      <c r="AI255" s="46">
        <v>0</v>
      </c>
      <c r="AJ255" s="46">
        <v>0</v>
      </c>
      <c r="AK255" s="47">
        <f t="shared" si="34"/>
        <v>0</v>
      </c>
      <c r="AL255" s="46">
        <v>450</v>
      </c>
      <c r="AM255" s="46">
        <v>200</v>
      </c>
      <c r="AN255" s="46">
        <v>200</v>
      </c>
      <c r="AO255" s="46">
        <v>200</v>
      </c>
      <c r="AP255" s="46">
        <v>200</v>
      </c>
      <c r="AQ255" s="46">
        <v>200</v>
      </c>
      <c r="AR255" s="46">
        <v>200</v>
      </c>
      <c r="AS255" s="46">
        <v>200</v>
      </c>
      <c r="AT255" s="46">
        <v>200</v>
      </c>
      <c r="AU255" s="46">
        <v>200</v>
      </c>
      <c r="AV255" s="46">
        <v>0</v>
      </c>
      <c r="AW255" s="46">
        <v>0</v>
      </c>
      <c r="AX255" s="47">
        <f t="shared" si="35"/>
        <v>2250</v>
      </c>
      <c r="AY255" s="313">
        <f>SUMIF(Recibos!$D$4:$D$7493,Cobranza!$B255,Recibos!K$4:K$7493)</f>
        <v>0</v>
      </c>
      <c r="AZ255" s="313">
        <f>SUMIF(Recibos!$D$4:$D$7493,Cobranza!$B255,Recibos!L$4:L$7493)</f>
        <v>0</v>
      </c>
      <c r="BA255" s="313">
        <f>SUMIF(Recibos!$D$4:$D$7493,Cobranza!$B255,Recibos!M$4:M$7493)</f>
        <v>0</v>
      </c>
      <c r="BB255" s="313">
        <f>SUMIF(Recibos!$D$4:$D$7493,Cobranza!$B255,Recibos!N$4:N$7493)</f>
        <v>0</v>
      </c>
      <c r="BC255" s="313">
        <f>SUMIF(Recibos!$D$4:$D$7493,Cobranza!$B255,Recibos!O$4:O$7493)</f>
        <v>400</v>
      </c>
      <c r="BD255" s="313">
        <f>SUMIF(Recibos!$D$4:$D$7493,Cobranza!$B255,Recibos!P$4:P$7493)</f>
        <v>400</v>
      </c>
      <c r="BE255" s="313">
        <f>SUMIF(Recibos!$D$4:$D$7493,Cobranza!$B255,Recibos!Q$4:Q$7493)</f>
        <v>0</v>
      </c>
      <c r="BF255" s="313">
        <f>SUMIF(Recibos!$D$4:$D$7493,Cobranza!$B255,Recibos!R$4:R$7493)</f>
        <v>0</v>
      </c>
      <c r="BG255" s="313">
        <f>SUMIF(Recibos!$D$4:$D$7493,Cobranza!$B255,Recibos!S$4:S$7493)</f>
        <v>0</v>
      </c>
      <c r="BH255" s="313">
        <f>SUMIF(Recibos!$D$4:$D$7493,Cobranza!$B255,Recibos!T$4:T$7493)</f>
        <v>0</v>
      </c>
      <c r="BI255" s="313">
        <f>SUMIF(Recibos!$D$4:$D$7493,Cobranza!$B255,Recibos!U$4:U$7493)</f>
        <v>0</v>
      </c>
      <c r="BJ255" s="313">
        <f>SUMIF(Recibos!$D$4:$D$7493,Cobranza!$B255,Recibos!V$4:V$7493)</f>
        <v>0</v>
      </c>
      <c r="BK255" s="314">
        <f t="shared" si="36"/>
        <v>800</v>
      </c>
      <c r="BL255" s="313">
        <f>SUMIF(Recibos!$D$4:$D$7493,Cobranza!$B255,Recibos!X$4:X$7493)</f>
        <v>0</v>
      </c>
      <c r="BM255" s="313">
        <f>SUMIF(Recibos!$D$4:$D$7493,Cobranza!$B255,Recibos!Y$4:Y$7493)</f>
        <v>0</v>
      </c>
      <c r="BN255" s="313">
        <f>SUMIF(Recibos!$D$4:$D$7493,Cobranza!$B255,Recibos!Z$4:Z$7493)</f>
        <v>0</v>
      </c>
      <c r="BO255" s="313">
        <f>SUMIF(Recibos!$D$4:$D$7493,Cobranza!$B255,Recibos!AA$4:AA$7493)</f>
        <v>0</v>
      </c>
      <c r="BP255" s="313">
        <f>SUMIF(Recibos!$D$4:$D$7493,Cobranza!$B255,Recibos!AB$4:AB$7493)</f>
        <v>0</v>
      </c>
      <c r="BQ255" s="313">
        <f>SUMIF(Recibos!$D$4:$D$7493,Cobranza!$B255,Recibos!AC$4:AC$7493)</f>
        <v>0</v>
      </c>
      <c r="BR255" s="313">
        <f>SUMIF(Recibos!$D$4:$D$7493,Cobranza!$B255,Recibos!AD$4:AD$7493)</f>
        <v>0</v>
      </c>
      <c r="BS255" s="313">
        <f>SUMIF(Recibos!$D$4:$D$7493,Cobranza!$B255,Recibos!AE$4:AE$7493)</f>
        <v>400</v>
      </c>
      <c r="BT255" s="313">
        <f>SUMIF(Recibos!$D$4:$D$7493,Cobranza!$B255,Recibos!AF$4:AF$7493)</f>
        <v>400</v>
      </c>
      <c r="BU255" s="313">
        <f>SUMIF(Recibos!$D$4:$D$7493,Cobranza!$B255,Recibos!AG$4:AG$7493)</f>
        <v>400</v>
      </c>
      <c r="BV255" s="313">
        <f>SUMIF(Recibos!$D$4:$D$7493,Cobranza!$B255,Recibos!AH$4:AH$7493)</f>
        <v>400</v>
      </c>
      <c r="BW255" s="313">
        <f>SUMIF(Recibos!$D$4:$D$7493,Cobranza!$B255,Recibos!AI$4:AI$7493)</f>
        <v>400</v>
      </c>
      <c r="BX255" s="314">
        <f t="shared" si="37"/>
        <v>2000</v>
      </c>
      <c r="BY255" s="313">
        <f>SUMIF(Recibos!$D$4:$D$7493,Cobranza!$B255,Recibos!AK$4:AK$7493)</f>
        <v>400</v>
      </c>
      <c r="BZ255" s="313">
        <f>SUMIF(Recibos!$D$4:$D$7493,Cobranza!$B255,Recibos!AL$4:AL$7493)</f>
        <v>400</v>
      </c>
      <c r="CA255" s="313">
        <f>SUMIF(Recibos!$D$4:$D$7493,Cobranza!$B255,Recibos!AM$4:AM$7493)</f>
        <v>400</v>
      </c>
      <c r="CB255" s="313">
        <f>SUMIF(Recibos!$D$4:$D$7493,Cobranza!$B255,Recibos!AN$4:AN$7493)</f>
        <v>400</v>
      </c>
      <c r="CC255" s="313">
        <f>SUMIF(Recibos!$D$4:$D$7493,Cobranza!$B255,Recibos!AO$4:AO$7493)</f>
        <v>400</v>
      </c>
      <c r="CD255" s="313">
        <f>SUMIF(Recibos!$D$4:$D$7493,Cobranza!$B255,Recibos!AP$4:AP$7493)</f>
        <v>0</v>
      </c>
      <c r="CE255" s="313">
        <f>SUMIF(Recibos!$D$4:$D$7493,Cobranza!$B255,Recibos!AQ$4:AQ$7493)</f>
        <v>0</v>
      </c>
      <c r="CF255" s="313">
        <f>SUMIF(Recibos!$D$4:$D$7493,Cobranza!$B255,Recibos!AR$4:AR$7493)</f>
        <v>0</v>
      </c>
      <c r="CG255" s="313">
        <f>SUMIF(Recibos!$D$4:$D$7493,Cobranza!$B255,Recibos!AS$4:AS$7493)</f>
        <v>0</v>
      </c>
      <c r="CH255" s="313">
        <f>SUMIF(Recibos!$D$4:$D$7493,Cobranza!$B255,Recibos!AT$4:AT$7493)</f>
        <v>0</v>
      </c>
      <c r="CI255" s="313">
        <f>SUMIF(Recibos!$D$4:$D$7493,Cobranza!$B255,Recibos!AU$4:AU$7493)</f>
        <v>0</v>
      </c>
      <c r="CJ255" s="313">
        <f>SUMIF(Recibos!$D$4:$D$7493,Cobranza!$B255,Recibos!AV$4:AV$7493)</f>
        <v>0</v>
      </c>
      <c r="CK255" s="314">
        <f t="shared" si="31"/>
        <v>2000</v>
      </c>
    </row>
    <row r="256" spans="2:89" x14ac:dyDescent="0.2">
      <c r="B256" s="42" t="s">
        <v>364</v>
      </c>
      <c r="C256" s="42" t="s">
        <v>365</v>
      </c>
      <c r="D256" s="42" t="s">
        <v>366</v>
      </c>
      <c r="E256" s="43">
        <v>0</v>
      </c>
      <c r="F256" s="43">
        <v>0</v>
      </c>
      <c r="G256" s="43">
        <v>0</v>
      </c>
      <c r="H256" s="43">
        <v>0</v>
      </c>
      <c r="I256" s="43">
        <v>300</v>
      </c>
      <c r="J256" s="43">
        <v>300</v>
      </c>
      <c r="K256" s="44">
        <f t="shared" si="32"/>
        <v>600</v>
      </c>
      <c r="L256" s="43">
        <v>300</v>
      </c>
      <c r="M256" s="43">
        <v>300</v>
      </c>
      <c r="N256" s="43">
        <v>300</v>
      </c>
      <c r="O256" s="43">
        <v>300</v>
      </c>
      <c r="P256" s="43">
        <v>300</v>
      </c>
      <c r="Q256" s="43">
        <v>300</v>
      </c>
      <c r="R256" s="43">
        <v>300</v>
      </c>
      <c r="S256" s="43">
        <v>300</v>
      </c>
      <c r="T256" s="43">
        <v>300</v>
      </c>
      <c r="U256" s="43">
        <v>300</v>
      </c>
      <c r="V256" s="43">
        <v>300</v>
      </c>
      <c r="W256" s="43">
        <v>300</v>
      </c>
      <c r="X256" s="44">
        <f t="shared" si="33"/>
        <v>3600</v>
      </c>
      <c r="Y256" s="43">
        <v>300</v>
      </c>
      <c r="Z256" s="43">
        <v>300</v>
      </c>
      <c r="AA256" s="43">
        <v>300</v>
      </c>
      <c r="AB256" s="43">
        <v>300</v>
      </c>
      <c r="AC256" s="43">
        <v>300</v>
      </c>
      <c r="AD256" s="43">
        <v>300</v>
      </c>
      <c r="AE256" s="43">
        <v>300</v>
      </c>
      <c r="AF256" s="43">
        <v>300</v>
      </c>
      <c r="AG256" s="43">
        <v>300</v>
      </c>
      <c r="AH256" s="43">
        <v>300</v>
      </c>
      <c r="AI256" s="43">
        <v>300</v>
      </c>
      <c r="AJ256" s="43">
        <v>300</v>
      </c>
      <c r="AK256" s="44">
        <f t="shared" si="34"/>
        <v>3600</v>
      </c>
      <c r="AL256" s="43">
        <v>300</v>
      </c>
      <c r="AM256" s="43">
        <v>300</v>
      </c>
      <c r="AN256" s="43">
        <v>300</v>
      </c>
      <c r="AO256" s="43">
        <v>300</v>
      </c>
      <c r="AP256" s="43">
        <v>300</v>
      </c>
      <c r="AQ256" s="43">
        <v>300</v>
      </c>
      <c r="AR256" s="43">
        <v>300</v>
      </c>
      <c r="AS256" s="43">
        <v>300</v>
      </c>
      <c r="AT256" s="43">
        <v>300</v>
      </c>
      <c r="AU256" s="43">
        <v>300</v>
      </c>
      <c r="AV256" s="43">
        <v>300</v>
      </c>
      <c r="AW256" s="43">
        <v>300</v>
      </c>
      <c r="AX256" s="44">
        <f t="shared" si="35"/>
        <v>3600</v>
      </c>
      <c r="AY256" s="311">
        <f>SUMIF(Recibos!$D$4:$D$7493,Cobranza!$B256,Recibos!K$4:K$7493)</f>
        <v>300</v>
      </c>
      <c r="AZ256" s="311">
        <f>SUMIF(Recibos!$D$4:$D$7493,Cobranza!$B256,Recibos!L$4:L$7493)</f>
        <v>300</v>
      </c>
      <c r="BA256" s="311">
        <f>SUMIF(Recibos!$D$4:$D$7493,Cobranza!$B256,Recibos!M$4:M$7493)</f>
        <v>300</v>
      </c>
      <c r="BB256" s="311">
        <f>SUMIF(Recibos!$D$4:$D$7493,Cobranza!$B256,Recibos!N$4:N$7493)</f>
        <v>300</v>
      </c>
      <c r="BC256" s="311">
        <f>SUMIF(Recibos!$D$4:$D$7493,Cobranza!$B256,Recibos!O$4:O$7493)</f>
        <v>300</v>
      </c>
      <c r="BD256" s="311">
        <f>SUMIF(Recibos!$D$4:$D$7493,Cobranza!$B256,Recibos!P$4:P$7493)</f>
        <v>300</v>
      </c>
      <c r="BE256" s="311">
        <f>SUMIF(Recibos!$D$4:$D$7493,Cobranza!$B256,Recibos!Q$4:Q$7493)</f>
        <v>300</v>
      </c>
      <c r="BF256" s="311">
        <f>SUMIF(Recibos!$D$4:$D$7493,Cobranza!$B256,Recibos!R$4:R$7493)</f>
        <v>300</v>
      </c>
      <c r="BG256" s="311">
        <f>SUMIF(Recibos!$D$4:$D$7493,Cobranza!$B256,Recibos!S$4:S$7493)</f>
        <v>300</v>
      </c>
      <c r="BH256" s="311">
        <f>SUMIF(Recibos!$D$4:$D$7493,Cobranza!$B256,Recibos!T$4:T$7493)</f>
        <v>300</v>
      </c>
      <c r="BI256" s="311">
        <f>SUMIF(Recibos!$D$4:$D$7493,Cobranza!$B256,Recibos!U$4:U$7493)</f>
        <v>300</v>
      </c>
      <c r="BJ256" s="311">
        <f>SUMIF(Recibos!$D$4:$D$7493,Cobranza!$B256,Recibos!V$4:V$7493)</f>
        <v>300</v>
      </c>
      <c r="BK256" s="312">
        <f t="shared" si="36"/>
        <v>3600</v>
      </c>
      <c r="BL256" s="311">
        <f>SUMIF(Recibos!$D$4:$D$7493,Cobranza!$B256,Recibos!X$4:X$7493)</f>
        <v>300</v>
      </c>
      <c r="BM256" s="311">
        <f>SUMIF(Recibos!$D$4:$D$7493,Cobranza!$B256,Recibos!Y$4:Y$7493)</f>
        <v>300</v>
      </c>
      <c r="BN256" s="311">
        <f>SUMIF(Recibos!$D$4:$D$7493,Cobranza!$B256,Recibos!Z$4:Z$7493)</f>
        <v>300</v>
      </c>
      <c r="BO256" s="311">
        <f>SUMIF(Recibos!$D$4:$D$7493,Cobranza!$B256,Recibos!AA$4:AA$7493)</f>
        <v>300</v>
      </c>
      <c r="BP256" s="311">
        <f>SUMIF(Recibos!$D$4:$D$7493,Cobranza!$B256,Recibos!AB$4:AB$7493)</f>
        <v>300</v>
      </c>
      <c r="BQ256" s="311">
        <f>SUMIF(Recibos!$D$4:$D$7493,Cobranza!$B256,Recibos!AC$4:AC$7493)</f>
        <v>300</v>
      </c>
      <c r="BR256" s="311">
        <f>SUMIF(Recibos!$D$4:$D$7493,Cobranza!$B256,Recibos!AD$4:AD$7493)</f>
        <v>300</v>
      </c>
      <c r="BS256" s="311">
        <f>SUMIF(Recibos!$D$4:$D$7493,Cobranza!$B256,Recibos!AE$4:AE$7493)</f>
        <v>300</v>
      </c>
      <c r="BT256" s="311">
        <f>SUMIF(Recibos!$D$4:$D$7493,Cobranza!$B256,Recibos!AF$4:AF$7493)</f>
        <v>300</v>
      </c>
      <c r="BU256" s="311">
        <f>SUMIF(Recibos!$D$4:$D$7493,Cobranza!$B256,Recibos!AG$4:AG$7493)</f>
        <v>300</v>
      </c>
      <c r="BV256" s="311">
        <f>SUMIF(Recibos!$D$4:$D$7493,Cobranza!$B256,Recibos!AH$4:AH$7493)</f>
        <v>300</v>
      </c>
      <c r="BW256" s="311">
        <f>SUMIF(Recibos!$D$4:$D$7493,Cobranza!$B256,Recibos!AI$4:AI$7493)</f>
        <v>300</v>
      </c>
      <c r="BX256" s="312">
        <f t="shared" si="37"/>
        <v>3600</v>
      </c>
      <c r="BY256" s="311">
        <f>SUMIF(Recibos!$D$4:$D$7493,Cobranza!$B256,Recibos!AK$4:AK$7493)</f>
        <v>300</v>
      </c>
      <c r="BZ256" s="311">
        <f>SUMIF(Recibos!$D$4:$D$7493,Cobranza!$B256,Recibos!AL$4:AL$7493)</f>
        <v>300</v>
      </c>
      <c r="CA256" s="311">
        <f>SUMIF(Recibos!$D$4:$D$7493,Cobranza!$B256,Recibos!AM$4:AM$7493)</f>
        <v>300</v>
      </c>
      <c r="CB256" s="311">
        <f>SUMIF(Recibos!$D$4:$D$7493,Cobranza!$B256,Recibos!AN$4:AN$7493)</f>
        <v>300</v>
      </c>
      <c r="CC256" s="311">
        <f>SUMIF(Recibos!$D$4:$D$7493,Cobranza!$B256,Recibos!AO$4:AO$7493)</f>
        <v>300</v>
      </c>
      <c r="CD256" s="311">
        <f>SUMIF(Recibos!$D$4:$D$7493,Cobranza!$B256,Recibos!AP$4:AP$7493)</f>
        <v>300</v>
      </c>
      <c r="CE256" s="311">
        <f>SUMIF(Recibos!$D$4:$D$7493,Cobranza!$B256,Recibos!AQ$4:AQ$7493)</f>
        <v>300</v>
      </c>
      <c r="CF256" s="311">
        <f>SUMIF(Recibos!$D$4:$D$7493,Cobranza!$B256,Recibos!AR$4:AR$7493)</f>
        <v>300</v>
      </c>
      <c r="CG256" s="311">
        <f>SUMIF(Recibos!$D$4:$D$7493,Cobranza!$B256,Recibos!AS$4:AS$7493)</f>
        <v>0</v>
      </c>
      <c r="CH256" s="311">
        <f>SUMIF(Recibos!$D$4:$D$7493,Cobranza!$B256,Recibos!AT$4:AT$7493)</f>
        <v>0</v>
      </c>
      <c r="CI256" s="311">
        <f>SUMIF(Recibos!$D$4:$D$7493,Cobranza!$B256,Recibos!AU$4:AU$7493)</f>
        <v>0</v>
      </c>
      <c r="CJ256" s="311">
        <f>SUMIF(Recibos!$D$4:$D$7493,Cobranza!$B256,Recibos!AV$4:AV$7493)</f>
        <v>0</v>
      </c>
      <c r="CK256" s="312">
        <f t="shared" si="31"/>
        <v>2400</v>
      </c>
    </row>
    <row r="257" spans="2:89" x14ac:dyDescent="0.2">
      <c r="B257" s="45" t="s">
        <v>520</v>
      </c>
      <c r="C257" s="45" t="s">
        <v>521</v>
      </c>
      <c r="D257" s="45" t="s">
        <v>522</v>
      </c>
      <c r="E257" s="46">
        <v>0</v>
      </c>
      <c r="F257" s="46">
        <v>0</v>
      </c>
      <c r="G257" s="46">
        <v>0</v>
      </c>
      <c r="H257" s="46">
        <v>0</v>
      </c>
      <c r="I257" s="46">
        <v>0</v>
      </c>
      <c r="J257" s="46">
        <v>300</v>
      </c>
      <c r="K257" s="47">
        <f t="shared" si="32"/>
        <v>300</v>
      </c>
      <c r="L257" s="46">
        <v>300</v>
      </c>
      <c r="M257" s="46">
        <v>300</v>
      </c>
      <c r="N257" s="46">
        <v>300</v>
      </c>
      <c r="O257" s="46">
        <v>300</v>
      </c>
      <c r="P257" s="46">
        <v>300</v>
      </c>
      <c r="Q257" s="46">
        <v>300</v>
      </c>
      <c r="R257" s="46">
        <v>300</v>
      </c>
      <c r="S257" s="46">
        <v>300</v>
      </c>
      <c r="T257" s="46">
        <v>300</v>
      </c>
      <c r="U257" s="46">
        <v>400</v>
      </c>
      <c r="V257" s="46">
        <v>400</v>
      </c>
      <c r="W257" s="46">
        <v>400</v>
      </c>
      <c r="X257" s="47">
        <f t="shared" si="33"/>
        <v>3900</v>
      </c>
      <c r="Y257" s="46">
        <v>400</v>
      </c>
      <c r="Z257" s="46">
        <v>400</v>
      </c>
      <c r="AA257" s="46">
        <v>400</v>
      </c>
      <c r="AB257" s="46">
        <v>400</v>
      </c>
      <c r="AC257" s="46">
        <v>400</v>
      </c>
      <c r="AD257" s="46">
        <v>400</v>
      </c>
      <c r="AE257" s="46">
        <v>400</v>
      </c>
      <c r="AF257" s="46">
        <v>400</v>
      </c>
      <c r="AG257" s="46">
        <v>400</v>
      </c>
      <c r="AH257" s="46">
        <v>400</v>
      </c>
      <c r="AI257" s="46">
        <v>400</v>
      </c>
      <c r="AJ257" s="46">
        <v>400</v>
      </c>
      <c r="AK257" s="47">
        <f t="shared" si="34"/>
        <v>4800</v>
      </c>
      <c r="AL257" s="46">
        <v>400</v>
      </c>
      <c r="AM257" s="46">
        <v>400</v>
      </c>
      <c r="AN257" s="46">
        <v>400</v>
      </c>
      <c r="AO257" s="46">
        <v>400</v>
      </c>
      <c r="AP257" s="46">
        <v>400</v>
      </c>
      <c r="AQ257" s="46">
        <v>400</v>
      </c>
      <c r="AR257" s="46">
        <v>400</v>
      </c>
      <c r="AS257" s="46">
        <v>400</v>
      </c>
      <c r="AT257" s="46">
        <v>400</v>
      </c>
      <c r="AU257" s="46">
        <v>400</v>
      </c>
      <c r="AV257" s="46">
        <v>400</v>
      </c>
      <c r="AW257" s="46">
        <v>400</v>
      </c>
      <c r="AX257" s="47">
        <f t="shared" si="35"/>
        <v>4800</v>
      </c>
      <c r="AY257" s="313">
        <f>SUMIF(Recibos!$D$4:$D$7493,Cobranza!$B257,Recibos!K$4:K$7493)</f>
        <v>400</v>
      </c>
      <c r="AZ257" s="313">
        <f>SUMIF(Recibos!$D$4:$D$7493,Cobranza!$B257,Recibos!L$4:L$7493)</f>
        <v>400</v>
      </c>
      <c r="BA257" s="313">
        <f>SUMIF(Recibos!$D$4:$D$7493,Cobranza!$B257,Recibos!M$4:M$7493)</f>
        <v>400</v>
      </c>
      <c r="BB257" s="313">
        <f>SUMIF(Recibos!$D$4:$D$7493,Cobranza!$B257,Recibos!N$4:N$7493)</f>
        <v>400</v>
      </c>
      <c r="BC257" s="313">
        <f>SUMIF(Recibos!$D$4:$D$7493,Cobranza!$B257,Recibos!O$4:O$7493)</f>
        <v>400</v>
      </c>
      <c r="BD257" s="313">
        <f>SUMIF(Recibos!$D$4:$D$7493,Cobranza!$B257,Recibos!P$4:P$7493)</f>
        <v>400</v>
      </c>
      <c r="BE257" s="313">
        <f>SUMIF(Recibos!$D$4:$D$7493,Cobranza!$B257,Recibos!Q$4:Q$7493)</f>
        <v>400</v>
      </c>
      <c r="BF257" s="313">
        <f>SUMIF(Recibos!$D$4:$D$7493,Cobranza!$B257,Recibos!R$4:R$7493)</f>
        <v>400</v>
      </c>
      <c r="BG257" s="313">
        <f>SUMIF(Recibos!$D$4:$D$7493,Cobranza!$B257,Recibos!S$4:S$7493)</f>
        <v>400</v>
      </c>
      <c r="BH257" s="313">
        <f>SUMIF(Recibos!$D$4:$D$7493,Cobranza!$B257,Recibos!T$4:T$7493)</f>
        <v>400</v>
      </c>
      <c r="BI257" s="313">
        <f>SUMIF(Recibos!$D$4:$D$7493,Cobranza!$B257,Recibos!U$4:U$7493)</f>
        <v>400</v>
      </c>
      <c r="BJ257" s="313">
        <f>SUMIF(Recibos!$D$4:$D$7493,Cobranza!$B257,Recibos!V$4:V$7493)</f>
        <v>400</v>
      </c>
      <c r="BK257" s="314">
        <f t="shared" si="36"/>
        <v>4800</v>
      </c>
      <c r="BL257" s="313">
        <f>SUMIF(Recibos!$D$4:$D$7493,Cobranza!$B257,Recibos!X$4:X$7493)</f>
        <v>400</v>
      </c>
      <c r="BM257" s="313">
        <f>SUMIF(Recibos!$D$4:$D$7493,Cobranza!$B257,Recibos!Y$4:Y$7493)</f>
        <v>400</v>
      </c>
      <c r="BN257" s="313">
        <f>SUMIF(Recibos!$D$4:$D$7493,Cobranza!$B257,Recibos!Z$4:Z$7493)</f>
        <v>400</v>
      </c>
      <c r="BO257" s="313">
        <f>SUMIF(Recibos!$D$4:$D$7493,Cobranza!$B257,Recibos!AA$4:AA$7493)</f>
        <v>400</v>
      </c>
      <c r="BP257" s="313">
        <f>SUMIF(Recibos!$D$4:$D$7493,Cobranza!$B257,Recibos!AB$4:AB$7493)</f>
        <v>400</v>
      </c>
      <c r="BQ257" s="313">
        <f>SUMIF(Recibos!$D$4:$D$7493,Cobranza!$B257,Recibos!AC$4:AC$7493)</f>
        <v>400</v>
      </c>
      <c r="BR257" s="313">
        <f>SUMIF(Recibos!$D$4:$D$7493,Cobranza!$B257,Recibos!AD$4:AD$7493)</f>
        <v>400</v>
      </c>
      <c r="BS257" s="313">
        <f>SUMIF(Recibos!$D$4:$D$7493,Cobranza!$B257,Recibos!AE$4:AE$7493)</f>
        <v>400</v>
      </c>
      <c r="BT257" s="313">
        <f>SUMIF(Recibos!$D$4:$D$7493,Cobranza!$B257,Recibos!AF$4:AF$7493)</f>
        <v>400</v>
      </c>
      <c r="BU257" s="313">
        <f>SUMIF(Recibos!$D$4:$D$7493,Cobranza!$B257,Recibos!AG$4:AG$7493)</f>
        <v>400</v>
      </c>
      <c r="BV257" s="313">
        <f>SUMIF(Recibos!$D$4:$D$7493,Cobranza!$B257,Recibos!AH$4:AH$7493)</f>
        <v>400</v>
      </c>
      <c r="BW257" s="313">
        <f>SUMIF(Recibos!$D$4:$D$7493,Cobranza!$B257,Recibos!AI$4:AI$7493)</f>
        <v>400</v>
      </c>
      <c r="BX257" s="314">
        <f t="shared" si="37"/>
        <v>4800</v>
      </c>
      <c r="BY257" s="313">
        <f>SUMIF(Recibos!$D$4:$D$7493,Cobranza!$B257,Recibos!AK$4:AK$7493)</f>
        <v>400</v>
      </c>
      <c r="BZ257" s="313">
        <f>SUMIF(Recibos!$D$4:$D$7493,Cobranza!$B257,Recibos!AL$4:AL$7493)</f>
        <v>400</v>
      </c>
      <c r="CA257" s="313">
        <f>SUMIF(Recibos!$D$4:$D$7493,Cobranza!$B257,Recibos!AM$4:AM$7493)</f>
        <v>400</v>
      </c>
      <c r="CB257" s="313">
        <f>SUMIF(Recibos!$D$4:$D$7493,Cobranza!$B257,Recibos!AN$4:AN$7493)</f>
        <v>400</v>
      </c>
      <c r="CC257" s="313">
        <f>SUMIF(Recibos!$D$4:$D$7493,Cobranza!$B257,Recibos!AO$4:AO$7493)</f>
        <v>400</v>
      </c>
      <c r="CD257" s="313">
        <f>SUMIF(Recibos!$D$4:$D$7493,Cobranza!$B257,Recibos!AP$4:AP$7493)</f>
        <v>400</v>
      </c>
      <c r="CE257" s="313">
        <f>SUMIF(Recibos!$D$4:$D$7493,Cobranza!$B257,Recibos!AQ$4:AQ$7493)</f>
        <v>400</v>
      </c>
      <c r="CF257" s="313">
        <f>SUMIF(Recibos!$D$4:$D$7493,Cobranza!$B257,Recibos!AR$4:AR$7493)</f>
        <v>400</v>
      </c>
      <c r="CG257" s="313">
        <f>SUMIF(Recibos!$D$4:$D$7493,Cobranza!$B257,Recibos!AS$4:AS$7493)</f>
        <v>400</v>
      </c>
      <c r="CH257" s="313">
        <f>SUMIF(Recibos!$D$4:$D$7493,Cobranza!$B257,Recibos!AT$4:AT$7493)</f>
        <v>400</v>
      </c>
      <c r="CI257" s="313">
        <f>SUMIF(Recibos!$D$4:$D$7493,Cobranza!$B257,Recibos!AU$4:AU$7493)</f>
        <v>0</v>
      </c>
      <c r="CJ257" s="313">
        <f>SUMIF(Recibos!$D$4:$D$7493,Cobranza!$B257,Recibos!AV$4:AV$7493)</f>
        <v>0</v>
      </c>
      <c r="CK257" s="314">
        <f t="shared" si="31"/>
        <v>4000</v>
      </c>
    </row>
    <row r="258" spans="2:89" x14ac:dyDescent="0.2">
      <c r="B258" s="42" t="s">
        <v>935</v>
      </c>
      <c r="C258" s="42" t="s">
        <v>936</v>
      </c>
      <c r="D258" s="42" t="s">
        <v>937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4">
        <f t="shared" si="32"/>
        <v>0</v>
      </c>
      <c r="L258" s="43">
        <v>250</v>
      </c>
      <c r="M258" s="43">
        <v>250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4">
        <f t="shared" si="33"/>
        <v>500</v>
      </c>
      <c r="Y258" s="43">
        <v>250</v>
      </c>
      <c r="Z258" s="43">
        <v>250</v>
      </c>
      <c r="AA258" s="43">
        <v>250</v>
      </c>
      <c r="AB258" s="43">
        <v>250</v>
      </c>
      <c r="AC258" s="43">
        <v>250</v>
      </c>
      <c r="AD258" s="43">
        <v>250</v>
      </c>
      <c r="AE258" s="43">
        <v>250</v>
      </c>
      <c r="AF258" s="43">
        <v>250</v>
      </c>
      <c r="AG258" s="43">
        <v>250</v>
      </c>
      <c r="AH258" s="43">
        <v>250</v>
      </c>
      <c r="AI258" s="43">
        <v>250</v>
      </c>
      <c r="AJ258" s="43">
        <v>250</v>
      </c>
      <c r="AK258" s="44">
        <f t="shared" si="34"/>
        <v>3000</v>
      </c>
      <c r="AL258" s="43">
        <v>250</v>
      </c>
      <c r="AM258" s="43">
        <v>250</v>
      </c>
      <c r="AN258" s="43">
        <v>250</v>
      </c>
      <c r="AO258" s="43">
        <v>0</v>
      </c>
      <c r="AP258" s="43">
        <v>0</v>
      </c>
      <c r="AQ258" s="43">
        <v>300</v>
      </c>
      <c r="AR258" s="43">
        <v>0</v>
      </c>
      <c r="AS258" s="43">
        <v>250</v>
      </c>
      <c r="AT258" s="43">
        <v>250</v>
      </c>
      <c r="AU258" s="43">
        <v>250</v>
      </c>
      <c r="AV258" s="43">
        <v>0</v>
      </c>
      <c r="AW258" s="43">
        <v>0</v>
      </c>
      <c r="AX258" s="44">
        <f t="shared" si="35"/>
        <v>1800</v>
      </c>
      <c r="AY258" s="311">
        <f>SUMIF(Recibos!$D$4:$D$7493,Cobranza!$B258,Recibos!K$4:K$7493)</f>
        <v>250</v>
      </c>
      <c r="AZ258" s="311">
        <f>SUMIF(Recibos!$D$4:$D$7493,Cobranza!$B258,Recibos!L$4:L$7493)</f>
        <v>250</v>
      </c>
      <c r="BA258" s="311">
        <f>SUMIF(Recibos!$D$4:$D$7493,Cobranza!$B258,Recibos!M$4:M$7493)</f>
        <v>250</v>
      </c>
      <c r="BB258" s="311">
        <f>SUMIF(Recibos!$D$4:$D$7493,Cobranza!$B258,Recibos!N$4:N$7493)</f>
        <v>250</v>
      </c>
      <c r="BC258" s="311">
        <f>SUMIF(Recibos!$D$4:$D$7493,Cobranza!$B258,Recibos!O$4:O$7493)</f>
        <v>250</v>
      </c>
      <c r="BD258" s="311">
        <f>SUMIF(Recibos!$D$4:$D$7493,Cobranza!$B258,Recibos!P$4:P$7493)</f>
        <v>250</v>
      </c>
      <c r="BE258" s="311">
        <f>SUMIF(Recibos!$D$4:$D$7493,Cobranza!$B258,Recibos!Q$4:Q$7493)</f>
        <v>250</v>
      </c>
      <c r="BF258" s="311">
        <f>SUMIF(Recibos!$D$4:$D$7493,Cobranza!$B258,Recibos!R$4:R$7493)</f>
        <v>250</v>
      </c>
      <c r="BG258" s="311">
        <f>SUMIF(Recibos!$D$4:$D$7493,Cobranza!$B258,Recibos!S$4:S$7493)</f>
        <v>250</v>
      </c>
      <c r="BH258" s="311">
        <f>SUMIF(Recibos!$D$4:$D$7493,Cobranza!$B258,Recibos!T$4:T$7493)</f>
        <v>250</v>
      </c>
      <c r="BI258" s="311">
        <f>SUMIF(Recibos!$D$4:$D$7493,Cobranza!$B258,Recibos!U$4:U$7493)</f>
        <v>250</v>
      </c>
      <c r="BJ258" s="311">
        <f>SUMIF(Recibos!$D$4:$D$7493,Cobranza!$B258,Recibos!V$4:V$7493)</f>
        <v>250</v>
      </c>
      <c r="BK258" s="312">
        <f t="shared" si="36"/>
        <v>3000</v>
      </c>
      <c r="BL258" s="311">
        <f>SUMIF(Recibos!$D$4:$D$7493,Cobranza!$B258,Recibos!X$4:X$7493)</f>
        <v>250</v>
      </c>
      <c r="BM258" s="311">
        <f>SUMIF(Recibos!$D$4:$D$7493,Cobranza!$B258,Recibos!Y$4:Y$7493)</f>
        <v>250</v>
      </c>
      <c r="BN258" s="311">
        <f>SUMIF(Recibos!$D$4:$D$7493,Cobranza!$B258,Recibos!Z$4:Z$7493)</f>
        <v>250</v>
      </c>
      <c r="BO258" s="311">
        <f>SUMIF(Recibos!$D$4:$D$7493,Cobranza!$B258,Recibos!AA$4:AA$7493)</f>
        <v>250</v>
      </c>
      <c r="BP258" s="311">
        <f>SUMIF(Recibos!$D$4:$D$7493,Cobranza!$B258,Recibos!AB$4:AB$7493)</f>
        <v>250</v>
      </c>
      <c r="BQ258" s="311">
        <f>SUMIF(Recibos!$D$4:$D$7493,Cobranza!$B258,Recibos!AC$4:AC$7493)</f>
        <v>250</v>
      </c>
      <c r="BR258" s="311">
        <f>SUMIF(Recibos!$D$4:$D$7493,Cobranza!$B258,Recibos!AD$4:AD$7493)</f>
        <v>250</v>
      </c>
      <c r="BS258" s="311">
        <f>SUMIF(Recibos!$D$4:$D$7493,Cobranza!$B258,Recibos!AE$4:AE$7493)</f>
        <v>250</v>
      </c>
      <c r="BT258" s="311">
        <f>SUMIF(Recibos!$D$4:$D$7493,Cobranza!$B258,Recibos!AF$4:AF$7493)</f>
        <v>250</v>
      </c>
      <c r="BU258" s="311">
        <f>SUMIF(Recibos!$D$4:$D$7493,Cobranza!$B258,Recibos!AG$4:AG$7493)</f>
        <v>250</v>
      </c>
      <c r="BV258" s="311">
        <f>SUMIF(Recibos!$D$4:$D$7493,Cobranza!$B258,Recibos!AH$4:AH$7493)</f>
        <v>250</v>
      </c>
      <c r="BW258" s="311">
        <f>SUMIF(Recibos!$D$4:$D$7493,Cobranza!$B258,Recibos!AI$4:AI$7493)</f>
        <v>250</v>
      </c>
      <c r="BX258" s="312">
        <f t="shared" si="37"/>
        <v>3000</v>
      </c>
      <c r="BY258" s="311">
        <f>SUMIF(Recibos!$D$4:$D$7493,Cobranza!$B258,Recibos!AK$4:AK$7493)</f>
        <v>250</v>
      </c>
      <c r="BZ258" s="311">
        <f>SUMIF(Recibos!$D$4:$D$7493,Cobranza!$B258,Recibos!AL$4:AL$7493)</f>
        <v>250</v>
      </c>
      <c r="CA258" s="311">
        <f>SUMIF(Recibos!$D$4:$D$7493,Cobranza!$B258,Recibos!AM$4:AM$7493)</f>
        <v>250</v>
      </c>
      <c r="CB258" s="311">
        <f>SUMIF(Recibos!$D$4:$D$7493,Cobranza!$B258,Recibos!AN$4:AN$7493)</f>
        <v>250</v>
      </c>
      <c r="CC258" s="311">
        <f>SUMIF(Recibos!$D$4:$D$7493,Cobranza!$B258,Recibos!AO$4:AO$7493)</f>
        <v>250</v>
      </c>
      <c r="CD258" s="311">
        <f>SUMIF(Recibos!$D$4:$D$7493,Cobranza!$B258,Recibos!AP$4:AP$7493)</f>
        <v>250</v>
      </c>
      <c r="CE258" s="311">
        <f>SUMIF(Recibos!$D$4:$D$7493,Cobranza!$B258,Recibos!AQ$4:AQ$7493)</f>
        <v>250</v>
      </c>
      <c r="CF258" s="311">
        <f>SUMIF(Recibos!$D$4:$D$7493,Cobranza!$B258,Recibos!AR$4:AR$7493)</f>
        <v>250</v>
      </c>
      <c r="CG258" s="311">
        <f>SUMIF(Recibos!$D$4:$D$7493,Cobranza!$B258,Recibos!AS$4:AS$7493)</f>
        <v>250</v>
      </c>
      <c r="CH258" s="311">
        <f>SUMIF(Recibos!$D$4:$D$7493,Cobranza!$B258,Recibos!AT$4:AT$7493)</f>
        <v>250</v>
      </c>
      <c r="CI258" s="311">
        <f>SUMIF(Recibos!$D$4:$D$7493,Cobranza!$B258,Recibos!AU$4:AU$7493)</f>
        <v>250</v>
      </c>
      <c r="CJ258" s="311">
        <f>SUMIF(Recibos!$D$4:$D$7493,Cobranza!$B258,Recibos!AV$4:AV$7493)</f>
        <v>250</v>
      </c>
      <c r="CK258" s="312">
        <f t="shared" si="31"/>
        <v>3000</v>
      </c>
    </row>
    <row r="259" spans="2:89" x14ac:dyDescent="0.2">
      <c r="B259" s="45" t="s">
        <v>774</v>
      </c>
      <c r="C259" s="45" t="s">
        <v>775</v>
      </c>
      <c r="D259" s="45" t="s">
        <v>776</v>
      </c>
      <c r="E259" s="46">
        <v>300</v>
      </c>
      <c r="F259" s="46">
        <v>300</v>
      </c>
      <c r="G259" s="46">
        <v>300</v>
      </c>
      <c r="H259" s="46">
        <v>300</v>
      </c>
      <c r="I259" s="46">
        <v>300</v>
      </c>
      <c r="J259" s="46">
        <v>300</v>
      </c>
      <c r="K259" s="47">
        <f t="shared" si="32"/>
        <v>1800</v>
      </c>
      <c r="L259" s="46">
        <v>300</v>
      </c>
      <c r="M259" s="46">
        <v>300</v>
      </c>
      <c r="N259" s="46">
        <v>0</v>
      </c>
      <c r="O259" s="46">
        <v>0</v>
      </c>
      <c r="P259" s="46">
        <v>0</v>
      </c>
      <c r="Q259" s="46">
        <v>0</v>
      </c>
      <c r="R259" s="46">
        <v>0</v>
      </c>
      <c r="S259" s="46">
        <v>0</v>
      </c>
      <c r="T259" s="46">
        <v>0</v>
      </c>
      <c r="U259" s="46">
        <v>0</v>
      </c>
      <c r="V259" s="46">
        <v>0</v>
      </c>
      <c r="W259" s="46">
        <v>0</v>
      </c>
      <c r="X259" s="47">
        <f t="shared" si="33"/>
        <v>600</v>
      </c>
      <c r="Y259" s="46">
        <v>400</v>
      </c>
      <c r="Z259" s="46">
        <v>400</v>
      </c>
      <c r="AA259" s="46">
        <v>400</v>
      </c>
      <c r="AB259" s="46">
        <v>400</v>
      </c>
      <c r="AC259" s="46">
        <v>400</v>
      </c>
      <c r="AD259" s="46">
        <v>400</v>
      </c>
      <c r="AE259" s="46">
        <v>0</v>
      </c>
      <c r="AF259" s="46">
        <v>0</v>
      </c>
      <c r="AG259" s="46">
        <v>0</v>
      </c>
      <c r="AH259" s="46">
        <v>400</v>
      </c>
      <c r="AI259" s="46">
        <v>400</v>
      </c>
      <c r="AJ259" s="46">
        <v>0</v>
      </c>
      <c r="AK259" s="47">
        <f t="shared" si="34"/>
        <v>3200</v>
      </c>
      <c r="AL259" s="46">
        <v>400</v>
      </c>
      <c r="AM259" s="46">
        <v>0</v>
      </c>
      <c r="AN259" s="46">
        <v>0</v>
      </c>
      <c r="AO259" s="46">
        <v>400</v>
      </c>
      <c r="AP259" s="46">
        <v>400</v>
      </c>
      <c r="AQ259" s="46">
        <v>400</v>
      </c>
      <c r="AR259" s="46">
        <v>400</v>
      </c>
      <c r="AS259" s="46">
        <v>400</v>
      </c>
      <c r="AT259" s="46">
        <v>400</v>
      </c>
      <c r="AU259" s="46">
        <v>400</v>
      </c>
      <c r="AV259" s="46">
        <v>400</v>
      </c>
      <c r="AW259" s="46">
        <v>400</v>
      </c>
      <c r="AX259" s="47">
        <f t="shared" si="35"/>
        <v>4000</v>
      </c>
      <c r="AY259" s="313">
        <f>SUMIF(Recibos!$D$4:$D$7493,Cobranza!$B259,Recibos!K$4:K$7493)</f>
        <v>400</v>
      </c>
      <c r="AZ259" s="313">
        <f>SUMIF(Recibos!$D$4:$D$7493,Cobranza!$B259,Recibos!L$4:L$7493)</f>
        <v>400</v>
      </c>
      <c r="BA259" s="313">
        <f>SUMIF(Recibos!$D$4:$D$7493,Cobranza!$B259,Recibos!M$4:M$7493)</f>
        <v>400</v>
      </c>
      <c r="BB259" s="313">
        <f>SUMIF(Recibos!$D$4:$D$7493,Cobranza!$B259,Recibos!N$4:N$7493)</f>
        <v>400</v>
      </c>
      <c r="BC259" s="313">
        <f>SUMIF(Recibos!$D$4:$D$7493,Cobranza!$B259,Recibos!O$4:O$7493)</f>
        <v>400</v>
      </c>
      <c r="BD259" s="313">
        <f>SUMIF(Recibos!$D$4:$D$7493,Cobranza!$B259,Recibos!P$4:P$7493)</f>
        <v>400</v>
      </c>
      <c r="BE259" s="313">
        <f>SUMIF(Recibos!$D$4:$D$7493,Cobranza!$B259,Recibos!Q$4:Q$7493)</f>
        <v>400</v>
      </c>
      <c r="BF259" s="313">
        <f>SUMIF(Recibos!$D$4:$D$7493,Cobranza!$B259,Recibos!R$4:R$7493)</f>
        <v>400</v>
      </c>
      <c r="BG259" s="313">
        <f>SUMIF(Recibos!$D$4:$D$7493,Cobranza!$B259,Recibos!S$4:S$7493)</f>
        <v>400</v>
      </c>
      <c r="BH259" s="313">
        <f>SUMIF(Recibos!$D$4:$D$7493,Cobranza!$B259,Recibos!T$4:T$7493)</f>
        <v>400</v>
      </c>
      <c r="BI259" s="313">
        <f>SUMIF(Recibos!$D$4:$D$7493,Cobranza!$B259,Recibos!U$4:U$7493)</f>
        <v>400</v>
      </c>
      <c r="BJ259" s="313">
        <f>SUMIF(Recibos!$D$4:$D$7493,Cobranza!$B259,Recibos!V$4:V$7493)</f>
        <v>400</v>
      </c>
      <c r="BK259" s="314">
        <f t="shared" si="36"/>
        <v>4800</v>
      </c>
      <c r="BL259" s="313">
        <f>SUMIF(Recibos!$D$4:$D$7493,Cobranza!$B259,Recibos!X$4:X$7493)</f>
        <v>400</v>
      </c>
      <c r="BM259" s="313">
        <f>SUMIF(Recibos!$D$4:$D$7493,Cobranza!$B259,Recibos!Y$4:Y$7493)</f>
        <v>400</v>
      </c>
      <c r="BN259" s="313">
        <f>SUMIF(Recibos!$D$4:$D$7493,Cobranza!$B259,Recibos!Z$4:Z$7493)</f>
        <v>400</v>
      </c>
      <c r="BO259" s="313">
        <f>SUMIF(Recibos!$D$4:$D$7493,Cobranza!$B259,Recibos!AA$4:AA$7493)</f>
        <v>400</v>
      </c>
      <c r="BP259" s="313">
        <f>SUMIF(Recibos!$D$4:$D$7493,Cobranza!$B259,Recibos!AB$4:AB$7493)</f>
        <v>400</v>
      </c>
      <c r="BQ259" s="313">
        <f>SUMIF(Recibos!$D$4:$D$7493,Cobranza!$B259,Recibos!AC$4:AC$7493)</f>
        <v>400</v>
      </c>
      <c r="BR259" s="313">
        <f>SUMIF(Recibos!$D$4:$D$7493,Cobranza!$B259,Recibos!AD$4:AD$7493)</f>
        <v>400</v>
      </c>
      <c r="BS259" s="313">
        <f>SUMIF(Recibos!$D$4:$D$7493,Cobranza!$B259,Recibos!AE$4:AE$7493)</f>
        <v>400</v>
      </c>
      <c r="BT259" s="313">
        <f>SUMIF(Recibos!$D$4:$D$7493,Cobranza!$B259,Recibos!AF$4:AF$7493)</f>
        <v>400</v>
      </c>
      <c r="BU259" s="313">
        <f>SUMIF(Recibos!$D$4:$D$7493,Cobranza!$B259,Recibos!AG$4:AG$7493)</f>
        <v>400</v>
      </c>
      <c r="BV259" s="313">
        <f>SUMIF(Recibos!$D$4:$D$7493,Cobranza!$B259,Recibos!AH$4:AH$7493)</f>
        <v>400</v>
      </c>
      <c r="BW259" s="313">
        <f>SUMIF(Recibos!$D$4:$D$7493,Cobranza!$B259,Recibos!AI$4:AI$7493)</f>
        <v>400</v>
      </c>
      <c r="BX259" s="314">
        <f t="shared" si="37"/>
        <v>4800</v>
      </c>
      <c r="BY259" s="313">
        <f>SUMIF(Recibos!$D$4:$D$7493,Cobranza!$B259,Recibos!AK$4:AK$7493)</f>
        <v>400</v>
      </c>
      <c r="BZ259" s="313">
        <f>SUMIF(Recibos!$D$4:$D$7493,Cobranza!$B259,Recibos!AL$4:AL$7493)</f>
        <v>400</v>
      </c>
      <c r="CA259" s="313">
        <f>SUMIF(Recibos!$D$4:$D$7493,Cobranza!$B259,Recibos!AM$4:AM$7493)</f>
        <v>400</v>
      </c>
      <c r="CB259" s="313">
        <f>SUMIF(Recibos!$D$4:$D$7493,Cobranza!$B259,Recibos!AN$4:AN$7493)</f>
        <v>400</v>
      </c>
      <c r="CC259" s="313">
        <f>SUMIF(Recibos!$D$4:$D$7493,Cobranza!$B259,Recibos!AO$4:AO$7493)</f>
        <v>400</v>
      </c>
      <c r="CD259" s="313">
        <f>SUMIF(Recibos!$D$4:$D$7493,Cobranza!$B259,Recibos!AP$4:AP$7493)</f>
        <v>400</v>
      </c>
      <c r="CE259" s="313">
        <f>SUMIF(Recibos!$D$4:$D$7493,Cobranza!$B259,Recibos!AQ$4:AQ$7493)</f>
        <v>400</v>
      </c>
      <c r="CF259" s="313">
        <f>SUMIF(Recibos!$D$4:$D$7493,Cobranza!$B259,Recibos!AR$4:AR$7493)</f>
        <v>0</v>
      </c>
      <c r="CG259" s="313">
        <f>SUMIF(Recibos!$D$4:$D$7493,Cobranza!$B259,Recibos!AS$4:AS$7493)</f>
        <v>0</v>
      </c>
      <c r="CH259" s="313">
        <f>SUMIF(Recibos!$D$4:$D$7493,Cobranza!$B259,Recibos!AT$4:AT$7493)</f>
        <v>0</v>
      </c>
      <c r="CI259" s="313">
        <f>SUMIF(Recibos!$D$4:$D$7493,Cobranza!$B259,Recibos!AU$4:AU$7493)</f>
        <v>0</v>
      </c>
      <c r="CJ259" s="313">
        <f>SUMIF(Recibos!$D$4:$D$7493,Cobranza!$B259,Recibos!AV$4:AV$7493)</f>
        <v>0</v>
      </c>
      <c r="CK259" s="314">
        <f t="shared" si="31"/>
        <v>2800</v>
      </c>
    </row>
    <row r="260" spans="2:89" x14ac:dyDescent="0.2">
      <c r="B260" s="42" t="s">
        <v>1384</v>
      </c>
      <c r="C260" s="42" t="s">
        <v>1385</v>
      </c>
      <c r="D260" s="42"/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4">
        <f t="shared" si="32"/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  <c r="V260" s="43">
        <v>0</v>
      </c>
      <c r="W260" s="43">
        <v>0</v>
      </c>
      <c r="X260" s="44">
        <f t="shared" si="33"/>
        <v>0</v>
      </c>
      <c r="Y260" s="43">
        <v>0</v>
      </c>
      <c r="Z260" s="43">
        <v>0</v>
      </c>
      <c r="AA260" s="43">
        <v>0</v>
      </c>
      <c r="AB260" s="43">
        <v>0</v>
      </c>
      <c r="AC260" s="43">
        <v>0</v>
      </c>
      <c r="AD260" s="43">
        <v>0</v>
      </c>
      <c r="AE260" s="43">
        <v>0</v>
      </c>
      <c r="AF260" s="43">
        <v>0</v>
      </c>
      <c r="AG260" s="43">
        <v>0</v>
      </c>
      <c r="AH260" s="43">
        <v>0</v>
      </c>
      <c r="AI260" s="43">
        <v>0</v>
      </c>
      <c r="AJ260" s="43">
        <v>0</v>
      </c>
      <c r="AK260" s="44">
        <f t="shared" si="34"/>
        <v>0</v>
      </c>
      <c r="AL260" s="43">
        <v>0</v>
      </c>
      <c r="AM260" s="43">
        <v>0</v>
      </c>
      <c r="AN260" s="43">
        <v>0</v>
      </c>
      <c r="AO260" s="43">
        <v>0</v>
      </c>
      <c r="AP260" s="43">
        <v>0</v>
      </c>
      <c r="AQ260" s="43">
        <v>0</v>
      </c>
      <c r="AR260" s="43">
        <v>0</v>
      </c>
      <c r="AS260" s="43">
        <v>0</v>
      </c>
      <c r="AT260" s="43">
        <v>0</v>
      </c>
      <c r="AU260" s="43">
        <v>0</v>
      </c>
      <c r="AV260" s="43">
        <v>0</v>
      </c>
      <c r="AW260" s="43">
        <v>0</v>
      </c>
      <c r="AX260" s="44">
        <f t="shared" si="35"/>
        <v>0</v>
      </c>
      <c r="AY260" s="311">
        <f>SUMIF(Recibos!$D$4:$D$7493,Cobranza!$B260,Recibos!K$4:K$7493)</f>
        <v>0</v>
      </c>
      <c r="AZ260" s="311">
        <f>SUMIF(Recibos!$D$4:$D$7493,Cobranza!$B260,Recibos!L$4:L$7493)</f>
        <v>0</v>
      </c>
      <c r="BA260" s="311">
        <f>SUMIF(Recibos!$D$4:$D$7493,Cobranza!$B260,Recibos!M$4:M$7493)</f>
        <v>0</v>
      </c>
      <c r="BB260" s="311">
        <f>SUMIF(Recibos!$D$4:$D$7493,Cobranza!$B260,Recibos!N$4:N$7493)</f>
        <v>0</v>
      </c>
      <c r="BC260" s="311">
        <f>SUMIF(Recibos!$D$4:$D$7493,Cobranza!$B260,Recibos!O$4:O$7493)</f>
        <v>0</v>
      </c>
      <c r="BD260" s="311">
        <f>SUMIF(Recibos!$D$4:$D$7493,Cobranza!$B260,Recibos!P$4:P$7493)</f>
        <v>0</v>
      </c>
      <c r="BE260" s="311">
        <f>SUMIF(Recibos!$D$4:$D$7493,Cobranza!$B260,Recibos!Q$4:Q$7493)</f>
        <v>0</v>
      </c>
      <c r="BF260" s="311">
        <f>SUMIF(Recibos!$D$4:$D$7493,Cobranza!$B260,Recibos!R$4:R$7493)</f>
        <v>0</v>
      </c>
      <c r="BG260" s="311">
        <f>SUMIF(Recibos!$D$4:$D$7493,Cobranza!$B260,Recibos!S$4:S$7493)</f>
        <v>0</v>
      </c>
      <c r="BH260" s="311">
        <f>SUMIF(Recibos!$D$4:$D$7493,Cobranza!$B260,Recibos!T$4:T$7493)</f>
        <v>0</v>
      </c>
      <c r="BI260" s="311">
        <f>SUMIF(Recibos!$D$4:$D$7493,Cobranza!$B260,Recibos!U$4:U$7493)</f>
        <v>0</v>
      </c>
      <c r="BJ260" s="311">
        <f>SUMIF(Recibos!$D$4:$D$7493,Cobranza!$B260,Recibos!V$4:V$7493)</f>
        <v>0</v>
      </c>
      <c r="BK260" s="312">
        <f t="shared" si="36"/>
        <v>0</v>
      </c>
      <c r="BL260" s="311">
        <f>SUMIF(Recibos!$D$4:$D$7493,Cobranza!$B260,Recibos!X$4:X$7493)</f>
        <v>0</v>
      </c>
      <c r="BM260" s="311">
        <f>SUMIF(Recibos!$D$4:$D$7493,Cobranza!$B260,Recibos!Y$4:Y$7493)</f>
        <v>0</v>
      </c>
      <c r="BN260" s="311">
        <f>SUMIF(Recibos!$D$4:$D$7493,Cobranza!$B260,Recibos!Z$4:Z$7493)</f>
        <v>0</v>
      </c>
      <c r="BO260" s="311">
        <f>SUMIF(Recibos!$D$4:$D$7493,Cobranza!$B260,Recibos!AA$4:AA$7493)</f>
        <v>0</v>
      </c>
      <c r="BP260" s="311">
        <f>SUMIF(Recibos!$D$4:$D$7493,Cobranza!$B260,Recibos!AB$4:AB$7493)</f>
        <v>0</v>
      </c>
      <c r="BQ260" s="311">
        <f>SUMIF(Recibos!$D$4:$D$7493,Cobranza!$B260,Recibos!AC$4:AC$7493)</f>
        <v>0</v>
      </c>
      <c r="BR260" s="311">
        <f>SUMIF(Recibos!$D$4:$D$7493,Cobranza!$B260,Recibos!AD$4:AD$7493)</f>
        <v>0</v>
      </c>
      <c r="BS260" s="311">
        <f>SUMIF(Recibos!$D$4:$D$7493,Cobranza!$B260,Recibos!AE$4:AE$7493)</f>
        <v>0</v>
      </c>
      <c r="BT260" s="311">
        <f>SUMIF(Recibos!$D$4:$D$7493,Cobranza!$B260,Recibos!AF$4:AF$7493)</f>
        <v>0</v>
      </c>
      <c r="BU260" s="311">
        <f>SUMIF(Recibos!$D$4:$D$7493,Cobranza!$B260,Recibos!AG$4:AG$7493)</f>
        <v>0</v>
      </c>
      <c r="BV260" s="311">
        <f>SUMIF(Recibos!$D$4:$D$7493,Cobranza!$B260,Recibos!AH$4:AH$7493)</f>
        <v>0</v>
      </c>
      <c r="BW260" s="311">
        <f>SUMIF(Recibos!$D$4:$D$7493,Cobranza!$B260,Recibos!AI$4:AI$7493)</f>
        <v>0</v>
      </c>
      <c r="BX260" s="312">
        <f t="shared" si="37"/>
        <v>0</v>
      </c>
      <c r="BY260" s="311">
        <f>SUMIF(Recibos!$D$4:$D$7493,Cobranza!$B260,Recibos!AK$4:AK$7493)</f>
        <v>0</v>
      </c>
      <c r="BZ260" s="311">
        <f>SUMIF(Recibos!$D$4:$D$7493,Cobranza!$B260,Recibos!AL$4:AL$7493)</f>
        <v>0</v>
      </c>
      <c r="CA260" s="311">
        <f>SUMIF(Recibos!$D$4:$D$7493,Cobranza!$B260,Recibos!AM$4:AM$7493)</f>
        <v>0</v>
      </c>
      <c r="CB260" s="311">
        <f>SUMIF(Recibos!$D$4:$D$7493,Cobranza!$B260,Recibos!AN$4:AN$7493)</f>
        <v>0</v>
      </c>
      <c r="CC260" s="311">
        <f>SUMIF(Recibos!$D$4:$D$7493,Cobranza!$B260,Recibos!AO$4:AO$7493)</f>
        <v>0</v>
      </c>
      <c r="CD260" s="311">
        <f>SUMIF(Recibos!$D$4:$D$7493,Cobranza!$B260,Recibos!AP$4:AP$7493)</f>
        <v>0</v>
      </c>
      <c r="CE260" s="311">
        <f>SUMIF(Recibos!$D$4:$D$7493,Cobranza!$B260,Recibos!AQ$4:AQ$7493)</f>
        <v>0</v>
      </c>
      <c r="CF260" s="311">
        <f>SUMIF(Recibos!$D$4:$D$7493,Cobranza!$B260,Recibos!AR$4:AR$7493)</f>
        <v>0</v>
      </c>
      <c r="CG260" s="311">
        <f>SUMIF(Recibos!$D$4:$D$7493,Cobranza!$B260,Recibos!AS$4:AS$7493)</f>
        <v>0</v>
      </c>
      <c r="CH260" s="311">
        <f>SUMIF(Recibos!$D$4:$D$7493,Cobranza!$B260,Recibos!AT$4:AT$7493)</f>
        <v>0</v>
      </c>
      <c r="CI260" s="311">
        <f>SUMIF(Recibos!$D$4:$D$7493,Cobranza!$B260,Recibos!AU$4:AU$7493)</f>
        <v>0</v>
      </c>
      <c r="CJ260" s="311">
        <f>SUMIF(Recibos!$D$4:$D$7493,Cobranza!$B260,Recibos!AV$4:AV$7493)</f>
        <v>0</v>
      </c>
      <c r="CK260" s="312">
        <f t="shared" si="31"/>
        <v>0</v>
      </c>
    </row>
    <row r="261" spans="2:89" x14ac:dyDescent="0.2">
      <c r="B261" s="45" t="s">
        <v>94</v>
      </c>
      <c r="C261" s="45" t="s">
        <v>95</v>
      </c>
      <c r="D261" s="45" t="s">
        <v>96</v>
      </c>
      <c r="E261" s="46">
        <v>0</v>
      </c>
      <c r="F261" s="46">
        <v>0</v>
      </c>
      <c r="G261" s="46">
        <v>0</v>
      </c>
      <c r="H261" s="46">
        <v>0</v>
      </c>
      <c r="I261" s="46">
        <v>0</v>
      </c>
      <c r="J261" s="46">
        <v>300</v>
      </c>
      <c r="K261" s="47">
        <f t="shared" si="32"/>
        <v>300</v>
      </c>
      <c r="L261" s="46">
        <v>300</v>
      </c>
      <c r="M261" s="46">
        <v>300</v>
      </c>
      <c r="N261" s="46">
        <v>300</v>
      </c>
      <c r="O261" s="46">
        <v>300</v>
      </c>
      <c r="P261" s="46">
        <v>300</v>
      </c>
      <c r="Q261" s="46">
        <v>300</v>
      </c>
      <c r="R261" s="46">
        <v>300</v>
      </c>
      <c r="S261" s="46">
        <v>300</v>
      </c>
      <c r="T261" s="46">
        <v>300</v>
      </c>
      <c r="U261" s="46">
        <v>400</v>
      </c>
      <c r="V261" s="46">
        <v>400</v>
      </c>
      <c r="W261" s="46">
        <v>400</v>
      </c>
      <c r="X261" s="47">
        <f t="shared" si="33"/>
        <v>3900</v>
      </c>
      <c r="Y261" s="46">
        <v>400</v>
      </c>
      <c r="Z261" s="46">
        <v>400</v>
      </c>
      <c r="AA261" s="46">
        <v>400</v>
      </c>
      <c r="AB261" s="46">
        <v>400</v>
      </c>
      <c r="AC261" s="46">
        <v>400</v>
      </c>
      <c r="AD261" s="46">
        <v>400</v>
      </c>
      <c r="AE261" s="46">
        <v>400</v>
      </c>
      <c r="AF261" s="46">
        <v>400</v>
      </c>
      <c r="AG261" s="46">
        <v>900</v>
      </c>
      <c r="AH261" s="46">
        <v>400</v>
      </c>
      <c r="AI261" s="46">
        <v>400</v>
      </c>
      <c r="AJ261" s="46">
        <v>400</v>
      </c>
      <c r="AK261" s="47">
        <f t="shared" si="34"/>
        <v>5300</v>
      </c>
      <c r="AL261" s="46">
        <v>400</v>
      </c>
      <c r="AM261" s="46">
        <v>400</v>
      </c>
      <c r="AN261" s="46">
        <v>400</v>
      </c>
      <c r="AO261" s="46">
        <v>400</v>
      </c>
      <c r="AP261" s="46">
        <v>400</v>
      </c>
      <c r="AQ261" s="46">
        <v>400</v>
      </c>
      <c r="AR261" s="46">
        <v>400</v>
      </c>
      <c r="AS261" s="46">
        <v>400</v>
      </c>
      <c r="AT261" s="46">
        <v>400</v>
      </c>
      <c r="AU261" s="46">
        <v>400</v>
      </c>
      <c r="AV261" s="46">
        <v>400</v>
      </c>
      <c r="AW261" s="46">
        <v>400</v>
      </c>
      <c r="AX261" s="47">
        <f t="shared" si="35"/>
        <v>4800</v>
      </c>
      <c r="AY261" s="313">
        <f>SUMIF(Recibos!$D$4:$D$7493,Cobranza!$B261,Recibos!K$4:K$7493)</f>
        <v>400</v>
      </c>
      <c r="AZ261" s="313">
        <f>SUMIF(Recibos!$D$4:$D$7493,Cobranza!$B261,Recibos!L$4:L$7493)</f>
        <v>400</v>
      </c>
      <c r="BA261" s="313">
        <f>SUMIF(Recibos!$D$4:$D$7493,Cobranza!$B261,Recibos!M$4:M$7493)</f>
        <v>400</v>
      </c>
      <c r="BB261" s="313">
        <f>SUMIF(Recibos!$D$4:$D$7493,Cobranza!$B261,Recibos!N$4:N$7493)</f>
        <v>400</v>
      </c>
      <c r="BC261" s="313">
        <f>SUMIF(Recibos!$D$4:$D$7493,Cobranza!$B261,Recibos!O$4:O$7493)</f>
        <v>400</v>
      </c>
      <c r="BD261" s="313">
        <f>SUMIF(Recibos!$D$4:$D$7493,Cobranza!$B261,Recibos!P$4:P$7493)</f>
        <v>400</v>
      </c>
      <c r="BE261" s="313">
        <f>SUMIF(Recibos!$D$4:$D$7493,Cobranza!$B261,Recibos!Q$4:Q$7493)</f>
        <v>400</v>
      </c>
      <c r="BF261" s="313">
        <f>SUMIF(Recibos!$D$4:$D$7493,Cobranza!$B261,Recibos!R$4:R$7493)</f>
        <v>400</v>
      </c>
      <c r="BG261" s="313">
        <f>SUMIF(Recibos!$D$4:$D$7493,Cobranza!$B261,Recibos!S$4:S$7493)</f>
        <v>400</v>
      </c>
      <c r="BH261" s="313">
        <f>SUMIF(Recibos!$D$4:$D$7493,Cobranza!$B261,Recibos!T$4:T$7493)</f>
        <v>400</v>
      </c>
      <c r="BI261" s="313">
        <f>SUMIF(Recibos!$D$4:$D$7493,Cobranza!$B261,Recibos!U$4:U$7493)</f>
        <v>400</v>
      </c>
      <c r="BJ261" s="313">
        <f>SUMIF(Recibos!$D$4:$D$7493,Cobranza!$B261,Recibos!V$4:V$7493)</f>
        <v>400</v>
      </c>
      <c r="BK261" s="314">
        <f t="shared" si="36"/>
        <v>4800</v>
      </c>
      <c r="BL261" s="313">
        <f>SUMIF(Recibos!$D$4:$D$7493,Cobranza!$B261,Recibos!X$4:X$7493)</f>
        <v>400</v>
      </c>
      <c r="BM261" s="313">
        <f>SUMIF(Recibos!$D$4:$D$7493,Cobranza!$B261,Recibos!Y$4:Y$7493)</f>
        <v>400</v>
      </c>
      <c r="BN261" s="313">
        <f>SUMIF(Recibos!$D$4:$D$7493,Cobranza!$B261,Recibos!Z$4:Z$7493)</f>
        <v>400</v>
      </c>
      <c r="BO261" s="313">
        <f>SUMIF(Recibos!$D$4:$D$7493,Cobranza!$B261,Recibos!AA$4:AA$7493)</f>
        <v>400</v>
      </c>
      <c r="BP261" s="313">
        <f>SUMIF(Recibos!$D$4:$D$7493,Cobranza!$B261,Recibos!AB$4:AB$7493)</f>
        <v>400</v>
      </c>
      <c r="BQ261" s="313">
        <f>SUMIF(Recibos!$D$4:$D$7493,Cobranza!$B261,Recibos!AC$4:AC$7493)</f>
        <v>400</v>
      </c>
      <c r="BR261" s="313">
        <f>SUMIF(Recibos!$D$4:$D$7493,Cobranza!$B261,Recibos!AD$4:AD$7493)</f>
        <v>400</v>
      </c>
      <c r="BS261" s="313">
        <f>SUMIF(Recibos!$D$4:$D$7493,Cobranza!$B261,Recibos!AE$4:AE$7493)</f>
        <v>400</v>
      </c>
      <c r="BT261" s="313">
        <f>SUMIF(Recibos!$D$4:$D$7493,Cobranza!$B261,Recibos!AF$4:AF$7493)</f>
        <v>400</v>
      </c>
      <c r="BU261" s="313">
        <f>SUMIF(Recibos!$D$4:$D$7493,Cobranza!$B261,Recibos!AG$4:AG$7493)</f>
        <v>400</v>
      </c>
      <c r="BV261" s="313">
        <f>SUMIF(Recibos!$D$4:$D$7493,Cobranza!$B261,Recibos!AH$4:AH$7493)</f>
        <v>400</v>
      </c>
      <c r="BW261" s="313">
        <f>SUMIF(Recibos!$D$4:$D$7493,Cobranza!$B261,Recibos!AI$4:AI$7493)</f>
        <v>400</v>
      </c>
      <c r="BX261" s="314">
        <f t="shared" si="37"/>
        <v>4800</v>
      </c>
      <c r="BY261" s="313">
        <f>SUMIF(Recibos!$D$4:$D$7493,Cobranza!$B261,Recibos!AK$4:AK$7493)</f>
        <v>400</v>
      </c>
      <c r="BZ261" s="313">
        <f>SUMIF(Recibos!$D$4:$D$7493,Cobranza!$B261,Recibos!AL$4:AL$7493)</f>
        <v>400</v>
      </c>
      <c r="CA261" s="313">
        <f>SUMIF(Recibos!$D$4:$D$7493,Cobranza!$B261,Recibos!AM$4:AM$7493)</f>
        <v>400</v>
      </c>
      <c r="CB261" s="313">
        <f>SUMIF(Recibos!$D$4:$D$7493,Cobranza!$B261,Recibos!AN$4:AN$7493)</f>
        <v>400</v>
      </c>
      <c r="CC261" s="313">
        <f>SUMIF(Recibos!$D$4:$D$7493,Cobranza!$B261,Recibos!AO$4:AO$7493)</f>
        <v>400</v>
      </c>
      <c r="CD261" s="313">
        <f>SUMIF(Recibos!$D$4:$D$7493,Cobranza!$B261,Recibos!AP$4:AP$7493)</f>
        <v>400</v>
      </c>
      <c r="CE261" s="313">
        <f>SUMIF(Recibos!$D$4:$D$7493,Cobranza!$B261,Recibos!AQ$4:AQ$7493)</f>
        <v>400</v>
      </c>
      <c r="CF261" s="313">
        <f>SUMIF(Recibos!$D$4:$D$7493,Cobranza!$B261,Recibos!AR$4:AR$7493)</f>
        <v>400</v>
      </c>
      <c r="CG261" s="313">
        <f>SUMIF(Recibos!$D$4:$D$7493,Cobranza!$B261,Recibos!AS$4:AS$7493)</f>
        <v>400</v>
      </c>
      <c r="CH261" s="313">
        <f>SUMIF(Recibos!$D$4:$D$7493,Cobranza!$B261,Recibos!AT$4:AT$7493)</f>
        <v>400</v>
      </c>
      <c r="CI261" s="313">
        <f>SUMIF(Recibos!$D$4:$D$7493,Cobranza!$B261,Recibos!AU$4:AU$7493)</f>
        <v>0</v>
      </c>
      <c r="CJ261" s="313">
        <f>SUMIF(Recibos!$D$4:$D$7493,Cobranza!$B261,Recibos!AV$4:AV$7493)</f>
        <v>0</v>
      </c>
      <c r="CK261" s="314">
        <f t="shared" si="31"/>
        <v>4000</v>
      </c>
    </row>
    <row r="262" spans="2:89" x14ac:dyDescent="0.2">
      <c r="B262" s="42" t="s">
        <v>446</v>
      </c>
      <c r="C262" s="42" t="s">
        <v>447</v>
      </c>
      <c r="D262" s="42" t="s">
        <v>448</v>
      </c>
      <c r="E262" s="43">
        <v>0</v>
      </c>
      <c r="F262" s="43">
        <v>0</v>
      </c>
      <c r="G262" s="43">
        <v>0</v>
      </c>
      <c r="H262" s="43"/>
      <c r="I262" s="43">
        <v>0</v>
      </c>
      <c r="J262" s="43">
        <v>0</v>
      </c>
      <c r="K262" s="44">
        <f t="shared" si="32"/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  <c r="V262" s="43">
        <v>0</v>
      </c>
      <c r="W262" s="43">
        <v>0</v>
      </c>
      <c r="X262" s="44">
        <f t="shared" si="33"/>
        <v>0</v>
      </c>
      <c r="Y262" s="43">
        <v>0</v>
      </c>
      <c r="Z262" s="43">
        <v>0</v>
      </c>
      <c r="AA262" s="43">
        <v>0</v>
      </c>
      <c r="AB262" s="43">
        <v>0</v>
      </c>
      <c r="AC262" s="43">
        <v>0</v>
      </c>
      <c r="AD262" s="43">
        <v>0</v>
      </c>
      <c r="AE262" s="43">
        <v>0</v>
      </c>
      <c r="AF262" s="43">
        <v>0</v>
      </c>
      <c r="AG262" s="43">
        <v>0</v>
      </c>
      <c r="AH262" s="43">
        <v>0</v>
      </c>
      <c r="AI262" s="43">
        <v>0</v>
      </c>
      <c r="AJ262" s="43">
        <v>0</v>
      </c>
      <c r="AK262" s="44">
        <f t="shared" si="34"/>
        <v>0</v>
      </c>
      <c r="AL262" s="43">
        <v>0</v>
      </c>
      <c r="AM262" s="43">
        <v>0</v>
      </c>
      <c r="AN262" s="43">
        <v>0</v>
      </c>
      <c r="AO262" s="43">
        <v>0</v>
      </c>
      <c r="AP262" s="43">
        <v>300</v>
      </c>
      <c r="AQ262" s="43">
        <v>300</v>
      </c>
      <c r="AR262" s="43">
        <v>300</v>
      </c>
      <c r="AS262" s="43">
        <v>150</v>
      </c>
      <c r="AT262" s="43">
        <v>150</v>
      </c>
      <c r="AU262" s="43">
        <v>150</v>
      </c>
      <c r="AV262" s="43">
        <v>150</v>
      </c>
      <c r="AW262" s="43">
        <v>150</v>
      </c>
      <c r="AX262" s="44">
        <f t="shared" si="35"/>
        <v>1650</v>
      </c>
      <c r="AY262" s="311">
        <f>SUMIF(Recibos!$D$4:$D$7493,Cobranza!$B262,Recibos!K$4:K$7493)</f>
        <v>150</v>
      </c>
      <c r="AZ262" s="311">
        <f>SUMIF(Recibos!$D$4:$D$7493,Cobranza!$B262,Recibos!L$4:L$7493)</f>
        <v>150</v>
      </c>
      <c r="BA262" s="311">
        <f>SUMIF(Recibos!$D$4:$D$7493,Cobranza!$B262,Recibos!M$4:M$7493)</f>
        <v>150</v>
      </c>
      <c r="BB262" s="311">
        <f>SUMIF(Recibos!$D$4:$D$7493,Cobranza!$B262,Recibos!N$4:N$7493)</f>
        <v>150</v>
      </c>
      <c r="BC262" s="311">
        <f>SUMIF(Recibos!$D$4:$D$7493,Cobranza!$B262,Recibos!O$4:O$7493)</f>
        <v>200</v>
      </c>
      <c r="BD262" s="311">
        <f>SUMIF(Recibos!$D$4:$D$7493,Cobranza!$B262,Recibos!P$4:P$7493)</f>
        <v>0</v>
      </c>
      <c r="BE262" s="311">
        <f>SUMIF(Recibos!$D$4:$D$7493,Cobranza!$B262,Recibos!Q$4:Q$7493)</f>
        <v>0</v>
      </c>
      <c r="BF262" s="311">
        <f>SUMIF(Recibos!$D$4:$D$7493,Cobranza!$B262,Recibos!R$4:R$7493)</f>
        <v>200</v>
      </c>
      <c r="BG262" s="311">
        <f>SUMIF(Recibos!$D$4:$D$7493,Cobranza!$B262,Recibos!S$4:S$7493)</f>
        <v>200</v>
      </c>
      <c r="BH262" s="311">
        <f>SUMIF(Recibos!$D$4:$D$7493,Cobranza!$B262,Recibos!T$4:T$7493)</f>
        <v>200</v>
      </c>
      <c r="BI262" s="311">
        <f>SUMIF(Recibos!$D$4:$D$7493,Cobranza!$B262,Recibos!U$4:U$7493)</f>
        <v>200</v>
      </c>
      <c r="BJ262" s="311">
        <f>SUMIF(Recibos!$D$4:$D$7493,Cobranza!$B262,Recibos!V$4:V$7493)</f>
        <v>0</v>
      </c>
      <c r="BK262" s="312">
        <f t="shared" si="36"/>
        <v>1600</v>
      </c>
      <c r="BL262" s="311">
        <f>SUMIF(Recibos!$D$4:$D$7493,Cobranza!$B262,Recibos!X$4:X$7493)</f>
        <v>0</v>
      </c>
      <c r="BM262" s="311">
        <f>SUMIF(Recibos!$D$4:$D$7493,Cobranza!$B262,Recibos!Y$4:Y$7493)</f>
        <v>0</v>
      </c>
      <c r="BN262" s="311">
        <f>SUMIF(Recibos!$D$4:$D$7493,Cobranza!$B262,Recibos!Z$4:Z$7493)</f>
        <v>0</v>
      </c>
      <c r="BO262" s="311">
        <f>SUMIF(Recibos!$D$4:$D$7493,Cobranza!$B262,Recibos!AA$4:AA$7493)</f>
        <v>0</v>
      </c>
      <c r="BP262" s="311">
        <f>SUMIF(Recibos!$D$4:$D$7493,Cobranza!$B262,Recibos!AB$4:AB$7493)</f>
        <v>0</v>
      </c>
      <c r="BQ262" s="311">
        <f>SUMIF(Recibos!$D$4:$D$7493,Cobranza!$B262,Recibos!AC$4:AC$7493)</f>
        <v>0</v>
      </c>
      <c r="BR262" s="311">
        <f>SUMIF(Recibos!$D$4:$D$7493,Cobranza!$B262,Recibos!AD$4:AD$7493)</f>
        <v>0</v>
      </c>
      <c r="BS262" s="311">
        <f>SUMIF(Recibos!$D$4:$D$7493,Cobranza!$B262,Recibos!AE$4:AE$7493)</f>
        <v>0</v>
      </c>
      <c r="BT262" s="311">
        <f>SUMIF(Recibos!$D$4:$D$7493,Cobranza!$B262,Recibos!AF$4:AF$7493)</f>
        <v>0</v>
      </c>
      <c r="BU262" s="311">
        <f>SUMIF(Recibos!$D$4:$D$7493,Cobranza!$B262,Recibos!AG$4:AG$7493)</f>
        <v>0</v>
      </c>
      <c r="BV262" s="311">
        <f>SUMIF(Recibos!$D$4:$D$7493,Cobranza!$B262,Recibos!AH$4:AH$7493)</f>
        <v>0</v>
      </c>
      <c r="BW262" s="311">
        <f>SUMIF(Recibos!$D$4:$D$7493,Cobranza!$B262,Recibos!AI$4:AI$7493)</f>
        <v>0</v>
      </c>
      <c r="BX262" s="312">
        <f t="shared" si="37"/>
        <v>0</v>
      </c>
      <c r="BY262" s="311">
        <f>SUMIF(Recibos!$D$4:$D$7493,Cobranza!$B262,Recibos!AK$4:AK$7493)</f>
        <v>0</v>
      </c>
      <c r="BZ262" s="311">
        <f>SUMIF(Recibos!$D$4:$D$7493,Cobranza!$B262,Recibos!AL$4:AL$7493)</f>
        <v>0</v>
      </c>
      <c r="CA262" s="311">
        <f>SUMIF(Recibos!$D$4:$D$7493,Cobranza!$B262,Recibos!AM$4:AM$7493)</f>
        <v>0</v>
      </c>
      <c r="CB262" s="311">
        <f>SUMIF(Recibos!$D$4:$D$7493,Cobranza!$B262,Recibos!AN$4:AN$7493)</f>
        <v>0</v>
      </c>
      <c r="CC262" s="311">
        <f>SUMIF(Recibos!$D$4:$D$7493,Cobranza!$B262,Recibos!AO$4:AO$7493)</f>
        <v>0</v>
      </c>
      <c r="CD262" s="311">
        <f>SUMIF(Recibos!$D$4:$D$7493,Cobranza!$B262,Recibos!AP$4:AP$7493)</f>
        <v>0</v>
      </c>
      <c r="CE262" s="311">
        <f>SUMIF(Recibos!$D$4:$D$7493,Cobranza!$B262,Recibos!AQ$4:AQ$7493)</f>
        <v>0</v>
      </c>
      <c r="CF262" s="311">
        <f>SUMIF(Recibos!$D$4:$D$7493,Cobranza!$B262,Recibos!AR$4:AR$7493)</f>
        <v>0</v>
      </c>
      <c r="CG262" s="311">
        <f>SUMIF(Recibos!$D$4:$D$7493,Cobranza!$B262,Recibos!AS$4:AS$7493)</f>
        <v>0</v>
      </c>
      <c r="CH262" s="311">
        <f>SUMIF(Recibos!$D$4:$D$7493,Cobranza!$B262,Recibos!AT$4:AT$7493)</f>
        <v>0</v>
      </c>
      <c r="CI262" s="311">
        <f>SUMIF(Recibos!$D$4:$D$7493,Cobranza!$B262,Recibos!AU$4:AU$7493)</f>
        <v>0</v>
      </c>
      <c r="CJ262" s="311">
        <f>SUMIF(Recibos!$D$4:$D$7493,Cobranza!$B262,Recibos!AV$4:AV$7493)</f>
        <v>0</v>
      </c>
      <c r="CK262" s="312">
        <f t="shared" si="31"/>
        <v>0</v>
      </c>
    </row>
    <row r="263" spans="2:89" x14ac:dyDescent="0.2">
      <c r="B263" s="45" t="s">
        <v>858</v>
      </c>
      <c r="C263" s="45" t="s">
        <v>859</v>
      </c>
      <c r="D263" s="45" t="s">
        <v>860</v>
      </c>
      <c r="E263" s="46">
        <v>0</v>
      </c>
      <c r="F263" s="46">
        <v>0</v>
      </c>
      <c r="G263" s="46">
        <v>0</v>
      </c>
      <c r="H263" s="46">
        <v>0</v>
      </c>
      <c r="I263" s="46">
        <v>0</v>
      </c>
      <c r="J263" s="46">
        <v>250</v>
      </c>
      <c r="K263" s="47">
        <f t="shared" si="32"/>
        <v>250</v>
      </c>
      <c r="L263" s="46">
        <v>250</v>
      </c>
      <c r="M263" s="46">
        <v>250</v>
      </c>
      <c r="N263" s="46">
        <v>300</v>
      </c>
      <c r="O263" s="46">
        <v>250</v>
      </c>
      <c r="P263" s="46">
        <v>0</v>
      </c>
      <c r="Q263" s="46">
        <v>0</v>
      </c>
      <c r="R263" s="46">
        <v>0</v>
      </c>
      <c r="S263" s="46">
        <v>300</v>
      </c>
      <c r="T263" s="46">
        <v>300</v>
      </c>
      <c r="U263" s="46">
        <v>400</v>
      </c>
      <c r="V263" s="46">
        <v>400</v>
      </c>
      <c r="W263" s="46">
        <v>400</v>
      </c>
      <c r="X263" s="47">
        <f t="shared" si="33"/>
        <v>2850</v>
      </c>
      <c r="Y263" s="46">
        <v>400</v>
      </c>
      <c r="Z263" s="46">
        <v>400</v>
      </c>
      <c r="AA263" s="46">
        <v>400</v>
      </c>
      <c r="AB263" s="46">
        <v>400</v>
      </c>
      <c r="AC263" s="46">
        <v>400</v>
      </c>
      <c r="AD263" s="46">
        <v>400</v>
      </c>
      <c r="AE263" s="46">
        <v>400</v>
      </c>
      <c r="AF263" s="46">
        <v>400</v>
      </c>
      <c r="AG263" s="46">
        <v>400</v>
      </c>
      <c r="AH263" s="46">
        <v>400</v>
      </c>
      <c r="AI263" s="46">
        <v>400</v>
      </c>
      <c r="AJ263" s="46">
        <v>400</v>
      </c>
      <c r="AK263" s="47">
        <f t="shared" si="34"/>
        <v>4800</v>
      </c>
      <c r="AL263" s="46">
        <v>400</v>
      </c>
      <c r="AM263" s="46">
        <v>400</v>
      </c>
      <c r="AN263" s="46">
        <v>400</v>
      </c>
      <c r="AO263" s="46">
        <v>400</v>
      </c>
      <c r="AP263" s="46">
        <v>400</v>
      </c>
      <c r="AQ263" s="46">
        <v>400</v>
      </c>
      <c r="AR263" s="46">
        <v>400</v>
      </c>
      <c r="AS263" s="46">
        <v>400</v>
      </c>
      <c r="AT263" s="46">
        <v>400</v>
      </c>
      <c r="AU263" s="46">
        <v>400</v>
      </c>
      <c r="AV263" s="46">
        <v>400</v>
      </c>
      <c r="AW263" s="46">
        <v>400</v>
      </c>
      <c r="AX263" s="47">
        <f t="shared" si="35"/>
        <v>4800</v>
      </c>
      <c r="AY263" s="313">
        <f>SUMIF(Recibos!$D$4:$D$7493,Cobranza!$B263,Recibos!K$4:K$7493)</f>
        <v>400</v>
      </c>
      <c r="AZ263" s="313">
        <f>SUMIF(Recibos!$D$4:$D$7493,Cobranza!$B263,Recibos!L$4:L$7493)</f>
        <v>400</v>
      </c>
      <c r="BA263" s="313">
        <f>SUMIF(Recibos!$D$4:$D$7493,Cobranza!$B263,Recibos!M$4:M$7493)</f>
        <v>400</v>
      </c>
      <c r="BB263" s="313">
        <f>SUMIF(Recibos!$D$4:$D$7493,Cobranza!$B263,Recibos!N$4:N$7493)</f>
        <v>400</v>
      </c>
      <c r="BC263" s="313">
        <f>SUMIF(Recibos!$D$4:$D$7493,Cobranza!$B263,Recibos!O$4:O$7493)</f>
        <v>400</v>
      </c>
      <c r="BD263" s="313">
        <f>SUMIF(Recibos!$D$4:$D$7493,Cobranza!$B263,Recibos!P$4:P$7493)</f>
        <v>0</v>
      </c>
      <c r="BE263" s="313">
        <f>SUMIF(Recibos!$D$4:$D$7493,Cobranza!$B263,Recibos!Q$4:Q$7493)</f>
        <v>400</v>
      </c>
      <c r="BF263" s="313">
        <f>SUMIF(Recibos!$D$4:$D$7493,Cobranza!$B263,Recibos!R$4:R$7493)</f>
        <v>400</v>
      </c>
      <c r="BG263" s="313">
        <f>SUMIF(Recibos!$D$4:$D$7493,Cobranza!$B263,Recibos!S$4:S$7493)</f>
        <v>800</v>
      </c>
      <c r="BH263" s="313">
        <f>SUMIF(Recibos!$D$4:$D$7493,Cobranza!$B263,Recibos!T$4:T$7493)</f>
        <v>400</v>
      </c>
      <c r="BI263" s="313">
        <f>SUMIF(Recibos!$D$4:$D$7493,Cobranza!$B263,Recibos!U$4:U$7493)</f>
        <v>400</v>
      </c>
      <c r="BJ263" s="313">
        <f>SUMIF(Recibos!$D$4:$D$7493,Cobranza!$B263,Recibos!V$4:V$7493)</f>
        <v>400</v>
      </c>
      <c r="BK263" s="314">
        <f t="shared" si="36"/>
        <v>4800</v>
      </c>
      <c r="BL263" s="313">
        <f>SUMIF(Recibos!$D$4:$D$7493,Cobranza!$B263,Recibos!X$4:X$7493)</f>
        <v>400</v>
      </c>
      <c r="BM263" s="313">
        <f>SUMIF(Recibos!$D$4:$D$7493,Cobranza!$B263,Recibos!Y$4:Y$7493)</f>
        <v>400</v>
      </c>
      <c r="BN263" s="313">
        <f>SUMIF(Recibos!$D$4:$D$7493,Cobranza!$B263,Recibos!Z$4:Z$7493)</f>
        <v>400</v>
      </c>
      <c r="BO263" s="313">
        <f>SUMIF(Recibos!$D$4:$D$7493,Cobranza!$B263,Recibos!AA$4:AA$7493)</f>
        <v>400</v>
      </c>
      <c r="BP263" s="313">
        <f>SUMIF(Recibos!$D$4:$D$7493,Cobranza!$B263,Recibos!AB$4:AB$7493)</f>
        <v>400</v>
      </c>
      <c r="BQ263" s="313">
        <f>SUMIF(Recibos!$D$4:$D$7493,Cobranza!$B263,Recibos!AC$4:AC$7493)</f>
        <v>400</v>
      </c>
      <c r="BR263" s="313">
        <f>SUMIF(Recibos!$D$4:$D$7493,Cobranza!$B263,Recibos!AD$4:AD$7493)</f>
        <v>400</v>
      </c>
      <c r="BS263" s="313">
        <f>SUMIF(Recibos!$D$4:$D$7493,Cobranza!$B263,Recibos!AE$4:AE$7493)</f>
        <v>400</v>
      </c>
      <c r="BT263" s="313">
        <f>SUMIF(Recibos!$D$4:$D$7493,Cobranza!$B263,Recibos!AF$4:AF$7493)</f>
        <v>400</v>
      </c>
      <c r="BU263" s="313">
        <f>SUMIF(Recibos!$D$4:$D$7493,Cobranza!$B263,Recibos!AG$4:AG$7493)</f>
        <v>400</v>
      </c>
      <c r="BV263" s="313">
        <f>SUMIF(Recibos!$D$4:$D$7493,Cobranza!$B263,Recibos!AH$4:AH$7493)</f>
        <v>400</v>
      </c>
      <c r="BW263" s="313">
        <f>SUMIF(Recibos!$D$4:$D$7493,Cobranza!$B263,Recibos!AI$4:AI$7493)</f>
        <v>400</v>
      </c>
      <c r="BX263" s="314">
        <f t="shared" si="37"/>
        <v>4800</v>
      </c>
      <c r="BY263" s="313">
        <f>SUMIF(Recibos!$D$4:$D$7493,Cobranza!$B263,Recibos!AK$4:AK$7493)</f>
        <v>400</v>
      </c>
      <c r="BZ263" s="313">
        <f>SUMIF(Recibos!$D$4:$D$7493,Cobranza!$B263,Recibos!AL$4:AL$7493)</f>
        <v>400</v>
      </c>
      <c r="CA263" s="313">
        <f>SUMIF(Recibos!$D$4:$D$7493,Cobranza!$B263,Recibos!AM$4:AM$7493)</f>
        <v>400</v>
      </c>
      <c r="CB263" s="313">
        <f>SUMIF(Recibos!$D$4:$D$7493,Cobranza!$B263,Recibos!AN$4:AN$7493)</f>
        <v>400</v>
      </c>
      <c r="CC263" s="313">
        <f>SUMIF(Recibos!$D$4:$D$7493,Cobranza!$B263,Recibos!AO$4:AO$7493)</f>
        <v>400</v>
      </c>
      <c r="CD263" s="313">
        <f>SUMIF(Recibos!$D$4:$D$7493,Cobranza!$B263,Recibos!AP$4:AP$7493)</f>
        <v>400</v>
      </c>
      <c r="CE263" s="313">
        <f>SUMIF(Recibos!$D$4:$D$7493,Cobranza!$B263,Recibos!AQ$4:AQ$7493)</f>
        <v>400</v>
      </c>
      <c r="CF263" s="313">
        <f>SUMIF(Recibos!$D$4:$D$7493,Cobranza!$B263,Recibos!AR$4:AR$7493)</f>
        <v>400</v>
      </c>
      <c r="CG263" s="313">
        <f>SUMIF(Recibos!$D$4:$D$7493,Cobranza!$B263,Recibos!AS$4:AS$7493)</f>
        <v>400</v>
      </c>
      <c r="CH263" s="313">
        <f>SUMIF(Recibos!$D$4:$D$7493,Cobranza!$B263,Recibos!AT$4:AT$7493)</f>
        <v>0</v>
      </c>
      <c r="CI263" s="313">
        <f>SUMIF(Recibos!$D$4:$D$7493,Cobranza!$B263,Recibos!AU$4:AU$7493)</f>
        <v>0</v>
      </c>
      <c r="CJ263" s="313">
        <f>SUMIF(Recibos!$D$4:$D$7493,Cobranza!$B263,Recibos!AV$4:AV$7493)</f>
        <v>0</v>
      </c>
      <c r="CK263" s="314">
        <f t="shared" si="31"/>
        <v>3600</v>
      </c>
    </row>
    <row r="264" spans="2:89" x14ac:dyDescent="0.2">
      <c r="B264" s="42" t="s">
        <v>814</v>
      </c>
      <c r="C264" s="42" t="s">
        <v>815</v>
      </c>
      <c r="D264" s="42" t="s">
        <v>1177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300</v>
      </c>
      <c r="K264" s="44">
        <f t="shared" si="32"/>
        <v>300</v>
      </c>
      <c r="L264" s="43">
        <v>300</v>
      </c>
      <c r="M264" s="43">
        <v>300</v>
      </c>
      <c r="N264" s="43">
        <v>300</v>
      </c>
      <c r="O264" s="43">
        <v>300</v>
      </c>
      <c r="P264" s="43">
        <v>300</v>
      </c>
      <c r="Q264" s="43">
        <v>300</v>
      </c>
      <c r="R264" s="43">
        <v>300</v>
      </c>
      <c r="S264" s="43">
        <v>300</v>
      </c>
      <c r="T264" s="43">
        <v>300</v>
      </c>
      <c r="U264" s="43">
        <v>400</v>
      </c>
      <c r="V264" s="43">
        <v>400</v>
      </c>
      <c r="W264" s="43">
        <v>400</v>
      </c>
      <c r="X264" s="44">
        <f t="shared" si="33"/>
        <v>3900</v>
      </c>
      <c r="Y264" s="43">
        <v>400</v>
      </c>
      <c r="Z264" s="43">
        <v>400</v>
      </c>
      <c r="AA264" s="43">
        <v>400</v>
      </c>
      <c r="AB264" s="43">
        <v>400</v>
      </c>
      <c r="AC264" s="43">
        <v>400</v>
      </c>
      <c r="AD264" s="43">
        <v>400</v>
      </c>
      <c r="AE264" s="43">
        <v>400</v>
      </c>
      <c r="AF264" s="43">
        <v>400</v>
      </c>
      <c r="AG264" s="43">
        <v>400</v>
      </c>
      <c r="AH264" s="43">
        <v>400</v>
      </c>
      <c r="AI264" s="43">
        <v>400</v>
      </c>
      <c r="AJ264" s="43">
        <v>400</v>
      </c>
      <c r="AK264" s="44">
        <f t="shared" si="34"/>
        <v>4800</v>
      </c>
      <c r="AL264" s="43">
        <v>400</v>
      </c>
      <c r="AM264" s="43">
        <v>400</v>
      </c>
      <c r="AN264" s="43">
        <v>400</v>
      </c>
      <c r="AO264" s="43">
        <v>400</v>
      </c>
      <c r="AP264" s="43">
        <v>400</v>
      </c>
      <c r="AQ264" s="43">
        <v>400</v>
      </c>
      <c r="AR264" s="43">
        <v>400</v>
      </c>
      <c r="AS264" s="43">
        <v>400</v>
      </c>
      <c r="AT264" s="43">
        <v>400</v>
      </c>
      <c r="AU264" s="43">
        <v>400</v>
      </c>
      <c r="AV264" s="43">
        <v>400</v>
      </c>
      <c r="AW264" s="43">
        <v>400</v>
      </c>
      <c r="AX264" s="44">
        <f t="shared" si="35"/>
        <v>4800</v>
      </c>
      <c r="AY264" s="311">
        <f>SUMIF(Recibos!$D$4:$D$7493,Cobranza!$B264,Recibos!K$4:K$7493)</f>
        <v>400</v>
      </c>
      <c r="AZ264" s="311">
        <f>SUMIF(Recibos!$D$4:$D$7493,Cobranza!$B264,Recibos!L$4:L$7493)</f>
        <v>400</v>
      </c>
      <c r="BA264" s="311">
        <f>SUMIF(Recibos!$D$4:$D$7493,Cobranza!$B264,Recibos!M$4:M$7493)</f>
        <v>400</v>
      </c>
      <c r="BB264" s="311">
        <f>SUMIF(Recibos!$D$4:$D$7493,Cobranza!$B264,Recibos!N$4:N$7493)</f>
        <v>400</v>
      </c>
      <c r="BC264" s="311">
        <f>SUMIF(Recibos!$D$4:$D$7493,Cobranza!$B264,Recibos!O$4:O$7493)</f>
        <v>400</v>
      </c>
      <c r="BD264" s="311">
        <f>SUMIF(Recibos!$D$4:$D$7493,Cobranza!$B264,Recibos!P$4:P$7493)</f>
        <v>400</v>
      </c>
      <c r="BE264" s="311">
        <f>SUMIF(Recibos!$D$4:$D$7493,Cobranza!$B264,Recibos!Q$4:Q$7493)</f>
        <v>400</v>
      </c>
      <c r="BF264" s="311">
        <f>SUMIF(Recibos!$D$4:$D$7493,Cobranza!$B264,Recibos!R$4:R$7493)</f>
        <v>400</v>
      </c>
      <c r="BG264" s="311">
        <f>SUMIF(Recibos!$D$4:$D$7493,Cobranza!$B264,Recibos!S$4:S$7493)</f>
        <v>400</v>
      </c>
      <c r="BH264" s="311">
        <f>SUMIF(Recibos!$D$4:$D$7493,Cobranza!$B264,Recibos!T$4:T$7493)</f>
        <v>400</v>
      </c>
      <c r="BI264" s="311">
        <f>SUMIF(Recibos!$D$4:$D$7493,Cobranza!$B264,Recibos!U$4:U$7493)</f>
        <v>400</v>
      </c>
      <c r="BJ264" s="311">
        <f>SUMIF(Recibos!$D$4:$D$7493,Cobranza!$B264,Recibos!V$4:V$7493)</f>
        <v>400</v>
      </c>
      <c r="BK264" s="312">
        <f t="shared" si="36"/>
        <v>4800</v>
      </c>
      <c r="BL264" s="311">
        <f>SUMIF(Recibos!$D$4:$D$7493,Cobranza!$B264,Recibos!X$4:X$7493)</f>
        <v>400</v>
      </c>
      <c r="BM264" s="311">
        <f>SUMIF(Recibos!$D$4:$D$7493,Cobranza!$B264,Recibos!Y$4:Y$7493)</f>
        <v>400</v>
      </c>
      <c r="BN264" s="311">
        <f>SUMIF(Recibos!$D$4:$D$7493,Cobranza!$B264,Recibos!Z$4:Z$7493)</f>
        <v>400</v>
      </c>
      <c r="BO264" s="311">
        <f>SUMIF(Recibos!$D$4:$D$7493,Cobranza!$B264,Recibos!AA$4:AA$7493)</f>
        <v>400</v>
      </c>
      <c r="BP264" s="311">
        <f>SUMIF(Recibos!$D$4:$D$7493,Cobranza!$B264,Recibos!AB$4:AB$7493)</f>
        <v>400</v>
      </c>
      <c r="BQ264" s="311">
        <f>SUMIF(Recibos!$D$4:$D$7493,Cobranza!$B264,Recibos!AC$4:AC$7493)</f>
        <v>400</v>
      </c>
      <c r="BR264" s="311">
        <f>SUMIF(Recibos!$D$4:$D$7493,Cobranza!$B264,Recibos!AD$4:AD$7493)</f>
        <v>400</v>
      </c>
      <c r="BS264" s="311">
        <f>SUMIF(Recibos!$D$4:$D$7493,Cobranza!$B264,Recibos!AE$4:AE$7493)</f>
        <v>400</v>
      </c>
      <c r="BT264" s="311">
        <f>SUMIF(Recibos!$D$4:$D$7493,Cobranza!$B264,Recibos!AF$4:AF$7493)</f>
        <v>400</v>
      </c>
      <c r="BU264" s="311">
        <f>SUMIF(Recibos!$D$4:$D$7493,Cobranza!$B264,Recibos!AG$4:AG$7493)</f>
        <v>400</v>
      </c>
      <c r="BV264" s="311">
        <f>SUMIF(Recibos!$D$4:$D$7493,Cobranza!$B264,Recibos!AH$4:AH$7493)</f>
        <v>400</v>
      </c>
      <c r="BW264" s="311">
        <f>SUMIF(Recibos!$D$4:$D$7493,Cobranza!$B264,Recibos!AI$4:AI$7493)</f>
        <v>400</v>
      </c>
      <c r="BX264" s="312">
        <f t="shared" si="37"/>
        <v>4800</v>
      </c>
      <c r="BY264" s="311">
        <f>SUMIF(Recibos!$D$4:$D$7493,Cobranza!$B264,Recibos!AK$4:AK$7493)</f>
        <v>400</v>
      </c>
      <c r="BZ264" s="311">
        <f>SUMIF(Recibos!$D$4:$D$7493,Cobranza!$B264,Recibos!AL$4:AL$7493)</f>
        <v>400</v>
      </c>
      <c r="CA264" s="311">
        <f>SUMIF(Recibos!$D$4:$D$7493,Cobranza!$B264,Recibos!AM$4:AM$7493)</f>
        <v>400</v>
      </c>
      <c r="CB264" s="311">
        <f>SUMIF(Recibos!$D$4:$D$7493,Cobranza!$B264,Recibos!AN$4:AN$7493)</f>
        <v>400</v>
      </c>
      <c r="CC264" s="311">
        <f>SUMIF(Recibos!$D$4:$D$7493,Cobranza!$B264,Recibos!AO$4:AO$7493)</f>
        <v>400</v>
      </c>
      <c r="CD264" s="311">
        <f>SUMIF(Recibos!$D$4:$D$7493,Cobranza!$B264,Recibos!AP$4:AP$7493)</f>
        <v>400</v>
      </c>
      <c r="CE264" s="311">
        <f>SUMIF(Recibos!$D$4:$D$7493,Cobranza!$B264,Recibos!AQ$4:AQ$7493)</f>
        <v>400</v>
      </c>
      <c r="CF264" s="311">
        <f>SUMIF(Recibos!$D$4:$D$7493,Cobranza!$B264,Recibos!AR$4:AR$7493)</f>
        <v>400</v>
      </c>
      <c r="CG264" s="311">
        <f>SUMIF(Recibos!$D$4:$D$7493,Cobranza!$B264,Recibos!AS$4:AS$7493)</f>
        <v>400</v>
      </c>
      <c r="CH264" s="311">
        <f>SUMIF(Recibos!$D$4:$D$7493,Cobranza!$B264,Recibos!AT$4:AT$7493)</f>
        <v>0</v>
      </c>
      <c r="CI264" s="311">
        <f>SUMIF(Recibos!$D$4:$D$7493,Cobranza!$B264,Recibos!AU$4:AU$7493)</f>
        <v>0</v>
      </c>
      <c r="CJ264" s="311">
        <f>SUMIF(Recibos!$D$4:$D$7493,Cobranza!$B264,Recibos!AV$4:AV$7493)</f>
        <v>0</v>
      </c>
      <c r="CK264" s="312">
        <f t="shared" si="31"/>
        <v>3600</v>
      </c>
    </row>
    <row r="265" spans="2:89" x14ac:dyDescent="0.2">
      <c r="B265" s="45" t="s">
        <v>1386</v>
      </c>
      <c r="C265" s="45" t="s">
        <v>1387</v>
      </c>
      <c r="D265" s="45" t="s">
        <v>892</v>
      </c>
      <c r="E265" s="46">
        <v>0</v>
      </c>
      <c r="F265" s="46">
        <v>0</v>
      </c>
      <c r="G265" s="46">
        <v>0</v>
      </c>
      <c r="H265" s="46">
        <v>0</v>
      </c>
      <c r="I265" s="46">
        <v>0</v>
      </c>
      <c r="J265" s="46">
        <v>0</v>
      </c>
      <c r="K265" s="47">
        <f t="shared" si="32"/>
        <v>0</v>
      </c>
      <c r="L265" s="46">
        <v>0</v>
      </c>
      <c r="M265" s="46">
        <v>0</v>
      </c>
      <c r="N265" s="46">
        <v>0</v>
      </c>
      <c r="O265" s="46">
        <v>0</v>
      </c>
      <c r="P265" s="46">
        <v>0</v>
      </c>
      <c r="Q265" s="46">
        <v>0</v>
      </c>
      <c r="R265" s="46">
        <v>0</v>
      </c>
      <c r="S265" s="46">
        <v>0</v>
      </c>
      <c r="T265" s="46">
        <v>0</v>
      </c>
      <c r="U265" s="46">
        <v>0</v>
      </c>
      <c r="V265" s="46">
        <v>0</v>
      </c>
      <c r="W265" s="46">
        <v>0</v>
      </c>
      <c r="X265" s="47">
        <f t="shared" si="33"/>
        <v>0</v>
      </c>
      <c r="Y265" s="46">
        <v>0</v>
      </c>
      <c r="Z265" s="46">
        <v>0</v>
      </c>
      <c r="AA265" s="46">
        <v>0</v>
      </c>
      <c r="AB265" s="46">
        <v>0</v>
      </c>
      <c r="AC265" s="46">
        <v>0</v>
      </c>
      <c r="AD265" s="46">
        <v>0</v>
      </c>
      <c r="AE265" s="46">
        <v>0</v>
      </c>
      <c r="AF265" s="46">
        <v>0</v>
      </c>
      <c r="AG265" s="46">
        <v>0</v>
      </c>
      <c r="AH265" s="46">
        <v>0</v>
      </c>
      <c r="AI265" s="46">
        <v>0</v>
      </c>
      <c r="AJ265" s="46">
        <v>0</v>
      </c>
      <c r="AK265" s="47">
        <f t="shared" si="34"/>
        <v>0</v>
      </c>
      <c r="AL265" s="46">
        <v>0</v>
      </c>
      <c r="AM265" s="46">
        <v>0</v>
      </c>
      <c r="AN265" s="46">
        <v>0</v>
      </c>
      <c r="AO265" s="46">
        <v>0</v>
      </c>
      <c r="AP265" s="46">
        <v>0</v>
      </c>
      <c r="AQ265" s="46">
        <v>0</v>
      </c>
      <c r="AR265" s="46">
        <v>0</v>
      </c>
      <c r="AS265" s="46">
        <v>0</v>
      </c>
      <c r="AT265" s="46">
        <v>0</v>
      </c>
      <c r="AU265" s="46">
        <v>0</v>
      </c>
      <c r="AV265" s="46">
        <v>0</v>
      </c>
      <c r="AW265" s="46">
        <v>0</v>
      </c>
      <c r="AX265" s="47">
        <f t="shared" si="35"/>
        <v>0</v>
      </c>
      <c r="AY265" s="313">
        <f>SUMIF(Recibos!$D$4:$D$7493,Cobranza!$B265,Recibos!K$4:K$7493)</f>
        <v>0</v>
      </c>
      <c r="AZ265" s="313">
        <f>SUMIF(Recibos!$D$4:$D$7493,Cobranza!$B265,Recibos!L$4:L$7493)</f>
        <v>0</v>
      </c>
      <c r="BA265" s="313">
        <f>SUMIF(Recibos!$D$4:$D$7493,Cobranza!$B265,Recibos!M$4:M$7493)</f>
        <v>0</v>
      </c>
      <c r="BB265" s="313">
        <f>SUMIF(Recibos!$D$4:$D$7493,Cobranza!$B265,Recibos!N$4:N$7493)</f>
        <v>0</v>
      </c>
      <c r="BC265" s="313">
        <f>SUMIF(Recibos!$D$4:$D$7493,Cobranza!$B265,Recibos!O$4:O$7493)</f>
        <v>0</v>
      </c>
      <c r="BD265" s="313">
        <f>SUMIF(Recibos!$D$4:$D$7493,Cobranza!$B265,Recibos!P$4:P$7493)</f>
        <v>0</v>
      </c>
      <c r="BE265" s="313">
        <f>SUMIF(Recibos!$D$4:$D$7493,Cobranza!$B265,Recibos!Q$4:Q$7493)</f>
        <v>0</v>
      </c>
      <c r="BF265" s="313">
        <f>SUMIF(Recibos!$D$4:$D$7493,Cobranza!$B265,Recibos!R$4:R$7493)</f>
        <v>0</v>
      </c>
      <c r="BG265" s="313">
        <f>SUMIF(Recibos!$D$4:$D$7493,Cobranza!$B265,Recibos!S$4:S$7493)</f>
        <v>0</v>
      </c>
      <c r="BH265" s="313">
        <f>SUMIF(Recibos!$D$4:$D$7493,Cobranza!$B265,Recibos!T$4:T$7493)</f>
        <v>0</v>
      </c>
      <c r="BI265" s="313">
        <f>SUMIF(Recibos!$D$4:$D$7493,Cobranza!$B265,Recibos!U$4:U$7493)</f>
        <v>0</v>
      </c>
      <c r="BJ265" s="313">
        <f>SUMIF(Recibos!$D$4:$D$7493,Cobranza!$B265,Recibos!V$4:V$7493)</f>
        <v>0</v>
      </c>
      <c r="BK265" s="314">
        <f t="shared" si="36"/>
        <v>0</v>
      </c>
      <c r="BL265" s="313">
        <f>SUMIF(Recibos!$D$4:$D$7493,Cobranza!$B265,Recibos!X$4:X$7493)</f>
        <v>0</v>
      </c>
      <c r="BM265" s="313">
        <f>SUMIF(Recibos!$D$4:$D$7493,Cobranza!$B265,Recibos!Y$4:Y$7493)</f>
        <v>0</v>
      </c>
      <c r="BN265" s="313">
        <f>SUMIF(Recibos!$D$4:$D$7493,Cobranza!$B265,Recibos!Z$4:Z$7493)</f>
        <v>0</v>
      </c>
      <c r="BO265" s="313">
        <f>SUMIF(Recibos!$D$4:$D$7493,Cobranza!$B265,Recibos!AA$4:AA$7493)</f>
        <v>0</v>
      </c>
      <c r="BP265" s="313">
        <f>SUMIF(Recibos!$D$4:$D$7493,Cobranza!$B265,Recibos!AB$4:AB$7493)</f>
        <v>0</v>
      </c>
      <c r="BQ265" s="313">
        <f>SUMIF(Recibos!$D$4:$D$7493,Cobranza!$B265,Recibos!AC$4:AC$7493)</f>
        <v>0</v>
      </c>
      <c r="BR265" s="313">
        <f>SUMIF(Recibos!$D$4:$D$7493,Cobranza!$B265,Recibos!AD$4:AD$7493)</f>
        <v>0</v>
      </c>
      <c r="BS265" s="313">
        <f>SUMIF(Recibos!$D$4:$D$7493,Cobranza!$B265,Recibos!AE$4:AE$7493)</f>
        <v>0</v>
      </c>
      <c r="BT265" s="313">
        <f>SUMIF(Recibos!$D$4:$D$7493,Cobranza!$B265,Recibos!AF$4:AF$7493)</f>
        <v>0</v>
      </c>
      <c r="BU265" s="313">
        <f>SUMIF(Recibos!$D$4:$D$7493,Cobranza!$B265,Recibos!AG$4:AG$7493)</f>
        <v>0</v>
      </c>
      <c r="BV265" s="313">
        <f>SUMIF(Recibos!$D$4:$D$7493,Cobranza!$B265,Recibos!AH$4:AH$7493)</f>
        <v>0</v>
      </c>
      <c r="BW265" s="313">
        <f>SUMIF(Recibos!$D$4:$D$7493,Cobranza!$B265,Recibos!AI$4:AI$7493)</f>
        <v>0</v>
      </c>
      <c r="BX265" s="314">
        <f t="shared" si="37"/>
        <v>0</v>
      </c>
      <c r="BY265" s="313">
        <f>SUMIF(Recibos!$D$4:$D$7493,Cobranza!$B265,Recibos!AK$4:AK$7493)</f>
        <v>0</v>
      </c>
      <c r="BZ265" s="313">
        <f>SUMIF(Recibos!$D$4:$D$7493,Cobranza!$B265,Recibos!AL$4:AL$7493)</f>
        <v>0</v>
      </c>
      <c r="CA265" s="313">
        <f>SUMIF(Recibos!$D$4:$D$7493,Cobranza!$B265,Recibos!AM$4:AM$7493)</f>
        <v>0</v>
      </c>
      <c r="CB265" s="313">
        <f>SUMIF(Recibos!$D$4:$D$7493,Cobranza!$B265,Recibos!AN$4:AN$7493)</f>
        <v>0</v>
      </c>
      <c r="CC265" s="313">
        <f>SUMIF(Recibos!$D$4:$D$7493,Cobranza!$B265,Recibos!AO$4:AO$7493)</f>
        <v>0</v>
      </c>
      <c r="CD265" s="313">
        <f>SUMIF(Recibos!$D$4:$D$7493,Cobranza!$B265,Recibos!AP$4:AP$7493)</f>
        <v>0</v>
      </c>
      <c r="CE265" s="313">
        <f>SUMIF(Recibos!$D$4:$D$7493,Cobranza!$B265,Recibos!AQ$4:AQ$7493)</f>
        <v>0</v>
      </c>
      <c r="CF265" s="313">
        <f>SUMIF(Recibos!$D$4:$D$7493,Cobranza!$B265,Recibos!AR$4:AR$7493)</f>
        <v>0</v>
      </c>
      <c r="CG265" s="313">
        <f>SUMIF(Recibos!$D$4:$D$7493,Cobranza!$B265,Recibos!AS$4:AS$7493)</f>
        <v>0</v>
      </c>
      <c r="CH265" s="313">
        <f>SUMIF(Recibos!$D$4:$D$7493,Cobranza!$B265,Recibos!AT$4:AT$7493)</f>
        <v>0</v>
      </c>
      <c r="CI265" s="313">
        <f>SUMIF(Recibos!$D$4:$D$7493,Cobranza!$B265,Recibos!AU$4:AU$7493)</f>
        <v>0</v>
      </c>
      <c r="CJ265" s="313">
        <f>SUMIF(Recibos!$D$4:$D$7493,Cobranza!$B265,Recibos!AV$4:AV$7493)</f>
        <v>0</v>
      </c>
      <c r="CK265" s="314">
        <f t="shared" si="31"/>
        <v>0</v>
      </c>
    </row>
    <row r="266" spans="2:89" x14ac:dyDescent="0.2">
      <c r="B266" s="42" t="s">
        <v>1388</v>
      </c>
      <c r="C266" s="42" t="s">
        <v>1389</v>
      </c>
      <c r="D266" s="42" t="s">
        <v>1390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4">
        <f t="shared" si="32"/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  <c r="V266" s="43">
        <v>0</v>
      </c>
      <c r="W266" s="43">
        <v>0</v>
      </c>
      <c r="X266" s="44">
        <f t="shared" si="33"/>
        <v>0</v>
      </c>
      <c r="Y266" s="43">
        <v>0</v>
      </c>
      <c r="Z266" s="43">
        <v>0</v>
      </c>
      <c r="AA266" s="43">
        <v>0</v>
      </c>
      <c r="AB266" s="43">
        <v>0</v>
      </c>
      <c r="AC266" s="43">
        <v>0</v>
      </c>
      <c r="AD266" s="43">
        <v>0</v>
      </c>
      <c r="AE266" s="43">
        <v>0</v>
      </c>
      <c r="AF266" s="43">
        <v>0</v>
      </c>
      <c r="AG266" s="43">
        <v>0</v>
      </c>
      <c r="AH266" s="43">
        <v>0</v>
      </c>
      <c r="AI266" s="43">
        <v>0</v>
      </c>
      <c r="AJ266" s="43">
        <v>0</v>
      </c>
      <c r="AK266" s="44">
        <f t="shared" si="34"/>
        <v>0</v>
      </c>
      <c r="AL266" s="43">
        <v>0</v>
      </c>
      <c r="AM266" s="43">
        <v>0</v>
      </c>
      <c r="AN266" s="43">
        <v>0</v>
      </c>
      <c r="AO266" s="43">
        <v>0</v>
      </c>
      <c r="AP266" s="43">
        <v>0</v>
      </c>
      <c r="AQ266" s="43">
        <v>0</v>
      </c>
      <c r="AR266" s="43">
        <v>0</v>
      </c>
      <c r="AS266" s="43">
        <v>0</v>
      </c>
      <c r="AT266" s="43">
        <v>0</v>
      </c>
      <c r="AU266" s="43">
        <v>0</v>
      </c>
      <c r="AV266" s="43">
        <v>0</v>
      </c>
      <c r="AW266" s="43">
        <v>0</v>
      </c>
      <c r="AX266" s="44">
        <f t="shared" si="35"/>
        <v>0</v>
      </c>
      <c r="AY266" s="311">
        <f>SUMIF(Recibos!$D$4:$D$7493,Cobranza!$B266,Recibos!K$4:K$7493)</f>
        <v>0</v>
      </c>
      <c r="AZ266" s="311">
        <f>SUMIF(Recibos!$D$4:$D$7493,Cobranza!$B266,Recibos!L$4:L$7493)</f>
        <v>0</v>
      </c>
      <c r="BA266" s="311">
        <f>SUMIF(Recibos!$D$4:$D$7493,Cobranza!$B266,Recibos!M$4:M$7493)</f>
        <v>0</v>
      </c>
      <c r="BB266" s="311">
        <f>SUMIF(Recibos!$D$4:$D$7493,Cobranza!$B266,Recibos!N$4:N$7493)</f>
        <v>0</v>
      </c>
      <c r="BC266" s="311">
        <f>SUMIF(Recibos!$D$4:$D$7493,Cobranza!$B266,Recibos!O$4:O$7493)</f>
        <v>0</v>
      </c>
      <c r="BD266" s="311">
        <f>SUMIF(Recibos!$D$4:$D$7493,Cobranza!$B266,Recibos!P$4:P$7493)</f>
        <v>0</v>
      </c>
      <c r="BE266" s="311">
        <f>SUMIF(Recibos!$D$4:$D$7493,Cobranza!$B266,Recibos!Q$4:Q$7493)</f>
        <v>0</v>
      </c>
      <c r="BF266" s="311">
        <f>SUMIF(Recibos!$D$4:$D$7493,Cobranza!$B266,Recibos!R$4:R$7493)</f>
        <v>0</v>
      </c>
      <c r="BG266" s="311">
        <f>SUMIF(Recibos!$D$4:$D$7493,Cobranza!$B266,Recibos!S$4:S$7493)</f>
        <v>0</v>
      </c>
      <c r="BH266" s="311">
        <f>SUMIF(Recibos!$D$4:$D$7493,Cobranza!$B266,Recibos!T$4:T$7493)</f>
        <v>0</v>
      </c>
      <c r="BI266" s="311">
        <f>SUMIF(Recibos!$D$4:$D$7493,Cobranza!$B266,Recibos!U$4:U$7493)</f>
        <v>0</v>
      </c>
      <c r="BJ266" s="311">
        <f>SUMIF(Recibos!$D$4:$D$7493,Cobranza!$B266,Recibos!V$4:V$7493)</f>
        <v>0</v>
      </c>
      <c r="BK266" s="312">
        <f t="shared" si="36"/>
        <v>0</v>
      </c>
      <c r="BL266" s="311">
        <f>SUMIF(Recibos!$D$4:$D$7493,Cobranza!$B266,Recibos!X$4:X$7493)</f>
        <v>0</v>
      </c>
      <c r="BM266" s="311">
        <f>SUMIF(Recibos!$D$4:$D$7493,Cobranza!$B266,Recibos!Y$4:Y$7493)</f>
        <v>0</v>
      </c>
      <c r="BN266" s="311">
        <f>SUMIF(Recibos!$D$4:$D$7493,Cobranza!$B266,Recibos!Z$4:Z$7493)</f>
        <v>0</v>
      </c>
      <c r="BO266" s="311">
        <f>SUMIF(Recibos!$D$4:$D$7493,Cobranza!$B266,Recibos!AA$4:AA$7493)</f>
        <v>0</v>
      </c>
      <c r="BP266" s="311">
        <f>SUMIF(Recibos!$D$4:$D$7493,Cobranza!$B266,Recibos!AB$4:AB$7493)</f>
        <v>0</v>
      </c>
      <c r="BQ266" s="311">
        <f>SUMIF(Recibos!$D$4:$D$7493,Cobranza!$B266,Recibos!AC$4:AC$7493)</f>
        <v>0</v>
      </c>
      <c r="BR266" s="311">
        <f>SUMIF(Recibos!$D$4:$D$7493,Cobranza!$B266,Recibos!AD$4:AD$7493)</f>
        <v>0</v>
      </c>
      <c r="BS266" s="311">
        <f>SUMIF(Recibos!$D$4:$D$7493,Cobranza!$B266,Recibos!AE$4:AE$7493)</f>
        <v>0</v>
      </c>
      <c r="BT266" s="311">
        <f>SUMIF(Recibos!$D$4:$D$7493,Cobranza!$B266,Recibos!AF$4:AF$7493)</f>
        <v>0</v>
      </c>
      <c r="BU266" s="311">
        <f>SUMIF(Recibos!$D$4:$D$7493,Cobranza!$B266,Recibos!AG$4:AG$7493)</f>
        <v>0</v>
      </c>
      <c r="BV266" s="311">
        <f>SUMIF(Recibos!$D$4:$D$7493,Cobranza!$B266,Recibos!AH$4:AH$7493)</f>
        <v>0</v>
      </c>
      <c r="BW266" s="311">
        <f>SUMIF(Recibos!$D$4:$D$7493,Cobranza!$B266,Recibos!AI$4:AI$7493)</f>
        <v>0</v>
      </c>
      <c r="BX266" s="312">
        <f t="shared" si="37"/>
        <v>0</v>
      </c>
      <c r="BY266" s="311">
        <f>SUMIF(Recibos!$D$4:$D$7493,Cobranza!$B266,Recibos!AK$4:AK$7493)</f>
        <v>0</v>
      </c>
      <c r="BZ266" s="311">
        <f>SUMIF(Recibos!$D$4:$D$7493,Cobranza!$B266,Recibos!AL$4:AL$7493)</f>
        <v>0</v>
      </c>
      <c r="CA266" s="311">
        <f>SUMIF(Recibos!$D$4:$D$7493,Cobranza!$B266,Recibos!AM$4:AM$7493)</f>
        <v>0</v>
      </c>
      <c r="CB266" s="311">
        <f>SUMIF(Recibos!$D$4:$D$7493,Cobranza!$B266,Recibos!AN$4:AN$7493)</f>
        <v>0</v>
      </c>
      <c r="CC266" s="311">
        <f>SUMIF(Recibos!$D$4:$D$7493,Cobranza!$B266,Recibos!AO$4:AO$7493)</f>
        <v>0</v>
      </c>
      <c r="CD266" s="311">
        <f>SUMIF(Recibos!$D$4:$D$7493,Cobranza!$B266,Recibos!AP$4:AP$7493)</f>
        <v>0</v>
      </c>
      <c r="CE266" s="311">
        <f>SUMIF(Recibos!$D$4:$D$7493,Cobranza!$B266,Recibos!AQ$4:AQ$7493)</f>
        <v>0</v>
      </c>
      <c r="CF266" s="311">
        <f>SUMIF(Recibos!$D$4:$D$7493,Cobranza!$B266,Recibos!AR$4:AR$7493)</f>
        <v>0</v>
      </c>
      <c r="CG266" s="311">
        <f>SUMIF(Recibos!$D$4:$D$7493,Cobranza!$B266,Recibos!AS$4:AS$7493)</f>
        <v>0</v>
      </c>
      <c r="CH266" s="311">
        <f>SUMIF(Recibos!$D$4:$D$7493,Cobranza!$B266,Recibos!AT$4:AT$7493)</f>
        <v>0</v>
      </c>
      <c r="CI266" s="311">
        <f>SUMIF(Recibos!$D$4:$D$7493,Cobranza!$B266,Recibos!AU$4:AU$7493)</f>
        <v>0</v>
      </c>
      <c r="CJ266" s="311">
        <f>SUMIF(Recibos!$D$4:$D$7493,Cobranza!$B266,Recibos!AV$4:AV$7493)</f>
        <v>0</v>
      </c>
      <c r="CK266" s="312">
        <f t="shared" ref="CK266:CK330" si="38">SUM(BY266:CJ266)</f>
        <v>0</v>
      </c>
    </row>
    <row r="267" spans="2:89" x14ac:dyDescent="0.2">
      <c r="B267" s="45" t="s">
        <v>628</v>
      </c>
      <c r="C267" s="45" t="s">
        <v>629</v>
      </c>
      <c r="D267" s="45" t="s">
        <v>630</v>
      </c>
      <c r="E267" s="46">
        <v>0</v>
      </c>
      <c r="F267" s="46">
        <v>0</v>
      </c>
      <c r="G267" s="46">
        <v>0</v>
      </c>
      <c r="H267" s="46">
        <v>0</v>
      </c>
      <c r="I267" s="46">
        <v>0</v>
      </c>
      <c r="J267" s="46">
        <v>300</v>
      </c>
      <c r="K267" s="47">
        <f t="shared" si="32"/>
        <v>300</v>
      </c>
      <c r="L267" s="46">
        <v>300</v>
      </c>
      <c r="M267" s="46">
        <v>300</v>
      </c>
      <c r="N267" s="46">
        <v>300</v>
      </c>
      <c r="O267" s="46">
        <v>300</v>
      </c>
      <c r="P267" s="46">
        <v>300</v>
      </c>
      <c r="Q267" s="46">
        <v>300</v>
      </c>
      <c r="R267" s="46">
        <v>300</v>
      </c>
      <c r="S267" s="46">
        <v>300</v>
      </c>
      <c r="T267" s="46">
        <v>300</v>
      </c>
      <c r="U267" s="46">
        <v>300</v>
      </c>
      <c r="V267" s="46">
        <v>400</v>
      </c>
      <c r="W267" s="46">
        <v>400</v>
      </c>
      <c r="X267" s="47">
        <f t="shared" si="33"/>
        <v>3800</v>
      </c>
      <c r="Y267" s="46">
        <v>400</v>
      </c>
      <c r="Z267" s="46">
        <v>400</v>
      </c>
      <c r="AA267" s="46">
        <v>400</v>
      </c>
      <c r="AB267" s="46">
        <v>400</v>
      </c>
      <c r="AC267" s="46">
        <v>400</v>
      </c>
      <c r="AD267" s="46">
        <v>400</v>
      </c>
      <c r="AE267" s="46">
        <v>400</v>
      </c>
      <c r="AF267" s="46">
        <v>400</v>
      </c>
      <c r="AG267" s="46">
        <v>400</v>
      </c>
      <c r="AH267" s="46">
        <v>400</v>
      </c>
      <c r="AI267" s="46">
        <v>400</v>
      </c>
      <c r="AJ267" s="46">
        <v>400</v>
      </c>
      <c r="AK267" s="47">
        <f t="shared" si="34"/>
        <v>4800</v>
      </c>
      <c r="AL267" s="46">
        <v>400</v>
      </c>
      <c r="AM267" s="46">
        <v>400</v>
      </c>
      <c r="AN267" s="46">
        <v>400</v>
      </c>
      <c r="AO267" s="46">
        <v>400</v>
      </c>
      <c r="AP267" s="46">
        <v>400</v>
      </c>
      <c r="AQ267" s="46">
        <v>400</v>
      </c>
      <c r="AR267" s="46">
        <v>400</v>
      </c>
      <c r="AS267" s="46">
        <v>400</v>
      </c>
      <c r="AT267" s="46">
        <v>400</v>
      </c>
      <c r="AU267" s="46">
        <v>400</v>
      </c>
      <c r="AV267" s="46">
        <v>400</v>
      </c>
      <c r="AW267" s="46">
        <v>400</v>
      </c>
      <c r="AX267" s="47">
        <f t="shared" si="35"/>
        <v>4800</v>
      </c>
      <c r="AY267" s="313">
        <f>SUMIF(Recibos!$D$4:$D$7493,Cobranza!$B267,Recibos!K$4:K$7493)</f>
        <v>800</v>
      </c>
      <c r="AZ267" s="313">
        <f>SUMIF(Recibos!$D$4:$D$7493,Cobranza!$B267,Recibos!L$4:L$7493)</f>
        <v>0</v>
      </c>
      <c r="BA267" s="313">
        <f>SUMIF(Recibos!$D$4:$D$7493,Cobranza!$B267,Recibos!M$4:M$7493)</f>
        <v>400</v>
      </c>
      <c r="BB267" s="313">
        <f>SUMIF(Recibos!$D$4:$D$7493,Cobranza!$B267,Recibos!N$4:N$7493)</f>
        <v>400</v>
      </c>
      <c r="BC267" s="313">
        <f>SUMIF(Recibos!$D$4:$D$7493,Cobranza!$B267,Recibos!O$4:O$7493)</f>
        <v>400</v>
      </c>
      <c r="BD267" s="313">
        <f>SUMIF(Recibos!$D$4:$D$7493,Cobranza!$B267,Recibos!P$4:P$7493)</f>
        <v>400</v>
      </c>
      <c r="BE267" s="313">
        <f>SUMIF(Recibos!$D$4:$D$7493,Cobranza!$B267,Recibos!Q$4:Q$7493)</f>
        <v>400</v>
      </c>
      <c r="BF267" s="313">
        <f>SUMIF(Recibos!$D$4:$D$7493,Cobranza!$B267,Recibos!R$4:R$7493)</f>
        <v>400</v>
      </c>
      <c r="BG267" s="313">
        <f>SUMIF(Recibos!$D$4:$D$7493,Cobranza!$B267,Recibos!S$4:S$7493)</f>
        <v>400</v>
      </c>
      <c r="BH267" s="313">
        <f>SUMIF(Recibos!$D$4:$D$7493,Cobranza!$B267,Recibos!T$4:T$7493)</f>
        <v>400</v>
      </c>
      <c r="BI267" s="313">
        <f>SUMIF(Recibos!$D$4:$D$7493,Cobranza!$B267,Recibos!U$4:U$7493)</f>
        <v>400</v>
      </c>
      <c r="BJ267" s="313">
        <f>SUMIF(Recibos!$D$4:$D$7493,Cobranza!$B267,Recibos!V$4:V$7493)</f>
        <v>400</v>
      </c>
      <c r="BK267" s="314">
        <f t="shared" si="36"/>
        <v>4800</v>
      </c>
      <c r="BL267" s="313">
        <f>SUMIF(Recibos!$D$4:$D$7493,Cobranza!$B267,Recibos!X$4:X$7493)</f>
        <v>400</v>
      </c>
      <c r="BM267" s="313">
        <f>SUMIF(Recibos!$D$4:$D$7493,Cobranza!$B267,Recibos!Y$4:Y$7493)</f>
        <v>400</v>
      </c>
      <c r="BN267" s="313">
        <f>SUMIF(Recibos!$D$4:$D$7493,Cobranza!$B267,Recibos!Z$4:Z$7493)</f>
        <v>400</v>
      </c>
      <c r="BO267" s="313">
        <f>SUMIF(Recibos!$D$4:$D$7493,Cobranza!$B267,Recibos!AA$4:AA$7493)</f>
        <v>400</v>
      </c>
      <c r="BP267" s="313">
        <f>SUMIF(Recibos!$D$4:$D$7493,Cobranza!$B267,Recibos!AB$4:AB$7493)</f>
        <v>400</v>
      </c>
      <c r="BQ267" s="313">
        <f>SUMIF(Recibos!$D$4:$D$7493,Cobranza!$B267,Recibos!AC$4:AC$7493)</f>
        <v>400</v>
      </c>
      <c r="BR267" s="313">
        <f>SUMIF(Recibos!$D$4:$D$7493,Cobranza!$B267,Recibos!AD$4:AD$7493)</f>
        <v>400</v>
      </c>
      <c r="BS267" s="313">
        <f>SUMIF(Recibos!$D$4:$D$7493,Cobranza!$B267,Recibos!AE$4:AE$7493)</f>
        <v>400</v>
      </c>
      <c r="BT267" s="313">
        <f>SUMIF(Recibos!$D$4:$D$7493,Cobranza!$B267,Recibos!AF$4:AF$7493)</f>
        <v>400</v>
      </c>
      <c r="BU267" s="313">
        <f>SUMIF(Recibos!$D$4:$D$7493,Cobranza!$B267,Recibos!AG$4:AG$7493)</f>
        <v>400</v>
      </c>
      <c r="BV267" s="313">
        <f>SUMIF(Recibos!$D$4:$D$7493,Cobranza!$B267,Recibos!AH$4:AH$7493)</f>
        <v>400</v>
      </c>
      <c r="BW267" s="313">
        <f>SUMIF(Recibos!$D$4:$D$7493,Cobranza!$B267,Recibos!AI$4:AI$7493)</f>
        <v>400</v>
      </c>
      <c r="BX267" s="314">
        <f t="shared" si="37"/>
        <v>4800</v>
      </c>
      <c r="BY267" s="313">
        <f>SUMIF(Recibos!$D$4:$D$7493,Cobranza!$B267,Recibos!AK$4:AK$7493)</f>
        <v>400</v>
      </c>
      <c r="BZ267" s="313">
        <f>SUMIF(Recibos!$D$4:$D$7493,Cobranza!$B267,Recibos!AL$4:AL$7493)</f>
        <v>400</v>
      </c>
      <c r="CA267" s="313">
        <f>SUMIF(Recibos!$D$4:$D$7493,Cobranza!$B267,Recibos!AM$4:AM$7493)</f>
        <v>400</v>
      </c>
      <c r="CB267" s="313">
        <f>SUMIF(Recibos!$D$4:$D$7493,Cobranza!$B267,Recibos!AN$4:AN$7493)</f>
        <v>400</v>
      </c>
      <c r="CC267" s="313">
        <f>SUMIF(Recibos!$D$4:$D$7493,Cobranza!$B267,Recibos!AO$4:AO$7493)</f>
        <v>400</v>
      </c>
      <c r="CD267" s="313">
        <f>SUMIF(Recibos!$D$4:$D$7493,Cobranza!$B267,Recibos!AP$4:AP$7493)</f>
        <v>400</v>
      </c>
      <c r="CE267" s="313">
        <f>SUMIF(Recibos!$D$4:$D$7493,Cobranza!$B267,Recibos!AQ$4:AQ$7493)</f>
        <v>400</v>
      </c>
      <c r="CF267" s="313">
        <f>SUMIF(Recibos!$D$4:$D$7493,Cobranza!$B267,Recibos!AR$4:AR$7493)</f>
        <v>400</v>
      </c>
      <c r="CG267" s="313">
        <f>SUMIF(Recibos!$D$4:$D$7493,Cobranza!$B267,Recibos!AS$4:AS$7493)</f>
        <v>400</v>
      </c>
      <c r="CH267" s="313">
        <f>SUMIF(Recibos!$D$4:$D$7493,Cobranza!$B267,Recibos!AT$4:AT$7493)</f>
        <v>400</v>
      </c>
      <c r="CI267" s="313">
        <f>SUMIF(Recibos!$D$4:$D$7493,Cobranza!$B267,Recibos!AU$4:AU$7493)</f>
        <v>0</v>
      </c>
      <c r="CJ267" s="313">
        <f>SUMIF(Recibos!$D$4:$D$7493,Cobranza!$B267,Recibos!AV$4:AV$7493)</f>
        <v>0</v>
      </c>
      <c r="CK267" s="314">
        <f t="shared" si="38"/>
        <v>4000</v>
      </c>
    </row>
    <row r="268" spans="2:89" x14ac:dyDescent="0.2">
      <c r="B268" s="42" t="s">
        <v>1020</v>
      </c>
      <c r="C268" s="42" t="s">
        <v>1021</v>
      </c>
      <c r="D268" s="42" t="s">
        <v>1022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4">
        <f t="shared" si="32"/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0</v>
      </c>
      <c r="W268" s="43">
        <v>0</v>
      </c>
      <c r="X268" s="44">
        <f t="shared" si="33"/>
        <v>0</v>
      </c>
      <c r="Y268" s="43">
        <v>0</v>
      </c>
      <c r="Z268" s="43">
        <v>0</v>
      </c>
      <c r="AA268" s="43">
        <v>0</v>
      </c>
      <c r="AB268" s="43">
        <v>0</v>
      </c>
      <c r="AC268" s="43">
        <v>0</v>
      </c>
      <c r="AD268" s="43">
        <v>0</v>
      </c>
      <c r="AE268" s="43">
        <v>0</v>
      </c>
      <c r="AF268" s="43">
        <v>0</v>
      </c>
      <c r="AG268" s="43">
        <v>0</v>
      </c>
      <c r="AH268" s="43">
        <v>0</v>
      </c>
      <c r="AI268" s="43">
        <v>400</v>
      </c>
      <c r="AJ268" s="43">
        <v>400</v>
      </c>
      <c r="AK268" s="44">
        <f t="shared" si="34"/>
        <v>800</v>
      </c>
      <c r="AL268" s="43">
        <v>0</v>
      </c>
      <c r="AM268" s="43">
        <v>0</v>
      </c>
      <c r="AN268" s="43">
        <v>0</v>
      </c>
      <c r="AO268" s="43">
        <v>0</v>
      </c>
      <c r="AP268" s="43">
        <v>0</v>
      </c>
      <c r="AQ268" s="43">
        <v>0</v>
      </c>
      <c r="AR268" s="43">
        <v>0</v>
      </c>
      <c r="AS268" s="43">
        <v>0</v>
      </c>
      <c r="AT268" s="43">
        <v>0</v>
      </c>
      <c r="AU268" s="43">
        <v>0</v>
      </c>
      <c r="AV268" s="43">
        <v>0</v>
      </c>
      <c r="AW268" s="43">
        <v>0</v>
      </c>
      <c r="AX268" s="44">
        <f t="shared" si="35"/>
        <v>0</v>
      </c>
      <c r="AY268" s="311">
        <f>SUMIF(Recibos!$D$4:$D$7493,Cobranza!$B268,Recibos!K$4:K$7493)</f>
        <v>0</v>
      </c>
      <c r="AZ268" s="311">
        <f>SUMIF(Recibos!$D$4:$D$7493,Cobranza!$B268,Recibos!L$4:L$7493)</f>
        <v>0</v>
      </c>
      <c r="BA268" s="311">
        <f>SUMIF(Recibos!$D$4:$D$7493,Cobranza!$B268,Recibos!M$4:M$7493)</f>
        <v>0</v>
      </c>
      <c r="BB268" s="311">
        <f>SUMIF(Recibos!$D$4:$D$7493,Cobranza!$B268,Recibos!N$4:N$7493)</f>
        <v>400</v>
      </c>
      <c r="BC268" s="311">
        <f>SUMIF(Recibos!$D$4:$D$7493,Cobranza!$B268,Recibos!O$4:O$7493)</f>
        <v>400</v>
      </c>
      <c r="BD268" s="311">
        <f>SUMIF(Recibos!$D$4:$D$7493,Cobranza!$B268,Recibos!P$4:P$7493)</f>
        <v>400</v>
      </c>
      <c r="BE268" s="311">
        <f>SUMIF(Recibos!$D$4:$D$7493,Cobranza!$B268,Recibos!Q$4:Q$7493)</f>
        <v>400</v>
      </c>
      <c r="BF268" s="311">
        <f>SUMIF(Recibos!$D$4:$D$7493,Cobranza!$B268,Recibos!R$4:R$7493)</f>
        <v>400</v>
      </c>
      <c r="BG268" s="311">
        <f>SUMIF(Recibos!$D$4:$D$7493,Cobranza!$B268,Recibos!S$4:S$7493)</f>
        <v>400</v>
      </c>
      <c r="BH268" s="311">
        <f>SUMIF(Recibos!$D$4:$D$7493,Cobranza!$B268,Recibos!T$4:T$7493)</f>
        <v>400</v>
      </c>
      <c r="BI268" s="311">
        <f>SUMIF(Recibos!$D$4:$D$7493,Cobranza!$B268,Recibos!U$4:U$7493)</f>
        <v>400</v>
      </c>
      <c r="BJ268" s="311">
        <f>SUMIF(Recibos!$D$4:$D$7493,Cobranza!$B268,Recibos!V$4:V$7493)</f>
        <v>400</v>
      </c>
      <c r="BK268" s="312">
        <f t="shared" si="36"/>
        <v>3600</v>
      </c>
      <c r="BL268" s="311">
        <f>SUMIF(Recibos!$D$4:$D$7493,Cobranza!$B268,Recibos!X$4:X$7493)</f>
        <v>400</v>
      </c>
      <c r="BM268" s="311">
        <f>SUMIF(Recibos!$D$4:$D$7493,Cobranza!$B268,Recibos!Y$4:Y$7493)</f>
        <v>400</v>
      </c>
      <c r="BN268" s="311">
        <f>SUMIF(Recibos!$D$4:$D$7493,Cobranza!$B268,Recibos!Z$4:Z$7493)</f>
        <v>400</v>
      </c>
      <c r="BO268" s="311">
        <f>SUMIF(Recibos!$D$4:$D$7493,Cobranza!$B268,Recibos!AA$4:AA$7493)</f>
        <v>400</v>
      </c>
      <c r="BP268" s="311">
        <f>SUMIF(Recibos!$D$4:$D$7493,Cobranza!$B268,Recibos!AB$4:AB$7493)</f>
        <v>400</v>
      </c>
      <c r="BQ268" s="311">
        <f>SUMIF(Recibos!$D$4:$D$7493,Cobranza!$B268,Recibos!AC$4:AC$7493)</f>
        <v>400</v>
      </c>
      <c r="BR268" s="311">
        <f>SUMIF(Recibos!$D$4:$D$7493,Cobranza!$B268,Recibos!AD$4:AD$7493)</f>
        <v>400</v>
      </c>
      <c r="BS268" s="311">
        <f>SUMIF(Recibos!$D$4:$D$7493,Cobranza!$B268,Recibos!AE$4:AE$7493)</f>
        <v>400</v>
      </c>
      <c r="BT268" s="311">
        <f>SUMIF(Recibos!$D$4:$D$7493,Cobranza!$B268,Recibos!AF$4:AF$7493)</f>
        <v>400</v>
      </c>
      <c r="BU268" s="311">
        <f>SUMIF(Recibos!$D$4:$D$7493,Cobranza!$B268,Recibos!AG$4:AG$7493)</f>
        <v>400</v>
      </c>
      <c r="BV268" s="311">
        <f>SUMIF(Recibos!$D$4:$D$7493,Cobranza!$B268,Recibos!AH$4:AH$7493)</f>
        <v>400</v>
      </c>
      <c r="BW268" s="311">
        <f>SUMIF(Recibos!$D$4:$D$7493,Cobranza!$B268,Recibos!AI$4:AI$7493)</f>
        <v>400</v>
      </c>
      <c r="BX268" s="312">
        <f t="shared" si="37"/>
        <v>4800</v>
      </c>
      <c r="BY268" s="311">
        <f>SUMIF(Recibos!$D$4:$D$7493,Cobranza!$B268,Recibos!AK$4:AK$7493)</f>
        <v>400</v>
      </c>
      <c r="BZ268" s="311">
        <f>SUMIF(Recibos!$D$4:$D$7493,Cobranza!$B268,Recibos!AL$4:AL$7493)</f>
        <v>400</v>
      </c>
      <c r="CA268" s="311">
        <f>SUMIF(Recibos!$D$4:$D$7493,Cobranza!$B268,Recibos!AM$4:AM$7493)</f>
        <v>400</v>
      </c>
      <c r="CB268" s="311">
        <f>SUMIF(Recibos!$D$4:$D$7493,Cobranza!$B268,Recibos!AN$4:AN$7493)</f>
        <v>400</v>
      </c>
      <c r="CC268" s="311">
        <f>SUMIF(Recibos!$D$4:$D$7493,Cobranza!$B268,Recibos!AO$4:AO$7493)</f>
        <v>400</v>
      </c>
      <c r="CD268" s="311">
        <f>SUMIF(Recibos!$D$4:$D$7493,Cobranza!$B268,Recibos!AP$4:AP$7493)</f>
        <v>0</v>
      </c>
      <c r="CE268" s="311">
        <f>SUMIF(Recibos!$D$4:$D$7493,Cobranza!$B268,Recibos!AQ$4:AQ$7493)</f>
        <v>0</v>
      </c>
      <c r="CF268" s="311">
        <f>SUMIF(Recibos!$D$4:$D$7493,Cobranza!$B268,Recibos!AR$4:AR$7493)</f>
        <v>0</v>
      </c>
      <c r="CG268" s="311">
        <f>SUMIF(Recibos!$D$4:$D$7493,Cobranza!$B268,Recibos!AS$4:AS$7493)</f>
        <v>0</v>
      </c>
      <c r="CH268" s="311">
        <f>SUMIF(Recibos!$D$4:$D$7493,Cobranza!$B268,Recibos!AT$4:AT$7493)</f>
        <v>0</v>
      </c>
      <c r="CI268" s="311">
        <f>SUMIF(Recibos!$D$4:$D$7493,Cobranza!$B268,Recibos!AU$4:AU$7493)</f>
        <v>0</v>
      </c>
      <c r="CJ268" s="311">
        <f>SUMIF(Recibos!$D$4:$D$7493,Cobranza!$B268,Recibos!AV$4:AV$7493)</f>
        <v>0</v>
      </c>
      <c r="CK268" s="312">
        <f t="shared" si="38"/>
        <v>2000</v>
      </c>
    </row>
    <row r="269" spans="2:89" x14ac:dyDescent="0.2">
      <c r="B269" s="45" t="s">
        <v>1167</v>
      </c>
      <c r="C269" s="45" t="s">
        <v>1168</v>
      </c>
      <c r="D269" s="45" t="s">
        <v>1169</v>
      </c>
      <c r="E269" s="46">
        <v>0</v>
      </c>
      <c r="F269" s="46">
        <v>0</v>
      </c>
      <c r="G269" s="46">
        <v>0</v>
      </c>
      <c r="H269" s="46">
        <v>0</v>
      </c>
      <c r="I269" s="46">
        <v>0</v>
      </c>
      <c r="J269" s="46">
        <v>0</v>
      </c>
      <c r="K269" s="47">
        <f t="shared" ref="K269:K333" si="39">SUM(E269:J269)</f>
        <v>0</v>
      </c>
      <c r="L269" s="46">
        <v>0</v>
      </c>
      <c r="M269" s="46">
        <v>0</v>
      </c>
      <c r="N269" s="46">
        <v>0</v>
      </c>
      <c r="O269" s="46">
        <v>0</v>
      </c>
      <c r="P269" s="46">
        <v>0</v>
      </c>
      <c r="Q269" s="46">
        <v>0</v>
      </c>
      <c r="R269" s="46">
        <v>0</v>
      </c>
      <c r="S269" s="46">
        <v>0</v>
      </c>
      <c r="T269" s="46">
        <v>0</v>
      </c>
      <c r="U269" s="46">
        <v>0</v>
      </c>
      <c r="V269" s="46">
        <v>0</v>
      </c>
      <c r="W269" s="46">
        <v>0</v>
      </c>
      <c r="X269" s="47">
        <f t="shared" ref="X269:X333" si="40">SUM(L269:W269)</f>
        <v>0</v>
      </c>
      <c r="Y269" s="46">
        <v>0</v>
      </c>
      <c r="Z269" s="46">
        <v>0</v>
      </c>
      <c r="AA269" s="46">
        <v>0</v>
      </c>
      <c r="AB269" s="46">
        <v>0</v>
      </c>
      <c r="AC269" s="46">
        <v>0</v>
      </c>
      <c r="AD269" s="46">
        <v>0</v>
      </c>
      <c r="AE269" s="46">
        <v>0</v>
      </c>
      <c r="AF269" s="46">
        <v>0</v>
      </c>
      <c r="AG269" s="46">
        <v>0</v>
      </c>
      <c r="AH269" s="46">
        <v>400</v>
      </c>
      <c r="AI269" s="46">
        <v>0</v>
      </c>
      <c r="AJ269" s="46">
        <v>0</v>
      </c>
      <c r="AK269" s="47">
        <f t="shared" ref="AK269:AK333" si="41">SUM(Y269:AJ269)</f>
        <v>400</v>
      </c>
      <c r="AL269" s="46">
        <v>0</v>
      </c>
      <c r="AM269" s="46">
        <v>0</v>
      </c>
      <c r="AN269" s="46">
        <v>0</v>
      </c>
      <c r="AO269" s="46">
        <v>0</v>
      </c>
      <c r="AP269" s="46">
        <v>0</v>
      </c>
      <c r="AQ269" s="46">
        <v>0</v>
      </c>
      <c r="AR269" s="46">
        <v>0</v>
      </c>
      <c r="AS269" s="46">
        <v>0</v>
      </c>
      <c r="AT269" s="46">
        <v>0</v>
      </c>
      <c r="AU269" s="46">
        <v>0</v>
      </c>
      <c r="AV269" s="46">
        <v>0</v>
      </c>
      <c r="AW269" s="46">
        <v>0</v>
      </c>
      <c r="AX269" s="47">
        <f t="shared" ref="AX269:AX333" si="42">SUM(AL269:AW269)</f>
        <v>0</v>
      </c>
      <c r="AY269" s="313">
        <f>SUMIF(Recibos!$D$4:$D$7493,Cobranza!$B269,Recibos!K$4:K$7493)</f>
        <v>400</v>
      </c>
      <c r="AZ269" s="313">
        <f>SUMIF(Recibos!$D$4:$D$7493,Cobranza!$B269,Recibos!L$4:L$7493)</f>
        <v>400</v>
      </c>
      <c r="BA269" s="313">
        <f>SUMIF(Recibos!$D$4:$D$7493,Cobranza!$B269,Recibos!M$4:M$7493)</f>
        <v>400</v>
      </c>
      <c r="BB269" s="313">
        <f>SUMIF(Recibos!$D$4:$D$7493,Cobranza!$B269,Recibos!N$4:N$7493)</f>
        <v>400</v>
      </c>
      <c r="BC269" s="313">
        <f>SUMIF(Recibos!$D$4:$D$7493,Cobranza!$B269,Recibos!O$4:O$7493)</f>
        <v>400</v>
      </c>
      <c r="BD269" s="313">
        <f>SUMIF(Recibos!$D$4:$D$7493,Cobranza!$B269,Recibos!P$4:P$7493)</f>
        <v>400</v>
      </c>
      <c r="BE269" s="313">
        <f>SUMIF(Recibos!$D$4:$D$7493,Cobranza!$B269,Recibos!Q$4:Q$7493)</f>
        <v>400</v>
      </c>
      <c r="BF269" s="313">
        <f>SUMIF(Recibos!$D$4:$D$7493,Cobranza!$B269,Recibos!R$4:R$7493)</f>
        <v>400</v>
      </c>
      <c r="BG269" s="313">
        <f>SUMIF(Recibos!$D$4:$D$7493,Cobranza!$B269,Recibos!S$4:S$7493)</f>
        <v>400</v>
      </c>
      <c r="BH269" s="313">
        <f>SUMIF(Recibos!$D$4:$D$7493,Cobranza!$B269,Recibos!T$4:T$7493)</f>
        <v>400</v>
      </c>
      <c r="BI269" s="313">
        <f>SUMIF(Recibos!$D$4:$D$7493,Cobranza!$B269,Recibos!U$4:U$7493)</f>
        <v>0</v>
      </c>
      <c r="BJ269" s="313">
        <f>SUMIF(Recibos!$D$4:$D$7493,Cobranza!$B269,Recibos!V$4:V$7493)</f>
        <v>400</v>
      </c>
      <c r="BK269" s="314">
        <f t="shared" si="36"/>
        <v>4400</v>
      </c>
      <c r="BL269" s="313">
        <f>SUMIF(Recibos!$D$4:$D$7493,Cobranza!$B269,Recibos!X$4:X$7493)</f>
        <v>400</v>
      </c>
      <c r="BM269" s="313">
        <f>SUMIF(Recibos!$D$4:$D$7493,Cobranza!$B269,Recibos!Y$4:Y$7493)</f>
        <v>400</v>
      </c>
      <c r="BN269" s="313">
        <f>SUMIF(Recibos!$D$4:$D$7493,Cobranza!$B269,Recibos!Z$4:Z$7493)</f>
        <v>400</v>
      </c>
      <c r="BO269" s="313">
        <f>SUMIF(Recibos!$D$4:$D$7493,Cobranza!$B269,Recibos!AA$4:AA$7493)</f>
        <v>400</v>
      </c>
      <c r="BP269" s="313">
        <f>SUMIF(Recibos!$D$4:$D$7493,Cobranza!$B269,Recibos!AB$4:AB$7493)</f>
        <v>400</v>
      </c>
      <c r="BQ269" s="313">
        <f>SUMIF(Recibos!$D$4:$D$7493,Cobranza!$B269,Recibos!AC$4:AC$7493)</f>
        <v>400</v>
      </c>
      <c r="BR269" s="313">
        <f>SUMIF(Recibos!$D$4:$D$7493,Cobranza!$B269,Recibos!AD$4:AD$7493)</f>
        <v>400</v>
      </c>
      <c r="BS269" s="313">
        <f>SUMIF(Recibos!$D$4:$D$7493,Cobranza!$B269,Recibos!AE$4:AE$7493)</f>
        <v>400</v>
      </c>
      <c r="BT269" s="313">
        <f>SUMIF(Recibos!$D$4:$D$7493,Cobranza!$B269,Recibos!AF$4:AF$7493)</f>
        <v>0</v>
      </c>
      <c r="BU269" s="313">
        <f>SUMIF(Recibos!$D$4:$D$7493,Cobranza!$B269,Recibos!AG$4:AG$7493)</f>
        <v>0</v>
      </c>
      <c r="BV269" s="313">
        <f>SUMIF(Recibos!$D$4:$D$7493,Cobranza!$B269,Recibos!AH$4:AH$7493)</f>
        <v>0</v>
      </c>
      <c r="BW269" s="313">
        <f>SUMIF(Recibos!$D$4:$D$7493,Cobranza!$B269,Recibos!AI$4:AI$7493)</f>
        <v>0</v>
      </c>
      <c r="BX269" s="314">
        <f t="shared" si="37"/>
        <v>3200</v>
      </c>
      <c r="BY269" s="313">
        <f>SUMIF(Recibos!$D$4:$D$7493,Cobranza!$B269,Recibos!AK$4:AK$7493)</f>
        <v>0</v>
      </c>
      <c r="BZ269" s="313">
        <f>SUMIF(Recibos!$D$4:$D$7493,Cobranza!$B269,Recibos!AL$4:AL$7493)</f>
        <v>0</v>
      </c>
      <c r="CA269" s="313">
        <f>SUMIF(Recibos!$D$4:$D$7493,Cobranza!$B269,Recibos!AM$4:AM$7493)</f>
        <v>0</v>
      </c>
      <c r="CB269" s="313">
        <f>SUMIF(Recibos!$D$4:$D$7493,Cobranza!$B269,Recibos!AN$4:AN$7493)</f>
        <v>0</v>
      </c>
      <c r="CC269" s="313">
        <f>SUMIF(Recibos!$D$4:$D$7493,Cobranza!$B269,Recibos!AO$4:AO$7493)</f>
        <v>0</v>
      </c>
      <c r="CD269" s="313">
        <f>SUMIF(Recibos!$D$4:$D$7493,Cobranza!$B269,Recibos!AP$4:AP$7493)</f>
        <v>0</v>
      </c>
      <c r="CE269" s="313">
        <f>SUMIF(Recibos!$D$4:$D$7493,Cobranza!$B269,Recibos!AQ$4:AQ$7493)</f>
        <v>0</v>
      </c>
      <c r="CF269" s="313">
        <f>SUMIF(Recibos!$D$4:$D$7493,Cobranza!$B269,Recibos!AR$4:AR$7493)</f>
        <v>0</v>
      </c>
      <c r="CG269" s="313">
        <f>SUMIF(Recibos!$D$4:$D$7493,Cobranza!$B269,Recibos!AS$4:AS$7493)</f>
        <v>0</v>
      </c>
      <c r="CH269" s="313">
        <f>SUMIF(Recibos!$D$4:$D$7493,Cobranza!$B269,Recibos!AT$4:AT$7493)</f>
        <v>0</v>
      </c>
      <c r="CI269" s="313">
        <f>SUMIF(Recibos!$D$4:$D$7493,Cobranza!$B269,Recibos!AU$4:AU$7493)</f>
        <v>0</v>
      </c>
      <c r="CJ269" s="313">
        <f>SUMIF(Recibos!$D$4:$D$7493,Cobranza!$B269,Recibos!AV$4:AV$7493)</f>
        <v>0</v>
      </c>
      <c r="CK269" s="314">
        <f t="shared" si="38"/>
        <v>0</v>
      </c>
    </row>
    <row r="270" spans="2:89" x14ac:dyDescent="0.2">
      <c r="B270" s="42" t="s">
        <v>1391</v>
      </c>
      <c r="C270" s="42" t="s">
        <v>1392</v>
      </c>
      <c r="D270" s="42" t="s">
        <v>1393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300</v>
      </c>
      <c r="K270" s="44">
        <f t="shared" si="39"/>
        <v>300</v>
      </c>
      <c r="L270" s="43">
        <v>300</v>
      </c>
      <c r="M270" s="43">
        <v>0</v>
      </c>
      <c r="N270" s="43">
        <v>300</v>
      </c>
      <c r="O270" s="43">
        <v>300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  <c r="V270" s="43">
        <v>0</v>
      </c>
      <c r="W270" s="43">
        <v>0</v>
      </c>
      <c r="X270" s="44">
        <f t="shared" si="40"/>
        <v>900</v>
      </c>
      <c r="Y270" s="43">
        <v>0</v>
      </c>
      <c r="Z270" s="43">
        <v>0</v>
      </c>
      <c r="AA270" s="43">
        <v>0</v>
      </c>
      <c r="AB270" s="43">
        <v>0</v>
      </c>
      <c r="AC270" s="43">
        <v>0</v>
      </c>
      <c r="AD270" s="43">
        <v>0</v>
      </c>
      <c r="AE270" s="43">
        <v>0</v>
      </c>
      <c r="AF270" s="43">
        <v>0</v>
      </c>
      <c r="AG270" s="43">
        <v>0</v>
      </c>
      <c r="AH270" s="43">
        <v>0</v>
      </c>
      <c r="AI270" s="43">
        <v>0</v>
      </c>
      <c r="AJ270" s="43">
        <v>0</v>
      </c>
      <c r="AK270" s="44">
        <f t="shared" si="41"/>
        <v>0</v>
      </c>
      <c r="AL270" s="43">
        <v>0</v>
      </c>
      <c r="AM270" s="43">
        <v>0</v>
      </c>
      <c r="AN270" s="43">
        <v>0</v>
      </c>
      <c r="AO270" s="43">
        <v>0</v>
      </c>
      <c r="AP270" s="43">
        <v>0</v>
      </c>
      <c r="AQ270" s="43">
        <v>0</v>
      </c>
      <c r="AR270" s="43">
        <v>0</v>
      </c>
      <c r="AS270" s="43">
        <v>0</v>
      </c>
      <c r="AT270" s="43">
        <v>0</v>
      </c>
      <c r="AU270" s="43">
        <v>0</v>
      </c>
      <c r="AV270" s="43">
        <v>0</v>
      </c>
      <c r="AW270" s="43">
        <v>0</v>
      </c>
      <c r="AX270" s="44">
        <f t="shared" si="42"/>
        <v>0</v>
      </c>
      <c r="AY270" s="311">
        <f>SUMIF(Recibos!$D$4:$D$7493,Cobranza!$B270,Recibos!K$4:K$7493)</f>
        <v>0</v>
      </c>
      <c r="AZ270" s="311">
        <f>SUMIF(Recibos!$D$4:$D$7493,Cobranza!$B270,Recibos!L$4:L$7493)</f>
        <v>0</v>
      </c>
      <c r="BA270" s="311">
        <f>SUMIF(Recibos!$D$4:$D$7493,Cobranza!$B270,Recibos!M$4:M$7493)</f>
        <v>0</v>
      </c>
      <c r="BB270" s="311">
        <f>SUMIF(Recibos!$D$4:$D$7493,Cobranza!$B270,Recibos!N$4:N$7493)</f>
        <v>0</v>
      </c>
      <c r="BC270" s="311">
        <f>SUMIF(Recibos!$D$4:$D$7493,Cobranza!$B270,Recibos!O$4:O$7493)</f>
        <v>0</v>
      </c>
      <c r="BD270" s="311">
        <f>SUMIF(Recibos!$D$4:$D$7493,Cobranza!$B270,Recibos!P$4:P$7493)</f>
        <v>0</v>
      </c>
      <c r="BE270" s="311">
        <f>SUMIF(Recibos!$D$4:$D$7493,Cobranza!$B270,Recibos!Q$4:Q$7493)</f>
        <v>0</v>
      </c>
      <c r="BF270" s="311">
        <f>SUMIF(Recibos!$D$4:$D$7493,Cobranza!$B270,Recibos!R$4:R$7493)</f>
        <v>0</v>
      </c>
      <c r="BG270" s="311">
        <f>SUMIF(Recibos!$D$4:$D$7493,Cobranza!$B270,Recibos!S$4:S$7493)</f>
        <v>0</v>
      </c>
      <c r="BH270" s="311">
        <f>SUMIF(Recibos!$D$4:$D$7493,Cobranza!$B270,Recibos!T$4:T$7493)</f>
        <v>0</v>
      </c>
      <c r="BI270" s="311">
        <f>SUMIF(Recibos!$D$4:$D$7493,Cobranza!$B270,Recibos!U$4:U$7493)</f>
        <v>0</v>
      </c>
      <c r="BJ270" s="311">
        <f>SUMIF(Recibos!$D$4:$D$7493,Cobranza!$B270,Recibos!V$4:V$7493)</f>
        <v>0</v>
      </c>
      <c r="BK270" s="312">
        <f t="shared" si="36"/>
        <v>0</v>
      </c>
      <c r="BL270" s="311">
        <f>SUMIF(Recibos!$D$4:$D$7493,Cobranza!$B270,Recibos!X$4:X$7493)</f>
        <v>0</v>
      </c>
      <c r="BM270" s="311">
        <f>SUMIF(Recibos!$D$4:$D$7493,Cobranza!$B270,Recibos!Y$4:Y$7493)</f>
        <v>0</v>
      </c>
      <c r="BN270" s="311">
        <f>SUMIF(Recibos!$D$4:$D$7493,Cobranza!$B270,Recibos!Z$4:Z$7493)</f>
        <v>0</v>
      </c>
      <c r="BO270" s="311">
        <f>SUMIF(Recibos!$D$4:$D$7493,Cobranza!$B270,Recibos!AA$4:AA$7493)</f>
        <v>0</v>
      </c>
      <c r="BP270" s="311">
        <f>SUMIF(Recibos!$D$4:$D$7493,Cobranza!$B270,Recibos!AB$4:AB$7493)</f>
        <v>0</v>
      </c>
      <c r="BQ270" s="311">
        <f>SUMIF(Recibos!$D$4:$D$7493,Cobranza!$B270,Recibos!AC$4:AC$7493)</f>
        <v>0</v>
      </c>
      <c r="BR270" s="311">
        <f>SUMIF(Recibos!$D$4:$D$7493,Cobranza!$B270,Recibos!AD$4:AD$7493)</f>
        <v>0</v>
      </c>
      <c r="BS270" s="311">
        <f>SUMIF(Recibos!$D$4:$D$7493,Cobranza!$B270,Recibos!AE$4:AE$7493)</f>
        <v>0</v>
      </c>
      <c r="BT270" s="311">
        <f>SUMIF(Recibos!$D$4:$D$7493,Cobranza!$B270,Recibos!AF$4:AF$7493)</f>
        <v>0</v>
      </c>
      <c r="BU270" s="311">
        <f>SUMIF(Recibos!$D$4:$D$7493,Cobranza!$B270,Recibos!AG$4:AG$7493)</f>
        <v>0</v>
      </c>
      <c r="BV270" s="311">
        <f>SUMIF(Recibos!$D$4:$D$7493,Cobranza!$B270,Recibos!AH$4:AH$7493)</f>
        <v>0</v>
      </c>
      <c r="BW270" s="311">
        <f>SUMIF(Recibos!$D$4:$D$7493,Cobranza!$B270,Recibos!AI$4:AI$7493)</f>
        <v>0</v>
      </c>
      <c r="BX270" s="312">
        <f t="shared" si="37"/>
        <v>0</v>
      </c>
      <c r="BY270" s="311">
        <f>SUMIF(Recibos!$D$4:$D$7493,Cobranza!$B270,Recibos!AK$4:AK$7493)</f>
        <v>200</v>
      </c>
      <c r="BZ270" s="311">
        <f>SUMIF(Recibos!$D$4:$D$7493,Cobranza!$B270,Recibos!AL$4:AL$7493)</f>
        <v>200</v>
      </c>
      <c r="CA270" s="311">
        <f>SUMIF(Recibos!$D$4:$D$7493,Cobranza!$B270,Recibos!AM$4:AM$7493)</f>
        <v>200</v>
      </c>
      <c r="CB270" s="311">
        <f>SUMIF(Recibos!$D$4:$D$7493,Cobranza!$B270,Recibos!AN$4:AN$7493)</f>
        <v>200</v>
      </c>
      <c r="CC270" s="311">
        <f>SUMIF(Recibos!$D$4:$D$7493,Cobranza!$B270,Recibos!AO$4:AO$7493)</f>
        <v>0</v>
      </c>
      <c r="CD270" s="311">
        <f>SUMIF(Recibos!$D$4:$D$7493,Cobranza!$B270,Recibos!AP$4:AP$7493)</f>
        <v>0</v>
      </c>
      <c r="CE270" s="311">
        <f>SUMIF(Recibos!$D$4:$D$7493,Cobranza!$B270,Recibos!AQ$4:AQ$7493)</f>
        <v>0</v>
      </c>
      <c r="CF270" s="311">
        <f>SUMIF(Recibos!$D$4:$D$7493,Cobranza!$B270,Recibos!AR$4:AR$7493)</f>
        <v>0</v>
      </c>
      <c r="CG270" s="311">
        <f>SUMIF(Recibos!$D$4:$D$7493,Cobranza!$B270,Recibos!AS$4:AS$7493)</f>
        <v>0</v>
      </c>
      <c r="CH270" s="311">
        <f>SUMIF(Recibos!$D$4:$D$7493,Cobranza!$B270,Recibos!AT$4:AT$7493)</f>
        <v>0</v>
      </c>
      <c r="CI270" s="311">
        <f>SUMIF(Recibos!$D$4:$D$7493,Cobranza!$B270,Recibos!AU$4:AU$7493)</f>
        <v>0</v>
      </c>
      <c r="CJ270" s="311">
        <f>SUMIF(Recibos!$D$4:$D$7493,Cobranza!$B270,Recibos!AV$4:AV$7493)</f>
        <v>0</v>
      </c>
      <c r="CK270" s="312">
        <f t="shared" si="38"/>
        <v>800</v>
      </c>
    </row>
    <row r="271" spans="2:89" x14ac:dyDescent="0.2">
      <c r="B271" s="45" t="s">
        <v>41</v>
      </c>
      <c r="C271" s="45" t="s">
        <v>42</v>
      </c>
      <c r="D271" s="45" t="s">
        <v>43</v>
      </c>
      <c r="E271" s="46">
        <v>0</v>
      </c>
      <c r="F271" s="46">
        <v>0</v>
      </c>
      <c r="G271" s="46">
        <v>0</v>
      </c>
      <c r="H271" s="46">
        <v>0</v>
      </c>
      <c r="I271" s="46">
        <v>0</v>
      </c>
      <c r="J271" s="46">
        <v>0</v>
      </c>
      <c r="K271" s="47">
        <f t="shared" si="39"/>
        <v>0</v>
      </c>
      <c r="L271" s="46">
        <v>0</v>
      </c>
      <c r="M271" s="46">
        <v>0</v>
      </c>
      <c r="N271" s="46">
        <v>0</v>
      </c>
      <c r="O271" s="46">
        <v>0</v>
      </c>
      <c r="P271" s="46">
        <v>0</v>
      </c>
      <c r="Q271" s="46">
        <v>0</v>
      </c>
      <c r="R271" s="46">
        <v>150</v>
      </c>
      <c r="S271" s="46">
        <v>150</v>
      </c>
      <c r="T271" s="46">
        <v>150</v>
      </c>
      <c r="U271" s="46">
        <v>200</v>
      </c>
      <c r="V271" s="46">
        <v>200</v>
      </c>
      <c r="W271" s="46">
        <v>0</v>
      </c>
      <c r="X271" s="47">
        <f t="shared" si="40"/>
        <v>850</v>
      </c>
      <c r="Y271" s="46">
        <v>300</v>
      </c>
      <c r="Z271" s="46">
        <v>150</v>
      </c>
      <c r="AA271" s="46">
        <v>150</v>
      </c>
      <c r="AB271" s="46">
        <v>150</v>
      </c>
      <c r="AC271" s="46">
        <v>150</v>
      </c>
      <c r="AD271" s="46">
        <v>150</v>
      </c>
      <c r="AE271" s="46">
        <v>150</v>
      </c>
      <c r="AF271" s="46">
        <v>150</v>
      </c>
      <c r="AG271" s="46">
        <v>150</v>
      </c>
      <c r="AH271" s="46">
        <v>150</v>
      </c>
      <c r="AI271" s="46">
        <v>150</v>
      </c>
      <c r="AJ271" s="46">
        <v>150</v>
      </c>
      <c r="AK271" s="47">
        <f t="shared" si="41"/>
        <v>1950</v>
      </c>
      <c r="AL271" s="46">
        <v>0</v>
      </c>
      <c r="AM271" s="46">
        <v>0</v>
      </c>
      <c r="AN271" s="46">
        <v>0</v>
      </c>
      <c r="AO271" s="46">
        <v>0</v>
      </c>
      <c r="AP271" s="46">
        <v>0</v>
      </c>
      <c r="AQ271" s="46">
        <v>0</v>
      </c>
      <c r="AR271" s="46">
        <v>150</v>
      </c>
      <c r="AS271" s="46">
        <v>150</v>
      </c>
      <c r="AT271" s="46">
        <v>150</v>
      </c>
      <c r="AU271" s="46">
        <v>150</v>
      </c>
      <c r="AV271" s="46">
        <v>150</v>
      </c>
      <c r="AW271" s="46">
        <v>150</v>
      </c>
      <c r="AX271" s="47">
        <f t="shared" si="42"/>
        <v>900</v>
      </c>
      <c r="AY271" s="313">
        <f>SUMIF(Recibos!$D$4:$D$7493,Cobranza!$B271,Recibos!K$4:K$7493)</f>
        <v>150</v>
      </c>
      <c r="AZ271" s="313">
        <f>SUMIF(Recibos!$D$4:$D$7493,Cobranza!$B271,Recibos!L$4:L$7493)</f>
        <v>0</v>
      </c>
      <c r="BA271" s="313">
        <f>SUMIF(Recibos!$D$4:$D$7493,Cobranza!$B271,Recibos!M$4:M$7493)</f>
        <v>0</v>
      </c>
      <c r="BB271" s="313">
        <f>SUMIF(Recibos!$D$4:$D$7493,Cobranza!$B271,Recibos!N$4:N$7493)</f>
        <v>0</v>
      </c>
      <c r="BC271" s="313">
        <f>SUMIF(Recibos!$D$4:$D$7493,Cobranza!$B271,Recibos!O$4:O$7493)</f>
        <v>0</v>
      </c>
      <c r="BD271" s="313">
        <f>SUMIF(Recibos!$D$4:$D$7493,Cobranza!$B271,Recibos!P$4:P$7493)</f>
        <v>0</v>
      </c>
      <c r="BE271" s="313">
        <f>SUMIF(Recibos!$D$4:$D$7493,Cobranza!$B271,Recibos!Q$4:Q$7493)</f>
        <v>0</v>
      </c>
      <c r="BF271" s="313">
        <f>SUMIF(Recibos!$D$4:$D$7493,Cobranza!$B271,Recibos!R$4:R$7493)</f>
        <v>0</v>
      </c>
      <c r="BG271" s="313">
        <f>SUMIF(Recibos!$D$4:$D$7493,Cobranza!$B271,Recibos!S$4:S$7493)</f>
        <v>0</v>
      </c>
      <c r="BH271" s="313">
        <f>SUMIF(Recibos!$D$4:$D$7493,Cobranza!$B271,Recibos!T$4:T$7493)</f>
        <v>0</v>
      </c>
      <c r="BI271" s="313">
        <f>SUMIF(Recibos!$D$4:$D$7493,Cobranza!$B271,Recibos!U$4:U$7493)</f>
        <v>0</v>
      </c>
      <c r="BJ271" s="313">
        <f>SUMIF(Recibos!$D$4:$D$7493,Cobranza!$B271,Recibos!V$4:V$7493)</f>
        <v>0</v>
      </c>
      <c r="BK271" s="314">
        <f t="shared" si="36"/>
        <v>150</v>
      </c>
      <c r="BL271" s="313">
        <f>SUMIF(Recibos!$D$4:$D$7493,Cobranza!$B271,Recibos!X$4:X$7493)</f>
        <v>0</v>
      </c>
      <c r="BM271" s="313">
        <f>SUMIF(Recibos!$D$4:$D$7493,Cobranza!$B271,Recibos!Y$4:Y$7493)</f>
        <v>0</v>
      </c>
      <c r="BN271" s="313">
        <f>SUMIF(Recibos!$D$4:$D$7493,Cobranza!$B271,Recibos!Z$4:Z$7493)</f>
        <v>0</v>
      </c>
      <c r="BO271" s="313">
        <f>SUMIF(Recibos!$D$4:$D$7493,Cobranza!$B271,Recibos!AA$4:AA$7493)</f>
        <v>0</v>
      </c>
      <c r="BP271" s="313">
        <f>SUMIF(Recibos!$D$4:$D$7493,Cobranza!$B271,Recibos!AB$4:AB$7493)</f>
        <v>0</v>
      </c>
      <c r="BQ271" s="313">
        <f>SUMIF(Recibos!$D$4:$D$7493,Cobranza!$B271,Recibos!AC$4:AC$7493)</f>
        <v>0</v>
      </c>
      <c r="BR271" s="313">
        <f>SUMIF(Recibos!$D$4:$D$7493,Cobranza!$B271,Recibos!AD$4:AD$7493)</f>
        <v>0</v>
      </c>
      <c r="BS271" s="313">
        <f>SUMIF(Recibos!$D$4:$D$7493,Cobranza!$B271,Recibos!AE$4:AE$7493)</f>
        <v>0</v>
      </c>
      <c r="BT271" s="313">
        <f>SUMIF(Recibos!$D$4:$D$7493,Cobranza!$B271,Recibos!AF$4:AF$7493)</f>
        <v>0</v>
      </c>
      <c r="BU271" s="313">
        <f>SUMIF(Recibos!$D$4:$D$7493,Cobranza!$B271,Recibos!AG$4:AG$7493)</f>
        <v>0</v>
      </c>
      <c r="BV271" s="313">
        <f>SUMIF(Recibos!$D$4:$D$7493,Cobranza!$B271,Recibos!AH$4:AH$7493)</f>
        <v>0</v>
      </c>
      <c r="BW271" s="313">
        <f>SUMIF(Recibos!$D$4:$D$7493,Cobranza!$B271,Recibos!AI$4:AI$7493)</f>
        <v>0</v>
      </c>
      <c r="BX271" s="314">
        <f t="shared" si="37"/>
        <v>0</v>
      </c>
      <c r="BY271" s="313">
        <f>SUMIF(Recibos!$D$4:$D$7493,Cobranza!$B271,Recibos!AK$4:AK$7493)</f>
        <v>200</v>
      </c>
      <c r="BZ271" s="313">
        <f>SUMIF(Recibos!$D$4:$D$7493,Cobranza!$B271,Recibos!AL$4:AL$7493)</f>
        <v>200</v>
      </c>
      <c r="CA271" s="313">
        <f>SUMIF(Recibos!$D$4:$D$7493,Cobranza!$B271,Recibos!AM$4:AM$7493)</f>
        <v>200</v>
      </c>
      <c r="CB271" s="313">
        <f>SUMIF(Recibos!$D$4:$D$7493,Cobranza!$B271,Recibos!AN$4:AN$7493)</f>
        <v>200</v>
      </c>
      <c r="CC271" s="313">
        <f>SUMIF(Recibos!$D$4:$D$7493,Cobranza!$B271,Recibos!AO$4:AO$7493)</f>
        <v>200</v>
      </c>
      <c r="CD271" s="313">
        <f>SUMIF(Recibos!$D$4:$D$7493,Cobranza!$B271,Recibos!AP$4:AP$7493)</f>
        <v>200</v>
      </c>
      <c r="CE271" s="313">
        <f>SUMIF(Recibos!$D$4:$D$7493,Cobranza!$B271,Recibos!AQ$4:AQ$7493)</f>
        <v>0</v>
      </c>
      <c r="CF271" s="313">
        <f>SUMIF(Recibos!$D$4:$D$7493,Cobranza!$B271,Recibos!AR$4:AR$7493)</f>
        <v>0</v>
      </c>
      <c r="CG271" s="313">
        <f>SUMIF(Recibos!$D$4:$D$7493,Cobranza!$B271,Recibos!AS$4:AS$7493)</f>
        <v>0</v>
      </c>
      <c r="CH271" s="313">
        <f>SUMIF(Recibos!$D$4:$D$7493,Cobranza!$B271,Recibos!AT$4:AT$7493)</f>
        <v>0</v>
      </c>
      <c r="CI271" s="313">
        <f>SUMIF(Recibos!$D$4:$D$7493,Cobranza!$B271,Recibos!AU$4:AU$7493)</f>
        <v>0</v>
      </c>
      <c r="CJ271" s="313">
        <f>SUMIF(Recibos!$D$4:$D$7493,Cobranza!$B271,Recibos!AV$4:AV$7493)</f>
        <v>0</v>
      </c>
      <c r="CK271" s="314">
        <f t="shared" si="38"/>
        <v>1200</v>
      </c>
    </row>
    <row r="272" spans="2:89" x14ac:dyDescent="0.2">
      <c r="B272" s="42" t="s">
        <v>932</v>
      </c>
      <c r="C272" s="42" t="s">
        <v>933</v>
      </c>
      <c r="D272" s="42" t="s">
        <v>934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300</v>
      </c>
      <c r="K272" s="44">
        <f t="shared" si="39"/>
        <v>300</v>
      </c>
      <c r="L272" s="43">
        <v>300</v>
      </c>
      <c r="M272" s="43">
        <v>300</v>
      </c>
      <c r="N272" s="43">
        <v>300</v>
      </c>
      <c r="O272" s="43">
        <v>300</v>
      </c>
      <c r="P272" s="43">
        <v>300</v>
      </c>
      <c r="Q272" s="43">
        <v>300</v>
      </c>
      <c r="R272" s="43">
        <v>300</v>
      </c>
      <c r="S272" s="43">
        <v>300</v>
      </c>
      <c r="T272" s="43">
        <v>300</v>
      </c>
      <c r="U272" s="43">
        <v>400</v>
      </c>
      <c r="V272" s="43">
        <v>400</v>
      </c>
      <c r="W272" s="43">
        <v>400</v>
      </c>
      <c r="X272" s="44">
        <f t="shared" si="40"/>
        <v>3900</v>
      </c>
      <c r="Y272" s="43">
        <v>400</v>
      </c>
      <c r="Z272" s="43">
        <v>400</v>
      </c>
      <c r="AA272" s="43">
        <v>400</v>
      </c>
      <c r="AB272" s="43">
        <v>400</v>
      </c>
      <c r="AC272" s="43">
        <v>400</v>
      </c>
      <c r="AD272" s="43">
        <v>400</v>
      </c>
      <c r="AE272" s="43">
        <v>400</v>
      </c>
      <c r="AF272" s="43">
        <v>400</v>
      </c>
      <c r="AG272" s="43">
        <v>400</v>
      </c>
      <c r="AH272" s="43">
        <v>400</v>
      </c>
      <c r="AI272" s="43">
        <v>400</v>
      </c>
      <c r="AJ272" s="43">
        <v>400</v>
      </c>
      <c r="AK272" s="44">
        <f t="shared" si="41"/>
        <v>4800</v>
      </c>
      <c r="AL272" s="43">
        <v>400</v>
      </c>
      <c r="AM272" s="43">
        <v>400</v>
      </c>
      <c r="AN272" s="43">
        <v>400</v>
      </c>
      <c r="AO272" s="43">
        <v>400</v>
      </c>
      <c r="AP272" s="43">
        <v>0</v>
      </c>
      <c r="AQ272" s="43">
        <v>0</v>
      </c>
      <c r="AR272" s="43">
        <v>0</v>
      </c>
      <c r="AS272" s="43">
        <v>400</v>
      </c>
      <c r="AT272" s="43">
        <v>400</v>
      </c>
      <c r="AU272" s="43">
        <v>0</v>
      </c>
      <c r="AV272" s="43">
        <v>0</v>
      </c>
      <c r="AW272" s="43">
        <v>0</v>
      </c>
      <c r="AX272" s="44">
        <f t="shared" si="42"/>
        <v>2400</v>
      </c>
      <c r="AY272" s="311">
        <f>SUMIF(Recibos!$D$4:$D$7493,Cobranza!$B272,Recibos!K$4:K$7493)</f>
        <v>400</v>
      </c>
      <c r="AZ272" s="311">
        <f>SUMIF(Recibos!$D$4:$D$7493,Cobranza!$B272,Recibos!L$4:L$7493)</f>
        <v>400</v>
      </c>
      <c r="BA272" s="311">
        <f>SUMIF(Recibos!$D$4:$D$7493,Cobranza!$B272,Recibos!M$4:M$7493)</f>
        <v>400</v>
      </c>
      <c r="BB272" s="311">
        <f>SUMIF(Recibos!$D$4:$D$7493,Cobranza!$B272,Recibos!N$4:N$7493)</f>
        <v>400</v>
      </c>
      <c r="BC272" s="311">
        <f>SUMIF(Recibos!$D$4:$D$7493,Cobranza!$B272,Recibos!O$4:O$7493)</f>
        <v>400</v>
      </c>
      <c r="BD272" s="311">
        <f>SUMIF(Recibos!$D$4:$D$7493,Cobranza!$B272,Recibos!P$4:P$7493)</f>
        <v>400</v>
      </c>
      <c r="BE272" s="311">
        <f>SUMIF(Recibos!$D$4:$D$7493,Cobranza!$B272,Recibos!Q$4:Q$7493)</f>
        <v>400</v>
      </c>
      <c r="BF272" s="311">
        <f>SUMIF(Recibos!$D$4:$D$7493,Cobranza!$B272,Recibos!R$4:R$7493)</f>
        <v>400</v>
      </c>
      <c r="BG272" s="311">
        <f>SUMIF(Recibos!$D$4:$D$7493,Cobranza!$B272,Recibos!S$4:S$7493)</f>
        <v>400</v>
      </c>
      <c r="BH272" s="311">
        <f>SUMIF(Recibos!$D$4:$D$7493,Cobranza!$B272,Recibos!T$4:T$7493)</f>
        <v>400</v>
      </c>
      <c r="BI272" s="311">
        <f>SUMIF(Recibos!$D$4:$D$7493,Cobranza!$B272,Recibos!U$4:U$7493)</f>
        <v>400</v>
      </c>
      <c r="BJ272" s="311">
        <f>SUMIF(Recibos!$D$4:$D$7493,Cobranza!$B272,Recibos!V$4:V$7493)</f>
        <v>400</v>
      </c>
      <c r="BK272" s="312">
        <f t="shared" si="36"/>
        <v>4800</v>
      </c>
      <c r="BL272" s="311">
        <f>SUMIF(Recibos!$D$4:$D$7493,Cobranza!$B272,Recibos!X$4:X$7493)</f>
        <v>400</v>
      </c>
      <c r="BM272" s="311">
        <f>SUMIF(Recibos!$D$4:$D$7493,Cobranza!$B272,Recibos!Y$4:Y$7493)</f>
        <v>400</v>
      </c>
      <c r="BN272" s="311">
        <f>SUMIF(Recibos!$D$4:$D$7493,Cobranza!$B272,Recibos!Z$4:Z$7493)</f>
        <v>400</v>
      </c>
      <c r="BO272" s="311">
        <f>SUMIF(Recibos!$D$4:$D$7493,Cobranza!$B272,Recibos!AA$4:AA$7493)</f>
        <v>400</v>
      </c>
      <c r="BP272" s="311">
        <f>SUMIF(Recibos!$D$4:$D$7493,Cobranza!$B272,Recibos!AB$4:AB$7493)</f>
        <v>400</v>
      </c>
      <c r="BQ272" s="311">
        <f>SUMIF(Recibos!$D$4:$D$7493,Cobranza!$B272,Recibos!AC$4:AC$7493)</f>
        <v>400</v>
      </c>
      <c r="BR272" s="311">
        <f>SUMIF(Recibos!$D$4:$D$7493,Cobranza!$B272,Recibos!AD$4:AD$7493)</f>
        <v>400</v>
      </c>
      <c r="BS272" s="311">
        <f>SUMIF(Recibos!$D$4:$D$7493,Cobranza!$B272,Recibos!AE$4:AE$7493)</f>
        <v>400</v>
      </c>
      <c r="BT272" s="311">
        <f>SUMIF(Recibos!$D$4:$D$7493,Cobranza!$B272,Recibos!AF$4:AF$7493)</f>
        <v>400</v>
      </c>
      <c r="BU272" s="311">
        <f>SUMIF(Recibos!$D$4:$D$7493,Cobranza!$B272,Recibos!AG$4:AG$7493)</f>
        <v>400</v>
      </c>
      <c r="BV272" s="311">
        <f>SUMIF(Recibos!$D$4:$D$7493,Cobranza!$B272,Recibos!AH$4:AH$7493)</f>
        <v>400</v>
      </c>
      <c r="BW272" s="311">
        <f>SUMIF(Recibos!$D$4:$D$7493,Cobranza!$B272,Recibos!AI$4:AI$7493)</f>
        <v>400</v>
      </c>
      <c r="BX272" s="312">
        <f t="shared" si="37"/>
        <v>4800</v>
      </c>
      <c r="BY272" s="311">
        <f>SUMIF(Recibos!$D$4:$D$7493,Cobranza!$B272,Recibos!AK$4:AK$7493)</f>
        <v>400</v>
      </c>
      <c r="BZ272" s="311">
        <f>SUMIF(Recibos!$D$4:$D$7493,Cobranza!$B272,Recibos!AL$4:AL$7493)</f>
        <v>400</v>
      </c>
      <c r="CA272" s="311">
        <f>SUMIF(Recibos!$D$4:$D$7493,Cobranza!$B272,Recibos!AM$4:AM$7493)</f>
        <v>400</v>
      </c>
      <c r="CB272" s="311">
        <f>SUMIF(Recibos!$D$4:$D$7493,Cobranza!$B272,Recibos!AN$4:AN$7493)</f>
        <v>400</v>
      </c>
      <c r="CC272" s="311">
        <f>SUMIF(Recibos!$D$4:$D$7493,Cobranza!$B272,Recibos!AO$4:AO$7493)</f>
        <v>200</v>
      </c>
      <c r="CD272" s="311">
        <f>SUMIF(Recibos!$D$4:$D$7493,Cobranza!$B272,Recibos!AP$4:AP$7493)</f>
        <v>0</v>
      </c>
      <c r="CE272" s="311">
        <f>SUMIF(Recibos!$D$4:$D$7493,Cobranza!$B272,Recibos!AQ$4:AQ$7493)</f>
        <v>0</v>
      </c>
      <c r="CF272" s="311">
        <f>SUMIF(Recibos!$D$4:$D$7493,Cobranza!$B272,Recibos!AR$4:AR$7493)</f>
        <v>0</v>
      </c>
      <c r="CG272" s="311">
        <f>SUMIF(Recibos!$D$4:$D$7493,Cobranza!$B272,Recibos!AS$4:AS$7493)</f>
        <v>0</v>
      </c>
      <c r="CH272" s="311">
        <f>SUMIF(Recibos!$D$4:$D$7493,Cobranza!$B272,Recibos!AT$4:AT$7493)</f>
        <v>0</v>
      </c>
      <c r="CI272" s="311">
        <f>SUMIF(Recibos!$D$4:$D$7493,Cobranza!$B272,Recibos!AU$4:AU$7493)</f>
        <v>0</v>
      </c>
      <c r="CJ272" s="311">
        <f>SUMIF(Recibos!$D$4:$D$7493,Cobranza!$B272,Recibos!AV$4:AV$7493)</f>
        <v>0</v>
      </c>
      <c r="CK272" s="312">
        <f t="shared" si="38"/>
        <v>1800</v>
      </c>
    </row>
    <row r="273" spans="2:89" x14ac:dyDescent="0.2">
      <c r="B273" s="45" t="s">
        <v>947</v>
      </c>
      <c r="C273" s="45" t="s">
        <v>948</v>
      </c>
      <c r="D273" s="45" t="s">
        <v>949</v>
      </c>
      <c r="E273" s="46">
        <v>0</v>
      </c>
      <c r="F273" s="46">
        <v>0</v>
      </c>
      <c r="G273" s="46">
        <v>0</v>
      </c>
      <c r="H273" s="46">
        <v>0</v>
      </c>
      <c r="I273" s="46">
        <v>0</v>
      </c>
      <c r="J273" s="46">
        <v>0</v>
      </c>
      <c r="K273" s="47">
        <f t="shared" si="39"/>
        <v>0</v>
      </c>
      <c r="L273" s="46">
        <v>0</v>
      </c>
      <c r="M273" s="46">
        <v>0</v>
      </c>
      <c r="N273" s="46">
        <v>0</v>
      </c>
      <c r="O273" s="46">
        <v>0</v>
      </c>
      <c r="P273" s="46">
        <v>0</v>
      </c>
      <c r="Q273" s="46">
        <v>0</v>
      </c>
      <c r="R273" s="46">
        <v>0</v>
      </c>
      <c r="S273" s="46">
        <v>0</v>
      </c>
      <c r="T273" s="46">
        <v>0</v>
      </c>
      <c r="U273" s="46">
        <v>0</v>
      </c>
      <c r="V273" s="46">
        <v>0</v>
      </c>
      <c r="W273" s="46">
        <v>0</v>
      </c>
      <c r="X273" s="47">
        <f t="shared" si="40"/>
        <v>0</v>
      </c>
      <c r="Y273" s="46">
        <v>0</v>
      </c>
      <c r="Z273" s="46">
        <v>0</v>
      </c>
      <c r="AA273" s="46">
        <v>0</v>
      </c>
      <c r="AB273" s="46">
        <v>0</v>
      </c>
      <c r="AC273" s="46">
        <v>0</v>
      </c>
      <c r="AD273" s="46">
        <v>0</v>
      </c>
      <c r="AE273" s="46">
        <v>0</v>
      </c>
      <c r="AF273" s="46">
        <v>0</v>
      </c>
      <c r="AG273" s="46">
        <v>0</v>
      </c>
      <c r="AH273" s="46">
        <v>0</v>
      </c>
      <c r="AI273" s="46">
        <v>0</v>
      </c>
      <c r="AJ273" s="46">
        <v>0</v>
      </c>
      <c r="AK273" s="47">
        <f t="shared" si="41"/>
        <v>0</v>
      </c>
      <c r="AL273" s="46">
        <v>0</v>
      </c>
      <c r="AM273" s="46">
        <v>0</v>
      </c>
      <c r="AN273" s="46">
        <v>0</v>
      </c>
      <c r="AO273" s="46">
        <v>0</v>
      </c>
      <c r="AP273" s="46">
        <v>0</v>
      </c>
      <c r="AQ273" s="46">
        <v>0</v>
      </c>
      <c r="AR273" s="46">
        <v>0</v>
      </c>
      <c r="AS273" s="46">
        <v>0</v>
      </c>
      <c r="AT273" s="46">
        <v>0</v>
      </c>
      <c r="AU273" s="46">
        <v>0</v>
      </c>
      <c r="AV273" s="46">
        <v>0</v>
      </c>
      <c r="AW273" s="46">
        <v>0</v>
      </c>
      <c r="AX273" s="47">
        <f t="shared" si="42"/>
        <v>0</v>
      </c>
      <c r="AY273" s="313">
        <f>SUMIF(Recibos!$D$4:$D$7493,Cobranza!$B273,Recibos!K$4:K$7493)</f>
        <v>0</v>
      </c>
      <c r="AZ273" s="313">
        <f>SUMIF(Recibos!$D$4:$D$7493,Cobranza!$B273,Recibos!L$4:L$7493)</f>
        <v>0</v>
      </c>
      <c r="BA273" s="313">
        <f>SUMIF(Recibos!$D$4:$D$7493,Cobranza!$B273,Recibos!M$4:M$7493)</f>
        <v>0</v>
      </c>
      <c r="BB273" s="313">
        <f>SUMIF(Recibos!$D$4:$D$7493,Cobranza!$B273,Recibos!N$4:N$7493)</f>
        <v>0</v>
      </c>
      <c r="BC273" s="313">
        <f>SUMIF(Recibos!$D$4:$D$7493,Cobranza!$B273,Recibos!O$4:O$7493)</f>
        <v>400</v>
      </c>
      <c r="BD273" s="313">
        <f>SUMIF(Recibos!$D$4:$D$7493,Cobranza!$B273,Recibos!P$4:P$7493)</f>
        <v>0</v>
      </c>
      <c r="BE273" s="313">
        <f>SUMIF(Recibos!$D$4:$D$7493,Cobranza!$B273,Recibos!Q$4:Q$7493)</f>
        <v>0</v>
      </c>
      <c r="BF273" s="313">
        <f>SUMIF(Recibos!$D$4:$D$7493,Cobranza!$B273,Recibos!R$4:R$7493)</f>
        <v>0</v>
      </c>
      <c r="BG273" s="313">
        <f>SUMIF(Recibos!$D$4:$D$7493,Cobranza!$B273,Recibos!S$4:S$7493)</f>
        <v>0</v>
      </c>
      <c r="BH273" s="313">
        <f>SUMIF(Recibos!$D$4:$D$7493,Cobranza!$B273,Recibos!T$4:T$7493)</f>
        <v>0</v>
      </c>
      <c r="BI273" s="313">
        <f>SUMIF(Recibos!$D$4:$D$7493,Cobranza!$B273,Recibos!U$4:U$7493)</f>
        <v>0</v>
      </c>
      <c r="BJ273" s="313">
        <f>SUMIF(Recibos!$D$4:$D$7493,Cobranza!$B273,Recibos!V$4:V$7493)</f>
        <v>0</v>
      </c>
      <c r="BK273" s="314">
        <f t="shared" si="36"/>
        <v>400</v>
      </c>
      <c r="BL273" s="313">
        <f>SUMIF(Recibos!$D$4:$D$7493,Cobranza!$B273,Recibos!X$4:X$7493)</f>
        <v>0</v>
      </c>
      <c r="BM273" s="313">
        <f>SUMIF(Recibos!$D$4:$D$7493,Cobranza!$B273,Recibos!Y$4:Y$7493)</f>
        <v>0</v>
      </c>
      <c r="BN273" s="313">
        <f>SUMIF(Recibos!$D$4:$D$7493,Cobranza!$B273,Recibos!Z$4:Z$7493)</f>
        <v>0</v>
      </c>
      <c r="BO273" s="313">
        <f>SUMIF(Recibos!$D$4:$D$7493,Cobranza!$B273,Recibos!AA$4:AA$7493)</f>
        <v>0</v>
      </c>
      <c r="BP273" s="313">
        <f>SUMIF(Recibos!$D$4:$D$7493,Cobranza!$B273,Recibos!AB$4:AB$7493)</f>
        <v>0</v>
      </c>
      <c r="BQ273" s="313">
        <f>SUMIF(Recibos!$D$4:$D$7493,Cobranza!$B273,Recibos!AC$4:AC$7493)</f>
        <v>0</v>
      </c>
      <c r="BR273" s="313">
        <f>SUMIF(Recibos!$D$4:$D$7493,Cobranza!$B273,Recibos!AD$4:AD$7493)</f>
        <v>0</v>
      </c>
      <c r="BS273" s="313">
        <f>SUMIF(Recibos!$D$4:$D$7493,Cobranza!$B273,Recibos!AE$4:AE$7493)</f>
        <v>0</v>
      </c>
      <c r="BT273" s="313">
        <f>SUMIF(Recibos!$D$4:$D$7493,Cobranza!$B273,Recibos!AF$4:AF$7493)</f>
        <v>0</v>
      </c>
      <c r="BU273" s="313">
        <f>SUMIF(Recibos!$D$4:$D$7493,Cobranza!$B273,Recibos!AG$4:AG$7493)</f>
        <v>0</v>
      </c>
      <c r="BV273" s="313">
        <f>SUMIF(Recibos!$D$4:$D$7493,Cobranza!$B273,Recibos!AH$4:AH$7493)</f>
        <v>0</v>
      </c>
      <c r="BW273" s="313">
        <f>SUMIF(Recibos!$D$4:$D$7493,Cobranza!$B273,Recibos!AI$4:AI$7493)</f>
        <v>0</v>
      </c>
      <c r="BX273" s="314">
        <f t="shared" si="37"/>
        <v>0</v>
      </c>
      <c r="BY273" s="313">
        <f>SUMIF(Recibos!$D$4:$D$7493,Cobranza!$B273,Recibos!AK$4:AK$7493)</f>
        <v>0</v>
      </c>
      <c r="BZ273" s="313">
        <f>SUMIF(Recibos!$D$4:$D$7493,Cobranza!$B273,Recibos!AL$4:AL$7493)</f>
        <v>0</v>
      </c>
      <c r="CA273" s="313">
        <f>SUMIF(Recibos!$D$4:$D$7493,Cobranza!$B273,Recibos!AM$4:AM$7493)</f>
        <v>0</v>
      </c>
      <c r="CB273" s="313">
        <f>SUMIF(Recibos!$D$4:$D$7493,Cobranza!$B273,Recibos!AN$4:AN$7493)</f>
        <v>0</v>
      </c>
      <c r="CC273" s="313">
        <f>SUMIF(Recibos!$D$4:$D$7493,Cobranza!$B273,Recibos!AO$4:AO$7493)</f>
        <v>0</v>
      </c>
      <c r="CD273" s="313">
        <f>SUMIF(Recibos!$D$4:$D$7493,Cobranza!$B273,Recibos!AP$4:AP$7493)</f>
        <v>0</v>
      </c>
      <c r="CE273" s="313">
        <f>SUMIF(Recibos!$D$4:$D$7493,Cobranza!$B273,Recibos!AQ$4:AQ$7493)</f>
        <v>0</v>
      </c>
      <c r="CF273" s="313">
        <f>SUMIF(Recibos!$D$4:$D$7493,Cobranza!$B273,Recibos!AR$4:AR$7493)</f>
        <v>0</v>
      </c>
      <c r="CG273" s="313">
        <f>SUMIF(Recibos!$D$4:$D$7493,Cobranza!$B273,Recibos!AS$4:AS$7493)</f>
        <v>0</v>
      </c>
      <c r="CH273" s="313">
        <f>SUMIF(Recibos!$D$4:$D$7493,Cobranza!$B273,Recibos!AT$4:AT$7493)</f>
        <v>0</v>
      </c>
      <c r="CI273" s="313">
        <f>SUMIF(Recibos!$D$4:$D$7493,Cobranza!$B273,Recibos!AU$4:AU$7493)</f>
        <v>0</v>
      </c>
      <c r="CJ273" s="313">
        <f>SUMIF(Recibos!$D$4:$D$7493,Cobranza!$B273,Recibos!AV$4:AV$7493)</f>
        <v>0</v>
      </c>
      <c r="CK273" s="314">
        <f t="shared" si="38"/>
        <v>0</v>
      </c>
    </row>
    <row r="274" spans="2:89" x14ac:dyDescent="0.2">
      <c r="B274" s="42" t="s">
        <v>1192</v>
      </c>
      <c r="C274" s="42" t="s">
        <v>1193</v>
      </c>
      <c r="D274" s="42" t="s">
        <v>1194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4">
        <f t="shared" si="39"/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  <c r="V274" s="43">
        <v>0</v>
      </c>
      <c r="W274" s="43">
        <v>0</v>
      </c>
      <c r="X274" s="44">
        <f t="shared" si="40"/>
        <v>0</v>
      </c>
      <c r="Y274" s="43">
        <v>400</v>
      </c>
      <c r="Z274" s="43">
        <v>400</v>
      </c>
      <c r="AA274" s="43">
        <v>0</v>
      </c>
      <c r="AB274" s="43">
        <v>0</v>
      </c>
      <c r="AC274" s="43">
        <v>0</v>
      </c>
      <c r="AD274" s="43">
        <v>0</v>
      </c>
      <c r="AE274" s="43">
        <v>0</v>
      </c>
      <c r="AF274" s="43">
        <v>0</v>
      </c>
      <c r="AG274" s="43">
        <v>0</v>
      </c>
      <c r="AH274" s="43">
        <v>0</v>
      </c>
      <c r="AI274" s="43">
        <v>0</v>
      </c>
      <c r="AJ274" s="43">
        <v>0</v>
      </c>
      <c r="AK274" s="44">
        <f t="shared" si="41"/>
        <v>800</v>
      </c>
      <c r="AL274" s="43">
        <v>0</v>
      </c>
      <c r="AM274" s="43">
        <v>0</v>
      </c>
      <c r="AN274" s="43">
        <v>0</v>
      </c>
      <c r="AO274" s="43">
        <v>0</v>
      </c>
      <c r="AP274" s="43">
        <v>0</v>
      </c>
      <c r="AQ274" s="43">
        <v>0</v>
      </c>
      <c r="AR274" s="43">
        <v>0</v>
      </c>
      <c r="AS274" s="43">
        <v>0</v>
      </c>
      <c r="AT274" s="43">
        <v>0</v>
      </c>
      <c r="AU274" s="43">
        <v>0</v>
      </c>
      <c r="AV274" s="43">
        <v>0</v>
      </c>
      <c r="AW274" s="43">
        <v>0</v>
      </c>
      <c r="AX274" s="44">
        <f t="shared" si="42"/>
        <v>0</v>
      </c>
      <c r="AY274" s="311">
        <f>SUMIF(Recibos!$D$4:$D$7493,Cobranza!$B274,Recibos!K$4:K$7493)</f>
        <v>0</v>
      </c>
      <c r="AZ274" s="311">
        <f>SUMIF(Recibos!$D$4:$D$7493,Cobranza!$B274,Recibos!L$4:L$7493)</f>
        <v>0</v>
      </c>
      <c r="BA274" s="311">
        <f>SUMIF(Recibos!$D$4:$D$7493,Cobranza!$B274,Recibos!M$4:M$7493)</f>
        <v>0</v>
      </c>
      <c r="BB274" s="311">
        <f>SUMIF(Recibos!$D$4:$D$7493,Cobranza!$B274,Recibos!N$4:N$7493)</f>
        <v>0</v>
      </c>
      <c r="BC274" s="311">
        <f>SUMIF(Recibos!$D$4:$D$7493,Cobranza!$B274,Recibos!O$4:O$7493)</f>
        <v>0</v>
      </c>
      <c r="BD274" s="311">
        <f>SUMIF(Recibos!$D$4:$D$7493,Cobranza!$B274,Recibos!P$4:P$7493)</f>
        <v>0</v>
      </c>
      <c r="BE274" s="311">
        <f>SUMIF(Recibos!$D$4:$D$7493,Cobranza!$B274,Recibos!Q$4:Q$7493)</f>
        <v>0</v>
      </c>
      <c r="BF274" s="311">
        <f>SUMIF(Recibos!$D$4:$D$7493,Cobranza!$B274,Recibos!R$4:R$7493)</f>
        <v>0</v>
      </c>
      <c r="BG274" s="311">
        <f>SUMIF(Recibos!$D$4:$D$7493,Cobranza!$B274,Recibos!S$4:S$7493)</f>
        <v>400</v>
      </c>
      <c r="BH274" s="311">
        <f>SUMIF(Recibos!$D$4:$D$7493,Cobranza!$B274,Recibos!T$4:T$7493)</f>
        <v>400</v>
      </c>
      <c r="BI274" s="311">
        <f>SUMIF(Recibos!$D$4:$D$7493,Cobranza!$B274,Recibos!U$4:U$7493)</f>
        <v>400</v>
      </c>
      <c r="BJ274" s="311">
        <f>SUMIF(Recibos!$D$4:$D$7493,Cobranza!$B274,Recibos!V$4:V$7493)</f>
        <v>400</v>
      </c>
      <c r="BK274" s="312">
        <f t="shared" si="36"/>
        <v>1600</v>
      </c>
      <c r="BL274" s="311">
        <f>SUMIF(Recibos!$D$4:$D$7493,Cobranza!$B274,Recibos!X$4:X$7493)</f>
        <v>0</v>
      </c>
      <c r="BM274" s="311">
        <f>SUMIF(Recibos!$D$4:$D$7493,Cobranza!$B274,Recibos!Y$4:Y$7493)</f>
        <v>0</v>
      </c>
      <c r="BN274" s="311">
        <f>SUMIF(Recibos!$D$4:$D$7493,Cobranza!$B274,Recibos!Z$4:Z$7493)</f>
        <v>0</v>
      </c>
      <c r="BO274" s="311">
        <f>SUMIF(Recibos!$D$4:$D$7493,Cobranza!$B274,Recibos!AA$4:AA$7493)</f>
        <v>0</v>
      </c>
      <c r="BP274" s="311">
        <f>SUMIF(Recibos!$D$4:$D$7493,Cobranza!$B274,Recibos!AB$4:AB$7493)</f>
        <v>0</v>
      </c>
      <c r="BQ274" s="311">
        <f>SUMIF(Recibos!$D$4:$D$7493,Cobranza!$B274,Recibos!AC$4:AC$7493)</f>
        <v>0</v>
      </c>
      <c r="BR274" s="311">
        <f>SUMIF(Recibos!$D$4:$D$7493,Cobranza!$B274,Recibos!AD$4:AD$7493)</f>
        <v>400</v>
      </c>
      <c r="BS274" s="311">
        <f>SUMIF(Recibos!$D$4:$D$7493,Cobranza!$B274,Recibos!AE$4:AE$7493)</f>
        <v>400</v>
      </c>
      <c r="BT274" s="311">
        <f>SUMIF(Recibos!$D$4:$D$7493,Cobranza!$B274,Recibos!AF$4:AF$7493)</f>
        <v>400</v>
      </c>
      <c r="BU274" s="311">
        <f>SUMIF(Recibos!$D$4:$D$7493,Cobranza!$B274,Recibos!AG$4:AG$7493)</f>
        <v>400</v>
      </c>
      <c r="BV274" s="311">
        <f>SUMIF(Recibos!$D$4:$D$7493,Cobranza!$B274,Recibos!AH$4:AH$7493)</f>
        <v>400</v>
      </c>
      <c r="BW274" s="311">
        <f>SUMIF(Recibos!$D$4:$D$7493,Cobranza!$B274,Recibos!AI$4:AI$7493)</f>
        <v>0</v>
      </c>
      <c r="BX274" s="312">
        <f t="shared" si="37"/>
        <v>2000</v>
      </c>
      <c r="BY274" s="311">
        <f>SUMIF(Recibos!$D$4:$D$7493,Cobranza!$B274,Recibos!AK$4:AK$7493)</f>
        <v>0</v>
      </c>
      <c r="BZ274" s="311">
        <f>SUMIF(Recibos!$D$4:$D$7493,Cobranza!$B274,Recibos!AL$4:AL$7493)</f>
        <v>0</v>
      </c>
      <c r="CA274" s="311">
        <f>SUMIF(Recibos!$D$4:$D$7493,Cobranza!$B274,Recibos!AM$4:AM$7493)</f>
        <v>0</v>
      </c>
      <c r="CB274" s="311">
        <f>SUMIF(Recibos!$D$4:$D$7493,Cobranza!$B274,Recibos!AN$4:AN$7493)</f>
        <v>0</v>
      </c>
      <c r="CC274" s="311">
        <f>SUMIF(Recibos!$D$4:$D$7493,Cobranza!$B274,Recibos!AO$4:AO$7493)</f>
        <v>0</v>
      </c>
      <c r="CD274" s="311">
        <f>SUMIF(Recibos!$D$4:$D$7493,Cobranza!$B274,Recibos!AP$4:AP$7493)</f>
        <v>0</v>
      </c>
      <c r="CE274" s="311">
        <f>SUMIF(Recibos!$D$4:$D$7493,Cobranza!$B274,Recibos!AQ$4:AQ$7493)</f>
        <v>0</v>
      </c>
      <c r="CF274" s="311">
        <f>SUMIF(Recibos!$D$4:$D$7493,Cobranza!$B274,Recibos!AR$4:AR$7493)</f>
        <v>0</v>
      </c>
      <c r="CG274" s="311">
        <f>SUMIF(Recibos!$D$4:$D$7493,Cobranza!$B274,Recibos!AS$4:AS$7493)</f>
        <v>0</v>
      </c>
      <c r="CH274" s="311">
        <f>SUMIF(Recibos!$D$4:$D$7493,Cobranza!$B274,Recibos!AT$4:AT$7493)</f>
        <v>0</v>
      </c>
      <c r="CI274" s="311">
        <f>SUMIF(Recibos!$D$4:$D$7493,Cobranza!$B274,Recibos!AU$4:AU$7493)</f>
        <v>0</v>
      </c>
      <c r="CJ274" s="311">
        <f>SUMIF(Recibos!$D$4:$D$7493,Cobranza!$B274,Recibos!AV$4:AV$7493)</f>
        <v>0</v>
      </c>
      <c r="CK274" s="312">
        <f t="shared" si="38"/>
        <v>0</v>
      </c>
    </row>
    <row r="275" spans="2:89" x14ac:dyDescent="0.2">
      <c r="B275" s="45" t="s">
        <v>526</v>
      </c>
      <c r="C275" s="45" t="s">
        <v>527</v>
      </c>
      <c r="D275" s="45" t="s">
        <v>528</v>
      </c>
      <c r="E275" s="46">
        <v>0</v>
      </c>
      <c r="F275" s="46">
        <v>0</v>
      </c>
      <c r="G275" s="46">
        <v>0</v>
      </c>
      <c r="H275" s="46">
        <v>0</v>
      </c>
      <c r="I275" s="46">
        <v>0</v>
      </c>
      <c r="J275" s="46">
        <v>0</v>
      </c>
      <c r="K275" s="47">
        <f t="shared" si="39"/>
        <v>0</v>
      </c>
      <c r="L275" s="46">
        <v>300</v>
      </c>
      <c r="M275" s="46">
        <v>300</v>
      </c>
      <c r="N275" s="46">
        <v>300</v>
      </c>
      <c r="O275" s="46">
        <v>300</v>
      </c>
      <c r="P275" s="46">
        <v>300</v>
      </c>
      <c r="Q275" s="46">
        <v>300</v>
      </c>
      <c r="R275" s="46">
        <v>300</v>
      </c>
      <c r="S275" s="46">
        <v>300</v>
      </c>
      <c r="T275" s="46">
        <v>300</v>
      </c>
      <c r="U275" s="46">
        <v>400</v>
      </c>
      <c r="V275" s="46">
        <v>400</v>
      </c>
      <c r="W275" s="46">
        <v>400</v>
      </c>
      <c r="X275" s="47">
        <f t="shared" si="40"/>
        <v>3900</v>
      </c>
      <c r="Y275" s="46">
        <v>400</v>
      </c>
      <c r="Z275" s="46">
        <v>400</v>
      </c>
      <c r="AA275" s="46">
        <v>400</v>
      </c>
      <c r="AB275" s="46">
        <v>400</v>
      </c>
      <c r="AC275" s="46">
        <v>400</v>
      </c>
      <c r="AD275" s="46">
        <v>400</v>
      </c>
      <c r="AE275" s="46">
        <v>400</v>
      </c>
      <c r="AF275" s="46">
        <v>400</v>
      </c>
      <c r="AG275" s="46">
        <v>400</v>
      </c>
      <c r="AH275" s="46">
        <v>400</v>
      </c>
      <c r="AI275" s="46">
        <v>400</v>
      </c>
      <c r="AJ275" s="46">
        <v>400</v>
      </c>
      <c r="AK275" s="47">
        <f t="shared" si="41"/>
        <v>4800</v>
      </c>
      <c r="AL275" s="46">
        <v>400</v>
      </c>
      <c r="AM275" s="46">
        <v>400</v>
      </c>
      <c r="AN275" s="46">
        <v>400</v>
      </c>
      <c r="AO275" s="46">
        <v>400</v>
      </c>
      <c r="AP275" s="46">
        <v>400</v>
      </c>
      <c r="AQ275" s="46">
        <v>400</v>
      </c>
      <c r="AR275" s="46">
        <v>400</v>
      </c>
      <c r="AS275" s="46">
        <v>400</v>
      </c>
      <c r="AT275" s="46">
        <v>400</v>
      </c>
      <c r="AU275" s="46">
        <v>400</v>
      </c>
      <c r="AV275" s="46">
        <v>400</v>
      </c>
      <c r="AW275" s="46">
        <v>400</v>
      </c>
      <c r="AX275" s="47">
        <f t="shared" si="42"/>
        <v>4800</v>
      </c>
      <c r="AY275" s="313">
        <f>SUMIF(Recibos!$D$4:$D$7493,Cobranza!$B275,Recibos!K$4:K$7493)</f>
        <v>400</v>
      </c>
      <c r="AZ275" s="313">
        <f>SUMIF(Recibos!$D$4:$D$7493,Cobranza!$B275,Recibos!L$4:L$7493)</f>
        <v>400</v>
      </c>
      <c r="BA275" s="313">
        <f>SUMIF(Recibos!$D$4:$D$7493,Cobranza!$B275,Recibos!M$4:M$7493)</f>
        <v>400</v>
      </c>
      <c r="BB275" s="313">
        <f>SUMIF(Recibos!$D$4:$D$7493,Cobranza!$B275,Recibos!N$4:N$7493)</f>
        <v>400</v>
      </c>
      <c r="BC275" s="313">
        <f>SUMIF(Recibos!$D$4:$D$7493,Cobranza!$B275,Recibos!O$4:O$7493)</f>
        <v>400</v>
      </c>
      <c r="BD275" s="313">
        <f>SUMIF(Recibos!$D$4:$D$7493,Cobranza!$B275,Recibos!P$4:P$7493)</f>
        <v>400</v>
      </c>
      <c r="BE275" s="313">
        <f>SUMIF(Recibos!$D$4:$D$7493,Cobranza!$B275,Recibos!Q$4:Q$7493)</f>
        <v>300</v>
      </c>
      <c r="BF275" s="313">
        <f>SUMIF(Recibos!$D$4:$D$7493,Cobranza!$B275,Recibos!R$4:R$7493)</f>
        <v>300</v>
      </c>
      <c r="BG275" s="313">
        <f>SUMIF(Recibos!$D$4:$D$7493,Cobranza!$B275,Recibos!S$4:S$7493)</f>
        <v>300</v>
      </c>
      <c r="BH275" s="313">
        <f>SUMIF(Recibos!$D$4:$D$7493,Cobranza!$B275,Recibos!T$4:T$7493)</f>
        <v>300</v>
      </c>
      <c r="BI275" s="313">
        <f>SUMIF(Recibos!$D$4:$D$7493,Cobranza!$B275,Recibos!U$4:U$7493)</f>
        <v>300</v>
      </c>
      <c r="BJ275" s="313">
        <f>SUMIF(Recibos!$D$4:$D$7493,Cobranza!$B275,Recibos!V$4:V$7493)</f>
        <v>300</v>
      </c>
      <c r="BK275" s="314">
        <f t="shared" si="36"/>
        <v>4200</v>
      </c>
      <c r="BL275" s="313">
        <f>SUMIF(Recibos!$D$4:$D$7493,Cobranza!$B275,Recibos!X$4:X$7493)</f>
        <v>300</v>
      </c>
      <c r="BM275" s="313">
        <f>SUMIF(Recibos!$D$4:$D$7493,Cobranza!$B275,Recibos!Y$4:Y$7493)</f>
        <v>300</v>
      </c>
      <c r="BN275" s="313">
        <f>SUMIF(Recibos!$D$4:$D$7493,Cobranza!$B275,Recibos!Z$4:Z$7493)</f>
        <v>300</v>
      </c>
      <c r="BO275" s="313">
        <f>SUMIF(Recibos!$D$4:$D$7493,Cobranza!$B275,Recibos!AA$4:AA$7493)</f>
        <v>300</v>
      </c>
      <c r="BP275" s="313">
        <f>SUMIF(Recibos!$D$4:$D$7493,Cobranza!$B275,Recibos!AB$4:AB$7493)</f>
        <v>300</v>
      </c>
      <c r="BQ275" s="313">
        <f>SUMIF(Recibos!$D$4:$D$7493,Cobranza!$B275,Recibos!AC$4:AC$7493)</f>
        <v>300</v>
      </c>
      <c r="BR275" s="313">
        <f>SUMIF(Recibos!$D$4:$D$7493,Cobranza!$B275,Recibos!AD$4:AD$7493)</f>
        <v>300</v>
      </c>
      <c r="BS275" s="313">
        <f>SUMIF(Recibos!$D$4:$D$7493,Cobranza!$B275,Recibos!AE$4:AE$7493)</f>
        <v>300</v>
      </c>
      <c r="BT275" s="313">
        <f>SUMIF(Recibos!$D$4:$D$7493,Cobranza!$B275,Recibos!AF$4:AF$7493)</f>
        <v>300</v>
      </c>
      <c r="BU275" s="313">
        <f>SUMIF(Recibos!$D$4:$D$7493,Cobranza!$B275,Recibos!AG$4:AG$7493)</f>
        <v>300</v>
      </c>
      <c r="BV275" s="313">
        <f>SUMIF(Recibos!$D$4:$D$7493,Cobranza!$B275,Recibos!AH$4:AH$7493)</f>
        <v>300</v>
      </c>
      <c r="BW275" s="313">
        <f>SUMIF(Recibos!$D$4:$D$7493,Cobranza!$B275,Recibos!AI$4:AI$7493)</f>
        <v>300</v>
      </c>
      <c r="BX275" s="314">
        <f t="shared" si="37"/>
        <v>3600</v>
      </c>
      <c r="BY275" s="313">
        <f>SUMIF(Recibos!$D$4:$D$7493,Cobranza!$B275,Recibos!AK$4:AK$7493)</f>
        <v>300</v>
      </c>
      <c r="BZ275" s="313">
        <f>SUMIF(Recibos!$D$4:$D$7493,Cobranza!$B275,Recibos!AL$4:AL$7493)</f>
        <v>300</v>
      </c>
      <c r="CA275" s="313">
        <f>SUMIF(Recibos!$D$4:$D$7493,Cobranza!$B275,Recibos!AM$4:AM$7493)</f>
        <v>300</v>
      </c>
      <c r="CB275" s="313">
        <f>SUMIF(Recibos!$D$4:$D$7493,Cobranza!$B275,Recibos!AN$4:AN$7493)</f>
        <v>300</v>
      </c>
      <c r="CC275" s="313">
        <f>SUMIF(Recibos!$D$4:$D$7493,Cobranza!$B275,Recibos!AO$4:AO$7493)</f>
        <v>300</v>
      </c>
      <c r="CD275" s="313">
        <f>SUMIF(Recibos!$D$4:$D$7493,Cobranza!$B275,Recibos!AP$4:AP$7493)</f>
        <v>300</v>
      </c>
      <c r="CE275" s="313">
        <f>SUMIF(Recibos!$D$4:$D$7493,Cobranza!$B275,Recibos!AQ$4:AQ$7493)</f>
        <v>0</v>
      </c>
      <c r="CF275" s="313">
        <f>SUMIF(Recibos!$D$4:$D$7493,Cobranza!$B275,Recibos!AR$4:AR$7493)</f>
        <v>300</v>
      </c>
      <c r="CG275" s="313">
        <f>SUMIF(Recibos!$D$4:$D$7493,Cobranza!$B275,Recibos!AS$4:AS$7493)</f>
        <v>300</v>
      </c>
      <c r="CH275" s="313">
        <f>SUMIF(Recibos!$D$4:$D$7493,Cobranza!$B275,Recibos!AT$4:AT$7493)</f>
        <v>0</v>
      </c>
      <c r="CI275" s="313">
        <f>SUMIF(Recibos!$D$4:$D$7493,Cobranza!$B275,Recibos!AU$4:AU$7493)</f>
        <v>0</v>
      </c>
      <c r="CJ275" s="313">
        <f>SUMIF(Recibos!$D$4:$D$7493,Cobranza!$B275,Recibos!AV$4:AV$7493)</f>
        <v>0</v>
      </c>
      <c r="CK275" s="314">
        <f t="shared" si="38"/>
        <v>2400</v>
      </c>
    </row>
    <row r="276" spans="2:89" x14ac:dyDescent="0.2">
      <c r="B276" s="42" t="s">
        <v>431</v>
      </c>
      <c r="C276" s="42" t="s">
        <v>432</v>
      </c>
      <c r="D276" s="42" t="s">
        <v>433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4">
        <f t="shared" si="39"/>
        <v>0</v>
      </c>
      <c r="L276" s="43">
        <v>300</v>
      </c>
      <c r="M276" s="43">
        <v>300</v>
      </c>
      <c r="N276" s="43">
        <v>300</v>
      </c>
      <c r="O276" s="43">
        <v>300</v>
      </c>
      <c r="P276" s="43">
        <v>300</v>
      </c>
      <c r="Q276" s="43">
        <v>300</v>
      </c>
      <c r="R276" s="43">
        <v>300</v>
      </c>
      <c r="S276" s="43">
        <v>300</v>
      </c>
      <c r="T276" s="43">
        <v>300</v>
      </c>
      <c r="U276" s="43">
        <v>0</v>
      </c>
      <c r="V276" s="43">
        <v>0</v>
      </c>
      <c r="W276" s="43">
        <v>0</v>
      </c>
      <c r="X276" s="44">
        <f t="shared" si="40"/>
        <v>2700</v>
      </c>
      <c r="Y276" s="43">
        <v>400</v>
      </c>
      <c r="Z276" s="43">
        <v>400</v>
      </c>
      <c r="AA276" s="43">
        <v>400</v>
      </c>
      <c r="AB276" s="43">
        <v>400</v>
      </c>
      <c r="AC276" s="43">
        <v>400</v>
      </c>
      <c r="AD276" s="43">
        <v>400</v>
      </c>
      <c r="AE276" s="43">
        <v>400</v>
      </c>
      <c r="AF276" s="43">
        <v>400</v>
      </c>
      <c r="AG276" s="43">
        <v>400</v>
      </c>
      <c r="AH276" s="43">
        <v>400</v>
      </c>
      <c r="AI276" s="43">
        <v>400</v>
      </c>
      <c r="AJ276" s="43">
        <v>400</v>
      </c>
      <c r="AK276" s="44">
        <f t="shared" si="41"/>
        <v>4800</v>
      </c>
      <c r="AL276" s="43">
        <v>400</v>
      </c>
      <c r="AM276" s="43">
        <v>400</v>
      </c>
      <c r="AN276" s="43">
        <v>400</v>
      </c>
      <c r="AO276" s="43">
        <v>400</v>
      </c>
      <c r="AP276" s="43">
        <v>400</v>
      </c>
      <c r="AQ276" s="43">
        <v>400</v>
      </c>
      <c r="AR276" s="43">
        <v>400</v>
      </c>
      <c r="AS276" s="43">
        <v>400</v>
      </c>
      <c r="AT276" s="43">
        <v>400</v>
      </c>
      <c r="AU276" s="43">
        <v>400</v>
      </c>
      <c r="AV276" s="43">
        <v>400</v>
      </c>
      <c r="AW276" s="43">
        <v>400</v>
      </c>
      <c r="AX276" s="44">
        <f t="shared" si="42"/>
        <v>4800</v>
      </c>
      <c r="AY276" s="311">
        <f>SUMIF(Recibos!$D$4:$D$7493,Cobranza!$B276,Recibos!K$4:K$7493)</f>
        <v>400</v>
      </c>
      <c r="AZ276" s="311">
        <f>SUMIF(Recibos!$D$4:$D$7493,Cobranza!$B276,Recibos!L$4:L$7493)</f>
        <v>400</v>
      </c>
      <c r="BA276" s="311">
        <f>SUMIF(Recibos!$D$4:$D$7493,Cobranza!$B276,Recibos!M$4:M$7493)</f>
        <v>400</v>
      </c>
      <c r="BB276" s="311">
        <f>SUMIF(Recibos!$D$4:$D$7493,Cobranza!$B276,Recibos!N$4:N$7493)</f>
        <v>400</v>
      </c>
      <c r="BC276" s="311">
        <f>SUMIF(Recibos!$D$4:$D$7493,Cobranza!$B276,Recibos!O$4:O$7493)</f>
        <v>400</v>
      </c>
      <c r="BD276" s="311">
        <f>SUMIF(Recibos!$D$4:$D$7493,Cobranza!$B276,Recibos!P$4:P$7493)</f>
        <v>400</v>
      </c>
      <c r="BE276" s="311">
        <f>SUMIF(Recibos!$D$4:$D$7493,Cobranza!$B276,Recibos!Q$4:Q$7493)</f>
        <v>400</v>
      </c>
      <c r="BF276" s="311">
        <f>SUMIF(Recibos!$D$4:$D$7493,Cobranza!$B276,Recibos!R$4:R$7493)</f>
        <v>400</v>
      </c>
      <c r="BG276" s="311">
        <f>SUMIF(Recibos!$D$4:$D$7493,Cobranza!$B276,Recibos!S$4:S$7493)</f>
        <v>400</v>
      </c>
      <c r="BH276" s="311">
        <f>SUMIF(Recibos!$D$4:$D$7493,Cobranza!$B276,Recibos!T$4:T$7493)</f>
        <v>400</v>
      </c>
      <c r="BI276" s="311">
        <f>SUMIF(Recibos!$D$4:$D$7493,Cobranza!$B276,Recibos!U$4:U$7493)</f>
        <v>400</v>
      </c>
      <c r="BJ276" s="311">
        <f>SUMIF(Recibos!$D$4:$D$7493,Cobranza!$B276,Recibos!V$4:V$7493)</f>
        <v>400</v>
      </c>
      <c r="BK276" s="312">
        <f t="shared" ref="BK276:BK340" si="43">SUM(AY276:BJ276)</f>
        <v>4800</v>
      </c>
      <c r="BL276" s="311">
        <f>SUMIF(Recibos!$D$4:$D$7493,Cobranza!$B276,Recibos!X$4:X$7493)</f>
        <v>400</v>
      </c>
      <c r="BM276" s="311">
        <f>SUMIF(Recibos!$D$4:$D$7493,Cobranza!$B276,Recibos!Y$4:Y$7493)</f>
        <v>400</v>
      </c>
      <c r="BN276" s="311">
        <f>SUMIF(Recibos!$D$4:$D$7493,Cobranza!$B276,Recibos!Z$4:Z$7493)</f>
        <v>400</v>
      </c>
      <c r="BO276" s="311">
        <f>SUMIF(Recibos!$D$4:$D$7493,Cobranza!$B276,Recibos!AA$4:AA$7493)</f>
        <v>400</v>
      </c>
      <c r="BP276" s="311">
        <f>SUMIF(Recibos!$D$4:$D$7493,Cobranza!$B276,Recibos!AB$4:AB$7493)</f>
        <v>400</v>
      </c>
      <c r="BQ276" s="311">
        <f>SUMIF(Recibos!$D$4:$D$7493,Cobranza!$B276,Recibos!AC$4:AC$7493)</f>
        <v>400</v>
      </c>
      <c r="BR276" s="311">
        <f>SUMIF(Recibos!$D$4:$D$7493,Cobranza!$B276,Recibos!AD$4:AD$7493)</f>
        <v>0</v>
      </c>
      <c r="BS276" s="311">
        <f>SUMIF(Recibos!$D$4:$D$7493,Cobranza!$B276,Recibos!AE$4:AE$7493)</f>
        <v>400</v>
      </c>
      <c r="BT276" s="311">
        <f>SUMIF(Recibos!$D$4:$D$7493,Cobranza!$B276,Recibos!AF$4:AF$7493)</f>
        <v>400</v>
      </c>
      <c r="BU276" s="311">
        <f>SUMIF(Recibos!$D$4:$D$7493,Cobranza!$B276,Recibos!AG$4:AG$7493)</f>
        <v>400</v>
      </c>
      <c r="BV276" s="311">
        <f>SUMIF(Recibos!$D$4:$D$7493,Cobranza!$B276,Recibos!AH$4:AH$7493)</f>
        <v>400</v>
      </c>
      <c r="BW276" s="311">
        <f>SUMIF(Recibos!$D$4:$D$7493,Cobranza!$B276,Recibos!AI$4:AI$7493)</f>
        <v>400</v>
      </c>
      <c r="BX276" s="312">
        <f t="shared" ref="BX276:BX340" si="44">SUM(BL276:BW276)</f>
        <v>4400</v>
      </c>
      <c r="BY276" s="311">
        <f>SUMIF(Recibos!$D$4:$D$7493,Cobranza!$B276,Recibos!AK$4:AK$7493)</f>
        <v>400</v>
      </c>
      <c r="BZ276" s="311">
        <f>SUMIF(Recibos!$D$4:$D$7493,Cobranza!$B276,Recibos!AL$4:AL$7493)</f>
        <v>400</v>
      </c>
      <c r="CA276" s="311">
        <f>SUMIF(Recibos!$D$4:$D$7493,Cobranza!$B276,Recibos!AM$4:AM$7493)</f>
        <v>400</v>
      </c>
      <c r="CB276" s="311">
        <f>SUMIF(Recibos!$D$4:$D$7493,Cobranza!$B276,Recibos!AN$4:AN$7493)</f>
        <v>400</v>
      </c>
      <c r="CC276" s="311">
        <f>SUMIF(Recibos!$D$4:$D$7493,Cobranza!$B276,Recibos!AO$4:AO$7493)</f>
        <v>400</v>
      </c>
      <c r="CD276" s="311">
        <f>SUMIF(Recibos!$D$4:$D$7493,Cobranza!$B276,Recibos!AP$4:AP$7493)</f>
        <v>400</v>
      </c>
      <c r="CE276" s="311">
        <f>SUMIF(Recibos!$D$4:$D$7493,Cobranza!$B276,Recibos!AQ$4:AQ$7493)</f>
        <v>400</v>
      </c>
      <c r="CF276" s="311">
        <f>SUMIF(Recibos!$D$4:$D$7493,Cobranza!$B276,Recibos!AR$4:AR$7493)</f>
        <v>0</v>
      </c>
      <c r="CG276" s="311">
        <f>SUMIF(Recibos!$D$4:$D$7493,Cobranza!$B276,Recibos!AS$4:AS$7493)</f>
        <v>0</v>
      </c>
      <c r="CH276" s="311">
        <f>SUMIF(Recibos!$D$4:$D$7493,Cobranza!$B276,Recibos!AT$4:AT$7493)</f>
        <v>0</v>
      </c>
      <c r="CI276" s="311">
        <f>SUMIF(Recibos!$D$4:$D$7493,Cobranza!$B276,Recibos!AU$4:AU$7493)</f>
        <v>0</v>
      </c>
      <c r="CJ276" s="311">
        <f>SUMIF(Recibos!$D$4:$D$7493,Cobranza!$B276,Recibos!AV$4:AV$7493)</f>
        <v>0</v>
      </c>
      <c r="CK276" s="312">
        <f t="shared" si="38"/>
        <v>2800</v>
      </c>
    </row>
    <row r="277" spans="2:89" x14ac:dyDescent="0.2">
      <c r="B277" s="45" t="s">
        <v>1394</v>
      </c>
      <c r="C277" s="45" t="s">
        <v>1395</v>
      </c>
      <c r="D277" s="45" t="s">
        <v>1396</v>
      </c>
      <c r="E277" s="46">
        <v>0</v>
      </c>
      <c r="F277" s="46">
        <v>0</v>
      </c>
      <c r="G277" s="46">
        <v>0</v>
      </c>
      <c r="H277" s="46">
        <v>0</v>
      </c>
      <c r="I277" s="46">
        <v>300</v>
      </c>
      <c r="J277" s="46">
        <v>300</v>
      </c>
      <c r="K277" s="47">
        <f t="shared" si="39"/>
        <v>600</v>
      </c>
      <c r="L277" s="46">
        <v>300</v>
      </c>
      <c r="M277" s="46">
        <v>300</v>
      </c>
      <c r="N277" s="46">
        <v>300</v>
      </c>
      <c r="O277" s="46">
        <v>300</v>
      </c>
      <c r="P277" s="46">
        <v>0</v>
      </c>
      <c r="Q277" s="46">
        <v>0</v>
      </c>
      <c r="R277" s="46">
        <v>0</v>
      </c>
      <c r="S277" s="46">
        <v>0</v>
      </c>
      <c r="T277" s="46">
        <v>0</v>
      </c>
      <c r="U277" s="46">
        <v>0</v>
      </c>
      <c r="V277" s="46">
        <v>0</v>
      </c>
      <c r="W277" s="46">
        <v>0</v>
      </c>
      <c r="X277" s="47">
        <f t="shared" si="40"/>
        <v>1200</v>
      </c>
      <c r="Y277" s="46">
        <v>0</v>
      </c>
      <c r="Z277" s="46">
        <v>0</v>
      </c>
      <c r="AA277" s="46">
        <v>0</v>
      </c>
      <c r="AB277" s="46">
        <v>0</v>
      </c>
      <c r="AC277" s="46">
        <v>0</v>
      </c>
      <c r="AD277" s="46">
        <v>0</v>
      </c>
      <c r="AE277" s="46">
        <v>0</v>
      </c>
      <c r="AF277" s="46">
        <v>0</v>
      </c>
      <c r="AG277" s="46">
        <v>0</v>
      </c>
      <c r="AH277" s="46">
        <v>0</v>
      </c>
      <c r="AI277" s="46">
        <v>0</v>
      </c>
      <c r="AJ277" s="46">
        <v>0</v>
      </c>
      <c r="AK277" s="47">
        <f t="shared" si="41"/>
        <v>0</v>
      </c>
      <c r="AL277" s="46">
        <v>0</v>
      </c>
      <c r="AM277" s="46">
        <v>0</v>
      </c>
      <c r="AN277" s="46">
        <v>0</v>
      </c>
      <c r="AO277" s="46">
        <v>0</v>
      </c>
      <c r="AP277" s="46">
        <v>0</v>
      </c>
      <c r="AQ277" s="46">
        <v>0</v>
      </c>
      <c r="AR277" s="46">
        <v>0</v>
      </c>
      <c r="AS277" s="46">
        <v>0</v>
      </c>
      <c r="AT277" s="46">
        <v>0</v>
      </c>
      <c r="AU277" s="46">
        <v>0</v>
      </c>
      <c r="AV277" s="46">
        <v>0</v>
      </c>
      <c r="AW277" s="46">
        <v>0</v>
      </c>
      <c r="AX277" s="47">
        <f t="shared" si="42"/>
        <v>0</v>
      </c>
      <c r="AY277" s="313">
        <f>SUMIF(Recibos!$D$4:$D$7493,Cobranza!$B277,Recibos!K$4:K$7493)</f>
        <v>0</v>
      </c>
      <c r="AZ277" s="313">
        <f>SUMIF(Recibos!$D$4:$D$7493,Cobranza!$B277,Recibos!L$4:L$7493)</f>
        <v>0</v>
      </c>
      <c r="BA277" s="313">
        <f>SUMIF(Recibos!$D$4:$D$7493,Cobranza!$B277,Recibos!M$4:M$7493)</f>
        <v>0</v>
      </c>
      <c r="BB277" s="313">
        <f>SUMIF(Recibos!$D$4:$D$7493,Cobranza!$B277,Recibos!N$4:N$7493)</f>
        <v>0</v>
      </c>
      <c r="BC277" s="313">
        <f>SUMIF(Recibos!$D$4:$D$7493,Cobranza!$B277,Recibos!O$4:O$7493)</f>
        <v>0</v>
      </c>
      <c r="BD277" s="313">
        <f>SUMIF(Recibos!$D$4:$D$7493,Cobranza!$B277,Recibos!P$4:P$7493)</f>
        <v>0</v>
      </c>
      <c r="BE277" s="313">
        <f>SUMIF(Recibos!$D$4:$D$7493,Cobranza!$B277,Recibos!Q$4:Q$7493)</f>
        <v>0</v>
      </c>
      <c r="BF277" s="313">
        <f>SUMIF(Recibos!$D$4:$D$7493,Cobranza!$B277,Recibos!R$4:R$7493)</f>
        <v>0</v>
      </c>
      <c r="BG277" s="313">
        <f>SUMIF(Recibos!$D$4:$D$7493,Cobranza!$B277,Recibos!S$4:S$7493)</f>
        <v>0</v>
      </c>
      <c r="BH277" s="313">
        <f>SUMIF(Recibos!$D$4:$D$7493,Cobranza!$B277,Recibos!T$4:T$7493)</f>
        <v>0</v>
      </c>
      <c r="BI277" s="313">
        <f>SUMIF(Recibos!$D$4:$D$7493,Cobranza!$B277,Recibos!U$4:U$7493)</f>
        <v>0</v>
      </c>
      <c r="BJ277" s="313">
        <f>SUMIF(Recibos!$D$4:$D$7493,Cobranza!$B277,Recibos!V$4:V$7493)</f>
        <v>0</v>
      </c>
      <c r="BK277" s="314">
        <f t="shared" si="43"/>
        <v>0</v>
      </c>
      <c r="BL277" s="313">
        <f>SUMIF(Recibos!$D$4:$D$7493,Cobranza!$B277,Recibos!X$4:X$7493)</f>
        <v>0</v>
      </c>
      <c r="BM277" s="313">
        <f>SUMIF(Recibos!$D$4:$D$7493,Cobranza!$B277,Recibos!Y$4:Y$7493)</f>
        <v>0</v>
      </c>
      <c r="BN277" s="313">
        <f>SUMIF(Recibos!$D$4:$D$7493,Cobranza!$B277,Recibos!Z$4:Z$7493)</f>
        <v>0</v>
      </c>
      <c r="BO277" s="313">
        <f>SUMIF(Recibos!$D$4:$D$7493,Cobranza!$B277,Recibos!AA$4:AA$7493)</f>
        <v>0</v>
      </c>
      <c r="BP277" s="313">
        <f>SUMIF(Recibos!$D$4:$D$7493,Cobranza!$B277,Recibos!AB$4:AB$7493)</f>
        <v>0</v>
      </c>
      <c r="BQ277" s="313">
        <f>SUMIF(Recibos!$D$4:$D$7493,Cobranza!$B277,Recibos!AC$4:AC$7493)</f>
        <v>0</v>
      </c>
      <c r="BR277" s="313">
        <f>SUMIF(Recibos!$D$4:$D$7493,Cobranza!$B277,Recibos!AD$4:AD$7493)</f>
        <v>0</v>
      </c>
      <c r="BS277" s="313">
        <f>SUMIF(Recibos!$D$4:$D$7493,Cobranza!$B277,Recibos!AE$4:AE$7493)</f>
        <v>0</v>
      </c>
      <c r="BT277" s="313">
        <f>SUMIF(Recibos!$D$4:$D$7493,Cobranza!$B277,Recibos!AF$4:AF$7493)</f>
        <v>0</v>
      </c>
      <c r="BU277" s="313">
        <f>SUMIF(Recibos!$D$4:$D$7493,Cobranza!$B277,Recibos!AG$4:AG$7493)</f>
        <v>0</v>
      </c>
      <c r="BV277" s="313">
        <f>SUMIF(Recibos!$D$4:$D$7493,Cobranza!$B277,Recibos!AH$4:AH$7493)</f>
        <v>0</v>
      </c>
      <c r="BW277" s="313">
        <f>SUMIF(Recibos!$D$4:$D$7493,Cobranza!$B277,Recibos!AI$4:AI$7493)</f>
        <v>0</v>
      </c>
      <c r="BX277" s="314">
        <f t="shared" si="44"/>
        <v>0</v>
      </c>
      <c r="BY277" s="313">
        <f>SUMIF(Recibos!$D$4:$D$7493,Cobranza!$B277,Recibos!AK$4:AK$7493)</f>
        <v>0</v>
      </c>
      <c r="BZ277" s="313">
        <f>SUMIF(Recibos!$D$4:$D$7493,Cobranza!$B277,Recibos!AL$4:AL$7493)</f>
        <v>0</v>
      </c>
      <c r="CA277" s="313">
        <f>SUMIF(Recibos!$D$4:$D$7493,Cobranza!$B277,Recibos!AM$4:AM$7493)</f>
        <v>0</v>
      </c>
      <c r="CB277" s="313">
        <f>SUMIF(Recibos!$D$4:$D$7493,Cobranza!$B277,Recibos!AN$4:AN$7493)</f>
        <v>0</v>
      </c>
      <c r="CC277" s="313">
        <f>SUMIF(Recibos!$D$4:$D$7493,Cobranza!$B277,Recibos!AO$4:AO$7493)</f>
        <v>0</v>
      </c>
      <c r="CD277" s="313">
        <f>SUMIF(Recibos!$D$4:$D$7493,Cobranza!$B277,Recibos!AP$4:AP$7493)</f>
        <v>0</v>
      </c>
      <c r="CE277" s="313">
        <f>SUMIF(Recibos!$D$4:$D$7493,Cobranza!$B277,Recibos!AQ$4:AQ$7493)</f>
        <v>0</v>
      </c>
      <c r="CF277" s="313">
        <f>SUMIF(Recibos!$D$4:$D$7493,Cobranza!$B277,Recibos!AR$4:AR$7493)</f>
        <v>0</v>
      </c>
      <c r="CG277" s="313">
        <f>SUMIF(Recibos!$D$4:$D$7493,Cobranza!$B277,Recibos!AS$4:AS$7493)</f>
        <v>0</v>
      </c>
      <c r="CH277" s="313">
        <f>SUMIF(Recibos!$D$4:$D$7493,Cobranza!$B277,Recibos!AT$4:AT$7493)</f>
        <v>0</v>
      </c>
      <c r="CI277" s="313">
        <f>SUMIF(Recibos!$D$4:$D$7493,Cobranza!$B277,Recibos!AU$4:AU$7493)</f>
        <v>0</v>
      </c>
      <c r="CJ277" s="313">
        <f>SUMIF(Recibos!$D$4:$D$7493,Cobranza!$B277,Recibos!AV$4:AV$7493)</f>
        <v>0</v>
      </c>
      <c r="CK277" s="314">
        <f t="shared" si="38"/>
        <v>0</v>
      </c>
    </row>
    <row r="278" spans="2:89" x14ac:dyDescent="0.2">
      <c r="B278" s="42" t="s">
        <v>684</v>
      </c>
      <c r="C278" s="42" t="s">
        <v>685</v>
      </c>
      <c r="D278" s="42" t="s">
        <v>686</v>
      </c>
      <c r="E278" s="43">
        <v>0</v>
      </c>
      <c r="F278" s="43">
        <v>0</v>
      </c>
      <c r="G278" s="43">
        <v>0</v>
      </c>
      <c r="H278" s="43">
        <v>300</v>
      </c>
      <c r="I278" s="43">
        <v>300</v>
      </c>
      <c r="J278" s="43">
        <v>300</v>
      </c>
      <c r="K278" s="44">
        <f t="shared" si="39"/>
        <v>900</v>
      </c>
      <c r="L278" s="43">
        <v>300</v>
      </c>
      <c r="M278" s="43">
        <v>300</v>
      </c>
      <c r="N278" s="43">
        <v>300</v>
      </c>
      <c r="O278" s="43">
        <v>300</v>
      </c>
      <c r="P278" s="43">
        <v>300</v>
      </c>
      <c r="Q278" s="43">
        <v>300</v>
      </c>
      <c r="R278" s="43">
        <v>300</v>
      </c>
      <c r="S278" s="43">
        <v>300</v>
      </c>
      <c r="T278" s="43">
        <v>300</v>
      </c>
      <c r="U278" s="43">
        <v>400</v>
      </c>
      <c r="V278" s="43">
        <v>400</v>
      </c>
      <c r="W278" s="43">
        <v>400</v>
      </c>
      <c r="X278" s="44">
        <f t="shared" si="40"/>
        <v>3900</v>
      </c>
      <c r="Y278" s="43">
        <v>400</v>
      </c>
      <c r="Z278" s="43">
        <v>400</v>
      </c>
      <c r="AA278" s="43">
        <v>400</v>
      </c>
      <c r="AB278" s="43">
        <v>400</v>
      </c>
      <c r="AC278" s="43">
        <v>400</v>
      </c>
      <c r="AD278" s="43">
        <v>400</v>
      </c>
      <c r="AE278" s="43">
        <v>400</v>
      </c>
      <c r="AF278" s="43">
        <v>400</v>
      </c>
      <c r="AG278" s="43">
        <v>400</v>
      </c>
      <c r="AH278" s="43">
        <v>400</v>
      </c>
      <c r="AI278" s="43">
        <v>400</v>
      </c>
      <c r="AJ278" s="43">
        <v>400</v>
      </c>
      <c r="AK278" s="44">
        <f t="shared" si="41"/>
        <v>4800</v>
      </c>
      <c r="AL278" s="43">
        <v>400</v>
      </c>
      <c r="AM278" s="43">
        <v>400</v>
      </c>
      <c r="AN278" s="43">
        <v>400</v>
      </c>
      <c r="AO278" s="43">
        <v>400</v>
      </c>
      <c r="AP278" s="43">
        <v>400</v>
      </c>
      <c r="AQ278" s="43">
        <v>400</v>
      </c>
      <c r="AR278" s="43">
        <v>400</v>
      </c>
      <c r="AS278" s="43">
        <v>400</v>
      </c>
      <c r="AT278" s="43">
        <v>400</v>
      </c>
      <c r="AU278" s="43">
        <v>400</v>
      </c>
      <c r="AV278" s="43">
        <v>400</v>
      </c>
      <c r="AW278" s="43">
        <v>400</v>
      </c>
      <c r="AX278" s="44">
        <f t="shared" si="42"/>
        <v>4800</v>
      </c>
      <c r="AY278" s="311">
        <f>SUMIF(Recibos!$D$4:$D$7493,Cobranza!$B278,Recibos!K$4:K$7493)</f>
        <v>400</v>
      </c>
      <c r="AZ278" s="311">
        <f>SUMIF(Recibos!$D$4:$D$7493,Cobranza!$B278,Recibos!L$4:L$7493)</f>
        <v>400</v>
      </c>
      <c r="BA278" s="311">
        <f>SUMIF(Recibos!$D$4:$D$7493,Cobranza!$B278,Recibos!M$4:M$7493)</f>
        <v>400</v>
      </c>
      <c r="BB278" s="311">
        <f>SUMIF(Recibos!$D$4:$D$7493,Cobranza!$B278,Recibos!N$4:N$7493)</f>
        <v>400</v>
      </c>
      <c r="BC278" s="311">
        <f>SUMIF(Recibos!$D$4:$D$7493,Cobranza!$B278,Recibos!O$4:O$7493)</f>
        <v>400</v>
      </c>
      <c r="BD278" s="311">
        <f>SUMIF(Recibos!$D$4:$D$7493,Cobranza!$B278,Recibos!P$4:P$7493)</f>
        <v>0</v>
      </c>
      <c r="BE278" s="311">
        <f>SUMIF(Recibos!$D$4:$D$7493,Cobranza!$B278,Recibos!Q$4:Q$7493)</f>
        <v>400</v>
      </c>
      <c r="BF278" s="311">
        <f>SUMIF(Recibos!$D$4:$D$7493,Cobranza!$B278,Recibos!R$4:R$7493)</f>
        <v>800</v>
      </c>
      <c r="BG278" s="311">
        <f>SUMIF(Recibos!$D$4:$D$7493,Cobranza!$B278,Recibos!S$4:S$7493)</f>
        <v>400</v>
      </c>
      <c r="BH278" s="311">
        <f>SUMIF(Recibos!$D$4:$D$7493,Cobranza!$B278,Recibos!T$4:T$7493)</f>
        <v>400</v>
      </c>
      <c r="BI278" s="311">
        <f>SUMIF(Recibos!$D$4:$D$7493,Cobranza!$B278,Recibos!U$4:U$7493)</f>
        <v>400</v>
      </c>
      <c r="BJ278" s="311">
        <f>SUMIF(Recibos!$D$4:$D$7493,Cobranza!$B278,Recibos!V$4:V$7493)</f>
        <v>400</v>
      </c>
      <c r="BK278" s="312">
        <f t="shared" si="43"/>
        <v>4800</v>
      </c>
      <c r="BL278" s="311">
        <f>SUMIF(Recibos!$D$4:$D$7493,Cobranza!$B278,Recibos!X$4:X$7493)</f>
        <v>400</v>
      </c>
      <c r="BM278" s="311">
        <f>SUMIF(Recibos!$D$4:$D$7493,Cobranza!$B278,Recibos!Y$4:Y$7493)</f>
        <v>400</v>
      </c>
      <c r="BN278" s="311">
        <f>SUMIF(Recibos!$D$4:$D$7493,Cobranza!$B278,Recibos!Z$4:Z$7493)</f>
        <v>400</v>
      </c>
      <c r="BO278" s="311">
        <f>SUMIF(Recibos!$D$4:$D$7493,Cobranza!$B278,Recibos!AA$4:AA$7493)</f>
        <v>400</v>
      </c>
      <c r="BP278" s="311">
        <f>SUMIF(Recibos!$D$4:$D$7493,Cobranza!$B278,Recibos!AB$4:AB$7493)</f>
        <v>400</v>
      </c>
      <c r="BQ278" s="311">
        <f>SUMIF(Recibos!$D$4:$D$7493,Cobranza!$B278,Recibos!AC$4:AC$7493)</f>
        <v>400</v>
      </c>
      <c r="BR278" s="311">
        <f>SUMIF(Recibos!$D$4:$D$7493,Cobranza!$B278,Recibos!AD$4:AD$7493)</f>
        <v>0</v>
      </c>
      <c r="BS278" s="311">
        <f>SUMIF(Recibos!$D$4:$D$7493,Cobranza!$B278,Recibos!AE$4:AE$7493)</f>
        <v>0</v>
      </c>
      <c r="BT278" s="311">
        <f>SUMIF(Recibos!$D$4:$D$7493,Cobranza!$B278,Recibos!AF$4:AF$7493)</f>
        <v>0</v>
      </c>
      <c r="BU278" s="311">
        <f>SUMIF(Recibos!$D$4:$D$7493,Cobranza!$B278,Recibos!AG$4:AG$7493)</f>
        <v>0</v>
      </c>
      <c r="BV278" s="311">
        <f>SUMIF(Recibos!$D$4:$D$7493,Cobranza!$B278,Recibos!AH$4:AH$7493)</f>
        <v>0</v>
      </c>
      <c r="BW278" s="311">
        <f>SUMIF(Recibos!$D$4:$D$7493,Cobranza!$B278,Recibos!AI$4:AI$7493)</f>
        <v>0</v>
      </c>
      <c r="BX278" s="312">
        <f t="shared" si="44"/>
        <v>2400</v>
      </c>
      <c r="BY278" s="311">
        <f>SUMIF(Recibos!$D$4:$D$7493,Cobranza!$B278,Recibos!AK$4:AK$7493)</f>
        <v>400</v>
      </c>
      <c r="BZ278" s="311">
        <f>SUMIF(Recibos!$D$4:$D$7493,Cobranza!$B278,Recibos!AL$4:AL$7493)</f>
        <v>400</v>
      </c>
      <c r="CA278" s="311">
        <f>SUMIF(Recibos!$D$4:$D$7493,Cobranza!$B278,Recibos!AM$4:AM$7493)</f>
        <v>400</v>
      </c>
      <c r="CB278" s="311">
        <f>SUMIF(Recibos!$D$4:$D$7493,Cobranza!$B278,Recibos!AN$4:AN$7493)</f>
        <v>400</v>
      </c>
      <c r="CC278" s="311">
        <f>SUMIF(Recibos!$D$4:$D$7493,Cobranza!$B278,Recibos!AO$4:AO$7493)</f>
        <v>400</v>
      </c>
      <c r="CD278" s="311">
        <f>SUMIF(Recibos!$D$4:$D$7493,Cobranza!$B278,Recibos!AP$4:AP$7493)</f>
        <v>400</v>
      </c>
      <c r="CE278" s="311">
        <f>SUMIF(Recibos!$D$4:$D$7493,Cobranza!$B278,Recibos!AQ$4:AQ$7493)</f>
        <v>400</v>
      </c>
      <c r="CF278" s="311">
        <f>SUMIF(Recibos!$D$4:$D$7493,Cobranza!$B278,Recibos!AR$4:AR$7493)</f>
        <v>0</v>
      </c>
      <c r="CG278" s="311">
        <f>SUMIF(Recibos!$D$4:$D$7493,Cobranza!$B278,Recibos!AS$4:AS$7493)</f>
        <v>0</v>
      </c>
      <c r="CH278" s="311">
        <f>SUMIF(Recibos!$D$4:$D$7493,Cobranza!$B278,Recibos!AT$4:AT$7493)</f>
        <v>0</v>
      </c>
      <c r="CI278" s="311">
        <f>SUMIF(Recibos!$D$4:$D$7493,Cobranza!$B278,Recibos!AU$4:AU$7493)</f>
        <v>0</v>
      </c>
      <c r="CJ278" s="311">
        <f>SUMIF(Recibos!$D$4:$D$7493,Cobranza!$B278,Recibos!AV$4:AV$7493)</f>
        <v>0</v>
      </c>
      <c r="CK278" s="312">
        <f t="shared" si="38"/>
        <v>2800</v>
      </c>
    </row>
    <row r="279" spans="2:89" x14ac:dyDescent="0.2">
      <c r="B279" s="45" t="s">
        <v>1397</v>
      </c>
      <c r="C279" s="45" t="s">
        <v>1398</v>
      </c>
      <c r="D279" s="45"/>
      <c r="E279" s="46">
        <v>0</v>
      </c>
      <c r="F279" s="46">
        <v>0</v>
      </c>
      <c r="G279" s="46">
        <v>0</v>
      </c>
      <c r="H279" s="46">
        <v>0</v>
      </c>
      <c r="I279" s="46">
        <v>0</v>
      </c>
      <c r="J279" s="46">
        <v>0</v>
      </c>
      <c r="K279" s="47">
        <f t="shared" si="39"/>
        <v>0</v>
      </c>
      <c r="L279" s="46">
        <v>0</v>
      </c>
      <c r="M279" s="46">
        <v>0</v>
      </c>
      <c r="N279" s="46">
        <v>0</v>
      </c>
      <c r="O279" s="46">
        <v>0</v>
      </c>
      <c r="P279" s="46">
        <v>0</v>
      </c>
      <c r="Q279" s="46">
        <v>0</v>
      </c>
      <c r="R279" s="46">
        <v>0</v>
      </c>
      <c r="S279" s="46">
        <v>0</v>
      </c>
      <c r="T279" s="46">
        <v>0</v>
      </c>
      <c r="U279" s="46">
        <v>0</v>
      </c>
      <c r="V279" s="46">
        <v>0</v>
      </c>
      <c r="W279" s="46">
        <v>0</v>
      </c>
      <c r="X279" s="47">
        <f t="shared" si="40"/>
        <v>0</v>
      </c>
      <c r="Y279" s="46">
        <v>0</v>
      </c>
      <c r="Z279" s="46">
        <v>0</v>
      </c>
      <c r="AA279" s="46">
        <v>0</v>
      </c>
      <c r="AB279" s="46">
        <v>0</v>
      </c>
      <c r="AC279" s="46">
        <v>0</v>
      </c>
      <c r="AD279" s="46">
        <v>0</v>
      </c>
      <c r="AE279" s="46">
        <v>0</v>
      </c>
      <c r="AF279" s="46">
        <v>0</v>
      </c>
      <c r="AG279" s="46">
        <v>0</v>
      </c>
      <c r="AH279" s="46">
        <v>0</v>
      </c>
      <c r="AI279" s="46">
        <v>0</v>
      </c>
      <c r="AJ279" s="46">
        <v>0</v>
      </c>
      <c r="AK279" s="47">
        <f t="shared" si="41"/>
        <v>0</v>
      </c>
      <c r="AL279" s="46">
        <v>0</v>
      </c>
      <c r="AM279" s="46">
        <v>0</v>
      </c>
      <c r="AN279" s="46">
        <v>0</v>
      </c>
      <c r="AO279" s="46">
        <v>0</v>
      </c>
      <c r="AP279" s="46">
        <v>0</v>
      </c>
      <c r="AQ279" s="46">
        <v>0</v>
      </c>
      <c r="AR279" s="46">
        <v>0</v>
      </c>
      <c r="AS279" s="46">
        <v>0</v>
      </c>
      <c r="AT279" s="46">
        <v>0</v>
      </c>
      <c r="AU279" s="46">
        <v>0</v>
      </c>
      <c r="AV279" s="46">
        <v>0</v>
      </c>
      <c r="AW279" s="46">
        <v>0</v>
      </c>
      <c r="AX279" s="47">
        <f t="shared" si="42"/>
        <v>0</v>
      </c>
      <c r="AY279" s="313">
        <f>SUMIF(Recibos!$D$4:$D$7493,Cobranza!$B279,Recibos!K$4:K$7493)</f>
        <v>0</v>
      </c>
      <c r="AZ279" s="313">
        <f>SUMIF(Recibos!$D$4:$D$7493,Cobranza!$B279,Recibos!L$4:L$7493)</f>
        <v>0</v>
      </c>
      <c r="BA279" s="313">
        <f>SUMIF(Recibos!$D$4:$D$7493,Cobranza!$B279,Recibos!M$4:M$7493)</f>
        <v>0</v>
      </c>
      <c r="BB279" s="313">
        <f>SUMIF(Recibos!$D$4:$D$7493,Cobranza!$B279,Recibos!N$4:N$7493)</f>
        <v>0</v>
      </c>
      <c r="BC279" s="313">
        <f>SUMIF(Recibos!$D$4:$D$7493,Cobranza!$B279,Recibos!O$4:O$7493)</f>
        <v>0</v>
      </c>
      <c r="BD279" s="313">
        <f>SUMIF(Recibos!$D$4:$D$7493,Cobranza!$B279,Recibos!P$4:P$7493)</f>
        <v>0</v>
      </c>
      <c r="BE279" s="313">
        <f>SUMIF(Recibos!$D$4:$D$7493,Cobranza!$B279,Recibos!Q$4:Q$7493)</f>
        <v>0</v>
      </c>
      <c r="BF279" s="313">
        <f>SUMIF(Recibos!$D$4:$D$7493,Cobranza!$B279,Recibos!R$4:R$7493)</f>
        <v>0</v>
      </c>
      <c r="BG279" s="313">
        <f>SUMIF(Recibos!$D$4:$D$7493,Cobranza!$B279,Recibos!S$4:S$7493)</f>
        <v>0</v>
      </c>
      <c r="BH279" s="313">
        <f>SUMIF(Recibos!$D$4:$D$7493,Cobranza!$B279,Recibos!T$4:T$7493)</f>
        <v>0</v>
      </c>
      <c r="BI279" s="313">
        <f>SUMIF(Recibos!$D$4:$D$7493,Cobranza!$B279,Recibos!U$4:U$7493)</f>
        <v>0</v>
      </c>
      <c r="BJ279" s="313">
        <f>SUMIF(Recibos!$D$4:$D$7493,Cobranza!$B279,Recibos!V$4:V$7493)</f>
        <v>0</v>
      </c>
      <c r="BK279" s="314">
        <f t="shared" si="43"/>
        <v>0</v>
      </c>
      <c r="BL279" s="313">
        <f>SUMIF(Recibos!$D$4:$D$7493,Cobranza!$B279,Recibos!X$4:X$7493)</f>
        <v>0</v>
      </c>
      <c r="BM279" s="313">
        <f>SUMIF(Recibos!$D$4:$D$7493,Cobranza!$B279,Recibos!Y$4:Y$7493)</f>
        <v>0</v>
      </c>
      <c r="BN279" s="313">
        <f>SUMIF(Recibos!$D$4:$D$7493,Cobranza!$B279,Recibos!Z$4:Z$7493)</f>
        <v>0</v>
      </c>
      <c r="BO279" s="313">
        <f>SUMIF(Recibos!$D$4:$D$7493,Cobranza!$B279,Recibos!AA$4:AA$7493)</f>
        <v>0</v>
      </c>
      <c r="BP279" s="313">
        <f>SUMIF(Recibos!$D$4:$D$7493,Cobranza!$B279,Recibos!AB$4:AB$7493)</f>
        <v>0</v>
      </c>
      <c r="BQ279" s="313">
        <f>SUMIF(Recibos!$D$4:$D$7493,Cobranza!$B279,Recibos!AC$4:AC$7493)</f>
        <v>0</v>
      </c>
      <c r="BR279" s="313">
        <f>SUMIF(Recibos!$D$4:$D$7493,Cobranza!$B279,Recibos!AD$4:AD$7493)</f>
        <v>0</v>
      </c>
      <c r="BS279" s="313">
        <f>SUMIF(Recibos!$D$4:$D$7493,Cobranza!$B279,Recibos!AE$4:AE$7493)</f>
        <v>0</v>
      </c>
      <c r="BT279" s="313">
        <f>SUMIF(Recibos!$D$4:$D$7493,Cobranza!$B279,Recibos!AF$4:AF$7493)</f>
        <v>0</v>
      </c>
      <c r="BU279" s="313">
        <f>SUMIF(Recibos!$D$4:$D$7493,Cobranza!$B279,Recibos!AG$4:AG$7493)</f>
        <v>0</v>
      </c>
      <c r="BV279" s="313">
        <f>SUMIF(Recibos!$D$4:$D$7493,Cobranza!$B279,Recibos!AH$4:AH$7493)</f>
        <v>0</v>
      </c>
      <c r="BW279" s="313">
        <f>SUMIF(Recibos!$D$4:$D$7493,Cobranza!$B279,Recibos!AI$4:AI$7493)</f>
        <v>0</v>
      </c>
      <c r="BX279" s="314">
        <f t="shared" si="44"/>
        <v>0</v>
      </c>
      <c r="BY279" s="313">
        <f>SUMIF(Recibos!$D$4:$D$7493,Cobranza!$B279,Recibos!AK$4:AK$7493)</f>
        <v>0</v>
      </c>
      <c r="BZ279" s="313">
        <f>SUMIF(Recibos!$D$4:$D$7493,Cobranza!$B279,Recibos!AL$4:AL$7493)</f>
        <v>0</v>
      </c>
      <c r="CA279" s="313">
        <f>SUMIF(Recibos!$D$4:$D$7493,Cobranza!$B279,Recibos!AM$4:AM$7493)</f>
        <v>0</v>
      </c>
      <c r="CB279" s="313">
        <f>SUMIF(Recibos!$D$4:$D$7493,Cobranza!$B279,Recibos!AN$4:AN$7493)</f>
        <v>0</v>
      </c>
      <c r="CC279" s="313">
        <f>SUMIF(Recibos!$D$4:$D$7493,Cobranza!$B279,Recibos!AO$4:AO$7493)</f>
        <v>0</v>
      </c>
      <c r="CD279" s="313">
        <f>SUMIF(Recibos!$D$4:$D$7493,Cobranza!$B279,Recibos!AP$4:AP$7493)</f>
        <v>0</v>
      </c>
      <c r="CE279" s="313">
        <f>SUMIF(Recibos!$D$4:$D$7493,Cobranza!$B279,Recibos!AQ$4:AQ$7493)</f>
        <v>0</v>
      </c>
      <c r="CF279" s="313">
        <f>SUMIF(Recibos!$D$4:$D$7493,Cobranza!$B279,Recibos!AR$4:AR$7493)</f>
        <v>0</v>
      </c>
      <c r="CG279" s="313">
        <f>SUMIF(Recibos!$D$4:$D$7493,Cobranza!$B279,Recibos!AS$4:AS$7493)</f>
        <v>0</v>
      </c>
      <c r="CH279" s="313">
        <f>SUMIF(Recibos!$D$4:$D$7493,Cobranza!$B279,Recibos!AT$4:AT$7493)</f>
        <v>0</v>
      </c>
      <c r="CI279" s="313">
        <f>SUMIF(Recibos!$D$4:$D$7493,Cobranza!$B279,Recibos!AU$4:AU$7493)</f>
        <v>0</v>
      </c>
      <c r="CJ279" s="313">
        <f>SUMIF(Recibos!$D$4:$D$7493,Cobranza!$B279,Recibos!AV$4:AV$7493)</f>
        <v>0</v>
      </c>
      <c r="CK279" s="314">
        <f t="shared" si="38"/>
        <v>0</v>
      </c>
    </row>
    <row r="280" spans="2:89" x14ac:dyDescent="0.2">
      <c r="B280" s="42" t="s">
        <v>401</v>
      </c>
      <c r="C280" s="42" t="s">
        <v>402</v>
      </c>
      <c r="D280" s="42" t="s">
        <v>403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4">
        <f t="shared" si="39"/>
        <v>0</v>
      </c>
      <c r="L280" s="43">
        <v>300</v>
      </c>
      <c r="M280" s="43">
        <v>300</v>
      </c>
      <c r="N280" s="43">
        <v>300</v>
      </c>
      <c r="O280" s="43">
        <v>300</v>
      </c>
      <c r="P280" s="43">
        <v>300</v>
      </c>
      <c r="Q280" s="43">
        <v>300</v>
      </c>
      <c r="R280" s="43">
        <v>300</v>
      </c>
      <c r="S280" s="43">
        <v>300</v>
      </c>
      <c r="T280" s="43">
        <v>300</v>
      </c>
      <c r="U280" s="43">
        <v>400</v>
      </c>
      <c r="V280" s="43">
        <v>400</v>
      </c>
      <c r="W280" s="43">
        <v>400</v>
      </c>
      <c r="X280" s="44">
        <f t="shared" si="40"/>
        <v>3900</v>
      </c>
      <c r="Y280" s="43">
        <v>400</v>
      </c>
      <c r="Z280" s="43">
        <v>400</v>
      </c>
      <c r="AA280" s="43">
        <v>400</v>
      </c>
      <c r="AB280" s="43">
        <v>400</v>
      </c>
      <c r="AC280" s="43">
        <v>400</v>
      </c>
      <c r="AD280" s="43">
        <v>400</v>
      </c>
      <c r="AE280" s="43">
        <v>400</v>
      </c>
      <c r="AF280" s="43">
        <v>400</v>
      </c>
      <c r="AG280" s="43">
        <v>400</v>
      </c>
      <c r="AH280" s="43">
        <v>400</v>
      </c>
      <c r="AI280" s="43">
        <v>400</v>
      </c>
      <c r="AJ280" s="43">
        <v>400</v>
      </c>
      <c r="AK280" s="44">
        <f t="shared" si="41"/>
        <v>4800</v>
      </c>
      <c r="AL280" s="43">
        <v>400</v>
      </c>
      <c r="AM280" s="43">
        <v>400</v>
      </c>
      <c r="AN280" s="43">
        <v>400</v>
      </c>
      <c r="AO280" s="43">
        <v>400</v>
      </c>
      <c r="AP280" s="43">
        <v>400</v>
      </c>
      <c r="AQ280" s="43">
        <v>400</v>
      </c>
      <c r="AR280" s="43">
        <v>400</v>
      </c>
      <c r="AS280" s="43">
        <v>400</v>
      </c>
      <c r="AT280" s="43">
        <v>400</v>
      </c>
      <c r="AU280" s="43">
        <v>400</v>
      </c>
      <c r="AV280" s="43">
        <v>400</v>
      </c>
      <c r="AW280" s="43">
        <v>400</v>
      </c>
      <c r="AX280" s="44">
        <f t="shared" si="42"/>
        <v>4800</v>
      </c>
      <c r="AY280" s="311">
        <f>SUMIF(Recibos!$D$4:$D$7493,Cobranza!$B280,Recibos!K$4:K$7493)</f>
        <v>400</v>
      </c>
      <c r="AZ280" s="311">
        <f>SUMIF(Recibos!$D$4:$D$7493,Cobranza!$B280,Recibos!L$4:L$7493)</f>
        <v>400</v>
      </c>
      <c r="BA280" s="311">
        <f>SUMIF(Recibos!$D$4:$D$7493,Cobranza!$B280,Recibos!M$4:M$7493)</f>
        <v>400</v>
      </c>
      <c r="BB280" s="311">
        <f>SUMIF(Recibos!$D$4:$D$7493,Cobranza!$B280,Recibos!N$4:N$7493)</f>
        <v>400</v>
      </c>
      <c r="BC280" s="311">
        <f>SUMIF(Recibos!$D$4:$D$7493,Cobranza!$B280,Recibos!O$4:O$7493)</f>
        <v>400</v>
      </c>
      <c r="BD280" s="311">
        <f>SUMIF(Recibos!$D$4:$D$7493,Cobranza!$B280,Recibos!P$4:P$7493)</f>
        <v>400</v>
      </c>
      <c r="BE280" s="311">
        <f>SUMIF(Recibos!$D$4:$D$7493,Cobranza!$B280,Recibos!Q$4:Q$7493)</f>
        <v>400</v>
      </c>
      <c r="BF280" s="311">
        <f>SUMIF(Recibos!$D$4:$D$7493,Cobranza!$B280,Recibos!R$4:R$7493)</f>
        <v>400</v>
      </c>
      <c r="BG280" s="311">
        <f>SUMIF(Recibos!$D$4:$D$7493,Cobranza!$B280,Recibos!S$4:S$7493)</f>
        <v>400</v>
      </c>
      <c r="BH280" s="311">
        <f>SUMIF(Recibos!$D$4:$D$7493,Cobranza!$B280,Recibos!T$4:T$7493)</f>
        <v>400</v>
      </c>
      <c r="BI280" s="311">
        <f>SUMIF(Recibos!$D$4:$D$7493,Cobranza!$B280,Recibos!U$4:U$7493)</f>
        <v>400</v>
      </c>
      <c r="BJ280" s="311">
        <f>SUMIF(Recibos!$D$4:$D$7493,Cobranza!$B280,Recibos!V$4:V$7493)</f>
        <v>400</v>
      </c>
      <c r="BK280" s="312">
        <f t="shared" si="43"/>
        <v>4800</v>
      </c>
      <c r="BL280" s="311">
        <f>SUMIF(Recibos!$D$4:$D$7493,Cobranza!$B280,Recibos!X$4:X$7493)</f>
        <v>400</v>
      </c>
      <c r="BM280" s="311">
        <f>SUMIF(Recibos!$D$4:$D$7493,Cobranza!$B280,Recibos!Y$4:Y$7493)</f>
        <v>400</v>
      </c>
      <c r="BN280" s="311">
        <f>SUMIF(Recibos!$D$4:$D$7493,Cobranza!$B280,Recibos!Z$4:Z$7493)</f>
        <v>400</v>
      </c>
      <c r="BO280" s="311">
        <f>SUMIF(Recibos!$D$4:$D$7493,Cobranza!$B280,Recibos!AA$4:AA$7493)</f>
        <v>400</v>
      </c>
      <c r="BP280" s="311">
        <f>SUMIF(Recibos!$D$4:$D$7493,Cobranza!$B280,Recibos!AB$4:AB$7493)</f>
        <v>400</v>
      </c>
      <c r="BQ280" s="311">
        <f>SUMIF(Recibos!$D$4:$D$7493,Cobranza!$B280,Recibos!AC$4:AC$7493)</f>
        <v>400</v>
      </c>
      <c r="BR280" s="311">
        <f>SUMIF(Recibos!$D$4:$D$7493,Cobranza!$B280,Recibos!AD$4:AD$7493)</f>
        <v>400</v>
      </c>
      <c r="BS280" s="311">
        <f>SUMIF(Recibos!$D$4:$D$7493,Cobranza!$B280,Recibos!AE$4:AE$7493)</f>
        <v>400</v>
      </c>
      <c r="BT280" s="311">
        <f>SUMIF(Recibos!$D$4:$D$7493,Cobranza!$B280,Recibos!AF$4:AF$7493)</f>
        <v>400</v>
      </c>
      <c r="BU280" s="311">
        <f>SUMIF(Recibos!$D$4:$D$7493,Cobranza!$B280,Recibos!AG$4:AG$7493)</f>
        <v>400</v>
      </c>
      <c r="BV280" s="311">
        <f>SUMIF(Recibos!$D$4:$D$7493,Cobranza!$B280,Recibos!AH$4:AH$7493)</f>
        <v>400</v>
      </c>
      <c r="BW280" s="311">
        <f>SUMIF(Recibos!$D$4:$D$7493,Cobranza!$B280,Recibos!AI$4:AI$7493)</f>
        <v>400</v>
      </c>
      <c r="BX280" s="312">
        <f t="shared" si="44"/>
        <v>4800</v>
      </c>
      <c r="BY280" s="311">
        <f>SUMIF(Recibos!$D$4:$D$7493,Cobranza!$B280,Recibos!AK$4:AK$7493)</f>
        <v>400</v>
      </c>
      <c r="BZ280" s="311">
        <f>SUMIF(Recibos!$D$4:$D$7493,Cobranza!$B280,Recibos!AL$4:AL$7493)</f>
        <v>400</v>
      </c>
      <c r="CA280" s="311">
        <f>SUMIF(Recibos!$D$4:$D$7493,Cobranza!$B280,Recibos!AM$4:AM$7493)</f>
        <v>400</v>
      </c>
      <c r="CB280" s="311">
        <f>SUMIF(Recibos!$D$4:$D$7493,Cobranza!$B280,Recibos!AN$4:AN$7493)</f>
        <v>400</v>
      </c>
      <c r="CC280" s="311">
        <f>SUMIF(Recibos!$D$4:$D$7493,Cobranza!$B280,Recibos!AO$4:AO$7493)</f>
        <v>400</v>
      </c>
      <c r="CD280" s="311">
        <f>SUMIF(Recibos!$D$4:$D$7493,Cobranza!$B280,Recibos!AP$4:AP$7493)</f>
        <v>400</v>
      </c>
      <c r="CE280" s="311">
        <f>SUMIF(Recibos!$D$4:$D$7493,Cobranza!$B280,Recibos!AQ$4:AQ$7493)</f>
        <v>400</v>
      </c>
      <c r="CF280" s="311">
        <f>SUMIF(Recibos!$D$4:$D$7493,Cobranza!$B280,Recibos!AR$4:AR$7493)</f>
        <v>400</v>
      </c>
      <c r="CG280" s="311">
        <f>SUMIF(Recibos!$D$4:$D$7493,Cobranza!$B280,Recibos!AS$4:AS$7493)</f>
        <v>400</v>
      </c>
      <c r="CH280" s="311">
        <f>SUMIF(Recibos!$D$4:$D$7493,Cobranza!$B280,Recibos!AT$4:AT$7493)</f>
        <v>0</v>
      </c>
      <c r="CI280" s="311">
        <f>SUMIF(Recibos!$D$4:$D$7493,Cobranza!$B280,Recibos!AU$4:AU$7493)</f>
        <v>0</v>
      </c>
      <c r="CJ280" s="311">
        <f>SUMIF(Recibos!$D$4:$D$7493,Cobranza!$B280,Recibos!AV$4:AV$7493)</f>
        <v>0</v>
      </c>
      <c r="CK280" s="312">
        <f t="shared" si="38"/>
        <v>3600</v>
      </c>
    </row>
    <row r="281" spans="2:89" x14ac:dyDescent="0.2">
      <c r="B281" s="45" t="s">
        <v>1164</v>
      </c>
      <c r="C281" s="45" t="s">
        <v>1165</v>
      </c>
      <c r="D281" s="45" t="s">
        <v>1166</v>
      </c>
      <c r="E281" s="46">
        <v>0</v>
      </c>
      <c r="F281" s="46">
        <v>0</v>
      </c>
      <c r="G281" s="46">
        <v>0</v>
      </c>
      <c r="H281" s="46">
        <v>300</v>
      </c>
      <c r="I281" s="46">
        <v>300</v>
      </c>
      <c r="J281" s="46">
        <v>300</v>
      </c>
      <c r="K281" s="47">
        <f t="shared" si="39"/>
        <v>900</v>
      </c>
      <c r="L281" s="46">
        <v>300</v>
      </c>
      <c r="M281" s="46">
        <v>300</v>
      </c>
      <c r="N281" s="46">
        <v>300</v>
      </c>
      <c r="O281" s="46">
        <v>300</v>
      </c>
      <c r="P281" s="46">
        <v>300</v>
      </c>
      <c r="Q281" s="46">
        <v>300</v>
      </c>
      <c r="R281" s="46">
        <v>300</v>
      </c>
      <c r="S281" s="46">
        <v>300</v>
      </c>
      <c r="T281" s="46">
        <v>300</v>
      </c>
      <c r="U281" s="46">
        <v>400</v>
      </c>
      <c r="V281" s="46">
        <v>400</v>
      </c>
      <c r="W281" s="46">
        <v>0</v>
      </c>
      <c r="X281" s="47">
        <f t="shared" si="40"/>
        <v>3500</v>
      </c>
      <c r="Y281" s="46">
        <v>0</v>
      </c>
      <c r="Z281" s="46">
        <v>0</v>
      </c>
      <c r="AA281" s="46">
        <v>0</v>
      </c>
      <c r="AB281" s="46">
        <v>0</v>
      </c>
      <c r="AC281" s="46">
        <v>0</v>
      </c>
      <c r="AD281" s="46">
        <v>0</v>
      </c>
      <c r="AE281" s="46">
        <v>0</v>
      </c>
      <c r="AF281" s="46">
        <v>0</v>
      </c>
      <c r="AG281" s="46">
        <v>0</v>
      </c>
      <c r="AH281" s="46">
        <v>0</v>
      </c>
      <c r="AI281" s="46">
        <v>0</v>
      </c>
      <c r="AJ281" s="46">
        <v>0</v>
      </c>
      <c r="AK281" s="47">
        <f t="shared" si="41"/>
        <v>0</v>
      </c>
      <c r="AL281" s="46">
        <v>0</v>
      </c>
      <c r="AM281" s="46">
        <v>0</v>
      </c>
      <c r="AN281" s="46">
        <v>0</v>
      </c>
      <c r="AO281" s="46">
        <v>0</v>
      </c>
      <c r="AP281" s="46">
        <v>0</v>
      </c>
      <c r="AQ281" s="46">
        <v>0</v>
      </c>
      <c r="AR281" s="46">
        <v>0</v>
      </c>
      <c r="AS281" s="46">
        <v>0</v>
      </c>
      <c r="AT281" s="46">
        <v>0</v>
      </c>
      <c r="AU281" s="46">
        <v>0</v>
      </c>
      <c r="AV281" s="46">
        <v>0</v>
      </c>
      <c r="AW281" s="46">
        <v>0</v>
      </c>
      <c r="AX281" s="47">
        <f t="shared" si="42"/>
        <v>0</v>
      </c>
      <c r="AY281" s="313">
        <f>SUMIF(Recibos!$D$4:$D$7493,Cobranza!$B281,Recibos!K$4:K$7493)</f>
        <v>0</v>
      </c>
      <c r="AZ281" s="313">
        <f>SUMIF(Recibos!$D$4:$D$7493,Cobranza!$B281,Recibos!L$4:L$7493)</f>
        <v>0</v>
      </c>
      <c r="BA281" s="313">
        <f>SUMIF(Recibos!$D$4:$D$7493,Cobranza!$B281,Recibos!M$4:M$7493)</f>
        <v>0</v>
      </c>
      <c r="BB281" s="313">
        <f>SUMIF(Recibos!$D$4:$D$7493,Cobranza!$B281,Recibos!N$4:N$7493)</f>
        <v>0</v>
      </c>
      <c r="BC281" s="313">
        <f>SUMIF(Recibos!$D$4:$D$7493,Cobranza!$B281,Recibos!O$4:O$7493)</f>
        <v>0</v>
      </c>
      <c r="BD281" s="313">
        <f>SUMIF(Recibos!$D$4:$D$7493,Cobranza!$B281,Recibos!P$4:P$7493)</f>
        <v>0</v>
      </c>
      <c r="BE281" s="313">
        <f>SUMIF(Recibos!$D$4:$D$7493,Cobranza!$B281,Recibos!Q$4:Q$7493)</f>
        <v>0</v>
      </c>
      <c r="BF281" s="313">
        <f>SUMIF(Recibos!$D$4:$D$7493,Cobranza!$B281,Recibos!R$4:R$7493)</f>
        <v>400</v>
      </c>
      <c r="BG281" s="313">
        <f>SUMIF(Recibos!$D$4:$D$7493,Cobranza!$B281,Recibos!S$4:S$7493)</f>
        <v>400</v>
      </c>
      <c r="BH281" s="313">
        <f>SUMIF(Recibos!$D$4:$D$7493,Cobranza!$B281,Recibos!T$4:T$7493)</f>
        <v>0</v>
      </c>
      <c r="BI281" s="313">
        <f>SUMIF(Recibos!$D$4:$D$7493,Cobranza!$B281,Recibos!U$4:U$7493)</f>
        <v>0</v>
      </c>
      <c r="BJ281" s="313">
        <f>SUMIF(Recibos!$D$4:$D$7493,Cobranza!$B281,Recibos!V$4:V$7493)</f>
        <v>0</v>
      </c>
      <c r="BK281" s="314">
        <f t="shared" si="43"/>
        <v>800</v>
      </c>
      <c r="BL281" s="313">
        <f>SUMIF(Recibos!$D$4:$D$7493,Cobranza!$B281,Recibos!X$4:X$7493)</f>
        <v>0</v>
      </c>
      <c r="BM281" s="313">
        <f>SUMIF(Recibos!$D$4:$D$7493,Cobranza!$B281,Recibos!Y$4:Y$7493)</f>
        <v>0</v>
      </c>
      <c r="BN281" s="313">
        <f>SUMIF(Recibos!$D$4:$D$7493,Cobranza!$B281,Recibos!Z$4:Z$7493)</f>
        <v>0</v>
      </c>
      <c r="BO281" s="313">
        <f>SUMIF(Recibos!$D$4:$D$7493,Cobranza!$B281,Recibos!AA$4:AA$7493)</f>
        <v>0</v>
      </c>
      <c r="BP281" s="313">
        <f>SUMIF(Recibos!$D$4:$D$7493,Cobranza!$B281,Recibos!AB$4:AB$7493)</f>
        <v>0</v>
      </c>
      <c r="BQ281" s="313">
        <f>SUMIF(Recibos!$D$4:$D$7493,Cobranza!$B281,Recibos!AC$4:AC$7493)</f>
        <v>0</v>
      </c>
      <c r="BR281" s="313">
        <f>SUMIF(Recibos!$D$4:$D$7493,Cobranza!$B281,Recibos!AD$4:AD$7493)</f>
        <v>0</v>
      </c>
      <c r="BS281" s="313">
        <f>SUMIF(Recibos!$D$4:$D$7493,Cobranza!$B281,Recibos!AE$4:AE$7493)</f>
        <v>0</v>
      </c>
      <c r="BT281" s="313">
        <f>SUMIF(Recibos!$D$4:$D$7493,Cobranza!$B281,Recibos!AF$4:AF$7493)</f>
        <v>0</v>
      </c>
      <c r="BU281" s="313">
        <f>SUMIF(Recibos!$D$4:$D$7493,Cobranza!$B281,Recibos!AG$4:AG$7493)</f>
        <v>0</v>
      </c>
      <c r="BV281" s="313">
        <f>SUMIF(Recibos!$D$4:$D$7493,Cobranza!$B281,Recibos!AH$4:AH$7493)</f>
        <v>0</v>
      </c>
      <c r="BW281" s="313">
        <f>SUMIF(Recibos!$D$4:$D$7493,Cobranza!$B281,Recibos!AI$4:AI$7493)</f>
        <v>0</v>
      </c>
      <c r="BX281" s="314">
        <f t="shared" si="44"/>
        <v>0</v>
      </c>
      <c r="BY281" s="313">
        <f>SUMIF(Recibos!$D$4:$D$7493,Cobranza!$B281,Recibos!AK$4:AK$7493)</f>
        <v>0</v>
      </c>
      <c r="BZ281" s="313">
        <f>SUMIF(Recibos!$D$4:$D$7493,Cobranza!$B281,Recibos!AL$4:AL$7493)</f>
        <v>0</v>
      </c>
      <c r="CA281" s="313">
        <f>SUMIF(Recibos!$D$4:$D$7493,Cobranza!$B281,Recibos!AM$4:AM$7493)</f>
        <v>0</v>
      </c>
      <c r="CB281" s="313">
        <f>SUMIF(Recibos!$D$4:$D$7493,Cobranza!$B281,Recibos!AN$4:AN$7493)</f>
        <v>0</v>
      </c>
      <c r="CC281" s="313">
        <f>SUMIF(Recibos!$D$4:$D$7493,Cobranza!$B281,Recibos!AO$4:AO$7493)</f>
        <v>0</v>
      </c>
      <c r="CD281" s="313">
        <f>SUMIF(Recibos!$D$4:$D$7493,Cobranza!$B281,Recibos!AP$4:AP$7493)</f>
        <v>0</v>
      </c>
      <c r="CE281" s="313">
        <f>SUMIF(Recibos!$D$4:$D$7493,Cobranza!$B281,Recibos!AQ$4:AQ$7493)</f>
        <v>0</v>
      </c>
      <c r="CF281" s="313">
        <f>SUMIF(Recibos!$D$4:$D$7493,Cobranza!$B281,Recibos!AR$4:AR$7493)</f>
        <v>0</v>
      </c>
      <c r="CG281" s="313">
        <f>SUMIF(Recibos!$D$4:$D$7493,Cobranza!$B281,Recibos!AS$4:AS$7493)</f>
        <v>0</v>
      </c>
      <c r="CH281" s="313">
        <f>SUMIF(Recibos!$D$4:$D$7493,Cobranza!$B281,Recibos!AT$4:AT$7493)</f>
        <v>0</v>
      </c>
      <c r="CI281" s="313">
        <f>SUMIF(Recibos!$D$4:$D$7493,Cobranza!$B281,Recibos!AU$4:AU$7493)</f>
        <v>0</v>
      </c>
      <c r="CJ281" s="313">
        <f>SUMIF(Recibos!$D$4:$D$7493,Cobranza!$B281,Recibos!AV$4:AV$7493)</f>
        <v>0</v>
      </c>
      <c r="CK281" s="314">
        <f t="shared" si="38"/>
        <v>0</v>
      </c>
    </row>
    <row r="282" spans="2:89" x14ac:dyDescent="0.2">
      <c r="B282" s="42" t="s">
        <v>491</v>
      </c>
      <c r="C282" s="42" t="s">
        <v>492</v>
      </c>
      <c r="D282" s="42" t="s">
        <v>493</v>
      </c>
      <c r="E282" s="43">
        <v>0</v>
      </c>
      <c r="F282" s="43">
        <v>0</v>
      </c>
      <c r="G282" s="43">
        <v>0</v>
      </c>
      <c r="H282" s="43">
        <v>100</v>
      </c>
      <c r="I282" s="43">
        <v>100</v>
      </c>
      <c r="J282" s="43">
        <v>100</v>
      </c>
      <c r="K282" s="44">
        <f t="shared" si="39"/>
        <v>300</v>
      </c>
      <c r="L282" s="43">
        <v>0</v>
      </c>
      <c r="M282" s="43">
        <v>100</v>
      </c>
      <c r="N282" s="43">
        <v>0</v>
      </c>
      <c r="O282" s="43">
        <v>0</v>
      </c>
      <c r="P282" s="43">
        <v>100</v>
      </c>
      <c r="Q282" s="43">
        <v>100</v>
      </c>
      <c r="R282" s="43">
        <v>100</v>
      </c>
      <c r="S282" s="43">
        <v>200</v>
      </c>
      <c r="T282" s="43">
        <v>100</v>
      </c>
      <c r="U282" s="43">
        <v>0</v>
      </c>
      <c r="V282" s="43">
        <v>100</v>
      </c>
      <c r="W282" s="43">
        <v>100</v>
      </c>
      <c r="X282" s="44">
        <f t="shared" si="40"/>
        <v>900</v>
      </c>
      <c r="Y282" s="43">
        <v>100</v>
      </c>
      <c r="Z282" s="43">
        <v>100</v>
      </c>
      <c r="AA282" s="43">
        <v>0</v>
      </c>
      <c r="AB282" s="43">
        <v>0</v>
      </c>
      <c r="AC282" s="43">
        <v>0</v>
      </c>
      <c r="AD282" s="43">
        <v>100</v>
      </c>
      <c r="AE282" s="43">
        <v>100</v>
      </c>
      <c r="AF282" s="43">
        <v>100</v>
      </c>
      <c r="AG282" s="43">
        <v>0</v>
      </c>
      <c r="AH282" s="43">
        <v>100</v>
      </c>
      <c r="AI282" s="43">
        <v>100</v>
      </c>
      <c r="AJ282" s="43">
        <v>100</v>
      </c>
      <c r="AK282" s="44">
        <f t="shared" si="41"/>
        <v>800</v>
      </c>
      <c r="AL282" s="43">
        <v>100</v>
      </c>
      <c r="AM282" s="43">
        <v>100</v>
      </c>
      <c r="AN282" s="43">
        <v>100</v>
      </c>
      <c r="AO282" s="43">
        <v>100</v>
      </c>
      <c r="AP282" s="43">
        <v>100</v>
      </c>
      <c r="AQ282" s="43">
        <v>100</v>
      </c>
      <c r="AR282" s="43">
        <v>100</v>
      </c>
      <c r="AS282" s="43">
        <v>100</v>
      </c>
      <c r="AT282" s="43">
        <v>100</v>
      </c>
      <c r="AU282" s="43">
        <v>100</v>
      </c>
      <c r="AV282" s="43">
        <v>100</v>
      </c>
      <c r="AW282" s="43">
        <v>100</v>
      </c>
      <c r="AX282" s="44">
        <f t="shared" si="42"/>
        <v>1200</v>
      </c>
      <c r="AY282" s="311">
        <f>SUMIF(Recibos!$D$4:$D$7493,Cobranza!$B282,Recibos!K$4:K$7493)</f>
        <v>100</v>
      </c>
      <c r="AZ282" s="311">
        <f>SUMIF(Recibos!$D$4:$D$7493,Cobranza!$B282,Recibos!L$4:L$7493)</f>
        <v>100</v>
      </c>
      <c r="BA282" s="311">
        <f>SUMIF(Recibos!$D$4:$D$7493,Cobranza!$B282,Recibos!M$4:M$7493)</f>
        <v>100</v>
      </c>
      <c r="BB282" s="311">
        <f>SUMIF(Recibos!$D$4:$D$7493,Cobranza!$B282,Recibos!N$4:N$7493)</f>
        <v>100</v>
      </c>
      <c r="BC282" s="311">
        <f>SUMIF(Recibos!$D$4:$D$7493,Cobranza!$B282,Recibos!O$4:O$7493)</f>
        <v>100</v>
      </c>
      <c r="BD282" s="311">
        <f>SUMIF(Recibos!$D$4:$D$7493,Cobranza!$B282,Recibos!P$4:P$7493)</f>
        <v>100</v>
      </c>
      <c r="BE282" s="311">
        <f>SUMIF(Recibos!$D$4:$D$7493,Cobranza!$B282,Recibos!Q$4:Q$7493)</f>
        <v>100</v>
      </c>
      <c r="BF282" s="311">
        <f>SUMIF(Recibos!$D$4:$D$7493,Cobranza!$B282,Recibos!R$4:R$7493)</f>
        <v>100</v>
      </c>
      <c r="BG282" s="311">
        <f>SUMIF(Recibos!$D$4:$D$7493,Cobranza!$B282,Recibos!S$4:S$7493)</f>
        <v>100</v>
      </c>
      <c r="BH282" s="311">
        <f>SUMIF(Recibos!$D$4:$D$7493,Cobranza!$B282,Recibos!T$4:T$7493)</f>
        <v>100</v>
      </c>
      <c r="BI282" s="311">
        <f>SUMIF(Recibos!$D$4:$D$7493,Cobranza!$B282,Recibos!U$4:U$7493)</f>
        <v>100</v>
      </c>
      <c r="BJ282" s="311">
        <f>SUMIF(Recibos!$D$4:$D$7493,Cobranza!$B282,Recibos!V$4:V$7493)</f>
        <v>100</v>
      </c>
      <c r="BK282" s="312">
        <f t="shared" si="43"/>
        <v>1200</v>
      </c>
      <c r="BL282" s="311">
        <f>SUMIF(Recibos!$D$4:$D$7493,Cobranza!$B282,Recibos!X$4:X$7493)</f>
        <v>100</v>
      </c>
      <c r="BM282" s="311">
        <f>SUMIF(Recibos!$D$4:$D$7493,Cobranza!$B282,Recibos!Y$4:Y$7493)</f>
        <v>100</v>
      </c>
      <c r="BN282" s="311">
        <f>SUMIF(Recibos!$D$4:$D$7493,Cobranza!$B282,Recibos!Z$4:Z$7493)</f>
        <v>100</v>
      </c>
      <c r="BO282" s="311">
        <f>SUMIF(Recibos!$D$4:$D$7493,Cobranza!$B282,Recibos!AA$4:AA$7493)</f>
        <v>100</v>
      </c>
      <c r="BP282" s="311">
        <f>SUMIF(Recibos!$D$4:$D$7493,Cobranza!$B282,Recibos!AB$4:AB$7493)</f>
        <v>100</v>
      </c>
      <c r="BQ282" s="311">
        <f>SUMIF(Recibos!$D$4:$D$7493,Cobranza!$B282,Recibos!AC$4:AC$7493)</f>
        <v>100</v>
      </c>
      <c r="BR282" s="311">
        <f>SUMIF(Recibos!$D$4:$D$7493,Cobranza!$B282,Recibos!AD$4:AD$7493)</f>
        <v>100</v>
      </c>
      <c r="BS282" s="311">
        <f>SUMIF(Recibos!$D$4:$D$7493,Cobranza!$B282,Recibos!AE$4:AE$7493)</f>
        <v>100</v>
      </c>
      <c r="BT282" s="311">
        <f>SUMIF(Recibos!$D$4:$D$7493,Cobranza!$B282,Recibos!AF$4:AF$7493)</f>
        <v>100</v>
      </c>
      <c r="BU282" s="311">
        <f>SUMIF(Recibos!$D$4:$D$7493,Cobranza!$B282,Recibos!AG$4:AG$7493)</f>
        <v>100</v>
      </c>
      <c r="BV282" s="311">
        <f>SUMIF(Recibos!$D$4:$D$7493,Cobranza!$B282,Recibos!AH$4:AH$7493)</f>
        <v>100</v>
      </c>
      <c r="BW282" s="311">
        <f>SUMIF(Recibos!$D$4:$D$7493,Cobranza!$B282,Recibos!AI$4:AI$7493)</f>
        <v>100</v>
      </c>
      <c r="BX282" s="312">
        <f t="shared" si="44"/>
        <v>1200</v>
      </c>
      <c r="BY282" s="311">
        <f>SUMIF(Recibos!$D$4:$D$7493,Cobranza!$B282,Recibos!AK$4:AK$7493)</f>
        <v>100</v>
      </c>
      <c r="BZ282" s="311">
        <f>SUMIF(Recibos!$D$4:$D$7493,Cobranza!$B282,Recibos!AL$4:AL$7493)</f>
        <v>100</v>
      </c>
      <c r="CA282" s="311">
        <f>SUMIF(Recibos!$D$4:$D$7493,Cobranza!$B282,Recibos!AM$4:AM$7493)</f>
        <v>100</v>
      </c>
      <c r="CB282" s="311">
        <f>SUMIF(Recibos!$D$4:$D$7493,Cobranza!$B282,Recibos!AN$4:AN$7493)</f>
        <v>100</v>
      </c>
      <c r="CC282" s="311">
        <f>SUMIF(Recibos!$D$4:$D$7493,Cobranza!$B282,Recibos!AO$4:AO$7493)</f>
        <v>100</v>
      </c>
      <c r="CD282" s="311">
        <f>SUMIF(Recibos!$D$4:$D$7493,Cobranza!$B282,Recibos!AP$4:AP$7493)</f>
        <v>100</v>
      </c>
      <c r="CE282" s="311">
        <f>SUMIF(Recibos!$D$4:$D$7493,Cobranza!$B282,Recibos!AQ$4:AQ$7493)</f>
        <v>100</v>
      </c>
      <c r="CF282" s="311">
        <f>SUMIF(Recibos!$D$4:$D$7493,Cobranza!$B282,Recibos!AR$4:AR$7493)</f>
        <v>100</v>
      </c>
      <c r="CG282" s="311">
        <f>SUMIF(Recibos!$D$4:$D$7493,Cobranza!$B282,Recibos!AS$4:AS$7493)</f>
        <v>100</v>
      </c>
      <c r="CH282" s="311">
        <f>SUMIF(Recibos!$D$4:$D$7493,Cobranza!$B282,Recibos!AT$4:AT$7493)</f>
        <v>100</v>
      </c>
      <c r="CI282" s="311">
        <f>SUMIF(Recibos!$D$4:$D$7493,Cobranza!$B282,Recibos!AU$4:AU$7493)</f>
        <v>100</v>
      </c>
      <c r="CJ282" s="311">
        <f>SUMIF(Recibos!$D$4:$D$7493,Cobranza!$B282,Recibos!AV$4:AV$7493)</f>
        <v>100</v>
      </c>
      <c r="CK282" s="312">
        <f t="shared" si="38"/>
        <v>1200</v>
      </c>
    </row>
    <row r="283" spans="2:89" x14ac:dyDescent="0.2">
      <c r="B283" s="45" t="s">
        <v>177</v>
      </c>
      <c r="C283" s="45" t="s">
        <v>178</v>
      </c>
      <c r="D283" s="45" t="s">
        <v>3739</v>
      </c>
      <c r="E283" s="46">
        <v>0</v>
      </c>
      <c r="F283" s="46">
        <v>0</v>
      </c>
      <c r="G283" s="46">
        <v>0</v>
      </c>
      <c r="H283" s="46">
        <v>0</v>
      </c>
      <c r="I283" s="46">
        <v>0</v>
      </c>
      <c r="J283" s="46">
        <v>300</v>
      </c>
      <c r="K283" s="47">
        <f t="shared" si="39"/>
        <v>300</v>
      </c>
      <c r="L283" s="46">
        <v>300</v>
      </c>
      <c r="M283" s="46">
        <v>300</v>
      </c>
      <c r="N283" s="46">
        <v>300</v>
      </c>
      <c r="O283" s="46">
        <v>0</v>
      </c>
      <c r="P283" s="46">
        <v>300</v>
      </c>
      <c r="Q283" s="46">
        <v>300</v>
      </c>
      <c r="R283" s="46">
        <v>300</v>
      </c>
      <c r="S283" s="46">
        <v>300</v>
      </c>
      <c r="T283" s="46">
        <v>300</v>
      </c>
      <c r="U283" s="46">
        <v>400</v>
      </c>
      <c r="V283" s="46">
        <v>400</v>
      </c>
      <c r="W283" s="46">
        <v>400</v>
      </c>
      <c r="X283" s="47">
        <f t="shared" si="40"/>
        <v>3600</v>
      </c>
      <c r="Y283" s="46">
        <v>400</v>
      </c>
      <c r="Z283" s="46">
        <v>400</v>
      </c>
      <c r="AA283" s="46">
        <v>400</v>
      </c>
      <c r="AB283" s="46">
        <v>400</v>
      </c>
      <c r="AC283" s="46">
        <v>400</v>
      </c>
      <c r="AD283" s="46">
        <v>400</v>
      </c>
      <c r="AE283" s="46">
        <v>400</v>
      </c>
      <c r="AF283" s="46">
        <v>400</v>
      </c>
      <c r="AG283" s="46">
        <v>400</v>
      </c>
      <c r="AH283" s="46">
        <v>400</v>
      </c>
      <c r="AI283" s="46">
        <v>400</v>
      </c>
      <c r="AJ283" s="46">
        <v>400</v>
      </c>
      <c r="AK283" s="47">
        <f t="shared" si="41"/>
        <v>4800</v>
      </c>
      <c r="AL283" s="46">
        <v>400</v>
      </c>
      <c r="AM283" s="46">
        <v>400</v>
      </c>
      <c r="AN283" s="46">
        <v>400</v>
      </c>
      <c r="AO283" s="46">
        <v>400</v>
      </c>
      <c r="AP283" s="46">
        <v>400</v>
      </c>
      <c r="AQ283" s="46">
        <v>0</v>
      </c>
      <c r="AR283" s="46">
        <v>400</v>
      </c>
      <c r="AS283" s="46">
        <v>400</v>
      </c>
      <c r="AT283" s="46">
        <v>400</v>
      </c>
      <c r="AU283" s="46">
        <v>400</v>
      </c>
      <c r="AV283" s="46">
        <v>400</v>
      </c>
      <c r="AW283" s="46">
        <v>400</v>
      </c>
      <c r="AX283" s="47">
        <f t="shared" si="42"/>
        <v>4400</v>
      </c>
      <c r="AY283" s="313">
        <f>SUMIF(Recibos!$D$4:$D$7493,Cobranza!$B283,Recibos!K$4:K$7493)</f>
        <v>400</v>
      </c>
      <c r="AZ283" s="313">
        <f>SUMIF(Recibos!$D$4:$D$7493,Cobranza!$B283,Recibos!L$4:L$7493)</f>
        <v>400</v>
      </c>
      <c r="BA283" s="313">
        <f>SUMIF(Recibos!$D$4:$D$7493,Cobranza!$B283,Recibos!M$4:M$7493)</f>
        <v>400</v>
      </c>
      <c r="BB283" s="313">
        <f>SUMIF(Recibos!$D$4:$D$7493,Cobranza!$B283,Recibos!N$4:N$7493)</f>
        <v>400</v>
      </c>
      <c r="BC283" s="313">
        <f>SUMIF(Recibos!$D$4:$D$7493,Cobranza!$B283,Recibos!O$4:O$7493)</f>
        <v>400</v>
      </c>
      <c r="BD283" s="313">
        <f>SUMIF(Recibos!$D$4:$D$7493,Cobranza!$B283,Recibos!P$4:P$7493)</f>
        <v>400</v>
      </c>
      <c r="BE283" s="313">
        <f>SUMIF(Recibos!$D$4:$D$7493,Cobranza!$B283,Recibos!Q$4:Q$7493)</f>
        <v>400</v>
      </c>
      <c r="BF283" s="313">
        <f>SUMIF(Recibos!$D$4:$D$7493,Cobranza!$B283,Recibos!R$4:R$7493)</f>
        <v>400</v>
      </c>
      <c r="BG283" s="313">
        <f>SUMIF(Recibos!$D$4:$D$7493,Cobranza!$B283,Recibos!S$4:S$7493)</f>
        <v>400</v>
      </c>
      <c r="BH283" s="313">
        <f>SUMIF(Recibos!$D$4:$D$7493,Cobranza!$B283,Recibos!T$4:T$7493)</f>
        <v>400</v>
      </c>
      <c r="BI283" s="313">
        <f>SUMIF(Recibos!$D$4:$D$7493,Cobranza!$B283,Recibos!U$4:U$7493)</f>
        <v>400</v>
      </c>
      <c r="BJ283" s="313">
        <f>SUMIF(Recibos!$D$4:$D$7493,Cobranza!$B283,Recibos!V$4:V$7493)</f>
        <v>400</v>
      </c>
      <c r="BK283" s="314">
        <f t="shared" si="43"/>
        <v>4800</v>
      </c>
      <c r="BL283" s="313">
        <f>SUMIF(Recibos!$D$4:$D$7493,Cobranza!$B283,Recibos!X$4:X$7493)</f>
        <v>400</v>
      </c>
      <c r="BM283" s="313">
        <f>SUMIF(Recibos!$D$4:$D$7493,Cobranza!$B283,Recibos!Y$4:Y$7493)</f>
        <v>400</v>
      </c>
      <c r="BN283" s="313">
        <f>SUMIF(Recibos!$D$4:$D$7493,Cobranza!$B283,Recibos!Z$4:Z$7493)</f>
        <v>400</v>
      </c>
      <c r="BO283" s="313">
        <f>SUMIF(Recibos!$D$4:$D$7493,Cobranza!$B283,Recibos!AA$4:AA$7493)</f>
        <v>400</v>
      </c>
      <c r="BP283" s="313">
        <f>SUMIF(Recibos!$D$4:$D$7493,Cobranza!$B283,Recibos!AB$4:AB$7493)</f>
        <v>400</v>
      </c>
      <c r="BQ283" s="313">
        <f>SUMIF(Recibos!$D$4:$D$7493,Cobranza!$B283,Recibos!AC$4:AC$7493)</f>
        <v>400</v>
      </c>
      <c r="BR283" s="313">
        <f>SUMIF(Recibos!$D$4:$D$7493,Cobranza!$B283,Recibos!AD$4:AD$7493)</f>
        <v>400</v>
      </c>
      <c r="BS283" s="313">
        <f>SUMIF(Recibos!$D$4:$D$7493,Cobranza!$B283,Recibos!AE$4:AE$7493)</f>
        <v>400</v>
      </c>
      <c r="BT283" s="313">
        <f>SUMIF(Recibos!$D$4:$D$7493,Cobranza!$B283,Recibos!AF$4:AF$7493)</f>
        <v>400</v>
      </c>
      <c r="BU283" s="313">
        <f>SUMIF(Recibos!$D$4:$D$7493,Cobranza!$B283,Recibos!AG$4:AG$7493)</f>
        <v>400</v>
      </c>
      <c r="BV283" s="313">
        <f>SUMIF(Recibos!$D$4:$D$7493,Cobranza!$B283,Recibos!AH$4:AH$7493)</f>
        <v>400</v>
      </c>
      <c r="BW283" s="313">
        <f>SUMIF(Recibos!$D$4:$D$7493,Cobranza!$B283,Recibos!AI$4:AI$7493)</f>
        <v>400</v>
      </c>
      <c r="BX283" s="314">
        <f t="shared" si="44"/>
        <v>4800</v>
      </c>
      <c r="BY283" s="313">
        <f>SUMIF(Recibos!$D$4:$D$7493,Cobranza!$B283,Recibos!AK$4:AK$7493)</f>
        <v>400</v>
      </c>
      <c r="BZ283" s="313">
        <f>SUMIF(Recibos!$D$4:$D$7493,Cobranza!$B283,Recibos!AL$4:AL$7493)</f>
        <v>400</v>
      </c>
      <c r="CA283" s="313">
        <f>SUMIF(Recibos!$D$4:$D$7493,Cobranza!$B283,Recibos!AM$4:AM$7493)</f>
        <v>400</v>
      </c>
      <c r="CB283" s="313">
        <f>SUMIF(Recibos!$D$4:$D$7493,Cobranza!$B283,Recibos!AN$4:AN$7493)</f>
        <v>400</v>
      </c>
      <c r="CC283" s="313">
        <f>SUMIF(Recibos!$D$4:$D$7493,Cobranza!$B283,Recibos!AO$4:AO$7493)</f>
        <v>400</v>
      </c>
      <c r="CD283" s="313">
        <f>SUMIF(Recibos!$D$4:$D$7493,Cobranza!$B283,Recibos!AP$4:AP$7493)</f>
        <v>400</v>
      </c>
      <c r="CE283" s="313">
        <f>SUMIF(Recibos!$D$4:$D$7493,Cobranza!$B283,Recibos!AQ$4:AQ$7493)</f>
        <v>400</v>
      </c>
      <c r="CF283" s="313">
        <f>SUMIF(Recibos!$D$4:$D$7493,Cobranza!$B283,Recibos!AR$4:AR$7493)</f>
        <v>400</v>
      </c>
      <c r="CG283" s="313">
        <f>SUMIF(Recibos!$D$4:$D$7493,Cobranza!$B283,Recibos!AS$4:AS$7493)</f>
        <v>400</v>
      </c>
      <c r="CH283" s="313">
        <f>SUMIF(Recibos!$D$4:$D$7493,Cobranza!$B283,Recibos!AT$4:AT$7493)</f>
        <v>400</v>
      </c>
      <c r="CI283" s="313">
        <f>SUMIF(Recibos!$D$4:$D$7493,Cobranza!$B283,Recibos!AU$4:AU$7493)</f>
        <v>0</v>
      </c>
      <c r="CJ283" s="313">
        <f>SUMIF(Recibos!$D$4:$D$7493,Cobranza!$B283,Recibos!AV$4:AV$7493)</f>
        <v>0</v>
      </c>
      <c r="CK283" s="314">
        <f t="shared" si="38"/>
        <v>4000</v>
      </c>
    </row>
    <row r="284" spans="2:89" x14ac:dyDescent="0.2">
      <c r="B284" s="42" t="s">
        <v>780</v>
      </c>
      <c r="C284" s="42" t="s">
        <v>781</v>
      </c>
      <c r="D284" s="42" t="s">
        <v>493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4">
        <f t="shared" si="39"/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  <c r="V284" s="43">
        <v>0</v>
      </c>
      <c r="W284" s="43">
        <v>0</v>
      </c>
      <c r="X284" s="44">
        <f t="shared" si="40"/>
        <v>0</v>
      </c>
      <c r="Y284" s="43">
        <v>0</v>
      </c>
      <c r="Z284" s="43">
        <v>0</v>
      </c>
      <c r="AA284" s="43">
        <v>0</v>
      </c>
      <c r="AB284" s="43">
        <v>0</v>
      </c>
      <c r="AC284" s="43">
        <v>0</v>
      </c>
      <c r="AD284" s="43">
        <v>0</v>
      </c>
      <c r="AE284" s="43">
        <v>0</v>
      </c>
      <c r="AF284" s="43">
        <v>0</v>
      </c>
      <c r="AG284" s="43">
        <v>0</v>
      </c>
      <c r="AH284" s="43">
        <v>0</v>
      </c>
      <c r="AI284" s="43">
        <v>0</v>
      </c>
      <c r="AJ284" s="43">
        <v>200</v>
      </c>
      <c r="AK284" s="44">
        <f t="shared" si="41"/>
        <v>200</v>
      </c>
      <c r="AL284" s="43">
        <v>100</v>
      </c>
      <c r="AM284" s="43">
        <v>0</v>
      </c>
      <c r="AN284" s="43">
        <v>0</v>
      </c>
      <c r="AO284" s="43">
        <v>0</v>
      </c>
      <c r="AP284" s="43">
        <v>0</v>
      </c>
      <c r="AQ284" s="43">
        <v>0</v>
      </c>
      <c r="AR284" s="43">
        <v>0</v>
      </c>
      <c r="AS284" s="43">
        <v>0</v>
      </c>
      <c r="AT284" s="43">
        <v>0</v>
      </c>
      <c r="AU284" s="43">
        <v>0</v>
      </c>
      <c r="AV284" s="43">
        <v>0</v>
      </c>
      <c r="AW284" s="43">
        <v>0</v>
      </c>
      <c r="AX284" s="44">
        <f t="shared" si="42"/>
        <v>100</v>
      </c>
      <c r="AY284" s="311">
        <f>SUMIF(Recibos!$D$4:$D$7493,Cobranza!$B284,Recibos!K$4:K$7493)</f>
        <v>0</v>
      </c>
      <c r="AZ284" s="311">
        <f>SUMIF(Recibos!$D$4:$D$7493,Cobranza!$B284,Recibos!L$4:L$7493)</f>
        <v>100</v>
      </c>
      <c r="BA284" s="311">
        <f>SUMIF(Recibos!$D$4:$D$7493,Cobranza!$B284,Recibos!M$4:M$7493)</f>
        <v>100</v>
      </c>
      <c r="BB284" s="311">
        <f>SUMIF(Recibos!$D$4:$D$7493,Cobranza!$B284,Recibos!N$4:N$7493)</f>
        <v>100</v>
      </c>
      <c r="BC284" s="311">
        <f>SUMIF(Recibos!$D$4:$D$7493,Cobranza!$B284,Recibos!O$4:O$7493)</f>
        <v>100</v>
      </c>
      <c r="BD284" s="311">
        <f>SUMIF(Recibos!$D$4:$D$7493,Cobranza!$B284,Recibos!P$4:P$7493)</f>
        <v>100</v>
      </c>
      <c r="BE284" s="311">
        <f>SUMIF(Recibos!$D$4:$D$7493,Cobranza!$B284,Recibos!Q$4:Q$7493)</f>
        <v>100</v>
      </c>
      <c r="BF284" s="311">
        <f>SUMIF(Recibos!$D$4:$D$7493,Cobranza!$B284,Recibos!R$4:R$7493)</f>
        <v>100</v>
      </c>
      <c r="BG284" s="311">
        <f>SUMIF(Recibos!$D$4:$D$7493,Cobranza!$B284,Recibos!S$4:S$7493)</f>
        <v>100</v>
      </c>
      <c r="BH284" s="311">
        <f>SUMIF(Recibos!$D$4:$D$7493,Cobranza!$B284,Recibos!T$4:T$7493)</f>
        <v>100</v>
      </c>
      <c r="BI284" s="311">
        <f>SUMIF(Recibos!$D$4:$D$7493,Cobranza!$B284,Recibos!U$4:U$7493)</f>
        <v>100</v>
      </c>
      <c r="BJ284" s="311">
        <f>SUMIF(Recibos!$D$4:$D$7493,Cobranza!$B284,Recibos!V$4:V$7493)</f>
        <v>100</v>
      </c>
      <c r="BK284" s="312">
        <f t="shared" si="43"/>
        <v>1100</v>
      </c>
      <c r="BL284" s="311">
        <f>SUMIF(Recibos!$D$4:$D$7493,Cobranza!$B284,Recibos!X$4:X$7493)</f>
        <v>100</v>
      </c>
      <c r="BM284" s="311">
        <f>SUMIF(Recibos!$D$4:$D$7493,Cobranza!$B284,Recibos!Y$4:Y$7493)</f>
        <v>100</v>
      </c>
      <c r="BN284" s="311">
        <f>SUMIF(Recibos!$D$4:$D$7493,Cobranza!$B284,Recibos!Z$4:Z$7493)</f>
        <v>100</v>
      </c>
      <c r="BO284" s="311">
        <f>SUMIF(Recibos!$D$4:$D$7493,Cobranza!$B284,Recibos!AA$4:AA$7493)</f>
        <v>100</v>
      </c>
      <c r="BP284" s="311">
        <f>SUMIF(Recibos!$D$4:$D$7493,Cobranza!$B284,Recibos!AB$4:AB$7493)</f>
        <v>100</v>
      </c>
      <c r="BQ284" s="311">
        <f>SUMIF(Recibos!$D$4:$D$7493,Cobranza!$B284,Recibos!AC$4:AC$7493)</f>
        <v>100</v>
      </c>
      <c r="BR284" s="311">
        <f>SUMIF(Recibos!$D$4:$D$7493,Cobranza!$B284,Recibos!AD$4:AD$7493)</f>
        <v>100</v>
      </c>
      <c r="BS284" s="311">
        <f>SUMIF(Recibos!$D$4:$D$7493,Cobranza!$B284,Recibos!AE$4:AE$7493)</f>
        <v>100</v>
      </c>
      <c r="BT284" s="311">
        <f>SUMIF(Recibos!$D$4:$D$7493,Cobranza!$B284,Recibos!AF$4:AF$7493)</f>
        <v>100</v>
      </c>
      <c r="BU284" s="311">
        <f>SUMIF(Recibos!$D$4:$D$7493,Cobranza!$B284,Recibos!AG$4:AG$7493)</f>
        <v>100</v>
      </c>
      <c r="BV284" s="311">
        <f>SUMIF(Recibos!$D$4:$D$7493,Cobranza!$B284,Recibos!AH$4:AH$7493)</f>
        <v>100</v>
      </c>
      <c r="BW284" s="311">
        <f>SUMIF(Recibos!$D$4:$D$7493,Cobranza!$B284,Recibos!AI$4:AI$7493)</f>
        <v>100</v>
      </c>
      <c r="BX284" s="312">
        <f t="shared" si="44"/>
        <v>1200</v>
      </c>
      <c r="BY284" s="311">
        <f>SUMIF(Recibos!$D$4:$D$7493,Cobranza!$B284,Recibos!AK$4:AK$7493)</f>
        <v>100</v>
      </c>
      <c r="BZ284" s="311">
        <f>SUMIF(Recibos!$D$4:$D$7493,Cobranza!$B284,Recibos!AL$4:AL$7493)</f>
        <v>100</v>
      </c>
      <c r="CA284" s="311">
        <f>SUMIF(Recibos!$D$4:$D$7493,Cobranza!$B284,Recibos!AM$4:AM$7493)</f>
        <v>100</v>
      </c>
      <c r="CB284" s="311">
        <f>SUMIF(Recibos!$D$4:$D$7493,Cobranza!$B284,Recibos!AN$4:AN$7493)</f>
        <v>100</v>
      </c>
      <c r="CC284" s="311">
        <f>SUMIF(Recibos!$D$4:$D$7493,Cobranza!$B284,Recibos!AO$4:AO$7493)</f>
        <v>100</v>
      </c>
      <c r="CD284" s="311">
        <f>SUMIF(Recibos!$D$4:$D$7493,Cobranza!$B284,Recibos!AP$4:AP$7493)</f>
        <v>100</v>
      </c>
      <c r="CE284" s="311">
        <f>SUMIF(Recibos!$D$4:$D$7493,Cobranza!$B284,Recibos!AQ$4:AQ$7493)</f>
        <v>100</v>
      </c>
      <c r="CF284" s="311">
        <f>SUMIF(Recibos!$D$4:$D$7493,Cobranza!$B284,Recibos!AR$4:AR$7493)</f>
        <v>100</v>
      </c>
      <c r="CG284" s="311">
        <f>SUMIF(Recibos!$D$4:$D$7493,Cobranza!$B284,Recibos!AS$4:AS$7493)</f>
        <v>100</v>
      </c>
      <c r="CH284" s="311">
        <f>SUMIF(Recibos!$D$4:$D$7493,Cobranza!$B284,Recibos!AT$4:AT$7493)</f>
        <v>100</v>
      </c>
      <c r="CI284" s="311">
        <f>SUMIF(Recibos!$D$4:$D$7493,Cobranza!$B284,Recibos!AU$4:AU$7493)</f>
        <v>100</v>
      </c>
      <c r="CJ284" s="311">
        <f>SUMIF(Recibos!$D$4:$D$7493,Cobranza!$B284,Recibos!AV$4:AV$7493)</f>
        <v>100</v>
      </c>
      <c r="CK284" s="312">
        <f t="shared" si="38"/>
        <v>1200</v>
      </c>
    </row>
    <row r="285" spans="2:89" x14ac:dyDescent="0.2">
      <c r="B285" s="45" t="s">
        <v>538</v>
      </c>
      <c r="C285" s="45" t="s">
        <v>539</v>
      </c>
      <c r="D285" s="45" t="s">
        <v>540</v>
      </c>
      <c r="E285" s="46">
        <v>0</v>
      </c>
      <c r="F285" s="46">
        <v>0</v>
      </c>
      <c r="G285" s="46">
        <v>0</v>
      </c>
      <c r="H285" s="46">
        <v>0</v>
      </c>
      <c r="I285" s="46">
        <v>0</v>
      </c>
      <c r="J285" s="46">
        <v>300</v>
      </c>
      <c r="K285" s="47">
        <f t="shared" si="39"/>
        <v>300</v>
      </c>
      <c r="L285" s="46">
        <v>300</v>
      </c>
      <c r="M285" s="46">
        <v>300</v>
      </c>
      <c r="N285" s="46">
        <v>300</v>
      </c>
      <c r="O285" s="46">
        <v>300</v>
      </c>
      <c r="P285" s="46">
        <v>300</v>
      </c>
      <c r="Q285" s="46">
        <v>300</v>
      </c>
      <c r="R285" s="46">
        <v>300</v>
      </c>
      <c r="S285" s="46">
        <v>300</v>
      </c>
      <c r="T285" s="46">
        <v>300</v>
      </c>
      <c r="U285" s="46">
        <v>400</v>
      </c>
      <c r="V285" s="46">
        <v>400</v>
      </c>
      <c r="W285" s="46">
        <v>400</v>
      </c>
      <c r="X285" s="47">
        <f t="shared" si="40"/>
        <v>3900</v>
      </c>
      <c r="Y285" s="46">
        <v>400</v>
      </c>
      <c r="Z285" s="46">
        <v>400</v>
      </c>
      <c r="AA285" s="46">
        <v>400</v>
      </c>
      <c r="AB285" s="46">
        <v>400</v>
      </c>
      <c r="AC285" s="46">
        <v>400</v>
      </c>
      <c r="AD285" s="46">
        <v>400</v>
      </c>
      <c r="AE285" s="46">
        <v>400</v>
      </c>
      <c r="AF285" s="46">
        <v>400</v>
      </c>
      <c r="AG285" s="46">
        <v>400</v>
      </c>
      <c r="AH285" s="46">
        <v>400</v>
      </c>
      <c r="AI285" s="46">
        <v>400</v>
      </c>
      <c r="AJ285" s="46">
        <v>400</v>
      </c>
      <c r="AK285" s="47">
        <f t="shared" si="41"/>
        <v>4800</v>
      </c>
      <c r="AL285" s="46">
        <v>400</v>
      </c>
      <c r="AM285" s="46">
        <v>400</v>
      </c>
      <c r="AN285" s="46">
        <v>400</v>
      </c>
      <c r="AO285" s="46">
        <v>400</v>
      </c>
      <c r="AP285" s="46">
        <v>400</v>
      </c>
      <c r="AQ285" s="46">
        <v>400</v>
      </c>
      <c r="AR285" s="46">
        <v>400</v>
      </c>
      <c r="AS285" s="46">
        <v>400</v>
      </c>
      <c r="AT285" s="46">
        <v>400</v>
      </c>
      <c r="AU285" s="46">
        <v>400</v>
      </c>
      <c r="AV285" s="46">
        <v>400</v>
      </c>
      <c r="AW285" s="46">
        <v>400</v>
      </c>
      <c r="AX285" s="47">
        <f t="shared" si="42"/>
        <v>4800</v>
      </c>
      <c r="AY285" s="313">
        <f>SUMIF(Recibos!$D$4:$D$7493,Cobranza!$B285,Recibos!K$4:K$7493)</f>
        <v>400</v>
      </c>
      <c r="AZ285" s="313">
        <f>SUMIF(Recibos!$D$4:$D$7493,Cobranza!$B285,Recibos!L$4:L$7493)</f>
        <v>400</v>
      </c>
      <c r="BA285" s="313">
        <f>SUMIF(Recibos!$D$4:$D$7493,Cobranza!$B285,Recibos!M$4:M$7493)</f>
        <v>400</v>
      </c>
      <c r="BB285" s="313">
        <f>SUMIF(Recibos!$D$4:$D$7493,Cobranza!$B285,Recibos!N$4:N$7493)</f>
        <v>400</v>
      </c>
      <c r="BC285" s="313">
        <f>SUMIF(Recibos!$D$4:$D$7493,Cobranza!$B285,Recibos!O$4:O$7493)</f>
        <v>400</v>
      </c>
      <c r="BD285" s="313">
        <f>SUMIF(Recibos!$D$4:$D$7493,Cobranza!$B285,Recibos!P$4:P$7493)</f>
        <v>400</v>
      </c>
      <c r="BE285" s="313">
        <f>SUMIF(Recibos!$D$4:$D$7493,Cobranza!$B285,Recibos!Q$4:Q$7493)</f>
        <v>400</v>
      </c>
      <c r="BF285" s="313">
        <f>SUMIF(Recibos!$D$4:$D$7493,Cobranza!$B285,Recibos!R$4:R$7493)</f>
        <v>400</v>
      </c>
      <c r="BG285" s="313">
        <f>SUMIF(Recibos!$D$4:$D$7493,Cobranza!$B285,Recibos!S$4:S$7493)</f>
        <v>400</v>
      </c>
      <c r="BH285" s="313">
        <f>SUMIF(Recibos!$D$4:$D$7493,Cobranza!$B285,Recibos!T$4:T$7493)</f>
        <v>400</v>
      </c>
      <c r="BI285" s="313">
        <f>SUMIF(Recibos!$D$4:$D$7493,Cobranza!$B285,Recibos!U$4:U$7493)</f>
        <v>400</v>
      </c>
      <c r="BJ285" s="313">
        <f>SUMIF(Recibos!$D$4:$D$7493,Cobranza!$B285,Recibos!V$4:V$7493)</f>
        <v>400</v>
      </c>
      <c r="BK285" s="314">
        <f t="shared" si="43"/>
        <v>4800</v>
      </c>
      <c r="BL285" s="313">
        <f>SUMIF(Recibos!$D$4:$D$7493,Cobranza!$B285,Recibos!X$4:X$7493)</f>
        <v>400</v>
      </c>
      <c r="BM285" s="313">
        <f>SUMIF(Recibos!$D$4:$D$7493,Cobranza!$B285,Recibos!Y$4:Y$7493)</f>
        <v>400</v>
      </c>
      <c r="BN285" s="313">
        <f>SUMIF(Recibos!$D$4:$D$7493,Cobranza!$B285,Recibos!Z$4:Z$7493)</f>
        <v>400</v>
      </c>
      <c r="BO285" s="313">
        <f>SUMIF(Recibos!$D$4:$D$7493,Cobranza!$B285,Recibos!AA$4:AA$7493)</f>
        <v>400</v>
      </c>
      <c r="BP285" s="313">
        <f>SUMIF(Recibos!$D$4:$D$7493,Cobranza!$B285,Recibos!AB$4:AB$7493)</f>
        <v>400</v>
      </c>
      <c r="BQ285" s="313">
        <f>SUMIF(Recibos!$D$4:$D$7493,Cobranza!$B285,Recibos!AC$4:AC$7493)</f>
        <v>400</v>
      </c>
      <c r="BR285" s="313">
        <f>SUMIF(Recibos!$D$4:$D$7493,Cobranza!$B285,Recibos!AD$4:AD$7493)</f>
        <v>400</v>
      </c>
      <c r="BS285" s="313">
        <f>SUMIF(Recibos!$D$4:$D$7493,Cobranza!$B285,Recibos!AE$4:AE$7493)</f>
        <v>400</v>
      </c>
      <c r="BT285" s="313">
        <f>SUMIF(Recibos!$D$4:$D$7493,Cobranza!$B285,Recibos!AF$4:AF$7493)</f>
        <v>400</v>
      </c>
      <c r="BU285" s="313">
        <f>SUMIF(Recibos!$D$4:$D$7493,Cobranza!$B285,Recibos!AG$4:AG$7493)</f>
        <v>400</v>
      </c>
      <c r="BV285" s="313">
        <f>SUMIF(Recibos!$D$4:$D$7493,Cobranza!$B285,Recibos!AH$4:AH$7493)</f>
        <v>400</v>
      </c>
      <c r="BW285" s="313">
        <f>SUMIF(Recibos!$D$4:$D$7493,Cobranza!$B285,Recibos!AI$4:AI$7493)</f>
        <v>400</v>
      </c>
      <c r="BX285" s="314">
        <f t="shared" si="44"/>
        <v>4800</v>
      </c>
      <c r="BY285" s="313">
        <f>SUMIF(Recibos!$D$4:$D$7493,Cobranza!$B285,Recibos!AK$4:AK$7493)</f>
        <v>400</v>
      </c>
      <c r="BZ285" s="313">
        <f>SUMIF(Recibos!$D$4:$D$7493,Cobranza!$B285,Recibos!AL$4:AL$7493)</f>
        <v>400</v>
      </c>
      <c r="CA285" s="313">
        <f>SUMIF(Recibos!$D$4:$D$7493,Cobranza!$B285,Recibos!AM$4:AM$7493)</f>
        <v>400</v>
      </c>
      <c r="CB285" s="313">
        <f>SUMIF(Recibos!$D$4:$D$7493,Cobranza!$B285,Recibos!AN$4:AN$7493)</f>
        <v>400</v>
      </c>
      <c r="CC285" s="313">
        <f>SUMIF(Recibos!$D$4:$D$7493,Cobranza!$B285,Recibos!AO$4:AO$7493)</f>
        <v>400</v>
      </c>
      <c r="CD285" s="313">
        <f>SUMIF(Recibos!$D$4:$D$7493,Cobranza!$B285,Recibos!AP$4:AP$7493)</f>
        <v>400</v>
      </c>
      <c r="CE285" s="313">
        <f>SUMIF(Recibos!$D$4:$D$7493,Cobranza!$B285,Recibos!AQ$4:AQ$7493)</f>
        <v>400</v>
      </c>
      <c r="CF285" s="313">
        <f>SUMIF(Recibos!$D$4:$D$7493,Cobranza!$B285,Recibos!AR$4:AR$7493)</f>
        <v>400</v>
      </c>
      <c r="CG285" s="313">
        <f>SUMIF(Recibos!$D$4:$D$7493,Cobranza!$B285,Recibos!AS$4:AS$7493)</f>
        <v>400</v>
      </c>
      <c r="CH285" s="313">
        <f>SUMIF(Recibos!$D$4:$D$7493,Cobranza!$B285,Recibos!AT$4:AT$7493)</f>
        <v>0</v>
      </c>
      <c r="CI285" s="313">
        <f>SUMIF(Recibos!$D$4:$D$7493,Cobranza!$B285,Recibos!AU$4:AU$7493)</f>
        <v>0</v>
      </c>
      <c r="CJ285" s="313">
        <f>SUMIF(Recibos!$D$4:$D$7493,Cobranza!$B285,Recibos!AV$4:AV$7493)</f>
        <v>0</v>
      </c>
      <c r="CK285" s="314">
        <f t="shared" si="38"/>
        <v>3600</v>
      </c>
    </row>
    <row r="286" spans="2:89" x14ac:dyDescent="0.2">
      <c r="B286" s="42" t="s">
        <v>1042</v>
      </c>
      <c r="C286" s="42" t="s">
        <v>1043</v>
      </c>
      <c r="D286" s="42" t="s">
        <v>1044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4">
        <f t="shared" si="39"/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  <c r="V286" s="43">
        <v>0</v>
      </c>
      <c r="W286" s="43">
        <v>0</v>
      </c>
      <c r="X286" s="44">
        <f t="shared" si="40"/>
        <v>0</v>
      </c>
      <c r="Y286" s="43">
        <v>0</v>
      </c>
      <c r="Z286" s="43">
        <v>0</v>
      </c>
      <c r="AA286" s="43">
        <v>0</v>
      </c>
      <c r="AB286" s="43">
        <v>0</v>
      </c>
      <c r="AC286" s="43">
        <v>0</v>
      </c>
      <c r="AD286" s="43">
        <v>0</v>
      </c>
      <c r="AE286" s="43">
        <v>0</v>
      </c>
      <c r="AF286" s="43">
        <v>0</v>
      </c>
      <c r="AG286" s="43">
        <v>0</v>
      </c>
      <c r="AH286" s="43">
        <v>0</v>
      </c>
      <c r="AI286" s="43">
        <v>0</v>
      </c>
      <c r="AJ286" s="43">
        <v>0</v>
      </c>
      <c r="AK286" s="44">
        <f t="shared" si="41"/>
        <v>0</v>
      </c>
      <c r="AL286" s="43">
        <v>0</v>
      </c>
      <c r="AM286" s="43">
        <v>0</v>
      </c>
      <c r="AN286" s="43">
        <v>0</v>
      </c>
      <c r="AO286" s="43">
        <v>0</v>
      </c>
      <c r="AP286" s="43">
        <v>0</v>
      </c>
      <c r="AQ286" s="43">
        <v>0</v>
      </c>
      <c r="AR286" s="43">
        <v>0</v>
      </c>
      <c r="AS286" s="43">
        <v>0</v>
      </c>
      <c r="AT286" s="43">
        <v>0</v>
      </c>
      <c r="AU286" s="43">
        <v>0</v>
      </c>
      <c r="AV286" s="43">
        <v>0</v>
      </c>
      <c r="AW286" s="43">
        <v>0</v>
      </c>
      <c r="AX286" s="44">
        <f t="shared" si="42"/>
        <v>0</v>
      </c>
      <c r="AY286" s="311">
        <f>SUMIF(Recibos!$D$4:$D$7493,Cobranza!$B286,Recibos!K$4:K$7493)</f>
        <v>0</v>
      </c>
      <c r="AZ286" s="311">
        <f>SUMIF(Recibos!$D$4:$D$7493,Cobranza!$B286,Recibos!L$4:L$7493)</f>
        <v>0</v>
      </c>
      <c r="BA286" s="311">
        <f>SUMIF(Recibos!$D$4:$D$7493,Cobranza!$B286,Recibos!M$4:M$7493)</f>
        <v>0</v>
      </c>
      <c r="BB286" s="311">
        <f>SUMIF(Recibos!$D$4:$D$7493,Cobranza!$B286,Recibos!N$4:N$7493)</f>
        <v>0</v>
      </c>
      <c r="BC286" s="311">
        <f>SUMIF(Recibos!$D$4:$D$7493,Cobranza!$B286,Recibos!O$4:O$7493)</f>
        <v>0</v>
      </c>
      <c r="BD286" s="311">
        <f>SUMIF(Recibos!$D$4:$D$7493,Cobranza!$B286,Recibos!P$4:P$7493)</f>
        <v>100</v>
      </c>
      <c r="BE286" s="311">
        <f>SUMIF(Recibos!$D$4:$D$7493,Cobranza!$B286,Recibos!Q$4:Q$7493)</f>
        <v>100</v>
      </c>
      <c r="BF286" s="311">
        <f>SUMIF(Recibos!$D$4:$D$7493,Cobranza!$B286,Recibos!R$4:R$7493)</f>
        <v>100</v>
      </c>
      <c r="BG286" s="311">
        <f>SUMIF(Recibos!$D$4:$D$7493,Cobranza!$B286,Recibos!S$4:S$7493)</f>
        <v>100</v>
      </c>
      <c r="BH286" s="311">
        <f>SUMIF(Recibos!$D$4:$D$7493,Cobranza!$B286,Recibos!T$4:T$7493)</f>
        <v>100</v>
      </c>
      <c r="BI286" s="311">
        <f>SUMIF(Recibos!$D$4:$D$7493,Cobranza!$B286,Recibos!U$4:U$7493)</f>
        <v>100</v>
      </c>
      <c r="BJ286" s="311">
        <f>SUMIF(Recibos!$D$4:$D$7493,Cobranza!$B286,Recibos!V$4:V$7493)</f>
        <v>100</v>
      </c>
      <c r="BK286" s="312">
        <f t="shared" si="43"/>
        <v>700</v>
      </c>
      <c r="BL286" s="311">
        <f>SUMIF(Recibos!$D$4:$D$7493,Cobranza!$B286,Recibos!X$4:X$7493)</f>
        <v>100</v>
      </c>
      <c r="BM286" s="311">
        <f>SUMIF(Recibos!$D$4:$D$7493,Cobranza!$B286,Recibos!Y$4:Y$7493)</f>
        <v>100</v>
      </c>
      <c r="BN286" s="311">
        <f>SUMIF(Recibos!$D$4:$D$7493,Cobranza!$B286,Recibos!Z$4:Z$7493)</f>
        <v>100</v>
      </c>
      <c r="BO286" s="311">
        <f>SUMIF(Recibos!$D$4:$D$7493,Cobranza!$B286,Recibos!AA$4:AA$7493)</f>
        <v>100</v>
      </c>
      <c r="BP286" s="311">
        <f>SUMIF(Recibos!$D$4:$D$7493,Cobranza!$B286,Recibos!AB$4:AB$7493)</f>
        <v>100</v>
      </c>
      <c r="BQ286" s="311">
        <f>SUMIF(Recibos!$D$4:$D$7493,Cobranza!$B286,Recibos!AC$4:AC$7493)</f>
        <v>100</v>
      </c>
      <c r="BR286" s="311">
        <f>SUMIF(Recibos!$D$4:$D$7493,Cobranza!$B286,Recibos!AD$4:AD$7493)</f>
        <v>100</v>
      </c>
      <c r="BS286" s="311">
        <f>SUMIF(Recibos!$D$4:$D$7493,Cobranza!$B286,Recibos!AE$4:AE$7493)</f>
        <v>100</v>
      </c>
      <c r="BT286" s="311">
        <f>SUMIF(Recibos!$D$4:$D$7493,Cobranza!$B286,Recibos!AF$4:AF$7493)</f>
        <v>100</v>
      </c>
      <c r="BU286" s="311">
        <f>SUMIF(Recibos!$D$4:$D$7493,Cobranza!$B286,Recibos!AG$4:AG$7493)</f>
        <v>100</v>
      </c>
      <c r="BV286" s="311">
        <f>SUMIF(Recibos!$D$4:$D$7493,Cobranza!$B286,Recibos!AH$4:AH$7493)</f>
        <v>100</v>
      </c>
      <c r="BW286" s="311">
        <f>SUMIF(Recibos!$D$4:$D$7493,Cobranza!$B286,Recibos!AI$4:AI$7493)</f>
        <v>100</v>
      </c>
      <c r="BX286" s="312">
        <f t="shared" si="44"/>
        <v>1200</v>
      </c>
      <c r="BY286" s="311">
        <f>SUMIF(Recibos!$D$4:$D$7493,Cobranza!$B286,Recibos!AK$4:AK$7493)</f>
        <v>100</v>
      </c>
      <c r="BZ286" s="311">
        <f>SUMIF(Recibos!$D$4:$D$7493,Cobranza!$B286,Recibos!AL$4:AL$7493)</f>
        <v>100</v>
      </c>
      <c r="CA286" s="311">
        <f>SUMIF(Recibos!$D$4:$D$7493,Cobranza!$B286,Recibos!AM$4:AM$7493)</f>
        <v>100</v>
      </c>
      <c r="CB286" s="311">
        <f>SUMIF(Recibos!$D$4:$D$7493,Cobranza!$B286,Recibos!AN$4:AN$7493)</f>
        <v>100</v>
      </c>
      <c r="CC286" s="311">
        <f>SUMIF(Recibos!$D$4:$D$7493,Cobranza!$B286,Recibos!AO$4:AO$7493)</f>
        <v>100</v>
      </c>
      <c r="CD286" s="311">
        <f>SUMIF(Recibos!$D$4:$D$7493,Cobranza!$B286,Recibos!AP$4:AP$7493)</f>
        <v>100</v>
      </c>
      <c r="CE286" s="311">
        <f>SUMIF(Recibos!$D$4:$D$7493,Cobranza!$B286,Recibos!AQ$4:AQ$7493)</f>
        <v>100</v>
      </c>
      <c r="CF286" s="311">
        <f>SUMIF(Recibos!$D$4:$D$7493,Cobranza!$B286,Recibos!AR$4:AR$7493)</f>
        <v>100</v>
      </c>
      <c r="CG286" s="311">
        <f>SUMIF(Recibos!$D$4:$D$7493,Cobranza!$B286,Recibos!AS$4:AS$7493)</f>
        <v>100</v>
      </c>
      <c r="CH286" s="311">
        <f>SUMIF(Recibos!$D$4:$D$7493,Cobranza!$B286,Recibos!AT$4:AT$7493)</f>
        <v>0</v>
      </c>
      <c r="CI286" s="311">
        <f>SUMIF(Recibos!$D$4:$D$7493,Cobranza!$B286,Recibos!AU$4:AU$7493)</f>
        <v>0</v>
      </c>
      <c r="CJ286" s="311">
        <f>SUMIF(Recibos!$D$4:$D$7493,Cobranza!$B286,Recibos!AV$4:AV$7493)</f>
        <v>0</v>
      </c>
      <c r="CK286" s="312">
        <f t="shared" si="38"/>
        <v>900</v>
      </c>
    </row>
    <row r="287" spans="2:89" x14ac:dyDescent="0.2">
      <c r="B287" s="45" t="s">
        <v>1085</v>
      </c>
      <c r="C287" s="45" t="s">
        <v>1086</v>
      </c>
      <c r="D287" s="45" t="s">
        <v>1087</v>
      </c>
      <c r="E287" s="46">
        <v>0</v>
      </c>
      <c r="F287" s="46">
        <v>0</v>
      </c>
      <c r="G287" s="46">
        <v>0</v>
      </c>
      <c r="H287" s="46">
        <v>0</v>
      </c>
      <c r="I287" s="46">
        <v>300</v>
      </c>
      <c r="J287" s="46">
        <v>300</v>
      </c>
      <c r="K287" s="47">
        <f t="shared" si="39"/>
        <v>600</v>
      </c>
      <c r="L287" s="46">
        <v>300</v>
      </c>
      <c r="M287" s="46">
        <v>300</v>
      </c>
      <c r="N287" s="46">
        <v>300</v>
      </c>
      <c r="O287" s="46">
        <v>300</v>
      </c>
      <c r="P287" s="46">
        <v>300</v>
      </c>
      <c r="Q287" s="46">
        <v>300</v>
      </c>
      <c r="R287" s="46">
        <v>300</v>
      </c>
      <c r="S287" s="46">
        <v>300</v>
      </c>
      <c r="T287" s="46">
        <v>300</v>
      </c>
      <c r="U287" s="46">
        <v>300</v>
      </c>
      <c r="V287" s="46">
        <v>300</v>
      </c>
      <c r="W287" s="46">
        <v>300</v>
      </c>
      <c r="X287" s="47">
        <f t="shared" si="40"/>
        <v>3600</v>
      </c>
      <c r="Y287" s="46">
        <v>400</v>
      </c>
      <c r="Z287" s="46">
        <v>400</v>
      </c>
      <c r="AA287" s="46">
        <v>400</v>
      </c>
      <c r="AB287" s="46">
        <v>400</v>
      </c>
      <c r="AC287" s="46">
        <v>0</v>
      </c>
      <c r="AD287" s="46">
        <v>0</v>
      </c>
      <c r="AE287" s="46">
        <v>0</v>
      </c>
      <c r="AF287" s="46">
        <v>0</v>
      </c>
      <c r="AG287" s="46">
        <v>0</v>
      </c>
      <c r="AH287" s="46">
        <v>0</v>
      </c>
      <c r="AI287" s="46">
        <v>0</v>
      </c>
      <c r="AJ287" s="46">
        <v>0</v>
      </c>
      <c r="AK287" s="47">
        <f t="shared" si="41"/>
        <v>1600</v>
      </c>
      <c r="AL287" s="46">
        <v>0</v>
      </c>
      <c r="AM287" s="46">
        <v>0</v>
      </c>
      <c r="AN287" s="46">
        <v>0</v>
      </c>
      <c r="AO287" s="46">
        <v>0</v>
      </c>
      <c r="AP287" s="46">
        <v>0</v>
      </c>
      <c r="AQ287" s="46">
        <v>0</v>
      </c>
      <c r="AR287" s="46">
        <v>0</v>
      </c>
      <c r="AS287" s="46">
        <v>0</v>
      </c>
      <c r="AT287" s="46">
        <v>0</v>
      </c>
      <c r="AU287" s="46">
        <v>0</v>
      </c>
      <c r="AV287" s="46">
        <v>0</v>
      </c>
      <c r="AW287" s="46">
        <v>0</v>
      </c>
      <c r="AX287" s="47">
        <f t="shared" si="42"/>
        <v>0</v>
      </c>
      <c r="AY287" s="313">
        <f>SUMIF(Recibos!$D$4:$D$7493,Cobranza!$B287,Recibos!K$4:K$7493)</f>
        <v>0</v>
      </c>
      <c r="AZ287" s="313">
        <f>SUMIF(Recibos!$D$4:$D$7493,Cobranza!$B287,Recibos!L$4:L$7493)</f>
        <v>0</v>
      </c>
      <c r="BA287" s="313">
        <f>SUMIF(Recibos!$D$4:$D$7493,Cobranza!$B287,Recibos!M$4:M$7493)</f>
        <v>0</v>
      </c>
      <c r="BB287" s="313">
        <f>SUMIF(Recibos!$D$4:$D$7493,Cobranza!$B287,Recibos!N$4:N$7493)</f>
        <v>0</v>
      </c>
      <c r="BC287" s="313">
        <f>SUMIF(Recibos!$D$4:$D$7493,Cobranza!$B287,Recibos!O$4:O$7493)</f>
        <v>0</v>
      </c>
      <c r="BD287" s="313">
        <f>SUMIF(Recibos!$D$4:$D$7493,Cobranza!$B287,Recibos!P$4:P$7493)</f>
        <v>0</v>
      </c>
      <c r="BE287" s="313">
        <f>SUMIF(Recibos!$D$4:$D$7493,Cobranza!$B287,Recibos!Q$4:Q$7493)</f>
        <v>0</v>
      </c>
      <c r="BF287" s="313">
        <f>SUMIF(Recibos!$D$4:$D$7493,Cobranza!$B287,Recibos!R$4:R$7493)</f>
        <v>0</v>
      </c>
      <c r="BG287" s="313">
        <f>SUMIF(Recibos!$D$4:$D$7493,Cobranza!$B287,Recibos!S$4:S$7493)</f>
        <v>0</v>
      </c>
      <c r="BH287" s="313">
        <f>SUMIF(Recibos!$D$4:$D$7493,Cobranza!$B287,Recibos!T$4:T$7493)</f>
        <v>0</v>
      </c>
      <c r="BI287" s="313">
        <f>SUMIF(Recibos!$D$4:$D$7493,Cobranza!$B287,Recibos!U$4:U$7493)</f>
        <v>0</v>
      </c>
      <c r="BJ287" s="313">
        <f>SUMIF(Recibos!$D$4:$D$7493,Cobranza!$B287,Recibos!V$4:V$7493)</f>
        <v>0</v>
      </c>
      <c r="BK287" s="314">
        <f t="shared" si="43"/>
        <v>0</v>
      </c>
      <c r="BL287" s="313">
        <f>SUMIF(Recibos!$D$4:$D$7493,Cobranza!$B287,Recibos!X$4:X$7493)</f>
        <v>0</v>
      </c>
      <c r="BM287" s="313">
        <f>SUMIF(Recibos!$D$4:$D$7493,Cobranza!$B287,Recibos!Y$4:Y$7493)</f>
        <v>0</v>
      </c>
      <c r="BN287" s="313">
        <f>SUMIF(Recibos!$D$4:$D$7493,Cobranza!$B287,Recibos!Z$4:Z$7493)</f>
        <v>0</v>
      </c>
      <c r="BO287" s="313">
        <f>SUMIF(Recibos!$D$4:$D$7493,Cobranza!$B287,Recibos!AA$4:AA$7493)</f>
        <v>0</v>
      </c>
      <c r="BP287" s="313">
        <f>SUMIF(Recibos!$D$4:$D$7493,Cobranza!$B287,Recibos!AB$4:AB$7493)</f>
        <v>0</v>
      </c>
      <c r="BQ287" s="313">
        <f>SUMIF(Recibos!$D$4:$D$7493,Cobranza!$B287,Recibos!AC$4:AC$7493)</f>
        <v>0</v>
      </c>
      <c r="BR287" s="313">
        <f>SUMIF(Recibos!$D$4:$D$7493,Cobranza!$B287,Recibos!AD$4:AD$7493)</f>
        <v>0</v>
      </c>
      <c r="BS287" s="313">
        <f>SUMIF(Recibos!$D$4:$D$7493,Cobranza!$B287,Recibos!AE$4:AE$7493)</f>
        <v>0</v>
      </c>
      <c r="BT287" s="313">
        <f>SUMIF(Recibos!$D$4:$D$7493,Cobranza!$B287,Recibos!AF$4:AF$7493)</f>
        <v>0</v>
      </c>
      <c r="BU287" s="313">
        <f>SUMIF(Recibos!$D$4:$D$7493,Cobranza!$B287,Recibos!AG$4:AG$7493)</f>
        <v>0</v>
      </c>
      <c r="BV287" s="313">
        <f>SUMIF(Recibos!$D$4:$D$7493,Cobranza!$B287,Recibos!AH$4:AH$7493)</f>
        <v>0</v>
      </c>
      <c r="BW287" s="313">
        <f>SUMIF(Recibos!$D$4:$D$7493,Cobranza!$B287,Recibos!AI$4:AI$7493)</f>
        <v>0</v>
      </c>
      <c r="BX287" s="314">
        <f t="shared" si="44"/>
        <v>0</v>
      </c>
      <c r="BY287" s="313">
        <f>SUMIF(Recibos!$D$4:$D$7493,Cobranza!$B287,Recibos!AK$4:AK$7493)</f>
        <v>0</v>
      </c>
      <c r="BZ287" s="313">
        <f>SUMIF(Recibos!$D$4:$D$7493,Cobranza!$B287,Recibos!AL$4:AL$7493)</f>
        <v>0</v>
      </c>
      <c r="CA287" s="313">
        <f>SUMIF(Recibos!$D$4:$D$7493,Cobranza!$B287,Recibos!AM$4:AM$7493)</f>
        <v>0</v>
      </c>
      <c r="CB287" s="313">
        <f>SUMIF(Recibos!$D$4:$D$7493,Cobranza!$B287,Recibos!AN$4:AN$7493)</f>
        <v>0</v>
      </c>
      <c r="CC287" s="313">
        <f>SUMIF(Recibos!$D$4:$D$7493,Cobranza!$B287,Recibos!AO$4:AO$7493)</f>
        <v>0</v>
      </c>
      <c r="CD287" s="313">
        <f>SUMIF(Recibos!$D$4:$D$7493,Cobranza!$B287,Recibos!AP$4:AP$7493)</f>
        <v>0</v>
      </c>
      <c r="CE287" s="313">
        <f>SUMIF(Recibos!$D$4:$D$7493,Cobranza!$B287,Recibos!AQ$4:AQ$7493)</f>
        <v>0</v>
      </c>
      <c r="CF287" s="313">
        <f>SUMIF(Recibos!$D$4:$D$7493,Cobranza!$B287,Recibos!AR$4:AR$7493)</f>
        <v>0</v>
      </c>
      <c r="CG287" s="313">
        <f>SUMIF(Recibos!$D$4:$D$7493,Cobranza!$B287,Recibos!AS$4:AS$7493)</f>
        <v>0</v>
      </c>
      <c r="CH287" s="313">
        <f>SUMIF(Recibos!$D$4:$D$7493,Cobranza!$B287,Recibos!AT$4:AT$7493)</f>
        <v>0</v>
      </c>
      <c r="CI287" s="313">
        <f>SUMIF(Recibos!$D$4:$D$7493,Cobranza!$B287,Recibos!AU$4:AU$7493)</f>
        <v>0</v>
      </c>
      <c r="CJ287" s="313">
        <f>SUMIF(Recibos!$D$4:$D$7493,Cobranza!$B287,Recibos!AV$4:AV$7493)</f>
        <v>0</v>
      </c>
      <c r="CK287" s="314">
        <f t="shared" si="38"/>
        <v>0</v>
      </c>
    </row>
    <row r="288" spans="2:89" x14ac:dyDescent="0.2">
      <c r="B288" s="42" t="s">
        <v>271</v>
      </c>
      <c r="C288" s="42" t="s">
        <v>272</v>
      </c>
      <c r="D288" s="42" t="s">
        <v>273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300</v>
      </c>
      <c r="K288" s="44">
        <f t="shared" si="39"/>
        <v>300</v>
      </c>
      <c r="L288" s="43">
        <v>300</v>
      </c>
      <c r="M288" s="43">
        <v>300</v>
      </c>
      <c r="N288" s="43">
        <v>300</v>
      </c>
      <c r="O288" s="43">
        <v>300</v>
      </c>
      <c r="P288" s="43">
        <v>300</v>
      </c>
      <c r="Q288" s="43">
        <v>300</v>
      </c>
      <c r="R288" s="43">
        <v>300</v>
      </c>
      <c r="S288" s="43">
        <v>300</v>
      </c>
      <c r="T288" s="43">
        <v>300</v>
      </c>
      <c r="U288" s="43">
        <v>300</v>
      </c>
      <c r="V288" s="43">
        <v>400</v>
      </c>
      <c r="W288" s="43">
        <v>400</v>
      </c>
      <c r="X288" s="44">
        <f t="shared" si="40"/>
        <v>3800</v>
      </c>
      <c r="Y288" s="43">
        <v>400</v>
      </c>
      <c r="Z288" s="43">
        <v>400</v>
      </c>
      <c r="AA288" s="43">
        <v>400</v>
      </c>
      <c r="AB288" s="43">
        <v>400</v>
      </c>
      <c r="AC288" s="43">
        <v>400</v>
      </c>
      <c r="AD288" s="43">
        <v>400</v>
      </c>
      <c r="AE288" s="43">
        <v>400</v>
      </c>
      <c r="AF288" s="43">
        <v>400</v>
      </c>
      <c r="AG288" s="43">
        <v>400</v>
      </c>
      <c r="AH288" s="43">
        <v>400</v>
      </c>
      <c r="AI288" s="43">
        <v>400</v>
      </c>
      <c r="AJ288" s="43">
        <v>400</v>
      </c>
      <c r="AK288" s="44">
        <f t="shared" si="41"/>
        <v>4800</v>
      </c>
      <c r="AL288" s="43">
        <v>400</v>
      </c>
      <c r="AM288" s="43">
        <v>400</v>
      </c>
      <c r="AN288" s="43">
        <v>400</v>
      </c>
      <c r="AO288" s="43">
        <v>400</v>
      </c>
      <c r="AP288" s="43">
        <v>400</v>
      </c>
      <c r="AQ288" s="43">
        <v>400</v>
      </c>
      <c r="AR288" s="43">
        <v>400</v>
      </c>
      <c r="AS288" s="43">
        <v>400</v>
      </c>
      <c r="AT288" s="43">
        <v>400</v>
      </c>
      <c r="AU288" s="43">
        <v>400</v>
      </c>
      <c r="AV288" s="43">
        <v>400</v>
      </c>
      <c r="AW288" s="43">
        <v>400</v>
      </c>
      <c r="AX288" s="44">
        <f t="shared" si="42"/>
        <v>4800</v>
      </c>
      <c r="AY288" s="311">
        <f>SUMIF(Recibos!$D$4:$D$7493,Cobranza!$B288,Recibos!K$4:K$7493)</f>
        <v>400</v>
      </c>
      <c r="AZ288" s="311">
        <f>SUMIF(Recibos!$D$4:$D$7493,Cobranza!$B288,Recibos!L$4:L$7493)</f>
        <v>400</v>
      </c>
      <c r="BA288" s="311">
        <f>SUMIF(Recibos!$D$4:$D$7493,Cobranza!$B288,Recibos!M$4:M$7493)</f>
        <v>400</v>
      </c>
      <c r="BB288" s="311">
        <f>SUMIF(Recibos!$D$4:$D$7493,Cobranza!$B288,Recibos!N$4:N$7493)</f>
        <v>400</v>
      </c>
      <c r="BC288" s="311">
        <f>SUMIF(Recibos!$D$4:$D$7493,Cobranza!$B288,Recibos!O$4:O$7493)</f>
        <v>400</v>
      </c>
      <c r="BD288" s="311">
        <f>SUMIF(Recibos!$D$4:$D$7493,Cobranza!$B288,Recibos!P$4:P$7493)</f>
        <v>400</v>
      </c>
      <c r="BE288" s="311">
        <f>SUMIF(Recibos!$D$4:$D$7493,Cobranza!$B288,Recibos!Q$4:Q$7493)</f>
        <v>400</v>
      </c>
      <c r="BF288" s="311">
        <f>SUMIF(Recibos!$D$4:$D$7493,Cobranza!$B288,Recibos!R$4:R$7493)</f>
        <v>400</v>
      </c>
      <c r="BG288" s="311">
        <f>SUMIF(Recibos!$D$4:$D$7493,Cobranza!$B288,Recibos!S$4:S$7493)</f>
        <v>400</v>
      </c>
      <c r="BH288" s="311">
        <f>SUMIF(Recibos!$D$4:$D$7493,Cobranza!$B288,Recibos!T$4:T$7493)</f>
        <v>400</v>
      </c>
      <c r="BI288" s="311">
        <f>SUMIF(Recibos!$D$4:$D$7493,Cobranza!$B288,Recibos!U$4:U$7493)</f>
        <v>400</v>
      </c>
      <c r="BJ288" s="311">
        <f>SUMIF(Recibos!$D$4:$D$7493,Cobranza!$B288,Recibos!V$4:V$7493)</f>
        <v>400</v>
      </c>
      <c r="BK288" s="312">
        <f t="shared" si="43"/>
        <v>4800</v>
      </c>
      <c r="BL288" s="311">
        <f>SUMIF(Recibos!$D$4:$D$7493,Cobranza!$B288,Recibos!X$4:X$7493)</f>
        <v>400</v>
      </c>
      <c r="BM288" s="311">
        <f>SUMIF(Recibos!$D$4:$D$7493,Cobranza!$B288,Recibos!Y$4:Y$7493)</f>
        <v>400</v>
      </c>
      <c r="BN288" s="311">
        <f>SUMIF(Recibos!$D$4:$D$7493,Cobranza!$B288,Recibos!Z$4:Z$7493)</f>
        <v>400</v>
      </c>
      <c r="BO288" s="311">
        <f>SUMIF(Recibos!$D$4:$D$7493,Cobranza!$B288,Recibos!AA$4:AA$7493)</f>
        <v>400</v>
      </c>
      <c r="BP288" s="311">
        <f>SUMIF(Recibos!$D$4:$D$7493,Cobranza!$B288,Recibos!AB$4:AB$7493)</f>
        <v>400</v>
      </c>
      <c r="BQ288" s="311">
        <f>SUMIF(Recibos!$D$4:$D$7493,Cobranza!$B288,Recibos!AC$4:AC$7493)</f>
        <v>400</v>
      </c>
      <c r="BR288" s="311">
        <f>SUMIF(Recibos!$D$4:$D$7493,Cobranza!$B288,Recibos!AD$4:AD$7493)</f>
        <v>400</v>
      </c>
      <c r="BS288" s="311">
        <f>SUMIF(Recibos!$D$4:$D$7493,Cobranza!$B288,Recibos!AE$4:AE$7493)</f>
        <v>400</v>
      </c>
      <c r="BT288" s="311">
        <f>SUMIF(Recibos!$D$4:$D$7493,Cobranza!$B288,Recibos!AF$4:AF$7493)</f>
        <v>400</v>
      </c>
      <c r="BU288" s="311">
        <f>SUMIF(Recibos!$D$4:$D$7493,Cobranza!$B288,Recibos!AG$4:AG$7493)</f>
        <v>400</v>
      </c>
      <c r="BV288" s="311">
        <f>SUMIF(Recibos!$D$4:$D$7493,Cobranza!$B288,Recibos!AH$4:AH$7493)</f>
        <v>400</v>
      </c>
      <c r="BW288" s="311">
        <f>SUMIF(Recibos!$D$4:$D$7493,Cobranza!$B288,Recibos!AI$4:AI$7493)</f>
        <v>400</v>
      </c>
      <c r="BX288" s="312">
        <f t="shared" si="44"/>
        <v>4800</v>
      </c>
      <c r="BY288" s="311">
        <f>SUMIF(Recibos!$D$4:$D$7493,Cobranza!$B288,Recibos!AK$4:AK$7493)</f>
        <v>400</v>
      </c>
      <c r="BZ288" s="311">
        <f>SUMIF(Recibos!$D$4:$D$7493,Cobranza!$B288,Recibos!AL$4:AL$7493)</f>
        <v>400</v>
      </c>
      <c r="CA288" s="311">
        <f>SUMIF(Recibos!$D$4:$D$7493,Cobranza!$B288,Recibos!AM$4:AM$7493)</f>
        <v>400</v>
      </c>
      <c r="CB288" s="311">
        <f>SUMIF(Recibos!$D$4:$D$7493,Cobranza!$B288,Recibos!AN$4:AN$7493)</f>
        <v>400</v>
      </c>
      <c r="CC288" s="311">
        <f>SUMIF(Recibos!$D$4:$D$7493,Cobranza!$B288,Recibos!AO$4:AO$7493)</f>
        <v>400</v>
      </c>
      <c r="CD288" s="311">
        <f>SUMIF(Recibos!$D$4:$D$7493,Cobranza!$B288,Recibos!AP$4:AP$7493)</f>
        <v>400</v>
      </c>
      <c r="CE288" s="311">
        <f>SUMIF(Recibos!$D$4:$D$7493,Cobranza!$B288,Recibos!AQ$4:AQ$7493)</f>
        <v>400</v>
      </c>
      <c r="CF288" s="311">
        <f>SUMIF(Recibos!$D$4:$D$7493,Cobranza!$B288,Recibos!AR$4:AR$7493)</f>
        <v>400</v>
      </c>
      <c r="CG288" s="311">
        <f>SUMIF(Recibos!$D$4:$D$7493,Cobranza!$B288,Recibos!AS$4:AS$7493)</f>
        <v>400</v>
      </c>
      <c r="CH288" s="311">
        <f>SUMIF(Recibos!$D$4:$D$7493,Cobranza!$B288,Recibos!AT$4:AT$7493)</f>
        <v>400</v>
      </c>
      <c r="CI288" s="311">
        <f>SUMIF(Recibos!$D$4:$D$7493,Cobranza!$B288,Recibos!AU$4:AU$7493)</f>
        <v>0</v>
      </c>
      <c r="CJ288" s="311">
        <f>SUMIF(Recibos!$D$4:$D$7493,Cobranza!$B288,Recibos!AV$4:AV$7493)</f>
        <v>0</v>
      </c>
      <c r="CK288" s="312">
        <f t="shared" si="38"/>
        <v>4000</v>
      </c>
    </row>
    <row r="289" spans="2:89" x14ac:dyDescent="0.2">
      <c r="B289" s="45" t="s">
        <v>192</v>
      </c>
      <c r="C289" s="45" t="s">
        <v>193</v>
      </c>
      <c r="D289" s="45" t="s">
        <v>194</v>
      </c>
      <c r="E289" s="46">
        <v>0</v>
      </c>
      <c r="F289" s="46">
        <v>0</v>
      </c>
      <c r="G289" s="46">
        <v>0</v>
      </c>
      <c r="H289" s="46">
        <v>0</v>
      </c>
      <c r="I289" s="46">
        <v>0</v>
      </c>
      <c r="J289" s="46">
        <v>300</v>
      </c>
      <c r="K289" s="47">
        <f t="shared" si="39"/>
        <v>300</v>
      </c>
      <c r="L289" s="46">
        <v>300</v>
      </c>
      <c r="M289" s="46">
        <v>300</v>
      </c>
      <c r="N289" s="46">
        <v>300</v>
      </c>
      <c r="O289" s="46">
        <v>300</v>
      </c>
      <c r="P289" s="46">
        <v>300</v>
      </c>
      <c r="Q289" s="46">
        <v>300</v>
      </c>
      <c r="R289" s="46">
        <v>300</v>
      </c>
      <c r="S289" s="46">
        <v>300</v>
      </c>
      <c r="T289" s="46">
        <v>300</v>
      </c>
      <c r="U289" s="46">
        <v>400</v>
      </c>
      <c r="V289" s="46">
        <v>400</v>
      </c>
      <c r="W289" s="46">
        <v>400</v>
      </c>
      <c r="X289" s="47">
        <f t="shared" si="40"/>
        <v>3900</v>
      </c>
      <c r="Y289" s="46">
        <v>400</v>
      </c>
      <c r="Z289" s="46">
        <v>400</v>
      </c>
      <c r="AA289" s="46">
        <v>400</v>
      </c>
      <c r="AB289" s="46">
        <v>400</v>
      </c>
      <c r="AC289" s="46">
        <v>400</v>
      </c>
      <c r="AD289" s="46">
        <v>400</v>
      </c>
      <c r="AE289" s="46">
        <v>400</v>
      </c>
      <c r="AF289" s="46">
        <v>400</v>
      </c>
      <c r="AG289" s="46">
        <v>400</v>
      </c>
      <c r="AH289" s="46">
        <v>400</v>
      </c>
      <c r="AI289" s="46">
        <v>400</v>
      </c>
      <c r="AJ289" s="46">
        <v>400</v>
      </c>
      <c r="AK289" s="47">
        <f t="shared" si="41"/>
        <v>4800</v>
      </c>
      <c r="AL289" s="46">
        <v>400</v>
      </c>
      <c r="AM289" s="46">
        <v>400</v>
      </c>
      <c r="AN289" s="46">
        <v>400</v>
      </c>
      <c r="AO289" s="46">
        <v>400</v>
      </c>
      <c r="AP289" s="46">
        <v>400</v>
      </c>
      <c r="AQ289" s="46">
        <v>400</v>
      </c>
      <c r="AR289" s="46">
        <v>400</v>
      </c>
      <c r="AS289" s="46">
        <v>400</v>
      </c>
      <c r="AT289" s="46">
        <v>400</v>
      </c>
      <c r="AU289" s="46">
        <v>400</v>
      </c>
      <c r="AV289" s="46">
        <v>400</v>
      </c>
      <c r="AW289" s="46">
        <v>400</v>
      </c>
      <c r="AX289" s="47">
        <f t="shared" si="42"/>
        <v>4800</v>
      </c>
      <c r="AY289" s="313">
        <f>SUMIF(Recibos!$D$4:$D$7493,Cobranza!$B289,Recibos!K$4:K$7493)</f>
        <v>400</v>
      </c>
      <c r="AZ289" s="313">
        <f>SUMIF(Recibos!$D$4:$D$7493,Cobranza!$B289,Recibos!L$4:L$7493)</f>
        <v>400</v>
      </c>
      <c r="BA289" s="313">
        <f>SUMIF(Recibos!$D$4:$D$7493,Cobranza!$B289,Recibos!M$4:M$7493)</f>
        <v>400</v>
      </c>
      <c r="BB289" s="313">
        <f>SUMIF(Recibos!$D$4:$D$7493,Cobranza!$B289,Recibos!N$4:N$7493)</f>
        <v>400</v>
      </c>
      <c r="BC289" s="313">
        <f>SUMIF(Recibos!$D$4:$D$7493,Cobranza!$B289,Recibos!O$4:O$7493)</f>
        <v>400</v>
      </c>
      <c r="BD289" s="313">
        <f>SUMIF(Recibos!$D$4:$D$7493,Cobranza!$B289,Recibos!P$4:P$7493)</f>
        <v>400</v>
      </c>
      <c r="BE289" s="313">
        <f>SUMIF(Recibos!$D$4:$D$7493,Cobranza!$B289,Recibos!Q$4:Q$7493)</f>
        <v>400</v>
      </c>
      <c r="BF289" s="313">
        <f>SUMIF(Recibos!$D$4:$D$7493,Cobranza!$B289,Recibos!R$4:R$7493)</f>
        <v>400</v>
      </c>
      <c r="BG289" s="313">
        <f>SUMIF(Recibos!$D$4:$D$7493,Cobranza!$B289,Recibos!S$4:S$7493)</f>
        <v>400</v>
      </c>
      <c r="BH289" s="313">
        <f>SUMIF(Recibos!$D$4:$D$7493,Cobranza!$B289,Recibos!T$4:T$7493)</f>
        <v>400</v>
      </c>
      <c r="BI289" s="313">
        <f>SUMIF(Recibos!$D$4:$D$7493,Cobranza!$B289,Recibos!U$4:U$7493)</f>
        <v>400</v>
      </c>
      <c r="BJ289" s="313">
        <f>SUMIF(Recibos!$D$4:$D$7493,Cobranza!$B289,Recibos!V$4:V$7493)</f>
        <v>400</v>
      </c>
      <c r="BK289" s="314">
        <f t="shared" si="43"/>
        <v>4800</v>
      </c>
      <c r="BL289" s="313">
        <f>SUMIF(Recibos!$D$4:$D$7493,Cobranza!$B289,Recibos!X$4:X$7493)</f>
        <v>400</v>
      </c>
      <c r="BM289" s="313">
        <f>SUMIF(Recibos!$D$4:$D$7493,Cobranza!$B289,Recibos!Y$4:Y$7493)</f>
        <v>400</v>
      </c>
      <c r="BN289" s="313">
        <f>SUMIF(Recibos!$D$4:$D$7493,Cobranza!$B289,Recibos!Z$4:Z$7493)</f>
        <v>400</v>
      </c>
      <c r="BO289" s="313">
        <f>SUMIF(Recibos!$D$4:$D$7493,Cobranza!$B289,Recibos!AA$4:AA$7493)</f>
        <v>400</v>
      </c>
      <c r="BP289" s="313">
        <f>SUMIF(Recibos!$D$4:$D$7493,Cobranza!$B289,Recibos!AB$4:AB$7493)</f>
        <v>400</v>
      </c>
      <c r="BQ289" s="313">
        <f>SUMIF(Recibos!$D$4:$D$7493,Cobranza!$B289,Recibos!AC$4:AC$7493)</f>
        <v>400</v>
      </c>
      <c r="BR289" s="313">
        <f>SUMIF(Recibos!$D$4:$D$7493,Cobranza!$B289,Recibos!AD$4:AD$7493)</f>
        <v>400</v>
      </c>
      <c r="BS289" s="313">
        <f>SUMIF(Recibos!$D$4:$D$7493,Cobranza!$B289,Recibos!AE$4:AE$7493)</f>
        <v>400</v>
      </c>
      <c r="BT289" s="313">
        <f>SUMIF(Recibos!$D$4:$D$7493,Cobranza!$B289,Recibos!AF$4:AF$7493)</f>
        <v>400</v>
      </c>
      <c r="BU289" s="313">
        <f>SUMIF(Recibos!$D$4:$D$7493,Cobranza!$B289,Recibos!AG$4:AG$7493)</f>
        <v>400</v>
      </c>
      <c r="BV289" s="313">
        <f>SUMIF(Recibos!$D$4:$D$7493,Cobranza!$B289,Recibos!AH$4:AH$7493)</f>
        <v>400</v>
      </c>
      <c r="BW289" s="313">
        <f>SUMIF(Recibos!$D$4:$D$7493,Cobranza!$B289,Recibos!AI$4:AI$7493)</f>
        <v>400</v>
      </c>
      <c r="BX289" s="314">
        <f t="shared" si="44"/>
        <v>4800</v>
      </c>
      <c r="BY289" s="313">
        <f>SUMIF(Recibos!$D$4:$D$7493,Cobranza!$B289,Recibos!AK$4:AK$7493)</f>
        <v>400</v>
      </c>
      <c r="BZ289" s="313">
        <f>SUMIF(Recibos!$D$4:$D$7493,Cobranza!$B289,Recibos!AL$4:AL$7493)</f>
        <v>400</v>
      </c>
      <c r="CA289" s="313">
        <f>SUMIF(Recibos!$D$4:$D$7493,Cobranza!$B289,Recibos!AM$4:AM$7493)</f>
        <v>400</v>
      </c>
      <c r="CB289" s="313">
        <f>SUMIF(Recibos!$D$4:$D$7493,Cobranza!$B289,Recibos!AN$4:AN$7493)</f>
        <v>400</v>
      </c>
      <c r="CC289" s="313">
        <f>SUMIF(Recibos!$D$4:$D$7493,Cobranza!$B289,Recibos!AO$4:AO$7493)</f>
        <v>400</v>
      </c>
      <c r="CD289" s="313">
        <f>SUMIF(Recibos!$D$4:$D$7493,Cobranza!$B289,Recibos!AP$4:AP$7493)</f>
        <v>400</v>
      </c>
      <c r="CE289" s="313">
        <f>SUMIF(Recibos!$D$4:$D$7493,Cobranza!$B289,Recibos!AQ$4:AQ$7493)</f>
        <v>400</v>
      </c>
      <c r="CF289" s="313">
        <f>SUMIF(Recibos!$D$4:$D$7493,Cobranza!$B289,Recibos!AR$4:AR$7493)</f>
        <v>400</v>
      </c>
      <c r="CG289" s="313">
        <f>SUMIF(Recibos!$D$4:$D$7493,Cobranza!$B289,Recibos!AS$4:AS$7493)</f>
        <v>400</v>
      </c>
      <c r="CH289" s="313">
        <f>SUMIF(Recibos!$D$4:$D$7493,Cobranza!$B289,Recibos!AT$4:AT$7493)</f>
        <v>400</v>
      </c>
      <c r="CI289" s="313">
        <f>SUMIF(Recibos!$D$4:$D$7493,Cobranza!$B289,Recibos!AU$4:AU$7493)</f>
        <v>0</v>
      </c>
      <c r="CJ289" s="313">
        <f>SUMIF(Recibos!$D$4:$D$7493,Cobranza!$B289,Recibos!AV$4:AV$7493)</f>
        <v>0</v>
      </c>
      <c r="CK289" s="314">
        <f t="shared" si="38"/>
        <v>4000</v>
      </c>
    </row>
    <row r="290" spans="2:89" x14ac:dyDescent="0.2">
      <c r="B290" s="42" t="s">
        <v>180</v>
      </c>
      <c r="C290" s="42" t="s">
        <v>181</v>
      </c>
      <c r="D290" s="42" t="s">
        <v>182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300</v>
      </c>
      <c r="K290" s="44">
        <f t="shared" si="39"/>
        <v>300</v>
      </c>
      <c r="L290" s="43">
        <v>300</v>
      </c>
      <c r="M290" s="43">
        <v>300</v>
      </c>
      <c r="N290" s="43">
        <v>300</v>
      </c>
      <c r="O290" s="43">
        <v>300</v>
      </c>
      <c r="P290" s="43">
        <v>300</v>
      </c>
      <c r="Q290" s="43">
        <v>300</v>
      </c>
      <c r="R290" s="43">
        <v>0</v>
      </c>
      <c r="S290" s="43">
        <v>300</v>
      </c>
      <c r="T290" s="43">
        <v>300</v>
      </c>
      <c r="U290" s="43">
        <v>400</v>
      </c>
      <c r="V290" s="43">
        <v>400</v>
      </c>
      <c r="W290" s="43">
        <v>400</v>
      </c>
      <c r="X290" s="44">
        <f t="shared" si="40"/>
        <v>3600</v>
      </c>
      <c r="Y290" s="43">
        <v>400</v>
      </c>
      <c r="Z290" s="43">
        <v>400</v>
      </c>
      <c r="AA290" s="43">
        <v>400</v>
      </c>
      <c r="AB290" s="43">
        <v>600</v>
      </c>
      <c r="AC290" s="43">
        <v>200</v>
      </c>
      <c r="AD290" s="43">
        <v>400</v>
      </c>
      <c r="AE290" s="43">
        <v>400</v>
      </c>
      <c r="AF290" s="43">
        <v>400</v>
      </c>
      <c r="AG290" s="43">
        <v>400</v>
      </c>
      <c r="AH290" s="43">
        <v>400</v>
      </c>
      <c r="AI290" s="43">
        <v>400</v>
      </c>
      <c r="AJ290" s="43">
        <v>400</v>
      </c>
      <c r="AK290" s="44">
        <f t="shared" si="41"/>
        <v>4800</v>
      </c>
      <c r="AL290" s="43">
        <v>400</v>
      </c>
      <c r="AM290" s="43">
        <v>400</v>
      </c>
      <c r="AN290" s="43">
        <v>400</v>
      </c>
      <c r="AO290" s="43">
        <v>400</v>
      </c>
      <c r="AP290" s="43">
        <v>400</v>
      </c>
      <c r="AQ290" s="43">
        <v>400</v>
      </c>
      <c r="AR290" s="43">
        <v>400</v>
      </c>
      <c r="AS290" s="43">
        <v>400</v>
      </c>
      <c r="AT290" s="43">
        <v>400</v>
      </c>
      <c r="AU290" s="43">
        <v>400</v>
      </c>
      <c r="AV290" s="43">
        <v>400</v>
      </c>
      <c r="AW290" s="43">
        <v>400</v>
      </c>
      <c r="AX290" s="44">
        <f t="shared" si="42"/>
        <v>4800</v>
      </c>
      <c r="AY290" s="311">
        <f>SUMIF(Recibos!$D$4:$D$7493,Cobranza!$B290,Recibos!K$4:K$7493)</f>
        <v>400</v>
      </c>
      <c r="AZ290" s="311">
        <f>SUMIF(Recibos!$D$4:$D$7493,Cobranza!$B290,Recibos!L$4:L$7493)</f>
        <v>400</v>
      </c>
      <c r="BA290" s="311">
        <f>SUMIF(Recibos!$D$4:$D$7493,Cobranza!$B290,Recibos!M$4:M$7493)</f>
        <v>400</v>
      </c>
      <c r="BB290" s="311">
        <f>SUMIF(Recibos!$D$4:$D$7493,Cobranza!$B290,Recibos!N$4:N$7493)</f>
        <v>400</v>
      </c>
      <c r="BC290" s="311">
        <f>SUMIF(Recibos!$D$4:$D$7493,Cobranza!$B290,Recibos!O$4:O$7493)</f>
        <v>400</v>
      </c>
      <c r="BD290" s="311">
        <f>SUMIF(Recibos!$D$4:$D$7493,Cobranza!$B290,Recibos!P$4:P$7493)</f>
        <v>400</v>
      </c>
      <c r="BE290" s="311">
        <f>SUMIF(Recibos!$D$4:$D$7493,Cobranza!$B290,Recibos!Q$4:Q$7493)</f>
        <v>400</v>
      </c>
      <c r="BF290" s="311">
        <f>SUMIF(Recibos!$D$4:$D$7493,Cobranza!$B290,Recibos!R$4:R$7493)</f>
        <v>400</v>
      </c>
      <c r="BG290" s="311">
        <f>SUMIF(Recibos!$D$4:$D$7493,Cobranza!$B290,Recibos!S$4:S$7493)</f>
        <v>400</v>
      </c>
      <c r="BH290" s="311">
        <f>SUMIF(Recibos!$D$4:$D$7493,Cobranza!$B290,Recibos!T$4:T$7493)</f>
        <v>400</v>
      </c>
      <c r="BI290" s="311">
        <f>SUMIF(Recibos!$D$4:$D$7493,Cobranza!$B290,Recibos!U$4:U$7493)</f>
        <v>400</v>
      </c>
      <c r="BJ290" s="311">
        <f>SUMIF(Recibos!$D$4:$D$7493,Cobranza!$B290,Recibos!V$4:V$7493)</f>
        <v>400</v>
      </c>
      <c r="BK290" s="312">
        <f t="shared" si="43"/>
        <v>4800</v>
      </c>
      <c r="BL290" s="311">
        <f>SUMIF(Recibos!$D$4:$D$7493,Cobranza!$B290,Recibos!X$4:X$7493)</f>
        <v>400</v>
      </c>
      <c r="BM290" s="311">
        <f>SUMIF(Recibos!$D$4:$D$7493,Cobranza!$B290,Recibos!Y$4:Y$7493)</f>
        <v>0</v>
      </c>
      <c r="BN290" s="311">
        <f>SUMIF(Recibos!$D$4:$D$7493,Cobranza!$B290,Recibos!Z$4:Z$7493)</f>
        <v>400</v>
      </c>
      <c r="BO290" s="311">
        <f>SUMIF(Recibos!$D$4:$D$7493,Cobranza!$B290,Recibos!AA$4:AA$7493)</f>
        <v>400</v>
      </c>
      <c r="BP290" s="311">
        <f>SUMIF(Recibos!$D$4:$D$7493,Cobranza!$B290,Recibos!AB$4:AB$7493)</f>
        <v>400</v>
      </c>
      <c r="BQ290" s="311">
        <f>SUMIF(Recibos!$D$4:$D$7493,Cobranza!$B290,Recibos!AC$4:AC$7493)</f>
        <v>400</v>
      </c>
      <c r="BR290" s="311">
        <f>SUMIF(Recibos!$D$4:$D$7493,Cobranza!$B290,Recibos!AD$4:AD$7493)</f>
        <v>400</v>
      </c>
      <c r="BS290" s="311">
        <f>SUMIF(Recibos!$D$4:$D$7493,Cobranza!$B290,Recibos!AE$4:AE$7493)</f>
        <v>400</v>
      </c>
      <c r="BT290" s="311">
        <f>SUMIF(Recibos!$D$4:$D$7493,Cobranza!$B290,Recibos!AF$4:AF$7493)</f>
        <v>400</v>
      </c>
      <c r="BU290" s="311">
        <f>SUMIF(Recibos!$D$4:$D$7493,Cobranza!$B290,Recibos!AG$4:AG$7493)</f>
        <v>400</v>
      </c>
      <c r="BV290" s="311">
        <f>SUMIF(Recibos!$D$4:$D$7493,Cobranza!$B290,Recibos!AH$4:AH$7493)</f>
        <v>400</v>
      </c>
      <c r="BW290" s="311">
        <f>SUMIF(Recibos!$D$4:$D$7493,Cobranza!$B290,Recibos!AI$4:AI$7493)</f>
        <v>400</v>
      </c>
      <c r="BX290" s="312">
        <f t="shared" si="44"/>
        <v>4400</v>
      </c>
      <c r="BY290" s="311">
        <f>SUMIF(Recibos!$D$4:$D$7493,Cobranza!$B290,Recibos!AK$4:AK$7493)</f>
        <v>400</v>
      </c>
      <c r="BZ290" s="311">
        <f>SUMIF(Recibos!$D$4:$D$7493,Cobranza!$B290,Recibos!AL$4:AL$7493)</f>
        <v>400</v>
      </c>
      <c r="CA290" s="311">
        <f>SUMIF(Recibos!$D$4:$D$7493,Cobranza!$B290,Recibos!AM$4:AM$7493)</f>
        <v>400</v>
      </c>
      <c r="CB290" s="311">
        <f>SUMIF(Recibos!$D$4:$D$7493,Cobranza!$B290,Recibos!AN$4:AN$7493)</f>
        <v>400</v>
      </c>
      <c r="CC290" s="311">
        <f>SUMIF(Recibos!$D$4:$D$7493,Cobranza!$B290,Recibos!AO$4:AO$7493)</f>
        <v>400</v>
      </c>
      <c r="CD290" s="311">
        <f>SUMIF(Recibos!$D$4:$D$7493,Cobranza!$B290,Recibos!AP$4:AP$7493)</f>
        <v>400</v>
      </c>
      <c r="CE290" s="311">
        <f>SUMIF(Recibos!$D$4:$D$7493,Cobranza!$B290,Recibos!AQ$4:AQ$7493)</f>
        <v>400</v>
      </c>
      <c r="CF290" s="311">
        <f>SUMIF(Recibos!$D$4:$D$7493,Cobranza!$B290,Recibos!AR$4:AR$7493)</f>
        <v>400</v>
      </c>
      <c r="CG290" s="311">
        <f>SUMIF(Recibos!$D$4:$D$7493,Cobranza!$B290,Recibos!AS$4:AS$7493)</f>
        <v>400</v>
      </c>
      <c r="CH290" s="311">
        <f>SUMIF(Recibos!$D$4:$D$7493,Cobranza!$B290,Recibos!AT$4:AT$7493)</f>
        <v>400</v>
      </c>
      <c r="CI290" s="311">
        <f>SUMIF(Recibos!$D$4:$D$7493,Cobranza!$B290,Recibos!AU$4:AU$7493)</f>
        <v>400</v>
      </c>
      <c r="CJ290" s="311">
        <f>SUMIF(Recibos!$D$4:$D$7493,Cobranza!$B290,Recibos!AV$4:AV$7493)</f>
        <v>0</v>
      </c>
      <c r="CK290" s="312">
        <f t="shared" si="38"/>
        <v>4400</v>
      </c>
    </row>
    <row r="291" spans="2:89" x14ac:dyDescent="0.2">
      <c r="B291" s="45" t="s">
        <v>905</v>
      </c>
      <c r="C291" s="45" t="s">
        <v>906</v>
      </c>
      <c r="D291" s="45" t="s">
        <v>907</v>
      </c>
      <c r="E291" s="46">
        <v>0</v>
      </c>
      <c r="F291" s="46">
        <v>0</v>
      </c>
      <c r="G291" s="46">
        <v>0</v>
      </c>
      <c r="H291" s="46">
        <v>0</v>
      </c>
      <c r="I291" s="46">
        <v>0</v>
      </c>
      <c r="J291" s="46">
        <v>0</v>
      </c>
      <c r="K291" s="47">
        <f t="shared" si="39"/>
        <v>0</v>
      </c>
      <c r="L291" s="46">
        <v>0</v>
      </c>
      <c r="M291" s="46">
        <v>0</v>
      </c>
      <c r="N291" s="46">
        <v>0</v>
      </c>
      <c r="O291" s="46">
        <v>0</v>
      </c>
      <c r="P291" s="46">
        <v>0</v>
      </c>
      <c r="Q291" s="46">
        <v>0</v>
      </c>
      <c r="R291" s="46">
        <v>0</v>
      </c>
      <c r="S291" s="46">
        <v>0</v>
      </c>
      <c r="T291" s="46">
        <v>0</v>
      </c>
      <c r="U291" s="46">
        <v>0</v>
      </c>
      <c r="V291" s="46">
        <v>0</v>
      </c>
      <c r="W291" s="46">
        <v>0</v>
      </c>
      <c r="X291" s="47">
        <f t="shared" si="40"/>
        <v>0</v>
      </c>
      <c r="Y291" s="46">
        <v>0</v>
      </c>
      <c r="Z291" s="46">
        <v>0</v>
      </c>
      <c r="AA291" s="46">
        <v>200</v>
      </c>
      <c r="AB291" s="46">
        <v>200</v>
      </c>
      <c r="AC291" s="46">
        <v>200</v>
      </c>
      <c r="AD291" s="46">
        <v>0</v>
      </c>
      <c r="AE291" s="46">
        <v>200</v>
      </c>
      <c r="AF291" s="46">
        <v>200</v>
      </c>
      <c r="AG291" s="46">
        <v>220</v>
      </c>
      <c r="AH291" s="46">
        <v>200</v>
      </c>
      <c r="AI291" s="46">
        <v>200</v>
      </c>
      <c r="AJ291" s="46">
        <v>200</v>
      </c>
      <c r="AK291" s="47">
        <f t="shared" si="41"/>
        <v>1820</v>
      </c>
      <c r="AL291" s="46">
        <v>200</v>
      </c>
      <c r="AM291" s="46">
        <v>200</v>
      </c>
      <c r="AN291" s="46">
        <v>200</v>
      </c>
      <c r="AO291" s="46">
        <v>200</v>
      </c>
      <c r="AP291" s="46">
        <v>200</v>
      </c>
      <c r="AQ291" s="46">
        <v>0</v>
      </c>
      <c r="AR291" s="46">
        <v>0</v>
      </c>
      <c r="AS291" s="46">
        <v>0</v>
      </c>
      <c r="AT291" s="46">
        <v>0</v>
      </c>
      <c r="AU291" s="46">
        <v>0</v>
      </c>
      <c r="AV291" s="46">
        <v>0</v>
      </c>
      <c r="AW291" s="46">
        <v>0</v>
      </c>
      <c r="AX291" s="47">
        <f t="shared" si="42"/>
        <v>1000</v>
      </c>
      <c r="AY291" s="313">
        <f>SUMIF(Recibos!$D$4:$D$7493,Cobranza!$B291,Recibos!K$4:K$7493)</f>
        <v>0</v>
      </c>
      <c r="AZ291" s="313">
        <f>SUMIF(Recibos!$D$4:$D$7493,Cobranza!$B291,Recibos!L$4:L$7493)</f>
        <v>0</v>
      </c>
      <c r="BA291" s="313">
        <f>SUMIF(Recibos!$D$4:$D$7493,Cobranza!$B291,Recibos!M$4:M$7493)</f>
        <v>0</v>
      </c>
      <c r="BB291" s="313">
        <f>SUMIF(Recibos!$D$4:$D$7493,Cobranza!$B291,Recibos!N$4:N$7493)</f>
        <v>200</v>
      </c>
      <c r="BC291" s="313">
        <f>SUMIF(Recibos!$D$4:$D$7493,Cobranza!$B291,Recibos!O$4:O$7493)</f>
        <v>200</v>
      </c>
      <c r="BD291" s="313">
        <f>SUMIF(Recibos!$D$4:$D$7493,Cobranza!$B291,Recibos!P$4:P$7493)</f>
        <v>200</v>
      </c>
      <c r="BE291" s="313">
        <f>SUMIF(Recibos!$D$4:$D$7493,Cobranza!$B291,Recibos!Q$4:Q$7493)</f>
        <v>200</v>
      </c>
      <c r="BF291" s="313">
        <f>SUMIF(Recibos!$D$4:$D$7493,Cobranza!$B291,Recibos!R$4:R$7493)</f>
        <v>200</v>
      </c>
      <c r="BG291" s="313">
        <f>SUMIF(Recibos!$D$4:$D$7493,Cobranza!$B291,Recibos!S$4:S$7493)</f>
        <v>200</v>
      </c>
      <c r="BH291" s="313">
        <f>SUMIF(Recibos!$D$4:$D$7493,Cobranza!$B291,Recibos!T$4:T$7493)</f>
        <v>200</v>
      </c>
      <c r="BI291" s="313">
        <f>SUMIF(Recibos!$D$4:$D$7493,Cobranza!$B291,Recibos!U$4:U$7493)</f>
        <v>200</v>
      </c>
      <c r="BJ291" s="313">
        <f>SUMIF(Recibos!$D$4:$D$7493,Cobranza!$B291,Recibos!V$4:V$7493)</f>
        <v>200</v>
      </c>
      <c r="BK291" s="314">
        <f t="shared" si="43"/>
        <v>1800</v>
      </c>
      <c r="BL291" s="313">
        <f>SUMIF(Recibos!$D$4:$D$7493,Cobranza!$B291,Recibos!X$4:X$7493)</f>
        <v>200</v>
      </c>
      <c r="BM291" s="313">
        <f>SUMIF(Recibos!$D$4:$D$7493,Cobranza!$B291,Recibos!Y$4:Y$7493)</f>
        <v>200</v>
      </c>
      <c r="BN291" s="313">
        <f>SUMIF(Recibos!$D$4:$D$7493,Cobranza!$B291,Recibos!Z$4:Z$7493)</f>
        <v>200</v>
      </c>
      <c r="BO291" s="313">
        <f>SUMIF(Recibos!$D$4:$D$7493,Cobranza!$B291,Recibos!AA$4:AA$7493)</f>
        <v>200</v>
      </c>
      <c r="BP291" s="313">
        <f>SUMIF(Recibos!$D$4:$D$7493,Cobranza!$B291,Recibos!AB$4:AB$7493)</f>
        <v>200</v>
      </c>
      <c r="BQ291" s="313">
        <f>SUMIF(Recibos!$D$4:$D$7493,Cobranza!$B291,Recibos!AC$4:AC$7493)</f>
        <v>200</v>
      </c>
      <c r="BR291" s="313">
        <f>SUMIF(Recibos!$D$4:$D$7493,Cobranza!$B291,Recibos!AD$4:AD$7493)</f>
        <v>200</v>
      </c>
      <c r="BS291" s="313">
        <f>SUMIF(Recibos!$D$4:$D$7493,Cobranza!$B291,Recibos!AE$4:AE$7493)</f>
        <v>200</v>
      </c>
      <c r="BT291" s="313">
        <f>SUMIF(Recibos!$D$4:$D$7493,Cobranza!$B291,Recibos!AF$4:AF$7493)</f>
        <v>200</v>
      </c>
      <c r="BU291" s="313">
        <f>SUMIF(Recibos!$D$4:$D$7493,Cobranza!$B291,Recibos!AG$4:AG$7493)</f>
        <v>200</v>
      </c>
      <c r="BV291" s="313">
        <f>SUMIF(Recibos!$D$4:$D$7493,Cobranza!$B291,Recibos!AH$4:AH$7493)</f>
        <v>200</v>
      </c>
      <c r="BW291" s="313">
        <f>SUMIF(Recibos!$D$4:$D$7493,Cobranza!$B291,Recibos!AI$4:AI$7493)</f>
        <v>200</v>
      </c>
      <c r="BX291" s="314">
        <f t="shared" si="44"/>
        <v>2400</v>
      </c>
      <c r="BY291" s="313">
        <f>SUMIF(Recibos!$D$4:$D$7493,Cobranza!$B291,Recibos!AK$4:AK$7493)</f>
        <v>200</v>
      </c>
      <c r="BZ291" s="313">
        <f>SUMIF(Recibos!$D$4:$D$7493,Cobranza!$B291,Recibos!AL$4:AL$7493)</f>
        <v>200</v>
      </c>
      <c r="CA291" s="313">
        <f>SUMIF(Recibos!$D$4:$D$7493,Cobranza!$B291,Recibos!AM$4:AM$7493)</f>
        <v>200</v>
      </c>
      <c r="CB291" s="313">
        <f>SUMIF(Recibos!$D$4:$D$7493,Cobranza!$B291,Recibos!AN$4:AN$7493)</f>
        <v>200</v>
      </c>
      <c r="CC291" s="313">
        <f>SUMIF(Recibos!$D$4:$D$7493,Cobranza!$B291,Recibos!AO$4:AO$7493)</f>
        <v>200</v>
      </c>
      <c r="CD291" s="313">
        <f>SUMIF(Recibos!$D$4:$D$7493,Cobranza!$B291,Recibos!AP$4:AP$7493)</f>
        <v>200</v>
      </c>
      <c r="CE291" s="313">
        <f>SUMIF(Recibos!$D$4:$D$7493,Cobranza!$B291,Recibos!AQ$4:AQ$7493)</f>
        <v>200</v>
      </c>
      <c r="CF291" s="313">
        <f>SUMIF(Recibos!$D$4:$D$7493,Cobranza!$B291,Recibos!AR$4:AR$7493)</f>
        <v>0</v>
      </c>
      <c r="CG291" s="313">
        <f>SUMIF(Recibos!$D$4:$D$7493,Cobranza!$B291,Recibos!AS$4:AS$7493)</f>
        <v>0</v>
      </c>
      <c r="CH291" s="313">
        <f>SUMIF(Recibos!$D$4:$D$7493,Cobranza!$B291,Recibos!AT$4:AT$7493)</f>
        <v>0</v>
      </c>
      <c r="CI291" s="313">
        <f>SUMIF(Recibos!$D$4:$D$7493,Cobranza!$B291,Recibos!AU$4:AU$7493)</f>
        <v>0</v>
      </c>
      <c r="CJ291" s="313">
        <f>SUMIF(Recibos!$D$4:$D$7493,Cobranza!$B291,Recibos!AV$4:AV$7493)</f>
        <v>0</v>
      </c>
      <c r="CK291" s="314">
        <f t="shared" si="38"/>
        <v>1400</v>
      </c>
    </row>
    <row r="292" spans="2:89" x14ac:dyDescent="0.2">
      <c r="B292" s="42" t="s">
        <v>307</v>
      </c>
      <c r="C292" s="42" t="s">
        <v>308</v>
      </c>
      <c r="D292" s="42" t="s">
        <v>309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300</v>
      </c>
      <c r="K292" s="44">
        <f t="shared" si="39"/>
        <v>300</v>
      </c>
      <c r="L292" s="43">
        <v>300</v>
      </c>
      <c r="M292" s="43">
        <v>300</v>
      </c>
      <c r="N292" s="43">
        <v>300</v>
      </c>
      <c r="O292" s="43">
        <v>300</v>
      </c>
      <c r="P292" s="43">
        <v>300</v>
      </c>
      <c r="Q292" s="43">
        <v>300</v>
      </c>
      <c r="R292" s="43">
        <v>300</v>
      </c>
      <c r="S292" s="43">
        <v>300</v>
      </c>
      <c r="T292" s="43">
        <v>300</v>
      </c>
      <c r="U292" s="43">
        <v>350</v>
      </c>
      <c r="V292" s="43">
        <v>350</v>
      </c>
      <c r="W292" s="43">
        <v>350</v>
      </c>
      <c r="X292" s="44">
        <f t="shared" si="40"/>
        <v>3750</v>
      </c>
      <c r="Y292" s="43">
        <v>350</v>
      </c>
      <c r="Z292" s="43">
        <v>350</v>
      </c>
      <c r="AA292" s="43">
        <v>350</v>
      </c>
      <c r="AB292" s="43">
        <v>350</v>
      </c>
      <c r="AC292" s="43">
        <v>350</v>
      </c>
      <c r="AD292" s="43">
        <v>350</v>
      </c>
      <c r="AE292" s="43">
        <v>350</v>
      </c>
      <c r="AF292" s="43">
        <v>350</v>
      </c>
      <c r="AG292" s="43">
        <v>350</v>
      </c>
      <c r="AH292" s="43">
        <v>350</v>
      </c>
      <c r="AI292" s="43">
        <v>350</v>
      </c>
      <c r="AJ292" s="43">
        <v>350</v>
      </c>
      <c r="AK292" s="44">
        <f t="shared" si="41"/>
        <v>4200</v>
      </c>
      <c r="AL292" s="43">
        <v>350</v>
      </c>
      <c r="AM292" s="43">
        <v>350</v>
      </c>
      <c r="AN292" s="43">
        <v>350</v>
      </c>
      <c r="AO292" s="43">
        <v>350</v>
      </c>
      <c r="AP292" s="43">
        <v>350</v>
      </c>
      <c r="AQ292" s="43">
        <v>350</v>
      </c>
      <c r="AR292" s="43">
        <v>350</v>
      </c>
      <c r="AS292" s="43">
        <v>350</v>
      </c>
      <c r="AT292" s="43">
        <v>350</v>
      </c>
      <c r="AU292" s="43">
        <v>350</v>
      </c>
      <c r="AV292" s="43">
        <v>350</v>
      </c>
      <c r="AW292" s="43">
        <v>350</v>
      </c>
      <c r="AX292" s="44">
        <f t="shared" si="42"/>
        <v>4200</v>
      </c>
      <c r="AY292" s="311">
        <f>SUMIF(Recibos!$D$4:$D$7493,Cobranza!$B292,Recibos!K$4:K$7493)</f>
        <v>350</v>
      </c>
      <c r="AZ292" s="311">
        <f>SUMIF(Recibos!$D$4:$D$7493,Cobranza!$B292,Recibos!L$4:L$7493)</f>
        <v>350</v>
      </c>
      <c r="BA292" s="311">
        <f>SUMIF(Recibos!$D$4:$D$7493,Cobranza!$B292,Recibos!M$4:M$7493)</f>
        <v>350</v>
      </c>
      <c r="BB292" s="311">
        <f>SUMIF(Recibos!$D$4:$D$7493,Cobranza!$B292,Recibos!N$4:N$7493)</f>
        <v>350</v>
      </c>
      <c r="BC292" s="311">
        <f>SUMIF(Recibos!$D$4:$D$7493,Cobranza!$B292,Recibos!O$4:O$7493)</f>
        <v>350</v>
      </c>
      <c r="BD292" s="311">
        <f>SUMIF(Recibos!$D$4:$D$7493,Cobranza!$B292,Recibos!P$4:P$7493)</f>
        <v>350</v>
      </c>
      <c r="BE292" s="311">
        <f>SUMIF(Recibos!$D$4:$D$7493,Cobranza!$B292,Recibos!Q$4:Q$7493)</f>
        <v>350</v>
      </c>
      <c r="BF292" s="311">
        <f>SUMIF(Recibos!$D$4:$D$7493,Cobranza!$B292,Recibos!R$4:R$7493)</f>
        <v>350</v>
      </c>
      <c r="BG292" s="311">
        <f>SUMIF(Recibos!$D$4:$D$7493,Cobranza!$B292,Recibos!S$4:S$7493)</f>
        <v>350</v>
      </c>
      <c r="BH292" s="311">
        <f>SUMIF(Recibos!$D$4:$D$7493,Cobranza!$B292,Recibos!T$4:T$7493)</f>
        <v>350</v>
      </c>
      <c r="BI292" s="311">
        <f>SUMIF(Recibos!$D$4:$D$7493,Cobranza!$B292,Recibos!U$4:U$7493)</f>
        <v>350</v>
      </c>
      <c r="BJ292" s="311">
        <f>SUMIF(Recibos!$D$4:$D$7493,Cobranza!$B292,Recibos!V$4:V$7493)</f>
        <v>350</v>
      </c>
      <c r="BK292" s="312">
        <f t="shared" si="43"/>
        <v>4200</v>
      </c>
      <c r="BL292" s="311">
        <f>SUMIF(Recibos!$D$4:$D$7493,Cobranza!$B292,Recibos!X$4:X$7493)</f>
        <v>350</v>
      </c>
      <c r="BM292" s="311">
        <f>SUMIF(Recibos!$D$4:$D$7493,Cobranza!$B292,Recibos!Y$4:Y$7493)</f>
        <v>350</v>
      </c>
      <c r="BN292" s="311">
        <f>SUMIF(Recibos!$D$4:$D$7493,Cobranza!$B292,Recibos!Z$4:Z$7493)</f>
        <v>350</v>
      </c>
      <c r="BO292" s="311">
        <f>SUMIF(Recibos!$D$4:$D$7493,Cobranza!$B292,Recibos!AA$4:AA$7493)</f>
        <v>350</v>
      </c>
      <c r="BP292" s="311">
        <f>SUMIF(Recibos!$D$4:$D$7493,Cobranza!$B292,Recibos!AB$4:AB$7493)</f>
        <v>350</v>
      </c>
      <c r="BQ292" s="311">
        <f>SUMIF(Recibos!$D$4:$D$7493,Cobranza!$B292,Recibos!AC$4:AC$7493)</f>
        <v>350</v>
      </c>
      <c r="BR292" s="311">
        <f>SUMIF(Recibos!$D$4:$D$7493,Cobranza!$B292,Recibos!AD$4:AD$7493)</f>
        <v>300</v>
      </c>
      <c r="BS292" s="311">
        <f>SUMIF(Recibos!$D$4:$D$7493,Cobranza!$B292,Recibos!AE$4:AE$7493)</f>
        <v>350</v>
      </c>
      <c r="BT292" s="311">
        <f>SUMIF(Recibos!$D$4:$D$7493,Cobranza!$B292,Recibos!AF$4:AF$7493)</f>
        <v>350</v>
      </c>
      <c r="BU292" s="311">
        <f>SUMIF(Recibos!$D$4:$D$7493,Cobranza!$B292,Recibos!AG$4:AG$7493)</f>
        <v>350</v>
      </c>
      <c r="BV292" s="311">
        <f>SUMIF(Recibos!$D$4:$D$7493,Cobranza!$B292,Recibos!AH$4:AH$7493)</f>
        <v>350</v>
      </c>
      <c r="BW292" s="311">
        <f>SUMIF(Recibos!$D$4:$D$7493,Cobranza!$B292,Recibos!AI$4:AI$7493)</f>
        <v>350</v>
      </c>
      <c r="BX292" s="312">
        <f t="shared" si="44"/>
        <v>4150</v>
      </c>
      <c r="BY292" s="311">
        <f>SUMIF(Recibos!$D$4:$D$7493,Cobranza!$B292,Recibos!AK$4:AK$7493)</f>
        <v>350</v>
      </c>
      <c r="BZ292" s="311">
        <f>SUMIF(Recibos!$D$4:$D$7493,Cobranza!$B292,Recibos!AL$4:AL$7493)</f>
        <v>350</v>
      </c>
      <c r="CA292" s="311">
        <f>SUMIF(Recibos!$D$4:$D$7493,Cobranza!$B292,Recibos!AM$4:AM$7493)</f>
        <v>350</v>
      </c>
      <c r="CB292" s="311">
        <f>SUMIF(Recibos!$D$4:$D$7493,Cobranza!$B292,Recibos!AN$4:AN$7493)</f>
        <v>350</v>
      </c>
      <c r="CC292" s="311">
        <f>SUMIF(Recibos!$D$4:$D$7493,Cobranza!$B292,Recibos!AO$4:AO$7493)</f>
        <v>350</v>
      </c>
      <c r="CD292" s="311">
        <f>SUMIF(Recibos!$D$4:$D$7493,Cobranza!$B292,Recibos!AP$4:AP$7493)</f>
        <v>350</v>
      </c>
      <c r="CE292" s="311">
        <f>SUMIF(Recibos!$D$4:$D$7493,Cobranza!$B292,Recibos!AQ$4:AQ$7493)</f>
        <v>350</v>
      </c>
      <c r="CF292" s="311">
        <f>SUMIF(Recibos!$D$4:$D$7493,Cobranza!$B292,Recibos!AR$4:AR$7493)</f>
        <v>350</v>
      </c>
      <c r="CG292" s="311">
        <f>SUMIF(Recibos!$D$4:$D$7493,Cobranza!$B292,Recibos!AS$4:AS$7493)</f>
        <v>350</v>
      </c>
      <c r="CH292" s="311">
        <f>SUMIF(Recibos!$D$4:$D$7493,Cobranza!$B292,Recibos!AT$4:AT$7493)</f>
        <v>350</v>
      </c>
      <c r="CI292" s="311">
        <f>SUMIF(Recibos!$D$4:$D$7493,Cobranza!$B292,Recibos!AU$4:AU$7493)</f>
        <v>0</v>
      </c>
      <c r="CJ292" s="311">
        <f>SUMIF(Recibos!$D$4:$D$7493,Cobranza!$B292,Recibos!AV$4:AV$7493)</f>
        <v>0</v>
      </c>
      <c r="CK292" s="312">
        <f t="shared" si="38"/>
        <v>3500</v>
      </c>
    </row>
    <row r="293" spans="2:89" x14ac:dyDescent="0.2">
      <c r="B293" s="45" t="s">
        <v>646</v>
      </c>
      <c r="C293" s="45" t="s">
        <v>647</v>
      </c>
      <c r="D293" s="45" t="s">
        <v>648</v>
      </c>
      <c r="E293" s="46">
        <v>0</v>
      </c>
      <c r="F293" s="46">
        <v>0</v>
      </c>
      <c r="G293" s="46">
        <v>0</v>
      </c>
      <c r="H293" s="46">
        <v>0</v>
      </c>
      <c r="I293" s="46">
        <v>0</v>
      </c>
      <c r="J293" s="46">
        <v>300</v>
      </c>
      <c r="K293" s="47">
        <f t="shared" si="39"/>
        <v>300</v>
      </c>
      <c r="L293" s="46">
        <v>300</v>
      </c>
      <c r="M293" s="46">
        <v>300</v>
      </c>
      <c r="N293" s="46">
        <v>300</v>
      </c>
      <c r="O293" s="46">
        <v>300</v>
      </c>
      <c r="P293" s="46">
        <v>300</v>
      </c>
      <c r="Q293" s="46">
        <v>300</v>
      </c>
      <c r="R293" s="46">
        <v>300</v>
      </c>
      <c r="S293" s="46">
        <v>300</v>
      </c>
      <c r="T293" s="46">
        <v>300</v>
      </c>
      <c r="U293" s="46">
        <v>300</v>
      </c>
      <c r="V293" s="46">
        <v>300</v>
      </c>
      <c r="W293" s="46">
        <v>300</v>
      </c>
      <c r="X293" s="47">
        <f t="shared" si="40"/>
        <v>3600</v>
      </c>
      <c r="Y293" s="46">
        <v>400</v>
      </c>
      <c r="Z293" s="46">
        <v>400</v>
      </c>
      <c r="AA293" s="46">
        <v>400</v>
      </c>
      <c r="AB293" s="46">
        <v>400</v>
      </c>
      <c r="AC293" s="46">
        <v>400</v>
      </c>
      <c r="AD293" s="46">
        <v>400</v>
      </c>
      <c r="AE293" s="46">
        <v>400</v>
      </c>
      <c r="AF293" s="46">
        <v>400</v>
      </c>
      <c r="AG293" s="46">
        <v>400</v>
      </c>
      <c r="AH293" s="46">
        <v>400</v>
      </c>
      <c r="AI293" s="46">
        <v>400</v>
      </c>
      <c r="AJ293" s="46">
        <v>400</v>
      </c>
      <c r="AK293" s="47">
        <f t="shared" si="41"/>
        <v>4800</v>
      </c>
      <c r="AL293" s="46">
        <v>400</v>
      </c>
      <c r="AM293" s="46">
        <v>400</v>
      </c>
      <c r="AN293" s="46">
        <v>400</v>
      </c>
      <c r="AO293" s="46">
        <v>400</v>
      </c>
      <c r="AP293" s="46">
        <v>400</v>
      </c>
      <c r="AQ293" s="46">
        <v>400</v>
      </c>
      <c r="AR293" s="46">
        <v>400</v>
      </c>
      <c r="AS293" s="46">
        <v>400</v>
      </c>
      <c r="AT293" s="46">
        <v>400</v>
      </c>
      <c r="AU293" s="46">
        <v>400</v>
      </c>
      <c r="AV293" s="46">
        <v>400</v>
      </c>
      <c r="AW293" s="46">
        <v>400</v>
      </c>
      <c r="AX293" s="47">
        <f t="shared" si="42"/>
        <v>4800</v>
      </c>
      <c r="AY293" s="313">
        <f>SUMIF(Recibos!$D$4:$D$7493,Cobranza!$B293,Recibos!K$4:K$7493)</f>
        <v>400</v>
      </c>
      <c r="AZ293" s="313">
        <f>SUMIF(Recibos!$D$4:$D$7493,Cobranza!$B293,Recibos!L$4:L$7493)</f>
        <v>400</v>
      </c>
      <c r="BA293" s="313">
        <f>SUMIF(Recibos!$D$4:$D$7493,Cobranza!$B293,Recibos!M$4:M$7493)</f>
        <v>400</v>
      </c>
      <c r="BB293" s="313">
        <f>SUMIF(Recibos!$D$4:$D$7493,Cobranza!$B293,Recibos!N$4:N$7493)</f>
        <v>400</v>
      </c>
      <c r="BC293" s="313">
        <f>SUMIF(Recibos!$D$4:$D$7493,Cobranza!$B293,Recibos!O$4:O$7493)</f>
        <v>400</v>
      </c>
      <c r="BD293" s="313">
        <f>SUMIF(Recibos!$D$4:$D$7493,Cobranza!$B293,Recibos!P$4:P$7493)</f>
        <v>400</v>
      </c>
      <c r="BE293" s="313">
        <f>SUMIF(Recibos!$D$4:$D$7493,Cobranza!$B293,Recibos!Q$4:Q$7493)</f>
        <v>400</v>
      </c>
      <c r="BF293" s="313">
        <f>SUMIF(Recibos!$D$4:$D$7493,Cobranza!$B293,Recibos!R$4:R$7493)</f>
        <v>400</v>
      </c>
      <c r="BG293" s="313">
        <f>SUMIF(Recibos!$D$4:$D$7493,Cobranza!$B293,Recibos!S$4:S$7493)</f>
        <v>250</v>
      </c>
      <c r="BH293" s="313">
        <f>SUMIF(Recibos!$D$4:$D$7493,Cobranza!$B293,Recibos!T$4:T$7493)</f>
        <v>250</v>
      </c>
      <c r="BI293" s="313">
        <f>SUMIF(Recibos!$D$4:$D$7493,Cobranza!$B293,Recibos!U$4:U$7493)</f>
        <v>250</v>
      </c>
      <c r="BJ293" s="313">
        <f>SUMIF(Recibos!$D$4:$D$7493,Cobranza!$B293,Recibos!V$4:V$7493)</f>
        <v>250</v>
      </c>
      <c r="BK293" s="314">
        <f t="shared" si="43"/>
        <v>4200</v>
      </c>
      <c r="BL293" s="313">
        <f>SUMIF(Recibos!$D$4:$D$7493,Cobranza!$B293,Recibos!X$4:X$7493)</f>
        <v>250</v>
      </c>
      <c r="BM293" s="313">
        <f>SUMIF(Recibos!$D$4:$D$7493,Cobranza!$B293,Recibos!Y$4:Y$7493)</f>
        <v>250</v>
      </c>
      <c r="BN293" s="313">
        <f>SUMIF(Recibos!$D$4:$D$7493,Cobranza!$B293,Recibos!Z$4:Z$7493)</f>
        <v>250</v>
      </c>
      <c r="BO293" s="313">
        <f>SUMIF(Recibos!$D$4:$D$7493,Cobranza!$B293,Recibos!AA$4:AA$7493)</f>
        <v>250</v>
      </c>
      <c r="BP293" s="313">
        <f>SUMIF(Recibos!$D$4:$D$7493,Cobranza!$B293,Recibos!AB$4:AB$7493)</f>
        <v>250</v>
      </c>
      <c r="BQ293" s="313">
        <f>SUMIF(Recibos!$D$4:$D$7493,Cobranza!$B293,Recibos!AC$4:AC$7493)</f>
        <v>250</v>
      </c>
      <c r="BR293" s="313">
        <f>SUMIF(Recibos!$D$4:$D$7493,Cobranza!$B293,Recibos!AD$4:AD$7493)</f>
        <v>250</v>
      </c>
      <c r="BS293" s="313">
        <f>SUMIF(Recibos!$D$4:$D$7493,Cobranza!$B293,Recibos!AE$4:AE$7493)</f>
        <v>250</v>
      </c>
      <c r="BT293" s="313">
        <f>SUMIF(Recibos!$D$4:$D$7493,Cobranza!$B293,Recibos!AF$4:AF$7493)</f>
        <v>250</v>
      </c>
      <c r="BU293" s="313">
        <f>SUMIF(Recibos!$D$4:$D$7493,Cobranza!$B293,Recibos!AG$4:AG$7493)</f>
        <v>250</v>
      </c>
      <c r="BV293" s="313">
        <f>SUMIF(Recibos!$D$4:$D$7493,Cobranza!$B293,Recibos!AH$4:AH$7493)</f>
        <v>250</v>
      </c>
      <c r="BW293" s="313">
        <f>SUMIF(Recibos!$D$4:$D$7493,Cobranza!$B293,Recibos!AI$4:AI$7493)</f>
        <v>250</v>
      </c>
      <c r="BX293" s="314">
        <f t="shared" si="44"/>
        <v>3000</v>
      </c>
      <c r="BY293" s="313">
        <f>SUMIF(Recibos!$D$4:$D$7493,Cobranza!$B293,Recibos!AK$4:AK$7493)</f>
        <v>300</v>
      </c>
      <c r="BZ293" s="313">
        <f>SUMIF(Recibos!$D$4:$D$7493,Cobranza!$B293,Recibos!AL$4:AL$7493)</f>
        <v>300</v>
      </c>
      <c r="CA293" s="313">
        <f>SUMIF(Recibos!$D$4:$D$7493,Cobranza!$B293,Recibos!AM$4:AM$7493)</f>
        <v>300</v>
      </c>
      <c r="CB293" s="313">
        <f>SUMIF(Recibos!$D$4:$D$7493,Cobranza!$B293,Recibos!AN$4:AN$7493)</f>
        <v>300</v>
      </c>
      <c r="CC293" s="313">
        <f>SUMIF(Recibos!$D$4:$D$7493,Cobranza!$B293,Recibos!AO$4:AO$7493)</f>
        <v>300</v>
      </c>
      <c r="CD293" s="313">
        <f>SUMIF(Recibos!$D$4:$D$7493,Cobranza!$B293,Recibos!AP$4:AP$7493)</f>
        <v>300</v>
      </c>
      <c r="CE293" s="313">
        <f>SUMIF(Recibos!$D$4:$D$7493,Cobranza!$B293,Recibos!AQ$4:AQ$7493)</f>
        <v>300</v>
      </c>
      <c r="CF293" s="313">
        <f>SUMIF(Recibos!$D$4:$D$7493,Cobranza!$B293,Recibos!AR$4:AR$7493)</f>
        <v>300</v>
      </c>
      <c r="CG293" s="313">
        <f>SUMIF(Recibos!$D$4:$D$7493,Cobranza!$B293,Recibos!AS$4:AS$7493)</f>
        <v>300</v>
      </c>
      <c r="CH293" s="313">
        <f>SUMIF(Recibos!$D$4:$D$7493,Cobranza!$B293,Recibos!AT$4:AT$7493)</f>
        <v>300</v>
      </c>
      <c r="CI293" s="313">
        <f>SUMIF(Recibos!$D$4:$D$7493,Cobranza!$B293,Recibos!AU$4:AU$7493)</f>
        <v>0</v>
      </c>
      <c r="CJ293" s="313">
        <f>SUMIF(Recibos!$D$4:$D$7493,Cobranza!$B293,Recibos!AV$4:AV$7493)</f>
        <v>0</v>
      </c>
      <c r="CK293" s="314">
        <f t="shared" si="38"/>
        <v>3000</v>
      </c>
    </row>
    <row r="294" spans="2:89" x14ac:dyDescent="0.2">
      <c r="B294" s="42" t="s">
        <v>488</v>
      </c>
      <c r="C294" s="42" t="s">
        <v>489</v>
      </c>
      <c r="D294" s="42" t="s">
        <v>490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300</v>
      </c>
      <c r="K294" s="44">
        <f t="shared" si="39"/>
        <v>300</v>
      </c>
      <c r="L294" s="43">
        <v>300</v>
      </c>
      <c r="M294" s="43">
        <v>300</v>
      </c>
      <c r="N294" s="43">
        <v>300</v>
      </c>
      <c r="O294" s="43">
        <v>0</v>
      </c>
      <c r="P294" s="43">
        <v>0</v>
      </c>
      <c r="Q294" s="43">
        <v>600</v>
      </c>
      <c r="R294" s="43">
        <v>300</v>
      </c>
      <c r="S294" s="43">
        <v>300</v>
      </c>
      <c r="T294" s="43">
        <v>300</v>
      </c>
      <c r="U294" s="43">
        <v>400</v>
      </c>
      <c r="V294" s="43">
        <v>400</v>
      </c>
      <c r="W294" s="43">
        <v>400</v>
      </c>
      <c r="X294" s="44">
        <f t="shared" si="40"/>
        <v>3600</v>
      </c>
      <c r="Y294" s="43">
        <v>400</v>
      </c>
      <c r="Z294" s="43">
        <v>400</v>
      </c>
      <c r="AA294" s="43">
        <v>400</v>
      </c>
      <c r="AB294" s="43">
        <v>400</v>
      </c>
      <c r="AC294" s="43">
        <v>400</v>
      </c>
      <c r="AD294" s="43">
        <v>400</v>
      </c>
      <c r="AE294" s="43">
        <v>400</v>
      </c>
      <c r="AF294" s="43">
        <v>400</v>
      </c>
      <c r="AG294" s="43">
        <v>400</v>
      </c>
      <c r="AH294" s="43">
        <v>400</v>
      </c>
      <c r="AI294" s="43">
        <v>400</v>
      </c>
      <c r="AJ294" s="43">
        <v>400</v>
      </c>
      <c r="AK294" s="44">
        <f t="shared" si="41"/>
        <v>4800</v>
      </c>
      <c r="AL294" s="43">
        <v>400</v>
      </c>
      <c r="AM294" s="43">
        <v>400</v>
      </c>
      <c r="AN294" s="43">
        <v>400</v>
      </c>
      <c r="AO294" s="43">
        <v>400</v>
      </c>
      <c r="AP294" s="43">
        <v>400</v>
      </c>
      <c r="AQ294" s="43">
        <v>400</v>
      </c>
      <c r="AR294" s="43">
        <v>400</v>
      </c>
      <c r="AS294" s="43">
        <v>400</v>
      </c>
      <c r="AT294" s="43">
        <v>400</v>
      </c>
      <c r="AU294" s="43">
        <v>400</v>
      </c>
      <c r="AV294" s="43">
        <v>400</v>
      </c>
      <c r="AW294" s="43">
        <v>400</v>
      </c>
      <c r="AX294" s="44">
        <f t="shared" si="42"/>
        <v>4800</v>
      </c>
      <c r="AY294" s="311">
        <f>SUMIF(Recibos!$D$4:$D$7493,Cobranza!$B294,Recibos!K$4:K$7493)</f>
        <v>400</v>
      </c>
      <c r="AZ294" s="311">
        <f>SUMIF(Recibos!$D$4:$D$7493,Cobranza!$B294,Recibos!L$4:L$7493)</f>
        <v>400</v>
      </c>
      <c r="BA294" s="311">
        <f>SUMIF(Recibos!$D$4:$D$7493,Cobranza!$B294,Recibos!M$4:M$7493)</f>
        <v>400</v>
      </c>
      <c r="BB294" s="311">
        <f>SUMIF(Recibos!$D$4:$D$7493,Cobranza!$B294,Recibos!N$4:N$7493)</f>
        <v>400</v>
      </c>
      <c r="BC294" s="311">
        <f>SUMIF(Recibos!$D$4:$D$7493,Cobranza!$B294,Recibos!O$4:O$7493)</f>
        <v>400</v>
      </c>
      <c r="BD294" s="311">
        <f>SUMIF(Recibos!$D$4:$D$7493,Cobranza!$B294,Recibos!P$4:P$7493)</f>
        <v>400</v>
      </c>
      <c r="BE294" s="311">
        <f>SUMIF(Recibos!$D$4:$D$7493,Cobranza!$B294,Recibos!Q$4:Q$7493)</f>
        <v>400</v>
      </c>
      <c r="BF294" s="311">
        <f>SUMIF(Recibos!$D$4:$D$7493,Cobranza!$B294,Recibos!R$4:R$7493)</f>
        <v>400</v>
      </c>
      <c r="BG294" s="311">
        <f>SUMIF(Recibos!$D$4:$D$7493,Cobranza!$B294,Recibos!S$4:S$7493)</f>
        <v>400</v>
      </c>
      <c r="BH294" s="311">
        <f>SUMIF(Recibos!$D$4:$D$7493,Cobranza!$B294,Recibos!T$4:T$7493)</f>
        <v>400</v>
      </c>
      <c r="BI294" s="311">
        <f>SUMIF(Recibos!$D$4:$D$7493,Cobranza!$B294,Recibos!U$4:U$7493)</f>
        <v>400</v>
      </c>
      <c r="BJ294" s="311">
        <f>SUMIF(Recibos!$D$4:$D$7493,Cobranza!$B294,Recibos!V$4:V$7493)</f>
        <v>400</v>
      </c>
      <c r="BK294" s="312">
        <f t="shared" si="43"/>
        <v>4800</v>
      </c>
      <c r="BL294" s="311">
        <f>SUMIF(Recibos!$D$4:$D$7493,Cobranza!$B294,Recibos!X$4:X$7493)</f>
        <v>400</v>
      </c>
      <c r="BM294" s="311">
        <f>SUMIF(Recibos!$D$4:$D$7493,Cobranza!$B294,Recibos!Y$4:Y$7493)</f>
        <v>400</v>
      </c>
      <c r="BN294" s="311">
        <f>SUMIF(Recibos!$D$4:$D$7493,Cobranza!$B294,Recibos!Z$4:Z$7493)</f>
        <v>400</v>
      </c>
      <c r="BO294" s="311">
        <f>SUMIF(Recibos!$D$4:$D$7493,Cobranza!$B294,Recibos!AA$4:AA$7493)</f>
        <v>400</v>
      </c>
      <c r="BP294" s="311">
        <f>SUMIF(Recibos!$D$4:$D$7493,Cobranza!$B294,Recibos!AB$4:AB$7493)</f>
        <v>400</v>
      </c>
      <c r="BQ294" s="311">
        <f>SUMIF(Recibos!$D$4:$D$7493,Cobranza!$B294,Recibos!AC$4:AC$7493)</f>
        <v>400</v>
      </c>
      <c r="BR294" s="311">
        <f>SUMIF(Recibos!$D$4:$D$7493,Cobranza!$B294,Recibos!AD$4:AD$7493)</f>
        <v>400</v>
      </c>
      <c r="BS294" s="311">
        <f>SUMIF(Recibos!$D$4:$D$7493,Cobranza!$B294,Recibos!AE$4:AE$7493)</f>
        <v>400</v>
      </c>
      <c r="BT294" s="311">
        <f>SUMIF(Recibos!$D$4:$D$7493,Cobranza!$B294,Recibos!AF$4:AF$7493)</f>
        <v>400</v>
      </c>
      <c r="BU294" s="311">
        <f>SUMIF(Recibos!$D$4:$D$7493,Cobranza!$B294,Recibos!AG$4:AG$7493)</f>
        <v>400</v>
      </c>
      <c r="BV294" s="311">
        <f>SUMIF(Recibos!$D$4:$D$7493,Cobranza!$B294,Recibos!AH$4:AH$7493)</f>
        <v>0</v>
      </c>
      <c r="BW294" s="311">
        <f>SUMIF(Recibos!$D$4:$D$7493,Cobranza!$B294,Recibos!AI$4:AI$7493)</f>
        <v>400</v>
      </c>
      <c r="BX294" s="312">
        <f t="shared" si="44"/>
        <v>4400</v>
      </c>
      <c r="BY294" s="311">
        <f>SUMIF(Recibos!$D$4:$D$7493,Cobranza!$B294,Recibos!AK$4:AK$7493)</f>
        <v>400</v>
      </c>
      <c r="BZ294" s="311">
        <f>SUMIF(Recibos!$D$4:$D$7493,Cobranza!$B294,Recibos!AL$4:AL$7493)</f>
        <v>400</v>
      </c>
      <c r="CA294" s="311">
        <f>SUMIF(Recibos!$D$4:$D$7493,Cobranza!$B294,Recibos!AM$4:AM$7493)</f>
        <v>400</v>
      </c>
      <c r="CB294" s="311">
        <f>SUMIF(Recibos!$D$4:$D$7493,Cobranza!$B294,Recibos!AN$4:AN$7493)</f>
        <v>400</v>
      </c>
      <c r="CC294" s="311">
        <f>SUMIF(Recibos!$D$4:$D$7493,Cobranza!$B294,Recibos!AO$4:AO$7493)</f>
        <v>400</v>
      </c>
      <c r="CD294" s="311">
        <f>SUMIF(Recibos!$D$4:$D$7493,Cobranza!$B294,Recibos!AP$4:AP$7493)</f>
        <v>400</v>
      </c>
      <c r="CE294" s="311">
        <f>SUMIF(Recibos!$D$4:$D$7493,Cobranza!$B294,Recibos!AQ$4:AQ$7493)</f>
        <v>400</v>
      </c>
      <c r="CF294" s="311">
        <f>SUMIF(Recibos!$D$4:$D$7493,Cobranza!$B294,Recibos!AR$4:AR$7493)</f>
        <v>400</v>
      </c>
      <c r="CG294" s="311">
        <f>SUMIF(Recibos!$D$4:$D$7493,Cobranza!$B294,Recibos!AS$4:AS$7493)</f>
        <v>400</v>
      </c>
      <c r="CH294" s="311">
        <f>SUMIF(Recibos!$D$4:$D$7493,Cobranza!$B294,Recibos!AT$4:AT$7493)</f>
        <v>0</v>
      </c>
      <c r="CI294" s="311">
        <f>SUMIF(Recibos!$D$4:$D$7493,Cobranza!$B294,Recibos!AU$4:AU$7493)</f>
        <v>0</v>
      </c>
      <c r="CJ294" s="311">
        <f>SUMIF(Recibos!$D$4:$D$7493,Cobranza!$B294,Recibos!AV$4:AV$7493)</f>
        <v>0</v>
      </c>
      <c r="CK294" s="312">
        <f t="shared" si="38"/>
        <v>3600</v>
      </c>
    </row>
    <row r="295" spans="2:89" x14ac:dyDescent="0.2">
      <c r="B295" s="45" t="s">
        <v>1103</v>
      </c>
      <c r="C295" s="45" t="s">
        <v>1104</v>
      </c>
      <c r="D295" s="45" t="s">
        <v>1105</v>
      </c>
      <c r="E295" s="46">
        <v>0</v>
      </c>
      <c r="F295" s="46">
        <v>0</v>
      </c>
      <c r="G295" s="46">
        <v>0</v>
      </c>
      <c r="H295" s="46">
        <v>0</v>
      </c>
      <c r="I295" s="46">
        <v>0</v>
      </c>
      <c r="J295" s="46">
        <v>0</v>
      </c>
      <c r="K295" s="47">
        <f t="shared" si="39"/>
        <v>0</v>
      </c>
      <c r="L295" s="46">
        <v>300</v>
      </c>
      <c r="M295" s="46">
        <v>300</v>
      </c>
      <c r="N295" s="46">
        <v>300</v>
      </c>
      <c r="O295" s="46">
        <v>300</v>
      </c>
      <c r="P295" s="46">
        <v>300</v>
      </c>
      <c r="Q295" s="46">
        <v>300</v>
      </c>
      <c r="R295" s="46">
        <v>300</v>
      </c>
      <c r="S295" s="46">
        <v>300</v>
      </c>
      <c r="T295" s="46">
        <v>300</v>
      </c>
      <c r="U295" s="46">
        <v>300</v>
      </c>
      <c r="V295" s="46">
        <v>300</v>
      </c>
      <c r="W295" s="46">
        <v>0</v>
      </c>
      <c r="X295" s="47">
        <f t="shared" si="40"/>
        <v>3300</v>
      </c>
      <c r="Y295" s="46">
        <v>400</v>
      </c>
      <c r="Z295" s="46">
        <v>400</v>
      </c>
      <c r="AA295" s="46">
        <v>400</v>
      </c>
      <c r="AB295" s="46">
        <v>400</v>
      </c>
      <c r="AC295" s="46">
        <v>400</v>
      </c>
      <c r="AD295" s="46">
        <v>400</v>
      </c>
      <c r="AE295" s="46">
        <v>400</v>
      </c>
      <c r="AF295" s="46">
        <v>400</v>
      </c>
      <c r="AG295" s="46">
        <v>400</v>
      </c>
      <c r="AH295" s="46">
        <v>0</v>
      </c>
      <c r="AI295" s="46">
        <v>0</v>
      </c>
      <c r="AJ295" s="46">
        <v>0</v>
      </c>
      <c r="AK295" s="47">
        <f t="shared" si="41"/>
        <v>3600</v>
      </c>
      <c r="AL295" s="46">
        <v>400</v>
      </c>
      <c r="AM295" s="46">
        <v>400</v>
      </c>
      <c r="AN295" s="46">
        <v>400</v>
      </c>
      <c r="AO295" s="46">
        <v>400</v>
      </c>
      <c r="AP295" s="46">
        <v>400</v>
      </c>
      <c r="AQ295" s="46">
        <v>400</v>
      </c>
      <c r="AR295" s="46">
        <v>400</v>
      </c>
      <c r="AS295" s="46">
        <v>400</v>
      </c>
      <c r="AT295" s="46">
        <v>0</v>
      </c>
      <c r="AU295" s="46">
        <v>0</v>
      </c>
      <c r="AV295" s="46">
        <v>0</v>
      </c>
      <c r="AW295" s="46">
        <v>0</v>
      </c>
      <c r="AX295" s="47">
        <f t="shared" si="42"/>
        <v>3200</v>
      </c>
      <c r="AY295" s="313">
        <f>SUMIF(Recibos!$D$4:$D$7493,Cobranza!$B295,Recibos!K$4:K$7493)</f>
        <v>400</v>
      </c>
      <c r="AZ295" s="313">
        <f>SUMIF(Recibos!$D$4:$D$7493,Cobranza!$B295,Recibos!L$4:L$7493)</f>
        <v>400</v>
      </c>
      <c r="BA295" s="313">
        <f>SUMIF(Recibos!$D$4:$D$7493,Cobranza!$B295,Recibos!M$4:M$7493)</f>
        <v>400</v>
      </c>
      <c r="BB295" s="313">
        <f>SUMIF(Recibos!$D$4:$D$7493,Cobranza!$B295,Recibos!N$4:N$7493)</f>
        <v>400</v>
      </c>
      <c r="BC295" s="313">
        <f>SUMIF(Recibos!$D$4:$D$7493,Cobranza!$B295,Recibos!O$4:O$7493)</f>
        <v>400</v>
      </c>
      <c r="BD295" s="313">
        <f>SUMIF(Recibos!$D$4:$D$7493,Cobranza!$B295,Recibos!P$4:P$7493)</f>
        <v>400</v>
      </c>
      <c r="BE295" s="313">
        <f>SUMIF(Recibos!$D$4:$D$7493,Cobranza!$B295,Recibos!Q$4:Q$7493)</f>
        <v>400</v>
      </c>
      <c r="BF295" s="313">
        <f>SUMIF(Recibos!$D$4:$D$7493,Cobranza!$B295,Recibos!R$4:R$7493)</f>
        <v>200</v>
      </c>
      <c r="BG295" s="313">
        <f>SUMIF(Recibos!$D$4:$D$7493,Cobranza!$B295,Recibos!S$4:S$7493)</f>
        <v>0</v>
      </c>
      <c r="BH295" s="313">
        <f>SUMIF(Recibos!$D$4:$D$7493,Cobranza!$B295,Recibos!T$4:T$7493)</f>
        <v>0</v>
      </c>
      <c r="BI295" s="313">
        <f>SUMIF(Recibos!$D$4:$D$7493,Cobranza!$B295,Recibos!U$4:U$7493)</f>
        <v>0</v>
      </c>
      <c r="BJ295" s="313">
        <f>SUMIF(Recibos!$D$4:$D$7493,Cobranza!$B295,Recibos!V$4:V$7493)</f>
        <v>0</v>
      </c>
      <c r="BK295" s="314">
        <f t="shared" si="43"/>
        <v>3000</v>
      </c>
      <c r="BL295" s="313">
        <f>SUMIF(Recibos!$D$4:$D$7493,Cobranza!$B295,Recibos!X$4:X$7493)</f>
        <v>0</v>
      </c>
      <c r="BM295" s="313">
        <f>SUMIF(Recibos!$D$4:$D$7493,Cobranza!$B295,Recibos!Y$4:Y$7493)</f>
        <v>0</v>
      </c>
      <c r="BN295" s="313">
        <f>SUMIF(Recibos!$D$4:$D$7493,Cobranza!$B295,Recibos!Z$4:Z$7493)</f>
        <v>0</v>
      </c>
      <c r="BO295" s="313">
        <f>SUMIF(Recibos!$D$4:$D$7493,Cobranza!$B295,Recibos!AA$4:AA$7493)</f>
        <v>0</v>
      </c>
      <c r="BP295" s="313">
        <f>SUMIF(Recibos!$D$4:$D$7493,Cobranza!$B295,Recibos!AB$4:AB$7493)</f>
        <v>0</v>
      </c>
      <c r="BQ295" s="313">
        <f>SUMIF(Recibos!$D$4:$D$7493,Cobranza!$B295,Recibos!AC$4:AC$7493)</f>
        <v>0</v>
      </c>
      <c r="BR295" s="313">
        <f>SUMIF(Recibos!$D$4:$D$7493,Cobranza!$B295,Recibos!AD$4:AD$7493)</f>
        <v>0</v>
      </c>
      <c r="BS295" s="313">
        <f>SUMIF(Recibos!$D$4:$D$7493,Cobranza!$B295,Recibos!AE$4:AE$7493)</f>
        <v>0</v>
      </c>
      <c r="BT295" s="313">
        <f>SUMIF(Recibos!$D$4:$D$7493,Cobranza!$B295,Recibos!AF$4:AF$7493)</f>
        <v>0</v>
      </c>
      <c r="BU295" s="313">
        <f>SUMIF(Recibos!$D$4:$D$7493,Cobranza!$B295,Recibos!AG$4:AG$7493)</f>
        <v>0</v>
      </c>
      <c r="BV295" s="313">
        <f>SUMIF(Recibos!$D$4:$D$7493,Cobranza!$B295,Recibos!AH$4:AH$7493)</f>
        <v>0</v>
      </c>
      <c r="BW295" s="313">
        <f>SUMIF(Recibos!$D$4:$D$7493,Cobranza!$B295,Recibos!AI$4:AI$7493)</f>
        <v>0</v>
      </c>
      <c r="BX295" s="314">
        <f t="shared" si="44"/>
        <v>0</v>
      </c>
      <c r="BY295" s="313">
        <f>SUMIF(Recibos!$D$4:$D$7493,Cobranza!$B295,Recibos!AK$4:AK$7493)</f>
        <v>200</v>
      </c>
      <c r="BZ295" s="313">
        <f>SUMIF(Recibos!$D$4:$D$7493,Cobranza!$B295,Recibos!AL$4:AL$7493)</f>
        <v>200</v>
      </c>
      <c r="CA295" s="313">
        <f>SUMIF(Recibos!$D$4:$D$7493,Cobranza!$B295,Recibos!AM$4:AM$7493)</f>
        <v>200</v>
      </c>
      <c r="CB295" s="313">
        <f>SUMIF(Recibos!$D$4:$D$7493,Cobranza!$B295,Recibos!AN$4:AN$7493)</f>
        <v>200</v>
      </c>
      <c r="CC295" s="313">
        <f>SUMIF(Recibos!$D$4:$D$7493,Cobranza!$B295,Recibos!AO$4:AO$7493)</f>
        <v>0</v>
      </c>
      <c r="CD295" s="313">
        <f>SUMIF(Recibos!$D$4:$D$7493,Cobranza!$B295,Recibos!AP$4:AP$7493)</f>
        <v>200</v>
      </c>
      <c r="CE295" s="313">
        <f>SUMIF(Recibos!$D$4:$D$7493,Cobranza!$B295,Recibos!AQ$4:AQ$7493)</f>
        <v>200</v>
      </c>
      <c r="CF295" s="313">
        <f>SUMIF(Recibos!$D$4:$D$7493,Cobranza!$B295,Recibos!AR$4:AR$7493)</f>
        <v>0</v>
      </c>
      <c r="CG295" s="313">
        <f>SUMIF(Recibos!$D$4:$D$7493,Cobranza!$B295,Recibos!AS$4:AS$7493)</f>
        <v>0</v>
      </c>
      <c r="CH295" s="313">
        <f>SUMIF(Recibos!$D$4:$D$7493,Cobranza!$B295,Recibos!AT$4:AT$7493)</f>
        <v>200</v>
      </c>
      <c r="CI295" s="313">
        <f>SUMIF(Recibos!$D$4:$D$7493,Cobranza!$B295,Recibos!AU$4:AU$7493)</f>
        <v>0</v>
      </c>
      <c r="CJ295" s="313">
        <f>SUMIF(Recibos!$D$4:$D$7493,Cobranza!$B295,Recibos!AV$4:AV$7493)</f>
        <v>0</v>
      </c>
      <c r="CK295" s="314">
        <f t="shared" si="38"/>
        <v>1400</v>
      </c>
    </row>
    <row r="296" spans="2:89" x14ac:dyDescent="0.2">
      <c r="B296" s="42" t="s">
        <v>681</v>
      </c>
      <c r="C296" s="42" t="s">
        <v>682</v>
      </c>
      <c r="D296" s="42" t="s">
        <v>683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300</v>
      </c>
      <c r="K296" s="44">
        <f t="shared" si="39"/>
        <v>300</v>
      </c>
      <c r="L296" s="43">
        <v>300</v>
      </c>
      <c r="M296" s="43">
        <v>300</v>
      </c>
      <c r="N296" s="43">
        <v>300</v>
      </c>
      <c r="O296" s="43">
        <v>300</v>
      </c>
      <c r="P296" s="43">
        <v>300</v>
      </c>
      <c r="Q296" s="43">
        <v>300</v>
      </c>
      <c r="R296" s="43">
        <v>300</v>
      </c>
      <c r="S296" s="43">
        <v>300</v>
      </c>
      <c r="T296" s="43">
        <v>300</v>
      </c>
      <c r="U296" s="43">
        <v>400</v>
      </c>
      <c r="V296" s="43">
        <v>300</v>
      </c>
      <c r="W296" s="43">
        <v>300</v>
      </c>
      <c r="X296" s="44">
        <f t="shared" si="40"/>
        <v>3700</v>
      </c>
      <c r="Y296" s="43">
        <v>300</v>
      </c>
      <c r="Z296" s="43">
        <v>300</v>
      </c>
      <c r="AA296" s="43">
        <v>300</v>
      </c>
      <c r="AB296" s="43">
        <v>300</v>
      </c>
      <c r="AC296" s="43">
        <v>300</v>
      </c>
      <c r="AD296" s="43">
        <v>300</v>
      </c>
      <c r="AE296" s="43">
        <v>300</v>
      </c>
      <c r="AF296" s="43">
        <v>300</v>
      </c>
      <c r="AG296" s="43">
        <v>300</v>
      </c>
      <c r="AH296" s="43">
        <v>300</v>
      </c>
      <c r="AI296" s="43">
        <v>300</v>
      </c>
      <c r="AJ296" s="43">
        <v>300</v>
      </c>
      <c r="AK296" s="44">
        <f t="shared" si="41"/>
        <v>3600</v>
      </c>
      <c r="AL296" s="43">
        <v>300</v>
      </c>
      <c r="AM296" s="43">
        <v>300</v>
      </c>
      <c r="AN296" s="43">
        <v>300</v>
      </c>
      <c r="AO296" s="43">
        <v>300</v>
      </c>
      <c r="AP296" s="43">
        <v>300</v>
      </c>
      <c r="AQ296" s="43">
        <v>300</v>
      </c>
      <c r="AR296" s="43">
        <v>300</v>
      </c>
      <c r="AS296" s="43">
        <v>300</v>
      </c>
      <c r="AT296" s="43">
        <v>300</v>
      </c>
      <c r="AU296" s="43">
        <v>300</v>
      </c>
      <c r="AV296" s="43">
        <v>300</v>
      </c>
      <c r="AW296" s="43">
        <v>300</v>
      </c>
      <c r="AX296" s="44">
        <f t="shared" si="42"/>
        <v>3600</v>
      </c>
      <c r="AY296" s="311">
        <f>SUMIF(Recibos!$D$4:$D$7493,Cobranza!$B296,Recibos!K$4:K$7493)</f>
        <v>300</v>
      </c>
      <c r="AZ296" s="311">
        <f>SUMIF(Recibos!$D$4:$D$7493,Cobranza!$B296,Recibos!L$4:L$7493)</f>
        <v>300</v>
      </c>
      <c r="BA296" s="311">
        <f>SUMIF(Recibos!$D$4:$D$7493,Cobranza!$B296,Recibos!M$4:M$7493)</f>
        <v>300</v>
      </c>
      <c r="BB296" s="311">
        <f>SUMIF(Recibos!$D$4:$D$7493,Cobranza!$B296,Recibos!N$4:N$7493)</f>
        <v>300</v>
      </c>
      <c r="BC296" s="311">
        <f>SUMIF(Recibos!$D$4:$D$7493,Cobranza!$B296,Recibos!O$4:O$7493)</f>
        <v>300</v>
      </c>
      <c r="BD296" s="311">
        <f>SUMIF(Recibos!$D$4:$D$7493,Cobranza!$B296,Recibos!P$4:P$7493)</f>
        <v>300</v>
      </c>
      <c r="BE296" s="311">
        <f>SUMIF(Recibos!$D$4:$D$7493,Cobranza!$B296,Recibos!Q$4:Q$7493)</f>
        <v>300</v>
      </c>
      <c r="BF296" s="311">
        <f>SUMIF(Recibos!$D$4:$D$7493,Cobranza!$B296,Recibos!R$4:R$7493)</f>
        <v>300</v>
      </c>
      <c r="BG296" s="311">
        <f>SUMIF(Recibos!$D$4:$D$7493,Cobranza!$B296,Recibos!S$4:S$7493)</f>
        <v>300</v>
      </c>
      <c r="BH296" s="311">
        <f>SUMIF(Recibos!$D$4:$D$7493,Cobranza!$B296,Recibos!T$4:T$7493)</f>
        <v>300</v>
      </c>
      <c r="BI296" s="311">
        <f>SUMIF(Recibos!$D$4:$D$7493,Cobranza!$B296,Recibos!U$4:U$7493)</f>
        <v>300</v>
      </c>
      <c r="BJ296" s="311">
        <f>SUMIF(Recibos!$D$4:$D$7493,Cobranza!$B296,Recibos!V$4:V$7493)</f>
        <v>300</v>
      </c>
      <c r="BK296" s="312">
        <f t="shared" si="43"/>
        <v>3600</v>
      </c>
      <c r="BL296" s="311">
        <f>SUMIF(Recibos!$D$4:$D$7493,Cobranza!$B296,Recibos!X$4:X$7493)</f>
        <v>300</v>
      </c>
      <c r="BM296" s="311">
        <f>SUMIF(Recibos!$D$4:$D$7493,Cobranza!$B296,Recibos!Y$4:Y$7493)</f>
        <v>300</v>
      </c>
      <c r="BN296" s="311">
        <f>SUMIF(Recibos!$D$4:$D$7493,Cobranza!$B296,Recibos!Z$4:Z$7493)</f>
        <v>300</v>
      </c>
      <c r="BO296" s="311">
        <f>SUMIF(Recibos!$D$4:$D$7493,Cobranza!$B296,Recibos!AA$4:AA$7493)</f>
        <v>300</v>
      </c>
      <c r="BP296" s="311">
        <f>SUMIF(Recibos!$D$4:$D$7493,Cobranza!$B296,Recibos!AB$4:AB$7493)</f>
        <v>300</v>
      </c>
      <c r="BQ296" s="311">
        <f>SUMIF(Recibos!$D$4:$D$7493,Cobranza!$B296,Recibos!AC$4:AC$7493)</f>
        <v>300</v>
      </c>
      <c r="BR296" s="311">
        <f>SUMIF(Recibos!$D$4:$D$7493,Cobranza!$B296,Recibos!AD$4:AD$7493)</f>
        <v>300</v>
      </c>
      <c r="BS296" s="311">
        <f>SUMIF(Recibos!$D$4:$D$7493,Cobranza!$B296,Recibos!AE$4:AE$7493)</f>
        <v>300</v>
      </c>
      <c r="BT296" s="311">
        <f>SUMIF(Recibos!$D$4:$D$7493,Cobranza!$B296,Recibos!AF$4:AF$7493)</f>
        <v>300</v>
      </c>
      <c r="BU296" s="311">
        <f>SUMIF(Recibos!$D$4:$D$7493,Cobranza!$B296,Recibos!AG$4:AG$7493)</f>
        <v>300</v>
      </c>
      <c r="BV296" s="311">
        <f>SUMIF(Recibos!$D$4:$D$7493,Cobranza!$B296,Recibos!AH$4:AH$7493)</f>
        <v>300</v>
      </c>
      <c r="BW296" s="311">
        <f>SUMIF(Recibos!$D$4:$D$7493,Cobranza!$B296,Recibos!AI$4:AI$7493)</f>
        <v>300</v>
      </c>
      <c r="BX296" s="312">
        <f t="shared" si="44"/>
        <v>3600</v>
      </c>
      <c r="BY296" s="311">
        <f>SUMIF(Recibos!$D$4:$D$7493,Cobranza!$B296,Recibos!AK$4:AK$7493)</f>
        <v>300</v>
      </c>
      <c r="BZ296" s="311">
        <f>SUMIF(Recibos!$D$4:$D$7493,Cobranza!$B296,Recibos!AL$4:AL$7493)</f>
        <v>300</v>
      </c>
      <c r="CA296" s="311">
        <f>SUMIF(Recibos!$D$4:$D$7493,Cobranza!$B296,Recibos!AM$4:AM$7493)</f>
        <v>300</v>
      </c>
      <c r="CB296" s="311">
        <f>SUMIF(Recibos!$D$4:$D$7493,Cobranza!$B296,Recibos!AN$4:AN$7493)</f>
        <v>300</v>
      </c>
      <c r="CC296" s="311">
        <f>SUMIF(Recibos!$D$4:$D$7493,Cobranza!$B296,Recibos!AO$4:AO$7493)</f>
        <v>300</v>
      </c>
      <c r="CD296" s="311">
        <f>SUMIF(Recibos!$D$4:$D$7493,Cobranza!$B296,Recibos!AP$4:AP$7493)</f>
        <v>300</v>
      </c>
      <c r="CE296" s="311">
        <f>SUMIF(Recibos!$D$4:$D$7493,Cobranza!$B296,Recibos!AQ$4:AQ$7493)</f>
        <v>300</v>
      </c>
      <c r="CF296" s="311">
        <f>SUMIF(Recibos!$D$4:$D$7493,Cobranza!$B296,Recibos!AR$4:AR$7493)</f>
        <v>300</v>
      </c>
      <c r="CG296" s="311">
        <f>SUMIF(Recibos!$D$4:$D$7493,Cobranza!$B296,Recibos!AS$4:AS$7493)</f>
        <v>0</v>
      </c>
      <c r="CH296" s="311">
        <f>SUMIF(Recibos!$D$4:$D$7493,Cobranza!$B296,Recibos!AT$4:AT$7493)</f>
        <v>0</v>
      </c>
      <c r="CI296" s="311">
        <f>SUMIF(Recibos!$D$4:$D$7493,Cobranza!$B296,Recibos!AU$4:AU$7493)</f>
        <v>0</v>
      </c>
      <c r="CJ296" s="311">
        <f>SUMIF(Recibos!$D$4:$D$7493,Cobranza!$B296,Recibos!AV$4:AV$7493)</f>
        <v>0</v>
      </c>
      <c r="CK296" s="312">
        <f t="shared" si="38"/>
        <v>2400</v>
      </c>
    </row>
    <row r="297" spans="2:89" x14ac:dyDescent="0.2">
      <c r="B297" s="45" t="s">
        <v>766</v>
      </c>
      <c r="C297" s="45" t="s">
        <v>767</v>
      </c>
      <c r="D297" s="45" t="s">
        <v>768</v>
      </c>
      <c r="E297" s="46">
        <v>0</v>
      </c>
      <c r="F297" s="46">
        <v>0</v>
      </c>
      <c r="G297" s="46">
        <v>0</v>
      </c>
      <c r="H297" s="46">
        <v>0</v>
      </c>
      <c r="I297" s="46">
        <v>300</v>
      </c>
      <c r="J297" s="46">
        <v>300</v>
      </c>
      <c r="K297" s="47">
        <f t="shared" si="39"/>
        <v>600</v>
      </c>
      <c r="L297" s="46">
        <v>300</v>
      </c>
      <c r="M297" s="46">
        <v>0</v>
      </c>
      <c r="N297" s="46">
        <v>0</v>
      </c>
      <c r="O297" s="46">
        <v>0</v>
      </c>
      <c r="P297" s="46">
        <v>0</v>
      </c>
      <c r="Q297" s="46">
        <v>0</v>
      </c>
      <c r="R297" s="46">
        <v>0</v>
      </c>
      <c r="S297" s="46">
        <v>0</v>
      </c>
      <c r="T297" s="46">
        <v>0</v>
      </c>
      <c r="U297" s="46">
        <v>0</v>
      </c>
      <c r="V297" s="46">
        <v>0</v>
      </c>
      <c r="W297" s="46">
        <v>0</v>
      </c>
      <c r="X297" s="47">
        <f t="shared" si="40"/>
        <v>300</v>
      </c>
      <c r="Y297" s="46">
        <v>300</v>
      </c>
      <c r="Z297" s="46">
        <v>300</v>
      </c>
      <c r="AA297" s="46">
        <v>300</v>
      </c>
      <c r="AB297" s="46">
        <v>300</v>
      </c>
      <c r="AC297" s="46">
        <v>300</v>
      </c>
      <c r="AD297" s="46">
        <v>300</v>
      </c>
      <c r="AE297" s="46">
        <v>300</v>
      </c>
      <c r="AF297" s="46">
        <v>300</v>
      </c>
      <c r="AG297" s="46">
        <v>300</v>
      </c>
      <c r="AH297" s="46">
        <v>300</v>
      </c>
      <c r="AI297" s="46">
        <v>0</v>
      </c>
      <c r="AJ297" s="46">
        <v>0</v>
      </c>
      <c r="AK297" s="47">
        <f t="shared" si="41"/>
        <v>3000</v>
      </c>
      <c r="AL297" s="46">
        <v>400</v>
      </c>
      <c r="AM297" s="46">
        <v>400</v>
      </c>
      <c r="AN297" s="46">
        <v>400</v>
      </c>
      <c r="AO297" s="46">
        <v>400</v>
      </c>
      <c r="AP297" s="46">
        <v>400</v>
      </c>
      <c r="AQ297" s="46">
        <v>400</v>
      </c>
      <c r="AR297" s="46">
        <v>400</v>
      </c>
      <c r="AS297" s="46">
        <v>400</v>
      </c>
      <c r="AT297" s="46">
        <v>400</v>
      </c>
      <c r="AU297" s="46">
        <v>400</v>
      </c>
      <c r="AV297" s="46">
        <v>400</v>
      </c>
      <c r="AW297" s="46">
        <v>400</v>
      </c>
      <c r="AX297" s="47">
        <f t="shared" si="42"/>
        <v>4800</v>
      </c>
      <c r="AY297" s="313">
        <f>SUMIF(Recibos!$D$4:$D$7493,Cobranza!$B297,Recibos!K$4:K$7493)</f>
        <v>400</v>
      </c>
      <c r="AZ297" s="313">
        <f>SUMIF(Recibos!$D$4:$D$7493,Cobranza!$B297,Recibos!L$4:L$7493)</f>
        <v>400</v>
      </c>
      <c r="BA297" s="313">
        <f>SUMIF(Recibos!$D$4:$D$7493,Cobranza!$B297,Recibos!M$4:M$7493)</f>
        <v>400</v>
      </c>
      <c r="BB297" s="313">
        <f>SUMIF(Recibos!$D$4:$D$7493,Cobranza!$B297,Recibos!N$4:N$7493)</f>
        <v>400</v>
      </c>
      <c r="BC297" s="313">
        <f>SUMIF(Recibos!$D$4:$D$7493,Cobranza!$B297,Recibos!O$4:O$7493)</f>
        <v>400</v>
      </c>
      <c r="BD297" s="313">
        <f>SUMIF(Recibos!$D$4:$D$7493,Cobranza!$B297,Recibos!P$4:P$7493)</f>
        <v>400</v>
      </c>
      <c r="BE297" s="313">
        <f>SUMIF(Recibos!$D$4:$D$7493,Cobranza!$B297,Recibos!Q$4:Q$7493)</f>
        <v>400</v>
      </c>
      <c r="BF297" s="313">
        <f>SUMIF(Recibos!$D$4:$D$7493,Cobranza!$B297,Recibos!R$4:R$7493)</f>
        <v>400</v>
      </c>
      <c r="BG297" s="313">
        <f>SUMIF(Recibos!$D$4:$D$7493,Cobranza!$B297,Recibos!S$4:S$7493)</f>
        <v>400</v>
      </c>
      <c r="BH297" s="313">
        <f>SUMIF(Recibos!$D$4:$D$7493,Cobranza!$B297,Recibos!T$4:T$7493)</f>
        <v>400</v>
      </c>
      <c r="BI297" s="313">
        <f>SUMIF(Recibos!$D$4:$D$7493,Cobranza!$B297,Recibos!U$4:U$7493)</f>
        <v>400</v>
      </c>
      <c r="BJ297" s="313">
        <f>SUMIF(Recibos!$D$4:$D$7493,Cobranza!$B297,Recibos!V$4:V$7493)</f>
        <v>400</v>
      </c>
      <c r="BK297" s="314">
        <f t="shared" si="43"/>
        <v>4800</v>
      </c>
      <c r="BL297" s="313">
        <f>SUMIF(Recibos!$D$4:$D$7493,Cobranza!$B297,Recibos!X$4:X$7493)</f>
        <v>400</v>
      </c>
      <c r="BM297" s="313">
        <f>SUMIF(Recibos!$D$4:$D$7493,Cobranza!$B297,Recibos!Y$4:Y$7493)</f>
        <v>400</v>
      </c>
      <c r="BN297" s="313">
        <f>SUMIF(Recibos!$D$4:$D$7493,Cobranza!$B297,Recibos!Z$4:Z$7493)</f>
        <v>400</v>
      </c>
      <c r="BO297" s="313">
        <f>SUMIF(Recibos!$D$4:$D$7493,Cobranza!$B297,Recibos!AA$4:AA$7493)</f>
        <v>400</v>
      </c>
      <c r="BP297" s="313">
        <f>SUMIF(Recibos!$D$4:$D$7493,Cobranza!$B297,Recibos!AB$4:AB$7493)</f>
        <v>400</v>
      </c>
      <c r="BQ297" s="313">
        <f>SUMIF(Recibos!$D$4:$D$7493,Cobranza!$B297,Recibos!AC$4:AC$7493)</f>
        <v>400</v>
      </c>
      <c r="BR297" s="313">
        <f>SUMIF(Recibos!$D$4:$D$7493,Cobranza!$B297,Recibos!AD$4:AD$7493)</f>
        <v>400</v>
      </c>
      <c r="BS297" s="313">
        <f>SUMIF(Recibos!$D$4:$D$7493,Cobranza!$B297,Recibos!AE$4:AE$7493)</f>
        <v>400</v>
      </c>
      <c r="BT297" s="313">
        <f>SUMIF(Recibos!$D$4:$D$7493,Cobranza!$B297,Recibos!AF$4:AF$7493)</f>
        <v>400</v>
      </c>
      <c r="BU297" s="313">
        <f>SUMIF(Recibos!$D$4:$D$7493,Cobranza!$B297,Recibos!AG$4:AG$7493)</f>
        <v>400</v>
      </c>
      <c r="BV297" s="313">
        <f>SUMIF(Recibos!$D$4:$D$7493,Cobranza!$B297,Recibos!AH$4:AH$7493)</f>
        <v>400</v>
      </c>
      <c r="BW297" s="313">
        <f>SUMIF(Recibos!$D$4:$D$7493,Cobranza!$B297,Recibos!AI$4:AI$7493)</f>
        <v>0</v>
      </c>
      <c r="BX297" s="314">
        <f t="shared" si="44"/>
        <v>4400</v>
      </c>
      <c r="BY297" s="313">
        <f>SUMIF(Recibos!$D$4:$D$7493,Cobranza!$B297,Recibos!AK$4:AK$7493)</f>
        <v>400</v>
      </c>
      <c r="BZ297" s="313">
        <f>SUMIF(Recibos!$D$4:$D$7493,Cobranza!$B297,Recibos!AL$4:AL$7493)</f>
        <v>400</v>
      </c>
      <c r="CA297" s="313">
        <f>SUMIF(Recibos!$D$4:$D$7493,Cobranza!$B297,Recibos!AM$4:AM$7493)</f>
        <v>400</v>
      </c>
      <c r="CB297" s="313">
        <f>SUMIF(Recibos!$D$4:$D$7493,Cobranza!$B297,Recibos!AN$4:AN$7493)</f>
        <v>400</v>
      </c>
      <c r="CC297" s="313">
        <f>SUMIF(Recibos!$D$4:$D$7493,Cobranza!$B297,Recibos!AO$4:AO$7493)</f>
        <v>400</v>
      </c>
      <c r="CD297" s="313">
        <f>SUMIF(Recibos!$D$4:$D$7493,Cobranza!$B297,Recibos!AP$4:AP$7493)</f>
        <v>400</v>
      </c>
      <c r="CE297" s="313">
        <f>SUMIF(Recibos!$D$4:$D$7493,Cobranza!$B297,Recibos!AQ$4:AQ$7493)</f>
        <v>400</v>
      </c>
      <c r="CF297" s="313">
        <f>SUMIF(Recibos!$D$4:$D$7493,Cobranza!$B297,Recibos!AR$4:AR$7493)</f>
        <v>400</v>
      </c>
      <c r="CG297" s="313">
        <f>SUMIF(Recibos!$D$4:$D$7493,Cobranza!$B297,Recibos!AS$4:AS$7493)</f>
        <v>400</v>
      </c>
      <c r="CH297" s="313">
        <f>SUMIF(Recibos!$D$4:$D$7493,Cobranza!$B297,Recibos!AT$4:AT$7493)</f>
        <v>400</v>
      </c>
      <c r="CI297" s="313">
        <f>SUMIF(Recibos!$D$4:$D$7493,Cobranza!$B297,Recibos!AU$4:AU$7493)</f>
        <v>400</v>
      </c>
      <c r="CJ297" s="313">
        <f>SUMIF(Recibos!$D$4:$D$7493,Cobranza!$B297,Recibos!AV$4:AV$7493)</f>
        <v>0</v>
      </c>
      <c r="CK297" s="314">
        <f t="shared" si="38"/>
        <v>4400</v>
      </c>
    </row>
    <row r="298" spans="2:89" x14ac:dyDescent="0.2">
      <c r="B298" s="42" t="s">
        <v>550</v>
      </c>
      <c r="C298" s="42" t="s">
        <v>551</v>
      </c>
      <c r="D298" s="42" t="s">
        <v>552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300</v>
      </c>
      <c r="K298" s="44">
        <f t="shared" si="39"/>
        <v>300</v>
      </c>
      <c r="L298" s="43">
        <v>300</v>
      </c>
      <c r="M298" s="43">
        <v>300</v>
      </c>
      <c r="N298" s="43">
        <v>300</v>
      </c>
      <c r="O298" s="43">
        <v>300</v>
      </c>
      <c r="P298" s="43">
        <v>300</v>
      </c>
      <c r="Q298" s="43">
        <v>300</v>
      </c>
      <c r="R298" s="43">
        <v>300</v>
      </c>
      <c r="S298" s="43">
        <v>300</v>
      </c>
      <c r="T298" s="43">
        <v>300</v>
      </c>
      <c r="U298" s="43">
        <v>300</v>
      </c>
      <c r="V298" s="43">
        <v>300</v>
      </c>
      <c r="W298" s="43">
        <v>300</v>
      </c>
      <c r="X298" s="44">
        <f t="shared" si="40"/>
        <v>3600</v>
      </c>
      <c r="Y298" s="43">
        <v>300</v>
      </c>
      <c r="Z298" s="43">
        <v>300</v>
      </c>
      <c r="AA298" s="43">
        <v>0</v>
      </c>
      <c r="AB298" s="43">
        <v>300</v>
      </c>
      <c r="AC298" s="43">
        <v>300</v>
      </c>
      <c r="AD298" s="43">
        <v>300</v>
      </c>
      <c r="AE298" s="43">
        <v>300</v>
      </c>
      <c r="AF298" s="43">
        <v>300</v>
      </c>
      <c r="AG298" s="43">
        <v>300</v>
      </c>
      <c r="AH298" s="43">
        <v>300</v>
      </c>
      <c r="AI298" s="43">
        <v>300</v>
      </c>
      <c r="AJ298" s="43">
        <v>300</v>
      </c>
      <c r="AK298" s="44">
        <f t="shared" si="41"/>
        <v>3300</v>
      </c>
      <c r="AL298" s="43">
        <v>300</v>
      </c>
      <c r="AM298" s="43">
        <v>300</v>
      </c>
      <c r="AN298" s="43">
        <v>300</v>
      </c>
      <c r="AO298" s="43">
        <v>300</v>
      </c>
      <c r="AP298" s="43">
        <v>300</v>
      </c>
      <c r="AQ298" s="43">
        <v>0</v>
      </c>
      <c r="AR298" s="43">
        <v>300</v>
      </c>
      <c r="AS298" s="43">
        <v>300</v>
      </c>
      <c r="AT298" s="43">
        <v>300</v>
      </c>
      <c r="AU298" s="43">
        <v>300</v>
      </c>
      <c r="AV298" s="43">
        <v>300</v>
      </c>
      <c r="AW298" s="43">
        <v>300</v>
      </c>
      <c r="AX298" s="44">
        <f t="shared" si="42"/>
        <v>3300</v>
      </c>
      <c r="AY298" s="311">
        <f>SUMIF(Recibos!$D$4:$D$7493,Cobranza!$B298,Recibos!K$4:K$7493)</f>
        <v>300</v>
      </c>
      <c r="AZ298" s="311">
        <f>SUMIF(Recibos!$D$4:$D$7493,Cobranza!$B298,Recibos!L$4:L$7493)</f>
        <v>300</v>
      </c>
      <c r="BA298" s="311">
        <f>SUMIF(Recibos!$D$4:$D$7493,Cobranza!$B298,Recibos!M$4:M$7493)</f>
        <v>300</v>
      </c>
      <c r="BB298" s="311">
        <f>SUMIF(Recibos!$D$4:$D$7493,Cobranza!$B298,Recibos!N$4:N$7493)</f>
        <v>300</v>
      </c>
      <c r="BC298" s="311">
        <f>SUMIF(Recibos!$D$4:$D$7493,Cobranza!$B298,Recibos!O$4:O$7493)</f>
        <v>300</v>
      </c>
      <c r="BD298" s="311">
        <f>SUMIF(Recibos!$D$4:$D$7493,Cobranza!$B298,Recibos!P$4:P$7493)</f>
        <v>300</v>
      </c>
      <c r="BE298" s="311">
        <f>SUMIF(Recibos!$D$4:$D$7493,Cobranza!$B298,Recibos!Q$4:Q$7493)</f>
        <v>300</v>
      </c>
      <c r="BF298" s="311">
        <f>SUMIF(Recibos!$D$4:$D$7493,Cobranza!$B298,Recibos!R$4:R$7493)</f>
        <v>300</v>
      </c>
      <c r="BG298" s="311">
        <f>SUMIF(Recibos!$D$4:$D$7493,Cobranza!$B298,Recibos!S$4:S$7493)</f>
        <v>200</v>
      </c>
      <c r="BH298" s="311">
        <f>SUMIF(Recibos!$D$4:$D$7493,Cobranza!$B298,Recibos!T$4:T$7493)</f>
        <v>200</v>
      </c>
      <c r="BI298" s="311">
        <f>SUMIF(Recibos!$D$4:$D$7493,Cobranza!$B298,Recibos!U$4:U$7493)</f>
        <v>300</v>
      </c>
      <c r="BJ298" s="311">
        <f>SUMIF(Recibos!$D$4:$D$7493,Cobranza!$B298,Recibos!V$4:V$7493)</f>
        <v>200</v>
      </c>
      <c r="BK298" s="312">
        <f t="shared" si="43"/>
        <v>3300</v>
      </c>
      <c r="BL298" s="311">
        <f>SUMIF(Recibos!$D$4:$D$7493,Cobranza!$B298,Recibos!X$4:X$7493)</f>
        <v>250</v>
      </c>
      <c r="BM298" s="311">
        <f>SUMIF(Recibos!$D$4:$D$7493,Cobranza!$B298,Recibos!Y$4:Y$7493)</f>
        <v>250</v>
      </c>
      <c r="BN298" s="311">
        <f>SUMIF(Recibos!$D$4:$D$7493,Cobranza!$B298,Recibos!Z$4:Z$7493)</f>
        <v>250</v>
      </c>
      <c r="BO298" s="311">
        <f>SUMIF(Recibos!$D$4:$D$7493,Cobranza!$B298,Recibos!AA$4:AA$7493)</f>
        <v>250</v>
      </c>
      <c r="BP298" s="311">
        <f>SUMIF(Recibos!$D$4:$D$7493,Cobranza!$B298,Recibos!AB$4:AB$7493)</f>
        <v>250</v>
      </c>
      <c r="BQ298" s="311">
        <f>SUMIF(Recibos!$D$4:$D$7493,Cobranza!$B298,Recibos!AC$4:AC$7493)</f>
        <v>250</v>
      </c>
      <c r="BR298" s="311">
        <f>SUMIF(Recibos!$D$4:$D$7493,Cobranza!$B298,Recibos!AD$4:AD$7493)</f>
        <v>250</v>
      </c>
      <c r="BS298" s="311">
        <f>SUMIF(Recibos!$D$4:$D$7493,Cobranza!$B298,Recibos!AE$4:AE$7493)</f>
        <v>250</v>
      </c>
      <c r="BT298" s="311">
        <f>SUMIF(Recibos!$D$4:$D$7493,Cobranza!$B298,Recibos!AF$4:AF$7493)</f>
        <v>250</v>
      </c>
      <c r="BU298" s="311">
        <f>SUMIF(Recibos!$D$4:$D$7493,Cobranza!$B298,Recibos!AG$4:AG$7493)</f>
        <v>250</v>
      </c>
      <c r="BV298" s="311">
        <f>SUMIF(Recibos!$D$4:$D$7493,Cobranza!$B298,Recibos!AH$4:AH$7493)</f>
        <v>250</v>
      </c>
      <c r="BW298" s="311">
        <f>SUMIF(Recibos!$D$4:$D$7493,Cobranza!$B298,Recibos!AI$4:AI$7493)</f>
        <v>250</v>
      </c>
      <c r="BX298" s="312">
        <f t="shared" si="44"/>
        <v>3000</v>
      </c>
      <c r="BY298" s="311">
        <f>SUMIF(Recibos!$D$4:$D$7493,Cobranza!$B298,Recibos!AK$4:AK$7493)</f>
        <v>250</v>
      </c>
      <c r="BZ298" s="311">
        <f>SUMIF(Recibos!$D$4:$D$7493,Cobranza!$B298,Recibos!AL$4:AL$7493)</f>
        <v>250</v>
      </c>
      <c r="CA298" s="311">
        <f>SUMIF(Recibos!$D$4:$D$7493,Cobranza!$B298,Recibos!AM$4:AM$7493)</f>
        <v>250</v>
      </c>
      <c r="CB298" s="311">
        <f>SUMIF(Recibos!$D$4:$D$7493,Cobranza!$B298,Recibos!AN$4:AN$7493)</f>
        <v>250</v>
      </c>
      <c r="CC298" s="311">
        <f>SUMIF(Recibos!$D$4:$D$7493,Cobranza!$B298,Recibos!AO$4:AO$7493)</f>
        <v>250</v>
      </c>
      <c r="CD298" s="311">
        <f>SUMIF(Recibos!$D$4:$D$7493,Cobranza!$B298,Recibos!AP$4:AP$7493)</f>
        <v>250</v>
      </c>
      <c r="CE298" s="311">
        <f>SUMIF(Recibos!$D$4:$D$7493,Cobranza!$B298,Recibos!AQ$4:AQ$7493)</f>
        <v>250</v>
      </c>
      <c r="CF298" s="311">
        <f>SUMIF(Recibos!$D$4:$D$7493,Cobranza!$B298,Recibos!AR$4:AR$7493)</f>
        <v>250</v>
      </c>
      <c r="CG298" s="311">
        <f>SUMIF(Recibos!$D$4:$D$7493,Cobranza!$B298,Recibos!AS$4:AS$7493)</f>
        <v>250</v>
      </c>
      <c r="CH298" s="311">
        <f>SUMIF(Recibos!$D$4:$D$7493,Cobranza!$B298,Recibos!AT$4:AT$7493)</f>
        <v>0</v>
      </c>
      <c r="CI298" s="311">
        <f>SUMIF(Recibos!$D$4:$D$7493,Cobranza!$B298,Recibos!AU$4:AU$7493)</f>
        <v>0</v>
      </c>
      <c r="CJ298" s="311">
        <f>SUMIF(Recibos!$D$4:$D$7493,Cobranza!$B298,Recibos!AV$4:AV$7493)</f>
        <v>0</v>
      </c>
      <c r="CK298" s="312">
        <f t="shared" si="38"/>
        <v>2250</v>
      </c>
    </row>
    <row r="299" spans="2:89" x14ac:dyDescent="0.2">
      <c r="B299" s="45" t="s">
        <v>268</v>
      </c>
      <c r="C299" s="45" t="s">
        <v>269</v>
      </c>
      <c r="D299" s="45" t="s">
        <v>270</v>
      </c>
      <c r="E299" s="46">
        <v>0</v>
      </c>
      <c r="F299" s="46">
        <v>0</v>
      </c>
      <c r="G299" s="46">
        <v>300</v>
      </c>
      <c r="H299" s="46">
        <v>300</v>
      </c>
      <c r="I299" s="46">
        <v>300</v>
      </c>
      <c r="J299" s="46">
        <v>600</v>
      </c>
      <c r="K299" s="47">
        <f t="shared" si="39"/>
        <v>1500</v>
      </c>
      <c r="L299" s="46">
        <v>300</v>
      </c>
      <c r="M299" s="46">
        <v>300</v>
      </c>
      <c r="N299" s="46">
        <v>300</v>
      </c>
      <c r="O299" s="46">
        <v>300</v>
      </c>
      <c r="P299" s="46">
        <v>300</v>
      </c>
      <c r="Q299" s="46">
        <v>300</v>
      </c>
      <c r="R299" s="46">
        <v>300</v>
      </c>
      <c r="S299" s="46">
        <v>300</v>
      </c>
      <c r="T299" s="46">
        <v>300</v>
      </c>
      <c r="U299" s="46">
        <v>300</v>
      </c>
      <c r="V299" s="46">
        <v>300</v>
      </c>
      <c r="W299" s="46">
        <v>300</v>
      </c>
      <c r="X299" s="47">
        <f t="shared" si="40"/>
        <v>3600</v>
      </c>
      <c r="Y299" s="46">
        <v>300</v>
      </c>
      <c r="Z299" s="46">
        <v>300</v>
      </c>
      <c r="AA299" s="46">
        <v>300</v>
      </c>
      <c r="AB299" s="46">
        <v>300</v>
      </c>
      <c r="AC299" s="46">
        <v>300</v>
      </c>
      <c r="AD299" s="46">
        <v>300</v>
      </c>
      <c r="AE299" s="46">
        <v>300</v>
      </c>
      <c r="AF299" s="46">
        <v>300</v>
      </c>
      <c r="AG299" s="46">
        <v>300</v>
      </c>
      <c r="AH299" s="46">
        <v>300</v>
      </c>
      <c r="AI299" s="46">
        <v>300</v>
      </c>
      <c r="AJ299" s="46">
        <v>300</v>
      </c>
      <c r="AK299" s="47">
        <f t="shared" si="41"/>
        <v>3600</v>
      </c>
      <c r="AL299" s="46">
        <v>300</v>
      </c>
      <c r="AM299" s="46">
        <v>300</v>
      </c>
      <c r="AN299" s="46">
        <v>300</v>
      </c>
      <c r="AO299" s="46">
        <v>300</v>
      </c>
      <c r="AP299" s="46">
        <v>300</v>
      </c>
      <c r="AQ299" s="46">
        <v>300</v>
      </c>
      <c r="AR299" s="46">
        <v>300</v>
      </c>
      <c r="AS299" s="46">
        <v>300</v>
      </c>
      <c r="AT299" s="46">
        <v>300</v>
      </c>
      <c r="AU299" s="46">
        <v>300</v>
      </c>
      <c r="AV299" s="46">
        <v>300</v>
      </c>
      <c r="AW299" s="46">
        <v>300</v>
      </c>
      <c r="AX299" s="47">
        <f t="shared" si="42"/>
        <v>3600</v>
      </c>
      <c r="AY299" s="313">
        <f>SUMIF(Recibos!$D$4:$D$7493,Cobranza!$B299,Recibos!K$4:K$7493)</f>
        <v>300</v>
      </c>
      <c r="AZ299" s="313">
        <f>SUMIF(Recibos!$D$4:$D$7493,Cobranza!$B299,Recibos!L$4:L$7493)</f>
        <v>300</v>
      </c>
      <c r="BA299" s="313">
        <f>SUMIF(Recibos!$D$4:$D$7493,Cobranza!$B299,Recibos!M$4:M$7493)</f>
        <v>300</v>
      </c>
      <c r="BB299" s="313">
        <f>SUMIF(Recibos!$D$4:$D$7493,Cobranza!$B299,Recibos!N$4:N$7493)</f>
        <v>300</v>
      </c>
      <c r="BC299" s="313">
        <f>SUMIF(Recibos!$D$4:$D$7493,Cobranza!$B299,Recibos!O$4:O$7493)</f>
        <v>300</v>
      </c>
      <c r="BD299" s="313">
        <f>SUMIF(Recibos!$D$4:$D$7493,Cobranza!$B299,Recibos!P$4:P$7493)</f>
        <v>300</v>
      </c>
      <c r="BE299" s="313">
        <f>SUMIF(Recibos!$D$4:$D$7493,Cobranza!$B299,Recibos!Q$4:Q$7493)</f>
        <v>300</v>
      </c>
      <c r="BF299" s="313">
        <f>SUMIF(Recibos!$D$4:$D$7493,Cobranza!$B299,Recibos!R$4:R$7493)</f>
        <v>300</v>
      </c>
      <c r="BG299" s="313">
        <f>SUMIF(Recibos!$D$4:$D$7493,Cobranza!$B299,Recibos!S$4:S$7493)</f>
        <v>300</v>
      </c>
      <c r="BH299" s="313">
        <f>SUMIF(Recibos!$D$4:$D$7493,Cobranza!$B299,Recibos!T$4:T$7493)</f>
        <v>300</v>
      </c>
      <c r="BI299" s="313">
        <f>SUMIF(Recibos!$D$4:$D$7493,Cobranza!$B299,Recibos!U$4:U$7493)</f>
        <v>300</v>
      </c>
      <c r="BJ299" s="313">
        <f>SUMIF(Recibos!$D$4:$D$7493,Cobranza!$B299,Recibos!V$4:V$7493)</f>
        <v>300</v>
      </c>
      <c r="BK299" s="314">
        <f t="shared" si="43"/>
        <v>3600</v>
      </c>
      <c r="BL299" s="313">
        <f>SUMIF(Recibos!$D$4:$D$7493,Cobranza!$B299,Recibos!X$4:X$7493)</f>
        <v>300</v>
      </c>
      <c r="BM299" s="313">
        <f>SUMIF(Recibos!$D$4:$D$7493,Cobranza!$B299,Recibos!Y$4:Y$7493)</f>
        <v>300</v>
      </c>
      <c r="BN299" s="313">
        <f>SUMIF(Recibos!$D$4:$D$7493,Cobranza!$B299,Recibos!Z$4:Z$7493)</f>
        <v>300</v>
      </c>
      <c r="BO299" s="313">
        <f>SUMIF(Recibos!$D$4:$D$7493,Cobranza!$B299,Recibos!AA$4:AA$7493)</f>
        <v>300</v>
      </c>
      <c r="BP299" s="313">
        <f>SUMIF(Recibos!$D$4:$D$7493,Cobranza!$B299,Recibos!AB$4:AB$7493)</f>
        <v>300</v>
      </c>
      <c r="BQ299" s="313">
        <f>SUMIF(Recibos!$D$4:$D$7493,Cobranza!$B299,Recibos!AC$4:AC$7493)</f>
        <v>300</v>
      </c>
      <c r="BR299" s="313">
        <f>SUMIF(Recibos!$D$4:$D$7493,Cobranza!$B299,Recibos!AD$4:AD$7493)</f>
        <v>300</v>
      </c>
      <c r="BS299" s="313">
        <f>SUMIF(Recibos!$D$4:$D$7493,Cobranza!$B299,Recibos!AE$4:AE$7493)</f>
        <v>300</v>
      </c>
      <c r="BT299" s="313">
        <f>SUMIF(Recibos!$D$4:$D$7493,Cobranza!$B299,Recibos!AF$4:AF$7493)</f>
        <v>300</v>
      </c>
      <c r="BU299" s="313">
        <f>SUMIF(Recibos!$D$4:$D$7493,Cobranza!$B299,Recibos!AG$4:AG$7493)</f>
        <v>300</v>
      </c>
      <c r="BV299" s="313">
        <f>SUMIF(Recibos!$D$4:$D$7493,Cobranza!$B299,Recibos!AH$4:AH$7493)</f>
        <v>300</v>
      </c>
      <c r="BW299" s="313">
        <f>SUMIF(Recibos!$D$4:$D$7493,Cobranza!$B299,Recibos!AI$4:AI$7493)</f>
        <v>300</v>
      </c>
      <c r="BX299" s="314">
        <f t="shared" si="44"/>
        <v>3600</v>
      </c>
      <c r="BY299" s="313">
        <f>SUMIF(Recibos!$D$4:$D$7493,Cobranza!$B299,Recibos!AK$4:AK$7493)</f>
        <v>300</v>
      </c>
      <c r="BZ299" s="313">
        <f>SUMIF(Recibos!$D$4:$D$7493,Cobranza!$B299,Recibos!AL$4:AL$7493)</f>
        <v>300</v>
      </c>
      <c r="CA299" s="313">
        <f>SUMIF(Recibos!$D$4:$D$7493,Cobranza!$B299,Recibos!AM$4:AM$7493)</f>
        <v>300</v>
      </c>
      <c r="CB299" s="313">
        <f>SUMIF(Recibos!$D$4:$D$7493,Cobranza!$B299,Recibos!AN$4:AN$7493)</f>
        <v>300</v>
      </c>
      <c r="CC299" s="313">
        <f>SUMIF(Recibos!$D$4:$D$7493,Cobranza!$B299,Recibos!AO$4:AO$7493)</f>
        <v>300</v>
      </c>
      <c r="CD299" s="313">
        <f>SUMIF(Recibos!$D$4:$D$7493,Cobranza!$B299,Recibos!AP$4:AP$7493)</f>
        <v>300</v>
      </c>
      <c r="CE299" s="313">
        <f>SUMIF(Recibos!$D$4:$D$7493,Cobranza!$B299,Recibos!AQ$4:AQ$7493)</f>
        <v>300</v>
      </c>
      <c r="CF299" s="313">
        <f>SUMIF(Recibos!$D$4:$D$7493,Cobranza!$B299,Recibos!AR$4:AR$7493)</f>
        <v>300</v>
      </c>
      <c r="CG299" s="313">
        <f>SUMIF(Recibos!$D$4:$D$7493,Cobranza!$B299,Recibos!AS$4:AS$7493)</f>
        <v>300</v>
      </c>
      <c r="CH299" s="313">
        <f>SUMIF(Recibos!$D$4:$D$7493,Cobranza!$B299,Recibos!AT$4:AT$7493)</f>
        <v>300</v>
      </c>
      <c r="CI299" s="313">
        <f>SUMIF(Recibos!$D$4:$D$7493,Cobranza!$B299,Recibos!AU$4:AU$7493)</f>
        <v>0</v>
      </c>
      <c r="CJ299" s="313">
        <f>SUMIF(Recibos!$D$4:$D$7493,Cobranza!$B299,Recibos!AV$4:AV$7493)</f>
        <v>0</v>
      </c>
      <c r="CK299" s="314">
        <f t="shared" si="38"/>
        <v>3000</v>
      </c>
    </row>
    <row r="300" spans="2:89" x14ac:dyDescent="0.2">
      <c r="B300" s="42" t="s">
        <v>247</v>
      </c>
      <c r="C300" s="42" t="s">
        <v>248</v>
      </c>
      <c r="D300" s="42" t="s">
        <v>249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300</v>
      </c>
      <c r="K300" s="44">
        <f t="shared" si="39"/>
        <v>300</v>
      </c>
      <c r="L300" s="43">
        <v>300</v>
      </c>
      <c r="M300" s="43">
        <v>300</v>
      </c>
      <c r="N300" s="43">
        <v>300</v>
      </c>
      <c r="O300" s="43">
        <v>300</v>
      </c>
      <c r="P300" s="43">
        <v>300</v>
      </c>
      <c r="Q300" s="43">
        <v>300</v>
      </c>
      <c r="R300" s="43">
        <v>300</v>
      </c>
      <c r="S300" s="43">
        <v>300</v>
      </c>
      <c r="T300" s="43">
        <v>300</v>
      </c>
      <c r="U300" s="43">
        <v>300</v>
      </c>
      <c r="V300" s="43">
        <v>400</v>
      </c>
      <c r="W300" s="43">
        <v>400</v>
      </c>
      <c r="X300" s="44">
        <f t="shared" si="40"/>
        <v>3800</v>
      </c>
      <c r="Y300" s="43">
        <v>400</v>
      </c>
      <c r="Z300" s="43">
        <v>400</v>
      </c>
      <c r="AA300" s="43">
        <v>400</v>
      </c>
      <c r="AB300" s="43">
        <v>400</v>
      </c>
      <c r="AC300" s="43">
        <v>400</v>
      </c>
      <c r="AD300" s="43">
        <v>400</v>
      </c>
      <c r="AE300" s="43">
        <v>400</v>
      </c>
      <c r="AF300" s="43">
        <v>400</v>
      </c>
      <c r="AG300" s="43">
        <v>400</v>
      </c>
      <c r="AH300" s="43">
        <v>400</v>
      </c>
      <c r="AI300" s="43">
        <v>400</v>
      </c>
      <c r="AJ300" s="43">
        <v>400</v>
      </c>
      <c r="AK300" s="44">
        <f t="shared" si="41"/>
        <v>4800</v>
      </c>
      <c r="AL300" s="43">
        <v>400</v>
      </c>
      <c r="AM300" s="43">
        <v>400</v>
      </c>
      <c r="AN300" s="43">
        <v>400</v>
      </c>
      <c r="AO300" s="43">
        <v>400</v>
      </c>
      <c r="AP300" s="43">
        <v>400</v>
      </c>
      <c r="AQ300" s="43">
        <v>400</v>
      </c>
      <c r="AR300" s="43">
        <v>400</v>
      </c>
      <c r="AS300" s="43">
        <v>400</v>
      </c>
      <c r="AT300" s="43">
        <v>400</v>
      </c>
      <c r="AU300" s="43">
        <v>400</v>
      </c>
      <c r="AV300" s="43">
        <v>400</v>
      </c>
      <c r="AW300" s="43">
        <v>400</v>
      </c>
      <c r="AX300" s="44">
        <f t="shared" si="42"/>
        <v>4800</v>
      </c>
      <c r="AY300" s="311">
        <f>SUMIF(Recibos!$D$4:$D$7493,Cobranza!$B300,Recibos!K$4:K$7493)</f>
        <v>400</v>
      </c>
      <c r="AZ300" s="311">
        <f>SUMIF(Recibos!$D$4:$D$7493,Cobranza!$B300,Recibos!L$4:L$7493)</f>
        <v>400</v>
      </c>
      <c r="BA300" s="311">
        <f>SUMIF(Recibos!$D$4:$D$7493,Cobranza!$B300,Recibos!M$4:M$7493)</f>
        <v>400</v>
      </c>
      <c r="BB300" s="311">
        <f>SUMIF(Recibos!$D$4:$D$7493,Cobranza!$B300,Recibos!N$4:N$7493)</f>
        <v>400</v>
      </c>
      <c r="BC300" s="311">
        <f>SUMIF(Recibos!$D$4:$D$7493,Cobranza!$B300,Recibos!O$4:O$7493)</f>
        <v>400</v>
      </c>
      <c r="BD300" s="311">
        <f>SUMIF(Recibos!$D$4:$D$7493,Cobranza!$B300,Recibos!P$4:P$7493)</f>
        <v>400</v>
      </c>
      <c r="BE300" s="311">
        <f>SUMIF(Recibos!$D$4:$D$7493,Cobranza!$B300,Recibos!Q$4:Q$7493)</f>
        <v>400</v>
      </c>
      <c r="BF300" s="311">
        <f>SUMIF(Recibos!$D$4:$D$7493,Cobranza!$B300,Recibos!R$4:R$7493)</f>
        <v>400</v>
      </c>
      <c r="BG300" s="311">
        <f>SUMIF(Recibos!$D$4:$D$7493,Cobranza!$B300,Recibos!S$4:S$7493)</f>
        <v>400</v>
      </c>
      <c r="BH300" s="311">
        <f>SUMIF(Recibos!$D$4:$D$7493,Cobranza!$B300,Recibos!T$4:T$7493)</f>
        <v>400</v>
      </c>
      <c r="BI300" s="311">
        <f>SUMIF(Recibos!$D$4:$D$7493,Cobranza!$B300,Recibos!U$4:U$7493)</f>
        <v>400</v>
      </c>
      <c r="BJ300" s="311">
        <f>SUMIF(Recibos!$D$4:$D$7493,Cobranza!$B300,Recibos!V$4:V$7493)</f>
        <v>400</v>
      </c>
      <c r="BK300" s="312">
        <f t="shared" si="43"/>
        <v>4800</v>
      </c>
      <c r="BL300" s="311">
        <f>SUMIF(Recibos!$D$4:$D$7493,Cobranza!$B300,Recibos!X$4:X$7493)</f>
        <v>400</v>
      </c>
      <c r="BM300" s="311">
        <f>SUMIF(Recibos!$D$4:$D$7493,Cobranza!$B300,Recibos!Y$4:Y$7493)</f>
        <v>400</v>
      </c>
      <c r="BN300" s="311">
        <f>SUMIF(Recibos!$D$4:$D$7493,Cobranza!$B300,Recibos!Z$4:Z$7493)</f>
        <v>400</v>
      </c>
      <c r="BO300" s="311">
        <f>SUMIF(Recibos!$D$4:$D$7493,Cobranza!$B300,Recibos!AA$4:AA$7493)</f>
        <v>400</v>
      </c>
      <c r="BP300" s="311">
        <f>SUMIF(Recibos!$D$4:$D$7493,Cobranza!$B300,Recibos!AB$4:AB$7493)</f>
        <v>400</v>
      </c>
      <c r="BQ300" s="311">
        <f>SUMIF(Recibos!$D$4:$D$7493,Cobranza!$B300,Recibos!AC$4:AC$7493)</f>
        <v>400</v>
      </c>
      <c r="BR300" s="311">
        <f>SUMIF(Recibos!$D$4:$D$7493,Cobranza!$B300,Recibos!AD$4:AD$7493)</f>
        <v>400</v>
      </c>
      <c r="BS300" s="311">
        <f>SUMIF(Recibos!$D$4:$D$7493,Cobranza!$B300,Recibos!AE$4:AE$7493)</f>
        <v>400</v>
      </c>
      <c r="BT300" s="311">
        <f>SUMIF(Recibos!$D$4:$D$7493,Cobranza!$B300,Recibos!AF$4:AF$7493)</f>
        <v>400</v>
      </c>
      <c r="BU300" s="311">
        <f>SUMIF(Recibos!$D$4:$D$7493,Cobranza!$B300,Recibos!AG$4:AG$7493)</f>
        <v>400</v>
      </c>
      <c r="BV300" s="311">
        <f>SUMIF(Recibos!$D$4:$D$7493,Cobranza!$B300,Recibos!AH$4:AH$7493)</f>
        <v>400</v>
      </c>
      <c r="BW300" s="311">
        <f>SUMIF(Recibos!$D$4:$D$7493,Cobranza!$B300,Recibos!AI$4:AI$7493)</f>
        <v>400</v>
      </c>
      <c r="BX300" s="312">
        <f t="shared" si="44"/>
        <v>4800</v>
      </c>
      <c r="BY300" s="311">
        <f>SUMIF(Recibos!$D$4:$D$7493,Cobranza!$B300,Recibos!AK$4:AK$7493)</f>
        <v>400</v>
      </c>
      <c r="BZ300" s="311">
        <f>SUMIF(Recibos!$D$4:$D$7493,Cobranza!$B300,Recibos!AL$4:AL$7493)</f>
        <v>400</v>
      </c>
      <c r="CA300" s="311">
        <f>SUMIF(Recibos!$D$4:$D$7493,Cobranza!$B300,Recibos!AM$4:AM$7493)</f>
        <v>400</v>
      </c>
      <c r="CB300" s="311">
        <f>SUMIF(Recibos!$D$4:$D$7493,Cobranza!$B300,Recibos!AN$4:AN$7493)</f>
        <v>400</v>
      </c>
      <c r="CC300" s="311">
        <f>SUMIF(Recibos!$D$4:$D$7493,Cobranza!$B300,Recibos!AO$4:AO$7493)</f>
        <v>0</v>
      </c>
      <c r="CD300" s="311">
        <f>SUMIF(Recibos!$D$4:$D$7493,Cobranza!$B300,Recibos!AP$4:AP$7493)</f>
        <v>0</v>
      </c>
      <c r="CE300" s="311">
        <f>SUMIF(Recibos!$D$4:$D$7493,Cobranza!$B300,Recibos!AQ$4:AQ$7493)</f>
        <v>400</v>
      </c>
      <c r="CF300" s="311">
        <f>SUMIF(Recibos!$D$4:$D$7493,Cobranza!$B300,Recibos!AR$4:AR$7493)</f>
        <v>400</v>
      </c>
      <c r="CG300" s="311">
        <f>SUMIF(Recibos!$D$4:$D$7493,Cobranza!$B300,Recibos!AS$4:AS$7493)</f>
        <v>400</v>
      </c>
      <c r="CH300" s="311">
        <f>SUMIF(Recibos!$D$4:$D$7493,Cobranza!$B300,Recibos!AT$4:AT$7493)</f>
        <v>400</v>
      </c>
      <c r="CI300" s="311">
        <f>SUMIF(Recibos!$D$4:$D$7493,Cobranza!$B300,Recibos!AU$4:AU$7493)</f>
        <v>0</v>
      </c>
      <c r="CJ300" s="311">
        <f>SUMIF(Recibos!$D$4:$D$7493,Cobranza!$B300,Recibos!AV$4:AV$7493)</f>
        <v>0</v>
      </c>
      <c r="CK300" s="312">
        <f t="shared" si="38"/>
        <v>3200</v>
      </c>
    </row>
    <row r="301" spans="2:89" x14ac:dyDescent="0.2">
      <c r="B301" s="45" t="s">
        <v>1203</v>
      </c>
      <c r="C301" s="45" t="s">
        <v>1204</v>
      </c>
      <c r="D301" s="45" t="s">
        <v>1205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300</v>
      </c>
      <c r="K301" s="47">
        <f t="shared" si="39"/>
        <v>300</v>
      </c>
      <c r="L301" s="46">
        <v>300</v>
      </c>
      <c r="M301" s="46">
        <v>300</v>
      </c>
      <c r="N301" s="46">
        <v>300</v>
      </c>
      <c r="O301" s="46">
        <v>0</v>
      </c>
      <c r="P301" s="46">
        <v>0</v>
      </c>
      <c r="Q301" s="46">
        <v>0</v>
      </c>
      <c r="R301" s="46">
        <v>0</v>
      </c>
      <c r="S301" s="46">
        <v>0</v>
      </c>
      <c r="T301" s="46">
        <v>0</v>
      </c>
      <c r="U301" s="46">
        <v>0</v>
      </c>
      <c r="V301" s="46">
        <v>0</v>
      </c>
      <c r="W301" s="46">
        <v>0</v>
      </c>
      <c r="X301" s="47">
        <f t="shared" si="40"/>
        <v>900</v>
      </c>
      <c r="Y301" s="46">
        <v>0</v>
      </c>
      <c r="Z301" s="46">
        <v>0</v>
      </c>
      <c r="AA301" s="46">
        <v>0</v>
      </c>
      <c r="AB301" s="46">
        <v>0</v>
      </c>
      <c r="AC301" s="46">
        <v>0</v>
      </c>
      <c r="AD301" s="46">
        <v>0</v>
      </c>
      <c r="AE301" s="46">
        <v>0</v>
      </c>
      <c r="AF301" s="46">
        <v>0</v>
      </c>
      <c r="AG301" s="46">
        <v>0</v>
      </c>
      <c r="AH301" s="46">
        <v>0</v>
      </c>
      <c r="AI301" s="46">
        <v>0</v>
      </c>
      <c r="AJ301" s="46">
        <v>0</v>
      </c>
      <c r="AK301" s="47">
        <f t="shared" si="41"/>
        <v>0</v>
      </c>
      <c r="AL301" s="46">
        <v>0</v>
      </c>
      <c r="AM301" s="46">
        <v>0</v>
      </c>
      <c r="AN301" s="46">
        <v>0</v>
      </c>
      <c r="AO301" s="46">
        <v>0</v>
      </c>
      <c r="AP301" s="46">
        <v>0</v>
      </c>
      <c r="AQ301" s="46">
        <v>0</v>
      </c>
      <c r="AR301" s="46">
        <v>0</v>
      </c>
      <c r="AS301" s="46">
        <v>0</v>
      </c>
      <c r="AT301" s="46">
        <v>0</v>
      </c>
      <c r="AU301" s="46">
        <v>0</v>
      </c>
      <c r="AV301" s="46">
        <v>0</v>
      </c>
      <c r="AW301" s="46">
        <v>0</v>
      </c>
      <c r="AX301" s="47">
        <f t="shared" si="42"/>
        <v>0</v>
      </c>
      <c r="AY301" s="313">
        <f>SUMIF(Recibos!$D$4:$D$7493,Cobranza!$B301,Recibos!K$4:K$7493)</f>
        <v>0</v>
      </c>
      <c r="AZ301" s="313">
        <f>SUMIF(Recibos!$D$4:$D$7493,Cobranza!$B301,Recibos!L$4:L$7493)</f>
        <v>0</v>
      </c>
      <c r="BA301" s="313">
        <f>SUMIF(Recibos!$D$4:$D$7493,Cobranza!$B301,Recibos!M$4:M$7493)</f>
        <v>0</v>
      </c>
      <c r="BB301" s="313">
        <f>SUMIF(Recibos!$D$4:$D$7493,Cobranza!$B301,Recibos!N$4:N$7493)</f>
        <v>0</v>
      </c>
      <c r="BC301" s="313">
        <f>SUMIF(Recibos!$D$4:$D$7493,Cobranza!$B301,Recibos!O$4:O$7493)</f>
        <v>0</v>
      </c>
      <c r="BD301" s="313">
        <f>SUMIF(Recibos!$D$4:$D$7493,Cobranza!$B301,Recibos!P$4:P$7493)</f>
        <v>0</v>
      </c>
      <c r="BE301" s="313">
        <f>SUMIF(Recibos!$D$4:$D$7493,Cobranza!$B301,Recibos!Q$4:Q$7493)</f>
        <v>0</v>
      </c>
      <c r="BF301" s="313">
        <f>SUMIF(Recibos!$D$4:$D$7493,Cobranza!$B301,Recibos!R$4:R$7493)</f>
        <v>0</v>
      </c>
      <c r="BG301" s="313">
        <f>SUMIF(Recibos!$D$4:$D$7493,Cobranza!$B301,Recibos!S$4:S$7493)</f>
        <v>0</v>
      </c>
      <c r="BH301" s="313">
        <f>SUMIF(Recibos!$D$4:$D$7493,Cobranza!$B301,Recibos!T$4:T$7493)</f>
        <v>300</v>
      </c>
      <c r="BI301" s="313">
        <f>SUMIF(Recibos!$D$4:$D$7493,Cobranza!$B301,Recibos!U$4:U$7493)</f>
        <v>300</v>
      </c>
      <c r="BJ301" s="313">
        <f>SUMIF(Recibos!$D$4:$D$7493,Cobranza!$B301,Recibos!V$4:V$7493)</f>
        <v>300</v>
      </c>
      <c r="BK301" s="314">
        <f t="shared" si="43"/>
        <v>900</v>
      </c>
      <c r="BL301" s="313">
        <f>SUMIF(Recibos!$D$4:$D$7493,Cobranza!$B301,Recibos!X$4:X$7493)</f>
        <v>300</v>
      </c>
      <c r="BM301" s="313">
        <f>SUMIF(Recibos!$D$4:$D$7493,Cobranza!$B301,Recibos!Y$4:Y$7493)</f>
        <v>300</v>
      </c>
      <c r="BN301" s="313">
        <f>SUMIF(Recibos!$D$4:$D$7493,Cobranza!$B301,Recibos!Z$4:Z$7493)</f>
        <v>300</v>
      </c>
      <c r="BO301" s="313">
        <f>SUMIF(Recibos!$D$4:$D$7493,Cobranza!$B301,Recibos!AA$4:AA$7493)</f>
        <v>0</v>
      </c>
      <c r="BP301" s="313">
        <f>SUMIF(Recibos!$D$4:$D$7493,Cobranza!$B301,Recibos!AB$4:AB$7493)</f>
        <v>300</v>
      </c>
      <c r="BQ301" s="313">
        <f>SUMIF(Recibos!$D$4:$D$7493,Cobranza!$B301,Recibos!AC$4:AC$7493)</f>
        <v>300</v>
      </c>
      <c r="BR301" s="313">
        <f>SUMIF(Recibos!$D$4:$D$7493,Cobranza!$B301,Recibos!AD$4:AD$7493)</f>
        <v>0</v>
      </c>
      <c r="BS301" s="313">
        <f>SUMIF(Recibos!$D$4:$D$7493,Cobranza!$B301,Recibos!AE$4:AE$7493)</f>
        <v>0</v>
      </c>
      <c r="BT301" s="313">
        <f>SUMIF(Recibos!$D$4:$D$7493,Cobranza!$B301,Recibos!AF$4:AF$7493)</f>
        <v>0</v>
      </c>
      <c r="BU301" s="313">
        <f>SUMIF(Recibos!$D$4:$D$7493,Cobranza!$B301,Recibos!AG$4:AG$7493)</f>
        <v>0</v>
      </c>
      <c r="BV301" s="313">
        <f>SUMIF(Recibos!$D$4:$D$7493,Cobranza!$B301,Recibos!AH$4:AH$7493)</f>
        <v>0</v>
      </c>
      <c r="BW301" s="313">
        <f>SUMIF(Recibos!$D$4:$D$7493,Cobranza!$B301,Recibos!AI$4:AI$7493)</f>
        <v>0</v>
      </c>
      <c r="BX301" s="314">
        <f t="shared" si="44"/>
        <v>1500</v>
      </c>
      <c r="BY301" s="313">
        <f>SUMIF(Recibos!$D$4:$D$7493,Cobranza!$B301,Recibos!AK$4:AK$7493)</f>
        <v>300</v>
      </c>
      <c r="BZ301" s="313">
        <f>SUMIF(Recibos!$D$4:$D$7493,Cobranza!$B301,Recibos!AL$4:AL$7493)</f>
        <v>300</v>
      </c>
      <c r="CA301" s="313">
        <f>SUMIF(Recibos!$D$4:$D$7493,Cobranza!$B301,Recibos!AM$4:AM$7493)</f>
        <v>300</v>
      </c>
      <c r="CB301" s="313">
        <f>SUMIF(Recibos!$D$4:$D$7493,Cobranza!$B301,Recibos!AN$4:AN$7493)</f>
        <v>300</v>
      </c>
      <c r="CC301" s="313">
        <f>SUMIF(Recibos!$D$4:$D$7493,Cobranza!$B301,Recibos!AO$4:AO$7493)</f>
        <v>300</v>
      </c>
      <c r="CD301" s="313">
        <f>SUMIF(Recibos!$D$4:$D$7493,Cobranza!$B301,Recibos!AP$4:AP$7493)</f>
        <v>300</v>
      </c>
      <c r="CE301" s="313">
        <f>SUMIF(Recibos!$D$4:$D$7493,Cobranza!$B301,Recibos!AQ$4:AQ$7493)</f>
        <v>300</v>
      </c>
      <c r="CF301" s="313">
        <f>SUMIF(Recibos!$D$4:$D$7493,Cobranza!$B301,Recibos!AR$4:AR$7493)</f>
        <v>300</v>
      </c>
      <c r="CG301" s="313">
        <f>SUMIF(Recibos!$D$4:$D$7493,Cobranza!$B301,Recibos!AS$4:AS$7493)</f>
        <v>0</v>
      </c>
      <c r="CH301" s="313">
        <f>SUMIF(Recibos!$D$4:$D$7493,Cobranza!$B301,Recibos!AT$4:AT$7493)</f>
        <v>0</v>
      </c>
      <c r="CI301" s="313">
        <f>SUMIF(Recibos!$D$4:$D$7493,Cobranza!$B301,Recibos!AU$4:AU$7493)</f>
        <v>0</v>
      </c>
      <c r="CJ301" s="313">
        <f>SUMIF(Recibos!$D$4:$D$7493,Cobranza!$B301,Recibos!AV$4:AV$7493)</f>
        <v>0</v>
      </c>
      <c r="CK301" s="314">
        <f t="shared" si="38"/>
        <v>2400</v>
      </c>
    </row>
    <row r="302" spans="2:89" x14ac:dyDescent="0.2">
      <c r="B302" s="42" t="s">
        <v>983</v>
      </c>
      <c r="C302" s="42" t="s">
        <v>984</v>
      </c>
      <c r="D302" s="42" t="s">
        <v>985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300</v>
      </c>
      <c r="K302" s="44">
        <f t="shared" si="39"/>
        <v>300</v>
      </c>
      <c r="L302" s="43">
        <v>300</v>
      </c>
      <c r="M302" s="43">
        <v>300</v>
      </c>
      <c r="N302" s="43">
        <v>300</v>
      </c>
      <c r="O302" s="43">
        <v>300</v>
      </c>
      <c r="P302" s="43">
        <v>300</v>
      </c>
      <c r="Q302" s="43">
        <v>300</v>
      </c>
      <c r="R302" s="43">
        <v>300</v>
      </c>
      <c r="S302" s="43">
        <v>300</v>
      </c>
      <c r="T302" s="43">
        <v>300</v>
      </c>
      <c r="U302" s="43">
        <v>400</v>
      </c>
      <c r="V302" s="43">
        <v>400</v>
      </c>
      <c r="W302" s="43">
        <v>400</v>
      </c>
      <c r="X302" s="44">
        <f t="shared" si="40"/>
        <v>3900</v>
      </c>
      <c r="Y302" s="43">
        <v>400</v>
      </c>
      <c r="Z302" s="43">
        <v>400</v>
      </c>
      <c r="AA302" s="43">
        <v>400</v>
      </c>
      <c r="AB302" s="43">
        <v>400</v>
      </c>
      <c r="AC302" s="43">
        <v>400</v>
      </c>
      <c r="AD302" s="43">
        <v>400</v>
      </c>
      <c r="AE302" s="43">
        <v>400</v>
      </c>
      <c r="AF302" s="43">
        <v>400</v>
      </c>
      <c r="AG302" s="43">
        <v>400</v>
      </c>
      <c r="AH302" s="43">
        <v>400</v>
      </c>
      <c r="AI302" s="43">
        <v>400</v>
      </c>
      <c r="AJ302" s="43">
        <v>400</v>
      </c>
      <c r="AK302" s="44">
        <f t="shared" si="41"/>
        <v>4800</v>
      </c>
      <c r="AL302" s="43">
        <v>0</v>
      </c>
      <c r="AM302" s="43">
        <v>0</v>
      </c>
      <c r="AN302" s="43">
        <v>0</v>
      </c>
      <c r="AO302" s="43">
        <v>0</v>
      </c>
      <c r="AP302" s="43">
        <v>0</v>
      </c>
      <c r="AQ302" s="43">
        <v>0</v>
      </c>
      <c r="AR302" s="43">
        <v>0</v>
      </c>
      <c r="AS302" s="43">
        <v>0</v>
      </c>
      <c r="AT302" s="43">
        <v>0</v>
      </c>
      <c r="AU302" s="43">
        <v>0</v>
      </c>
      <c r="AV302" s="43">
        <v>0</v>
      </c>
      <c r="AW302" s="43">
        <v>0</v>
      </c>
      <c r="AX302" s="44">
        <f t="shared" si="42"/>
        <v>0</v>
      </c>
      <c r="AY302" s="311">
        <f>SUMIF(Recibos!$D$4:$D$7493,Cobranza!$B302,Recibos!K$4:K$7493)</f>
        <v>400</v>
      </c>
      <c r="AZ302" s="311">
        <f>SUMIF(Recibos!$D$4:$D$7493,Cobranza!$B302,Recibos!L$4:L$7493)</f>
        <v>400</v>
      </c>
      <c r="BA302" s="311">
        <f>SUMIF(Recibos!$D$4:$D$7493,Cobranza!$B302,Recibos!M$4:M$7493)</f>
        <v>400</v>
      </c>
      <c r="BB302" s="311">
        <f>SUMIF(Recibos!$D$4:$D$7493,Cobranza!$B302,Recibos!N$4:N$7493)</f>
        <v>400</v>
      </c>
      <c r="BC302" s="311">
        <f>SUMIF(Recibos!$D$4:$D$7493,Cobranza!$B302,Recibos!O$4:O$7493)</f>
        <v>400</v>
      </c>
      <c r="BD302" s="311">
        <f>SUMIF(Recibos!$D$4:$D$7493,Cobranza!$B302,Recibos!P$4:P$7493)</f>
        <v>400</v>
      </c>
      <c r="BE302" s="311">
        <f>SUMIF(Recibos!$D$4:$D$7493,Cobranza!$B302,Recibos!Q$4:Q$7493)</f>
        <v>0</v>
      </c>
      <c r="BF302" s="311">
        <f>SUMIF(Recibos!$D$4:$D$7493,Cobranza!$B302,Recibos!R$4:R$7493)</f>
        <v>0</v>
      </c>
      <c r="BG302" s="311">
        <f>SUMIF(Recibos!$D$4:$D$7493,Cobranza!$B302,Recibos!S$4:S$7493)</f>
        <v>0</v>
      </c>
      <c r="BH302" s="311">
        <f>SUMIF(Recibos!$D$4:$D$7493,Cobranza!$B302,Recibos!T$4:T$7493)</f>
        <v>0</v>
      </c>
      <c r="BI302" s="311">
        <f>SUMIF(Recibos!$D$4:$D$7493,Cobranza!$B302,Recibos!U$4:U$7493)</f>
        <v>0</v>
      </c>
      <c r="BJ302" s="311">
        <f>SUMIF(Recibos!$D$4:$D$7493,Cobranza!$B302,Recibos!V$4:V$7493)</f>
        <v>0</v>
      </c>
      <c r="BK302" s="312">
        <f t="shared" si="43"/>
        <v>2400</v>
      </c>
      <c r="BL302" s="311">
        <f>SUMIF(Recibos!$D$4:$D$7493,Cobranza!$B302,Recibos!X$4:X$7493)</f>
        <v>0</v>
      </c>
      <c r="BM302" s="311">
        <f>SUMIF(Recibos!$D$4:$D$7493,Cobranza!$B302,Recibos!Y$4:Y$7493)</f>
        <v>0</v>
      </c>
      <c r="BN302" s="311">
        <f>SUMIF(Recibos!$D$4:$D$7493,Cobranza!$B302,Recibos!Z$4:Z$7493)</f>
        <v>0</v>
      </c>
      <c r="BO302" s="311">
        <f>SUMIF(Recibos!$D$4:$D$7493,Cobranza!$B302,Recibos!AA$4:AA$7493)</f>
        <v>0</v>
      </c>
      <c r="BP302" s="311">
        <f>SUMIF(Recibos!$D$4:$D$7493,Cobranza!$B302,Recibos!AB$4:AB$7493)</f>
        <v>0</v>
      </c>
      <c r="BQ302" s="311">
        <f>SUMIF(Recibos!$D$4:$D$7493,Cobranza!$B302,Recibos!AC$4:AC$7493)</f>
        <v>0</v>
      </c>
      <c r="BR302" s="311">
        <f>SUMIF(Recibos!$D$4:$D$7493,Cobranza!$B302,Recibos!AD$4:AD$7493)</f>
        <v>400</v>
      </c>
      <c r="BS302" s="311">
        <f>SUMIF(Recibos!$D$4:$D$7493,Cobranza!$B302,Recibos!AE$4:AE$7493)</f>
        <v>400</v>
      </c>
      <c r="BT302" s="311">
        <f>SUMIF(Recibos!$D$4:$D$7493,Cobranza!$B302,Recibos!AF$4:AF$7493)</f>
        <v>400</v>
      </c>
      <c r="BU302" s="311">
        <f>SUMIF(Recibos!$D$4:$D$7493,Cobranza!$B302,Recibos!AG$4:AG$7493)</f>
        <v>400</v>
      </c>
      <c r="BV302" s="311">
        <f>SUMIF(Recibos!$D$4:$D$7493,Cobranza!$B302,Recibos!AH$4:AH$7493)</f>
        <v>400</v>
      </c>
      <c r="BW302" s="311">
        <f>SUMIF(Recibos!$D$4:$D$7493,Cobranza!$B302,Recibos!AI$4:AI$7493)</f>
        <v>400</v>
      </c>
      <c r="BX302" s="312">
        <f t="shared" si="44"/>
        <v>2400</v>
      </c>
      <c r="BY302" s="311">
        <f>SUMIF(Recibos!$D$4:$D$7493,Cobranza!$B302,Recibos!AK$4:AK$7493)</f>
        <v>400</v>
      </c>
      <c r="BZ302" s="311">
        <f>SUMIF(Recibos!$D$4:$D$7493,Cobranza!$B302,Recibos!AL$4:AL$7493)</f>
        <v>400</v>
      </c>
      <c r="CA302" s="311">
        <f>SUMIF(Recibos!$D$4:$D$7493,Cobranza!$B302,Recibos!AM$4:AM$7493)</f>
        <v>400</v>
      </c>
      <c r="CB302" s="311">
        <f>SUMIF(Recibos!$D$4:$D$7493,Cobranza!$B302,Recibos!AN$4:AN$7493)</f>
        <v>400</v>
      </c>
      <c r="CC302" s="311">
        <f>SUMIF(Recibos!$D$4:$D$7493,Cobranza!$B302,Recibos!AO$4:AO$7493)</f>
        <v>400</v>
      </c>
      <c r="CD302" s="311">
        <f>SUMIF(Recibos!$D$4:$D$7493,Cobranza!$B302,Recibos!AP$4:AP$7493)</f>
        <v>400</v>
      </c>
      <c r="CE302" s="311">
        <f>SUMIF(Recibos!$D$4:$D$7493,Cobranza!$B302,Recibos!AQ$4:AQ$7493)</f>
        <v>400</v>
      </c>
      <c r="CF302" s="311">
        <f>SUMIF(Recibos!$D$4:$D$7493,Cobranza!$B302,Recibos!AR$4:AR$7493)</f>
        <v>400</v>
      </c>
      <c r="CG302" s="311">
        <f>SUMIF(Recibos!$D$4:$D$7493,Cobranza!$B302,Recibos!AS$4:AS$7493)</f>
        <v>0</v>
      </c>
      <c r="CH302" s="311">
        <f>SUMIF(Recibos!$D$4:$D$7493,Cobranza!$B302,Recibos!AT$4:AT$7493)</f>
        <v>0</v>
      </c>
      <c r="CI302" s="311">
        <f>SUMIF(Recibos!$D$4:$D$7493,Cobranza!$B302,Recibos!AU$4:AU$7493)</f>
        <v>0</v>
      </c>
      <c r="CJ302" s="311">
        <f>SUMIF(Recibos!$D$4:$D$7493,Cobranza!$B302,Recibos!AV$4:AV$7493)</f>
        <v>0</v>
      </c>
      <c r="CK302" s="312">
        <f t="shared" si="38"/>
        <v>3200</v>
      </c>
    </row>
    <row r="303" spans="2:89" x14ac:dyDescent="0.2">
      <c r="B303" s="45" t="s">
        <v>298</v>
      </c>
      <c r="C303" s="45" t="s">
        <v>299</v>
      </c>
      <c r="D303" s="45" t="s">
        <v>300</v>
      </c>
      <c r="E303" s="46">
        <v>0</v>
      </c>
      <c r="F303" s="46">
        <v>0</v>
      </c>
      <c r="G303" s="46">
        <v>0</v>
      </c>
      <c r="H303" s="46">
        <v>0</v>
      </c>
      <c r="I303" s="46">
        <v>0</v>
      </c>
      <c r="J303" s="46">
        <v>0</v>
      </c>
      <c r="K303" s="47">
        <f t="shared" si="39"/>
        <v>0</v>
      </c>
      <c r="L303" s="46">
        <v>150</v>
      </c>
      <c r="M303" s="46">
        <v>150</v>
      </c>
      <c r="N303" s="46">
        <v>0</v>
      </c>
      <c r="O303" s="46">
        <v>0</v>
      </c>
      <c r="P303" s="46">
        <v>0</v>
      </c>
      <c r="Q303" s="46">
        <v>150</v>
      </c>
      <c r="R303" s="46">
        <v>150</v>
      </c>
      <c r="S303" s="46">
        <v>150</v>
      </c>
      <c r="T303" s="46">
        <v>150</v>
      </c>
      <c r="U303" s="46">
        <v>150</v>
      </c>
      <c r="V303" s="46">
        <v>150</v>
      </c>
      <c r="W303" s="46">
        <v>150</v>
      </c>
      <c r="X303" s="47">
        <f t="shared" si="40"/>
        <v>1350</v>
      </c>
      <c r="Y303" s="46">
        <v>150</v>
      </c>
      <c r="Z303" s="46">
        <v>150</v>
      </c>
      <c r="AA303" s="46">
        <v>150</v>
      </c>
      <c r="AB303" s="46">
        <v>150</v>
      </c>
      <c r="AC303" s="46">
        <v>150</v>
      </c>
      <c r="AD303" s="46">
        <v>150</v>
      </c>
      <c r="AE303" s="46">
        <v>150</v>
      </c>
      <c r="AF303" s="46">
        <v>150</v>
      </c>
      <c r="AG303" s="46">
        <v>150</v>
      </c>
      <c r="AH303" s="46">
        <v>0</v>
      </c>
      <c r="AI303" s="46">
        <v>0</v>
      </c>
      <c r="AJ303" s="46">
        <v>0</v>
      </c>
      <c r="AK303" s="47">
        <f t="shared" si="41"/>
        <v>1350</v>
      </c>
      <c r="AL303" s="46">
        <v>150</v>
      </c>
      <c r="AM303" s="46">
        <v>150</v>
      </c>
      <c r="AN303" s="46">
        <v>150</v>
      </c>
      <c r="AO303" s="46">
        <v>150</v>
      </c>
      <c r="AP303" s="46">
        <v>0</v>
      </c>
      <c r="AQ303" s="46">
        <v>0</v>
      </c>
      <c r="AR303" s="46">
        <v>0</v>
      </c>
      <c r="AS303" s="46">
        <v>0</v>
      </c>
      <c r="AT303" s="46">
        <v>0</v>
      </c>
      <c r="AU303" s="46">
        <v>150</v>
      </c>
      <c r="AV303" s="46">
        <v>150</v>
      </c>
      <c r="AW303" s="46">
        <v>150</v>
      </c>
      <c r="AX303" s="47">
        <f t="shared" si="42"/>
        <v>1050</v>
      </c>
      <c r="AY303" s="313">
        <f>SUMIF(Recibos!$D$4:$D$7493,Cobranza!$B303,Recibos!K$4:K$7493)</f>
        <v>150</v>
      </c>
      <c r="AZ303" s="313">
        <f>SUMIF(Recibos!$D$4:$D$7493,Cobranza!$B303,Recibos!L$4:L$7493)</f>
        <v>150</v>
      </c>
      <c r="BA303" s="313">
        <f>SUMIF(Recibos!$D$4:$D$7493,Cobranza!$B303,Recibos!M$4:M$7493)</f>
        <v>150</v>
      </c>
      <c r="BB303" s="313">
        <f>SUMIF(Recibos!$D$4:$D$7493,Cobranza!$B303,Recibos!N$4:N$7493)</f>
        <v>150</v>
      </c>
      <c r="BC303" s="313">
        <f>SUMIF(Recibos!$D$4:$D$7493,Cobranza!$B303,Recibos!O$4:O$7493)</f>
        <v>150</v>
      </c>
      <c r="BD303" s="313">
        <f>SUMIF(Recibos!$D$4:$D$7493,Cobranza!$B303,Recibos!P$4:P$7493)</f>
        <v>150</v>
      </c>
      <c r="BE303" s="313">
        <f>SUMIF(Recibos!$D$4:$D$7493,Cobranza!$B303,Recibos!Q$4:Q$7493)</f>
        <v>150</v>
      </c>
      <c r="BF303" s="313">
        <f>SUMIF(Recibos!$D$4:$D$7493,Cobranza!$B303,Recibos!R$4:R$7493)</f>
        <v>150</v>
      </c>
      <c r="BG303" s="313">
        <f>SUMIF(Recibos!$D$4:$D$7493,Cobranza!$B303,Recibos!S$4:S$7493)</f>
        <v>150</v>
      </c>
      <c r="BH303" s="313">
        <f>SUMIF(Recibos!$D$4:$D$7493,Cobranza!$B303,Recibos!T$4:T$7493)</f>
        <v>150</v>
      </c>
      <c r="BI303" s="313">
        <f>SUMIF(Recibos!$D$4:$D$7493,Cobranza!$B303,Recibos!U$4:U$7493)</f>
        <v>150</v>
      </c>
      <c r="BJ303" s="313">
        <f>SUMIF(Recibos!$D$4:$D$7493,Cobranza!$B303,Recibos!V$4:V$7493)</f>
        <v>150</v>
      </c>
      <c r="BK303" s="314">
        <f t="shared" si="43"/>
        <v>1800</v>
      </c>
      <c r="BL303" s="313">
        <f>SUMIF(Recibos!$D$4:$D$7493,Cobranza!$B303,Recibos!X$4:X$7493)</f>
        <v>150</v>
      </c>
      <c r="BM303" s="313">
        <f>SUMIF(Recibos!$D$4:$D$7493,Cobranza!$B303,Recibos!Y$4:Y$7493)</f>
        <v>150</v>
      </c>
      <c r="BN303" s="313">
        <f>SUMIF(Recibos!$D$4:$D$7493,Cobranza!$B303,Recibos!Z$4:Z$7493)</f>
        <v>150</v>
      </c>
      <c r="BO303" s="313">
        <f>SUMIF(Recibos!$D$4:$D$7493,Cobranza!$B303,Recibos!AA$4:AA$7493)</f>
        <v>150</v>
      </c>
      <c r="BP303" s="313">
        <f>SUMIF(Recibos!$D$4:$D$7493,Cobranza!$B303,Recibos!AB$4:AB$7493)</f>
        <v>0</v>
      </c>
      <c r="BQ303" s="313">
        <f>SUMIF(Recibos!$D$4:$D$7493,Cobranza!$B303,Recibos!AC$4:AC$7493)</f>
        <v>0</v>
      </c>
      <c r="BR303" s="313">
        <f>SUMIF(Recibos!$D$4:$D$7493,Cobranza!$B303,Recibos!AD$4:AD$7493)</f>
        <v>0</v>
      </c>
      <c r="BS303" s="313">
        <f>SUMIF(Recibos!$D$4:$D$7493,Cobranza!$B303,Recibos!AE$4:AE$7493)</f>
        <v>0</v>
      </c>
      <c r="BT303" s="313">
        <f>SUMIF(Recibos!$D$4:$D$7493,Cobranza!$B303,Recibos!AF$4:AF$7493)</f>
        <v>0</v>
      </c>
      <c r="BU303" s="313">
        <f>SUMIF(Recibos!$D$4:$D$7493,Cobranza!$B303,Recibos!AG$4:AG$7493)</f>
        <v>0</v>
      </c>
      <c r="BV303" s="313">
        <f>SUMIF(Recibos!$D$4:$D$7493,Cobranza!$B303,Recibos!AH$4:AH$7493)</f>
        <v>0</v>
      </c>
      <c r="BW303" s="313">
        <f>SUMIF(Recibos!$D$4:$D$7493,Cobranza!$B303,Recibos!AI$4:AI$7493)</f>
        <v>0</v>
      </c>
      <c r="BX303" s="314">
        <f t="shared" si="44"/>
        <v>600</v>
      </c>
      <c r="BY303" s="313">
        <f>SUMIF(Recibos!$D$4:$D$7493,Cobranza!$B303,Recibos!AK$4:AK$7493)</f>
        <v>200</v>
      </c>
      <c r="BZ303" s="313">
        <f>SUMIF(Recibos!$D$4:$D$7493,Cobranza!$B303,Recibos!AL$4:AL$7493)</f>
        <v>200</v>
      </c>
      <c r="CA303" s="313">
        <f>SUMIF(Recibos!$D$4:$D$7493,Cobranza!$B303,Recibos!AM$4:AM$7493)</f>
        <v>200</v>
      </c>
      <c r="CB303" s="313">
        <f>SUMIF(Recibos!$D$4:$D$7493,Cobranza!$B303,Recibos!AN$4:AN$7493)</f>
        <v>200</v>
      </c>
      <c r="CC303" s="313">
        <f>SUMIF(Recibos!$D$4:$D$7493,Cobranza!$B303,Recibos!AO$4:AO$7493)</f>
        <v>200</v>
      </c>
      <c r="CD303" s="313">
        <f>SUMIF(Recibos!$D$4:$D$7493,Cobranza!$B303,Recibos!AP$4:AP$7493)</f>
        <v>200</v>
      </c>
      <c r="CE303" s="313">
        <f>SUMIF(Recibos!$D$4:$D$7493,Cobranza!$B303,Recibos!AQ$4:AQ$7493)</f>
        <v>200</v>
      </c>
      <c r="CF303" s="313">
        <f>SUMIF(Recibos!$D$4:$D$7493,Cobranza!$B303,Recibos!AR$4:AR$7493)</f>
        <v>200</v>
      </c>
      <c r="CG303" s="313">
        <f>SUMIF(Recibos!$D$4:$D$7493,Cobranza!$B303,Recibos!AS$4:AS$7493)</f>
        <v>0</v>
      </c>
      <c r="CH303" s="313">
        <f>SUMIF(Recibos!$D$4:$D$7493,Cobranza!$B303,Recibos!AT$4:AT$7493)</f>
        <v>0</v>
      </c>
      <c r="CI303" s="313">
        <f>SUMIF(Recibos!$D$4:$D$7493,Cobranza!$B303,Recibos!AU$4:AU$7493)</f>
        <v>0</v>
      </c>
      <c r="CJ303" s="313">
        <f>SUMIF(Recibos!$D$4:$D$7493,Cobranza!$B303,Recibos!AV$4:AV$7493)</f>
        <v>0</v>
      </c>
      <c r="CK303" s="314">
        <f t="shared" si="38"/>
        <v>1600</v>
      </c>
    </row>
    <row r="304" spans="2:89" x14ac:dyDescent="0.2">
      <c r="B304" s="42" t="s">
        <v>568</v>
      </c>
      <c r="C304" s="42" t="s">
        <v>569</v>
      </c>
      <c r="D304" s="42" t="s">
        <v>570</v>
      </c>
      <c r="E304" s="43">
        <v>0</v>
      </c>
      <c r="F304" s="43">
        <v>0</v>
      </c>
      <c r="G304" s="43">
        <v>0</v>
      </c>
      <c r="H304" s="43">
        <v>300</v>
      </c>
      <c r="I304" s="43">
        <v>300</v>
      </c>
      <c r="J304" s="43">
        <v>300</v>
      </c>
      <c r="K304" s="44">
        <f t="shared" si="39"/>
        <v>900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  <c r="V304" s="43">
        <v>0</v>
      </c>
      <c r="W304" s="43">
        <v>0</v>
      </c>
      <c r="X304" s="44">
        <f t="shared" si="40"/>
        <v>0</v>
      </c>
      <c r="Y304" s="43">
        <v>0</v>
      </c>
      <c r="Z304" s="43">
        <v>0</v>
      </c>
      <c r="AA304" s="43">
        <v>0</v>
      </c>
      <c r="AB304" s="43">
        <v>0</v>
      </c>
      <c r="AC304" s="43">
        <v>0</v>
      </c>
      <c r="AD304" s="43">
        <v>0</v>
      </c>
      <c r="AE304" s="43">
        <v>0</v>
      </c>
      <c r="AF304" s="43">
        <v>0</v>
      </c>
      <c r="AG304" s="43">
        <v>0</v>
      </c>
      <c r="AH304" s="43">
        <v>0</v>
      </c>
      <c r="AI304" s="43">
        <v>0</v>
      </c>
      <c r="AJ304" s="43">
        <v>0</v>
      </c>
      <c r="AK304" s="44">
        <f t="shared" si="41"/>
        <v>0</v>
      </c>
      <c r="AL304" s="43">
        <v>0</v>
      </c>
      <c r="AM304" s="43">
        <v>0</v>
      </c>
      <c r="AN304" s="43">
        <v>0</v>
      </c>
      <c r="AO304" s="43">
        <v>0</v>
      </c>
      <c r="AP304" s="43">
        <v>300</v>
      </c>
      <c r="AQ304" s="43">
        <v>400</v>
      </c>
      <c r="AR304" s="43">
        <v>400</v>
      </c>
      <c r="AS304" s="43">
        <v>400</v>
      </c>
      <c r="AT304" s="43">
        <v>400</v>
      </c>
      <c r="AU304" s="43">
        <v>400</v>
      </c>
      <c r="AV304" s="43">
        <v>400</v>
      </c>
      <c r="AW304" s="43">
        <v>400</v>
      </c>
      <c r="AX304" s="44">
        <f t="shared" si="42"/>
        <v>3100</v>
      </c>
      <c r="AY304" s="311">
        <f>SUMIF(Recibos!$D$4:$D$7493,Cobranza!$B304,Recibos!K$4:K$7493)</f>
        <v>400</v>
      </c>
      <c r="AZ304" s="311">
        <f>SUMIF(Recibos!$D$4:$D$7493,Cobranza!$B304,Recibos!L$4:L$7493)</f>
        <v>400</v>
      </c>
      <c r="BA304" s="311">
        <f>SUMIF(Recibos!$D$4:$D$7493,Cobranza!$B304,Recibos!M$4:M$7493)</f>
        <v>400</v>
      </c>
      <c r="BB304" s="311">
        <f>SUMIF(Recibos!$D$4:$D$7493,Cobranza!$B304,Recibos!N$4:N$7493)</f>
        <v>400</v>
      </c>
      <c r="BC304" s="311">
        <f>SUMIF(Recibos!$D$4:$D$7493,Cobranza!$B304,Recibos!O$4:O$7493)</f>
        <v>400</v>
      </c>
      <c r="BD304" s="311">
        <f>SUMIF(Recibos!$D$4:$D$7493,Cobranza!$B304,Recibos!P$4:P$7493)</f>
        <v>400</v>
      </c>
      <c r="BE304" s="311">
        <f>SUMIF(Recibos!$D$4:$D$7493,Cobranza!$B304,Recibos!Q$4:Q$7493)</f>
        <v>400</v>
      </c>
      <c r="BF304" s="311">
        <f>SUMIF(Recibos!$D$4:$D$7493,Cobranza!$B304,Recibos!R$4:R$7493)</f>
        <v>400</v>
      </c>
      <c r="BG304" s="311">
        <f>SUMIF(Recibos!$D$4:$D$7493,Cobranza!$B304,Recibos!S$4:S$7493)</f>
        <v>400</v>
      </c>
      <c r="BH304" s="311">
        <f>SUMIF(Recibos!$D$4:$D$7493,Cobranza!$B304,Recibos!T$4:T$7493)</f>
        <v>400</v>
      </c>
      <c r="BI304" s="311">
        <f>SUMIF(Recibos!$D$4:$D$7493,Cobranza!$B304,Recibos!U$4:U$7493)</f>
        <v>400</v>
      </c>
      <c r="BJ304" s="311">
        <f>SUMIF(Recibos!$D$4:$D$7493,Cobranza!$B304,Recibos!V$4:V$7493)</f>
        <v>400</v>
      </c>
      <c r="BK304" s="312">
        <f t="shared" si="43"/>
        <v>4800</v>
      </c>
      <c r="BL304" s="311">
        <f>SUMIF(Recibos!$D$4:$D$7493,Cobranza!$B304,Recibos!X$4:X$7493)</f>
        <v>400</v>
      </c>
      <c r="BM304" s="311">
        <f>SUMIF(Recibos!$D$4:$D$7493,Cobranza!$B304,Recibos!Y$4:Y$7493)</f>
        <v>400</v>
      </c>
      <c r="BN304" s="311">
        <f>SUMIF(Recibos!$D$4:$D$7493,Cobranza!$B304,Recibos!Z$4:Z$7493)</f>
        <v>400</v>
      </c>
      <c r="BO304" s="311">
        <f>SUMIF(Recibos!$D$4:$D$7493,Cobranza!$B304,Recibos!AA$4:AA$7493)</f>
        <v>400</v>
      </c>
      <c r="BP304" s="311">
        <f>SUMIF(Recibos!$D$4:$D$7493,Cobranza!$B304,Recibos!AB$4:AB$7493)</f>
        <v>400</v>
      </c>
      <c r="BQ304" s="311">
        <f>SUMIF(Recibos!$D$4:$D$7493,Cobranza!$B304,Recibos!AC$4:AC$7493)</f>
        <v>400</v>
      </c>
      <c r="BR304" s="311">
        <f>SUMIF(Recibos!$D$4:$D$7493,Cobranza!$B304,Recibos!AD$4:AD$7493)</f>
        <v>400</v>
      </c>
      <c r="BS304" s="311">
        <f>SUMIF(Recibos!$D$4:$D$7493,Cobranza!$B304,Recibos!AE$4:AE$7493)</f>
        <v>400</v>
      </c>
      <c r="BT304" s="311">
        <f>SUMIF(Recibos!$D$4:$D$7493,Cobranza!$B304,Recibos!AF$4:AF$7493)</f>
        <v>400</v>
      </c>
      <c r="BU304" s="311">
        <f>SUMIF(Recibos!$D$4:$D$7493,Cobranza!$B304,Recibos!AG$4:AG$7493)</f>
        <v>400</v>
      </c>
      <c r="BV304" s="311">
        <f>SUMIF(Recibos!$D$4:$D$7493,Cobranza!$B304,Recibos!AH$4:AH$7493)</f>
        <v>400</v>
      </c>
      <c r="BW304" s="311">
        <f>SUMIF(Recibos!$D$4:$D$7493,Cobranza!$B304,Recibos!AI$4:AI$7493)</f>
        <v>400</v>
      </c>
      <c r="BX304" s="312">
        <f t="shared" si="44"/>
        <v>4800</v>
      </c>
      <c r="BY304" s="311">
        <f>SUMIF(Recibos!$D$4:$D$7493,Cobranza!$B304,Recibos!AK$4:AK$7493)</f>
        <v>400</v>
      </c>
      <c r="BZ304" s="311">
        <f>SUMIF(Recibos!$D$4:$D$7493,Cobranza!$B304,Recibos!AL$4:AL$7493)</f>
        <v>400</v>
      </c>
      <c r="CA304" s="311">
        <f>SUMIF(Recibos!$D$4:$D$7493,Cobranza!$B304,Recibos!AM$4:AM$7493)</f>
        <v>400</v>
      </c>
      <c r="CB304" s="311">
        <f>SUMIF(Recibos!$D$4:$D$7493,Cobranza!$B304,Recibos!AN$4:AN$7493)</f>
        <v>400</v>
      </c>
      <c r="CC304" s="311">
        <f>SUMIF(Recibos!$D$4:$D$7493,Cobranza!$B304,Recibos!AO$4:AO$7493)</f>
        <v>400</v>
      </c>
      <c r="CD304" s="311">
        <f>SUMIF(Recibos!$D$4:$D$7493,Cobranza!$B304,Recibos!AP$4:AP$7493)</f>
        <v>400</v>
      </c>
      <c r="CE304" s="311">
        <f>SUMIF(Recibos!$D$4:$D$7493,Cobranza!$B304,Recibos!AQ$4:AQ$7493)</f>
        <v>400</v>
      </c>
      <c r="CF304" s="311">
        <f>SUMIF(Recibos!$D$4:$D$7493,Cobranza!$B304,Recibos!AR$4:AR$7493)</f>
        <v>400</v>
      </c>
      <c r="CG304" s="311">
        <f>SUMIF(Recibos!$D$4:$D$7493,Cobranza!$B304,Recibos!AS$4:AS$7493)</f>
        <v>400</v>
      </c>
      <c r="CH304" s="311">
        <f>SUMIF(Recibos!$D$4:$D$7493,Cobranza!$B304,Recibos!AT$4:AT$7493)</f>
        <v>400</v>
      </c>
      <c r="CI304" s="311">
        <f>SUMIF(Recibos!$D$4:$D$7493,Cobranza!$B304,Recibos!AU$4:AU$7493)</f>
        <v>0</v>
      </c>
      <c r="CJ304" s="311">
        <f>SUMIF(Recibos!$D$4:$D$7493,Cobranza!$B304,Recibos!AV$4:AV$7493)</f>
        <v>0</v>
      </c>
      <c r="CK304" s="312">
        <f t="shared" si="38"/>
        <v>4000</v>
      </c>
    </row>
    <row r="305" spans="2:89" x14ac:dyDescent="0.2">
      <c r="B305" s="45" t="s">
        <v>749</v>
      </c>
      <c r="C305" s="45" t="s">
        <v>750</v>
      </c>
      <c r="D305" s="45" t="s">
        <v>751</v>
      </c>
      <c r="E305" s="46">
        <v>0</v>
      </c>
      <c r="F305" s="46">
        <v>0</v>
      </c>
      <c r="G305" s="46">
        <v>0</v>
      </c>
      <c r="H305" s="46">
        <v>0</v>
      </c>
      <c r="I305" s="46">
        <v>0</v>
      </c>
      <c r="J305" s="46">
        <v>300</v>
      </c>
      <c r="K305" s="47">
        <f t="shared" si="39"/>
        <v>300</v>
      </c>
      <c r="L305" s="46">
        <v>300</v>
      </c>
      <c r="M305" s="46">
        <v>300</v>
      </c>
      <c r="N305" s="46">
        <v>300</v>
      </c>
      <c r="O305" s="46">
        <v>300</v>
      </c>
      <c r="P305" s="46">
        <v>300</v>
      </c>
      <c r="Q305" s="46">
        <v>300</v>
      </c>
      <c r="R305" s="46">
        <v>300</v>
      </c>
      <c r="S305" s="46">
        <v>300</v>
      </c>
      <c r="T305" s="46">
        <v>300</v>
      </c>
      <c r="U305" s="46">
        <v>400</v>
      </c>
      <c r="V305" s="46">
        <v>400</v>
      </c>
      <c r="W305" s="46">
        <v>400</v>
      </c>
      <c r="X305" s="47">
        <f t="shared" si="40"/>
        <v>3900</v>
      </c>
      <c r="Y305" s="46">
        <v>400</v>
      </c>
      <c r="Z305" s="46">
        <v>400</v>
      </c>
      <c r="AA305" s="46">
        <v>400</v>
      </c>
      <c r="AB305" s="46">
        <v>400</v>
      </c>
      <c r="AC305" s="46">
        <v>400</v>
      </c>
      <c r="AD305" s="46">
        <v>400</v>
      </c>
      <c r="AE305" s="46">
        <v>400</v>
      </c>
      <c r="AF305" s="46">
        <v>560</v>
      </c>
      <c r="AG305" s="46">
        <v>400</v>
      </c>
      <c r="AH305" s="46">
        <v>550</v>
      </c>
      <c r="AI305" s="46">
        <v>550</v>
      </c>
      <c r="AJ305" s="46">
        <v>0</v>
      </c>
      <c r="AK305" s="47">
        <f t="shared" si="41"/>
        <v>4860</v>
      </c>
      <c r="AL305" s="46">
        <v>400</v>
      </c>
      <c r="AM305" s="46">
        <v>400</v>
      </c>
      <c r="AN305" s="46">
        <v>400</v>
      </c>
      <c r="AO305" s="46">
        <v>400</v>
      </c>
      <c r="AP305" s="46">
        <v>400</v>
      </c>
      <c r="AQ305" s="46">
        <v>400</v>
      </c>
      <c r="AR305" s="46">
        <v>400</v>
      </c>
      <c r="AS305" s="46">
        <v>400</v>
      </c>
      <c r="AT305" s="46">
        <v>400</v>
      </c>
      <c r="AU305" s="46">
        <v>400</v>
      </c>
      <c r="AV305" s="46">
        <v>400</v>
      </c>
      <c r="AW305" s="46">
        <v>400</v>
      </c>
      <c r="AX305" s="47">
        <f t="shared" si="42"/>
        <v>4800</v>
      </c>
      <c r="AY305" s="313">
        <f>SUMIF(Recibos!$D$4:$D$7493,Cobranza!$B305,Recibos!K$4:K$7493)</f>
        <v>400</v>
      </c>
      <c r="AZ305" s="313">
        <f>SUMIF(Recibos!$D$4:$D$7493,Cobranza!$B305,Recibos!L$4:L$7493)</f>
        <v>400</v>
      </c>
      <c r="BA305" s="313">
        <f>SUMIF(Recibos!$D$4:$D$7493,Cobranza!$B305,Recibos!M$4:M$7493)</f>
        <v>400</v>
      </c>
      <c r="BB305" s="313">
        <f>SUMIF(Recibos!$D$4:$D$7493,Cobranza!$B305,Recibos!N$4:N$7493)</f>
        <v>400</v>
      </c>
      <c r="BC305" s="313">
        <f>SUMIF(Recibos!$D$4:$D$7493,Cobranza!$B305,Recibos!O$4:O$7493)</f>
        <v>400</v>
      </c>
      <c r="BD305" s="313">
        <f>SUMIF(Recibos!$D$4:$D$7493,Cobranza!$B305,Recibos!P$4:P$7493)</f>
        <v>400</v>
      </c>
      <c r="BE305" s="313">
        <f>SUMIF(Recibos!$D$4:$D$7493,Cobranza!$B305,Recibos!Q$4:Q$7493)</f>
        <v>400</v>
      </c>
      <c r="BF305" s="313">
        <f>SUMIF(Recibos!$D$4:$D$7493,Cobranza!$B305,Recibos!R$4:R$7493)</f>
        <v>400</v>
      </c>
      <c r="BG305" s="313">
        <f>SUMIF(Recibos!$D$4:$D$7493,Cobranza!$B305,Recibos!S$4:S$7493)</f>
        <v>400</v>
      </c>
      <c r="BH305" s="313">
        <f>SUMIF(Recibos!$D$4:$D$7493,Cobranza!$B305,Recibos!T$4:T$7493)</f>
        <v>400</v>
      </c>
      <c r="BI305" s="313">
        <f>SUMIF(Recibos!$D$4:$D$7493,Cobranza!$B305,Recibos!U$4:U$7493)</f>
        <v>400</v>
      </c>
      <c r="BJ305" s="313">
        <f>SUMIF(Recibos!$D$4:$D$7493,Cobranza!$B305,Recibos!V$4:V$7493)</f>
        <v>400</v>
      </c>
      <c r="BK305" s="314">
        <f t="shared" si="43"/>
        <v>4800</v>
      </c>
      <c r="BL305" s="313">
        <f>SUMIF(Recibos!$D$4:$D$7493,Cobranza!$B305,Recibos!X$4:X$7493)</f>
        <v>400</v>
      </c>
      <c r="BM305" s="313">
        <f>SUMIF(Recibos!$D$4:$D$7493,Cobranza!$B305,Recibos!Y$4:Y$7493)</f>
        <v>400</v>
      </c>
      <c r="BN305" s="313">
        <f>SUMIF(Recibos!$D$4:$D$7493,Cobranza!$B305,Recibos!Z$4:Z$7493)</f>
        <v>400</v>
      </c>
      <c r="BO305" s="313">
        <f>SUMIF(Recibos!$D$4:$D$7493,Cobranza!$B305,Recibos!AA$4:AA$7493)</f>
        <v>400</v>
      </c>
      <c r="BP305" s="313">
        <f>SUMIF(Recibos!$D$4:$D$7493,Cobranza!$B305,Recibos!AB$4:AB$7493)</f>
        <v>400</v>
      </c>
      <c r="BQ305" s="313">
        <f>SUMIF(Recibos!$D$4:$D$7493,Cobranza!$B305,Recibos!AC$4:AC$7493)</f>
        <v>400</v>
      </c>
      <c r="BR305" s="313">
        <f>SUMIF(Recibos!$D$4:$D$7493,Cobranza!$B305,Recibos!AD$4:AD$7493)</f>
        <v>400</v>
      </c>
      <c r="BS305" s="313">
        <f>SUMIF(Recibos!$D$4:$D$7493,Cobranza!$B305,Recibos!AE$4:AE$7493)</f>
        <v>400</v>
      </c>
      <c r="BT305" s="313">
        <f>SUMIF(Recibos!$D$4:$D$7493,Cobranza!$B305,Recibos!AF$4:AF$7493)</f>
        <v>400</v>
      </c>
      <c r="BU305" s="313">
        <f>SUMIF(Recibos!$D$4:$D$7493,Cobranza!$B305,Recibos!AG$4:AG$7493)</f>
        <v>400</v>
      </c>
      <c r="BV305" s="313">
        <f>SUMIF(Recibos!$D$4:$D$7493,Cobranza!$B305,Recibos!AH$4:AH$7493)</f>
        <v>400</v>
      </c>
      <c r="BW305" s="313">
        <f>SUMIF(Recibos!$D$4:$D$7493,Cobranza!$B305,Recibos!AI$4:AI$7493)</f>
        <v>400</v>
      </c>
      <c r="BX305" s="314">
        <f t="shared" si="44"/>
        <v>4800</v>
      </c>
      <c r="BY305" s="313">
        <f>SUMIF(Recibos!$D$4:$D$7493,Cobranza!$B305,Recibos!AK$4:AK$7493)</f>
        <v>400</v>
      </c>
      <c r="BZ305" s="313">
        <f>SUMIF(Recibos!$D$4:$D$7493,Cobranza!$B305,Recibos!AL$4:AL$7493)</f>
        <v>400</v>
      </c>
      <c r="CA305" s="313">
        <f>SUMIF(Recibos!$D$4:$D$7493,Cobranza!$B305,Recibos!AM$4:AM$7493)</f>
        <v>400</v>
      </c>
      <c r="CB305" s="313">
        <f>SUMIF(Recibos!$D$4:$D$7493,Cobranza!$B305,Recibos!AN$4:AN$7493)</f>
        <v>400</v>
      </c>
      <c r="CC305" s="313">
        <f>SUMIF(Recibos!$D$4:$D$7493,Cobranza!$B305,Recibos!AO$4:AO$7493)</f>
        <v>400</v>
      </c>
      <c r="CD305" s="313">
        <f>SUMIF(Recibos!$D$4:$D$7493,Cobranza!$B305,Recibos!AP$4:AP$7493)</f>
        <v>400</v>
      </c>
      <c r="CE305" s="313">
        <f>SUMIF(Recibos!$D$4:$D$7493,Cobranza!$B305,Recibos!AQ$4:AQ$7493)</f>
        <v>400</v>
      </c>
      <c r="CF305" s="313">
        <f>SUMIF(Recibos!$D$4:$D$7493,Cobranza!$B305,Recibos!AR$4:AR$7493)</f>
        <v>0</v>
      </c>
      <c r="CG305" s="313">
        <f>SUMIF(Recibos!$D$4:$D$7493,Cobranza!$B305,Recibos!AS$4:AS$7493)</f>
        <v>0</v>
      </c>
      <c r="CH305" s="313">
        <f>SUMIF(Recibos!$D$4:$D$7493,Cobranza!$B305,Recibos!AT$4:AT$7493)</f>
        <v>0</v>
      </c>
      <c r="CI305" s="313">
        <f>SUMIF(Recibos!$D$4:$D$7493,Cobranza!$B305,Recibos!AU$4:AU$7493)</f>
        <v>0</v>
      </c>
      <c r="CJ305" s="313">
        <f>SUMIF(Recibos!$D$4:$D$7493,Cobranza!$B305,Recibos!AV$4:AV$7493)</f>
        <v>0</v>
      </c>
      <c r="CK305" s="314">
        <f t="shared" si="38"/>
        <v>2800</v>
      </c>
    </row>
    <row r="306" spans="2:89" x14ac:dyDescent="0.2">
      <c r="B306" s="42" t="s">
        <v>295</v>
      </c>
      <c r="C306" s="42" t="s">
        <v>296</v>
      </c>
      <c r="D306" s="42" t="s">
        <v>297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300</v>
      </c>
      <c r="K306" s="44">
        <f t="shared" si="39"/>
        <v>300</v>
      </c>
      <c r="L306" s="43">
        <v>300</v>
      </c>
      <c r="M306" s="43">
        <v>300</v>
      </c>
      <c r="N306" s="43">
        <v>300</v>
      </c>
      <c r="O306" s="43">
        <v>300</v>
      </c>
      <c r="P306" s="43">
        <v>300</v>
      </c>
      <c r="Q306" s="43">
        <v>300</v>
      </c>
      <c r="R306" s="43">
        <v>0</v>
      </c>
      <c r="S306" s="43">
        <v>300</v>
      </c>
      <c r="T306" s="43">
        <v>300</v>
      </c>
      <c r="U306" s="43">
        <v>300</v>
      </c>
      <c r="V306" s="43">
        <v>300</v>
      </c>
      <c r="W306" s="43">
        <v>0</v>
      </c>
      <c r="X306" s="44">
        <f t="shared" si="40"/>
        <v>3000</v>
      </c>
      <c r="Y306" s="43">
        <v>300</v>
      </c>
      <c r="Z306" s="43">
        <v>300</v>
      </c>
      <c r="AA306" s="43">
        <v>300</v>
      </c>
      <c r="AB306" s="43">
        <v>300</v>
      </c>
      <c r="AC306" s="43">
        <v>300</v>
      </c>
      <c r="AD306" s="43">
        <v>300</v>
      </c>
      <c r="AE306" s="43">
        <v>300</v>
      </c>
      <c r="AF306" s="43">
        <v>300</v>
      </c>
      <c r="AG306" s="43">
        <v>300</v>
      </c>
      <c r="AH306" s="43">
        <v>300</v>
      </c>
      <c r="AI306" s="43">
        <v>300</v>
      </c>
      <c r="AJ306" s="43">
        <v>0</v>
      </c>
      <c r="AK306" s="44">
        <f t="shared" si="41"/>
        <v>3300</v>
      </c>
      <c r="AL306" s="43">
        <v>300</v>
      </c>
      <c r="AM306" s="43">
        <v>300</v>
      </c>
      <c r="AN306" s="43">
        <v>300</v>
      </c>
      <c r="AO306" s="43">
        <v>300</v>
      </c>
      <c r="AP306" s="43">
        <v>300</v>
      </c>
      <c r="AQ306" s="43">
        <v>300</v>
      </c>
      <c r="AR306" s="43">
        <v>300</v>
      </c>
      <c r="AS306" s="43">
        <v>0</v>
      </c>
      <c r="AT306" s="43">
        <v>100</v>
      </c>
      <c r="AU306" s="43">
        <v>300</v>
      </c>
      <c r="AV306" s="43">
        <v>300</v>
      </c>
      <c r="AW306" s="43">
        <v>300</v>
      </c>
      <c r="AX306" s="44">
        <f t="shared" si="42"/>
        <v>3100</v>
      </c>
      <c r="AY306" s="311">
        <f>SUMIF(Recibos!$D$4:$D$7493,Cobranza!$B306,Recibos!K$4:K$7493)</f>
        <v>300</v>
      </c>
      <c r="AZ306" s="311">
        <f>SUMIF(Recibos!$D$4:$D$7493,Cobranza!$B306,Recibos!L$4:L$7493)</f>
        <v>300</v>
      </c>
      <c r="BA306" s="311">
        <f>SUMIF(Recibos!$D$4:$D$7493,Cobranza!$B306,Recibos!M$4:M$7493)</f>
        <v>300</v>
      </c>
      <c r="BB306" s="311">
        <f>SUMIF(Recibos!$D$4:$D$7493,Cobranza!$B306,Recibos!N$4:N$7493)</f>
        <v>300</v>
      </c>
      <c r="BC306" s="311">
        <f>SUMIF(Recibos!$D$4:$D$7493,Cobranza!$B306,Recibos!O$4:O$7493)</f>
        <v>300</v>
      </c>
      <c r="BD306" s="311">
        <f>SUMIF(Recibos!$D$4:$D$7493,Cobranza!$B306,Recibos!P$4:P$7493)</f>
        <v>300</v>
      </c>
      <c r="BE306" s="311">
        <f>SUMIF(Recibos!$D$4:$D$7493,Cobranza!$B306,Recibos!Q$4:Q$7493)</f>
        <v>300</v>
      </c>
      <c r="BF306" s="311">
        <f>SUMIF(Recibos!$D$4:$D$7493,Cobranza!$B306,Recibos!R$4:R$7493)</f>
        <v>300</v>
      </c>
      <c r="BG306" s="311">
        <f>SUMIF(Recibos!$D$4:$D$7493,Cobranza!$B306,Recibos!S$4:S$7493)</f>
        <v>300</v>
      </c>
      <c r="BH306" s="311">
        <f>SUMIF(Recibos!$D$4:$D$7493,Cobranza!$B306,Recibos!T$4:T$7493)</f>
        <v>300</v>
      </c>
      <c r="BI306" s="311">
        <f>SUMIF(Recibos!$D$4:$D$7493,Cobranza!$B306,Recibos!U$4:U$7493)</f>
        <v>300</v>
      </c>
      <c r="BJ306" s="311">
        <f>SUMIF(Recibos!$D$4:$D$7493,Cobranza!$B306,Recibos!V$4:V$7493)</f>
        <v>300</v>
      </c>
      <c r="BK306" s="312">
        <f t="shared" si="43"/>
        <v>3600</v>
      </c>
      <c r="BL306" s="311">
        <f>SUMIF(Recibos!$D$4:$D$7493,Cobranza!$B306,Recibos!X$4:X$7493)</f>
        <v>300</v>
      </c>
      <c r="BM306" s="311">
        <f>SUMIF(Recibos!$D$4:$D$7493,Cobranza!$B306,Recibos!Y$4:Y$7493)</f>
        <v>300</v>
      </c>
      <c r="BN306" s="311">
        <f>SUMIF(Recibos!$D$4:$D$7493,Cobranza!$B306,Recibos!Z$4:Z$7493)</f>
        <v>300</v>
      </c>
      <c r="BO306" s="311">
        <f>SUMIF(Recibos!$D$4:$D$7493,Cobranza!$B306,Recibos!AA$4:AA$7493)</f>
        <v>300</v>
      </c>
      <c r="BP306" s="311">
        <f>SUMIF(Recibos!$D$4:$D$7493,Cobranza!$B306,Recibos!AB$4:AB$7493)</f>
        <v>300</v>
      </c>
      <c r="BQ306" s="311">
        <f>SUMIF(Recibos!$D$4:$D$7493,Cobranza!$B306,Recibos!AC$4:AC$7493)</f>
        <v>300</v>
      </c>
      <c r="BR306" s="311">
        <f>SUMIF(Recibos!$D$4:$D$7493,Cobranza!$B306,Recibos!AD$4:AD$7493)</f>
        <v>300</v>
      </c>
      <c r="BS306" s="311">
        <f>SUMIF(Recibos!$D$4:$D$7493,Cobranza!$B306,Recibos!AE$4:AE$7493)</f>
        <v>300</v>
      </c>
      <c r="BT306" s="311">
        <f>SUMIF(Recibos!$D$4:$D$7493,Cobranza!$B306,Recibos!AF$4:AF$7493)</f>
        <v>300</v>
      </c>
      <c r="BU306" s="311">
        <f>SUMIF(Recibos!$D$4:$D$7493,Cobranza!$B306,Recibos!AG$4:AG$7493)</f>
        <v>300</v>
      </c>
      <c r="BV306" s="311">
        <f>SUMIF(Recibos!$D$4:$D$7493,Cobranza!$B306,Recibos!AH$4:AH$7493)</f>
        <v>300</v>
      </c>
      <c r="BW306" s="311">
        <f>SUMIF(Recibos!$D$4:$D$7493,Cobranza!$B306,Recibos!AI$4:AI$7493)</f>
        <v>300</v>
      </c>
      <c r="BX306" s="312">
        <f t="shared" si="44"/>
        <v>3600</v>
      </c>
      <c r="BY306" s="311">
        <f>SUMIF(Recibos!$D$4:$D$7493,Cobranza!$B306,Recibos!AK$4:AK$7493)</f>
        <v>300</v>
      </c>
      <c r="BZ306" s="311">
        <f>SUMIF(Recibos!$D$4:$D$7493,Cobranza!$B306,Recibos!AL$4:AL$7493)</f>
        <v>300</v>
      </c>
      <c r="CA306" s="311">
        <f>SUMIF(Recibos!$D$4:$D$7493,Cobranza!$B306,Recibos!AM$4:AM$7493)</f>
        <v>300</v>
      </c>
      <c r="CB306" s="311">
        <f>SUMIF(Recibos!$D$4:$D$7493,Cobranza!$B306,Recibos!AN$4:AN$7493)</f>
        <v>300</v>
      </c>
      <c r="CC306" s="311">
        <f>SUMIF(Recibos!$D$4:$D$7493,Cobranza!$B306,Recibos!AO$4:AO$7493)</f>
        <v>300</v>
      </c>
      <c r="CD306" s="311">
        <f>SUMIF(Recibos!$D$4:$D$7493,Cobranza!$B306,Recibos!AP$4:AP$7493)</f>
        <v>300</v>
      </c>
      <c r="CE306" s="311">
        <f>SUMIF(Recibos!$D$4:$D$7493,Cobranza!$B306,Recibos!AQ$4:AQ$7493)</f>
        <v>300</v>
      </c>
      <c r="CF306" s="311">
        <f>SUMIF(Recibos!$D$4:$D$7493,Cobranza!$B306,Recibos!AR$4:AR$7493)</f>
        <v>0</v>
      </c>
      <c r="CG306" s="311">
        <f>SUMIF(Recibos!$D$4:$D$7493,Cobranza!$B306,Recibos!AS$4:AS$7493)</f>
        <v>0</v>
      </c>
      <c r="CH306" s="311">
        <f>SUMIF(Recibos!$D$4:$D$7493,Cobranza!$B306,Recibos!AT$4:AT$7493)</f>
        <v>0</v>
      </c>
      <c r="CI306" s="311">
        <f>SUMIF(Recibos!$D$4:$D$7493,Cobranza!$B306,Recibos!AU$4:AU$7493)</f>
        <v>0</v>
      </c>
      <c r="CJ306" s="311">
        <f>SUMIF(Recibos!$D$4:$D$7493,Cobranza!$B306,Recibos!AV$4:AV$7493)</f>
        <v>0</v>
      </c>
      <c r="CK306" s="312">
        <f t="shared" si="38"/>
        <v>2100</v>
      </c>
    </row>
    <row r="307" spans="2:89" x14ac:dyDescent="0.2">
      <c r="B307" s="45" t="s">
        <v>553</v>
      </c>
      <c r="C307" s="45" t="s">
        <v>554</v>
      </c>
      <c r="D307" s="45" t="s">
        <v>555</v>
      </c>
      <c r="E307" s="46">
        <v>0</v>
      </c>
      <c r="F307" s="46">
        <v>0</v>
      </c>
      <c r="G307" s="46">
        <v>0</v>
      </c>
      <c r="H307" s="46">
        <v>0</v>
      </c>
      <c r="I307" s="46">
        <v>0</v>
      </c>
      <c r="J307" s="46">
        <v>300</v>
      </c>
      <c r="K307" s="47">
        <f t="shared" si="39"/>
        <v>300</v>
      </c>
      <c r="L307" s="46">
        <v>300</v>
      </c>
      <c r="M307" s="46">
        <v>300</v>
      </c>
      <c r="N307" s="46">
        <v>0</v>
      </c>
      <c r="O307" s="46">
        <v>0</v>
      </c>
      <c r="P307" s="46">
        <v>0</v>
      </c>
      <c r="Q307" s="46">
        <v>0</v>
      </c>
      <c r="R307" s="46">
        <v>0</v>
      </c>
      <c r="S307" s="46">
        <v>0</v>
      </c>
      <c r="T307" s="46">
        <v>0</v>
      </c>
      <c r="U307" s="46">
        <v>0</v>
      </c>
      <c r="V307" s="46">
        <v>0</v>
      </c>
      <c r="W307" s="46">
        <v>0</v>
      </c>
      <c r="X307" s="47">
        <f t="shared" si="40"/>
        <v>600</v>
      </c>
      <c r="Y307" s="46">
        <v>0</v>
      </c>
      <c r="Z307" s="46">
        <v>0</v>
      </c>
      <c r="AA307" s="46">
        <v>0</v>
      </c>
      <c r="AB307" s="46">
        <v>0</v>
      </c>
      <c r="AC307" s="46">
        <v>0</v>
      </c>
      <c r="AD307" s="46">
        <v>0</v>
      </c>
      <c r="AE307" s="46">
        <v>0</v>
      </c>
      <c r="AF307" s="46">
        <v>0</v>
      </c>
      <c r="AG307" s="46">
        <v>0</v>
      </c>
      <c r="AH307" s="46">
        <v>0</v>
      </c>
      <c r="AI307" s="46">
        <v>0</v>
      </c>
      <c r="AJ307" s="46">
        <v>0</v>
      </c>
      <c r="AK307" s="47">
        <f t="shared" si="41"/>
        <v>0</v>
      </c>
      <c r="AL307" s="46">
        <v>0</v>
      </c>
      <c r="AM307" s="46">
        <v>0</v>
      </c>
      <c r="AN307" s="46">
        <v>0</v>
      </c>
      <c r="AO307" s="46">
        <v>400</v>
      </c>
      <c r="AP307" s="46">
        <v>400</v>
      </c>
      <c r="AQ307" s="46">
        <v>400</v>
      </c>
      <c r="AR307" s="46">
        <v>400</v>
      </c>
      <c r="AS307" s="46">
        <v>400</v>
      </c>
      <c r="AT307" s="46">
        <v>400</v>
      </c>
      <c r="AU307" s="46">
        <v>400</v>
      </c>
      <c r="AV307" s="46">
        <v>400</v>
      </c>
      <c r="AW307" s="46">
        <v>400</v>
      </c>
      <c r="AX307" s="47">
        <f t="shared" si="42"/>
        <v>3600</v>
      </c>
      <c r="AY307" s="313">
        <f>SUMIF(Recibos!$D$4:$D$7493,Cobranza!$B307,Recibos!K$4:K$7493)</f>
        <v>400</v>
      </c>
      <c r="AZ307" s="313">
        <f>SUMIF(Recibos!$D$4:$D$7493,Cobranza!$B307,Recibos!L$4:L$7493)</f>
        <v>400</v>
      </c>
      <c r="BA307" s="313">
        <f>SUMIF(Recibos!$D$4:$D$7493,Cobranza!$B307,Recibos!M$4:M$7493)</f>
        <v>400</v>
      </c>
      <c r="BB307" s="313">
        <f>SUMIF(Recibos!$D$4:$D$7493,Cobranza!$B307,Recibos!N$4:N$7493)</f>
        <v>400</v>
      </c>
      <c r="BC307" s="313">
        <f>SUMIF(Recibos!$D$4:$D$7493,Cobranza!$B307,Recibos!O$4:O$7493)</f>
        <v>400</v>
      </c>
      <c r="BD307" s="313">
        <f>SUMIF(Recibos!$D$4:$D$7493,Cobranza!$B307,Recibos!P$4:P$7493)</f>
        <v>400</v>
      </c>
      <c r="BE307" s="313">
        <f>SUMIF(Recibos!$D$4:$D$7493,Cobranza!$B307,Recibos!Q$4:Q$7493)</f>
        <v>400</v>
      </c>
      <c r="BF307" s="313">
        <f>SUMIF(Recibos!$D$4:$D$7493,Cobranza!$B307,Recibos!R$4:R$7493)</f>
        <v>400</v>
      </c>
      <c r="BG307" s="313">
        <f>SUMIF(Recibos!$D$4:$D$7493,Cobranza!$B307,Recibos!S$4:S$7493)</f>
        <v>400</v>
      </c>
      <c r="BH307" s="313">
        <f>SUMIF(Recibos!$D$4:$D$7493,Cobranza!$B307,Recibos!T$4:T$7493)</f>
        <v>400</v>
      </c>
      <c r="BI307" s="313">
        <f>SUMIF(Recibos!$D$4:$D$7493,Cobranza!$B307,Recibos!U$4:U$7493)</f>
        <v>0</v>
      </c>
      <c r="BJ307" s="313">
        <f>SUMIF(Recibos!$D$4:$D$7493,Cobranza!$B307,Recibos!V$4:V$7493)</f>
        <v>0</v>
      </c>
      <c r="BK307" s="314">
        <f t="shared" si="43"/>
        <v>4000</v>
      </c>
      <c r="BL307" s="313">
        <f>SUMIF(Recibos!$D$4:$D$7493,Cobranza!$B307,Recibos!X$4:X$7493)</f>
        <v>0</v>
      </c>
      <c r="BM307" s="313">
        <f>SUMIF(Recibos!$D$4:$D$7493,Cobranza!$B307,Recibos!Y$4:Y$7493)</f>
        <v>0</v>
      </c>
      <c r="BN307" s="313">
        <f>SUMIF(Recibos!$D$4:$D$7493,Cobranza!$B307,Recibos!Z$4:Z$7493)</f>
        <v>400</v>
      </c>
      <c r="BO307" s="313">
        <f>SUMIF(Recibos!$D$4:$D$7493,Cobranza!$B307,Recibos!AA$4:AA$7493)</f>
        <v>400</v>
      </c>
      <c r="BP307" s="313">
        <f>SUMIF(Recibos!$D$4:$D$7493,Cobranza!$B307,Recibos!AB$4:AB$7493)</f>
        <v>400</v>
      </c>
      <c r="BQ307" s="313">
        <f>SUMIF(Recibos!$D$4:$D$7493,Cobranza!$B307,Recibos!AC$4:AC$7493)</f>
        <v>400</v>
      </c>
      <c r="BR307" s="313">
        <f>SUMIF(Recibos!$D$4:$D$7493,Cobranza!$B307,Recibos!AD$4:AD$7493)</f>
        <v>400</v>
      </c>
      <c r="BS307" s="313">
        <f>SUMIF(Recibos!$D$4:$D$7493,Cobranza!$B307,Recibos!AE$4:AE$7493)</f>
        <v>0</v>
      </c>
      <c r="BT307" s="313">
        <f>SUMIF(Recibos!$D$4:$D$7493,Cobranza!$B307,Recibos!AF$4:AF$7493)</f>
        <v>0</v>
      </c>
      <c r="BU307" s="313">
        <f>SUMIF(Recibos!$D$4:$D$7493,Cobranza!$B307,Recibos!AG$4:AG$7493)</f>
        <v>0</v>
      </c>
      <c r="BV307" s="313">
        <f>SUMIF(Recibos!$D$4:$D$7493,Cobranza!$B307,Recibos!AH$4:AH$7493)</f>
        <v>0</v>
      </c>
      <c r="BW307" s="313">
        <f>SUMIF(Recibos!$D$4:$D$7493,Cobranza!$B307,Recibos!AI$4:AI$7493)</f>
        <v>0</v>
      </c>
      <c r="BX307" s="314">
        <f t="shared" si="44"/>
        <v>2000</v>
      </c>
      <c r="BY307" s="313">
        <f>SUMIF(Recibos!$D$4:$D$7493,Cobranza!$B307,Recibos!AK$4:AK$7493)</f>
        <v>400</v>
      </c>
      <c r="BZ307" s="313">
        <f>SUMIF(Recibos!$D$4:$D$7493,Cobranza!$B307,Recibos!AL$4:AL$7493)</f>
        <v>400</v>
      </c>
      <c r="CA307" s="313">
        <f>SUMIF(Recibos!$D$4:$D$7493,Cobranza!$B307,Recibos!AM$4:AM$7493)</f>
        <v>400</v>
      </c>
      <c r="CB307" s="313">
        <f>SUMIF(Recibos!$D$4:$D$7493,Cobranza!$B307,Recibos!AN$4:AN$7493)</f>
        <v>400</v>
      </c>
      <c r="CC307" s="313">
        <f>SUMIF(Recibos!$D$4:$D$7493,Cobranza!$B307,Recibos!AO$4:AO$7493)</f>
        <v>400</v>
      </c>
      <c r="CD307" s="313">
        <f>SUMIF(Recibos!$D$4:$D$7493,Cobranza!$B307,Recibos!AP$4:AP$7493)</f>
        <v>0</v>
      </c>
      <c r="CE307" s="313">
        <f>SUMIF(Recibos!$D$4:$D$7493,Cobranza!$B307,Recibos!AQ$4:AQ$7493)</f>
        <v>0</v>
      </c>
      <c r="CF307" s="313">
        <f>SUMIF(Recibos!$D$4:$D$7493,Cobranza!$B307,Recibos!AR$4:AR$7493)</f>
        <v>0</v>
      </c>
      <c r="CG307" s="313">
        <f>SUMIF(Recibos!$D$4:$D$7493,Cobranza!$B307,Recibos!AS$4:AS$7493)</f>
        <v>400</v>
      </c>
      <c r="CH307" s="313">
        <f>SUMIF(Recibos!$D$4:$D$7493,Cobranza!$B307,Recibos!AT$4:AT$7493)</f>
        <v>400</v>
      </c>
      <c r="CI307" s="313">
        <f>SUMIF(Recibos!$D$4:$D$7493,Cobranza!$B307,Recibos!AU$4:AU$7493)</f>
        <v>400</v>
      </c>
      <c r="CJ307" s="313">
        <f>SUMIF(Recibos!$D$4:$D$7493,Cobranza!$B307,Recibos!AV$4:AV$7493)</f>
        <v>0</v>
      </c>
      <c r="CK307" s="314">
        <f t="shared" si="38"/>
        <v>3200</v>
      </c>
    </row>
    <row r="308" spans="2:89" x14ac:dyDescent="0.2">
      <c r="B308" s="42" t="s">
        <v>661</v>
      </c>
      <c r="C308" s="42" t="s">
        <v>662</v>
      </c>
      <c r="D308" s="42" t="s">
        <v>624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4">
        <f t="shared" si="39"/>
        <v>0</v>
      </c>
      <c r="L308" s="43">
        <v>300</v>
      </c>
      <c r="M308" s="43">
        <v>300</v>
      </c>
      <c r="N308" s="43">
        <v>300</v>
      </c>
      <c r="O308" s="43">
        <v>300</v>
      </c>
      <c r="P308" s="43">
        <v>300</v>
      </c>
      <c r="Q308" s="43">
        <v>300</v>
      </c>
      <c r="R308" s="43">
        <v>300</v>
      </c>
      <c r="S308" s="43">
        <v>300</v>
      </c>
      <c r="T308" s="43">
        <v>300</v>
      </c>
      <c r="U308" s="43">
        <v>400</v>
      </c>
      <c r="V308" s="43">
        <v>400</v>
      </c>
      <c r="W308" s="43">
        <v>400</v>
      </c>
      <c r="X308" s="44">
        <f t="shared" si="40"/>
        <v>3900</v>
      </c>
      <c r="Y308" s="43">
        <v>400</v>
      </c>
      <c r="Z308" s="43">
        <v>400</v>
      </c>
      <c r="AA308" s="43">
        <v>400</v>
      </c>
      <c r="AB308" s="43">
        <v>400</v>
      </c>
      <c r="AC308" s="43">
        <v>400</v>
      </c>
      <c r="AD308" s="43">
        <v>400</v>
      </c>
      <c r="AE308" s="43">
        <v>400</v>
      </c>
      <c r="AF308" s="43">
        <v>400</v>
      </c>
      <c r="AG308" s="43">
        <v>400</v>
      </c>
      <c r="AH308" s="43">
        <v>400</v>
      </c>
      <c r="AI308" s="43">
        <v>400</v>
      </c>
      <c r="AJ308" s="43">
        <v>400</v>
      </c>
      <c r="AK308" s="44">
        <f t="shared" si="41"/>
        <v>4800</v>
      </c>
      <c r="AL308" s="43">
        <v>400</v>
      </c>
      <c r="AM308" s="43">
        <v>400</v>
      </c>
      <c r="AN308" s="43">
        <v>400</v>
      </c>
      <c r="AO308" s="43">
        <v>400</v>
      </c>
      <c r="AP308" s="43">
        <v>400</v>
      </c>
      <c r="AQ308" s="43">
        <v>400</v>
      </c>
      <c r="AR308" s="43">
        <v>400</v>
      </c>
      <c r="AS308" s="43">
        <v>400</v>
      </c>
      <c r="AT308" s="43">
        <v>400</v>
      </c>
      <c r="AU308" s="43">
        <v>400</v>
      </c>
      <c r="AV308" s="43">
        <v>400</v>
      </c>
      <c r="AW308" s="43">
        <v>400</v>
      </c>
      <c r="AX308" s="44">
        <f t="shared" si="42"/>
        <v>4800</v>
      </c>
      <c r="AY308" s="311">
        <f>SUMIF(Recibos!$D$4:$D$7493,Cobranza!$B308,Recibos!K$4:K$7493)</f>
        <v>400</v>
      </c>
      <c r="AZ308" s="311">
        <f>SUMIF(Recibos!$D$4:$D$7493,Cobranza!$B308,Recibos!L$4:L$7493)</f>
        <v>400</v>
      </c>
      <c r="BA308" s="311">
        <f>SUMIF(Recibos!$D$4:$D$7493,Cobranza!$B308,Recibos!M$4:M$7493)</f>
        <v>400</v>
      </c>
      <c r="BB308" s="311">
        <f>SUMIF(Recibos!$D$4:$D$7493,Cobranza!$B308,Recibos!N$4:N$7493)</f>
        <v>400</v>
      </c>
      <c r="BC308" s="311">
        <f>SUMIF(Recibos!$D$4:$D$7493,Cobranza!$B308,Recibos!O$4:O$7493)</f>
        <v>400</v>
      </c>
      <c r="BD308" s="311">
        <f>SUMIF(Recibos!$D$4:$D$7493,Cobranza!$B308,Recibos!P$4:P$7493)</f>
        <v>400</v>
      </c>
      <c r="BE308" s="311">
        <f>SUMIF(Recibos!$D$4:$D$7493,Cobranza!$B308,Recibos!Q$4:Q$7493)</f>
        <v>400</v>
      </c>
      <c r="BF308" s="311">
        <f>SUMIF(Recibos!$D$4:$D$7493,Cobranza!$B308,Recibos!R$4:R$7493)</f>
        <v>400</v>
      </c>
      <c r="BG308" s="311">
        <f>SUMIF(Recibos!$D$4:$D$7493,Cobranza!$B308,Recibos!S$4:S$7493)</f>
        <v>400</v>
      </c>
      <c r="BH308" s="311">
        <f>SUMIF(Recibos!$D$4:$D$7493,Cobranza!$B308,Recibos!T$4:T$7493)</f>
        <v>400</v>
      </c>
      <c r="BI308" s="311">
        <f>SUMIF(Recibos!$D$4:$D$7493,Cobranza!$B308,Recibos!U$4:U$7493)</f>
        <v>400</v>
      </c>
      <c r="BJ308" s="311">
        <f>SUMIF(Recibos!$D$4:$D$7493,Cobranza!$B308,Recibos!V$4:V$7493)</f>
        <v>400</v>
      </c>
      <c r="BK308" s="312">
        <f t="shared" si="43"/>
        <v>4800</v>
      </c>
      <c r="BL308" s="311">
        <f>SUMIF(Recibos!$D$4:$D$7493,Cobranza!$B308,Recibos!X$4:X$7493)</f>
        <v>400</v>
      </c>
      <c r="BM308" s="311">
        <f>SUMIF(Recibos!$D$4:$D$7493,Cobranza!$B308,Recibos!Y$4:Y$7493)</f>
        <v>400</v>
      </c>
      <c r="BN308" s="311">
        <f>SUMIF(Recibos!$D$4:$D$7493,Cobranza!$B308,Recibos!Z$4:Z$7493)</f>
        <v>400</v>
      </c>
      <c r="BO308" s="311">
        <f>SUMIF(Recibos!$D$4:$D$7493,Cobranza!$B308,Recibos!AA$4:AA$7493)</f>
        <v>400</v>
      </c>
      <c r="BP308" s="311">
        <f>SUMIF(Recibos!$D$4:$D$7493,Cobranza!$B308,Recibos!AB$4:AB$7493)</f>
        <v>400</v>
      </c>
      <c r="BQ308" s="311">
        <f>SUMIF(Recibos!$D$4:$D$7493,Cobranza!$B308,Recibos!AC$4:AC$7493)</f>
        <v>400</v>
      </c>
      <c r="BR308" s="311">
        <f>SUMIF(Recibos!$D$4:$D$7493,Cobranza!$B308,Recibos!AD$4:AD$7493)</f>
        <v>400</v>
      </c>
      <c r="BS308" s="311">
        <f>SUMIF(Recibos!$D$4:$D$7493,Cobranza!$B308,Recibos!AE$4:AE$7493)</f>
        <v>400</v>
      </c>
      <c r="BT308" s="311">
        <f>SUMIF(Recibos!$D$4:$D$7493,Cobranza!$B308,Recibos!AF$4:AF$7493)</f>
        <v>400</v>
      </c>
      <c r="BU308" s="311">
        <f>SUMIF(Recibos!$D$4:$D$7493,Cobranza!$B308,Recibos!AG$4:AG$7493)</f>
        <v>400</v>
      </c>
      <c r="BV308" s="311">
        <f>SUMIF(Recibos!$D$4:$D$7493,Cobranza!$B308,Recibos!AH$4:AH$7493)</f>
        <v>400</v>
      </c>
      <c r="BW308" s="311">
        <f>SUMIF(Recibos!$D$4:$D$7493,Cobranza!$B308,Recibos!AI$4:AI$7493)</f>
        <v>0</v>
      </c>
      <c r="BX308" s="312">
        <f t="shared" si="44"/>
        <v>4400</v>
      </c>
      <c r="BY308" s="311">
        <f>SUMIF(Recibos!$D$4:$D$7493,Cobranza!$B308,Recibos!AK$4:AK$7493)</f>
        <v>400</v>
      </c>
      <c r="BZ308" s="311">
        <f>SUMIF(Recibos!$D$4:$D$7493,Cobranza!$B308,Recibos!AL$4:AL$7493)</f>
        <v>400</v>
      </c>
      <c r="CA308" s="311">
        <f>SUMIF(Recibos!$D$4:$D$7493,Cobranza!$B308,Recibos!AM$4:AM$7493)</f>
        <v>400</v>
      </c>
      <c r="CB308" s="311">
        <f>SUMIF(Recibos!$D$4:$D$7493,Cobranza!$B308,Recibos!AN$4:AN$7493)</f>
        <v>400</v>
      </c>
      <c r="CC308" s="311">
        <f>SUMIF(Recibos!$D$4:$D$7493,Cobranza!$B308,Recibos!AO$4:AO$7493)</f>
        <v>400</v>
      </c>
      <c r="CD308" s="311">
        <f>SUMIF(Recibos!$D$4:$D$7493,Cobranza!$B308,Recibos!AP$4:AP$7493)</f>
        <v>400</v>
      </c>
      <c r="CE308" s="311">
        <f>SUMIF(Recibos!$D$4:$D$7493,Cobranza!$B308,Recibos!AQ$4:AQ$7493)</f>
        <v>400</v>
      </c>
      <c r="CF308" s="311">
        <f>SUMIF(Recibos!$D$4:$D$7493,Cobranza!$B308,Recibos!AR$4:AR$7493)</f>
        <v>400</v>
      </c>
      <c r="CG308" s="311">
        <f>SUMIF(Recibos!$D$4:$D$7493,Cobranza!$B308,Recibos!AS$4:AS$7493)</f>
        <v>400</v>
      </c>
      <c r="CH308" s="311">
        <f>SUMIF(Recibos!$D$4:$D$7493,Cobranza!$B308,Recibos!AT$4:AT$7493)</f>
        <v>400</v>
      </c>
      <c r="CI308" s="311">
        <f>SUMIF(Recibos!$D$4:$D$7493,Cobranza!$B308,Recibos!AU$4:AU$7493)</f>
        <v>400</v>
      </c>
      <c r="CJ308" s="311">
        <f>SUMIF(Recibos!$D$4:$D$7493,Cobranza!$B308,Recibos!AV$4:AV$7493)</f>
        <v>0</v>
      </c>
      <c r="CK308" s="312">
        <f t="shared" si="38"/>
        <v>4400</v>
      </c>
    </row>
    <row r="309" spans="2:89" x14ac:dyDescent="0.2">
      <c r="B309" s="45" t="s">
        <v>737</v>
      </c>
      <c r="C309" s="45" t="s">
        <v>738</v>
      </c>
      <c r="D309" s="45" t="s">
        <v>739</v>
      </c>
      <c r="E309" s="46">
        <v>0</v>
      </c>
      <c r="F309" s="46">
        <v>0</v>
      </c>
      <c r="G309" s="46">
        <v>0</v>
      </c>
      <c r="H309" s="46">
        <v>0</v>
      </c>
      <c r="I309" s="46">
        <v>300</v>
      </c>
      <c r="J309" s="46">
        <v>300</v>
      </c>
      <c r="K309" s="47">
        <f t="shared" si="39"/>
        <v>600</v>
      </c>
      <c r="L309" s="46">
        <v>300</v>
      </c>
      <c r="M309" s="46">
        <v>300</v>
      </c>
      <c r="N309" s="46">
        <v>300</v>
      </c>
      <c r="O309" s="46">
        <v>300</v>
      </c>
      <c r="P309" s="46">
        <v>300</v>
      </c>
      <c r="Q309" s="46">
        <v>300</v>
      </c>
      <c r="R309" s="46">
        <v>300</v>
      </c>
      <c r="S309" s="46">
        <v>300</v>
      </c>
      <c r="T309" s="46">
        <v>300</v>
      </c>
      <c r="U309" s="46">
        <v>400</v>
      </c>
      <c r="V309" s="46">
        <v>400</v>
      </c>
      <c r="W309" s="46">
        <v>400</v>
      </c>
      <c r="X309" s="47">
        <f t="shared" si="40"/>
        <v>3900</v>
      </c>
      <c r="Y309" s="46">
        <v>400</v>
      </c>
      <c r="Z309" s="46">
        <v>400</v>
      </c>
      <c r="AA309" s="46">
        <v>400</v>
      </c>
      <c r="AB309" s="46">
        <v>400</v>
      </c>
      <c r="AC309" s="46">
        <v>400</v>
      </c>
      <c r="AD309" s="46">
        <v>400</v>
      </c>
      <c r="AE309" s="46">
        <v>800</v>
      </c>
      <c r="AF309" s="46">
        <v>400</v>
      </c>
      <c r="AG309" s="46">
        <v>400</v>
      </c>
      <c r="AH309" s="46">
        <v>400</v>
      </c>
      <c r="AI309" s="46">
        <v>0</v>
      </c>
      <c r="AJ309" s="46">
        <v>400</v>
      </c>
      <c r="AK309" s="47">
        <f t="shared" si="41"/>
        <v>4800</v>
      </c>
      <c r="AL309" s="46">
        <v>400</v>
      </c>
      <c r="AM309" s="46">
        <v>400</v>
      </c>
      <c r="AN309" s="46">
        <v>400</v>
      </c>
      <c r="AO309" s="46">
        <v>400</v>
      </c>
      <c r="AP309" s="46">
        <v>400</v>
      </c>
      <c r="AQ309" s="46">
        <v>400</v>
      </c>
      <c r="AR309" s="46">
        <v>400</v>
      </c>
      <c r="AS309" s="46">
        <v>400</v>
      </c>
      <c r="AT309" s="46">
        <v>400</v>
      </c>
      <c r="AU309" s="46">
        <v>400</v>
      </c>
      <c r="AV309" s="46">
        <v>400</v>
      </c>
      <c r="AW309" s="46">
        <v>400</v>
      </c>
      <c r="AX309" s="47">
        <f t="shared" si="42"/>
        <v>4800</v>
      </c>
      <c r="AY309" s="313">
        <f>SUMIF(Recibos!$D$4:$D$7493,Cobranza!$B309,Recibos!K$4:K$7493)</f>
        <v>400</v>
      </c>
      <c r="AZ309" s="313">
        <f>SUMIF(Recibos!$D$4:$D$7493,Cobranza!$B309,Recibos!L$4:L$7493)</f>
        <v>400</v>
      </c>
      <c r="BA309" s="313">
        <f>SUMIF(Recibos!$D$4:$D$7493,Cobranza!$B309,Recibos!M$4:M$7493)</f>
        <v>400</v>
      </c>
      <c r="BB309" s="313">
        <f>SUMIF(Recibos!$D$4:$D$7493,Cobranza!$B309,Recibos!N$4:N$7493)</f>
        <v>400</v>
      </c>
      <c r="BC309" s="313">
        <f>SUMIF(Recibos!$D$4:$D$7493,Cobranza!$B309,Recibos!O$4:O$7493)</f>
        <v>400</v>
      </c>
      <c r="BD309" s="313">
        <f>SUMIF(Recibos!$D$4:$D$7493,Cobranza!$B309,Recibos!P$4:P$7493)</f>
        <v>400</v>
      </c>
      <c r="BE309" s="313">
        <f>SUMIF(Recibos!$D$4:$D$7493,Cobranza!$B309,Recibos!Q$4:Q$7493)</f>
        <v>400</v>
      </c>
      <c r="BF309" s="313">
        <f>SUMIF(Recibos!$D$4:$D$7493,Cobranza!$B309,Recibos!R$4:R$7493)</f>
        <v>400</v>
      </c>
      <c r="BG309" s="313">
        <f>SUMIF(Recibos!$D$4:$D$7493,Cobranza!$B309,Recibos!S$4:S$7493)</f>
        <v>400</v>
      </c>
      <c r="BH309" s="313">
        <f>SUMIF(Recibos!$D$4:$D$7493,Cobranza!$B309,Recibos!T$4:T$7493)</f>
        <v>400</v>
      </c>
      <c r="BI309" s="313">
        <f>SUMIF(Recibos!$D$4:$D$7493,Cobranza!$B309,Recibos!U$4:U$7493)</f>
        <v>400</v>
      </c>
      <c r="BJ309" s="313">
        <f>SUMIF(Recibos!$D$4:$D$7493,Cobranza!$B309,Recibos!V$4:V$7493)</f>
        <v>400</v>
      </c>
      <c r="BK309" s="314">
        <f t="shared" si="43"/>
        <v>4800</v>
      </c>
      <c r="BL309" s="313">
        <f>SUMIF(Recibos!$D$4:$D$7493,Cobranza!$B309,Recibos!X$4:X$7493)</f>
        <v>400</v>
      </c>
      <c r="BM309" s="313">
        <f>SUMIF(Recibos!$D$4:$D$7493,Cobranza!$B309,Recibos!Y$4:Y$7493)</f>
        <v>400</v>
      </c>
      <c r="BN309" s="313">
        <f>SUMIF(Recibos!$D$4:$D$7493,Cobranza!$B309,Recibos!Z$4:Z$7493)</f>
        <v>400</v>
      </c>
      <c r="BO309" s="313">
        <f>SUMIF(Recibos!$D$4:$D$7493,Cobranza!$B309,Recibos!AA$4:AA$7493)</f>
        <v>400</v>
      </c>
      <c r="BP309" s="313">
        <f>SUMIF(Recibos!$D$4:$D$7493,Cobranza!$B309,Recibos!AB$4:AB$7493)</f>
        <v>400</v>
      </c>
      <c r="BQ309" s="313">
        <f>SUMIF(Recibos!$D$4:$D$7493,Cobranza!$B309,Recibos!AC$4:AC$7493)</f>
        <v>400</v>
      </c>
      <c r="BR309" s="313">
        <f>SUMIF(Recibos!$D$4:$D$7493,Cobranza!$B309,Recibos!AD$4:AD$7493)</f>
        <v>400</v>
      </c>
      <c r="BS309" s="313">
        <f>SUMIF(Recibos!$D$4:$D$7493,Cobranza!$B309,Recibos!AE$4:AE$7493)</f>
        <v>400</v>
      </c>
      <c r="BT309" s="313">
        <f>SUMIF(Recibos!$D$4:$D$7493,Cobranza!$B309,Recibos!AF$4:AF$7493)</f>
        <v>400</v>
      </c>
      <c r="BU309" s="313">
        <f>SUMIF(Recibos!$D$4:$D$7493,Cobranza!$B309,Recibos!AG$4:AG$7493)</f>
        <v>400</v>
      </c>
      <c r="BV309" s="313">
        <f>SUMIF(Recibos!$D$4:$D$7493,Cobranza!$B309,Recibos!AH$4:AH$7493)</f>
        <v>400</v>
      </c>
      <c r="BW309" s="313">
        <f>SUMIF(Recibos!$D$4:$D$7493,Cobranza!$B309,Recibos!AI$4:AI$7493)</f>
        <v>400</v>
      </c>
      <c r="BX309" s="314">
        <f t="shared" si="44"/>
        <v>4800</v>
      </c>
      <c r="BY309" s="313">
        <f>SUMIF(Recibos!$D$4:$D$7493,Cobranza!$B309,Recibos!AK$4:AK$7493)</f>
        <v>400</v>
      </c>
      <c r="BZ309" s="313">
        <f>SUMIF(Recibos!$D$4:$D$7493,Cobranza!$B309,Recibos!AL$4:AL$7493)</f>
        <v>400</v>
      </c>
      <c r="CA309" s="313">
        <f>SUMIF(Recibos!$D$4:$D$7493,Cobranza!$B309,Recibos!AM$4:AM$7493)</f>
        <v>400</v>
      </c>
      <c r="CB309" s="313">
        <f>SUMIF(Recibos!$D$4:$D$7493,Cobranza!$B309,Recibos!AN$4:AN$7493)</f>
        <v>400</v>
      </c>
      <c r="CC309" s="313">
        <f>SUMIF(Recibos!$D$4:$D$7493,Cobranza!$B309,Recibos!AO$4:AO$7493)</f>
        <v>400</v>
      </c>
      <c r="CD309" s="313">
        <f>SUMIF(Recibos!$D$4:$D$7493,Cobranza!$B309,Recibos!AP$4:AP$7493)</f>
        <v>400</v>
      </c>
      <c r="CE309" s="313">
        <f>SUMIF(Recibos!$D$4:$D$7493,Cobranza!$B309,Recibos!AQ$4:AQ$7493)</f>
        <v>400</v>
      </c>
      <c r="CF309" s="313">
        <f>SUMIF(Recibos!$D$4:$D$7493,Cobranza!$B309,Recibos!AR$4:AR$7493)</f>
        <v>400</v>
      </c>
      <c r="CG309" s="313">
        <f>SUMIF(Recibos!$D$4:$D$7493,Cobranza!$B309,Recibos!AS$4:AS$7493)</f>
        <v>400</v>
      </c>
      <c r="CH309" s="313">
        <f>SUMIF(Recibos!$D$4:$D$7493,Cobranza!$B309,Recibos!AT$4:AT$7493)</f>
        <v>400</v>
      </c>
      <c r="CI309" s="313">
        <f>SUMIF(Recibos!$D$4:$D$7493,Cobranza!$B309,Recibos!AU$4:AU$7493)</f>
        <v>400</v>
      </c>
      <c r="CJ309" s="313">
        <f>SUMIF(Recibos!$D$4:$D$7493,Cobranza!$B309,Recibos!AV$4:AV$7493)</f>
        <v>0</v>
      </c>
      <c r="CK309" s="314">
        <f t="shared" si="38"/>
        <v>4400</v>
      </c>
    </row>
    <row r="310" spans="2:89" x14ac:dyDescent="0.2">
      <c r="B310" s="42" t="s">
        <v>693</v>
      </c>
      <c r="C310" s="42" t="s">
        <v>694</v>
      </c>
      <c r="D310" s="42" t="s">
        <v>695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100</v>
      </c>
      <c r="K310" s="44">
        <f t="shared" si="39"/>
        <v>100</v>
      </c>
      <c r="L310" s="43">
        <v>100</v>
      </c>
      <c r="M310" s="43">
        <v>100</v>
      </c>
      <c r="N310" s="43">
        <v>100</v>
      </c>
      <c r="O310" s="43">
        <v>0</v>
      </c>
      <c r="P310" s="43">
        <v>0</v>
      </c>
      <c r="Q310" s="43">
        <v>100</v>
      </c>
      <c r="R310" s="43">
        <v>100</v>
      </c>
      <c r="S310" s="43">
        <v>100</v>
      </c>
      <c r="T310" s="43">
        <v>100</v>
      </c>
      <c r="U310" s="43">
        <v>100</v>
      </c>
      <c r="V310" s="43">
        <v>100</v>
      </c>
      <c r="W310" s="43">
        <v>100</v>
      </c>
      <c r="X310" s="44">
        <f t="shared" si="40"/>
        <v>1000</v>
      </c>
      <c r="Y310" s="43">
        <v>100</v>
      </c>
      <c r="Z310" s="43">
        <v>100</v>
      </c>
      <c r="AA310" s="43">
        <v>100</v>
      </c>
      <c r="AB310" s="43">
        <v>100</v>
      </c>
      <c r="AC310" s="43">
        <v>100</v>
      </c>
      <c r="AD310" s="43">
        <v>100</v>
      </c>
      <c r="AE310" s="43">
        <v>100</v>
      </c>
      <c r="AF310" s="43">
        <v>100</v>
      </c>
      <c r="AG310" s="43">
        <v>100</v>
      </c>
      <c r="AH310" s="43">
        <v>100</v>
      </c>
      <c r="AI310" s="43">
        <v>100</v>
      </c>
      <c r="AJ310" s="43">
        <v>100</v>
      </c>
      <c r="AK310" s="44">
        <f t="shared" si="41"/>
        <v>1200</v>
      </c>
      <c r="AL310" s="43">
        <v>100</v>
      </c>
      <c r="AM310" s="43">
        <v>100</v>
      </c>
      <c r="AN310" s="43">
        <v>100</v>
      </c>
      <c r="AO310" s="43">
        <v>100</v>
      </c>
      <c r="AP310" s="43">
        <v>100</v>
      </c>
      <c r="AQ310" s="43">
        <v>100</v>
      </c>
      <c r="AR310" s="43">
        <v>100</v>
      </c>
      <c r="AS310" s="43">
        <v>100</v>
      </c>
      <c r="AT310" s="43">
        <v>100</v>
      </c>
      <c r="AU310" s="43">
        <v>100</v>
      </c>
      <c r="AV310" s="43">
        <v>100</v>
      </c>
      <c r="AW310" s="43">
        <v>100</v>
      </c>
      <c r="AX310" s="44">
        <f t="shared" si="42"/>
        <v>1200</v>
      </c>
      <c r="AY310" s="311">
        <f>SUMIF(Recibos!$D$4:$D$7493,Cobranza!$B310,Recibos!K$4:K$7493)</f>
        <v>150</v>
      </c>
      <c r="AZ310" s="311">
        <f>SUMIF(Recibos!$D$4:$D$7493,Cobranza!$B310,Recibos!L$4:L$7493)</f>
        <v>150</v>
      </c>
      <c r="BA310" s="311">
        <f>SUMIF(Recibos!$D$4:$D$7493,Cobranza!$B310,Recibos!M$4:M$7493)</f>
        <v>150</v>
      </c>
      <c r="BB310" s="311">
        <f>SUMIF(Recibos!$D$4:$D$7493,Cobranza!$B310,Recibos!N$4:N$7493)</f>
        <v>150</v>
      </c>
      <c r="BC310" s="311">
        <f>SUMIF(Recibos!$D$4:$D$7493,Cobranza!$B310,Recibos!O$4:O$7493)</f>
        <v>150</v>
      </c>
      <c r="BD310" s="311">
        <f>SUMIF(Recibos!$D$4:$D$7493,Cobranza!$B310,Recibos!P$4:P$7493)</f>
        <v>150</v>
      </c>
      <c r="BE310" s="311">
        <f>SUMIF(Recibos!$D$4:$D$7493,Cobranza!$B310,Recibos!Q$4:Q$7493)</f>
        <v>150</v>
      </c>
      <c r="BF310" s="311">
        <f>SUMIF(Recibos!$D$4:$D$7493,Cobranza!$B310,Recibos!R$4:R$7493)</f>
        <v>150</v>
      </c>
      <c r="BG310" s="311">
        <f>SUMIF(Recibos!$D$4:$D$7493,Cobranza!$B310,Recibos!S$4:S$7493)</f>
        <v>150</v>
      </c>
      <c r="BH310" s="311">
        <f>SUMIF(Recibos!$D$4:$D$7493,Cobranza!$B310,Recibos!T$4:T$7493)</f>
        <v>150</v>
      </c>
      <c r="BI310" s="311">
        <f>SUMIF(Recibos!$D$4:$D$7493,Cobranza!$B310,Recibos!U$4:U$7493)</f>
        <v>150</v>
      </c>
      <c r="BJ310" s="311">
        <f>SUMIF(Recibos!$D$4:$D$7493,Cobranza!$B310,Recibos!V$4:V$7493)</f>
        <v>150</v>
      </c>
      <c r="BK310" s="312">
        <f t="shared" si="43"/>
        <v>1800</v>
      </c>
      <c r="BL310" s="311">
        <f>SUMIF(Recibos!$D$4:$D$7493,Cobranza!$B310,Recibos!X$4:X$7493)</f>
        <v>150</v>
      </c>
      <c r="BM310" s="311">
        <f>SUMIF(Recibos!$D$4:$D$7493,Cobranza!$B310,Recibos!Y$4:Y$7493)</f>
        <v>150</v>
      </c>
      <c r="BN310" s="311">
        <f>SUMIF(Recibos!$D$4:$D$7493,Cobranza!$B310,Recibos!Z$4:Z$7493)</f>
        <v>150</v>
      </c>
      <c r="BO310" s="311">
        <f>SUMIF(Recibos!$D$4:$D$7493,Cobranza!$B310,Recibos!AA$4:AA$7493)</f>
        <v>150</v>
      </c>
      <c r="BP310" s="311">
        <f>SUMIF(Recibos!$D$4:$D$7493,Cobranza!$B310,Recibos!AB$4:AB$7493)</f>
        <v>150</v>
      </c>
      <c r="BQ310" s="311">
        <f>SUMIF(Recibos!$D$4:$D$7493,Cobranza!$B310,Recibos!AC$4:AC$7493)</f>
        <v>150</v>
      </c>
      <c r="BR310" s="311">
        <f>SUMIF(Recibos!$D$4:$D$7493,Cobranza!$B310,Recibos!AD$4:AD$7493)</f>
        <v>150</v>
      </c>
      <c r="BS310" s="311">
        <f>SUMIF(Recibos!$D$4:$D$7493,Cobranza!$B310,Recibos!AE$4:AE$7493)</f>
        <v>150</v>
      </c>
      <c r="BT310" s="311">
        <f>SUMIF(Recibos!$D$4:$D$7493,Cobranza!$B310,Recibos!AF$4:AF$7493)</f>
        <v>150</v>
      </c>
      <c r="BU310" s="311">
        <f>SUMIF(Recibos!$D$4:$D$7493,Cobranza!$B310,Recibos!AG$4:AG$7493)</f>
        <v>150</v>
      </c>
      <c r="BV310" s="311">
        <f>SUMIF(Recibos!$D$4:$D$7493,Cobranza!$B310,Recibos!AH$4:AH$7493)</f>
        <v>150</v>
      </c>
      <c r="BW310" s="311">
        <f>SUMIF(Recibos!$D$4:$D$7493,Cobranza!$B310,Recibos!AI$4:AI$7493)</f>
        <v>150</v>
      </c>
      <c r="BX310" s="312">
        <f t="shared" si="44"/>
        <v>1800</v>
      </c>
      <c r="BY310" s="311">
        <f>SUMIF(Recibos!$D$4:$D$7493,Cobranza!$B310,Recibos!AK$4:AK$7493)</f>
        <v>150</v>
      </c>
      <c r="BZ310" s="311">
        <f>SUMIF(Recibos!$D$4:$D$7493,Cobranza!$B310,Recibos!AL$4:AL$7493)</f>
        <v>150</v>
      </c>
      <c r="CA310" s="311">
        <f>SUMIF(Recibos!$D$4:$D$7493,Cobranza!$B310,Recibos!AM$4:AM$7493)</f>
        <v>0</v>
      </c>
      <c r="CB310" s="311">
        <f>SUMIF(Recibos!$D$4:$D$7493,Cobranza!$B310,Recibos!AN$4:AN$7493)</f>
        <v>0</v>
      </c>
      <c r="CC310" s="311">
        <f>SUMIF(Recibos!$D$4:$D$7493,Cobranza!$B310,Recibos!AO$4:AO$7493)</f>
        <v>150</v>
      </c>
      <c r="CD310" s="311">
        <f>SUMIF(Recibos!$D$4:$D$7493,Cobranza!$B310,Recibos!AP$4:AP$7493)</f>
        <v>150</v>
      </c>
      <c r="CE310" s="311">
        <f>SUMIF(Recibos!$D$4:$D$7493,Cobranza!$B310,Recibos!AQ$4:AQ$7493)</f>
        <v>150</v>
      </c>
      <c r="CF310" s="311">
        <f>SUMIF(Recibos!$D$4:$D$7493,Cobranza!$B310,Recibos!AR$4:AR$7493)</f>
        <v>150</v>
      </c>
      <c r="CG310" s="311">
        <f>SUMIF(Recibos!$D$4:$D$7493,Cobranza!$B310,Recibos!AS$4:AS$7493)</f>
        <v>0</v>
      </c>
      <c r="CH310" s="311">
        <f>SUMIF(Recibos!$D$4:$D$7493,Cobranza!$B310,Recibos!AT$4:AT$7493)</f>
        <v>0</v>
      </c>
      <c r="CI310" s="311">
        <f>SUMIF(Recibos!$D$4:$D$7493,Cobranza!$B310,Recibos!AU$4:AU$7493)</f>
        <v>0</v>
      </c>
      <c r="CJ310" s="311">
        <f>SUMIF(Recibos!$D$4:$D$7493,Cobranza!$B310,Recibos!AV$4:AV$7493)</f>
        <v>0</v>
      </c>
      <c r="CK310" s="312">
        <f t="shared" si="38"/>
        <v>900</v>
      </c>
    </row>
    <row r="311" spans="2:89" x14ac:dyDescent="0.2">
      <c r="B311" s="45" t="s">
        <v>62</v>
      </c>
      <c r="C311" s="45" t="s">
        <v>63</v>
      </c>
      <c r="D311" s="45" t="s">
        <v>64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7">
        <f t="shared" si="39"/>
        <v>0</v>
      </c>
      <c r="L311" s="46">
        <v>150</v>
      </c>
      <c r="M311" s="46">
        <v>150</v>
      </c>
      <c r="N311" s="46">
        <v>150</v>
      </c>
      <c r="O311" s="46">
        <v>150</v>
      </c>
      <c r="P311" s="46">
        <v>150</v>
      </c>
      <c r="Q311" s="46">
        <v>150</v>
      </c>
      <c r="R311" s="46">
        <v>150</v>
      </c>
      <c r="S311" s="46">
        <v>150</v>
      </c>
      <c r="T311" s="46">
        <v>150</v>
      </c>
      <c r="U311" s="46">
        <v>200</v>
      </c>
      <c r="V311" s="46">
        <v>200</v>
      </c>
      <c r="W311" s="46">
        <v>200</v>
      </c>
      <c r="X311" s="47">
        <f t="shared" si="40"/>
        <v>1950</v>
      </c>
      <c r="Y311" s="46">
        <v>200</v>
      </c>
      <c r="Z311" s="46">
        <v>200</v>
      </c>
      <c r="AA311" s="46">
        <v>200</v>
      </c>
      <c r="AB311" s="46">
        <v>200</v>
      </c>
      <c r="AC311" s="46">
        <v>200</v>
      </c>
      <c r="AD311" s="46">
        <v>200</v>
      </c>
      <c r="AE311" s="46">
        <v>200</v>
      </c>
      <c r="AF311" s="46">
        <v>200</v>
      </c>
      <c r="AG311" s="46">
        <v>400</v>
      </c>
      <c r="AH311" s="46">
        <v>0</v>
      </c>
      <c r="AI311" s="46">
        <v>200</v>
      </c>
      <c r="AJ311" s="46">
        <v>200</v>
      </c>
      <c r="AK311" s="47">
        <f t="shared" si="41"/>
        <v>2400</v>
      </c>
      <c r="AL311" s="46">
        <v>200</v>
      </c>
      <c r="AM311" s="46">
        <v>200</v>
      </c>
      <c r="AN311" s="46">
        <v>200</v>
      </c>
      <c r="AO311" s="46">
        <v>200</v>
      </c>
      <c r="AP311" s="46">
        <v>200</v>
      </c>
      <c r="AQ311" s="46">
        <v>200</v>
      </c>
      <c r="AR311" s="46">
        <v>200</v>
      </c>
      <c r="AS311" s="46">
        <v>200</v>
      </c>
      <c r="AT311" s="46">
        <v>200</v>
      </c>
      <c r="AU311" s="46">
        <v>200</v>
      </c>
      <c r="AV311" s="46">
        <v>200</v>
      </c>
      <c r="AW311" s="46">
        <v>200</v>
      </c>
      <c r="AX311" s="47">
        <f t="shared" si="42"/>
        <v>2400</v>
      </c>
      <c r="AY311" s="313">
        <f>SUMIF(Recibos!$D$4:$D$7493,Cobranza!$B311,Recibos!K$4:K$7493)</f>
        <v>200</v>
      </c>
      <c r="AZ311" s="313">
        <f>SUMIF(Recibos!$D$4:$D$7493,Cobranza!$B311,Recibos!L$4:L$7493)</f>
        <v>200</v>
      </c>
      <c r="BA311" s="313">
        <f>SUMIF(Recibos!$D$4:$D$7493,Cobranza!$B311,Recibos!M$4:M$7493)</f>
        <v>200</v>
      </c>
      <c r="BB311" s="313">
        <f>SUMIF(Recibos!$D$4:$D$7493,Cobranza!$B311,Recibos!N$4:N$7493)</f>
        <v>200</v>
      </c>
      <c r="BC311" s="313">
        <f>SUMIF(Recibos!$D$4:$D$7493,Cobranza!$B311,Recibos!O$4:O$7493)</f>
        <v>200</v>
      </c>
      <c r="BD311" s="313">
        <f>SUMIF(Recibos!$D$4:$D$7493,Cobranza!$B311,Recibos!P$4:P$7493)</f>
        <v>200</v>
      </c>
      <c r="BE311" s="313">
        <f>SUMIF(Recibos!$D$4:$D$7493,Cobranza!$B311,Recibos!Q$4:Q$7493)</f>
        <v>200</v>
      </c>
      <c r="BF311" s="313">
        <f>SUMIF(Recibos!$D$4:$D$7493,Cobranza!$B311,Recibos!R$4:R$7493)</f>
        <v>200</v>
      </c>
      <c r="BG311" s="313">
        <f>SUMIF(Recibos!$D$4:$D$7493,Cobranza!$B311,Recibos!S$4:S$7493)</f>
        <v>200</v>
      </c>
      <c r="BH311" s="313">
        <f>SUMIF(Recibos!$D$4:$D$7493,Cobranza!$B311,Recibos!T$4:T$7493)</f>
        <v>200</v>
      </c>
      <c r="BI311" s="313">
        <f>SUMIF(Recibos!$D$4:$D$7493,Cobranza!$B311,Recibos!U$4:U$7493)</f>
        <v>200</v>
      </c>
      <c r="BJ311" s="313">
        <f>SUMIF(Recibos!$D$4:$D$7493,Cobranza!$B311,Recibos!V$4:V$7493)</f>
        <v>200</v>
      </c>
      <c r="BK311" s="314">
        <f t="shared" si="43"/>
        <v>2400</v>
      </c>
      <c r="BL311" s="313">
        <f>SUMIF(Recibos!$D$4:$D$7493,Cobranza!$B311,Recibos!X$4:X$7493)</f>
        <v>200</v>
      </c>
      <c r="BM311" s="313">
        <f>SUMIF(Recibos!$D$4:$D$7493,Cobranza!$B311,Recibos!Y$4:Y$7493)</f>
        <v>200</v>
      </c>
      <c r="BN311" s="313">
        <f>SUMIF(Recibos!$D$4:$D$7493,Cobranza!$B311,Recibos!Z$4:Z$7493)</f>
        <v>200</v>
      </c>
      <c r="BO311" s="313">
        <f>SUMIF(Recibos!$D$4:$D$7493,Cobranza!$B311,Recibos!AA$4:AA$7493)</f>
        <v>200</v>
      </c>
      <c r="BP311" s="313">
        <f>SUMIF(Recibos!$D$4:$D$7493,Cobranza!$B311,Recibos!AB$4:AB$7493)</f>
        <v>200</v>
      </c>
      <c r="BQ311" s="313">
        <f>SUMIF(Recibos!$D$4:$D$7493,Cobranza!$B311,Recibos!AC$4:AC$7493)</f>
        <v>200</v>
      </c>
      <c r="BR311" s="313">
        <f>SUMIF(Recibos!$D$4:$D$7493,Cobranza!$B311,Recibos!AD$4:AD$7493)</f>
        <v>200</v>
      </c>
      <c r="BS311" s="313">
        <f>SUMIF(Recibos!$D$4:$D$7493,Cobranza!$B311,Recibos!AE$4:AE$7493)</f>
        <v>200</v>
      </c>
      <c r="BT311" s="313">
        <f>SUMIF(Recibos!$D$4:$D$7493,Cobranza!$B311,Recibos!AF$4:AF$7493)</f>
        <v>200</v>
      </c>
      <c r="BU311" s="313">
        <f>SUMIF(Recibos!$D$4:$D$7493,Cobranza!$B311,Recibos!AG$4:AG$7493)</f>
        <v>200</v>
      </c>
      <c r="BV311" s="313">
        <f>SUMIF(Recibos!$D$4:$D$7493,Cobranza!$B311,Recibos!AH$4:AH$7493)</f>
        <v>200</v>
      </c>
      <c r="BW311" s="313">
        <f>SUMIF(Recibos!$D$4:$D$7493,Cobranza!$B311,Recibos!AI$4:AI$7493)</f>
        <v>200</v>
      </c>
      <c r="BX311" s="314">
        <f t="shared" si="44"/>
        <v>2400</v>
      </c>
      <c r="BY311" s="313">
        <f>SUMIF(Recibos!$D$4:$D$7493,Cobranza!$B311,Recibos!AK$4:AK$7493)</f>
        <v>200</v>
      </c>
      <c r="BZ311" s="313">
        <f>SUMIF(Recibos!$D$4:$D$7493,Cobranza!$B311,Recibos!AL$4:AL$7493)</f>
        <v>200</v>
      </c>
      <c r="CA311" s="313">
        <f>SUMIF(Recibos!$D$4:$D$7493,Cobranza!$B311,Recibos!AM$4:AM$7493)</f>
        <v>200</v>
      </c>
      <c r="CB311" s="313">
        <f>SUMIF(Recibos!$D$4:$D$7493,Cobranza!$B311,Recibos!AN$4:AN$7493)</f>
        <v>200</v>
      </c>
      <c r="CC311" s="313">
        <f>SUMIF(Recibos!$D$4:$D$7493,Cobranza!$B311,Recibos!AO$4:AO$7493)</f>
        <v>200</v>
      </c>
      <c r="CD311" s="313">
        <f>SUMIF(Recibos!$D$4:$D$7493,Cobranza!$B311,Recibos!AP$4:AP$7493)</f>
        <v>200</v>
      </c>
      <c r="CE311" s="313">
        <f>SUMIF(Recibos!$D$4:$D$7493,Cobranza!$B311,Recibos!AQ$4:AQ$7493)</f>
        <v>200</v>
      </c>
      <c r="CF311" s="313">
        <f>SUMIF(Recibos!$D$4:$D$7493,Cobranza!$B311,Recibos!AR$4:AR$7493)</f>
        <v>200</v>
      </c>
      <c r="CG311" s="313">
        <f>SUMIF(Recibos!$D$4:$D$7493,Cobranza!$B311,Recibos!AS$4:AS$7493)</f>
        <v>200</v>
      </c>
      <c r="CH311" s="313">
        <f>SUMIF(Recibos!$D$4:$D$7493,Cobranza!$B311,Recibos!AT$4:AT$7493)</f>
        <v>200</v>
      </c>
      <c r="CI311" s="313">
        <f>SUMIF(Recibos!$D$4:$D$7493,Cobranza!$B311,Recibos!AU$4:AU$7493)</f>
        <v>200</v>
      </c>
      <c r="CJ311" s="313">
        <f>SUMIF(Recibos!$D$4:$D$7493,Cobranza!$B311,Recibos!AV$4:AV$7493)</f>
        <v>0</v>
      </c>
      <c r="CK311" s="314">
        <f t="shared" si="38"/>
        <v>2200</v>
      </c>
    </row>
    <row r="312" spans="2:89" x14ac:dyDescent="0.2">
      <c r="B312" s="42" t="s">
        <v>631</v>
      </c>
      <c r="C312" s="42" t="s">
        <v>632</v>
      </c>
      <c r="D312" s="42" t="s">
        <v>633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300</v>
      </c>
      <c r="K312" s="44">
        <f t="shared" si="39"/>
        <v>300</v>
      </c>
      <c r="L312" s="43">
        <v>300</v>
      </c>
      <c r="M312" s="43">
        <v>300</v>
      </c>
      <c r="N312" s="43">
        <v>300</v>
      </c>
      <c r="O312" s="43">
        <v>300</v>
      </c>
      <c r="P312" s="43">
        <v>300</v>
      </c>
      <c r="Q312" s="43">
        <v>300</v>
      </c>
      <c r="R312" s="43">
        <v>300</v>
      </c>
      <c r="S312" s="43">
        <v>300</v>
      </c>
      <c r="T312" s="43">
        <v>300</v>
      </c>
      <c r="U312" s="43">
        <v>0</v>
      </c>
      <c r="V312" s="43">
        <v>800</v>
      </c>
      <c r="W312" s="43">
        <v>400</v>
      </c>
      <c r="X312" s="44">
        <f t="shared" si="40"/>
        <v>3900</v>
      </c>
      <c r="Y312" s="43">
        <v>400</v>
      </c>
      <c r="Z312" s="43">
        <v>400</v>
      </c>
      <c r="AA312" s="43">
        <v>400</v>
      </c>
      <c r="AB312" s="43">
        <v>300</v>
      </c>
      <c r="AC312" s="43">
        <v>300</v>
      </c>
      <c r="AD312" s="43">
        <v>300</v>
      </c>
      <c r="AE312" s="43">
        <v>300</v>
      </c>
      <c r="AF312" s="43">
        <v>300</v>
      </c>
      <c r="AG312" s="43">
        <v>300</v>
      </c>
      <c r="AH312" s="43">
        <v>300</v>
      </c>
      <c r="AI312" s="43">
        <v>300</v>
      </c>
      <c r="AJ312" s="43">
        <v>300</v>
      </c>
      <c r="AK312" s="44">
        <f t="shared" si="41"/>
        <v>3900</v>
      </c>
      <c r="AL312" s="43">
        <v>300</v>
      </c>
      <c r="AM312" s="43">
        <v>300</v>
      </c>
      <c r="AN312" s="43">
        <v>300</v>
      </c>
      <c r="AO312" s="43">
        <v>300</v>
      </c>
      <c r="AP312" s="43">
        <v>300</v>
      </c>
      <c r="AQ312" s="43">
        <v>300</v>
      </c>
      <c r="AR312" s="43">
        <v>300</v>
      </c>
      <c r="AS312" s="43">
        <v>300</v>
      </c>
      <c r="AT312" s="43">
        <v>300</v>
      </c>
      <c r="AU312" s="43">
        <v>300</v>
      </c>
      <c r="AV312" s="43">
        <v>300</v>
      </c>
      <c r="AW312" s="43">
        <v>300</v>
      </c>
      <c r="AX312" s="44">
        <f t="shared" si="42"/>
        <v>3600</v>
      </c>
      <c r="AY312" s="311">
        <f>SUMIF(Recibos!$D$4:$D$7493,Cobranza!$B312,Recibos!K$4:K$7493)</f>
        <v>300</v>
      </c>
      <c r="AZ312" s="311">
        <f>SUMIF(Recibos!$D$4:$D$7493,Cobranza!$B312,Recibos!L$4:L$7493)</f>
        <v>300</v>
      </c>
      <c r="BA312" s="311">
        <f>SUMIF(Recibos!$D$4:$D$7493,Cobranza!$B312,Recibos!M$4:M$7493)</f>
        <v>300</v>
      </c>
      <c r="BB312" s="311">
        <f>SUMIF(Recibos!$D$4:$D$7493,Cobranza!$B312,Recibos!N$4:N$7493)</f>
        <v>300</v>
      </c>
      <c r="BC312" s="311">
        <f>SUMIF(Recibos!$D$4:$D$7493,Cobranza!$B312,Recibos!O$4:O$7493)</f>
        <v>300</v>
      </c>
      <c r="BD312" s="311">
        <f>SUMIF(Recibos!$D$4:$D$7493,Cobranza!$B312,Recibos!P$4:P$7493)</f>
        <v>300</v>
      </c>
      <c r="BE312" s="311">
        <f>SUMIF(Recibos!$D$4:$D$7493,Cobranza!$B312,Recibos!Q$4:Q$7493)</f>
        <v>300</v>
      </c>
      <c r="BF312" s="311">
        <f>SUMIF(Recibos!$D$4:$D$7493,Cobranza!$B312,Recibos!R$4:R$7493)</f>
        <v>300</v>
      </c>
      <c r="BG312" s="311">
        <f>SUMIF(Recibos!$D$4:$D$7493,Cobranza!$B312,Recibos!S$4:S$7493)</f>
        <v>300</v>
      </c>
      <c r="BH312" s="311">
        <f>SUMIF(Recibos!$D$4:$D$7493,Cobranza!$B312,Recibos!T$4:T$7493)</f>
        <v>300</v>
      </c>
      <c r="BI312" s="311">
        <f>SUMIF(Recibos!$D$4:$D$7493,Cobranza!$B312,Recibos!U$4:U$7493)</f>
        <v>300</v>
      </c>
      <c r="BJ312" s="311">
        <f>SUMIF(Recibos!$D$4:$D$7493,Cobranza!$B312,Recibos!V$4:V$7493)</f>
        <v>300</v>
      </c>
      <c r="BK312" s="312">
        <f t="shared" si="43"/>
        <v>3600</v>
      </c>
      <c r="BL312" s="311">
        <f>SUMIF(Recibos!$D$4:$D$7493,Cobranza!$B312,Recibos!X$4:X$7493)</f>
        <v>300</v>
      </c>
      <c r="BM312" s="311">
        <f>SUMIF(Recibos!$D$4:$D$7493,Cobranza!$B312,Recibos!Y$4:Y$7493)</f>
        <v>300</v>
      </c>
      <c r="BN312" s="311">
        <f>SUMIF(Recibos!$D$4:$D$7493,Cobranza!$B312,Recibos!Z$4:Z$7493)</f>
        <v>300</v>
      </c>
      <c r="BO312" s="311">
        <f>SUMIF(Recibos!$D$4:$D$7493,Cobranza!$B312,Recibos!AA$4:AA$7493)</f>
        <v>300</v>
      </c>
      <c r="BP312" s="311">
        <f>SUMIF(Recibos!$D$4:$D$7493,Cobranza!$B312,Recibos!AB$4:AB$7493)</f>
        <v>300</v>
      </c>
      <c r="BQ312" s="311">
        <f>SUMIF(Recibos!$D$4:$D$7493,Cobranza!$B312,Recibos!AC$4:AC$7493)</f>
        <v>300</v>
      </c>
      <c r="BR312" s="311">
        <f>SUMIF(Recibos!$D$4:$D$7493,Cobranza!$B312,Recibos!AD$4:AD$7493)</f>
        <v>300</v>
      </c>
      <c r="BS312" s="311">
        <f>SUMIF(Recibos!$D$4:$D$7493,Cobranza!$B312,Recibos!AE$4:AE$7493)</f>
        <v>300</v>
      </c>
      <c r="BT312" s="311">
        <f>SUMIF(Recibos!$D$4:$D$7493,Cobranza!$B312,Recibos!AF$4:AF$7493)</f>
        <v>300</v>
      </c>
      <c r="BU312" s="311">
        <f>SUMIF(Recibos!$D$4:$D$7493,Cobranza!$B312,Recibos!AG$4:AG$7493)</f>
        <v>300</v>
      </c>
      <c r="BV312" s="311">
        <f>SUMIF(Recibos!$D$4:$D$7493,Cobranza!$B312,Recibos!AH$4:AH$7493)</f>
        <v>300</v>
      </c>
      <c r="BW312" s="311">
        <f>SUMIF(Recibos!$D$4:$D$7493,Cobranza!$B312,Recibos!AI$4:AI$7493)</f>
        <v>300</v>
      </c>
      <c r="BX312" s="312">
        <f t="shared" si="44"/>
        <v>3600</v>
      </c>
      <c r="BY312" s="311">
        <f>SUMIF(Recibos!$D$4:$D$7493,Cobranza!$B312,Recibos!AK$4:AK$7493)</f>
        <v>300</v>
      </c>
      <c r="BZ312" s="311">
        <f>SUMIF(Recibos!$D$4:$D$7493,Cobranza!$B312,Recibos!AL$4:AL$7493)</f>
        <v>300</v>
      </c>
      <c r="CA312" s="311">
        <f>SUMIF(Recibos!$D$4:$D$7493,Cobranza!$B312,Recibos!AM$4:AM$7493)</f>
        <v>300</v>
      </c>
      <c r="CB312" s="311">
        <f>SUMIF(Recibos!$D$4:$D$7493,Cobranza!$B312,Recibos!AN$4:AN$7493)</f>
        <v>300</v>
      </c>
      <c r="CC312" s="311">
        <f>SUMIF(Recibos!$D$4:$D$7493,Cobranza!$B312,Recibos!AO$4:AO$7493)</f>
        <v>300</v>
      </c>
      <c r="CD312" s="311">
        <f>SUMIF(Recibos!$D$4:$D$7493,Cobranza!$B312,Recibos!AP$4:AP$7493)</f>
        <v>300</v>
      </c>
      <c r="CE312" s="311">
        <f>SUMIF(Recibos!$D$4:$D$7493,Cobranza!$B312,Recibos!AQ$4:AQ$7493)</f>
        <v>300</v>
      </c>
      <c r="CF312" s="311">
        <f>SUMIF(Recibos!$D$4:$D$7493,Cobranza!$B312,Recibos!AR$4:AR$7493)</f>
        <v>300</v>
      </c>
      <c r="CG312" s="311">
        <f>SUMIF(Recibos!$D$4:$D$7493,Cobranza!$B312,Recibos!AS$4:AS$7493)</f>
        <v>300</v>
      </c>
      <c r="CH312" s="311">
        <f>SUMIF(Recibos!$D$4:$D$7493,Cobranza!$B312,Recibos!AT$4:AT$7493)</f>
        <v>0</v>
      </c>
      <c r="CI312" s="311">
        <f>SUMIF(Recibos!$D$4:$D$7493,Cobranza!$B312,Recibos!AU$4:AU$7493)</f>
        <v>0</v>
      </c>
      <c r="CJ312" s="311">
        <f>SUMIF(Recibos!$D$4:$D$7493,Cobranza!$B312,Recibos!AV$4:AV$7493)</f>
        <v>0</v>
      </c>
      <c r="CK312" s="312">
        <f t="shared" si="38"/>
        <v>2700</v>
      </c>
    </row>
    <row r="313" spans="2:89" x14ac:dyDescent="0.2">
      <c r="B313" s="45" t="s">
        <v>340</v>
      </c>
      <c r="C313" s="45" t="s">
        <v>341</v>
      </c>
      <c r="D313" s="45" t="s">
        <v>342</v>
      </c>
      <c r="E313" s="46">
        <v>0</v>
      </c>
      <c r="F313" s="46">
        <v>0</v>
      </c>
      <c r="G313" s="46">
        <v>0</v>
      </c>
      <c r="H313" s="46">
        <v>300</v>
      </c>
      <c r="I313" s="46">
        <v>300</v>
      </c>
      <c r="J313" s="46">
        <v>300</v>
      </c>
      <c r="K313" s="47">
        <f t="shared" si="39"/>
        <v>900</v>
      </c>
      <c r="L313" s="46">
        <v>300</v>
      </c>
      <c r="M313" s="46">
        <v>300</v>
      </c>
      <c r="N313" s="46">
        <v>0</v>
      </c>
      <c r="O313" s="46">
        <v>300</v>
      </c>
      <c r="P313" s="46">
        <v>300</v>
      </c>
      <c r="Q313" s="46">
        <v>300</v>
      </c>
      <c r="R313" s="46">
        <v>300</v>
      </c>
      <c r="S313" s="46">
        <v>300</v>
      </c>
      <c r="T313" s="46">
        <v>300</v>
      </c>
      <c r="U313" s="46">
        <v>400</v>
      </c>
      <c r="V313" s="46">
        <v>400</v>
      </c>
      <c r="W313" s="46">
        <v>400</v>
      </c>
      <c r="X313" s="47">
        <f t="shared" si="40"/>
        <v>3600</v>
      </c>
      <c r="Y313" s="46">
        <v>400</v>
      </c>
      <c r="Z313" s="46">
        <v>0</v>
      </c>
      <c r="AA313" s="46">
        <v>400</v>
      </c>
      <c r="AB313" s="46">
        <v>400</v>
      </c>
      <c r="AC313" s="46">
        <v>400</v>
      </c>
      <c r="AD313" s="46">
        <v>400</v>
      </c>
      <c r="AE313" s="46">
        <v>400</v>
      </c>
      <c r="AF313" s="46">
        <v>400</v>
      </c>
      <c r="AG313" s="46">
        <v>0</v>
      </c>
      <c r="AH313" s="46">
        <v>400</v>
      </c>
      <c r="AI313" s="46">
        <v>400</v>
      </c>
      <c r="AJ313" s="46">
        <v>400</v>
      </c>
      <c r="AK313" s="47">
        <f t="shared" si="41"/>
        <v>4000</v>
      </c>
      <c r="AL313" s="46">
        <v>400</v>
      </c>
      <c r="AM313" s="46">
        <v>400</v>
      </c>
      <c r="AN313" s="46">
        <v>400</v>
      </c>
      <c r="AO313" s="46">
        <v>400</v>
      </c>
      <c r="AP313" s="46">
        <v>400</v>
      </c>
      <c r="AQ313" s="46">
        <v>400</v>
      </c>
      <c r="AR313" s="46">
        <v>400</v>
      </c>
      <c r="AS313" s="46">
        <v>400</v>
      </c>
      <c r="AT313" s="46">
        <v>400</v>
      </c>
      <c r="AU313" s="46">
        <v>400</v>
      </c>
      <c r="AV313" s="46">
        <v>400</v>
      </c>
      <c r="AW313" s="46">
        <v>400</v>
      </c>
      <c r="AX313" s="47">
        <f t="shared" si="42"/>
        <v>4800</v>
      </c>
      <c r="AY313" s="313">
        <f>SUMIF(Recibos!$D$4:$D$7493,Cobranza!$B313,Recibos!K$4:K$7493)</f>
        <v>400</v>
      </c>
      <c r="AZ313" s="313">
        <f>SUMIF(Recibos!$D$4:$D$7493,Cobranza!$B313,Recibos!L$4:L$7493)</f>
        <v>400</v>
      </c>
      <c r="BA313" s="313">
        <f>SUMIF(Recibos!$D$4:$D$7493,Cobranza!$B313,Recibos!M$4:M$7493)</f>
        <v>400</v>
      </c>
      <c r="BB313" s="313">
        <f>SUMIF(Recibos!$D$4:$D$7493,Cobranza!$B313,Recibos!N$4:N$7493)</f>
        <v>400</v>
      </c>
      <c r="BC313" s="313">
        <f>SUMIF(Recibos!$D$4:$D$7493,Cobranza!$B313,Recibos!O$4:O$7493)</f>
        <v>400</v>
      </c>
      <c r="BD313" s="313">
        <f>SUMIF(Recibos!$D$4:$D$7493,Cobranza!$B313,Recibos!P$4:P$7493)</f>
        <v>400</v>
      </c>
      <c r="BE313" s="313">
        <f>SUMIF(Recibos!$D$4:$D$7493,Cobranza!$B313,Recibos!Q$4:Q$7493)</f>
        <v>400</v>
      </c>
      <c r="BF313" s="313">
        <f>SUMIF(Recibos!$D$4:$D$7493,Cobranza!$B313,Recibos!R$4:R$7493)</f>
        <v>400</v>
      </c>
      <c r="BG313" s="313">
        <f>SUMIF(Recibos!$D$4:$D$7493,Cobranza!$B313,Recibos!S$4:S$7493)</f>
        <v>400</v>
      </c>
      <c r="BH313" s="313">
        <f>SUMIF(Recibos!$D$4:$D$7493,Cobranza!$B313,Recibos!T$4:T$7493)</f>
        <v>400</v>
      </c>
      <c r="BI313" s="313">
        <f>SUMIF(Recibos!$D$4:$D$7493,Cobranza!$B313,Recibos!U$4:U$7493)</f>
        <v>0</v>
      </c>
      <c r="BJ313" s="313">
        <f>SUMIF(Recibos!$D$4:$D$7493,Cobranza!$B313,Recibos!V$4:V$7493)</f>
        <v>0</v>
      </c>
      <c r="BK313" s="314">
        <f t="shared" si="43"/>
        <v>4000</v>
      </c>
      <c r="BL313" s="313">
        <f>SUMIF(Recibos!$D$4:$D$7493,Cobranza!$B313,Recibos!X$4:X$7493)</f>
        <v>400</v>
      </c>
      <c r="BM313" s="313">
        <f>SUMIF(Recibos!$D$4:$D$7493,Cobranza!$B313,Recibos!Y$4:Y$7493)</f>
        <v>400</v>
      </c>
      <c r="BN313" s="313">
        <f>SUMIF(Recibos!$D$4:$D$7493,Cobranza!$B313,Recibos!Z$4:Z$7493)</f>
        <v>400</v>
      </c>
      <c r="BO313" s="313">
        <f>SUMIF(Recibos!$D$4:$D$7493,Cobranza!$B313,Recibos!AA$4:AA$7493)</f>
        <v>400</v>
      </c>
      <c r="BP313" s="313">
        <f>SUMIF(Recibos!$D$4:$D$7493,Cobranza!$B313,Recibos!AB$4:AB$7493)</f>
        <v>400</v>
      </c>
      <c r="BQ313" s="313">
        <f>SUMIF(Recibos!$D$4:$D$7493,Cobranza!$B313,Recibos!AC$4:AC$7493)</f>
        <v>400</v>
      </c>
      <c r="BR313" s="313">
        <f>SUMIF(Recibos!$D$4:$D$7493,Cobranza!$B313,Recibos!AD$4:AD$7493)</f>
        <v>400</v>
      </c>
      <c r="BS313" s="313">
        <f>SUMIF(Recibos!$D$4:$D$7493,Cobranza!$B313,Recibos!AE$4:AE$7493)</f>
        <v>400</v>
      </c>
      <c r="BT313" s="313">
        <f>SUMIF(Recibos!$D$4:$D$7493,Cobranza!$B313,Recibos!AF$4:AF$7493)</f>
        <v>400</v>
      </c>
      <c r="BU313" s="313">
        <f>SUMIF(Recibos!$D$4:$D$7493,Cobranza!$B313,Recibos!AG$4:AG$7493)</f>
        <v>400</v>
      </c>
      <c r="BV313" s="313">
        <f>SUMIF(Recibos!$D$4:$D$7493,Cobranza!$B313,Recibos!AH$4:AH$7493)</f>
        <v>400</v>
      </c>
      <c r="BW313" s="313">
        <f>SUMIF(Recibos!$D$4:$D$7493,Cobranza!$B313,Recibos!AI$4:AI$7493)</f>
        <v>400</v>
      </c>
      <c r="BX313" s="314">
        <f t="shared" si="44"/>
        <v>4800</v>
      </c>
      <c r="BY313" s="313">
        <f>SUMIF(Recibos!$D$4:$D$7493,Cobranza!$B313,Recibos!AK$4:AK$7493)</f>
        <v>400</v>
      </c>
      <c r="BZ313" s="313">
        <f>SUMIF(Recibos!$D$4:$D$7493,Cobranza!$B313,Recibos!AL$4:AL$7493)</f>
        <v>400</v>
      </c>
      <c r="CA313" s="313">
        <f>SUMIF(Recibos!$D$4:$D$7493,Cobranza!$B313,Recibos!AM$4:AM$7493)</f>
        <v>400</v>
      </c>
      <c r="CB313" s="313">
        <f>SUMIF(Recibos!$D$4:$D$7493,Cobranza!$B313,Recibos!AN$4:AN$7493)</f>
        <v>400</v>
      </c>
      <c r="CC313" s="313">
        <f>SUMIF(Recibos!$D$4:$D$7493,Cobranza!$B313,Recibos!AO$4:AO$7493)</f>
        <v>400</v>
      </c>
      <c r="CD313" s="313">
        <f>SUMIF(Recibos!$D$4:$D$7493,Cobranza!$B313,Recibos!AP$4:AP$7493)</f>
        <v>400</v>
      </c>
      <c r="CE313" s="313">
        <f>SUMIF(Recibos!$D$4:$D$7493,Cobranza!$B313,Recibos!AQ$4:AQ$7493)</f>
        <v>400</v>
      </c>
      <c r="CF313" s="313">
        <f>SUMIF(Recibos!$D$4:$D$7493,Cobranza!$B313,Recibos!AR$4:AR$7493)</f>
        <v>400</v>
      </c>
      <c r="CG313" s="313">
        <f>SUMIF(Recibos!$D$4:$D$7493,Cobranza!$B313,Recibos!AS$4:AS$7493)</f>
        <v>400</v>
      </c>
      <c r="CH313" s="313">
        <f>SUMIF(Recibos!$D$4:$D$7493,Cobranza!$B313,Recibos!AT$4:AT$7493)</f>
        <v>0</v>
      </c>
      <c r="CI313" s="313">
        <f>SUMIF(Recibos!$D$4:$D$7493,Cobranza!$B313,Recibos!AU$4:AU$7493)</f>
        <v>0</v>
      </c>
      <c r="CJ313" s="313">
        <f>SUMIF(Recibos!$D$4:$D$7493,Cobranza!$B313,Recibos!AV$4:AV$7493)</f>
        <v>0</v>
      </c>
      <c r="CK313" s="314">
        <f t="shared" si="38"/>
        <v>3600</v>
      </c>
    </row>
    <row r="314" spans="2:89" x14ac:dyDescent="0.2">
      <c r="B314" s="42" t="s">
        <v>1399</v>
      </c>
      <c r="C314" s="42" t="s">
        <v>1400</v>
      </c>
      <c r="D314" s="42" t="s">
        <v>1001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4">
        <f t="shared" si="39"/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  <c r="V314" s="43">
        <v>0</v>
      </c>
      <c r="W314" s="43">
        <v>0</v>
      </c>
      <c r="X314" s="44">
        <f t="shared" si="40"/>
        <v>0</v>
      </c>
      <c r="Y314" s="43">
        <v>0</v>
      </c>
      <c r="Z314" s="43">
        <v>0</v>
      </c>
      <c r="AA314" s="43">
        <v>0</v>
      </c>
      <c r="AB314" s="43">
        <v>0</v>
      </c>
      <c r="AC314" s="43">
        <v>0</v>
      </c>
      <c r="AD314" s="43">
        <v>0</v>
      </c>
      <c r="AE314" s="43">
        <v>0</v>
      </c>
      <c r="AF314" s="43">
        <v>0</v>
      </c>
      <c r="AG314" s="43">
        <v>0</v>
      </c>
      <c r="AH314" s="43">
        <v>0</v>
      </c>
      <c r="AI314" s="43">
        <v>0</v>
      </c>
      <c r="AJ314" s="43">
        <v>0</v>
      </c>
      <c r="AK314" s="44">
        <f t="shared" si="41"/>
        <v>0</v>
      </c>
      <c r="AL314" s="43">
        <v>0</v>
      </c>
      <c r="AM314" s="43">
        <v>0</v>
      </c>
      <c r="AN314" s="43">
        <v>0</v>
      </c>
      <c r="AO314" s="43">
        <v>0</v>
      </c>
      <c r="AP314" s="43">
        <v>0</v>
      </c>
      <c r="AQ314" s="43">
        <v>0</v>
      </c>
      <c r="AR314" s="43">
        <v>0</v>
      </c>
      <c r="AS314" s="43">
        <v>0</v>
      </c>
      <c r="AT314" s="43">
        <v>0</v>
      </c>
      <c r="AU314" s="43">
        <v>0</v>
      </c>
      <c r="AV314" s="43">
        <v>0</v>
      </c>
      <c r="AW314" s="43">
        <v>0</v>
      </c>
      <c r="AX314" s="44">
        <f t="shared" si="42"/>
        <v>0</v>
      </c>
      <c r="AY314" s="311">
        <f>SUMIF(Recibos!$D$4:$D$7493,Cobranza!$B314,Recibos!K$4:K$7493)</f>
        <v>0</v>
      </c>
      <c r="AZ314" s="311">
        <f>SUMIF(Recibos!$D$4:$D$7493,Cobranza!$B314,Recibos!L$4:L$7493)</f>
        <v>0</v>
      </c>
      <c r="BA314" s="311">
        <f>SUMIF(Recibos!$D$4:$D$7493,Cobranza!$B314,Recibos!M$4:M$7493)</f>
        <v>0</v>
      </c>
      <c r="BB314" s="311">
        <f>SUMIF(Recibos!$D$4:$D$7493,Cobranza!$B314,Recibos!N$4:N$7493)</f>
        <v>0</v>
      </c>
      <c r="BC314" s="311">
        <f>SUMIF(Recibos!$D$4:$D$7493,Cobranza!$B314,Recibos!O$4:O$7493)</f>
        <v>0</v>
      </c>
      <c r="BD314" s="311">
        <f>SUMIF(Recibos!$D$4:$D$7493,Cobranza!$B314,Recibos!P$4:P$7493)</f>
        <v>0</v>
      </c>
      <c r="BE314" s="311">
        <f>SUMIF(Recibos!$D$4:$D$7493,Cobranza!$B314,Recibos!Q$4:Q$7493)</f>
        <v>0</v>
      </c>
      <c r="BF314" s="311">
        <f>SUMIF(Recibos!$D$4:$D$7493,Cobranza!$B314,Recibos!R$4:R$7493)</f>
        <v>0</v>
      </c>
      <c r="BG314" s="311">
        <f>SUMIF(Recibos!$D$4:$D$7493,Cobranza!$B314,Recibos!S$4:S$7493)</f>
        <v>0</v>
      </c>
      <c r="BH314" s="311">
        <f>SUMIF(Recibos!$D$4:$D$7493,Cobranza!$B314,Recibos!T$4:T$7493)</f>
        <v>0</v>
      </c>
      <c r="BI314" s="311">
        <f>SUMIF(Recibos!$D$4:$D$7493,Cobranza!$B314,Recibos!U$4:U$7493)</f>
        <v>0</v>
      </c>
      <c r="BJ314" s="311">
        <f>SUMIF(Recibos!$D$4:$D$7493,Cobranza!$B314,Recibos!V$4:V$7493)</f>
        <v>0</v>
      </c>
      <c r="BK314" s="312">
        <f t="shared" si="43"/>
        <v>0</v>
      </c>
      <c r="BL314" s="311">
        <f>SUMIF(Recibos!$D$4:$D$7493,Cobranza!$B314,Recibos!X$4:X$7493)</f>
        <v>0</v>
      </c>
      <c r="BM314" s="311">
        <f>SUMIF(Recibos!$D$4:$D$7493,Cobranza!$B314,Recibos!Y$4:Y$7493)</f>
        <v>0</v>
      </c>
      <c r="BN314" s="311">
        <f>SUMIF(Recibos!$D$4:$D$7493,Cobranza!$B314,Recibos!Z$4:Z$7493)</f>
        <v>0</v>
      </c>
      <c r="BO314" s="311">
        <f>SUMIF(Recibos!$D$4:$D$7493,Cobranza!$B314,Recibos!AA$4:AA$7493)</f>
        <v>0</v>
      </c>
      <c r="BP314" s="311">
        <f>SUMIF(Recibos!$D$4:$D$7493,Cobranza!$B314,Recibos!AB$4:AB$7493)</f>
        <v>0</v>
      </c>
      <c r="BQ314" s="311">
        <f>SUMIF(Recibos!$D$4:$D$7493,Cobranza!$B314,Recibos!AC$4:AC$7493)</f>
        <v>0</v>
      </c>
      <c r="BR314" s="311">
        <f>SUMIF(Recibos!$D$4:$D$7493,Cobranza!$B314,Recibos!AD$4:AD$7493)</f>
        <v>0</v>
      </c>
      <c r="BS314" s="311">
        <f>SUMIF(Recibos!$D$4:$D$7493,Cobranza!$B314,Recibos!AE$4:AE$7493)</f>
        <v>0</v>
      </c>
      <c r="BT314" s="311">
        <f>SUMIF(Recibos!$D$4:$D$7493,Cobranza!$B314,Recibos!AF$4:AF$7493)</f>
        <v>0</v>
      </c>
      <c r="BU314" s="311">
        <f>SUMIF(Recibos!$D$4:$D$7493,Cobranza!$B314,Recibos!AG$4:AG$7493)</f>
        <v>0</v>
      </c>
      <c r="BV314" s="311">
        <f>SUMIF(Recibos!$D$4:$D$7493,Cobranza!$B314,Recibos!AH$4:AH$7493)</f>
        <v>0</v>
      </c>
      <c r="BW314" s="311">
        <f>SUMIF(Recibos!$D$4:$D$7493,Cobranza!$B314,Recibos!AI$4:AI$7493)</f>
        <v>0</v>
      </c>
      <c r="BX314" s="312">
        <f t="shared" si="44"/>
        <v>0</v>
      </c>
      <c r="BY314" s="311">
        <f>SUMIF(Recibos!$D$4:$D$7493,Cobranza!$B314,Recibos!AK$4:AK$7493)</f>
        <v>0</v>
      </c>
      <c r="BZ314" s="311">
        <f>SUMIF(Recibos!$D$4:$D$7493,Cobranza!$B314,Recibos!AL$4:AL$7493)</f>
        <v>0</v>
      </c>
      <c r="CA314" s="311">
        <f>SUMIF(Recibos!$D$4:$D$7493,Cobranza!$B314,Recibos!AM$4:AM$7493)</f>
        <v>0</v>
      </c>
      <c r="CB314" s="311">
        <f>SUMIF(Recibos!$D$4:$D$7493,Cobranza!$B314,Recibos!AN$4:AN$7493)</f>
        <v>0</v>
      </c>
      <c r="CC314" s="311">
        <f>SUMIF(Recibos!$D$4:$D$7493,Cobranza!$B314,Recibos!AO$4:AO$7493)</f>
        <v>0</v>
      </c>
      <c r="CD314" s="311">
        <f>SUMIF(Recibos!$D$4:$D$7493,Cobranza!$B314,Recibos!AP$4:AP$7493)</f>
        <v>0</v>
      </c>
      <c r="CE314" s="311">
        <f>SUMIF(Recibos!$D$4:$D$7493,Cobranza!$B314,Recibos!AQ$4:AQ$7493)</f>
        <v>0</v>
      </c>
      <c r="CF314" s="311">
        <f>SUMIF(Recibos!$D$4:$D$7493,Cobranza!$B314,Recibos!AR$4:AR$7493)</f>
        <v>0</v>
      </c>
      <c r="CG314" s="311">
        <f>SUMIF(Recibos!$D$4:$D$7493,Cobranza!$B314,Recibos!AS$4:AS$7493)</f>
        <v>0</v>
      </c>
      <c r="CH314" s="311">
        <f>SUMIF(Recibos!$D$4:$D$7493,Cobranza!$B314,Recibos!AT$4:AT$7493)</f>
        <v>0</v>
      </c>
      <c r="CI314" s="311">
        <f>SUMIF(Recibos!$D$4:$D$7493,Cobranza!$B314,Recibos!AU$4:AU$7493)</f>
        <v>0</v>
      </c>
      <c r="CJ314" s="311">
        <f>SUMIF(Recibos!$D$4:$D$7493,Cobranza!$B314,Recibos!AV$4:AV$7493)</f>
        <v>0</v>
      </c>
      <c r="CK314" s="312">
        <f t="shared" si="38"/>
        <v>0</v>
      </c>
    </row>
    <row r="315" spans="2:89" x14ac:dyDescent="0.2">
      <c r="B315" s="45" t="s">
        <v>663</v>
      </c>
      <c r="C315" s="45" t="s">
        <v>664</v>
      </c>
      <c r="D315" s="45" t="s">
        <v>665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7">
        <f t="shared" si="39"/>
        <v>0</v>
      </c>
      <c r="L315" s="46">
        <v>0</v>
      </c>
      <c r="M315" s="46">
        <v>0</v>
      </c>
      <c r="N315" s="46">
        <v>0</v>
      </c>
      <c r="O315" s="46">
        <v>0</v>
      </c>
      <c r="P315" s="46">
        <v>0</v>
      </c>
      <c r="Q315" s="46">
        <v>0</v>
      </c>
      <c r="R315" s="46">
        <v>0</v>
      </c>
      <c r="S315" s="46">
        <v>0</v>
      </c>
      <c r="T315" s="46">
        <v>0</v>
      </c>
      <c r="U315" s="46">
        <v>0</v>
      </c>
      <c r="V315" s="46">
        <v>0</v>
      </c>
      <c r="W315" s="46">
        <v>0</v>
      </c>
      <c r="X315" s="47">
        <f t="shared" si="40"/>
        <v>0</v>
      </c>
      <c r="Y315" s="46">
        <v>0</v>
      </c>
      <c r="Z315" s="46">
        <v>0</v>
      </c>
      <c r="AA315" s="46">
        <v>0</v>
      </c>
      <c r="AB315" s="46">
        <v>0</v>
      </c>
      <c r="AC315" s="46">
        <v>0</v>
      </c>
      <c r="AD315" s="46">
        <v>0</v>
      </c>
      <c r="AE315" s="46">
        <v>0</v>
      </c>
      <c r="AF315" s="46">
        <v>0</v>
      </c>
      <c r="AG315" s="46">
        <v>0</v>
      </c>
      <c r="AH315" s="46">
        <v>0</v>
      </c>
      <c r="AI315" s="46">
        <v>0</v>
      </c>
      <c r="AJ315" s="46">
        <v>0</v>
      </c>
      <c r="AK315" s="47">
        <f t="shared" si="41"/>
        <v>0</v>
      </c>
      <c r="AL315" s="46">
        <v>0</v>
      </c>
      <c r="AM315" s="46">
        <v>0</v>
      </c>
      <c r="AN315" s="46">
        <v>0</v>
      </c>
      <c r="AO315" s="46">
        <v>0</v>
      </c>
      <c r="AP315" s="46">
        <v>0</v>
      </c>
      <c r="AQ315" s="46">
        <v>0</v>
      </c>
      <c r="AR315" s="46">
        <v>0</v>
      </c>
      <c r="AS315" s="46">
        <v>400</v>
      </c>
      <c r="AT315" s="46">
        <v>400</v>
      </c>
      <c r="AU315" s="46">
        <v>400</v>
      </c>
      <c r="AV315" s="46">
        <v>400</v>
      </c>
      <c r="AW315" s="46">
        <v>400</v>
      </c>
      <c r="AX315" s="47">
        <f t="shared" si="42"/>
        <v>2000</v>
      </c>
      <c r="AY315" s="313">
        <f>SUMIF(Recibos!$D$4:$D$7493,Cobranza!$B315,Recibos!K$4:K$7493)</f>
        <v>400</v>
      </c>
      <c r="AZ315" s="313">
        <f>SUMIF(Recibos!$D$4:$D$7493,Cobranza!$B315,Recibos!L$4:L$7493)</f>
        <v>400</v>
      </c>
      <c r="BA315" s="313">
        <f>SUMIF(Recibos!$D$4:$D$7493,Cobranza!$B315,Recibos!M$4:M$7493)</f>
        <v>400</v>
      </c>
      <c r="BB315" s="313">
        <f>SUMIF(Recibos!$D$4:$D$7493,Cobranza!$B315,Recibos!N$4:N$7493)</f>
        <v>400</v>
      </c>
      <c r="BC315" s="313">
        <f>SUMIF(Recibos!$D$4:$D$7493,Cobranza!$B315,Recibos!O$4:O$7493)</f>
        <v>400</v>
      </c>
      <c r="BD315" s="313">
        <f>SUMIF(Recibos!$D$4:$D$7493,Cobranza!$B315,Recibos!P$4:P$7493)</f>
        <v>400</v>
      </c>
      <c r="BE315" s="313">
        <f>SUMIF(Recibos!$D$4:$D$7493,Cobranza!$B315,Recibos!Q$4:Q$7493)</f>
        <v>400</v>
      </c>
      <c r="BF315" s="313">
        <f>SUMIF(Recibos!$D$4:$D$7493,Cobranza!$B315,Recibos!R$4:R$7493)</f>
        <v>400</v>
      </c>
      <c r="BG315" s="313">
        <f>SUMIF(Recibos!$D$4:$D$7493,Cobranza!$B315,Recibos!S$4:S$7493)</f>
        <v>400</v>
      </c>
      <c r="BH315" s="313">
        <f>SUMIF(Recibos!$D$4:$D$7493,Cobranza!$B315,Recibos!T$4:T$7493)</f>
        <v>400</v>
      </c>
      <c r="BI315" s="313">
        <f>SUMIF(Recibos!$D$4:$D$7493,Cobranza!$B315,Recibos!U$4:U$7493)</f>
        <v>400</v>
      </c>
      <c r="BJ315" s="313">
        <f>SUMIF(Recibos!$D$4:$D$7493,Cobranza!$B315,Recibos!V$4:V$7493)</f>
        <v>400</v>
      </c>
      <c r="BK315" s="314">
        <f t="shared" si="43"/>
        <v>4800</v>
      </c>
      <c r="BL315" s="313">
        <f>SUMIF(Recibos!$D$4:$D$7493,Cobranza!$B315,Recibos!X$4:X$7493)</f>
        <v>400</v>
      </c>
      <c r="BM315" s="313">
        <f>SUMIF(Recibos!$D$4:$D$7493,Cobranza!$B315,Recibos!Y$4:Y$7493)</f>
        <v>400</v>
      </c>
      <c r="BN315" s="313">
        <f>SUMIF(Recibos!$D$4:$D$7493,Cobranza!$B315,Recibos!Z$4:Z$7493)</f>
        <v>400</v>
      </c>
      <c r="BO315" s="313">
        <f>SUMIF(Recibos!$D$4:$D$7493,Cobranza!$B315,Recibos!AA$4:AA$7493)</f>
        <v>400</v>
      </c>
      <c r="BP315" s="313">
        <f>SUMIF(Recibos!$D$4:$D$7493,Cobranza!$B315,Recibos!AB$4:AB$7493)</f>
        <v>400</v>
      </c>
      <c r="BQ315" s="313">
        <f>SUMIF(Recibos!$D$4:$D$7493,Cobranza!$B315,Recibos!AC$4:AC$7493)</f>
        <v>400</v>
      </c>
      <c r="BR315" s="313">
        <f>SUMIF(Recibos!$D$4:$D$7493,Cobranza!$B315,Recibos!AD$4:AD$7493)</f>
        <v>400</v>
      </c>
      <c r="BS315" s="313">
        <f>SUMIF(Recibos!$D$4:$D$7493,Cobranza!$B315,Recibos!AE$4:AE$7493)</f>
        <v>400</v>
      </c>
      <c r="BT315" s="313">
        <f>SUMIF(Recibos!$D$4:$D$7493,Cobranza!$B315,Recibos!AF$4:AF$7493)</f>
        <v>400</v>
      </c>
      <c r="BU315" s="313">
        <f>SUMIF(Recibos!$D$4:$D$7493,Cobranza!$B315,Recibos!AG$4:AG$7493)</f>
        <v>400</v>
      </c>
      <c r="BV315" s="313">
        <f>SUMIF(Recibos!$D$4:$D$7493,Cobranza!$B315,Recibos!AH$4:AH$7493)</f>
        <v>400</v>
      </c>
      <c r="BW315" s="313">
        <f>SUMIF(Recibos!$D$4:$D$7493,Cobranza!$B315,Recibos!AI$4:AI$7493)</f>
        <v>0</v>
      </c>
      <c r="BX315" s="314">
        <f t="shared" si="44"/>
        <v>4400</v>
      </c>
      <c r="BY315" s="313">
        <f>SUMIF(Recibos!$D$4:$D$7493,Cobranza!$B315,Recibos!AK$4:AK$7493)</f>
        <v>400</v>
      </c>
      <c r="BZ315" s="313">
        <f>SUMIF(Recibos!$D$4:$D$7493,Cobranza!$B315,Recibos!AL$4:AL$7493)</f>
        <v>400</v>
      </c>
      <c r="CA315" s="313">
        <f>SUMIF(Recibos!$D$4:$D$7493,Cobranza!$B315,Recibos!AM$4:AM$7493)</f>
        <v>400</v>
      </c>
      <c r="CB315" s="313">
        <f>SUMIF(Recibos!$D$4:$D$7493,Cobranza!$B315,Recibos!AN$4:AN$7493)</f>
        <v>400</v>
      </c>
      <c r="CC315" s="313">
        <f>SUMIF(Recibos!$D$4:$D$7493,Cobranza!$B315,Recibos!AO$4:AO$7493)</f>
        <v>400</v>
      </c>
      <c r="CD315" s="313">
        <f>SUMIF(Recibos!$D$4:$D$7493,Cobranza!$B315,Recibos!AP$4:AP$7493)</f>
        <v>400</v>
      </c>
      <c r="CE315" s="313">
        <f>SUMIF(Recibos!$D$4:$D$7493,Cobranza!$B315,Recibos!AQ$4:AQ$7493)</f>
        <v>400</v>
      </c>
      <c r="CF315" s="313">
        <f>SUMIF(Recibos!$D$4:$D$7493,Cobranza!$B315,Recibos!AR$4:AR$7493)</f>
        <v>400</v>
      </c>
      <c r="CG315" s="313">
        <f>SUMIF(Recibos!$D$4:$D$7493,Cobranza!$B315,Recibos!AS$4:AS$7493)</f>
        <v>400</v>
      </c>
      <c r="CH315" s="313">
        <f>SUMIF(Recibos!$D$4:$D$7493,Cobranza!$B315,Recibos!AT$4:AT$7493)</f>
        <v>400</v>
      </c>
      <c r="CI315" s="313">
        <f>SUMIF(Recibos!$D$4:$D$7493,Cobranza!$B315,Recibos!AU$4:AU$7493)</f>
        <v>400</v>
      </c>
      <c r="CJ315" s="313">
        <f>SUMIF(Recibos!$D$4:$D$7493,Cobranza!$B315,Recibos!AV$4:AV$7493)</f>
        <v>0</v>
      </c>
      <c r="CK315" s="314">
        <f t="shared" si="38"/>
        <v>4400</v>
      </c>
    </row>
    <row r="316" spans="2:89" x14ac:dyDescent="0.2">
      <c r="B316" s="42" t="s">
        <v>214</v>
      </c>
      <c r="C316" s="42" t="s">
        <v>215</v>
      </c>
      <c r="D316" s="42" t="s">
        <v>216</v>
      </c>
      <c r="E316" s="43">
        <v>0</v>
      </c>
      <c r="F316" s="43">
        <v>0</v>
      </c>
      <c r="G316" s="43">
        <v>0</v>
      </c>
      <c r="H316" s="43">
        <v>0</v>
      </c>
      <c r="I316" s="43">
        <v>0</v>
      </c>
      <c r="J316" s="43">
        <v>200</v>
      </c>
      <c r="K316" s="44">
        <f t="shared" si="39"/>
        <v>200</v>
      </c>
      <c r="L316" s="43">
        <v>200</v>
      </c>
      <c r="M316" s="43">
        <v>200</v>
      </c>
      <c r="N316" s="43">
        <v>200</v>
      </c>
      <c r="O316" s="43">
        <v>200</v>
      </c>
      <c r="P316" s="43">
        <v>200</v>
      </c>
      <c r="Q316" s="43">
        <v>200</v>
      </c>
      <c r="R316" s="43">
        <v>200</v>
      </c>
      <c r="S316" s="43">
        <v>200</v>
      </c>
      <c r="T316" s="43">
        <v>200</v>
      </c>
      <c r="U316" s="43">
        <v>200</v>
      </c>
      <c r="V316" s="43">
        <v>200</v>
      </c>
      <c r="W316" s="43">
        <v>200</v>
      </c>
      <c r="X316" s="44">
        <f t="shared" si="40"/>
        <v>2400</v>
      </c>
      <c r="Y316" s="43">
        <v>200</v>
      </c>
      <c r="Z316" s="43">
        <v>200</v>
      </c>
      <c r="AA316" s="43">
        <v>200</v>
      </c>
      <c r="AB316" s="43">
        <v>200</v>
      </c>
      <c r="AC316" s="43">
        <v>200</v>
      </c>
      <c r="AD316" s="43">
        <v>200</v>
      </c>
      <c r="AE316" s="43">
        <v>200</v>
      </c>
      <c r="AF316" s="43">
        <v>200</v>
      </c>
      <c r="AG316" s="43">
        <v>200</v>
      </c>
      <c r="AH316" s="43">
        <v>200</v>
      </c>
      <c r="AI316" s="43">
        <v>200</v>
      </c>
      <c r="AJ316" s="43">
        <v>200</v>
      </c>
      <c r="AK316" s="44">
        <f t="shared" si="41"/>
        <v>2400</v>
      </c>
      <c r="AL316" s="43">
        <v>200</v>
      </c>
      <c r="AM316" s="43">
        <v>200</v>
      </c>
      <c r="AN316" s="43">
        <v>200</v>
      </c>
      <c r="AO316" s="43">
        <v>200</v>
      </c>
      <c r="AP316" s="43">
        <v>200</v>
      </c>
      <c r="AQ316" s="43">
        <v>200</v>
      </c>
      <c r="AR316" s="43">
        <v>200</v>
      </c>
      <c r="AS316" s="43">
        <v>200</v>
      </c>
      <c r="AT316" s="43">
        <v>0</v>
      </c>
      <c r="AU316" s="43">
        <v>0</v>
      </c>
      <c r="AV316" s="43">
        <v>200</v>
      </c>
      <c r="AW316" s="43">
        <v>200</v>
      </c>
      <c r="AX316" s="44">
        <f t="shared" si="42"/>
        <v>2000</v>
      </c>
      <c r="AY316" s="311">
        <f>SUMIF(Recibos!$D$4:$D$7493,Cobranza!$B316,Recibos!K$4:K$7493)</f>
        <v>200</v>
      </c>
      <c r="AZ316" s="311">
        <f>SUMIF(Recibos!$D$4:$D$7493,Cobranza!$B316,Recibos!L$4:L$7493)</f>
        <v>200</v>
      </c>
      <c r="BA316" s="311">
        <f>SUMIF(Recibos!$D$4:$D$7493,Cobranza!$B316,Recibos!M$4:M$7493)</f>
        <v>200</v>
      </c>
      <c r="BB316" s="311">
        <f>SUMIF(Recibos!$D$4:$D$7493,Cobranza!$B316,Recibos!N$4:N$7493)</f>
        <v>200</v>
      </c>
      <c r="BC316" s="311">
        <f>SUMIF(Recibos!$D$4:$D$7493,Cobranza!$B316,Recibos!O$4:O$7493)</f>
        <v>200</v>
      </c>
      <c r="BD316" s="311">
        <f>SUMIF(Recibos!$D$4:$D$7493,Cobranza!$B316,Recibos!P$4:P$7493)</f>
        <v>200</v>
      </c>
      <c r="BE316" s="311">
        <f>SUMIF(Recibos!$D$4:$D$7493,Cobranza!$B316,Recibos!Q$4:Q$7493)</f>
        <v>200</v>
      </c>
      <c r="BF316" s="311">
        <f>SUMIF(Recibos!$D$4:$D$7493,Cobranza!$B316,Recibos!R$4:R$7493)</f>
        <v>200</v>
      </c>
      <c r="BG316" s="311">
        <f>SUMIF(Recibos!$D$4:$D$7493,Cobranza!$B316,Recibos!S$4:S$7493)</f>
        <v>200</v>
      </c>
      <c r="BH316" s="311">
        <f>SUMIF(Recibos!$D$4:$D$7493,Cobranza!$B316,Recibos!T$4:T$7493)</f>
        <v>200</v>
      </c>
      <c r="BI316" s="311">
        <f>SUMIF(Recibos!$D$4:$D$7493,Cobranza!$B316,Recibos!U$4:U$7493)</f>
        <v>200</v>
      </c>
      <c r="BJ316" s="311">
        <f>SUMIF(Recibos!$D$4:$D$7493,Cobranza!$B316,Recibos!V$4:V$7493)</f>
        <v>0</v>
      </c>
      <c r="BK316" s="312">
        <f t="shared" si="43"/>
        <v>2200</v>
      </c>
      <c r="BL316" s="311">
        <f>SUMIF(Recibos!$D$4:$D$7493,Cobranza!$B316,Recibos!X$4:X$7493)</f>
        <v>200</v>
      </c>
      <c r="BM316" s="311">
        <f>SUMIF(Recibos!$D$4:$D$7493,Cobranza!$B316,Recibos!Y$4:Y$7493)</f>
        <v>200</v>
      </c>
      <c r="BN316" s="311">
        <f>SUMIF(Recibos!$D$4:$D$7493,Cobranza!$B316,Recibos!Z$4:Z$7493)</f>
        <v>200</v>
      </c>
      <c r="BO316" s="311">
        <f>SUMIF(Recibos!$D$4:$D$7493,Cobranza!$B316,Recibos!AA$4:AA$7493)</f>
        <v>200</v>
      </c>
      <c r="BP316" s="311">
        <f>SUMIF(Recibos!$D$4:$D$7493,Cobranza!$B316,Recibos!AB$4:AB$7493)</f>
        <v>200</v>
      </c>
      <c r="BQ316" s="311">
        <f>SUMIF(Recibos!$D$4:$D$7493,Cobranza!$B316,Recibos!AC$4:AC$7493)</f>
        <v>0</v>
      </c>
      <c r="BR316" s="311">
        <f>SUMIF(Recibos!$D$4:$D$7493,Cobranza!$B316,Recibos!AD$4:AD$7493)</f>
        <v>0</v>
      </c>
      <c r="BS316" s="311">
        <f>SUMIF(Recibos!$D$4:$D$7493,Cobranza!$B316,Recibos!AE$4:AE$7493)</f>
        <v>0</v>
      </c>
      <c r="BT316" s="311">
        <f>SUMIF(Recibos!$D$4:$D$7493,Cobranza!$B316,Recibos!AF$4:AF$7493)</f>
        <v>0</v>
      </c>
      <c r="BU316" s="311">
        <f>SUMIF(Recibos!$D$4:$D$7493,Cobranza!$B316,Recibos!AG$4:AG$7493)</f>
        <v>200</v>
      </c>
      <c r="BV316" s="311">
        <f>SUMIF(Recibos!$D$4:$D$7493,Cobranza!$B316,Recibos!AH$4:AH$7493)</f>
        <v>200</v>
      </c>
      <c r="BW316" s="311">
        <f>SUMIF(Recibos!$D$4:$D$7493,Cobranza!$B316,Recibos!AI$4:AI$7493)</f>
        <v>200</v>
      </c>
      <c r="BX316" s="312">
        <f t="shared" si="44"/>
        <v>1600</v>
      </c>
      <c r="BY316" s="311">
        <f>SUMIF(Recibos!$D$4:$D$7493,Cobranza!$B316,Recibos!AK$4:AK$7493)</f>
        <v>200</v>
      </c>
      <c r="BZ316" s="311">
        <f>SUMIF(Recibos!$D$4:$D$7493,Cobranza!$B316,Recibos!AL$4:AL$7493)</f>
        <v>200</v>
      </c>
      <c r="CA316" s="311">
        <f>SUMIF(Recibos!$D$4:$D$7493,Cobranza!$B316,Recibos!AM$4:AM$7493)</f>
        <v>200</v>
      </c>
      <c r="CB316" s="311">
        <f>SUMIF(Recibos!$D$4:$D$7493,Cobranza!$B316,Recibos!AN$4:AN$7493)</f>
        <v>0</v>
      </c>
      <c r="CC316" s="311">
        <f>SUMIF(Recibos!$D$4:$D$7493,Cobranza!$B316,Recibos!AO$4:AO$7493)</f>
        <v>0</v>
      </c>
      <c r="CD316" s="311">
        <f>SUMIF(Recibos!$D$4:$D$7493,Cobranza!$B316,Recibos!AP$4:AP$7493)</f>
        <v>200</v>
      </c>
      <c r="CE316" s="311">
        <f>SUMIF(Recibos!$D$4:$D$7493,Cobranza!$B316,Recibos!AQ$4:AQ$7493)</f>
        <v>200</v>
      </c>
      <c r="CF316" s="311">
        <f>SUMIF(Recibos!$D$4:$D$7493,Cobranza!$B316,Recibos!AR$4:AR$7493)</f>
        <v>0</v>
      </c>
      <c r="CG316" s="311">
        <f>SUMIF(Recibos!$D$4:$D$7493,Cobranza!$B316,Recibos!AS$4:AS$7493)</f>
        <v>0</v>
      </c>
      <c r="CH316" s="311">
        <f>SUMIF(Recibos!$D$4:$D$7493,Cobranza!$B316,Recibos!AT$4:AT$7493)</f>
        <v>0</v>
      </c>
      <c r="CI316" s="311">
        <f>SUMIF(Recibos!$D$4:$D$7493,Cobranza!$B316,Recibos!AU$4:AU$7493)</f>
        <v>0</v>
      </c>
      <c r="CJ316" s="311">
        <f>SUMIF(Recibos!$D$4:$D$7493,Cobranza!$B316,Recibos!AV$4:AV$7493)</f>
        <v>0</v>
      </c>
      <c r="CK316" s="312">
        <f t="shared" si="38"/>
        <v>1000</v>
      </c>
    </row>
    <row r="317" spans="2:89" x14ac:dyDescent="0.2">
      <c r="B317" s="45" t="s">
        <v>902</v>
      </c>
      <c r="C317" s="45" t="s">
        <v>903</v>
      </c>
      <c r="D317" s="45" t="s">
        <v>904</v>
      </c>
      <c r="E317" s="46">
        <v>0</v>
      </c>
      <c r="F317" s="46">
        <v>0</v>
      </c>
      <c r="G317" s="46">
        <v>0</v>
      </c>
      <c r="H317" s="46">
        <v>0</v>
      </c>
      <c r="I317" s="46">
        <v>300</v>
      </c>
      <c r="J317" s="46">
        <v>300</v>
      </c>
      <c r="K317" s="47">
        <f t="shared" si="39"/>
        <v>600</v>
      </c>
      <c r="L317" s="46">
        <v>300</v>
      </c>
      <c r="M317" s="46">
        <v>300</v>
      </c>
      <c r="N317" s="46">
        <v>300</v>
      </c>
      <c r="O317" s="46">
        <v>300</v>
      </c>
      <c r="P317" s="46">
        <v>300</v>
      </c>
      <c r="Q317" s="46">
        <v>300</v>
      </c>
      <c r="R317" s="46">
        <v>300</v>
      </c>
      <c r="S317" s="46">
        <v>300</v>
      </c>
      <c r="T317" s="46">
        <v>300</v>
      </c>
      <c r="U317" s="46">
        <v>400</v>
      </c>
      <c r="V317" s="46">
        <v>400</v>
      </c>
      <c r="W317" s="46">
        <v>400</v>
      </c>
      <c r="X317" s="47">
        <f t="shared" si="40"/>
        <v>3900</v>
      </c>
      <c r="Y317" s="46">
        <v>0</v>
      </c>
      <c r="Z317" s="46">
        <v>400</v>
      </c>
      <c r="AA317" s="46">
        <v>400</v>
      </c>
      <c r="AB317" s="46">
        <v>400</v>
      </c>
      <c r="AC317" s="46">
        <v>400</v>
      </c>
      <c r="AD317" s="46">
        <v>400</v>
      </c>
      <c r="AE317" s="46">
        <v>400</v>
      </c>
      <c r="AF317" s="46">
        <v>400</v>
      </c>
      <c r="AG317" s="46">
        <v>400</v>
      </c>
      <c r="AH317" s="46">
        <v>400</v>
      </c>
      <c r="AI317" s="46">
        <v>400</v>
      </c>
      <c r="AJ317" s="46">
        <v>400</v>
      </c>
      <c r="AK317" s="47">
        <f t="shared" si="41"/>
        <v>4400</v>
      </c>
      <c r="AL317" s="46">
        <v>400</v>
      </c>
      <c r="AM317" s="46">
        <v>400</v>
      </c>
      <c r="AN317" s="46">
        <v>400</v>
      </c>
      <c r="AO317" s="46">
        <v>400</v>
      </c>
      <c r="AP317" s="46">
        <v>400</v>
      </c>
      <c r="AQ317" s="46">
        <v>400</v>
      </c>
      <c r="AR317" s="46">
        <v>400</v>
      </c>
      <c r="AS317" s="46">
        <v>400</v>
      </c>
      <c r="AT317" s="46">
        <v>400</v>
      </c>
      <c r="AU317" s="46">
        <v>400</v>
      </c>
      <c r="AV317" s="46">
        <v>400</v>
      </c>
      <c r="AW317" s="46">
        <v>0</v>
      </c>
      <c r="AX317" s="47">
        <f t="shared" si="42"/>
        <v>4400</v>
      </c>
      <c r="AY317" s="313">
        <f>SUMIF(Recibos!$D$4:$D$7493,Cobranza!$B317,Recibos!K$4:K$7493)</f>
        <v>400</v>
      </c>
      <c r="AZ317" s="313">
        <f>SUMIF(Recibos!$D$4:$D$7493,Cobranza!$B317,Recibos!L$4:L$7493)</f>
        <v>400</v>
      </c>
      <c r="BA317" s="313">
        <f>SUMIF(Recibos!$D$4:$D$7493,Cobranza!$B317,Recibos!M$4:M$7493)</f>
        <v>400</v>
      </c>
      <c r="BB317" s="313">
        <f>SUMIF(Recibos!$D$4:$D$7493,Cobranza!$B317,Recibos!N$4:N$7493)</f>
        <v>400</v>
      </c>
      <c r="BC317" s="313">
        <f>SUMIF(Recibos!$D$4:$D$7493,Cobranza!$B317,Recibos!O$4:O$7493)</f>
        <v>400</v>
      </c>
      <c r="BD317" s="313">
        <f>SUMIF(Recibos!$D$4:$D$7493,Cobranza!$B317,Recibos!P$4:P$7493)</f>
        <v>400</v>
      </c>
      <c r="BE317" s="313">
        <f>SUMIF(Recibos!$D$4:$D$7493,Cobranza!$B317,Recibos!Q$4:Q$7493)</f>
        <v>400</v>
      </c>
      <c r="BF317" s="313">
        <f>SUMIF(Recibos!$D$4:$D$7493,Cobranza!$B317,Recibos!R$4:R$7493)</f>
        <v>400</v>
      </c>
      <c r="BG317" s="313">
        <f>SUMIF(Recibos!$D$4:$D$7493,Cobranza!$B317,Recibos!S$4:S$7493)</f>
        <v>400</v>
      </c>
      <c r="BH317" s="313">
        <f>SUMIF(Recibos!$D$4:$D$7493,Cobranza!$B317,Recibos!T$4:T$7493)</f>
        <v>400</v>
      </c>
      <c r="BI317" s="313">
        <f>SUMIF(Recibos!$D$4:$D$7493,Cobranza!$B317,Recibos!U$4:U$7493)</f>
        <v>400</v>
      </c>
      <c r="BJ317" s="313">
        <f>SUMIF(Recibos!$D$4:$D$7493,Cobranza!$B317,Recibos!V$4:V$7493)</f>
        <v>400</v>
      </c>
      <c r="BK317" s="314">
        <f t="shared" si="43"/>
        <v>4800</v>
      </c>
      <c r="BL317" s="313">
        <f>SUMIF(Recibos!$D$4:$D$7493,Cobranza!$B317,Recibos!X$4:X$7493)</f>
        <v>400</v>
      </c>
      <c r="BM317" s="313">
        <f>SUMIF(Recibos!$D$4:$D$7493,Cobranza!$B317,Recibos!Y$4:Y$7493)</f>
        <v>400</v>
      </c>
      <c r="BN317" s="313">
        <f>SUMIF(Recibos!$D$4:$D$7493,Cobranza!$B317,Recibos!Z$4:Z$7493)</f>
        <v>400</v>
      </c>
      <c r="BO317" s="313">
        <f>SUMIF(Recibos!$D$4:$D$7493,Cobranza!$B317,Recibos!AA$4:AA$7493)</f>
        <v>400</v>
      </c>
      <c r="BP317" s="313">
        <f>SUMIF(Recibos!$D$4:$D$7493,Cobranza!$B317,Recibos!AB$4:AB$7493)</f>
        <v>400</v>
      </c>
      <c r="BQ317" s="313">
        <f>SUMIF(Recibos!$D$4:$D$7493,Cobranza!$B317,Recibos!AC$4:AC$7493)</f>
        <v>400</v>
      </c>
      <c r="BR317" s="313">
        <f>SUMIF(Recibos!$D$4:$D$7493,Cobranza!$B317,Recibos!AD$4:AD$7493)</f>
        <v>400</v>
      </c>
      <c r="BS317" s="313">
        <f>SUMIF(Recibos!$D$4:$D$7493,Cobranza!$B317,Recibos!AE$4:AE$7493)</f>
        <v>400</v>
      </c>
      <c r="BT317" s="313">
        <f>SUMIF(Recibos!$D$4:$D$7493,Cobranza!$B317,Recibos!AF$4:AF$7493)</f>
        <v>400</v>
      </c>
      <c r="BU317" s="313">
        <f>SUMIF(Recibos!$D$4:$D$7493,Cobranza!$B317,Recibos!AG$4:AG$7493)</f>
        <v>400</v>
      </c>
      <c r="BV317" s="313">
        <f>SUMIF(Recibos!$D$4:$D$7493,Cobranza!$B317,Recibos!AH$4:AH$7493)</f>
        <v>400</v>
      </c>
      <c r="BW317" s="313">
        <f>SUMIF(Recibos!$D$4:$D$7493,Cobranza!$B317,Recibos!AI$4:AI$7493)</f>
        <v>0</v>
      </c>
      <c r="BX317" s="314">
        <f t="shared" si="44"/>
        <v>4400</v>
      </c>
      <c r="BY317" s="313">
        <f>SUMIF(Recibos!$D$4:$D$7493,Cobranza!$B317,Recibos!AK$4:AK$7493)</f>
        <v>400</v>
      </c>
      <c r="BZ317" s="313">
        <f>SUMIF(Recibos!$D$4:$D$7493,Cobranza!$B317,Recibos!AL$4:AL$7493)</f>
        <v>400</v>
      </c>
      <c r="CA317" s="313">
        <f>SUMIF(Recibos!$D$4:$D$7493,Cobranza!$B317,Recibos!AM$4:AM$7493)</f>
        <v>400</v>
      </c>
      <c r="CB317" s="313">
        <f>SUMIF(Recibos!$D$4:$D$7493,Cobranza!$B317,Recibos!AN$4:AN$7493)</f>
        <v>400</v>
      </c>
      <c r="CC317" s="313">
        <f>SUMIF(Recibos!$D$4:$D$7493,Cobranza!$B317,Recibos!AO$4:AO$7493)</f>
        <v>400</v>
      </c>
      <c r="CD317" s="313">
        <f>SUMIF(Recibos!$D$4:$D$7493,Cobranza!$B317,Recibos!AP$4:AP$7493)</f>
        <v>400</v>
      </c>
      <c r="CE317" s="313">
        <f>SUMIF(Recibos!$D$4:$D$7493,Cobranza!$B317,Recibos!AQ$4:AQ$7493)</f>
        <v>400</v>
      </c>
      <c r="CF317" s="313">
        <f>SUMIF(Recibos!$D$4:$D$7493,Cobranza!$B317,Recibos!AR$4:AR$7493)</f>
        <v>400</v>
      </c>
      <c r="CG317" s="313">
        <f>SUMIF(Recibos!$D$4:$D$7493,Cobranza!$B317,Recibos!AS$4:AS$7493)</f>
        <v>400</v>
      </c>
      <c r="CH317" s="313">
        <f>SUMIF(Recibos!$D$4:$D$7493,Cobranza!$B317,Recibos!AT$4:AT$7493)</f>
        <v>400</v>
      </c>
      <c r="CI317" s="313">
        <f>SUMIF(Recibos!$D$4:$D$7493,Cobranza!$B317,Recibos!AU$4:AU$7493)</f>
        <v>400</v>
      </c>
      <c r="CJ317" s="313">
        <f>SUMIF(Recibos!$D$4:$D$7493,Cobranza!$B317,Recibos!AV$4:AV$7493)</f>
        <v>0</v>
      </c>
      <c r="CK317" s="314">
        <f t="shared" si="38"/>
        <v>4400</v>
      </c>
    </row>
    <row r="318" spans="2:89" x14ac:dyDescent="0.2">
      <c r="B318" s="42" t="s">
        <v>1401</v>
      </c>
      <c r="C318" s="42" t="s">
        <v>1402</v>
      </c>
      <c r="D318" s="42"/>
      <c r="E318" s="43">
        <v>0</v>
      </c>
      <c r="F318" s="43">
        <v>0</v>
      </c>
      <c r="G318" s="43">
        <v>0</v>
      </c>
      <c r="H318" s="43">
        <v>0</v>
      </c>
      <c r="I318" s="43">
        <v>0</v>
      </c>
      <c r="J318" s="43">
        <v>0</v>
      </c>
      <c r="K318" s="44">
        <f t="shared" si="39"/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0</v>
      </c>
      <c r="W318" s="43">
        <v>0</v>
      </c>
      <c r="X318" s="44">
        <f t="shared" si="40"/>
        <v>0</v>
      </c>
      <c r="Y318" s="43">
        <v>0</v>
      </c>
      <c r="Z318" s="43">
        <v>0</v>
      </c>
      <c r="AA318" s="43">
        <v>0</v>
      </c>
      <c r="AB318" s="43">
        <v>0</v>
      </c>
      <c r="AC318" s="43">
        <v>0</v>
      </c>
      <c r="AD318" s="43">
        <v>0</v>
      </c>
      <c r="AE318" s="43">
        <v>0</v>
      </c>
      <c r="AF318" s="43">
        <v>0</v>
      </c>
      <c r="AG318" s="43">
        <v>0</v>
      </c>
      <c r="AH318" s="43">
        <v>0</v>
      </c>
      <c r="AI318" s="43">
        <v>0</v>
      </c>
      <c r="AJ318" s="43">
        <v>0</v>
      </c>
      <c r="AK318" s="44">
        <f t="shared" si="41"/>
        <v>0</v>
      </c>
      <c r="AL318" s="43">
        <v>0</v>
      </c>
      <c r="AM318" s="43">
        <v>0</v>
      </c>
      <c r="AN318" s="43">
        <v>0</v>
      </c>
      <c r="AO318" s="43">
        <v>0</v>
      </c>
      <c r="AP318" s="43">
        <v>0</v>
      </c>
      <c r="AQ318" s="43">
        <v>0</v>
      </c>
      <c r="AR318" s="43">
        <v>0</v>
      </c>
      <c r="AS318" s="43">
        <v>0</v>
      </c>
      <c r="AT318" s="43">
        <v>0</v>
      </c>
      <c r="AU318" s="43">
        <v>0</v>
      </c>
      <c r="AV318" s="43">
        <v>0</v>
      </c>
      <c r="AW318" s="43">
        <v>0</v>
      </c>
      <c r="AX318" s="44">
        <f t="shared" si="42"/>
        <v>0</v>
      </c>
      <c r="AY318" s="311">
        <f>SUMIF(Recibos!$D$4:$D$7493,Cobranza!$B318,Recibos!K$4:K$7493)</f>
        <v>0</v>
      </c>
      <c r="AZ318" s="311">
        <f>SUMIF(Recibos!$D$4:$D$7493,Cobranza!$B318,Recibos!L$4:L$7493)</f>
        <v>0</v>
      </c>
      <c r="BA318" s="311">
        <f>SUMIF(Recibos!$D$4:$D$7493,Cobranza!$B318,Recibos!M$4:M$7493)</f>
        <v>0</v>
      </c>
      <c r="BB318" s="311">
        <f>SUMIF(Recibos!$D$4:$D$7493,Cobranza!$B318,Recibos!N$4:N$7493)</f>
        <v>0</v>
      </c>
      <c r="BC318" s="311">
        <f>SUMIF(Recibos!$D$4:$D$7493,Cobranza!$B318,Recibos!O$4:O$7493)</f>
        <v>0</v>
      </c>
      <c r="BD318" s="311">
        <f>SUMIF(Recibos!$D$4:$D$7493,Cobranza!$B318,Recibos!P$4:P$7493)</f>
        <v>0</v>
      </c>
      <c r="BE318" s="311">
        <f>SUMIF(Recibos!$D$4:$D$7493,Cobranza!$B318,Recibos!Q$4:Q$7493)</f>
        <v>0</v>
      </c>
      <c r="BF318" s="311">
        <f>SUMIF(Recibos!$D$4:$D$7493,Cobranza!$B318,Recibos!R$4:R$7493)</f>
        <v>0</v>
      </c>
      <c r="BG318" s="311">
        <f>SUMIF(Recibos!$D$4:$D$7493,Cobranza!$B318,Recibos!S$4:S$7493)</f>
        <v>0</v>
      </c>
      <c r="BH318" s="311">
        <f>SUMIF(Recibos!$D$4:$D$7493,Cobranza!$B318,Recibos!T$4:T$7493)</f>
        <v>0</v>
      </c>
      <c r="BI318" s="311">
        <f>SUMIF(Recibos!$D$4:$D$7493,Cobranza!$B318,Recibos!U$4:U$7493)</f>
        <v>0</v>
      </c>
      <c r="BJ318" s="311">
        <f>SUMIF(Recibos!$D$4:$D$7493,Cobranza!$B318,Recibos!V$4:V$7493)</f>
        <v>0</v>
      </c>
      <c r="BK318" s="312">
        <f t="shared" si="43"/>
        <v>0</v>
      </c>
      <c r="BL318" s="311">
        <f>SUMIF(Recibos!$D$4:$D$7493,Cobranza!$B318,Recibos!X$4:X$7493)</f>
        <v>0</v>
      </c>
      <c r="BM318" s="311">
        <f>SUMIF(Recibos!$D$4:$D$7493,Cobranza!$B318,Recibos!Y$4:Y$7493)</f>
        <v>0</v>
      </c>
      <c r="BN318" s="311">
        <f>SUMIF(Recibos!$D$4:$D$7493,Cobranza!$B318,Recibos!Z$4:Z$7493)</f>
        <v>0</v>
      </c>
      <c r="BO318" s="311">
        <f>SUMIF(Recibos!$D$4:$D$7493,Cobranza!$B318,Recibos!AA$4:AA$7493)</f>
        <v>0</v>
      </c>
      <c r="BP318" s="311">
        <f>SUMIF(Recibos!$D$4:$D$7493,Cobranza!$B318,Recibos!AB$4:AB$7493)</f>
        <v>0</v>
      </c>
      <c r="BQ318" s="311">
        <f>SUMIF(Recibos!$D$4:$D$7493,Cobranza!$B318,Recibos!AC$4:AC$7493)</f>
        <v>0</v>
      </c>
      <c r="BR318" s="311">
        <f>SUMIF(Recibos!$D$4:$D$7493,Cobranza!$B318,Recibos!AD$4:AD$7493)</f>
        <v>0</v>
      </c>
      <c r="BS318" s="311">
        <f>SUMIF(Recibos!$D$4:$D$7493,Cobranza!$B318,Recibos!AE$4:AE$7493)</f>
        <v>0</v>
      </c>
      <c r="BT318" s="311">
        <f>SUMIF(Recibos!$D$4:$D$7493,Cobranza!$B318,Recibos!AF$4:AF$7493)</f>
        <v>0</v>
      </c>
      <c r="BU318" s="311">
        <f>SUMIF(Recibos!$D$4:$D$7493,Cobranza!$B318,Recibos!AG$4:AG$7493)</f>
        <v>0</v>
      </c>
      <c r="BV318" s="311">
        <f>SUMIF(Recibos!$D$4:$D$7493,Cobranza!$B318,Recibos!AH$4:AH$7493)</f>
        <v>0</v>
      </c>
      <c r="BW318" s="311">
        <f>SUMIF(Recibos!$D$4:$D$7493,Cobranza!$B318,Recibos!AI$4:AI$7493)</f>
        <v>0</v>
      </c>
      <c r="BX318" s="312">
        <f t="shared" si="44"/>
        <v>0</v>
      </c>
      <c r="BY318" s="311">
        <f>SUMIF(Recibos!$D$4:$D$7493,Cobranza!$B318,Recibos!AK$4:AK$7493)</f>
        <v>0</v>
      </c>
      <c r="BZ318" s="311">
        <f>SUMIF(Recibos!$D$4:$D$7493,Cobranza!$B318,Recibos!AL$4:AL$7493)</f>
        <v>0</v>
      </c>
      <c r="CA318" s="311">
        <f>SUMIF(Recibos!$D$4:$D$7493,Cobranza!$B318,Recibos!AM$4:AM$7493)</f>
        <v>0</v>
      </c>
      <c r="CB318" s="311">
        <f>SUMIF(Recibos!$D$4:$D$7493,Cobranza!$B318,Recibos!AN$4:AN$7493)</f>
        <v>0</v>
      </c>
      <c r="CC318" s="311">
        <f>SUMIF(Recibos!$D$4:$D$7493,Cobranza!$B318,Recibos!AO$4:AO$7493)</f>
        <v>0</v>
      </c>
      <c r="CD318" s="311">
        <f>SUMIF(Recibos!$D$4:$D$7493,Cobranza!$B318,Recibos!AP$4:AP$7493)</f>
        <v>0</v>
      </c>
      <c r="CE318" s="311">
        <f>SUMIF(Recibos!$D$4:$D$7493,Cobranza!$B318,Recibos!AQ$4:AQ$7493)</f>
        <v>0</v>
      </c>
      <c r="CF318" s="311">
        <f>SUMIF(Recibos!$D$4:$D$7493,Cobranza!$B318,Recibos!AR$4:AR$7493)</f>
        <v>0</v>
      </c>
      <c r="CG318" s="311">
        <f>SUMIF(Recibos!$D$4:$D$7493,Cobranza!$B318,Recibos!AS$4:AS$7493)</f>
        <v>0</v>
      </c>
      <c r="CH318" s="311">
        <f>SUMIF(Recibos!$D$4:$D$7493,Cobranza!$B318,Recibos!AT$4:AT$7493)</f>
        <v>0</v>
      </c>
      <c r="CI318" s="311">
        <f>SUMIF(Recibos!$D$4:$D$7493,Cobranza!$B318,Recibos!AU$4:AU$7493)</f>
        <v>0</v>
      </c>
      <c r="CJ318" s="311">
        <f>SUMIF(Recibos!$D$4:$D$7493,Cobranza!$B318,Recibos!AV$4:AV$7493)</f>
        <v>0</v>
      </c>
      <c r="CK318" s="312">
        <f t="shared" si="38"/>
        <v>0</v>
      </c>
    </row>
    <row r="319" spans="2:89" x14ac:dyDescent="0.2">
      <c r="B319" s="45" t="s">
        <v>262</v>
      </c>
      <c r="C319" s="45" t="s">
        <v>263</v>
      </c>
      <c r="D319" s="45" t="s">
        <v>264</v>
      </c>
      <c r="E319" s="46">
        <v>0</v>
      </c>
      <c r="F319" s="46">
        <v>0</v>
      </c>
      <c r="G319" s="46">
        <v>0</v>
      </c>
      <c r="H319" s="46">
        <v>0</v>
      </c>
      <c r="I319" s="46">
        <v>0</v>
      </c>
      <c r="J319" s="46">
        <v>300</v>
      </c>
      <c r="K319" s="47">
        <f t="shared" si="39"/>
        <v>300</v>
      </c>
      <c r="L319" s="46">
        <v>300</v>
      </c>
      <c r="M319" s="46">
        <v>300</v>
      </c>
      <c r="N319" s="46">
        <v>300</v>
      </c>
      <c r="O319" s="46">
        <v>300</v>
      </c>
      <c r="P319" s="46">
        <v>300</v>
      </c>
      <c r="Q319" s="46">
        <v>300</v>
      </c>
      <c r="R319" s="46">
        <v>300</v>
      </c>
      <c r="S319" s="46">
        <v>300</v>
      </c>
      <c r="T319" s="46">
        <v>300</v>
      </c>
      <c r="U319" s="46">
        <v>700</v>
      </c>
      <c r="V319" s="46">
        <v>0</v>
      </c>
      <c r="W319" s="46">
        <v>0</v>
      </c>
      <c r="X319" s="47">
        <f t="shared" si="40"/>
        <v>3400</v>
      </c>
      <c r="Y319" s="46">
        <v>0</v>
      </c>
      <c r="Z319" s="46">
        <v>0</v>
      </c>
      <c r="AA319" s="46">
        <v>0</v>
      </c>
      <c r="AB319" s="46">
        <v>0</v>
      </c>
      <c r="AC319" s="46">
        <v>0</v>
      </c>
      <c r="AD319" s="46">
        <v>0</v>
      </c>
      <c r="AE319" s="46">
        <v>0</v>
      </c>
      <c r="AF319" s="46">
        <v>300</v>
      </c>
      <c r="AG319" s="46">
        <v>300</v>
      </c>
      <c r="AH319" s="46">
        <v>400</v>
      </c>
      <c r="AI319" s="46">
        <v>300</v>
      </c>
      <c r="AJ319" s="46">
        <v>300</v>
      </c>
      <c r="AK319" s="47">
        <f t="shared" si="41"/>
        <v>1600</v>
      </c>
      <c r="AL319" s="46">
        <v>300</v>
      </c>
      <c r="AM319" s="46">
        <v>300</v>
      </c>
      <c r="AN319" s="46">
        <v>300</v>
      </c>
      <c r="AO319" s="46">
        <v>300</v>
      </c>
      <c r="AP319" s="46">
        <v>300</v>
      </c>
      <c r="AQ319" s="46">
        <v>300</v>
      </c>
      <c r="AR319" s="46">
        <v>300</v>
      </c>
      <c r="AS319" s="46">
        <v>300</v>
      </c>
      <c r="AT319" s="46">
        <v>300</v>
      </c>
      <c r="AU319" s="46">
        <v>300</v>
      </c>
      <c r="AV319" s="46">
        <v>300</v>
      </c>
      <c r="AW319" s="46">
        <v>300</v>
      </c>
      <c r="AX319" s="47">
        <f t="shared" si="42"/>
        <v>3600</v>
      </c>
      <c r="AY319" s="313">
        <f>SUMIF(Recibos!$D$4:$D$7493,Cobranza!$B319,Recibos!K$4:K$7493)</f>
        <v>300</v>
      </c>
      <c r="AZ319" s="313">
        <f>SUMIF(Recibos!$D$4:$D$7493,Cobranza!$B319,Recibos!L$4:L$7493)</f>
        <v>300</v>
      </c>
      <c r="BA319" s="313">
        <f>SUMIF(Recibos!$D$4:$D$7493,Cobranza!$B319,Recibos!M$4:M$7493)</f>
        <v>300</v>
      </c>
      <c r="BB319" s="313">
        <f>SUMIF(Recibos!$D$4:$D$7493,Cobranza!$B319,Recibos!N$4:N$7493)</f>
        <v>300</v>
      </c>
      <c r="BC319" s="313">
        <f>SUMIF(Recibos!$D$4:$D$7493,Cobranza!$B319,Recibos!O$4:O$7493)</f>
        <v>300</v>
      </c>
      <c r="BD319" s="313">
        <f>SUMIF(Recibos!$D$4:$D$7493,Cobranza!$B319,Recibos!P$4:P$7493)</f>
        <v>300</v>
      </c>
      <c r="BE319" s="313">
        <f>SUMIF(Recibos!$D$4:$D$7493,Cobranza!$B319,Recibos!Q$4:Q$7493)</f>
        <v>300</v>
      </c>
      <c r="BF319" s="313">
        <f>SUMIF(Recibos!$D$4:$D$7493,Cobranza!$B319,Recibos!R$4:R$7493)</f>
        <v>300</v>
      </c>
      <c r="BG319" s="313">
        <f>SUMIF(Recibos!$D$4:$D$7493,Cobranza!$B319,Recibos!S$4:S$7493)</f>
        <v>300</v>
      </c>
      <c r="BH319" s="313">
        <f>SUMIF(Recibos!$D$4:$D$7493,Cobranza!$B319,Recibos!T$4:T$7493)</f>
        <v>300</v>
      </c>
      <c r="BI319" s="313">
        <f>SUMIF(Recibos!$D$4:$D$7493,Cobranza!$B319,Recibos!U$4:U$7493)</f>
        <v>300</v>
      </c>
      <c r="BJ319" s="313">
        <f>SUMIF(Recibos!$D$4:$D$7493,Cobranza!$B319,Recibos!V$4:V$7493)</f>
        <v>300</v>
      </c>
      <c r="BK319" s="314">
        <f t="shared" si="43"/>
        <v>3600</v>
      </c>
      <c r="BL319" s="313">
        <f>SUMIF(Recibos!$D$4:$D$7493,Cobranza!$B319,Recibos!X$4:X$7493)</f>
        <v>300</v>
      </c>
      <c r="BM319" s="313">
        <f>SUMIF(Recibos!$D$4:$D$7493,Cobranza!$B319,Recibos!Y$4:Y$7493)</f>
        <v>300</v>
      </c>
      <c r="BN319" s="313">
        <f>SUMIF(Recibos!$D$4:$D$7493,Cobranza!$B319,Recibos!Z$4:Z$7493)</f>
        <v>300</v>
      </c>
      <c r="BO319" s="313">
        <f>SUMIF(Recibos!$D$4:$D$7493,Cobranza!$B319,Recibos!AA$4:AA$7493)</f>
        <v>300</v>
      </c>
      <c r="BP319" s="313">
        <f>SUMIF(Recibos!$D$4:$D$7493,Cobranza!$B319,Recibos!AB$4:AB$7493)</f>
        <v>300</v>
      </c>
      <c r="BQ319" s="313">
        <f>SUMIF(Recibos!$D$4:$D$7493,Cobranza!$B319,Recibos!AC$4:AC$7493)</f>
        <v>300</v>
      </c>
      <c r="BR319" s="313">
        <f>SUMIF(Recibos!$D$4:$D$7493,Cobranza!$B319,Recibos!AD$4:AD$7493)</f>
        <v>300</v>
      </c>
      <c r="BS319" s="313">
        <f>SUMIF(Recibos!$D$4:$D$7493,Cobranza!$B319,Recibos!AE$4:AE$7493)</f>
        <v>300</v>
      </c>
      <c r="BT319" s="313">
        <f>SUMIF(Recibos!$D$4:$D$7493,Cobranza!$B319,Recibos!AF$4:AF$7493)</f>
        <v>300</v>
      </c>
      <c r="BU319" s="313">
        <f>SUMIF(Recibos!$D$4:$D$7493,Cobranza!$B319,Recibos!AG$4:AG$7493)</f>
        <v>300</v>
      </c>
      <c r="BV319" s="313">
        <f>SUMIF(Recibos!$D$4:$D$7493,Cobranza!$B319,Recibos!AH$4:AH$7493)</f>
        <v>300</v>
      </c>
      <c r="BW319" s="313">
        <f>SUMIF(Recibos!$D$4:$D$7493,Cobranza!$B319,Recibos!AI$4:AI$7493)</f>
        <v>300</v>
      </c>
      <c r="BX319" s="314">
        <f t="shared" si="44"/>
        <v>3600</v>
      </c>
      <c r="BY319" s="313">
        <f>SUMIF(Recibos!$D$4:$D$7493,Cobranza!$B319,Recibos!AK$4:AK$7493)</f>
        <v>300</v>
      </c>
      <c r="BZ319" s="313">
        <f>SUMIF(Recibos!$D$4:$D$7493,Cobranza!$B319,Recibos!AL$4:AL$7493)</f>
        <v>300</v>
      </c>
      <c r="CA319" s="313">
        <f>SUMIF(Recibos!$D$4:$D$7493,Cobranza!$B319,Recibos!AM$4:AM$7493)</f>
        <v>300</v>
      </c>
      <c r="CB319" s="313">
        <f>SUMIF(Recibos!$D$4:$D$7493,Cobranza!$B319,Recibos!AN$4:AN$7493)</f>
        <v>300</v>
      </c>
      <c r="CC319" s="313">
        <f>SUMIF(Recibos!$D$4:$D$7493,Cobranza!$B319,Recibos!AO$4:AO$7493)</f>
        <v>300</v>
      </c>
      <c r="CD319" s="313">
        <f>SUMIF(Recibos!$D$4:$D$7493,Cobranza!$B319,Recibos!AP$4:AP$7493)</f>
        <v>300</v>
      </c>
      <c r="CE319" s="313">
        <f>SUMIF(Recibos!$D$4:$D$7493,Cobranza!$B319,Recibos!AQ$4:AQ$7493)</f>
        <v>300</v>
      </c>
      <c r="CF319" s="313">
        <f>SUMIF(Recibos!$D$4:$D$7493,Cobranza!$B319,Recibos!AR$4:AR$7493)</f>
        <v>300</v>
      </c>
      <c r="CG319" s="313">
        <f>SUMIF(Recibos!$D$4:$D$7493,Cobranza!$B319,Recibos!AS$4:AS$7493)</f>
        <v>300</v>
      </c>
      <c r="CH319" s="313">
        <f>SUMIF(Recibos!$D$4:$D$7493,Cobranza!$B319,Recibos!AT$4:AT$7493)</f>
        <v>300</v>
      </c>
      <c r="CI319" s="313">
        <f>SUMIF(Recibos!$D$4:$D$7493,Cobranza!$B319,Recibos!AU$4:AU$7493)</f>
        <v>0</v>
      </c>
      <c r="CJ319" s="313">
        <f>SUMIF(Recibos!$D$4:$D$7493,Cobranza!$B319,Recibos!AV$4:AV$7493)</f>
        <v>0</v>
      </c>
      <c r="CK319" s="314">
        <f t="shared" si="38"/>
        <v>3000</v>
      </c>
    </row>
    <row r="320" spans="2:89" x14ac:dyDescent="0.2">
      <c r="B320" s="42" t="s">
        <v>1403</v>
      </c>
      <c r="C320" s="42" t="s">
        <v>1404</v>
      </c>
      <c r="D320" s="42" t="s">
        <v>360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4">
        <f t="shared" si="39"/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  <c r="V320" s="43">
        <v>400</v>
      </c>
      <c r="W320" s="43">
        <v>400</v>
      </c>
      <c r="X320" s="44">
        <f t="shared" si="40"/>
        <v>800</v>
      </c>
      <c r="Y320" s="43">
        <v>400</v>
      </c>
      <c r="Z320" s="43">
        <v>0</v>
      </c>
      <c r="AA320" s="43">
        <v>0</v>
      </c>
      <c r="AB320" s="43">
        <v>0</v>
      </c>
      <c r="AC320" s="43">
        <v>0</v>
      </c>
      <c r="AD320" s="43">
        <v>0</v>
      </c>
      <c r="AE320" s="43">
        <v>0</v>
      </c>
      <c r="AF320" s="43">
        <v>0</v>
      </c>
      <c r="AG320" s="43">
        <v>0</v>
      </c>
      <c r="AH320" s="43">
        <v>0</v>
      </c>
      <c r="AI320" s="43">
        <v>0</v>
      </c>
      <c r="AJ320" s="43">
        <v>0</v>
      </c>
      <c r="AK320" s="44">
        <f t="shared" si="41"/>
        <v>400</v>
      </c>
      <c r="AL320" s="43">
        <v>0</v>
      </c>
      <c r="AM320" s="43">
        <v>0</v>
      </c>
      <c r="AN320" s="43">
        <v>0</v>
      </c>
      <c r="AO320" s="43">
        <v>0</v>
      </c>
      <c r="AP320" s="43">
        <v>0</v>
      </c>
      <c r="AQ320" s="43">
        <v>0</v>
      </c>
      <c r="AR320" s="43">
        <v>0</v>
      </c>
      <c r="AS320" s="43">
        <v>0</v>
      </c>
      <c r="AT320" s="43">
        <v>0</v>
      </c>
      <c r="AU320" s="43">
        <v>0</v>
      </c>
      <c r="AV320" s="43">
        <v>0</v>
      </c>
      <c r="AW320" s="43">
        <v>0</v>
      </c>
      <c r="AX320" s="44">
        <f t="shared" si="42"/>
        <v>0</v>
      </c>
      <c r="AY320" s="311">
        <f>SUMIF(Recibos!$D$4:$D$7493,Cobranza!$B320,Recibos!K$4:K$7493)</f>
        <v>0</v>
      </c>
      <c r="AZ320" s="311">
        <f>SUMIF(Recibos!$D$4:$D$7493,Cobranza!$B320,Recibos!L$4:L$7493)</f>
        <v>0</v>
      </c>
      <c r="BA320" s="311">
        <f>SUMIF(Recibos!$D$4:$D$7493,Cobranza!$B320,Recibos!M$4:M$7493)</f>
        <v>0</v>
      </c>
      <c r="BB320" s="311">
        <f>SUMIF(Recibos!$D$4:$D$7493,Cobranza!$B320,Recibos!N$4:N$7493)</f>
        <v>0</v>
      </c>
      <c r="BC320" s="311">
        <f>SUMIF(Recibos!$D$4:$D$7493,Cobranza!$B320,Recibos!O$4:O$7493)</f>
        <v>0</v>
      </c>
      <c r="BD320" s="311">
        <f>SUMIF(Recibos!$D$4:$D$7493,Cobranza!$B320,Recibos!P$4:P$7493)</f>
        <v>0</v>
      </c>
      <c r="BE320" s="311">
        <f>SUMIF(Recibos!$D$4:$D$7493,Cobranza!$B320,Recibos!Q$4:Q$7493)</f>
        <v>0</v>
      </c>
      <c r="BF320" s="311">
        <f>SUMIF(Recibos!$D$4:$D$7493,Cobranza!$B320,Recibos!R$4:R$7493)</f>
        <v>0</v>
      </c>
      <c r="BG320" s="311">
        <f>SUMIF(Recibos!$D$4:$D$7493,Cobranza!$B320,Recibos!S$4:S$7493)</f>
        <v>0</v>
      </c>
      <c r="BH320" s="311">
        <f>SUMIF(Recibos!$D$4:$D$7493,Cobranza!$B320,Recibos!T$4:T$7493)</f>
        <v>0</v>
      </c>
      <c r="BI320" s="311">
        <f>SUMIF(Recibos!$D$4:$D$7493,Cobranza!$B320,Recibos!U$4:U$7493)</f>
        <v>0</v>
      </c>
      <c r="BJ320" s="311">
        <f>SUMIF(Recibos!$D$4:$D$7493,Cobranza!$B320,Recibos!V$4:V$7493)</f>
        <v>0</v>
      </c>
      <c r="BK320" s="312">
        <f t="shared" si="43"/>
        <v>0</v>
      </c>
      <c r="BL320" s="311">
        <f>SUMIF(Recibos!$D$4:$D$7493,Cobranza!$B320,Recibos!X$4:X$7493)</f>
        <v>0</v>
      </c>
      <c r="BM320" s="311">
        <f>SUMIF(Recibos!$D$4:$D$7493,Cobranza!$B320,Recibos!Y$4:Y$7493)</f>
        <v>0</v>
      </c>
      <c r="BN320" s="311">
        <f>SUMIF(Recibos!$D$4:$D$7493,Cobranza!$B320,Recibos!Z$4:Z$7493)</f>
        <v>0</v>
      </c>
      <c r="BO320" s="311">
        <f>SUMIF(Recibos!$D$4:$D$7493,Cobranza!$B320,Recibos!AA$4:AA$7493)</f>
        <v>0</v>
      </c>
      <c r="BP320" s="311">
        <f>SUMIF(Recibos!$D$4:$D$7493,Cobranza!$B320,Recibos!AB$4:AB$7493)</f>
        <v>0</v>
      </c>
      <c r="BQ320" s="311">
        <f>SUMIF(Recibos!$D$4:$D$7493,Cobranza!$B320,Recibos!AC$4:AC$7493)</f>
        <v>0</v>
      </c>
      <c r="BR320" s="311">
        <f>SUMIF(Recibos!$D$4:$D$7493,Cobranza!$B320,Recibos!AD$4:AD$7493)</f>
        <v>0</v>
      </c>
      <c r="BS320" s="311">
        <f>SUMIF(Recibos!$D$4:$D$7493,Cobranza!$B320,Recibos!AE$4:AE$7493)</f>
        <v>0</v>
      </c>
      <c r="BT320" s="311">
        <f>SUMIF(Recibos!$D$4:$D$7493,Cobranza!$B320,Recibos!AF$4:AF$7493)</f>
        <v>0</v>
      </c>
      <c r="BU320" s="311">
        <f>SUMIF(Recibos!$D$4:$D$7493,Cobranza!$B320,Recibos!AG$4:AG$7493)</f>
        <v>0</v>
      </c>
      <c r="BV320" s="311">
        <f>SUMIF(Recibos!$D$4:$D$7493,Cobranza!$B320,Recibos!AH$4:AH$7493)</f>
        <v>0</v>
      </c>
      <c r="BW320" s="311">
        <f>SUMIF(Recibos!$D$4:$D$7493,Cobranza!$B320,Recibos!AI$4:AI$7493)</f>
        <v>0</v>
      </c>
      <c r="BX320" s="312">
        <f t="shared" si="44"/>
        <v>0</v>
      </c>
      <c r="BY320" s="311">
        <f>SUMIF(Recibos!$D$4:$D$7493,Cobranza!$B320,Recibos!AK$4:AK$7493)</f>
        <v>0</v>
      </c>
      <c r="BZ320" s="311">
        <f>SUMIF(Recibos!$D$4:$D$7493,Cobranza!$B320,Recibos!AL$4:AL$7493)</f>
        <v>0</v>
      </c>
      <c r="CA320" s="311">
        <f>SUMIF(Recibos!$D$4:$D$7493,Cobranza!$B320,Recibos!AM$4:AM$7493)</f>
        <v>0</v>
      </c>
      <c r="CB320" s="311">
        <f>SUMIF(Recibos!$D$4:$D$7493,Cobranza!$B320,Recibos!AN$4:AN$7493)</f>
        <v>0</v>
      </c>
      <c r="CC320" s="311">
        <f>SUMIF(Recibos!$D$4:$D$7493,Cobranza!$B320,Recibos!AO$4:AO$7493)</f>
        <v>0</v>
      </c>
      <c r="CD320" s="311">
        <f>SUMIF(Recibos!$D$4:$D$7493,Cobranza!$B320,Recibos!AP$4:AP$7493)</f>
        <v>0</v>
      </c>
      <c r="CE320" s="311">
        <f>SUMIF(Recibos!$D$4:$D$7493,Cobranza!$B320,Recibos!AQ$4:AQ$7493)</f>
        <v>0</v>
      </c>
      <c r="CF320" s="311">
        <f>SUMIF(Recibos!$D$4:$D$7493,Cobranza!$B320,Recibos!AR$4:AR$7493)</f>
        <v>0</v>
      </c>
      <c r="CG320" s="311">
        <f>SUMIF(Recibos!$D$4:$D$7493,Cobranza!$B320,Recibos!AS$4:AS$7493)</f>
        <v>0</v>
      </c>
      <c r="CH320" s="311">
        <f>SUMIF(Recibos!$D$4:$D$7493,Cobranza!$B320,Recibos!AT$4:AT$7493)</f>
        <v>0</v>
      </c>
      <c r="CI320" s="311">
        <f>SUMIF(Recibos!$D$4:$D$7493,Cobranza!$B320,Recibos!AU$4:AU$7493)</f>
        <v>0</v>
      </c>
      <c r="CJ320" s="311">
        <f>SUMIF(Recibos!$D$4:$D$7493,Cobranza!$B320,Recibos!AV$4:AV$7493)</f>
        <v>0</v>
      </c>
      <c r="CK320" s="312">
        <f t="shared" si="38"/>
        <v>0</v>
      </c>
    </row>
    <row r="321" spans="2:89" x14ac:dyDescent="0.2">
      <c r="B321" s="45" t="s">
        <v>220</v>
      </c>
      <c r="C321" s="45" t="s">
        <v>221</v>
      </c>
      <c r="D321" s="45" t="s">
        <v>1405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300</v>
      </c>
      <c r="K321" s="47">
        <f t="shared" si="39"/>
        <v>300</v>
      </c>
      <c r="L321" s="46">
        <v>300</v>
      </c>
      <c r="M321" s="46">
        <v>300</v>
      </c>
      <c r="N321" s="46">
        <v>300</v>
      </c>
      <c r="O321" s="46">
        <v>300</v>
      </c>
      <c r="P321" s="46">
        <v>300</v>
      </c>
      <c r="Q321" s="46">
        <v>300</v>
      </c>
      <c r="R321" s="46">
        <v>300</v>
      </c>
      <c r="S321" s="46">
        <v>300</v>
      </c>
      <c r="T321" s="46">
        <v>300</v>
      </c>
      <c r="U321" s="46">
        <v>300</v>
      </c>
      <c r="V321" s="46">
        <v>300</v>
      </c>
      <c r="W321" s="46">
        <v>300</v>
      </c>
      <c r="X321" s="47">
        <f t="shared" si="40"/>
        <v>3600</v>
      </c>
      <c r="Y321" s="46">
        <v>300</v>
      </c>
      <c r="Z321" s="46">
        <v>300</v>
      </c>
      <c r="AA321" s="46">
        <v>300</v>
      </c>
      <c r="AB321" s="46">
        <v>300</v>
      </c>
      <c r="AC321" s="46">
        <v>300</v>
      </c>
      <c r="AD321" s="46">
        <v>300</v>
      </c>
      <c r="AE321" s="46">
        <v>300</v>
      </c>
      <c r="AF321" s="46">
        <v>300</v>
      </c>
      <c r="AG321" s="46">
        <v>300</v>
      </c>
      <c r="AH321" s="46">
        <v>300</v>
      </c>
      <c r="AI321" s="46">
        <v>300</v>
      </c>
      <c r="AJ321" s="46">
        <v>300</v>
      </c>
      <c r="AK321" s="47">
        <f t="shared" si="41"/>
        <v>3600</v>
      </c>
      <c r="AL321" s="46">
        <v>300</v>
      </c>
      <c r="AM321" s="46">
        <v>300</v>
      </c>
      <c r="AN321" s="46">
        <v>300</v>
      </c>
      <c r="AO321" s="46">
        <v>300</v>
      </c>
      <c r="AP321" s="46">
        <v>0</v>
      </c>
      <c r="AQ321" s="46">
        <v>0</v>
      </c>
      <c r="AR321" s="46">
        <v>300</v>
      </c>
      <c r="AS321" s="46">
        <v>300</v>
      </c>
      <c r="AT321" s="46">
        <v>300</v>
      </c>
      <c r="AU321" s="46">
        <v>300</v>
      </c>
      <c r="AV321" s="46">
        <v>300</v>
      </c>
      <c r="AW321" s="46">
        <v>300</v>
      </c>
      <c r="AX321" s="47">
        <f t="shared" si="42"/>
        <v>3000</v>
      </c>
      <c r="AY321" s="313">
        <f>SUMIF(Recibos!$D$4:$D$7493,Cobranza!$B321,Recibos!K$4:K$7493)</f>
        <v>300</v>
      </c>
      <c r="AZ321" s="313">
        <f>SUMIF(Recibos!$D$4:$D$7493,Cobranza!$B321,Recibos!L$4:L$7493)</f>
        <v>300</v>
      </c>
      <c r="BA321" s="313">
        <f>SUMIF(Recibos!$D$4:$D$7493,Cobranza!$B321,Recibos!M$4:M$7493)</f>
        <v>300</v>
      </c>
      <c r="BB321" s="313">
        <f>SUMIF(Recibos!$D$4:$D$7493,Cobranza!$B321,Recibos!N$4:N$7493)</f>
        <v>300</v>
      </c>
      <c r="BC321" s="313">
        <f>SUMIF(Recibos!$D$4:$D$7493,Cobranza!$B321,Recibos!O$4:O$7493)</f>
        <v>300</v>
      </c>
      <c r="BD321" s="313">
        <f>SUMIF(Recibos!$D$4:$D$7493,Cobranza!$B321,Recibos!P$4:P$7493)</f>
        <v>300</v>
      </c>
      <c r="BE321" s="313">
        <f>SUMIF(Recibos!$D$4:$D$7493,Cobranza!$B321,Recibos!Q$4:Q$7493)</f>
        <v>300</v>
      </c>
      <c r="BF321" s="313">
        <f>SUMIF(Recibos!$D$4:$D$7493,Cobranza!$B321,Recibos!R$4:R$7493)</f>
        <v>300</v>
      </c>
      <c r="BG321" s="313">
        <f>SUMIF(Recibos!$D$4:$D$7493,Cobranza!$B321,Recibos!S$4:S$7493)</f>
        <v>300</v>
      </c>
      <c r="BH321" s="313">
        <f>SUMIF(Recibos!$D$4:$D$7493,Cobranza!$B321,Recibos!T$4:T$7493)</f>
        <v>300</v>
      </c>
      <c r="BI321" s="313">
        <f>SUMIF(Recibos!$D$4:$D$7493,Cobranza!$B321,Recibos!U$4:U$7493)</f>
        <v>300</v>
      </c>
      <c r="BJ321" s="313">
        <f>SUMIF(Recibos!$D$4:$D$7493,Cobranza!$B321,Recibos!V$4:V$7493)</f>
        <v>300</v>
      </c>
      <c r="BK321" s="314">
        <f t="shared" si="43"/>
        <v>3600</v>
      </c>
      <c r="BL321" s="313">
        <f>SUMIF(Recibos!$D$4:$D$7493,Cobranza!$B321,Recibos!X$4:X$7493)</f>
        <v>300</v>
      </c>
      <c r="BM321" s="313">
        <f>SUMIF(Recibos!$D$4:$D$7493,Cobranza!$B321,Recibos!Y$4:Y$7493)</f>
        <v>300</v>
      </c>
      <c r="BN321" s="313">
        <f>SUMIF(Recibos!$D$4:$D$7493,Cobranza!$B321,Recibos!Z$4:Z$7493)</f>
        <v>300</v>
      </c>
      <c r="BO321" s="313">
        <f>SUMIF(Recibos!$D$4:$D$7493,Cobranza!$B321,Recibos!AA$4:AA$7493)</f>
        <v>300</v>
      </c>
      <c r="BP321" s="313">
        <f>SUMIF(Recibos!$D$4:$D$7493,Cobranza!$B321,Recibos!AB$4:AB$7493)</f>
        <v>300</v>
      </c>
      <c r="BQ321" s="313">
        <f>SUMIF(Recibos!$D$4:$D$7493,Cobranza!$B321,Recibos!AC$4:AC$7493)</f>
        <v>300</v>
      </c>
      <c r="BR321" s="313">
        <f>SUMIF(Recibos!$D$4:$D$7493,Cobranza!$B321,Recibos!AD$4:AD$7493)</f>
        <v>300</v>
      </c>
      <c r="BS321" s="313">
        <f>SUMIF(Recibos!$D$4:$D$7493,Cobranza!$B321,Recibos!AE$4:AE$7493)</f>
        <v>300</v>
      </c>
      <c r="BT321" s="313">
        <f>SUMIF(Recibos!$D$4:$D$7493,Cobranza!$B321,Recibos!AF$4:AF$7493)</f>
        <v>300</v>
      </c>
      <c r="BU321" s="313">
        <f>SUMIF(Recibos!$D$4:$D$7493,Cobranza!$B321,Recibos!AG$4:AG$7493)</f>
        <v>300</v>
      </c>
      <c r="BV321" s="313">
        <f>SUMIF(Recibos!$D$4:$D$7493,Cobranza!$B321,Recibos!AH$4:AH$7493)</f>
        <v>300</v>
      </c>
      <c r="BW321" s="313">
        <f>SUMIF(Recibos!$D$4:$D$7493,Cobranza!$B321,Recibos!AI$4:AI$7493)</f>
        <v>300</v>
      </c>
      <c r="BX321" s="314">
        <f t="shared" si="44"/>
        <v>3600</v>
      </c>
      <c r="BY321" s="313">
        <f>SUMIF(Recibos!$D$4:$D$7493,Cobranza!$B321,Recibos!AK$4:AK$7493)</f>
        <v>300</v>
      </c>
      <c r="BZ321" s="313">
        <f>SUMIF(Recibos!$D$4:$D$7493,Cobranza!$B321,Recibos!AL$4:AL$7493)</f>
        <v>300</v>
      </c>
      <c r="CA321" s="313">
        <f>SUMIF(Recibos!$D$4:$D$7493,Cobranza!$B321,Recibos!AM$4:AM$7493)</f>
        <v>300</v>
      </c>
      <c r="CB321" s="313">
        <f>SUMIF(Recibos!$D$4:$D$7493,Cobranza!$B321,Recibos!AN$4:AN$7493)</f>
        <v>300</v>
      </c>
      <c r="CC321" s="313">
        <f>SUMIF(Recibos!$D$4:$D$7493,Cobranza!$B321,Recibos!AO$4:AO$7493)</f>
        <v>300</v>
      </c>
      <c r="CD321" s="313">
        <f>SUMIF(Recibos!$D$4:$D$7493,Cobranza!$B321,Recibos!AP$4:AP$7493)</f>
        <v>300</v>
      </c>
      <c r="CE321" s="313">
        <f>SUMIF(Recibos!$D$4:$D$7493,Cobranza!$B321,Recibos!AQ$4:AQ$7493)</f>
        <v>300</v>
      </c>
      <c r="CF321" s="313">
        <f>SUMIF(Recibos!$D$4:$D$7493,Cobranza!$B321,Recibos!AR$4:AR$7493)</f>
        <v>300</v>
      </c>
      <c r="CG321" s="313">
        <f>SUMIF(Recibos!$D$4:$D$7493,Cobranza!$B321,Recibos!AS$4:AS$7493)</f>
        <v>300</v>
      </c>
      <c r="CH321" s="313">
        <f>SUMIF(Recibos!$D$4:$D$7493,Cobranza!$B321,Recibos!AT$4:AT$7493)</f>
        <v>300</v>
      </c>
      <c r="CI321" s="313">
        <f>SUMIF(Recibos!$D$4:$D$7493,Cobranza!$B321,Recibos!AU$4:AU$7493)</f>
        <v>0</v>
      </c>
      <c r="CJ321" s="313">
        <f>SUMIF(Recibos!$D$4:$D$7493,Cobranza!$B321,Recibos!AV$4:AV$7493)</f>
        <v>0</v>
      </c>
      <c r="CK321" s="314">
        <f t="shared" si="38"/>
        <v>3000</v>
      </c>
    </row>
    <row r="322" spans="2:89" x14ac:dyDescent="0.2">
      <c r="B322" s="42" t="s">
        <v>217</v>
      </c>
      <c r="C322" s="42" t="s">
        <v>218</v>
      </c>
      <c r="D322" s="42" t="s">
        <v>219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300</v>
      </c>
      <c r="K322" s="44">
        <f t="shared" si="39"/>
        <v>300</v>
      </c>
      <c r="L322" s="43">
        <v>300</v>
      </c>
      <c r="M322" s="43">
        <v>300</v>
      </c>
      <c r="N322" s="43">
        <v>300</v>
      </c>
      <c r="O322" s="43">
        <v>300</v>
      </c>
      <c r="P322" s="43">
        <v>300</v>
      </c>
      <c r="Q322" s="43">
        <v>300</v>
      </c>
      <c r="R322" s="43">
        <v>300</v>
      </c>
      <c r="S322" s="43">
        <v>300</v>
      </c>
      <c r="T322" s="43">
        <v>300</v>
      </c>
      <c r="U322" s="43">
        <v>300</v>
      </c>
      <c r="V322" s="43">
        <v>300</v>
      </c>
      <c r="W322" s="43">
        <v>300</v>
      </c>
      <c r="X322" s="44">
        <f t="shared" si="40"/>
        <v>3600</v>
      </c>
      <c r="Y322" s="43">
        <v>300</v>
      </c>
      <c r="Z322" s="43">
        <v>300</v>
      </c>
      <c r="AA322" s="43">
        <v>300</v>
      </c>
      <c r="AB322" s="43">
        <v>300</v>
      </c>
      <c r="AC322" s="43">
        <v>300</v>
      </c>
      <c r="AD322" s="43">
        <v>300</v>
      </c>
      <c r="AE322" s="43">
        <v>300</v>
      </c>
      <c r="AF322" s="43">
        <v>300</v>
      </c>
      <c r="AG322" s="43">
        <v>300</v>
      </c>
      <c r="AH322" s="43">
        <v>300</v>
      </c>
      <c r="AI322" s="43">
        <v>300</v>
      </c>
      <c r="AJ322" s="43">
        <v>300</v>
      </c>
      <c r="AK322" s="44">
        <f t="shared" si="41"/>
        <v>3600</v>
      </c>
      <c r="AL322" s="43">
        <v>300</v>
      </c>
      <c r="AM322" s="43">
        <v>300</v>
      </c>
      <c r="AN322" s="43">
        <v>300</v>
      </c>
      <c r="AO322" s="43">
        <v>300</v>
      </c>
      <c r="AP322" s="43">
        <v>300</v>
      </c>
      <c r="AQ322" s="43">
        <v>300</v>
      </c>
      <c r="AR322" s="43">
        <v>300</v>
      </c>
      <c r="AS322" s="43">
        <v>300</v>
      </c>
      <c r="AT322" s="43">
        <v>300</v>
      </c>
      <c r="AU322" s="43">
        <v>300</v>
      </c>
      <c r="AV322" s="43">
        <v>300</v>
      </c>
      <c r="AW322" s="43">
        <v>300</v>
      </c>
      <c r="AX322" s="44">
        <f t="shared" si="42"/>
        <v>3600</v>
      </c>
      <c r="AY322" s="311">
        <f>SUMIF(Recibos!$D$4:$D$7493,Cobranza!$B322,Recibos!K$4:K$7493)</f>
        <v>300</v>
      </c>
      <c r="AZ322" s="311">
        <f>SUMIF(Recibos!$D$4:$D$7493,Cobranza!$B322,Recibos!L$4:L$7493)</f>
        <v>300</v>
      </c>
      <c r="BA322" s="311">
        <f>SUMIF(Recibos!$D$4:$D$7493,Cobranza!$B322,Recibos!M$4:M$7493)</f>
        <v>300</v>
      </c>
      <c r="BB322" s="311">
        <f>SUMIF(Recibos!$D$4:$D$7493,Cobranza!$B322,Recibos!N$4:N$7493)</f>
        <v>300</v>
      </c>
      <c r="BC322" s="311">
        <f>SUMIF(Recibos!$D$4:$D$7493,Cobranza!$B322,Recibos!O$4:O$7493)</f>
        <v>300</v>
      </c>
      <c r="BD322" s="311">
        <f>SUMIF(Recibos!$D$4:$D$7493,Cobranza!$B322,Recibos!P$4:P$7493)</f>
        <v>300</v>
      </c>
      <c r="BE322" s="311">
        <f>SUMIF(Recibos!$D$4:$D$7493,Cobranza!$B322,Recibos!Q$4:Q$7493)</f>
        <v>300</v>
      </c>
      <c r="BF322" s="311">
        <f>SUMIF(Recibos!$D$4:$D$7493,Cobranza!$B322,Recibos!R$4:R$7493)</f>
        <v>300</v>
      </c>
      <c r="BG322" s="311">
        <f>SUMIF(Recibos!$D$4:$D$7493,Cobranza!$B322,Recibos!S$4:S$7493)</f>
        <v>300</v>
      </c>
      <c r="BH322" s="311">
        <f>SUMIF(Recibos!$D$4:$D$7493,Cobranza!$B322,Recibos!T$4:T$7493)</f>
        <v>300</v>
      </c>
      <c r="BI322" s="311">
        <f>SUMIF(Recibos!$D$4:$D$7493,Cobranza!$B322,Recibos!U$4:U$7493)</f>
        <v>300</v>
      </c>
      <c r="BJ322" s="311">
        <f>SUMIF(Recibos!$D$4:$D$7493,Cobranza!$B322,Recibos!V$4:V$7493)</f>
        <v>300</v>
      </c>
      <c r="BK322" s="312">
        <f t="shared" si="43"/>
        <v>3600</v>
      </c>
      <c r="BL322" s="311">
        <f>SUMIF(Recibos!$D$4:$D$7493,Cobranza!$B322,Recibos!X$4:X$7493)</f>
        <v>300</v>
      </c>
      <c r="BM322" s="311">
        <f>SUMIF(Recibos!$D$4:$D$7493,Cobranza!$B322,Recibos!Y$4:Y$7493)</f>
        <v>300</v>
      </c>
      <c r="BN322" s="311">
        <f>SUMIF(Recibos!$D$4:$D$7493,Cobranza!$B322,Recibos!Z$4:Z$7493)</f>
        <v>300</v>
      </c>
      <c r="BO322" s="311">
        <f>SUMIF(Recibos!$D$4:$D$7493,Cobranza!$B322,Recibos!AA$4:AA$7493)</f>
        <v>300</v>
      </c>
      <c r="BP322" s="311">
        <f>SUMIF(Recibos!$D$4:$D$7493,Cobranza!$B322,Recibos!AB$4:AB$7493)</f>
        <v>300</v>
      </c>
      <c r="BQ322" s="311">
        <f>SUMIF(Recibos!$D$4:$D$7493,Cobranza!$B322,Recibos!AC$4:AC$7493)</f>
        <v>300</v>
      </c>
      <c r="BR322" s="311">
        <f>SUMIF(Recibos!$D$4:$D$7493,Cobranza!$B322,Recibos!AD$4:AD$7493)</f>
        <v>300</v>
      </c>
      <c r="BS322" s="311">
        <f>SUMIF(Recibos!$D$4:$D$7493,Cobranza!$B322,Recibos!AE$4:AE$7493)</f>
        <v>300</v>
      </c>
      <c r="BT322" s="311">
        <f>SUMIF(Recibos!$D$4:$D$7493,Cobranza!$B322,Recibos!AF$4:AF$7493)</f>
        <v>300</v>
      </c>
      <c r="BU322" s="311">
        <f>SUMIF(Recibos!$D$4:$D$7493,Cobranza!$B322,Recibos!AG$4:AG$7493)</f>
        <v>300</v>
      </c>
      <c r="BV322" s="311">
        <f>SUMIF(Recibos!$D$4:$D$7493,Cobranza!$B322,Recibos!AH$4:AH$7493)</f>
        <v>300</v>
      </c>
      <c r="BW322" s="311">
        <f>SUMIF(Recibos!$D$4:$D$7493,Cobranza!$B322,Recibos!AI$4:AI$7493)</f>
        <v>0</v>
      </c>
      <c r="BX322" s="312">
        <f t="shared" si="44"/>
        <v>3300</v>
      </c>
      <c r="BY322" s="311">
        <f>SUMIF(Recibos!$D$4:$D$7493,Cobranza!$B322,Recibos!AK$4:AK$7493)</f>
        <v>300</v>
      </c>
      <c r="BZ322" s="311">
        <f>SUMIF(Recibos!$D$4:$D$7493,Cobranza!$B322,Recibos!AL$4:AL$7493)</f>
        <v>300</v>
      </c>
      <c r="CA322" s="311">
        <f>SUMIF(Recibos!$D$4:$D$7493,Cobranza!$B322,Recibos!AM$4:AM$7493)</f>
        <v>300</v>
      </c>
      <c r="CB322" s="311">
        <f>SUMIF(Recibos!$D$4:$D$7493,Cobranza!$B322,Recibos!AN$4:AN$7493)</f>
        <v>300</v>
      </c>
      <c r="CC322" s="311">
        <f>SUMIF(Recibos!$D$4:$D$7493,Cobranza!$B322,Recibos!AO$4:AO$7493)</f>
        <v>300</v>
      </c>
      <c r="CD322" s="311">
        <f>SUMIF(Recibos!$D$4:$D$7493,Cobranza!$B322,Recibos!AP$4:AP$7493)</f>
        <v>300</v>
      </c>
      <c r="CE322" s="311">
        <f>SUMIF(Recibos!$D$4:$D$7493,Cobranza!$B322,Recibos!AQ$4:AQ$7493)</f>
        <v>300</v>
      </c>
      <c r="CF322" s="311">
        <f>SUMIF(Recibos!$D$4:$D$7493,Cobranza!$B322,Recibos!AR$4:AR$7493)</f>
        <v>300</v>
      </c>
      <c r="CG322" s="311">
        <f>SUMIF(Recibos!$D$4:$D$7493,Cobranza!$B322,Recibos!AS$4:AS$7493)</f>
        <v>300</v>
      </c>
      <c r="CH322" s="311">
        <f>SUMIF(Recibos!$D$4:$D$7493,Cobranza!$B322,Recibos!AT$4:AT$7493)</f>
        <v>300</v>
      </c>
      <c r="CI322" s="311">
        <f>SUMIF(Recibos!$D$4:$D$7493,Cobranza!$B322,Recibos!AU$4:AU$7493)</f>
        <v>300</v>
      </c>
      <c r="CJ322" s="311">
        <f>SUMIF(Recibos!$D$4:$D$7493,Cobranza!$B322,Recibos!AV$4:AV$7493)</f>
        <v>300</v>
      </c>
      <c r="CK322" s="312">
        <f t="shared" si="38"/>
        <v>3600</v>
      </c>
    </row>
    <row r="323" spans="2:89" x14ac:dyDescent="0.2">
      <c r="B323" s="402" t="s">
        <v>5580</v>
      </c>
      <c r="C323" s="402" t="s">
        <v>5577</v>
      </c>
      <c r="D323" s="402" t="s">
        <v>5578</v>
      </c>
      <c r="E323" s="398"/>
      <c r="F323" s="398"/>
      <c r="G323" s="398"/>
      <c r="H323" s="398"/>
      <c r="I323" s="398"/>
      <c r="J323" s="398"/>
      <c r="K323" s="399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9"/>
      <c r="Y323" s="398"/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9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9"/>
      <c r="AY323" s="400"/>
      <c r="AZ323" s="400"/>
      <c r="BA323" s="400"/>
      <c r="BB323" s="400"/>
      <c r="BC323" s="400"/>
      <c r="BD323" s="400"/>
      <c r="BE323" s="400"/>
      <c r="BF323" s="400"/>
      <c r="BG323" s="400"/>
      <c r="BH323" s="400"/>
      <c r="BI323" s="400"/>
      <c r="BJ323" s="400"/>
      <c r="BK323" s="401"/>
      <c r="BL323" s="400"/>
      <c r="BM323" s="400"/>
      <c r="BN323" s="400"/>
      <c r="BO323" s="400"/>
      <c r="BP323" s="400"/>
      <c r="BQ323" s="400"/>
      <c r="BR323" s="400"/>
      <c r="BS323" s="400"/>
      <c r="BT323" s="400"/>
      <c r="BU323" s="400"/>
      <c r="BV323" s="400"/>
      <c r="BW323" s="400"/>
      <c r="BX323" s="401"/>
      <c r="BY323" s="400"/>
      <c r="BZ323" s="400"/>
      <c r="CA323" s="400"/>
      <c r="CB323" s="400"/>
      <c r="CC323" s="400"/>
      <c r="CD323" s="400"/>
      <c r="CE323" s="400"/>
      <c r="CF323" s="400"/>
      <c r="CG323" s="400"/>
      <c r="CH323" s="400"/>
      <c r="CI323" s="400"/>
      <c r="CJ323" s="400"/>
      <c r="CK323" s="401"/>
    </row>
    <row r="324" spans="2:89" x14ac:dyDescent="0.2">
      <c r="B324" s="45" t="s">
        <v>788</v>
      </c>
      <c r="C324" s="45" t="s">
        <v>789</v>
      </c>
      <c r="D324" s="45" t="s">
        <v>790</v>
      </c>
      <c r="E324" s="46">
        <v>0</v>
      </c>
      <c r="F324" s="46">
        <v>0</v>
      </c>
      <c r="G324" s="46">
        <v>0</v>
      </c>
      <c r="H324" s="46">
        <v>0</v>
      </c>
      <c r="I324" s="46">
        <v>300</v>
      </c>
      <c r="J324" s="46">
        <v>300</v>
      </c>
      <c r="K324" s="47">
        <f t="shared" si="39"/>
        <v>600</v>
      </c>
      <c r="L324" s="46">
        <v>300</v>
      </c>
      <c r="M324" s="46">
        <v>300</v>
      </c>
      <c r="N324" s="46">
        <v>300</v>
      </c>
      <c r="O324" s="46">
        <v>300</v>
      </c>
      <c r="P324" s="46">
        <v>300</v>
      </c>
      <c r="Q324" s="46">
        <v>300</v>
      </c>
      <c r="R324" s="46">
        <v>300</v>
      </c>
      <c r="S324" s="46">
        <v>300</v>
      </c>
      <c r="T324" s="46">
        <v>300</v>
      </c>
      <c r="U324" s="46">
        <v>400</v>
      </c>
      <c r="V324" s="46">
        <v>400</v>
      </c>
      <c r="W324" s="46">
        <v>400</v>
      </c>
      <c r="X324" s="47">
        <f t="shared" si="40"/>
        <v>3900</v>
      </c>
      <c r="Y324" s="46">
        <v>400</v>
      </c>
      <c r="Z324" s="46">
        <v>400</v>
      </c>
      <c r="AA324" s="46">
        <v>400</v>
      </c>
      <c r="AB324" s="46">
        <v>400</v>
      </c>
      <c r="AC324" s="46">
        <v>400</v>
      </c>
      <c r="AD324" s="46">
        <v>400</v>
      </c>
      <c r="AE324" s="46">
        <v>400</v>
      </c>
      <c r="AF324" s="46">
        <v>400</v>
      </c>
      <c r="AG324" s="46">
        <v>400</v>
      </c>
      <c r="AH324" s="46">
        <v>400</v>
      </c>
      <c r="AI324" s="46">
        <v>400</v>
      </c>
      <c r="AJ324" s="46">
        <v>400</v>
      </c>
      <c r="AK324" s="47">
        <f t="shared" si="41"/>
        <v>4800</v>
      </c>
      <c r="AL324" s="46">
        <v>400</v>
      </c>
      <c r="AM324" s="46">
        <v>400</v>
      </c>
      <c r="AN324" s="46">
        <v>0</v>
      </c>
      <c r="AO324" s="46">
        <v>400</v>
      </c>
      <c r="AP324" s="46">
        <v>400</v>
      </c>
      <c r="AQ324" s="46">
        <v>400</v>
      </c>
      <c r="AR324" s="46">
        <v>400</v>
      </c>
      <c r="AS324" s="46">
        <v>400</v>
      </c>
      <c r="AT324" s="46">
        <v>400</v>
      </c>
      <c r="AU324" s="46">
        <v>400</v>
      </c>
      <c r="AV324" s="46">
        <v>400</v>
      </c>
      <c r="AW324" s="46">
        <v>400</v>
      </c>
      <c r="AX324" s="47">
        <f t="shared" si="42"/>
        <v>4400</v>
      </c>
      <c r="AY324" s="313">
        <f>SUMIF(Recibos!$D$4:$D$7493,Cobranza!$B324,Recibos!K$4:K$7493)</f>
        <v>400</v>
      </c>
      <c r="AZ324" s="313">
        <f>SUMIF(Recibos!$D$4:$D$7493,Cobranza!$B324,Recibos!L$4:L$7493)</f>
        <v>400</v>
      </c>
      <c r="BA324" s="313">
        <f>SUMIF(Recibos!$D$4:$D$7493,Cobranza!$B324,Recibos!M$4:M$7493)</f>
        <v>400</v>
      </c>
      <c r="BB324" s="313">
        <f>SUMIF(Recibos!$D$4:$D$7493,Cobranza!$B324,Recibos!N$4:N$7493)</f>
        <v>400</v>
      </c>
      <c r="BC324" s="313">
        <f>SUMIF(Recibos!$D$4:$D$7493,Cobranza!$B324,Recibos!O$4:O$7493)</f>
        <v>400</v>
      </c>
      <c r="BD324" s="313">
        <f>SUMIF(Recibos!$D$4:$D$7493,Cobranza!$B324,Recibos!P$4:P$7493)</f>
        <v>400</v>
      </c>
      <c r="BE324" s="313">
        <f>SUMIF(Recibos!$D$4:$D$7493,Cobranza!$B324,Recibos!Q$4:Q$7493)</f>
        <v>400</v>
      </c>
      <c r="BF324" s="313">
        <f>SUMIF(Recibos!$D$4:$D$7493,Cobranza!$B324,Recibos!R$4:R$7493)</f>
        <v>400</v>
      </c>
      <c r="BG324" s="313">
        <f>SUMIF(Recibos!$D$4:$D$7493,Cobranza!$B324,Recibos!S$4:S$7493)</f>
        <v>400</v>
      </c>
      <c r="BH324" s="313">
        <f>SUMIF(Recibos!$D$4:$D$7493,Cobranza!$B324,Recibos!T$4:T$7493)</f>
        <v>400</v>
      </c>
      <c r="BI324" s="313">
        <f>SUMIF(Recibos!$D$4:$D$7493,Cobranza!$B324,Recibos!U$4:U$7493)</f>
        <v>400</v>
      </c>
      <c r="BJ324" s="313">
        <f>SUMIF(Recibos!$D$4:$D$7493,Cobranza!$B324,Recibos!V$4:V$7493)</f>
        <v>400</v>
      </c>
      <c r="BK324" s="314">
        <f t="shared" si="43"/>
        <v>4800</v>
      </c>
      <c r="BL324" s="313">
        <f>SUMIF(Recibos!$D$4:$D$7493,Cobranza!$B324,Recibos!X$4:X$7493)</f>
        <v>400</v>
      </c>
      <c r="BM324" s="313">
        <f>SUMIF(Recibos!$D$4:$D$7493,Cobranza!$B324,Recibos!Y$4:Y$7493)</f>
        <v>400</v>
      </c>
      <c r="BN324" s="313">
        <f>SUMIF(Recibos!$D$4:$D$7493,Cobranza!$B324,Recibos!Z$4:Z$7493)</f>
        <v>400</v>
      </c>
      <c r="BO324" s="313">
        <f>SUMIF(Recibos!$D$4:$D$7493,Cobranza!$B324,Recibos!AA$4:AA$7493)</f>
        <v>400</v>
      </c>
      <c r="BP324" s="313">
        <f>SUMIF(Recibos!$D$4:$D$7493,Cobranza!$B324,Recibos!AB$4:AB$7493)</f>
        <v>400</v>
      </c>
      <c r="BQ324" s="313">
        <f>SUMIF(Recibos!$D$4:$D$7493,Cobranza!$B324,Recibos!AC$4:AC$7493)</f>
        <v>400</v>
      </c>
      <c r="BR324" s="313">
        <f>SUMIF(Recibos!$D$4:$D$7493,Cobranza!$B324,Recibos!AD$4:AD$7493)</f>
        <v>400</v>
      </c>
      <c r="BS324" s="313">
        <f>SUMIF(Recibos!$D$4:$D$7493,Cobranza!$B324,Recibos!AE$4:AE$7493)</f>
        <v>400</v>
      </c>
      <c r="BT324" s="313">
        <f>SUMIF(Recibos!$D$4:$D$7493,Cobranza!$B324,Recibos!AF$4:AF$7493)</f>
        <v>400</v>
      </c>
      <c r="BU324" s="313">
        <f>SUMIF(Recibos!$D$4:$D$7493,Cobranza!$B324,Recibos!AG$4:AG$7493)</f>
        <v>400</v>
      </c>
      <c r="BV324" s="313">
        <f>SUMIF(Recibos!$D$4:$D$7493,Cobranza!$B324,Recibos!AH$4:AH$7493)</f>
        <v>400</v>
      </c>
      <c r="BW324" s="313">
        <f>SUMIF(Recibos!$D$4:$D$7493,Cobranza!$B324,Recibos!AI$4:AI$7493)</f>
        <v>0</v>
      </c>
      <c r="BX324" s="314">
        <f t="shared" si="44"/>
        <v>4400</v>
      </c>
      <c r="BY324" s="313">
        <f>SUMIF(Recibos!$D$4:$D$7493,Cobranza!$B324,Recibos!AK$4:AK$7493)</f>
        <v>400</v>
      </c>
      <c r="BZ324" s="313">
        <f>SUMIF(Recibos!$D$4:$D$7493,Cobranza!$B324,Recibos!AL$4:AL$7493)</f>
        <v>400</v>
      </c>
      <c r="CA324" s="313">
        <f>SUMIF(Recibos!$D$4:$D$7493,Cobranza!$B324,Recibos!AM$4:AM$7493)</f>
        <v>400</v>
      </c>
      <c r="CB324" s="313">
        <f>SUMIF(Recibos!$D$4:$D$7493,Cobranza!$B324,Recibos!AN$4:AN$7493)</f>
        <v>400</v>
      </c>
      <c r="CC324" s="313">
        <f>SUMIF(Recibos!$D$4:$D$7493,Cobranza!$B324,Recibos!AO$4:AO$7493)</f>
        <v>400</v>
      </c>
      <c r="CD324" s="313">
        <f>SUMIF(Recibos!$D$4:$D$7493,Cobranza!$B324,Recibos!AP$4:AP$7493)</f>
        <v>400</v>
      </c>
      <c r="CE324" s="313">
        <f>SUMIF(Recibos!$D$4:$D$7493,Cobranza!$B324,Recibos!AQ$4:AQ$7493)</f>
        <v>400</v>
      </c>
      <c r="CF324" s="313">
        <f>SUMIF(Recibos!$D$4:$D$7493,Cobranza!$B324,Recibos!AR$4:AR$7493)</f>
        <v>400</v>
      </c>
      <c r="CG324" s="313">
        <f>SUMIF(Recibos!$D$4:$D$7493,Cobranza!$B324,Recibos!AS$4:AS$7493)</f>
        <v>400</v>
      </c>
      <c r="CH324" s="313">
        <f>SUMIF(Recibos!$D$4:$D$7493,Cobranza!$B324,Recibos!AT$4:AT$7493)</f>
        <v>400</v>
      </c>
      <c r="CI324" s="313">
        <f>SUMIF(Recibos!$D$4:$D$7493,Cobranza!$B324,Recibos!AU$4:AU$7493)</f>
        <v>400</v>
      </c>
      <c r="CJ324" s="313">
        <f>SUMIF(Recibos!$D$4:$D$7493,Cobranza!$B324,Recibos!AV$4:AV$7493)</f>
        <v>0</v>
      </c>
      <c r="CK324" s="314">
        <f t="shared" si="38"/>
        <v>4400</v>
      </c>
    </row>
    <row r="325" spans="2:89" x14ac:dyDescent="0.2">
      <c r="B325" s="42" t="s">
        <v>123</v>
      </c>
      <c r="C325" s="42" t="s">
        <v>124</v>
      </c>
      <c r="D325" s="42" t="s">
        <v>125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150</v>
      </c>
      <c r="K325" s="44">
        <f t="shared" si="39"/>
        <v>150</v>
      </c>
      <c r="L325" s="43">
        <v>150</v>
      </c>
      <c r="M325" s="43">
        <v>150</v>
      </c>
      <c r="N325" s="43">
        <v>150</v>
      </c>
      <c r="O325" s="43">
        <v>150</v>
      </c>
      <c r="P325" s="43">
        <v>150</v>
      </c>
      <c r="Q325" s="43">
        <v>150</v>
      </c>
      <c r="R325" s="43">
        <v>150</v>
      </c>
      <c r="S325" s="43">
        <v>150</v>
      </c>
      <c r="T325" s="43">
        <v>200</v>
      </c>
      <c r="U325" s="43">
        <v>200</v>
      </c>
      <c r="V325" s="43">
        <v>200</v>
      </c>
      <c r="W325" s="43">
        <v>200</v>
      </c>
      <c r="X325" s="44">
        <f t="shared" si="40"/>
        <v>2000</v>
      </c>
      <c r="Y325" s="43">
        <v>200</v>
      </c>
      <c r="Z325" s="43">
        <v>200</v>
      </c>
      <c r="AA325" s="43">
        <v>400</v>
      </c>
      <c r="AB325" s="43">
        <v>0</v>
      </c>
      <c r="AC325" s="43">
        <v>200</v>
      </c>
      <c r="AD325" s="43">
        <v>200</v>
      </c>
      <c r="AE325" s="43">
        <v>200</v>
      </c>
      <c r="AF325" s="43">
        <v>200</v>
      </c>
      <c r="AG325" s="43">
        <v>200</v>
      </c>
      <c r="AH325" s="43">
        <v>200</v>
      </c>
      <c r="AI325" s="43">
        <v>200</v>
      </c>
      <c r="AJ325" s="43">
        <v>200</v>
      </c>
      <c r="AK325" s="44">
        <f t="shared" si="41"/>
        <v>2400</v>
      </c>
      <c r="AL325" s="43">
        <v>200</v>
      </c>
      <c r="AM325" s="43">
        <v>200</v>
      </c>
      <c r="AN325" s="43">
        <v>200</v>
      </c>
      <c r="AO325" s="43">
        <v>200</v>
      </c>
      <c r="AP325" s="43">
        <v>200</v>
      </c>
      <c r="AQ325" s="43">
        <v>200</v>
      </c>
      <c r="AR325" s="43">
        <v>200</v>
      </c>
      <c r="AS325" s="43">
        <v>200</v>
      </c>
      <c r="AT325" s="43">
        <v>200</v>
      </c>
      <c r="AU325" s="43">
        <v>200</v>
      </c>
      <c r="AV325" s="43">
        <v>200</v>
      </c>
      <c r="AW325" s="43">
        <v>200</v>
      </c>
      <c r="AX325" s="44">
        <f t="shared" si="42"/>
        <v>2400</v>
      </c>
      <c r="AY325" s="311">
        <f>SUMIF(Recibos!$D$4:$D$7493,Cobranza!$B325,Recibos!K$4:K$7493)</f>
        <v>200</v>
      </c>
      <c r="AZ325" s="311">
        <f>SUMIF(Recibos!$D$4:$D$7493,Cobranza!$B325,Recibos!L$4:L$7493)</f>
        <v>200</v>
      </c>
      <c r="BA325" s="311">
        <f>SUMIF(Recibos!$D$4:$D$7493,Cobranza!$B325,Recibos!M$4:M$7493)</f>
        <v>250</v>
      </c>
      <c r="BB325" s="311">
        <f>SUMIF(Recibos!$D$4:$D$7493,Cobranza!$B325,Recibos!N$4:N$7493)</f>
        <v>250</v>
      </c>
      <c r="BC325" s="311">
        <f>SUMIF(Recibos!$D$4:$D$7493,Cobranza!$B325,Recibos!O$4:O$7493)</f>
        <v>250</v>
      </c>
      <c r="BD325" s="311">
        <f>SUMIF(Recibos!$D$4:$D$7493,Cobranza!$B325,Recibos!P$4:P$7493)</f>
        <v>250</v>
      </c>
      <c r="BE325" s="311">
        <f>SUMIF(Recibos!$D$4:$D$7493,Cobranza!$B325,Recibos!Q$4:Q$7493)</f>
        <v>250</v>
      </c>
      <c r="BF325" s="311">
        <f>SUMIF(Recibos!$D$4:$D$7493,Cobranza!$B325,Recibos!R$4:R$7493)</f>
        <v>250</v>
      </c>
      <c r="BG325" s="311">
        <f>SUMIF(Recibos!$D$4:$D$7493,Cobranza!$B325,Recibos!S$4:S$7493)</f>
        <v>250</v>
      </c>
      <c r="BH325" s="311">
        <f>SUMIF(Recibos!$D$4:$D$7493,Cobranza!$B325,Recibos!T$4:T$7493)</f>
        <v>250</v>
      </c>
      <c r="BI325" s="311">
        <f>SUMIF(Recibos!$D$4:$D$7493,Cobranza!$B325,Recibos!U$4:U$7493)</f>
        <v>250</v>
      </c>
      <c r="BJ325" s="311">
        <f>SUMIF(Recibos!$D$4:$D$7493,Cobranza!$B325,Recibos!V$4:V$7493)</f>
        <v>250</v>
      </c>
      <c r="BK325" s="312">
        <f t="shared" si="43"/>
        <v>2900</v>
      </c>
      <c r="BL325" s="311">
        <f>SUMIF(Recibos!$D$4:$D$7493,Cobranza!$B325,Recibos!X$4:X$7493)</f>
        <v>250</v>
      </c>
      <c r="BM325" s="311">
        <f>SUMIF(Recibos!$D$4:$D$7493,Cobranza!$B325,Recibos!Y$4:Y$7493)</f>
        <v>250</v>
      </c>
      <c r="BN325" s="311">
        <f>SUMIF(Recibos!$D$4:$D$7493,Cobranza!$B325,Recibos!Z$4:Z$7493)</f>
        <v>250</v>
      </c>
      <c r="BO325" s="311">
        <f>SUMIF(Recibos!$D$4:$D$7493,Cobranza!$B325,Recibos!AA$4:AA$7493)</f>
        <v>250</v>
      </c>
      <c r="BP325" s="311">
        <f>SUMIF(Recibos!$D$4:$D$7493,Cobranza!$B325,Recibos!AB$4:AB$7493)</f>
        <v>250</v>
      </c>
      <c r="BQ325" s="311">
        <f>SUMIF(Recibos!$D$4:$D$7493,Cobranza!$B325,Recibos!AC$4:AC$7493)</f>
        <v>250</v>
      </c>
      <c r="BR325" s="311">
        <f>SUMIF(Recibos!$D$4:$D$7493,Cobranza!$B325,Recibos!AD$4:AD$7493)</f>
        <v>250</v>
      </c>
      <c r="BS325" s="311">
        <f>SUMIF(Recibos!$D$4:$D$7493,Cobranza!$B325,Recibos!AE$4:AE$7493)</f>
        <v>250</v>
      </c>
      <c r="BT325" s="311">
        <f>SUMIF(Recibos!$D$4:$D$7493,Cobranza!$B325,Recibos!AF$4:AF$7493)</f>
        <v>250</v>
      </c>
      <c r="BU325" s="311">
        <f>SUMIF(Recibos!$D$4:$D$7493,Cobranza!$B325,Recibos!AG$4:AG$7493)</f>
        <v>250</v>
      </c>
      <c r="BV325" s="311">
        <f>SUMIF(Recibos!$D$4:$D$7493,Cobranza!$B325,Recibos!AH$4:AH$7493)</f>
        <v>250</v>
      </c>
      <c r="BW325" s="311">
        <f>SUMIF(Recibos!$D$4:$D$7493,Cobranza!$B325,Recibos!AI$4:AI$7493)</f>
        <v>250</v>
      </c>
      <c r="BX325" s="312">
        <f t="shared" si="44"/>
        <v>3000</v>
      </c>
      <c r="BY325" s="311">
        <f>SUMIF(Recibos!$D$4:$D$7493,Cobranza!$B325,Recibos!AK$4:AK$7493)</f>
        <v>250</v>
      </c>
      <c r="BZ325" s="311">
        <f>SUMIF(Recibos!$D$4:$D$7493,Cobranza!$B325,Recibos!AL$4:AL$7493)</f>
        <v>250</v>
      </c>
      <c r="CA325" s="311">
        <f>SUMIF(Recibos!$D$4:$D$7493,Cobranza!$B325,Recibos!AM$4:AM$7493)</f>
        <v>250</v>
      </c>
      <c r="CB325" s="311">
        <f>SUMIF(Recibos!$D$4:$D$7493,Cobranza!$B325,Recibos!AN$4:AN$7493)</f>
        <v>250</v>
      </c>
      <c r="CC325" s="311">
        <f>SUMIF(Recibos!$D$4:$D$7493,Cobranza!$B325,Recibos!AO$4:AO$7493)</f>
        <v>250</v>
      </c>
      <c r="CD325" s="311">
        <f>SUMIF(Recibos!$D$4:$D$7493,Cobranza!$B325,Recibos!AP$4:AP$7493)</f>
        <v>250</v>
      </c>
      <c r="CE325" s="311">
        <f>SUMIF(Recibos!$D$4:$D$7493,Cobranza!$B325,Recibos!AQ$4:AQ$7493)</f>
        <v>250</v>
      </c>
      <c r="CF325" s="311">
        <f>SUMIF(Recibos!$D$4:$D$7493,Cobranza!$B325,Recibos!AR$4:AR$7493)</f>
        <v>250</v>
      </c>
      <c r="CG325" s="311">
        <f>SUMIF(Recibos!$D$4:$D$7493,Cobranza!$B325,Recibos!AS$4:AS$7493)</f>
        <v>250</v>
      </c>
      <c r="CH325" s="311">
        <f>SUMIF(Recibos!$D$4:$D$7493,Cobranza!$B325,Recibos!AT$4:AT$7493)</f>
        <v>250</v>
      </c>
      <c r="CI325" s="311">
        <f>SUMIF(Recibos!$D$4:$D$7493,Cobranza!$B325,Recibos!AU$4:AU$7493)</f>
        <v>0</v>
      </c>
      <c r="CJ325" s="311">
        <f>SUMIF(Recibos!$D$4:$D$7493,Cobranza!$B325,Recibos!AV$4:AV$7493)</f>
        <v>0</v>
      </c>
      <c r="CK325" s="312">
        <f t="shared" si="38"/>
        <v>2500</v>
      </c>
    </row>
    <row r="326" spans="2:89" x14ac:dyDescent="0.2">
      <c r="B326" s="45" t="s">
        <v>622</v>
      </c>
      <c r="C326" s="45" t="s">
        <v>623</v>
      </c>
      <c r="D326" s="45" t="s">
        <v>624</v>
      </c>
      <c r="E326" s="46">
        <v>0</v>
      </c>
      <c r="F326" s="46">
        <v>0</v>
      </c>
      <c r="G326" s="46">
        <v>0</v>
      </c>
      <c r="H326" s="46">
        <v>0</v>
      </c>
      <c r="I326" s="46">
        <v>0</v>
      </c>
      <c r="J326" s="46">
        <v>300</v>
      </c>
      <c r="K326" s="47">
        <f t="shared" si="39"/>
        <v>300</v>
      </c>
      <c r="L326" s="46">
        <v>300</v>
      </c>
      <c r="M326" s="46">
        <v>300</v>
      </c>
      <c r="N326" s="46">
        <v>300</v>
      </c>
      <c r="O326" s="46">
        <v>300</v>
      </c>
      <c r="P326" s="46">
        <v>300</v>
      </c>
      <c r="Q326" s="46">
        <v>300</v>
      </c>
      <c r="R326" s="46">
        <v>300</v>
      </c>
      <c r="S326" s="46">
        <v>300</v>
      </c>
      <c r="T326" s="46">
        <v>300</v>
      </c>
      <c r="U326" s="46">
        <v>300</v>
      </c>
      <c r="V326" s="46">
        <v>300</v>
      </c>
      <c r="W326" s="46">
        <v>300</v>
      </c>
      <c r="X326" s="47">
        <f t="shared" si="40"/>
        <v>3600</v>
      </c>
      <c r="Y326" s="46">
        <v>400</v>
      </c>
      <c r="Z326" s="46">
        <v>400</v>
      </c>
      <c r="AA326" s="46">
        <v>400</v>
      </c>
      <c r="AB326" s="46">
        <v>400</v>
      </c>
      <c r="AC326" s="46">
        <v>400</v>
      </c>
      <c r="AD326" s="46">
        <v>400</v>
      </c>
      <c r="AE326" s="46">
        <v>400</v>
      </c>
      <c r="AF326" s="46">
        <v>400</v>
      </c>
      <c r="AG326" s="46">
        <v>400</v>
      </c>
      <c r="AH326" s="46">
        <v>400</v>
      </c>
      <c r="AI326" s="46">
        <v>400</v>
      </c>
      <c r="AJ326" s="46">
        <v>400</v>
      </c>
      <c r="AK326" s="47">
        <f t="shared" si="41"/>
        <v>4800</v>
      </c>
      <c r="AL326" s="46">
        <v>400</v>
      </c>
      <c r="AM326" s="46">
        <v>400</v>
      </c>
      <c r="AN326" s="46">
        <v>400</v>
      </c>
      <c r="AO326" s="46">
        <v>400</v>
      </c>
      <c r="AP326" s="46">
        <v>400</v>
      </c>
      <c r="AQ326" s="46">
        <v>400</v>
      </c>
      <c r="AR326" s="46">
        <v>400</v>
      </c>
      <c r="AS326" s="46">
        <v>400</v>
      </c>
      <c r="AT326" s="46">
        <v>400</v>
      </c>
      <c r="AU326" s="46">
        <v>400</v>
      </c>
      <c r="AV326" s="46">
        <v>400</v>
      </c>
      <c r="AW326" s="46">
        <v>400</v>
      </c>
      <c r="AX326" s="47">
        <f t="shared" si="42"/>
        <v>4800</v>
      </c>
      <c r="AY326" s="313">
        <f>SUMIF(Recibos!$D$4:$D$7493,Cobranza!$B326,Recibos!K$4:K$7493)</f>
        <v>400</v>
      </c>
      <c r="AZ326" s="313">
        <f>SUMIF(Recibos!$D$4:$D$7493,Cobranza!$B326,Recibos!L$4:L$7493)</f>
        <v>400</v>
      </c>
      <c r="BA326" s="313">
        <f>SUMIF(Recibos!$D$4:$D$7493,Cobranza!$B326,Recibos!M$4:M$7493)</f>
        <v>400</v>
      </c>
      <c r="BB326" s="313">
        <f>SUMIF(Recibos!$D$4:$D$7493,Cobranza!$B326,Recibos!N$4:N$7493)</f>
        <v>400</v>
      </c>
      <c r="BC326" s="313">
        <f>SUMIF(Recibos!$D$4:$D$7493,Cobranza!$B326,Recibos!O$4:O$7493)</f>
        <v>400</v>
      </c>
      <c r="BD326" s="313">
        <f>SUMIF(Recibos!$D$4:$D$7493,Cobranza!$B326,Recibos!P$4:P$7493)</f>
        <v>400</v>
      </c>
      <c r="BE326" s="313">
        <f>SUMIF(Recibos!$D$4:$D$7493,Cobranza!$B326,Recibos!Q$4:Q$7493)</f>
        <v>400</v>
      </c>
      <c r="BF326" s="313">
        <f>SUMIF(Recibos!$D$4:$D$7493,Cobranza!$B326,Recibos!R$4:R$7493)</f>
        <v>400</v>
      </c>
      <c r="BG326" s="313">
        <f>SUMIF(Recibos!$D$4:$D$7493,Cobranza!$B326,Recibos!S$4:S$7493)</f>
        <v>400</v>
      </c>
      <c r="BH326" s="313">
        <f>SUMIF(Recibos!$D$4:$D$7493,Cobranza!$B326,Recibos!T$4:T$7493)</f>
        <v>400</v>
      </c>
      <c r="BI326" s="313">
        <f>SUMIF(Recibos!$D$4:$D$7493,Cobranza!$B326,Recibos!U$4:U$7493)</f>
        <v>400</v>
      </c>
      <c r="BJ326" s="313">
        <f>SUMIF(Recibos!$D$4:$D$7493,Cobranza!$B326,Recibos!V$4:V$7493)</f>
        <v>400</v>
      </c>
      <c r="BK326" s="314">
        <f t="shared" si="43"/>
        <v>4800</v>
      </c>
      <c r="BL326" s="313">
        <f>SUMIF(Recibos!$D$4:$D$7493,Cobranza!$B326,Recibos!X$4:X$7493)</f>
        <v>400</v>
      </c>
      <c r="BM326" s="313">
        <f>SUMIF(Recibos!$D$4:$D$7493,Cobranza!$B326,Recibos!Y$4:Y$7493)</f>
        <v>400</v>
      </c>
      <c r="BN326" s="313">
        <f>SUMIF(Recibos!$D$4:$D$7493,Cobranza!$B326,Recibos!Z$4:Z$7493)</f>
        <v>400</v>
      </c>
      <c r="BO326" s="313">
        <f>SUMIF(Recibos!$D$4:$D$7493,Cobranza!$B326,Recibos!AA$4:AA$7493)</f>
        <v>400</v>
      </c>
      <c r="BP326" s="313">
        <f>SUMIF(Recibos!$D$4:$D$7493,Cobranza!$B326,Recibos!AB$4:AB$7493)</f>
        <v>400</v>
      </c>
      <c r="BQ326" s="313">
        <f>SUMIF(Recibos!$D$4:$D$7493,Cobranza!$B326,Recibos!AC$4:AC$7493)</f>
        <v>400</v>
      </c>
      <c r="BR326" s="313">
        <f>SUMIF(Recibos!$D$4:$D$7493,Cobranza!$B326,Recibos!AD$4:AD$7493)</f>
        <v>400</v>
      </c>
      <c r="BS326" s="313">
        <f>SUMIF(Recibos!$D$4:$D$7493,Cobranza!$B326,Recibos!AE$4:AE$7493)</f>
        <v>400</v>
      </c>
      <c r="BT326" s="313">
        <f>SUMIF(Recibos!$D$4:$D$7493,Cobranza!$B326,Recibos!AF$4:AF$7493)</f>
        <v>400</v>
      </c>
      <c r="BU326" s="313">
        <f>SUMIF(Recibos!$D$4:$D$7493,Cobranza!$B326,Recibos!AG$4:AG$7493)</f>
        <v>400</v>
      </c>
      <c r="BV326" s="313">
        <f>SUMIF(Recibos!$D$4:$D$7493,Cobranza!$B326,Recibos!AH$4:AH$7493)</f>
        <v>400</v>
      </c>
      <c r="BW326" s="313">
        <f>SUMIF(Recibos!$D$4:$D$7493,Cobranza!$B326,Recibos!AI$4:AI$7493)</f>
        <v>400</v>
      </c>
      <c r="BX326" s="314">
        <f t="shared" si="44"/>
        <v>4800</v>
      </c>
      <c r="BY326" s="313">
        <f>SUMIF(Recibos!$D$4:$D$7493,Cobranza!$B326,Recibos!AK$4:AK$7493)</f>
        <v>400</v>
      </c>
      <c r="BZ326" s="313">
        <f>SUMIF(Recibos!$D$4:$D$7493,Cobranza!$B326,Recibos!AL$4:AL$7493)</f>
        <v>400</v>
      </c>
      <c r="CA326" s="313">
        <f>SUMIF(Recibos!$D$4:$D$7493,Cobranza!$B326,Recibos!AM$4:AM$7493)</f>
        <v>400</v>
      </c>
      <c r="CB326" s="313">
        <f>SUMIF(Recibos!$D$4:$D$7493,Cobranza!$B326,Recibos!AN$4:AN$7493)</f>
        <v>400</v>
      </c>
      <c r="CC326" s="313">
        <f>SUMIF(Recibos!$D$4:$D$7493,Cobranza!$B326,Recibos!AO$4:AO$7493)</f>
        <v>400</v>
      </c>
      <c r="CD326" s="313">
        <f>SUMIF(Recibos!$D$4:$D$7493,Cobranza!$B326,Recibos!AP$4:AP$7493)</f>
        <v>400</v>
      </c>
      <c r="CE326" s="313">
        <f>SUMIF(Recibos!$D$4:$D$7493,Cobranza!$B326,Recibos!AQ$4:AQ$7493)</f>
        <v>400</v>
      </c>
      <c r="CF326" s="313">
        <f>SUMIF(Recibos!$D$4:$D$7493,Cobranza!$B326,Recibos!AR$4:AR$7493)</f>
        <v>400</v>
      </c>
      <c r="CG326" s="313">
        <f>SUMIF(Recibos!$D$4:$D$7493,Cobranza!$B326,Recibos!AS$4:AS$7493)</f>
        <v>400</v>
      </c>
      <c r="CH326" s="313">
        <f>SUMIF(Recibos!$D$4:$D$7493,Cobranza!$B326,Recibos!AT$4:AT$7493)</f>
        <v>0</v>
      </c>
      <c r="CI326" s="313">
        <f>SUMIF(Recibos!$D$4:$D$7493,Cobranza!$B326,Recibos!AU$4:AU$7493)</f>
        <v>0</v>
      </c>
      <c r="CJ326" s="313">
        <f>SUMIF(Recibos!$D$4:$D$7493,Cobranza!$B326,Recibos!AV$4:AV$7493)</f>
        <v>0</v>
      </c>
      <c r="CK326" s="314">
        <f t="shared" si="38"/>
        <v>3600</v>
      </c>
    </row>
    <row r="327" spans="2:89" x14ac:dyDescent="0.2">
      <c r="B327" s="42" t="s">
        <v>256</v>
      </c>
      <c r="C327" s="42" t="s">
        <v>257</v>
      </c>
      <c r="D327" s="42" t="s">
        <v>258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300</v>
      </c>
      <c r="K327" s="44">
        <f t="shared" si="39"/>
        <v>300</v>
      </c>
      <c r="L327" s="43">
        <v>300</v>
      </c>
      <c r="M327" s="43">
        <v>300</v>
      </c>
      <c r="N327" s="43">
        <v>300</v>
      </c>
      <c r="O327" s="43">
        <v>300</v>
      </c>
      <c r="P327" s="43">
        <v>300</v>
      </c>
      <c r="Q327" s="43">
        <v>300</v>
      </c>
      <c r="R327" s="43">
        <v>300</v>
      </c>
      <c r="S327" s="43">
        <v>300</v>
      </c>
      <c r="T327" s="43">
        <v>300</v>
      </c>
      <c r="U327" s="43">
        <v>400</v>
      </c>
      <c r="V327" s="43">
        <v>400</v>
      </c>
      <c r="W327" s="43">
        <v>400</v>
      </c>
      <c r="X327" s="44">
        <f t="shared" si="40"/>
        <v>3900</v>
      </c>
      <c r="Y327" s="43">
        <v>400</v>
      </c>
      <c r="Z327" s="43">
        <v>400</v>
      </c>
      <c r="AA327" s="43">
        <v>400</v>
      </c>
      <c r="AB327" s="43">
        <v>400</v>
      </c>
      <c r="AC327" s="43">
        <v>400</v>
      </c>
      <c r="AD327" s="43">
        <v>400</v>
      </c>
      <c r="AE327" s="43">
        <v>400</v>
      </c>
      <c r="AF327" s="43">
        <v>400</v>
      </c>
      <c r="AG327" s="43">
        <v>400</v>
      </c>
      <c r="AH327" s="43">
        <v>400</v>
      </c>
      <c r="AI327" s="43">
        <v>400</v>
      </c>
      <c r="AJ327" s="43">
        <v>400</v>
      </c>
      <c r="AK327" s="44">
        <f t="shared" si="41"/>
        <v>4800</v>
      </c>
      <c r="AL327" s="43">
        <v>400</v>
      </c>
      <c r="AM327" s="43">
        <v>300</v>
      </c>
      <c r="AN327" s="43">
        <v>300</v>
      </c>
      <c r="AO327" s="43">
        <v>300</v>
      </c>
      <c r="AP327" s="43">
        <v>300</v>
      </c>
      <c r="AQ327" s="43">
        <v>300</v>
      </c>
      <c r="AR327" s="43">
        <v>300</v>
      </c>
      <c r="AS327" s="43">
        <v>300</v>
      </c>
      <c r="AT327" s="43">
        <v>300</v>
      </c>
      <c r="AU327" s="43">
        <v>300</v>
      </c>
      <c r="AV327" s="43">
        <v>300</v>
      </c>
      <c r="AW327" s="43">
        <v>300</v>
      </c>
      <c r="AX327" s="44">
        <f t="shared" si="42"/>
        <v>3700</v>
      </c>
      <c r="AY327" s="311">
        <f>SUMIF(Recibos!$D$4:$D$7493,Cobranza!$B327,Recibos!K$4:K$7493)</f>
        <v>300</v>
      </c>
      <c r="AZ327" s="311">
        <f>SUMIF(Recibos!$D$4:$D$7493,Cobranza!$B327,Recibos!L$4:L$7493)</f>
        <v>300</v>
      </c>
      <c r="BA327" s="311">
        <f>SUMIF(Recibos!$D$4:$D$7493,Cobranza!$B327,Recibos!M$4:M$7493)</f>
        <v>300</v>
      </c>
      <c r="BB327" s="311">
        <f>SUMIF(Recibos!$D$4:$D$7493,Cobranza!$B327,Recibos!N$4:N$7493)</f>
        <v>300</v>
      </c>
      <c r="BC327" s="311">
        <f>SUMIF(Recibos!$D$4:$D$7493,Cobranza!$B327,Recibos!O$4:O$7493)</f>
        <v>300</v>
      </c>
      <c r="BD327" s="311">
        <f>SUMIF(Recibos!$D$4:$D$7493,Cobranza!$B327,Recibos!P$4:P$7493)</f>
        <v>300</v>
      </c>
      <c r="BE327" s="311">
        <f>SUMIF(Recibos!$D$4:$D$7493,Cobranza!$B327,Recibos!Q$4:Q$7493)</f>
        <v>300</v>
      </c>
      <c r="BF327" s="311">
        <f>SUMIF(Recibos!$D$4:$D$7493,Cobranza!$B327,Recibos!R$4:R$7493)</f>
        <v>300</v>
      </c>
      <c r="BG327" s="311">
        <f>SUMIF(Recibos!$D$4:$D$7493,Cobranza!$B327,Recibos!S$4:S$7493)</f>
        <v>300</v>
      </c>
      <c r="BH327" s="311">
        <f>SUMIF(Recibos!$D$4:$D$7493,Cobranza!$B327,Recibos!T$4:T$7493)</f>
        <v>300</v>
      </c>
      <c r="BI327" s="311">
        <f>SUMIF(Recibos!$D$4:$D$7493,Cobranza!$B327,Recibos!U$4:U$7493)</f>
        <v>300</v>
      </c>
      <c r="BJ327" s="311">
        <f>SUMIF(Recibos!$D$4:$D$7493,Cobranza!$B327,Recibos!V$4:V$7493)</f>
        <v>300</v>
      </c>
      <c r="BK327" s="312">
        <f t="shared" si="43"/>
        <v>3600</v>
      </c>
      <c r="BL327" s="311">
        <f>SUMIF(Recibos!$D$4:$D$7493,Cobranza!$B327,Recibos!X$4:X$7493)</f>
        <v>300</v>
      </c>
      <c r="BM327" s="311">
        <f>SUMIF(Recibos!$D$4:$D$7493,Cobranza!$B327,Recibos!Y$4:Y$7493)</f>
        <v>300</v>
      </c>
      <c r="BN327" s="311">
        <f>SUMIF(Recibos!$D$4:$D$7493,Cobranza!$B327,Recibos!Z$4:Z$7493)</f>
        <v>300</v>
      </c>
      <c r="BO327" s="311">
        <f>SUMIF(Recibos!$D$4:$D$7493,Cobranza!$B327,Recibos!AA$4:AA$7493)</f>
        <v>300</v>
      </c>
      <c r="BP327" s="311">
        <f>SUMIF(Recibos!$D$4:$D$7493,Cobranza!$B327,Recibos!AB$4:AB$7493)</f>
        <v>300</v>
      </c>
      <c r="BQ327" s="311">
        <f>SUMIF(Recibos!$D$4:$D$7493,Cobranza!$B327,Recibos!AC$4:AC$7493)</f>
        <v>0</v>
      </c>
      <c r="BR327" s="311">
        <f>SUMIF(Recibos!$D$4:$D$7493,Cobranza!$B327,Recibos!AD$4:AD$7493)</f>
        <v>0</v>
      </c>
      <c r="BS327" s="311">
        <f>SUMIF(Recibos!$D$4:$D$7493,Cobranza!$B327,Recibos!AE$4:AE$7493)</f>
        <v>300</v>
      </c>
      <c r="BT327" s="311">
        <f>SUMIF(Recibos!$D$4:$D$7493,Cobranza!$B327,Recibos!AF$4:AF$7493)</f>
        <v>300</v>
      </c>
      <c r="BU327" s="311">
        <f>SUMIF(Recibos!$D$4:$D$7493,Cobranza!$B327,Recibos!AG$4:AG$7493)</f>
        <v>300</v>
      </c>
      <c r="BV327" s="311">
        <f>SUMIF(Recibos!$D$4:$D$7493,Cobranza!$B327,Recibos!AH$4:AH$7493)</f>
        <v>300</v>
      </c>
      <c r="BW327" s="311">
        <f>SUMIF(Recibos!$D$4:$D$7493,Cobranza!$B327,Recibos!AI$4:AI$7493)</f>
        <v>300</v>
      </c>
      <c r="BX327" s="312">
        <f t="shared" si="44"/>
        <v>3000</v>
      </c>
      <c r="BY327" s="311">
        <f>SUMIF(Recibos!$D$4:$D$7493,Cobranza!$B327,Recibos!AK$4:AK$7493)</f>
        <v>300</v>
      </c>
      <c r="BZ327" s="311">
        <f>SUMIF(Recibos!$D$4:$D$7493,Cobranza!$B327,Recibos!AL$4:AL$7493)</f>
        <v>300</v>
      </c>
      <c r="CA327" s="311">
        <f>SUMIF(Recibos!$D$4:$D$7493,Cobranza!$B327,Recibos!AM$4:AM$7493)</f>
        <v>300</v>
      </c>
      <c r="CB327" s="311">
        <f>SUMIF(Recibos!$D$4:$D$7493,Cobranza!$B327,Recibos!AN$4:AN$7493)</f>
        <v>300</v>
      </c>
      <c r="CC327" s="311">
        <f>SUMIF(Recibos!$D$4:$D$7493,Cobranza!$B327,Recibos!AO$4:AO$7493)</f>
        <v>300</v>
      </c>
      <c r="CD327" s="311">
        <f>SUMIF(Recibos!$D$4:$D$7493,Cobranza!$B327,Recibos!AP$4:AP$7493)</f>
        <v>300</v>
      </c>
      <c r="CE327" s="311">
        <f>SUMIF(Recibos!$D$4:$D$7493,Cobranza!$B327,Recibos!AQ$4:AQ$7493)</f>
        <v>300</v>
      </c>
      <c r="CF327" s="311">
        <f>SUMIF(Recibos!$D$4:$D$7493,Cobranza!$B327,Recibos!AR$4:AR$7493)</f>
        <v>0</v>
      </c>
      <c r="CG327" s="311">
        <f>SUMIF(Recibos!$D$4:$D$7493,Cobranza!$B327,Recibos!AS$4:AS$7493)</f>
        <v>0</v>
      </c>
      <c r="CH327" s="311">
        <f>SUMIF(Recibos!$D$4:$D$7493,Cobranza!$B327,Recibos!AT$4:AT$7493)</f>
        <v>0</v>
      </c>
      <c r="CI327" s="311">
        <f>SUMIF(Recibos!$D$4:$D$7493,Cobranza!$B327,Recibos!AU$4:AU$7493)</f>
        <v>0</v>
      </c>
      <c r="CJ327" s="311">
        <f>SUMIF(Recibos!$D$4:$D$7493,Cobranza!$B327,Recibos!AV$4:AV$7493)</f>
        <v>0</v>
      </c>
      <c r="CK327" s="312">
        <f t="shared" si="38"/>
        <v>2100</v>
      </c>
    </row>
    <row r="328" spans="2:89" x14ac:dyDescent="0.2">
      <c r="B328" s="45" t="s">
        <v>310</v>
      </c>
      <c r="C328" s="45" t="s">
        <v>311</v>
      </c>
      <c r="D328" s="45" t="s">
        <v>312</v>
      </c>
      <c r="E328" s="46">
        <v>0</v>
      </c>
      <c r="F328" s="46">
        <v>0</v>
      </c>
      <c r="G328" s="46">
        <v>0</v>
      </c>
      <c r="H328" s="46">
        <v>0</v>
      </c>
      <c r="I328" s="46">
        <v>0</v>
      </c>
      <c r="J328" s="46">
        <v>0</v>
      </c>
      <c r="K328" s="47">
        <f t="shared" si="39"/>
        <v>0</v>
      </c>
      <c r="L328" s="46">
        <v>0</v>
      </c>
      <c r="M328" s="46">
        <v>0</v>
      </c>
      <c r="N328" s="46">
        <v>0</v>
      </c>
      <c r="O328" s="46">
        <v>0</v>
      </c>
      <c r="P328" s="46">
        <v>0</v>
      </c>
      <c r="Q328" s="46">
        <v>0</v>
      </c>
      <c r="R328" s="46">
        <v>300</v>
      </c>
      <c r="S328" s="46">
        <v>300</v>
      </c>
      <c r="T328" s="46">
        <v>300</v>
      </c>
      <c r="U328" s="46">
        <v>400</v>
      </c>
      <c r="V328" s="46">
        <v>400</v>
      </c>
      <c r="W328" s="46">
        <v>0</v>
      </c>
      <c r="X328" s="47">
        <f t="shared" si="40"/>
        <v>1700</v>
      </c>
      <c r="Y328" s="46">
        <v>400</v>
      </c>
      <c r="Z328" s="46">
        <v>400</v>
      </c>
      <c r="AA328" s="46">
        <v>400</v>
      </c>
      <c r="AB328" s="46">
        <v>400</v>
      </c>
      <c r="AC328" s="46">
        <v>400</v>
      </c>
      <c r="AD328" s="46">
        <v>400</v>
      </c>
      <c r="AE328" s="46">
        <v>400</v>
      </c>
      <c r="AF328" s="46">
        <v>400</v>
      </c>
      <c r="AG328" s="46">
        <v>400</v>
      </c>
      <c r="AH328" s="46">
        <v>400</v>
      </c>
      <c r="AI328" s="46">
        <v>400</v>
      </c>
      <c r="AJ328" s="46">
        <v>400</v>
      </c>
      <c r="AK328" s="47">
        <f t="shared" si="41"/>
        <v>4800</v>
      </c>
      <c r="AL328" s="46">
        <v>400</v>
      </c>
      <c r="AM328" s="46">
        <v>400</v>
      </c>
      <c r="AN328" s="46">
        <v>400</v>
      </c>
      <c r="AO328" s="46">
        <v>400</v>
      </c>
      <c r="AP328" s="46">
        <v>400</v>
      </c>
      <c r="AQ328" s="46">
        <v>400</v>
      </c>
      <c r="AR328" s="46">
        <v>400</v>
      </c>
      <c r="AS328" s="46">
        <v>400</v>
      </c>
      <c r="AT328" s="46">
        <v>400</v>
      </c>
      <c r="AU328" s="46">
        <v>400</v>
      </c>
      <c r="AV328" s="46">
        <v>400</v>
      </c>
      <c r="AW328" s="46">
        <v>400</v>
      </c>
      <c r="AX328" s="47">
        <f t="shared" si="42"/>
        <v>4800</v>
      </c>
      <c r="AY328" s="313">
        <f>SUMIF(Recibos!$D$4:$D$7493,Cobranza!$B328,Recibos!K$4:K$7493)</f>
        <v>400</v>
      </c>
      <c r="AZ328" s="313">
        <f>SUMIF(Recibos!$D$4:$D$7493,Cobranza!$B328,Recibos!L$4:L$7493)</f>
        <v>400</v>
      </c>
      <c r="BA328" s="313">
        <f>SUMIF(Recibos!$D$4:$D$7493,Cobranza!$B328,Recibos!M$4:M$7493)</f>
        <v>400</v>
      </c>
      <c r="BB328" s="313">
        <f>SUMIF(Recibos!$D$4:$D$7493,Cobranza!$B328,Recibos!N$4:N$7493)</f>
        <v>400</v>
      </c>
      <c r="BC328" s="313">
        <f>SUMIF(Recibos!$D$4:$D$7493,Cobranza!$B328,Recibos!O$4:O$7493)</f>
        <v>400</v>
      </c>
      <c r="BD328" s="313">
        <f>SUMIF(Recibos!$D$4:$D$7493,Cobranza!$B328,Recibos!P$4:P$7493)</f>
        <v>400</v>
      </c>
      <c r="BE328" s="313">
        <f>SUMIF(Recibos!$D$4:$D$7493,Cobranza!$B328,Recibos!Q$4:Q$7493)</f>
        <v>400</v>
      </c>
      <c r="BF328" s="313">
        <f>SUMIF(Recibos!$D$4:$D$7493,Cobranza!$B328,Recibos!R$4:R$7493)</f>
        <v>400</v>
      </c>
      <c r="BG328" s="313">
        <f>SUMIF(Recibos!$D$4:$D$7493,Cobranza!$B328,Recibos!S$4:S$7493)</f>
        <v>400</v>
      </c>
      <c r="BH328" s="313">
        <f>SUMIF(Recibos!$D$4:$D$7493,Cobranza!$B328,Recibos!T$4:T$7493)</f>
        <v>400</v>
      </c>
      <c r="BI328" s="313">
        <f>SUMIF(Recibos!$D$4:$D$7493,Cobranza!$B328,Recibos!U$4:U$7493)</f>
        <v>400</v>
      </c>
      <c r="BJ328" s="313">
        <f>SUMIF(Recibos!$D$4:$D$7493,Cobranza!$B328,Recibos!V$4:V$7493)</f>
        <v>400</v>
      </c>
      <c r="BK328" s="314">
        <f t="shared" si="43"/>
        <v>4800</v>
      </c>
      <c r="BL328" s="313">
        <f>SUMIF(Recibos!$D$4:$D$7493,Cobranza!$B328,Recibos!X$4:X$7493)</f>
        <v>400</v>
      </c>
      <c r="BM328" s="313">
        <f>SUMIF(Recibos!$D$4:$D$7493,Cobranza!$B328,Recibos!Y$4:Y$7493)</f>
        <v>400</v>
      </c>
      <c r="BN328" s="313">
        <f>SUMIF(Recibos!$D$4:$D$7493,Cobranza!$B328,Recibos!Z$4:Z$7493)</f>
        <v>400</v>
      </c>
      <c r="BO328" s="313">
        <f>SUMIF(Recibos!$D$4:$D$7493,Cobranza!$B328,Recibos!AA$4:AA$7493)</f>
        <v>400</v>
      </c>
      <c r="BP328" s="313">
        <f>SUMIF(Recibos!$D$4:$D$7493,Cobranza!$B328,Recibos!AB$4:AB$7493)</f>
        <v>400</v>
      </c>
      <c r="BQ328" s="313">
        <f>SUMIF(Recibos!$D$4:$D$7493,Cobranza!$B328,Recibos!AC$4:AC$7493)</f>
        <v>400</v>
      </c>
      <c r="BR328" s="313">
        <f>SUMIF(Recibos!$D$4:$D$7493,Cobranza!$B328,Recibos!AD$4:AD$7493)</f>
        <v>400</v>
      </c>
      <c r="BS328" s="313">
        <f>SUMIF(Recibos!$D$4:$D$7493,Cobranza!$B328,Recibos!AE$4:AE$7493)</f>
        <v>400</v>
      </c>
      <c r="BT328" s="313">
        <f>SUMIF(Recibos!$D$4:$D$7493,Cobranza!$B328,Recibos!AF$4:AF$7493)</f>
        <v>400</v>
      </c>
      <c r="BU328" s="313">
        <f>SUMIF(Recibos!$D$4:$D$7493,Cobranza!$B328,Recibos!AG$4:AG$7493)</f>
        <v>400</v>
      </c>
      <c r="BV328" s="313">
        <f>SUMIF(Recibos!$D$4:$D$7493,Cobranza!$B328,Recibos!AH$4:AH$7493)</f>
        <v>400</v>
      </c>
      <c r="BW328" s="313">
        <f>SUMIF(Recibos!$D$4:$D$7493,Cobranza!$B328,Recibos!AI$4:AI$7493)</f>
        <v>400</v>
      </c>
      <c r="BX328" s="314">
        <f t="shared" si="44"/>
        <v>4800</v>
      </c>
      <c r="BY328" s="313">
        <f>SUMIF(Recibos!$D$4:$D$7493,Cobranza!$B328,Recibos!AK$4:AK$7493)</f>
        <v>400</v>
      </c>
      <c r="BZ328" s="313">
        <f>SUMIF(Recibos!$D$4:$D$7493,Cobranza!$B328,Recibos!AL$4:AL$7493)</f>
        <v>400</v>
      </c>
      <c r="CA328" s="313">
        <f>SUMIF(Recibos!$D$4:$D$7493,Cobranza!$B328,Recibos!AM$4:AM$7493)</f>
        <v>400</v>
      </c>
      <c r="CB328" s="313">
        <f>SUMIF(Recibos!$D$4:$D$7493,Cobranza!$B328,Recibos!AN$4:AN$7493)</f>
        <v>400</v>
      </c>
      <c r="CC328" s="313">
        <f>SUMIF(Recibos!$D$4:$D$7493,Cobranza!$B328,Recibos!AO$4:AO$7493)</f>
        <v>400</v>
      </c>
      <c r="CD328" s="313">
        <f>SUMIF(Recibos!$D$4:$D$7493,Cobranza!$B328,Recibos!AP$4:AP$7493)</f>
        <v>400</v>
      </c>
      <c r="CE328" s="313">
        <f>SUMIF(Recibos!$D$4:$D$7493,Cobranza!$B328,Recibos!AQ$4:AQ$7493)</f>
        <v>400</v>
      </c>
      <c r="CF328" s="313">
        <f>SUMIF(Recibos!$D$4:$D$7493,Cobranza!$B328,Recibos!AR$4:AR$7493)</f>
        <v>400</v>
      </c>
      <c r="CG328" s="313">
        <f>SUMIF(Recibos!$D$4:$D$7493,Cobranza!$B328,Recibos!AS$4:AS$7493)</f>
        <v>400</v>
      </c>
      <c r="CH328" s="313">
        <f>SUMIF(Recibos!$D$4:$D$7493,Cobranza!$B328,Recibos!AT$4:AT$7493)</f>
        <v>400</v>
      </c>
      <c r="CI328" s="313">
        <f>SUMIF(Recibos!$D$4:$D$7493,Cobranza!$B328,Recibos!AU$4:AU$7493)</f>
        <v>0</v>
      </c>
      <c r="CJ328" s="313">
        <f>SUMIF(Recibos!$D$4:$D$7493,Cobranza!$B328,Recibos!AV$4:AV$7493)</f>
        <v>0</v>
      </c>
      <c r="CK328" s="314">
        <f t="shared" si="38"/>
        <v>4000</v>
      </c>
    </row>
    <row r="329" spans="2:89" x14ac:dyDescent="0.2">
      <c r="B329" s="42" t="s">
        <v>422</v>
      </c>
      <c r="C329" s="42" t="s">
        <v>423</v>
      </c>
      <c r="D329" s="42" t="s">
        <v>424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4">
        <f t="shared" si="39"/>
        <v>0</v>
      </c>
      <c r="L329" s="43">
        <v>300</v>
      </c>
      <c r="M329" s="43">
        <v>300</v>
      </c>
      <c r="N329" s="43">
        <v>300</v>
      </c>
      <c r="O329" s="43">
        <v>300</v>
      </c>
      <c r="P329" s="43">
        <v>300</v>
      </c>
      <c r="Q329" s="43">
        <v>300</v>
      </c>
      <c r="R329" s="43">
        <v>300</v>
      </c>
      <c r="S329" s="43">
        <v>300</v>
      </c>
      <c r="T329" s="43">
        <v>300</v>
      </c>
      <c r="U329" s="43">
        <v>400</v>
      </c>
      <c r="V329" s="43">
        <v>400</v>
      </c>
      <c r="W329" s="43">
        <v>100</v>
      </c>
      <c r="X329" s="44">
        <f t="shared" si="40"/>
        <v>3600</v>
      </c>
      <c r="Y329" s="43">
        <v>400</v>
      </c>
      <c r="Z329" s="43">
        <v>400</v>
      </c>
      <c r="AA329" s="43">
        <v>400</v>
      </c>
      <c r="AB329" s="43">
        <v>400</v>
      </c>
      <c r="AC329" s="43">
        <v>400</v>
      </c>
      <c r="AD329" s="43">
        <v>400</v>
      </c>
      <c r="AE329" s="43">
        <v>400</v>
      </c>
      <c r="AF329" s="43">
        <v>400</v>
      </c>
      <c r="AG329" s="43">
        <v>400</v>
      </c>
      <c r="AH329" s="43">
        <v>400</v>
      </c>
      <c r="AI329" s="43">
        <v>400</v>
      </c>
      <c r="AJ329" s="43">
        <v>0</v>
      </c>
      <c r="AK329" s="44">
        <f t="shared" si="41"/>
        <v>4400</v>
      </c>
      <c r="AL329" s="43">
        <v>400</v>
      </c>
      <c r="AM329" s="43">
        <v>400</v>
      </c>
      <c r="AN329" s="43">
        <v>400</v>
      </c>
      <c r="AO329" s="43">
        <v>400</v>
      </c>
      <c r="AP329" s="43">
        <v>400</v>
      </c>
      <c r="AQ329" s="43">
        <v>400</v>
      </c>
      <c r="AR329" s="43">
        <v>400</v>
      </c>
      <c r="AS329" s="43">
        <v>400</v>
      </c>
      <c r="AT329" s="43">
        <v>400</v>
      </c>
      <c r="AU329" s="43">
        <v>400</v>
      </c>
      <c r="AV329" s="43">
        <v>400</v>
      </c>
      <c r="AW329" s="43">
        <v>0</v>
      </c>
      <c r="AX329" s="44">
        <f t="shared" si="42"/>
        <v>4400</v>
      </c>
      <c r="AY329" s="311">
        <f>SUMIF(Recibos!$D$4:$D$7493,Cobranza!$B329,Recibos!K$4:K$7493)</f>
        <v>400</v>
      </c>
      <c r="AZ329" s="311">
        <f>SUMIF(Recibos!$D$4:$D$7493,Cobranza!$B329,Recibos!L$4:L$7493)</f>
        <v>400</v>
      </c>
      <c r="BA329" s="311">
        <f>SUMIF(Recibos!$D$4:$D$7493,Cobranza!$B329,Recibos!M$4:M$7493)</f>
        <v>400</v>
      </c>
      <c r="BB329" s="311">
        <f>SUMIF(Recibos!$D$4:$D$7493,Cobranza!$B329,Recibos!N$4:N$7493)</f>
        <v>400</v>
      </c>
      <c r="BC329" s="311">
        <f>SUMIF(Recibos!$D$4:$D$7493,Cobranza!$B329,Recibos!O$4:O$7493)</f>
        <v>400</v>
      </c>
      <c r="BD329" s="311">
        <f>SUMIF(Recibos!$D$4:$D$7493,Cobranza!$B329,Recibos!P$4:P$7493)</f>
        <v>400</v>
      </c>
      <c r="BE329" s="311">
        <f>SUMIF(Recibos!$D$4:$D$7493,Cobranza!$B329,Recibos!Q$4:Q$7493)</f>
        <v>400</v>
      </c>
      <c r="BF329" s="311">
        <f>SUMIF(Recibos!$D$4:$D$7493,Cobranza!$B329,Recibos!R$4:R$7493)</f>
        <v>400</v>
      </c>
      <c r="BG329" s="311">
        <f>SUMIF(Recibos!$D$4:$D$7493,Cobranza!$B329,Recibos!S$4:S$7493)</f>
        <v>400</v>
      </c>
      <c r="BH329" s="311">
        <f>SUMIF(Recibos!$D$4:$D$7493,Cobranza!$B329,Recibos!T$4:T$7493)</f>
        <v>400</v>
      </c>
      <c r="BI329" s="311">
        <f>SUMIF(Recibos!$D$4:$D$7493,Cobranza!$B329,Recibos!U$4:U$7493)</f>
        <v>400</v>
      </c>
      <c r="BJ329" s="311">
        <f>SUMIF(Recibos!$D$4:$D$7493,Cobranza!$B329,Recibos!V$4:V$7493)</f>
        <v>400</v>
      </c>
      <c r="BK329" s="312">
        <f t="shared" si="43"/>
        <v>4800</v>
      </c>
      <c r="BL329" s="311">
        <f>SUMIF(Recibos!$D$4:$D$7493,Cobranza!$B329,Recibos!X$4:X$7493)</f>
        <v>400</v>
      </c>
      <c r="BM329" s="311">
        <f>SUMIF(Recibos!$D$4:$D$7493,Cobranza!$B329,Recibos!Y$4:Y$7493)</f>
        <v>400</v>
      </c>
      <c r="BN329" s="311">
        <f>SUMIF(Recibos!$D$4:$D$7493,Cobranza!$B329,Recibos!Z$4:Z$7493)</f>
        <v>400</v>
      </c>
      <c r="BO329" s="311">
        <f>SUMIF(Recibos!$D$4:$D$7493,Cobranza!$B329,Recibos!AA$4:AA$7493)</f>
        <v>400</v>
      </c>
      <c r="BP329" s="311">
        <f>SUMIF(Recibos!$D$4:$D$7493,Cobranza!$B329,Recibos!AB$4:AB$7493)</f>
        <v>400</v>
      </c>
      <c r="BQ329" s="311">
        <f>SUMIF(Recibos!$D$4:$D$7493,Cobranza!$B329,Recibos!AC$4:AC$7493)</f>
        <v>400</v>
      </c>
      <c r="BR329" s="311">
        <f>SUMIF(Recibos!$D$4:$D$7493,Cobranza!$B329,Recibos!AD$4:AD$7493)</f>
        <v>400</v>
      </c>
      <c r="BS329" s="311">
        <f>SUMIF(Recibos!$D$4:$D$7493,Cobranza!$B329,Recibos!AE$4:AE$7493)</f>
        <v>400</v>
      </c>
      <c r="BT329" s="311">
        <f>SUMIF(Recibos!$D$4:$D$7493,Cobranza!$B329,Recibos!AF$4:AF$7493)</f>
        <v>400</v>
      </c>
      <c r="BU329" s="311">
        <f>SUMIF(Recibos!$D$4:$D$7493,Cobranza!$B329,Recibos!AG$4:AG$7493)</f>
        <v>400</v>
      </c>
      <c r="BV329" s="311">
        <f>SUMIF(Recibos!$D$4:$D$7493,Cobranza!$B329,Recibos!AH$4:AH$7493)</f>
        <v>400</v>
      </c>
      <c r="BW329" s="311">
        <f>SUMIF(Recibos!$D$4:$D$7493,Cobranza!$B329,Recibos!AI$4:AI$7493)</f>
        <v>0</v>
      </c>
      <c r="BX329" s="312">
        <f t="shared" si="44"/>
        <v>4400</v>
      </c>
      <c r="BY329" s="311">
        <f>SUMIF(Recibos!$D$4:$D$7493,Cobranza!$B329,Recibos!AK$4:AK$7493)</f>
        <v>400</v>
      </c>
      <c r="BZ329" s="311">
        <f>SUMIF(Recibos!$D$4:$D$7493,Cobranza!$B329,Recibos!AL$4:AL$7493)</f>
        <v>400</v>
      </c>
      <c r="CA329" s="311">
        <f>SUMIF(Recibos!$D$4:$D$7493,Cobranza!$B329,Recibos!AM$4:AM$7493)</f>
        <v>400</v>
      </c>
      <c r="CB329" s="311">
        <f>SUMIF(Recibos!$D$4:$D$7493,Cobranza!$B329,Recibos!AN$4:AN$7493)</f>
        <v>400</v>
      </c>
      <c r="CC329" s="311">
        <f>SUMIF(Recibos!$D$4:$D$7493,Cobranza!$B329,Recibos!AO$4:AO$7493)</f>
        <v>400</v>
      </c>
      <c r="CD329" s="311">
        <f>SUMIF(Recibos!$D$4:$D$7493,Cobranza!$B329,Recibos!AP$4:AP$7493)</f>
        <v>400</v>
      </c>
      <c r="CE329" s="311">
        <f>SUMIF(Recibos!$D$4:$D$7493,Cobranza!$B329,Recibos!AQ$4:AQ$7493)</f>
        <v>400</v>
      </c>
      <c r="CF329" s="311">
        <f>SUMIF(Recibos!$D$4:$D$7493,Cobranza!$B329,Recibos!AR$4:AR$7493)</f>
        <v>400</v>
      </c>
      <c r="CG329" s="311">
        <f>SUMIF(Recibos!$D$4:$D$7493,Cobranza!$B329,Recibos!AS$4:AS$7493)</f>
        <v>400</v>
      </c>
      <c r="CH329" s="311">
        <f>SUMIF(Recibos!$D$4:$D$7493,Cobranza!$B329,Recibos!AT$4:AT$7493)</f>
        <v>400</v>
      </c>
      <c r="CI329" s="311">
        <f>SUMIF(Recibos!$D$4:$D$7493,Cobranza!$B329,Recibos!AU$4:AU$7493)</f>
        <v>400</v>
      </c>
      <c r="CJ329" s="311">
        <f>SUMIF(Recibos!$D$4:$D$7493,Cobranza!$B329,Recibos!AV$4:AV$7493)</f>
        <v>0</v>
      </c>
      <c r="CK329" s="312">
        <f t="shared" si="38"/>
        <v>4400</v>
      </c>
    </row>
    <row r="330" spans="2:89" x14ac:dyDescent="0.2">
      <c r="B330" s="45" t="s">
        <v>761</v>
      </c>
      <c r="C330" s="45" t="s">
        <v>762</v>
      </c>
      <c r="D330" s="45" t="s">
        <v>403</v>
      </c>
      <c r="E330" s="46">
        <v>0</v>
      </c>
      <c r="F330" s="46">
        <v>0</v>
      </c>
      <c r="G330" s="46">
        <v>0</v>
      </c>
      <c r="H330" s="46">
        <v>0</v>
      </c>
      <c r="I330" s="46">
        <v>0</v>
      </c>
      <c r="J330" s="46">
        <v>0</v>
      </c>
      <c r="K330" s="47">
        <f t="shared" si="39"/>
        <v>0</v>
      </c>
      <c r="L330" s="46">
        <v>300</v>
      </c>
      <c r="M330" s="46">
        <v>300</v>
      </c>
      <c r="N330" s="46">
        <v>300</v>
      </c>
      <c r="O330" s="46">
        <v>300</v>
      </c>
      <c r="P330" s="46">
        <v>300</v>
      </c>
      <c r="Q330" s="46">
        <v>300</v>
      </c>
      <c r="R330" s="46">
        <v>300</v>
      </c>
      <c r="S330" s="46">
        <v>300</v>
      </c>
      <c r="T330" s="46">
        <v>300</v>
      </c>
      <c r="U330" s="46">
        <v>300</v>
      </c>
      <c r="V330" s="46">
        <v>300</v>
      </c>
      <c r="W330" s="46">
        <v>300</v>
      </c>
      <c r="X330" s="47">
        <f t="shared" si="40"/>
        <v>3600</v>
      </c>
      <c r="Y330" s="46">
        <v>400</v>
      </c>
      <c r="Z330" s="46">
        <v>400</v>
      </c>
      <c r="AA330" s="46">
        <v>400</v>
      </c>
      <c r="AB330" s="46">
        <v>400</v>
      </c>
      <c r="AC330" s="46">
        <v>400</v>
      </c>
      <c r="AD330" s="46">
        <v>400</v>
      </c>
      <c r="AE330" s="46">
        <v>0</v>
      </c>
      <c r="AF330" s="46">
        <v>0</v>
      </c>
      <c r="AG330" s="46">
        <v>400</v>
      </c>
      <c r="AH330" s="46">
        <v>400</v>
      </c>
      <c r="AI330" s="46">
        <v>400</v>
      </c>
      <c r="AJ330" s="46">
        <v>400</v>
      </c>
      <c r="AK330" s="47">
        <f t="shared" si="41"/>
        <v>4000</v>
      </c>
      <c r="AL330" s="46">
        <v>400</v>
      </c>
      <c r="AM330" s="46">
        <v>400</v>
      </c>
      <c r="AN330" s="46">
        <v>400</v>
      </c>
      <c r="AO330" s="46">
        <v>400</v>
      </c>
      <c r="AP330" s="46">
        <v>400</v>
      </c>
      <c r="AQ330" s="46">
        <v>400</v>
      </c>
      <c r="AR330" s="46">
        <v>400</v>
      </c>
      <c r="AS330" s="46">
        <v>400</v>
      </c>
      <c r="AT330" s="46">
        <v>400</v>
      </c>
      <c r="AU330" s="46">
        <v>400</v>
      </c>
      <c r="AV330" s="46">
        <v>400</v>
      </c>
      <c r="AW330" s="46">
        <v>400</v>
      </c>
      <c r="AX330" s="47">
        <f t="shared" si="42"/>
        <v>4800</v>
      </c>
      <c r="AY330" s="313">
        <f>SUMIF(Recibos!$D$4:$D$7493,Cobranza!$B330,Recibos!K$4:K$7493)</f>
        <v>400</v>
      </c>
      <c r="AZ330" s="313">
        <f>SUMIF(Recibos!$D$4:$D$7493,Cobranza!$B330,Recibos!L$4:L$7493)</f>
        <v>400</v>
      </c>
      <c r="BA330" s="313">
        <f>SUMIF(Recibos!$D$4:$D$7493,Cobranza!$B330,Recibos!M$4:M$7493)</f>
        <v>400</v>
      </c>
      <c r="BB330" s="313">
        <f>SUMIF(Recibos!$D$4:$D$7493,Cobranza!$B330,Recibos!N$4:N$7493)</f>
        <v>400</v>
      </c>
      <c r="BC330" s="313">
        <f>SUMIF(Recibos!$D$4:$D$7493,Cobranza!$B330,Recibos!O$4:O$7493)</f>
        <v>400</v>
      </c>
      <c r="BD330" s="313">
        <f>SUMIF(Recibos!$D$4:$D$7493,Cobranza!$B330,Recibos!P$4:P$7493)</f>
        <v>400</v>
      </c>
      <c r="BE330" s="313">
        <f>SUMIF(Recibos!$D$4:$D$7493,Cobranza!$B330,Recibos!Q$4:Q$7493)</f>
        <v>400</v>
      </c>
      <c r="BF330" s="313">
        <f>SUMIF(Recibos!$D$4:$D$7493,Cobranza!$B330,Recibos!R$4:R$7493)</f>
        <v>400</v>
      </c>
      <c r="BG330" s="313">
        <f>SUMIF(Recibos!$D$4:$D$7493,Cobranza!$B330,Recibos!S$4:S$7493)</f>
        <v>400</v>
      </c>
      <c r="BH330" s="313">
        <f>SUMIF(Recibos!$D$4:$D$7493,Cobranza!$B330,Recibos!T$4:T$7493)</f>
        <v>400</v>
      </c>
      <c r="BI330" s="313">
        <f>SUMIF(Recibos!$D$4:$D$7493,Cobranza!$B330,Recibos!U$4:U$7493)</f>
        <v>400</v>
      </c>
      <c r="BJ330" s="313">
        <f>SUMIF(Recibos!$D$4:$D$7493,Cobranza!$B330,Recibos!V$4:V$7493)</f>
        <v>400</v>
      </c>
      <c r="BK330" s="314">
        <f t="shared" si="43"/>
        <v>4800</v>
      </c>
      <c r="BL330" s="313">
        <f>SUMIF(Recibos!$D$4:$D$7493,Cobranza!$B330,Recibos!X$4:X$7493)</f>
        <v>400</v>
      </c>
      <c r="BM330" s="313">
        <f>SUMIF(Recibos!$D$4:$D$7493,Cobranza!$B330,Recibos!Y$4:Y$7493)</f>
        <v>400</v>
      </c>
      <c r="BN330" s="313">
        <f>SUMIF(Recibos!$D$4:$D$7493,Cobranza!$B330,Recibos!Z$4:Z$7493)</f>
        <v>400</v>
      </c>
      <c r="BO330" s="313">
        <f>SUMIF(Recibos!$D$4:$D$7493,Cobranza!$B330,Recibos!AA$4:AA$7493)</f>
        <v>400</v>
      </c>
      <c r="BP330" s="313">
        <f>SUMIF(Recibos!$D$4:$D$7493,Cobranza!$B330,Recibos!AB$4:AB$7493)</f>
        <v>400</v>
      </c>
      <c r="BQ330" s="313">
        <f>SUMIF(Recibos!$D$4:$D$7493,Cobranza!$B330,Recibos!AC$4:AC$7493)</f>
        <v>400</v>
      </c>
      <c r="BR330" s="313">
        <f>SUMIF(Recibos!$D$4:$D$7493,Cobranza!$B330,Recibos!AD$4:AD$7493)</f>
        <v>400</v>
      </c>
      <c r="BS330" s="313">
        <f>SUMIF(Recibos!$D$4:$D$7493,Cobranza!$B330,Recibos!AE$4:AE$7493)</f>
        <v>400</v>
      </c>
      <c r="BT330" s="313">
        <f>SUMIF(Recibos!$D$4:$D$7493,Cobranza!$B330,Recibos!AF$4:AF$7493)</f>
        <v>400</v>
      </c>
      <c r="BU330" s="313">
        <f>SUMIF(Recibos!$D$4:$D$7493,Cobranza!$B330,Recibos!AG$4:AG$7493)</f>
        <v>400</v>
      </c>
      <c r="BV330" s="313">
        <f>SUMIF(Recibos!$D$4:$D$7493,Cobranza!$B330,Recibos!AH$4:AH$7493)</f>
        <v>400</v>
      </c>
      <c r="BW330" s="313">
        <f>SUMIF(Recibos!$D$4:$D$7493,Cobranza!$B330,Recibos!AI$4:AI$7493)</f>
        <v>400</v>
      </c>
      <c r="BX330" s="314">
        <f t="shared" si="44"/>
        <v>4800</v>
      </c>
      <c r="BY330" s="313">
        <f>SUMIF(Recibos!$D$4:$D$7493,Cobranza!$B330,Recibos!AK$4:AK$7493)</f>
        <v>400</v>
      </c>
      <c r="BZ330" s="313">
        <f>SUMIF(Recibos!$D$4:$D$7493,Cobranza!$B330,Recibos!AL$4:AL$7493)</f>
        <v>400</v>
      </c>
      <c r="CA330" s="313">
        <f>SUMIF(Recibos!$D$4:$D$7493,Cobranza!$B330,Recibos!AM$4:AM$7493)</f>
        <v>400</v>
      </c>
      <c r="CB330" s="313">
        <f>SUMIF(Recibos!$D$4:$D$7493,Cobranza!$B330,Recibos!AN$4:AN$7493)</f>
        <v>400</v>
      </c>
      <c r="CC330" s="313">
        <f>SUMIF(Recibos!$D$4:$D$7493,Cobranza!$B330,Recibos!AO$4:AO$7493)</f>
        <v>400</v>
      </c>
      <c r="CD330" s="313">
        <f>SUMIF(Recibos!$D$4:$D$7493,Cobranza!$B330,Recibos!AP$4:AP$7493)</f>
        <v>400</v>
      </c>
      <c r="CE330" s="313">
        <f>SUMIF(Recibos!$D$4:$D$7493,Cobranza!$B330,Recibos!AQ$4:AQ$7493)</f>
        <v>400</v>
      </c>
      <c r="CF330" s="313">
        <f>SUMIF(Recibos!$D$4:$D$7493,Cobranza!$B330,Recibos!AR$4:AR$7493)</f>
        <v>0</v>
      </c>
      <c r="CG330" s="313">
        <f>SUMIF(Recibos!$D$4:$D$7493,Cobranza!$B330,Recibos!AS$4:AS$7493)</f>
        <v>0</v>
      </c>
      <c r="CH330" s="313">
        <f>SUMIF(Recibos!$D$4:$D$7493,Cobranza!$B330,Recibos!AT$4:AT$7493)</f>
        <v>0</v>
      </c>
      <c r="CI330" s="313">
        <f>SUMIF(Recibos!$D$4:$D$7493,Cobranza!$B330,Recibos!AU$4:AU$7493)</f>
        <v>0</v>
      </c>
      <c r="CJ330" s="313">
        <f>SUMIF(Recibos!$D$4:$D$7493,Cobranza!$B330,Recibos!AV$4:AV$7493)</f>
        <v>0</v>
      </c>
      <c r="CK330" s="314">
        <f t="shared" si="38"/>
        <v>2800</v>
      </c>
    </row>
    <row r="331" spans="2:89" x14ac:dyDescent="0.2">
      <c r="B331" s="42" t="s">
        <v>1195</v>
      </c>
      <c r="C331" s="42" t="s">
        <v>1196</v>
      </c>
      <c r="D331" s="42" t="s">
        <v>1197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4">
        <f t="shared" si="39"/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  <c r="V331" s="43">
        <v>0</v>
      </c>
      <c r="W331" s="43">
        <v>0</v>
      </c>
      <c r="X331" s="44">
        <f t="shared" si="40"/>
        <v>0</v>
      </c>
      <c r="Y331" s="43">
        <v>0</v>
      </c>
      <c r="Z331" s="43">
        <v>0</v>
      </c>
      <c r="AA331" s="43">
        <v>0</v>
      </c>
      <c r="AB331" s="43">
        <v>0</v>
      </c>
      <c r="AC331" s="43">
        <v>0</v>
      </c>
      <c r="AD331" s="43">
        <v>0</v>
      </c>
      <c r="AE331" s="43">
        <v>0</v>
      </c>
      <c r="AF331" s="43">
        <v>0</v>
      </c>
      <c r="AG331" s="43">
        <v>400</v>
      </c>
      <c r="AH331" s="43">
        <v>0</v>
      </c>
      <c r="AI331" s="43">
        <v>0</v>
      </c>
      <c r="AJ331" s="43">
        <v>0</v>
      </c>
      <c r="AK331" s="44">
        <f t="shared" si="41"/>
        <v>400</v>
      </c>
      <c r="AL331" s="43">
        <v>0</v>
      </c>
      <c r="AM331" s="43">
        <v>0</v>
      </c>
      <c r="AN331" s="43">
        <v>0</v>
      </c>
      <c r="AO331" s="43">
        <v>0</v>
      </c>
      <c r="AP331" s="43">
        <v>0</v>
      </c>
      <c r="AQ331" s="43">
        <v>0</v>
      </c>
      <c r="AR331" s="43">
        <v>0</v>
      </c>
      <c r="AS331" s="43">
        <v>0</v>
      </c>
      <c r="AT331" s="43">
        <v>0</v>
      </c>
      <c r="AU331" s="43">
        <v>0</v>
      </c>
      <c r="AV331" s="43">
        <v>0</v>
      </c>
      <c r="AW331" s="43">
        <v>0</v>
      </c>
      <c r="AX331" s="44">
        <f t="shared" si="42"/>
        <v>0</v>
      </c>
      <c r="AY331" s="311">
        <f>SUMIF(Recibos!$D$4:$D$7493,Cobranza!$B331,Recibos!K$4:K$7493)</f>
        <v>0</v>
      </c>
      <c r="AZ331" s="311">
        <f>SUMIF(Recibos!$D$4:$D$7493,Cobranza!$B331,Recibos!L$4:L$7493)</f>
        <v>0</v>
      </c>
      <c r="BA331" s="311">
        <f>SUMIF(Recibos!$D$4:$D$7493,Cobranza!$B331,Recibos!M$4:M$7493)</f>
        <v>0</v>
      </c>
      <c r="BB331" s="311">
        <f>SUMIF(Recibos!$D$4:$D$7493,Cobranza!$B331,Recibos!N$4:N$7493)</f>
        <v>0</v>
      </c>
      <c r="BC331" s="311">
        <f>SUMIF(Recibos!$D$4:$D$7493,Cobranza!$B331,Recibos!O$4:O$7493)</f>
        <v>0</v>
      </c>
      <c r="BD331" s="311">
        <f>SUMIF(Recibos!$D$4:$D$7493,Cobranza!$B331,Recibos!P$4:P$7493)</f>
        <v>0</v>
      </c>
      <c r="BE331" s="311">
        <f>SUMIF(Recibos!$D$4:$D$7493,Cobranza!$B331,Recibos!Q$4:Q$7493)</f>
        <v>0</v>
      </c>
      <c r="BF331" s="311">
        <f>SUMIF(Recibos!$D$4:$D$7493,Cobranza!$B331,Recibos!R$4:R$7493)</f>
        <v>0</v>
      </c>
      <c r="BG331" s="311">
        <f>SUMIF(Recibos!$D$4:$D$7493,Cobranza!$B331,Recibos!S$4:S$7493)</f>
        <v>400</v>
      </c>
      <c r="BH331" s="311">
        <f>SUMIF(Recibos!$D$4:$D$7493,Cobranza!$B331,Recibos!T$4:T$7493)</f>
        <v>0</v>
      </c>
      <c r="BI331" s="311">
        <f>SUMIF(Recibos!$D$4:$D$7493,Cobranza!$B331,Recibos!U$4:U$7493)</f>
        <v>0</v>
      </c>
      <c r="BJ331" s="311">
        <f>SUMIF(Recibos!$D$4:$D$7493,Cobranza!$B331,Recibos!V$4:V$7493)</f>
        <v>0</v>
      </c>
      <c r="BK331" s="312">
        <f t="shared" si="43"/>
        <v>400</v>
      </c>
      <c r="BL331" s="311">
        <f>SUMIF(Recibos!$D$4:$D$7493,Cobranza!$B331,Recibos!X$4:X$7493)</f>
        <v>0</v>
      </c>
      <c r="BM331" s="311">
        <f>SUMIF(Recibos!$D$4:$D$7493,Cobranza!$B331,Recibos!Y$4:Y$7493)</f>
        <v>0</v>
      </c>
      <c r="BN331" s="311">
        <f>SUMIF(Recibos!$D$4:$D$7493,Cobranza!$B331,Recibos!Z$4:Z$7493)</f>
        <v>0</v>
      </c>
      <c r="BO331" s="311">
        <f>SUMIF(Recibos!$D$4:$D$7493,Cobranza!$B331,Recibos!AA$4:AA$7493)</f>
        <v>0</v>
      </c>
      <c r="BP331" s="311">
        <f>SUMIF(Recibos!$D$4:$D$7493,Cobranza!$B331,Recibos!AB$4:AB$7493)</f>
        <v>0</v>
      </c>
      <c r="BQ331" s="311">
        <f>SUMIF(Recibos!$D$4:$D$7493,Cobranza!$B331,Recibos!AC$4:AC$7493)</f>
        <v>0</v>
      </c>
      <c r="BR331" s="311">
        <f>SUMIF(Recibos!$D$4:$D$7493,Cobranza!$B331,Recibos!AD$4:AD$7493)</f>
        <v>0</v>
      </c>
      <c r="BS331" s="311">
        <f>SUMIF(Recibos!$D$4:$D$7493,Cobranza!$B331,Recibos!AE$4:AE$7493)</f>
        <v>0</v>
      </c>
      <c r="BT331" s="311">
        <f>SUMIF(Recibos!$D$4:$D$7493,Cobranza!$B331,Recibos!AF$4:AF$7493)</f>
        <v>0</v>
      </c>
      <c r="BU331" s="311">
        <f>SUMIF(Recibos!$D$4:$D$7493,Cobranza!$B331,Recibos!AG$4:AG$7493)</f>
        <v>0</v>
      </c>
      <c r="BV331" s="311">
        <f>SUMIF(Recibos!$D$4:$D$7493,Cobranza!$B331,Recibos!AH$4:AH$7493)</f>
        <v>0</v>
      </c>
      <c r="BW331" s="311">
        <f>SUMIF(Recibos!$D$4:$D$7493,Cobranza!$B331,Recibos!AI$4:AI$7493)</f>
        <v>0</v>
      </c>
      <c r="BX331" s="312">
        <f t="shared" si="44"/>
        <v>0</v>
      </c>
      <c r="BY331" s="311">
        <f>SUMIF(Recibos!$D$4:$D$7493,Cobranza!$B331,Recibos!AK$4:AK$7493)</f>
        <v>0</v>
      </c>
      <c r="BZ331" s="311">
        <f>SUMIF(Recibos!$D$4:$D$7493,Cobranza!$B331,Recibos!AL$4:AL$7493)</f>
        <v>0</v>
      </c>
      <c r="CA331" s="311">
        <f>SUMIF(Recibos!$D$4:$D$7493,Cobranza!$B331,Recibos!AM$4:AM$7493)</f>
        <v>0</v>
      </c>
      <c r="CB331" s="311">
        <f>SUMIF(Recibos!$D$4:$D$7493,Cobranza!$B331,Recibos!AN$4:AN$7493)</f>
        <v>400</v>
      </c>
      <c r="CC331" s="311">
        <f>SUMIF(Recibos!$D$4:$D$7493,Cobranza!$B331,Recibos!AO$4:AO$7493)</f>
        <v>0</v>
      </c>
      <c r="CD331" s="311">
        <f>SUMIF(Recibos!$D$4:$D$7493,Cobranza!$B331,Recibos!AP$4:AP$7493)</f>
        <v>0</v>
      </c>
      <c r="CE331" s="311">
        <f>SUMIF(Recibos!$D$4:$D$7493,Cobranza!$B331,Recibos!AQ$4:AQ$7493)</f>
        <v>0</v>
      </c>
      <c r="CF331" s="311">
        <f>SUMIF(Recibos!$D$4:$D$7493,Cobranza!$B331,Recibos!AR$4:AR$7493)</f>
        <v>0</v>
      </c>
      <c r="CG331" s="311">
        <f>SUMIF(Recibos!$D$4:$D$7493,Cobranza!$B331,Recibos!AS$4:AS$7493)</f>
        <v>0</v>
      </c>
      <c r="CH331" s="311">
        <f>SUMIF(Recibos!$D$4:$D$7493,Cobranza!$B331,Recibos!AT$4:AT$7493)</f>
        <v>0</v>
      </c>
      <c r="CI331" s="311">
        <f>SUMIF(Recibos!$D$4:$D$7493,Cobranza!$B331,Recibos!AU$4:AU$7493)</f>
        <v>0</v>
      </c>
      <c r="CJ331" s="311">
        <f>SUMIF(Recibos!$D$4:$D$7493,Cobranza!$B331,Recibos!AV$4:AV$7493)</f>
        <v>0</v>
      </c>
      <c r="CK331" s="312">
        <f t="shared" ref="CK331:CK394" si="45">SUM(BY331:CJ331)</f>
        <v>400</v>
      </c>
    </row>
    <row r="332" spans="2:89" x14ac:dyDescent="0.2">
      <c r="B332" s="45" t="s">
        <v>637</v>
      </c>
      <c r="C332" s="45" t="s">
        <v>638</v>
      </c>
      <c r="D332" s="45" t="s">
        <v>639</v>
      </c>
      <c r="E332" s="46">
        <v>0</v>
      </c>
      <c r="F332" s="46">
        <v>0</v>
      </c>
      <c r="G332" s="46">
        <v>0</v>
      </c>
      <c r="H332" s="46">
        <v>0</v>
      </c>
      <c r="I332" s="46">
        <v>0</v>
      </c>
      <c r="J332" s="46">
        <v>0</v>
      </c>
      <c r="K332" s="47">
        <f t="shared" si="39"/>
        <v>0</v>
      </c>
      <c r="L332" s="46">
        <v>0</v>
      </c>
      <c r="M332" s="46">
        <v>0</v>
      </c>
      <c r="N332" s="46">
        <v>300</v>
      </c>
      <c r="O332" s="46">
        <v>300</v>
      </c>
      <c r="P332" s="46">
        <v>300</v>
      </c>
      <c r="Q332" s="46">
        <v>300</v>
      </c>
      <c r="R332" s="46">
        <v>300</v>
      </c>
      <c r="S332" s="46">
        <v>300</v>
      </c>
      <c r="T332" s="46">
        <v>300</v>
      </c>
      <c r="U332" s="46">
        <v>400</v>
      </c>
      <c r="V332" s="46">
        <v>300</v>
      </c>
      <c r="W332" s="46">
        <v>300</v>
      </c>
      <c r="X332" s="47">
        <f t="shared" si="40"/>
        <v>3100</v>
      </c>
      <c r="Y332" s="46">
        <v>300</v>
      </c>
      <c r="Z332" s="46">
        <v>300</v>
      </c>
      <c r="AA332" s="46">
        <v>300</v>
      </c>
      <c r="AB332" s="46">
        <v>300</v>
      </c>
      <c r="AC332" s="46">
        <v>300</v>
      </c>
      <c r="AD332" s="46">
        <v>300</v>
      </c>
      <c r="AE332" s="46">
        <v>300</v>
      </c>
      <c r="AF332" s="46">
        <v>300</v>
      </c>
      <c r="AG332" s="46">
        <v>400</v>
      </c>
      <c r="AH332" s="46">
        <v>400</v>
      </c>
      <c r="AI332" s="46">
        <v>400</v>
      </c>
      <c r="AJ332" s="46">
        <v>400</v>
      </c>
      <c r="AK332" s="47">
        <f t="shared" si="41"/>
        <v>4000</v>
      </c>
      <c r="AL332" s="46">
        <v>400</v>
      </c>
      <c r="AM332" s="46">
        <v>400</v>
      </c>
      <c r="AN332" s="46">
        <v>400</v>
      </c>
      <c r="AO332" s="46">
        <v>400</v>
      </c>
      <c r="AP332" s="46">
        <v>400</v>
      </c>
      <c r="AQ332" s="46">
        <v>400</v>
      </c>
      <c r="AR332" s="46">
        <v>400</v>
      </c>
      <c r="AS332" s="46">
        <v>400</v>
      </c>
      <c r="AT332" s="46">
        <v>400</v>
      </c>
      <c r="AU332" s="46">
        <v>400</v>
      </c>
      <c r="AV332" s="46">
        <v>400</v>
      </c>
      <c r="AW332" s="46">
        <v>400</v>
      </c>
      <c r="AX332" s="47">
        <f t="shared" si="42"/>
        <v>4800</v>
      </c>
      <c r="AY332" s="313">
        <f>SUMIF(Recibos!$D$4:$D$7493,Cobranza!$B332,Recibos!K$4:K$7493)</f>
        <v>400</v>
      </c>
      <c r="AZ332" s="313">
        <f>SUMIF(Recibos!$D$4:$D$7493,Cobranza!$B332,Recibos!L$4:L$7493)</f>
        <v>400</v>
      </c>
      <c r="BA332" s="313">
        <f>SUMIF(Recibos!$D$4:$D$7493,Cobranza!$B332,Recibos!M$4:M$7493)</f>
        <v>400</v>
      </c>
      <c r="BB332" s="313">
        <f>SUMIF(Recibos!$D$4:$D$7493,Cobranza!$B332,Recibos!N$4:N$7493)</f>
        <v>400</v>
      </c>
      <c r="BC332" s="313">
        <f>SUMIF(Recibos!$D$4:$D$7493,Cobranza!$B332,Recibos!O$4:O$7493)</f>
        <v>400</v>
      </c>
      <c r="BD332" s="313">
        <f>SUMIF(Recibos!$D$4:$D$7493,Cobranza!$B332,Recibos!P$4:P$7493)</f>
        <v>400</v>
      </c>
      <c r="BE332" s="313">
        <f>SUMIF(Recibos!$D$4:$D$7493,Cobranza!$B332,Recibos!Q$4:Q$7493)</f>
        <v>400</v>
      </c>
      <c r="BF332" s="313">
        <f>SUMIF(Recibos!$D$4:$D$7493,Cobranza!$B332,Recibos!R$4:R$7493)</f>
        <v>400</v>
      </c>
      <c r="BG332" s="313">
        <f>SUMIF(Recibos!$D$4:$D$7493,Cobranza!$B332,Recibos!S$4:S$7493)</f>
        <v>400</v>
      </c>
      <c r="BH332" s="313">
        <f>SUMIF(Recibos!$D$4:$D$7493,Cobranza!$B332,Recibos!T$4:T$7493)</f>
        <v>400</v>
      </c>
      <c r="BI332" s="313">
        <f>SUMIF(Recibos!$D$4:$D$7493,Cobranza!$B332,Recibos!U$4:U$7493)</f>
        <v>400</v>
      </c>
      <c r="BJ332" s="313">
        <f>SUMIF(Recibos!$D$4:$D$7493,Cobranza!$B332,Recibos!V$4:V$7493)</f>
        <v>0</v>
      </c>
      <c r="BK332" s="314">
        <f t="shared" si="43"/>
        <v>4400</v>
      </c>
      <c r="BL332" s="313">
        <f>SUMIF(Recibos!$D$4:$D$7493,Cobranza!$B332,Recibos!X$4:X$7493)</f>
        <v>400</v>
      </c>
      <c r="BM332" s="313">
        <f>SUMIF(Recibos!$D$4:$D$7493,Cobranza!$B332,Recibos!Y$4:Y$7493)</f>
        <v>400</v>
      </c>
      <c r="BN332" s="313">
        <f>SUMIF(Recibos!$D$4:$D$7493,Cobranza!$B332,Recibos!Z$4:Z$7493)</f>
        <v>400</v>
      </c>
      <c r="BO332" s="313">
        <f>SUMIF(Recibos!$D$4:$D$7493,Cobranza!$B332,Recibos!AA$4:AA$7493)</f>
        <v>400</v>
      </c>
      <c r="BP332" s="313">
        <f>SUMIF(Recibos!$D$4:$D$7493,Cobranza!$B332,Recibos!AB$4:AB$7493)</f>
        <v>400</v>
      </c>
      <c r="BQ332" s="313">
        <f>SUMIF(Recibos!$D$4:$D$7493,Cobranza!$B332,Recibos!AC$4:AC$7493)</f>
        <v>400</v>
      </c>
      <c r="BR332" s="313">
        <f>SUMIF(Recibos!$D$4:$D$7493,Cobranza!$B332,Recibos!AD$4:AD$7493)</f>
        <v>400</v>
      </c>
      <c r="BS332" s="313">
        <f>SUMIF(Recibos!$D$4:$D$7493,Cobranza!$B332,Recibos!AE$4:AE$7493)</f>
        <v>400</v>
      </c>
      <c r="BT332" s="313">
        <f>SUMIF(Recibos!$D$4:$D$7493,Cobranza!$B332,Recibos!AF$4:AF$7493)</f>
        <v>400</v>
      </c>
      <c r="BU332" s="313">
        <f>SUMIF(Recibos!$D$4:$D$7493,Cobranza!$B332,Recibos!AG$4:AG$7493)</f>
        <v>400</v>
      </c>
      <c r="BV332" s="313">
        <f>SUMIF(Recibos!$D$4:$D$7493,Cobranza!$B332,Recibos!AH$4:AH$7493)</f>
        <v>400</v>
      </c>
      <c r="BW332" s="313">
        <f>SUMIF(Recibos!$D$4:$D$7493,Cobranza!$B332,Recibos!AI$4:AI$7493)</f>
        <v>400</v>
      </c>
      <c r="BX332" s="314">
        <f t="shared" si="44"/>
        <v>4800</v>
      </c>
      <c r="BY332" s="313">
        <f>SUMIF(Recibos!$D$4:$D$7493,Cobranza!$B332,Recibos!AK$4:AK$7493)</f>
        <v>400</v>
      </c>
      <c r="BZ332" s="313">
        <f>SUMIF(Recibos!$D$4:$D$7493,Cobranza!$B332,Recibos!AL$4:AL$7493)</f>
        <v>400</v>
      </c>
      <c r="CA332" s="313">
        <f>SUMIF(Recibos!$D$4:$D$7493,Cobranza!$B332,Recibos!AM$4:AM$7493)</f>
        <v>400</v>
      </c>
      <c r="CB332" s="313">
        <f>SUMIF(Recibos!$D$4:$D$7493,Cobranza!$B332,Recibos!AN$4:AN$7493)</f>
        <v>400</v>
      </c>
      <c r="CC332" s="313">
        <f>SUMIF(Recibos!$D$4:$D$7493,Cobranza!$B332,Recibos!AO$4:AO$7493)</f>
        <v>400</v>
      </c>
      <c r="CD332" s="313">
        <f>SUMIF(Recibos!$D$4:$D$7493,Cobranza!$B332,Recibos!AP$4:AP$7493)</f>
        <v>400</v>
      </c>
      <c r="CE332" s="313">
        <f>SUMIF(Recibos!$D$4:$D$7493,Cobranza!$B332,Recibos!AQ$4:AQ$7493)</f>
        <v>400</v>
      </c>
      <c r="CF332" s="313">
        <f>SUMIF(Recibos!$D$4:$D$7493,Cobranza!$B332,Recibos!AR$4:AR$7493)</f>
        <v>400</v>
      </c>
      <c r="CG332" s="313">
        <f>SUMIF(Recibos!$D$4:$D$7493,Cobranza!$B332,Recibos!AS$4:AS$7493)</f>
        <v>400</v>
      </c>
      <c r="CH332" s="313">
        <f>SUMIF(Recibos!$D$4:$D$7493,Cobranza!$B332,Recibos!AT$4:AT$7493)</f>
        <v>400</v>
      </c>
      <c r="CI332" s="313">
        <f>SUMIF(Recibos!$D$4:$D$7493,Cobranza!$B332,Recibos!AU$4:AU$7493)</f>
        <v>400</v>
      </c>
      <c r="CJ332" s="313">
        <f>SUMIF(Recibos!$D$4:$D$7493,Cobranza!$B332,Recibos!AV$4:AV$7493)</f>
        <v>0</v>
      </c>
      <c r="CK332" s="314">
        <f t="shared" si="45"/>
        <v>4400</v>
      </c>
    </row>
    <row r="333" spans="2:89" x14ac:dyDescent="0.2">
      <c r="B333" s="42" t="s">
        <v>797</v>
      </c>
      <c r="C333" s="42" t="s">
        <v>798</v>
      </c>
      <c r="D333" s="42" t="s">
        <v>799</v>
      </c>
      <c r="E333" s="43">
        <v>0</v>
      </c>
      <c r="F333" s="43">
        <v>0</v>
      </c>
      <c r="G333" s="43">
        <v>0</v>
      </c>
      <c r="H333" s="43">
        <v>0</v>
      </c>
      <c r="I333" s="43">
        <v>300</v>
      </c>
      <c r="J333" s="43">
        <v>300</v>
      </c>
      <c r="K333" s="44">
        <f t="shared" si="39"/>
        <v>600</v>
      </c>
      <c r="L333" s="43">
        <v>300</v>
      </c>
      <c r="M333" s="43">
        <v>300</v>
      </c>
      <c r="N333" s="43">
        <v>300</v>
      </c>
      <c r="O333" s="43">
        <v>300</v>
      </c>
      <c r="P333" s="43">
        <v>300</v>
      </c>
      <c r="Q333" s="43">
        <v>300</v>
      </c>
      <c r="R333" s="43">
        <v>300</v>
      </c>
      <c r="S333" s="43">
        <v>300</v>
      </c>
      <c r="T333" s="43">
        <v>300</v>
      </c>
      <c r="U333" s="43">
        <v>400</v>
      </c>
      <c r="V333" s="43">
        <v>400</v>
      </c>
      <c r="W333" s="43">
        <v>400</v>
      </c>
      <c r="X333" s="44">
        <f t="shared" si="40"/>
        <v>3900</v>
      </c>
      <c r="Y333" s="43">
        <v>400</v>
      </c>
      <c r="Z333" s="43">
        <v>400</v>
      </c>
      <c r="AA333" s="43">
        <v>400</v>
      </c>
      <c r="AB333" s="43">
        <v>0</v>
      </c>
      <c r="AC333" s="43">
        <v>0</v>
      </c>
      <c r="AD333" s="43">
        <v>400</v>
      </c>
      <c r="AE333" s="43">
        <v>0</v>
      </c>
      <c r="AF333" s="43">
        <v>0</v>
      </c>
      <c r="AG333" s="43">
        <v>0</v>
      </c>
      <c r="AH333" s="43">
        <v>400</v>
      </c>
      <c r="AI333" s="43">
        <v>400</v>
      </c>
      <c r="AJ333" s="43">
        <v>400</v>
      </c>
      <c r="AK333" s="44">
        <f t="shared" si="41"/>
        <v>2800</v>
      </c>
      <c r="AL333" s="43">
        <v>400</v>
      </c>
      <c r="AM333" s="43">
        <v>400</v>
      </c>
      <c r="AN333" s="43">
        <v>400</v>
      </c>
      <c r="AO333" s="43">
        <v>400</v>
      </c>
      <c r="AP333" s="43">
        <v>400</v>
      </c>
      <c r="AQ333" s="43">
        <v>400</v>
      </c>
      <c r="AR333" s="43">
        <v>400</v>
      </c>
      <c r="AS333" s="43">
        <v>400</v>
      </c>
      <c r="AT333" s="43">
        <v>400</v>
      </c>
      <c r="AU333" s="43">
        <v>400</v>
      </c>
      <c r="AV333" s="43">
        <v>400</v>
      </c>
      <c r="AW333" s="43">
        <v>400</v>
      </c>
      <c r="AX333" s="44">
        <f t="shared" si="42"/>
        <v>4800</v>
      </c>
      <c r="AY333" s="311">
        <f>SUMIF(Recibos!$D$4:$D$7493,Cobranza!$B333,Recibos!K$4:K$7493)</f>
        <v>400</v>
      </c>
      <c r="AZ333" s="311">
        <f>SUMIF(Recibos!$D$4:$D$7493,Cobranza!$B333,Recibos!L$4:L$7493)</f>
        <v>400</v>
      </c>
      <c r="BA333" s="311">
        <f>SUMIF(Recibos!$D$4:$D$7493,Cobranza!$B333,Recibos!M$4:M$7493)</f>
        <v>400</v>
      </c>
      <c r="BB333" s="311">
        <f>SUMIF(Recibos!$D$4:$D$7493,Cobranza!$B333,Recibos!N$4:N$7493)</f>
        <v>400</v>
      </c>
      <c r="BC333" s="311">
        <f>SUMIF(Recibos!$D$4:$D$7493,Cobranza!$B333,Recibos!O$4:O$7493)</f>
        <v>400</v>
      </c>
      <c r="BD333" s="311">
        <f>SUMIF(Recibos!$D$4:$D$7493,Cobranza!$B333,Recibos!P$4:P$7493)</f>
        <v>400</v>
      </c>
      <c r="BE333" s="311">
        <f>SUMIF(Recibos!$D$4:$D$7493,Cobranza!$B333,Recibos!Q$4:Q$7493)</f>
        <v>400</v>
      </c>
      <c r="BF333" s="311">
        <f>SUMIF(Recibos!$D$4:$D$7493,Cobranza!$B333,Recibos!R$4:R$7493)</f>
        <v>400</v>
      </c>
      <c r="BG333" s="311">
        <f>SUMIF(Recibos!$D$4:$D$7493,Cobranza!$B333,Recibos!S$4:S$7493)</f>
        <v>400</v>
      </c>
      <c r="BH333" s="311">
        <f>SUMIF(Recibos!$D$4:$D$7493,Cobranza!$B333,Recibos!T$4:T$7493)</f>
        <v>400</v>
      </c>
      <c r="BI333" s="311">
        <f>SUMIF(Recibos!$D$4:$D$7493,Cobranza!$B333,Recibos!U$4:U$7493)</f>
        <v>400</v>
      </c>
      <c r="BJ333" s="311">
        <f>SUMIF(Recibos!$D$4:$D$7493,Cobranza!$B333,Recibos!V$4:V$7493)</f>
        <v>400</v>
      </c>
      <c r="BK333" s="312">
        <f t="shared" si="43"/>
        <v>4800</v>
      </c>
      <c r="BL333" s="311">
        <f>SUMIF(Recibos!$D$4:$D$7493,Cobranza!$B333,Recibos!X$4:X$7493)</f>
        <v>400</v>
      </c>
      <c r="BM333" s="311">
        <f>SUMIF(Recibos!$D$4:$D$7493,Cobranza!$B333,Recibos!Y$4:Y$7493)</f>
        <v>400</v>
      </c>
      <c r="BN333" s="311">
        <f>SUMIF(Recibos!$D$4:$D$7493,Cobranza!$B333,Recibos!Z$4:Z$7493)</f>
        <v>400</v>
      </c>
      <c r="BO333" s="311">
        <f>SUMIF(Recibos!$D$4:$D$7493,Cobranza!$B333,Recibos!AA$4:AA$7493)</f>
        <v>400</v>
      </c>
      <c r="BP333" s="311">
        <f>SUMIF(Recibos!$D$4:$D$7493,Cobranza!$B333,Recibos!AB$4:AB$7493)</f>
        <v>400</v>
      </c>
      <c r="BQ333" s="311">
        <f>SUMIF(Recibos!$D$4:$D$7493,Cobranza!$B333,Recibos!AC$4:AC$7493)</f>
        <v>400</v>
      </c>
      <c r="BR333" s="311">
        <f>SUMIF(Recibos!$D$4:$D$7493,Cobranza!$B333,Recibos!AD$4:AD$7493)</f>
        <v>250</v>
      </c>
      <c r="BS333" s="311">
        <f>SUMIF(Recibos!$D$4:$D$7493,Cobranza!$B333,Recibos!AE$4:AE$7493)</f>
        <v>250</v>
      </c>
      <c r="BT333" s="311">
        <f>SUMIF(Recibos!$D$4:$D$7493,Cobranza!$B333,Recibos!AF$4:AF$7493)</f>
        <v>250</v>
      </c>
      <c r="BU333" s="311">
        <f>SUMIF(Recibos!$D$4:$D$7493,Cobranza!$B333,Recibos!AG$4:AG$7493)</f>
        <v>250</v>
      </c>
      <c r="BV333" s="311">
        <f>SUMIF(Recibos!$D$4:$D$7493,Cobranza!$B333,Recibos!AH$4:AH$7493)</f>
        <v>250</v>
      </c>
      <c r="BW333" s="311">
        <f>SUMIF(Recibos!$D$4:$D$7493,Cobranza!$B333,Recibos!AI$4:AI$7493)</f>
        <v>250</v>
      </c>
      <c r="BX333" s="312">
        <f t="shared" si="44"/>
        <v>3900</v>
      </c>
      <c r="BY333" s="311">
        <f>SUMIF(Recibos!$D$4:$D$7493,Cobranza!$B333,Recibos!AK$4:AK$7493)</f>
        <v>250</v>
      </c>
      <c r="BZ333" s="311">
        <f>SUMIF(Recibos!$D$4:$D$7493,Cobranza!$B333,Recibos!AL$4:AL$7493)</f>
        <v>250</v>
      </c>
      <c r="CA333" s="311">
        <f>SUMIF(Recibos!$D$4:$D$7493,Cobranza!$B333,Recibos!AM$4:AM$7493)</f>
        <v>250</v>
      </c>
      <c r="CB333" s="311">
        <f>SUMIF(Recibos!$D$4:$D$7493,Cobranza!$B333,Recibos!AN$4:AN$7493)</f>
        <v>250</v>
      </c>
      <c r="CC333" s="311">
        <f>SUMIF(Recibos!$D$4:$D$7493,Cobranza!$B333,Recibos!AO$4:AO$7493)</f>
        <v>250</v>
      </c>
      <c r="CD333" s="311">
        <f>SUMIF(Recibos!$D$4:$D$7493,Cobranza!$B333,Recibos!AP$4:AP$7493)</f>
        <v>250</v>
      </c>
      <c r="CE333" s="311">
        <f>SUMIF(Recibos!$D$4:$D$7493,Cobranza!$B333,Recibos!AQ$4:AQ$7493)</f>
        <v>250</v>
      </c>
      <c r="CF333" s="311">
        <f>SUMIF(Recibos!$D$4:$D$7493,Cobranza!$B333,Recibos!AR$4:AR$7493)</f>
        <v>250</v>
      </c>
      <c r="CG333" s="311">
        <f>SUMIF(Recibos!$D$4:$D$7493,Cobranza!$B333,Recibos!AS$4:AS$7493)</f>
        <v>250</v>
      </c>
      <c r="CH333" s="311">
        <f>SUMIF(Recibos!$D$4:$D$7493,Cobranza!$B333,Recibos!AT$4:AT$7493)</f>
        <v>0</v>
      </c>
      <c r="CI333" s="311">
        <f>SUMIF(Recibos!$D$4:$D$7493,Cobranza!$B333,Recibos!AU$4:AU$7493)</f>
        <v>0</v>
      </c>
      <c r="CJ333" s="311">
        <f>SUMIF(Recibos!$D$4:$D$7493,Cobranza!$B333,Recibos!AV$4:AV$7493)</f>
        <v>0</v>
      </c>
      <c r="CK333" s="312">
        <f t="shared" si="45"/>
        <v>2250</v>
      </c>
    </row>
    <row r="334" spans="2:89" x14ac:dyDescent="0.2">
      <c r="B334" s="45" t="s">
        <v>331</v>
      </c>
      <c r="C334" s="45" t="s">
        <v>332</v>
      </c>
      <c r="D334" s="45" t="s">
        <v>333</v>
      </c>
      <c r="E334" s="46">
        <v>0</v>
      </c>
      <c r="F334" s="46">
        <v>0</v>
      </c>
      <c r="G334" s="46">
        <v>0</v>
      </c>
      <c r="H334" s="46">
        <v>0</v>
      </c>
      <c r="I334" s="46">
        <v>0</v>
      </c>
      <c r="J334" s="46">
        <v>300</v>
      </c>
      <c r="K334" s="47">
        <f t="shared" ref="K334:K397" si="46">SUM(E334:J334)</f>
        <v>300</v>
      </c>
      <c r="L334" s="46">
        <v>0</v>
      </c>
      <c r="M334" s="46">
        <v>300</v>
      </c>
      <c r="N334" s="46">
        <v>600</v>
      </c>
      <c r="O334" s="46">
        <v>300</v>
      </c>
      <c r="P334" s="46">
        <v>300</v>
      </c>
      <c r="Q334" s="46">
        <v>600</v>
      </c>
      <c r="R334" s="46">
        <v>0</v>
      </c>
      <c r="S334" s="46">
        <v>300</v>
      </c>
      <c r="T334" s="46">
        <v>300</v>
      </c>
      <c r="U334" s="46">
        <v>400</v>
      </c>
      <c r="V334" s="46">
        <v>400</v>
      </c>
      <c r="W334" s="46">
        <v>400</v>
      </c>
      <c r="X334" s="47">
        <f t="shared" ref="X334:X397" si="47">SUM(L334:W334)</f>
        <v>3900</v>
      </c>
      <c r="Y334" s="46">
        <v>400</v>
      </c>
      <c r="Z334" s="46">
        <v>400</v>
      </c>
      <c r="AA334" s="46">
        <v>400</v>
      </c>
      <c r="AB334" s="46">
        <v>400</v>
      </c>
      <c r="AC334" s="46">
        <v>400</v>
      </c>
      <c r="AD334" s="46">
        <v>400</v>
      </c>
      <c r="AE334" s="46">
        <v>400</v>
      </c>
      <c r="AF334" s="46">
        <v>400</v>
      </c>
      <c r="AG334" s="46">
        <v>400</v>
      </c>
      <c r="AH334" s="46">
        <v>400</v>
      </c>
      <c r="AI334" s="46">
        <v>400</v>
      </c>
      <c r="AJ334" s="46">
        <v>400</v>
      </c>
      <c r="AK334" s="47">
        <f t="shared" ref="AK334:AK397" si="48">SUM(Y334:AJ334)</f>
        <v>4800</v>
      </c>
      <c r="AL334" s="46">
        <v>400</v>
      </c>
      <c r="AM334" s="46">
        <v>400</v>
      </c>
      <c r="AN334" s="46">
        <v>400</v>
      </c>
      <c r="AO334" s="46">
        <v>400</v>
      </c>
      <c r="AP334" s="46">
        <v>400</v>
      </c>
      <c r="AQ334" s="46">
        <v>400</v>
      </c>
      <c r="AR334" s="46">
        <v>400</v>
      </c>
      <c r="AS334" s="46">
        <v>400</v>
      </c>
      <c r="AT334" s="46">
        <v>400</v>
      </c>
      <c r="AU334" s="46">
        <v>400</v>
      </c>
      <c r="AV334" s="46">
        <v>400</v>
      </c>
      <c r="AW334" s="46">
        <v>400</v>
      </c>
      <c r="AX334" s="47">
        <f t="shared" ref="AX334:AX397" si="49">SUM(AL334:AW334)</f>
        <v>4800</v>
      </c>
      <c r="AY334" s="313">
        <f>SUMIF(Recibos!$D$4:$D$7493,Cobranza!$B334,Recibos!K$4:K$7493)</f>
        <v>400</v>
      </c>
      <c r="AZ334" s="313">
        <f>SUMIF(Recibos!$D$4:$D$7493,Cobranza!$B334,Recibos!L$4:L$7493)</f>
        <v>400</v>
      </c>
      <c r="BA334" s="313">
        <f>SUMIF(Recibos!$D$4:$D$7493,Cobranza!$B334,Recibos!M$4:M$7493)</f>
        <v>400</v>
      </c>
      <c r="BB334" s="313">
        <f>SUMIF(Recibos!$D$4:$D$7493,Cobranza!$B334,Recibos!N$4:N$7493)</f>
        <v>400</v>
      </c>
      <c r="BC334" s="313">
        <f>SUMIF(Recibos!$D$4:$D$7493,Cobranza!$B334,Recibos!O$4:O$7493)</f>
        <v>400</v>
      </c>
      <c r="BD334" s="313">
        <f>SUMIF(Recibos!$D$4:$D$7493,Cobranza!$B334,Recibos!P$4:P$7493)</f>
        <v>400</v>
      </c>
      <c r="BE334" s="313">
        <f>SUMIF(Recibos!$D$4:$D$7493,Cobranza!$B334,Recibos!Q$4:Q$7493)</f>
        <v>400</v>
      </c>
      <c r="BF334" s="313">
        <f>SUMIF(Recibos!$D$4:$D$7493,Cobranza!$B334,Recibos!R$4:R$7493)</f>
        <v>400</v>
      </c>
      <c r="BG334" s="313">
        <f>SUMIF(Recibos!$D$4:$D$7493,Cobranza!$B334,Recibos!S$4:S$7493)</f>
        <v>400</v>
      </c>
      <c r="BH334" s="313">
        <f>SUMIF(Recibos!$D$4:$D$7493,Cobranza!$B334,Recibos!T$4:T$7493)</f>
        <v>400</v>
      </c>
      <c r="BI334" s="313">
        <f>SUMIF(Recibos!$D$4:$D$7493,Cobranza!$B334,Recibos!U$4:U$7493)</f>
        <v>400</v>
      </c>
      <c r="BJ334" s="313">
        <f>SUMIF(Recibos!$D$4:$D$7493,Cobranza!$B334,Recibos!V$4:V$7493)</f>
        <v>400</v>
      </c>
      <c r="BK334" s="314">
        <f t="shared" si="43"/>
        <v>4800</v>
      </c>
      <c r="BL334" s="313">
        <f>SUMIF(Recibos!$D$4:$D$7493,Cobranza!$B334,Recibos!X$4:X$7493)</f>
        <v>400</v>
      </c>
      <c r="BM334" s="313">
        <f>SUMIF(Recibos!$D$4:$D$7493,Cobranza!$B334,Recibos!Y$4:Y$7493)</f>
        <v>400</v>
      </c>
      <c r="BN334" s="313">
        <f>SUMIF(Recibos!$D$4:$D$7493,Cobranza!$B334,Recibos!Z$4:Z$7493)</f>
        <v>400</v>
      </c>
      <c r="BO334" s="313">
        <f>SUMIF(Recibos!$D$4:$D$7493,Cobranza!$B334,Recibos!AA$4:AA$7493)</f>
        <v>400</v>
      </c>
      <c r="BP334" s="313">
        <f>SUMIF(Recibos!$D$4:$D$7493,Cobranza!$B334,Recibos!AB$4:AB$7493)</f>
        <v>400</v>
      </c>
      <c r="BQ334" s="313">
        <f>SUMIF(Recibos!$D$4:$D$7493,Cobranza!$B334,Recibos!AC$4:AC$7493)</f>
        <v>400</v>
      </c>
      <c r="BR334" s="313">
        <f>SUMIF(Recibos!$D$4:$D$7493,Cobranza!$B334,Recibos!AD$4:AD$7493)</f>
        <v>400</v>
      </c>
      <c r="BS334" s="313">
        <f>SUMIF(Recibos!$D$4:$D$7493,Cobranza!$B334,Recibos!AE$4:AE$7493)</f>
        <v>400</v>
      </c>
      <c r="BT334" s="313">
        <f>SUMIF(Recibos!$D$4:$D$7493,Cobranza!$B334,Recibos!AF$4:AF$7493)</f>
        <v>400</v>
      </c>
      <c r="BU334" s="313">
        <f>SUMIF(Recibos!$D$4:$D$7493,Cobranza!$B334,Recibos!AG$4:AG$7493)</f>
        <v>400</v>
      </c>
      <c r="BV334" s="313">
        <f>SUMIF(Recibos!$D$4:$D$7493,Cobranza!$B334,Recibos!AH$4:AH$7493)</f>
        <v>0</v>
      </c>
      <c r="BW334" s="313">
        <f>SUMIF(Recibos!$D$4:$D$7493,Cobranza!$B334,Recibos!AI$4:AI$7493)</f>
        <v>400</v>
      </c>
      <c r="BX334" s="314">
        <f t="shared" si="44"/>
        <v>4400</v>
      </c>
      <c r="BY334" s="313">
        <f>SUMIF(Recibos!$D$4:$D$7493,Cobranza!$B334,Recibos!AK$4:AK$7493)</f>
        <v>800</v>
      </c>
      <c r="BZ334" s="313">
        <f>SUMIF(Recibos!$D$4:$D$7493,Cobranza!$B334,Recibos!AL$4:AL$7493)</f>
        <v>400</v>
      </c>
      <c r="CA334" s="313">
        <f>SUMIF(Recibos!$D$4:$D$7493,Cobranza!$B334,Recibos!AM$4:AM$7493)</f>
        <v>400</v>
      </c>
      <c r="CB334" s="313">
        <f>SUMIF(Recibos!$D$4:$D$7493,Cobranza!$B334,Recibos!AN$4:AN$7493)</f>
        <v>400</v>
      </c>
      <c r="CC334" s="313">
        <f>SUMIF(Recibos!$D$4:$D$7493,Cobranza!$B334,Recibos!AO$4:AO$7493)</f>
        <v>400</v>
      </c>
      <c r="CD334" s="313">
        <f>SUMIF(Recibos!$D$4:$D$7493,Cobranza!$B334,Recibos!AP$4:AP$7493)</f>
        <v>400</v>
      </c>
      <c r="CE334" s="313">
        <f>SUMIF(Recibos!$D$4:$D$7493,Cobranza!$B334,Recibos!AQ$4:AQ$7493)</f>
        <v>400</v>
      </c>
      <c r="CF334" s="313">
        <f>SUMIF(Recibos!$D$4:$D$7493,Cobranza!$B334,Recibos!AR$4:AR$7493)</f>
        <v>400</v>
      </c>
      <c r="CG334" s="313">
        <f>SUMIF(Recibos!$D$4:$D$7493,Cobranza!$B334,Recibos!AS$4:AS$7493)</f>
        <v>400</v>
      </c>
      <c r="CH334" s="313">
        <f>SUMIF(Recibos!$D$4:$D$7493,Cobranza!$B334,Recibos!AT$4:AT$7493)</f>
        <v>400</v>
      </c>
      <c r="CI334" s="313">
        <f>SUMIF(Recibos!$D$4:$D$7493,Cobranza!$B334,Recibos!AU$4:AU$7493)</f>
        <v>0</v>
      </c>
      <c r="CJ334" s="313">
        <f>SUMIF(Recibos!$D$4:$D$7493,Cobranza!$B334,Recibos!AV$4:AV$7493)</f>
        <v>0</v>
      </c>
      <c r="CK334" s="314">
        <f t="shared" si="45"/>
        <v>4400</v>
      </c>
    </row>
    <row r="335" spans="2:89" x14ac:dyDescent="0.2">
      <c r="B335" s="42" t="s">
        <v>334</v>
      </c>
      <c r="C335" s="42" t="s">
        <v>335</v>
      </c>
      <c r="D335" s="42" t="s">
        <v>336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4">
        <f t="shared" si="46"/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  <c r="V335" s="43">
        <v>0</v>
      </c>
      <c r="W335" s="43">
        <v>0</v>
      </c>
      <c r="X335" s="44">
        <f t="shared" si="47"/>
        <v>0</v>
      </c>
      <c r="Y335" s="43">
        <v>0</v>
      </c>
      <c r="Z335" s="43">
        <v>0</v>
      </c>
      <c r="AA335" s="43">
        <v>0</v>
      </c>
      <c r="AB335" s="43">
        <v>0</v>
      </c>
      <c r="AC335" s="43">
        <v>0</v>
      </c>
      <c r="AD335" s="43">
        <v>0</v>
      </c>
      <c r="AE335" s="43">
        <v>400</v>
      </c>
      <c r="AF335" s="43">
        <v>400</v>
      </c>
      <c r="AG335" s="43">
        <v>400</v>
      </c>
      <c r="AH335" s="43">
        <v>400</v>
      </c>
      <c r="AI335" s="43">
        <v>400</v>
      </c>
      <c r="AJ335" s="43">
        <v>0</v>
      </c>
      <c r="AK335" s="44">
        <f t="shared" si="48"/>
        <v>2000</v>
      </c>
      <c r="AL335" s="43">
        <v>400</v>
      </c>
      <c r="AM335" s="43">
        <v>400</v>
      </c>
      <c r="AN335" s="43">
        <v>400</v>
      </c>
      <c r="AO335" s="43">
        <v>400</v>
      </c>
      <c r="AP335" s="43">
        <v>400</v>
      </c>
      <c r="AQ335" s="43">
        <v>400</v>
      </c>
      <c r="AR335" s="43">
        <v>400</v>
      </c>
      <c r="AS335" s="43">
        <v>400</v>
      </c>
      <c r="AT335" s="43">
        <v>0</v>
      </c>
      <c r="AU335" s="43">
        <v>0</v>
      </c>
      <c r="AV335" s="43">
        <v>0</v>
      </c>
      <c r="AW335" s="43">
        <v>400</v>
      </c>
      <c r="AX335" s="44">
        <f t="shared" si="49"/>
        <v>3600</v>
      </c>
      <c r="AY335" s="311">
        <f>SUMIF(Recibos!$D$4:$D$7493,Cobranza!$B335,Recibos!K$4:K$7493)</f>
        <v>400</v>
      </c>
      <c r="AZ335" s="311">
        <f>SUMIF(Recibos!$D$4:$D$7493,Cobranza!$B335,Recibos!L$4:L$7493)</f>
        <v>400</v>
      </c>
      <c r="BA335" s="311">
        <f>SUMIF(Recibos!$D$4:$D$7493,Cobranza!$B335,Recibos!M$4:M$7493)</f>
        <v>400</v>
      </c>
      <c r="BB335" s="311">
        <f>SUMIF(Recibos!$D$4:$D$7493,Cobranza!$B335,Recibos!N$4:N$7493)</f>
        <v>400</v>
      </c>
      <c r="BC335" s="311">
        <f>SUMIF(Recibos!$D$4:$D$7493,Cobranza!$B335,Recibos!O$4:O$7493)</f>
        <v>400</v>
      </c>
      <c r="BD335" s="311">
        <f>SUMIF(Recibos!$D$4:$D$7493,Cobranza!$B335,Recibos!P$4:P$7493)</f>
        <v>400</v>
      </c>
      <c r="BE335" s="311">
        <f>SUMIF(Recibos!$D$4:$D$7493,Cobranza!$B335,Recibos!Q$4:Q$7493)</f>
        <v>0</v>
      </c>
      <c r="BF335" s="311">
        <f>SUMIF(Recibos!$D$4:$D$7493,Cobranza!$B335,Recibos!R$4:R$7493)</f>
        <v>0</v>
      </c>
      <c r="BG335" s="311">
        <f>SUMIF(Recibos!$D$4:$D$7493,Cobranza!$B335,Recibos!S$4:S$7493)</f>
        <v>0</v>
      </c>
      <c r="BH335" s="311">
        <f>SUMIF(Recibos!$D$4:$D$7493,Cobranza!$B335,Recibos!T$4:T$7493)</f>
        <v>0</v>
      </c>
      <c r="BI335" s="311">
        <f>SUMIF(Recibos!$D$4:$D$7493,Cobranza!$B335,Recibos!U$4:U$7493)</f>
        <v>0</v>
      </c>
      <c r="BJ335" s="311">
        <f>SUMIF(Recibos!$D$4:$D$7493,Cobranza!$B335,Recibos!V$4:V$7493)</f>
        <v>0</v>
      </c>
      <c r="BK335" s="312">
        <f t="shared" si="43"/>
        <v>2400</v>
      </c>
      <c r="BL335" s="311">
        <f>SUMIF(Recibos!$D$4:$D$7493,Cobranza!$B335,Recibos!X$4:X$7493)</f>
        <v>0</v>
      </c>
      <c r="BM335" s="311">
        <f>SUMIF(Recibos!$D$4:$D$7493,Cobranza!$B335,Recibos!Y$4:Y$7493)</f>
        <v>0</v>
      </c>
      <c r="BN335" s="311">
        <f>SUMIF(Recibos!$D$4:$D$7493,Cobranza!$B335,Recibos!Z$4:Z$7493)</f>
        <v>0</v>
      </c>
      <c r="BO335" s="311">
        <f>SUMIF(Recibos!$D$4:$D$7493,Cobranza!$B335,Recibos!AA$4:AA$7493)</f>
        <v>0</v>
      </c>
      <c r="BP335" s="311">
        <f>SUMIF(Recibos!$D$4:$D$7493,Cobranza!$B335,Recibos!AB$4:AB$7493)</f>
        <v>0</v>
      </c>
      <c r="BQ335" s="311">
        <f>SUMIF(Recibos!$D$4:$D$7493,Cobranza!$B335,Recibos!AC$4:AC$7493)</f>
        <v>0</v>
      </c>
      <c r="BR335" s="311">
        <f>SUMIF(Recibos!$D$4:$D$7493,Cobranza!$B335,Recibos!AD$4:AD$7493)</f>
        <v>0</v>
      </c>
      <c r="BS335" s="311">
        <f>SUMIF(Recibos!$D$4:$D$7493,Cobranza!$B335,Recibos!AE$4:AE$7493)</f>
        <v>0</v>
      </c>
      <c r="BT335" s="311">
        <f>SUMIF(Recibos!$D$4:$D$7493,Cobranza!$B335,Recibos!AF$4:AF$7493)</f>
        <v>0</v>
      </c>
      <c r="BU335" s="311">
        <f>SUMIF(Recibos!$D$4:$D$7493,Cobranza!$B335,Recibos!AG$4:AG$7493)</f>
        <v>0</v>
      </c>
      <c r="BV335" s="311">
        <f>SUMIF(Recibos!$D$4:$D$7493,Cobranza!$B335,Recibos!AH$4:AH$7493)</f>
        <v>0</v>
      </c>
      <c r="BW335" s="311">
        <f>SUMIF(Recibos!$D$4:$D$7493,Cobranza!$B335,Recibos!AI$4:AI$7493)</f>
        <v>0</v>
      </c>
      <c r="BX335" s="312">
        <f t="shared" si="44"/>
        <v>0</v>
      </c>
      <c r="BY335" s="311">
        <f>SUMIF(Recibos!$D$4:$D$7493,Cobranza!$B335,Recibos!AK$4:AK$7493)</f>
        <v>0</v>
      </c>
      <c r="BZ335" s="311">
        <f>SUMIF(Recibos!$D$4:$D$7493,Cobranza!$B335,Recibos!AL$4:AL$7493)</f>
        <v>0</v>
      </c>
      <c r="CA335" s="311">
        <f>SUMIF(Recibos!$D$4:$D$7493,Cobranza!$B335,Recibos!AM$4:AM$7493)</f>
        <v>0</v>
      </c>
      <c r="CB335" s="311">
        <f>SUMIF(Recibos!$D$4:$D$7493,Cobranza!$B335,Recibos!AN$4:AN$7493)</f>
        <v>0</v>
      </c>
      <c r="CC335" s="311">
        <f>SUMIF(Recibos!$D$4:$D$7493,Cobranza!$B335,Recibos!AO$4:AO$7493)</f>
        <v>0</v>
      </c>
      <c r="CD335" s="311">
        <f>SUMIF(Recibos!$D$4:$D$7493,Cobranza!$B335,Recibos!AP$4:AP$7493)</f>
        <v>0</v>
      </c>
      <c r="CE335" s="311">
        <f>SUMIF(Recibos!$D$4:$D$7493,Cobranza!$B335,Recibos!AQ$4:AQ$7493)</f>
        <v>0</v>
      </c>
      <c r="CF335" s="311">
        <f>SUMIF(Recibos!$D$4:$D$7493,Cobranza!$B335,Recibos!AR$4:AR$7493)</f>
        <v>0</v>
      </c>
      <c r="CG335" s="311">
        <f>SUMIF(Recibos!$D$4:$D$7493,Cobranza!$B335,Recibos!AS$4:AS$7493)</f>
        <v>0</v>
      </c>
      <c r="CH335" s="311">
        <f>SUMIF(Recibos!$D$4:$D$7493,Cobranza!$B335,Recibos!AT$4:AT$7493)</f>
        <v>0</v>
      </c>
      <c r="CI335" s="311">
        <f>SUMIF(Recibos!$D$4:$D$7493,Cobranza!$B335,Recibos!AU$4:AU$7493)</f>
        <v>0</v>
      </c>
      <c r="CJ335" s="311">
        <f>SUMIF(Recibos!$D$4:$D$7493,Cobranza!$B335,Recibos!AV$4:AV$7493)</f>
        <v>0</v>
      </c>
      <c r="CK335" s="312">
        <f t="shared" si="45"/>
        <v>0</v>
      </c>
    </row>
    <row r="336" spans="2:89" x14ac:dyDescent="0.2">
      <c r="B336" s="45" t="s">
        <v>410</v>
      </c>
      <c r="C336" s="45" t="s">
        <v>411</v>
      </c>
      <c r="D336" s="45" t="s">
        <v>412</v>
      </c>
      <c r="E336" s="46">
        <v>0</v>
      </c>
      <c r="F336" s="46">
        <v>0</v>
      </c>
      <c r="G336" s="46">
        <v>0</v>
      </c>
      <c r="H336" s="46">
        <v>0</v>
      </c>
      <c r="I336" s="46">
        <v>0</v>
      </c>
      <c r="J336" s="46">
        <v>0</v>
      </c>
      <c r="K336" s="47">
        <f t="shared" si="46"/>
        <v>0</v>
      </c>
      <c r="L336" s="46">
        <v>300</v>
      </c>
      <c r="M336" s="46">
        <v>300</v>
      </c>
      <c r="N336" s="46">
        <v>300</v>
      </c>
      <c r="O336" s="46">
        <v>300</v>
      </c>
      <c r="P336" s="46">
        <v>300</v>
      </c>
      <c r="Q336" s="46">
        <v>300</v>
      </c>
      <c r="R336" s="46">
        <v>300</v>
      </c>
      <c r="S336" s="46">
        <v>300</v>
      </c>
      <c r="T336" s="46">
        <v>300</v>
      </c>
      <c r="U336" s="46">
        <v>300</v>
      </c>
      <c r="V336" s="46">
        <v>300</v>
      </c>
      <c r="W336" s="46">
        <v>0</v>
      </c>
      <c r="X336" s="47">
        <f t="shared" si="47"/>
        <v>3300</v>
      </c>
      <c r="Y336" s="46">
        <v>300</v>
      </c>
      <c r="Z336" s="46">
        <v>300</v>
      </c>
      <c r="AA336" s="46">
        <v>300</v>
      </c>
      <c r="AB336" s="46">
        <v>300</v>
      </c>
      <c r="AC336" s="46">
        <v>300</v>
      </c>
      <c r="AD336" s="46">
        <v>300</v>
      </c>
      <c r="AE336" s="46">
        <v>300</v>
      </c>
      <c r="AF336" s="46">
        <v>300</v>
      </c>
      <c r="AG336" s="46">
        <v>300</v>
      </c>
      <c r="AH336" s="46">
        <v>300</v>
      </c>
      <c r="AI336" s="46">
        <v>300</v>
      </c>
      <c r="AJ336" s="46">
        <v>0</v>
      </c>
      <c r="AK336" s="47">
        <f t="shared" si="48"/>
        <v>3300</v>
      </c>
      <c r="AL336" s="46">
        <v>300</v>
      </c>
      <c r="AM336" s="46">
        <v>300</v>
      </c>
      <c r="AN336" s="46">
        <v>300</v>
      </c>
      <c r="AO336" s="46">
        <v>300</v>
      </c>
      <c r="AP336" s="46">
        <v>300</v>
      </c>
      <c r="AQ336" s="46">
        <v>300</v>
      </c>
      <c r="AR336" s="46">
        <v>300</v>
      </c>
      <c r="AS336" s="46">
        <v>300</v>
      </c>
      <c r="AT336" s="46">
        <v>300</v>
      </c>
      <c r="AU336" s="46">
        <v>300</v>
      </c>
      <c r="AV336" s="46">
        <v>300</v>
      </c>
      <c r="AW336" s="46">
        <v>0</v>
      </c>
      <c r="AX336" s="47">
        <f t="shared" si="49"/>
        <v>3300</v>
      </c>
      <c r="AY336" s="313">
        <f>SUMIF(Recibos!$D$4:$D$7493,Cobranza!$B336,Recibos!K$4:K$7493)</f>
        <v>300</v>
      </c>
      <c r="AZ336" s="313">
        <f>SUMIF(Recibos!$D$4:$D$7493,Cobranza!$B336,Recibos!L$4:L$7493)</f>
        <v>300</v>
      </c>
      <c r="BA336" s="313">
        <f>SUMIF(Recibos!$D$4:$D$7493,Cobranza!$B336,Recibos!M$4:M$7493)</f>
        <v>300</v>
      </c>
      <c r="BB336" s="313">
        <f>SUMIF(Recibos!$D$4:$D$7493,Cobranza!$B336,Recibos!N$4:N$7493)</f>
        <v>300</v>
      </c>
      <c r="BC336" s="313">
        <f>SUMIF(Recibos!$D$4:$D$7493,Cobranza!$B336,Recibos!O$4:O$7493)</f>
        <v>300</v>
      </c>
      <c r="BD336" s="313">
        <f>SUMIF(Recibos!$D$4:$D$7493,Cobranza!$B336,Recibos!P$4:P$7493)</f>
        <v>300</v>
      </c>
      <c r="BE336" s="313">
        <f>SUMIF(Recibos!$D$4:$D$7493,Cobranza!$B336,Recibos!Q$4:Q$7493)</f>
        <v>300</v>
      </c>
      <c r="BF336" s="313">
        <f>SUMIF(Recibos!$D$4:$D$7493,Cobranza!$B336,Recibos!R$4:R$7493)</f>
        <v>300</v>
      </c>
      <c r="BG336" s="313">
        <f>SUMIF(Recibos!$D$4:$D$7493,Cobranza!$B336,Recibos!S$4:S$7493)</f>
        <v>300</v>
      </c>
      <c r="BH336" s="313">
        <f>SUMIF(Recibos!$D$4:$D$7493,Cobranza!$B336,Recibos!T$4:T$7493)</f>
        <v>300</v>
      </c>
      <c r="BI336" s="313">
        <f>SUMIF(Recibos!$D$4:$D$7493,Cobranza!$B336,Recibos!U$4:U$7493)</f>
        <v>300</v>
      </c>
      <c r="BJ336" s="313">
        <f>SUMIF(Recibos!$D$4:$D$7493,Cobranza!$B336,Recibos!V$4:V$7493)</f>
        <v>0</v>
      </c>
      <c r="BK336" s="314">
        <f t="shared" si="43"/>
        <v>3300</v>
      </c>
      <c r="BL336" s="313">
        <f>SUMIF(Recibos!$D$4:$D$7493,Cobranza!$B336,Recibos!X$4:X$7493)</f>
        <v>300</v>
      </c>
      <c r="BM336" s="313">
        <f>SUMIF(Recibos!$D$4:$D$7493,Cobranza!$B336,Recibos!Y$4:Y$7493)</f>
        <v>300</v>
      </c>
      <c r="BN336" s="313">
        <f>SUMIF(Recibos!$D$4:$D$7493,Cobranza!$B336,Recibos!Z$4:Z$7493)</f>
        <v>300</v>
      </c>
      <c r="BO336" s="313">
        <f>SUMIF(Recibos!$D$4:$D$7493,Cobranza!$B336,Recibos!AA$4:AA$7493)</f>
        <v>300</v>
      </c>
      <c r="BP336" s="313">
        <f>SUMIF(Recibos!$D$4:$D$7493,Cobranza!$B336,Recibos!AB$4:AB$7493)</f>
        <v>300</v>
      </c>
      <c r="BQ336" s="313">
        <f>SUMIF(Recibos!$D$4:$D$7493,Cobranza!$B336,Recibos!AC$4:AC$7493)</f>
        <v>300</v>
      </c>
      <c r="BR336" s="313">
        <f>SUMIF(Recibos!$D$4:$D$7493,Cobranza!$B336,Recibos!AD$4:AD$7493)</f>
        <v>300</v>
      </c>
      <c r="BS336" s="313">
        <f>SUMIF(Recibos!$D$4:$D$7493,Cobranza!$B336,Recibos!AE$4:AE$7493)</f>
        <v>300</v>
      </c>
      <c r="BT336" s="313">
        <f>SUMIF(Recibos!$D$4:$D$7493,Cobranza!$B336,Recibos!AF$4:AF$7493)</f>
        <v>300</v>
      </c>
      <c r="BU336" s="313">
        <f>SUMIF(Recibos!$D$4:$D$7493,Cobranza!$B336,Recibos!AG$4:AG$7493)</f>
        <v>300</v>
      </c>
      <c r="BV336" s="313">
        <f>SUMIF(Recibos!$D$4:$D$7493,Cobranza!$B336,Recibos!AH$4:AH$7493)</f>
        <v>300</v>
      </c>
      <c r="BW336" s="313">
        <f>SUMIF(Recibos!$D$4:$D$7493,Cobranza!$B336,Recibos!AI$4:AI$7493)</f>
        <v>0</v>
      </c>
      <c r="BX336" s="314">
        <f t="shared" si="44"/>
        <v>3300</v>
      </c>
      <c r="BY336" s="313">
        <f>SUMIF(Recibos!$D$4:$D$7493,Cobranza!$B336,Recibos!AK$4:AK$7493)</f>
        <v>300</v>
      </c>
      <c r="BZ336" s="313">
        <f>SUMIF(Recibos!$D$4:$D$7493,Cobranza!$B336,Recibos!AL$4:AL$7493)</f>
        <v>300</v>
      </c>
      <c r="CA336" s="313">
        <f>SUMIF(Recibos!$D$4:$D$7493,Cobranza!$B336,Recibos!AM$4:AM$7493)</f>
        <v>300</v>
      </c>
      <c r="CB336" s="313">
        <f>SUMIF(Recibos!$D$4:$D$7493,Cobranza!$B336,Recibos!AN$4:AN$7493)</f>
        <v>300</v>
      </c>
      <c r="CC336" s="313">
        <f>SUMIF(Recibos!$D$4:$D$7493,Cobranza!$B336,Recibos!AO$4:AO$7493)</f>
        <v>300</v>
      </c>
      <c r="CD336" s="313">
        <f>SUMIF(Recibos!$D$4:$D$7493,Cobranza!$B336,Recibos!AP$4:AP$7493)</f>
        <v>300</v>
      </c>
      <c r="CE336" s="313">
        <f>SUMIF(Recibos!$D$4:$D$7493,Cobranza!$B336,Recibos!AQ$4:AQ$7493)</f>
        <v>300</v>
      </c>
      <c r="CF336" s="313">
        <f>SUMIF(Recibos!$D$4:$D$7493,Cobranza!$B336,Recibos!AR$4:AR$7493)</f>
        <v>300</v>
      </c>
      <c r="CG336" s="313">
        <f>SUMIF(Recibos!$D$4:$D$7493,Cobranza!$B336,Recibos!AS$4:AS$7493)</f>
        <v>300</v>
      </c>
      <c r="CH336" s="313">
        <f>SUMIF(Recibos!$D$4:$D$7493,Cobranza!$B336,Recibos!AT$4:AT$7493)</f>
        <v>300</v>
      </c>
      <c r="CI336" s="313">
        <f>SUMIF(Recibos!$D$4:$D$7493,Cobranza!$B336,Recibos!AU$4:AU$7493)</f>
        <v>300</v>
      </c>
      <c r="CJ336" s="313">
        <f>SUMIF(Recibos!$D$4:$D$7493,Cobranza!$B336,Recibos!AV$4:AV$7493)</f>
        <v>0</v>
      </c>
      <c r="CK336" s="314">
        <f t="shared" si="45"/>
        <v>3300</v>
      </c>
    </row>
    <row r="337" spans="2:89" x14ac:dyDescent="0.2">
      <c r="B337" s="42" t="s">
        <v>304</v>
      </c>
      <c r="C337" s="42" t="s">
        <v>305</v>
      </c>
      <c r="D337" s="42" t="s">
        <v>306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4">
        <f t="shared" si="46"/>
        <v>0</v>
      </c>
      <c r="L337" s="43">
        <v>250</v>
      </c>
      <c r="M337" s="43">
        <v>250</v>
      </c>
      <c r="N337" s="43">
        <v>250</v>
      </c>
      <c r="O337" s="43">
        <v>250</v>
      </c>
      <c r="P337" s="43">
        <v>250</v>
      </c>
      <c r="Q337" s="43">
        <v>250</v>
      </c>
      <c r="R337" s="43">
        <v>250</v>
      </c>
      <c r="S337" s="43">
        <v>250</v>
      </c>
      <c r="T337" s="43">
        <v>250</v>
      </c>
      <c r="U337" s="43">
        <v>250</v>
      </c>
      <c r="V337" s="43">
        <v>250</v>
      </c>
      <c r="W337" s="43">
        <v>0</v>
      </c>
      <c r="X337" s="44">
        <f t="shared" si="47"/>
        <v>2750</v>
      </c>
      <c r="Y337" s="43">
        <v>250</v>
      </c>
      <c r="Z337" s="43">
        <v>250</v>
      </c>
      <c r="AA337" s="43">
        <v>250</v>
      </c>
      <c r="AB337" s="43">
        <v>250</v>
      </c>
      <c r="AC337" s="43">
        <v>250</v>
      </c>
      <c r="AD337" s="43">
        <v>250</v>
      </c>
      <c r="AE337" s="43">
        <v>250</v>
      </c>
      <c r="AF337" s="43">
        <v>250</v>
      </c>
      <c r="AG337" s="43">
        <v>250</v>
      </c>
      <c r="AH337" s="43">
        <v>250</v>
      </c>
      <c r="AI337" s="43">
        <v>250</v>
      </c>
      <c r="AJ337" s="43">
        <v>250</v>
      </c>
      <c r="AK337" s="44">
        <f t="shared" si="48"/>
        <v>3000</v>
      </c>
      <c r="AL337" s="43">
        <v>400</v>
      </c>
      <c r="AM337" s="43">
        <v>400</v>
      </c>
      <c r="AN337" s="43">
        <v>400</v>
      </c>
      <c r="AO337" s="43">
        <v>400</v>
      </c>
      <c r="AP337" s="43">
        <v>400</v>
      </c>
      <c r="AQ337" s="43">
        <v>400</v>
      </c>
      <c r="AR337" s="43">
        <v>400</v>
      </c>
      <c r="AS337" s="43">
        <v>400</v>
      </c>
      <c r="AT337" s="43">
        <v>400</v>
      </c>
      <c r="AU337" s="43">
        <v>400</v>
      </c>
      <c r="AV337" s="43">
        <v>400</v>
      </c>
      <c r="AW337" s="43">
        <v>0</v>
      </c>
      <c r="AX337" s="44">
        <f t="shared" si="49"/>
        <v>4400</v>
      </c>
      <c r="AY337" s="311">
        <f>SUMIF(Recibos!$D$4:$D$7493,Cobranza!$B337,Recibos!K$4:K$7493)</f>
        <v>400</v>
      </c>
      <c r="AZ337" s="311">
        <f>SUMIF(Recibos!$D$4:$D$7493,Cobranza!$B337,Recibos!L$4:L$7493)</f>
        <v>400</v>
      </c>
      <c r="BA337" s="311">
        <f>SUMIF(Recibos!$D$4:$D$7493,Cobranza!$B337,Recibos!M$4:M$7493)</f>
        <v>400</v>
      </c>
      <c r="BB337" s="311">
        <f>SUMIF(Recibos!$D$4:$D$7493,Cobranza!$B337,Recibos!N$4:N$7493)</f>
        <v>400</v>
      </c>
      <c r="BC337" s="311">
        <f>SUMIF(Recibos!$D$4:$D$7493,Cobranza!$B337,Recibos!O$4:O$7493)</f>
        <v>400</v>
      </c>
      <c r="BD337" s="311">
        <f>SUMIF(Recibos!$D$4:$D$7493,Cobranza!$B337,Recibos!P$4:P$7493)</f>
        <v>400</v>
      </c>
      <c r="BE337" s="311">
        <f>SUMIF(Recibos!$D$4:$D$7493,Cobranza!$B337,Recibos!Q$4:Q$7493)</f>
        <v>400</v>
      </c>
      <c r="BF337" s="311">
        <f>SUMIF(Recibos!$D$4:$D$7493,Cobranza!$B337,Recibos!R$4:R$7493)</f>
        <v>400</v>
      </c>
      <c r="BG337" s="311">
        <f>SUMIF(Recibos!$D$4:$D$7493,Cobranza!$B337,Recibos!S$4:S$7493)</f>
        <v>400</v>
      </c>
      <c r="BH337" s="311">
        <f>SUMIF(Recibos!$D$4:$D$7493,Cobranza!$B337,Recibos!T$4:T$7493)</f>
        <v>400</v>
      </c>
      <c r="BI337" s="311">
        <f>SUMIF(Recibos!$D$4:$D$7493,Cobranza!$B337,Recibos!U$4:U$7493)</f>
        <v>400</v>
      </c>
      <c r="BJ337" s="311">
        <f>SUMIF(Recibos!$D$4:$D$7493,Cobranza!$B337,Recibos!V$4:V$7493)</f>
        <v>0</v>
      </c>
      <c r="BK337" s="312">
        <f t="shared" si="43"/>
        <v>4400</v>
      </c>
      <c r="BL337" s="311">
        <f>SUMIF(Recibos!$D$4:$D$7493,Cobranza!$B337,Recibos!X$4:X$7493)</f>
        <v>400</v>
      </c>
      <c r="BM337" s="311">
        <f>SUMIF(Recibos!$D$4:$D$7493,Cobranza!$B337,Recibos!Y$4:Y$7493)</f>
        <v>400</v>
      </c>
      <c r="BN337" s="311">
        <f>SUMIF(Recibos!$D$4:$D$7493,Cobranza!$B337,Recibos!Z$4:Z$7493)</f>
        <v>400</v>
      </c>
      <c r="BO337" s="311">
        <f>SUMIF(Recibos!$D$4:$D$7493,Cobranza!$B337,Recibos!AA$4:AA$7493)</f>
        <v>400</v>
      </c>
      <c r="BP337" s="311">
        <f>SUMIF(Recibos!$D$4:$D$7493,Cobranza!$B337,Recibos!AB$4:AB$7493)</f>
        <v>400</v>
      </c>
      <c r="BQ337" s="311">
        <f>SUMIF(Recibos!$D$4:$D$7493,Cobranza!$B337,Recibos!AC$4:AC$7493)</f>
        <v>400</v>
      </c>
      <c r="BR337" s="311">
        <f>SUMIF(Recibos!$D$4:$D$7493,Cobranza!$B337,Recibos!AD$4:AD$7493)</f>
        <v>400</v>
      </c>
      <c r="BS337" s="311">
        <f>SUMIF(Recibos!$D$4:$D$7493,Cobranza!$B337,Recibos!AE$4:AE$7493)</f>
        <v>400</v>
      </c>
      <c r="BT337" s="311">
        <f>SUMIF(Recibos!$D$4:$D$7493,Cobranza!$B337,Recibos!AF$4:AF$7493)</f>
        <v>400</v>
      </c>
      <c r="BU337" s="311">
        <f>SUMIF(Recibos!$D$4:$D$7493,Cobranza!$B337,Recibos!AG$4:AG$7493)</f>
        <v>400</v>
      </c>
      <c r="BV337" s="311">
        <f>SUMIF(Recibos!$D$4:$D$7493,Cobranza!$B337,Recibos!AH$4:AH$7493)</f>
        <v>400</v>
      </c>
      <c r="BW337" s="311">
        <f>SUMIF(Recibos!$D$4:$D$7493,Cobranza!$B337,Recibos!AI$4:AI$7493)</f>
        <v>0</v>
      </c>
      <c r="BX337" s="312">
        <f t="shared" si="44"/>
        <v>4400</v>
      </c>
      <c r="BY337" s="311">
        <f>SUMIF(Recibos!$D$4:$D$7493,Cobranza!$B337,Recibos!AK$4:AK$7493)</f>
        <v>400</v>
      </c>
      <c r="BZ337" s="311">
        <f>SUMIF(Recibos!$D$4:$D$7493,Cobranza!$B337,Recibos!AL$4:AL$7493)</f>
        <v>400</v>
      </c>
      <c r="CA337" s="311">
        <f>SUMIF(Recibos!$D$4:$D$7493,Cobranza!$B337,Recibos!AM$4:AM$7493)</f>
        <v>400</v>
      </c>
      <c r="CB337" s="311">
        <f>SUMIF(Recibos!$D$4:$D$7493,Cobranza!$B337,Recibos!AN$4:AN$7493)</f>
        <v>400</v>
      </c>
      <c r="CC337" s="311">
        <f>SUMIF(Recibos!$D$4:$D$7493,Cobranza!$B337,Recibos!AO$4:AO$7493)</f>
        <v>400</v>
      </c>
      <c r="CD337" s="311">
        <f>SUMIF(Recibos!$D$4:$D$7493,Cobranza!$B337,Recibos!AP$4:AP$7493)</f>
        <v>400</v>
      </c>
      <c r="CE337" s="311">
        <f>SUMIF(Recibos!$D$4:$D$7493,Cobranza!$B337,Recibos!AQ$4:AQ$7493)</f>
        <v>400</v>
      </c>
      <c r="CF337" s="311">
        <f>SUMIF(Recibos!$D$4:$D$7493,Cobranza!$B337,Recibos!AR$4:AR$7493)</f>
        <v>400</v>
      </c>
      <c r="CG337" s="311">
        <f>SUMIF(Recibos!$D$4:$D$7493,Cobranza!$B337,Recibos!AS$4:AS$7493)</f>
        <v>400</v>
      </c>
      <c r="CH337" s="311">
        <f>SUMIF(Recibos!$D$4:$D$7493,Cobranza!$B337,Recibos!AT$4:AT$7493)</f>
        <v>400</v>
      </c>
      <c r="CI337" s="311">
        <f>SUMIF(Recibos!$D$4:$D$7493,Cobranza!$B337,Recibos!AU$4:AU$7493)</f>
        <v>400</v>
      </c>
      <c r="CJ337" s="311">
        <f>SUMIF(Recibos!$D$4:$D$7493,Cobranza!$B337,Recibos!AV$4:AV$7493)</f>
        <v>0</v>
      </c>
      <c r="CK337" s="312">
        <f t="shared" si="45"/>
        <v>4400</v>
      </c>
    </row>
    <row r="338" spans="2:89" x14ac:dyDescent="0.2">
      <c r="B338" s="45" t="s">
        <v>1406</v>
      </c>
      <c r="C338" s="45" t="s">
        <v>1407</v>
      </c>
      <c r="D338" s="45" t="s">
        <v>1408</v>
      </c>
      <c r="E338" s="46">
        <v>0</v>
      </c>
      <c r="F338" s="46">
        <v>0</v>
      </c>
      <c r="G338" s="46">
        <v>0</v>
      </c>
      <c r="H338" s="46">
        <v>0</v>
      </c>
      <c r="I338" s="46">
        <v>0</v>
      </c>
      <c r="J338" s="46">
        <v>0</v>
      </c>
      <c r="K338" s="47">
        <f t="shared" si="46"/>
        <v>0</v>
      </c>
      <c r="L338" s="46">
        <v>0</v>
      </c>
      <c r="M338" s="46">
        <v>0</v>
      </c>
      <c r="N338" s="46">
        <v>0</v>
      </c>
      <c r="O338" s="46">
        <v>0</v>
      </c>
      <c r="P338" s="46">
        <v>0</v>
      </c>
      <c r="Q338" s="46">
        <v>0</v>
      </c>
      <c r="R338" s="46">
        <v>0</v>
      </c>
      <c r="S338" s="46">
        <v>0</v>
      </c>
      <c r="T338" s="46">
        <v>0</v>
      </c>
      <c r="U338" s="46">
        <v>0</v>
      </c>
      <c r="V338" s="46">
        <v>0</v>
      </c>
      <c r="W338" s="46">
        <v>0</v>
      </c>
      <c r="X338" s="47">
        <f t="shared" si="47"/>
        <v>0</v>
      </c>
      <c r="Y338" s="46">
        <v>0</v>
      </c>
      <c r="Z338" s="46">
        <v>0</v>
      </c>
      <c r="AA338" s="46">
        <v>0</v>
      </c>
      <c r="AB338" s="46">
        <v>0</v>
      </c>
      <c r="AC338" s="46">
        <v>0</v>
      </c>
      <c r="AD338" s="46">
        <v>0</v>
      </c>
      <c r="AE338" s="46">
        <v>0</v>
      </c>
      <c r="AF338" s="46">
        <v>0</v>
      </c>
      <c r="AG338" s="46">
        <v>0</v>
      </c>
      <c r="AH338" s="46">
        <v>0</v>
      </c>
      <c r="AI338" s="46">
        <v>0</v>
      </c>
      <c r="AJ338" s="46">
        <v>0</v>
      </c>
      <c r="AK338" s="47">
        <f t="shared" si="48"/>
        <v>0</v>
      </c>
      <c r="AL338" s="46">
        <v>0</v>
      </c>
      <c r="AM338" s="46">
        <v>0</v>
      </c>
      <c r="AN338" s="46">
        <v>0</v>
      </c>
      <c r="AO338" s="46">
        <v>0</v>
      </c>
      <c r="AP338" s="46">
        <v>0</v>
      </c>
      <c r="AQ338" s="46">
        <v>0</v>
      </c>
      <c r="AR338" s="46">
        <v>0</v>
      </c>
      <c r="AS338" s="46">
        <v>0</v>
      </c>
      <c r="AT338" s="46">
        <v>0</v>
      </c>
      <c r="AU338" s="46">
        <v>0</v>
      </c>
      <c r="AV338" s="46">
        <v>0</v>
      </c>
      <c r="AW338" s="46">
        <v>0</v>
      </c>
      <c r="AX338" s="47">
        <f t="shared" si="49"/>
        <v>0</v>
      </c>
      <c r="AY338" s="313">
        <f>SUMIF(Recibos!$D$4:$D$7493,Cobranza!$B338,Recibos!K$4:K$7493)</f>
        <v>0</v>
      </c>
      <c r="AZ338" s="313">
        <f>SUMIF(Recibos!$D$4:$D$7493,Cobranza!$B338,Recibos!L$4:L$7493)</f>
        <v>0</v>
      </c>
      <c r="BA338" s="313">
        <f>SUMIF(Recibos!$D$4:$D$7493,Cobranza!$B338,Recibos!M$4:M$7493)</f>
        <v>0</v>
      </c>
      <c r="BB338" s="313">
        <f>SUMIF(Recibos!$D$4:$D$7493,Cobranza!$B338,Recibos!N$4:N$7493)</f>
        <v>0</v>
      </c>
      <c r="BC338" s="313">
        <f>SUMIF(Recibos!$D$4:$D$7493,Cobranza!$B338,Recibos!O$4:O$7493)</f>
        <v>0</v>
      </c>
      <c r="BD338" s="313">
        <f>SUMIF(Recibos!$D$4:$D$7493,Cobranza!$B338,Recibos!P$4:P$7493)</f>
        <v>0</v>
      </c>
      <c r="BE338" s="313">
        <f>SUMIF(Recibos!$D$4:$D$7493,Cobranza!$B338,Recibos!Q$4:Q$7493)</f>
        <v>0</v>
      </c>
      <c r="BF338" s="313">
        <f>SUMIF(Recibos!$D$4:$D$7493,Cobranza!$B338,Recibos!R$4:R$7493)</f>
        <v>0</v>
      </c>
      <c r="BG338" s="313">
        <f>SUMIF(Recibos!$D$4:$D$7493,Cobranza!$B338,Recibos!S$4:S$7493)</f>
        <v>0</v>
      </c>
      <c r="BH338" s="313">
        <f>SUMIF(Recibos!$D$4:$D$7493,Cobranza!$B338,Recibos!T$4:T$7493)</f>
        <v>0</v>
      </c>
      <c r="BI338" s="313">
        <f>SUMIF(Recibos!$D$4:$D$7493,Cobranza!$B338,Recibos!U$4:U$7493)</f>
        <v>0</v>
      </c>
      <c r="BJ338" s="313">
        <f>SUMIF(Recibos!$D$4:$D$7493,Cobranza!$B338,Recibos!V$4:V$7493)</f>
        <v>0</v>
      </c>
      <c r="BK338" s="314">
        <f t="shared" si="43"/>
        <v>0</v>
      </c>
      <c r="BL338" s="313">
        <f>SUMIF(Recibos!$D$4:$D$7493,Cobranza!$B338,Recibos!X$4:X$7493)</f>
        <v>0</v>
      </c>
      <c r="BM338" s="313">
        <f>SUMIF(Recibos!$D$4:$D$7493,Cobranza!$B338,Recibos!Y$4:Y$7493)</f>
        <v>0</v>
      </c>
      <c r="BN338" s="313">
        <f>SUMIF(Recibos!$D$4:$D$7493,Cobranza!$B338,Recibos!Z$4:Z$7493)</f>
        <v>0</v>
      </c>
      <c r="BO338" s="313">
        <f>SUMIF(Recibos!$D$4:$D$7493,Cobranza!$B338,Recibos!AA$4:AA$7493)</f>
        <v>0</v>
      </c>
      <c r="BP338" s="313">
        <f>SUMIF(Recibos!$D$4:$D$7493,Cobranza!$B338,Recibos!AB$4:AB$7493)</f>
        <v>0</v>
      </c>
      <c r="BQ338" s="313">
        <f>SUMIF(Recibos!$D$4:$D$7493,Cobranza!$B338,Recibos!AC$4:AC$7493)</f>
        <v>0</v>
      </c>
      <c r="BR338" s="313">
        <f>SUMIF(Recibos!$D$4:$D$7493,Cobranza!$B338,Recibos!AD$4:AD$7493)</f>
        <v>0</v>
      </c>
      <c r="BS338" s="313">
        <f>SUMIF(Recibos!$D$4:$D$7493,Cobranza!$B338,Recibos!AE$4:AE$7493)</f>
        <v>0</v>
      </c>
      <c r="BT338" s="313">
        <f>SUMIF(Recibos!$D$4:$D$7493,Cobranza!$B338,Recibos!AF$4:AF$7493)</f>
        <v>0</v>
      </c>
      <c r="BU338" s="313">
        <f>SUMIF(Recibos!$D$4:$D$7493,Cobranza!$B338,Recibos!AG$4:AG$7493)</f>
        <v>0</v>
      </c>
      <c r="BV338" s="313">
        <f>SUMIF(Recibos!$D$4:$D$7493,Cobranza!$B338,Recibos!AH$4:AH$7493)</f>
        <v>0</v>
      </c>
      <c r="BW338" s="313">
        <f>SUMIF(Recibos!$D$4:$D$7493,Cobranza!$B338,Recibos!AI$4:AI$7493)</f>
        <v>0</v>
      </c>
      <c r="BX338" s="314">
        <f t="shared" si="44"/>
        <v>0</v>
      </c>
      <c r="BY338" s="313">
        <f>SUMIF(Recibos!$D$4:$D$7493,Cobranza!$B338,Recibos!AK$4:AK$7493)</f>
        <v>0</v>
      </c>
      <c r="BZ338" s="313">
        <f>SUMIF(Recibos!$D$4:$D$7493,Cobranza!$B338,Recibos!AL$4:AL$7493)</f>
        <v>0</v>
      </c>
      <c r="CA338" s="313">
        <f>SUMIF(Recibos!$D$4:$D$7493,Cobranza!$B338,Recibos!AM$4:AM$7493)</f>
        <v>0</v>
      </c>
      <c r="CB338" s="313">
        <f>SUMIF(Recibos!$D$4:$D$7493,Cobranza!$B338,Recibos!AN$4:AN$7493)</f>
        <v>0</v>
      </c>
      <c r="CC338" s="313">
        <f>SUMIF(Recibos!$D$4:$D$7493,Cobranza!$B338,Recibos!AO$4:AO$7493)</f>
        <v>0</v>
      </c>
      <c r="CD338" s="313">
        <f>SUMIF(Recibos!$D$4:$D$7493,Cobranza!$B338,Recibos!AP$4:AP$7493)</f>
        <v>0</v>
      </c>
      <c r="CE338" s="313">
        <f>SUMIF(Recibos!$D$4:$D$7493,Cobranza!$B338,Recibos!AQ$4:AQ$7493)</f>
        <v>0</v>
      </c>
      <c r="CF338" s="313">
        <f>SUMIF(Recibos!$D$4:$D$7493,Cobranza!$B338,Recibos!AR$4:AR$7493)</f>
        <v>0</v>
      </c>
      <c r="CG338" s="313">
        <f>SUMIF(Recibos!$D$4:$D$7493,Cobranza!$B338,Recibos!AS$4:AS$7493)</f>
        <v>0</v>
      </c>
      <c r="CH338" s="313">
        <f>SUMIF(Recibos!$D$4:$D$7493,Cobranza!$B338,Recibos!AT$4:AT$7493)</f>
        <v>0</v>
      </c>
      <c r="CI338" s="313">
        <f>SUMIF(Recibos!$D$4:$D$7493,Cobranza!$B338,Recibos!AU$4:AU$7493)</f>
        <v>0</v>
      </c>
      <c r="CJ338" s="313">
        <f>SUMIF(Recibos!$D$4:$D$7493,Cobranza!$B338,Recibos!AV$4:AV$7493)</f>
        <v>0</v>
      </c>
      <c r="CK338" s="314">
        <f t="shared" si="45"/>
        <v>0</v>
      </c>
    </row>
    <row r="339" spans="2:89" x14ac:dyDescent="0.2">
      <c r="B339" s="42" t="s">
        <v>1089</v>
      </c>
      <c r="C339" s="42" t="s">
        <v>1090</v>
      </c>
      <c r="D339" s="42" t="s">
        <v>1091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300</v>
      </c>
      <c r="K339" s="44">
        <f t="shared" si="46"/>
        <v>300</v>
      </c>
      <c r="L339" s="43">
        <v>300</v>
      </c>
      <c r="M339" s="43">
        <v>300</v>
      </c>
      <c r="N339" s="43">
        <v>300</v>
      </c>
      <c r="O339" s="43">
        <v>100</v>
      </c>
      <c r="P339" s="43">
        <v>100</v>
      </c>
      <c r="Q339" s="43">
        <v>100</v>
      </c>
      <c r="R339" s="43">
        <v>100</v>
      </c>
      <c r="S339" s="43">
        <v>100</v>
      </c>
      <c r="T339" s="43">
        <v>200</v>
      </c>
      <c r="U339" s="43">
        <v>400</v>
      </c>
      <c r="V339" s="43">
        <v>0</v>
      </c>
      <c r="W339" s="43">
        <v>0</v>
      </c>
      <c r="X339" s="44">
        <f t="shared" si="47"/>
        <v>2000</v>
      </c>
      <c r="Y339" s="43">
        <v>0</v>
      </c>
      <c r="Z339" s="43">
        <v>0</v>
      </c>
      <c r="AA339" s="43">
        <v>0</v>
      </c>
      <c r="AB339" s="43">
        <v>0</v>
      </c>
      <c r="AC339" s="43">
        <v>0</v>
      </c>
      <c r="AD339" s="43">
        <v>0</v>
      </c>
      <c r="AE339" s="43">
        <v>0</v>
      </c>
      <c r="AF339" s="43">
        <v>0</v>
      </c>
      <c r="AG339" s="43">
        <v>0</v>
      </c>
      <c r="AH339" s="43">
        <v>0</v>
      </c>
      <c r="AI339" s="43">
        <v>0</v>
      </c>
      <c r="AJ339" s="43">
        <v>0</v>
      </c>
      <c r="AK339" s="44">
        <f t="shared" si="48"/>
        <v>0</v>
      </c>
      <c r="AL339" s="43">
        <v>0</v>
      </c>
      <c r="AM339" s="43">
        <v>0</v>
      </c>
      <c r="AN339" s="43">
        <v>0</v>
      </c>
      <c r="AO339" s="43">
        <v>0</v>
      </c>
      <c r="AP339" s="43">
        <v>0</v>
      </c>
      <c r="AQ339" s="43">
        <v>0</v>
      </c>
      <c r="AR339" s="43">
        <v>0</v>
      </c>
      <c r="AS339" s="43">
        <v>0</v>
      </c>
      <c r="AT339" s="43">
        <v>0</v>
      </c>
      <c r="AU339" s="43">
        <v>0</v>
      </c>
      <c r="AV339" s="43">
        <v>0</v>
      </c>
      <c r="AW339" s="43">
        <v>0</v>
      </c>
      <c r="AX339" s="44">
        <f t="shared" si="49"/>
        <v>0</v>
      </c>
      <c r="AY339" s="311">
        <f>SUMIF(Recibos!$D$4:$D$7493,Cobranza!$B339,Recibos!K$4:K$7493)</f>
        <v>0</v>
      </c>
      <c r="AZ339" s="311">
        <f>SUMIF(Recibos!$D$4:$D$7493,Cobranza!$B339,Recibos!L$4:L$7493)</f>
        <v>0</v>
      </c>
      <c r="BA339" s="311">
        <f>SUMIF(Recibos!$D$4:$D$7493,Cobranza!$B339,Recibos!M$4:M$7493)</f>
        <v>0</v>
      </c>
      <c r="BB339" s="311">
        <f>SUMIF(Recibos!$D$4:$D$7493,Cobranza!$B339,Recibos!N$4:N$7493)</f>
        <v>0</v>
      </c>
      <c r="BC339" s="311">
        <f>SUMIF(Recibos!$D$4:$D$7493,Cobranza!$B339,Recibos!O$4:O$7493)</f>
        <v>0</v>
      </c>
      <c r="BD339" s="311">
        <f>SUMIF(Recibos!$D$4:$D$7493,Cobranza!$B339,Recibos!P$4:P$7493)</f>
        <v>0</v>
      </c>
      <c r="BE339" s="311">
        <f>SUMIF(Recibos!$D$4:$D$7493,Cobranza!$B339,Recibos!Q$4:Q$7493)</f>
        <v>250</v>
      </c>
      <c r="BF339" s="311">
        <f>SUMIF(Recibos!$D$4:$D$7493,Cobranza!$B339,Recibos!R$4:R$7493)</f>
        <v>250</v>
      </c>
      <c r="BG339" s="311">
        <f>SUMIF(Recibos!$D$4:$D$7493,Cobranza!$B339,Recibos!S$4:S$7493)</f>
        <v>250</v>
      </c>
      <c r="BH339" s="311">
        <f>SUMIF(Recibos!$D$4:$D$7493,Cobranza!$B339,Recibos!T$4:T$7493)</f>
        <v>0</v>
      </c>
      <c r="BI339" s="311">
        <f>SUMIF(Recibos!$D$4:$D$7493,Cobranza!$B339,Recibos!U$4:U$7493)</f>
        <v>0</v>
      </c>
      <c r="BJ339" s="311">
        <f>SUMIF(Recibos!$D$4:$D$7493,Cobranza!$B339,Recibos!V$4:V$7493)</f>
        <v>0</v>
      </c>
      <c r="BK339" s="312">
        <f t="shared" si="43"/>
        <v>750</v>
      </c>
      <c r="BL339" s="311">
        <f>SUMIF(Recibos!$D$4:$D$7493,Cobranza!$B339,Recibos!X$4:X$7493)</f>
        <v>0</v>
      </c>
      <c r="BM339" s="311">
        <f>SUMIF(Recibos!$D$4:$D$7493,Cobranza!$B339,Recibos!Y$4:Y$7493)</f>
        <v>0</v>
      </c>
      <c r="BN339" s="311">
        <f>SUMIF(Recibos!$D$4:$D$7493,Cobranza!$B339,Recibos!Z$4:Z$7493)</f>
        <v>0</v>
      </c>
      <c r="BO339" s="311">
        <f>SUMIF(Recibos!$D$4:$D$7493,Cobranza!$B339,Recibos!AA$4:AA$7493)</f>
        <v>0</v>
      </c>
      <c r="BP339" s="311">
        <f>SUMIF(Recibos!$D$4:$D$7493,Cobranza!$B339,Recibos!AB$4:AB$7493)</f>
        <v>0</v>
      </c>
      <c r="BQ339" s="311">
        <f>SUMIF(Recibos!$D$4:$D$7493,Cobranza!$B339,Recibos!AC$4:AC$7493)</f>
        <v>0</v>
      </c>
      <c r="BR339" s="311">
        <f>SUMIF(Recibos!$D$4:$D$7493,Cobranza!$B339,Recibos!AD$4:AD$7493)</f>
        <v>0</v>
      </c>
      <c r="BS339" s="311">
        <f>SUMIF(Recibos!$D$4:$D$7493,Cobranza!$B339,Recibos!AE$4:AE$7493)</f>
        <v>0</v>
      </c>
      <c r="BT339" s="311">
        <f>SUMIF(Recibos!$D$4:$D$7493,Cobranza!$B339,Recibos!AF$4:AF$7493)</f>
        <v>0</v>
      </c>
      <c r="BU339" s="311">
        <f>SUMIF(Recibos!$D$4:$D$7493,Cobranza!$B339,Recibos!AG$4:AG$7493)</f>
        <v>0</v>
      </c>
      <c r="BV339" s="311">
        <f>SUMIF(Recibos!$D$4:$D$7493,Cobranza!$B339,Recibos!AH$4:AH$7493)</f>
        <v>0</v>
      </c>
      <c r="BW339" s="311">
        <f>SUMIF(Recibos!$D$4:$D$7493,Cobranza!$B339,Recibos!AI$4:AI$7493)</f>
        <v>0</v>
      </c>
      <c r="BX339" s="312">
        <f t="shared" si="44"/>
        <v>0</v>
      </c>
      <c r="BY339" s="311">
        <f>SUMIF(Recibos!$D$4:$D$7493,Cobranza!$B339,Recibos!AK$4:AK$7493)</f>
        <v>0</v>
      </c>
      <c r="BZ339" s="311">
        <f>SUMIF(Recibos!$D$4:$D$7493,Cobranza!$B339,Recibos!AL$4:AL$7493)</f>
        <v>0</v>
      </c>
      <c r="CA339" s="311">
        <f>SUMIF(Recibos!$D$4:$D$7493,Cobranza!$B339,Recibos!AM$4:AM$7493)</f>
        <v>0</v>
      </c>
      <c r="CB339" s="311">
        <f>SUMIF(Recibos!$D$4:$D$7493,Cobranza!$B339,Recibos!AN$4:AN$7493)</f>
        <v>0</v>
      </c>
      <c r="CC339" s="311">
        <f>SUMIF(Recibos!$D$4:$D$7493,Cobranza!$B339,Recibos!AO$4:AO$7493)</f>
        <v>300</v>
      </c>
      <c r="CD339" s="311">
        <f>SUMIF(Recibos!$D$4:$D$7493,Cobranza!$B339,Recibos!AP$4:AP$7493)</f>
        <v>300</v>
      </c>
      <c r="CE339" s="311">
        <f>SUMIF(Recibos!$D$4:$D$7493,Cobranza!$B339,Recibos!AQ$4:AQ$7493)</f>
        <v>300</v>
      </c>
      <c r="CF339" s="311">
        <f>SUMIF(Recibos!$D$4:$D$7493,Cobranza!$B339,Recibos!AR$4:AR$7493)</f>
        <v>300</v>
      </c>
      <c r="CG339" s="311">
        <f>SUMIF(Recibos!$D$4:$D$7493,Cobranza!$B339,Recibos!AS$4:AS$7493)</f>
        <v>300</v>
      </c>
      <c r="CH339" s="311">
        <f>SUMIF(Recibos!$D$4:$D$7493,Cobranza!$B339,Recibos!AT$4:AT$7493)</f>
        <v>0</v>
      </c>
      <c r="CI339" s="311">
        <f>SUMIF(Recibos!$D$4:$D$7493,Cobranza!$B339,Recibos!AU$4:AU$7493)</f>
        <v>0</v>
      </c>
      <c r="CJ339" s="311">
        <f>SUMIF(Recibos!$D$4:$D$7493,Cobranza!$B339,Recibos!AV$4:AV$7493)</f>
        <v>0</v>
      </c>
      <c r="CK339" s="312">
        <f t="shared" si="45"/>
        <v>1500</v>
      </c>
    </row>
    <row r="340" spans="2:89" x14ac:dyDescent="0.2">
      <c r="B340" s="45" t="s">
        <v>1097</v>
      </c>
      <c r="C340" s="45" t="s">
        <v>1098</v>
      </c>
      <c r="D340" s="45" t="s">
        <v>1099</v>
      </c>
      <c r="E340" s="46">
        <v>0</v>
      </c>
      <c r="F340" s="46">
        <v>0</v>
      </c>
      <c r="G340" s="46">
        <v>0</v>
      </c>
      <c r="H340" s="46">
        <v>0</v>
      </c>
      <c r="I340" s="46">
        <v>0</v>
      </c>
      <c r="J340" s="46">
        <v>0</v>
      </c>
      <c r="K340" s="47">
        <f t="shared" si="46"/>
        <v>0</v>
      </c>
      <c r="L340" s="46">
        <v>0</v>
      </c>
      <c r="M340" s="46">
        <v>0</v>
      </c>
      <c r="N340" s="46">
        <v>0</v>
      </c>
      <c r="O340" s="46">
        <v>0</v>
      </c>
      <c r="P340" s="46">
        <v>0</v>
      </c>
      <c r="Q340" s="46">
        <v>0</v>
      </c>
      <c r="R340" s="46">
        <v>0</v>
      </c>
      <c r="S340" s="46">
        <v>0</v>
      </c>
      <c r="T340" s="46">
        <v>0</v>
      </c>
      <c r="U340" s="46">
        <v>0</v>
      </c>
      <c r="V340" s="46">
        <v>0</v>
      </c>
      <c r="W340" s="46">
        <v>0</v>
      </c>
      <c r="X340" s="47">
        <f t="shared" si="47"/>
        <v>0</v>
      </c>
      <c r="Y340" s="46">
        <v>0</v>
      </c>
      <c r="Z340" s="46">
        <v>0</v>
      </c>
      <c r="AA340" s="46">
        <v>0</v>
      </c>
      <c r="AB340" s="46">
        <v>0</v>
      </c>
      <c r="AC340" s="46">
        <v>0</v>
      </c>
      <c r="AD340" s="46">
        <v>0</v>
      </c>
      <c r="AE340" s="46">
        <v>0</v>
      </c>
      <c r="AF340" s="46">
        <v>0</v>
      </c>
      <c r="AG340" s="46">
        <v>0</v>
      </c>
      <c r="AH340" s="46">
        <v>0</v>
      </c>
      <c r="AI340" s="46">
        <v>0</v>
      </c>
      <c r="AJ340" s="46">
        <v>0</v>
      </c>
      <c r="AK340" s="47">
        <f t="shared" si="48"/>
        <v>0</v>
      </c>
      <c r="AL340" s="46">
        <v>0</v>
      </c>
      <c r="AM340" s="46">
        <v>0</v>
      </c>
      <c r="AN340" s="46">
        <v>0</v>
      </c>
      <c r="AO340" s="46">
        <v>0</v>
      </c>
      <c r="AP340" s="46">
        <v>0</v>
      </c>
      <c r="AQ340" s="46">
        <v>0</v>
      </c>
      <c r="AR340" s="46">
        <v>0</v>
      </c>
      <c r="AS340" s="46">
        <v>0</v>
      </c>
      <c r="AT340" s="46">
        <v>0</v>
      </c>
      <c r="AU340" s="46">
        <v>0</v>
      </c>
      <c r="AV340" s="46">
        <v>0</v>
      </c>
      <c r="AW340" s="46">
        <v>0</v>
      </c>
      <c r="AX340" s="47">
        <f t="shared" si="49"/>
        <v>0</v>
      </c>
      <c r="AY340" s="313">
        <f>SUMIF(Recibos!$D$4:$D$7493,Cobranza!$B340,Recibos!K$4:K$7493)</f>
        <v>0</v>
      </c>
      <c r="AZ340" s="313">
        <f>SUMIF(Recibos!$D$4:$D$7493,Cobranza!$B340,Recibos!L$4:L$7493)</f>
        <v>0</v>
      </c>
      <c r="BA340" s="313">
        <f>SUMIF(Recibos!$D$4:$D$7493,Cobranza!$B340,Recibos!M$4:M$7493)</f>
        <v>0</v>
      </c>
      <c r="BB340" s="313">
        <f>SUMIF(Recibos!$D$4:$D$7493,Cobranza!$B340,Recibos!N$4:N$7493)</f>
        <v>0</v>
      </c>
      <c r="BC340" s="313">
        <f>SUMIF(Recibos!$D$4:$D$7493,Cobranza!$B340,Recibos!O$4:O$7493)</f>
        <v>0</v>
      </c>
      <c r="BD340" s="313">
        <f>SUMIF(Recibos!$D$4:$D$7493,Cobranza!$B340,Recibos!P$4:P$7493)</f>
        <v>0</v>
      </c>
      <c r="BE340" s="313">
        <f>SUMIF(Recibos!$D$4:$D$7493,Cobranza!$B340,Recibos!Q$4:Q$7493)</f>
        <v>0</v>
      </c>
      <c r="BF340" s="313">
        <f>SUMIF(Recibos!$D$4:$D$7493,Cobranza!$B340,Recibos!R$4:R$7493)</f>
        <v>200</v>
      </c>
      <c r="BG340" s="313">
        <f>SUMIF(Recibos!$D$4:$D$7493,Cobranza!$B340,Recibos!S$4:S$7493)</f>
        <v>0</v>
      </c>
      <c r="BH340" s="313">
        <f>SUMIF(Recibos!$D$4:$D$7493,Cobranza!$B340,Recibos!T$4:T$7493)</f>
        <v>0</v>
      </c>
      <c r="BI340" s="313">
        <f>SUMIF(Recibos!$D$4:$D$7493,Cobranza!$B340,Recibos!U$4:U$7493)</f>
        <v>0</v>
      </c>
      <c r="BJ340" s="313">
        <f>SUMIF(Recibos!$D$4:$D$7493,Cobranza!$B340,Recibos!V$4:V$7493)</f>
        <v>0</v>
      </c>
      <c r="BK340" s="314">
        <f t="shared" si="43"/>
        <v>200</v>
      </c>
      <c r="BL340" s="313">
        <f>SUMIF(Recibos!$D$4:$D$7493,Cobranza!$B340,Recibos!X$4:X$7493)</f>
        <v>0</v>
      </c>
      <c r="BM340" s="313">
        <f>SUMIF(Recibos!$D$4:$D$7493,Cobranza!$B340,Recibos!Y$4:Y$7493)</f>
        <v>0</v>
      </c>
      <c r="BN340" s="313">
        <f>SUMIF(Recibos!$D$4:$D$7493,Cobranza!$B340,Recibos!Z$4:Z$7493)</f>
        <v>0</v>
      </c>
      <c r="BO340" s="313">
        <f>SUMIF(Recibos!$D$4:$D$7493,Cobranza!$B340,Recibos!AA$4:AA$7493)</f>
        <v>0</v>
      </c>
      <c r="BP340" s="313">
        <f>SUMIF(Recibos!$D$4:$D$7493,Cobranza!$B340,Recibos!AB$4:AB$7493)</f>
        <v>0</v>
      </c>
      <c r="BQ340" s="313">
        <f>SUMIF(Recibos!$D$4:$D$7493,Cobranza!$B340,Recibos!AC$4:AC$7493)</f>
        <v>0</v>
      </c>
      <c r="BR340" s="313">
        <f>SUMIF(Recibos!$D$4:$D$7493,Cobranza!$B340,Recibos!AD$4:AD$7493)</f>
        <v>0</v>
      </c>
      <c r="BS340" s="313">
        <f>SUMIF(Recibos!$D$4:$D$7493,Cobranza!$B340,Recibos!AE$4:AE$7493)</f>
        <v>0</v>
      </c>
      <c r="BT340" s="313">
        <f>SUMIF(Recibos!$D$4:$D$7493,Cobranza!$B340,Recibos!AF$4:AF$7493)</f>
        <v>0</v>
      </c>
      <c r="BU340" s="313">
        <f>SUMIF(Recibos!$D$4:$D$7493,Cobranza!$B340,Recibos!AG$4:AG$7493)</f>
        <v>0</v>
      </c>
      <c r="BV340" s="313">
        <f>SUMIF(Recibos!$D$4:$D$7493,Cobranza!$B340,Recibos!AH$4:AH$7493)</f>
        <v>0</v>
      </c>
      <c r="BW340" s="313">
        <f>SUMIF(Recibos!$D$4:$D$7493,Cobranza!$B340,Recibos!AI$4:AI$7493)</f>
        <v>0</v>
      </c>
      <c r="BX340" s="314">
        <f t="shared" si="44"/>
        <v>0</v>
      </c>
      <c r="BY340" s="313">
        <f>SUMIF(Recibos!$D$4:$D$7493,Cobranza!$B340,Recibos!AK$4:AK$7493)</f>
        <v>0</v>
      </c>
      <c r="BZ340" s="313">
        <f>SUMIF(Recibos!$D$4:$D$7493,Cobranza!$B340,Recibos!AL$4:AL$7493)</f>
        <v>0</v>
      </c>
      <c r="CA340" s="313">
        <f>SUMIF(Recibos!$D$4:$D$7493,Cobranza!$B340,Recibos!AM$4:AM$7493)</f>
        <v>0</v>
      </c>
      <c r="CB340" s="313">
        <f>SUMIF(Recibos!$D$4:$D$7493,Cobranza!$B340,Recibos!AN$4:AN$7493)</f>
        <v>0</v>
      </c>
      <c r="CC340" s="313">
        <f>SUMIF(Recibos!$D$4:$D$7493,Cobranza!$B340,Recibos!AO$4:AO$7493)</f>
        <v>0</v>
      </c>
      <c r="CD340" s="313">
        <f>SUMIF(Recibos!$D$4:$D$7493,Cobranza!$B340,Recibos!AP$4:AP$7493)</f>
        <v>0</v>
      </c>
      <c r="CE340" s="313">
        <f>SUMIF(Recibos!$D$4:$D$7493,Cobranza!$B340,Recibos!AQ$4:AQ$7493)</f>
        <v>0</v>
      </c>
      <c r="CF340" s="313">
        <f>SUMIF(Recibos!$D$4:$D$7493,Cobranza!$B340,Recibos!AR$4:AR$7493)</f>
        <v>0</v>
      </c>
      <c r="CG340" s="313">
        <f>SUMIF(Recibos!$D$4:$D$7493,Cobranza!$B340,Recibos!AS$4:AS$7493)</f>
        <v>0</v>
      </c>
      <c r="CH340" s="313">
        <f>SUMIF(Recibos!$D$4:$D$7493,Cobranza!$B340,Recibos!AT$4:AT$7493)</f>
        <v>0</v>
      </c>
      <c r="CI340" s="313">
        <f>SUMIF(Recibos!$D$4:$D$7493,Cobranza!$B340,Recibos!AU$4:AU$7493)</f>
        <v>0</v>
      </c>
      <c r="CJ340" s="313">
        <f>SUMIF(Recibos!$D$4:$D$7493,Cobranza!$B340,Recibos!AV$4:AV$7493)</f>
        <v>0</v>
      </c>
      <c r="CK340" s="314">
        <f t="shared" si="45"/>
        <v>0</v>
      </c>
    </row>
    <row r="341" spans="2:89" x14ac:dyDescent="0.2">
      <c r="B341" s="42" t="s">
        <v>868</v>
      </c>
      <c r="C341" s="42" t="s">
        <v>869</v>
      </c>
      <c r="D341" s="42" t="s">
        <v>870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4">
        <f t="shared" si="46"/>
        <v>0</v>
      </c>
      <c r="L341" s="43">
        <v>300</v>
      </c>
      <c r="M341" s="43">
        <v>300</v>
      </c>
      <c r="N341" s="43">
        <v>300</v>
      </c>
      <c r="O341" s="43">
        <v>300</v>
      </c>
      <c r="P341" s="43">
        <v>300</v>
      </c>
      <c r="Q341" s="43">
        <v>300</v>
      </c>
      <c r="R341" s="43">
        <v>300</v>
      </c>
      <c r="S341" s="43">
        <v>300</v>
      </c>
      <c r="T341" s="43">
        <v>300</v>
      </c>
      <c r="U341" s="43">
        <v>300</v>
      </c>
      <c r="V341" s="43">
        <v>300</v>
      </c>
      <c r="W341" s="43">
        <v>0</v>
      </c>
      <c r="X341" s="44">
        <f t="shared" si="47"/>
        <v>3300</v>
      </c>
      <c r="Y341" s="43">
        <v>400</v>
      </c>
      <c r="Z341" s="43">
        <v>400</v>
      </c>
      <c r="AA341" s="43">
        <v>400</v>
      </c>
      <c r="AB341" s="43">
        <v>400</v>
      </c>
      <c r="AC341" s="43">
        <v>400</v>
      </c>
      <c r="AD341" s="43">
        <v>400</v>
      </c>
      <c r="AE341" s="43">
        <v>400</v>
      </c>
      <c r="AF341" s="43">
        <v>400</v>
      </c>
      <c r="AG341" s="43">
        <v>400</v>
      </c>
      <c r="AH341" s="43">
        <v>400</v>
      </c>
      <c r="AI341" s="43">
        <v>400</v>
      </c>
      <c r="AJ341" s="43">
        <v>400</v>
      </c>
      <c r="AK341" s="44">
        <f t="shared" si="48"/>
        <v>4800</v>
      </c>
      <c r="AL341" s="43">
        <v>400</v>
      </c>
      <c r="AM341" s="43">
        <v>400</v>
      </c>
      <c r="AN341" s="43">
        <v>400</v>
      </c>
      <c r="AO341" s="43">
        <v>400</v>
      </c>
      <c r="AP341" s="43">
        <v>400</v>
      </c>
      <c r="AQ341" s="43">
        <v>400</v>
      </c>
      <c r="AR341" s="43">
        <v>400</v>
      </c>
      <c r="AS341" s="43">
        <v>400</v>
      </c>
      <c r="AT341" s="43">
        <v>400</v>
      </c>
      <c r="AU341" s="43">
        <v>400</v>
      </c>
      <c r="AV341" s="43">
        <v>400</v>
      </c>
      <c r="AW341" s="43">
        <v>400</v>
      </c>
      <c r="AX341" s="44">
        <f t="shared" si="49"/>
        <v>4800</v>
      </c>
      <c r="AY341" s="311">
        <f>SUMIF(Recibos!$D$4:$D$7493,Cobranza!$B341,Recibos!K$4:K$7493)</f>
        <v>400</v>
      </c>
      <c r="AZ341" s="311">
        <f>SUMIF(Recibos!$D$4:$D$7493,Cobranza!$B341,Recibos!L$4:L$7493)</f>
        <v>400</v>
      </c>
      <c r="BA341" s="311">
        <f>SUMIF(Recibos!$D$4:$D$7493,Cobranza!$B341,Recibos!M$4:M$7493)</f>
        <v>400</v>
      </c>
      <c r="BB341" s="311">
        <f>SUMIF(Recibos!$D$4:$D$7493,Cobranza!$B341,Recibos!N$4:N$7493)</f>
        <v>400</v>
      </c>
      <c r="BC341" s="311">
        <f>SUMIF(Recibos!$D$4:$D$7493,Cobranza!$B341,Recibos!O$4:O$7493)</f>
        <v>400</v>
      </c>
      <c r="BD341" s="311">
        <f>SUMIF(Recibos!$D$4:$D$7493,Cobranza!$B341,Recibos!P$4:P$7493)</f>
        <v>400</v>
      </c>
      <c r="BE341" s="311">
        <f>SUMIF(Recibos!$D$4:$D$7493,Cobranza!$B341,Recibos!Q$4:Q$7493)</f>
        <v>400</v>
      </c>
      <c r="BF341" s="311">
        <f>SUMIF(Recibos!$D$4:$D$7493,Cobranza!$B341,Recibos!R$4:R$7493)</f>
        <v>400</v>
      </c>
      <c r="BG341" s="311">
        <f>SUMIF(Recibos!$D$4:$D$7493,Cobranza!$B341,Recibos!S$4:S$7493)</f>
        <v>400</v>
      </c>
      <c r="BH341" s="311">
        <f>SUMIF(Recibos!$D$4:$D$7493,Cobranza!$B341,Recibos!T$4:T$7493)</f>
        <v>400</v>
      </c>
      <c r="BI341" s="311">
        <f>SUMIF(Recibos!$D$4:$D$7493,Cobranza!$B341,Recibos!U$4:U$7493)</f>
        <v>400</v>
      </c>
      <c r="BJ341" s="311">
        <f>SUMIF(Recibos!$D$4:$D$7493,Cobranza!$B341,Recibos!V$4:V$7493)</f>
        <v>400</v>
      </c>
      <c r="BK341" s="312">
        <f t="shared" ref="BK341:BK404" si="50">SUM(AY341:BJ341)</f>
        <v>4800</v>
      </c>
      <c r="BL341" s="311">
        <f>SUMIF(Recibos!$D$4:$D$7493,Cobranza!$B341,Recibos!X$4:X$7493)</f>
        <v>400</v>
      </c>
      <c r="BM341" s="311">
        <f>SUMIF(Recibos!$D$4:$D$7493,Cobranza!$B341,Recibos!Y$4:Y$7493)</f>
        <v>400</v>
      </c>
      <c r="BN341" s="311">
        <f>SUMIF(Recibos!$D$4:$D$7493,Cobranza!$B341,Recibos!Z$4:Z$7493)</f>
        <v>400</v>
      </c>
      <c r="BO341" s="311">
        <f>SUMIF(Recibos!$D$4:$D$7493,Cobranza!$B341,Recibos!AA$4:AA$7493)</f>
        <v>400</v>
      </c>
      <c r="BP341" s="311">
        <f>SUMIF(Recibos!$D$4:$D$7493,Cobranza!$B341,Recibos!AB$4:AB$7493)</f>
        <v>400</v>
      </c>
      <c r="BQ341" s="311">
        <f>SUMIF(Recibos!$D$4:$D$7493,Cobranza!$B341,Recibos!AC$4:AC$7493)</f>
        <v>400</v>
      </c>
      <c r="BR341" s="311">
        <f>SUMIF(Recibos!$D$4:$D$7493,Cobranza!$B341,Recibos!AD$4:AD$7493)</f>
        <v>400</v>
      </c>
      <c r="BS341" s="311">
        <f>SUMIF(Recibos!$D$4:$D$7493,Cobranza!$B341,Recibos!AE$4:AE$7493)</f>
        <v>400</v>
      </c>
      <c r="BT341" s="311">
        <f>SUMIF(Recibos!$D$4:$D$7493,Cobranza!$B341,Recibos!AF$4:AF$7493)</f>
        <v>400</v>
      </c>
      <c r="BU341" s="311">
        <f>SUMIF(Recibos!$D$4:$D$7493,Cobranza!$B341,Recibos!AG$4:AG$7493)</f>
        <v>400</v>
      </c>
      <c r="BV341" s="311">
        <f>SUMIF(Recibos!$D$4:$D$7493,Cobranza!$B341,Recibos!AH$4:AH$7493)</f>
        <v>400</v>
      </c>
      <c r="BW341" s="311">
        <f>SUMIF(Recibos!$D$4:$D$7493,Cobranza!$B341,Recibos!AI$4:AI$7493)</f>
        <v>400</v>
      </c>
      <c r="BX341" s="312">
        <f t="shared" ref="BX341:BX404" si="51">SUM(BL341:BW341)</f>
        <v>4800</v>
      </c>
      <c r="BY341" s="311">
        <f>SUMIF(Recibos!$D$4:$D$7493,Cobranza!$B341,Recibos!AK$4:AK$7493)</f>
        <v>400</v>
      </c>
      <c r="BZ341" s="311">
        <f>SUMIF(Recibos!$D$4:$D$7493,Cobranza!$B341,Recibos!AL$4:AL$7493)</f>
        <v>400</v>
      </c>
      <c r="CA341" s="311">
        <f>SUMIF(Recibos!$D$4:$D$7493,Cobranza!$B341,Recibos!AM$4:AM$7493)</f>
        <v>400</v>
      </c>
      <c r="CB341" s="311">
        <f>SUMIF(Recibos!$D$4:$D$7493,Cobranza!$B341,Recibos!AN$4:AN$7493)</f>
        <v>400</v>
      </c>
      <c r="CC341" s="311">
        <f>SUMIF(Recibos!$D$4:$D$7493,Cobranza!$B341,Recibos!AO$4:AO$7493)</f>
        <v>400</v>
      </c>
      <c r="CD341" s="311">
        <f>SUMIF(Recibos!$D$4:$D$7493,Cobranza!$B341,Recibos!AP$4:AP$7493)</f>
        <v>400</v>
      </c>
      <c r="CE341" s="311">
        <f>SUMIF(Recibos!$D$4:$D$7493,Cobranza!$B341,Recibos!AQ$4:AQ$7493)</f>
        <v>400</v>
      </c>
      <c r="CF341" s="311">
        <f>SUMIF(Recibos!$D$4:$D$7493,Cobranza!$B341,Recibos!AR$4:AR$7493)</f>
        <v>400</v>
      </c>
      <c r="CG341" s="311">
        <f>SUMIF(Recibos!$D$4:$D$7493,Cobranza!$B341,Recibos!AS$4:AS$7493)</f>
        <v>400</v>
      </c>
      <c r="CH341" s="311">
        <f>SUMIF(Recibos!$D$4:$D$7493,Cobranza!$B341,Recibos!AT$4:AT$7493)</f>
        <v>400</v>
      </c>
      <c r="CI341" s="311">
        <f>SUMIF(Recibos!$D$4:$D$7493,Cobranza!$B341,Recibos!AU$4:AU$7493)</f>
        <v>400</v>
      </c>
      <c r="CJ341" s="311">
        <f>SUMIF(Recibos!$D$4:$D$7493,Cobranza!$B341,Recibos!AV$4:AV$7493)</f>
        <v>0</v>
      </c>
      <c r="CK341" s="312">
        <f t="shared" si="45"/>
        <v>4400</v>
      </c>
    </row>
    <row r="342" spans="2:89" x14ac:dyDescent="0.2">
      <c r="B342" s="45" t="s">
        <v>800</v>
      </c>
      <c r="C342" s="45" t="s">
        <v>801</v>
      </c>
      <c r="D342" s="45" t="s">
        <v>802</v>
      </c>
      <c r="E342" s="46">
        <v>0</v>
      </c>
      <c r="F342" s="46">
        <v>0</v>
      </c>
      <c r="G342" s="46">
        <v>0</v>
      </c>
      <c r="H342" s="46">
        <v>0</v>
      </c>
      <c r="I342" s="46">
        <v>300</v>
      </c>
      <c r="J342" s="46">
        <v>300</v>
      </c>
      <c r="K342" s="47">
        <f t="shared" si="46"/>
        <v>600</v>
      </c>
      <c r="L342" s="46">
        <v>300</v>
      </c>
      <c r="M342" s="46">
        <v>300</v>
      </c>
      <c r="N342" s="46">
        <v>300</v>
      </c>
      <c r="O342" s="46">
        <v>300</v>
      </c>
      <c r="P342" s="46">
        <v>300</v>
      </c>
      <c r="Q342" s="46">
        <v>300</v>
      </c>
      <c r="R342" s="46">
        <v>300</v>
      </c>
      <c r="S342" s="46">
        <v>300</v>
      </c>
      <c r="T342" s="46">
        <v>300</v>
      </c>
      <c r="U342" s="46">
        <v>300</v>
      </c>
      <c r="V342" s="46">
        <v>300</v>
      </c>
      <c r="W342" s="46">
        <v>300</v>
      </c>
      <c r="X342" s="47">
        <f t="shared" si="47"/>
        <v>3600</v>
      </c>
      <c r="Y342" s="46">
        <v>400</v>
      </c>
      <c r="Z342" s="46">
        <v>400</v>
      </c>
      <c r="AA342" s="46">
        <v>0</v>
      </c>
      <c r="AB342" s="46">
        <v>400</v>
      </c>
      <c r="AC342" s="46">
        <v>400</v>
      </c>
      <c r="AD342" s="46">
        <v>400</v>
      </c>
      <c r="AE342" s="46">
        <v>400</v>
      </c>
      <c r="AF342" s="46">
        <v>400</v>
      </c>
      <c r="AG342" s="46">
        <v>400</v>
      </c>
      <c r="AH342" s="46">
        <v>400</v>
      </c>
      <c r="AI342" s="46">
        <v>400</v>
      </c>
      <c r="AJ342" s="46">
        <v>400</v>
      </c>
      <c r="AK342" s="47">
        <f t="shared" si="48"/>
        <v>4400</v>
      </c>
      <c r="AL342" s="46">
        <v>0</v>
      </c>
      <c r="AM342" s="46">
        <v>400</v>
      </c>
      <c r="AN342" s="46">
        <v>400</v>
      </c>
      <c r="AO342" s="46">
        <v>400</v>
      </c>
      <c r="AP342" s="46">
        <v>400</v>
      </c>
      <c r="AQ342" s="46">
        <v>400</v>
      </c>
      <c r="AR342" s="46">
        <v>400</v>
      </c>
      <c r="AS342" s="46">
        <v>400</v>
      </c>
      <c r="AT342" s="46">
        <v>400</v>
      </c>
      <c r="AU342" s="46">
        <v>400</v>
      </c>
      <c r="AV342" s="46">
        <v>400</v>
      </c>
      <c r="AW342" s="46">
        <v>400</v>
      </c>
      <c r="AX342" s="47">
        <f t="shared" si="49"/>
        <v>4400</v>
      </c>
      <c r="AY342" s="313">
        <f>SUMIF(Recibos!$D$4:$D$7493,Cobranza!$B342,Recibos!K$4:K$7493)</f>
        <v>400</v>
      </c>
      <c r="AZ342" s="313">
        <f>SUMIF(Recibos!$D$4:$D$7493,Cobranza!$B342,Recibos!L$4:L$7493)</f>
        <v>400</v>
      </c>
      <c r="BA342" s="313">
        <f>SUMIF(Recibos!$D$4:$D$7493,Cobranza!$B342,Recibos!M$4:M$7493)</f>
        <v>400</v>
      </c>
      <c r="BB342" s="313">
        <f>SUMIF(Recibos!$D$4:$D$7493,Cobranza!$B342,Recibos!N$4:N$7493)</f>
        <v>400</v>
      </c>
      <c r="BC342" s="313">
        <f>SUMIF(Recibos!$D$4:$D$7493,Cobranza!$B342,Recibos!O$4:O$7493)</f>
        <v>400</v>
      </c>
      <c r="BD342" s="313">
        <f>SUMIF(Recibos!$D$4:$D$7493,Cobranza!$B342,Recibos!P$4:P$7493)</f>
        <v>400</v>
      </c>
      <c r="BE342" s="313">
        <f>SUMIF(Recibos!$D$4:$D$7493,Cobranza!$B342,Recibos!Q$4:Q$7493)</f>
        <v>400</v>
      </c>
      <c r="BF342" s="313">
        <f>SUMIF(Recibos!$D$4:$D$7493,Cobranza!$B342,Recibos!R$4:R$7493)</f>
        <v>400</v>
      </c>
      <c r="BG342" s="313">
        <f>SUMIF(Recibos!$D$4:$D$7493,Cobranza!$B342,Recibos!S$4:S$7493)</f>
        <v>400</v>
      </c>
      <c r="BH342" s="313">
        <f>SUMIF(Recibos!$D$4:$D$7493,Cobranza!$B342,Recibos!T$4:T$7493)</f>
        <v>400</v>
      </c>
      <c r="BI342" s="313">
        <f>SUMIF(Recibos!$D$4:$D$7493,Cobranza!$B342,Recibos!U$4:U$7493)</f>
        <v>400</v>
      </c>
      <c r="BJ342" s="313">
        <f>SUMIF(Recibos!$D$4:$D$7493,Cobranza!$B342,Recibos!V$4:V$7493)</f>
        <v>400</v>
      </c>
      <c r="BK342" s="314">
        <f t="shared" si="50"/>
        <v>4800</v>
      </c>
      <c r="BL342" s="313">
        <f>SUMIF(Recibos!$D$4:$D$7493,Cobranza!$B342,Recibos!X$4:X$7493)</f>
        <v>400</v>
      </c>
      <c r="BM342" s="313">
        <f>SUMIF(Recibos!$D$4:$D$7493,Cobranza!$B342,Recibos!Y$4:Y$7493)</f>
        <v>400</v>
      </c>
      <c r="BN342" s="313">
        <f>SUMIF(Recibos!$D$4:$D$7493,Cobranza!$B342,Recibos!Z$4:Z$7493)</f>
        <v>400</v>
      </c>
      <c r="BO342" s="313">
        <f>SUMIF(Recibos!$D$4:$D$7493,Cobranza!$B342,Recibos!AA$4:AA$7493)</f>
        <v>400</v>
      </c>
      <c r="BP342" s="313">
        <f>SUMIF(Recibos!$D$4:$D$7493,Cobranza!$B342,Recibos!AB$4:AB$7493)</f>
        <v>400</v>
      </c>
      <c r="BQ342" s="313">
        <f>SUMIF(Recibos!$D$4:$D$7493,Cobranza!$B342,Recibos!AC$4:AC$7493)</f>
        <v>400</v>
      </c>
      <c r="BR342" s="313">
        <f>SUMIF(Recibos!$D$4:$D$7493,Cobranza!$B342,Recibos!AD$4:AD$7493)</f>
        <v>400</v>
      </c>
      <c r="BS342" s="313">
        <f>SUMIF(Recibos!$D$4:$D$7493,Cobranza!$B342,Recibos!AE$4:AE$7493)</f>
        <v>400</v>
      </c>
      <c r="BT342" s="313">
        <f>SUMIF(Recibos!$D$4:$D$7493,Cobranza!$B342,Recibos!AF$4:AF$7493)</f>
        <v>400</v>
      </c>
      <c r="BU342" s="313">
        <f>SUMIF(Recibos!$D$4:$D$7493,Cobranza!$B342,Recibos!AG$4:AG$7493)</f>
        <v>400</v>
      </c>
      <c r="BV342" s="313">
        <f>SUMIF(Recibos!$D$4:$D$7493,Cobranza!$B342,Recibos!AH$4:AH$7493)</f>
        <v>400</v>
      </c>
      <c r="BW342" s="313">
        <f>SUMIF(Recibos!$D$4:$D$7493,Cobranza!$B342,Recibos!AI$4:AI$7493)</f>
        <v>400</v>
      </c>
      <c r="BX342" s="314">
        <f t="shared" si="51"/>
        <v>4800</v>
      </c>
      <c r="BY342" s="313">
        <f>SUMIF(Recibos!$D$4:$D$7493,Cobranza!$B342,Recibos!AK$4:AK$7493)</f>
        <v>400</v>
      </c>
      <c r="BZ342" s="313">
        <f>SUMIF(Recibos!$D$4:$D$7493,Cobranza!$B342,Recibos!AL$4:AL$7493)</f>
        <v>400</v>
      </c>
      <c r="CA342" s="313">
        <f>SUMIF(Recibos!$D$4:$D$7493,Cobranza!$B342,Recibos!AM$4:AM$7493)</f>
        <v>400</v>
      </c>
      <c r="CB342" s="313">
        <f>SUMIF(Recibos!$D$4:$D$7493,Cobranza!$B342,Recibos!AN$4:AN$7493)</f>
        <v>400</v>
      </c>
      <c r="CC342" s="313">
        <f>SUMIF(Recibos!$D$4:$D$7493,Cobranza!$B342,Recibos!AO$4:AO$7493)</f>
        <v>400</v>
      </c>
      <c r="CD342" s="313">
        <f>SUMIF(Recibos!$D$4:$D$7493,Cobranza!$B342,Recibos!AP$4:AP$7493)</f>
        <v>400</v>
      </c>
      <c r="CE342" s="313">
        <f>SUMIF(Recibos!$D$4:$D$7493,Cobranza!$B342,Recibos!AQ$4:AQ$7493)</f>
        <v>400</v>
      </c>
      <c r="CF342" s="313">
        <f>SUMIF(Recibos!$D$4:$D$7493,Cobranza!$B342,Recibos!AR$4:AR$7493)</f>
        <v>400</v>
      </c>
      <c r="CG342" s="313">
        <f>SUMIF(Recibos!$D$4:$D$7493,Cobranza!$B342,Recibos!AS$4:AS$7493)</f>
        <v>0</v>
      </c>
      <c r="CH342" s="313">
        <f>SUMIF(Recibos!$D$4:$D$7493,Cobranza!$B342,Recibos!AT$4:AT$7493)</f>
        <v>0</v>
      </c>
      <c r="CI342" s="313">
        <f>SUMIF(Recibos!$D$4:$D$7493,Cobranza!$B342,Recibos!AU$4:AU$7493)</f>
        <v>0</v>
      </c>
      <c r="CJ342" s="313">
        <f>SUMIF(Recibos!$D$4:$D$7493,Cobranza!$B342,Recibos!AV$4:AV$7493)</f>
        <v>0</v>
      </c>
      <c r="CK342" s="314">
        <f t="shared" si="45"/>
        <v>3200</v>
      </c>
    </row>
    <row r="343" spans="2:89" x14ac:dyDescent="0.2">
      <c r="B343" s="42" t="s">
        <v>996</v>
      </c>
      <c r="C343" s="42" t="s">
        <v>997</v>
      </c>
      <c r="D343" s="42" t="s">
        <v>998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4">
        <f t="shared" si="46"/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  <c r="V343" s="43">
        <v>0</v>
      </c>
      <c r="W343" s="43">
        <v>0</v>
      </c>
      <c r="X343" s="44">
        <f t="shared" si="47"/>
        <v>0</v>
      </c>
      <c r="Y343" s="43">
        <v>0</v>
      </c>
      <c r="Z343" s="43">
        <v>0</v>
      </c>
      <c r="AA343" s="43">
        <v>0</v>
      </c>
      <c r="AB343" s="43">
        <v>0</v>
      </c>
      <c r="AC343" s="43">
        <v>0</v>
      </c>
      <c r="AD343" s="43">
        <v>0</v>
      </c>
      <c r="AE343" s="43">
        <v>0</v>
      </c>
      <c r="AF343" s="43">
        <v>0</v>
      </c>
      <c r="AG343" s="43">
        <v>0</v>
      </c>
      <c r="AH343" s="43">
        <v>0</v>
      </c>
      <c r="AI343" s="43">
        <v>0</v>
      </c>
      <c r="AJ343" s="43">
        <v>0</v>
      </c>
      <c r="AK343" s="44">
        <f t="shared" si="48"/>
        <v>0</v>
      </c>
      <c r="AL343" s="43">
        <v>0</v>
      </c>
      <c r="AM343" s="43">
        <v>0</v>
      </c>
      <c r="AN343" s="43">
        <v>0</v>
      </c>
      <c r="AO343" s="43">
        <v>0</v>
      </c>
      <c r="AP343" s="43">
        <v>0</v>
      </c>
      <c r="AQ343" s="43">
        <v>0</v>
      </c>
      <c r="AR343" s="43">
        <v>0</v>
      </c>
      <c r="AS343" s="43">
        <v>0</v>
      </c>
      <c r="AT343" s="43">
        <v>0</v>
      </c>
      <c r="AU343" s="43">
        <v>0</v>
      </c>
      <c r="AV343" s="43">
        <v>0</v>
      </c>
      <c r="AW343" s="43">
        <v>0</v>
      </c>
      <c r="AX343" s="44">
        <f t="shared" si="49"/>
        <v>0</v>
      </c>
      <c r="AY343" s="311">
        <f>SUMIF(Recibos!$D$4:$D$7493,Cobranza!$B343,Recibos!K$4:K$7493)</f>
        <v>0</v>
      </c>
      <c r="AZ343" s="311">
        <f>SUMIF(Recibos!$D$4:$D$7493,Cobranza!$B343,Recibos!L$4:L$7493)</f>
        <v>0</v>
      </c>
      <c r="BA343" s="311">
        <f>SUMIF(Recibos!$D$4:$D$7493,Cobranza!$B343,Recibos!M$4:M$7493)</f>
        <v>0</v>
      </c>
      <c r="BB343" s="311">
        <f>SUMIF(Recibos!$D$4:$D$7493,Cobranza!$B343,Recibos!N$4:N$7493)</f>
        <v>0</v>
      </c>
      <c r="BC343" s="311">
        <f>SUMIF(Recibos!$D$4:$D$7493,Cobranza!$B343,Recibos!O$4:O$7493)</f>
        <v>0</v>
      </c>
      <c r="BD343" s="311">
        <f>SUMIF(Recibos!$D$4:$D$7493,Cobranza!$B343,Recibos!P$4:P$7493)</f>
        <v>0</v>
      </c>
      <c r="BE343" s="311">
        <f>SUMIF(Recibos!$D$4:$D$7493,Cobranza!$B343,Recibos!Q$4:Q$7493)</f>
        <v>0</v>
      </c>
      <c r="BF343" s="311">
        <f>SUMIF(Recibos!$D$4:$D$7493,Cobranza!$B343,Recibos!R$4:R$7493)</f>
        <v>0</v>
      </c>
      <c r="BG343" s="311">
        <f>SUMIF(Recibos!$D$4:$D$7493,Cobranza!$B343,Recibos!S$4:S$7493)</f>
        <v>0</v>
      </c>
      <c r="BH343" s="311">
        <f>SUMIF(Recibos!$D$4:$D$7493,Cobranza!$B343,Recibos!T$4:T$7493)</f>
        <v>0</v>
      </c>
      <c r="BI343" s="311">
        <f>SUMIF(Recibos!$D$4:$D$7493,Cobranza!$B343,Recibos!U$4:U$7493)</f>
        <v>0</v>
      </c>
      <c r="BJ343" s="311">
        <f>SUMIF(Recibos!$D$4:$D$7493,Cobranza!$B343,Recibos!V$4:V$7493)</f>
        <v>0</v>
      </c>
      <c r="BK343" s="312">
        <f t="shared" si="50"/>
        <v>0</v>
      </c>
      <c r="BL343" s="311">
        <f>SUMIF(Recibos!$D$4:$D$7493,Cobranza!$B343,Recibos!X$4:X$7493)</f>
        <v>0</v>
      </c>
      <c r="BM343" s="311">
        <f>SUMIF(Recibos!$D$4:$D$7493,Cobranza!$B343,Recibos!Y$4:Y$7493)</f>
        <v>0</v>
      </c>
      <c r="BN343" s="311">
        <f>SUMIF(Recibos!$D$4:$D$7493,Cobranza!$B343,Recibos!Z$4:Z$7493)</f>
        <v>0</v>
      </c>
      <c r="BO343" s="311">
        <f>SUMIF(Recibos!$D$4:$D$7493,Cobranza!$B343,Recibos!AA$4:AA$7493)</f>
        <v>0</v>
      </c>
      <c r="BP343" s="311">
        <f>SUMIF(Recibos!$D$4:$D$7493,Cobranza!$B343,Recibos!AB$4:AB$7493)</f>
        <v>0</v>
      </c>
      <c r="BQ343" s="311">
        <f>SUMIF(Recibos!$D$4:$D$7493,Cobranza!$B343,Recibos!AC$4:AC$7493)</f>
        <v>0</v>
      </c>
      <c r="BR343" s="311">
        <f>SUMIF(Recibos!$D$4:$D$7493,Cobranza!$B343,Recibos!AD$4:AD$7493)</f>
        <v>0</v>
      </c>
      <c r="BS343" s="311">
        <f>SUMIF(Recibos!$D$4:$D$7493,Cobranza!$B343,Recibos!AE$4:AE$7493)</f>
        <v>0</v>
      </c>
      <c r="BT343" s="311">
        <f>SUMIF(Recibos!$D$4:$D$7493,Cobranza!$B343,Recibos!AF$4:AF$7493)</f>
        <v>0</v>
      </c>
      <c r="BU343" s="311">
        <f>SUMIF(Recibos!$D$4:$D$7493,Cobranza!$B343,Recibos!AG$4:AG$7493)</f>
        <v>0</v>
      </c>
      <c r="BV343" s="311">
        <f>SUMIF(Recibos!$D$4:$D$7493,Cobranza!$B343,Recibos!AH$4:AH$7493)</f>
        <v>0</v>
      </c>
      <c r="BW343" s="311">
        <f>SUMIF(Recibos!$D$4:$D$7493,Cobranza!$B343,Recibos!AI$4:AI$7493)</f>
        <v>0</v>
      </c>
      <c r="BX343" s="312">
        <f t="shared" si="51"/>
        <v>0</v>
      </c>
      <c r="BY343" s="311">
        <f>SUMIF(Recibos!$D$4:$D$7493,Cobranza!$B343,Recibos!AK$4:AK$7493)</f>
        <v>400</v>
      </c>
      <c r="BZ343" s="311">
        <f>SUMIF(Recibos!$D$4:$D$7493,Cobranza!$B343,Recibos!AL$4:AL$7493)</f>
        <v>400</v>
      </c>
      <c r="CA343" s="311">
        <f>SUMIF(Recibos!$D$4:$D$7493,Cobranza!$B343,Recibos!AM$4:AM$7493)</f>
        <v>400</v>
      </c>
      <c r="CB343" s="311">
        <f>SUMIF(Recibos!$D$4:$D$7493,Cobranza!$B343,Recibos!AN$4:AN$7493)</f>
        <v>400</v>
      </c>
      <c r="CC343" s="311">
        <f>SUMIF(Recibos!$D$4:$D$7493,Cobranza!$B343,Recibos!AO$4:AO$7493)</f>
        <v>400</v>
      </c>
      <c r="CD343" s="311">
        <f>SUMIF(Recibos!$D$4:$D$7493,Cobranza!$B343,Recibos!AP$4:AP$7493)</f>
        <v>400</v>
      </c>
      <c r="CE343" s="311">
        <f>SUMIF(Recibos!$D$4:$D$7493,Cobranza!$B343,Recibos!AQ$4:AQ$7493)</f>
        <v>400</v>
      </c>
      <c r="CF343" s="311">
        <f>SUMIF(Recibos!$D$4:$D$7493,Cobranza!$B343,Recibos!AR$4:AR$7493)</f>
        <v>400</v>
      </c>
      <c r="CG343" s="311">
        <f>SUMIF(Recibos!$D$4:$D$7493,Cobranza!$B343,Recibos!AS$4:AS$7493)</f>
        <v>400</v>
      </c>
      <c r="CH343" s="311">
        <f>SUMIF(Recibos!$D$4:$D$7493,Cobranza!$B343,Recibos!AT$4:AT$7493)</f>
        <v>400</v>
      </c>
      <c r="CI343" s="311">
        <f>SUMIF(Recibos!$D$4:$D$7493,Cobranza!$B343,Recibos!AU$4:AU$7493)</f>
        <v>400</v>
      </c>
      <c r="CJ343" s="311">
        <f>SUMIF(Recibos!$D$4:$D$7493,Cobranza!$B343,Recibos!AV$4:AV$7493)</f>
        <v>400</v>
      </c>
      <c r="CK343" s="312">
        <f t="shared" si="45"/>
        <v>4800</v>
      </c>
    </row>
    <row r="344" spans="2:89" x14ac:dyDescent="0.2">
      <c r="B344" s="45" t="s">
        <v>1409</v>
      </c>
      <c r="C344" s="45" t="s">
        <v>1410</v>
      </c>
      <c r="D344" s="45" t="s">
        <v>784</v>
      </c>
      <c r="E344" s="46">
        <v>0</v>
      </c>
      <c r="F344" s="46">
        <v>0</v>
      </c>
      <c r="G344" s="46">
        <v>0</v>
      </c>
      <c r="H344" s="46">
        <v>0</v>
      </c>
      <c r="I344" s="46">
        <v>0</v>
      </c>
      <c r="J344" s="46">
        <v>0</v>
      </c>
      <c r="K344" s="47">
        <f t="shared" si="46"/>
        <v>0</v>
      </c>
      <c r="L344" s="46">
        <v>0</v>
      </c>
      <c r="M344" s="46">
        <v>0</v>
      </c>
      <c r="N344" s="46">
        <v>0</v>
      </c>
      <c r="O344" s="46">
        <v>0</v>
      </c>
      <c r="P344" s="46">
        <v>0</v>
      </c>
      <c r="Q344" s="46">
        <v>0</v>
      </c>
      <c r="R344" s="46">
        <v>0</v>
      </c>
      <c r="S344" s="46">
        <v>0</v>
      </c>
      <c r="T344" s="46">
        <v>0</v>
      </c>
      <c r="U344" s="46">
        <v>0</v>
      </c>
      <c r="V344" s="46">
        <v>0</v>
      </c>
      <c r="W344" s="46">
        <v>0</v>
      </c>
      <c r="X344" s="47">
        <f t="shared" si="47"/>
        <v>0</v>
      </c>
      <c r="Y344" s="46">
        <v>0</v>
      </c>
      <c r="Z344" s="46">
        <v>0</v>
      </c>
      <c r="AA344" s="46">
        <v>0</v>
      </c>
      <c r="AB344" s="46">
        <v>0</v>
      </c>
      <c r="AC344" s="46">
        <v>0</v>
      </c>
      <c r="AD344" s="46">
        <v>0</v>
      </c>
      <c r="AE344" s="46">
        <v>0</v>
      </c>
      <c r="AF344" s="46">
        <v>0</v>
      </c>
      <c r="AG344" s="46">
        <v>0</v>
      </c>
      <c r="AH344" s="46">
        <v>0</v>
      </c>
      <c r="AI344" s="46">
        <v>0</v>
      </c>
      <c r="AJ344" s="46">
        <v>0</v>
      </c>
      <c r="AK344" s="47">
        <f t="shared" si="48"/>
        <v>0</v>
      </c>
      <c r="AL344" s="46">
        <v>0</v>
      </c>
      <c r="AM344" s="46">
        <v>0</v>
      </c>
      <c r="AN344" s="46">
        <v>0</v>
      </c>
      <c r="AO344" s="46">
        <v>0</v>
      </c>
      <c r="AP344" s="46">
        <v>0</v>
      </c>
      <c r="AQ344" s="46">
        <v>0</v>
      </c>
      <c r="AR344" s="46">
        <v>0</v>
      </c>
      <c r="AS344" s="46">
        <v>0</v>
      </c>
      <c r="AT344" s="46">
        <v>0</v>
      </c>
      <c r="AU344" s="46">
        <v>0</v>
      </c>
      <c r="AV344" s="46">
        <v>0</v>
      </c>
      <c r="AW344" s="46">
        <v>0</v>
      </c>
      <c r="AX344" s="47">
        <f t="shared" si="49"/>
        <v>0</v>
      </c>
      <c r="AY344" s="313">
        <f>SUMIF(Recibos!$D$4:$D$7493,Cobranza!$B344,Recibos!K$4:K$7493)</f>
        <v>0</v>
      </c>
      <c r="AZ344" s="313">
        <f>SUMIF(Recibos!$D$4:$D$7493,Cobranza!$B344,Recibos!L$4:L$7493)</f>
        <v>0</v>
      </c>
      <c r="BA344" s="313">
        <f>SUMIF(Recibos!$D$4:$D$7493,Cobranza!$B344,Recibos!M$4:M$7493)</f>
        <v>0</v>
      </c>
      <c r="BB344" s="313">
        <f>SUMIF(Recibos!$D$4:$D$7493,Cobranza!$B344,Recibos!N$4:N$7493)</f>
        <v>0</v>
      </c>
      <c r="BC344" s="313">
        <f>SUMIF(Recibos!$D$4:$D$7493,Cobranza!$B344,Recibos!O$4:O$7493)</f>
        <v>0</v>
      </c>
      <c r="BD344" s="313">
        <f>SUMIF(Recibos!$D$4:$D$7493,Cobranza!$B344,Recibos!P$4:P$7493)</f>
        <v>0</v>
      </c>
      <c r="BE344" s="313">
        <f>SUMIF(Recibos!$D$4:$D$7493,Cobranza!$B344,Recibos!Q$4:Q$7493)</f>
        <v>0</v>
      </c>
      <c r="BF344" s="313">
        <f>SUMIF(Recibos!$D$4:$D$7493,Cobranza!$B344,Recibos!R$4:R$7493)</f>
        <v>0</v>
      </c>
      <c r="BG344" s="313">
        <f>SUMIF(Recibos!$D$4:$D$7493,Cobranza!$B344,Recibos!S$4:S$7493)</f>
        <v>0</v>
      </c>
      <c r="BH344" s="313">
        <f>SUMIF(Recibos!$D$4:$D$7493,Cobranza!$B344,Recibos!T$4:T$7493)</f>
        <v>0</v>
      </c>
      <c r="BI344" s="313">
        <f>SUMIF(Recibos!$D$4:$D$7493,Cobranza!$B344,Recibos!U$4:U$7493)</f>
        <v>0</v>
      </c>
      <c r="BJ344" s="313">
        <f>SUMIF(Recibos!$D$4:$D$7493,Cobranza!$B344,Recibos!V$4:V$7493)</f>
        <v>0</v>
      </c>
      <c r="BK344" s="314">
        <f t="shared" si="50"/>
        <v>0</v>
      </c>
      <c r="BL344" s="313">
        <f>SUMIF(Recibos!$D$4:$D$7493,Cobranza!$B344,Recibos!X$4:X$7493)</f>
        <v>0</v>
      </c>
      <c r="BM344" s="313">
        <f>SUMIF(Recibos!$D$4:$D$7493,Cobranza!$B344,Recibos!Y$4:Y$7493)</f>
        <v>0</v>
      </c>
      <c r="BN344" s="313">
        <f>SUMIF(Recibos!$D$4:$D$7493,Cobranza!$B344,Recibos!Z$4:Z$7493)</f>
        <v>0</v>
      </c>
      <c r="BO344" s="313">
        <f>SUMIF(Recibos!$D$4:$D$7493,Cobranza!$B344,Recibos!AA$4:AA$7493)</f>
        <v>0</v>
      </c>
      <c r="BP344" s="313">
        <f>SUMIF(Recibos!$D$4:$D$7493,Cobranza!$B344,Recibos!AB$4:AB$7493)</f>
        <v>0</v>
      </c>
      <c r="BQ344" s="313">
        <f>SUMIF(Recibos!$D$4:$D$7493,Cobranza!$B344,Recibos!AC$4:AC$7493)</f>
        <v>0</v>
      </c>
      <c r="BR344" s="313">
        <f>SUMIF(Recibos!$D$4:$D$7493,Cobranza!$B344,Recibos!AD$4:AD$7493)</f>
        <v>0</v>
      </c>
      <c r="BS344" s="313">
        <f>SUMIF(Recibos!$D$4:$D$7493,Cobranza!$B344,Recibos!AE$4:AE$7493)</f>
        <v>0</v>
      </c>
      <c r="BT344" s="313">
        <f>SUMIF(Recibos!$D$4:$D$7493,Cobranza!$B344,Recibos!AF$4:AF$7493)</f>
        <v>0</v>
      </c>
      <c r="BU344" s="313">
        <f>SUMIF(Recibos!$D$4:$D$7493,Cobranza!$B344,Recibos!AG$4:AG$7493)</f>
        <v>0</v>
      </c>
      <c r="BV344" s="313">
        <f>SUMIF(Recibos!$D$4:$D$7493,Cobranza!$B344,Recibos!AH$4:AH$7493)</f>
        <v>0</v>
      </c>
      <c r="BW344" s="313">
        <f>SUMIF(Recibos!$D$4:$D$7493,Cobranza!$B344,Recibos!AI$4:AI$7493)</f>
        <v>0</v>
      </c>
      <c r="BX344" s="314">
        <f t="shared" si="51"/>
        <v>0</v>
      </c>
      <c r="BY344" s="313">
        <f>SUMIF(Recibos!$D$4:$D$7493,Cobranza!$B344,Recibos!AK$4:AK$7493)</f>
        <v>0</v>
      </c>
      <c r="BZ344" s="313">
        <f>SUMIF(Recibos!$D$4:$D$7493,Cobranza!$B344,Recibos!AL$4:AL$7493)</f>
        <v>0</v>
      </c>
      <c r="CA344" s="313">
        <f>SUMIF(Recibos!$D$4:$D$7493,Cobranza!$B344,Recibos!AM$4:AM$7493)</f>
        <v>0</v>
      </c>
      <c r="CB344" s="313">
        <f>SUMIF(Recibos!$D$4:$D$7493,Cobranza!$B344,Recibos!AN$4:AN$7493)</f>
        <v>0</v>
      </c>
      <c r="CC344" s="313">
        <f>SUMIF(Recibos!$D$4:$D$7493,Cobranza!$B344,Recibos!AO$4:AO$7493)</f>
        <v>0</v>
      </c>
      <c r="CD344" s="313">
        <f>SUMIF(Recibos!$D$4:$D$7493,Cobranza!$B344,Recibos!AP$4:AP$7493)</f>
        <v>0</v>
      </c>
      <c r="CE344" s="313">
        <f>SUMIF(Recibos!$D$4:$D$7493,Cobranza!$B344,Recibos!AQ$4:AQ$7493)</f>
        <v>0</v>
      </c>
      <c r="CF344" s="313">
        <f>SUMIF(Recibos!$D$4:$D$7493,Cobranza!$B344,Recibos!AR$4:AR$7493)</f>
        <v>0</v>
      </c>
      <c r="CG344" s="313">
        <f>SUMIF(Recibos!$D$4:$D$7493,Cobranza!$B344,Recibos!AS$4:AS$7493)</f>
        <v>0</v>
      </c>
      <c r="CH344" s="313">
        <f>SUMIF(Recibos!$D$4:$D$7493,Cobranza!$B344,Recibos!AT$4:AT$7493)</f>
        <v>0</v>
      </c>
      <c r="CI344" s="313">
        <f>SUMIF(Recibos!$D$4:$D$7493,Cobranza!$B344,Recibos!AU$4:AU$7493)</f>
        <v>0</v>
      </c>
      <c r="CJ344" s="313">
        <f>SUMIF(Recibos!$D$4:$D$7493,Cobranza!$B344,Recibos!AV$4:AV$7493)</f>
        <v>0</v>
      </c>
      <c r="CK344" s="314">
        <f t="shared" si="45"/>
        <v>0</v>
      </c>
    </row>
    <row r="345" spans="2:89" x14ac:dyDescent="0.2">
      <c r="B345" s="42" t="s">
        <v>174</v>
      </c>
      <c r="C345" s="42" t="s">
        <v>175</v>
      </c>
      <c r="D345" s="42" t="s">
        <v>176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300</v>
      </c>
      <c r="K345" s="44">
        <f t="shared" si="46"/>
        <v>300</v>
      </c>
      <c r="L345" s="43">
        <v>300</v>
      </c>
      <c r="M345" s="43">
        <v>300</v>
      </c>
      <c r="N345" s="43">
        <v>300</v>
      </c>
      <c r="O345" s="43">
        <v>300</v>
      </c>
      <c r="P345" s="43">
        <v>300</v>
      </c>
      <c r="Q345" s="43">
        <v>300</v>
      </c>
      <c r="R345" s="43">
        <v>300</v>
      </c>
      <c r="S345" s="43">
        <v>300</v>
      </c>
      <c r="T345" s="43">
        <v>300</v>
      </c>
      <c r="U345" s="43">
        <v>300</v>
      </c>
      <c r="V345" s="43">
        <v>300</v>
      </c>
      <c r="W345" s="43">
        <v>300</v>
      </c>
      <c r="X345" s="44">
        <f t="shared" si="47"/>
        <v>3600</v>
      </c>
      <c r="Y345" s="43">
        <v>300</v>
      </c>
      <c r="Z345" s="43">
        <v>300</v>
      </c>
      <c r="AA345" s="43">
        <v>300</v>
      </c>
      <c r="AB345" s="43">
        <v>300</v>
      </c>
      <c r="AC345" s="43">
        <v>300</v>
      </c>
      <c r="AD345" s="43">
        <v>300</v>
      </c>
      <c r="AE345" s="43">
        <v>300</v>
      </c>
      <c r="AF345" s="43">
        <v>300</v>
      </c>
      <c r="AG345" s="43">
        <v>300</v>
      </c>
      <c r="AH345" s="43">
        <v>300</v>
      </c>
      <c r="AI345" s="43">
        <v>300</v>
      </c>
      <c r="AJ345" s="43">
        <v>300</v>
      </c>
      <c r="AK345" s="44">
        <f t="shared" si="48"/>
        <v>3600</v>
      </c>
      <c r="AL345" s="43">
        <v>300</v>
      </c>
      <c r="AM345" s="43">
        <v>300</v>
      </c>
      <c r="AN345" s="43">
        <v>400</v>
      </c>
      <c r="AO345" s="43">
        <v>300</v>
      </c>
      <c r="AP345" s="43">
        <v>300</v>
      </c>
      <c r="AQ345" s="43">
        <v>300</v>
      </c>
      <c r="AR345" s="43">
        <v>300</v>
      </c>
      <c r="AS345" s="43">
        <v>300</v>
      </c>
      <c r="AT345" s="43">
        <v>300</v>
      </c>
      <c r="AU345" s="43">
        <v>300</v>
      </c>
      <c r="AV345" s="43">
        <v>300</v>
      </c>
      <c r="AW345" s="43">
        <v>300</v>
      </c>
      <c r="AX345" s="44">
        <f t="shared" si="49"/>
        <v>3700</v>
      </c>
      <c r="AY345" s="311">
        <f>SUMIF(Recibos!$D$4:$D$7493,Cobranza!$B345,Recibos!K$4:K$7493)</f>
        <v>300</v>
      </c>
      <c r="AZ345" s="311">
        <f>SUMIF(Recibos!$D$4:$D$7493,Cobranza!$B345,Recibos!L$4:L$7493)</f>
        <v>300</v>
      </c>
      <c r="BA345" s="311">
        <f>SUMIF(Recibos!$D$4:$D$7493,Cobranza!$B345,Recibos!M$4:M$7493)</f>
        <v>300</v>
      </c>
      <c r="BB345" s="311">
        <f>SUMIF(Recibos!$D$4:$D$7493,Cobranza!$B345,Recibos!N$4:N$7493)</f>
        <v>300</v>
      </c>
      <c r="BC345" s="311">
        <f>SUMIF(Recibos!$D$4:$D$7493,Cobranza!$B345,Recibos!O$4:O$7493)</f>
        <v>300</v>
      </c>
      <c r="BD345" s="311">
        <f>SUMIF(Recibos!$D$4:$D$7493,Cobranza!$B345,Recibos!P$4:P$7493)</f>
        <v>300</v>
      </c>
      <c r="BE345" s="311">
        <f>SUMIF(Recibos!$D$4:$D$7493,Cobranza!$B345,Recibos!Q$4:Q$7493)</f>
        <v>300</v>
      </c>
      <c r="BF345" s="311">
        <f>SUMIF(Recibos!$D$4:$D$7493,Cobranza!$B345,Recibos!R$4:R$7493)</f>
        <v>300</v>
      </c>
      <c r="BG345" s="311">
        <f>SUMIF(Recibos!$D$4:$D$7493,Cobranza!$B345,Recibos!S$4:S$7493)</f>
        <v>300</v>
      </c>
      <c r="BH345" s="311">
        <f>SUMIF(Recibos!$D$4:$D$7493,Cobranza!$B345,Recibos!T$4:T$7493)</f>
        <v>300</v>
      </c>
      <c r="BI345" s="311">
        <f>SUMIF(Recibos!$D$4:$D$7493,Cobranza!$B345,Recibos!U$4:U$7493)</f>
        <v>300</v>
      </c>
      <c r="BJ345" s="311">
        <f>SUMIF(Recibos!$D$4:$D$7493,Cobranza!$B345,Recibos!V$4:V$7493)</f>
        <v>300</v>
      </c>
      <c r="BK345" s="312">
        <f t="shared" si="50"/>
        <v>3600</v>
      </c>
      <c r="BL345" s="311">
        <f>SUMIF(Recibos!$D$4:$D$7493,Cobranza!$B345,Recibos!X$4:X$7493)</f>
        <v>300</v>
      </c>
      <c r="BM345" s="311">
        <f>SUMIF(Recibos!$D$4:$D$7493,Cobranza!$B345,Recibos!Y$4:Y$7493)</f>
        <v>300</v>
      </c>
      <c r="BN345" s="311">
        <f>SUMIF(Recibos!$D$4:$D$7493,Cobranza!$B345,Recibos!Z$4:Z$7493)</f>
        <v>300</v>
      </c>
      <c r="BO345" s="311">
        <f>SUMIF(Recibos!$D$4:$D$7493,Cobranza!$B345,Recibos!AA$4:AA$7493)</f>
        <v>300</v>
      </c>
      <c r="BP345" s="311">
        <f>SUMIF(Recibos!$D$4:$D$7493,Cobranza!$B345,Recibos!AB$4:AB$7493)</f>
        <v>300</v>
      </c>
      <c r="BQ345" s="311">
        <f>SUMIF(Recibos!$D$4:$D$7493,Cobranza!$B345,Recibos!AC$4:AC$7493)</f>
        <v>300</v>
      </c>
      <c r="BR345" s="311">
        <f>SUMIF(Recibos!$D$4:$D$7493,Cobranza!$B345,Recibos!AD$4:AD$7493)</f>
        <v>300</v>
      </c>
      <c r="BS345" s="311">
        <f>SUMIF(Recibos!$D$4:$D$7493,Cobranza!$B345,Recibos!AE$4:AE$7493)</f>
        <v>300</v>
      </c>
      <c r="BT345" s="311">
        <f>SUMIF(Recibos!$D$4:$D$7493,Cobranza!$B345,Recibos!AF$4:AF$7493)</f>
        <v>300</v>
      </c>
      <c r="BU345" s="311">
        <f>SUMIF(Recibos!$D$4:$D$7493,Cobranza!$B345,Recibos!AG$4:AG$7493)</f>
        <v>300</v>
      </c>
      <c r="BV345" s="311">
        <f>SUMIF(Recibos!$D$4:$D$7493,Cobranza!$B345,Recibos!AH$4:AH$7493)</f>
        <v>300</v>
      </c>
      <c r="BW345" s="311">
        <f>SUMIF(Recibos!$D$4:$D$7493,Cobranza!$B345,Recibos!AI$4:AI$7493)</f>
        <v>300</v>
      </c>
      <c r="BX345" s="312">
        <f t="shared" si="51"/>
        <v>3600</v>
      </c>
      <c r="BY345" s="311">
        <f>SUMIF(Recibos!$D$4:$D$7493,Cobranza!$B345,Recibos!AK$4:AK$7493)</f>
        <v>300</v>
      </c>
      <c r="BZ345" s="311">
        <f>SUMIF(Recibos!$D$4:$D$7493,Cobranza!$B345,Recibos!AL$4:AL$7493)</f>
        <v>300</v>
      </c>
      <c r="CA345" s="311">
        <f>SUMIF(Recibos!$D$4:$D$7493,Cobranza!$B345,Recibos!AM$4:AM$7493)</f>
        <v>300</v>
      </c>
      <c r="CB345" s="311">
        <f>SUMIF(Recibos!$D$4:$D$7493,Cobranza!$B345,Recibos!AN$4:AN$7493)</f>
        <v>300</v>
      </c>
      <c r="CC345" s="311">
        <f>SUMIF(Recibos!$D$4:$D$7493,Cobranza!$B345,Recibos!AO$4:AO$7493)</f>
        <v>300</v>
      </c>
      <c r="CD345" s="311">
        <f>SUMIF(Recibos!$D$4:$D$7493,Cobranza!$B345,Recibos!AP$4:AP$7493)</f>
        <v>300</v>
      </c>
      <c r="CE345" s="311">
        <f>SUMIF(Recibos!$D$4:$D$7493,Cobranza!$B345,Recibos!AQ$4:AQ$7493)</f>
        <v>300</v>
      </c>
      <c r="CF345" s="311">
        <f>SUMIF(Recibos!$D$4:$D$7493,Cobranza!$B345,Recibos!AR$4:AR$7493)</f>
        <v>300</v>
      </c>
      <c r="CG345" s="311">
        <f>SUMIF(Recibos!$D$4:$D$7493,Cobranza!$B345,Recibos!AS$4:AS$7493)</f>
        <v>300</v>
      </c>
      <c r="CH345" s="311">
        <f>SUMIF(Recibos!$D$4:$D$7493,Cobranza!$B345,Recibos!AT$4:AT$7493)</f>
        <v>300</v>
      </c>
      <c r="CI345" s="311">
        <f>SUMIF(Recibos!$D$4:$D$7493,Cobranza!$B345,Recibos!AU$4:AU$7493)</f>
        <v>0</v>
      </c>
      <c r="CJ345" s="311">
        <f>SUMIF(Recibos!$D$4:$D$7493,Cobranza!$B345,Recibos!AV$4:AV$7493)</f>
        <v>0</v>
      </c>
      <c r="CK345" s="312">
        <f t="shared" si="45"/>
        <v>3000</v>
      </c>
    </row>
    <row r="346" spans="2:89" x14ac:dyDescent="0.2">
      <c r="B346" s="45" t="s">
        <v>634</v>
      </c>
      <c r="C346" s="45" t="s">
        <v>635</v>
      </c>
      <c r="D346" s="45" t="s">
        <v>636</v>
      </c>
      <c r="E346" s="46">
        <v>0</v>
      </c>
      <c r="F346" s="46">
        <v>0</v>
      </c>
      <c r="G346" s="46">
        <v>0</v>
      </c>
      <c r="H346" s="46">
        <v>0</v>
      </c>
      <c r="I346" s="46">
        <v>0</v>
      </c>
      <c r="J346" s="46">
        <v>200</v>
      </c>
      <c r="K346" s="47">
        <f t="shared" si="46"/>
        <v>200</v>
      </c>
      <c r="L346" s="46">
        <v>200</v>
      </c>
      <c r="M346" s="46">
        <v>200</v>
      </c>
      <c r="N346" s="46">
        <v>200</v>
      </c>
      <c r="O346" s="46">
        <v>200</v>
      </c>
      <c r="P346" s="46">
        <v>200</v>
      </c>
      <c r="Q346" s="46">
        <v>200</v>
      </c>
      <c r="R346" s="46">
        <v>200</v>
      </c>
      <c r="S346" s="46">
        <v>400</v>
      </c>
      <c r="T346" s="46">
        <v>200</v>
      </c>
      <c r="U346" s="46">
        <v>300</v>
      </c>
      <c r="V346" s="46">
        <v>300</v>
      </c>
      <c r="W346" s="46">
        <v>300</v>
      </c>
      <c r="X346" s="47">
        <f t="shared" si="47"/>
        <v>2900</v>
      </c>
      <c r="Y346" s="46">
        <v>300</v>
      </c>
      <c r="Z346" s="46">
        <v>300</v>
      </c>
      <c r="AA346" s="46">
        <v>300</v>
      </c>
      <c r="AB346" s="46">
        <v>0</v>
      </c>
      <c r="AC346" s="46">
        <v>300</v>
      </c>
      <c r="AD346" s="46">
        <v>300</v>
      </c>
      <c r="AE346" s="46">
        <v>300</v>
      </c>
      <c r="AF346" s="46">
        <v>300</v>
      </c>
      <c r="AG346" s="46">
        <v>300</v>
      </c>
      <c r="AH346" s="46">
        <v>300</v>
      </c>
      <c r="AI346" s="46">
        <v>0</v>
      </c>
      <c r="AJ346" s="46">
        <v>300</v>
      </c>
      <c r="AK346" s="47">
        <f t="shared" si="48"/>
        <v>3000</v>
      </c>
      <c r="AL346" s="46">
        <v>300</v>
      </c>
      <c r="AM346" s="46">
        <v>300</v>
      </c>
      <c r="AN346" s="46">
        <v>300</v>
      </c>
      <c r="AO346" s="46">
        <v>300</v>
      </c>
      <c r="AP346" s="46">
        <v>300</v>
      </c>
      <c r="AQ346" s="46">
        <v>300</v>
      </c>
      <c r="AR346" s="46">
        <v>300</v>
      </c>
      <c r="AS346" s="46">
        <v>300</v>
      </c>
      <c r="AT346" s="46">
        <v>300</v>
      </c>
      <c r="AU346" s="46">
        <v>300</v>
      </c>
      <c r="AV346" s="46">
        <v>300</v>
      </c>
      <c r="AW346" s="46">
        <v>300</v>
      </c>
      <c r="AX346" s="47">
        <f t="shared" si="49"/>
        <v>3600</v>
      </c>
      <c r="AY346" s="313">
        <f>SUMIF(Recibos!$D$4:$D$7493,Cobranza!$B346,Recibos!K$4:K$7493)</f>
        <v>300</v>
      </c>
      <c r="AZ346" s="313">
        <f>SUMIF(Recibos!$D$4:$D$7493,Cobranza!$B346,Recibos!L$4:L$7493)</f>
        <v>300</v>
      </c>
      <c r="BA346" s="313">
        <f>SUMIF(Recibos!$D$4:$D$7493,Cobranza!$B346,Recibos!M$4:M$7493)</f>
        <v>300</v>
      </c>
      <c r="BB346" s="313">
        <f>SUMIF(Recibos!$D$4:$D$7493,Cobranza!$B346,Recibos!N$4:N$7493)</f>
        <v>300</v>
      </c>
      <c r="BC346" s="313">
        <f>SUMIF(Recibos!$D$4:$D$7493,Cobranza!$B346,Recibos!O$4:O$7493)</f>
        <v>300</v>
      </c>
      <c r="BD346" s="313">
        <f>SUMIF(Recibos!$D$4:$D$7493,Cobranza!$B346,Recibos!P$4:P$7493)</f>
        <v>300</v>
      </c>
      <c r="BE346" s="313">
        <f>SUMIF(Recibos!$D$4:$D$7493,Cobranza!$B346,Recibos!Q$4:Q$7493)</f>
        <v>300</v>
      </c>
      <c r="BF346" s="313">
        <f>SUMIF(Recibos!$D$4:$D$7493,Cobranza!$B346,Recibos!R$4:R$7493)</f>
        <v>300</v>
      </c>
      <c r="BG346" s="313">
        <f>SUMIF(Recibos!$D$4:$D$7493,Cobranza!$B346,Recibos!S$4:S$7493)</f>
        <v>300</v>
      </c>
      <c r="BH346" s="313">
        <f>SUMIF(Recibos!$D$4:$D$7493,Cobranza!$B346,Recibos!T$4:T$7493)</f>
        <v>300</v>
      </c>
      <c r="BI346" s="313">
        <f>SUMIF(Recibos!$D$4:$D$7493,Cobranza!$B346,Recibos!U$4:U$7493)</f>
        <v>300</v>
      </c>
      <c r="BJ346" s="313">
        <f>SUMIF(Recibos!$D$4:$D$7493,Cobranza!$B346,Recibos!V$4:V$7493)</f>
        <v>300</v>
      </c>
      <c r="BK346" s="314">
        <f t="shared" si="50"/>
        <v>3600</v>
      </c>
      <c r="BL346" s="313">
        <f>SUMIF(Recibos!$D$4:$D$7493,Cobranza!$B346,Recibos!X$4:X$7493)</f>
        <v>300</v>
      </c>
      <c r="BM346" s="313">
        <f>SUMIF(Recibos!$D$4:$D$7493,Cobranza!$B346,Recibos!Y$4:Y$7493)</f>
        <v>300</v>
      </c>
      <c r="BN346" s="313">
        <f>SUMIF(Recibos!$D$4:$D$7493,Cobranza!$B346,Recibos!Z$4:Z$7493)</f>
        <v>300</v>
      </c>
      <c r="BO346" s="313">
        <f>SUMIF(Recibos!$D$4:$D$7493,Cobranza!$B346,Recibos!AA$4:AA$7493)</f>
        <v>300</v>
      </c>
      <c r="BP346" s="313">
        <f>SUMIF(Recibos!$D$4:$D$7493,Cobranza!$B346,Recibos!AB$4:AB$7493)</f>
        <v>300</v>
      </c>
      <c r="BQ346" s="313">
        <f>SUMIF(Recibos!$D$4:$D$7493,Cobranza!$B346,Recibos!AC$4:AC$7493)</f>
        <v>300</v>
      </c>
      <c r="BR346" s="313">
        <f>SUMIF(Recibos!$D$4:$D$7493,Cobranza!$B346,Recibos!AD$4:AD$7493)</f>
        <v>300</v>
      </c>
      <c r="BS346" s="313">
        <f>SUMIF(Recibos!$D$4:$D$7493,Cobranza!$B346,Recibos!AE$4:AE$7493)</f>
        <v>300</v>
      </c>
      <c r="BT346" s="313">
        <f>SUMIF(Recibos!$D$4:$D$7493,Cobranza!$B346,Recibos!AF$4:AF$7493)</f>
        <v>300</v>
      </c>
      <c r="BU346" s="313">
        <f>SUMIF(Recibos!$D$4:$D$7493,Cobranza!$B346,Recibos!AG$4:AG$7493)</f>
        <v>300</v>
      </c>
      <c r="BV346" s="313">
        <f>SUMIF(Recibos!$D$4:$D$7493,Cobranza!$B346,Recibos!AH$4:AH$7493)</f>
        <v>300</v>
      </c>
      <c r="BW346" s="313">
        <f>SUMIF(Recibos!$D$4:$D$7493,Cobranza!$B346,Recibos!AI$4:AI$7493)</f>
        <v>0</v>
      </c>
      <c r="BX346" s="314">
        <f t="shared" si="51"/>
        <v>3300</v>
      </c>
      <c r="BY346" s="313">
        <f>SUMIF(Recibos!$D$4:$D$7493,Cobranza!$B346,Recibos!AK$4:AK$7493)</f>
        <v>300</v>
      </c>
      <c r="BZ346" s="313">
        <f>SUMIF(Recibos!$D$4:$D$7493,Cobranza!$B346,Recibos!AL$4:AL$7493)</f>
        <v>300</v>
      </c>
      <c r="CA346" s="313">
        <f>SUMIF(Recibos!$D$4:$D$7493,Cobranza!$B346,Recibos!AM$4:AM$7493)</f>
        <v>300</v>
      </c>
      <c r="CB346" s="313">
        <f>SUMIF(Recibos!$D$4:$D$7493,Cobranza!$B346,Recibos!AN$4:AN$7493)</f>
        <v>300</v>
      </c>
      <c r="CC346" s="313">
        <f>SUMIF(Recibos!$D$4:$D$7493,Cobranza!$B346,Recibos!AO$4:AO$7493)</f>
        <v>300</v>
      </c>
      <c r="CD346" s="313">
        <f>SUMIF(Recibos!$D$4:$D$7493,Cobranza!$B346,Recibos!AP$4:AP$7493)</f>
        <v>300</v>
      </c>
      <c r="CE346" s="313">
        <f>SUMIF(Recibos!$D$4:$D$7493,Cobranza!$B346,Recibos!AQ$4:AQ$7493)</f>
        <v>300</v>
      </c>
      <c r="CF346" s="313">
        <f>SUMIF(Recibos!$D$4:$D$7493,Cobranza!$B346,Recibos!AR$4:AR$7493)</f>
        <v>300</v>
      </c>
      <c r="CG346" s="313">
        <f>SUMIF(Recibos!$D$4:$D$7493,Cobranza!$B346,Recibos!AS$4:AS$7493)</f>
        <v>300</v>
      </c>
      <c r="CH346" s="313">
        <f>SUMIF(Recibos!$D$4:$D$7493,Cobranza!$B346,Recibos!AT$4:AT$7493)</f>
        <v>300</v>
      </c>
      <c r="CI346" s="313">
        <f>SUMIF(Recibos!$D$4:$D$7493,Cobranza!$B346,Recibos!AU$4:AU$7493)</f>
        <v>300</v>
      </c>
      <c r="CJ346" s="313">
        <f>SUMIF(Recibos!$D$4:$D$7493,Cobranza!$B346,Recibos!AV$4:AV$7493)</f>
        <v>0</v>
      </c>
      <c r="CK346" s="314">
        <f t="shared" si="45"/>
        <v>3300</v>
      </c>
    </row>
    <row r="347" spans="2:89" x14ac:dyDescent="0.2">
      <c r="B347" s="42" t="s">
        <v>1411</v>
      </c>
      <c r="C347" s="42" t="s">
        <v>1412</v>
      </c>
      <c r="D347" s="42" t="s">
        <v>1413</v>
      </c>
      <c r="E347" s="43">
        <v>0</v>
      </c>
      <c r="F347" s="43">
        <v>0</v>
      </c>
      <c r="G347" s="43">
        <v>0</v>
      </c>
      <c r="H347" s="43">
        <v>0</v>
      </c>
      <c r="I347" s="43">
        <v>150</v>
      </c>
      <c r="J347" s="43">
        <v>150</v>
      </c>
      <c r="K347" s="44">
        <f t="shared" si="46"/>
        <v>300</v>
      </c>
      <c r="L347" s="43">
        <v>150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  <c r="V347" s="43">
        <v>0</v>
      </c>
      <c r="W347" s="43">
        <v>0</v>
      </c>
      <c r="X347" s="44">
        <f t="shared" si="47"/>
        <v>150</v>
      </c>
      <c r="Y347" s="43">
        <v>0</v>
      </c>
      <c r="Z347" s="43">
        <v>0</v>
      </c>
      <c r="AA347" s="43">
        <v>0</v>
      </c>
      <c r="AB347" s="43">
        <v>0</v>
      </c>
      <c r="AC347" s="43">
        <v>0</v>
      </c>
      <c r="AD347" s="43">
        <v>0</v>
      </c>
      <c r="AE347" s="43">
        <v>0</v>
      </c>
      <c r="AF347" s="43">
        <v>0</v>
      </c>
      <c r="AG347" s="43">
        <v>0</v>
      </c>
      <c r="AH347" s="43">
        <v>0</v>
      </c>
      <c r="AI347" s="43">
        <v>0</v>
      </c>
      <c r="AJ347" s="43">
        <v>0</v>
      </c>
      <c r="AK347" s="44">
        <f t="shared" si="48"/>
        <v>0</v>
      </c>
      <c r="AL347" s="43">
        <v>0</v>
      </c>
      <c r="AM347" s="43">
        <v>0</v>
      </c>
      <c r="AN347" s="43">
        <v>0</v>
      </c>
      <c r="AO347" s="43">
        <v>0</v>
      </c>
      <c r="AP347" s="43">
        <v>0</v>
      </c>
      <c r="AQ347" s="43">
        <v>0</v>
      </c>
      <c r="AR347" s="43">
        <v>0</v>
      </c>
      <c r="AS347" s="43">
        <v>0</v>
      </c>
      <c r="AT347" s="43">
        <v>0</v>
      </c>
      <c r="AU347" s="43">
        <v>0</v>
      </c>
      <c r="AV347" s="43">
        <v>0</v>
      </c>
      <c r="AW347" s="43">
        <v>0</v>
      </c>
      <c r="AX347" s="44">
        <f t="shared" si="49"/>
        <v>0</v>
      </c>
      <c r="AY347" s="311">
        <f>SUMIF(Recibos!$D$4:$D$7493,Cobranza!$B347,Recibos!K$4:K$7493)</f>
        <v>0</v>
      </c>
      <c r="AZ347" s="311">
        <f>SUMIF(Recibos!$D$4:$D$7493,Cobranza!$B347,Recibos!L$4:L$7493)</f>
        <v>0</v>
      </c>
      <c r="BA347" s="311">
        <f>SUMIF(Recibos!$D$4:$D$7493,Cobranza!$B347,Recibos!M$4:M$7493)</f>
        <v>0</v>
      </c>
      <c r="BB347" s="311">
        <f>SUMIF(Recibos!$D$4:$D$7493,Cobranza!$B347,Recibos!N$4:N$7493)</f>
        <v>0</v>
      </c>
      <c r="BC347" s="311">
        <f>SUMIF(Recibos!$D$4:$D$7493,Cobranza!$B347,Recibos!O$4:O$7493)</f>
        <v>0</v>
      </c>
      <c r="BD347" s="311">
        <f>SUMIF(Recibos!$D$4:$D$7493,Cobranza!$B347,Recibos!P$4:P$7493)</f>
        <v>0</v>
      </c>
      <c r="BE347" s="311">
        <f>SUMIF(Recibos!$D$4:$D$7493,Cobranza!$B347,Recibos!Q$4:Q$7493)</f>
        <v>0</v>
      </c>
      <c r="BF347" s="311">
        <f>SUMIF(Recibos!$D$4:$D$7493,Cobranza!$B347,Recibos!R$4:R$7493)</f>
        <v>0</v>
      </c>
      <c r="BG347" s="311">
        <f>SUMIF(Recibos!$D$4:$D$7493,Cobranza!$B347,Recibos!S$4:S$7493)</f>
        <v>0</v>
      </c>
      <c r="BH347" s="311">
        <f>SUMIF(Recibos!$D$4:$D$7493,Cobranza!$B347,Recibos!T$4:T$7493)</f>
        <v>0</v>
      </c>
      <c r="BI347" s="311">
        <f>SUMIF(Recibos!$D$4:$D$7493,Cobranza!$B347,Recibos!U$4:U$7493)</f>
        <v>0</v>
      </c>
      <c r="BJ347" s="311">
        <f>SUMIF(Recibos!$D$4:$D$7493,Cobranza!$B347,Recibos!V$4:V$7493)</f>
        <v>0</v>
      </c>
      <c r="BK347" s="312">
        <f t="shared" si="50"/>
        <v>0</v>
      </c>
      <c r="BL347" s="311">
        <f>SUMIF(Recibos!$D$4:$D$7493,Cobranza!$B347,Recibos!X$4:X$7493)</f>
        <v>0</v>
      </c>
      <c r="BM347" s="311">
        <f>SUMIF(Recibos!$D$4:$D$7493,Cobranza!$B347,Recibos!Y$4:Y$7493)</f>
        <v>0</v>
      </c>
      <c r="BN347" s="311">
        <f>SUMIF(Recibos!$D$4:$D$7493,Cobranza!$B347,Recibos!Z$4:Z$7493)</f>
        <v>0</v>
      </c>
      <c r="BO347" s="311">
        <f>SUMIF(Recibos!$D$4:$D$7493,Cobranza!$B347,Recibos!AA$4:AA$7493)</f>
        <v>0</v>
      </c>
      <c r="BP347" s="311">
        <f>SUMIF(Recibos!$D$4:$D$7493,Cobranza!$B347,Recibos!AB$4:AB$7493)</f>
        <v>0</v>
      </c>
      <c r="BQ347" s="311">
        <f>SUMIF(Recibos!$D$4:$D$7493,Cobranza!$B347,Recibos!AC$4:AC$7493)</f>
        <v>0</v>
      </c>
      <c r="BR347" s="311">
        <f>SUMIF(Recibos!$D$4:$D$7493,Cobranza!$B347,Recibos!AD$4:AD$7493)</f>
        <v>0</v>
      </c>
      <c r="BS347" s="311">
        <f>SUMIF(Recibos!$D$4:$D$7493,Cobranza!$B347,Recibos!AE$4:AE$7493)</f>
        <v>0</v>
      </c>
      <c r="BT347" s="311">
        <f>SUMIF(Recibos!$D$4:$D$7493,Cobranza!$B347,Recibos!AF$4:AF$7493)</f>
        <v>0</v>
      </c>
      <c r="BU347" s="311">
        <f>SUMIF(Recibos!$D$4:$D$7493,Cobranza!$B347,Recibos!AG$4:AG$7493)</f>
        <v>0</v>
      </c>
      <c r="BV347" s="311">
        <f>SUMIF(Recibos!$D$4:$D$7493,Cobranza!$B347,Recibos!AH$4:AH$7493)</f>
        <v>0</v>
      </c>
      <c r="BW347" s="311">
        <f>SUMIF(Recibos!$D$4:$D$7493,Cobranza!$B347,Recibos!AI$4:AI$7493)</f>
        <v>0</v>
      </c>
      <c r="BX347" s="312">
        <f t="shared" si="51"/>
        <v>0</v>
      </c>
      <c r="BY347" s="311">
        <f>SUMIF(Recibos!$D$4:$D$7493,Cobranza!$B347,Recibos!AK$4:AK$7493)</f>
        <v>0</v>
      </c>
      <c r="BZ347" s="311">
        <f>SUMIF(Recibos!$D$4:$D$7493,Cobranza!$B347,Recibos!AL$4:AL$7493)</f>
        <v>0</v>
      </c>
      <c r="CA347" s="311">
        <f>SUMIF(Recibos!$D$4:$D$7493,Cobranza!$B347,Recibos!AM$4:AM$7493)</f>
        <v>0</v>
      </c>
      <c r="CB347" s="311">
        <f>SUMIF(Recibos!$D$4:$D$7493,Cobranza!$B347,Recibos!AN$4:AN$7493)</f>
        <v>0</v>
      </c>
      <c r="CC347" s="311">
        <f>SUMIF(Recibos!$D$4:$D$7493,Cobranza!$B347,Recibos!AO$4:AO$7493)</f>
        <v>0</v>
      </c>
      <c r="CD347" s="311">
        <f>SUMIF(Recibos!$D$4:$D$7493,Cobranza!$B347,Recibos!AP$4:AP$7493)</f>
        <v>0</v>
      </c>
      <c r="CE347" s="311">
        <f>SUMIF(Recibos!$D$4:$D$7493,Cobranza!$B347,Recibos!AQ$4:AQ$7493)</f>
        <v>0</v>
      </c>
      <c r="CF347" s="311">
        <f>SUMIF(Recibos!$D$4:$D$7493,Cobranza!$B347,Recibos!AR$4:AR$7493)</f>
        <v>0</v>
      </c>
      <c r="CG347" s="311">
        <f>SUMIF(Recibos!$D$4:$D$7493,Cobranza!$B347,Recibos!AS$4:AS$7493)</f>
        <v>0</v>
      </c>
      <c r="CH347" s="311">
        <f>SUMIF(Recibos!$D$4:$D$7493,Cobranza!$B347,Recibos!AT$4:AT$7493)</f>
        <v>0</v>
      </c>
      <c r="CI347" s="311">
        <f>SUMIF(Recibos!$D$4:$D$7493,Cobranza!$B347,Recibos!AU$4:AU$7493)</f>
        <v>0</v>
      </c>
      <c r="CJ347" s="311">
        <f>SUMIF(Recibos!$D$4:$D$7493,Cobranza!$B347,Recibos!AV$4:AV$7493)</f>
        <v>0</v>
      </c>
      <c r="CK347" s="312">
        <f t="shared" si="45"/>
        <v>0</v>
      </c>
    </row>
    <row r="348" spans="2:89" x14ac:dyDescent="0.2">
      <c r="B348" s="45" t="s">
        <v>687</v>
      </c>
      <c r="C348" s="45" t="s">
        <v>688</v>
      </c>
      <c r="D348" s="45" t="s">
        <v>689</v>
      </c>
      <c r="E348" s="46">
        <v>0</v>
      </c>
      <c r="F348" s="46">
        <v>0</v>
      </c>
      <c r="G348" s="46">
        <v>0</v>
      </c>
      <c r="H348" s="46">
        <v>0</v>
      </c>
      <c r="I348" s="46">
        <v>0</v>
      </c>
      <c r="J348" s="46">
        <v>150</v>
      </c>
      <c r="K348" s="47">
        <f t="shared" si="46"/>
        <v>150</v>
      </c>
      <c r="L348" s="46">
        <v>150</v>
      </c>
      <c r="M348" s="46">
        <v>150</v>
      </c>
      <c r="N348" s="46">
        <v>150</v>
      </c>
      <c r="O348" s="46">
        <v>150</v>
      </c>
      <c r="P348" s="46">
        <v>150</v>
      </c>
      <c r="Q348" s="46">
        <v>150</v>
      </c>
      <c r="R348" s="46">
        <v>150</v>
      </c>
      <c r="S348" s="46">
        <v>150</v>
      </c>
      <c r="T348" s="46">
        <v>150</v>
      </c>
      <c r="U348" s="46">
        <v>200</v>
      </c>
      <c r="V348" s="46">
        <v>200</v>
      </c>
      <c r="W348" s="46">
        <v>200</v>
      </c>
      <c r="X348" s="47">
        <f t="shared" si="47"/>
        <v>1950</v>
      </c>
      <c r="Y348" s="46">
        <v>200</v>
      </c>
      <c r="Z348" s="46">
        <v>200</v>
      </c>
      <c r="AA348" s="46">
        <v>200</v>
      </c>
      <c r="AB348" s="46">
        <v>200</v>
      </c>
      <c r="AC348" s="46">
        <v>200</v>
      </c>
      <c r="AD348" s="46">
        <v>0</v>
      </c>
      <c r="AE348" s="46">
        <v>200</v>
      </c>
      <c r="AF348" s="46">
        <v>200</v>
      </c>
      <c r="AG348" s="46">
        <v>200</v>
      </c>
      <c r="AH348" s="46">
        <v>200</v>
      </c>
      <c r="AI348" s="46">
        <v>200</v>
      </c>
      <c r="AJ348" s="46">
        <v>200</v>
      </c>
      <c r="AK348" s="47">
        <f t="shared" si="48"/>
        <v>2200</v>
      </c>
      <c r="AL348" s="46">
        <v>200</v>
      </c>
      <c r="AM348" s="46">
        <v>200</v>
      </c>
      <c r="AN348" s="46">
        <v>200</v>
      </c>
      <c r="AO348" s="46">
        <v>200</v>
      </c>
      <c r="AP348" s="46">
        <v>200</v>
      </c>
      <c r="AQ348" s="46">
        <v>200</v>
      </c>
      <c r="AR348" s="46">
        <v>200</v>
      </c>
      <c r="AS348" s="46">
        <v>200</v>
      </c>
      <c r="AT348" s="46">
        <v>200</v>
      </c>
      <c r="AU348" s="46">
        <v>200</v>
      </c>
      <c r="AV348" s="46">
        <v>200</v>
      </c>
      <c r="AW348" s="46">
        <v>200</v>
      </c>
      <c r="AX348" s="47">
        <f t="shared" si="49"/>
        <v>2400</v>
      </c>
      <c r="AY348" s="313">
        <f>SUMIF(Recibos!$D$4:$D$7493,Cobranza!$B348,Recibos!K$4:K$7493)</f>
        <v>200</v>
      </c>
      <c r="AZ348" s="313">
        <f>SUMIF(Recibos!$D$4:$D$7493,Cobranza!$B348,Recibos!L$4:L$7493)</f>
        <v>200</v>
      </c>
      <c r="BA348" s="313">
        <f>SUMIF(Recibos!$D$4:$D$7493,Cobranza!$B348,Recibos!M$4:M$7493)</f>
        <v>200</v>
      </c>
      <c r="BB348" s="313">
        <f>SUMIF(Recibos!$D$4:$D$7493,Cobranza!$B348,Recibos!N$4:N$7493)</f>
        <v>200</v>
      </c>
      <c r="BC348" s="313">
        <f>SUMIF(Recibos!$D$4:$D$7493,Cobranza!$B348,Recibos!O$4:O$7493)</f>
        <v>200</v>
      </c>
      <c r="BD348" s="313">
        <f>SUMIF(Recibos!$D$4:$D$7493,Cobranza!$B348,Recibos!P$4:P$7493)</f>
        <v>200</v>
      </c>
      <c r="BE348" s="313">
        <f>SUMIF(Recibos!$D$4:$D$7493,Cobranza!$B348,Recibos!Q$4:Q$7493)</f>
        <v>200</v>
      </c>
      <c r="BF348" s="313">
        <f>SUMIF(Recibos!$D$4:$D$7493,Cobranza!$B348,Recibos!R$4:R$7493)</f>
        <v>200</v>
      </c>
      <c r="BG348" s="313">
        <f>SUMIF(Recibos!$D$4:$D$7493,Cobranza!$B348,Recibos!S$4:S$7493)</f>
        <v>200</v>
      </c>
      <c r="BH348" s="313">
        <f>SUMIF(Recibos!$D$4:$D$7493,Cobranza!$B348,Recibos!T$4:T$7493)</f>
        <v>200</v>
      </c>
      <c r="BI348" s="313">
        <f>SUMIF(Recibos!$D$4:$D$7493,Cobranza!$B348,Recibos!U$4:U$7493)</f>
        <v>400</v>
      </c>
      <c r="BJ348" s="313">
        <f>SUMIF(Recibos!$D$4:$D$7493,Cobranza!$B348,Recibos!V$4:V$7493)</f>
        <v>0</v>
      </c>
      <c r="BK348" s="314">
        <f t="shared" si="50"/>
        <v>2400</v>
      </c>
      <c r="BL348" s="313">
        <f>SUMIF(Recibos!$D$4:$D$7493,Cobranza!$B348,Recibos!X$4:X$7493)</f>
        <v>200</v>
      </c>
      <c r="BM348" s="313">
        <f>SUMIF(Recibos!$D$4:$D$7493,Cobranza!$B348,Recibos!Y$4:Y$7493)</f>
        <v>200</v>
      </c>
      <c r="BN348" s="313">
        <f>SUMIF(Recibos!$D$4:$D$7493,Cobranza!$B348,Recibos!Z$4:Z$7493)</f>
        <v>200</v>
      </c>
      <c r="BO348" s="313">
        <f>SUMIF(Recibos!$D$4:$D$7493,Cobranza!$B348,Recibos!AA$4:AA$7493)</f>
        <v>200</v>
      </c>
      <c r="BP348" s="313">
        <f>SUMIF(Recibos!$D$4:$D$7493,Cobranza!$B348,Recibos!AB$4:AB$7493)</f>
        <v>200</v>
      </c>
      <c r="BQ348" s="313">
        <f>SUMIF(Recibos!$D$4:$D$7493,Cobranza!$B348,Recibos!AC$4:AC$7493)</f>
        <v>200</v>
      </c>
      <c r="BR348" s="313">
        <f>SUMIF(Recibos!$D$4:$D$7493,Cobranza!$B348,Recibos!AD$4:AD$7493)</f>
        <v>200</v>
      </c>
      <c r="BS348" s="313">
        <f>SUMIF(Recibos!$D$4:$D$7493,Cobranza!$B348,Recibos!AE$4:AE$7493)</f>
        <v>200</v>
      </c>
      <c r="BT348" s="313">
        <f>SUMIF(Recibos!$D$4:$D$7493,Cobranza!$B348,Recibos!AF$4:AF$7493)</f>
        <v>200</v>
      </c>
      <c r="BU348" s="313">
        <f>SUMIF(Recibos!$D$4:$D$7493,Cobranza!$B348,Recibos!AG$4:AG$7493)</f>
        <v>200</v>
      </c>
      <c r="BV348" s="313">
        <f>SUMIF(Recibos!$D$4:$D$7493,Cobranza!$B348,Recibos!AH$4:AH$7493)</f>
        <v>200</v>
      </c>
      <c r="BW348" s="313">
        <f>SUMIF(Recibos!$D$4:$D$7493,Cobranza!$B348,Recibos!AI$4:AI$7493)</f>
        <v>200</v>
      </c>
      <c r="BX348" s="314">
        <f t="shared" si="51"/>
        <v>2400</v>
      </c>
      <c r="BY348" s="313">
        <f>SUMIF(Recibos!$D$4:$D$7493,Cobranza!$B348,Recibos!AK$4:AK$7493)</f>
        <v>200</v>
      </c>
      <c r="BZ348" s="313">
        <f>SUMIF(Recibos!$D$4:$D$7493,Cobranza!$B348,Recibos!AL$4:AL$7493)</f>
        <v>200</v>
      </c>
      <c r="CA348" s="313">
        <f>SUMIF(Recibos!$D$4:$D$7493,Cobranza!$B348,Recibos!AM$4:AM$7493)</f>
        <v>200</v>
      </c>
      <c r="CB348" s="313">
        <f>SUMIF(Recibos!$D$4:$D$7493,Cobranza!$B348,Recibos!AN$4:AN$7493)</f>
        <v>200</v>
      </c>
      <c r="CC348" s="313">
        <f>SUMIF(Recibos!$D$4:$D$7493,Cobranza!$B348,Recibos!AO$4:AO$7493)</f>
        <v>200</v>
      </c>
      <c r="CD348" s="313">
        <f>SUMIF(Recibos!$D$4:$D$7493,Cobranza!$B348,Recibos!AP$4:AP$7493)</f>
        <v>200</v>
      </c>
      <c r="CE348" s="313">
        <f>SUMIF(Recibos!$D$4:$D$7493,Cobranza!$B348,Recibos!AQ$4:AQ$7493)</f>
        <v>200</v>
      </c>
      <c r="CF348" s="313">
        <f>SUMIF(Recibos!$D$4:$D$7493,Cobranza!$B348,Recibos!AR$4:AR$7493)</f>
        <v>200</v>
      </c>
      <c r="CG348" s="313">
        <f>SUMIF(Recibos!$D$4:$D$7493,Cobranza!$B348,Recibos!AS$4:AS$7493)</f>
        <v>200</v>
      </c>
      <c r="CH348" s="313">
        <f>SUMIF(Recibos!$D$4:$D$7493,Cobranza!$B348,Recibos!AT$4:AT$7493)</f>
        <v>200</v>
      </c>
      <c r="CI348" s="313">
        <f>SUMIF(Recibos!$D$4:$D$7493,Cobranza!$B348,Recibos!AU$4:AU$7493)</f>
        <v>200</v>
      </c>
      <c r="CJ348" s="313">
        <f>SUMIF(Recibos!$D$4:$D$7493,Cobranza!$B348,Recibos!AV$4:AV$7493)</f>
        <v>0</v>
      </c>
      <c r="CK348" s="314">
        <f t="shared" si="45"/>
        <v>2200</v>
      </c>
    </row>
    <row r="349" spans="2:89" x14ac:dyDescent="0.2">
      <c r="B349" s="42" t="s">
        <v>165</v>
      </c>
      <c r="C349" s="42" t="s">
        <v>166</v>
      </c>
      <c r="D349" s="42" t="s">
        <v>167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4">
        <f t="shared" si="46"/>
        <v>0</v>
      </c>
      <c r="L349" s="43">
        <v>300</v>
      </c>
      <c r="M349" s="43">
        <v>300</v>
      </c>
      <c r="N349" s="43">
        <v>300</v>
      </c>
      <c r="O349" s="43">
        <v>300</v>
      </c>
      <c r="P349" s="43">
        <v>300</v>
      </c>
      <c r="Q349" s="43">
        <v>300</v>
      </c>
      <c r="R349" s="43">
        <v>300</v>
      </c>
      <c r="S349" s="43">
        <v>300</v>
      </c>
      <c r="T349" s="43">
        <v>300</v>
      </c>
      <c r="U349" s="43">
        <v>350</v>
      </c>
      <c r="V349" s="43">
        <v>350</v>
      </c>
      <c r="W349" s="43">
        <v>350</v>
      </c>
      <c r="X349" s="44">
        <f t="shared" si="47"/>
        <v>3750</v>
      </c>
      <c r="Y349" s="43">
        <v>350</v>
      </c>
      <c r="Z349" s="43">
        <v>350</v>
      </c>
      <c r="AA349" s="43">
        <v>350</v>
      </c>
      <c r="AB349" s="43">
        <v>350</v>
      </c>
      <c r="AC349" s="43">
        <v>350</v>
      </c>
      <c r="AD349" s="43">
        <v>350</v>
      </c>
      <c r="AE349" s="43">
        <v>350</v>
      </c>
      <c r="AF349" s="43">
        <v>350</v>
      </c>
      <c r="AG349" s="43">
        <v>350</v>
      </c>
      <c r="AH349" s="43">
        <v>350</v>
      </c>
      <c r="AI349" s="43">
        <v>350</v>
      </c>
      <c r="AJ349" s="43">
        <v>350</v>
      </c>
      <c r="AK349" s="44">
        <f t="shared" si="48"/>
        <v>4200</v>
      </c>
      <c r="AL349" s="43">
        <v>350</v>
      </c>
      <c r="AM349" s="43">
        <v>350</v>
      </c>
      <c r="AN349" s="43">
        <v>350</v>
      </c>
      <c r="AO349" s="43">
        <v>350</v>
      </c>
      <c r="AP349" s="43">
        <v>350</v>
      </c>
      <c r="AQ349" s="43">
        <v>350</v>
      </c>
      <c r="AR349" s="43">
        <v>350</v>
      </c>
      <c r="AS349" s="43">
        <v>350</v>
      </c>
      <c r="AT349" s="43">
        <v>350</v>
      </c>
      <c r="AU349" s="43">
        <v>350</v>
      </c>
      <c r="AV349" s="43">
        <v>350</v>
      </c>
      <c r="AW349" s="43">
        <v>350</v>
      </c>
      <c r="AX349" s="44">
        <f t="shared" si="49"/>
        <v>4200</v>
      </c>
      <c r="AY349" s="311">
        <f>SUMIF(Recibos!$D$4:$D$7493,Cobranza!$B349,Recibos!K$4:K$7493)</f>
        <v>350</v>
      </c>
      <c r="AZ349" s="311">
        <f>SUMIF(Recibos!$D$4:$D$7493,Cobranza!$B349,Recibos!L$4:L$7493)</f>
        <v>350</v>
      </c>
      <c r="BA349" s="311">
        <f>SUMIF(Recibos!$D$4:$D$7493,Cobranza!$B349,Recibos!M$4:M$7493)</f>
        <v>350</v>
      </c>
      <c r="BB349" s="311">
        <f>SUMIF(Recibos!$D$4:$D$7493,Cobranza!$B349,Recibos!N$4:N$7493)</f>
        <v>350</v>
      </c>
      <c r="BC349" s="311">
        <f>SUMIF(Recibos!$D$4:$D$7493,Cobranza!$B349,Recibos!O$4:O$7493)</f>
        <v>350</v>
      </c>
      <c r="BD349" s="311">
        <f>SUMIF(Recibos!$D$4:$D$7493,Cobranza!$B349,Recibos!P$4:P$7493)</f>
        <v>350</v>
      </c>
      <c r="BE349" s="311">
        <f>SUMIF(Recibos!$D$4:$D$7493,Cobranza!$B349,Recibos!Q$4:Q$7493)</f>
        <v>350</v>
      </c>
      <c r="BF349" s="311">
        <f>SUMIF(Recibos!$D$4:$D$7493,Cobranza!$B349,Recibos!R$4:R$7493)</f>
        <v>350</v>
      </c>
      <c r="BG349" s="311">
        <f>SUMIF(Recibos!$D$4:$D$7493,Cobranza!$B349,Recibos!S$4:S$7493)</f>
        <v>350</v>
      </c>
      <c r="BH349" s="311">
        <f>SUMIF(Recibos!$D$4:$D$7493,Cobranza!$B349,Recibos!T$4:T$7493)</f>
        <v>350</v>
      </c>
      <c r="BI349" s="311">
        <f>SUMIF(Recibos!$D$4:$D$7493,Cobranza!$B349,Recibos!U$4:U$7493)</f>
        <v>350</v>
      </c>
      <c r="BJ349" s="311">
        <f>SUMIF(Recibos!$D$4:$D$7493,Cobranza!$B349,Recibos!V$4:V$7493)</f>
        <v>350</v>
      </c>
      <c r="BK349" s="312">
        <f t="shared" si="50"/>
        <v>4200</v>
      </c>
      <c r="BL349" s="311">
        <f>SUMIF(Recibos!$D$4:$D$7493,Cobranza!$B349,Recibos!X$4:X$7493)</f>
        <v>350</v>
      </c>
      <c r="BM349" s="311">
        <f>SUMIF(Recibos!$D$4:$D$7493,Cobranza!$B349,Recibos!Y$4:Y$7493)</f>
        <v>350</v>
      </c>
      <c r="BN349" s="311">
        <f>SUMIF(Recibos!$D$4:$D$7493,Cobranza!$B349,Recibos!Z$4:Z$7493)</f>
        <v>350</v>
      </c>
      <c r="BO349" s="311">
        <f>SUMIF(Recibos!$D$4:$D$7493,Cobranza!$B349,Recibos!AA$4:AA$7493)</f>
        <v>350</v>
      </c>
      <c r="BP349" s="311">
        <f>SUMIF(Recibos!$D$4:$D$7493,Cobranza!$B349,Recibos!AB$4:AB$7493)</f>
        <v>350</v>
      </c>
      <c r="BQ349" s="311">
        <f>SUMIF(Recibos!$D$4:$D$7493,Cobranza!$B349,Recibos!AC$4:AC$7493)</f>
        <v>350</v>
      </c>
      <c r="BR349" s="311">
        <f>SUMIF(Recibos!$D$4:$D$7493,Cobranza!$B349,Recibos!AD$4:AD$7493)</f>
        <v>350</v>
      </c>
      <c r="BS349" s="311">
        <f>SUMIF(Recibos!$D$4:$D$7493,Cobranza!$B349,Recibos!AE$4:AE$7493)</f>
        <v>350</v>
      </c>
      <c r="BT349" s="311">
        <f>SUMIF(Recibos!$D$4:$D$7493,Cobranza!$B349,Recibos!AF$4:AF$7493)</f>
        <v>350</v>
      </c>
      <c r="BU349" s="311">
        <f>SUMIF(Recibos!$D$4:$D$7493,Cobranza!$B349,Recibos!AG$4:AG$7493)</f>
        <v>350</v>
      </c>
      <c r="BV349" s="311">
        <f>SUMIF(Recibos!$D$4:$D$7493,Cobranza!$B349,Recibos!AH$4:AH$7493)</f>
        <v>350</v>
      </c>
      <c r="BW349" s="311">
        <f>SUMIF(Recibos!$D$4:$D$7493,Cobranza!$B349,Recibos!AI$4:AI$7493)</f>
        <v>350</v>
      </c>
      <c r="BX349" s="312">
        <f t="shared" si="51"/>
        <v>4200</v>
      </c>
      <c r="BY349" s="311">
        <f>SUMIF(Recibos!$D$4:$D$7493,Cobranza!$B349,Recibos!AK$4:AK$7493)</f>
        <v>350</v>
      </c>
      <c r="BZ349" s="311">
        <f>SUMIF(Recibos!$D$4:$D$7493,Cobranza!$B349,Recibos!AL$4:AL$7493)</f>
        <v>350</v>
      </c>
      <c r="CA349" s="311">
        <f>SUMIF(Recibos!$D$4:$D$7493,Cobranza!$B349,Recibos!AM$4:AM$7493)</f>
        <v>350</v>
      </c>
      <c r="CB349" s="311">
        <f>SUMIF(Recibos!$D$4:$D$7493,Cobranza!$B349,Recibos!AN$4:AN$7493)</f>
        <v>350</v>
      </c>
      <c r="CC349" s="311">
        <f>SUMIF(Recibos!$D$4:$D$7493,Cobranza!$B349,Recibos!AO$4:AO$7493)</f>
        <v>350</v>
      </c>
      <c r="CD349" s="311">
        <f>SUMIF(Recibos!$D$4:$D$7493,Cobranza!$B349,Recibos!AP$4:AP$7493)</f>
        <v>350</v>
      </c>
      <c r="CE349" s="311">
        <f>SUMIF(Recibos!$D$4:$D$7493,Cobranza!$B349,Recibos!AQ$4:AQ$7493)</f>
        <v>350</v>
      </c>
      <c r="CF349" s="311">
        <f>SUMIF(Recibos!$D$4:$D$7493,Cobranza!$B349,Recibos!AR$4:AR$7493)</f>
        <v>350</v>
      </c>
      <c r="CG349" s="311">
        <f>SUMIF(Recibos!$D$4:$D$7493,Cobranza!$B349,Recibos!AS$4:AS$7493)</f>
        <v>350</v>
      </c>
      <c r="CH349" s="311">
        <f>SUMIF(Recibos!$D$4:$D$7493,Cobranza!$B349,Recibos!AT$4:AT$7493)</f>
        <v>0</v>
      </c>
      <c r="CI349" s="311">
        <f>SUMIF(Recibos!$D$4:$D$7493,Cobranza!$B349,Recibos!AU$4:AU$7493)</f>
        <v>0</v>
      </c>
      <c r="CJ349" s="311">
        <f>SUMIF(Recibos!$D$4:$D$7493,Cobranza!$B349,Recibos!AV$4:AV$7493)</f>
        <v>0</v>
      </c>
      <c r="CK349" s="312">
        <f t="shared" si="45"/>
        <v>3150</v>
      </c>
    </row>
    <row r="350" spans="2:89" x14ac:dyDescent="0.2">
      <c r="B350" s="45" t="s">
        <v>1414</v>
      </c>
      <c r="C350" s="45" t="s">
        <v>1415</v>
      </c>
      <c r="D350" s="45" t="s">
        <v>1416</v>
      </c>
      <c r="E350" s="46">
        <v>300</v>
      </c>
      <c r="F350" s="46">
        <v>300</v>
      </c>
      <c r="G350" s="46">
        <v>300</v>
      </c>
      <c r="H350" s="46">
        <v>300</v>
      </c>
      <c r="I350" s="46">
        <v>300</v>
      </c>
      <c r="J350" s="46">
        <v>300</v>
      </c>
      <c r="K350" s="47">
        <f t="shared" si="46"/>
        <v>1800</v>
      </c>
      <c r="L350" s="46">
        <v>300</v>
      </c>
      <c r="M350" s="46">
        <v>300</v>
      </c>
      <c r="N350" s="46">
        <v>300</v>
      </c>
      <c r="O350" s="46">
        <v>300</v>
      </c>
      <c r="P350" s="46">
        <v>300</v>
      </c>
      <c r="Q350" s="46">
        <v>300</v>
      </c>
      <c r="R350" s="46">
        <v>0</v>
      </c>
      <c r="S350" s="46">
        <v>0</v>
      </c>
      <c r="T350" s="46">
        <v>0</v>
      </c>
      <c r="U350" s="46">
        <v>0</v>
      </c>
      <c r="V350" s="46">
        <v>0</v>
      </c>
      <c r="W350" s="46">
        <v>0</v>
      </c>
      <c r="X350" s="47">
        <f t="shared" si="47"/>
        <v>1800</v>
      </c>
      <c r="Y350" s="46">
        <v>0</v>
      </c>
      <c r="Z350" s="46">
        <v>0</v>
      </c>
      <c r="AA350" s="46">
        <v>0</v>
      </c>
      <c r="AB350" s="46">
        <v>0</v>
      </c>
      <c r="AC350" s="46">
        <v>0</v>
      </c>
      <c r="AD350" s="46">
        <v>0</v>
      </c>
      <c r="AE350" s="46">
        <v>0</v>
      </c>
      <c r="AF350" s="46">
        <v>0</v>
      </c>
      <c r="AG350" s="46">
        <v>0</v>
      </c>
      <c r="AH350" s="46">
        <v>0</v>
      </c>
      <c r="AI350" s="46">
        <v>0</v>
      </c>
      <c r="AJ350" s="46">
        <v>0</v>
      </c>
      <c r="AK350" s="47">
        <f t="shared" si="48"/>
        <v>0</v>
      </c>
      <c r="AL350" s="46">
        <v>0</v>
      </c>
      <c r="AM350" s="46">
        <v>0</v>
      </c>
      <c r="AN350" s="46">
        <v>0</v>
      </c>
      <c r="AO350" s="46">
        <v>0</v>
      </c>
      <c r="AP350" s="46">
        <v>0</v>
      </c>
      <c r="AQ350" s="46">
        <v>0</v>
      </c>
      <c r="AR350" s="46">
        <v>0</v>
      </c>
      <c r="AS350" s="46">
        <v>0</v>
      </c>
      <c r="AT350" s="46">
        <v>0</v>
      </c>
      <c r="AU350" s="46">
        <v>0</v>
      </c>
      <c r="AV350" s="46">
        <v>0</v>
      </c>
      <c r="AW350" s="46">
        <v>0</v>
      </c>
      <c r="AX350" s="47">
        <f t="shared" si="49"/>
        <v>0</v>
      </c>
      <c r="AY350" s="313">
        <f>SUMIF(Recibos!$D$4:$D$7493,Cobranza!$B350,Recibos!K$4:K$7493)</f>
        <v>0</v>
      </c>
      <c r="AZ350" s="313">
        <f>SUMIF(Recibos!$D$4:$D$7493,Cobranza!$B350,Recibos!L$4:L$7493)</f>
        <v>0</v>
      </c>
      <c r="BA350" s="313">
        <f>SUMIF(Recibos!$D$4:$D$7493,Cobranza!$B350,Recibos!M$4:M$7493)</f>
        <v>0</v>
      </c>
      <c r="BB350" s="313">
        <f>SUMIF(Recibos!$D$4:$D$7493,Cobranza!$B350,Recibos!N$4:N$7493)</f>
        <v>0</v>
      </c>
      <c r="BC350" s="313">
        <f>SUMIF(Recibos!$D$4:$D$7493,Cobranza!$B350,Recibos!O$4:O$7493)</f>
        <v>0</v>
      </c>
      <c r="BD350" s="313">
        <f>SUMIF(Recibos!$D$4:$D$7493,Cobranza!$B350,Recibos!P$4:P$7493)</f>
        <v>0</v>
      </c>
      <c r="BE350" s="313">
        <f>SUMIF(Recibos!$D$4:$D$7493,Cobranza!$B350,Recibos!Q$4:Q$7493)</f>
        <v>0</v>
      </c>
      <c r="BF350" s="313">
        <f>SUMIF(Recibos!$D$4:$D$7493,Cobranza!$B350,Recibos!R$4:R$7493)</f>
        <v>0</v>
      </c>
      <c r="BG350" s="313">
        <f>SUMIF(Recibos!$D$4:$D$7493,Cobranza!$B350,Recibos!S$4:S$7493)</f>
        <v>0</v>
      </c>
      <c r="BH350" s="313">
        <f>SUMIF(Recibos!$D$4:$D$7493,Cobranza!$B350,Recibos!T$4:T$7493)</f>
        <v>0</v>
      </c>
      <c r="BI350" s="313">
        <f>SUMIF(Recibos!$D$4:$D$7493,Cobranza!$B350,Recibos!U$4:U$7493)</f>
        <v>0</v>
      </c>
      <c r="BJ350" s="313">
        <f>SUMIF(Recibos!$D$4:$D$7493,Cobranza!$B350,Recibos!V$4:V$7493)</f>
        <v>0</v>
      </c>
      <c r="BK350" s="314">
        <f t="shared" si="50"/>
        <v>0</v>
      </c>
      <c r="BL350" s="313">
        <f>SUMIF(Recibos!$D$4:$D$7493,Cobranza!$B350,Recibos!X$4:X$7493)</f>
        <v>0</v>
      </c>
      <c r="BM350" s="313">
        <f>SUMIF(Recibos!$D$4:$D$7493,Cobranza!$B350,Recibos!Y$4:Y$7493)</f>
        <v>0</v>
      </c>
      <c r="BN350" s="313">
        <f>SUMIF(Recibos!$D$4:$D$7493,Cobranza!$B350,Recibos!Z$4:Z$7493)</f>
        <v>0</v>
      </c>
      <c r="BO350" s="313">
        <f>SUMIF(Recibos!$D$4:$D$7493,Cobranza!$B350,Recibos!AA$4:AA$7493)</f>
        <v>0</v>
      </c>
      <c r="BP350" s="313">
        <f>SUMIF(Recibos!$D$4:$D$7493,Cobranza!$B350,Recibos!AB$4:AB$7493)</f>
        <v>0</v>
      </c>
      <c r="BQ350" s="313">
        <f>SUMIF(Recibos!$D$4:$D$7493,Cobranza!$B350,Recibos!AC$4:AC$7493)</f>
        <v>0</v>
      </c>
      <c r="BR350" s="313">
        <f>SUMIF(Recibos!$D$4:$D$7493,Cobranza!$B350,Recibos!AD$4:AD$7493)</f>
        <v>0</v>
      </c>
      <c r="BS350" s="313">
        <f>SUMIF(Recibos!$D$4:$D$7493,Cobranza!$B350,Recibos!AE$4:AE$7493)</f>
        <v>0</v>
      </c>
      <c r="BT350" s="313">
        <f>SUMIF(Recibos!$D$4:$D$7493,Cobranza!$B350,Recibos!AF$4:AF$7493)</f>
        <v>0</v>
      </c>
      <c r="BU350" s="313">
        <f>SUMIF(Recibos!$D$4:$D$7493,Cobranza!$B350,Recibos!AG$4:AG$7493)</f>
        <v>0</v>
      </c>
      <c r="BV350" s="313">
        <f>SUMIF(Recibos!$D$4:$D$7493,Cobranza!$B350,Recibos!AH$4:AH$7493)</f>
        <v>0</v>
      </c>
      <c r="BW350" s="313">
        <f>SUMIF(Recibos!$D$4:$D$7493,Cobranza!$B350,Recibos!AI$4:AI$7493)</f>
        <v>0</v>
      </c>
      <c r="BX350" s="314">
        <f t="shared" si="51"/>
        <v>0</v>
      </c>
      <c r="BY350" s="313">
        <f>SUMIF(Recibos!$D$4:$D$7493,Cobranza!$B350,Recibos!AK$4:AK$7493)</f>
        <v>0</v>
      </c>
      <c r="BZ350" s="313">
        <f>SUMIF(Recibos!$D$4:$D$7493,Cobranza!$B350,Recibos!AL$4:AL$7493)</f>
        <v>0</v>
      </c>
      <c r="CA350" s="313">
        <f>SUMIF(Recibos!$D$4:$D$7493,Cobranza!$B350,Recibos!AM$4:AM$7493)</f>
        <v>0</v>
      </c>
      <c r="CB350" s="313">
        <f>SUMIF(Recibos!$D$4:$D$7493,Cobranza!$B350,Recibos!AN$4:AN$7493)</f>
        <v>0</v>
      </c>
      <c r="CC350" s="313">
        <f>SUMIF(Recibos!$D$4:$D$7493,Cobranza!$B350,Recibos!AO$4:AO$7493)</f>
        <v>0</v>
      </c>
      <c r="CD350" s="313">
        <f>SUMIF(Recibos!$D$4:$D$7493,Cobranza!$B350,Recibos!AP$4:AP$7493)</f>
        <v>0</v>
      </c>
      <c r="CE350" s="313">
        <f>SUMIF(Recibos!$D$4:$D$7493,Cobranza!$B350,Recibos!AQ$4:AQ$7493)</f>
        <v>0</v>
      </c>
      <c r="CF350" s="313">
        <f>SUMIF(Recibos!$D$4:$D$7493,Cobranza!$B350,Recibos!AR$4:AR$7493)</f>
        <v>0</v>
      </c>
      <c r="CG350" s="313">
        <f>SUMIF(Recibos!$D$4:$D$7493,Cobranza!$B350,Recibos!AS$4:AS$7493)</f>
        <v>0</v>
      </c>
      <c r="CH350" s="313">
        <f>SUMIF(Recibos!$D$4:$D$7493,Cobranza!$B350,Recibos!AT$4:AT$7493)</f>
        <v>0</v>
      </c>
      <c r="CI350" s="313">
        <f>SUMIF(Recibos!$D$4:$D$7493,Cobranza!$B350,Recibos!AU$4:AU$7493)</f>
        <v>0</v>
      </c>
      <c r="CJ350" s="313">
        <f>SUMIF(Recibos!$D$4:$D$7493,Cobranza!$B350,Recibos!AV$4:AV$7493)</f>
        <v>0</v>
      </c>
      <c r="CK350" s="314">
        <f t="shared" si="45"/>
        <v>0</v>
      </c>
    </row>
    <row r="351" spans="2:89" x14ac:dyDescent="0.2">
      <c r="B351" s="42" t="s">
        <v>1128</v>
      </c>
      <c r="C351" s="42" t="s">
        <v>1129</v>
      </c>
      <c r="D351" s="42" t="s">
        <v>1130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300</v>
      </c>
      <c r="K351" s="44">
        <f t="shared" si="46"/>
        <v>300</v>
      </c>
      <c r="L351" s="43">
        <v>300</v>
      </c>
      <c r="M351" s="43">
        <v>300</v>
      </c>
      <c r="N351" s="43">
        <v>300</v>
      </c>
      <c r="O351" s="43">
        <v>300</v>
      </c>
      <c r="P351" s="43">
        <v>300</v>
      </c>
      <c r="Q351" s="43">
        <v>300</v>
      </c>
      <c r="R351" s="43">
        <v>300</v>
      </c>
      <c r="S351" s="43">
        <v>0</v>
      </c>
      <c r="T351" s="43">
        <v>0</v>
      </c>
      <c r="U351" s="43">
        <v>0</v>
      </c>
      <c r="V351" s="43">
        <v>0</v>
      </c>
      <c r="W351" s="43">
        <v>0</v>
      </c>
      <c r="X351" s="44">
        <f t="shared" si="47"/>
        <v>2100</v>
      </c>
      <c r="Y351" s="43">
        <v>0</v>
      </c>
      <c r="Z351" s="43">
        <v>0</v>
      </c>
      <c r="AA351" s="43">
        <v>0</v>
      </c>
      <c r="AB351" s="43">
        <v>0</v>
      </c>
      <c r="AC351" s="43">
        <v>0</v>
      </c>
      <c r="AD351" s="43">
        <v>0</v>
      </c>
      <c r="AE351" s="43">
        <v>0</v>
      </c>
      <c r="AF351" s="43">
        <v>0</v>
      </c>
      <c r="AG351" s="43">
        <v>0</v>
      </c>
      <c r="AH351" s="43">
        <v>0</v>
      </c>
      <c r="AI351" s="43">
        <v>0</v>
      </c>
      <c r="AJ351" s="43">
        <v>0</v>
      </c>
      <c r="AK351" s="44">
        <f t="shared" si="48"/>
        <v>0</v>
      </c>
      <c r="AL351" s="43">
        <v>0</v>
      </c>
      <c r="AM351" s="43">
        <v>0</v>
      </c>
      <c r="AN351" s="43">
        <v>0</v>
      </c>
      <c r="AO351" s="43">
        <v>0</v>
      </c>
      <c r="AP351" s="43">
        <v>0</v>
      </c>
      <c r="AQ351" s="43">
        <v>0</v>
      </c>
      <c r="AR351" s="43">
        <v>0</v>
      </c>
      <c r="AS351" s="43">
        <v>0</v>
      </c>
      <c r="AT351" s="43">
        <v>0</v>
      </c>
      <c r="AU351" s="43">
        <v>0</v>
      </c>
      <c r="AV351" s="43">
        <v>0</v>
      </c>
      <c r="AW351" s="43">
        <v>0</v>
      </c>
      <c r="AX351" s="44">
        <f t="shared" si="49"/>
        <v>0</v>
      </c>
      <c r="AY351" s="311">
        <f>SUMIF(Recibos!$D$4:$D$7493,Cobranza!$B351,Recibos!K$4:K$7493)</f>
        <v>0</v>
      </c>
      <c r="AZ351" s="311">
        <f>SUMIF(Recibos!$D$4:$D$7493,Cobranza!$B351,Recibos!L$4:L$7493)</f>
        <v>0</v>
      </c>
      <c r="BA351" s="311">
        <f>SUMIF(Recibos!$D$4:$D$7493,Cobranza!$B351,Recibos!M$4:M$7493)</f>
        <v>0</v>
      </c>
      <c r="BB351" s="311">
        <f>SUMIF(Recibos!$D$4:$D$7493,Cobranza!$B351,Recibos!N$4:N$7493)</f>
        <v>0</v>
      </c>
      <c r="BC351" s="311">
        <f>SUMIF(Recibos!$D$4:$D$7493,Cobranza!$B351,Recibos!O$4:O$7493)</f>
        <v>0</v>
      </c>
      <c r="BD351" s="311">
        <f>SUMIF(Recibos!$D$4:$D$7493,Cobranza!$B351,Recibos!P$4:P$7493)</f>
        <v>0</v>
      </c>
      <c r="BE351" s="311">
        <f>SUMIF(Recibos!$D$4:$D$7493,Cobranza!$B351,Recibos!Q$4:Q$7493)</f>
        <v>0</v>
      </c>
      <c r="BF351" s="311">
        <f>SUMIF(Recibos!$D$4:$D$7493,Cobranza!$B351,Recibos!R$4:R$7493)</f>
        <v>0</v>
      </c>
      <c r="BG351" s="311">
        <f>SUMIF(Recibos!$D$4:$D$7493,Cobranza!$B351,Recibos!S$4:S$7493)</f>
        <v>0</v>
      </c>
      <c r="BH351" s="311">
        <f>SUMIF(Recibos!$D$4:$D$7493,Cobranza!$B351,Recibos!T$4:T$7493)</f>
        <v>0</v>
      </c>
      <c r="BI351" s="311">
        <f>SUMIF(Recibos!$D$4:$D$7493,Cobranza!$B351,Recibos!U$4:U$7493)</f>
        <v>0</v>
      </c>
      <c r="BJ351" s="311">
        <f>SUMIF(Recibos!$D$4:$D$7493,Cobranza!$B351,Recibos!V$4:V$7493)</f>
        <v>0</v>
      </c>
      <c r="BK351" s="312">
        <f t="shared" si="50"/>
        <v>0</v>
      </c>
      <c r="BL351" s="311">
        <f>SUMIF(Recibos!$D$4:$D$7493,Cobranza!$B351,Recibos!X$4:X$7493)</f>
        <v>0</v>
      </c>
      <c r="BM351" s="311">
        <f>SUMIF(Recibos!$D$4:$D$7493,Cobranza!$B351,Recibos!Y$4:Y$7493)</f>
        <v>0</v>
      </c>
      <c r="BN351" s="311">
        <f>SUMIF(Recibos!$D$4:$D$7493,Cobranza!$B351,Recibos!Z$4:Z$7493)</f>
        <v>0</v>
      </c>
      <c r="BO351" s="311">
        <f>SUMIF(Recibos!$D$4:$D$7493,Cobranza!$B351,Recibos!AA$4:AA$7493)</f>
        <v>0</v>
      </c>
      <c r="BP351" s="311">
        <f>SUMIF(Recibos!$D$4:$D$7493,Cobranza!$B351,Recibos!AB$4:AB$7493)</f>
        <v>0</v>
      </c>
      <c r="BQ351" s="311">
        <f>SUMIF(Recibos!$D$4:$D$7493,Cobranza!$B351,Recibos!AC$4:AC$7493)</f>
        <v>0</v>
      </c>
      <c r="BR351" s="311">
        <f>SUMIF(Recibos!$D$4:$D$7493,Cobranza!$B351,Recibos!AD$4:AD$7493)</f>
        <v>0</v>
      </c>
      <c r="BS351" s="311">
        <f>SUMIF(Recibos!$D$4:$D$7493,Cobranza!$B351,Recibos!AE$4:AE$7493)</f>
        <v>0</v>
      </c>
      <c r="BT351" s="311">
        <f>SUMIF(Recibos!$D$4:$D$7493,Cobranza!$B351,Recibos!AF$4:AF$7493)</f>
        <v>400</v>
      </c>
      <c r="BU351" s="311">
        <f>SUMIF(Recibos!$D$4:$D$7493,Cobranza!$B351,Recibos!AG$4:AG$7493)</f>
        <v>400</v>
      </c>
      <c r="BV351" s="311">
        <f>SUMIF(Recibos!$D$4:$D$7493,Cobranza!$B351,Recibos!AH$4:AH$7493)</f>
        <v>400</v>
      </c>
      <c r="BW351" s="311">
        <f>SUMIF(Recibos!$D$4:$D$7493,Cobranza!$B351,Recibos!AI$4:AI$7493)</f>
        <v>400</v>
      </c>
      <c r="BX351" s="312">
        <f t="shared" si="51"/>
        <v>1600</v>
      </c>
      <c r="BY351" s="311">
        <f>SUMIF(Recibos!$D$4:$D$7493,Cobranza!$B351,Recibos!AK$4:AK$7493)</f>
        <v>400</v>
      </c>
      <c r="BZ351" s="311">
        <f>SUMIF(Recibos!$D$4:$D$7493,Cobranza!$B351,Recibos!AL$4:AL$7493)</f>
        <v>400</v>
      </c>
      <c r="CA351" s="311">
        <f>SUMIF(Recibos!$D$4:$D$7493,Cobranza!$B351,Recibos!AM$4:AM$7493)</f>
        <v>400</v>
      </c>
      <c r="CB351" s="311">
        <f>SUMIF(Recibos!$D$4:$D$7493,Cobranza!$B351,Recibos!AN$4:AN$7493)</f>
        <v>400</v>
      </c>
      <c r="CC351" s="311">
        <f>SUMIF(Recibos!$D$4:$D$7493,Cobranza!$B351,Recibos!AO$4:AO$7493)</f>
        <v>400</v>
      </c>
      <c r="CD351" s="311">
        <f>SUMIF(Recibos!$D$4:$D$7493,Cobranza!$B351,Recibos!AP$4:AP$7493)</f>
        <v>400</v>
      </c>
      <c r="CE351" s="311">
        <f>SUMIF(Recibos!$D$4:$D$7493,Cobranza!$B351,Recibos!AQ$4:AQ$7493)</f>
        <v>400</v>
      </c>
      <c r="CF351" s="311">
        <f>SUMIF(Recibos!$D$4:$D$7493,Cobranza!$B351,Recibos!AR$4:AR$7493)</f>
        <v>400</v>
      </c>
      <c r="CG351" s="311">
        <f>SUMIF(Recibos!$D$4:$D$7493,Cobranza!$B351,Recibos!AS$4:AS$7493)</f>
        <v>400</v>
      </c>
      <c r="CH351" s="311">
        <f>SUMIF(Recibos!$D$4:$D$7493,Cobranza!$B351,Recibos!AT$4:AT$7493)</f>
        <v>400</v>
      </c>
      <c r="CI351" s="311">
        <f>SUMIF(Recibos!$D$4:$D$7493,Cobranza!$B351,Recibos!AU$4:AU$7493)</f>
        <v>400</v>
      </c>
      <c r="CJ351" s="311">
        <f>SUMIF(Recibos!$D$4:$D$7493,Cobranza!$B351,Recibos!AV$4:AV$7493)</f>
        <v>0</v>
      </c>
      <c r="CK351" s="312">
        <f t="shared" si="45"/>
        <v>4400</v>
      </c>
    </row>
    <row r="352" spans="2:89" x14ac:dyDescent="0.2">
      <c r="B352" s="45" t="s">
        <v>602</v>
      </c>
      <c r="C352" s="45" t="s">
        <v>603</v>
      </c>
      <c r="D352" s="45" t="s">
        <v>604</v>
      </c>
      <c r="E352" s="46">
        <v>0</v>
      </c>
      <c r="F352" s="46">
        <v>0</v>
      </c>
      <c r="G352" s="46">
        <v>0</v>
      </c>
      <c r="H352" s="46">
        <v>0</v>
      </c>
      <c r="I352" s="46">
        <v>0</v>
      </c>
      <c r="J352" s="46">
        <v>300</v>
      </c>
      <c r="K352" s="47">
        <f t="shared" si="46"/>
        <v>300</v>
      </c>
      <c r="L352" s="46">
        <v>300</v>
      </c>
      <c r="M352" s="46">
        <v>300</v>
      </c>
      <c r="N352" s="46">
        <v>300</v>
      </c>
      <c r="O352" s="46">
        <v>0</v>
      </c>
      <c r="P352" s="46">
        <v>0</v>
      </c>
      <c r="Q352" s="46">
        <v>0</v>
      </c>
      <c r="R352" s="46">
        <v>0</v>
      </c>
      <c r="S352" s="46">
        <v>0</v>
      </c>
      <c r="T352" s="46">
        <v>0</v>
      </c>
      <c r="U352" s="46">
        <v>0</v>
      </c>
      <c r="V352" s="46">
        <v>0</v>
      </c>
      <c r="W352" s="46">
        <v>0</v>
      </c>
      <c r="X352" s="47">
        <f t="shared" si="47"/>
        <v>900</v>
      </c>
      <c r="Y352" s="46">
        <v>0</v>
      </c>
      <c r="Z352" s="46">
        <v>0</v>
      </c>
      <c r="AA352" s="46">
        <v>0</v>
      </c>
      <c r="AB352" s="46">
        <v>0</v>
      </c>
      <c r="AC352" s="46">
        <v>0</v>
      </c>
      <c r="AD352" s="46">
        <v>0</v>
      </c>
      <c r="AE352" s="46">
        <v>0</v>
      </c>
      <c r="AF352" s="46">
        <v>0</v>
      </c>
      <c r="AG352" s="46">
        <v>0</v>
      </c>
      <c r="AH352" s="46">
        <v>0</v>
      </c>
      <c r="AI352" s="46">
        <v>0</v>
      </c>
      <c r="AJ352" s="46">
        <v>0</v>
      </c>
      <c r="AK352" s="47">
        <f t="shared" si="48"/>
        <v>0</v>
      </c>
      <c r="AL352" s="46">
        <v>0</v>
      </c>
      <c r="AM352" s="46">
        <v>0</v>
      </c>
      <c r="AN352" s="46">
        <v>200</v>
      </c>
      <c r="AO352" s="46">
        <v>200</v>
      </c>
      <c r="AP352" s="46">
        <v>200</v>
      </c>
      <c r="AQ352" s="46">
        <v>200</v>
      </c>
      <c r="AR352" s="46">
        <v>200</v>
      </c>
      <c r="AS352" s="46">
        <v>200</v>
      </c>
      <c r="AT352" s="46">
        <v>200</v>
      </c>
      <c r="AU352" s="46">
        <v>200</v>
      </c>
      <c r="AV352" s="46">
        <v>200</v>
      </c>
      <c r="AW352" s="46">
        <v>200</v>
      </c>
      <c r="AX352" s="47">
        <f t="shared" si="49"/>
        <v>2000</v>
      </c>
      <c r="AY352" s="313">
        <f>SUMIF(Recibos!$D$4:$D$7493,Cobranza!$B352,Recibos!K$4:K$7493)</f>
        <v>200</v>
      </c>
      <c r="AZ352" s="313">
        <f>SUMIF(Recibos!$D$4:$D$7493,Cobranza!$B352,Recibos!L$4:L$7493)</f>
        <v>200</v>
      </c>
      <c r="BA352" s="313">
        <f>SUMIF(Recibos!$D$4:$D$7493,Cobranza!$B352,Recibos!M$4:M$7493)</f>
        <v>200</v>
      </c>
      <c r="BB352" s="313">
        <f>SUMIF(Recibos!$D$4:$D$7493,Cobranza!$B352,Recibos!N$4:N$7493)</f>
        <v>200</v>
      </c>
      <c r="BC352" s="313">
        <f>SUMIF(Recibos!$D$4:$D$7493,Cobranza!$B352,Recibos!O$4:O$7493)</f>
        <v>200</v>
      </c>
      <c r="BD352" s="313">
        <f>SUMIF(Recibos!$D$4:$D$7493,Cobranza!$B352,Recibos!P$4:P$7493)</f>
        <v>200</v>
      </c>
      <c r="BE352" s="313">
        <f>SUMIF(Recibos!$D$4:$D$7493,Cobranza!$B352,Recibos!Q$4:Q$7493)</f>
        <v>200</v>
      </c>
      <c r="BF352" s="313">
        <f>SUMIF(Recibos!$D$4:$D$7493,Cobranza!$B352,Recibos!R$4:R$7493)</f>
        <v>200</v>
      </c>
      <c r="BG352" s="313">
        <f>SUMIF(Recibos!$D$4:$D$7493,Cobranza!$B352,Recibos!S$4:S$7493)</f>
        <v>200</v>
      </c>
      <c r="BH352" s="313">
        <f>SUMIF(Recibos!$D$4:$D$7493,Cobranza!$B352,Recibos!T$4:T$7493)</f>
        <v>200</v>
      </c>
      <c r="BI352" s="313">
        <f>SUMIF(Recibos!$D$4:$D$7493,Cobranza!$B352,Recibos!U$4:U$7493)</f>
        <v>200</v>
      </c>
      <c r="BJ352" s="313">
        <f>SUMIF(Recibos!$D$4:$D$7493,Cobranza!$B352,Recibos!V$4:V$7493)</f>
        <v>200</v>
      </c>
      <c r="BK352" s="314">
        <f t="shared" si="50"/>
        <v>2400</v>
      </c>
      <c r="BL352" s="313">
        <f>SUMIF(Recibos!$D$4:$D$7493,Cobranza!$B352,Recibos!X$4:X$7493)</f>
        <v>200</v>
      </c>
      <c r="BM352" s="313">
        <f>SUMIF(Recibos!$D$4:$D$7493,Cobranza!$B352,Recibos!Y$4:Y$7493)</f>
        <v>200</v>
      </c>
      <c r="BN352" s="313">
        <f>SUMIF(Recibos!$D$4:$D$7493,Cobranza!$B352,Recibos!Z$4:Z$7493)</f>
        <v>200</v>
      </c>
      <c r="BO352" s="313">
        <f>SUMIF(Recibos!$D$4:$D$7493,Cobranza!$B352,Recibos!AA$4:AA$7493)</f>
        <v>200</v>
      </c>
      <c r="BP352" s="313">
        <f>SUMIF(Recibos!$D$4:$D$7493,Cobranza!$B352,Recibos!AB$4:AB$7493)</f>
        <v>200</v>
      </c>
      <c r="BQ352" s="313">
        <f>SUMIF(Recibos!$D$4:$D$7493,Cobranza!$B352,Recibos!AC$4:AC$7493)</f>
        <v>200</v>
      </c>
      <c r="BR352" s="313">
        <f>SUMIF(Recibos!$D$4:$D$7493,Cobranza!$B352,Recibos!AD$4:AD$7493)</f>
        <v>200</v>
      </c>
      <c r="BS352" s="313">
        <f>SUMIF(Recibos!$D$4:$D$7493,Cobranza!$B352,Recibos!AE$4:AE$7493)</f>
        <v>200</v>
      </c>
      <c r="BT352" s="313">
        <f>SUMIF(Recibos!$D$4:$D$7493,Cobranza!$B352,Recibos!AF$4:AF$7493)</f>
        <v>200</v>
      </c>
      <c r="BU352" s="313">
        <f>SUMIF(Recibos!$D$4:$D$7493,Cobranza!$B352,Recibos!AG$4:AG$7493)</f>
        <v>200</v>
      </c>
      <c r="BV352" s="313">
        <f>SUMIF(Recibos!$D$4:$D$7493,Cobranza!$B352,Recibos!AH$4:AH$7493)</f>
        <v>200</v>
      </c>
      <c r="BW352" s="313">
        <f>SUMIF(Recibos!$D$4:$D$7493,Cobranza!$B352,Recibos!AI$4:AI$7493)</f>
        <v>200</v>
      </c>
      <c r="BX352" s="314">
        <f t="shared" si="51"/>
        <v>2400</v>
      </c>
      <c r="BY352" s="313">
        <f>SUMIF(Recibos!$D$4:$D$7493,Cobranza!$B352,Recibos!AK$4:AK$7493)</f>
        <v>200</v>
      </c>
      <c r="BZ352" s="313">
        <f>SUMIF(Recibos!$D$4:$D$7493,Cobranza!$B352,Recibos!AL$4:AL$7493)</f>
        <v>200</v>
      </c>
      <c r="CA352" s="313">
        <f>SUMIF(Recibos!$D$4:$D$7493,Cobranza!$B352,Recibos!AM$4:AM$7493)</f>
        <v>200</v>
      </c>
      <c r="CB352" s="313">
        <f>SUMIF(Recibos!$D$4:$D$7493,Cobranza!$B352,Recibos!AN$4:AN$7493)</f>
        <v>200</v>
      </c>
      <c r="CC352" s="313">
        <f>SUMIF(Recibos!$D$4:$D$7493,Cobranza!$B352,Recibos!AO$4:AO$7493)</f>
        <v>200</v>
      </c>
      <c r="CD352" s="313">
        <f>SUMIF(Recibos!$D$4:$D$7493,Cobranza!$B352,Recibos!AP$4:AP$7493)</f>
        <v>200</v>
      </c>
      <c r="CE352" s="313">
        <f>SUMIF(Recibos!$D$4:$D$7493,Cobranza!$B352,Recibos!AQ$4:AQ$7493)</f>
        <v>200</v>
      </c>
      <c r="CF352" s="313">
        <f>SUMIF(Recibos!$D$4:$D$7493,Cobranza!$B352,Recibos!AR$4:AR$7493)</f>
        <v>200</v>
      </c>
      <c r="CG352" s="313">
        <f>SUMIF(Recibos!$D$4:$D$7493,Cobranza!$B352,Recibos!AS$4:AS$7493)</f>
        <v>200</v>
      </c>
      <c r="CH352" s="313">
        <f>SUMIF(Recibos!$D$4:$D$7493,Cobranza!$B352,Recibos!AT$4:AT$7493)</f>
        <v>200</v>
      </c>
      <c r="CI352" s="313">
        <f>SUMIF(Recibos!$D$4:$D$7493,Cobranza!$B352,Recibos!AU$4:AU$7493)</f>
        <v>200</v>
      </c>
      <c r="CJ352" s="313">
        <f>SUMIF(Recibos!$D$4:$D$7493,Cobranza!$B352,Recibos!AV$4:AV$7493)</f>
        <v>0</v>
      </c>
      <c r="CK352" s="314">
        <f t="shared" si="45"/>
        <v>2200</v>
      </c>
    </row>
    <row r="353" spans="2:89" x14ac:dyDescent="0.2">
      <c r="B353" s="42" t="s">
        <v>1181</v>
      </c>
      <c r="C353" s="42" t="s">
        <v>1182</v>
      </c>
      <c r="D353" s="42" t="s">
        <v>1183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4">
        <f t="shared" si="46"/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  <c r="V353" s="43">
        <v>0</v>
      </c>
      <c r="W353" s="43">
        <v>0</v>
      </c>
      <c r="X353" s="44">
        <f t="shared" si="47"/>
        <v>0</v>
      </c>
      <c r="Y353" s="43">
        <v>300</v>
      </c>
      <c r="Z353" s="43">
        <v>300</v>
      </c>
      <c r="AA353" s="43">
        <v>300</v>
      </c>
      <c r="AB353" s="43">
        <v>300</v>
      </c>
      <c r="AC353" s="43">
        <v>300</v>
      </c>
      <c r="AD353" s="43">
        <v>300</v>
      </c>
      <c r="AE353" s="43">
        <v>0</v>
      </c>
      <c r="AF353" s="43">
        <v>0</v>
      </c>
      <c r="AG353" s="43">
        <v>0</v>
      </c>
      <c r="AH353" s="43">
        <v>0</v>
      </c>
      <c r="AI353" s="43">
        <v>0</v>
      </c>
      <c r="AJ353" s="43">
        <v>0</v>
      </c>
      <c r="AK353" s="44">
        <f t="shared" si="48"/>
        <v>1800</v>
      </c>
      <c r="AL353" s="43">
        <v>0</v>
      </c>
      <c r="AM353" s="43">
        <v>0</v>
      </c>
      <c r="AN353" s="43">
        <v>0</v>
      </c>
      <c r="AO353" s="43">
        <v>0</v>
      </c>
      <c r="AP353" s="43">
        <v>0</v>
      </c>
      <c r="AQ353" s="43">
        <v>0</v>
      </c>
      <c r="AR353" s="43">
        <v>0</v>
      </c>
      <c r="AS353" s="43">
        <v>0</v>
      </c>
      <c r="AT353" s="43">
        <v>0</v>
      </c>
      <c r="AU353" s="43">
        <v>0</v>
      </c>
      <c r="AV353" s="43">
        <v>0</v>
      </c>
      <c r="AW353" s="43">
        <v>0</v>
      </c>
      <c r="AX353" s="44">
        <f t="shared" si="49"/>
        <v>0</v>
      </c>
      <c r="AY353" s="311">
        <f>SUMIF(Recibos!$D$4:$D$7493,Cobranza!$B353,Recibos!K$4:K$7493)</f>
        <v>200</v>
      </c>
      <c r="AZ353" s="311">
        <f>SUMIF(Recibos!$D$4:$D$7493,Cobranza!$B353,Recibos!L$4:L$7493)</f>
        <v>200</v>
      </c>
      <c r="BA353" s="311">
        <f>SUMIF(Recibos!$D$4:$D$7493,Cobranza!$B353,Recibos!M$4:M$7493)</f>
        <v>200</v>
      </c>
      <c r="BB353" s="311">
        <f>SUMIF(Recibos!$D$4:$D$7493,Cobranza!$B353,Recibos!N$4:N$7493)</f>
        <v>200</v>
      </c>
      <c r="BC353" s="311">
        <f>SUMIF(Recibos!$D$4:$D$7493,Cobranza!$B353,Recibos!O$4:O$7493)</f>
        <v>200</v>
      </c>
      <c r="BD353" s="311">
        <f>SUMIF(Recibos!$D$4:$D$7493,Cobranza!$B353,Recibos!P$4:P$7493)</f>
        <v>200</v>
      </c>
      <c r="BE353" s="311">
        <f>SUMIF(Recibos!$D$4:$D$7493,Cobranza!$B353,Recibos!Q$4:Q$7493)</f>
        <v>200</v>
      </c>
      <c r="BF353" s="311">
        <f>SUMIF(Recibos!$D$4:$D$7493,Cobranza!$B353,Recibos!R$4:R$7493)</f>
        <v>200</v>
      </c>
      <c r="BG353" s="311">
        <f>SUMIF(Recibos!$D$4:$D$7493,Cobranza!$B353,Recibos!S$4:S$7493)</f>
        <v>200</v>
      </c>
      <c r="BH353" s="311">
        <f>SUMIF(Recibos!$D$4:$D$7493,Cobranza!$B353,Recibos!T$4:T$7493)</f>
        <v>200</v>
      </c>
      <c r="BI353" s="311">
        <f>SUMIF(Recibos!$D$4:$D$7493,Cobranza!$B353,Recibos!U$4:U$7493)</f>
        <v>200</v>
      </c>
      <c r="BJ353" s="311">
        <f>SUMIF(Recibos!$D$4:$D$7493,Cobranza!$B353,Recibos!V$4:V$7493)</f>
        <v>200</v>
      </c>
      <c r="BK353" s="312">
        <f t="shared" si="50"/>
        <v>2400</v>
      </c>
      <c r="BL353" s="311">
        <f>SUMIF(Recibos!$D$4:$D$7493,Cobranza!$B353,Recibos!X$4:X$7493)</f>
        <v>200</v>
      </c>
      <c r="BM353" s="311">
        <f>SUMIF(Recibos!$D$4:$D$7493,Cobranza!$B353,Recibos!Y$4:Y$7493)</f>
        <v>200</v>
      </c>
      <c r="BN353" s="311">
        <f>SUMIF(Recibos!$D$4:$D$7493,Cobranza!$B353,Recibos!Z$4:Z$7493)</f>
        <v>200</v>
      </c>
      <c r="BO353" s="311">
        <f>SUMIF(Recibos!$D$4:$D$7493,Cobranza!$B353,Recibos!AA$4:AA$7493)</f>
        <v>200</v>
      </c>
      <c r="BP353" s="311">
        <f>SUMIF(Recibos!$D$4:$D$7493,Cobranza!$B353,Recibos!AB$4:AB$7493)</f>
        <v>200</v>
      </c>
      <c r="BQ353" s="311">
        <f>SUMIF(Recibos!$D$4:$D$7493,Cobranza!$B353,Recibos!AC$4:AC$7493)</f>
        <v>200</v>
      </c>
      <c r="BR353" s="311">
        <f>SUMIF(Recibos!$D$4:$D$7493,Cobranza!$B353,Recibos!AD$4:AD$7493)</f>
        <v>200</v>
      </c>
      <c r="BS353" s="311">
        <f>SUMIF(Recibos!$D$4:$D$7493,Cobranza!$B353,Recibos!AE$4:AE$7493)</f>
        <v>200</v>
      </c>
      <c r="BT353" s="311">
        <f>SUMIF(Recibos!$D$4:$D$7493,Cobranza!$B353,Recibos!AF$4:AF$7493)</f>
        <v>200</v>
      </c>
      <c r="BU353" s="311">
        <f>SUMIF(Recibos!$D$4:$D$7493,Cobranza!$B353,Recibos!AG$4:AG$7493)</f>
        <v>200</v>
      </c>
      <c r="BV353" s="311">
        <f>SUMIF(Recibos!$D$4:$D$7493,Cobranza!$B353,Recibos!AH$4:AH$7493)</f>
        <v>200</v>
      </c>
      <c r="BW353" s="311">
        <f>SUMIF(Recibos!$D$4:$D$7493,Cobranza!$B353,Recibos!AI$4:AI$7493)</f>
        <v>200</v>
      </c>
      <c r="BX353" s="312">
        <f t="shared" si="51"/>
        <v>2400</v>
      </c>
      <c r="BY353" s="311">
        <f>SUMIF(Recibos!$D$4:$D$7493,Cobranza!$B353,Recibos!AK$4:AK$7493)</f>
        <v>200</v>
      </c>
      <c r="BZ353" s="311">
        <f>SUMIF(Recibos!$D$4:$D$7493,Cobranza!$B353,Recibos!AL$4:AL$7493)</f>
        <v>200</v>
      </c>
      <c r="CA353" s="311">
        <f>SUMIF(Recibos!$D$4:$D$7493,Cobranza!$B353,Recibos!AM$4:AM$7493)</f>
        <v>200</v>
      </c>
      <c r="CB353" s="311">
        <f>SUMIF(Recibos!$D$4:$D$7493,Cobranza!$B353,Recibos!AN$4:AN$7493)</f>
        <v>200</v>
      </c>
      <c r="CC353" s="311">
        <f>SUMIF(Recibos!$D$4:$D$7493,Cobranza!$B353,Recibos!AO$4:AO$7493)</f>
        <v>200</v>
      </c>
      <c r="CD353" s="311">
        <f>SUMIF(Recibos!$D$4:$D$7493,Cobranza!$B353,Recibos!AP$4:AP$7493)</f>
        <v>200</v>
      </c>
      <c r="CE353" s="311">
        <f>SUMIF(Recibos!$D$4:$D$7493,Cobranza!$B353,Recibos!AQ$4:AQ$7493)</f>
        <v>200</v>
      </c>
      <c r="CF353" s="311">
        <f>SUMIF(Recibos!$D$4:$D$7493,Cobranza!$B353,Recibos!AR$4:AR$7493)</f>
        <v>200</v>
      </c>
      <c r="CG353" s="311">
        <f>SUMIF(Recibos!$D$4:$D$7493,Cobranza!$B353,Recibos!AS$4:AS$7493)</f>
        <v>200</v>
      </c>
      <c r="CH353" s="311">
        <f>SUMIF(Recibos!$D$4:$D$7493,Cobranza!$B353,Recibos!AT$4:AT$7493)</f>
        <v>0</v>
      </c>
      <c r="CI353" s="311">
        <f>SUMIF(Recibos!$D$4:$D$7493,Cobranza!$B353,Recibos!AU$4:AU$7493)</f>
        <v>0</v>
      </c>
      <c r="CJ353" s="311">
        <f>SUMIF(Recibos!$D$4:$D$7493,Cobranza!$B353,Recibos!AV$4:AV$7493)</f>
        <v>0</v>
      </c>
      <c r="CK353" s="312">
        <f t="shared" si="45"/>
        <v>1800</v>
      </c>
    </row>
    <row r="354" spans="2:89" x14ac:dyDescent="0.2">
      <c r="B354" s="45" t="s">
        <v>100</v>
      </c>
      <c r="C354" s="45" t="s">
        <v>101</v>
      </c>
      <c r="D354" s="45" t="s">
        <v>102</v>
      </c>
      <c r="E354" s="46">
        <v>0</v>
      </c>
      <c r="F354" s="46">
        <v>0</v>
      </c>
      <c r="G354" s="46">
        <v>0</v>
      </c>
      <c r="H354" s="46">
        <v>0</v>
      </c>
      <c r="I354" s="46">
        <v>0</v>
      </c>
      <c r="J354" s="46">
        <v>300</v>
      </c>
      <c r="K354" s="47">
        <f t="shared" si="46"/>
        <v>300</v>
      </c>
      <c r="L354" s="46">
        <v>300</v>
      </c>
      <c r="M354" s="46">
        <v>300</v>
      </c>
      <c r="N354" s="46">
        <v>300</v>
      </c>
      <c r="O354" s="46">
        <v>300</v>
      </c>
      <c r="P354" s="46">
        <v>300</v>
      </c>
      <c r="Q354" s="46">
        <v>300</v>
      </c>
      <c r="R354" s="46">
        <v>300</v>
      </c>
      <c r="S354" s="46">
        <v>300</v>
      </c>
      <c r="T354" s="46">
        <v>300</v>
      </c>
      <c r="U354" s="46">
        <v>400</v>
      </c>
      <c r="V354" s="46">
        <v>400</v>
      </c>
      <c r="W354" s="46">
        <v>400</v>
      </c>
      <c r="X354" s="47">
        <f t="shared" si="47"/>
        <v>3900</v>
      </c>
      <c r="Y354" s="46">
        <v>400</v>
      </c>
      <c r="Z354" s="46">
        <v>400</v>
      </c>
      <c r="AA354" s="46">
        <v>400</v>
      </c>
      <c r="AB354" s="46">
        <v>400</v>
      </c>
      <c r="AC354" s="46">
        <v>400</v>
      </c>
      <c r="AD354" s="46">
        <v>400</v>
      </c>
      <c r="AE354" s="46">
        <v>400</v>
      </c>
      <c r="AF354" s="46">
        <v>400</v>
      </c>
      <c r="AG354" s="46">
        <v>400</v>
      </c>
      <c r="AH354" s="46">
        <v>800</v>
      </c>
      <c r="AI354" s="46">
        <v>0</v>
      </c>
      <c r="AJ354" s="46">
        <v>400</v>
      </c>
      <c r="AK354" s="47">
        <f t="shared" si="48"/>
        <v>4800</v>
      </c>
      <c r="AL354" s="46">
        <v>400</v>
      </c>
      <c r="AM354" s="46">
        <v>400</v>
      </c>
      <c r="AN354" s="46">
        <v>400</v>
      </c>
      <c r="AO354" s="46">
        <v>400</v>
      </c>
      <c r="AP354" s="46">
        <v>400</v>
      </c>
      <c r="AQ354" s="46">
        <v>400</v>
      </c>
      <c r="AR354" s="46">
        <v>400</v>
      </c>
      <c r="AS354" s="46">
        <v>400</v>
      </c>
      <c r="AT354" s="46">
        <v>400</v>
      </c>
      <c r="AU354" s="46">
        <v>400</v>
      </c>
      <c r="AV354" s="46">
        <v>400</v>
      </c>
      <c r="AW354" s="46">
        <v>400</v>
      </c>
      <c r="AX354" s="47">
        <f t="shared" si="49"/>
        <v>4800</v>
      </c>
      <c r="AY354" s="313">
        <f>SUMIF(Recibos!$D$4:$D$7493,Cobranza!$B354,Recibos!K$4:K$7493)</f>
        <v>400</v>
      </c>
      <c r="AZ354" s="313">
        <f>SUMIF(Recibos!$D$4:$D$7493,Cobranza!$B354,Recibos!L$4:L$7493)</f>
        <v>400</v>
      </c>
      <c r="BA354" s="313">
        <f>SUMIF(Recibos!$D$4:$D$7493,Cobranza!$B354,Recibos!M$4:M$7493)</f>
        <v>400</v>
      </c>
      <c r="BB354" s="313">
        <f>SUMIF(Recibos!$D$4:$D$7493,Cobranza!$B354,Recibos!N$4:N$7493)</f>
        <v>400</v>
      </c>
      <c r="BC354" s="313">
        <f>SUMIF(Recibos!$D$4:$D$7493,Cobranza!$B354,Recibos!O$4:O$7493)</f>
        <v>400</v>
      </c>
      <c r="BD354" s="313">
        <f>SUMIF(Recibos!$D$4:$D$7493,Cobranza!$B354,Recibos!P$4:P$7493)</f>
        <v>400</v>
      </c>
      <c r="BE354" s="313">
        <f>SUMIF(Recibos!$D$4:$D$7493,Cobranza!$B354,Recibos!Q$4:Q$7493)</f>
        <v>400</v>
      </c>
      <c r="BF354" s="313">
        <f>SUMIF(Recibos!$D$4:$D$7493,Cobranza!$B354,Recibos!R$4:R$7493)</f>
        <v>400</v>
      </c>
      <c r="BG354" s="313">
        <f>SUMIF(Recibos!$D$4:$D$7493,Cobranza!$B354,Recibos!S$4:S$7493)</f>
        <v>400</v>
      </c>
      <c r="BH354" s="313">
        <f>SUMIF(Recibos!$D$4:$D$7493,Cobranza!$B354,Recibos!T$4:T$7493)</f>
        <v>400</v>
      </c>
      <c r="BI354" s="313">
        <f>SUMIF(Recibos!$D$4:$D$7493,Cobranza!$B354,Recibos!U$4:U$7493)</f>
        <v>400</v>
      </c>
      <c r="BJ354" s="313">
        <f>SUMIF(Recibos!$D$4:$D$7493,Cobranza!$B354,Recibos!V$4:V$7493)</f>
        <v>400</v>
      </c>
      <c r="BK354" s="314">
        <f t="shared" si="50"/>
        <v>4800</v>
      </c>
      <c r="BL354" s="313">
        <f>SUMIF(Recibos!$D$4:$D$7493,Cobranza!$B354,Recibos!X$4:X$7493)</f>
        <v>400</v>
      </c>
      <c r="BM354" s="313">
        <f>SUMIF(Recibos!$D$4:$D$7493,Cobranza!$B354,Recibos!Y$4:Y$7493)</f>
        <v>400</v>
      </c>
      <c r="BN354" s="313">
        <f>SUMIF(Recibos!$D$4:$D$7493,Cobranza!$B354,Recibos!Z$4:Z$7493)</f>
        <v>400</v>
      </c>
      <c r="BO354" s="313">
        <f>SUMIF(Recibos!$D$4:$D$7493,Cobranza!$B354,Recibos!AA$4:AA$7493)</f>
        <v>400</v>
      </c>
      <c r="BP354" s="313">
        <f>SUMIF(Recibos!$D$4:$D$7493,Cobranza!$B354,Recibos!AB$4:AB$7493)</f>
        <v>400</v>
      </c>
      <c r="BQ354" s="313">
        <f>SUMIF(Recibos!$D$4:$D$7493,Cobranza!$B354,Recibos!AC$4:AC$7493)</f>
        <v>400</v>
      </c>
      <c r="BR354" s="313">
        <f>SUMIF(Recibos!$D$4:$D$7493,Cobranza!$B354,Recibos!AD$4:AD$7493)</f>
        <v>400</v>
      </c>
      <c r="BS354" s="313">
        <f>SUMIF(Recibos!$D$4:$D$7493,Cobranza!$B354,Recibos!AE$4:AE$7493)</f>
        <v>400</v>
      </c>
      <c r="BT354" s="313">
        <f>SUMIF(Recibos!$D$4:$D$7493,Cobranza!$B354,Recibos!AF$4:AF$7493)</f>
        <v>400</v>
      </c>
      <c r="BU354" s="313">
        <f>SUMIF(Recibos!$D$4:$D$7493,Cobranza!$B354,Recibos!AG$4:AG$7493)</f>
        <v>400</v>
      </c>
      <c r="BV354" s="313">
        <f>SUMIF(Recibos!$D$4:$D$7493,Cobranza!$B354,Recibos!AH$4:AH$7493)</f>
        <v>400</v>
      </c>
      <c r="BW354" s="313">
        <f>SUMIF(Recibos!$D$4:$D$7493,Cobranza!$B354,Recibos!AI$4:AI$7493)</f>
        <v>400</v>
      </c>
      <c r="BX354" s="314">
        <f t="shared" si="51"/>
        <v>4800</v>
      </c>
      <c r="BY354" s="313">
        <f>SUMIF(Recibos!$D$4:$D$7493,Cobranza!$B354,Recibos!AK$4:AK$7493)</f>
        <v>400</v>
      </c>
      <c r="BZ354" s="313">
        <f>SUMIF(Recibos!$D$4:$D$7493,Cobranza!$B354,Recibos!AL$4:AL$7493)</f>
        <v>400</v>
      </c>
      <c r="CA354" s="313">
        <f>SUMIF(Recibos!$D$4:$D$7493,Cobranza!$B354,Recibos!AM$4:AM$7493)</f>
        <v>400</v>
      </c>
      <c r="CB354" s="313">
        <f>SUMIF(Recibos!$D$4:$D$7493,Cobranza!$B354,Recibos!AN$4:AN$7493)</f>
        <v>400</v>
      </c>
      <c r="CC354" s="313">
        <f>SUMIF(Recibos!$D$4:$D$7493,Cobranza!$B354,Recibos!AO$4:AO$7493)</f>
        <v>400</v>
      </c>
      <c r="CD354" s="313">
        <f>SUMIF(Recibos!$D$4:$D$7493,Cobranza!$B354,Recibos!AP$4:AP$7493)</f>
        <v>400</v>
      </c>
      <c r="CE354" s="313">
        <f>SUMIF(Recibos!$D$4:$D$7493,Cobranza!$B354,Recibos!AQ$4:AQ$7493)</f>
        <v>400</v>
      </c>
      <c r="CF354" s="313">
        <f>SUMIF(Recibos!$D$4:$D$7493,Cobranza!$B354,Recibos!AR$4:AR$7493)</f>
        <v>400</v>
      </c>
      <c r="CG354" s="313">
        <f>SUMIF(Recibos!$D$4:$D$7493,Cobranza!$B354,Recibos!AS$4:AS$7493)</f>
        <v>400</v>
      </c>
      <c r="CH354" s="313">
        <f>SUMIF(Recibos!$D$4:$D$7493,Cobranza!$B354,Recibos!AT$4:AT$7493)</f>
        <v>400</v>
      </c>
      <c r="CI354" s="313">
        <f>SUMIF(Recibos!$D$4:$D$7493,Cobranza!$B354,Recibos!AU$4:AU$7493)</f>
        <v>0</v>
      </c>
      <c r="CJ354" s="313">
        <f>SUMIF(Recibos!$D$4:$D$7493,Cobranza!$B354,Recibos!AV$4:AV$7493)</f>
        <v>0</v>
      </c>
      <c r="CK354" s="314">
        <f t="shared" si="45"/>
        <v>4000</v>
      </c>
    </row>
    <row r="355" spans="2:89" x14ac:dyDescent="0.2">
      <c r="B355" s="42" t="s">
        <v>476</v>
      </c>
      <c r="C355" s="42" t="s">
        <v>477</v>
      </c>
      <c r="D355" s="42" t="s">
        <v>478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300</v>
      </c>
      <c r="K355" s="44">
        <f t="shared" si="46"/>
        <v>300</v>
      </c>
      <c r="L355" s="43">
        <v>300</v>
      </c>
      <c r="M355" s="43">
        <v>300</v>
      </c>
      <c r="N355" s="43">
        <v>300</v>
      </c>
      <c r="O355" s="43">
        <v>300</v>
      </c>
      <c r="P355" s="43">
        <v>300</v>
      </c>
      <c r="Q355" s="43">
        <v>300</v>
      </c>
      <c r="R355" s="43">
        <v>300</v>
      </c>
      <c r="S355" s="43">
        <v>300</v>
      </c>
      <c r="T355" s="43">
        <v>300</v>
      </c>
      <c r="U355" s="43">
        <v>300</v>
      </c>
      <c r="V355" s="43">
        <v>400</v>
      </c>
      <c r="W355" s="43">
        <v>400</v>
      </c>
      <c r="X355" s="44">
        <f t="shared" si="47"/>
        <v>3800</v>
      </c>
      <c r="Y355" s="43">
        <v>400</v>
      </c>
      <c r="Z355" s="43">
        <v>400</v>
      </c>
      <c r="AA355" s="43">
        <v>400</v>
      </c>
      <c r="AB355" s="43">
        <v>0</v>
      </c>
      <c r="AC355" s="43">
        <v>400</v>
      </c>
      <c r="AD355" s="43">
        <v>400</v>
      </c>
      <c r="AE355" s="43">
        <v>400</v>
      </c>
      <c r="AF355" s="43">
        <v>400</v>
      </c>
      <c r="AG355" s="43">
        <v>400</v>
      </c>
      <c r="AH355" s="43">
        <v>400</v>
      </c>
      <c r="AI355" s="43">
        <v>400</v>
      </c>
      <c r="AJ355" s="43">
        <v>400</v>
      </c>
      <c r="AK355" s="44">
        <f t="shared" si="48"/>
        <v>4400</v>
      </c>
      <c r="AL355" s="43">
        <v>400</v>
      </c>
      <c r="AM355" s="43">
        <v>400</v>
      </c>
      <c r="AN355" s="43">
        <v>400</v>
      </c>
      <c r="AO355" s="43">
        <v>400</v>
      </c>
      <c r="AP355" s="43">
        <v>400</v>
      </c>
      <c r="AQ355" s="43">
        <v>400</v>
      </c>
      <c r="AR355" s="43">
        <v>400</v>
      </c>
      <c r="AS355" s="43">
        <v>400</v>
      </c>
      <c r="AT355" s="43">
        <v>400</v>
      </c>
      <c r="AU355" s="43">
        <v>400</v>
      </c>
      <c r="AV355" s="43">
        <v>400</v>
      </c>
      <c r="AW355" s="43">
        <v>400</v>
      </c>
      <c r="AX355" s="44">
        <f t="shared" si="49"/>
        <v>4800</v>
      </c>
      <c r="AY355" s="311">
        <f>SUMIF(Recibos!$D$4:$D$7493,Cobranza!$B355,Recibos!K$4:K$7493)</f>
        <v>400</v>
      </c>
      <c r="AZ355" s="311">
        <f>SUMIF(Recibos!$D$4:$D$7493,Cobranza!$B355,Recibos!L$4:L$7493)</f>
        <v>400</v>
      </c>
      <c r="BA355" s="311">
        <f>SUMIF(Recibos!$D$4:$D$7493,Cobranza!$B355,Recibos!M$4:M$7493)</f>
        <v>400</v>
      </c>
      <c r="BB355" s="311">
        <f>SUMIF(Recibos!$D$4:$D$7493,Cobranza!$B355,Recibos!N$4:N$7493)</f>
        <v>400</v>
      </c>
      <c r="BC355" s="311">
        <f>SUMIF(Recibos!$D$4:$D$7493,Cobranza!$B355,Recibos!O$4:O$7493)</f>
        <v>400</v>
      </c>
      <c r="BD355" s="311">
        <f>SUMIF(Recibos!$D$4:$D$7493,Cobranza!$B355,Recibos!P$4:P$7493)</f>
        <v>400</v>
      </c>
      <c r="BE355" s="311">
        <f>SUMIF(Recibos!$D$4:$D$7493,Cobranza!$B355,Recibos!Q$4:Q$7493)</f>
        <v>400</v>
      </c>
      <c r="BF355" s="311">
        <f>SUMIF(Recibos!$D$4:$D$7493,Cobranza!$B355,Recibos!R$4:R$7493)</f>
        <v>400</v>
      </c>
      <c r="BG355" s="311">
        <f>SUMIF(Recibos!$D$4:$D$7493,Cobranza!$B355,Recibos!S$4:S$7493)</f>
        <v>400</v>
      </c>
      <c r="BH355" s="311">
        <f>SUMIF(Recibos!$D$4:$D$7493,Cobranza!$B355,Recibos!T$4:T$7493)</f>
        <v>400</v>
      </c>
      <c r="BI355" s="311">
        <f>SUMIF(Recibos!$D$4:$D$7493,Cobranza!$B355,Recibos!U$4:U$7493)</f>
        <v>400</v>
      </c>
      <c r="BJ355" s="311">
        <f>SUMIF(Recibos!$D$4:$D$7493,Cobranza!$B355,Recibos!V$4:V$7493)</f>
        <v>400</v>
      </c>
      <c r="BK355" s="312">
        <f t="shared" si="50"/>
        <v>4800</v>
      </c>
      <c r="BL355" s="311">
        <f>SUMIF(Recibos!$D$4:$D$7493,Cobranza!$B355,Recibos!X$4:X$7493)</f>
        <v>400</v>
      </c>
      <c r="BM355" s="311">
        <f>SUMIF(Recibos!$D$4:$D$7493,Cobranza!$B355,Recibos!Y$4:Y$7493)</f>
        <v>400</v>
      </c>
      <c r="BN355" s="311">
        <f>SUMIF(Recibos!$D$4:$D$7493,Cobranza!$B355,Recibos!Z$4:Z$7493)</f>
        <v>400</v>
      </c>
      <c r="BO355" s="311">
        <f>SUMIF(Recibos!$D$4:$D$7493,Cobranza!$B355,Recibos!AA$4:AA$7493)</f>
        <v>400</v>
      </c>
      <c r="BP355" s="311">
        <f>SUMIF(Recibos!$D$4:$D$7493,Cobranza!$B355,Recibos!AB$4:AB$7493)</f>
        <v>400</v>
      </c>
      <c r="BQ355" s="311">
        <f>SUMIF(Recibos!$D$4:$D$7493,Cobranza!$B355,Recibos!AC$4:AC$7493)</f>
        <v>400</v>
      </c>
      <c r="BR355" s="311">
        <f>SUMIF(Recibos!$D$4:$D$7493,Cobranza!$B355,Recibos!AD$4:AD$7493)</f>
        <v>400</v>
      </c>
      <c r="BS355" s="311">
        <f>SUMIF(Recibos!$D$4:$D$7493,Cobranza!$B355,Recibos!AE$4:AE$7493)</f>
        <v>400</v>
      </c>
      <c r="BT355" s="311">
        <f>SUMIF(Recibos!$D$4:$D$7493,Cobranza!$B355,Recibos!AF$4:AF$7493)</f>
        <v>400</v>
      </c>
      <c r="BU355" s="311">
        <f>SUMIF(Recibos!$D$4:$D$7493,Cobranza!$B355,Recibos!AG$4:AG$7493)</f>
        <v>400</v>
      </c>
      <c r="BV355" s="311">
        <f>SUMIF(Recibos!$D$4:$D$7493,Cobranza!$B355,Recibos!AH$4:AH$7493)</f>
        <v>400</v>
      </c>
      <c r="BW355" s="311">
        <f>SUMIF(Recibos!$D$4:$D$7493,Cobranza!$B355,Recibos!AI$4:AI$7493)</f>
        <v>400</v>
      </c>
      <c r="BX355" s="312">
        <f t="shared" si="51"/>
        <v>4800</v>
      </c>
      <c r="BY355" s="311">
        <f>SUMIF(Recibos!$D$4:$D$7493,Cobranza!$B355,Recibos!AK$4:AK$7493)</f>
        <v>400</v>
      </c>
      <c r="BZ355" s="311">
        <f>SUMIF(Recibos!$D$4:$D$7493,Cobranza!$B355,Recibos!AL$4:AL$7493)</f>
        <v>400</v>
      </c>
      <c r="CA355" s="311">
        <f>SUMIF(Recibos!$D$4:$D$7493,Cobranza!$B355,Recibos!AM$4:AM$7493)</f>
        <v>400</v>
      </c>
      <c r="CB355" s="311">
        <f>SUMIF(Recibos!$D$4:$D$7493,Cobranza!$B355,Recibos!AN$4:AN$7493)</f>
        <v>400</v>
      </c>
      <c r="CC355" s="311">
        <f>SUMIF(Recibos!$D$4:$D$7493,Cobranza!$B355,Recibos!AO$4:AO$7493)</f>
        <v>400</v>
      </c>
      <c r="CD355" s="311">
        <f>SUMIF(Recibos!$D$4:$D$7493,Cobranza!$B355,Recibos!AP$4:AP$7493)</f>
        <v>400</v>
      </c>
      <c r="CE355" s="311">
        <f>SUMIF(Recibos!$D$4:$D$7493,Cobranza!$B355,Recibos!AQ$4:AQ$7493)</f>
        <v>400</v>
      </c>
      <c r="CF355" s="311">
        <f>SUMIF(Recibos!$D$4:$D$7493,Cobranza!$B355,Recibos!AR$4:AR$7493)</f>
        <v>400</v>
      </c>
      <c r="CG355" s="311">
        <f>SUMIF(Recibos!$D$4:$D$7493,Cobranza!$B355,Recibos!AS$4:AS$7493)</f>
        <v>400</v>
      </c>
      <c r="CH355" s="311">
        <f>SUMIF(Recibos!$D$4:$D$7493,Cobranza!$B355,Recibos!AT$4:AT$7493)</f>
        <v>0</v>
      </c>
      <c r="CI355" s="311">
        <f>SUMIF(Recibos!$D$4:$D$7493,Cobranza!$B355,Recibos!AU$4:AU$7493)</f>
        <v>0</v>
      </c>
      <c r="CJ355" s="311">
        <f>SUMIF(Recibos!$D$4:$D$7493,Cobranza!$B355,Recibos!AV$4:AV$7493)</f>
        <v>0</v>
      </c>
      <c r="CK355" s="312">
        <f t="shared" si="45"/>
        <v>3600</v>
      </c>
    </row>
    <row r="356" spans="2:89" x14ac:dyDescent="0.2">
      <c r="B356" s="45" t="s">
        <v>1417</v>
      </c>
      <c r="C356" s="45" t="s">
        <v>1418</v>
      </c>
      <c r="D356" s="45" t="s">
        <v>1419</v>
      </c>
      <c r="E356" s="46">
        <v>0</v>
      </c>
      <c r="F356" s="46">
        <v>0</v>
      </c>
      <c r="G356" s="46">
        <v>0</v>
      </c>
      <c r="H356" s="46">
        <v>0</v>
      </c>
      <c r="I356" s="46">
        <v>0</v>
      </c>
      <c r="J356" s="46">
        <v>300</v>
      </c>
      <c r="K356" s="47">
        <f t="shared" si="46"/>
        <v>300</v>
      </c>
      <c r="L356" s="46">
        <v>300</v>
      </c>
      <c r="M356" s="46">
        <v>300</v>
      </c>
      <c r="N356" s="46">
        <v>300</v>
      </c>
      <c r="O356" s="46">
        <v>0</v>
      </c>
      <c r="P356" s="46">
        <v>300</v>
      </c>
      <c r="Q356" s="46">
        <v>300</v>
      </c>
      <c r="R356" s="46">
        <v>300</v>
      </c>
      <c r="S356" s="46">
        <v>300</v>
      </c>
      <c r="T356" s="46">
        <v>300</v>
      </c>
      <c r="U356" s="46">
        <v>300</v>
      </c>
      <c r="V356" s="46">
        <v>300</v>
      </c>
      <c r="W356" s="46">
        <v>300</v>
      </c>
      <c r="X356" s="47">
        <f t="shared" si="47"/>
        <v>3300</v>
      </c>
      <c r="Y356" s="46">
        <v>300</v>
      </c>
      <c r="Z356" s="46">
        <v>300</v>
      </c>
      <c r="AA356" s="46">
        <v>300</v>
      </c>
      <c r="AB356" s="46">
        <v>300</v>
      </c>
      <c r="AC356" s="46">
        <v>300</v>
      </c>
      <c r="AD356" s="46">
        <v>300</v>
      </c>
      <c r="AE356" s="46">
        <v>300</v>
      </c>
      <c r="AF356" s="46">
        <v>300</v>
      </c>
      <c r="AG356" s="46">
        <v>300</v>
      </c>
      <c r="AH356" s="46">
        <v>300</v>
      </c>
      <c r="AI356" s="46">
        <v>0</v>
      </c>
      <c r="AJ356" s="46">
        <v>0</v>
      </c>
      <c r="AK356" s="47">
        <f t="shared" si="48"/>
        <v>3000</v>
      </c>
      <c r="AL356" s="46">
        <v>0</v>
      </c>
      <c r="AM356" s="46">
        <v>0</v>
      </c>
      <c r="AN356" s="46">
        <v>0</v>
      </c>
      <c r="AO356" s="46">
        <v>0</v>
      </c>
      <c r="AP356" s="46">
        <v>0</v>
      </c>
      <c r="AQ356" s="46">
        <v>0</v>
      </c>
      <c r="AR356" s="46">
        <v>0</v>
      </c>
      <c r="AS356" s="46">
        <v>0</v>
      </c>
      <c r="AT356" s="46">
        <v>0</v>
      </c>
      <c r="AU356" s="46">
        <v>0</v>
      </c>
      <c r="AV356" s="46">
        <v>0</v>
      </c>
      <c r="AW356" s="46">
        <v>0</v>
      </c>
      <c r="AX356" s="47">
        <f t="shared" si="49"/>
        <v>0</v>
      </c>
      <c r="AY356" s="313">
        <f>SUMIF(Recibos!$D$4:$D$7493,Cobranza!$B356,Recibos!K$4:K$7493)</f>
        <v>0</v>
      </c>
      <c r="AZ356" s="313">
        <f>SUMIF(Recibos!$D$4:$D$7493,Cobranza!$B356,Recibos!L$4:L$7493)</f>
        <v>0</v>
      </c>
      <c r="BA356" s="313">
        <f>SUMIF(Recibos!$D$4:$D$7493,Cobranza!$B356,Recibos!M$4:M$7493)</f>
        <v>0</v>
      </c>
      <c r="BB356" s="313">
        <f>SUMIF(Recibos!$D$4:$D$7493,Cobranza!$B356,Recibos!N$4:N$7493)</f>
        <v>0</v>
      </c>
      <c r="BC356" s="313">
        <f>SUMIF(Recibos!$D$4:$D$7493,Cobranza!$B356,Recibos!O$4:O$7493)</f>
        <v>0</v>
      </c>
      <c r="BD356" s="313">
        <f>SUMIF(Recibos!$D$4:$D$7493,Cobranza!$B356,Recibos!P$4:P$7493)</f>
        <v>0</v>
      </c>
      <c r="BE356" s="313">
        <f>SUMIF(Recibos!$D$4:$D$7493,Cobranza!$B356,Recibos!Q$4:Q$7493)</f>
        <v>0</v>
      </c>
      <c r="BF356" s="313">
        <f>SUMIF(Recibos!$D$4:$D$7493,Cobranza!$B356,Recibos!R$4:R$7493)</f>
        <v>0</v>
      </c>
      <c r="BG356" s="313">
        <f>SUMIF(Recibos!$D$4:$D$7493,Cobranza!$B356,Recibos!S$4:S$7493)</f>
        <v>0</v>
      </c>
      <c r="BH356" s="313">
        <f>SUMIF(Recibos!$D$4:$D$7493,Cobranza!$B356,Recibos!T$4:T$7493)</f>
        <v>0</v>
      </c>
      <c r="BI356" s="313">
        <f>SUMIF(Recibos!$D$4:$D$7493,Cobranza!$B356,Recibos!U$4:U$7493)</f>
        <v>300</v>
      </c>
      <c r="BJ356" s="313">
        <f>SUMIF(Recibos!$D$4:$D$7493,Cobranza!$B356,Recibos!V$4:V$7493)</f>
        <v>300</v>
      </c>
      <c r="BK356" s="314">
        <f t="shared" si="50"/>
        <v>600</v>
      </c>
      <c r="BL356" s="313">
        <f>SUMIF(Recibos!$D$4:$D$7493,Cobranza!$B356,Recibos!X$4:X$7493)</f>
        <v>0</v>
      </c>
      <c r="BM356" s="313">
        <f>SUMIF(Recibos!$D$4:$D$7493,Cobranza!$B356,Recibos!Y$4:Y$7493)</f>
        <v>300</v>
      </c>
      <c r="BN356" s="313">
        <f>SUMIF(Recibos!$D$4:$D$7493,Cobranza!$B356,Recibos!Z$4:Z$7493)</f>
        <v>300</v>
      </c>
      <c r="BO356" s="313">
        <f>SUMIF(Recibos!$D$4:$D$7493,Cobranza!$B356,Recibos!AA$4:AA$7493)</f>
        <v>300</v>
      </c>
      <c r="BP356" s="313">
        <f>SUMIF(Recibos!$D$4:$D$7493,Cobranza!$B356,Recibos!AB$4:AB$7493)</f>
        <v>0</v>
      </c>
      <c r="BQ356" s="313">
        <f>SUMIF(Recibos!$D$4:$D$7493,Cobranza!$B356,Recibos!AC$4:AC$7493)</f>
        <v>300</v>
      </c>
      <c r="BR356" s="313">
        <f>SUMIF(Recibos!$D$4:$D$7493,Cobranza!$B356,Recibos!AD$4:AD$7493)</f>
        <v>300</v>
      </c>
      <c r="BS356" s="313">
        <f>SUMIF(Recibos!$D$4:$D$7493,Cobranza!$B356,Recibos!AE$4:AE$7493)</f>
        <v>0</v>
      </c>
      <c r="BT356" s="313">
        <f>SUMIF(Recibos!$D$4:$D$7493,Cobranza!$B356,Recibos!AF$4:AF$7493)</f>
        <v>0</v>
      </c>
      <c r="BU356" s="313">
        <f>SUMIF(Recibos!$D$4:$D$7493,Cobranza!$B356,Recibos!AG$4:AG$7493)</f>
        <v>0</v>
      </c>
      <c r="BV356" s="313">
        <f>SUMIF(Recibos!$D$4:$D$7493,Cobranza!$B356,Recibos!AH$4:AH$7493)</f>
        <v>0</v>
      </c>
      <c r="BW356" s="313">
        <f>SUMIF(Recibos!$D$4:$D$7493,Cobranza!$B356,Recibos!AI$4:AI$7493)</f>
        <v>0</v>
      </c>
      <c r="BX356" s="314">
        <f t="shared" si="51"/>
        <v>1500</v>
      </c>
      <c r="BY356" s="313">
        <f>SUMIF(Recibos!$D$4:$D$7493,Cobranza!$B356,Recibos!AK$4:AK$7493)</f>
        <v>0</v>
      </c>
      <c r="BZ356" s="313">
        <f>SUMIF(Recibos!$D$4:$D$7493,Cobranza!$B356,Recibos!AL$4:AL$7493)</f>
        <v>0</v>
      </c>
      <c r="CA356" s="313">
        <f>SUMIF(Recibos!$D$4:$D$7493,Cobranza!$B356,Recibos!AM$4:AM$7493)</f>
        <v>0</v>
      </c>
      <c r="CB356" s="313">
        <f>SUMIF(Recibos!$D$4:$D$7493,Cobranza!$B356,Recibos!AN$4:AN$7493)</f>
        <v>0</v>
      </c>
      <c r="CC356" s="313">
        <f>SUMIF(Recibos!$D$4:$D$7493,Cobranza!$B356,Recibos!AO$4:AO$7493)</f>
        <v>0</v>
      </c>
      <c r="CD356" s="313">
        <f>SUMIF(Recibos!$D$4:$D$7493,Cobranza!$B356,Recibos!AP$4:AP$7493)</f>
        <v>0</v>
      </c>
      <c r="CE356" s="313">
        <f>SUMIF(Recibos!$D$4:$D$7493,Cobranza!$B356,Recibos!AQ$4:AQ$7493)</f>
        <v>0</v>
      </c>
      <c r="CF356" s="313">
        <f>SUMIF(Recibos!$D$4:$D$7493,Cobranza!$B356,Recibos!AR$4:AR$7493)</f>
        <v>0</v>
      </c>
      <c r="CG356" s="313">
        <f>SUMIF(Recibos!$D$4:$D$7493,Cobranza!$B356,Recibos!AS$4:AS$7493)</f>
        <v>0</v>
      </c>
      <c r="CH356" s="313">
        <f>SUMIF(Recibos!$D$4:$D$7493,Cobranza!$B356,Recibos!AT$4:AT$7493)</f>
        <v>0</v>
      </c>
      <c r="CI356" s="313">
        <f>SUMIF(Recibos!$D$4:$D$7493,Cobranza!$B356,Recibos!AU$4:AU$7493)</f>
        <v>0</v>
      </c>
      <c r="CJ356" s="313">
        <f>SUMIF(Recibos!$D$4:$D$7493,Cobranza!$B356,Recibos!AV$4:AV$7493)</f>
        <v>0</v>
      </c>
      <c r="CK356" s="314">
        <f t="shared" si="45"/>
        <v>0</v>
      </c>
    </row>
    <row r="357" spans="2:89" x14ac:dyDescent="0.2">
      <c r="B357" s="42" t="s">
        <v>1420</v>
      </c>
      <c r="C357" s="42" t="s">
        <v>1421</v>
      </c>
      <c r="D357" s="42" t="s">
        <v>99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4">
        <f t="shared" si="46"/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  <c r="V357" s="43">
        <v>0</v>
      </c>
      <c r="W357" s="43">
        <v>0</v>
      </c>
      <c r="X357" s="44">
        <f t="shared" si="47"/>
        <v>0</v>
      </c>
      <c r="Y357" s="43">
        <v>0</v>
      </c>
      <c r="Z357" s="43">
        <v>0</v>
      </c>
      <c r="AA357" s="43">
        <v>0</v>
      </c>
      <c r="AB357" s="43">
        <v>0</v>
      </c>
      <c r="AC357" s="43">
        <v>0</v>
      </c>
      <c r="AD357" s="43">
        <v>0</v>
      </c>
      <c r="AE357" s="43">
        <v>0</v>
      </c>
      <c r="AF357" s="43">
        <v>200</v>
      </c>
      <c r="AG357" s="43">
        <v>0</v>
      </c>
      <c r="AH357" s="43">
        <v>0</v>
      </c>
      <c r="AI357" s="43">
        <v>0</v>
      </c>
      <c r="AJ357" s="43">
        <v>0</v>
      </c>
      <c r="AK357" s="44">
        <f t="shared" si="48"/>
        <v>200</v>
      </c>
      <c r="AL357" s="43">
        <v>0</v>
      </c>
      <c r="AM357" s="43">
        <v>0</v>
      </c>
      <c r="AN357" s="43">
        <v>200</v>
      </c>
      <c r="AO357" s="43">
        <v>200</v>
      </c>
      <c r="AP357" s="43">
        <v>200</v>
      </c>
      <c r="AQ357" s="43">
        <v>0</v>
      </c>
      <c r="AR357" s="43">
        <v>0</v>
      </c>
      <c r="AS357" s="43">
        <v>0</v>
      </c>
      <c r="AT357" s="43">
        <v>0</v>
      </c>
      <c r="AU357" s="43">
        <v>0</v>
      </c>
      <c r="AV357" s="43">
        <v>0</v>
      </c>
      <c r="AW357" s="43">
        <v>0</v>
      </c>
      <c r="AX357" s="44">
        <f t="shared" si="49"/>
        <v>600</v>
      </c>
      <c r="AY357" s="311">
        <f>SUMIF(Recibos!$D$4:$D$7493,Cobranza!$B357,Recibos!K$4:K$7493)</f>
        <v>0</v>
      </c>
      <c r="AZ357" s="311">
        <f>SUMIF(Recibos!$D$4:$D$7493,Cobranza!$B357,Recibos!L$4:L$7493)</f>
        <v>0</v>
      </c>
      <c r="BA357" s="311">
        <f>SUMIF(Recibos!$D$4:$D$7493,Cobranza!$B357,Recibos!M$4:M$7493)</f>
        <v>0</v>
      </c>
      <c r="BB357" s="311">
        <f>SUMIF(Recibos!$D$4:$D$7493,Cobranza!$B357,Recibos!N$4:N$7493)</f>
        <v>0</v>
      </c>
      <c r="BC357" s="311">
        <f>SUMIF(Recibos!$D$4:$D$7493,Cobranza!$B357,Recibos!O$4:O$7493)</f>
        <v>0</v>
      </c>
      <c r="BD357" s="311">
        <f>SUMIF(Recibos!$D$4:$D$7493,Cobranza!$B357,Recibos!P$4:P$7493)</f>
        <v>0</v>
      </c>
      <c r="BE357" s="311">
        <f>SUMIF(Recibos!$D$4:$D$7493,Cobranza!$B357,Recibos!Q$4:Q$7493)</f>
        <v>0</v>
      </c>
      <c r="BF357" s="311">
        <f>SUMIF(Recibos!$D$4:$D$7493,Cobranza!$B357,Recibos!R$4:R$7493)</f>
        <v>0</v>
      </c>
      <c r="BG357" s="311">
        <f>SUMIF(Recibos!$D$4:$D$7493,Cobranza!$B357,Recibos!S$4:S$7493)</f>
        <v>0</v>
      </c>
      <c r="BH357" s="311">
        <f>SUMIF(Recibos!$D$4:$D$7493,Cobranza!$B357,Recibos!T$4:T$7493)</f>
        <v>0</v>
      </c>
      <c r="BI357" s="311">
        <f>SUMIF(Recibos!$D$4:$D$7493,Cobranza!$B357,Recibos!U$4:U$7493)</f>
        <v>0</v>
      </c>
      <c r="BJ357" s="311">
        <f>SUMIF(Recibos!$D$4:$D$7493,Cobranza!$B357,Recibos!V$4:V$7493)</f>
        <v>0</v>
      </c>
      <c r="BK357" s="312">
        <f t="shared" si="50"/>
        <v>0</v>
      </c>
      <c r="BL357" s="311">
        <f>SUMIF(Recibos!$D$4:$D$7493,Cobranza!$B357,Recibos!X$4:X$7493)</f>
        <v>0</v>
      </c>
      <c r="BM357" s="311">
        <f>SUMIF(Recibos!$D$4:$D$7493,Cobranza!$B357,Recibos!Y$4:Y$7493)</f>
        <v>0</v>
      </c>
      <c r="BN357" s="311">
        <f>SUMIF(Recibos!$D$4:$D$7493,Cobranza!$B357,Recibos!Z$4:Z$7493)</f>
        <v>0</v>
      </c>
      <c r="BO357" s="311">
        <f>SUMIF(Recibos!$D$4:$D$7493,Cobranza!$B357,Recibos!AA$4:AA$7493)</f>
        <v>0</v>
      </c>
      <c r="BP357" s="311">
        <f>SUMIF(Recibos!$D$4:$D$7493,Cobranza!$B357,Recibos!AB$4:AB$7493)</f>
        <v>0</v>
      </c>
      <c r="BQ357" s="311">
        <f>SUMIF(Recibos!$D$4:$D$7493,Cobranza!$B357,Recibos!AC$4:AC$7493)</f>
        <v>0</v>
      </c>
      <c r="BR357" s="311">
        <f>SUMIF(Recibos!$D$4:$D$7493,Cobranza!$B357,Recibos!AD$4:AD$7493)</f>
        <v>0</v>
      </c>
      <c r="BS357" s="311">
        <f>SUMIF(Recibos!$D$4:$D$7493,Cobranza!$B357,Recibos!AE$4:AE$7493)</f>
        <v>0</v>
      </c>
      <c r="BT357" s="311">
        <f>SUMIF(Recibos!$D$4:$D$7493,Cobranza!$B357,Recibos!AF$4:AF$7493)</f>
        <v>0</v>
      </c>
      <c r="BU357" s="311">
        <f>SUMIF(Recibos!$D$4:$D$7493,Cobranza!$B357,Recibos!AG$4:AG$7493)</f>
        <v>0</v>
      </c>
      <c r="BV357" s="311">
        <f>SUMIF(Recibos!$D$4:$D$7493,Cobranza!$B357,Recibos!AH$4:AH$7493)</f>
        <v>0</v>
      </c>
      <c r="BW357" s="311">
        <f>SUMIF(Recibos!$D$4:$D$7493,Cobranza!$B357,Recibos!AI$4:AI$7493)</f>
        <v>0</v>
      </c>
      <c r="BX357" s="312">
        <f t="shared" si="51"/>
        <v>0</v>
      </c>
      <c r="BY357" s="311">
        <f>SUMIF(Recibos!$D$4:$D$7493,Cobranza!$B357,Recibos!AK$4:AK$7493)</f>
        <v>400</v>
      </c>
      <c r="BZ357" s="311">
        <f>SUMIF(Recibos!$D$4:$D$7493,Cobranza!$B357,Recibos!AL$4:AL$7493)</f>
        <v>400</v>
      </c>
      <c r="CA357" s="311">
        <f>SUMIF(Recibos!$D$4:$D$7493,Cobranza!$B357,Recibos!AM$4:AM$7493)</f>
        <v>400</v>
      </c>
      <c r="CB357" s="311">
        <f>SUMIF(Recibos!$D$4:$D$7493,Cobranza!$B357,Recibos!AN$4:AN$7493)</f>
        <v>400</v>
      </c>
      <c r="CC357" s="311">
        <f>SUMIF(Recibos!$D$4:$D$7493,Cobranza!$B357,Recibos!AO$4:AO$7493)</f>
        <v>200</v>
      </c>
      <c r="CD357" s="311">
        <f>SUMIF(Recibos!$D$4:$D$7493,Cobranza!$B357,Recibos!AP$4:AP$7493)</f>
        <v>0</v>
      </c>
      <c r="CE357" s="311">
        <f>SUMIF(Recibos!$D$4:$D$7493,Cobranza!$B357,Recibos!AQ$4:AQ$7493)</f>
        <v>0</v>
      </c>
      <c r="CF357" s="311">
        <f>SUMIF(Recibos!$D$4:$D$7493,Cobranza!$B357,Recibos!AR$4:AR$7493)</f>
        <v>0</v>
      </c>
      <c r="CG357" s="311">
        <f>SUMIF(Recibos!$D$4:$D$7493,Cobranza!$B357,Recibos!AS$4:AS$7493)</f>
        <v>0</v>
      </c>
      <c r="CH357" s="311">
        <f>SUMIF(Recibos!$D$4:$D$7493,Cobranza!$B357,Recibos!AT$4:AT$7493)</f>
        <v>0</v>
      </c>
      <c r="CI357" s="311">
        <f>SUMIF(Recibos!$D$4:$D$7493,Cobranza!$B357,Recibos!AU$4:AU$7493)</f>
        <v>0</v>
      </c>
      <c r="CJ357" s="311">
        <f>SUMIF(Recibos!$D$4:$D$7493,Cobranza!$B357,Recibos!AV$4:AV$7493)</f>
        <v>0</v>
      </c>
      <c r="CK357" s="312">
        <f t="shared" si="45"/>
        <v>1800</v>
      </c>
    </row>
    <row r="358" spans="2:89" x14ac:dyDescent="0.2">
      <c r="B358" s="45" t="s">
        <v>1082</v>
      </c>
      <c r="C358" s="45" t="s">
        <v>1083</v>
      </c>
      <c r="D358" s="45" t="s">
        <v>1084</v>
      </c>
      <c r="E358" s="46">
        <v>0</v>
      </c>
      <c r="F358" s="46">
        <v>0</v>
      </c>
      <c r="G358" s="46">
        <v>0</v>
      </c>
      <c r="H358" s="46">
        <v>0</v>
      </c>
      <c r="I358" s="46">
        <v>0</v>
      </c>
      <c r="J358" s="46">
        <v>0</v>
      </c>
      <c r="K358" s="47">
        <f t="shared" si="46"/>
        <v>0</v>
      </c>
      <c r="L358" s="46">
        <v>0</v>
      </c>
      <c r="M358" s="46">
        <v>0</v>
      </c>
      <c r="N358" s="46">
        <v>0</v>
      </c>
      <c r="O358" s="46">
        <v>0</v>
      </c>
      <c r="P358" s="46">
        <v>0</v>
      </c>
      <c r="Q358" s="46">
        <v>0</v>
      </c>
      <c r="R358" s="46">
        <v>0</v>
      </c>
      <c r="S358" s="46">
        <v>0</v>
      </c>
      <c r="T358" s="46">
        <v>0</v>
      </c>
      <c r="U358" s="46">
        <v>0</v>
      </c>
      <c r="V358" s="46">
        <v>0</v>
      </c>
      <c r="W358" s="46">
        <v>0</v>
      </c>
      <c r="X358" s="47">
        <f t="shared" si="47"/>
        <v>0</v>
      </c>
      <c r="Y358" s="46">
        <v>0</v>
      </c>
      <c r="Z358" s="46">
        <v>0</v>
      </c>
      <c r="AA358" s="46">
        <v>0</v>
      </c>
      <c r="AB358" s="46">
        <v>0</v>
      </c>
      <c r="AC358" s="46">
        <v>0</v>
      </c>
      <c r="AD358" s="46">
        <v>0</v>
      </c>
      <c r="AE358" s="46">
        <v>0</v>
      </c>
      <c r="AF358" s="46">
        <v>0</v>
      </c>
      <c r="AG358" s="46">
        <v>0</v>
      </c>
      <c r="AH358" s="46">
        <v>0</v>
      </c>
      <c r="AI358" s="46">
        <v>0</v>
      </c>
      <c r="AJ358" s="46">
        <v>0</v>
      </c>
      <c r="AK358" s="47">
        <f t="shared" si="48"/>
        <v>0</v>
      </c>
      <c r="AL358" s="46">
        <v>0</v>
      </c>
      <c r="AM358" s="46">
        <v>0</v>
      </c>
      <c r="AN358" s="46">
        <v>0</v>
      </c>
      <c r="AO358" s="46">
        <v>0</v>
      </c>
      <c r="AP358" s="46">
        <v>0</v>
      </c>
      <c r="AQ358" s="46">
        <v>0</v>
      </c>
      <c r="AR358" s="46">
        <v>0</v>
      </c>
      <c r="AS358" s="46">
        <v>0</v>
      </c>
      <c r="AT358" s="46">
        <v>0</v>
      </c>
      <c r="AU358" s="46">
        <v>0</v>
      </c>
      <c r="AV358" s="46">
        <v>0</v>
      </c>
      <c r="AW358" s="46">
        <v>0</v>
      </c>
      <c r="AX358" s="47">
        <f t="shared" si="49"/>
        <v>0</v>
      </c>
      <c r="AY358" s="313">
        <f>SUMIF(Recibos!$D$4:$D$7493,Cobranza!$B358,Recibos!K$4:K$7493)</f>
        <v>0</v>
      </c>
      <c r="AZ358" s="313">
        <f>SUMIF(Recibos!$D$4:$D$7493,Cobranza!$B358,Recibos!L$4:L$7493)</f>
        <v>0</v>
      </c>
      <c r="BA358" s="313">
        <f>SUMIF(Recibos!$D$4:$D$7493,Cobranza!$B358,Recibos!M$4:M$7493)</f>
        <v>0</v>
      </c>
      <c r="BB358" s="313">
        <f>SUMIF(Recibos!$D$4:$D$7493,Cobranza!$B358,Recibos!N$4:N$7493)</f>
        <v>0</v>
      </c>
      <c r="BC358" s="313">
        <f>SUMIF(Recibos!$D$4:$D$7493,Cobranza!$B358,Recibos!O$4:O$7493)</f>
        <v>0</v>
      </c>
      <c r="BD358" s="313">
        <f>SUMIF(Recibos!$D$4:$D$7493,Cobranza!$B358,Recibos!P$4:P$7493)</f>
        <v>0</v>
      </c>
      <c r="BE358" s="313">
        <f>SUMIF(Recibos!$D$4:$D$7493,Cobranza!$B358,Recibos!Q$4:Q$7493)</f>
        <v>0</v>
      </c>
      <c r="BF358" s="313">
        <f>SUMIF(Recibos!$D$4:$D$7493,Cobranza!$B358,Recibos!R$4:R$7493)</f>
        <v>0</v>
      </c>
      <c r="BG358" s="313">
        <f>SUMIF(Recibos!$D$4:$D$7493,Cobranza!$B358,Recibos!S$4:S$7493)</f>
        <v>0</v>
      </c>
      <c r="BH358" s="313">
        <f>SUMIF(Recibos!$D$4:$D$7493,Cobranza!$B358,Recibos!T$4:T$7493)</f>
        <v>0</v>
      </c>
      <c r="BI358" s="313">
        <f>SUMIF(Recibos!$D$4:$D$7493,Cobranza!$B358,Recibos!U$4:U$7493)</f>
        <v>0</v>
      </c>
      <c r="BJ358" s="313">
        <f>SUMIF(Recibos!$D$4:$D$7493,Cobranza!$B358,Recibos!V$4:V$7493)</f>
        <v>0</v>
      </c>
      <c r="BK358" s="314">
        <f t="shared" si="50"/>
        <v>0</v>
      </c>
      <c r="BL358" s="313">
        <f>SUMIF(Recibos!$D$4:$D$7493,Cobranza!$B358,Recibos!X$4:X$7493)</f>
        <v>0</v>
      </c>
      <c r="BM358" s="313">
        <f>SUMIF(Recibos!$D$4:$D$7493,Cobranza!$B358,Recibos!Y$4:Y$7493)</f>
        <v>0</v>
      </c>
      <c r="BN358" s="313">
        <f>SUMIF(Recibos!$D$4:$D$7493,Cobranza!$B358,Recibos!Z$4:Z$7493)</f>
        <v>0</v>
      </c>
      <c r="BO358" s="313">
        <f>SUMIF(Recibos!$D$4:$D$7493,Cobranza!$B358,Recibos!AA$4:AA$7493)</f>
        <v>0</v>
      </c>
      <c r="BP358" s="313">
        <f>SUMIF(Recibos!$D$4:$D$7493,Cobranza!$B358,Recibos!AB$4:AB$7493)</f>
        <v>0</v>
      </c>
      <c r="BQ358" s="313">
        <f>SUMIF(Recibos!$D$4:$D$7493,Cobranza!$B358,Recibos!AC$4:AC$7493)</f>
        <v>0</v>
      </c>
      <c r="BR358" s="313">
        <f>SUMIF(Recibos!$D$4:$D$7493,Cobranza!$B358,Recibos!AD$4:AD$7493)</f>
        <v>0</v>
      </c>
      <c r="BS358" s="313">
        <f>SUMIF(Recibos!$D$4:$D$7493,Cobranza!$B358,Recibos!AE$4:AE$7493)</f>
        <v>0</v>
      </c>
      <c r="BT358" s="313">
        <f>SUMIF(Recibos!$D$4:$D$7493,Cobranza!$B358,Recibos!AF$4:AF$7493)</f>
        <v>0</v>
      </c>
      <c r="BU358" s="313">
        <f>SUMIF(Recibos!$D$4:$D$7493,Cobranza!$B358,Recibos!AG$4:AG$7493)</f>
        <v>0</v>
      </c>
      <c r="BV358" s="313">
        <f>SUMIF(Recibos!$D$4:$D$7493,Cobranza!$B358,Recibos!AH$4:AH$7493)</f>
        <v>0</v>
      </c>
      <c r="BW358" s="313">
        <f>SUMIF(Recibos!$D$4:$D$7493,Cobranza!$B358,Recibos!AI$4:AI$7493)</f>
        <v>0</v>
      </c>
      <c r="BX358" s="314">
        <f t="shared" si="51"/>
        <v>0</v>
      </c>
      <c r="BY358" s="313">
        <f>SUMIF(Recibos!$D$4:$D$7493,Cobranza!$B358,Recibos!AK$4:AK$7493)</f>
        <v>0</v>
      </c>
      <c r="BZ358" s="313">
        <f>SUMIF(Recibos!$D$4:$D$7493,Cobranza!$B358,Recibos!AL$4:AL$7493)</f>
        <v>0</v>
      </c>
      <c r="CA358" s="313">
        <f>SUMIF(Recibos!$D$4:$D$7493,Cobranza!$B358,Recibos!AM$4:AM$7493)</f>
        <v>0</v>
      </c>
      <c r="CB358" s="313">
        <f>SUMIF(Recibos!$D$4:$D$7493,Cobranza!$B358,Recibos!AN$4:AN$7493)</f>
        <v>0</v>
      </c>
      <c r="CC358" s="313">
        <f>SUMIF(Recibos!$D$4:$D$7493,Cobranza!$B358,Recibos!AO$4:AO$7493)</f>
        <v>0</v>
      </c>
      <c r="CD358" s="313">
        <f>SUMIF(Recibos!$D$4:$D$7493,Cobranza!$B358,Recibos!AP$4:AP$7493)</f>
        <v>0</v>
      </c>
      <c r="CE358" s="313">
        <f>SUMIF(Recibos!$D$4:$D$7493,Cobranza!$B358,Recibos!AQ$4:AQ$7493)</f>
        <v>0</v>
      </c>
      <c r="CF358" s="313">
        <f>SUMIF(Recibos!$D$4:$D$7493,Cobranza!$B358,Recibos!AR$4:AR$7493)</f>
        <v>0</v>
      </c>
      <c r="CG358" s="313">
        <f>SUMIF(Recibos!$D$4:$D$7493,Cobranza!$B358,Recibos!AS$4:AS$7493)</f>
        <v>0</v>
      </c>
      <c r="CH358" s="313">
        <f>SUMIF(Recibos!$D$4:$D$7493,Cobranza!$B358,Recibos!AT$4:AT$7493)</f>
        <v>0</v>
      </c>
      <c r="CI358" s="313">
        <f>SUMIF(Recibos!$D$4:$D$7493,Cobranza!$B358,Recibos!AU$4:AU$7493)</f>
        <v>0</v>
      </c>
      <c r="CJ358" s="313">
        <f>SUMIF(Recibos!$D$4:$D$7493,Cobranza!$B358,Recibos!AV$4:AV$7493)</f>
        <v>0</v>
      </c>
      <c r="CK358" s="314">
        <f t="shared" si="45"/>
        <v>0</v>
      </c>
    </row>
    <row r="359" spans="2:89" x14ac:dyDescent="0.2">
      <c r="B359" s="42" t="s">
        <v>147</v>
      </c>
      <c r="C359" s="42" t="s">
        <v>148</v>
      </c>
      <c r="D359" s="42" t="s">
        <v>149</v>
      </c>
      <c r="E359" s="43">
        <v>0</v>
      </c>
      <c r="F359" s="43">
        <v>0</v>
      </c>
      <c r="G359" s="43">
        <v>0</v>
      </c>
      <c r="H359" s="43">
        <v>0</v>
      </c>
      <c r="I359" s="43">
        <v>300</v>
      </c>
      <c r="J359" s="43">
        <v>300</v>
      </c>
      <c r="K359" s="44">
        <f t="shared" si="46"/>
        <v>600</v>
      </c>
      <c r="L359" s="43">
        <v>300</v>
      </c>
      <c r="M359" s="43">
        <v>300</v>
      </c>
      <c r="N359" s="43">
        <v>300</v>
      </c>
      <c r="O359" s="43">
        <v>300</v>
      </c>
      <c r="P359" s="43">
        <v>300</v>
      </c>
      <c r="Q359" s="43">
        <v>300</v>
      </c>
      <c r="R359" s="43">
        <v>300</v>
      </c>
      <c r="S359" s="43">
        <v>300</v>
      </c>
      <c r="T359" s="43">
        <v>300</v>
      </c>
      <c r="U359" s="43">
        <v>400</v>
      </c>
      <c r="V359" s="43">
        <v>400</v>
      </c>
      <c r="W359" s="43">
        <v>400</v>
      </c>
      <c r="X359" s="44">
        <f t="shared" si="47"/>
        <v>3900</v>
      </c>
      <c r="Y359" s="43">
        <v>400</v>
      </c>
      <c r="Z359" s="43">
        <v>400</v>
      </c>
      <c r="AA359" s="43">
        <v>400</v>
      </c>
      <c r="AB359" s="43">
        <v>400</v>
      </c>
      <c r="AC359" s="43">
        <v>800</v>
      </c>
      <c r="AD359" s="43">
        <v>0</v>
      </c>
      <c r="AE359" s="43">
        <v>400</v>
      </c>
      <c r="AF359" s="43">
        <v>400</v>
      </c>
      <c r="AG359" s="43">
        <v>400</v>
      </c>
      <c r="AH359" s="43">
        <v>400</v>
      </c>
      <c r="AI359" s="43">
        <v>400</v>
      </c>
      <c r="AJ359" s="43">
        <v>400</v>
      </c>
      <c r="AK359" s="44">
        <f t="shared" si="48"/>
        <v>4800</v>
      </c>
      <c r="AL359" s="43">
        <v>400</v>
      </c>
      <c r="AM359" s="43">
        <v>400</v>
      </c>
      <c r="AN359" s="43">
        <v>400</v>
      </c>
      <c r="AO359" s="43">
        <v>400</v>
      </c>
      <c r="AP359" s="43">
        <v>400</v>
      </c>
      <c r="AQ359" s="43">
        <v>400</v>
      </c>
      <c r="AR359" s="43">
        <v>400</v>
      </c>
      <c r="AS359" s="43">
        <v>400</v>
      </c>
      <c r="AT359" s="43">
        <v>400</v>
      </c>
      <c r="AU359" s="43">
        <v>400</v>
      </c>
      <c r="AV359" s="43">
        <v>0</v>
      </c>
      <c r="AW359" s="43">
        <v>0</v>
      </c>
      <c r="AX359" s="44">
        <f t="shared" si="49"/>
        <v>4000</v>
      </c>
      <c r="AY359" s="311">
        <f>SUMIF(Recibos!$D$4:$D$7493,Cobranza!$B359,Recibos!K$4:K$7493)</f>
        <v>400</v>
      </c>
      <c r="AZ359" s="311">
        <f>SUMIF(Recibos!$D$4:$D$7493,Cobranza!$B359,Recibos!L$4:L$7493)</f>
        <v>400</v>
      </c>
      <c r="BA359" s="311">
        <f>SUMIF(Recibos!$D$4:$D$7493,Cobranza!$B359,Recibos!M$4:M$7493)</f>
        <v>400</v>
      </c>
      <c r="BB359" s="311">
        <f>SUMIF(Recibos!$D$4:$D$7493,Cobranza!$B359,Recibos!N$4:N$7493)</f>
        <v>400</v>
      </c>
      <c r="BC359" s="311">
        <f>SUMIF(Recibos!$D$4:$D$7493,Cobranza!$B359,Recibos!O$4:O$7493)</f>
        <v>400</v>
      </c>
      <c r="BD359" s="311">
        <f>SUMIF(Recibos!$D$4:$D$7493,Cobranza!$B359,Recibos!P$4:P$7493)</f>
        <v>400</v>
      </c>
      <c r="BE359" s="311">
        <f>SUMIF(Recibos!$D$4:$D$7493,Cobranza!$B359,Recibos!Q$4:Q$7493)</f>
        <v>400</v>
      </c>
      <c r="BF359" s="311">
        <f>SUMIF(Recibos!$D$4:$D$7493,Cobranza!$B359,Recibos!R$4:R$7493)</f>
        <v>400</v>
      </c>
      <c r="BG359" s="311">
        <f>SUMIF(Recibos!$D$4:$D$7493,Cobranza!$B359,Recibos!S$4:S$7493)</f>
        <v>400</v>
      </c>
      <c r="BH359" s="311">
        <f>SUMIF(Recibos!$D$4:$D$7493,Cobranza!$B359,Recibos!T$4:T$7493)</f>
        <v>400</v>
      </c>
      <c r="BI359" s="311">
        <f>SUMIF(Recibos!$D$4:$D$7493,Cobranza!$B359,Recibos!U$4:U$7493)</f>
        <v>400</v>
      </c>
      <c r="BJ359" s="311">
        <f>SUMIF(Recibos!$D$4:$D$7493,Cobranza!$B359,Recibos!V$4:V$7493)</f>
        <v>0</v>
      </c>
      <c r="BK359" s="312">
        <f t="shared" si="50"/>
        <v>4400</v>
      </c>
      <c r="BL359" s="311">
        <f>SUMIF(Recibos!$D$4:$D$7493,Cobranza!$B359,Recibos!X$4:X$7493)</f>
        <v>400</v>
      </c>
      <c r="BM359" s="311">
        <f>SUMIF(Recibos!$D$4:$D$7493,Cobranza!$B359,Recibos!Y$4:Y$7493)</f>
        <v>400</v>
      </c>
      <c r="BN359" s="311">
        <f>SUMIF(Recibos!$D$4:$D$7493,Cobranza!$B359,Recibos!Z$4:Z$7493)</f>
        <v>400</v>
      </c>
      <c r="BO359" s="311">
        <f>SUMIF(Recibos!$D$4:$D$7493,Cobranza!$B359,Recibos!AA$4:AA$7493)</f>
        <v>400</v>
      </c>
      <c r="BP359" s="311">
        <f>SUMIF(Recibos!$D$4:$D$7493,Cobranza!$B359,Recibos!AB$4:AB$7493)</f>
        <v>400</v>
      </c>
      <c r="BQ359" s="311">
        <f>SUMIF(Recibos!$D$4:$D$7493,Cobranza!$B359,Recibos!AC$4:AC$7493)</f>
        <v>400</v>
      </c>
      <c r="BR359" s="311">
        <f>SUMIF(Recibos!$D$4:$D$7493,Cobranza!$B359,Recibos!AD$4:AD$7493)</f>
        <v>400</v>
      </c>
      <c r="BS359" s="311">
        <f>SUMIF(Recibos!$D$4:$D$7493,Cobranza!$B359,Recibos!AE$4:AE$7493)</f>
        <v>400</v>
      </c>
      <c r="BT359" s="311">
        <f>SUMIF(Recibos!$D$4:$D$7493,Cobranza!$B359,Recibos!AF$4:AF$7493)</f>
        <v>400</v>
      </c>
      <c r="BU359" s="311">
        <f>SUMIF(Recibos!$D$4:$D$7493,Cobranza!$B359,Recibos!AG$4:AG$7493)</f>
        <v>400</v>
      </c>
      <c r="BV359" s="311">
        <f>SUMIF(Recibos!$D$4:$D$7493,Cobranza!$B359,Recibos!AH$4:AH$7493)</f>
        <v>400</v>
      </c>
      <c r="BW359" s="311">
        <f>SUMIF(Recibos!$D$4:$D$7493,Cobranza!$B359,Recibos!AI$4:AI$7493)</f>
        <v>0</v>
      </c>
      <c r="BX359" s="312">
        <f t="shared" si="51"/>
        <v>4400</v>
      </c>
      <c r="BY359" s="311">
        <f>SUMIF(Recibos!$D$4:$D$7493,Cobranza!$B359,Recibos!AK$4:AK$7493)</f>
        <v>400</v>
      </c>
      <c r="BZ359" s="311">
        <f>SUMIF(Recibos!$D$4:$D$7493,Cobranza!$B359,Recibos!AL$4:AL$7493)</f>
        <v>400</v>
      </c>
      <c r="CA359" s="311">
        <f>SUMIF(Recibos!$D$4:$D$7493,Cobranza!$B359,Recibos!AM$4:AM$7493)</f>
        <v>400</v>
      </c>
      <c r="CB359" s="311">
        <f>SUMIF(Recibos!$D$4:$D$7493,Cobranza!$B359,Recibos!AN$4:AN$7493)</f>
        <v>400</v>
      </c>
      <c r="CC359" s="311">
        <f>SUMIF(Recibos!$D$4:$D$7493,Cobranza!$B359,Recibos!AO$4:AO$7493)</f>
        <v>400</v>
      </c>
      <c r="CD359" s="311">
        <f>SUMIF(Recibos!$D$4:$D$7493,Cobranza!$B359,Recibos!AP$4:AP$7493)</f>
        <v>400</v>
      </c>
      <c r="CE359" s="311">
        <f>SUMIF(Recibos!$D$4:$D$7493,Cobranza!$B359,Recibos!AQ$4:AQ$7493)</f>
        <v>400</v>
      </c>
      <c r="CF359" s="311">
        <f>SUMIF(Recibos!$D$4:$D$7493,Cobranza!$B359,Recibos!AR$4:AR$7493)</f>
        <v>400</v>
      </c>
      <c r="CG359" s="311">
        <f>SUMIF(Recibos!$D$4:$D$7493,Cobranza!$B359,Recibos!AS$4:AS$7493)</f>
        <v>400</v>
      </c>
      <c r="CH359" s="311">
        <f>SUMIF(Recibos!$D$4:$D$7493,Cobranza!$B359,Recibos!AT$4:AT$7493)</f>
        <v>400</v>
      </c>
      <c r="CI359" s="311">
        <f>SUMIF(Recibos!$D$4:$D$7493,Cobranza!$B359,Recibos!AU$4:AU$7493)</f>
        <v>400</v>
      </c>
      <c r="CJ359" s="311">
        <f>SUMIF(Recibos!$D$4:$D$7493,Cobranza!$B359,Recibos!AV$4:AV$7493)</f>
        <v>0</v>
      </c>
      <c r="CK359" s="312">
        <f t="shared" si="45"/>
        <v>4400</v>
      </c>
    </row>
    <row r="360" spans="2:89" x14ac:dyDescent="0.2">
      <c r="B360" s="45" t="s">
        <v>1002</v>
      </c>
      <c r="C360" s="45" t="s">
        <v>1003</v>
      </c>
      <c r="D360" s="45" t="s">
        <v>931</v>
      </c>
      <c r="E360" s="46">
        <v>0</v>
      </c>
      <c r="F360" s="46">
        <v>0</v>
      </c>
      <c r="G360" s="46">
        <v>0</v>
      </c>
      <c r="H360" s="46">
        <v>0</v>
      </c>
      <c r="I360" s="46">
        <v>0</v>
      </c>
      <c r="J360" s="46">
        <v>0</v>
      </c>
      <c r="K360" s="47">
        <f t="shared" si="46"/>
        <v>0</v>
      </c>
      <c r="L360" s="46">
        <v>0</v>
      </c>
      <c r="M360" s="46">
        <v>0</v>
      </c>
      <c r="N360" s="46">
        <v>0</v>
      </c>
      <c r="O360" s="46">
        <v>0</v>
      </c>
      <c r="P360" s="46">
        <v>0</v>
      </c>
      <c r="Q360" s="46">
        <v>0</v>
      </c>
      <c r="R360" s="46">
        <v>0</v>
      </c>
      <c r="S360" s="46">
        <v>0</v>
      </c>
      <c r="T360" s="46">
        <v>0</v>
      </c>
      <c r="U360" s="46">
        <v>0</v>
      </c>
      <c r="V360" s="46">
        <v>0</v>
      </c>
      <c r="W360" s="46">
        <v>0</v>
      </c>
      <c r="X360" s="47">
        <f t="shared" si="47"/>
        <v>0</v>
      </c>
      <c r="Y360" s="46">
        <v>0</v>
      </c>
      <c r="Z360" s="46">
        <v>0</v>
      </c>
      <c r="AA360" s="46">
        <v>0</v>
      </c>
      <c r="AB360" s="46">
        <v>0</v>
      </c>
      <c r="AC360" s="46">
        <v>0</v>
      </c>
      <c r="AD360" s="46">
        <v>0</v>
      </c>
      <c r="AE360" s="46">
        <v>0</v>
      </c>
      <c r="AF360" s="46">
        <v>0</v>
      </c>
      <c r="AG360" s="46">
        <v>0</v>
      </c>
      <c r="AH360" s="46">
        <v>0</v>
      </c>
      <c r="AI360" s="46">
        <v>0</v>
      </c>
      <c r="AJ360" s="46">
        <v>0</v>
      </c>
      <c r="AK360" s="47">
        <f t="shared" si="48"/>
        <v>0</v>
      </c>
      <c r="AL360" s="46">
        <v>0</v>
      </c>
      <c r="AM360" s="46">
        <v>0</v>
      </c>
      <c r="AN360" s="46">
        <v>0</v>
      </c>
      <c r="AO360" s="46">
        <v>0</v>
      </c>
      <c r="AP360" s="46">
        <v>0</v>
      </c>
      <c r="AQ360" s="46">
        <v>0</v>
      </c>
      <c r="AR360" s="46">
        <v>0</v>
      </c>
      <c r="AS360" s="46">
        <v>0</v>
      </c>
      <c r="AT360" s="46">
        <v>0</v>
      </c>
      <c r="AU360" s="46">
        <v>0</v>
      </c>
      <c r="AV360" s="46">
        <v>0</v>
      </c>
      <c r="AW360" s="46">
        <v>0</v>
      </c>
      <c r="AX360" s="47">
        <f t="shared" si="49"/>
        <v>0</v>
      </c>
      <c r="AY360" s="313">
        <f>SUMIF(Recibos!$D$4:$D$7493,Cobranza!$B360,Recibos!K$4:K$7493)</f>
        <v>0</v>
      </c>
      <c r="AZ360" s="313">
        <f>SUMIF(Recibos!$D$4:$D$7493,Cobranza!$B360,Recibos!L$4:L$7493)</f>
        <v>0</v>
      </c>
      <c r="BA360" s="313">
        <f>SUMIF(Recibos!$D$4:$D$7493,Cobranza!$B360,Recibos!M$4:M$7493)</f>
        <v>0</v>
      </c>
      <c r="BB360" s="313">
        <f>SUMIF(Recibos!$D$4:$D$7493,Cobranza!$B360,Recibos!N$4:N$7493)</f>
        <v>0</v>
      </c>
      <c r="BC360" s="313">
        <f>SUMIF(Recibos!$D$4:$D$7493,Cobranza!$B360,Recibos!O$4:O$7493)</f>
        <v>0</v>
      </c>
      <c r="BD360" s="313">
        <f>SUMIF(Recibos!$D$4:$D$7493,Cobranza!$B360,Recibos!P$4:P$7493)</f>
        <v>0</v>
      </c>
      <c r="BE360" s="313">
        <f>SUMIF(Recibos!$D$4:$D$7493,Cobranza!$B360,Recibos!Q$4:Q$7493)</f>
        <v>0</v>
      </c>
      <c r="BF360" s="313">
        <f>SUMIF(Recibos!$D$4:$D$7493,Cobranza!$B360,Recibos!R$4:R$7493)</f>
        <v>0</v>
      </c>
      <c r="BG360" s="313">
        <f>SUMIF(Recibos!$D$4:$D$7493,Cobranza!$B360,Recibos!S$4:S$7493)</f>
        <v>0</v>
      </c>
      <c r="BH360" s="313">
        <f>SUMIF(Recibos!$D$4:$D$7493,Cobranza!$B360,Recibos!T$4:T$7493)</f>
        <v>0</v>
      </c>
      <c r="BI360" s="313">
        <f>SUMIF(Recibos!$D$4:$D$7493,Cobranza!$B360,Recibos!U$4:U$7493)</f>
        <v>0</v>
      </c>
      <c r="BJ360" s="313">
        <f>SUMIF(Recibos!$D$4:$D$7493,Cobranza!$B360,Recibos!V$4:V$7493)</f>
        <v>0</v>
      </c>
      <c r="BK360" s="314">
        <f t="shared" si="50"/>
        <v>0</v>
      </c>
      <c r="BL360" s="313">
        <f>SUMIF(Recibos!$D$4:$D$7493,Cobranza!$B360,Recibos!X$4:X$7493)</f>
        <v>0</v>
      </c>
      <c r="BM360" s="313">
        <f>SUMIF(Recibos!$D$4:$D$7493,Cobranza!$B360,Recibos!Y$4:Y$7493)</f>
        <v>0</v>
      </c>
      <c r="BN360" s="313">
        <f>SUMIF(Recibos!$D$4:$D$7493,Cobranza!$B360,Recibos!Z$4:Z$7493)</f>
        <v>0</v>
      </c>
      <c r="BO360" s="313">
        <f>SUMIF(Recibos!$D$4:$D$7493,Cobranza!$B360,Recibos!AA$4:AA$7493)</f>
        <v>0</v>
      </c>
      <c r="BP360" s="313">
        <f>SUMIF(Recibos!$D$4:$D$7493,Cobranza!$B360,Recibos!AB$4:AB$7493)</f>
        <v>0</v>
      </c>
      <c r="BQ360" s="313">
        <f>SUMIF(Recibos!$D$4:$D$7493,Cobranza!$B360,Recibos!AC$4:AC$7493)</f>
        <v>0</v>
      </c>
      <c r="BR360" s="313">
        <f>SUMIF(Recibos!$D$4:$D$7493,Cobranza!$B360,Recibos!AD$4:AD$7493)</f>
        <v>0</v>
      </c>
      <c r="BS360" s="313">
        <f>SUMIF(Recibos!$D$4:$D$7493,Cobranza!$B360,Recibos!AE$4:AE$7493)</f>
        <v>0</v>
      </c>
      <c r="BT360" s="313">
        <f>SUMIF(Recibos!$D$4:$D$7493,Cobranza!$B360,Recibos!AF$4:AF$7493)</f>
        <v>0</v>
      </c>
      <c r="BU360" s="313">
        <f>SUMIF(Recibos!$D$4:$D$7493,Cobranza!$B360,Recibos!AG$4:AG$7493)</f>
        <v>0</v>
      </c>
      <c r="BV360" s="313">
        <f>SUMIF(Recibos!$D$4:$D$7493,Cobranza!$B360,Recibos!AH$4:AH$7493)</f>
        <v>0</v>
      </c>
      <c r="BW360" s="313">
        <f>SUMIF(Recibos!$D$4:$D$7493,Cobranza!$B360,Recibos!AI$4:AI$7493)</f>
        <v>0</v>
      </c>
      <c r="BX360" s="314">
        <f t="shared" si="51"/>
        <v>0</v>
      </c>
      <c r="BY360" s="313">
        <f>SUMIF(Recibos!$D$4:$D$7493,Cobranza!$B360,Recibos!AK$4:AK$7493)</f>
        <v>0</v>
      </c>
      <c r="BZ360" s="313">
        <f>SUMIF(Recibos!$D$4:$D$7493,Cobranza!$B360,Recibos!AL$4:AL$7493)</f>
        <v>400</v>
      </c>
      <c r="CA360" s="313">
        <f>SUMIF(Recibos!$D$4:$D$7493,Cobranza!$B360,Recibos!AM$4:AM$7493)</f>
        <v>0</v>
      </c>
      <c r="CB360" s="313">
        <f>SUMIF(Recibos!$D$4:$D$7493,Cobranza!$B360,Recibos!AN$4:AN$7493)</f>
        <v>0</v>
      </c>
      <c r="CC360" s="313">
        <f>SUMIF(Recibos!$D$4:$D$7493,Cobranza!$B360,Recibos!AO$4:AO$7493)</f>
        <v>0</v>
      </c>
      <c r="CD360" s="313">
        <f>SUMIF(Recibos!$D$4:$D$7493,Cobranza!$B360,Recibos!AP$4:AP$7493)</f>
        <v>0</v>
      </c>
      <c r="CE360" s="313">
        <f>SUMIF(Recibos!$D$4:$D$7493,Cobranza!$B360,Recibos!AQ$4:AQ$7493)</f>
        <v>0</v>
      </c>
      <c r="CF360" s="313">
        <f>SUMIF(Recibos!$D$4:$D$7493,Cobranza!$B360,Recibos!AR$4:AR$7493)</f>
        <v>0</v>
      </c>
      <c r="CG360" s="313">
        <f>SUMIF(Recibos!$D$4:$D$7493,Cobranza!$B360,Recibos!AS$4:AS$7493)</f>
        <v>0</v>
      </c>
      <c r="CH360" s="313">
        <f>SUMIF(Recibos!$D$4:$D$7493,Cobranza!$B360,Recibos!AT$4:AT$7493)</f>
        <v>0</v>
      </c>
      <c r="CI360" s="313">
        <f>SUMIF(Recibos!$D$4:$D$7493,Cobranza!$B360,Recibos!AU$4:AU$7493)</f>
        <v>0</v>
      </c>
      <c r="CJ360" s="313">
        <f>SUMIF(Recibos!$D$4:$D$7493,Cobranza!$B360,Recibos!AV$4:AV$7493)</f>
        <v>0</v>
      </c>
      <c r="CK360" s="314">
        <f t="shared" si="45"/>
        <v>400</v>
      </c>
    </row>
    <row r="361" spans="2:89" x14ac:dyDescent="0.2">
      <c r="B361" s="42" t="s">
        <v>864</v>
      </c>
      <c r="C361" s="42" t="s">
        <v>865</v>
      </c>
      <c r="D361" s="42" t="s">
        <v>866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4">
        <f t="shared" si="46"/>
        <v>0</v>
      </c>
      <c r="L361" s="43">
        <v>300</v>
      </c>
      <c r="M361" s="43">
        <v>300</v>
      </c>
      <c r="N361" s="43">
        <v>0</v>
      </c>
      <c r="O361" s="43">
        <v>300</v>
      </c>
      <c r="P361" s="43">
        <v>300</v>
      </c>
      <c r="Q361" s="43">
        <v>300</v>
      </c>
      <c r="R361" s="43">
        <v>300</v>
      </c>
      <c r="S361" s="43">
        <v>300</v>
      </c>
      <c r="T361" s="43">
        <v>300</v>
      </c>
      <c r="U361" s="43">
        <v>300</v>
      </c>
      <c r="V361" s="43">
        <v>0</v>
      </c>
      <c r="W361" s="43">
        <v>0</v>
      </c>
      <c r="X361" s="44">
        <f t="shared" si="47"/>
        <v>2700</v>
      </c>
      <c r="Y361" s="43">
        <v>300</v>
      </c>
      <c r="Z361" s="43">
        <v>300</v>
      </c>
      <c r="AA361" s="43">
        <v>300</v>
      </c>
      <c r="AB361" s="43">
        <v>300</v>
      </c>
      <c r="AC361" s="43">
        <v>300</v>
      </c>
      <c r="AD361" s="43">
        <v>300</v>
      </c>
      <c r="AE361" s="43">
        <v>300</v>
      </c>
      <c r="AF361" s="43">
        <v>300</v>
      </c>
      <c r="AG361" s="43">
        <v>300</v>
      </c>
      <c r="AH361" s="43">
        <v>300</v>
      </c>
      <c r="AI361" s="43">
        <v>300</v>
      </c>
      <c r="AJ361" s="43">
        <v>300</v>
      </c>
      <c r="AK361" s="44">
        <f t="shared" si="48"/>
        <v>3600</v>
      </c>
      <c r="AL361" s="43">
        <v>300</v>
      </c>
      <c r="AM361" s="43">
        <v>300</v>
      </c>
      <c r="AN361" s="43">
        <v>300</v>
      </c>
      <c r="AO361" s="43">
        <v>300</v>
      </c>
      <c r="AP361" s="43">
        <v>300</v>
      </c>
      <c r="AQ361" s="43">
        <v>300</v>
      </c>
      <c r="AR361" s="43">
        <v>300</v>
      </c>
      <c r="AS361" s="43">
        <v>300</v>
      </c>
      <c r="AT361" s="43">
        <v>300</v>
      </c>
      <c r="AU361" s="43">
        <v>300</v>
      </c>
      <c r="AV361" s="43">
        <v>0</v>
      </c>
      <c r="AW361" s="43">
        <v>0</v>
      </c>
      <c r="AX361" s="44">
        <f t="shared" si="49"/>
        <v>3000</v>
      </c>
      <c r="AY361" s="311">
        <f>SUMIF(Recibos!$D$4:$D$7493,Cobranza!$B361,Recibos!K$4:K$7493)</f>
        <v>300</v>
      </c>
      <c r="AZ361" s="311">
        <f>SUMIF(Recibos!$D$4:$D$7493,Cobranza!$B361,Recibos!L$4:L$7493)</f>
        <v>300</v>
      </c>
      <c r="BA361" s="311">
        <f>SUMIF(Recibos!$D$4:$D$7493,Cobranza!$B361,Recibos!M$4:M$7493)</f>
        <v>300</v>
      </c>
      <c r="BB361" s="311">
        <f>SUMIF(Recibos!$D$4:$D$7493,Cobranza!$B361,Recibos!N$4:N$7493)</f>
        <v>300</v>
      </c>
      <c r="BC361" s="311">
        <f>SUMIF(Recibos!$D$4:$D$7493,Cobranza!$B361,Recibos!O$4:O$7493)</f>
        <v>300</v>
      </c>
      <c r="BD361" s="311">
        <f>SUMIF(Recibos!$D$4:$D$7493,Cobranza!$B361,Recibos!P$4:P$7493)</f>
        <v>300</v>
      </c>
      <c r="BE361" s="311">
        <f>SUMIF(Recibos!$D$4:$D$7493,Cobranza!$B361,Recibos!Q$4:Q$7493)</f>
        <v>300</v>
      </c>
      <c r="BF361" s="311">
        <f>SUMIF(Recibos!$D$4:$D$7493,Cobranza!$B361,Recibos!R$4:R$7493)</f>
        <v>300</v>
      </c>
      <c r="BG361" s="311">
        <f>SUMIF(Recibos!$D$4:$D$7493,Cobranza!$B361,Recibos!S$4:S$7493)</f>
        <v>300</v>
      </c>
      <c r="BH361" s="311">
        <f>SUMIF(Recibos!$D$4:$D$7493,Cobranza!$B361,Recibos!T$4:T$7493)</f>
        <v>300</v>
      </c>
      <c r="BI361" s="311">
        <f>SUMIF(Recibos!$D$4:$D$7493,Cobranza!$B361,Recibos!U$4:U$7493)</f>
        <v>300</v>
      </c>
      <c r="BJ361" s="311">
        <f>SUMIF(Recibos!$D$4:$D$7493,Cobranza!$B361,Recibos!V$4:V$7493)</f>
        <v>300</v>
      </c>
      <c r="BK361" s="312">
        <f t="shared" si="50"/>
        <v>3600</v>
      </c>
      <c r="BL361" s="311">
        <f>SUMIF(Recibos!$D$4:$D$7493,Cobranza!$B361,Recibos!X$4:X$7493)</f>
        <v>300</v>
      </c>
      <c r="BM361" s="311">
        <f>SUMIF(Recibos!$D$4:$D$7493,Cobranza!$B361,Recibos!Y$4:Y$7493)</f>
        <v>300</v>
      </c>
      <c r="BN361" s="311">
        <f>SUMIF(Recibos!$D$4:$D$7493,Cobranza!$B361,Recibos!Z$4:Z$7493)</f>
        <v>300</v>
      </c>
      <c r="BO361" s="311">
        <f>SUMIF(Recibos!$D$4:$D$7493,Cobranza!$B361,Recibos!AA$4:AA$7493)</f>
        <v>300</v>
      </c>
      <c r="BP361" s="311">
        <f>SUMIF(Recibos!$D$4:$D$7493,Cobranza!$B361,Recibos!AB$4:AB$7493)</f>
        <v>300</v>
      </c>
      <c r="BQ361" s="311">
        <f>SUMIF(Recibos!$D$4:$D$7493,Cobranza!$B361,Recibos!AC$4:AC$7493)</f>
        <v>300</v>
      </c>
      <c r="BR361" s="311">
        <f>SUMIF(Recibos!$D$4:$D$7493,Cobranza!$B361,Recibos!AD$4:AD$7493)</f>
        <v>300</v>
      </c>
      <c r="BS361" s="311">
        <f>SUMIF(Recibos!$D$4:$D$7493,Cobranza!$B361,Recibos!AE$4:AE$7493)</f>
        <v>300</v>
      </c>
      <c r="BT361" s="311">
        <f>SUMIF(Recibos!$D$4:$D$7493,Cobranza!$B361,Recibos!AF$4:AF$7493)</f>
        <v>300</v>
      </c>
      <c r="BU361" s="311">
        <f>SUMIF(Recibos!$D$4:$D$7493,Cobranza!$B361,Recibos!AG$4:AG$7493)</f>
        <v>300</v>
      </c>
      <c r="BV361" s="311">
        <f>SUMIF(Recibos!$D$4:$D$7493,Cobranza!$B361,Recibos!AH$4:AH$7493)</f>
        <v>300</v>
      </c>
      <c r="BW361" s="311">
        <f>SUMIF(Recibos!$D$4:$D$7493,Cobranza!$B361,Recibos!AI$4:AI$7493)</f>
        <v>300</v>
      </c>
      <c r="BX361" s="312">
        <f t="shared" si="51"/>
        <v>3600</v>
      </c>
      <c r="BY361" s="311">
        <f>SUMIF(Recibos!$D$4:$D$7493,Cobranza!$B361,Recibos!AK$4:AK$7493)</f>
        <v>300</v>
      </c>
      <c r="BZ361" s="311">
        <f>SUMIF(Recibos!$D$4:$D$7493,Cobranza!$B361,Recibos!AL$4:AL$7493)</f>
        <v>300</v>
      </c>
      <c r="CA361" s="311">
        <f>SUMIF(Recibos!$D$4:$D$7493,Cobranza!$B361,Recibos!AM$4:AM$7493)</f>
        <v>300</v>
      </c>
      <c r="CB361" s="311">
        <f>SUMIF(Recibos!$D$4:$D$7493,Cobranza!$B361,Recibos!AN$4:AN$7493)</f>
        <v>300</v>
      </c>
      <c r="CC361" s="311">
        <f>SUMIF(Recibos!$D$4:$D$7493,Cobranza!$B361,Recibos!AO$4:AO$7493)</f>
        <v>300</v>
      </c>
      <c r="CD361" s="311">
        <f>SUMIF(Recibos!$D$4:$D$7493,Cobranza!$B361,Recibos!AP$4:AP$7493)</f>
        <v>300</v>
      </c>
      <c r="CE361" s="311">
        <f>SUMIF(Recibos!$D$4:$D$7493,Cobranza!$B361,Recibos!AQ$4:AQ$7493)</f>
        <v>300</v>
      </c>
      <c r="CF361" s="311">
        <f>SUMIF(Recibos!$D$4:$D$7493,Cobranza!$B361,Recibos!AR$4:AR$7493)</f>
        <v>300</v>
      </c>
      <c r="CG361" s="311">
        <f>SUMIF(Recibos!$D$4:$D$7493,Cobranza!$B361,Recibos!AS$4:AS$7493)</f>
        <v>0</v>
      </c>
      <c r="CH361" s="311">
        <f>SUMIF(Recibos!$D$4:$D$7493,Cobranza!$B361,Recibos!AT$4:AT$7493)</f>
        <v>0</v>
      </c>
      <c r="CI361" s="311">
        <f>SUMIF(Recibos!$D$4:$D$7493,Cobranza!$B361,Recibos!AU$4:AU$7493)</f>
        <v>0</v>
      </c>
      <c r="CJ361" s="311">
        <f>SUMIF(Recibos!$D$4:$D$7493,Cobranza!$B361,Recibos!AV$4:AV$7493)</f>
        <v>0</v>
      </c>
      <c r="CK361" s="312">
        <f t="shared" si="45"/>
        <v>2400</v>
      </c>
    </row>
    <row r="362" spans="2:89" x14ac:dyDescent="0.2">
      <c r="B362" s="45" t="s">
        <v>1049</v>
      </c>
      <c r="C362" s="45" t="s">
        <v>1050</v>
      </c>
      <c r="D362" s="45" t="s">
        <v>1051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300</v>
      </c>
      <c r="K362" s="47">
        <f t="shared" si="46"/>
        <v>300</v>
      </c>
      <c r="L362" s="46">
        <v>300</v>
      </c>
      <c r="M362" s="46">
        <v>300</v>
      </c>
      <c r="N362" s="46">
        <v>300</v>
      </c>
      <c r="O362" s="46">
        <v>300</v>
      </c>
      <c r="P362" s="46">
        <v>300</v>
      </c>
      <c r="Q362" s="46">
        <v>300</v>
      </c>
      <c r="R362" s="46">
        <v>300</v>
      </c>
      <c r="S362" s="46">
        <v>300</v>
      </c>
      <c r="T362" s="46">
        <v>300</v>
      </c>
      <c r="U362" s="46">
        <v>400</v>
      </c>
      <c r="V362" s="46">
        <v>0</v>
      </c>
      <c r="W362" s="46">
        <v>0</v>
      </c>
      <c r="X362" s="47">
        <f t="shared" si="47"/>
        <v>3100</v>
      </c>
      <c r="Y362" s="46">
        <v>400</v>
      </c>
      <c r="Z362" s="46">
        <v>400</v>
      </c>
      <c r="AA362" s="46">
        <v>400</v>
      </c>
      <c r="AB362" s="46">
        <v>400</v>
      </c>
      <c r="AC362" s="46">
        <v>400</v>
      </c>
      <c r="AD362" s="46">
        <v>400</v>
      </c>
      <c r="AE362" s="46">
        <v>0</v>
      </c>
      <c r="AF362" s="46">
        <v>0</v>
      </c>
      <c r="AG362" s="46">
        <v>0</v>
      </c>
      <c r="AH362" s="46">
        <v>0</v>
      </c>
      <c r="AI362" s="46">
        <v>0</v>
      </c>
      <c r="AJ362" s="46">
        <v>0</v>
      </c>
      <c r="AK362" s="47">
        <f t="shared" si="48"/>
        <v>2400</v>
      </c>
      <c r="AL362" s="46">
        <v>400</v>
      </c>
      <c r="AM362" s="46">
        <v>400</v>
      </c>
      <c r="AN362" s="46">
        <v>0</v>
      </c>
      <c r="AO362" s="46">
        <v>0</v>
      </c>
      <c r="AP362" s="46">
        <v>0</v>
      </c>
      <c r="AQ362" s="46">
        <v>0</v>
      </c>
      <c r="AR362" s="46">
        <v>0</v>
      </c>
      <c r="AS362" s="46">
        <v>0</v>
      </c>
      <c r="AT362" s="46">
        <v>0</v>
      </c>
      <c r="AU362" s="46">
        <v>0</v>
      </c>
      <c r="AV362" s="46">
        <v>0</v>
      </c>
      <c r="AW362" s="46">
        <v>0</v>
      </c>
      <c r="AX362" s="47">
        <f t="shared" si="49"/>
        <v>800</v>
      </c>
      <c r="AY362" s="313">
        <f>SUMIF(Recibos!$D$4:$D$7493,Cobranza!$B362,Recibos!K$4:K$7493)</f>
        <v>0</v>
      </c>
      <c r="AZ362" s="313">
        <f>SUMIF(Recibos!$D$4:$D$7493,Cobranza!$B362,Recibos!L$4:L$7493)</f>
        <v>0</v>
      </c>
      <c r="BA362" s="313">
        <f>SUMIF(Recibos!$D$4:$D$7493,Cobranza!$B362,Recibos!M$4:M$7493)</f>
        <v>0</v>
      </c>
      <c r="BB362" s="313">
        <f>SUMIF(Recibos!$D$4:$D$7493,Cobranza!$B362,Recibos!N$4:N$7493)</f>
        <v>0</v>
      </c>
      <c r="BC362" s="313">
        <f>SUMIF(Recibos!$D$4:$D$7493,Cobranza!$B362,Recibos!O$4:O$7493)</f>
        <v>0</v>
      </c>
      <c r="BD362" s="313">
        <f>SUMIF(Recibos!$D$4:$D$7493,Cobranza!$B362,Recibos!P$4:P$7493)</f>
        <v>0</v>
      </c>
      <c r="BE362" s="313">
        <f>SUMIF(Recibos!$D$4:$D$7493,Cobranza!$B362,Recibos!Q$4:Q$7493)</f>
        <v>400</v>
      </c>
      <c r="BF362" s="313">
        <f>SUMIF(Recibos!$D$4:$D$7493,Cobranza!$B362,Recibos!R$4:R$7493)</f>
        <v>400</v>
      </c>
      <c r="BG362" s="313">
        <f>SUMIF(Recibos!$D$4:$D$7493,Cobranza!$B362,Recibos!S$4:S$7493)</f>
        <v>0</v>
      </c>
      <c r="BH362" s="313">
        <f>SUMIF(Recibos!$D$4:$D$7493,Cobranza!$B362,Recibos!T$4:T$7493)</f>
        <v>0</v>
      </c>
      <c r="BI362" s="313">
        <f>SUMIF(Recibos!$D$4:$D$7493,Cobranza!$B362,Recibos!U$4:U$7493)</f>
        <v>0</v>
      </c>
      <c r="BJ362" s="313">
        <f>SUMIF(Recibos!$D$4:$D$7493,Cobranza!$B362,Recibos!V$4:V$7493)</f>
        <v>0</v>
      </c>
      <c r="BK362" s="314">
        <f t="shared" si="50"/>
        <v>800</v>
      </c>
      <c r="BL362" s="313">
        <f>SUMIF(Recibos!$D$4:$D$7493,Cobranza!$B362,Recibos!X$4:X$7493)</f>
        <v>0</v>
      </c>
      <c r="BM362" s="313">
        <f>SUMIF(Recibos!$D$4:$D$7493,Cobranza!$B362,Recibos!Y$4:Y$7493)</f>
        <v>0</v>
      </c>
      <c r="BN362" s="313">
        <f>SUMIF(Recibos!$D$4:$D$7493,Cobranza!$B362,Recibos!Z$4:Z$7493)</f>
        <v>0</v>
      </c>
      <c r="BO362" s="313">
        <f>SUMIF(Recibos!$D$4:$D$7493,Cobranza!$B362,Recibos!AA$4:AA$7493)</f>
        <v>0</v>
      </c>
      <c r="BP362" s="313">
        <f>SUMIF(Recibos!$D$4:$D$7493,Cobranza!$B362,Recibos!AB$4:AB$7493)</f>
        <v>0</v>
      </c>
      <c r="BQ362" s="313">
        <f>SUMIF(Recibos!$D$4:$D$7493,Cobranza!$B362,Recibos!AC$4:AC$7493)</f>
        <v>0</v>
      </c>
      <c r="BR362" s="313">
        <f>SUMIF(Recibos!$D$4:$D$7493,Cobranza!$B362,Recibos!AD$4:AD$7493)</f>
        <v>0</v>
      </c>
      <c r="BS362" s="313">
        <f>SUMIF(Recibos!$D$4:$D$7493,Cobranza!$B362,Recibos!AE$4:AE$7493)</f>
        <v>0</v>
      </c>
      <c r="BT362" s="313">
        <f>SUMIF(Recibos!$D$4:$D$7493,Cobranza!$B362,Recibos!AF$4:AF$7493)</f>
        <v>0</v>
      </c>
      <c r="BU362" s="313">
        <f>SUMIF(Recibos!$D$4:$D$7493,Cobranza!$B362,Recibos!AG$4:AG$7493)</f>
        <v>0</v>
      </c>
      <c r="BV362" s="313">
        <f>SUMIF(Recibos!$D$4:$D$7493,Cobranza!$B362,Recibos!AH$4:AH$7493)</f>
        <v>0</v>
      </c>
      <c r="BW362" s="313">
        <f>SUMIF(Recibos!$D$4:$D$7493,Cobranza!$B362,Recibos!AI$4:AI$7493)</f>
        <v>0</v>
      </c>
      <c r="BX362" s="314">
        <f t="shared" si="51"/>
        <v>0</v>
      </c>
      <c r="BY362" s="313">
        <f>SUMIF(Recibos!$D$4:$D$7493,Cobranza!$B362,Recibos!AK$4:AK$7493)</f>
        <v>0</v>
      </c>
      <c r="BZ362" s="313">
        <f>SUMIF(Recibos!$D$4:$D$7493,Cobranza!$B362,Recibos!AL$4:AL$7493)</f>
        <v>0</v>
      </c>
      <c r="CA362" s="313">
        <f>SUMIF(Recibos!$D$4:$D$7493,Cobranza!$B362,Recibos!AM$4:AM$7493)</f>
        <v>0</v>
      </c>
      <c r="CB362" s="313">
        <f>SUMIF(Recibos!$D$4:$D$7493,Cobranza!$B362,Recibos!AN$4:AN$7493)</f>
        <v>0</v>
      </c>
      <c r="CC362" s="313">
        <f>SUMIF(Recibos!$D$4:$D$7493,Cobranza!$B362,Recibos!AO$4:AO$7493)</f>
        <v>0</v>
      </c>
      <c r="CD362" s="313">
        <f>SUMIF(Recibos!$D$4:$D$7493,Cobranza!$B362,Recibos!AP$4:AP$7493)</f>
        <v>0</v>
      </c>
      <c r="CE362" s="313">
        <f>SUMIF(Recibos!$D$4:$D$7493,Cobranza!$B362,Recibos!AQ$4:AQ$7493)</f>
        <v>0</v>
      </c>
      <c r="CF362" s="313">
        <f>SUMIF(Recibos!$D$4:$D$7493,Cobranza!$B362,Recibos!AR$4:AR$7493)</f>
        <v>0</v>
      </c>
      <c r="CG362" s="313">
        <f>SUMIF(Recibos!$D$4:$D$7493,Cobranza!$B362,Recibos!AS$4:AS$7493)</f>
        <v>0</v>
      </c>
      <c r="CH362" s="313">
        <f>SUMIF(Recibos!$D$4:$D$7493,Cobranza!$B362,Recibos!AT$4:AT$7493)</f>
        <v>0</v>
      </c>
      <c r="CI362" s="313">
        <f>SUMIF(Recibos!$D$4:$D$7493,Cobranza!$B362,Recibos!AU$4:AU$7493)</f>
        <v>0</v>
      </c>
      <c r="CJ362" s="313">
        <f>SUMIF(Recibos!$D$4:$D$7493,Cobranza!$B362,Recibos!AV$4:AV$7493)</f>
        <v>0</v>
      </c>
      <c r="CK362" s="314">
        <f t="shared" si="45"/>
        <v>0</v>
      </c>
    </row>
    <row r="363" spans="2:89" x14ac:dyDescent="0.2">
      <c r="B363" s="42" t="s">
        <v>1157</v>
      </c>
      <c r="C363" s="42" t="s">
        <v>1158</v>
      </c>
      <c r="D363" s="42" t="s">
        <v>1159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4">
        <f t="shared" si="46"/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  <c r="V363" s="43">
        <v>0</v>
      </c>
      <c r="W363" s="43">
        <v>0</v>
      </c>
      <c r="X363" s="44">
        <f t="shared" si="47"/>
        <v>0</v>
      </c>
      <c r="Y363" s="43">
        <v>0</v>
      </c>
      <c r="Z363" s="43">
        <v>0</v>
      </c>
      <c r="AA363" s="43">
        <v>0</v>
      </c>
      <c r="AB363" s="43">
        <v>0</v>
      </c>
      <c r="AC363" s="43">
        <v>0</v>
      </c>
      <c r="AD363" s="43">
        <v>0</v>
      </c>
      <c r="AE363" s="43">
        <v>0</v>
      </c>
      <c r="AF363" s="43">
        <v>0</v>
      </c>
      <c r="AG363" s="43">
        <v>0</v>
      </c>
      <c r="AH363" s="43">
        <v>0</v>
      </c>
      <c r="AI363" s="43">
        <v>0</v>
      </c>
      <c r="AJ363" s="43">
        <v>0</v>
      </c>
      <c r="AK363" s="44">
        <f t="shared" si="48"/>
        <v>0</v>
      </c>
      <c r="AL363" s="43">
        <v>0</v>
      </c>
      <c r="AM363" s="43">
        <v>0</v>
      </c>
      <c r="AN363" s="43">
        <v>0</v>
      </c>
      <c r="AO363" s="43">
        <v>0</v>
      </c>
      <c r="AP363" s="43">
        <v>0</v>
      </c>
      <c r="AQ363" s="43">
        <v>0</v>
      </c>
      <c r="AR363" s="43">
        <v>0</v>
      </c>
      <c r="AS363" s="43">
        <v>0</v>
      </c>
      <c r="AT363" s="43">
        <v>0</v>
      </c>
      <c r="AU363" s="43">
        <v>0</v>
      </c>
      <c r="AV363" s="43">
        <v>0</v>
      </c>
      <c r="AW363" s="43">
        <v>0</v>
      </c>
      <c r="AX363" s="44">
        <f t="shared" si="49"/>
        <v>0</v>
      </c>
      <c r="AY363" s="311">
        <f>SUMIF(Recibos!$D$4:$D$7493,Cobranza!$B363,Recibos!K$4:K$7493)</f>
        <v>0</v>
      </c>
      <c r="AZ363" s="311">
        <f>SUMIF(Recibos!$D$4:$D$7493,Cobranza!$B363,Recibos!L$4:L$7493)</f>
        <v>0</v>
      </c>
      <c r="BA363" s="311">
        <f>SUMIF(Recibos!$D$4:$D$7493,Cobranza!$B363,Recibos!M$4:M$7493)</f>
        <v>0</v>
      </c>
      <c r="BB363" s="311">
        <f>SUMIF(Recibos!$D$4:$D$7493,Cobranza!$B363,Recibos!N$4:N$7493)</f>
        <v>0</v>
      </c>
      <c r="BC363" s="311">
        <f>SUMIF(Recibos!$D$4:$D$7493,Cobranza!$B363,Recibos!O$4:O$7493)</f>
        <v>0</v>
      </c>
      <c r="BD363" s="311">
        <f>SUMIF(Recibos!$D$4:$D$7493,Cobranza!$B363,Recibos!P$4:P$7493)</f>
        <v>0</v>
      </c>
      <c r="BE363" s="311">
        <f>SUMIF(Recibos!$D$4:$D$7493,Cobranza!$B363,Recibos!Q$4:Q$7493)</f>
        <v>0</v>
      </c>
      <c r="BF363" s="311">
        <f>SUMIF(Recibos!$D$4:$D$7493,Cobranza!$B363,Recibos!R$4:R$7493)</f>
        <v>200</v>
      </c>
      <c r="BG363" s="311">
        <f>SUMIF(Recibos!$D$4:$D$7493,Cobranza!$B363,Recibos!S$4:S$7493)</f>
        <v>200</v>
      </c>
      <c r="BH363" s="311">
        <f>SUMIF(Recibos!$D$4:$D$7493,Cobranza!$B363,Recibos!T$4:T$7493)</f>
        <v>200</v>
      </c>
      <c r="BI363" s="311">
        <f>SUMIF(Recibos!$D$4:$D$7493,Cobranza!$B363,Recibos!U$4:U$7493)</f>
        <v>200</v>
      </c>
      <c r="BJ363" s="311">
        <f>SUMIF(Recibos!$D$4:$D$7493,Cobranza!$B363,Recibos!V$4:V$7493)</f>
        <v>200</v>
      </c>
      <c r="BK363" s="312">
        <f t="shared" si="50"/>
        <v>1000</v>
      </c>
      <c r="BL363" s="311">
        <f>SUMIF(Recibos!$D$4:$D$7493,Cobranza!$B363,Recibos!X$4:X$7493)</f>
        <v>200</v>
      </c>
      <c r="BM363" s="311">
        <f>SUMIF(Recibos!$D$4:$D$7493,Cobranza!$B363,Recibos!Y$4:Y$7493)</f>
        <v>200</v>
      </c>
      <c r="BN363" s="311">
        <f>SUMIF(Recibos!$D$4:$D$7493,Cobranza!$B363,Recibos!Z$4:Z$7493)</f>
        <v>200</v>
      </c>
      <c r="BO363" s="311">
        <f>SUMIF(Recibos!$D$4:$D$7493,Cobranza!$B363,Recibos!AA$4:AA$7493)</f>
        <v>200</v>
      </c>
      <c r="BP363" s="311">
        <f>SUMIF(Recibos!$D$4:$D$7493,Cobranza!$B363,Recibos!AB$4:AB$7493)</f>
        <v>200</v>
      </c>
      <c r="BQ363" s="311">
        <f>SUMIF(Recibos!$D$4:$D$7493,Cobranza!$B363,Recibos!AC$4:AC$7493)</f>
        <v>200</v>
      </c>
      <c r="BR363" s="311">
        <f>SUMIF(Recibos!$D$4:$D$7493,Cobranza!$B363,Recibos!AD$4:AD$7493)</f>
        <v>200</v>
      </c>
      <c r="BS363" s="311">
        <f>SUMIF(Recibos!$D$4:$D$7493,Cobranza!$B363,Recibos!AE$4:AE$7493)</f>
        <v>200</v>
      </c>
      <c r="BT363" s="311">
        <f>SUMIF(Recibos!$D$4:$D$7493,Cobranza!$B363,Recibos!AF$4:AF$7493)</f>
        <v>200</v>
      </c>
      <c r="BU363" s="311">
        <f>SUMIF(Recibos!$D$4:$D$7493,Cobranza!$B363,Recibos!AG$4:AG$7493)</f>
        <v>200</v>
      </c>
      <c r="BV363" s="311">
        <f>SUMIF(Recibos!$D$4:$D$7493,Cobranza!$B363,Recibos!AH$4:AH$7493)</f>
        <v>200</v>
      </c>
      <c r="BW363" s="311">
        <f>SUMIF(Recibos!$D$4:$D$7493,Cobranza!$B363,Recibos!AI$4:AI$7493)</f>
        <v>200</v>
      </c>
      <c r="BX363" s="312">
        <f t="shared" si="51"/>
        <v>2400</v>
      </c>
      <c r="BY363" s="311">
        <f>SUMIF(Recibos!$D$4:$D$7493,Cobranza!$B363,Recibos!AK$4:AK$7493)</f>
        <v>200</v>
      </c>
      <c r="BZ363" s="311">
        <f>SUMIF(Recibos!$D$4:$D$7493,Cobranza!$B363,Recibos!AL$4:AL$7493)</f>
        <v>200</v>
      </c>
      <c r="CA363" s="311">
        <f>SUMIF(Recibos!$D$4:$D$7493,Cobranza!$B363,Recibos!AM$4:AM$7493)</f>
        <v>200</v>
      </c>
      <c r="CB363" s="311">
        <f>SUMIF(Recibos!$D$4:$D$7493,Cobranza!$B363,Recibos!AN$4:AN$7493)</f>
        <v>200</v>
      </c>
      <c r="CC363" s="311">
        <f>SUMIF(Recibos!$D$4:$D$7493,Cobranza!$B363,Recibos!AO$4:AO$7493)</f>
        <v>200</v>
      </c>
      <c r="CD363" s="311">
        <f>SUMIF(Recibos!$D$4:$D$7493,Cobranza!$B363,Recibos!AP$4:AP$7493)</f>
        <v>0</v>
      </c>
      <c r="CE363" s="311">
        <f>SUMIF(Recibos!$D$4:$D$7493,Cobranza!$B363,Recibos!AQ$4:AQ$7493)</f>
        <v>0</v>
      </c>
      <c r="CF363" s="311">
        <f>SUMIF(Recibos!$D$4:$D$7493,Cobranza!$B363,Recibos!AR$4:AR$7493)</f>
        <v>0</v>
      </c>
      <c r="CG363" s="311">
        <f>SUMIF(Recibos!$D$4:$D$7493,Cobranza!$B363,Recibos!AS$4:AS$7493)</f>
        <v>0</v>
      </c>
      <c r="CH363" s="311">
        <f>SUMIF(Recibos!$D$4:$D$7493,Cobranza!$B363,Recibos!AT$4:AT$7493)</f>
        <v>0</v>
      </c>
      <c r="CI363" s="311">
        <f>SUMIF(Recibos!$D$4:$D$7493,Cobranza!$B363,Recibos!AU$4:AU$7493)</f>
        <v>0</v>
      </c>
      <c r="CJ363" s="311">
        <f>SUMIF(Recibos!$D$4:$D$7493,Cobranza!$B363,Recibos!AV$4:AV$7493)</f>
        <v>0</v>
      </c>
      <c r="CK363" s="312">
        <f t="shared" si="45"/>
        <v>1000</v>
      </c>
    </row>
    <row r="364" spans="2:89" x14ac:dyDescent="0.2">
      <c r="B364" s="45" t="s">
        <v>1106</v>
      </c>
      <c r="C364" s="45" t="s">
        <v>1107</v>
      </c>
      <c r="D364" s="45" t="s">
        <v>1108</v>
      </c>
      <c r="E364" s="46">
        <v>0</v>
      </c>
      <c r="F364" s="46">
        <v>0</v>
      </c>
      <c r="G364" s="46">
        <v>0</v>
      </c>
      <c r="H364" s="46">
        <v>0</v>
      </c>
      <c r="I364" s="46">
        <v>0</v>
      </c>
      <c r="J364" s="46">
        <v>0</v>
      </c>
      <c r="K364" s="47">
        <f t="shared" si="46"/>
        <v>0</v>
      </c>
      <c r="L364" s="46">
        <v>0</v>
      </c>
      <c r="M364" s="46">
        <v>0</v>
      </c>
      <c r="N364" s="46">
        <v>0</v>
      </c>
      <c r="O364" s="46">
        <v>0</v>
      </c>
      <c r="P364" s="46">
        <v>0</v>
      </c>
      <c r="Q364" s="46">
        <v>0</v>
      </c>
      <c r="R364" s="46">
        <v>0</v>
      </c>
      <c r="S364" s="46">
        <v>0</v>
      </c>
      <c r="T364" s="46">
        <v>0</v>
      </c>
      <c r="U364" s="46">
        <v>0</v>
      </c>
      <c r="V364" s="46">
        <v>0</v>
      </c>
      <c r="W364" s="46">
        <v>0</v>
      </c>
      <c r="X364" s="47">
        <f t="shared" si="47"/>
        <v>0</v>
      </c>
      <c r="Y364" s="46">
        <v>0</v>
      </c>
      <c r="Z364" s="46">
        <v>0</v>
      </c>
      <c r="AA364" s="46">
        <v>0</v>
      </c>
      <c r="AB364" s="46">
        <v>200</v>
      </c>
      <c r="AC364" s="46">
        <v>200</v>
      </c>
      <c r="AD364" s="46">
        <v>200</v>
      </c>
      <c r="AE364" s="46">
        <v>0</v>
      </c>
      <c r="AF364" s="46">
        <v>0</v>
      </c>
      <c r="AG364" s="46">
        <v>0</v>
      </c>
      <c r="AH364" s="46">
        <v>0</v>
      </c>
      <c r="AI364" s="46">
        <v>0</v>
      </c>
      <c r="AJ364" s="46">
        <v>0</v>
      </c>
      <c r="AK364" s="47">
        <f t="shared" si="48"/>
        <v>600</v>
      </c>
      <c r="AL364" s="46">
        <v>0</v>
      </c>
      <c r="AM364" s="46">
        <v>0</v>
      </c>
      <c r="AN364" s="46">
        <v>0</v>
      </c>
      <c r="AO364" s="46">
        <v>0</v>
      </c>
      <c r="AP364" s="46">
        <v>0</v>
      </c>
      <c r="AQ364" s="46">
        <v>0</v>
      </c>
      <c r="AR364" s="46">
        <v>0</v>
      </c>
      <c r="AS364" s="46">
        <v>0</v>
      </c>
      <c r="AT364" s="46">
        <v>0</v>
      </c>
      <c r="AU364" s="46">
        <v>0</v>
      </c>
      <c r="AV364" s="46">
        <v>0</v>
      </c>
      <c r="AW364" s="46">
        <v>0</v>
      </c>
      <c r="AX364" s="47">
        <f t="shared" si="49"/>
        <v>0</v>
      </c>
      <c r="AY364" s="313">
        <f>SUMIF(Recibos!$D$4:$D$7493,Cobranza!$B364,Recibos!K$4:K$7493)</f>
        <v>0</v>
      </c>
      <c r="AZ364" s="313">
        <f>SUMIF(Recibos!$D$4:$D$7493,Cobranza!$B364,Recibos!L$4:L$7493)</f>
        <v>0</v>
      </c>
      <c r="BA364" s="313">
        <f>SUMIF(Recibos!$D$4:$D$7493,Cobranza!$B364,Recibos!M$4:M$7493)</f>
        <v>0</v>
      </c>
      <c r="BB364" s="313">
        <f>SUMIF(Recibos!$D$4:$D$7493,Cobranza!$B364,Recibos!N$4:N$7493)</f>
        <v>0</v>
      </c>
      <c r="BC364" s="313">
        <f>SUMIF(Recibos!$D$4:$D$7493,Cobranza!$B364,Recibos!O$4:O$7493)</f>
        <v>0</v>
      </c>
      <c r="BD364" s="313">
        <f>SUMIF(Recibos!$D$4:$D$7493,Cobranza!$B364,Recibos!P$4:P$7493)</f>
        <v>0</v>
      </c>
      <c r="BE364" s="313">
        <f>SUMIF(Recibos!$D$4:$D$7493,Cobranza!$B364,Recibos!Q$4:Q$7493)</f>
        <v>0</v>
      </c>
      <c r="BF364" s="313">
        <f>SUMIF(Recibos!$D$4:$D$7493,Cobranza!$B364,Recibos!R$4:R$7493)</f>
        <v>0</v>
      </c>
      <c r="BG364" s="313">
        <f>SUMIF(Recibos!$D$4:$D$7493,Cobranza!$B364,Recibos!S$4:S$7493)</f>
        <v>0</v>
      </c>
      <c r="BH364" s="313">
        <f>SUMIF(Recibos!$D$4:$D$7493,Cobranza!$B364,Recibos!T$4:T$7493)</f>
        <v>0</v>
      </c>
      <c r="BI364" s="313">
        <f>SUMIF(Recibos!$D$4:$D$7493,Cobranza!$B364,Recibos!U$4:U$7493)</f>
        <v>0</v>
      </c>
      <c r="BJ364" s="313">
        <f>SUMIF(Recibos!$D$4:$D$7493,Cobranza!$B364,Recibos!V$4:V$7493)</f>
        <v>0</v>
      </c>
      <c r="BK364" s="314">
        <f t="shared" si="50"/>
        <v>0</v>
      </c>
      <c r="BL364" s="313">
        <f>SUMIF(Recibos!$D$4:$D$7493,Cobranza!$B364,Recibos!X$4:X$7493)</f>
        <v>0</v>
      </c>
      <c r="BM364" s="313">
        <f>SUMIF(Recibos!$D$4:$D$7493,Cobranza!$B364,Recibos!Y$4:Y$7493)</f>
        <v>0</v>
      </c>
      <c r="BN364" s="313">
        <f>SUMIF(Recibos!$D$4:$D$7493,Cobranza!$B364,Recibos!Z$4:Z$7493)</f>
        <v>0</v>
      </c>
      <c r="BO364" s="313">
        <f>SUMIF(Recibos!$D$4:$D$7493,Cobranza!$B364,Recibos!AA$4:AA$7493)</f>
        <v>0</v>
      </c>
      <c r="BP364" s="313">
        <f>SUMIF(Recibos!$D$4:$D$7493,Cobranza!$B364,Recibos!AB$4:AB$7493)</f>
        <v>0</v>
      </c>
      <c r="BQ364" s="313">
        <f>SUMIF(Recibos!$D$4:$D$7493,Cobranza!$B364,Recibos!AC$4:AC$7493)</f>
        <v>0</v>
      </c>
      <c r="BR364" s="313">
        <f>SUMIF(Recibos!$D$4:$D$7493,Cobranza!$B364,Recibos!AD$4:AD$7493)</f>
        <v>0</v>
      </c>
      <c r="BS364" s="313">
        <f>SUMIF(Recibos!$D$4:$D$7493,Cobranza!$B364,Recibos!AE$4:AE$7493)</f>
        <v>0</v>
      </c>
      <c r="BT364" s="313">
        <f>SUMIF(Recibos!$D$4:$D$7493,Cobranza!$B364,Recibos!AF$4:AF$7493)</f>
        <v>0</v>
      </c>
      <c r="BU364" s="313">
        <f>SUMIF(Recibos!$D$4:$D$7493,Cobranza!$B364,Recibos!AG$4:AG$7493)</f>
        <v>0</v>
      </c>
      <c r="BV364" s="313">
        <f>SUMIF(Recibos!$D$4:$D$7493,Cobranza!$B364,Recibos!AH$4:AH$7493)</f>
        <v>0</v>
      </c>
      <c r="BW364" s="313">
        <f>SUMIF(Recibos!$D$4:$D$7493,Cobranza!$B364,Recibos!AI$4:AI$7493)</f>
        <v>0</v>
      </c>
      <c r="BX364" s="314">
        <f t="shared" si="51"/>
        <v>0</v>
      </c>
      <c r="BY364" s="313">
        <f>SUMIF(Recibos!$D$4:$D$7493,Cobranza!$B364,Recibos!AK$4:AK$7493)</f>
        <v>0</v>
      </c>
      <c r="BZ364" s="313">
        <f>SUMIF(Recibos!$D$4:$D$7493,Cobranza!$B364,Recibos!AL$4:AL$7493)</f>
        <v>0</v>
      </c>
      <c r="CA364" s="313">
        <f>SUMIF(Recibos!$D$4:$D$7493,Cobranza!$B364,Recibos!AM$4:AM$7493)</f>
        <v>0</v>
      </c>
      <c r="CB364" s="313">
        <f>SUMIF(Recibos!$D$4:$D$7493,Cobranza!$B364,Recibos!AN$4:AN$7493)</f>
        <v>0</v>
      </c>
      <c r="CC364" s="313">
        <f>SUMIF(Recibos!$D$4:$D$7493,Cobranza!$B364,Recibos!AO$4:AO$7493)</f>
        <v>0</v>
      </c>
      <c r="CD364" s="313">
        <f>SUMIF(Recibos!$D$4:$D$7493,Cobranza!$B364,Recibos!AP$4:AP$7493)</f>
        <v>0</v>
      </c>
      <c r="CE364" s="313">
        <f>SUMIF(Recibos!$D$4:$D$7493,Cobranza!$B364,Recibos!AQ$4:AQ$7493)</f>
        <v>0</v>
      </c>
      <c r="CF364" s="313">
        <f>SUMIF(Recibos!$D$4:$D$7493,Cobranza!$B364,Recibos!AR$4:AR$7493)</f>
        <v>0</v>
      </c>
      <c r="CG364" s="313">
        <f>SUMIF(Recibos!$D$4:$D$7493,Cobranza!$B364,Recibos!AS$4:AS$7493)</f>
        <v>0</v>
      </c>
      <c r="CH364" s="313">
        <f>SUMIF(Recibos!$D$4:$D$7493,Cobranza!$B364,Recibos!AT$4:AT$7493)</f>
        <v>0</v>
      </c>
      <c r="CI364" s="313">
        <f>SUMIF(Recibos!$D$4:$D$7493,Cobranza!$B364,Recibos!AU$4:AU$7493)</f>
        <v>0</v>
      </c>
      <c r="CJ364" s="313">
        <f>SUMIF(Recibos!$D$4:$D$7493,Cobranza!$B364,Recibos!AV$4:AV$7493)</f>
        <v>0</v>
      </c>
      <c r="CK364" s="314">
        <f t="shared" si="45"/>
        <v>0</v>
      </c>
    </row>
    <row r="365" spans="2:89" x14ac:dyDescent="0.2">
      <c r="B365" s="42" t="s">
        <v>1100</v>
      </c>
      <c r="C365" s="42" t="s">
        <v>1101</v>
      </c>
      <c r="D365" s="42" t="s">
        <v>1102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4">
        <f t="shared" si="46"/>
        <v>0</v>
      </c>
      <c r="L365" s="43">
        <v>100</v>
      </c>
      <c r="M365" s="43">
        <v>100</v>
      </c>
      <c r="N365" s="43">
        <v>100</v>
      </c>
      <c r="O365" s="43">
        <v>100</v>
      </c>
      <c r="P365" s="43">
        <v>100</v>
      </c>
      <c r="Q365" s="43">
        <v>100</v>
      </c>
      <c r="R365" s="43">
        <v>100</v>
      </c>
      <c r="S365" s="43">
        <v>100</v>
      </c>
      <c r="T365" s="43">
        <v>100</v>
      </c>
      <c r="U365" s="43">
        <v>100</v>
      </c>
      <c r="V365" s="43">
        <v>100</v>
      </c>
      <c r="W365" s="43">
        <v>100</v>
      </c>
      <c r="X365" s="44">
        <f t="shared" si="47"/>
        <v>1200</v>
      </c>
      <c r="Y365" s="43">
        <v>0</v>
      </c>
      <c r="Z365" s="43">
        <v>0</v>
      </c>
      <c r="AA365" s="43">
        <v>0</v>
      </c>
      <c r="AB365" s="43">
        <v>0</v>
      </c>
      <c r="AC365" s="43">
        <v>0</v>
      </c>
      <c r="AD365" s="43">
        <v>0</v>
      </c>
      <c r="AE365" s="43">
        <v>0</v>
      </c>
      <c r="AF365" s="43">
        <v>0</v>
      </c>
      <c r="AG365" s="43">
        <v>0</v>
      </c>
      <c r="AH365" s="43">
        <v>0</v>
      </c>
      <c r="AI365" s="43">
        <v>0</v>
      </c>
      <c r="AJ365" s="43">
        <v>0</v>
      </c>
      <c r="AK365" s="44">
        <f t="shared" si="48"/>
        <v>0</v>
      </c>
      <c r="AL365" s="43">
        <v>0</v>
      </c>
      <c r="AM365" s="43">
        <v>0</v>
      </c>
      <c r="AN365" s="43">
        <v>0</v>
      </c>
      <c r="AO365" s="43">
        <v>0</v>
      </c>
      <c r="AP365" s="43">
        <v>0</v>
      </c>
      <c r="AQ365" s="43">
        <v>0</v>
      </c>
      <c r="AR365" s="43">
        <v>0</v>
      </c>
      <c r="AS365" s="43">
        <v>0</v>
      </c>
      <c r="AT365" s="43">
        <v>0</v>
      </c>
      <c r="AU365" s="43">
        <v>200</v>
      </c>
      <c r="AV365" s="43">
        <v>0</v>
      </c>
      <c r="AW365" s="43">
        <v>0</v>
      </c>
      <c r="AX365" s="44">
        <f t="shared" si="49"/>
        <v>200</v>
      </c>
      <c r="AY365" s="311">
        <f>SUMIF(Recibos!$D$4:$D$7493,Cobranza!$B365,Recibos!K$4:K$7493)</f>
        <v>0</v>
      </c>
      <c r="AZ365" s="311">
        <f>SUMIF(Recibos!$D$4:$D$7493,Cobranza!$B365,Recibos!L$4:L$7493)</f>
        <v>0</v>
      </c>
      <c r="BA365" s="311">
        <f>SUMIF(Recibos!$D$4:$D$7493,Cobranza!$B365,Recibos!M$4:M$7493)</f>
        <v>100</v>
      </c>
      <c r="BB365" s="311">
        <f>SUMIF(Recibos!$D$4:$D$7493,Cobranza!$B365,Recibos!N$4:N$7493)</f>
        <v>100</v>
      </c>
      <c r="BC365" s="311">
        <f>SUMIF(Recibos!$D$4:$D$7493,Cobranza!$B365,Recibos!O$4:O$7493)</f>
        <v>100</v>
      </c>
      <c r="BD365" s="311">
        <f>SUMIF(Recibos!$D$4:$D$7493,Cobranza!$B365,Recibos!P$4:P$7493)</f>
        <v>100</v>
      </c>
      <c r="BE365" s="311">
        <f>SUMIF(Recibos!$D$4:$D$7493,Cobranza!$B365,Recibos!Q$4:Q$7493)</f>
        <v>100</v>
      </c>
      <c r="BF365" s="311">
        <f>SUMIF(Recibos!$D$4:$D$7493,Cobranza!$B365,Recibos!R$4:R$7493)</f>
        <v>0</v>
      </c>
      <c r="BG365" s="311">
        <f>SUMIF(Recibos!$D$4:$D$7493,Cobranza!$B365,Recibos!S$4:S$7493)</f>
        <v>100</v>
      </c>
      <c r="BH365" s="311">
        <f>SUMIF(Recibos!$D$4:$D$7493,Cobranza!$B365,Recibos!T$4:T$7493)</f>
        <v>100</v>
      </c>
      <c r="BI365" s="311">
        <f>SUMIF(Recibos!$D$4:$D$7493,Cobranza!$B365,Recibos!U$4:U$7493)</f>
        <v>100</v>
      </c>
      <c r="BJ365" s="311">
        <f>SUMIF(Recibos!$D$4:$D$7493,Cobranza!$B365,Recibos!V$4:V$7493)</f>
        <v>100</v>
      </c>
      <c r="BK365" s="312">
        <f t="shared" si="50"/>
        <v>900</v>
      </c>
      <c r="BL365" s="311">
        <f>SUMIF(Recibos!$D$4:$D$7493,Cobranza!$B365,Recibos!X$4:X$7493)</f>
        <v>100</v>
      </c>
      <c r="BM365" s="311">
        <f>SUMIF(Recibos!$D$4:$D$7493,Cobranza!$B365,Recibos!Y$4:Y$7493)</f>
        <v>100</v>
      </c>
      <c r="BN365" s="311">
        <f>SUMIF(Recibos!$D$4:$D$7493,Cobranza!$B365,Recibos!Z$4:Z$7493)</f>
        <v>100</v>
      </c>
      <c r="BO365" s="311">
        <f>SUMIF(Recibos!$D$4:$D$7493,Cobranza!$B365,Recibos!AA$4:AA$7493)</f>
        <v>100</v>
      </c>
      <c r="BP365" s="311">
        <f>SUMIF(Recibos!$D$4:$D$7493,Cobranza!$B365,Recibos!AB$4:AB$7493)</f>
        <v>100</v>
      </c>
      <c r="BQ365" s="311">
        <f>SUMIF(Recibos!$D$4:$D$7493,Cobranza!$B365,Recibos!AC$4:AC$7493)</f>
        <v>100</v>
      </c>
      <c r="BR365" s="311">
        <f>SUMIF(Recibos!$D$4:$D$7493,Cobranza!$B365,Recibos!AD$4:AD$7493)</f>
        <v>100</v>
      </c>
      <c r="BS365" s="311">
        <f>SUMIF(Recibos!$D$4:$D$7493,Cobranza!$B365,Recibos!AE$4:AE$7493)</f>
        <v>100</v>
      </c>
      <c r="BT365" s="311">
        <f>SUMIF(Recibos!$D$4:$D$7493,Cobranza!$B365,Recibos!AF$4:AF$7493)</f>
        <v>100</v>
      </c>
      <c r="BU365" s="311">
        <f>SUMIF(Recibos!$D$4:$D$7493,Cobranza!$B365,Recibos!AG$4:AG$7493)</f>
        <v>100</v>
      </c>
      <c r="BV365" s="311">
        <f>SUMIF(Recibos!$D$4:$D$7493,Cobranza!$B365,Recibos!AH$4:AH$7493)</f>
        <v>100</v>
      </c>
      <c r="BW365" s="311">
        <f>SUMIF(Recibos!$D$4:$D$7493,Cobranza!$B365,Recibos!AI$4:AI$7493)</f>
        <v>100</v>
      </c>
      <c r="BX365" s="312">
        <f t="shared" si="51"/>
        <v>1200</v>
      </c>
      <c r="BY365" s="311">
        <f>SUMIF(Recibos!$D$4:$D$7493,Cobranza!$B365,Recibos!AK$4:AK$7493)</f>
        <v>100</v>
      </c>
      <c r="BZ365" s="311">
        <f>SUMIF(Recibos!$D$4:$D$7493,Cobranza!$B365,Recibos!AL$4:AL$7493)</f>
        <v>100</v>
      </c>
      <c r="CA365" s="311">
        <f>SUMIF(Recibos!$D$4:$D$7493,Cobranza!$B365,Recibos!AM$4:AM$7493)</f>
        <v>100</v>
      </c>
      <c r="CB365" s="311">
        <f>SUMIF(Recibos!$D$4:$D$7493,Cobranza!$B365,Recibos!AN$4:AN$7493)</f>
        <v>100</v>
      </c>
      <c r="CC365" s="311">
        <f>SUMIF(Recibos!$D$4:$D$7493,Cobranza!$B365,Recibos!AO$4:AO$7493)</f>
        <v>100</v>
      </c>
      <c r="CD365" s="311">
        <f>SUMIF(Recibos!$D$4:$D$7493,Cobranza!$B365,Recibos!AP$4:AP$7493)</f>
        <v>100</v>
      </c>
      <c r="CE365" s="311">
        <f>SUMIF(Recibos!$D$4:$D$7493,Cobranza!$B365,Recibos!AQ$4:AQ$7493)</f>
        <v>100</v>
      </c>
      <c r="CF365" s="311">
        <f>SUMIF(Recibos!$D$4:$D$7493,Cobranza!$B365,Recibos!AR$4:AR$7493)</f>
        <v>100</v>
      </c>
      <c r="CG365" s="311">
        <f>SUMIF(Recibos!$D$4:$D$7493,Cobranza!$B365,Recibos!AS$4:AS$7493)</f>
        <v>100</v>
      </c>
      <c r="CH365" s="311">
        <f>SUMIF(Recibos!$D$4:$D$7493,Cobranza!$B365,Recibos!AT$4:AT$7493)</f>
        <v>100</v>
      </c>
      <c r="CI365" s="311">
        <f>SUMIF(Recibos!$D$4:$D$7493,Cobranza!$B365,Recibos!AU$4:AU$7493)</f>
        <v>100</v>
      </c>
      <c r="CJ365" s="311">
        <f>SUMIF(Recibos!$D$4:$D$7493,Cobranza!$B365,Recibos!AV$4:AV$7493)</f>
        <v>100</v>
      </c>
      <c r="CK365" s="312">
        <f t="shared" si="45"/>
        <v>1200</v>
      </c>
    </row>
    <row r="366" spans="2:89" x14ac:dyDescent="0.2">
      <c r="B366" s="45" t="s">
        <v>211</v>
      </c>
      <c r="C366" s="45" t="s">
        <v>212</v>
      </c>
      <c r="D366" s="45" t="s">
        <v>213</v>
      </c>
      <c r="E366" s="46">
        <v>0</v>
      </c>
      <c r="F366" s="46">
        <v>0</v>
      </c>
      <c r="G366" s="46">
        <v>0</v>
      </c>
      <c r="H366" s="46">
        <v>0</v>
      </c>
      <c r="I366" s="46">
        <v>0</v>
      </c>
      <c r="J366" s="46">
        <v>0</v>
      </c>
      <c r="K366" s="47">
        <f t="shared" si="46"/>
        <v>0</v>
      </c>
      <c r="L366" s="46">
        <v>300</v>
      </c>
      <c r="M366" s="46">
        <v>300</v>
      </c>
      <c r="N366" s="46">
        <v>300</v>
      </c>
      <c r="O366" s="46">
        <v>300</v>
      </c>
      <c r="P366" s="46">
        <v>300</v>
      </c>
      <c r="Q366" s="46">
        <v>300</v>
      </c>
      <c r="R366" s="46">
        <v>300</v>
      </c>
      <c r="S366" s="46">
        <v>300</v>
      </c>
      <c r="T366" s="46">
        <v>300</v>
      </c>
      <c r="U366" s="46">
        <v>300</v>
      </c>
      <c r="V366" s="46">
        <v>300</v>
      </c>
      <c r="W366" s="46">
        <v>300</v>
      </c>
      <c r="X366" s="47">
        <f t="shared" si="47"/>
        <v>3600</v>
      </c>
      <c r="Y366" s="46">
        <v>300</v>
      </c>
      <c r="Z366" s="46">
        <v>300</v>
      </c>
      <c r="AA366" s="46">
        <v>300</v>
      </c>
      <c r="AB366" s="46">
        <v>300</v>
      </c>
      <c r="AC366" s="46">
        <v>300</v>
      </c>
      <c r="AD366" s="46">
        <v>300</v>
      </c>
      <c r="AE366" s="46">
        <v>300</v>
      </c>
      <c r="AF366" s="46">
        <v>300</v>
      </c>
      <c r="AG366" s="46">
        <v>300</v>
      </c>
      <c r="AH366" s="46">
        <v>300</v>
      </c>
      <c r="AI366" s="46">
        <v>300</v>
      </c>
      <c r="AJ366" s="46">
        <v>300</v>
      </c>
      <c r="AK366" s="47">
        <f t="shared" si="48"/>
        <v>3600</v>
      </c>
      <c r="AL366" s="46">
        <v>300</v>
      </c>
      <c r="AM366" s="46">
        <v>300</v>
      </c>
      <c r="AN366" s="46">
        <v>300</v>
      </c>
      <c r="AO366" s="46">
        <v>300</v>
      </c>
      <c r="AP366" s="46">
        <v>300</v>
      </c>
      <c r="AQ366" s="46">
        <v>300</v>
      </c>
      <c r="AR366" s="46">
        <v>300</v>
      </c>
      <c r="AS366" s="46">
        <v>300</v>
      </c>
      <c r="AT366" s="46">
        <v>300</v>
      </c>
      <c r="AU366" s="46">
        <v>300</v>
      </c>
      <c r="AV366" s="46">
        <v>300</v>
      </c>
      <c r="AW366" s="46">
        <v>600</v>
      </c>
      <c r="AX366" s="47">
        <f t="shared" si="49"/>
        <v>3900</v>
      </c>
      <c r="AY366" s="313">
        <f>SUMIF(Recibos!$D$4:$D$7493,Cobranza!$B366,Recibos!K$4:K$7493)</f>
        <v>0</v>
      </c>
      <c r="AZ366" s="313">
        <f>SUMIF(Recibos!$D$4:$D$7493,Cobranza!$B366,Recibos!L$4:L$7493)</f>
        <v>300</v>
      </c>
      <c r="BA366" s="313">
        <f>SUMIF(Recibos!$D$4:$D$7493,Cobranza!$B366,Recibos!M$4:M$7493)</f>
        <v>300</v>
      </c>
      <c r="BB366" s="313">
        <f>SUMIF(Recibos!$D$4:$D$7493,Cobranza!$B366,Recibos!N$4:N$7493)</f>
        <v>300</v>
      </c>
      <c r="BC366" s="313">
        <f>SUMIF(Recibos!$D$4:$D$7493,Cobranza!$B366,Recibos!O$4:O$7493)</f>
        <v>300</v>
      </c>
      <c r="BD366" s="313">
        <f>SUMIF(Recibos!$D$4:$D$7493,Cobranza!$B366,Recibos!P$4:P$7493)</f>
        <v>300</v>
      </c>
      <c r="BE366" s="313">
        <f>SUMIF(Recibos!$D$4:$D$7493,Cobranza!$B366,Recibos!Q$4:Q$7493)</f>
        <v>300</v>
      </c>
      <c r="BF366" s="313">
        <f>SUMIF(Recibos!$D$4:$D$7493,Cobranza!$B366,Recibos!R$4:R$7493)</f>
        <v>300</v>
      </c>
      <c r="BG366" s="313">
        <f>SUMIF(Recibos!$D$4:$D$7493,Cobranza!$B366,Recibos!S$4:S$7493)</f>
        <v>300</v>
      </c>
      <c r="BH366" s="313">
        <f>SUMIF(Recibos!$D$4:$D$7493,Cobranza!$B366,Recibos!T$4:T$7493)</f>
        <v>300</v>
      </c>
      <c r="BI366" s="313">
        <f>SUMIF(Recibos!$D$4:$D$7493,Cobranza!$B366,Recibos!U$4:U$7493)</f>
        <v>300</v>
      </c>
      <c r="BJ366" s="313">
        <f>SUMIF(Recibos!$D$4:$D$7493,Cobranza!$B366,Recibos!V$4:V$7493)</f>
        <v>300</v>
      </c>
      <c r="BK366" s="314">
        <f t="shared" si="50"/>
        <v>3300</v>
      </c>
      <c r="BL366" s="313">
        <f>SUMIF(Recibos!$D$4:$D$7493,Cobranza!$B366,Recibos!X$4:X$7493)</f>
        <v>300</v>
      </c>
      <c r="BM366" s="313">
        <f>SUMIF(Recibos!$D$4:$D$7493,Cobranza!$B366,Recibos!Y$4:Y$7493)</f>
        <v>300</v>
      </c>
      <c r="BN366" s="313">
        <f>SUMIF(Recibos!$D$4:$D$7493,Cobranza!$B366,Recibos!Z$4:Z$7493)</f>
        <v>300</v>
      </c>
      <c r="BO366" s="313">
        <f>SUMIF(Recibos!$D$4:$D$7493,Cobranza!$B366,Recibos!AA$4:AA$7493)</f>
        <v>300</v>
      </c>
      <c r="BP366" s="313">
        <f>SUMIF(Recibos!$D$4:$D$7493,Cobranza!$B366,Recibos!AB$4:AB$7493)</f>
        <v>300</v>
      </c>
      <c r="BQ366" s="313">
        <f>SUMIF(Recibos!$D$4:$D$7493,Cobranza!$B366,Recibos!AC$4:AC$7493)</f>
        <v>300</v>
      </c>
      <c r="BR366" s="313">
        <f>SUMIF(Recibos!$D$4:$D$7493,Cobranza!$B366,Recibos!AD$4:AD$7493)</f>
        <v>300</v>
      </c>
      <c r="BS366" s="313">
        <f>SUMIF(Recibos!$D$4:$D$7493,Cobranza!$B366,Recibos!AE$4:AE$7493)</f>
        <v>300</v>
      </c>
      <c r="BT366" s="313">
        <f>SUMIF(Recibos!$D$4:$D$7493,Cobranza!$B366,Recibos!AF$4:AF$7493)</f>
        <v>300</v>
      </c>
      <c r="BU366" s="313">
        <f>SUMIF(Recibos!$D$4:$D$7493,Cobranza!$B366,Recibos!AG$4:AG$7493)</f>
        <v>300</v>
      </c>
      <c r="BV366" s="313">
        <f>SUMIF(Recibos!$D$4:$D$7493,Cobranza!$B366,Recibos!AH$4:AH$7493)</f>
        <v>300</v>
      </c>
      <c r="BW366" s="313">
        <f>SUMIF(Recibos!$D$4:$D$7493,Cobranza!$B366,Recibos!AI$4:AI$7493)</f>
        <v>300</v>
      </c>
      <c r="BX366" s="314">
        <f t="shared" si="51"/>
        <v>3600</v>
      </c>
      <c r="BY366" s="313">
        <f>SUMIF(Recibos!$D$4:$D$7493,Cobranza!$B366,Recibos!AK$4:AK$7493)</f>
        <v>300</v>
      </c>
      <c r="BZ366" s="313">
        <f>SUMIF(Recibos!$D$4:$D$7493,Cobranza!$B366,Recibos!AL$4:AL$7493)</f>
        <v>600</v>
      </c>
      <c r="CA366" s="313">
        <f>SUMIF(Recibos!$D$4:$D$7493,Cobranza!$B366,Recibos!AM$4:AM$7493)</f>
        <v>300</v>
      </c>
      <c r="CB366" s="313">
        <f>SUMIF(Recibos!$D$4:$D$7493,Cobranza!$B366,Recibos!AN$4:AN$7493)</f>
        <v>300</v>
      </c>
      <c r="CC366" s="313">
        <f>SUMIF(Recibos!$D$4:$D$7493,Cobranza!$B366,Recibos!AO$4:AO$7493)</f>
        <v>300</v>
      </c>
      <c r="CD366" s="313">
        <f>SUMIF(Recibos!$D$4:$D$7493,Cobranza!$B366,Recibos!AP$4:AP$7493)</f>
        <v>300</v>
      </c>
      <c r="CE366" s="313">
        <f>SUMIF(Recibos!$D$4:$D$7493,Cobranza!$B366,Recibos!AQ$4:AQ$7493)</f>
        <v>300</v>
      </c>
      <c r="CF366" s="313">
        <f>SUMIF(Recibos!$D$4:$D$7493,Cobranza!$B366,Recibos!AR$4:AR$7493)</f>
        <v>300</v>
      </c>
      <c r="CG366" s="313">
        <f>SUMIF(Recibos!$D$4:$D$7493,Cobranza!$B366,Recibos!AS$4:AS$7493)</f>
        <v>300</v>
      </c>
      <c r="CH366" s="313">
        <f>SUMIF(Recibos!$D$4:$D$7493,Cobranza!$B366,Recibos!AT$4:AT$7493)</f>
        <v>300</v>
      </c>
      <c r="CI366" s="313">
        <f>SUMIF(Recibos!$D$4:$D$7493,Cobranza!$B366,Recibos!AU$4:AU$7493)</f>
        <v>0</v>
      </c>
      <c r="CJ366" s="313">
        <f>SUMIF(Recibos!$D$4:$D$7493,Cobranza!$B366,Recibos!AV$4:AV$7493)</f>
        <v>0</v>
      </c>
      <c r="CK366" s="314">
        <f t="shared" si="45"/>
        <v>3300</v>
      </c>
    </row>
    <row r="367" spans="2:89" x14ac:dyDescent="0.2">
      <c r="B367" s="42" t="s">
        <v>437</v>
      </c>
      <c r="C367" s="42" t="s">
        <v>438</v>
      </c>
      <c r="D367" s="42" t="s">
        <v>439</v>
      </c>
      <c r="E367" s="43">
        <v>0</v>
      </c>
      <c r="F367" s="43">
        <v>0</v>
      </c>
      <c r="G367" s="43">
        <v>0</v>
      </c>
      <c r="H367" s="43">
        <v>0</v>
      </c>
      <c r="I367" s="43">
        <v>300</v>
      </c>
      <c r="J367" s="43">
        <v>300</v>
      </c>
      <c r="K367" s="44">
        <f t="shared" si="46"/>
        <v>600</v>
      </c>
      <c r="L367" s="43">
        <v>300</v>
      </c>
      <c r="M367" s="43">
        <v>300</v>
      </c>
      <c r="N367" s="43">
        <v>300</v>
      </c>
      <c r="O367" s="43">
        <v>300</v>
      </c>
      <c r="P367" s="43">
        <v>300</v>
      </c>
      <c r="Q367" s="43">
        <v>300</v>
      </c>
      <c r="R367" s="43">
        <v>300</v>
      </c>
      <c r="S367" s="43">
        <v>300</v>
      </c>
      <c r="T367" s="43">
        <v>300</v>
      </c>
      <c r="U367" s="43">
        <v>400</v>
      </c>
      <c r="V367" s="43">
        <v>400</v>
      </c>
      <c r="W367" s="43">
        <v>400</v>
      </c>
      <c r="X367" s="44">
        <f t="shared" si="47"/>
        <v>3900</v>
      </c>
      <c r="Y367" s="43">
        <v>400</v>
      </c>
      <c r="Z367" s="43">
        <v>400</v>
      </c>
      <c r="AA367" s="43">
        <v>400</v>
      </c>
      <c r="AB367" s="43">
        <v>0</v>
      </c>
      <c r="AC367" s="43">
        <v>400</v>
      </c>
      <c r="AD367" s="43">
        <v>400</v>
      </c>
      <c r="AE367" s="43">
        <v>400</v>
      </c>
      <c r="AF367" s="43">
        <v>400</v>
      </c>
      <c r="AG367" s="43">
        <v>400</v>
      </c>
      <c r="AH367" s="43">
        <v>400</v>
      </c>
      <c r="AI367" s="43">
        <v>400</v>
      </c>
      <c r="AJ367" s="43">
        <v>400</v>
      </c>
      <c r="AK367" s="44">
        <f t="shared" si="48"/>
        <v>4400</v>
      </c>
      <c r="AL367" s="43">
        <v>400</v>
      </c>
      <c r="AM367" s="43">
        <v>400</v>
      </c>
      <c r="AN367" s="43">
        <v>400</v>
      </c>
      <c r="AO367" s="43">
        <v>400</v>
      </c>
      <c r="AP367" s="43">
        <v>400</v>
      </c>
      <c r="AQ367" s="43">
        <v>400</v>
      </c>
      <c r="AR367" s="43">
        <v>400</v>
      </c>
      <c r="AS367" s="43">
        <v>400</v>
      </c>
      <c r="AT367" s="43">
        <v>400</v>
      </c>
      <c r="AU367" s="43">
        <v>400</v>
      </c>
      <c r="AV367" s="43">
        <v>400</v>
      </c>
      <c r="AW367" s="43">
        <v>400</v>
      </c>
      <c r="AX367" s="44">
        <f t="shared" si="49"/>
        <v>4800</v>
      </c>
      <c r="AY367" s="311">
        <f>SUMIF(Recibos!$D$4:$D$7493,Cobranza!$B367,Recibos!K$4:K$7493)</f>
        <v>400</v>
      </c>
      <c r="AZ367" s="311">
        <f>SUMIF(Recibos!$D$4:$D$7493,Cobranza!$B367,Recibos!L$4:L$7493)</f>
        <v>400</v>
      </c>
      <c r="BA367" s="311">
        <f>SUMIF(Recibos!$D$4:$D$7493,Cobranza!$B367,Recibos!M$4:M$7493)</f>
        <v>400</v>
      </c>
      <c r="BB367" s="311">
        <f>SUMIF(Recibos!$D$4:$D$7493,Cobranza!$B367,Recibos!N$4:N$7493)</f>
        <v>400</v>
      </c>
      <c r="BC367" s="311">
        <f>SUMIF(Recibos!$D$4:$D$7493,Cobranza!$B367,Recibos!O$4:O$7493)</f>
        <v>400</v>
      </c>
      <c r="BD367" s="311">
        <f>SUMIF(Recibos!$D$4:$D$7493,Cobranza!$B367,Recibos!P$4:P$7493)</f>
        <v>400</v>
      </c>
      <c r="BE367" s="311">
        <f>SUMIF(Recibos!$D$4:$D$7493,Cobranza!$B367,Recibos!Q$4:Q$7493)</f>
        <v>400</v>
      </c>
      <c r="BF367" s="311">
        <f>SUMIF(Recibos!$D$4:$D$7493,Cobranza!$B367,Recibos!R$4:R$7493)</f>
        <v>400</v>
      </c>
      <c r="BG367" s="311">
        <f>SUMIF(Recibos!$D$4:$D$7493,Cobranza!$B367,Recibos!S$4:S$7493)</f>
        <v>400</v>
      </c>
      <c r="BH367" s="311">
        <f>SUMIF(Recibos!$D$4:$D$7493,Cobranza!$B367,Recibos!T$4:T$7493)</f>
        <v>400</v>
      </c>
      <c r="BI367" s="311">
        <f>SUMIF(Recibos!$D$4:$D$7493,Cobranza!$B367,Recibos!U$4:U$7493)</f>
        <v>400</v>
      </c>
      <c r="BJ367" s="311">
        <f>SUMIF(Recibos!$D$4:$D$7493,Cobranza!$B367,Recibos!V$4:V$7493)</f>
        <v>400</v>
      </c>
      <c r="BK367" s="312">
        <f t="shared" si="50"/>
        <v>4800</v>
      </c>
      <c r="BL367" s="311">
        <f>SUMIF(Recibos!$D$4:$D$7493,Cobranza!$B367,Recibos!X$4:X$7493)</f>
        <v>400</v>
      </c>
      <c r="BM367" s="311">
        <f>SUMIF(Recibos!$D$4:$D$7493,Cobranza!$B367,Recibos!Y$4:Y$7493)</f>
        <v>400</v>
      </c>
      <c r="BN367" s="311">
        <f>SUMIF(Recibos!$D$4:$D$7493,Cobranza!$B367,Recibos!Z$4:Z$7493)</f>
        <v>400</v>
      </c>
      <c r="BO367" s="311">
        <f>SUMIF(Recibos!$D$4:$D$7493,Cobranza!$B367,Recibos!AA$4:AA$7493)</f>
        <v>400</v>
      </c>
      <c r="BP367" s="311">
        <f>SUMIF(Recibos!$D$4:$D$7493,Cobranza!$B367,Recibos!AB$4:AB$7493)</f>
        <v>400</v>
      </c>
      <c r="BQ367" s="311">
        <f>SUMIF(Recibos!$D$4:$D$7493,Cobranza!$B367,Recibos!AC$4:AC$7493)</f>
        <v>400</v>
      </c>
      <c r="BR367" s="311">
        <f>SUMIF(Recibos!$D$4:$D$7493,Cobranza!$B367,Recibos!AD$4:AD$7493)</f>
        <v>400</v>
      </c>
      <c r="BS367" s="311">
        <f>SUMIF(Recibos!$D$4:$D$7493,Cobranza!$B367,Recibos!AE$4:AE$7493)</f>
        <v>400</v>
      </c>
      <c r="BT367" s="311">
        <f>SUMIF(Recibos!$D$4:$D$7493,Cobranza!$B367,Recibos!AF$4:AF$7493)</f>
        <v>400</v>
      </c>
      <c r="BU367" s="311">
        <f>SUMIF(Recibos!$D$4:$D$7493,Cobranza!$B367,Recibos!AG$4:AG$7493)</f>
        <v>400</v>
      </c>
      <c r="BV367" s="311">
        <f>SUMIF(Recibos!$D$4:$D$7493,Cobranza!$B367,Recibos!AH$4:AH$7493)</f>
        <v>400</v>
      </c>
      <c r="BW367" s="311">
        <f>SUMIF(Recibos!$D$4:$D$7493,Cobranza!$B367,Recibos!AI$4:AI$7493)</f>
        <v>400</v>
      </c>
      <c r="BX367" s="312">
        <f t="shared" si="51"/>
        <v>4800</v>
      </c>
      <c r="BY367" s="311">
        <f>SUMIF(Recibos!$D$4:$D$7493,Cobranza!$B367,Recibos!AK$4:AK$7493)</f>
        <v>400</v>
      </c>
      <c r="BZ367" s="311">
        <f>SUMIF(Recibos!$D$4:$D$7493,Cobranza!$B367,Recibos!AL$4:AL$7493)</f>
        <v>400</v>
      </c>
      <c r="CA367" s="311">
        <f>SUMIF(Recibos!$D$4:$D$7493,Cobranza!$B367,Recibos!AM$4:AM$7493)</f>
        <v>400</v>
      </c>
      <c r="CB367" s="311">
        <f>SUMIF(Recibos!$D$4:$D$7493,Cobranza!$B367,Recibos!AN$4:AN$7493)</f>
        <v>400</v>
      </c>
      <c r="CC367" s="311">
        <f>SUMIF(Recibos!$D$4:$D$7493,Cobranza!$B367,Recibos!AO$4:AO$7493)</f>
        <v>400</v>
      </c>
      <c r="CD367" s="311">
        <f>SUMIF(Recibos!$D$4:$D$7493,Cobranza!$B367,Recibos!AP$4:AP$7493)</f>
        <v>400</v>
      </c>
      <c r="CE367" s="311">
        <f>SUMIF(Recibos!$D$4:$D$7493,Cobranza!$B367,Recibos!AQ$4:AQ$7493)</f>
        <v>400</v>
      </c>
      <c r="CF367" s="311">
        <f>SUMIF(Recibos!$D$4:$D$7493,Cobranza!$B367,Recibos!AR$4:AR$7493)</f>
        <v>400</v>
      </c>
      <c r="CG367" s="311">
        <f>SUMIF(Recibos!$D$4:$D$7493,Cobranza!$B367,Recibos!AS$4:AS$7493)</f>
        <v>400</v>
      </c>
      <c r="CH367" s="311">
        <f>SUMIF(Recibos!$D$4:$D$7493,Cobranza!$B367,Recibos!AT$4:AT$7493)</f>
        <v>400</v>
      </c>
      <c r="CI367" s="311">
        <f>SUMIF(Recibos!$D$4:$D$7493,Cobranza!$B367,Recibos!AU$4:AU$7493)</f>
        <v>0</v>
      </c>
      <c r="CJ367" s="311">
        <f>SUMIF(Recibos!$D$4:$D$7493,Cobranza!$B367,Recibos!AV$4:AV$7493)</f>
        <v>0</v>
      </c>
      <c r="CK367" s="312">
        <f t="shared" si="45"/>
        <v>4000</v>
      </c>
    </row>
    <row r="368" spans="2:89" x14ac:dyDescent="0.2">
      <c r="B368" s="45" t="s">
        <v>1422</v>
      </c>
      <c r="C368" s="45" t="s">
        <v>1423</v>
      </c>
      <c r="D368" s="45" t="s">
        <v>1424</v>
      </c>
      <c r="E368" s="46">
        <v>0</v>
      </c>
      <c r="F368" s="46">
        <v>0</v>
      </c>
      <c r="G368" s="46">
        <v>0</v>
      </c>
      <c r="H368" s="46">
        <v>0</v>
      </c>
      <c r="I368" s="46">
        <v>0</v>
      </c>
      <c r="J368" s="46">
        <v>200</v>
      </c>
      <c r="K368" s="47">
        <f t="shared" si="46"/>
        <v>200</v>
      </c>
      <c r="L368" s="46">
        <v>200</v>
      </c>
      <c r="M368" s="46">
        <v>200</v>
      </c>
      <c r="N368" s="46">
        <v>200</v>
      </c>
      <c r="O368" s="46">
        <v>200</v>
      </c>
      <c r="P368" s="46">
        <v>200</v>
      </c>
      <c r="Q368" s="46">
        <v>200</v>
      </c>
      <c r="R368" s="46">
        <v>200</v>
      </c>
      <c r="S368" s="46">
        <v>200</v>
      </c>
      <c r="T368" s="46">
        <v>200</v>
      </c>
      <c r="U368" s="46">
        <v>200</v>
      </c>
      <c r="V368" s="46">
        <v>200</v>
      </c>
      <c r="W368" s="46">
        <v>0</v>
      </c>
      <c r="X368" s="47">
        <f t="shared" si="47"/>
        <v>2200</v>
      </c>
      <c r="Y368" s="46">
        <v>200</v>
      </c>
      <c r="Z368" s="46">
        <v>200</v>
      </c>
      <c r="AA368" s="46">
        <v>200</v>
      </c>
      <c r="AB368" s="46">
        <v>200</v>
      </c>
      <c r="AC368" s="46">
        <v>200</v>
      </c>
      <c r="AD368" s="46">
        <v>200</v>
      </c>
      <c r="AE368" s="46">
        <v>0</v>
      </c>
      <c r="AF368" s="46">
        <v>0</v>
      </c>
      <c r="AG368" s="46">
        <v>0</v>
      </c>
      <c r="AH368" s="46">
        <v>0</v>
      </c>
      <c r="AI368" s="46">
        <v>0</v>
      </c>
      <c r="AJ368" s="46">
        <v>0</v>
      </c>
      <c r="AK368" s="47">
        <f t="shared" si="48"/>
        <v>1200</v>
      </c>
      <c r="AL368" s="46">
        <v>200</v>
      </c>
      <c r="AM368" s="46">
        <v>0</v>
      </c>
      <c r="AN368" s="46">
        <v>0</v>
      </c>
      <c r="AO368" s="46">
        <v>0</v>
      </c>
      <c r="AP368" s="46">
        <v>0</v>
      </c>
      <c r="AQ368" s="46">
        <v>0</v>
      </c>
      <c r="AR368" s="46">
        <v>0</v>
      </c>
      <c r="AS368" s="46">
        <v>0</v>
      </c>
      <c r="AT368" s="46">
        <v>0</v>
      </c>
      <c r="AU368" s="46">
        <v>0</v>
      </c>
      <c r="AV368" s="46">
        <v>0</v>
      </c>
      <c r="AW368" s="46">
        <v>0</v>
      </c>
      <c r="AX368" s="47">
        <f t="shared" si="49"/>
        <v>200</v>
      </c>
      <c r="AY368" s="313">
        <f>SUMIF(Recibos!$D$4:$D$7493,Cobranza!$B368,Recibos!K$4:K$7493)</f>
        <v>0</v>
      </c>
      <c r="AZ368" s="313">
        <f>SUMIF(Recibos!$D$4:$D$7493,Cobranza!$B368,Recibos!L$4:L$7493)</f>
        <v>0</v>
      </c>
      <c r="BA368" s="313">
        <f>SUMIF(Recibos!$D$4:$D$7493,Cobranza!$B368,Recibos!M$4:M$7493)</f>
        <v>0</v>
      </c>
      <c r="BB368" s="313">
        <f>SUMIF(Recibos!$D$4:$D$7493,Cobranza!$B368,Recibos!N$4:N$7493)</f>
        <v>0</v>
      </c>
      <c r="BC368" s="313">
        <f>SUMIF(Recibos!$D$4:$D$7493,Cobranza!$B368,Recibos!O$4:O$7493)</f>
        <v>0</v>
      </c>
      <c r="BD368" s="313">
        <f>SUMIF(Recibos!$D$4:$D$7493,Cobranza!$B368,Recibos!P$4:P$7493)</f>
        <v>0</v>
      </c>
      <c r="BE368" s="313">
        <f>SUMIF(Recibos!$D$4:$D$7493,Cobranza!$B368,Recibos!Q$4:Q$7493)</f>
        <v>0</v>
      </c>
      <c r="BF368" s="313">
        <f>SUMIF(Recibos!$D$4:$D$7493,Cobranza!$B368,Recibos!R$4:R$7493)</f>
        <v>0</v>
      </c>
      <c r="BG368" s="313">
        <f>SUMIF(Recibos!$D$4:$D$7493,Cobranza!$B368,Recibos!S$4:S$7493)</f>
        <v>0</v>
      </c>
      <c r="BH368" s="313">
        <f>SUMIF(Recibos!$D$4:$D$7493,Cobranza!$B368,Recibos!T$4:T$7493)</f>
        <v>0</v>
      </c>
      <c r="BI368" s="313">
        <f>SUMIF(Recibos!$D$4:$D$7493,Cobranza!$B368,Recibos!U$4:U$7493)</f>
        <v>0</v>
      </c>
      <c r="BJ368" s="313">
        <f>SUMIF(Recibos!$D$4:$D$7493,Cobranza!$B368,Recibos!V$4:V$7493)</f>
        <v>0</v>
      </c>
      <c r="BK368" s="314">
        <f t="shared" si="50"/>
        <v>0</v>
      </c>
      <c r="BL368" s="313">
        <f>SUMIF(Recibos!$D$4:$D$7493,Cobranza!$B368,Recibos!X$4:X$7493)</f>
        <v>0</v>
      </c>
      <c r="BM368" s="313">
        <f>SUMIF(Recibos!$D$4:$D$7493,Cobranza!$B368,Recibos!Y$4:Y$7493)</f>
        <v>0</v>
      </c>
      <c r="BN368" s="313">
        <f>SUMIF(Recibos!$D$4:$D$7493,Cobranza!$B368,Recibos!Z$4:Z$7493)</f>
        <v>0</v>
      </c>
      <c r="BO368" s="313">
        <f>SUMIF(Recibos!$D$4:$D$7493,Cobranza!$B368,Recibos!AA$4:AA$7493)</f>
        <v>0</v>
      </c>
      <c r="BP368" s="313">
        <f>SUMIF(Recibos!$D$4:$D$7493,Cobranza!$B368,Recibos!AB$4:AB$7493)</f>
        <v>0</v>
      </c>
      <c r="BQ368" s="313">
        <f>SUMIF(Recibos!$D$4:$D$7493,Cobranza!$B368,Recibos!AC$4:AC$7493)</f>
        <v>0</v>
      </c>
      <c r="BR368" s="313">
        <f>SUMIF(Recibos!$D$4:$D$7493,Cobranza!$B368,Recibos!AD$4:AD$7493)</f>
        <v>0</v>
      </c>
      <c r="BS368" s="313">
        <f>SUMIF(Recibos!$D$4:$D$7493,Cobranza!$B368,Recibos!AE$4:AE$7493)</f>
        <v>0</v>
      </c>
      <c r="BT368" s="313">
        <f>SUMIF(Recibos!$D$4:$D$7493,Cobranza!$B368,Recibos!AF$4:AF$7493)</f>
        <v>0</v>
      </c>
      <c r="BU368" s="313">
        <f>SUMIF(Recibos!$D$4:$D$7493,Cobranza!$B368,Recibos!AG$4:AG$7493)</f>
        <v>0</v>
      </c>
      <c r="BV368" s="313">
        <f>SUMIF(Recibos!$D$4:$D$7493,Cobranza!$B368,Recibos!AH$4:AH$7493)</f>
        <v>0</v>
      </c>
      <c r="BW368" s="313">
        <f>SUMIF(Recibos!$D$4:$D$7493,Cobranza!$B368,Recibos!AI$4:AI$7493)</f>
        <v>0</v>
      </c>
      <c r="BX368" s="314">
        <f t="shared" si="51"/>
        <v>0</v>
      </c>
      <c r="BY368" s="313">
        <f>SUMIF(Recibos!$D$4:$D$7493,Cobranza!$B368,Recibos!AK$4:AK$7493)</f>
        <v>0</v>
      </c>
      <c r="BZ368" s="313">
        <f>SUMIF(Recibos!$D$4:$D$7493,Cobranza!$B368,Recibos!AL$4:AL$7493)</f>
        <v>0</v>
      </c>
      <c r="CA368" s="313">
        <f>SUMIF(Recibos!$D$4:$D$7493,Cobranza!$B368,Recibos!AM$4:AM$7493)</f>
        <v>0</v>
      </c>
      <c r="CB368" s="313">
        <f>SUMIF(Recibos!$D$4:$D$7493,Cobranza!$B368,Recibos!AN$4:AN$7493)</f>
        <v>0</v>
      </c>
      <c r="CC368" s="313">
        <f>SUMIF(Recibos!$D$4:$D$7493,Cobranza!$B368,Recibos!AO$4:AO$7493)</f>
        <v>0</v>
      </c>
      <c r="CD368" s="313">
        <f>SUMIF(Recibos!$D$4:$D$7493,Cobranza!$B368,Recibos!AP$4:AP$7493)</f>
        <v>0</v>
      </c>
      <c r="CE368" s="313">
        <f>SUMIF(Recibos!$D$4:$D$7493,Cobranza!$B368,Recibos!AQ$4:AQ$7493)</f>
        <v>0</v>
      </c>
      <c r="CF368" s="313">
        <f>SUMIF(Recibos!$D$4:$D$7493,Cobranza!$B368,Recibos!AR$4:AR$7493)</f>
        <v>0</v>
      </c>
      <c r="CG368" s="313">
        <f>SUMIF(Recibos!$D$4:$D$7493,Cobranza!$B368,Recibos!AS$4:AS$7493)</f>
        <v>0</v>
      </c>
      <c r="CH368" s="313">
        <f>SUMIF(Recibos!$D$4:$D$7493,Cobranza!$B368,Recibos!AT$4:AT$7493)</f>
        <v>0</v>
      </c>
      <c r="CI368" s="313">
        <f>SUMIF(Recibos!$D$4:$D$7493,Cobranza!$B368,Recibos!AU$4:AU$7493)</f>
        <v>0</v>
      </c>
      <c r="CJ368" s="313">
        <f>SUMIF(Recibos!$D$4:$D$7493,Cobranza!$B368,Recibos!AV$4:AV$7493)</f>
        <v>0</v>
      </c>
      <c r="CK368" s="314">
        <f t="shared" si="45"/>
        <v>0</v>
      </c>
    </row>
    <row r="369" spans="2:89" x14ac:dyDescent="0.2">
      <c r="B369" s="42" t="s">
        <v>1067</v>
      </c>
      <c r="C369" s="42" t="s">
        <v>1068</v>
      </c>
      <c r="D369" s="42" t="s">
        <v>1069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4">
        <f t="shared" si="46"/>
        <v>0</v>
      </c>
      <c r="L369" s="43">
        <v>200</v>
      </c>
      <c r="M369" s="43">
        <v>200</v>
      </c>
      <c r="N369" s="43">
        <v>200</v>
      </c>
      <c r="O369" s="43">
        <v>200</v>
      </c>
      <c r="P369" s="43">
        <v>200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  <c r="V369" s="43">
        <v>400</v>
      </c>
      <c r="W369" s="43">
        <v>400</v>
      </c>
      <c r="X369" s="44">
        <f t="shared" si="47"/>
        <v>1800</v>
      </c>
      <c r="Y369" s="43">
        <v>400</v>
      </c>
      <c r="Z369" s="43">
        <v>400</v>
      </c>
      <c r="AA369" s="43">
        <v>400</v>
      </c>
      <c r="AB369" s="43">
        <v>400</v>
      </c>
      <c r="AC369" s="43">
        <v>400</v>
      </c>
      <c r="AD369" s="43">
        <v>400</v>
      </c>
      <c r="AE369" s="43">
        <v>0</v>
      </c>
      <c r="AF369" s="43">
        <v>0</v>
      </c>
      <c r="AG369" s="43">
        <v>0</v>
      </c>
      <c r="AH369" s="43">
        <v>0</v>
      </c>
      <c r="AI369" s="43">
        <v>0</v>
      </c>
      <c r="AJ369" s="43">
        <v>0</v>
      </c>
      <c r="AK369" s="44">
        <f t="shared" si="48"/>
        <v>2400</v>
      </c>
      <c r="AL369" s="43">
        <v>0</v>
      </c>
      <c r="AM369" s="43">
        <v>0</v>
      </c>
      <c r="AN369" s="43">
        <v>0</v>
      </c>
      <c r="AO369" s="43">
        <v>0</v>
      </c>
      <c r="AP369" s="43">
        <v>0</v>
      </c>
      <c r="AQ369" s="43">
        <v>0</v>
      </c>
      <c r="AR369" s="43">
        <v>0</v>
      </c>
      <c r="AS369" s="43">
        <v>0</v>
      </c>
      <c r="AT369" s="43">
        <v>0</v>
      </c>
      <c r="AU369" s="43">
        <v>0</v>
      </c>
      <c r="AV369" s="43">
        <v>0</v>
      </c>
      <c r="AW369" s="43">
        <v>0</v>
      </c>
      <c r="AX369" s="44">
        <f t="shared" si="49"/>
        <v>0</v>
      </c>
      <c r="AY369" s="311">
        <f>SUMIF(Recibos!$D$4:$D$7493,Cobranza!$B369,Recibos!K$4:K$7493)</f>
        <v>0</v>
      </c>
      <c r="AZ369" s="311">
        <f>SUMIF(Recibos!$D$4:$D$7493,Cobranza!$B369,Recibos!L$4:L$7493)</f>
        <v>0</v>
      </c>
      <c r="BA369" s="311">
        <f>SUMIF(Recibos!$D$4:$D$7493,Cobranza!$B369,Recibos!M$4:M$7493)</f>
        <v>0</v>
      </c>
      <c r="BB369" s="311">
        <f>SUMIF(Recibos!$D$4:$D$7493,Cobranza!$B369,Recibos!N$4:N$7493)</f>
        <v>0</v>
      </c>
      <c r="BC369" s="311">
        <f>SUMIF(Recibos!$D$4:$D$7493,Cobranza!$B369,Recibos!O$4:O$7493)</f>
        <v>0</v>
      </c>
      <c r="BD369" s="311">
        <f>SUMIF(Recibos!$D$4:$D$7493,Cobranza!$B369,Recibos!P$4:P$7493)</f>
        <v>0</v>
      </c>
      <c r="BE369" s="311">
        <f>SUMIF(Recibos!$D$4:$D$7493,Cobranza!$B369,Recibos!Q$4:Q$7493)</f>
        <v>200</v>
      </c>
      <c r="BF369" s="311">
        <f>SUMIF(Recibos!$D$4:$D$7493,Cobranza!$B369,Recibos!R$4:R$7493)</f>
        <v>200</v>
      </c>
      <c r="BG369" s="311">
        <f>SUMIF(Recibos!$D$4:$D$7493,Cobranza!$B369,Recibos!S$4:S$7493)</f>
        <v>0</v>
      </c>
      <c r="BH369" s="311">
        <f>SUMIF(Recibos!$D$4:$D$7493,Cobranza!$B369,Recibos!T$4:T$7493)</f>
        <v>0</v>
      </c>
      <c r="BI369" s="311">
        <f>SUMIF(Recibos!$D$4:$D$7493,Cobranza!$B369,Recibos!U$4:U$7493)</f>
        <v>0</v>
      </c>
      <c r="BJ369" s="311">
        <f>SUMIF(Recibos!$D$4:$D$7493,Cobranza!$B369,Recibos!V$4:V$7493)</f>
        <v>0</v>
      </c>
      <c r="BK369" s="312">
        <f t="shared" si="50"/>
        <v>400</v>
      </c>
      <c r="BL369" s="311">
        <f>SUMIF(Recibos!$D$4:$D$7493,Cobranza!$B369,Recibos!X$4:X$7493)</f>
        <v>200</v>
      </c>
      <c r="BM369" s="311">
        <f>SUMIF(Recibos!$D$4:$D$7493,Cobranza!$B369,Recibos!Y$4:Y$7493)</f>
        <v>0</v>
      </c>
      <c r="BN369" s="311">
        <f>SUMIF(Recibos!$D$4:$D$7493,Cobranza!$B369,Recibos!Z$4:Z$7493)</f>
        <v>0</v>
      </c>
      <c r="BO369" s="311">
        <f>SUMIF(Recibos!$D$4:$D$7493,Cobranza!$B369,Recibos!AA$4:AA$7493)</f>
        <v>0</v>
      </c>
      <c r="BP369" s="311">
        <f>SUMIF(Recibos!$D$4:$D$7493,Cobranza!$B369,Recibos!AB$4:AB$7493)</f>
        <v>0</v>
      </c>
      <c r="BQ369" s="311">
        <f>SUMIF(Recibos!$D$4:$D$7493,Cobranza!$B369,Recibos!AC$4:AC$7493)</f>
        <v>0</v>
      </c>
      <c r="BR369" s="311">
        <f>SUMIF(Recibos!$D$4:$D$7493,Cobranza!$B369,Recibos!AD$4:AD$7493)</f>
        <v>0</v>
      </c>
      <c r="BS369" s="311">
        <f>SUMIF(Recibos!$D$4:$D$7493,Cobranza!$B369,Recibos!AE$4:AE$7493)</f>
        <v>0</v>
      </c>
      <c r="BT369" s="311">
        <f>SUMIF(Recibos!$D$4:$D$7493,Cobranza!$B369,Recibos!AF$4:AF$7493)</f>
        <v>0</v>
      </c>
      <c r="BU369" s="311">
        <f>SUMIF(Recibos!$D$4:$D$7493,Cobranza!$B369,Recibos!AG$4:AG$7493)</f>
        <v>0</v>
      </c>
      <c r="BV369" s="311">
        <f>SUMIF(Recibos!$D$4:$D$7493,Cobranza!$B369,Recibos!AH$4:AH$7493)</f>
        <v>0</v>
      </c>
      <c r="BW369" s="311">
        <f>SUMIF(Recibos!$D$4:$D$7493,Cobranza!$B369,Recibos!AI$4:AI$7493)</f>
        <v>0</v>
      </c>
      <c r="BX369" s="312">
        <f t="shared" si="51"/>
        <v>200</v>
      </c>
      <c r="BY369" s="311">
        <f>SUMIF(Recibos!$D$4:$D$7493,Cobranza!$B369,Recibos!AK$4:AK$7493)</f>
        <v>0</v>
      </c>
      <c r="BZ369" s="311">
        <f>SUMIF(Recibos!$D$4:$D$7493,Cobranza!$B369,Recibos!AL$4:AL$7493)</f>
        <v>0</v>
      </c>
      <c r="CA369" s="311">
        <f>SUMIF(Recibos!$D$4:$D$7493,Cobranza!$B369,Recibos!AM$4:AM$7493)</f>
        <v>0</v>
      </c>
      <c r="CB369" s="311">
        <f>SUMIF(Recibos!$D$4:$D$7493,Cobranza!$B369,Recibos!AN$4:AN$7493)</f>
        <v>0</v>
      </c>
      <c r="CC369" s="311">
        <f>SUMIF(Recibos!$D$4:$D$7493,Cobranza!$B369,Recibos!AO$4:AO$7493)</f>
        <v>0</v>
      </c>
      <c r="CD369" s="311">
        <f>SUMIF(Recibos!$D$4:$D$7493,Cobranza!$B369,Recibos!AP$4:AP$7493)</f>
        <v>0</v>
      </c>
      <c r="CE369" s="311">
        <f>SUMIF(Recibos!$D$4:$D$7493,Cobranza!$B369,Recibos!AQ$4:AQ$7493)</f>
        <v>0</v>
      </c>
      <c r="CF369" s="311">
        <f>SUMIF(Recibos!$D$4:$D$7493,Cobranza!$B369,Recibos!AR$4:AR$7493)</f>
        <v>0</v>
      </c>
      <c r="CG369" s="311">
        <f>SUMIF(Recibos!$D$4:$D$7493,Cobranza!$B369,Recibos!AS$4:AS$7493)</f>
        <v>0</v>
      </c>
      <c r="CH369" s="311">
        <f>SUMIF(Recibos!$D$4:$D$7493,Cobranza!$B369,Recibos!AT$4:AT$7493)</f>
        <v>0</v>
      </c>
      <c r="CI369" s="311">
        <f>SUMIF(Recibos!$D$4:$D$7493,Cobranza!$B369,Recibos!AU$4:AU$7493)</f>
        <v>0</v>
      </c>
      <c r="CJ369" s="311">
        <f>SUMIF(Recibos!$D$4:$D$7493,Cobranza!$B369,Recibos!AV$4:AV$7493)</f>
        <v>0</v>
      </c>
      <c r="CK369" s="312">
        <f t="shared" si="45"/>
        <v>0</v>
      </c>
    </row>
    <row r="370" spans="2:89" x14ac:dyDescent="0.2">
      <c r="B370" s="45" t="s">
        <v>605</v>
      </c>
      <c r="C370" s="45" t="s">
        <v>606</v>
      </c>
      <c r="D370" s="45" t="s">
        <v>607</v>
      </c>
      <c r="E370" s="46">
        <v>0</v>
      </c>
      <c r="F370" s="46">
        <v>0</v>
      </c>
      <c r="G370" s="46">
        <v>0</v>
      </c>
      <c r="H370" s="46">
        <v>0</v>
      </c>
      <c r="I370" s="46">
        <v>0</v>
      </c>
      <c r="J370" s="46">
        <v>0</v>
      </c>
      <c r="K370" s="47">
        <f t="shared" si="46"/>
        <v>0</v>
      </c>
      <c r="L370" s="46">
        <v>0</v>
      </c>
      <c r="M370" s="46">
        <v>0</v>
      </c>
      <c r="N370" s="46">
        <v>0</v>
      </c>
      <c r="O370" s="46">
        <v>0</v>
      </c>
      <c r="P370" s="46">
        <v>0</v>
      </c>
      <c r="Q370" s="46">
        <v>0</v>
      </c>
      <c r="R370" s="46">
        <v>0</v>
      </c>
      <c r="S370" s="46">
        <v>0</v>
      </c>
      <c r="T370" s="46">
        <v>0</v>
      </c>
      <c r="U370" s="46">
        <v>0</v>
      </c>
      <c r="V370" s="46">
        <v>0</v>
      </c>
      <c r="W370" s="46">
        <v>0</v>
      </c>
      <c r="X370" s="47">
        <f t="shared" si="47"/>
        <v>0</v>
      </c>
      <c r="Y370" s="46">
        <v>0</v>
      </c>
      <c r="Z370" s="46">
        <v>0</v>
      </c>
      <c r="AA370" s="46">
        <v>0</v>
      </c>
      <c r="AB370" s="46">
        <v>0</v>
      </c>
      <c r="AC370" s="46">
        <v>0</v>
      </c>
      <c r="AD370" s="46">
        <v>0</v>
      </c>
      <c r="AE370" s="46">
        <v>0</v>
      </c>
      <c r="AF370" s="46">
        <v>0</v>
      </c>
      <c r="AG370" s="46">
        <v>0</v>
      </c>
      <c r="AH370" s="46">
        <v>0</v>
      </c>
      <c r="AI370" s="46">
        <v>0</v>
      </c>
      <c r="AJ370" s="46">
        <v>0</v>
      </c>
      <c r="AK370" s="47">
        <f t="shared" si="48"/>
        <v>0</v>
      </c>
      <c r="AL370" s="46">
        <v>0</v>
      </c>
      <c r="AM370" s="46">
        <v>0</v>
      </c>
      <c r="AN370" s="46">
        <v>0</v>
      </c>
      <c r="AO370" s="46">
        <v>0</v>
      </c>
      <c r="AP370" s="46">
        <v>0</v>
      </c>
      <c r="AQ370" s="46">
        <v>0</v>
      </c>
      <c r="AR370" s="46">
        <v>0</v>
      </c>
      <c r="AS370" s="46">
        <v>0</v>
      </c>
      <c r="AT370" s="46">
        <v>400</v>
      </c>
      <c r="AU370" s="46">
        <v>400</v>
      </c>
      <c r="AV370" s="46">
        <v>400</v>
      </c>
      <c r="AW370" s="46">
        <v>400</v>
      </c>
      <c r="AX370" s="47">
        <f t="shared" si="49"/>
        <v>1600</v>
      </c>
      <c r="AY370" s="313">
        <f>SUMIF(Recibos!$D$4:$D$7493,Cobranza!$B370,Recibos!K$4:K$7493)</f>
        <v>400</v>
      </c>
      <c r="AZ370" s="313">
        <f>SUMIF(Recibos!$D$4:$D$7493,Cobranza!$B370,Recibos!L$4:L$7493)</f>
        <v>400</v>
      </c>
      <c r="BA370" s="313">
        <f>SUMIF(Recibos!$D$4:$D$7493,Cobranza!$B370,Recibos!M$4:M$7493)</f>
        <v>300</v>
      </c>
      <c r="BB370" s="313">
        <f>SUMIF(Recibos!$D$4:$D$7493,Cobranza!$B370,Recibos!N$4:N$7493)</f>
        <v>300</v>
      </c>
      <c r="BC370" s="313">
        <f>SUMIF(Recibos!$D$4:$D$7493,Cobranza!$B370,Recibos!O$4:O$7493)</f>
        <v>300</v>
      </c>
      <c r="BD370" s="313">
        <f>SUMIF(Recibos!$D$4:$D$7493,Cobranza!$B370,Recibos!P$4:P$7493)</f>
        <v>300</v>
      </c>
      <c r="BE370" s="313">
        <f>SUMIF(Recibos!$D$4:$D$7493,Cobranza!$B370,Recibos!Q$4:Q$7493)</f>
        <v>300</v>
      </c>
      <c r="BF370" s="313">
        <f>SUMIF(Recibos!$D$4:$D$7493,Cobranza!$B370,Recibos!R$4:R$7493)</f>
        <v>300</v>
      </c>
      <c r="BG370" s="313">
        <f>SUMIF(Recibos!$D$4:$D$7493,Cobranza!$B370,Recibos!S$4:S$7493)</f>
        <v>300</v>
      </c>
      <c r="BH370" s="313">
        <f>SUMIF(Recibos!$D$4:$D$7493,Cobranza!$B370,Recibos!T$4:T$7493)</f>
        <v>300</v>
      </c>
      <c r="BI370" s="313">
        <f>SUMIF(Recibos!$D$4:$D$7493,Cobranza!$B370,Recibos!U$4:U$7493)</f>
        <v>300</v>
      </c>
      <c r="BJ370" s="313">
        <f>SUMIF(Recibos!$D$4:$D$7493,Cobranza!$B370,Recibos!V$4:V$7493)</f>
        <v>300</v>
      </c>
      <c r="BK370" s="314">
        <f t="shared" si="50"/>
        <v>3800</v>
      </c>
      <c r="BL370" s="313">
        <f>SUMIF(Recibos!$D$4:$D$7493,Cobranza!$B370,Recibos!X$4:X$7493)</f>
        <v>300</v>
      </c>
      <c r="BM370" s="313">
        <f>SUMIF(Recibos!$D$4:$D$7493,Cobranza!$B370,Recibos!Y$4:Y$7493)</f>
        <v>300</v>
      </c>
      <c r="BN370" s="313">
        <f>SUMIF(Recibos!$D$4:$D$7493,Cobranza!$B370,Recibos!Z$4:Z$7493)</f>
        <v>300</v>
      </c>
      <c r="BO370" s="313">
        <f>SUMIF(Recibos!$D$4:$D$7493,Cobranza!$B370,Recibos!AA$4:AA$7493)</f>
        <v>300</v>
      </c>
      <c r="BP370" s="313">
        <f>SUMIF(Recibos!$D$4:$D$7493,Cobranza!$B370,Recibos!AB$4:AB$7493)</f>
        <v>300</v>
      </c>
      <c r="BQ370" s="313">
        <f>SUMIF(Recibos!$D$4:$D$7493,Cobranza!$B370,Recibos!AC$4:AC$7493)</f>
        <v>300</v>
      </c>
      <c r="BR370" s="313">
        <f>SUMIF(Recibos!$D$4:$D$7493,Cobranza!$B370,Recibos!AD$4:AD$7493)</f>
        <v>300</v>
      </c>
      <c r="BS370" s="313">
        <f>SUMIF(Recibos!$D$4:$D$7493,Cobranza!$B370,Recibos!AE$4:AE$7493)</f>
        <v>300</v>
      </c>
      <c r="BT370" s="313">
        <f>SUMIF(Recibos!$D$4:$D$7493,Cobranza!$B370,Recibos!AF$4:AF$7493)</f>
        <v>300</v>
      </c>
      <c r="BU370" s="313">
        <f>SUMIF(Recibos!$D$4:$D$7493,Cobranza!$B370,Recibos!AG$4:AG$7493)</f>
        <v>300</v>
      </c>
      <c r="BV370" s="313">
        <f>SUMIF(Recibos!$D$4:$D$7493,Cobranza!$B370,Recibos!AH$4:AH$7493)</f>
        <v>300</v>
      </c>
      <c r="BW370" s="313">
        <f>SUMIF(Recibos!$D$4:$D$7493,Cobranza!$B370,Recibos!AI$4:AI$7493)</f>
        <v>0</v>
      </c>
      <c r="BX370" s="314">
        <f t="shared" si="51"/>
        <v>3300</v>
      </c>
      <c r="BY370" s="313">
        <f>SUMIF(Recibos!$D$4:$D$7493,Cobranza!$B370,Recibos!AK$4:AK$7493)</f>
        <v>300</v>
      </c>
      <c r="BZ370" s="313">
        <f>SUMIF(Recibos!$D$4:$D$7493,Cobranza!$B370,Recibos!AL$4:AL$7493)</f>
        <v>300</v>
      </c>
      <c r="CA370" s="313">
        <f>SUMIF(Recibos!$D$4:$D$7493,Cobranza!$B370,Recibos!AM$4:AM$7493)</f>
        <v>300</v>
      </c>
      <c r="CB370" s="313">
        <f>SUMIF(Recibos!$D$4:$D$7493,Cobranza!$B370,Recibos!AN$4:AN$7493)</f>
        <v>300</v>
      </c>
      <c r="CC370" s="313">
        <f>SUMIF(Recibos!$D$4:$D$7493,Cobranza!$B370,Recibos!AO$4:AO$7493)</f>
        <v>0</v>
      </c>
      <c r="CD370" s="313">
        <f>SUMIF(Recibos!$D$4:$D$7493,Cobranza!$B370,Recibos!AP$4:AP$7493)</f>
        <v>0</v>
      </c>
      <c r="CE370" s="313">
        <f>SUMIF(Recibos!$D$4:$D$7493,Cobranza!$B370,Recibos!AQ$4:AQ$7493)</f>
        <v>0</v>
      </c>
      <c r="CF370" s="313">
        <f>SUMIF(Recibos!$D$4:$D$7493,Cobranza!$B370,Recibos!AR$4:AR$7493)</f>
        <v>0</v>
      </c>
      <c r="CG370" s="313">
        <f>SUMIF(Recibos!$D$4:$D$7493,Cobranza!$B370,Recibos!AS$4:AS$7493)</f>
        <v>0</v>
      </c>
      <c r="CH370" s="313">
        <f>SUMIF(Recibos!$D$4:$D$7493,Cobranza!$B370,Recibos!AT$4:AT$7493)</f>
        <v>0</v>
      </c>
      <c r="CI370" s="313">
        <f>SUMIF(Recibos!$D$4:$D$7493,Cobranza!$B370,Recibos!AU$4:AU$7493)</f>
        <v>0</v>
      </c>
      <c r="CJ370" s="313">
        <f>SUMIF(Recibos!$D$4:$D$7493,Cobranza!$B370,Recibos!AV$4:AV$7493)</f>
        <v>0</v>
      </c>
      <c r="CK370" s="314">
        <f t="shared" si="45"/>
        <v>1200</v>
      </c>
    </row>
    <row r="371" spans="2:89" x14ac:dyDescent="0.2">
      <c r="B371" s="42" t="s">
        <v>1122</v>
      </c>
      <c r="C371" s="42" t="s">
        <v>1123</v>
      </c>
      <c r="D371" s="42" t="s">
        <v>1124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4">
        <f t="shared" si="46"/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  <c r="V371" s="43">
        <v>0</v>
      </c>
      <c r="W371" s="43">
        <v>0</v>
      </c>
      <c r="X371" s="44">
        <f t="shared" si="47"/>
        <v>0</v>
      </c>
      <c r="Y371" s="43">
        <v>0</v>
      </c>
      <c r="Z371" s="43">
        <v>0</v>
      </c>
      <c r="AA371" s="43">
        <v>0</v>
      </c>
      <c r="AB371" s="43">
        <v>0</v>
      </c>
      <c r="AC371" s="43">
        <v>0</v>
      </c>
      <c r="AD371" s="43">
        <v>0</v>
      </c>
      <c r="AE371" s="43">
        <v>0</v>
      </c>
      <c r="AF371" s="43">
        <v>0</v>
      </c>
      <c r="AG371" s="43">
        <v>0</v>
      </c>
      <c r="AH371" s="43">
        <v>0</v>
      </c>
      <c r="AI371" s="43">
        <v>0</v>
      </c>
      <c r="AJ371" s="43">
        <v>0</v>
      </c>
      <c r="AK371" s="44">
        <f t="shared" si="48"/>
        <v>0</v>
      </c>
      <c r="AL371" s="43">
        <v>0</v>
      </c>
      <c r="AM371" s="43">
        <v>0</v>
      </c>
      <c r="AN371" s="43">
        <v>0</v>
      </c>
      <c r="AO371" s="43">
        <v>0</v>
      </c>
      <c r="AP371" s="43">
        <v>0</v>
      </c>
      <c r="AQ371" s="43">
        <v>0</v>
      </c>
      <c r="AR371" s="43">
        <v>0</v>
      </c>
      <c r="AS371" s="43">
        <v>0</v>
      </c>
      <c r="AT371" s="43">
        <v>0</v>
      </c>
      <c r="AU371" s="43">
        <v>0</v>
      </c>
      <c r="AV371" s="43">
        <v>0</v>
      </c>
      <c r="AW371" s="43">
        <v>0</v>
      </c>
      <c r="AX371" s="44">
        <f t="shared" si="49"/>
        <v>0</v>
      </c>
      <c r="AY371" s="311">
        <f>SUMIF(Recibos!$D$4:$D$7493,Cobranza!$B371,Recibos!K$4:K$7493)</f>
        <v>0</v>
      </c>
      <c r="AZ371" s="311">
        <f>SUMIF(Recibos!$D$4:$D$7493,Cobranza!$B371,Recibos!L$4:L$7493)</f>
        <v>0</v>
      </c>
      <c r="BA371" s="311">
        <f>SUMIF(Recibos!$D$4:$D$7493,Cobranza!$B371,Recibos!M$4:M$7493)</f>
        <v>0</v>
      </c>
      <c r="BB371" s="311">
        <f>SUMIF(Recibos!$D$4:$D$7493,Cobranza!$B371,Recibos!N$4:N$7493)</f>
        <v>0</v>
      </c>
      <c r="BC371" s="311">
        <f>SUMIF(Recibos!$D$4:$D$7493,Cobranza!$B371,Recibos!O$4:O$7493)</f>
        <v>0</v>
      </c>
      <c r="BD371" s="311">
        <f>SUMIF(Recibos!$D$4:$D$7493,Cobranza!$B371,Recibos!P$4:P$7493)</f>
        <v>0</v>
      </c>
      <c r="BE371" s="311">
        <f>SUMIF(Recibos!$D$4:$D$7493,Cobranza!$B371,Recibos!Q$4:Q$7493)</f>
        <v>0</v>
      </c>
      <c r="BF371" s="311">
        <f>SUMIF(Recibos!$D$4:$D$7493,Cobranza!$B371,Recibos!R$4:R$7493)</f>
        <v>100</v>
      </c>
      <c r="BG371" s="311">
        <f>SUMIF(Recibos!$D$4:$D$7493,Cobranza!$B371,Recibos!S$4:S$7493)</f>
        <v>100</v>
      </c>
      <c r="BH371" s="311">
        <f>SUMIF(Recibos!$D$4:$D$7493,Cobranza!$B371,Recibos!T$4:T$7493)</f>
        <v>0</v>
      </c>
      <c r="BI371" s="311">
        <f>SUMIF(Recibos!$D$4:$D$7493,Cobranza!$B371,Recibos!U$4:U$7493)</f>
        <v>0</v>
      </c>
      <c r="BJ371" s="311">
        <f>SUMIF(Recibos!$D$4:$D$7493,Cobranza!$B371,Recibos!V$4:V$7493)</f>
        <v>0</v>
      </c>
      <c r="BK371" s="312">
        <f t="shared" si="50"/>
        <v>200</v>
      </c>
      <c r="BL371" s="311">
        <f>SUMIF(Recibos!$D$4:$D$7493,Cobranza!$B371,Recibos!X$4:X$7493)</f>
        <v>0</v>
      </c>
      <c r="BM371" s="311">
        <f>SUMIF(Recibos!$D$4:$D$7493,Cobranza!$B371,Recibos!Y$4:Y$7493)</f>
        <v>0</v>
      </c>
      <c r="BN371" s="311">
        <f>SUMIF(Recibos!$D$4:$D$7493,Cobranza!$B371,Recibos!Z$4:Z$7493)</f>
        <v>0</v>
      </c>
      <c r="BO371" s="311">
        <f>SUMIF(Recibos!$D$4:$D$7493,Cobranza!$B371,Recibos!AA$4:AA$7493)</f>
        <v>0</v>
      </c>
      <c r="BP371" s="311">
        <f>SUMIF(Recibos!$D$4:$D$7493,Cobranza!$B371,Recibos!AB$4:AB$7493)</f>
        <v>0</v>
      </c>
      <c r="BQ371" s="311">
        <f>SUMIF(Recibos!$D$4:$D$7493,Cobranza!$B371,Recibos!AC$4:AC$7493)</f>
        <v>0</v>
      </c>
      <c r="BR371" s="311">
        <f>SUMIF(Recibos!$D$4:$D$7493,Cobranza!$B371,Recibos!AD$4:AD$7493)</f>
        <v>0</v>
      </c>
      <c r="BS371" s="311">
        <f>SUMIF(Recibos!$D$4:$D$7493,Cobranza!$B371,Recibos!AE$4:AE$7493)</f>
        <v>0</v>
      </c>
      <c r="BT371" s="311">
        <f>SUMIF(Recibos!$D$4:$D$7493,Cobranza!$B371,Recibos!AF$4:AF$7493)</f>
        <v>0</v>
      </c>
      <c r="BU371" s="311">
        <f>SUMIF(Recibos!$D$4:$D$7493,Cobranza!$B371,Recibos!AG$4:AG$7493)</f>
        <v>0</v>
      </c>
      <c r="BV371" s="311">
        <f>SUMIF(Recibos!$D$4:$D$7493,Cobranza!$B371,Recibos!AH$4:AH$7493)</f>
        <v>0</v>
      </c>
      <c r="BW371" s="311">
        <f>SUMIF(Recibos!$D$4:$D$7493,Cobranza!$B371,Recibos!AI$4:AI$7493)</f>
        <v>0</v>
      </c>
      <c r="BX371" s="312">
        <f t="shared" si="51"/>
        <v>0</v>
      </c>
      <c r="BY371" s="311">
        <f>SUMIF(Recibos!$D$4:$D$7493,Cobranza!$B371,Recibos!AK$4:AK$7493)</f>
        <v>0</v>
      </c>
      <c r="BZ371" s="311">
        <f>SUMIF(Recibos!$D$4:$D$7493,Cobranza!$B371,Recibos!AL$4:AL$7493)</f>
        <v>0</v>
      </c>
      <c r="CA371" s="311">
        <f>SUMIF(Recibos!$D$4:$D$7493,Cobranza!$B371,Recibos!AM$4:AM$7493)</f>
        <v>0</v>
      </c>
      <c r="CB371" s="311">
        <f>SUMIF(Recibos!$D$4:$D$7493,Cobranza!$B371,Recibos!AN$4:AN$7493)</f>
        <v>0</v>
      </c>
      <c r="CC371" s="311">
        <f>SUMIF(Recibos!$D$4:$D$7493,Cobranza!$B371,Recibos!AO$4:AO$7493)</f>
        <v>0</v>
      </c>
      <c r="CD371" s="311">
        <f>SUMIF(Recibos!$D$4:$D$7493,Cobranza!$B371,Recibos!AP$4:AP$7493)</f>
        <v>0</v>
      </c>
      <c r="CE371" s="311">
        <f>SUMIF(Recibos!$D$4:$D$7493,Cobranza!$B371,Recibos!AQ$4:AQ$7493)</f>
        <v>0</v>
      </c>
      <c r="CF371" s="311">
        <f>SUMIF(Recibos!$D$4:$D$7493,Cobranza!$B371,Recibos!AR$4:AR$7493)</f>
        <v>0</v>
      </c>
      <c r="CG371" s="311">
        <f>SUMIF(Recibos!$D$4:$D$7493,Cobranza!$B371,Recibos!AS$4:AS$7493)</f>
        <v>0</v>
      </c>
      <c r="CH371" s="311">
        <f>SUMIF(Recibos!$D$4:$D$7493,Cobranza!$B371,Recibos!AT$4:AT$7493)</f>
        <v>0</v>
      </c>
      <c r="CI371" s="311">
        <f>SUMIF(Recibos!$D$4:$D$7493,Cobranza!$B371,Recibos!AU$4:AU$7493)</f>
        <v>0</v>
      </c>
      <c r="CJ371" s="311">
        <f>SUMIF(Recibos!$D$4:$D$7493,Cobranza!$B371,Recibos!AV$4:AV$7493)</f>
        <v>0</v>
      </c>
      <c r="CK371" s="312">
        <f t="shared" si="45"/>
        <v>0</v>
      </c>
    </row>
    <row r="372" spans="2:89" x14ac:dyDescent="0.2">
      <c r="B372" s="45" t="s">
        <v>301</v>
      </c>
      <c r="C372" s="45" t="s">
        <v>302</v>
      </c>
      <c r="D372" s="45" t="s">
        <v>303</v>
      </c>
      <c r="E372" s="46">
        <v>0</v>
      </c>
      <c r="F372" s="46">
        <v>0</v>
      </c>
      <c r="G372" s="46">
        <v>0</v>
      </c>
      <c r="H372" s="46">
        <v>0</v>
      </c>
      <c r="I372" s="46">
        <v>0</v>
      </c>
      <c r="J372" s="46">
        <v>300</v>
      </c>
      <c r="K372" s="47">
        <f t="shared" si="46"/>
        <v>300</v>
      </c>
      <c r="L372" s="46">
        <v>300</v>
      </c>
      <c r="M372" s="46">
        <v>0</v>
      </c>
      <c r="N372" s="46">
        <v>0</v>
      </c>
      <c r="O372" s="46">
        <v>0</v>
      </c>
      <c r="P372" s="46">
        <v>0</v>
      </c>
      <c r="Q372" s="46">
        <v>0</v>
      </c>
      <c r="R372" s="46">
        <v>0</v>
      </c>
      <c r="S372" s="46">
        <v>0</v>
      </c>
      <c r="T372" s="46">
        <v>0</v>
      </c>
      <c r="U372" s="46">
        <v>0</v>
      </c>
      <c r="V372" s="46">
        <v>0</v>
      </c>
      <c r="W372" s="46">
        <v>0</v>
      </c>
      <c r="X372" s="47">
        <f t="shared" si="47"/>
        <v>300</v>
      </c>
      <c r="Y372" s="46">
        <v>0</v>
      </c>
      <c r="Z372" s="46">
        <v>0</v>
      </c>
      <c r="AA372" s="46">
        <v>0</v>
      </c>
      <c r="AB372" s="46">
        <v>0</v>
      </c>
      <c r="AC372" s="46">
        <v>0</v>
      </c>
      <c r="AD372" s="46">
        <v>0</v>
      </c>
      <c r="AE372" s="46">
        <v>0</v>
      </c>
      <c r="AF372" s="46">
        <v>0</v>
      </c>
      <c r="AG372" s="46">
        <v>0</v>
      </c>
      <c r="AH372" s="46">
        <v>0</v>
      </c>
      <c r="AI372" s="46">
        <v>0</v>
      </c>
      <c r="AJ372" s="46">
        <v>0</v>
      </c>
      <c r="AK372" s="47">
        <f t="shared" si="48"/>
        <v>0</v>
      </c>
      <c r="AL372" s="46">
        <v>0</v>
      </c>
      <c r="AM372" s="46">
        <v>200</v>
      </c>
      <c r="AN372" s="46">
        <v>200</v>
      </c>
      <c r="AO372" s="46">
        <v>200</v>
      </c>
      <c r="AP372" s="46">
        <v>200</v>
      </c>
      <c r="AQ372" s="46">
        <v>200</v>
      </c>
      <c r="AR372" s="46">
        <v>200</v>
      </c>
      <c r="AS372" s="46">
        <v>200</v>
      </c>
      <c r="AT372" s="46">
        <v>200</v>
      </c>
      <c r="AU372" s="46">
        <v>200</v>
      </c>
      <c r="AV372" s="46">
        <v>200</v>
      </c>
      <c r="AW372" s="46">
        <v>200</v>
      </c>
      <c r="AX372" s="47">
        <f t="shared" si="49"/>
        <v>2200</v>
      </c>
      <c r="AY372" s="313">
        <f>SUMIF(Recibos!$D$4:$D$7493,Cobranza!$B372,Recibos!K$4:K$7493)</f>
        <v>200</v>
      </c>
      <c r="AZ372" s="313">
        <f>SUMIF(Recibos!$D$4:$D$7493,Cobranza!$B372,Recibos!L$4:L$7493)</f>
        <v>200</v>
      </c>
      <c r="BA372" s="313">
        <f>SUMIF(Recibos!$D$4:$D$7493,Cobranza!$B372,Recibos!M$4:M$7493)</f>
        <v>200</v>
      </c>
      <c r="BB372" s="313">
        <f>SUMIF(Recibos!$D$4:$D$7493,Cobranza!$B372,Recibos!N$4:N$7493)</f>
        <v>200</v>
      </c>
      <c r="BC372" s="313">
        <f>SUMIF(Recibos!$D$4:$D$7493,Cobranza!$B372,Recibos!O$4:O$7493)</f>
        <v>200</v>
      </c>
      <c r="BD372" s="313">
        <f>SUMIF(Recibos!$D$4:$D$7493,Cobranza!$B372,Recibos!P$4:P$7493)</f>
        <v>200</v>
      </c>
      <c r="BE372" s="313">
        <f>SUMIF(Recibos!$D$4:$D$7493,Cobranza!$B372,Recibos!Q$4:Q$7493)</f>
        <v>200</v>
      </c>
      <c r="BF372" s="313">
        <f>SUMIF(Recibos!$D$4:$D$7493,Cobranza!$B372,Recibos!R$4:R$7493)</f>
        <v>200</v>
      </c>
      <c r="BG372" s="313">
        <f>SUMIF(Recibos!$D$4:$D$7493,Cobranza!$B372,Recibos!S$4:S$7493)</f>
        <v>200</v>
      </c>
      <c r="BH372" s="313">
        <f>SUMIF(Recibos!$D$4:$D$7493,Cobranza!$B372,Recibos!T$4:T$7493)</f>
        <v>200</v>
      </c>
      <c r="BI372" s="313">
        <f>SUMIF(Recibos!$D$4:$D$7493,Cobranza!$B372,Recibos!U$4:U$7493)</f>
        <v>200</v>
      </c>
      <c r="BJ372" s="313">
        <f>SUMIF(Recibos!$D$4:$D$7493,Cobranza!$B372,Recibos!V$4:V$7493)</f>
        <v>200</v>
      </c>
      <c r="BK372" s="314">
        <f t="shared" si="50"/>
        <v>2400</v>
      </c>
      <c r="BL372" s="313">
        <f>SUMIF(Recibos!$D$4:$D$7493,Cobranza!$B372,Recibos!X$4:X$7493)</f>
        <v>200</v>
      </c>
      <c r="BM372" s="313">
        <f>SUMIF(Recibos!$D$4:$D$7493,Cobranza!$B372,Recibos!Y$4:Y$7493)</f>
        <v>200</v>
      </c>
      <c r="BN372" s="313">
        <f>SUMIF(Recibos!$D$4:$D$7493,Cobranza!$B372,Recibos!Z$4:Z$7493)</f>
        <v>200</v>
      </c>
      <c r="BO372" s="313">
        <f>SUMIF(Recibos!$D$4:$D$7493,Cobranza!$B372,Recibos!AA$4:AA$7493)</f>
        <v>200</v>
      </c>
      <c r="BP372" s="313">
        <f>SUMIF(Recibos!$D$4:$D$7493,Cobranza!$B372,Recibos!AB$4:AB$7493)</f>
        <v>200</v>
      </c>
      <c r="BQ372" s="313">
        <f>SUMIF(Recibos!$D$4:$D$7493,Cobranza!$B372,Recibos!AC$4:AC$7493)</f>
        <v>200</v>
      </c>
      <c r="BR372" s="313">
        <f>SUMIF(Recibos!$D$4:$D$7493,Cobranza!$B372,Recibos!AD$4:AD$7493)</f>
        <v>200</v>
      </c>
      <c r="BS372" s="313">
        <f>SUMIF(Recibos!$D$4:$D$7493,Cobranza!$B372,Recibos!AE$4:AE$7493)</f>
        <v>200</v>
      </c>
      <c r="BT372" s="313">
        <f>SUMIF(Recibos!$D$4:$D$7493,Cobranza!$B372,Recibos!AF$4:AF$7493)</f>
        <v>200</v>
      </c>
      <c r="BU372" s="313">
        <f>SUMIF(Recibos!$D$4:$D$7493,Cobranza!$B372,Recibos!AG$4:AG$7493)</f>
        <v>200</v>
      </c>
      <c r="BV372" s="313">
        <f>SUMIF(Recibos!$D$4:$D$7493,Cobranza!$B372,Recibos!AH$4:AH$7493)</f>
        <v>200</v>
      </c>
      <c r="BW372" s="313">
        <f>SUMIF(Recibos!$D$4:$D$7493,Cobranza!$B372,Recibos!AI$4:AI$7493)</f>
        <v>200</v>
      </c>
      <c r="BX372" s="314">
        <f t="shared" si="51"/>
        <v>2400</v>
      </c>
      <c r="BY372" s="313">
        <f>SUMIF(Recibos!$D$4:$D$7493,Cobranza!$B372,Recibos!AK$4:AK$7493)</f>
        <v>200</v>
      </c>
      <c r="BZ372" s="313">
        <f>SUMIF(Recibos!$D$4:$D$7493,Cobranza!$B372,Recibos!AL$4:AL$7493)</f>
        <v>200</v>
      </c>
      <c r="CA372" s="313">
        <f>SUMIF(Recibos!$D$4:$D$7493,Cobranza!$B372,Recibos!AM$4:AM$7493)</f>
        <v>0</v>
      </c>
      <c r="CB372" s="313">
        <f>SUMIF(Recibos!$D$4:$D$7493,Cobranza!$B372,Recibos!AN$4:AN$7493)</f>
        <v>0</v>
      </c>
      <c r="CC372" s="313">
        <f>SUMIF(Recibos!$D$4:$D$7493,Cobranza!$B372,Recibos!AO$4:AO$7493)</f>
        <v>0</v>
      </c>
      <c r="CD372" s="313">
        <f>SUMIF(Recibos!$D$4:$D$7493,Cobranza!$B372,Recibos!AP$4:AP$7493)</f>
        <v>200</v>
      </c>
      <c r="CE372" s="313">
        <f>SUMIF(Recibos!$D$4:$D$7493,Cobranza!$B372,Recibos!AQ$4:AQ$7493)</f>
        <v>200</v>
      </c>
      <c r="CF372" s="313">
        <f>SUMIF(Recibos!$D$4:$D$7493,Cobranza!$B372,Recibos!AR$4:AR$7493)</f>
        <v>200</v>
      </c>
      <c r="CG372" s="313">
        <f>SUMIF(Recibos!$D$4:$D$7493,Cobranza!$B372,Recibos!AS$4:AS$7493)</f>
        <v>200</v>
      </c>
      <c r="CH372" s="313">
        <f>SUMIF(Recibos!$D$4:$D$7493,Cobranza!$B372,Recibos!AT$4:AT$7493)</f>
        <v>200</v>
      </c>
      <c r="CI372" s="313">
        <f>SUMIF(Recibos!$D$4:$D$7493,Cobranza!$B372,Recibos!AU$4:AU$7493)</f>
        <v>0</v>
      </c>
      <c r="CJ372" s="313">
        <f>SUMIF(Recibos!$D$4:$D$7493,Cobranza!$B372,Recibos!AV$4:AV$7493)</f>
        <v>0</v>
      </c>
      <c r="CK372" s="314">
        <f t="shared" si="45"/>
        <v>1400</v>
      </c>
    </row>
    <row r="373" spans="2:89" x14ac:dyDescent="0.2">
      <c r="B373" s="42" t="s">
        <v>758</v>
      </c>
      <c r="C373" s="42" t="s">
        <v>759</v>
      </c>
      <c r="D373" s="42" t="s">
        <v>760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4">
        <f t="shared" si="46"/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  <c r="V373" s="43">
        <v>0</v>
      </c>
      <c r="W373" s="43">
        <v>0</v>
      </c>
      <c r="X373" s="44">
        <f t="shared" si="47"/>
        <v>0</v>
      </c>
      <c r="Y373" s="43">
        <v>350</v>
      </c>
      <c r="Z373" s="43">
        <v>350</v>
      </c>
      <c r="AA373" s="43">
        <v>350</v>
      </c>
      <c r="AB373" s="43">
        <v>150</v>
      </c>
      <c r="AC373" s="43">
        <v>150</v>
      </c>
      <c r="AD373" s="43">
        <v>150</v>
      </c>
      <c r="AE373" s="43">
        <v>150</v>
      </c>
      <c r="AF373" s="43">
        <v>150</v>
      </c>
      <c r="AG373" s="43">
        <v>150</v>
      </c>
      <c r="AH373" s="43">
        <v>150</v>
      </c>
      <c r="AI373" s="43">
        <v>150</v>
      </c>
      <c r="AJ373" s="43">
        <v>150</v>
      </c>
      <c r="AK373" s="44">
        <f t="shared" si="48"/>
        <v>2400</v>
      </c>
      <c r="AL373" s="43">
        <v>150</v>
      </c>
      <c r="AM373" s="43">
        <v>0</v>
      </c>
      <c r="AN373" s="43">
        <v>0</v>
      </c>
      <c r="AO373" s="43">
        <v>0</v>
      </c>
      <c r="AP373" s="43">
        <v>0</v>
      </c>
      <c r="AQ373" s="43">
        <v>0</v>
      </c>
      <c r="AR373" s="43">
        <v>0</v>
      </c>
      <c r="AS373" s="43">
        <v>0</v>
      </c>
      <c r="AT373" s="43">
        <v>0</v>
      </c>
      <c r="AU373" s="43">
        <v>0</v>
      </c>
      <c r="AV373" s="43">
        <v>0</v>
      </c>
      <c r="AW373" s="43">
        <v>0</v>
      </c>
      <c r="AX373" s="44">
        <f t="shared" si="49"/>
        <v>150</v>
      </c>
      <c r="AY373" s="311">
        <f>SUMIF(Recibos!$D$4:$D$7493,Cobranza!$B373,Recibos!K$4:K$7493)</f>
        <v>150</v>
      </c>
      <c r="AZ373" s="311">
        <f>SUMIF(Recibos!$D$4:$D$7493,Cobranza!$B373,Recibos!L$4:L$7493)</f>
        <v>150</v>
      </c>
      <c r="BA373" s="311">
        <f>SUMIF(Recibos!$D$4:$D$7493,Cobranza!$B373,Recibos!M$4:M$7493)</f>
        <v>150</v>
      </c>
      <c r="BB373" s="311">
        <f>SUMIF(Recibos!$D$4:$D$7493,Cobranza!$B373,Recibos!N$4:N$7493)</f>
        <v>150</v>
      </c>
      <c r="BC373" s="311">
        <f>SUMIF(Recibos!$D$4:$D$7493,Cobranza!$B373,Recibos!O$4:O$7493)</f>
        <v>150</v>
      </c>
      <c r="BD373" s="311">
        <f>SUMIF(Recibos!$D$4:$D$7493,Cobranza!$B373,Recibos!P$4:P$7493)</f>
        <v>150</v>
      </c>
      <c r="BE373" s="311">
        <f>SUMIF(Recibos!$D$4:$D$7493,Cobranza!$B373,Recibos!Q$4:Q$7493)</f>
        <v>150</v>
      </c>
      <c r="BF373" s="311">
        <f>SUMIF(Recibos!$D$4:$D$7493,Cobranza!$B373,Recibos!R$4:R$7493)</f>
        <v>150</v>
      </c>
      <c r="BG373" s="311">
        <f>SUMIF(Recibos!$D$4:$D$7493,Cobranza!$B373,Recibos!S$4:S$7493)</f>
        <v>150</v>
      </c>
      <c r="BH373" s="311">
        <f>SUMIF(Recibos!$D$4:$D$7493,Cobranza!$B373,Recibos!T$4:T$7493)</f>
        <v>150</v>
      </c>
      <c r="BI373" s="311">
        <f>SUMIF(Recibos!$D$4:$D$7493,Cobranza!$B373,Recibos!U$4:U$7493)</f>
        <v>150</v>
      </c>
      <c r="BJ373" s="311">
        <f>SUMIF(Recibos!$D$4:$D$7493,Cobranza!$B373,Recibos!V$4:V$7493)</f>
        <v>150</v>
      </c>
      <c r="BK373" s="312">
        <f t="shared" si="50"/>
        <v>1800</v>
      </c>
      <c r="BL373" s="311">
        <f>SUMIF(Recibos!$D$4:$D$7493,Cobranza!$B373,Recibos!X$4:X$7493)</f>
        <v>150</v>
      </c>
      <c r="BM373" s="311">
        <f>SUMIF(Recibos!$D$4:$D$7493,Cobranza!$B373,Recibos!Y$4:Y$7493)</f>
        <v>150</v>
      </c>
      <c r="BN373" s="311">
        <f>SUMIF(Recibos!$D$4:$D$7493,Cobranza!$B373,Recibos!Z$4:Z$7493)</f>
        <v>150</v>
      </c>
      <c r="BO373" s="311">
        <f>SUMIF(Recibos!$D$4:$D$7493,Cobranza!$B373,Recibos!AA$4:AA$7493)</f>
        <v>150</v>
      </c>
      <c r="BP373" s="311">
        <f>SUMIF(Recibos!$D$4:$D$7493,Cobranza!$B373,Recibos!AB$4:AB$7493)</f>
        <v>150</v>
      </c>
      <c r="BQ373" s="311">
        <f>SUMIF(Recibos!$D$4:$D$7493,Cobranza!$B373,Recibos!AC$4:AC$7493)</f>
        <v>150</v>
      </c>
      <c r="BR373" s="311">
        <f>SUMIF(Recibos!$D$4:$D$7493,Cobranza!$B373,Recibos!AD$4:AD$7493)</f>
        <v>150</v>
      </c>
      <c r="BS373" s="311">
        <f>SUMIF(Recibos!$D$4:$D$7493,Cobranza!$B373,Recibos!AE$4:AE$7493)</f>
        <v>150</v>
      </c>
      <c r="BT373" s="311">
        <f>SUMIF(Recibos!$D$4:$D$7493,Cobranza!$B373,Recibos!AF$4:AF$7493)</f>
        <v>150</v>
      </c>
      <c r="BU373" s="311">
        <f>SUMIF(Recibos!$D$4:$D$7493,Cobranza!$B373,Recibos!AG$4:AG$7493)</f>
        <v>150</v>
      </c>
      <c r="BV373" s="311">
        <f>SUMIF(Recibos!$D$4:$D$7493,Cobranza!$B373,Recibos!AH$4:AH$7493)</f>
        <v>150</v>
      </c>
      <c r="BW373" s="311">
        <f>SUMIF(Recibos!$D$4:$D$7493,Cobranza!$B373,Recibos!AI$4:AI$7493)</f>
        <v>150</v>
      </c>
      <c r="BX373" s="312">
        <f t="shared" si="51"/>
        <v>1800</v>
      </c>
      <c r="BY373" s="311">
        <f>SUMIF(Recibos!$D$4:$D$7493,Cobranza!$B373,Recibos!AK$4:AK$7493)</f>
        <v>150</v>
      </c>
      <c r="BZ373" s="311">
        <f>SUMIF(Recibos!$D$4:$D$7493,Cobranza!$B373,Recibos!AL$4:AL$7493)</f>
        <v>150</v>
      </c>
      <c r="CA373" s="311">
        <f>SUMIF(Recibos!$D$4:$D$7493,Cobranza!$B373,Recibos!AM$4:AM$7493)</f>
        <v>150</v>
      </c>
      <c r="CB373" s="311">
        <f>SUMIF(Recibos!$D$4:$D$7493,Cobranza!$B373,Recibos!AN$4:AN$7493)</f>
        <v>150</v>
      </c>
      <c r="CC373" s="311">
        <f>SUMIF(Recibos!$D$4:$D$7493,Cobranza!$B373,Recibos!AO$4:AO$7493)</f>
        <v>150</v>
      </c>
      <c r="CD373" s="311">
        <f>SUMIF(Recibos!$D$4:$D$7493,Cobranza!$B373,Recibos!AP$4:AP$7493)</f>
        <v>150</v>
      </c>
      <c r="CE373" s="311">
        <f>SUMIF(Recibos!$D$4:$D$7493,Cobranza!$B373,Recibos!AQ$4:AQ$7493)</f>
        <v>150</v>
      </c>
      <c r="CF373" s="311">
        <f>SUMIF(Recibos!$D$4:$D$7493,Cobranza!$B373,Recibos!AR$4:AR$7493)</f>
        <v>150</v>
      </c>
      <c r="CG373" s="311">
        <f>SUMIF(Recibos!$D$4:$D$7493,Cobranza!$B373,Recibos!AS$4:AS$7493)</f>
        <v>150</v>
      </c>
      <c r="CH373" s="311">
        <f>SUMIF(Recibos!$D$4:$D$7493,Cobranza!$B373,Recibos!AT$4:AT$7493)</f>
        <v>150</v>
      </c>
      <c r="CI373" s="311">
        <f>SUMIF(Recibos!$D$4:$D$7493,Cobranza!$B373,Recibos!AU$4:AU$7493)</f>
        <v>150</v>
      </c>
      <c r="CJ373" s="311">
        <f>SUMIF(Recibos!$D$4:$D$7493,Cobranza!$B373,Recibos!AV$4:AV$7493)</f>
        <v>150</v>
      </c>
      <c r="CK373" s="312">
        <f t="shared" si="45"/>
        <v>1800</v>
      </c>
    </row>
    <row r="374" spans="2:89" x14ac:dyDescent="0.2">
      <c r="B374" s="45" t="s">
        <v>882</v>
      </c>
      <c r="C374" s="45" t="s">
        <v>883</v>
      </c>
      <c r="D374" s="45" t="s">
        <v>884</v>
      </c>
      <c r="E374" s="46">
        <v>0</v>
      </c>
      <c r="F374" s="46">
        <v>0</v>
      </c>
      <c r="G374" s="46">
        <v>0</v>
      </c>
      <c r="H374" s="46">
        <v>0</v>
      </c>
      <c r="I374" s="46">
        <v>0</v>
      </c>
      <c r="J374" s="46">
        <v>200</v>
      </c>
      <c r="K374" s="47">
        <f t="shared" si="46"/>
        <v>200</v>
      </c>
      <c r="L374" s="46">
        <v>200</v>
      </c>
      <c r="M374" s="46">
        <v>200</v>
      </c>
      <c r="N374" s="46">
        <v>200</v>
      </c>
      <c r="O374" s="46">
        <v>200</v>
      </c>
      <c r="P374" s="46">
        <v>200</v>
      </c>
      <c r="Q374" s="46">
        <v>200</v>
      </c>
      <c r="R374" s="46">
        <v>200</v>
      </c>
      <c r="S374" s="46">
        <v>200</v>
      </c>
      <c r="T374" s="46">
        <v>200</v>
      </c>
      <c r="U374" s="46">
        <v>200</v>
      </c>
      <c r="V374" s="46">
        <v>200</v>
      </c>
      <c r="W374" s="46">
        <v>200</v>
      </c>
      <c r="X374" s="47">
        <f t="shared" si="47"/>
        <v>2400</v>
      </c>
      <c r="Y374" s="46">
        <v>200</v>
      </c>
      <c r="Z374" s="46">
        <v>200</v>
      </c>
      <c r="AA374" s="46">
        <v>200</v>
      </c>
      <c r="AB374" s="46">
        <v>200</v>
      </c>
      <c r="AC374" s="46">
        <v>200</v>
      </c>
      <c r="AD374" s="46">
        <v>200</v>
      </c>
      <c r="AE374" s="46">
        <v>200</v>
      </c>
      <c r="AF374" s="46">
        <v>200</v>
      </c>
      <c r="AG374" s="46">
        <v>200</v>
      </c>
      <c r="AH374" s="46">
        <v>200</v>
      </c>
      <c r="AI374" s="46">
        <v>200</v>
      </c>
      <c r="AJ374" s="46">
        <v>200</v>
      </c>
      <c r="AK374" s="47">
        <f t="shared" si="48"/>
        <v>2400</v>
      </c>
      <c r="AL374" s="46">
        <v>200</v>
      </c>
      <c r="AM374" s="46">
        <v>200</v>
      </c>
      <c r="AN374" s="46">
        <v>200</v>
      </c>
      <c r="AO374" s="46">
        <v>200</v>
      </c>
      <c r="AP374" s="46">
        <v>200</v>
      </c>
      <c r="AQ374" s="46">
        <v>200</v>
      </c>
      <c r="AR374" s="46">
        <v>200</v>
      </c>
      <c r="AS374" s="46">
        <v>200</v>
      </c>
      <c r="AT374" s="46">
        <v>200</v>
      </c>
      <c r="AU374" s="46">
        <v>200</v>
      </c>
      <c r="AV374" s="46">
        <v>200</v>
      </c>
      <c r="AW374" s="46">
        <v>200</v>
      </c>
      <c r="AX374" s="47">
        <f t="shared" si="49"/>
        <v>2400</v>
      </c>
      <c r="AY374" s="313">
        <f>SUMIF(Recibos!$D$4:$D$7493,Cobranza!$B374,Recibos!K$4:K$7493)</f>
        <v>200</v>
      </c>
      <c r="AZ374" s="313">
        <f>SUMIF(Recibos!$D$4:$D$7493,Cobranza!$B374,Recibos!L$4:L$7493)</f>
        <v>200</v>
      </c>
      <c r="BA374" s="313">
        <f>SUMIF(Recibos!$D$4:$D$7493,Cobranza!$B374,Recibos!M$4:M$7493)</f>
        <v>200</v>
      </c>
      <c r="BB374" s="313">
        <f>SUMIF(Recibos!$D$4:$D$7493,Cobranza!$B374,Recibos!N$4:N$7493)</f>
        <v>200</v>
      </c>
      <c r="BC374" s="313">
        <f>SUMIF(Recibos!$D$4:$D$7493,Cobranza!$B374,Recibos!O$4:O$7493)</f>
        <v>200</v>
      </c>
      <c r="BD374" s="313">
        <f>SUMIF(Recibos!$D$4:$D$7493,Cobranza!$B374,Recibos!P$4:P$7493)</f>
        <v>200</v>
      </c>
      <c r="BE374" s="313">
        <f>SUMIF(Recibos!$D$4:$D$7493,Cobranza!$B374,Recibos!Q$4:Q$7493)</f>
        <v>200</v>
      </c>
      <c r="BF374" s="313">
        <f>SUMIF(Recibos!$D$4:$D$7493,Cobranza!$B374,Recibos!R$4:R$7493)</f>
        <v>200</v>
      </c>
      <c r="BG374" s="313">
        <f>SUMIF(Recibos!$D$4:$D$7493,Cobranza!$B374,Recibos!S$4:S$7493)</f>
        <v>200</v>
      </c>
      <c r="BH374" s="313">
        <f>SUMIF(Recibos!$D$4:$D$7493,Cobranza!$B374,Recibos!T$4:T$7493)</f>
        <v>200</v>
      </c>
      <c r="BI374" s="313">
        <f>SUMIF(Recibos!$D$4:$D$7493,Cobranza!$B374,Recibos!U$4:U$7493)</f>
        <v>200</v>
      </c>
      <c r="BJ374" s="313">
        <f>SUMIF(Recibos!$D$4:$D$7493,Cobranza!$B374,Recibos!V$4:V$7493)</f>
        <v>200</v>
      </c>
      <c r="BK374" s="314">
        <f t="shared" si="50"/>
        <v>2400</v>
      </c>
      <c r="BL374" s="313">
        <f>SUMIF(Recibos!$D$4:$D$7493,Cobranza!$B374,Recibos!X$4:X$7493)</f>
        <v>200</v>
      </c>
      <c r="BM374" s="313">
        <f>SUMIF(Recibos!$D$4:$D$7493,Cobranza!$B374,Recibos!Y$4:Y$7493)</f>
        <v>200</v>
      </c>
      <c r="BN374" s="313">
        <f>SUMIF(Recibos!$D$4:$D$7493,Cobranza!$B374,Recibos!Z$4:Z$7493)</f>
        <v>200</v>
      </c>
      <c r="BO374" s="313">
        <f>SUMIF(Recibos!$D$4:$D$7493,Cobranza!$B374,Recibos!AA$4:AA$7493)</f>
        <v>200</v>
      </c>
      <c r="BP374" s="313">
        <f>SUMIF(Recibos!$D$4:$D$7493,Cobranza!$B374,Recibos!AB$4:AB$7493)</f>
        <v>200</v>
      </c>
      <c r="BQ374" s="313">
        <f>SUMIF(Recibos!$D$4:$D$7493,Cobranza!$B374,Recibos!AC$4:AC$7493)</f>
        <v>200</v>
      </c>
      <c r="BR374" s="313">
        <f>SUMIF(Recibos!$D$4:$D$7493,Cobranza!$B374,Recibos!AD$4:AD$7493)</f>
        <v>200</v>
      </c>
      <c r="BS374" s="313">
        <f>SUMIF(Recibos!$D$4:$D$7493,Cobranza!$B374,Recibos!AE$4:AE$7493)</f>
        <v>200</v>
      </c>
      <c r="BT374" s="313">
        <f>SUMIF(Recibos!$D$4:$D$7493,Cobranza!$B374,Recibos!AF$4:AF$7493)</f>
        <v>200</v>
      </c>
      <c r="BU374" s="313">
        <f>SUMIF(Recibos!$D$4:$D$7493,Cobranza!$B374,Recibos!AG$4:AG$7493)</f>
        <v>200</v>
      </c>
      <c r="BV374" s="313">
        <f>SUMIF(Recibos!$D$4:$D$7493,Cobranza!$B374,Recibos!AH$4:AH$7493)</f>
        <v>200</v>
      </c>
      <c r="BW374" s="313">
        <f>SUMIF(Recibos!$D$4:$D$7493,Cobranza!$B374,Recibos!AI$4:AI$7493)</f>
        <v>200</v>
      </c>
      <c r="BX374" s="314">
        <f t="shared" si="51"/>
        <v>2400</v>
      </c>
      <c r="BY374" s="313">
        <f>SUMIF(Recibos!$D$4:$D$7493,Cobranza!$B374,Recibos!AK$4:AK$7493)</f>
        <v>200</v>
      </c>
      <c r="BZ374" s="313">
        <f>SUMIF(Recibos!$D$4:$D$7493,Cobranza!$B374,Recibos!AL$4:AL$7493)</f>
        <v>200</v>
      </c>
      <c r="CA374" s="313">
        <f>SUMIF(Recibos!$D$4:$D$7493,Cobranza!$B374,Recibos!AM$4:AM$7493)</f>
        <v>200</v>
      </c>
      <c r="CB374" s="313">
        <f>SUMIF(Recibos!$D$4:$D$7493,Cobranza!$B374,Recibos!AN$4:AN$7493)</f>
        <v>200</v>
      </c>
      <c r="CC374" s="313">
        <f>SUMIF(Recibos!$D$4:$D$7493,Cobranza!$B374,Recibos!AO$4:AO$7493)</f>
        <v>200</v>
      </c>
      <c r="CD374" s="313">
        <f>SUMIF(Recibos!$D$4:$D$7493,Cobranza!$B374,Recibos!AP$4:AP$7493)</f>
        <v>200</v>
      </c>
      <c r="CE374" s="313">
        <f>SUMIF(Recibos!$D$4:$D$7493,Cobranza!$B374,Recibos!AQ$4:AQ$7493)</f>
        <v>200</v>
      </c>
      <c r="CF374" s="313">
        <f>SUMIF(Recibos!$D$4:$D$7493,Cobranza!$B374,Recibos!AR$4:AR$7493)</f>
        <v>200</v>
      </c>
      <c r="CG374" s="313">
        <f>SUMIF(Recibos!$D$4:$D$7493,Cobranza!$B374,Recibos!AS$4:AS$7493)</f>
        <v>200</v>
      </c>
      <c r="CH374" s="313">
        <f>SUMIF(Recibos!$D$4:$D$7493,Cobranza!$B374,Recibos!AT$4:AT$7493)</f>
        <v>200</v>
      </c>
      <c r="CI374" s="313">
        <f>SUMIF(Recibos!$D$4:$D$7493,Cobranza!$B374,Recibos!AU$4:AU$7493)</f>
        <v>200</v>
      </c>
      <c r="CJ374" s="313">
        <f>SUMIF(Recibos!$D$4:$D$7493,Cobranza!$B374,Recibos!AV$4:AV$7493)</f>
        <v>0</v>
      </c>
      <c r="CK374" s="314">
        <f t="shared" si="45"/>
        <v>2200</v>
      </c>
    </row>
    <row r="375" spans="2:89" x14ac:dyDescent="0.2">
      <c r="B375" s="42" t="s">
        <v>1425</v>
      </c>
      <c r="C375" s="42" t="s">
        <v>1426</v>
      </c>
      <c r="D375" s="42" t="s">
        <v>1427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4">
        <f t="shared" si="46"/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  <c r="V375" s="43">
        <v>0</v>
      </c>
      <c r="W375" s="43">
        <v>0</v>
      </c>
      <c r="X375" s="44">
        <f t="shared" si="47"/>
        <v>0</v>
      </c>
      <c r="Y375" s="43">
        <v>0</v>
      </c>
      <c r="Z375" s="43">
        <v>0</v>
      </c>
      <c r="AA375" s="43">
        <v>0</v>
      </c>
      <c r="AB375" s="43">
        <v>0</v>
      </c>
      <c r="AC375" s="43">
        <v>0</v>
      </c>
      <c r="AD375" s="43">
        <v>0</v>
      </c>
      <c r="AE375" s="43">
        <v>0</v>
      </c>
      <c r="AF375" s="43">
        <v>0</v>
      </c>
      <c r="AG375" s="43">
        <v>0</v>
      </c>
      <c r="AH375" s="43">
        <v>0</v>
      </c>
      <c r="AI375" s="43">
        <v>0</v>
      </c>
      <c r="AJ375" s="43">
        <v>0</v>
      </c>
      <c r="AK375" s="44">
        <f t="shared" si="48"/>
        <v>0</v>
      </c>
      <c r="AL375" s="43">
        <v>0</v>
      </c>
      <c r="AM375" s="43">
        <v>0</v>
      </c>
      <c r="AN375" s="43">
        <v>0</v>
      </c>
      <c r="AO375" s="43">
        <v>0</v>
      </c>
      <c r="AP375" s="43">
        <v>0</v>
      </c>
      <c r="AQ375" s="43">
        <v>0</v>
      </c>
      <c r="AR375" s="43">
        <v>0</v>
      </c>
      <c r="AS375" s="43">
        <v>0</v>
      </c>
      <c r="AT375" s="43">
        <v>0</v>
      </c>
      <c r="AU375" s="43">
        <v>0</v>
      </c>
      <c r="AV375" s="43">
        <v>0</v>
      </c>
      <c r="AW375" s="43">
        <v>0</v>
      </c>
      <c r="AX375" s="44">
        <f t="shared" si="49"/>
        <v>0</v>
      </c>
      <c r="AY375" s="311">
        <f>SUMIF(Recibos!$D$4:$D$7493,Cobranza!$B375,Recibos!K$4:K$7493)</f>
        <v>0</v>
      </c>
      <c r="AZ375" s="311">
        <f>SUMIF(Recibos!$D$4:$D$7493,Cobranza!$B375,Recibos!L$4:L$7493)</f>
        <v>0</v>
      </c>
      <c r="BA375" s="311">
        <f>SUMIF(Recibos!$D$4:$D$7493,Cobranza!$B375,Recibos!M$4:M$7493)</f>
        <v>0</v>
      </c>
      <c r="BB375" s="311">
        <f>SUMIF(Recibos!$D$4:$D$7493,Cobranza!$B375,Recibos!N$4:N$7493)</f>
        <v>0</v>
      </c>
      <c r="BC375" s="311">
        <f>SUMIF(Recibos!$D$4:$D$7493,Cobranza!$B375,Recibos!O$4:O$7493)</f>
        <v>0</v>
      </c>
      <c r="BD375" s="311">
        <f>SUMIF(Recibos!$D$4:$D$7493,Cobranza!$B375,Recibos!P$4:P$7493)</f>
        <v>0</v>
      </c>
      <c r="BE375" s="311">
        <f>SUMIF(Recibos!$D$4:$D$7493,Cobranza!$B375,Recibos!Q$4:Q$7493)</f>
        <v>0</v>
      </c>
      <c r="BF375" s="311">
        <f>SUMIF(Recibos!$D$4:$D$7493,Cobranza!$B375,Recibos!R$4:R$7493)</f>
        <v>0</v>
      </c>
      <c r="BG375" s="311">
        <f>SUMIF(Recibos!$D$4:$D$7493,Cobranza!$B375,Recibos!S$4:S$7493)</f>
        <v>0</v>
      </c>
      <c r="BH375" s="311">
        <f>SUMIF(Recibos!$D$4:$D$7493,Cobranza!$B375,Recibos!T$4:T$7493)</f>
        <v>0</v>
      </c>
      <c r="BI375" s="311">
        <f>SUMIF(Recibos!$D$4:$D$7493,Cobranza!$B375,Recibos!U$4:U$7493)</f>
        <v>0</v>
      </c>
      <c r="BJ375" s="311">
        <f>SUMIF(Recibos!$D$4:$D$7493,Cobranza!$B375,Recibos!V$4:V$7493)</f>
        <v>0</v>
      </c>
      <c r="BK375" s="312">
        <f t="shared" si="50"/>
        <v>0</v>
      </c>
      <c r="BL375" s="311">
        <f>SUMIF(Recibos!$D$4:$D$7493,Cobranza!$B375,Recibos!X$4:X$7493)</f>
        <v>400</v>
      </c>
      <c r="BM375" s="311">
        <f>SUMIF(Recibos!$D$4:$D$7493,Cobranza!$B375,Recibos!Y$4:Y$7493)</f>
        <v>400</v>
      </c>
      <c r="BN375" s="311">
        <f>SUMIF(Recibos!$D$4:$D$7493,Cobranza!$B375,Recibos!Z$4:Z$7493)</f>
        <v>400</v>
      </c>
      <c r="BO375" s="311">
        <f>SUMIF(Recibos!$D$4:$D$7493,Cobranza!$B375,Recibos!AA$4:AA$7493)</f>
        <v>400</v>
      </c>
      <c r="BP375" s="311">
        <f>SUMIF(Recibos!$D$4:$D$7493,Cobranza!$B375,Recibos!AB$4:AB$7493)</f>
        <v>400</v>
      </c>
      <c r="BQ375" s="311">
        <f>SUMIF(Recibos!$D$4:$D$7493,Cobranza!$B375,Recibos!AC$4:AC$7493)</f>
        <v>400</v>
      </c>
      <c r="BR375" s="311">
        <f>SUMIF(Recibos!$D$4:$D$7493,Cobranza!$B375,Recibos!AD$4:AD$7493)</f>
        <v>400</v>
      </c>
      <c r="BS375" s="311">
        <f>SUMIF(Recibos!$D$4:$D$7493,Cobranza!$B375,Recibos!AE$4:AE$7493)</f>
        <v>400</v>
      </c>
      <c r="BT375" s="311">
        <f>SUMIF(Recibos!$D$4:$D$7493,Cobranza!$B375,Recibos!AF$4:AF$7493)</f>
        <v>400</v>
      </c>
      <c r="BU375" s="311">
        <f>SUMIF(Recibos!$D$4:$D$7493,Cobranza!$B375,Recibos!AG$4:AG$7493)</f>
        <v>400</v>
      </c>
      <c r="BV375" s="311">
        <f>SUMIF(Recibos!$D$4:$D$7493,Cobranza!$B375,Recibos!AH$4:AH$7493)</f>
        <v>400</v>
      </c>
      <c r="BW375" s="311">
        <f>SUMIF(Recibos!$D$4:$D$7493,Cobranza!$B375,Recibos!AI$4:AI$7493)</f>
        <v>400</v>
      </c>
      <c r="BX375" s="312">
        <f t="shared" si="51"/>
        <v>4800</v>
      </c>
      <c r="BY375" s="311">
        <f>SUMIF(Recibos!$D$4:$D$7493,Cobranza!$B375,Recibos!AK$4:AK$7493)</f>
        <v>400</v>
      </c>
      <c r="BZ375" s="311">
        <f>SUMIF(Recibos!$D$4:$D$7493,Cobranza!$B375,Recibos!AL$4:AL$7493)</f>
        <v>400</v>
      </c>
      <c r="CA375" s="311">
        <f>SUMIF(Recibos!$D$4:$D$7493,Cobranza!$B375,Recibos!AM$4:AM$7493)</f>
        <v>400</v>
      </c>
      <c r="CB375" s="311">
        <f>SUMIF(Recibos!$D$4:$D$7493,Cobranza!$B375,Recibos!AN$4:AN$7493)</f>
        <v>400</v>
      </c>
      <c r="CC375" s="311">
        <f>SUMIF(Recibos!$D$4:$D$7493,Cobranza!$B375,Recibos!AO$4:AO$7493)</f>
        <v>400</v>
      </c>
      <c r="CD375" s="311">
        <f>SUMIF(Recibos!$D$4:$D$7493,Cobranza!$B375,Recibos!AP$4:AP$7493)</f>
        <v>400</v>
      </c>
      <c r="CE375" s="311">
        <f>SUMIF(Recibos!$D$4:$D$7493,Cobranza!$B375,Recibos!AQ$4:AQ$7493)</f>
        <v>400</v>
      </c>
      <c r="CF375" s="311">
        <f>SUMIF(Recibos!$D$4:$D$7493,Cobranza!$B375,Recibos!AR$4:AR$7493)</f>
        <v>0</v>
      </c>
      <c r="CG375" s="311">
        <f>SUMIF(Recibos!$D$4:$D$7493,Cobranza!$B375,Recibos!AS$4:AS$7493)</f>
        <v>0</v>
      </c>
      <c r="CH375" s="311">
        <f>SUMIF(Recibos!$D$4:$D$7493,Cobranza!$B375,Recibos!AT$4:AT$7493)</f>
        <v>0</v>
      </c>
      <c r="CI375" s="311">
        <f>SUMIF(Recibos!$D$4:$D$7493,Cobranza!$B375,Recibos!AU$4:AU$7493)</f>
        <v>0</v>
      </c>
      <c r="CJ375" s="311">
        <f>SUMIF(Recibos!$D$4:$D$7493,Cobranza!$B375,Recibos!AV$4:AV$7493)</f>
        <v>0</v>
      </c>
      <c r="CK375" s="312">
        <f t="shared" si="45"/>
        <v>2800</v>
      </c>
    </row>
    <row r="376" spans="2:89" x14ac:dyDescent="0.2">
      <c r="B376" s="45" t="s">
        <v>1428</v>
      </c>
      <c r="C376" s="45" t="s">
        <v>1429</v>
      </c>
      <c r="D376" s="45"/>
      <c r="E376" s="46">
        <v>0</v>
      </c>
      <c r="F376" s="46">
        <v>0</v>
      </c>
      <c r="G376" s="46">
        <v>0</v>
      </c>
      <c r="H376" s="46">
        <v>0</v>
      </c>
      <c r="I376" s="46">
        <v>0</v>
      </c>
      <c r="J376" s="46">
        <v>0</v>
      </c>
      <c r="K376" s="47">
        <f t="shared" si="46"/>
        <v>0</v>
      </c>
      <c r="L376" s="46">
        <v>0</v>
      </c>
      <c r="M376" s="46">
        <v>0</v>
      </c>
      <c r="N376" s="46">
        <v>0</v>
      </c>
      <c r="O376" s="46">
        <v>0</v>
      </c>
      <c r="P376" s="46">
        <v>0</v>
      </c>
      <c r="Q376" s="46">
        <v>0</v>
      </c>
      <c r="R376" s="46">
        <v>0</v>
      </c>
      <c r="S376" s="46">
        <v>0</v>
      </c>
      <c r="T376" s="46">
        <v>0</v>
      </c>
      <c r="U376" s="46">
        <v>0</v>
      </c>
      <c r="V376" s="46">
        <v>0</v>
      </c>
      <c r="W376" s="46">
        <v>0</v>
      </c>
      <c r="X376" s="47">
        <f t="shared" si="47"/>
        <v>0</v>
      </c>
      <c r="Y376" s="46">
        <v>0</v>
      </c>
      <c r="Z376" s="46">
        <v>0</v>
      </c>
      <c r="AA376" s="46">
        <v>0</v>
      </c>
      <c r="AB376" s="46">
        <v>0</v>
      </c>
      <c r="AC376" s="46">
        <v>0</v>
      </c>
      <c r="AD376" s="46">
        <v>0</v>
      </c>
      <c r="AE376" s="46">
        <v>0</v>
      </c>
      <c r="AF376" s="46">
        <v>0</v>
      </c>
      <c r="AG376" s="46">
        <v>0</v>
      </c>
      <c r="AH376" s="46">
        <v>0</v>
      </c>
      <c r="AI376" s="46">
        <v>0</v>
      </c>
      <c r="AJ376" s="46">
        <v>0</v>
      </c>
      <c r="AK376" s="47">
        <f t="shared" si="48"/>
        <v>0</v>
      </c>
      <c r="AL376" s="46">
        <v>0</v>
      </c>
      <c r="AM376" s="46">
        <v>0</v>
      </c>
      <c r="AN376" s="46">
        <v>0</v>
      </c>
      <c r="AO376" s="46">
        <v>0</v>
      </c>
      <c r="AP376" s="46">
        <v>0</v>
      </c>
      <c r="AQ376" s="46">
        <v>0</v>
      </c>
      <c r="AR376" s="46">
        <v>0</v>
      </c>
      <c r="AS376" s="46">
        <v>0</v>
      </c>
      <c r="AT376" s="46">
        <v>0</v>
      </c>
      <c r="AU376" s="46">
        <v>0</v>
      </c>
      <c r="AV376" s="46">
        <v>0</v>
      </c>
      <c r="AW376" s="46">
        <v>0</v>
      </c>
      <c r="AX376" s="47">
        <f t="shared" si="49"/>
        <v>0</v>
      </c>
      <c r="AY376" s="313">
        <f>SUMIF(Recibos!$D$4:$D$7493,Cobranza!$B376,Recibos!K$4:K$7493)</f>
        <v>0</v>
      </c>
      <c r="AZ376" s="313">
        <f>SUMIF(Recibos!$D$4:$D$7493,Cobranza!$B376,Recibos!L$4:L$7493)</f>
        <v>0</v>
      </c>
      <c r="BA376" s="313">
        <f>SUMIF(Recibos!$D$4:$D$7493,Cobranza!$B376,Recibos!M$4:M$7493)</f>
        <v>0</v>
      </c>
      <c r="BB376" s="313">
        <f>SUMIF(Recibos!$D$4:$D$7493,Cobranza!$B376,Recibos!N$4:N$7493)</f>
        <v>0</v>
      </c>
      <c r="BC376" s="313">
        <f>SUMIF(Recibos!$D$4:$D$7493,Cobranza!$B376,Recibos!O$4:O$7493)</f>
        <v>0</v>
      </c>
      <c r="BD376" s="313">
        <f>SUMIF(Recibos!$D$4:$D$7493,Cobranza!$B376,Recibos!P$4:P$7493)</f>
        <v>0</v>
      </c>
      <c r="BE376" s="313">
        <f>SUMIF(Recibos!$D$4:$D$7493,Cobranza!$B376,Recibos!Q$4:Q$7493)</f>
        <v>0</v>
      </c>
      <c r="BF376" s="313">
        <f>SUMIF(Recibos!$D$4:$D$7493,Cobranza!$B376,Recibos!R$4:R$7493)</f>
        <v>0</v>
      </c>
      <c r="BG376" s="313">
        <f>SUMIF(Recibos!$D$4:$D$7493,Cobranza!$B376,Recibos!S$4:S$7493)</f>
        <v>0</v>
      </c>
      <c r="BH376" s="313">
        <f>SUMIF(Recibos!$D$4:$D$7493,Cobranza!$B376,Recibos!T$4:T$7493)</f>
        <v>0</v>
      </c>
      <c r="BI376" s="313">
        <f>SUMIF(Recibos!$D$4:$D$7493,Cobranza!$B376,Recibos!U$4:U$7493)</f>
        <v>0</v>
      </c>
      <c r="BJ376" s="313">
        <f>SUMIF(Recibos!$D$4:$D$7493,Cobranza!$B376,Recibos!V$4:V$7493)</f>
        <v>0</v>
      </c>
      <c r="BK376" s="314">
        <f t="shared" si="50"/>
        <v>0</v>
      </c>
      <c r="BL376" s="313">
        <f>SUMIF(Recibos!$D$4:$D$7493,Cobranza!$B376,Recibos!X$4:X$7493)</f>
        <v>0</v>
      </c>
      <c r="BM376" s="313">
        <f>SUMIF(Recibos!$D$4:$D$7493,Cobranza!$B376,Recibos!Y$4:Y$7493)</f>
        <v>0</v>
      </c>
      <c r="BN376" s="313">
        <f>SUMIF(Recibos!$D$4:$D$7493,Cobranza!$B376,Recibos!Z$4:Z$7493)</f>
        <v>0</v>
      </c>
      <c r="BO376" s="313">
        <f>SUMIF(Recibos!$D$4:$D$7493,Cobranza!$B376,Recibos!AA$4:AA$7493)</f>
        <v>0</v>
      </c>
      <c r="BP376" s="313">
        <f>SUMIF(Recibos!$D$4:$D$7493,Cobranza!$B376,Recibos!AB$4:AB$7493)</f>
        <v>0</v>
      </c>
      <c r="BQ376" s="313">
        <f>SUMIF(Recibos!$D$4:$D$7493,Cobranza!$B376,Recibos!AC$4:AC$7493)</f>
        <v>0</v>
      </c>
      <c r="BR376" s="313">
        <f>SUMIF(Recibos!$D$4:$D$7493,Cobranza!$B376,Recibos!AD$4:AD$7493)</f>
        <v>0</v>
      </c>
      <c r="BS376" s="313">
        <f>SUMIF(Recibos!$D$4:$D$7493,Cobranza!$B376,Recibos!AE$4:AE$7493)</f>
        <v>0</v>
      </c>
      <c r="BT376" s="313">
        <f>SUMIF(Recibos!$D$4:$D$7493,Cobranza!$B376,Recibos!AF$4:AF$7493)</f>
        <v>0</v>
      </c>
      <c r="BU376" s="313">
        <f>SUMIF(Recibos!$D$4:$D$7493,Cobranza!$B376,Recibos!AG$4:AG$7493)</f>
        <v>0</v>
      </c>
      <c r="BV376" s="313">
        <f>SUMIF(Recibos!$D$4:$D$7493,Cobranza!$B376,Recibos!AH$4:AH$7493)</f>
        <v>0</v>
      </c>
      <c r="BW376" s="313">
        <f>SUMIF(Recibos!$D$4:$D$7493,Cobranza!$B376,Recibos!AI$4:AI$7493)</f>
        <v>0</v>
      </c>
      <c r="BX376" s="314">
        <f t="shared" si="51"/>
        <v>0</v>
      </c>
      <c r="BY376" s="313">
        <f>SUMIF(Recibos!$D$4:$D$7493,Cobranza!$B376,Recibos!AK$4:AK$7493)</f>
        <v>0</v>
      </c>
      <c r="BZ376" s="313">
        <f>SUMIF(Recibos!$D$4:$D$7493,Cobranza!$B376,Recibos!AL$4:AL$7493)</f>
        <v>0</v>
      </c>
      <c r="CA376" s="313">
        <f>SUMIF(Recibos!$D$4:$D$7493,Cobranza!$B376,Recibos!AM$4:AM$7493)</f>
        <v>0</v>
      </c>
      <c r="CB376" s="313">
        <f>SUMIF(Recibos!$D$4:$D$7493,Cobranza!$B376,Recibos!AN$4:AN$7493)</f>
        <v>0</v>
      </c>
      <c r="CC376" s="313">
        <f>SUMIF(Recibos!$D$4:$D$7493,Cobranza!$B376,Recibos!AO$4:AO$7493)</f>
        <v>0</v>
      </c>
      <c r="CD376" s="313">
        <f>SUMIF(Recibos!$D$4:$D$7493,Cobranza!$B376,Recibos!AP$4:AP$7493)</f>
        <v>0</v>
      </c>
      <c r="CE376" s="313">
        <f>SUMIF(Recibos!$D$4:$D$7493,Cobranza!$B376,Recibos!AQ$4:AQ$7493)</f>
        <v>0</v>
      </c>
      <c r="CF376" s="313">
        <f>SUMIF(Recibos!$D$4:$D$7493,Cobranza!$B376,Recibos!AR$4:AR$7493)</f>
        <v>0</v>
      </c>
      <c r="CG376" s="313">
        <f>SUMIF(Recibos!$D$4:$D$7493,Cobranza!$B376,Recibos!AS$4:AS$7493)</f>
        <v>0</v>
      </c>
      <c r="CH376" s="313">
        <f>SUMIF(Recibos!$D$4:$D$7493,Cobranza!$B376,Recibos!AT$4:AT$7493)</f>
        <v>0</v>
      </c>
      <c r="CI376" s="313">
        <f>SUMIF(Recibos!$D$4:$D$7493,Cobranza!$B376,Recibos!AU$4:AU$7493)</f>
        <v>0</v>
      </c>
      <c r="CJ376" s="313">
        <f>SUMIF(Recibos!$D$4:$D$7493,Cobranza!$B376,Recibos!AV$4:AV$7493)</f>
        <v>0</v>
      </c>
      <c r="CK376" s="314">
        <f t="shared" si="45"/>
        <v>0</v>
      </c>
    </row>
    <row r="377" spans="2:89" x14ac:dyDescent="0.2">
      <c r="B377" s="42" t="s">
        <v>1430</v>
      </c>
      <c r="C377" s="42" t="s">
        <v>1431</v>
      </c>
      <c r="D377" s="42"/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4">
        <f t="shared" si="46"/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  <c r="V377" s="43">
        <v>0</v>
      </c>
      <c r="W377" s="43">
        <v>0</v>
      </c>
      <c r="X377" s="44">
        <f t="shared" si="47"/>
        <v>0</v>
      </c>
      <c r="Y377" s="43">
        <v>0</v>
      </c>
      <c r="Z377" s="43">
        <v>0</v>
      </c>
      <c r="AA377" s="43">
        <v>0</v>
      </c>
      <c r="AB377" s="43">
        <v>0</v>
      </c>
      <c r="AC377" s="43">
        <v>0</v>
      </c>
      <c r="AD377" s="43">
        <v>0</v>
      </c>
      <c r="AE377" s="43">
        <v>0</v>
      </c>
      <c r="AF377" s="43">
        <v>0</v>
      </c>
      <c r="AG377" s="43">
        <v>0</v>
      </c>
      <c r="AH377" s="43">
        <v>0</v>
      </c>
      <c r="AI377" s="43">
        <v>0</v>
      </c>
      <c r="AJ377" s="43">
        <v>0</v>
      </c>
      <c r="AK377" s="44">
        <f t="shared" si="48"/>
        <v>0</v>
      </c>
      <c r="AL377" s="43">
        <v>0</v>
      </c>
      <c r="AM377" s="43">
        <v>0</v>
      </c>
      <c r="AN377" s="43">
        <v>0</v>
      </c>
      <c r="AO377" s="43">
        <v>0</v>
      </c>
      <c r="AP377" s="43">
        <v>0</v>
      </c>
      <c r="AQ377" s="43">
        <v>0</v>
      </c>
      <c r="AR377" s="43">
        <v>0</v>
      </c>
      <c r="AS377" s="43">
        <v>0</v>
      </c>
      <c r="AT377" s="43">
        <v>0</v>
      </c>
      <c r="AU377" s="43">
        <v>0</v>
      </c>
      <c r="AV377" s="43">
        <v>0</v>
      </c>
      <c r="AW377" s="43">
        <v>0</v>
      </c>
      <c r="AX377" s="44">
        <f t="shared" si="49"/>
        <v>0</v>
      </c>
      <c r="AY377" s="311">
        <f>SUMIF(Recibos!$D$4:$D$7493,Cobranza!$B377,Recibos!K$4:K$7493)</f>
        <v>0</v>
      </c>
      <c r="AZ377" s="311">
        <f>SUMIF(Recibos!$D$4:$D$7493,Cobranza!$B377,Recibos!L$4:L$7493)</f>
        <v>0</v>
      </c>
      <c r="BA377" s="311">
        <f>SUMIF(Recibos!$D$4:$D$7493,Cobranza!$B377,Recibos!M$4:M$7493)</f>
        <v>0</v>
      </c>
      <c r="BB377" s="311">
        <f>SUMIF(Recibos!$D$4:$D$7493,Cobranza!$B377,Recibos!N$4:N$7493)</f>
        <v>0</v>
      </c>
      <c r="BC377" s="311">
        <f>SUMIF(Recibos!$D$4:$D$7493,Cobranza!$B377,Recibos!O$4:O$7493)</f>
        <v>0</v>
      </c>
      <c r="BD377" s="311">
        <f>SUMIF(Recibos!$D$4:$D$7493,Cobranza!$B377,Recibos!P$4:P$7493)</f>
        <v>0</v>
      </c>
      <c r="BE377" s="311">
        <f>SUMIF(Recibos!$D$4:$D$7493,Cobranza!$B377,Recibos!Q$4:Q$7493)</f>
        <v>0</v>
      </c>
      <c r="BF377" s="311">
        <f>SUMIF(Recibos!$D$4:$D$7493,Cobranza!$B377,Recibos!R$4:R$7493)</f>
        <v>0</v>
      </c>
      <c r="BG377" s="311">
        <f>SUMIF(Recibos!$D$4:$D$7493,Cobranza!$B377,Recibos!S$4:S$7493)</f>
        <v>0</v>
      </c>
      <c r="BH377" s="311">
        <f>SUMIF(Recibos!$D$4:$D$7493,Cobranza!$B377,Recibos!T$4:T$7493)</f>
        <v>0</v>
      </c>
      <c r="BI377" s="311">
        <f>SUMIF(Recibos!$D$4:$D$7493,Cobranza!$B377,Recibos!U$4:U$7493)</f>
        <v>0</v>
      </c>
      <c r="BJ377" s="311">
        <f>SUMIF(Recibos!$D$4:$D$7493,Cobranza!$B377,Recibos!V$4:V$7493)</f>
        <v>0</v>
      </c>
      <c r="BK377" s="312">
        <f t="shared" si="50"/>
        <v>0</v>
      </c>
      <c r="BL377" s="311">
        <f>SUMIF(Recibos!$D$4:$D$7493,Cobranza!$B377,Recibos!X$4:X$7493)</f>
        <v>0</v>
      </c>
      <c r="BM377" s="311">
        <f>SUMIF(Recibos!$D$4:$D$7493,Cobranza!$B377,Recibos!Y$4:Y$7493)</f>
        <v>0</v>
      </c>
      <c r="BN377" s="311">
        <f>SUMIF(Recibos!$D$4:$D$7493,Cobranza!$B377,Recibos!Z$4:Z$7493)</f>
        <v>0</v>
      </c>
      <c r="BO377" s="311">
        <f>SUMIF(Recibos!$D$4:$D$7493,Cobranza!$B377,Recibos!AA$4:AA$7493)</f>
        <v>0</v>
      </c>
      <c r="BP377" s="311">
        <f>SUMIF(Recibos!$D$4:$D$7493,Cobranza!$B377,Recibos!AB$4:AB$7493)</f>
        <v>0</v>
      </c>
      <c r="BQ377" s="311">
        <f>SUMIF(Recibos!$D$4:$D$7493,Cobranza!$B377,Recibos!AC$4:AC$7493)</f>
        <v>0</v>
      </c>
      <c r="BR377" s="311">
        <f>SUMIF(Recibos!$D$4:$D$7493,Cobranza!$B377,Recibos!AD$4:AD$7493)</f>
        <v>0</v>
      </c>
      <c r="BS377" s="311">
        <f>SUMIF(Recibos!$D$4:$D$7493,Cobranza!$B377,Recibos!AE$4:AE$7493)</f>
        <v>0</v>
      </c>
      <c r="BT377" s="311">
        <f>SUMIF(Recibos!$D$4:$D$7493,Cobranza!$B377,Recibos!AF$4:AF$7493)</f>
        <v>0</v>
      </c>
      <c r="BU377" s="311">
        <f>SUMIF(Recibos!$D$4:$D$7493,Cobranza!$B377,Recibos!AG$4:AG$7493)</f>
        <v>0</v>
      </c>
      <c r="BV377" s="311">
        <f>SUMIF(Recibos!$D$4:$D$7493,Cobranza!$B377,Recibos!AH$4:AH$7493)</f>
        <v>0</v>
      </c>
      <c r="BW377" s="311">
        <f>SUMIF(Recibos!$D$4:$D$7493,Cobranza!$B377,Recibos!AI$4:AI$7493)</f>
        <v>0</v>
      </c>
      <c r="BX377" s="312">
        <f t="shared" si="51"/>
        <v>0</v>
      </c>
      <c r="BY377" s="311">
        <f>SUMIF(Recibos!$D$4:$D$7493,Cobranza!$B377,Recibos!AK$4:AK$7493)</f>
        <v>0</v>
      </c>
      <c r="BZ377" s="311">
        <f>SUMIF(Recibos!$D$4:$D$7493,Cobranza!$B377,Recibos!AL$4:AL$7493)</f>
        <v>0</v>
      </c>
      <c r="CA377" s="311">
        <f>SUMIF(Recibos!$D$4:$D$7493,Cobranza!$B377,Recibos!AM$4:AM$7493)</f>
        <v>0</v>
      </c>
      <c r="CB377" s="311">
        <f>SUMIF(Recibos!$D$4:$D$7493,Cobranza!$B377,Recibos!AN$4:AN$7493)</f>
        <v>0</v>
      </c>
      <c r="CC377" s="311">
        <f>SUMIF(Recibos!$D$4:$D$7493,Cobranza!$B377,Recibos!AO$4:AO$7493)</f>
        <v>0</v>
      </c>
      <c r="CD377" s="311">
        <f>SUMIF(Recibos!$D$4:$D$7493,Cobranza!$B377,Recibos!AP$4:AP$7493)</f>
        <v>0</v>
      </c>
      <c r="CE377" s="311">
        <f>SUMIF(Recibos!$D$4:$D$7493,Cobranza!$B377,Recibos!AQ$4:AQ$7493)</f>
        <v>0</v>
      </c>
      <c r="CF377" s="311">
        <f>SUMIF(Recibos!$D$4:$D$7493,Cobranza!$B377,Recibos!AR$4:AR$7493)</f>
        <v>0</v>
      </c>
      <c r="CG377" s="311">
        <f>SUMIF(Recibos!$D$4:$D$7493,Cobranza!$B377,Recibos!AS$4:AS$7493)</f>
        <v>0</v>
      </c>
      <c r="CH377" s="311">
        <f>SUMIF(Recibos!$D$4:$D$7493,Cobranza!$B377,Recibos!AT$4:AT$7493)</f>
        <v>0</v>
      </c>
      <c r="CI377" s="311">
        <f>SUMIF(Recibos!$D$4:$D$7493,Cobranza!$B377,Recibos!AU$4:AU$7493)</f>
        <v>0</v>
      </c>
      <c r="CJ377" s="311">
        <f>SUMIF(Recibos!$D$4:$D$7493,Cobranza!$B377,Recibos!AV$4:AV$7493)</f>
        <v>0</v>
      </c>
      <c r="CK377" s="312">
        <f t="shared" si="45"/>
        <v>0</v>
      </c>
    </row>
    <row r="378" spans="2:89" x14ac:dyDescent="0.2">
      <c r="B378" s="45" t="s">
        <v>625</v>
      </c>
      <c r="C378" s="45" t="s">
        <v>626</v>
      </c>
      <c r="D378" s="45" t="s">
        <v>627</v>
      </c>
      <c r="E378" s="46">
        <v>0</v>
      </c>
      <c r="F378" s="46">
        <v>0</v>
      </c>
      <c r="G378" s="46">
        <v>0</v>
      </c>
      <c r="H378" s="46">
        <v>0</v>
      </c>
      <c r="I378" s="46">
        <v>0</v>
      </c>
      <c r="J378" s="46">
        <v>300</v>
      </c>
      <c r="K378" s="47">
        <f t="shared" si="46"/>
        <v>300</v>
      </c>
      <c r="L378" s="46">
        <v>300</v>
      </c>
      <c r="M378" s="46">
        <v>300</v>
      </c>
      <c r="N378" s="46">
        <v>300</v>
      </c>
      <c r="O378" s="46">
        <v>300</v>
      </c>
      <c r="P378" s="46">
        <v>300</v>
      </c>
      <c r="Q378" s="46">
        <v>300</v>
      </c>
      <c r="R378" s="46">
        <v>300</v>
      </c>
      <c r="S378" s="46">
        <v>300</v>
      </c>
      <c r="T378" s="46">
        <v>300</v>
      </c>
      <c r="U378" s="46">
        <v>400</v>
      </c>
      <c r="V378" s="46">
        <v>400</v>
      </c>
      <c r="W378" s="46">
        <v>400</v>
      </c>
      <c r="X378" s="47">
        <f t="shared" si="47"/>
        <v>3900</v>
      </c>
      <c r="Y378" s="46">
        <v>400</v>
      </c>
      <c r="Z378" s="46">
        <v>400</v>
      </c>
      <c r="AA378" s="46">
        <v>400</v>
      </c>
      <c r="AB378" s="46">
        <v>400</v>
      </c>
      <c r="AC378" s="46">
        <v>400</v>
      </c>
      <c r="AD378" s="46">
        <v>400</v>
      </c>
      <c r="AE378" s="46">
        <v>400</v>
      </c>
      <c r="AF378" s="46">
        <v>400</v>
      </c>
      <c r="AG378" s="46">
        <v>400</v>
      </c>
      <c r="AH378" s="46">
        <v>400</v>
      </c>
      <c r="AI378" s="46">
        <v>400</v>
      </c>
      <c r="AJ378" s="46">
        <v>400</v>
      </c>
      <c r="AK378" s="47">
        <f t="shared" si="48"/>
        <v>4800</v>
      </c>
      <c r="AL378" s="46">
        <v>400</v>
      </c>
      <c r="AM378" s="46">
        <v>400</v>
      </c>
      <c r="AN378" s="46">
        <v>400</v>
      </c>
      <c r="AO378" s="46">
        <v>400</v>
      </c>
      <c r="AP378" s="46">
        <v>400</v>
      </c>
      <c r="AQ378" s="46">
        <v>400</v>
      </c>
      <c r="AR378" s="46">
        <v>400</v>
      </c>
      <c r="AS378" s="46">
        <v>400</v>
      </c>
      <c r="AT378" s="46">
        <v>400</v>
      </c>
      <c r="AU378" s="46">
        <v>400</v>
      </c>
      <c r="AV378" s="46">
        <v>400</v>
      </c>
      <c r="AW378" s="46">
        <v>400</v>
      </c>
      <c r="AX378" s="47">
        <f t="shared" si="49"/>
        <v>4800</v>
      </c>
      <c r="AY378" s="313">
        <f>SUMIF(Recibos!$D$4:$D$7493,Cobranza!$B378,Recibos!K$4:K$7493)</f>
        <v>400</v>
      </c>
      <c r="AZ378" s="313">
        <f>SUMIF(Recibos!$D$4:$D$7493,Cobranza!$B378,Recibos!L$4:L$7493)</f>
        <v>400</v>
      </c>
      <c r="BA378" s="313">
        <f>SUMIF(Recibos!$D$4:$D$7493,Cobranza!$B378,Recibos!M$4:M$7493)</f>
        <v>400</v>
      </c>
      <c r="BB378" s="313">
        <f>SUMIF(Recibos!$D$4:$D$7493,Cobranza!$B378,Recibos!N$4:N$7493)</f>
        <v>400</v>
      </c>
      <c r="BC378" s="313">
        <f>SUMIF(Recibos!$D$4:$D$7493,Cobranza!$B378,Recibos!O$4:O$7493)</f>
        <v>400</v>
      </c>
      <c r="BD378" s="313">
        <f>SUMIF(Recibos!$D$4:$D$7493,Cobranza!$B378,Recibos!P$4:P$7493)</f>
        <v>400</v>
      </c>
      <c r="BE378" s="313">
        <f>SUMIF(Recibos!$D$4:$D$7493,Cobranza!$B378,Recibos!Q$4:Q$7493)</f>
        <v>400</v>
      </c>
      <c r="BF378" s="313">
        <f>SUMIF(Recibos!$D$4:$D$7493,Cobranza!$B378,Recibos!R$4:R$7493)</f>
        <v>400</v>
      </c>
      <c r="BG378" s="313">
        <f>SUMIF(Recibos!$D$4:$D$7493,Cobranza!$B378,Recibos!S$4:S$7493)</f>
        <v>400</v>
      </c>
      <c r="BH378" s="313">
        <f>SUMIF(Recibos!$D$4:$D$7493,Cobranza!$B378,Recibos!T$4:T$7493)</f>
        <v>400</v>
      </c>
      <c r="BI378" s="313">
        <f>SUMIF(Recibos!$D$4:$D$7493,Cobranza!$B378,Recibos!U$4:U$7493)</f>
        <v>0</v>
      </c>
      <c r="BJ378" s="313">
        <f>SUMIF(Recibos!$D$4:$D$7493,Cobranza!$B378,Recibos!V$4:V$7493)</f>
        <v>200</v>
      </c>
      <c r="BK378" s="314">
        <f t="shared" si="50"/>
        <v>4200</v>
      </c>
      <c r="BL378" s="313">
        <f>SUMIF(Recibos!$D$4:$D$7493,Cobranza!$B378,Recibos!X$4:X$7493)</f>
        <v>400</v>
      </c>
      <c r="BM378" s="313">
        <f>SUMIF(Recibos!$D$4:$D$7493,Cobranza!$B378,Recibos!Y$4:Y$7493)</f>
        <v>400</v>
      </c>
      <c r="BN378" s="313">
        <f>SUMIF(Recibos!$D$4:$D$7493,Cobranza!$B378,Recibos!Z$4:Z$7493)</f>
        <v>400</v>
      </c>
      <c r="BO378" s="313">
        <f>SUMIF(Recibos!$D$4:$D$7493,Cobranza!$B378,Recibos!AA$4:AA$7493)</f>
        <v>400</v>
      </c>
      <c r="BP378" s="313">
        <f>SUMIF(Recibos!$D$4:$D$7493,Cobranza!$B378,Recibos!AB$4:AB$7493)</f>
        <v>400</v>
      </c>
      <c r="BQ378" s="313">
        <f>SUMIF(Recibos!$D$4:$D$7493,Cobranza!$B378,Recibos!AC$4:AC$7493)</f>
        <v>400</v>
      </c>
      <c r="BR378" s="313">
        <f>SUMIF(Recibos!$D$4:$D$7493,Cobranza!$B378,Recibos!AD$4:AD$7493)</f>
        <v>400</v>
      </c>
      <c r="BS378" s="313">
        <f>SUMIF(Recibos!$D$4:$D$7493,Cobranza!$B378,Recibos!AE$4:AE$7493)</f>
        <v>400</v>
      </c>
      <c r="BT378" s="313">
        <f>SUMIF(Recibos!$D$4:$D$7493,Cobranza!$B378,Recibos!AF$4:AF$7493)</f>
        <v>400</v>
      </c>
      <c r="BU378" s="313">
        <f>SUMIF(Recibos!$D$4:$D$7493,Cobranza!$B378,Recibos!AG$4:AG$7493)</f>
        <v>400</v>
      </c>
      <c r="BV378" s="313">
        <f>SUMIF(Recibos!$D$4:$D$7493,Cobranza!$B378,Recibos!AH$4:AH$7493)</f>
        <v>400</v>
      </c>
      <c r="BW378" s="313">
        <f>SUMIF(Recibos!$D$4:$D$7493,Cobranza!$B378,Recibos!AI$4:AI$7493)</f>
        <v>400</v>
      </c>
      <c r="BX378" s="314">
        <f t="shared" si="51"/>
        <v>4800</v>
      </c>
      <c r="BY378" s="313">
        <f>SUMIF(Recibos!$D$4:$D$7493,Cobranza!$B378,Recibos!AK$4:AK$7493)</f>
        <v>400</v>
      </c>
      <c r="BZ378" s="313">
        <f>SUMIF(Recibos!$D$4:$D$7493,Cobranza!$B378,Recibos!AL$4:AL$7493)</f>
        <v>400</v>
      </c>
      <c r="CA378" s="313">
        <f>SUMIF(Recibos!$D$4:$D$7493,Cobranza!$B378,Recibos!AM$4:AM$7493)</f>
        <v>400</v>
      </c>
      <c r="CB378" s="313">
        <f>SUMIF(Recibos!$D$4:$D$7493,Cobranza!$B378,Recibos!AN$4:AN$7493)</f>
        <v>400</v>
      </c>
      <c r="CC378" s="313">
        <f>SUMIF(Recibos!$D$4:$D$7493,Cobranza!$B378,Recibos!AO$4:AO$7493)</f>
        <v>400</v>
      </c>
      <c r="CD378" s="313">
        <f>SUMIF(Recibos!$D$4:$D$7493,Cobranza!$B378,Recibos!AP$4:AP$7493)</f>
        <v>300</v>
      </c>
      <c r="CE378" s="313">
        <f>SUMIF(Recibos!$D$4:$D$7493,Cobranza!$B378,Recibos!AQ$4:AQ$7493)</f>
        <v>300</v>
      </c>
      <c r="CF378" s="313">
        <f>SUMIF(Recibos!$D$4:$D$7493,Cobranza!$B378,Recibos!AR$4:AR$7493)</f>
        <v>300</v>
      </c>
      <c r="CG378" s="313">
        <f>SUMIF(Recibos!$D$4:$D$7493,Cobranza!$B378,Recibos!AS$4:AS$7493)</f>
        <v>300</v>
      </c>
      <c r="CH378" s="313">
        <f>SUMIF(Recibos!$D$4:$D$7493,Cobranza!$B378,Recibos!AT$4:AT$7493)</f>
        <v>300</v>
      </c>
      <c r="CI378" s="313">
        <f>SUMIF(Recibos!$D$4:$D$7493,Cobranza!$B378,Recibos!AU$4:AU$7493)</f>
        <v>0</v>
      </c>
      <c r="CJ378" s="313">
        <f>SUMIF(Recibos!$D$4:$D$7493,Cobranza!$B378,Recibos!AV$4:AV$7493)</f>
        <v>0</v>
      </c>
      <c r="CK378" s="314">
        <f t="shared" si="45"/>
        <v>3500</v>
      </c>
    </row>
    <row r="379" spans="2:89" x14ac:dyDescent="0.2">
      <c r="B379" s="42" t="s">
        <v>1174</v>
      </c>
      <c r="C379" s="42" t="s">
        <v>1175</v>
      </c>
      <c r="D379" s="42" t="s">
        <v>1176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4">
        <f t="shared" si="46"/>
        <v>0</v>
      </c>
      <c r="L379" s="43">
        <v>300</v>
      </c>
      <c r="M379" s="43">
        <v>300</v>
      </c>
      <c r="N379" s="43">
        <v>300</v>
      </c>
      <c r="O379" s="43">
        <v>300</v>
      </c>
      <c r="P379" s="43">
        <v>300</v>
      </c>
      <c r="Q379" s="43">
        <v>300</v>
      </c>
      <c r="R379" s="43">
        <v>300</v>
      </c>
      <c r="S379" s="43">
        <v>300</v>
      </c>
      <c r="T379" s="43">
        <v>300</v>
      </c>
      <c r="U379" s="43">
        <v>300</v>
      </c>
      <c r="V379" s="43">
        <v>300</v>
      </c>
      <c r="W379" s="43">
        <v>0</v>
      </c>
      <c r="X379" s="44">
        <f t="shared" si="47"/>
        <v>3300</v>
      </c>
      <c r="Y379" s="43">
        <v>0</v>
      </c>
      <c r="Z379" s="43">
        <v>0</v>
      </c>
      <c r="AA379" s="43">
        <v>0</v>
      </c>
      <c r="AB379" s="43">
        <v>0</v>
      </c>
      <c r="AC379" s="43">
        <v>0</v>
      </c>
      <c r="AD379" s="43">
        <v>0</v>
      </c>
      <c r="AE379" s="43">
        <v>0</v>
      </c>
      <c r="AF379" s="43">
        <v>0</v>
      </c>
      <c r="AG379" s="43">
        <v>0</v>
      </c>
      <c r="AH379" s="43">
        <v>0</v>
      </c>
      <c r="AI379" s="43">
        <v>0</v>
      </c>
      <c r="AJ379" s="43">
        <v>0</v>
      </c>
      <c r="AK379" s="44">
        <f t="shared" si="48"/>
        <v>0</v>
      </c>
      <c r="AL379" s="43">
        <v>400</v>
      </c>
      <c r="AM379" s="43">
        <v>400</v>
      </c>
      <c r="AN379" s="43">
        <v>400</v>
      </c>
      <c r="AO379" s="43">
        <v>400</v>
      </c>
      <c r="AP379" s="43">
        <v>400</v>
      </c>
      <c r="AQ379" s="43">
        <v>400</v>
      </c>
      <c r="AR379" s="43">
        <v>400</v>
      </c>
      <c r="AS379" s="43">
        <v>400</v>
      </c>
      <c r="AT379" s="43">
        <v>400</v>
      </c>
      <c r="AU379" s="43">
        <v>400</v>
      </c>
      <c r="AV379" s="43">
        <v>400</v>
      </c>
      <c r="AW379" s="43">
        <v>0</v>
      </c>
      <c r="AX379" s="44">
        <f t="shared" si="49"/>
        <v>4400</v>
      </c>
      <c r="AY379" s="311">
        <f>SUMIF(Recibos!$D$4:$D$7493,Cobranza!$B379,Recibos!K$4:K$7493)</f>
        <v>0</v>
      </c>
      <c r="AZ379" s="311">
        <f>SUMIF(Recibos!$D$4:$D$7493,Cobranza!$B379,Recibos!L$4:L$7493)</f>
        <v>0</v>
      </c>
      <c r="BA379" s="311">
        <f>SUMIF(Recibos!$D$4:$D$7493,Cobranza!$B379,Recibos!M$4:M$7493)</f>
        <v>0</v>
      </c>
      <c r="BB379" s="311">
        <f>SUMIF(Recibos!$D$4:$D$7493,Cobranza!$B379,Recibos!N$4:N$7493)</f>
        <v>0</v>
      </c>
      <c r="BC379" s="311">
        <f>SUMIF(Recibos!$D$4:$D$7493,Cobranza!$B379,Recibos!O$4:O$7493)</f>
        <v>0</v>
      </c>
      <c r="BD379" s="311">
        <f>SUMIF(Recibos!$D$4:$D$7493,Cobranza!$B379,Recibos!P$4:P$7493)</f>
        <v>0</v>
      </c>
      <c r="BE379" s="311">
        <f>SUMIF(Recibos!$D$4:$D$7493,Cobranza!$B379,Recibos!Q$4:Q$7493)</f>
        <v>0</v>
      </c>
      <c r="BF379" s="311">
        <f>SUMIF(Recibos!$D$4:$D$7493,Cobranza!$B379,Recibos!R$4:R$7493)</f>
        <v>0</v>
      </c>
      <c r="BG379" s="311">
        <f>SUMIF(Recibos!$D$4:$D$7493,Cobranza!$B379,Recibos!S$4:S$7493)</f>
        <v>300</v>
      </c>
      <c r="BH379" s="311">
        <f>SUMIF(Recibos!$D$4:$D$7493,Cobranza!$B379,Recibos!T$4:T$7493)</f>
        <v>300</v>
      </c>
      <c r="BI379" s="311">
        <f>SUMIF(Recibos!$D$4:$D$7493,Cobranza!$B379,Recibos!U$4:U$7493)</f>
        <v>0</v>
      </c>
      <c r="BJ379" s="311">
        <f>SUMIF(Recibos!$D$4:$D$7493,Cobranza!$B379,Recibos!V$4:V$7493)</f>
        <v>0</v>
      </c>
      <c r="BK379" s="312">
        <f t="shared" si="50"/>
        <v>600</v>
      </c>
      <c r="BL379" s="311">
        <f>SUMIF(Recibos!$D$4:$D$7493,Cobranza!$B379,Recibos!X$4:X$7493)</f>
        <v>300</v>
      </c>
      <c r="BM379" s="311">
        <f>SUMIF(Recibos!$D$4:$D$7493,Cobranza!$B379,Recibos!Y$4:Y$7493)</f>
        <v>300</v>
      </c>
      <c r="BN379" s="311">
        <f>SUMIF(Recibos!$D$4:$D$7493,Cobranza!$B379,Recibos!Z$4:Z$7493)</f>
        <v>300</v>
      </c>
      <c r="BO379" s="311">
        <f>SUMIF(Recibos!$D$4:$D$7493,Cobranza!$B379,Recibos!AA$4:AA$7493)</f>
        <v>300</v>
      </c>
      <c r="BP379" s="311">
        <f>SUMIF(Recibos!$D$4:$D$7493,Cobranza!$B379,Recibos!AB$4:AB$7493)</f>
        <v>300</v>
      </c>
      <c r="BQ379" s="311">
        <f>SUMIF(Recibos!$D$4:$D$7493,Cobranza!$B379,Recibos!AC$4:AC$7493)</f>
        <v>300</v>
      </c>
      <c r="BR379" s="311">
        <f>SUMIF(Recibos!$D$4:$D$7493,Cobranza!$B379,Recibos!AD$4:AD$7493)</f>
        <v>300</v>
      </c>
      <c r="BS379" s="311">
        <f>SUMIF(Recibos!$D$4:$D$7493,Cobranza!$B379,Recibos!AE$4:AE$7493)</f>
        <v>300</v>
      </c>
      <c r="BT379" s="311">
        <f>SUMIF(Recibos!$D$4:$D$7493,Cobranza!$B379,Recibos!AF$4:AF$7493)</f>
        <v>300</v>
      </c>
      <c r="BU379" s="311">
        <f>SUMIF(Recibos!$D$4:$D$7493,Cobranza!$B379,Recibos!AG$4:AG$7493)</f>
        <v>300</v>
      </c>
      <c r="BV379" s="311">
        <f>SUMIF(Recibos!$D$4:$D$7493,Cobranza!$B379,Recibos!AH$4:AH$7493)</f>
        <v>300</v>
      </c>
      <c r="BW379" s="311">
        <f>SUMIF(Recibos!$D$4:$D$7493,Cobranza!$B379,Recibos!AI$4:AI$7493)</f>
        <v>0</v>
      </c>
      <c r="BX379" s="312">
        <f t="shared" si="51"/>
        <v>3300</v>
      </c>
      <c r="BY379" s="311">
        <f>SUMIF(Recibos!$D$4:$D$7493,Cobranza!$B379,Recibos!AK$4:AK$7493)</f>
        <v>400</v>
      </c>
      <c r="BZ379" s="311">
        <f>SUMIF(Recibos!$D$4:$D$7493,Cobranza!$B379,Recibos!AL$4:AL$7493)</f>
        <v>400</v>
      </c>
      <c r="CA379" s="311">
        <f>SUMIF(Recibos!$D$4:$D$7493,Cobranza!$B379,Recibos!AM$4:AM$7493)</f>
        <v>400</v>
      </c>
      <c r="CB379" s="311">
        <f>SUMIF(Recibos!$D$4:$D$7493,Cobranza!$B379,Recibos!AN$4:AN$7493)</f>
        <v>400</v>
      </c>
      <c r="CC379" s="311">
        <f>SUMIF(Recibos!$D$4:$D$7493,Cobranza!$B379,Recibos!AO$4:AO$7493)</f>
        <v>400</v>
      </c>
      <c r="CD379" s="311">
        <f>SUMIF(Recibos!$D$4:$D$7493,Cobranza!$B379,Recibos!AP$4:AP$7493)</f>
        <v>400</v>
      </c>
      <c r="CE379" s="311">
        <f>SUMIF(Recibos!$D$4:$D$7493,Cobranza!$B379,Recibos!AQ$4:AQ$7493)</f>
        <v>400</v>
      </c>
      <c r="CF379" s="311">
        <f>SUMIF(Recibos!$D$4:$D$7493,Cobranza!$B379,Recibos!AR$4:AR$7493)</f>
        <v>400</v>
      </c>
      <c r="CG379" s="311">
        <f>SUMIF(Recibos!$D$4:$D$7493,Cobranza!$B379,Recibos!AS$4:AS$7493)</f>
        <v>400</v>
      </c>
      <c r="CH379" s="311">
        <f>SUMIF(Recibos!$D$4:$D$7493,Cobranza!$B379,Recibos!AT$4:AT$7493)</f>
        <v>400</v>
      </c>
      <c r="CI379" s="311">
        <f>SUMIF(Recibos!$D$4:$D$7493,Cobranza!$B379,Recibos!AU$4:AU$7493)</f>
        <v>0</v>
      </c>
      <c r="CJ379" s="311">
        <f>SUMIF(Recibos!$D$4:$D$7493,Cobranza!$B379,Recibos!AV$4:AV$7493)</f>
        <v>0</v>
      </c>
      <c r="CK379" s="312">
        <f t="shared" si="45"/>
        <v>4000</v>
      </c>
    </row>
    <row r="380" spans="2:89" x14ac:dyDescent="0.2">
      <c r="B380" s="45" t="s">
        <v>595</v>
      </c>
      <c r="C380" s="45" t="s">
        <v>596</v>
      </c>
      <c r="D380" s="45" t="s">
        <v>597</v>
      </c>
      <c r="E380" s="46">
        <v>0</v>
      </c>
      <c r="F380" s="46">
        <v>0</v>
      </c>
      <c r="G380" s="46">
        <v>0</v>
      </c>
      <c r="H380" s="46">
        <v>0</v>
      </c>
      <c r="I380" s="46">
        <v>0</v>
      </c>
      <c r="J380" s="46">
        <v>0</v>
      </c>
      <c r="K380" s="47">
        <f t="shared" si="46"/>
        <v>0</v>
      </c>
      <c r="L380" s="46">
        <v>300</v>
      </c>
      <c r="M380" s="46">
        <v>300</v>
      </c>
      <c r="N380" s="46">
        <v>300</v>
      </c>
      <c r="O380" s="46">
        <v>300</v>
      </c>
      <c r="P380" s="46">
        <v>300</v>
      </c>
      <c r="Q380" s="46">
        <v>300</v>
      </c>
      <c r="R380" s="46">
        <v>0</v>
      </c>
      <c r="S380" s="46">
        <v>0</v>
      </c>
      <c r="T380" s="46">
        <v>0</v>
      </c>
      <c r="U380" s="46">
        <v>0</v>
      </c>
      <c r="V380" s="46">
        <v>0</v>
      </c>
      <c r="W380" s="46">
        <v>0</v>
      </c>
      <c r="X380" s="47">
        <f t="shared" si="47"/>
        <v>1800</v>
      </c>
      <c r="Y380" s="46">
        <v>400</v>
      </c>
      <c r="Z380" s="46">
        <v>400</v>
      </c>
      <c r="AA380" s="46">
        <v>400</v>
      </c>
      <c r="AB380" s="46">
        <v>400</v>
      </c>
      <c r="AC380" s="46">
        <v>400</v>
      </c>
      <c r="AD380" s="46">
        <v>400</v>
      </c>
      <c r="AE380" s="46">
        <v>400</v>
      </c>
      <c r="AF380" s="46">
        <v>400</v>
      </c>
      <c r="AG380" s="46">
        <v>400</v>
      </c>
      <c r="AH380" s="46">
        <v>400</v>
      </c>
      <c r="AI380" s="46">
        <v>400</v>
      </c>
      <c r="AJ380" s="46">
        <v>400</v>
      </c>
      <c r="AK380" s="47">
        <f t="shared" si="48"/>
        <v>4800</v>
      </c>
      <c r="AL380" s="46">
        <v>400</v>
      </c>
      <c r="AM380" s="46">
        <v>400</v>
      </c>
      <c r="AN380" s="46">
        <v>400</v>
      </c>
      <c r="AO380" s="46">
        <v>400</v>
      </c>
      <c r="AP380" s="46">
        <v>400</v>
      </c>
      <c r="AQ380" s="46">
        <v>400</v>
      </c>
      <c r="AR380" s="46">
        <v>400</v>
      </c>
      <c r="AS380" s="46">
        <v>400</v>
      </c>
      <c r="AT380" s="46">
        <v>400</v>
      </c>
      <c r="AU380" s="46">
        <v>400</v>
      </c>
      <c r="AV380" s="46">
        <v>400</v>
      </c>
      <c r="AW380" s="46">
        <v>0</v>
      </c>
      <c r="AX380" s="47">
        <f t="shared" si="49"/>
        <v>4400</v>
      </c>
      <c r="AY380" s="313">
        <f>SUMIF(Recibos!$D$4:$D$7493,Cobranza!$B380,Recibos!K$4:K$7493)</f>
        <v>400</v>
      </c>
      <c r="AZ380" s="313">
        <f>SUMIF(Recibos!$D$4:$D$7493,Cobranza!$B380,Recibos!L$4:L$7493)</f>
        <v>400</v>
      </c>
      <c r="BA380" s="313">
        <f>SUMIF(Recibos!$D$4:$D$7493,Cobranza!$B380,Recibos!M$4:M$7493)</f>
        <v>400</v>
      </c>
      <c r="BB380" s="313">
        <f>SUMIF(Recibos!$D$4:$D$7493,Cobranza!$B380,Recibos!N$4:N$7493)</f>
        <v>400</v>
      </c>
      <c r="BC380" s="313">
        <f>SUMIF(Recibos!$D$4:$D$7493,Cobranza!$B380,Recibos!O$4:O$7493)</f>
        <v>400</v>
      </c>
      <c r="BD380" s="313">
        <f>SUMIF(Recibos!$D$4:$D$7493,Cobranza!$B380,Recibos!P$4:P$7493)</f>
        <v>400</v>
      </c>
      <c r="BE380" s="313">
        <f>SUMIF(Recibos!$D$4:$D$7493,Cobranza!$B380,Recibos!Q$4:Q$7493)</f>
        <v>400</v>
      </c>
      <c r="BF380" s="313">
        <f>SUMIF(Recibos!$D$4:$D$7493,Cobranza!$B380,Recibos!R$4:R$7493)</f>
        <v>400</v>
      </c>
      <c r="BG380" s="313">
        <f>SUMIF(Recibos!$D$4:$D$7493,Cobranza!$B380,Recibos!S$4:S$7493)</f>
        <v>400</v>
      </c>
      <c r="BH380" s="313">
        <f>SUMIF(Recibos!$D$4:$D$7493,Cobranza!$B380,Recibos!T$4:T$7493)</f>
        <v>400</v>
      </c>
      <c r="BI380" s="313">
        <f>SUMIF(Recibos!$D$4:$D$7493,Cobranza!$B380,Recibos!U$4:U$7493)</f>
        <v>400</v>
      </c>
      <c r="BJ380" s="313">
        <f>SUMIF(Recibos!$D$4:$D$7493,Cobranza!$B380,Recibos!V$4:V$7493)</f>
        <v>400</v>
      </c>
      <c r="BK380" s="314">
        <f t="shared" si="50"/>
        <v>4800</v>
      </c>
      <c r="BL380" s="313">
        <f>SUMIF(Recibos!$D$4:$D$7493,Cobranza!$B380,Recibos!X$4:X$7493)</f>
        <v>0</v>
      </c>
      <c r="BM380" s="313">
        <f>SUMIF(Recibos!$D$4:$D$7493,Cobranza!$B380,Recibos!Y$4:Y$7493)</f>
        <v>0</v>
      </c>
      <c r="BN380" s="313">
        <f>SUMIF(Recibos!$D$4:$D$7493,Cobranza!$B380,Recibos!Z$4:Z$7493)</f>
        <v>0</v>
      </c>
      <c r="BO380" s="313">
        <f>SUMIF(Recibos!$D$4:$D$7493,Cobranza!$B380,Recibos!AA$4:AA$7493)</f>
        <v>0</v>
      </c>
      <c r="BP380" s="313">
        <f>SUMIF(Recibos!$D$4:$D$7493,Cobranza!$B380,Recibos!AB$4:AB$7493)</f>
        <v>0</v>
      </c>
      <c r="BQ380" s="313">
        <f>SUMIF(Recibos!$D$4:$D$7493,Cobranza!$B380,Recibos!AC$4:AC$7493)</f>
        <v>0</v>
      </c>
      <c r="BR380" s="313">
        <f>SUMIF(Recibos!$D$4:$D$7493,Cobranza!$B380,Recibos!AD$4:AD$7493)</f>
        <v>0</v>
      </c>
      <c r="BS380" s="313">
        <f>SUMIF(Recibos!$D$4:$D$7493,Cobranza!$B380,Recibos!AE$4:AE$7493)</f>
        <v>0</v>
      </c>
      <c r="BT380" s="313">
        <f>SUMIF(Recibos!$D$4:$D$7493,Cobranza!$B380,Recibos!AF$4:AF$7493)</f>
        <v>0</v>
      </c>
      <c r="BU380" s="313">
        <f>SUMIF(Recibos!$D$4:$D$7493,Cobranza!$B380,Recibos!AG$4:AG$7493)</f>
        <v>0</v>
      </c>
      <c r="BV380" s="313">
        <f>SUMIF(Recibos!$D$4:$D$7493,Cobranza!$B380,Recibos!AH$4:AH$7493)</f>
        <v>0</v>
      </c>
      <c r="BW380" s="313">
        <f>SUMIF(Recibos!$D$4:$D$7493,Cobranza!$B380,Recibos!AI$4:AI$7493)</f>
        <v>0</v>
      </c>
      <c r="BX380" s="314">
        <f t="shared" si="51"/>
        <v>0</v>
      </c>
      <c r="BY380" s="313">
        <f>SUMIF(Recibos!$D$4:$D$7493,Cobranza!$B380,Recibos!AK$4:AK$7493)</f>
        <v>400</v>
      </c>
      <c r="BZ380" s="313">
        <f>SUMIF(Recibos!$D$4:$D$7493,Cobranza!$B380,Recibos!AL$4:AL$7493)</f>
        <v>400</v>
      </c>
      <c r="CA380" s="313">
        <f>SUMIF(Recibos!$D$4:$D$7493,Cobranza!$B380,Recibos!AM$4:AM$7493)</f>
        <v>400</v>
      </c>
      <c r="CB380" s="313">
        <f>SUMIF(Recibos!$D$4:$D$7493,Cobranza!$B380,Recibos!AN$4:AN$7493)</f>
        <v>400</v>
      </c>
      <c r="CC380" s="313">
        <f>SUMIF(Recibos!$D$4:$D$7493,Cobranza!$B380,Recibos!AO$4:AO$7493)</f>
        <v>400</v>
      </c>
      <c r="CD380" s="313">
        <f>SUMIF(Recibos!$D$4:$D$7493,Cobranza!$B380,Recibos!AP$4:AP$7493)</f>
        <v>400</v>
      </c>
      <c r="CE380" s="313">
        <f>SUMIF(Recibos!$D$4:$D$7493,Cobranza!$B380,Recibos!AQ$4:AQ$7493)</f>
        <v>400</v>
      </c>
      <c r="CF380" s="313">
        <f>SUMIF(Recibos!$D$4:$D$7493,Cobranza!$B380,Recibos!AR$4:AR$7493)</f>
        <v>400</v>
      </c>
      <c r="CG380" s="313">
        <f>SUMIF(Recibos!$D$4:$D$7493,Cobranza!$B380,Recibos!AS$4:AS$7493)</f>
        <v>400</v>
      </c>
      <c r="CH380" s="313">
        <f>SUMIF(Recibos!$D$4:$D$7493,Cobranza!$B380,Recibos!AT$4:AT$7493)</f>
        <v>400</v>
      </c>
      <c r="CI380" s="313">
        <f>SUMIF(Recibos!$D$4:$D$7493,Cobranza!$B380,Recibos!AU$4:AU$7493)</f>
        <v>400</v>
      </c>
      <c r="CJ380" s="313">
        <f>SUMIF(Recibos!$D$4:$D$7493,Cobranza!$B380,Recibos!AV$4:AV$7493)</f>
        <v>400</v>
      </c>
      <c r="CK380" s="314">
        <f t="shared" si="45"/>
        <v>4800</v>
      </c>
    </row>
    <row r="381" spans="2:89" x14ac:dyDescent="0.2">
      <c r="B381" s="42" t="s">
        <v>70</v>
      </c>
      <c r="C381" s="42" t="s">
        <v>71</v>
      </c>
      <c r="D381" s="42" t="s">
        <v>72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4">
        <f t="shared" si="46"/>
        <v>0</v>
      </c>
      <c r="L381" s="43">
        <v>300</v>
      </c>
      <c r="M381" s="43">
        <v>300</v>
      </c>
      <c r="N381" s="43">
        <v>300</v>
      </c>
      <c r="O381" s="43">
        <v>300</v>
      </c>
      <c r="P381" s="43">
        <v>300</v>
      </c>
      <c r="Q381" s="43">
        <v>300</v>
      </c>
      <c r="R381" s="43">
        <v>300</v>
      </c>
      <c r="S381" s="43">
        <v>300</v>
      </c>
      <c r="T381" s="43">
        <v>300</v>
      </c>
      <c r="U381" s="43">
        <v>300</v>
      </c>
      <c r="V381" s="43">
        <v>400</v>
      </c>
      <c r="W381" s="43">
        <v>400</v>
      </c>
      <c r="X381" s="44">
        <f t="shared" si="47"/>
        <v>3800</v>
      </c>
      <c r="Y381" s="43">
        <v>400</v>
      </c>
      <c r="Z381" s="43">
        <v>400</v>
      </c>
      <c r="AA381" s="43">
        <v>400</v>
      </c>
      <c r="AB381" s="43">
        <v>400</v>
      </c>
      <c r="AC381" s="43">
        <v>400</v>
      </c>
      <c r="AD381" s="43">
        <v>400</v>
      </c>
      <c r="AE381" s="43">
        <v>400</v>
      </c>
      <c r="AF381" s="43">
        <v>400</v>
      </c>
      <c r="AG381" s="43">
        <v>400</v>
      </c>
      <c r="AH381" s="43">
        <v>400</v>
      </c>
      <c r="AI381" s="43">
        <v>400</v>
      </c>
      <c r="AJ381" s="43">
        <v>400</v>
      </c>
      <c r="AK381" s="44">
        <f t="shared" si="48"/>
        <v>4800</v>
      </c>
      <c r="AL381" s="43">
        <v>400</v>
      </c>
      <c r="AM381" s="43">
        <v>400</v>
      </c>
      <c r="AN381" s="43">
        <v>400</v>
      </c>
      <c r="AO381" s="43">
        <v>400</v>
      </c>
      <c r="AP381" s="43">
        <v>400</v>
      </c>
      <c r="AQ381" s="43">
        <v>400</v>
      </c>
      <c r="AR381" s="43">
        <v>400</v>
      </c>
      <c r="AS381" s="43">
        <v>400</v>
      </c>
      <c r="AT381" s="43">
        <v>400</v>
      </c>
      <c r="AU381" s="43">
        <v>400</v>
      </c>
      <c r="AV381" s="43">
        <v>400</v>
      </c>
      <c r="AW381" s="43">
        <v>400</v>
      </c>
      <c r="AX381" s="44">
        <f t="shared" si="49"/>
        <v>4800</v>
      </c>
      <c r="AY381" s="311">
        <f>SUMIF(Recibos!$D$4:$D$7493,Cobranza!$B381,Recibos!K$4:K$7493)</f>
        <v>400</v>
      </c>
      <c r="AZ381" s="311">
        <f>SUMIF(Recibos!$D$4:$D$7493,Cobranza!$B381,Recibos!L$4:L$7493)</f>
        <v>400</v>
      </c>
      <c r="BA381" s="311">
        <f>SUMIF(Recibos!$D$4:$D$7493,Cobranza!$B381,Recibos!M$4:M$7493)</f>
        <v>400</v>
      </c>
      <c r="BB381" s="311">
        <f>SUMIF(Recibos!$D$4:$D$7493,Cobranza!$B381,Recibos!N$4:N$7493)</f>
        <v>400</v>
      </c>
      <c r="BC381" s="311">
        <f>SUMIF(Recibos!$D$4:$D$7493,Cobranza!$B381,Recibos!O$4:O$7493)</f>
        <v>400</v>
      </c>
      <c r="BD381" s="311">
        <f>SUMIF(Recibos!$D$4:$D$7493,Cobranza!$B381,Recibos!P$4:P$7493)</f>
        <v>400</v>
      </c>
      <c r="BE381" s="311">
        <f>SUMIF(Recibos!$D$4:$D$7493,Cobranza!$B381,Recibos!Q$4:Q$7493)</f>
        <v>400</v>
      </c>
      <c r="BF381" s="311">
        <f>SUMIF(Recibos!$D$4:$D$7493,Cobranza!$B381,Recibos!R$4:R$7493)</f>
        <v>400</v>
      </c>
      <c r="BG381" s="311">
        <f>SUMIF(Recibos!$D$4:$D$7493,Cobranza!$B381,Recibos!S$4:S$7493)</f>
        <v>400</v>
      </c>
      <c r="BH381" s="311">
        <f>SUMIF(Recibos!$D$4:$D$7493,Cobranza!$B381,Recibos!T$4:T$7493)</f>
        <v>400</v>
      </c>
      <c r="BI381" s="311">
        <f>SUMIF(Recibos!$D$4:$D$7493,Cobranza!$B381,Recibos!U$4:U$7493)</f>
        <v>400</v>
      </c>
      <c r="BJ381" s="311">
        <f>SUMIF(Recibos!$D$4:$D$7493,Cobranza!$B381,Recibos!V$4:V$7493)</f>
        <v>0</v>
      </c>
      <c r="BK381" s="312">
        <f t="shared" si="50"/>
        <v>4400</v>
      </c>
      <c r="BL381" s="311">
        <f>SUMIF(Recibos!$D$4:$D$7493,Cobranza!$B381,Recibos!X$4:X$7493)</f>
        <v>400</v>
      </c>
      <c r="BM381" s="311">
        <f>SUMIF(Recibos!$D$4:$D$7493,Cobranza!$B381,Recibos!Y$4:Y$7493)</f>
        <v>400</v>
      </c>
      <c r="BN381" s="311">
        <f>SUMIF(Recibos!$D$4:$D$7493,Cobranza!$B381,Recibos!Z$4:Z$7493)</f>
        <v>400</v>
      </c>
      <c r="BO381" s="311">
        <f>SUMIF(Recibos!$D$4:$D$7493,Cobranza!$B381,Recibos!AA$4:AA$7493)</f>
        <v>400</v>
      </c>
      <c r="BP381" s="311">
        <f>SUMIF(Recibos!$D$4:$D$7493,Cobranza!$B381,Recibos!AB$4:AB$7493)</f>
        <v>400</v>
      </c>
      <c r="BQ381" s="311">
        <f>SUMIF(Recibos!$D$4:$D$7493,Cobranza!$B381,Recibos!AC$4:AC$7493)</f>
        <v>400</v>
      </c>
      <c r="BR381" s="311">
        <f>SUMIF(Recibos!$D$4:$D$7493,Cobranza!$B381,Recibos!AD$4:AD$7493)</f>
        <v>400</v>
      </c>
      <c r="BS381" s="311">
        <f>SUMIF(Recibos!$D$4:$D$7493,Cobranza!$B381,Recibos!AE$4:AE$7493)</f>
        <v>400</v>
      </c>
      <c r="BT381" s="311">
        <f>SUMIF(Recibos!$D$4:$D$7493,Cobranza!$B381,Recibos!AF$4:AF$7493)</f>
        <v>400</v>
      </c>
      <c r="BU381" s="311">
        <f>SUMIF(Recibos!$D$4:$D$7493,Cobranza!$B381,Recibos!AG$4:AG$7493)</f>
        <v>400</v>
      </c>
      <c r="BV381" s="311">
        <f>SUMIF(Recibos!$D$4:$D$7493,Cobranza!$B381,Recibos!AH$4:AH$7493)</f>
        <v>400</v>
      </c>
      <c r="BW381" s="311">
        <f>SUMIF(Recibos!$D$4:$D$7493,Cobranza!$B381,Recibos!AI$4:AI$7493)</f>
        <v>0</v>
      </c>
      <c r="BX381" s="312">
        <f t="shared" si="51"/>
        <v>4400</v>
      </c>
      <c r="BY381" s="311">
        <f>SUMIF(Recibos!$D$4:$D$7493,Cobranza!$B381,Recibos!AK$4:AK$7493)</f>
        <v>400</v>
      </c>
      <c r="BZ381" s="311">
        <f>SUMIF(Recibos!$D$4:$D$7493,Cobranza!$B381,Recibos!AL$4:AL$7493)</f>
        <v>400</v>
      </c>
      <c r="CA381" s="311">
        <f>SUMIF(Recibos!$D$4:$D$7493,Cobranza!$B381,Recibos!AM$4:AM$7493)</f>
        <v>400</v>
      </c>
      <c r="CB381" s="311">
        <f>SUMIF(Recibos!$D$4:$D$7493,Cobranza!$B381,Recibos!AN$4:AN$7493)</f>
        <v>400</v>
      </c>
      <c r="CC381" s="311">
        <f>SUMIF(Recibos!$D$4:$D$7493,Cobranza!$B381,Recibos!AO$4:AO$7493)</f>
        <v>400</v>
      </c>
      <c r="CD381" s="311">
        <f>SUMIF(Recibos!$D$4:$D$7493,Cobranza!$B381,Recibos!AP$4:AP$7493)</f>
        <v>400</v>
      </c>
      <c r="CE381" s="311">
        <f>SUMIF(Recibos!$D$4:$D$7493,Cobranza!$B381,Recibos!AQ$4:AQ$7493)</f>
        <v>400</v>
      </c>
      <c r="CF381" s="311">
        <f>SUMIF(Recibos!$D$4:$D$7493,Cobranza!$B381,Recibos!AR$4:AR$7493)</f>
        <v>400</v>
      </c>
      <c r="CG381" s="311">
        <f>SUMIF(Recibos!$D$4:$D$7493,Cobranza!$B381,Recibos!AS$4:AS$7493)</f>
        <v>400</v>
      </c>
      <c r="CH381" s="311">
        <f>SUMIF(Recibos!$D$4:$D$7493,Cobranza!$B381,Recibos!AT$4:AT$7493)</f>
        <v>400</v>
      </c>
      <c r="CI381" s="311">
        <f>SUMIF(Recibos!$D$4:$D$7493,Cobranza!$B381,Recibos!AU$4:AU$7493)</f>
        <v>400</v>
      </c>
      <c r="CJ381" s="311">
        <f>SUMIF(Recibos!$D$4:$D$7493,Cobranza!$B381,Recibos!AV$4:AV$7493)</f>
        <v>0</v>
      </c>
      <c r="CK381" s="312">
        <f t="shared" si="45"/>
        <v>4400</v>
      </c>
    </row>
    <row r="382" spans="2:89" x14ac:dyDescent="0.2">
      <c r="B382" s="45" t="s">
        <v>696</v>
      </c>
      <c r="C382" s="45" t="s">
        <v>697</v>
      </c>
      <c r="D382" s="45" t="s">
        <v>698</v>
      </c>
      <c r="E382" s="46">
        <v>0</v>
      </c>
      <c r="F382" s="46">
        <v>0</v>
      </c>
      <c r="G382" s="46">
        <v>0</v>
      </c>
      <c r="H382" s="46">
        <v>0</v>
      </c>
      <c r="I382" s="46">
        <v>0</v>
      </c>
      <c r="J382" s="46">
        <v>300</v>
      </c>
      <c r="K382" s="47">
        <f t="shared" si="46"/>
        <v>300</v>
      </c>
      <c r="L382" s="46">
        <v>300</v>
      </c>
      <c r="M382" s="46">
        <v>300</v>
      </c>
      <c r="N382" s="46">
        <v>0</v>
      </c>
      <c r="O382" s="46">
        <v>300</v>
      </c>
      <c r="P382" s="46">
        <v>300</v>
      </c>
      <c r="Q382" s="46">
        <v>300</v>
      </c>
      <c r="R382" s="46">
        <v>0</v>
      </c>
      <c r="S382" s="46">
        <v>300</v>
      </c>
      <c r="T382" s="46">
        <v>300</v>
      </c>
      <c r="U382" s="46">
        <v>300</v>
      </c>
      <c r="V382" s="46">
        <v>300</v>
      </c>
      <c r="W382" s="46">
        <v>300</v>
      </c>
      <c r="X382" s="47">
        <f t="shared" si="47"/>
        <v>3000</v>
      </c>
      <c r="Y382" s="46">
        <v>300</v>
      </c>
      <c r="Z382" s="46">
        <v>300</v>
      </c>
      <c r="AA382" s="46">
        <v>300</v>
      </c>
      <c r="AB382" s="46">
        <v>300</v>
      </c>
      <c r="AC382" s="46">
        <v>300</v>
      </c>
      <c r="AD382" s="46">
        <v>300</v>
      </c>
      <c r="AE382" s="46">
        <v>300</v>
      </c>
      <c r="AF382" s="46">
        <v>300</v>
      </c>
      <c r="AG382" s="46">
        <v>300</v>
      </c>
      <c r="AH382" s="46">
        <v>300</v>
      </c>
      <c r="AI382" s="46">
        <v>300</v>
      </c>
      <c r="AJ382" s="46">
        <v>300</v>
      </c>
      <c r="AK382" s="47">
        <f t="shared" si="48"/>
        <v>3600</v>
      </c>
      <c r="AL382" s="46">
        <v>300</v>
      </c>
      <c r="AM382" s="46">
        <v>300</v>
      </c>
      <c r="AN382" s="46">
        <v>300</v>
      </c>
      <c r="AO382" s="46">
        <v>300</v>
      </c>
      <c r="AP382" s="46">
        <v>300</v>
      </c>
      <c r="AQ382" s="46">
        <v>300</v>
      </c>
      <c r="AR382" s="46">
        <v>300</v>
      </c>
      <c r="AS382" s="46">
        <v>300</v>
      </c>
      <c r="AT382" s="46">
        <v>300</v>
      </c>
      <c r="AU382" s="46">
        <v>300</v>
      </c>
      <c r="AV382" s="46">
        <v>300</v>
      </c>
      <c r="AW382" s="46">
        <v>300</v>
      </c>
      <c r="AX382" s="47">
        <f t="shared" si="49"/>
        <v>3600</v>
      </c>
      <c r="AY382" s="313">
        <f>SUMIF(Recibos!$D$4:$D$7493,Cobranza!$B382,Recibos!K$4:K$7493)</f>
        <v>300</v>
      </c>
      <c r="AZ382" s="313">
        <f>SUMIF(Recibos!$D$4:$D$7493,Cobranza!$B382,Recibos!L$4:L$7493)</f>
        <v>300</v>
      </c>
      <c r="BA382" s="313">
        <f>SUMIF(Recibos!$D$4:$D$7493,Cobranza!$B382,Recibos!M$4:M$7493)</f>
        <v>300</v>
      </c>
      <c r="BB382" s="313">
        <f>SUMIF(Recibos!$D$4:$D$7493,Cobranza!$B382,Recibos!N$4:N$7493)</f>
        <v>300</v>
      </c>
      <c r="BC382" s="313">
        <f>SUMIF(Recibos!$D$4:$D$7493,Cobranza!$B382,Recibos!O$4:O$7493)</f>
        <v>300</v>
      </c>
      <c r="BD382" s="313">
        <f>SUMIF(Recibos!$D$4:$D$7493,Cobranza!$B382,Recibos!P$4:P$7493)</f>
        <v>300</v>
      </c>
      <c r="BE382" s="313">
        <f>SUMIF(Recibos!$D$4:$D$7493,Cobranza!$B382,Recibos!Q$4:Q$7493)</f>
        <v>300</v>
      </c>
      <c r="BF382" s="313">
        <f>SUMIF(Recibos!$D$4:$D$7493,Cobranza!$B382,Recibos!R$4:R$7493)</f>
        <v>300</v>
      </c>
      <c r="BG382" s="313">
        <f>SUMIF(Recibos!$D$4:$D$7493,Cobranza!$B382,Recibos!S$4:S$7493)</f>
        <v>300</v>
      </c>
      <c r="BH382" s="313">
        <f>SUMIF(Recibos!$D$4:$D$7493,Cobranza!$B382,Recibos!T$4:T$7493)</f>
        <v>300</v>
      </c>
      <c r="BI382" s="313">
        <f>SUMIF(Recibos!$D$4:$D$7493,Cobranza!$B382,Recibos!U$4:U$7493)</f>
        <v>300</v>
      </c>
      <c r="BJ382" s="313">
        <f>SUMIF(Recibos!$D$4:$D$7493,Cobranza!$B382,Recibos!V$4:V$7493)</f>
        <v>300</v>
      </c>
      <c r="BK382" s="314">
        <f t="shared" si="50"/>
        <v>3600</v>
      </c>
      <c r="BL382" s="313">
        <f>SUMIF(Recibos!$D$4:$D$7493,Cobranza!$B382,Recibos!X$4:X$7493)</f>
        <v>300</v>
      </c>
      <c r="BM382" s="313">
        <f>SUMIF(Recibos!$D$4:$D$7493,Cobranza!$B382,Recibos!Y$4:Y$7493)</f>
        <v>300</v>
      </c>
      <c r="BN382" s="313">
        <f>SUMIF(Recibos!$D$4:$D$7493,Cobranza!$B382,Recibos!Z$4:Z$7493)</f>
        <v>300</v>
      </c>
      <c r="BO382" s="313">
        <f>SUMIF(Recibos!$D$4:$D$7493,Cobranza!$B382,Recibos!AA$4:AA$7493)</f>
        <v>300</v>
      </c>
      <c r="BP382" s="313">
        <f>SUMIF(Recibos!$D$4:$D$7493,Cobranza!$B382,Recibos!AB$4:AB$7493)</f>
        <v>300</v>
      </c>
      <c r="BQ382" s="313">
        <f>SUMIF(Recibos!$D$4:$D$7493,Cobranza!$B382,Recibos!AC$4:AC$7493)</f>
        <v>300</v>
      </c>
      <c r="BR382" s="313">
        <f>SUMIF(Recibos!$D$4:$D$7493,Cobranza!$B382,Recibos!AD$4:AD$7493)</f>
        <v>300</v>
      </c>
      <c r="BS382" s="313">
        <f>SUMIF(Recibos!$D$4:$D$7493,Cobranza!$B382,Recibos!AE$4:AE$7493)</f>
        <v>300</v>
      </c>
      <c r="BT382" s="313">
        <f>SUMIF(Recibos!$D$4:$D$7493,Cobranza!$B382,Recibos!AF$4:AF$7493)</f>
        <v>300</v>
      </c>
      <c r="BU382" s="313">
        <f>SUMIF(Recibos!$D$4:$D$7493,Cobranza!$B382,Recibos!AG$4:AG$7493)</f>
        <v>300</v>
      </c>
      <c r="BV382" s="313">
        <f>SUMIF(Recibos!$D$4:$D$7493,Cobranza!$B382,Recibos!AH$4:AH$7493)</f>
        <v>300</v>
      </c>
      <c r="BW382" s="313">
        <f>SUMIF(Recibos!$D$4:$D$7493,Cobranza!$B382,Recibos!AI$4:AI$7493)</f>
        <v>300</v>
      </c>
      <c r="BX382" s="314">
        <f t="shared" si="51"/>
        <v>3600</v>
      </c>
      <c r="BY382" s="313">
        <f>SUMIF(Recibos!$D$4:$D$7493,Cobranza!$B382,Recibos!AK$4:AK$7493)</f>
        <v>300</v>
      </c>
      <c r="BZ382" s="313">
        <f>SUMIF(Recibos!$D$4:$D$7493,Cobranza!$B382,Recibos!AL$4:AL$7493)</f>
        <v>300</v>
      </c>
      <c r="CA382" s="313">
        <f>SUMIF(Recibos!$D$4:$D$7493,Cobranza!$B382,Recibos!AM$4:AM$7493)</f>
        <v>300</v>
      </c>
      <c r="CB382" s="313">
        <f>SUMIF(Recibos!$D$4:$D$7493,Cobranza!$B382,Recibos!AN$4:AN$7493)</f>
        <v>300</v>
      </c>
      <c r="CC382" s="313">
        <f>SUMIF(Recibos!$D$4:$D$7493,Cobranza!$B382,Recibos!AO$4:AO$7493)</f>
        <v>300</v>
      </c>
      <c r="CD382" s="313">
        <f>SUMIF(Recibos!$D$4:$D$7493,Cobranza!$B382,Recibos!AP$4:AP$7493)</f>
        <v>300</v>
      </c>
      <c r="CE382" s="313">
        <f>SUMIF(Recibos!$D$4:$D$7493,Cobranza!$B382,Recibos!AQ$4:AQ$7493)</f>
        <v>300</v>
      </c>
      <c r="CF382" s="313">
        <f>SUMIF(Recibos!$D$4:$D$7493,Cobranza!$B382,Recibos!AR$4:AR$7493)</f>
        <v>300</v>
      </c>
      <c r="CG382" s="313">
        <f>SUMIF(Recibos!$D$4:$D$7493,Cobranza!$B382,Recibos!AS$4:AS$7493)</f>
        <v>300</v>
      </c>
      <c r="CH382" s="313">
        <f>SUMIF(Recibos!$D$4:$D$7493,Cobranza!$B382,Recibos!AT$4:AT$7493)</f>
        <v>300</v>
      </c>
      <c r="CI382" s="313">
        <f>SUMIF(Recibos!$D$4:$D$7493,Cobranza!$B382,Recibos!AU$4:AU$7493)</f>
        <v>0</v>
      </c>
      <c r="CJ382" s="313">
        <f>SUMIF(Recibos!$D$4:$D$7493,Cobranza!$B382,Recibos!AV$4:AV$7493)</f>
        <v>0</v>
      </c>
      <c r="CK382" s="314">
        <f t="shared" si="45"/>
        <v>3000</v>
      </c>
    </row>
    <row r="383" spans="2:89" x14ac:dyDescent="0.2">
      <c r="B383" s="42" t="s">
        <v>740</v>
      </c>
      <c r="C383" s="42" t="s">
        <v>741</v>
      </c>
      <c r="D383" s="42" t="s">
        <v>742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300</v>
      </c>
      <c r="K383" s="44">
        <f t="shared" si="46"/>
        <v>300</v>
      </c>
      <c r="L383" s="43">
        <v>300</v>
      </c>
      <c r="M383" s="43">
        <v>300</v>
      </c>
      <c r="N383" s="43">
        <v>300</v>
      </c>
      <c r="O383" s="43">
        <v>300</v>
      </c>
      <c r="P383" s="43">
        <v>300</v>
      </c>
      <c r="Q383" s="43">
        <v>300</v>
      </c>
      <c r="R383" s="43">
        <v>300</v>
      </c>
      <c r="S383" s="43">
        <v>300</v>
      </c>
      <c r="T383" s="43">
        <v>300</v>
      </c>
      <c r="U383" s="43">
        <v>300</v>
      </c>
      <c r="V383" s="43">
        <v>300</v>
      </c>
      <c r="W383" s="43">
        <v>0</v>
      </c>
      <c r="X383" s="44">
        <f t="shared" si="47"/>
        <v>3300</v>
      </c>
      <c r="Y383" s="43">
        <v>300</v>
      </c>
      <c r="Z383" s="43">
        <v>300</v>
      </c>
      <c r="AA383" s="43">
        <v>300</v>
      </c>
      <c r="AB383" s="43">
        <v>300</v>
      </c>
      <c r="AC383" s="43">
        <v>300</v>
      </c>
      <c r="AD383" s="43">
        <v>300</v>
      </c>
      <c r="AE383" s="43">
        <v>300</v>
      </c>
      <c r="AF383" s="43">
        <v>300</v>
      </c>
      <c r="AG383" s="43">
        <v>300</v>
      </c>
      <c r="AH383" s="43">
        <v>300</v>
      </c>
      <c r="AI383" s="43">
        <v>300</v>
      </c>
      <c r="AJ383" s="43">
        <v>400</v>
      </c>
      <c r="AK383" s="44">
        <f t="shared" si="48"/>
        <v>3700</v>
      </c>
      <c r="AL383" s="43">
        <v>400</v>
      </c>
      <c r="AM383" s="43">
        <v>400</v>
      </c>
      <c r="AN383" s="43">
        <v>400</v>
      </c>
      <c r="AO383" s="43">
        <v>400</v>
      </c>
      <c r="AP383" s="43">
        <v>400</v>
      </c>
      <c r="AQ383" s="43">
        <v>400</v>
      </c>
      <c r="AR383" s="43">
        <v>400</v>
      </c>
      <c r="AS383" s="43">
        <v>400</v>
      </c>
      <c r="AT383" s="43">
        <v>400</v>
      </c>
      <c r="AU383" s="43">
        <v>400</v>
      </c>
      <c r="AV383" s="43">
        <v>400</v>
      </c>
      <c r="AW383" s="43">
        <v>400</v>
      </c>
      <c r="AX383" s="44">
        <f t="shared" si="49"/>
        <v>4800</v>
      </c>
      <c r="AY383" s="311">
        <f>SUMIF(Recibos!$D$4:$D$7493,Cobranza!$B383,Recibos!K$4:K$7493)</f>
        <v>400</v>
      </c>
      <c r="AZ383" s="311">
        <f>SUMIF(Recibos!$D$4:$D$7493,Cobranza!$B383,Recibos!L$4:L$7493)</f>
        <v>400</v>
      </c>
      <c r="BA383" s="311">
        <f>SUMIF(Recibos!$D$4:$D$7493,Cobranza!$B383,Recibos!M$4:M$7493)</f>
        <v>400</v>
      </c>
      <c r="BB383" s="311">
        <f>SUMIF(Recibos!$D$4:$D$7493,Cobranza!$B383,Recibos!N$4:N$7493)</f>
        <v>400</v>
      </c>
      <c r="BC383" s="311">
        <f>SUMIF(Recibos!$D$4:$D$7493,Cobranza!$B383,Recibos!O$4:O$7493)</f>
        <v>400</v>
      </c>
      <c r="BD383" s="311">
        <f>SUMIF(Recibos!$D$4:$D$7493,Cobranza!$B383,Recibos!P$4:P$7493)</f>
        <v>400</v>
      </c>
      <c r="BE383" s="311">
        <f>SUMIF(Recibos!$D$4:$D$7493,Cobranza!$B383,Recibos!Q$4:Q$7493)</f>
        <v>400</v>
      </c>
      <c r="BF383" s="311">
        <f>SUMIF(Recibos!$D$4:$D$7493,Cobranza!$B383,Recibos!R$4:R$7493)</f>
        <v>400</v>
      </c>
      <c r="BG383" s="311">
        <f>SUMIF(Recibos!$D$4:$D$7493,Cobranza!$B383,Recibos!S$4:S$7493)</f>
        <v>400</v>
      </c>
      <c r="BH383" s="311">
        <f>SUMIF(Recibos!$D$4:$D$7493,Cobranza!$B383,Recibos!T$4:T$7493)</f>
        <v>400</v>
      </c>
      <c r="BI383" s="311">
        <f>SUMIF(Recibos!$D$4:$D$7493,Cobranza!$B383,Recibos!U$4:U$7493)</f>
        <v>400</v>
      </c>
      <c r="BJ383" s="311">
        <f>SUMIF(Recibos!$D$4:$D$7493,Cobranza!$B383,Recibos!V$4:V$7493)</f>
        <v>400</v>
      </c>
      <c r="BK383" s="312">
        <f t="shared" si="50"/>
        <v>4800</v>
      </c>
      <c r="BL383" s="311">
        <f>SUMIF(Recibos!$D$4:$D$7493,Cobranza!$B383,Recibos!X$4:X$7493)</f>
        <v>400</v>
      </c>
      <c r="BM383" s="311">
        <f>SUMIF(Recibos!$D$4:$D$7493,Cobranza!$B383,Recibos!Y$4:Y$7493)</f>
        <v>400</v>
      </c>
      <c r="BN383" s="311">
        <f>SUMIF(Recibos!$D$4:$D$7493,Cobranza!$B383,Recibos!Z$4:Z$7493)</f>
        <v>400</v>
      </c>
      <c r="BO383" s="311">
        <f>SUMIF(Recibos!$D$4:$D$7493,Cobranza!$B383,Recibos!AA$4:AA$7493)</f>
        <v>400</v>
      </c>
      <c r="BP383" s="311">
        <f>SUMIF(Recibos!$D$4:$D$7493,Cobranza!$B383,Recibos!AB$4:AB$7493)</f>
        <v>400</v>
      </c>
      <c r="BQ383" s="311">
        <f>SUMIF(Recibos!$D$4:$D$7493,Cobranza!$B383,Recibos!AC$4:AC$7493)</f>
        <v>400</v>
      </c>
      <c r="BR383" s="311">
        <f>SUMIF(Recibos!$D$4:$D$7493,Cobranza!$B383,Recibos!AD$4:AD$7493)</f>
        <v>400</v>
      </c>
      <c r="BS383" s="311">
        <f>SUMIF(Recibos!$D$4:$D$7493,Cobranza!$B383,Recibos!AE$4:AE$7493)</f>
        <v>400</v>
      </c>
      <c r="BT383" s="311">
        <f>SUMIF(Recibos!$D$4:$D$7493,Cobranza!$B383,Recibos!AF$4:AF$7493)</f>
        <v>400</v>
      </c>
      <c r="BU383" s="311">
        <f>SUMIF(Recibos!$D$4:$D$7493,Cobranza!$B383,Recibos!AG$4:AG$7493)</f>
        <v>400</v>
      </c>
      <c r="BV383" s="311">
        <f>SUMIF(Recibos!$D$4:$D$7493,Cobranza!$B383,Recibos!AH$4:AH$7493)</f>
        <v>400</v>
      </c>
      <c r="BW383" s="311">
        <f>SUMIF(Recibos!$D$4:$D$7493,Cobranza!$B383,Recibos!AI$4:AI$7493)</f>
        <v>400</v>
      </c>
      <c r="BX383" s="312">
        <f t="shared" si="51"/>
        <v>4800</v>
      </c>
      <c r="BY383" s="311">
        <f>SUMIF(Recibos!$D$4:$D$7493,Cobranza!$B383,Recibos!AK$4:AK$7493)</f>
        <v>400</v>
      </c>
      <c r="BZ383" s="311">
        <f>SUMIF(Recibos!$D$4:$D$7493,Cobranza!$B383,Recibos!AL$4:AL$7493)</f>
        <v>400</v>
      </c>
      <c r="CA383" s="311">
        <f>SUMIF(Recibos!$D$4:$D$7493,Cobranza!$B383,Recibos!AM$4:AM$7493)</f>
        <v>400</v>
      </c>
      <c r="CB383" s="311">
        <f>SUMIF(Recibos!$D$4:$D$7493,Cobranza!$B383,Recibos!AN$4:AN$7493)</f>
        <v>400</v>
      </c>
      <c r="CC383" s="311">
        <f>SUMIF(Recibos!$D$4:$D$7493,Cobranza!$B383,Recibos!AO$4:AO$7493)</f>
        <v>400</v>
      </c>
      <c r="CD383" s="311">
        <f>SUMIF(Recibos!$D$4:$D$7493,Cobranza!$B383,Recibos!AP$4:AP$7493)</f>
        <v>400</v>
      </c>
      <c r="CE383" s="311">
        <f>SUMIF(Recibos!$D$4:$D$7493,Cobranza!$B383,Recibos!AQ$4:AQ$7493)</f>
        <v>400</v>
      </c>
      <c r="CF383" s="311">
        <f>SUMIF(Recibos!$D$4:$D$7493,Cobranza!$B383,Recibos!AR$4:AR$7493)</f>
        <v>400</v>
      </c>
      <c r="CG383" s="311">
        <f>SUMIF(Recibos!$D$4:$D$7493,Cobranza!$B383,Recibos!AS$4:AS$7493)</f>
        <v>400</v>
      </c>
      <c r="CH383" s="311">
        <f>SUMIF(Recibos!$D$4:$D$7493,Cobranza!$B383,Recibos!AT$4:AT$7493)</f>
        <v>400</v>
      </c>
      <c r="CI383" s="311">
        <f>SUMIF(Recibos!$D$4:$D$7493,Cobranza!$B383,Recibos!AU$4:AU$7493)</f>
        <v>0</v>
      </c>
      <c r="CJ383" s="311">
        <f>SUMIF(Recibos!$D$4:$D$7493,Cobranza!$B383,Recibos!AV$4:AV$7493)</f>
        <v>0</v>
      </c>
      <c r="CK383" s="312">
        <f t="shared" si="45"/>
        <v>4000</v>
      </c>
    </row>
    <row r="384" spans="2:89" x14ac:dyDescent="0.2">
      <c r="B384" s="45" t="s">
        <v>871</v>
      </c>
      <c r="C384" s="45" t="s">
        <v>872</v>
      </c>
      <c r="D384" s="45" t="s">
        <v>873</v>
      </c>
      <c r="E384" s="46">
        <v>0</v>
      </c>
      <c r="F384" s="46">
        <v>0</v>
      </c>
      <c r="G384" s="46">
        <v>0</v>
      </c>
      <c r="H384" s="46">
        <v>0</v>
      </c>
      <c r="I384" s="46">
        <v>0</v>
      </c>
      <c r="J384" s="46">
        <v>300</v>
      </c>
      <c r="K384" s="47">
        <f t="shared" si="46"/>
        <v>300</v>
      </c>
      <c r="L384" s="46">
        <v>300</v>
      </c>
      <c r="M384" s="46">
        <v>300</v>
      </c>
      <c r="N384" s="46">
        <v>300</v>
      </c>
      <c r="O384" s="46">
        <v>300</v>
      </c>
      <c r="P384" s="46">
        <v>300</v>
      </c>
      <c r="Q384" s="46">
        <v>300</v>
      </c>
      <c r="R384" s="46">
        <v>300</v>
      </c>
      <c r="S384" s="46">
        <v>300</v>
      </c>
      <c r="T384" s="46">
        <v>0</v>
      </c>
      <c r="U384" s="46">
        <v>0</v>
      </c>
      <c r="V384" s="46">
        <v>0</v>
      </c>
      <c r="W384" s="46">
        <v>0</v>
      </c>
      <c r="X384" s="47">
        <f t="shared" si="47"/>
        <v>2400</v>
      </c>
      <c r="Y384" s="46">
        <v>0</v>
      </c>
      <c r="Z384" s="46">
        <v>0</v>
      </c>
      <c r="AA384" s="46">
        <v>0</v>
      </c>
      <c r="AB384" s="46">
        <v>0</v>
      </c>
      <c r="AC384" s="46">
        <v>0</v>
      </c>
      <c r="AD384" s="46">
        <v>0</v>
      </c>
      <c r="AE384" s="46">
        <v>0</v>
      </c>
      <c r="AF384" s="46">
        <v>200</v>
      </c>
      <c r="AG384" s="46">
        <v>200</v>
      </c>
      <c r="AH384" s="46">
        <v>200</v>
      </c>
      <c r="AI384" s="46">
        <v>200</v>
      </c>
      <c r="AJ384" s="46">
        <v>200</v>
      </c>
      <c r="AK384" s="47">
        <f t="shared" si="48"/>
        <v>1000</v>
      </c>
      <c r="AL384" s="46">
        <v>200</v>
      </c>
      <c r="AM384" s="46">
        <v>200</v>
      </c>
      <c r="AN384" s="46">
        <v>200</v>
      </c>
      <c r="AO384" s="46">
        <v>200</v>
      </c>
      <c r="AP384" s="46">
        <v>0</v>
      </c>
      <c r="AQ384" s="46">
        <v>200</v>
      </c>
      <c r="AR384" s="46">
        <v>0</v>
      </c>
      <c r="AS384" s="46">
        <v>0</v>
      </c>
      <c r="AT384" s="46">
        <v>0</v>
      </c>
      <c r="AU384" s="46">
        <v>0</v>
      </c>
      <c r="AV384" s="46">
        <v>0</v>
      </c>
      <c r="AW384" s="46">
        <v>0</v>
      </c>
      <c r="AX384" s="47">
        <f t="shared" si="49"/>
        <v>1000</v>
      </c>
      <c r="AY384" s="313">
        <f>SUMIF(Recibos!$D$4:$D$7493,Cobranza!$B384,Recibos!K$4:K$7493)</f>
        <v>200</v>
      </c>
      <c r="AZ384" s="313">
        <f>SUMIF(Recibos!$D$4:$D$7493,Cobranza!$B384,Recibos!L$4:L$7493)</f>
        <v>200</v>
      </c>
      <c r="BA384" s="313">
        <f>SUMIF(Recibos!$D$4:$D$7493,Cobranza!$B384,Recibos!M$4:M$7493)</f>
        <v>200</v>
      </c>
      <c r="BB384" s="313">
        <f>SUMIF(Recibos!$D$4:$D$7493,Cobranza!$B384,Recibos!N$4:N$7493)</f>
        <v>200</v>
      </c>
      <c r="BC384" s="313">
        <f>SUMIF(Recibos!$D$4:$D$7493,Cobranza!$B384,Recibos!O$4:O$7493)</f>
        <v>300</v>
      </c>
      <c r="BD384" s="313">
        <f>SUMIF(Recibos!$D$4:$D$7493,Cobranza!$B384,Recibos!P$4:P$7493)</f>
        <v>200</v>
      </c>
      <c r="BE384" s="313">
        <f>SUMIF(Recibos!$D$4:$D$7493,Cobranza!$B384,Recibos!Q$4:Q$7493)</f>
        <v>200</v>
      </c>
      <c r="BF384" s="313">
        <f>SUMIF(Recibos!$D$4:$D$7493,Cobranza!$B384,Recibos!R$4:R$7493)</f>
        <v>200</v>
      </c>
      <c r="BG384" s="313">
        <f>SUMIF(Recibos!$D$4:$D$7493,Cobranza!$B384,Recibos!S$4:S$7493)</f>
        <v>200</v>
      </c>
      <c r="BH384" s="313">
        <f>SUMIF(Recibos!$D$4:$D$7493,Cobranza!$B384,Recibos!T$4:T$7493)</f>
        <v>200</v>
      </c>
      <c r="BI384" s="313">
        <f>SUMIF(Recibos!$D$4:$D$7493,Cobranza!$B384,Recibos!U$4:U$7493)</f>
        <v>0</v>
      </c>
      <c r="BJ384" s="313">
        <f>SUMIF(Recibos!$D$4:$D$7493,Cobranza!$B384,Recibos!V$4:V$7493)</f>
        <v>0</v>
      </c>
      <c r="BK384" s="314">
        <f t="shared" si="50"/>
        <v>2100</v>
      </c>
      <c r="BL384" s="313">
        <f>SUMIF(Recibos!$D$4:$D$7493,Cobranza!$B384,Recibos!X$4:X$7493)</f>
        <v>0</v>
      </c>
      <c r="BM384" s="313">
        <f>SUMIF(Recibos!$D$4:$D$7493,Cobranza!$B384,Recibos!Y$4:Y$7493)</f>
        <v>0</v>
      </c>
      <c r="BN384" s="313">
        <f>SUMIF(Recibos!$D$4:$D$7493,Cobranza!$B384,Recibos!Z$4:Z$7493)</f>
        <v>0</v>
      </c>
      <c r="BO384" s="313">
        <f>SUMIF(Recibos!$D$4:$D$7493,Cobranza!$B384,Recibos!AA$4:AA$7493)</f>
        <v>0</v>
      </c>
      <c r="BP384" s="313">
        <f>SUMIF(Recibos!$D$4:$D$7493,Cobranza!$B384,Recibos!AB$4:AB$7493)</f>
        <v>0</v>
      </c>
      <c r="BQ384" s="313">
        <f>SUMIF(Recibos!$D$4:$D$7493,Cobranza!$B384,Recibos!AC$4:AC$7493)</f>
        <v>0</v>
      </c>
      <c r="BR384" s="313">
        <f>SUMIF(Recibos!$D$4:$D$7493,Cobranza!$B384,Recibos!AD$4:AD$7493)</f>
        <v>0</v>
      </c>
      <c r="BS384" s="313">
        <f>SUMIF(Recibos!$D$4:$D$7493,Cobranza!$B384,Recibos!AE$4:AE$7493)</f>
        <v>0</v>
      </c>
      <c r="BT384" s="313">
        <f>SUMIF(Recibos!$D$4:$D$7493,Cobranza!$B384,Recibos!AF$4:AF$7493)</f>
        <v>0</v>
      </c>
      <c r="BU384" s="313">
        <f>SUMIF(Recibos!$D$4:$D$7493,Cobranza!$B384,Recibos!AG$4:AG$7493)</f>
        <v>0</v>
      </c>
      <c r="BV384" s="313">
        <f>SUMIF(Recibos!$D$4:$D$7493,Cobranza!$B384,Recibos!AH$4:AH$7493)</f>
        <v>0</v>
      </c>
      <c r="BW384" s="313">
        <f>SUMIF(Recibos!$D$4:$D$7493,Cobranza!$B384,Recibos!AI$4:AI$7493)</f>
        <v>0</v>
      </c>
      <c r="BX384" s="314">
        <f t="shared" si="51"/>
        <v>0</v>
      </c>
      <c r="BY384" s="313">
        <f>SUMIF(Recibos!$D$4:$D$7493,Cobranza!$B384,Recibos!AK$4:AK$7493)</f>
        <v>0</v>
      </c>
      <c r="BZ384" s="313">
        <f>SUMIF(Recibos!$D$4:$D$7493,Cobranza!$B384,Recibos!AL$4:AL$7493)</f>
        <v>0</v>
      </c>
      <c r="CA384" s="313">
        <f>SUMIF(Recibos!$D$4:$D$7493,Cobranza!$B384,Recibos!AM$4:AM$7493)</f>
        <v>0</v>
      </c>
      <c r="CB384" s="313">
        <f>SUMIF(Recibos!$D$4:$D$7493,Cobranza!$B384,Recibos!AN$4:AN$7493)</f>
        <v>0</v>
      </c>
      <c r="CC384" s="313">
        <f>SUMIF(Recibos!$D$4:$D$7493,Cobranza!$B384,Recibos!AO$4:AO$7493)</f>
        <v>0</v>
      </c>
      <c r="CD384" s="313">
        <f>SUMIF(Recibos!$D$4:$D$7493,Cobranza!$B384,Recibos!AP$4:AP$7493)</f>
        <v>0</v>
      </c>
      <c r="CE384" s="313">
        <f>SUMIF(Recibos!$D$4:$D$7493,Cobranza!$B384,Recibos!AQ$4:AQ$7493)</f>
        <v>0</v>
      </c>
      <c r="CF384" s="313">
        <f>SUMIF(Recibos!$D$4:$D$7493,Cobranza!$B384,Recibos!AR$4:AR$7493)</f>
        <v>0</v>
      </c>
      <c r="CG384" s="313">
        <f>SUMIF(Recibos!$D$4:$D$7493,Cobranza!$B384,Recibos!AS$4:AS$7493)</f>
        <v>0</v>
      </c>
      <c r="CH384" s="313">
        <f>SUMIF(Recibos!$D$4:$D$7493,Cobranza!$B384,Recibos!AT$4:AT$7493)</f>
        <v>200</v>
      </c>
      <c r="CI384" s="313">
        <f>SUMIF(Recibos!$D$4:$D$7493,Cobranza!$B384,Recibos!AU$4:AU$7493)</f>
        <v>0</v>
      </c>
      <c r="CJ384" s="313">
        <f>SUMIF(Recibos!$D$4:$D$7493,Cobranza!$B384,Recibos!AV$4:AV$7493)</f>
        <v>0</v>
      </c>
      <c r="CK384" s="314">
        <f t="shared" si="45"/>
        <v>200</v>
      </c>
    </row>
    <row r="385" spans="2:89" x14ac:dyDescent="0.2">
      <c r="B385" s="42" t="s">
        <v>387</v>
      </c>
      <c r="C385" s="42" t="s">
        <v>388</v>
      </c>
      <c r="D385" s="42" t="s">
        <v>389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4">
        <f t="shared" si="46"/>
        <v>0</v>
      </c>
      <c r="L385" s="43">
        <v>300</v>
      </c>
      <c r="M385" s="43">
        <v>300</v>
      </c>
      <c r="N385" s="43">
        <v>300</v>
      </c>
      <c r="O385" s="43">
        <v>300</v>
      </c>
      <c r="P385" s="43">
        <v>600</v>
      </c>
      <c r="Q385" s="43">
        <v>0</v>
      </c>
      <c r="R385" s="43">
        <v>300</v>
      </c>
      <c r="S385" s="43">
        <v>300</v>
      </c>
      <c r="T385" s="43">
        <v>300</v>
      </c>
      <c r="U385" s="43">
        <v>400</v>
      </c>
      <c r="V385" s="43">
        <v>400</v>
      </c>
      <c r="W385" s="43">
        <v>400</v>
      </c>
      <c r="X385" s="44">
        <f t="shared" si="47"/>
        <v>3900</v>
      </c>
      <c r="Y385" s="43">
        <v>400</v>
      </c>
      <c r="Z385" s="43">
        <v>0</v>
      </c>
      <c r="AA385" s="43">
        <v>400</v>
      </c>
      <c r="AB385" s="43">
        <v>800</v>
      </c>
      <c r="AC385" s="43">
        <v>400</v>
      </c>
      <c r="AD385" s="43">
        <v>400</v>
      </c>
      <c r="AE385" s="43">
        <v>400</v>
      </c>
      <c r="AF385" s="43">
        <v>400</v>
      </c>
      <c r="AG385" s="43">
        <v>400</v>
      </c>
      <c r="AH385" s="43">
        <v>400</v>
      </c>
      <c r="AI385" s="43">
        <v>400</v>
      </c>
      <c r="AJ385" s="43">
        <v>400</v>
      </c>
      <c r="AK385" s="44">
        <f t="shared" si="48"/>
        <v>4800</v>
      </c>
      <c r="AL385" s="43">
        <v>0</v>
      </c>
      <c r="AM385" s="43">
        <v>400</v>
      </c>
      <c r="AN385" s="43">
        <v>400</v>
      </c>
      <c r="AO385" s="43">
        <v>400</v>
      </c>
      <c r="AP385" s="43">
        <v>400</v>
      </c>
      <c r="AQ385" s="43">
        <v>400</v>
      </c>
      <c r="AR385" s="43">
        <v>400</v>
      </c>
      <c r="AS385" s="43">
        <v>400</v>
      </c>
      <c r="AT385" s="43">
        <v>400</v>
      </c>
      <c r="AU385" s="43">
        <v>400</v>
      </c>
      <c r="AV385" s="43">
        <v>400</v>
      </c>
      <c r="AW385" s="43">
        <v>400</v>
      </c>
      <c r="AX385" s="44">
        <f t="shared" si="49"/>
        <v>4400</v>
      </c>
      <c r="AY385" s="311">
        <f>SUMIF(Recibos!$D$4:$D$7493,Cobranza!$B385,Recibos!K$4:K$7493)</f>
        <v>400</v>
      </c>
      <c r="AZ385" s="311">
        <f>SUMIF(Recibos!$D$4:$D$7493,Cobranza!$B385,Recibos!L$4:L$7493)</f>
        <v>400</v>
      </c>
      <c r="BA385" s="311">
        <f>SUMIF(Recibos!$D$4:$D$7493,Cobranza!$B385,Recibos!M$4:M$7493)</f>
        <v>400</v>
      </c>
      <c r="BB385" s="311">
        <f>SUMIF(Recibos!$D$4:$D$7493,Cobranza!$B385,Recibos!N$4:N$7493)</f>
        <v>400</v>
      </c>
      <c r="BC385" s="311">
        <f>SUMIF(Recibos!$D$4:$D$7493,Cobranza!$B385,Recibos!O$4:O$7493)</f>
        <v>400</v>
      </c>
      <c r="BD385" s="311">
        <f>SUMIF(Recibos!$D$4:$D$7493,Cobranza!$B385,Recibos!P$4:P$7493)</f>
        <v>400</v>
      </c>
      <c r="BE385" s="311">
        <f>SUMIF(Recibos!$D$4:$D$7493,Cobranza!$B385,Recibos!Q$4:Q$7493)</f>
        <v>400</v>
      </c>
      <c r="BF385" s="311">
        <f>SUMIF(Recibos!$D$4:$D$7493,Cobranza!$B385,Recibos!R$4:R$7493)</f>
        <v>400</v>
      </c>
      <c r="BG385" s="311">
        <f>SUMIF(Recibos!$D$4:$D$7493,Cobranza!$B385,Recibos!S$4:S$7493)</f>
        <v>400</v>
      </c>
      <c r="BH385" s="311">
        <f>SUMIF(Recibos!$D$4:$D$7493,Cobranza!$B385,Recibos!T$4:T$7493)</f>
        <v>400</v>
      </c>
      <c r="BI385" s="311">
        <f>SUMIF(Recibos!$D$4:$D$7493,Cobranza!$B385,Recibos!U$4:U$7493)</f>
        <v>400</v>
      </c>
      <c r="BJ385" s="311">
        <f>SUMIF(Recibos!$D$4:$D$7493,Cobranza!$B385,Recibos!V$4:V$7493)</f>
        <v>400</v>
      </c>
      <c r="BK385" s="312">
        <f t="shared" si="50"/>
        <v>4800</v>
      </c>
      <c r="BL385" s="311">
        <f>SUMIF(Recibos!$D$4:$D$7493,Cobranza!$B385,Recibos!X$4:X$7493)</f>
        <v>400</v>
      </c>
      <c r="BM385" s="311">
        <f>SUMIF(Recibos!$D$4:$D$7493,Cobranza!$B385,Recibos!Y$4:Y$7493)</f>
        <v>400</v>
      </c>
      <c r="BN385" s="311">
        <f>SUMIF(Recibos!$D$4:$D$7493,Cobranza!$B385,Recibos!Z$4:Z$7493)</f>
        <v>400</v>
      </c>
      <c r="BO385" s="311">
        <f>SUMIF(Recibos!$D$4:$D$7493,Cobranza!$B385,Recibos!AA$4:AA$7493)</f>
        <v>400</v>
      </c>
      <c r="BP385" s="311">
        <f>SUMIF(Recibos!$D$4:$D$7493,Cobranza!$B385,Recibos!AB$4:AB$7493)</f>
        <v>400</v>
      </c>
      <c r="BQ385" s="311">
        <f>SUMIF(Recibos!$D$4:$D$7493,Cobranza!$B385,Recibos!AC$4:AC$7493)</f>
        <v>400</v>
      </c>
      <c r="BR385" s="311">
        <f>SUMIF(Recibos!$D$4:$D$7493,Cobranza!$B385,Recibos!AD$4:AD$7493)</f>
        <v>400</v>
      </c>
      <c r="BS385" s="311">
        <f>SUMIF(Recibos!$D$4:$D$7493,Cobranza!$B385,Recibos!AE$4:AE$7493)</f>
        <v>400</v>
      </c>
      <c r="BT385" s="311">
        <f>SUMIF(Recibos!$D$4:$D$7493,Cobranza!$B385,Recibos!AF$4:AF$7493)</f>
        <v>400</v>
      </c>
      <c r="BU385" s="311">
        <f>SUMIF(Recibos!$D$4:$D$7493,Cobranza!$B385,Recibos!AG$4:AG$7493)</f>
        <v>400</v>
      </c>
      <c r="BV385" s="311">
        <f>SUMIF(Recibos!$D$4:$D$7493,Cobranza!$B385,Recibos!AH$4:AH$7493)</f>
        <v>400</v>
      </c>
      <c r="BW385" s="311">
        <f>SUMIF(Recibos!$D$4:$D$7493,Cobranza!$B385,Recibos!AI$4:AI$7493)</f>
        <v>400</v>
      </c>
      <c r="BX385" s="312">
        <f t="shared" si="51"/>
        <v>4800</v>
      </c>
      <c r="BY385" s="311">
        <f>SUMIF(Recibos!$D$4:$D$7493,Cobranza!$B385,Recibos!AK$4:AK$7493)</f>
        <v>400</v>
      </c>
      <c r="BZ385" s="311">
        <f>SUMIF(Recibos!$D$4:$D$7493,Cobranza!$B385,Recibos!AL$4:AL$7493)</f>
        <v>400</v>
      </c>
      <c r="CA385" s="311">
        <f>SUMIF(Recibos!$D$4:$D$7493,Cobranza!$B385,Recibos!AM$4:AM$7493)</f>
        <v>400</v>
      </c>
      <c r="CB385" s="311">
        <f>SUMIF(Recibos!$D$4:$D$7493,Cobranza!$B385,Recibos!AN$4:AN$7493)</f>
        <v>400</v>
      </c>
      <c r="CC385" s="311">
        <f>SUMIF(Recibos!$D$4:$D$7493,Cobranza!$B385,Recibos!AO$4:AO$7493)</f>
        <v>400</v>
      </c>
      <c r="CD385" s="311">
        <f>SUMIF(Recibos!$D$4:$D$7493,Cobranza!$B385,Recibos!AP$4:AP$7493)</f>
        <v>400</v>
      </c>
      <c r="CE385" s="311">
        <f>SUMIF(Recibos!$D$4:$D$7493,Cobranza!$B385,Recibos!AQ$4:AQ$7493)</f>
        <v>400</v>
      </c>
      <c r="CF385" s="311">
        <f>SUMIF(Recibos!$D$4:$D$7493,Cobranza!$B385,Recibos!AR$4:AR$7493)</f>
        <v>400</v>
      </c>
      <c r="CG385" s="311">
        <f>SUMIF(Recibos!$D$4:$D$7493,Cobranza!$B385,Recibos!AS$4:AS$7493)</f>
        <v>400</v>
      </c>
      <c r="CH385" s="311">
        <f>SUMIF(Recibos!$D$4:$D$7493,Cobranza!$B385,Recibos!AT$4:AT$7493)</f>
        <v>400</v>
      </c>
      <c r="CI385" s="311">
        <f>SUMIF(Recibos!$D$4:$D$7493,Cobranza!$B385,Recibos!AU$4:AU$7493)</f>
        <v>0</v>
      </c>
      <c r="CJ385" s="311">
        <f>SUMIF(Recibos!$D$4:$D$7493,Cobranza!$B385,Recibos!AV$4:AV$7493)</f>
        <v>0</v>
      </c>
      <c r="CK385" s="312">
        <f t="shared" si="45"/>
        <v>4000</v>
      </c>
    </row>
    <row r="386" spans="2:89" x14ac:dyDescent="0.2">
      <c r="B386" s="45" t="s">
        <v>135</v>
      </c>
      <c r="C386" s="45" t="s">
        <v>136</v>
      </c>
      <c r="D386" s="45" t="s">
        <v>137</v>
      </c>
      <c r="E386" s="46">
        <v>0</v>
      </c>
      <c r="F386" s="46">
        <v>0</v>
      </c>
      <c r="G386" s="46">
        <v>0</v>
      </c>
      <c r="H386" s="46">
        <v>0</v>
      </c>
      <c r="I386" s="46">
        <v>0</v>
      </c>
      <c r="J386" s="46">
        <v>0</v>
      </c>
      <c r="K386" s="47">
        <f t="shared" si="46"/>
        <v>0</v>
      </c>
      <c r="L386" s="46">
        <v>300</v>
      </c>
      <c r="M386" s="46">
        <v>0</v>
      </c>
      <c r="N386" s="46">
        <v>300</v>
      </c>
      <c r="O386" s="46">
        <v>300</v>
      </c>
      <c r="P386" s="46">
        <v>300</v>
      </c>
      <c r="Q386" s="46">
        <v>300</v>
      </c>
      <c r="R386" s="46">
        <v>300</v>
      </c>
      <c r="S386" s="46">
        <v>300</v>
      </c>
      <c r="T386" s="46">
        <v>300</v>
      </c>
      <c r="U386" s="46">
        <v>300</v>
      </c>
      <c r="V386" s="46">
        <v>600</v>
      </c>
      <c r="W386" s="46">
        <v>0</v>
      </c>
      <c r="X386" s="47">
        <f t="shared" si="47"/>
        <v>3300</v>
      </c>
      <c r="Y386" s="46">
        <v>300</v>
      </c>
      <c r="Z386" s="46">
        <v>300</v>
      </c>
      <c r="AA386" s="46">
        <v>300</v>
      </c>
      <c r="AB386" s="46">
        <v>300</v>
      </c>
      <c r="AC386" s="46">
        <v>300</v>
      </c>
      <c r="AD386" s="46">
        <v>300</v>
      </c>
      <c r="AE386" s="46">
        <v>300</v>
      </c>
      <c r="AF386" s="46">
        <v>600</v>
      </c>
      <c r="AG386" s="46">
        <v>0</v>
      </c>
      <c r="AH386" s="46">
        <v>300</v>
      </c>
      <c r="AI386" s="46">
        <v>300</v>
      </c>
      <c r="AJ386" s="46">
        <v>300</v>
      </c>
      <c r="AK386" s="47">
        <f t="shared" si="48"/>
        <v>3600</v>
      </c>
      <c r="AL386" s="46">
        <v>300</v>
      </c>
      <c r="AM386" s="46">
        <v>300</v>
      </c>
      <c r="AN386" s="46">
        <v>300</v>
      </c>
      <c r="AO386" s="46">
        <v>300</v>
      </c>
      <c r="AP386" s="46">
        <v>300</v>
      </c>
      <c r="AQ386" s="46">
        <v>300</v>
      </c>
      <c r="AR386" s="46">
        <v>300</v>
      </c>
      <c r="AS386" s="46">
        <v>300</v>
      </c>
      <c r="AT386" s="46">
        <v>300</v>
      </c>
      <c r="AU386" s="46">
        <v>300</v>
      </c>
      <c r="AV386" s="46">
        <v>300</v>
      </c>
      <c r="AW386" s="46">
        <v>300</v>
      </c>
      <c r="AX386" s="47">
        <f t="shared" si="49"/>
        <v>3600</v>
      </c>
      <c r="AY386" s="313">
        <f>SUMIF(Recibos!$D$4:$D$7493,Cobranza!$B386,Recibos!K$4:K$7493)</f>
        <v>300</v>
      </c>
      <c r="AZ386" s="313">
        <f>SUMIF(Recibos!$D$4:$D$7493,Cobranza!$B386,Recibos!L$4:L$7493)</f>
        <v>300</v>
      </c>
      <c r="BA386" s="313">
        <f>SUMIF(Recibos!$D$4:$D$7493,Cobranza!$B386,Recibos!M$4:M$7493)</f>
        <v>300</v>
      </c>
      <c r="BB386" s="313">
        <f>SUMIF(Recibos!$D$4:$D$7493,Cobranza!$B386,Recibos!N$4:N$7493)</f>
        <v>300</v>
      </c>
      <c r="BC386" s="313">
        <f>SUMIF(Recibos!$D$4:$D$7493,Cobranza!$B386,Recibos!O$4:O$7493)</f>
        <v>300</v>
      </c>
      <c r="BD386" s="313">
        <f>SUMIF(Recibos!$D$4:$D$7493,Cobranza!$B386,Recibos!P$4:P$7493)</f>
        <v>300</v>
      </c>
      <c r="BE386" s="313">
        <f>SUMIF(Recibos!$D$4:$D$7493,Cobranza!$B386,Recibos!Q$4:Q$7493)</f>
        <v>300</v>
      </c>
      <c r="BF386" s="313">
        <f>SUMIF(Recibos!$D$4:$D$7493,Cobranza!$B386,Recibos!R$4:R$7493)</f>
        <v>300</v>
      </c>
      <c r="BG386" s="313">
        <f>SUMIF(Recibos!$D$4:$D$7493,Cobranza!$B386,Recibos!S$4:S$7493)</f>
        <v>300</v>
      </c>
      <c r="BH386" s="313">
        <f>SUMIF(Recibos!$D$4:$D$7493,Cobranza!$B386,Recibos!T$4:T$7493)</f>
        <v>300</v>
      </c>
      <c r="BI386" s="313">
        <f>SUMIF(Recibos!$D$4:$D$7493,Cobranza!$B386,Recibos!U$4:U$7493)</f>
        <v>300</v>
      </c>
      <c r="BJ386" s="313">
        <f>SUMIF(Recibos!$D$4:$D$7493,Cobranza!$B386,Recibos!V$4:V$7493)</f>
        <v>300</v>
      </c>
      <c r="BK386" s="314">
        <f t="shared" si="50"/>
        <v>3600</v>
      </c>
      <c r="BL386" s="313">
        <f>SUMIF(Recibos!$D$4:$D$7493,Cobranza!$B386,Recibos!X$4:X$7493)</f>
        <v>300</v>
      </c>
      <c r="BM386" s="313">
        <f>SUMIF(Recibos!$D$4:$D$7493,Cobranza!$B386,Recibos!Y$4:Y$7493)</f>
        <v>300</v>
      </c>
      <c r="BN386" s="313">
        <f>SUMIF(Recibos!$D$4:$D$7493,Cobranza!$B386,Recibos!Z$4:Z$7493)</f>
        <v>300</v>
      </c>
      <c r="BO386" s="313">
        <f>SUMIF(Recibos!$D$4:$D$7493,Cobranza!$B386,Recibos!AA$4:AA$7493)</f>
        <v>300</v>
      </c>
      <c r="BP386" s="313">
        <f>SUMIF(Recibos!$D$4:$D$7493,Cobranza!$B386,Recibos!AB$4:AB$7493)</f>
        <v>300</v>
      </c>
      <c r="BQ386" s="313">
        <f>SUMIF(Recibos!$D$4:$D$7493,Cobranza!$B386,Recibos!AC$4:AC$7493)</f>
        <v>300</v>
      </c>
      <c r="BR386" s="313">
        <f>SUMIF(Recibos!$D$4:$D$7493,Cobranza!$B386,Recibos!AD$4:AD$7493)</f>
        <v>300</v>
      </c>
      <c r="BS386" s="313">
        <f>SUMIF(Recibos!$D$4:$D$7493,Cobranza!$B386,Recibos!AE$4:AE$7493)</f>
        <v>300</v>
      </c>
      <c r="BT386" s="313">
        <f>SUMIF(Recibos!$D$4:$D$7493,Cobranza!$B386,Recibos!AF$4:AF$7493)</f>
        <v>300</v>
      </c>
      <c r="BU386" s="313">
        <f>SUMIF(Recibos!$D$4:$D$7493,Cobranza!$B386,Recibos!AG$4:AG$7493)</f>
        <v>300</v>
      </c>
      <c r="BV386" s="313">
        <f>SUMIF(Recibos!$D$4:$D$7493,Cobranza!$B386,Recibos!AH$4:AH$7493)</f>
        <v>300</v>
      </c>
      <c r="BW386" s="313">
        <f>SUMIF(Recibos!$D$4:$D$7493,Cobranza!$B386,Recibos!AI$4:AI$7493)</f>
        <v>300</v>
      </c>
      <c r="BX386" s="314">
        <f t="shared" si="51"/>
        <v>3600</v>
      </c>
      <c r="BY386" s="313">
        <f>SUMIF(Recibos!$D$4:$D$7493,Cobranza!$B386,Recibos!AK$4:AK$7493)</f>
        <v>300</v>
      </c>
      <c r="BZ386" s="313">
        <f>SUMIF(Recibos!$D$4:$D$7493,Cobranza!$B386,Recibos!AL$4:AL$7493)</f>
        <v>300</v>
      </c>
      <c r="CA386" s="313">
        <f>SUMIF(Recibos!$D$4:$D$7493,Cobranza!$B386,Recibos!AM$4:AM$7493)</f>
        <v>300</v>
      </c>
      <c r="CB386" s="313">
        <f>SUMIF(Recibos!$D$4:$D$7493,Cobranza!$B386,Recibos!AN$4:AN$7493)</f>
        <v>300</v>
      </c>
      <c r="CC386" s="313">
        <f>SUMIF(Recibos!$D$4:$D$7493,Cobranza!$B386,Recibos!AO$4:AO$7493)</f>
        <v>300</v>
      </c>
      <c r="CD386" s="313">
        <f>SUMIF(Recibos!$D$4:$D$7493,Cobranza!$B386,Recibos!AP$4:AP$7493)</f>
        <v>0</v>
      </c>
      <c r="CE386" s="313">
        <f>SUMIF(Recibos!$D$4:$D$7493,Cobranza!$B386,Recibos!AQ$4:AQ$7493)</f>
        <v>0</v>
      </c>
      <c r="CF386" s="313">
        <f>SUMIF(Recibos!$D$4:$D$7493,Cobranza!$B386,Recibos!AR$4:AR$7493)</f>
        <v>0</v>
      </c>
      <c r="CG386" s="313">
        <f>SUMIF(Recibos!$D$4:$D$7493,Cobranza!$B386,Recibos!AS$4:AS$7493)</f>
        <v>0</v>
      </c>
      <c r="CH386" s="313">
        <f>SUMIF(Recibos!$D$4:$D$7493,Cobranza!$B386,Recibos!AT$4:AT$7493)</f>
        <v>0</v>
      </c>
      <c r="CI386" s="313">
        <f>SUMIF(Recibos!$D$4:$D$7493,Cobranza!$B386,Recibos!AU$4:AU$7493)</f>
        <v>0</v>
      </c>
      <c r="CJ386" s="313">
        <f>SUMIF(Recibos!$D$4:$D$7493,Cobranza!$B386,Recibos!AV$4:AV$7493)</f>
        <v>0</v>
      </c>
      <c r="CK386" s="314">
        <f t="shared" si="45"/>
        <v>1500</v>
      </c>
    </row>
    <row r="387" spans="2:89" x14ac:dyDescent="0.2">
      <c r="B387" s="42" t="s">
        <v>1432</v>
      </c>
      <c r="C387" s="42" t="s">
        <v>1433</v>
      </c>
      <c r="D387" s="42" t="s">
        <v>1434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300</v>
      </c>
      <c r="K387" s="44">
        <f t="shared" si="46"/>
        <v>300</v>
      </c>
      <c r="L387" s="43">
        <v>0</v>
      </c>
      <c r="M387" s="43">
        <v>300</v>
      </c>
      <c r="N387" s="43">
        <v>300</v>
      </c>
      <c r="O387" s="43">
        <v>300</v>
      </c>
      <c r="P387" s="43">
        <v>600</v>
      </c>
      <c r="Q387" s="43">
        <v>0</v>
      </c>
      <c r="R387" s="43">
        <v>300</v>
      </c>
      <c r="S387" s="43">
        <v>300</v>
      </c>
      <c r="T387" s="43">
        <v>300</v>
      </c>
      <c r="U387" s="43">
        <v>400</v>
      </c>
      <c r="V387" s="43">
        <v>400</v>
      </c>
      <c r="W387" s="43">
        <v>400</v>
      </c>
      <c r="X387" s="44">
        <f t="shared" si="47"/>
        <v>3600</v>
      </c>
      <c r="Y387" s="43">
        <v>400</v>
      </c>
      <c r="Z387" s="43">
        <v>400</v>
      </c>
      <c r="AA387" s="43">
        <v>400</v>
      </c>
      <c r="AB387" s="43">
        <v>400</v>
      </c>
      <c r="AC387" s="43">
        <v>400</v>
      </c>
      <c r="AD387" s="43">
        <v>400</v>
      </c>
      <c r="AE387" s="43">
        <v>400</v>
      </c>
      <c r="AF387" s="43">
        <v>400</v>
      </c>
      <c r="AG387" s="43">
        <v>400</v>
      </c>
      <c r="AH387" s="43">
        <v>400</v>
      </c>
      <c r="AI387" s="43">
        <v>400</v>
      </c>
      <c r="AJ387" s="43">
        <v>400</v>
      </c>
      <c r="AK387" s="44">
        <f t="shared" si="48"/>
        <v>4800</v>
      </c>
      <c r="AL387" s="43">
        <v>400</v>
      </c>
      <c r="AM387" s="43">
        <v>400</v>
      </c>
      <c r="AN387" s="43">
        <v>400</v>
      </c>
      <c r="AO387" s="43">
        <v>400</v>
      </c>
      <c r="AP387" s="43">
        <v>400</v>
      </c>
      <c r="AQ387" s="43">
        <v>400</v>
      </c>
      <c r="AR387" s="43">
        <v>0</v>
      </c>
      <c r="AS387" s="43">
        <v>0</v>
      </c>
      <c r="AT387" s="43">
        <v>0</v>
      </c>
      <c r="AU387" s="43">
        <v>0</v>
      </c>
      <c r="AV387" s="43">
        <v>0</v>
      </c>
      <c r="AW387" s="43">
        <v>0</v>
      </c>
      <c r="AX387" s="44">
        <f t="shared" si="49"/>
        <v>2400</v>
      </c>
      <c r="AY387" s="311">
        <f>SUMIF(Recibos!$D$4:$D$7493,Cobranza!$B387,Recibos!K$4:K$7493)</f>
        <v>0</v>
      </c>
      <c r="AZ387" s="311">
        <f>SUMIF(Recibos!$D$4:$D$7493,Cobranza!$B387,Recibos!L$4:L$7493)</f>
        <v>0</v>
      </c>
      <c r="BA387" s="311">
        <f>SUMIF(Recibos!$D$4:$D$7493,Cobranza!$B387,Recibos!M$4:M$7493)</f>
        <v>0</v>
      </c>
      <c r="BB387" s="311">
        <f>SUMIF(Recibos!$D$4:$D$7493,Cobranza!$B387,Recibos!N$4:N$7493)</f>
        <v>0</v>
      </c>
      <c r="BC387" s="311">
        <f>SUMIF(Recibos!$D$4:$D$7493,Cobranza!$B387,Recibos!O$4:O$7493)</f>
        <v>0</v>
      </c>
      <c r="BD387" s="311">
        <f>SUMIF(Recibos!$D$4:$D$7493,Cobranza!$B387,Recibos!P$4:P$7493)</f>
        <v>0</v>
      </c>
      <c r="BE387" s="311">
        <f>SUMIF(Recibos!$D$4:$D$7493,Cobranza!$B387,Recibos!Q$4:Q$7493)</f>
        <v>0</v>
      </c>
      <c r="BF387" s="311">
        <f>SUMIF(Recibos!$D$4:$D$7493,Cobranza!$B387,Recibos!R$4:R$7493)</f>
        <v>0</v>
      </c>
      <c r="BG387" s="311">
        <f>SUMIF(Recibos!$D$4:$D$7493,Cobranza!$B387,Recibos!S$4:S$7493)</f>
        <v>0</v>
      </c>
      <c r="BH387" s="311">
        <f>SUMIF(Recibos!$D$4:$D$7493,Cobranza!$B387,Recibos!T$4:T$7493)</f>
        <v>0</v>
      </c>
      <c r="BI387" s="311">
        <f>SUMIF(Recibos!$D$4:$D$7493,Cobranza!$B387,Recibos!U$4:U$7493)</f>
        <v>0</v>
      </c>
      <c r="BJ387" s="311">
        <f>SUMIF(Recibos!$D$4:$D$7493,Cobranza!$B387,Recibos!V$4:V$7493)</f>
        <v>0</v>
      </c>
      <c r="BK387" s="312">
        <f t="shared" si="50"/>
        <v>0</v>
      </c>
      <c r="BL387" s="311">
        <f>SUMIF(Recibos!$D$4:$D$7493,Cobranza!$B387,Recibos!X$4:X$7493)</f>
        <v>0</v>
      </c>
      <c r="BM387" s="311">
        <f>SUMIF(Recibos!$D$4:$D$7493,Cobranza!$B387,Recibos!Y$4:Y$7493)</f>
        <v>0</v>
      </c>
      <c r="BN387" s="311">
        <f>SUMIF(Recibos!$D$4:$D$7493,Cobranza!$B387,Recibos!Z$4:Z$7493)</f>
        <v>0</v>
      </c>
      <c r="BO387" s="311">
        <f>SUMIF(Recibos!$D$4:$D$7493,Cobranza!$B387,Recibos!AA$4:AA$7493)</f>
        <v>0</v>
      </c>
      <c r="BP387" s="311">
        <f>SUMIF(Recibos!$D$4:$D$7493,Cobranza!$B387,Recibos!AB$4:AB$7493)</f>
        <v>0</v>
      </c>
      <c r="BQ387" s="311">
        <f>SUMIF(Recibos!$D$4:$D$7493,Cobranza!$B387,Recibos!AC$4:AC$7493)</f>
        <v>0</v>
      </c>
      <c r="BR387" s="311">
        <f>SUMIF(Recibos!$D$4:$D$7493,Cobranza!$B387,Recibos!AD$4:AD$7493)</f>
        <v>0</v>
      </c>
      <c r="BS387" s="311">
        <f>SUMIF(Recibos!$D$4:$D$7493,Cobranza!$B387,Recibos!AE$4:AE$7493)</f>
        <v>0</v>
      </c>
      <c r="BT387" s="311">
        <f>SUMIF(Recibos!$D$4:$D$7493,Cobranza!$B387,Recibos!AF$4:AF$7493)</f>
        <v>0</v>
      </c>
      <c r="BU387" s="311">
        <f>SUMIF(Recibos!$D$4:$D$7493,Cobranza!$B387,Recibos!AG$4:AG$7493)</f>
        <v>0</v>
      </c>
      <c r="BV387" s="311">
        <f>SUMIF(Recibos!$D$4:$D$7493,Cobranza!$B387,Recibos!AH$4:AH$7493)</f>
        <v>0</v>
      </c>
      <c r="BW387" s="311">
        <f>SUMIF(Recibos!$D$4:$D$7493,Cobranza!$B387,Recibos!AI$4:AI$7493)</f>
        <v>0</v>
      </c>
      <c r="BX387" s="312">
        <f t="shared" si="51"/>
        <v>0</v>
      </c>
      <c r="BY387" s="311">
        <f>SUMIF(Recibos!$D$4:$D$7493,Cobranza!$B387,Recibos!AK$4:AK$7493)</f>
        <v>0</v>
      </c>
      <c r="BZ387" s="311">
        <f>SUMIF(Recibos!$D$4:$D$7493,Cobranza!$B387,Recibos!AL$4:AL$7493)</f>
        <v>0</v>
      </c>
      <c r="CA387" s="311">
        <f>SUMIF(Recibos!$D$4:$D$7493,Cobranza!$B387,Recibos!AM$4:AM$7493)</f>
        <v>0</v>
      </c>
      <c r="CB387" s="311">
        <f>SUMIF(Recibos!$D$4:$D$7493,Cobranza!$B387,Recibos!AN$4:AN$7493)</f>
        <v>0</v>
      </c>
      <c r="CC387" s="311">
        <f>SUMIF(Recibos!$D$4:$D$7493,Cobranza!$B387,Recibos!AO$4:AO$7493)</f>
        <v>0</v>
      </c>
      <c r="CD387" s="311">
        <f>SUMIF(Recibos!$D$4:$D$7493,Cobranza!$B387,Recibos!AP$4:AP$7493)</f>
        <v>0</v>
      </c>
      <c r="CE387" s="311">
        <f>SUMIF(Recibos!$D$4:$D$7493,Cobranza!$B387,Recibos!AQ$4:AQ$7493)</f>
        <v>0</v>
      </c>
      <c r="CF387" s="311">
        <f>SUMIF(Recibos!$D$4:$D$7493,Cobranza!$B387,Recibos!AR$4:AR$7493)</f>
        <v>0</v>
      </c>
      <c r="CG387" s="311">
        <f>SUMIF(Recibos!$D$4:$D$7493,Cobranza!$B387,Recibos!AS$4:AS$7493)</f>
        <v>0</v>
      </c>
      <c r="CH387" s="311">
        <f>SUMIF(Recibos!$D$4:$D$7493,Cobranza!$B387,Recibos!AT$4:AT$7493)</f>
        <v>0</v>
      </c>
      <c r="CI387" s="311">
        <f>SUMIF(Recibos!$D$4:$D$7493,Cobranza!$B387,Recibos!AU$4:AU$7493)</f>
        <v>0</v>
      </c>
      <c r="CJ387" s="311">
        <f>SUMIF(Recibos!$D$4:$D$7493,Cobranza!$B387,Recibos!AV$4:AV$7493)</f>
        <v>0</v>
      </c>
      <c r="CK387" s="312">
        <f t="shared" si="45"/>
        <v>0</v>
      </c>
    </row>
    <row r="388" spans="2:89" x14ac:dyDescent="0.2">
      <c r="B388" s="45" t="s">
        <v>1435</v>
      </c>
      <c r="C388" s="45" t="s">
        <v>1436</v>
      </c>
      <c r="D388" s="45" t="s">
        <v>1437</v>
      </c>
      <c r="E388" s="46">
        <v>0</v>
      </c>
      <c r="F388" s="46">
        <v>0</v>
      </c>
      <c r="G388" s="46">
        <v>0</v>
      </c>
      <c r="H388" s="46">
        <v>0</v>
      </c>
      <c r="I388" s="46">
        <v>0</v>
      </c>
      <c r="J388" s="46">
        <v>0</v>
      </c>
      <c r="K388" s="47">
        <f t="shared" si="46"/>
        <v>0</v>
      </c>
      <c r="L388" s="46">
        <v>0</v>
      </c>
      <c r="M388" s="46">
        <v>0</v>
      </c>
      <c r="N388" s="46">
        <v>0</v>
      </c>
      <c r="O388" s="46">
        <v>0</v>
      </c>
      <c r="P388" s="46">
        <v>0</v>
      </c>
      <c r="Q388" s="46">
        <v>0</v>
      </c>
      <c r="R388" s="46">
        <v>0</v>
      </c>
      <c r="S388" s="46">
        <v>0</v>
      </c>
      <c r="T388" s="46">
        <v>0</v>
      </c>
      <c r="U388" s="46">
        <v>0</v>
      </c>
      <c r="V388" s="46">
        <v>0</v>
      </c>
      <c r="W388" s="46">
        <v>0</v>
      </c>
      <c r="X388" s="47">
        <f t="shared" si="47"/>
        <v>0</v>
      </c>
      <c r="Y388" s="46">
        <v>0</v>
      </c>
      <c r="Z388" s="46">
        <v>0</v>
      </c>
      <c r="AA388" s="46">
        <v>0</v>
      </c>
      <c r="AB388" s="46">
        <v>0</v>
      </c>
      <c r="AC388" s="46">
        <v>0</v>
      </c>
      <c r="AD388" s="46">
        <v>0</v>
      </c>
      <c r="AE388" s="46">
        <v>0</v>
      </c>
      <c r="AF388" s="46">
        <v>0</v>
      </c>
      <c r="AG388" s="46">
        <v>0</v>
      </c>
      <c r="AH388" s="46">
        <v>400</v>
      </c>
      <c r="AI388" s="46">
        <v>0</v>
      </c>
      <c r="AJ388" s="46">
        <v>0</v>
      </c>
      <c r="AK388" s="47">
        <f t="shared" si="48"/>
        <v>400</v>
      </c>
      <c r="AL388" s="46">
        <v>0</v>
      </c>
      <c r="AM388" s="46">
        <v>0</v>
      </c>
      <c r="AN388" s="46">
        <v>0</v>
      </c>
      <c r="AO388" s="46">
        <v>0</v>
      </c>
      <c r="AP388" s="46">
        <v>0</v>
      </c>
      <c r="AQ388" s="46">
        <v>0</v>
      </c>
      <c r="AR388" s="46">
        <v>0</v>
      </c>
      <c r="AS388" s="46">
        <v>0</v>
      </c>
      <c r="AT388" s="46">
        <v>0</v>
      </c>
      <c r="AU388" s="46">
        <v>0</v>
      </c>
      <c r="AV388" s="46">
        <v>0</v>
      </c>
      <c r="AW388" s="46">
        <v>0</v>
      </c>
      <c r="AX388" s="47">
        <f t="shared" si="49"/>
        <v>0</v>
      </c>
      <c r="AY388" s="313">
        <f>SUMIF(Recibos!$D$4:$D$7493,Cobranza!$B388,Recibos!K$4:K$7493)</f>
        <v>0</v>
      </c>
      <c r="AZ388" s="313">
        <f>SUMIF(Recibos!$D$4:$D$7493,Cobranza!$B388,Recibos!L$4:L$7493)</f>
        <v>0</v>
      </c>
      <c r="BA388" s="313">
        <f>SUMIF(Recibos!$D$4:$D$7493,Cobranza!$B388,Recibos!M$4:M$7493)</f>
        <v>0</v>
      </c>
      <c r="BB388" s="313">
        <f>SUMIF(Recibos!$D$4:$D$7493,Cobranza!$B388,Recibos!N$4:N$7493)</f>
        <v>0</v>
      </c>
      <c r="BC388" s="313">
        <f>SUMIF(Recibos!$D$4:$D$7493,Cobranza!$B388,Recibos!O$4:O$7493)</f>
        <v>0</v>
      </c>
      <c r="BD388" s="313">
        <f>SUMIF(Recibos!$D$4:$D$7493,Cobranza!$B388,Recibos!P$4:P$7493)</f>
        <v>0</v>
      </c>
      <c r="BE388" s="313">
        <f>SUMIF(Recibos!$D$4:$D$7493,Cobranza!$B388,Recibos!Q$4:Q$7493)</f>
        <v>0</v>
      </c>
      <c r="BF388" s="313">
        <f>SUMIF(Recibos!$D$4:$D$7493,Cobranza!$B388,Recibos!R$4:R$7493)</f>
        <v>0</v>
      </c>
      <c r="BG388" s="313">
        <f>SUMIF(Recibos!$D$4:$D$7493,Cobranza!$B388,Recibos!S$4:S$7493)</f>
        <v>0</v>
      </c>
      <c r="BH388" s="313">
        <f>SUMIF(Recibos!$D$4:$D$7493,Cobranza!$B388,Recibos!T$4:T$7493)</f>
        <v>0</v>
      </c>
      <c r="BI388" s="313">
        <f>SUMIF(Recibos!$D$4:$D$7493,Cobranza!$B388,Recibos!U$4:U$7493)</f>
        <v>0</v>
      </c>
      <c r="BJ388" s="313">
        <f>SUMIF(Recibos!$D$4:$D$7493,Cobranza!$B388,Recibos!V$4:V$7493)</f>
        <v>0</v>
      </c>
      <c r="BK388" s="314">
        <f t="shared" si="50"/>
        <v>0</v>
      </c>
      <c r="BL388" s="313">
        <f>SUMIF(Recibos!$D$4:$D$7493,Cobranza!$B388,Recibos!X$4:X$7493)</f>
        <v>0</v>
      </c>
      <c r="BM388" s="313">
        <f>SUMIF(Recibos!$D$4:$D$7493,Cobranza!$B388,Recibos!Y$4:Y$7493)</f>
        <v>0</v>
      </c>
      <c r="BN388" s="313">
        <f>SUMIF(Recibos!$D$4:$D$7493,Cobranza!$B388,Recibos!Z$4:Z$7493)</f>
        <v>0</v>
      </c>
      <c r="BO388" s="313">
        <f>SUMIF(Recibos!$D$4:$D$7493,Cobranza!$B388,Recibos!AA$4:AA$7493)</f>
        <v>0</v>
      </c>
      <c r="BP388" s="313">
        <f>SUMIF(Recibos!$D$4:$D$7493,Cobranza!$B388,Recibos!AB$4:AB$7493)</f>
        <v>0</v>
      </c>
      <c r="BQ388" s="313">
        <f>SUMIF(Recibos!$D$4:$D$7493,Cobranza!$B388,Recibos!AC$4:AC$7493)</f>
        <v>0</v>
      </c>
      <c r="BR388" s="313">
        <f>SUMIF(Recibos!$D$4:$D$7493,Cobranza!$B388,Recibos!AD$4:AD$7493)</f>
        <v>0</v>
      </c>
      <c r="BS388" s="313">
        <f>SUMIF(Recibos!$D$4:$D$7493,Cobranza!$B388,Recibos!AE$4:AE$7493)</f>
        <v>0</v>
      </c>
      <c r="BT388" s="313">
        <f>SUMIF(Recibos!$D$4:$D$7493,Cobranza!$B388,Recibos!AF$4:AF$7493)</f>
        <v>0</v>
      </c>
      <c r="BU388" s="313">
        <f>SUMIF(Recibos!$D$4:$D$7493,Cobranza!$B388,Recibos!AG$4:AG$7493)</f>
        <v>0</v>
      </c>
      <c r="BV388" s="313">
        <f>SUMIF(Recibos!$D$4:$D$7493,Cobranza!$B388,Recibos!AH$4:AH$7493)</f>
        <v>0</v>
      </c>
      <c r="BW388" s="313">
        <f>SUMIF(Recibos!$D$4:$D$7493,Cobranza!$B388,Recibos!AI$4:AI$7493)</f>
        <v>0</v>
      </c>
      <c r="BX388" s="314">
        <f t="shared" si="51"/>
        <v>0</v>
      </c>
      <c r="BY388" s="313">
        <f>SUMIF(Recibos!$D$4:$D$7493,Cobranza!$B388,Recibos!AK$4:AK$7493)</f>
        <v>0</v>
      </c>
      <c r="BZ388" s="313">
        <f>SUMIF(Recibos!$D$4:$D$7493,Cobranza!$B388,Recibos!AL$4:AL$7493)</f>
        <v>0</v>
      </c>
      <c r="CA388" s="313">
        <f>SUMIF(Recibos!$D$4:$D$7493,Cobranza!$B388,Recibos!AM$4:AM$7493)</f>
        <v>0</v>
      </c>
      <c r="CB388" s="313">
        <f>SUMIF(Recibos!$D$4:$D$7493,Cobranza!$B388,Recibos!AN$4:AN$7493)</f>
        <v>0</v>
      </c>
      <c r="CC388" s="313">
        <f>SUMIF(Recibos!$D$4:$D$7493,Cobranza!$B388,Recibos!AO$4:AO$7493)</f>
        <v>0</v>
      </c>
      <c r="CD388" s="313">
        <f>SUMIF(Recibos!$D$4:$D$7493,Cobranza!$B388,Recibos!AP$4:AP$7493)</f>
        <v>0</v>
      </c>
      <c r="CE388" s="313">
        <f>SUMIF(Recibos!$D$4:$D$7493,Cobranza!$B388,Recibos!AQ$4:AQ$7493)</f>
        <v>0</v>
      </c>
      <c r="CF388" s="313">
        <f>SUMIF(Recibos!$D$4:$D$7493,Cobranza!$B388,Recibos!AR$4:AR$7493)</f>
        <v>0</v>
      </c>
      <c r="CG388" s="313">
        <f>SUMIF(Recibos!$D$4:$D$7493,Cobranza!$B388,Recibos!AS$4:AS$7493)</f>
        <v>0</v>
      </c>
      <c r="CH388" s="313">
        <f>SUMIF(Recibos!$D$4:$D$7493,Cobranza!$B388,Recibos!AT$4:AT$7493)</f>
        <v>0</v>
      </c>
      <c r="CI388" s="313">
        <f>SUMIF(Recibos!$D$4:$D$7493,Cobranza!$B388,Recibos!AU$4:AU$7493)</f>
        <v>0</v>
      </c>
      <c r="CJ388" s="313">
        <f>SUMIF(Recibos!$D$4:$D$7493,Cobranza!$B388,Recibos!AV$4:AV$7493)</f>
        <v>0</v>
      </c>
      <c r="CK388" s="314">
        <f t="shared" si="45"/>
        <v>0</v>
      </c>
    </row>
    <row r="389" spans="2:89" x14ac:dyDescent="0.2">
      <c r="B389" s="42" t="s">
        <v>168</v>
      </c>
      <c r="C389" s="42" t="s">
        <v>169</v>
      </c>
      <c r="D389" s="42" t="s">
        <v>170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150</v>
      </c>
      <c r="K389" s="44">
        <f t="shared" si="46"/>
        <v>150</v>
      </c>
      <c r="L389" s="43">
        <v>150</v>
      </c>
      <c r="M389" s="43">
        <v>150</v>
      </c>
      <c r="N389" s="43">
        <v>150</v>
      </c>
      <c r="O389" s="43">
        <v>0</v>
      </c>
      <c r="P389" s="43">
        <v>150</v>
      </c>
      <c r="Q389" s="43">
        <v>0</v>
      </c>
      <c r="R389" s="43">
        <v>150</v>
      </c>
      <c r="S389" s="43">
        <v>150</v>
      </c>
      <c r="T389" s="43">
        <v>150</v>
      </c>
      <c r="U389" s="43">
        <v>150</v>
      </c>
      <c r="V389" s="43">
        <v>150</v>
      </c>
      <c r="W389" s="43">
        <v>150</v>
      </c>
      <c r="X389" s="44">
        <f t="shared" si="47"/>
        <v>1500</v>
      </c>
      <c r="Y389" s="43">
        <v>200</v>
      </c>
      <c r="Z389" s="43">
        <v>200</v>
      </c>
      <c r="AA389" s="43">
        <v>200</v>
      </c>
      <c r="AB389" s="43">
        <v>200</v>
      </c>
      <c r="AC389" s="43">
        <v>200</v>
      </c>
      <c r="AD389" s="43">
        <v>200</v>
      </c>
      <c r="AE389" s="43">
        <v>200</v>
      </c>
      <c r="AF389" s="43">
        <v>200</v>
      </c>
      <c r="AG389" s="43">
        <v>200</v>
      </c>
      <c r="AH389" s="43">
        <v>200</v>
      </c>
      <c r="AI389" s="43">
        <v>200</v>
      </c>
      <c r="AJ389" s="43">
        <v>200</v>
      </c>
      <c r="AK389" s="44">
        <f t="shared" si="48"/>
        <v>2400</v>
      </c>
      <c r="AL389" s="43">
        <v>200</v>
      </c>
      <c r="AM389" s="43">
        <v>200</v>
      </c>
      <c r="AN389" s="43">
        <v>200</v>
      </c>
      <c r="AO389" s="43">
        <v>200</v>
      </c>
      <c r="AP389" s="43">
        <v>0</v>
      </c>
      <c r="AQ389" s="43">
        <v>200</v>
      </c>
      <c r="AR389" s="43">
        <v>200</v>
      </c>
      <c r="AS389" s="43">
        <v>200</v>
      </c>
      <c r="AT389" s="43">
        <v>200</v>
      </c>
      <c r="AU389" s="43">
        <v>200</v>
      </c>
      <c r="AV389" s="43">
        <v>200</v>
      </c>
      <c r="AW389" s="43">
        <v>200</v>
      </c>
      <c r="AX389" s="44">
        <f t="shared" si="49"/>
        <v>2200</v>
      </c>
      <c r="AY389" s="311">
        <f>SUMIF(Recibos!$D$4:$D$7493,Cobranza!$B389,Recibos!K$4:K$7493)</f>
        <v>200</v>
      </c>
      <c r="AZ389" s="311">
        <f>SUMIF(Recibos!$D$4:$D$7493,Cobranza!$B389,Recibos!L$4:L$7493)</f>
        <v>200</v>
      </c>
      <c r="BA389" s="311">
        <f>SUMIF(Recibos!$D$4:$D$7493,Cobranza!$B389,Recibos!M$4:M$7493)</f>
        <v>200</v>
      </c>
      <c r="BB389" s="311">
        <f>SUMIF(Recibos!$D$4:$D$7493,Cobranza!$B389,Recibos!N$4:N$7493)</f>
        <v>200</v>
      </c>
      <c r="BC389" s="311">
        <f>SUMIF(Recibos!$D$4:$D$7493,Cobranza!$B389,Recibos!O$4:O$7493)</f>
        <v>0</v>
      </c>
      <c r="BD389" s="311">
        <f>SUMIF(Recibos!$D$4:$D$7493,Cobranza!$B389,Recibos!P$4:P$7493)</f>
        <v>200</v>
      </c>
      <c r="BE389" s="311">
        <f>SUMIF(Recibos!$D$4:$D$7493,Cobranza!$B389,Recibos!Q$4:Q$7493)</f>
        <v>200</v>
      </c>
      <c r="BF389" s="311">
        <f>SUMIF(Recibos!$D$4:$D$7493,Cobranza!$B389,Recibos!R$4:R$7493)</f>
        <v>200</v>
      </c>
      <c r="BG389" s="311">
        <f>SUMIF(Recibos!$D$4:$D$7493,Cobranza!$B389,Recibos!S$4:S$7493)</f>
        <v>200</v>
      </c>
      <c r="BH389" s="311">
        <f>SUMIF(Recibos!$D$4:$D$7493,Cobranza!$B389,Recibos!T$4:T$7493)</f>
        <v>200</v>
      </c>
      <c r="BI389" s="311">
        <f>SUMIF(Recibos!$D$4:$D$7493,Cobranza!$B389,Recibos!U$4:U$7493)</f>
        <v>200</v>
      </c>
      <c r="BJ389" s="311">
        <f>SUMIF(Recibos!$D$4:$D$7493,Cobranza!$B389,Recibos!V$4:V$7493)</f>
        <v>0</v>
      </c>
      <c r="BK389" s="312">
        <f t="shared" si="50"/>
        <v>2000</v>
      </c>
      <c r="BL389" s="311">
        <f>SUMIF(Recibos!$D$4:$D$7493,Cobranza!$B389,Recibos!X$4:X$7493)</f>
        <v>200</v>
      </c>
      <c r="BM389" s="311">
        <f>SUMIF(Recibos!$D$4:$D$7493,Cobranza!$B389,Recibos!Y$4:Y$7493)</f>
        <v>200</v>
      </c>
      <c r="BN389" s="311">
        <f>SUMIF(Recibos!$D$4:$D$7493,Cobranza!$B389,Recibos!Z$4:Z$7493)</f>
        <v>200</v>
      </c>
      <c r="BO389" s="311">
        <f>SUMIF(Recibos!$D$4:$D$7493,Cobranza!$B389,Recibos!AA$4:AA$7493)</f>
        <v>200</v>
      </c>
      <c r="BP389" s="311">
        <f>SUMIF(Recibos!$D$4:$D$7493,Cobranza!$B389,Recibos!AB$4:AB$7493)</f>
        <v>200</v>
      </c>
      <c r="BQ389" s="311">
        <f>SUMIF(Recibos!$D$4:$D$7493,Cobranza!$B389,Recibos!AC$4:AC$7493)</f>
        <v>200</v>
      </c>
      <c r="BR389" s="311">
        <f>SUMIF(Recibos!$D$4:$D$7493,Cobranza!$B389,Recibos!AD$4:AD$7493)</f>
        <v>200</v>
      </c>
      <c r="BS389" s="311">
        <f>SUMIF(Recibos!$D$4:$D$7493,Cobranza!$B389,Recibos!AE$4:AE$7493)</f>
        <v>200</v>
      </c>
      <c r="BT389" s="311">
        <f>SUMIF(Recibos!$D$4:$D$7493,Cobranza!$B389,Recibos!AF$4:AF$7493)</f>
        <v>200</v>
      </c>
      <c r="BU389" s="311">
        <f>SUMIF(Recibos!$D$4:$D$7493,Cobranza!$B389,Recibos!AG$4:AG$7493)</f>
        <v>200</v>
      </c>
      <c r="BV389" s="311">
        <f>SUMIF(Recibos!$D$4:$D$7493,Cobranza!$B389,Recibos!AH$4:AH$7493)</f>
        <v>200</v>
      </c>
      <c r="BW389" s="311">
        <f>SUMIF(Recibos!$D$4:$D$7493,Cobranza!$B389,Recibos!AI$4:AI$7493)</f>
        <v>200</v>
      </c>
      <c r="BX389" s="312">
        <f t="shared" si="51"/>
        <v>2400</v>
      </c>
      <c r="BY389" s="311">
        <f>SUMIF(Recibos!$D$4:$D$7493,Cobranza!$B389,Recibos!AK$4:AK$7493)</f>
        <v>200</v>
      </c>
      <c r="BZ389" s="311">
        <f>SUMIF(Recibos!$D$4:$D$7493,Cobranza!$B389,Recibos!AL$4:AL$7493)</f>
        <v>200</v>
      </c>
      <c r="CA389" s="311">
        <f>SUMIF(Recibos!$D$4:$D$7493,Cobranza!$B389,Recibos!AM$4:AM$7493)</f>
        <v>200</v>
      </c>
      <c r="CB389" s="311">
        <f>SUMIF(Recibos!$D$4:$D$7493,Cobranza!$B389,Recibos!AN$4:AN$7493)</f>
        <v>200</v>
      </c>
      <c r="CC389" s="311">
        <f>SUMIF(Recibos!$D$4:$D$7493,Cobranza!$B389,Recibos!AO$4:AO$7493)</f>
        <v>200</v>
      </c>
      <c r="CD389" s="311">
        <f>SUMIF(Recibos!$D$4:$D$7493,Cobranza!$B389,Recibos!AP$4:AP$7493)</f>
        <v>200</v>
      </c>
      <c r="CE389" s="311">
        <f>SUMIF(Recibos!$D$4:$D$7493,Cobranza!$B389,Recibos!AQ$4:AQ$7493)</f>
        <v>200</v>
      </c>
      <c r="CF389" s="311">
        <f>SUMIF(Recibos!$D$4:$D$7493,Cobranza!$B389,Recibos!AR$4:AR$7493)</f>
        <v>200</v>
      </c>
      <c r="CG389" s="311">
        <f>SUMIF(Recibos!$D$4:$D$7493,Cobranza!$B389,Recibos!AS$4:AS$7493)</f>
        <v>200</v>
      </c>
      <c r="CH389" s="311">
        <f>SUMIF(Recibos!$D$4:$D$7493,Cobranza!$B389,Recibos!AT$4:AT$7493)</f>
        <v>200</v>
      </c>
      <c r="CI389" s="311">
        <f>SUMIF(Recibos!$D$4:$D$7493,Cobranza!$B389,Recibos!AU$4:AU$7493)</f>
        <v>0</v>
      </c>
      <c r="CJ389" s="311">
        <f>SUMIF(Recibos!$D$4:$D$7493,Cobranza!$B389,Recibos!AV$4:AV$7493)</f>
        <v>0</v>
      </c>
      <c r="CK389" s="312">
        <f t="shared" si="45"/>
        <v>2000</v>
      </c>
    </row>
    <row r="390" spans="2:89" x14ac:dyDescent="0.2">
      <c r="B390" s="45" t="s">
        <v>915</v>
      </c>
      <c r="C390" s="45" t="s">
        <v>916</v>
      </c>
      <c r="D390" s="45" t="s">
        <v>917</v>
      </c>
      <c r="E390" s="46">
        <v>0</v>
      </c>
      <c r="F390" s="46">
        <v>0</v>
      </c>
      <c r="G390" s="46">
        <v>200</v>
      </c>
      <c r="H390" s="46">
        <v>200</v>
      </c>
      <c r="I390" s="46">
        <v>200</v>
      </c>
      <c r="J390" s="46">
        <v>200</v>
      </c>
      <c r="K390" s="47">
        <f t="shared" si="46"/>
        <v>800</v>
      </c>
      <c r="L390" s="46">
        <v>200</v>
      </c>
      <c r="M390" s="46">
        <v>200</v>
      </c>
      <c r="N390" s="46">
        <v>200</v>
      </c>
      <c r="O390" s="46">
        <v>200</v>
      </c>
      <c r="P390" s="46">
        <v>200</v>
      </c>
      <c r="Q390" s="46">
        <v>200</v>
      </c>
      <c r="R390" s="46">
        <v>200</v>
      </c>
      <c r="S390" s="46">
        <v>200</v>
      </c>
      <c r="T390" s="46">
        <v>200</v>
      </c>
      <c r="U390" s="46">
        <v>200</v>
      </c>
      <c r="V390" s="46">
        <v>200</v>
      </c>
      <c r="W390" s="46">
        <v>200</v>
      </c>
      <c r="X390" s="47">
        <f t="shared" si="47"/>
        <v>2400</v>
      </c>
      <c r="Y390" s="46">
        <v>200</v>
      </c>
      <c r="Z390" s="46">
        <v>0</v>
      </c>
      <c r="AA390" s="46">
        <v>0</v>
      </c>
      <c r="AB390" s="46">
        <v>0</v>
      </c>
      <c r="AC390" s="46">
        <v>0</v>
      </c>
      <c r="AD390" s="46">
        <v>0</v>
      </c>
      <c r="AE390" s="46">
        <v>0</v>
      </c>
      <c r="AF390" s="46">
        <v>0</v>
      </c>
      <c r="AG390" s="46">
        <v>0</v>
      </c>
      <c r="AH390" s="46">
        <v>0</v>
      </c>
      <c r="AI390" s="46">
        <v>0</v>
      </c>
      <c r="AJ390" s="46">
        <v>0</v>
      </c>
      <c r="AK390" s="47">
        <f t="shared" si="48"/>
        <v>200</v>
      </c>
      <c r="AL390" s="46">
        <v>200</v>
      </c>
      <c r="AM390" s="46">
        <v>200</v>
      </c>
      <c r="AN390" s="46">
        <v>200</v>
      </c>
      <c r="AO390" s="46">
        <v>200</v>
      </c>
      <c r="AP390" s="46">
        <v>200</v>
      </c>
      <c r="AQ390" s="46">
        <v>200</v>
      </c>
      <c r="AR390" s="46">
        <v>200</v>
      </c>
      <c r="AS390" s="46">
        <v>200</v>
      </c>
      <c r="AT390" s="46">
        <v>200</v>
      </c>
      <c r="AU390" s="46">
        <v>200</v>
      </c>
      <c r="AV390" s="46">
        <v>200</v>
      </c>
      <c r="AW390" s="46">
        <v>0</v>
      </c>
      <c r="AX390" s="47">
        <f t="shared" si="49"/>
        <v>2200</v>
      </c>
      <c r="AY390" s="313">
        <f>SUMIF(Recibos!$D$4:$D$7493,Cobranza!$B390,Recibos!K$4:K$7493)</f>
        <v>200</v>
      </c>
      <c r="AZ390" s="313">
        <f>SUMIF(Recibos!$D$4:$D$7493,Cobranza!$B390,Recibos!L$4:L$7493)</f>
        <v>200</v>
      </c>
      <c r="BA390" s="313">
        <f>SUMIF(Recibos!$D$4:$D$7493,Cobranza!$B390,Recibos!M$4:M$7493)</f>
        <v>200</v>
      </c>
      <c r="BB390" s="313">
        <f>SUMIF(Recibos!$D$4:$D$7493,Cobranza!$B390,Recibos!N$4:N$7493)</f>
        <v>200</v>
      </c>
      <c r="BC390" s="313">
        <f>SUMIF(Recibos!$D$4:$D$7493,Cobranza!$B390,Recibos!O$4:O$7493)</f>
        <v>200</v>
      </c>
      <c r="BD390" s="313">
        <f>SUMIF(Recibos!$D$4:$D$7493,Cobranza!$B390,Recibos!P$4:P$7493)</f>
        <v>200</v>
      </c>
      <c r="BE390" s="313">
        <f>SUMIF(Recibos!$D$4:$D$7493,Cobranza!$B390,Recibos!Q$4:Q$7493)</f>
        <v>200</v>
      </c>
      <c r="BF390" s="313">
        <f>SUMIF(Recibos!$D$4:$D$7493,Cobranza!$B390,Recibos!R$4:R$7493)</f>
        <v>200</v>
      </c>
      <c r="BG390" s="313">
        <f>SUMIF(Recibos!$D$4:$D$7493,Cobranza!$B390,Recibos!S$4:S$7493)</f>
        <v>200</v>
      </c>
      <c r="BH390" s="313">
        <f>SUMIF(Recibos!$D$4:$D$7493,Cobranza!$B390,Recibos!T$4:T$7493)</f>
        <v>200</v>
      </c>
      <c r="BI390" s="313">
        <f>SUMIF(Recibos!$D$4:$D$7493,Cobranza!$B390,Recibos!U$4:U$7493)</f>
        <v>200</v>
      </c>
      <c r="BJ390" s="313">
        <f>SUMIF(Recibos!$D$4:$D$7493,Cobranza!$B390,Recibos!V$4:V$7493)</f>
        <v>200</v>
      </c>
      <c r="BK390" s="314">
        <f t="shared" si="50"/>
        <v>2400</v>
      </c>
      <c r="BL390" s="313">
        <f>SUMIF(Recibos!$D$4:$D$7493,Cobranza!$B390,Recibos!X$4:X$7493)</f>
        <v>200</v>
      </c>
      <c r="BM390" s="313">
        <f>SUMIF(Recibos!$D$4:$D$7493,Cobranza!$B390,Recibos!Y$4:Y$7493)</f>
        <v>200</v>
      </c>
      <c r="BN390" s="313">
        <f>SUMIF(Recibos!$D$4:$D$7493,Cobranza!$B390,Recibos!Z$4:Z$7493)</f>
        <v>200</v>
      </c>
      <c r="BO390" s="313">
        <f>SUMIF(Recibos!$D$4:$D$7493,Cobranza!$B390,Recibos!AA$4:AA$7493)</f>
        <v>200</v>
      </c>
      <c r="BP390" s="313">
        <f>SUMIF(Recibos!$D$4:$D$7493,Cobranza!$B390,Recibos!AB$4:AB$7493)</f>
        <v>200</v>
      </c>
      <c r="BQ390" s="313">
        <f>SUMIF(Recibos!$D$4:$D$7493,Cobranza!$B390,Recibos!AC$4:AC$7493)</f>
        <v>200</v>
      </c>
      <c r="BR390" s="313">
        <f>SUMIF(Recibos!$D$4:$D$7493,Cobranza!$B390,Recibos!AD$4:AD$7493)</f>
        <v>200</v>
      </c>
      <c r="BS390" s="313">
        <f>SUMIF(Recibos!$D$4:$D$7493,Cobranza!$B390,Recibos!AE$4:AE$7493)</f>
        <v>200</v>
      </c>
      <c r="BT390" s="313">
        <f>SUMIF(Recibos!$D$4:$D$7493,Cobranza!$B390,Recibos!AF$4:AF$7493)</f>
        <v>200</v>
      </c>
      <c r="BU390" s="313">
        <f>SUMIF(Recibos!$D$4:$D$7493,Cobranza!$B390,Recibos!AG$4:AG$7493)</f>
        <v>200</v>
      </c>
      <c r="BV390" s="313">
        <f>SUMIF(Recibos!$D$4:$D$7493,Cobranza!$B390,Recibos!AH$4:AH$7493)</f>
        <v>200</v>
      </c>
      <c r="BW390" s="313">
        <f>SUMIF(Recibos!$D$4:$D$7493,Cobranza!$B390,Recibos!AI$4:AI$7493)</f>
        <v>0</v>
      </c>
      <c r="BX390" s="314">
        <f t="shared" si="51"/>
        <v>2200</v>
      </c>
      <c r="BY390" s="313">
        <f>SUMIF(Recibos!$D$4:$D$7493,Cobranza!$B390,Recibos!AK$4:AK$7493)</f>
        <v>200</v>
      </c>
      <c r="BZ390" s="313">
        <f>SUMIF(Recibos!$D$4:$D$7493,Cobranza!$B390,Recibos!AL$4:AL$7493)</f>
        <v>200</v>
      </c>
      <c r="CA390" s="313">
        <f>SUMIF(Recibos!$D$4:$D$7493,Cobranza!$B390,Recibos!AM$4:AM$7493)</f>
        <v>200</v>
      </c>
      <c r="CB390" s="313">
        <f>SUMIF(Recibos!$D$4:$D$7493,Cobranza!$B390,Recibos!AN$4:AN$7493)</f>
        <v>200</v>
      </c>
      <c r="CC390" s="313">
        <f>SUMIF(Recibos!$D$4:$D$7493,Cobranza!$B390,Recibos!AO$4:AO$7493)</f>
        <v>200</v>
      </c>
      <c r="CD390" s="313">
        <f>SUMIF(Recibos!$D$4:$D$7493,Cobranza!$B390,Recibos!AP$4:AP$7493)</f>
        <v>200</v>
      </c>
      <c r="CE390" s="313">
        <f>SUMIF(Recibos!$D$4:$D$7493,Cobranza!$B390,Recibos!AQ$4:AQ$7493)</f>
        <v>200</v>
      </c>
      <c r="CF390" s="313">
        <f>SUMIF(Recibos!$D$4:$D$7493,Cobranza!$B390,Recibos!AR$4:AR$7493)</f>
        <v>200</v>
      </c>
      <c r="CG390" s="313">
        <f>SUMIF(Recibos!$D$4:$D$7493,Cobranza!$B390,Recibos!AS$4:AS$7493)</f>
        <v>200</v>
      </c>
      <c r="CH390" s="313">
        <f>SUMIF(Recibos!$D$4:$D$7493,Cobranza!$B390,Recibos!AT$4:AT$7493)</f>
        <v>200</v>
      </c>
      <c r="CI390" s="313">
        <f>SUMIF(Recibos!$D$4:$D$7493,Cobranza!$B390,Recibos!AU$4:AU$7493)</f>
        <v>200</v>
      </c>
      <c r="CJ390" s="313">
        <f>SUMIF(Recibos!$D$4:$D$7493,Cobranza!$B390,Recibos!AV$4:AV$7493)</f>
        <v>0</v>
      </c>
      <c r="CK390" s="314">
        <f t="shared" si="45"/>
        <v>2200</v>
      </c>
    </row>
    <row r="391" spans="2:89" x14ac:dyDescent="0.2">
      <c r="B391" s="42" t="s">
        <v>890</v>
      </c>
      <c r="C391" s="42" t="s">
        <v>891</v>
      </c>
      <c r="D391" s="42" t="s">
        <v>892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4">
        <f t="shared" si="46"/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  <c r="V391" s="43">
        <v>0</v>
      </c>
      <c r="W391" s="43">
        <v>0</v>
      </c>
      <c r="X391" s="44">
        <f t="shared" si="47"/>
        <v>0</v>
      </c>
      <c r="Y391" s="43">
        <v>0</v>
      </c>
      <c r="Z391" s="43">
        <v>0</v>
      </c>
      <c r="AA391" s="43">
        <v>0</v>
      </c>
      <c r="AB391" s="43">
        <v>0</v>
      </c>
      <c r="AC391" s="43">
        <v>0</v>
      </c>
      <c r="AD391" s="43">
        <v>0</v>
      </c>
      <c r="AE391" s="43">
        <v>0</v>
      </c>
      <c r="AF391" s="43">
        <v>0</v>
      </c>
      <c r="AG391" s="43">
        <v>0</v>
      </c>
      <c r="AH391" s="43">
        <v>0</v>
      </c>
      <c r="AI391" s="43">
        <v>400</v>
      </c>
      <c r="AJ391" s="43">
        <v>400</v>
      </c>
      <c r="AK391" s="44">
        <f t="shared" si="48"/>
        <v>800</v>
      </c>
      <c r="AL391" s="43">
        <v>400</v>
      </c>
      <c r="AM391" s="43">
        <v>400</v>
      </c>
      <c r="AN391" s="43">
        <v>400</v>
      </c>
      <c r="AO391" s="43">
        <v>400</v>
      </c>
      <c r="AP391" s="43">
        <v>400</v>
      </c>
      <c r="AQ391" s="43">
        <v>400</v>
      </c>
      <c r="AR391" s="43">
        <v>400</v>
      </c>
      <c r="AS391" s="43">
        <v>400</v>
      </c>
      <c r="AT391" s="43">
        <v>400</v>
      </c>
      <c r="AU391" s="43">
        <v>400</v>
      </c>
      <c r="AV391" s="43">
        <v>400</v>
      </c>
      <c r="AW391" s="43">
        <v>400</v>
      </c>
      <c r="AX391" s="44">
        <f t="shared" si="49"/>
        <v>4800</v>
      </c>
      <c r="AY391" s="311">
        <f>SUMIF(Recibos!$D$4:$D$7493,Cobranza!$B391,Recibos!K$4:K$7493)</f>
        <v>400</v>
      </c>
      <c r="AZ391" s="311">
        <f>SUMIF(Recibos!$D$4:$D$7493,Cobranza!$B391,Recibos!L$4:L$7493)</f>
        <v>400</v>
      </c>
      <c r="BA391" s="311">
        <f>SUMIF(Recibos!$D$4:$D$7493,Cobranza!$B391,Recibos!M$4:M$7493)</f>
        <v>400</v>
      </c>
      <c r="BB391" s="311">
        <f>SUMIF(Recibos!$D$4:$D$7493,Cobranza!$B391,Recibos!N$4:N$7493)</f>
        <v>400</v>
      </c>
      <c r="BC391" s="311">
        <f>SUMIF(Recibos!$D$4:$D$7493,Cobranza!$B391,Recibos!O$4:O$7493)</f>
        <v>400</v>
      </c>
      <c r="BD391" s="311">
        <f>SUMIF(Recibos!$D$4:$D$7493,Cobranza!$B391,Recibos!P$4:P$7493)</f>
        <v>400</v>
      </c>
      <c r="BE391" s="311">
        <f>SUMIF(Recibos!$D$4:$D$7493,Cobranza!$B391,Recibos!Q$4:Q$7493)</f>
        <v>400</v>
      </c>
      <c r="BF391" s="311">
        <f>SUMIF(Recibos!$D$4:$D$7493,Cobranza!$B391,Recibos!R$4:R$7493)</f>
        <v>400</v>
      </c>
      <c r="BG391" s="311">
        <f>SUMIF(Recibos!$D$4:$D$7493,Cobranza!$B391,Recibos!S$4:S$7493)</f>
        <v>400</v>
      </c>
      <c r="BH391" s="311">
        <f>SUMIF(Recibos!$D$4:$D$7493,Cobranza!$B391,Recibos!T$4:T$7493)</f>
        <v>0</v>
      </c>
      <c r="BI391" s="311">
        <f>SUMIF(Recibos!$D$4:$D$7493,Cobranza!$B391,Recibos!U$4:U$7493)</f>
        <v>0</v>
      </c>
      <c r="BJ391" s="311">
        <f>SUMIF(Recibos!$D$4:$D$7493,Cobranza!$B391,Recibos!V$4:V$7493)</f>
        <v>0</v>
      </c>
      <c r="BK391" s="312">
        <f t="shared" si="50"/>
        <v>3600</v>
      </c>
      <c r="BL391" s="311">
        <f>SUMIF(Recibos!$D$4:$D$7493,Cobranza!$B391,Recibos!X$4:X$7493)</f>
        <v>0</v>
      </c>
      <c r="BM391" s="311">
        <f>SUMIF(Recibos!$D$4:$D$7493,Cobranza!$B391,Recibos!Y$4:Y$7493)</f>
        <v>0</v>
      </c>
      <c r="BN391" s="311">
        <f>SUMIF(Recibos!$D$4:$D$7493,Cobranza!$B391,Recibos!Z$4:Z$7493)</f>
        <v>0</v>
      </c>
      <c r="BO391" s="311">
        <f>SUMIF(Recibos!$D$4:$D$7493,Cobranza!$B391,Recibos!AA$4:AA$7493)</f>
        <v>0</v>
      </c>
      <c r="BP391" s="311">
        <f>SUMIF(Recibos!$D$4:$D$7493,Cobranza!$B391,Recibos!AB$4:AB$7493)</f>
        <v>0</v>
      </c>
      <c r="BQ391" s="311">
        <f>SUMIF(Recibos!$D$4:$D$7493,Cobranza!$B391,Recibos!AC$4:AC$7493)</f>
        <v>0</v>
      </c>
      <c r="BR391" s="311">
        <f>SUMIF(Recibos!$D$4:$D$7493,Cobranza!$B391,Recibos!AD$4:AD$7493)</f>
        <v>0</v>
      </c>
      <c r="BS391" s="311">
        <f>SUMIF(Recibos!$D$4:$D$7493,Cobranza!$B391,Recibos!AE$4:AE$7493)</f>
        <v>0</v>
      </c>
      <c r="BT391" s="311">
        <f>SUMIF(Recibos!$D$4:$D$7493,Cobranza!$B391,Recibos!AF$4:AF$7493)</f>
        <v>0</v>
      </c>
      <c r="BU391" s="311">
        <f>SUMIF(Recibos!$D$4:$D$7493,Cobranza!$B391,Recibos!AG$4:AG$7493)</f>
        <v>0</v>
      </c>
      <c r="BV391" s="311">
        <f>SUMIF(Recibos!$D$4:$D$7493,Cobranza!$B391,Recibos!AH$4:AH$7493)</f>
        <v>0</v>
      </c>
      <c r="BW391" s="311">
        <f>SUMIF(Recibos!$D$4:$D$7493,Cobranza!$B391,Recibos!AI$4:AI$7493)</f>
        <v>0</v>
      </c>
      <c r="BX391" s="312">
        <f t="shared" si="51"/>
        <v>0</v>
      </c>
      <c r="BY391" s="311">
        <f>SUMIF(Recibos!$D$4:$D$7493,Cobranza!$B391,Recibos!AK$4:AK$7493)</f>
        <v>0</v>
      </c>
      <c r="BZ391" s="311">
        <f>SUMIF(Recibos!$D$4:$D$7493,Cobranza!$B391,Recibos!AL$4:AL$7493)</f>
        <v>0</v>
      </c>
      <c r="CA391" s="311">
        <f>SUMIF(Recibos!$D$4:$D$7493,Cobranza!$B391,Recibos!AM$4:AM$7493)</f>
        <v>0</v>
      </c>
      <c r="CB391" s="311">
        <f>SUMIF(Recibos!$D$4:$D$7493,Cobranza!$B391,Recibos!AN$4:AN$7493)</f>
        <v>0</v>
      </c>
      <c r="CC391" s="311">
        <f>SUMIF(Recibos!$D$4:$D$7493,Cobranza!$B391,Recibos!AO$4:AO$7493)</f>
        <v>0</v>
      </c>
      <c r="CD391" s="311">
        <f>SUMIF(Recibos!$D$4:$D$7493,Cobranza!$B391,Recibos!AP$4:AP$7493)</f>
        <v>0</v>
      </c>
      <c r="CE391" s="311">
        <f>SUMIF(Recibos!$D$4:$D$7493,Cobranza!$B391,Recibos!AQ$4:AQ$7493)</f>
        <v>0</v>
      </c>
      <c r="CF391" s="311">
        <f>SUMIF(Recibos!$D$4:$D$7493,Cobranza!$B391,Recibos!AR$4:AR$7493)</f>
        <v>0</v>
      </c>
      <c r="CG391" s="311">
        <f>SUMIF(Recibos!$D$4:$D$7493,Cobranza!$B391,Recibos!AS$4:AS$7493)</f>
        <v>0</v>
      </c>
      <c r="CH391" s="311">
        <f>SUMIF(Recibos!$D$4:$D$7493,Cobranza!$B391,Recibos!AT$4:AT$7493)</f>
        <v>0</v>
      </c>
      <c r="CI391" s="311">
        <f>SUMIF(Recibos!$D$4:$D$7493,Cobranza!$B391,Recibos!AU$4:AU$7493)</f>
        <v>0</v>
      </c>
      <c r="CJ391" s="311">
        <f>SUMIF(Recibos!$D$4:$D$7493,Cobranza!$B391,Recibos!AV$4:AV$7493)</f>
        <v>0</v>
      </c>
      <c r="CK391" s="312">
        <f t="shared" si="45"/>
        <v>0</v>
      </c>
    </row>
    <row r="392" spans="2:89" x14ac:dyDescent="0.2">
      <c r="B392" s="45" t="s">
        <v>253</v>
      </c>
      <c r="C392" s="45" t="s">
        <v>254</v>
      </c>
      <c r="D392" s="45" t="s">
        <v>255</v>
      </c>
      <c r="E392" s="46">
        <v>0</v>
      </c>
      <c r="F392" s="46">
        <v>0</v>
      </c>
      <c r="G392" s="46">
        <v>0</v>
      </c>
      <c r="H392" s="46">
        <v>0</v>
      </c>
      <c r="I392" s="46">
        <v>300</v>
      </c>
      <c r="J392" s="46">
        <v>300</v>
      </c>
      <c r="K392" s="47">
        <f t="shared" si="46"/>
        <v>600</v>
      </c>
      <c r="L392" s="46">
        <v>300</v>
      </c>
      <c r="M392" s="46">
        <v>300</v>
      </c>
      <c r="N392" s="46">
        <v>300</v>
      </c>
      <c r="O392" s="46">
        <v>300</v>
      </c>
      <c r="P392" s="46">
        <v>300</v>
      </c>
      <c r="Q392" s="46">
        <v>300</v>
      </c>
      <c r="R392" s="46">
        <v>550</v>
      </c>
      <c r="S392" s="46">
        <v>550</v>
      </c>
      <c r="T392" s="46">
        <v>550</v>
      </c>
      <c r="U392" s="46">
        <v>550</v>
      </c>
      <c r="V392" s="46">
        <v>550</v>
      </c>
      <c r="W392" s="46">
        <v>550</v>
      </c>
      <c r="X392" s="47">
        <f t="shared" si="47"/>
        <v>5100</v>
      </c>
      <c r="Y392" s="46">
        <v>300</v>
      </c>
      <c r="Z392" s="46">
        <v>300</v>
      </c>
      <c r="AA392" s="46">
        <v>300</v>
      </c>
      <c r="AB392" s="46">
        <v>300</v>
      </c>
      <c r="AC392" s="46">
        <v>300</v>
      </c>
      <c r="AD392" s="46">
        <v>300</v>
      </c>
      <c r="AE392" s="46">
        <v>0</v>
      </c>
      <c r="AF392" s="46">
        <v>0</v>
      </c>
      <c r="AG392" s="46">
        <v>0</v>
      </c>
      <c r="AH392" s="46">
        <v>0</v>
      </c>
      <c r="AI392" s="46">
        <v>0</v>
      </c>
      <c r="AJ392" s="46">
        <v>0</v>
      </c>
      <c r="AK392" s="47">
        <f t="shared" si="48"/>
        <v>1800</v>
      </c>
      <c r="AL392" s="46">
        <v>300</v>
      </c>
      <c r="AM392" s="46">
        <v>300</v>
      </c>
      <c r="AN392" s="46">
        <v>300</v>
      </c>
      <c r="AO392" s="46">
        <v>300</v>
      </c>
      <c r="AP392" s="46">
        <v>300</v>
      </c>
      <c r="AQ392" s="46">
        <v>300</v>
      </c>
      <c r="AR392" s="46">
        <v>300</v>
      </c>
      <c r="AS392" s="46">
        <v>300</v>
      </c>
      <c r="AT392" s="46">
        <v>300</v>
      </c>
      <c r="AU392" s="46">
        <v>300</v>
      </c>
      <c r="AV392" s="46">
        <v>300</v>
      </c>
      <c r="AW392" s="46">
        <v>0</v>
      </c>
      <c r="AX392" s="47">
        <f t="shared" si="49"/>
        <v>3300</v>
      </c>
      <c r="AY392" s="313">
        <f>SUMIF(Recibos!$D$4:$D$7493,Cobranza!$B392,Recibos!K$4:K$7493)</f>
        <v>300</v>
      </c>
      <c r="AZ392" s="313">
        <f>SUMIF(Recibos!$D$4:$D$7493,Cobranza!$B392,Recibos!L$4:L$7493)</f>
        <v>300</v>
      </c>
      <c r="BA392" s="313">
        <f>SUMIF(Recibos!$D$4:$D$7493,Cobranza!$B392,Recibos!M$4:M$7493)</f>
        <v>300</v>
      </c>
      <c r="BB392" s="313">
        <f>SUMIF(Recibos!$D$4:$D$7493,Cobranza!$B392,Recibos!N$4:N$7493)</f>
        <v>300</v>
      </c>
      <c r="BC392" s="313">
        <f>SUMIF(Recibos!$D$4:$D$7493,Cobranza!$B392,Recibos!O$4:O$7493)</f>
        <v>300</v>
      </c>
      <c r="BD392" s="313">
        <f>SUMIF(Recibos!$D$4:$D$7493,Cobranza!$B392,Recibos!P$4:P$7493)</f>
        <v>300</v>
      </c>
      <c r="BE392" s="313">
        <f>SUMIF(Recibos!$D$4:$D$7493,Cobranza!$B392,Recibos!Q$4:Q$7493)</f>
        <v>300</v>
      </c>
      <c r="BF392" s="313">
        <f>SUMIF(Recibos!$D$4:$D$7493,Cobranza!$B392,Recibos!R$4:R$7493)</f>
        <v>300</v>
      </c>
      <c r="BG392" s="313">
        <f>SUMIF(Recibos!$D$4:$D$7493,Cobranza!$B392,Recibos!S$4:S$7493)</f>
        <v>300</v>
      </c>
      <c r="BH392" s="313">
        <f>SUMIF(Recibos!$D$4:$D$7493,Cobranza!$B392,Recibos!T$4:T$7493)</f>
        <v>300</v>
      </c>
      <c r="BI392" s="313">
        <f>SUMIF(Recibos!$D$4:$D$7493,Cobranza!$B392,Recibos!U$4:U$7493)</f>
        <v>300</v>
      </c>
      <c r="BJ392" s="313">
        <f>SUMIF(Recibos!$D$4:$D$7493,Cobranza!$B392,Recibos!V$4:V$7493)</f>
        <v>0</v>
      </c>
      <c r="BK392" s="314">
        <f t="shared" si="50"/>
        <v>3300</v>
      </c>
      <c r="BL392" s="313">
        <f>SUMIF(Recibos!$D$4:$D$7493,Cobranza!$B392,Recibos!X$4:X$7493)</f>
        <v>300</v>
      </c>
      <c r="BM392" s="313">
        <f>SUMIF(Recibos!$D$4:$D$7493,Cobranza!$B392,Recibos!Y$4:Y$7493)</f>
        <v>300</v>
      </c>
      <c r="BN392" s="313">
        <f>SUMIF(Recibos!$D$4:$D$7493,Cobranza!$B392,Recibos!Z$4:Z$7493)</f>
        <v>300</v>
      </c>
      <c r="BO392" s="313">
        <f>SUMIF(Recibos!$D$4:$D$7493,Cobranza!$B392,Recibos!AA$4:AA$7493)</f>
        <v>300</v>
      </c>
      <c r="BP392" s="313">
        <f>SUMIF(Recibos!$D$4:$D$7493,Cobranza!$B392,Recibos!AB$4:AB$7493)</f>
        <v>300</v>
      </c>
      <c r="BQ392" s="313">
        <f>SUMIF(Recibos!$D$4:$D$7493,Cobranza!$B392,Recibos!AC$4:AC$7493)</f>
        <v>300</v>
      </c>
      <c r="BR392" s="313">
        <f>SUMIF(Recibos!$D$4:$D$7493,Cobranza!$B392,Recibos!AD$4:AD$7493)</f>
        <v>300</v>
      </c>
      <c r="BS392" s="313">
        <f>SUMIF(Recibos!$D$4:$D$7493,Cobranza!$B392,Recibos!AE$4:AE$7493)</f>
        <v>300</v>
      </c>
      <c r="BT392" s="313">
        <f>SUMIF(Recibos!$D$4:$D$7493,Cobranza!$B392,Recibos!AF$4:AF$7493)</f>
        <v>300</v>
      </c>
      <c r="BU392" s="313">
        <f>SUMIF(Recibos!$D$4:$D$7493,Cobranza!$B392,Recibos!AG$4:AG$7493)</f>
        <v>300</v>
      </c>
      <c r="BV392" s="313">
        <f>SUMIF(Recibos!$D$4:$D$7493,Cobranza!$B392,Recibos!AH$4:AH$7493)</f>
        <v>300</v>
      </c>
      <c r="BW392" s="313">
        <f>SUMIF(Recibos!$D$4:$D$7493,Cobranza!$B392,Recibos!AI$4:AI$7493)</f>
        <v>0</v>
      </c>
      <c r="BX392" s="314">
        <f t="shared" si="51"/>
        <v>3300</v>
      </c>
      <c r="BY392" s="313">
        <f>SUMIF(Recibos!$D$4:$D$7493,Cobranza!$B392,Recibos!AK$4:AK$7493)</f>
        <v>300</v>
      </c>
      <c r="BZ392" s="313">
        <f>SUMIF(Recibos!$D$4:$D$7493,Cobranza!$B392,Recibos!AL$4:AL$7493)</f>
        <v>300</v>
      </c>
      <c r="CA392" s="313">
        <f>SUMIF(Recibos!$D$4:$D$7493,Cobranza!$B392,Recibos!AM$4:AM$7493)</f>
        <v>300</v>
      </c>
      <c r="CB392" s="313">
        <f>SUMIF(Recibos!$D$4:$D$7493,Cobranza!$B392,Recibos!AN$4:AN$7493)</f>
        <v>300</v>
      </c>
      <c r="CC392" s="313">
        <f>SUMIF(Recibos!$D$4:$D$7493,Cobranza!$B392,Recibos!AO$4:AO$7493)</f>
        <v>300</v>
      </c>
      <c r="CD392" s="313">
        <f>SUMIF(Recibos!$D$4:$D$7493,Cobranza!$B392,Recibos!AP$4:AP$7493)</f>
        <v>300</v>
      </c>
      <c r="CE392" s="313">
        <f>SUMIF(Recibos!$D$4:$D$7493,Cobranza!$B392,Recibos!AQ$4:AQ$7493)</f>
        <v>300</v>
      </c>
      <c r="CF392" s="313">
        <f>SUMIF(Recibos!$D$4:$D$7493,Cobranza!$B392,Recibos!AR$4:AR$7493)</f>
        <v>300</v>
      </c>
      <c r="CG392" s="313">
        <f>SUMIF(Recibos!$D$4:$D$7493,Cobranza!$B392,Recibos!AS$4:AS$7493)</f>
        <v>300</v>
      </c>
      <c r="CH392" s="313">
        <f>SUMIF(Recibos!$D$4:$D$7493,Cobranza!$B392,Recibos!AT$4:AT$7493)</f>
        <v>300</v>
      </c>
      <c r="CI392" s="313">
        <f>SUMIF(Recibos!$D$4:$D$7493,Cobranza!$B392,Recibos!AU$4:AU$7493)</f>
        <v>300</v>
      </c>
      <c r="CJ392" s="313">
        <f>SUMIF(Recibos!$D$4:$D$7493,Cobranza!$B392,Recibos!AV$4:AV$7493)</f>
        <v>0</v>
      </c>
      <c r="CK392" s="314">
        <f t="shared" si="45"/>
        <v>3300</v>
      </c>
    </row>
    <row r="393" spans="2:89" x14ac:dyDescent="0.2">
      <c r="B393" s="42" t="s">
        <v>678</v>
      </c>
      <c r="C393" s="42" t="s">
        <v>679</v>
      </c>
      <c r="D393" s="42" t="s">
        <v>680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300</v>
      </c>
      <c r="K393" s="44">
        <f t="shared" si="46"/>
        <v>300</v>
      </c>
      <c r="L393" s="43">
        <v>300</v>
      </c>
      <c r="M393" s="43">
        <v>300</v>
      </c>
      <c r="N393" s="43">
        <v>300</v>
      </c>
      <c r="O393" s="43">
        <v>300</v>
      </c>
      <c r="P393" s="43">
        <v>300</v>
      </c>
      <c r="Q393" s="43">
        <v>300</v>
      </c>
      <c r="R393" s="43">
        <v>300</v>
      </c>
      <c r="S393" s="43">
        <v>300</v>
      </c>
      <c r="T393" s="43">
        <v>300</v>
      </c>
      <c r="U393" s="43">
        <v>400</v>
      </c>
      <c r="V393" s="43">
        <v>400</v>
      </c>
      <c r="W393" s="43">
        <v>400</v>
      </c>
      <c r="X393" s="44">
        <f t="shared" si="47"/>
        <v>3900</v>
      </c>
      <c r="Y393" s="43">
        <v>400</v>
      </c>
      <c r="Z393" s="43">
        <v>400</v>
      </c>
      <c r="AA393" s="43">
        <v>400</v>
      </c>
      <c r="AB393" s="43">
        <v>400</v>
      </c>
      <c r="AC393" s="43">
        <v>400</v>
      </c>
      <c r="AD393" s="43">
        <v>400</v>
      </c>
      <c r="AE393" s="43">
        <v>400</v>
      </c>
      <c r="AF393" s="43">
        <v>400</v>
      </c>
      <c r="AG393" s="43">
        <v>400</v>
      </c>
      <c r="AH393" s="43">
        <v>400</v>
      </c>
      <c r="AI393" s="43">
        <v>400</v>
      </c>
      <c r="AJ393" s="43">
        <v>400</v>
      </c>
      <c r="AK393" s="44">
        <f t="shared" si="48"/>
        <v>4800</v>
      </c>
      <c r="AL393" s="43">
        <v>400</v>
      </c>
      <c r="AM393" s="43">
        <v>400</v>
      </c>
      <c r="AN393" s="43">
        <v>400</v>
      </c>
      <c r="AO393" s="43">
        <v>400</v>
      </c>
      <c r="AP393" s="43">
        <v>400</v>
      </c>
      <c r="AQ393" s="43">
        <v>400</v>
      </c>
      <c r="AR393" s="43">
        <v>400</v>
      </c>
      <c r="AS393" s="43">
        <v>400</v>
      </c>
      <c r="AT393" s="43">
        <v>400</v>
      </c>
      <c r="AU393" s="43">
        <v>400</v>
      </c>
      <c r="AV393" s="43">
        <v>400</v>
      </c>
      <c r="AW393" s="43">
        <v>400</v>
      </c>
      <c r="AX393" s="44">
        <f t="shared" si="49"/>
        <v>4800</v>
      </c>
      <c r="AY393" s="311">
        <f>SUMIF(Recibos!$D$4:$D$7493,Cobranza!$B393,Recibos!K$4:K$7493)</f>
        <v>400</v>
      </c>
      <c r="AZ393" s="311">
        <f>SUMIF(Recibos!$D$4:$D$7493,Cobranza!$B393,Recibos!L$4:L$7493)</f>
        <v>400</v>
      </c>
      <c r="BA393" s="311">
        <f>SUMIF(Recibos!$D$4:$D$7493,Cobranza!$B393,Recibos!M$4:M$7493)</f>
        <v>400</v>
      </c>
      <c r="BB393" s="311">
        <f>SUMIF(Recibos!$D$4:$D$7493,Cobranza!$B393,Recibos!N$4:N$7493)</f>
        <v>400</v>
      </c>
      <c r="BC393" s="311">
        <f>SUMIF(Recibos!$D$4:$D$7493,Cobranza!$B393,Recibos!O$4:O$7493)</f>
        <v>400</v>
      </c>
      <c r="BD393" s="311">
        <f>SUMIF(Recibos!$D$4:$D$7493,Cobranza!$B393,Recibos!P$4:P$7493)</f>
        <v>400</v>
      </c>
      <c r="BE393" s="311">
        <f>SUMIF(Recibos!$D$4:$D$7493,Cobranza!$B393,Recibos!Q$4:Q$7493)</f>
        <v>400</v>
      </c>
      <c r="BF393" s="311">
        <f>SUMIF(Recibos!$D$4:$D$7493,Cobranza!$B393,Recibos!R$4:R$7493)</f>
        <v>400</v>
      </c>
      <c r="BG393" s="311">
        <f>SUMIF(Recibos!$D$4:$D$7493,Cobranza!$B393,Recibos!S$4:S$7493)</f>
        <v>400</v>
      </c>
      <c r="BH393" s="311">
        <f>SUMIF(Recibos!$D$4:$D$7493,Cobranza!$B393,Recibos!T$4:T$7493)</f>
        <v>400</v>
      </c>
      <c r="BI393" s="311">
        <f>SUMIF(Recibos!$D$4:$D$7493,Cobranza!$B393,Recibos!U$4:U$7493)</f>
        <v>400</v>
      </c>
      <c r="BJ393" s="311">
        <f>SUMIF(Recibos!$D$4:$D$7493,Cobranza!$B393,Recibos!V$4:V$7493)</f>
        <v>400</v>
      </c>
      <c r="BK393" s="312">
        <f t="shared" si="50"/>
        <v>4800</v>
      </c>
      <c r="BL393" s="311">
        <f>SUMIF(Recibos!$D$4:$D$7493,Cobranza!$B393,Recibos!X$4:X$7493)</f>
        <v>400</v>
      </c>
      <c r="BM393" s="311">
        <f>SUMIF(Recibos!$D$4:$D$7493,Cobranza!$B393,Recibos!Y$4:Y$7493)</f>
        <v>400</v>
      </c>
      <c r="BN393" s="311">
        <f>SUMIF(Recibos!$D$4:$D$7493,Cobranza!$B393,Recibos!Z$4:Z$7493)</f>
        <v>400</v>
      </c>
      <c r="BO393" s="311">
        <f>SUMIF(Recibos!$D$4:$D$7493,Cobranza!$B393,Recibos!AA$4:AA$7493)</f>
        <v>400</v>
      </c>
      <c r="BP393" s="311">
        <f>SUMIF(Recibos!$D$4:$D$7493,Cobranza!$B393,Recibos!AB$4:AB$7493)</f>
        <v>400</v>
      </c>
      <c r="BQ393" s="311">
        <f>SUMIF(Recibos!$D$4:$D$7493,Cobranza!$B393,Recibos!AC$4:AC$7493)</f>
        <v>400</v>
      </c>
      <c r="BR393" s="311">
        <f>SUMIF(Recibos!$D$4:$D$7493,Cobranza!$B393,Recibos!AD$4:AD$7493)</f>
        <v>400</v>
      </c>
      <c r="BS393" s="311">
        <f>SUMIF(Recibos!$D$4:$D$7493,Cobranza!$B393,Recibos!AE$4:AE$7493)</f>
        <v>400</v>
      </c>
      <c r="BT393" s="311">
        <f>SUMIF(Recibos!$D$4:$D$7493,Cobranza!$B393,Recibos!AF$4:AF$7493)</f>
        <v>400</v>
      </c>
      <c r="BU393" s="311">
        <f>SUMIF(Recibos!$D$4:$D$7493,Cobranza!$B393,Recibos!AG$4:AG$7493)</f>
        <v>400</v>
      </c>
      <c r="BV393" s="311">
        <f>SUMIF(Recibos!$D$4:$D$7493,Cobranza!$B393,Recibos!AH$4:AH$7493)</f>
        <v>400</v>
      </c>
      <c r="BW393" s="311">
        <f>SUMIF(Recibos!$D$4:$D$7493,Cobranza!$B393,Recibos!AI$4:AI$7493)</f>
        <v>400</v>
      </c>
      <c r="BX393" s="312">
        <f t="shared" si="51"/>
        <v>4800</v>
      </c>
      <c r="BY393" s="311">
        <f>SUMIF(Recibos!$D$4:$D$7493,Cobranza!$B393,Recibos!AK$4:AK$7493)</f>
        <v>400</v>
      </c>
      <c r="BZ393" s="311">
        <f>SUMIF(Recibos!$D$4:$D$7493,Cobranza!$B393,Recibos!AL$4:AL$7493)</f>
        <v>400</v>
      </c>
      <c r="CA393" s="311">
        <f>SUMIF(Recibos!$D$4:$D$7493,Cobranza!$B393,Recibos!AM$4:AM$7493)</f>
        <v>400</v>
      </c>
      <c r="CB393" s="311">
        <f>SUMIF(Recibos!$D$4:$D$7493,Cobranza!$B393,Recibos!AN$4:AN$7493)</f>
        <v>400</v>
      </c>
      <c r="CC393" s="311">
        <f>SUMIF(Recibos!$D$4:$D$7493,Cobranza!$B393,Recibos!AO$4:AO$7493)</f>
        <v>400</v>
      </c>
      <c r="CD393" s="311">
        <f>SUMIF(Recibos!$D$4:$D$7493,Cobranza!$B393,Recibos!AP$4:AP$7493)</f>
        <v>400</v>
      </c>
      <c r="CE393" s="311">
        <f>SUMIF(Recibos!$D$4:$D$7493,Cobranza!$B393,Recibos!AQ$4:AQ$7493)</f>
        <v>400</v>
      </c>
      <c r="CF393" s="311">
        <f>SUMIF(Recibos!$D$4:$D$7493,Cobranza!$B393,Recibos!AR$4:AR$7493)</f>
        <v>400</v>
      </c>
      <c r="CG393" s="311">
        <f>SUMIF(Recibos!$D$4:$D$7493,Cobranza!$B393,Recibos!AS$4:AS$7493)</f>
        <v>400</v>
      </c>
      <c r="CH393" s="311">
        <f>SUMIF(Recibos!$D$4:$D$7493,Cobranza!$B393,Recibos!AT$4:AT$7493)</f>
        <v>400</v>
      </c>
      <c r="CI393" s="311">
        <f>SUMIF(Recibos!$D$4:$D$7493,Cobranza!$B393,Recibos!AU$4:AU$7493)</f>
        <v>0</v>
      </c>
      <c r="CJ393" s="311">
        <f>SUMIF(Recibos!$D$4:$D$7493,Cobranza!$B393,Recibos!AV$4:AV$7493)</f>
        <v>0</v>
      </c>
      <c r="CK393" s="312">
        <f t="shared" si="45"/>
        <v>4000</v>
      </c>
    </row>
    <row r="394" spans="2:89" x14ac:dyDescent="0.2">
      <c r="B394" s="45" t="s">
        <v>1039</v>
      </c>
      <c r="C394" s="45" t="s">
        <v>1040</v>
      </c>
      <c r="D394" s="45" t="s">
        <v>1041</v>
      </c>
      <c r="E394" s="46">
        <v>0</v>
      </c>
      <c r="F394" s="46">
        <v>0</v>
      </c>
      <c r="G394" s="46">
        <v>0</v>
      </c>
      <c r="H394" s="46">
        <v>0</v>
      </c>
      <c r="I394" s="46">
        <v>0</v>
      </c>
      <c r="J394" s="46">
        <v>0</v>
      </c>
      <c r="K394" s="47">
        <f t="shared" si="46"/>
        <v>0</v>
      </c>
      <c r="L394" s="46">
        <v>0</v>
      </c>
      <c r="M394" s="46">
        <v>0</v>
      </c>
      <c r="N394" s="46">
        <v>0</v>
      </c>
      <c r="O394" s="46">
        <v>0</v>
      </c>
      <c r="P394" s="46">
        <v>0</v>
      </c>
      <c r="Q394" s="46">
        <v>0</v>
      </c>
      <c r="R394" s="46">
        <v>0</v>
      </c>
      <c r="S394" s="46">
        <v>0</v>
      </c>
      <c r="T394" s="46">
        <v>0</v>
      </c>
      <c r="U394" s="46">
        <v>0</v>
      </c>
      <c r="V394" s="46">
        <v>0</v>
      </c>
      <c r="W394" s="46">
        <v>0</v>
      </c>
      <c r="X394" s="47">
        <f t="shared" si="47"/>
        <v>0</v>
      </c>
      <c r="Y394" s="46">
        <v>0</v>
      </c>
      <c r="Z394" s="46">
        <v>0</v>
      </c>
      <c r="AA394" s="46">
        <v>0</v>
      </c>
      <c r="AB394" s="46">
        <v>0</v>
      </c>
      <c r="AC394" s="46">
        <v>0</v>
      </c>
      <c r="AD394" s="46">
        <v>0</v>
      </c>
      <c r="AE394" s="46">
        <v>0</v>
      </c>
      <c r="AF394" s="46">
        <v>0</v>
      </c>
      <c r="AG394" s="46">
        <v>0</v>
      </c>
      <c r="AH394" s="46">
        <v>0</v>
      </c>
      <c r="AI394" s="46">
        <v>0</v>
      </c>
      <c r="AJ394" s="46">
        <v>0</v>
      </c>
      <c r="AK394" s="47">
        <f t="shared" si="48"/>
        <v>0</v>
      </c>
      <c r="AL394" s="46">
        <v>0</v>
      </c>
      <c r="AM394" s="46">
        <v>0</v>
      </c>
      <c r="AN394" s="46">
        <v>0</v>
      </c>
      <c r="AO394" s="46">
        <v>0</v>
      </c>
      <c r="AP394" s="46">
        <v>0</v>
      </c>
      <c r="AQ394" s="46">
        <v>0</v>
      </c>
      <c r="AR394" s="46">
        <v>0</v>
      </c>
      <c r="AS394" s="46">
        <v>0</v>
      </c>
      <c r="AT394" s="46">
        <v>0</v>
      </c>
      <c r="AU394" s="46">
        <v>0</v>
      </c>
      <c r="AV394" s="46">
        <v>0</v>
      </c>
      <c r="AW394" s="46">
        <v>0</v>
      </c>
      <c r="AX394" s="47">
        <f t="shared" si="49"/>
        <v>0</v>
      </c>
      <c r="AY394" s="313">
        <f>SUMIF(Recibos!$D$4:$D$7493,Cobranza!$B394,Recibos!K$4:K$7493)</f>
        <v>0</v>
      </c>
      <c r="AZ394" s="313">
        <f>SUMIF(Recibos!$D$4:$D$7493,Cobranza!$B394,Recibos!L$4:L$7493)</f>
        <v>0</v>
      </c>
      <c r="BA394" s="313">
        <f>SUMIF(Recibos!$D$4:$D$7493,Cobranza!$B394,Recibos!M$4:M$7493)</f>
        <v>0</v>
      </c>
      <c r="BB394" s="313">
        <f>SUMIF(Recibos!$D$4:$D$7493,Cobranza!$B394,Recibos!N$4:N$7493)</f>
        <v>0</v>
      </c>
      <c r="BC394" s="313">
        <f>SUMIF(Recibos!$D$4:$D$7493,Cobranza!$B394,Recibos!O$4:O$7493)</f>
        <v>0</v>
      </c>
      <c r="BD394" s="313">
        <f>SUMIF(Recibos!$D$4:$D$7493,Cobranza!$B394,Recibos!P$4:P$7493)</f>
        <v>0</v>
      </c>
      <c r="BE394" s="313">
        <f>SUMIF(Recibos!$D$4:$D$7493,Cobranza!$B394,Recibos!Q$4:Q$7493)</f>
        <v>400</v>
      </c>
      <c r="BF394" s="313">
        <f>SUMIF(Recibos!$D$4:$D$7493,Cobranza!$B394,Recibos!R$4:R$7493)</f>
        <v>400</v>
      </c>
      <c r="BG394" s="313">
        <f>SUMIF(Recibos!$D$4:$D$7493,Cobranza!$B394,Recibos!S$4:S$7493)</f>
        <v>400</v>
      </c>
      <c r="BH394" s="313">
        <f>SUMIF(Recibos!$D$4:$D$7493,Cobranza!$B394,Recibos!T$4:T$7493)</f>
        <v>400</v>
      </c>
      <c r="BI394" s="313">
        <f>SUMIF(Recibos!$D$4:$D$7493,Cobranza!$B394,Recibos!U$4:U$7493)</f>
        <v>0</v>
      </c>
      <c r="BJ394" s="313">
        <f>SUMIF(Recibos!$D$4:$D$7493,Cobranza!$B394,Recibos!V$4:V$7493)</f>
        <v>400</v>
      </c>
      <c r="BK394" s="314">
        <f t="shared" si="50"/>
        <v>2000</v>
      </c>
      <c r="BL394" s="313">
        <f>SUMIF(Recibos!$D$4:$D$7493,Cobranza!$B394,Recibos!X$4:X$7493)</f>
        <v>400</v>
      </c>
      <c r="BM394" s="313">
        <f>SUMIF(Recibos!$D$4:$D$7493,Cobranza!$B394,Recibos!Y$4:Y$7493)</f>
        <v>400</v>
      </c>
      <c r="BN394" s="313">
        <f>SUMIF(Recibos!$D$4:$D$7493,Cobranza!$B394,Recibos!Z$4:Z$7493)</f>
        <v>0</v>
      </c>
      <c r="BO394" s="313">
        <f>SUMIF(Recibos!$D$4:$D$7493,Cobranza!$B394,Recibos!AA$4:AA$7493)</f>
        <v>400</v>
      </c>
      <c r="BP394" s="313">
        <f>SUMIF(Recibos!$D$4:$D$7493,Cobranza!$B394,Recibos!AB$4:AB$7493)</f>
        <v>400</v>
      </c>
      <c r="BQ394" s="313">
        <f>SUMIF(Recibos!$D$4:$D$7493,Cobranza!$B394,Recibos!AC$4:AC$7493)</f>
        <v>400</v>
      </c>
      <c r="BR394" s="313">
        <f>SUMIF(Recibos!$D$4:$D$7493,Cobranza!$B394,Recibos!AD$4:AD$7493)</f>
        <v>400</v>
      </c>
      <c r="BS394" s="313">
        <f>SUMIF(Recibos!$D$4:$D$7493,Cobranza!$B394,Recibos!AE$4:AE$7493)</f>
        <v>400</v>
      </c>
      <c r="BT394" s="313">
        <f>SUMIF(Recibos!$D$4:$D$7493,Cobranza!$B394,Recibos!AF$4:AF$7493)</f>
        <v>400</v>
      </c>
      <c r="BU394" s="313">
        <f>SUMIF(Recibos!$D$4:$D$7493,Cobranza!$B394,Recibos!AG$4:AG$7493)</f>
        <v>400</v>
      </c>
      <c r="BV394" s="313">
        <f>SUMIF(Recibos!$D$4:$D$7493,Cobranza!$B394,Recibos!AH$4:AH$7493)</f>
        <v>400</v>
      </c>
      <c r="BW394" s="313">
        <f>SUMIF(Recibos!$D$4:$D$7493,Cobranza!$B394,Recibos!AI$4:AI$7493)</f>
        <v>400</v>
      </c>
      <c r="BX394" s="314">
        <f t="shared" si="51"/>
        <v>4400</v>
      </c>
      <c r="BY394" s="313">
        <f>SUMIF(Recibos!$D$4:$D$7493,Cobranza!$B394,Recibos!AK$4:AK$7493)</f>
        <v>400</v>
      </c>
      <c r="BZ394" s="313">
        <f>SUMIF(Recibos!$D$4:$D$7493,Cobranza!$B394,Recibos!AL$4:AL$7493)</f>
        <v>400</v>
      </c>
      <c r="CA394" s="313">
        <f>SUMIF(Recibos!$D$4:$D$7493,Cobranza!$B394,Recibos!AM$4:AM$7493)</f>
        <v>400</v>
      </c>
      <c r="CB394" s="313">
        <f>SUMIF(Recibos!$D$4:$D$7493,Cobranza!$B394,Recibos!AN$4:AN$7493)</f>
        <v>400</v>
      </c>
      <c r="CC394" s="313">
        <f>SUMIF(Recibos!$D$4:$D$7493,Cobranza!$B394,Recibos!AO$4:AO$7493)</f>
        <v>400</v>
      </c>
      <c r="CD394" s="313">
        <f>SUMIF(Recibos!$D$4:$D$7493,Cobranza!$B394,Recibos!AP$4:AP$7493)</f>
        <v>400</v>
      </c>
      <c r="CE394" s="313">
        <f>SUMIF(Recibos!$D$4:$D$7493,Cobranza!$B394,Recibos!AQ$4:AQ$7493)</f>
        <v>400</v>
      </c>
      <c r="CF394" s="313">
        <f>SUMIF(Recibos!$D$4:$D$7493,Cobranza!$B394,Recibos!AR$4:AR$7493)</f>
        <v>400</v>
      </c>
      <c r="CG394" s="313">
        <f>SUMIF(Recibos!$D$4:$D$7493,Cobranza!$B394,Recibos!AS$4:AS$7493)</f>
        <v>400</v>
      </c>
      <c r="CH394" s="313">
        <f>SUMIF(Recibos!$D$4:$D$7493,Cobranza!$B394,Recibos!AT$4:AT$7493)</f>
        <v>0</v>
      </c>
      <c r="CI394" s="313">
        <f>SUMIF(Recibos!$D$4:$D$7493,Cobranza!$B394,Recibos!AU$4:AU$7493)</f>
        <v>0</v>
      </c>
      <c r="CJ394" s="313">
        <f>SUMIF(Recibos!$D$4:$D$7493,Cobranza!$B394,Recibos!AV$4:AV$7493)</f>
        <v>0</v>
      </c>
      <c r="CK394" s="314">
        <f t="shared" si="45"/>
        <v>3600</v>
      </c>
    </row>
    <row r="395" spans="2:89" x14ac:dyDescent="0.2">
      <c r="B395" s="42" t="s">
        <v>452</v>
      </c>
      <c r="C395" s="42" t="s">
        <v>453</v>
      </c>
      <c r="D395" s="42" t="s">
        <v>454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4">
        <f t="shared" si="46"/>
        <v>0</v>
      </c>
      <c r="L395" s="43">
        <v>300</v>
      </c>
      <c r="M395" s="43">
        <v>300</v>
      </c>
      <c r="N395" s="43">
        <v>300</v>
      </c>
      <c r="O395" s="43">
        <v>300</v>
      </c>
      <c r="P395" s="43">
        <v>300</v>
      </c>
      <c r="Q395" s="43">
        <v>300</v>
      </c>
      <c r="R395" s="43">
        <v>300</v>
      </c>
      <c r="S395" s="43">
        <v>300</v>
      </c>
      <c r="T395" s="43">
        <v>300</v>
      </c>
      <c r="U395" s="43">
        <v>400</v>
      </c>
      <c r="V395" s="43">
        <v>400</v>
      </c>
      <c r="W395" s="43">
        <v>100</v>
      </c>
      <c r="X395" s="44">
        <f t="shared" si="47"/>
        <v>3600</v>
      </c>
      <c r="Y395" s="43">
        <v>400</v>
      </c>
      <c r="Z395" s="43">
        <v>400</v>
      </c>
      <c r="AA395" s="43">
        <v>400</v>
      </c>
      <c r="AB395" s="43">
        <v>400</v>
      </c>
      <c r="AC395" s="43">
        <v>400</v>
      </c>
      <c r="AD395" s="43">
        <v>400</v>
      </c>
      <c r="AE395" s="43">
        <v>400</v>
      </c>
      <c r="AF395" s="43">
        <v>400</v>
      </c>
      <c r="AG395" s="43">
        <v>400</v>
      </c>
      <c r="AH395" s="43">
        <v>400</v>
      </c>
      <c r="AI395" s="43">
        <v>0</v>
      </c>
      <c r="AJ395" s="43">
        <v>0</v>
      </c>
      <c r="AK395" s="44">
        <f t="shared" si="48"/>
        <v>4000</v>
      </c>
      <c r="AL395" s="43">
        <v>400</v>
      </c>
      <c r="AM395" s="43">
        <v>400</v>
      </c>
      <c r="AN395" s="43">
        <v>400</v>
      </c>
      <c r="AO395" s="43">
        <v>400</v>
      </c>
      <c r="AP395" s="43">
        <v>400</v>
      </c>
      <c r="AQ395" s="43">
        <v>400</v>
      </c>
      <c r="AR395" s="43">
        <v>400</v>
      </c>
      <c r="AS395" s="43">
        <v>400</v>
      </c>
      <c r="AT395" s="43">
        <v>400</v>
      </c>
      <c r="AU395" s="43">
        <v>400</v>
      </c>
      <c r="AV395" s="43">
        <v>400</v>
      </c>
      <c r="AW395" s="43">
        <v>400</v>
      </c>
      <c r="AX395" s="44">
        <f t="shared" si="49"/>
        <v>4800</v>
      </c>
      <c r="AY395" s="311">
        <f>SUMIF(Recibos!$D$4:$D$7493,Cobranza!$B395,Recibos!K$4:K$7493)</f>
        <v>400</v>
      </c>
      <c r="AZ395" s="311">
        <f>SUMIF(Recibos!$D$4:$D$7493,Cobranza!$B395,Recibos!L$4:L$7493)</f>
        <v>400</v>
      </c>
      <c r="BA395" s="311">
        <f>SUMIF(Recibos!$D$4:$D$7493,Cobranza!$B395,Recibos!M$4:M$7493)</f>
        <v>400</v>
      </c>
      <c r="BB395" s="311">
        <f>SUMIF(Recibos!$D$4:$D$7493,Cobranza!$B395,Recibos!N$4:N$7493)</f>
        <v>400</v>
      </c>
      <c r="BC395" s="311">
        <f>SUMIF(Recibos!$D$4:$D$7493,Cobranza!$B395,Recibos!O$4:O$7493)</f>
        <v>400</v>
      </c>
      <c r="BD395" s="311">
        <f>SUMIF(Recibos!$D$4:$D$7493,Cobranza!$B395,Recibos!P$4:P$7493)</f>
        <v>400</v>
      </c>
      <c r="BE395" s="311">
        <f>SUMIF(Recibos!$D$4:$D$7493,Cobranza!$B395,Recibos!Q$4:Q$7493)</f>
        <v>400</v>
      </c>
      <c r="BF395" s="311">
        <f>SUMIF(Recibos!$D$4:$D$7493,Cobranza!$B395,Recibos!R$4:R$7493)</f>
        <v>400</v>
      </c>
      <c r="BG395" s="311">
        <f>SUMIF(Recibos!$D$4:$D$7493,Cobranza!$B395,Recibos!S$4:S$7493)</f>
        <v>400</v>
      </c>
      <c r="BH395" s="311">
        <f>SUMIF(Recibos!$D$4:$D$7493,Cobranza!$B395,Recibos!T$4:T$7493)</f>
        <v>400</v>
      </c>
      <c r="BI395" s="311">
        <f>SUMIF(Recibos!$D$4:$D$7493,Cobranza!$B395,Recibos!U$4:U$7493)</f>
        <v>400</v>
      </c>
      <c r="BJ395" s="311">
        <f>SUMIF(Recibos!$D$4:$D$7493,Cobranza!$B395,Recibos!V$4:V$7493)</f>
        <v>0</v>
      </c>
      <c r="BK395" s="312">
        <f t="shared" si="50"/>
        <v>4400</v>
      </c>
      <c r="BL395" s="311">
        <f>SUMIF(Recibos!$D$4:$D$7493,Cobranza!$B395,Recibos!X$4:X$7493)</f>
        <v>400</v>
      </c>
      <c r="BM395" s="311">
        <f>SUMIF(Recibos!$D$4:$D$7493,Cobranza!$B395,Recibos!Y$4:Y$7493)</f>
        <v>400</v>
      </c>
      <c r="BN395" s="311">
        <f>SUMIF(Recibos!$D$4:$D$7493,Cobranza!$B395,Recibos!Z$4:Z$7493)</f>
        <v>400</v>
      </c>
      <c r="BO395" s="311">
        <f>SUMIF(Recibos!$D$4:$D$7493,Cobranza!$B395,Recibos!AA$4:AA$7493)</f>
        <v>400</v>
      </c>
      <c r="BP395" s="311">
        <f>SUMIF(Recibos!$D$4:$D$7493,Cobranza!$B395,Recibos!AB$4:AB$7493)</f>
        <v>400</v>
      </c>
      <c r="BQ395" s="311">
        <f>SUMIF(Recibos!$D$4:$D$7493,Cobranza!$B395,Recibos!AC$4:AC$7493)</f>
        <v>400</v>
      </c>
      <c r="BR395" s="311">
        <f>SUMIF(Recibos!$D$4:$D$7493,Cobranza!$B395,Recibos!AD$4:AD$7493)</f>
        <v>400</v>
      </c>
      <c r="BS395" s="311">
        <f>SUMIF(Recibos!$D$4:$D$7493,Cobranza!$B395,Recibos!AE$4:AE$7493)</f>
        <v>400</v>
      </c>
      <c r="BT395" s="311">
        <f>SUMIF(Recibos!$D$4:$D$7493,Cobranza!$B395,Recibos!AF$4:AF$7493)</f>
        <v>400</v>
      </c>
      <c r="BU395" s="311">
        <f>SUMIF(Recibos!$D$4:$D$7493,Cobranza!$B395,Recibos!AG$4:AG$7493)</f>
        <v>400</v>
      </c>
      <c r="BV395" s="311">
        <f>SUMIF(Recibos!$D$4:$D$7493,Cobranza!$B395,Recibos!AH$4:AH$7493)</f>
        <v>400</v>
      </c>
      <c r="BW395" s="311">
        <f>SUMIF(Recibos!$D$4:$D$7493,Cobranza!$B395,Recibos!AI$4:AI$7493)</f>
        <v>0</v>
      </c>
      <c r="BX395" s="312">
        <f t="shared" si="51"/>
        <v>4400</v>
      </c>
      <c r="BY395" s="311">
        <f>SUMIF(Recibos!$D$4:$D$7493,Cobranza!$B395,Recibos!AK$4:AK$7493)</f>
        <v>400</v>
      </c>
      <c r="BZ395" s="311">
        <f>SUMIF(Recibos!$D$4:$D$7493,Cobranza!$B395,Recibos!AL$4:AL$7493)</f>
        <v>400</v>
      </c>
      <c r="CA395" s="311">
        <f>SUMIF(Recibos!$D$4:$D$7493,Cobranza!$B395,Recibos!AM$4:AM$7493)</f>
        <v>400</v>
      </c>
      <c r="CB395" s="311">
        <f>SUMIF(Recibos!$D$4:$D$7493,Cobranza!$B395,Recibos!AN$4:AN$7493)</f>
        <v>400</v>
      </c>
      <c r="CC395" s="311">
        <f>SUMIF(Recibos!$D$4:$D$7493,Cobranza!$B395,Recibos!AO$4:AO$7493)</f>
        <v>400</v>
      </c>
      <c r="CD395" s="311">
        <f>SUMIF(Recibos!$D$4:$D$7493,Cobranza!$B395,Recibos!AP$4:AP$7493)</f>
        <v>400</v>
      </c>
      <c r="CE395" s="311">
        <f>SUMIF(Recibos!$D$4:$D$7493,Cobranza!$B395,Recibos!AQ$4:AQ$7493)</f>
        <v>400</v>
      </c>
      <c r="CF395" s="311">
        <f>SUMIF(Recibos!$D$4:$D$7493,Cobranza!$B395,Recibos!AR$4:AR$7493)</f>
        <v>400</v>
      </c>
      <c r="CG395" s="311">
        <f>SUMIF(Recibos!$D$4:$D$7493,Cobranza!$B395,Recibos!AS$4:AS$7493)</f>
        <v>400</v>
      </c>
      <c r="CH395" s="311">
        <f>SUMIF(Recibos!$D$4:$D$7493,Cobranza!$B395,Recibos!AT$4:AT$7493)</f>
        <v>400</v>
      </c>
      <c r="CI395" s="311">
        <f>SUMIF(Recibos!$D$4:$D$7493,Cobranza!$B395,Recibos!AU$4:AU$7493)</f>
        <v>400</v>
      </c>
      <c r="CJ395" s="311">
        <f>SUMIF(Recibos!$D$4:$D$7493,Cobranza!$B395,Recibos!AV$4:AV$7493)</f>
        <v>0</v>
      </c>
      <c r="CK395" s="312">
        <f t="shared" ref="CK395:CK459" si="52">SUM(BY395:CJ395)</f>
        <v>4400</v>
      </c>
    </row>
    <row r="396" spans="2:89" x14ac:dyDescent="0.2">
      <c r="B396" s="45" t="s">
        <v>413</v>
      </c>
      <c r="C396" s="45" t="s">
        <v>414</v>
      </c>
      <c r="D396" s="45" t="s">
        <v>415</v>
      </c>
      <c r="E396" s="46">
        <v>0</v>
      </c>
      <c r="F396" s="46">
        <v>0</v>
      </c>
      <c r="G396" s="46">
        <v>0</v>
      </c>
      <c r="H396" s="46">
        <v>0</v>
      </c>
      <c r="I396" s="46">
        <v>0</v>
      </c>
      <c r="J396" s="46">
        <v>300</v>
      </c>
      <c r="K396" s="47">
        <f t="shared" si="46"/>
        <v>300</v>
      </c>
      <c r="L396" s="46">
        <v>300</v>
      </c>
      <c r="M396" s="46">
        <v>300</v>
      </c>
      <c r="N396" s="46">
        <v>300</v>
      </c>
      <c r="O396" s="46">
        <v>300</v>
      </c>
      <c r="P396" s="46">
        <v>300</v>
      </c>
      <c r="Q396" s="46">
        <v>300</v>
      </c>
      <c r="R396" s="46">
        <v>300</v>
      </c>
      <c r="S396" s="46">
        <v>300</v>
      </c>
      <c r="T396" s="46">
        <v>300</v>
      </c>
      <c r="U396" s="46">
        <v>300</v>
      </c>
      <c r="V396" s="46">
        <v>300</v>
      </c>
      <c r="W396" s="46">
        <v>300</v>
      </c>
      <c r="X396" s="47">
        <f t="shared" si="47"/>
        <v>3600</v>
      </c>
      <c r="Y396" s="46">
        <v>300</v>
      </c>
      <c r="Z396" s="46">
        <v>400</v>
      </c>
      <c r="AA396" s="46">
        <v>400</v>
      </c>
      <c r="AB396" s="46">
        <v>400</v>
      </c>
      <c r="AC396" s="46">
        <v>400</v>
      </c>
      <c r="AD396" s="46">
        <v>400</v>
      </c>
      <c r="AE396" s="46">
        <v>400</v>
      </c>
      <c r="AF396" s="46">
        <v>400</v>
      </c>
      <c r="AG396" s="46">
        <v>400</v>
      </c>
      <c r="AH396" s="46">
        <v>400</v>
      </c>
      <c r="AI396" s="46">
        <v>400</v>
      </c>
      <c r="AJ396" s="46">
        <v>400</v>
      </c>
      <c r="AK396" s="47">
        <f t="shared" si="48"/>
        <v>4700</v>
      </c>
      <c r="AL396" s="46">
        <v>400</v>
      </c>
      <c r="AM396" s="46">
        <v>400</v>
      </c>
      <c r="AN396" s="46">
        <v>400</v>
      </c>
      <c r="AO396" s="46">
        <v>400</v>
      </c>
      <c r="AP396" s="46">
        <v>400</v>
      </c>
      <c r="AQ396" s="46">
        <v>400</v>
      </c>
      <c r="AR396" s="46">
        <v>400</v>
      </c>
      <c r="AS396" s="46">
        <v>400</v>
      </c>
      <c r="AT396" s="46">
        <v>400</v>
      </c>
      <c r="AU396" s="46">
        <v>400</v>
      </c>
      <c r="AV396" s="46">
        <v>400</v>
      </c>
      <c r="AW396" s="46">
        <v>400</v>
      </c>
      <c r="AX396" s="47">
        <f t="shared" si="49"/>
        <v>4800</v>
      </c>
      <c r="AY396" s="313">
        <f>SUMIF(Recibos!$D$4:$D$7493,Cobranza!$B396,Recibos!K$4:K$7493)</f>
        <v>400</v>
      </c>
      <c r="AZ396" s="313">
        <f>SUMIF(Recibos!$D$4:$D$7493,Cobranza!$B396,Recibos!L$4:L$7493)</f>
        <v>400</v>
      </c>
      <c r="BA396" s="313">
        <f>SUMIF(Recibos!$D$4:$D$7493,Cobranza!$B396,Recibos!M$4:M$7493)</f>
        <v>400</v>
      </c>
      <c r="BB396" s="313">
        <f>SUMIF(Recibos!$D$4:$D$7493,Cobranza!$B396,Recibos!N$4:N$7493)</f>
        <v>400</v>
      </c>
      <c r="BC396" s="313">
        <f>SUMIF(Recibos!$D$4:$D$7493,Cobranza!$B396,Recibos!O$4:O$7493)</f>
        <v>400</v>
      </c>
      <c r="BD396" s="313">
        <f>SUMIF(Recibos!$D$4:$D$7493,Cobranza!$B396,Recibos!P$4:P$7493)</f>
        <v>400</v>
      </c>
      <c r="BE396" s="313">
        <f>SUMIF(Recibos!$D$4:$D$7493,Cobranza!$B396,Recibos!Q$4:Q$7493)</f>
        <v>400</v>
      </c>
      <c r="BF396" s="313">
        <f>SUMIF(Recibos!$D$4:$D$7493,Cobranza!$B396,Recibos!R$4:R$7493)</f>
        <v>400</v>
      </c>
      <c r="BG396" s="313">
        <f>SUMIF(Recibos!$D$4:$D$7493,Cobranza!$B396,Recibos!S$4:S$7493)</f>
        <v>400</v>
      </c>
      <c r="BH396" s="313">
        <f>SUMIF(Recibos!$D$4:$D$7493,Cobranza!$B396,Recibos!T$4:T$7493)</f>
        <v>400</v>
      </c>
      <c r="BI396" s="313">
        <f>SUMIF(Recibos!$D$4:$D$7493,Cobranza!$B396,Recibos!U$4:U$7493)</f>
        <v>400</v>
      </c>
      <c r="BJ396" s="313">
        <f>SUMIF(Recibos!$D$4:$D$7493,Cobranza!$B396,Recibos!V$4:V$7493)</f>
        <v>400</v>
      </c>
      <c r="BK396" s="314">
        <f t="shared" si="50"/>
        <v>4800</v>
      </c>
      <c r="BL396" s="313">
        <f>SUMIF(Recibos!$D$4:$D$7493,Cobranza!$B396,Recibos!X$4:X$7493)</f>
        <v>400</v>
      </c>
      <c r="BM396" s="313">
        <f>SUMIF(Recibos!$D$4:$D$7493,Cobranza!$B396,Recibos!Y$4:Y$7493)</f>
        <v>400</v>
      </c>
      <c r="BN396" s="313">
        <f>SUMIF(Recibos!$D$4:$D$7493,Cobranza!$B396,Recibos!Z$4:Z$7493)</f>
        <v>400</v>
      </c>
      <c r="BO396" s="313">
        <f>SUMIF(Recibos!$D$4:$D$7493,Cobranza!$B396,Recibos!AA$4:AA$7493)</f>
        <v>400</v>
      </c>
      <c r="BP396" s="313">
        <f>SUMIF(Recibos!$D$4:$D$7493,Cobranza!$B396,Recibos!AB$4:AB$7493)</f>
        <v>400</v>
      </c>
      <c r="BQ396" s="313">
        <f>SUMIF(Recibos!$D$4:$D$7493,Cobranza!$B396,Recibos!AC$4:AC$7493)</f>
        <v>400</v>
      </c>
      <c r="BR396" s="313">
        <f>SUMIF(Recibos!$D$4:$D$7493,Cobranza!$B396,Recibos!AD$4:AD$7493)</f>
        <v>400</v>
      </c>
      <c r="BS396" s="313">
        <f>SUMIF(Recibos!$D$4:$D$7493,Cobranza!$B396,Recibos!AE$4:AE$7493)</f>
        <v>400</v>
      </c>
      <c r="BT396" s="313">
        <f>SUMIF(Recibos!$D$4:$D$7493,Cobranza!$B396,Recibos!AF$4:AF$7493)</f>
        <v>400</v>
      </c>
      <c r="BU396" s="313">
        <f>SUMIF(Recibos!$D$4:$D$7493,Cobranza!$B396,Recibos!AG$4:AG$7493)</f>
        <v>400</v>
      </c>
      <c r="BV396" s="313">
        <f>SUMIF(Recibos!$D$4:$D$7493,Cobranza!$B396,Recibos!AH$4:AH$7493)</f>
        <v>400</v>
      </c>
      <c r="BW396" s="313">
        <f>SUMIF(Recibos!$D$4:$D$7493,Cobranza!$B396,Recibos!AI$4:AI$7493)</f>
        <v>400</v>
      </c>
      <c r="BX396" s="314">
        <f t="shared" si="51"/>
        <v>4800</v>
      </c>
      <c r="BY396" s="313">
        <f>SUMIF(Recibos!$D$4:$D$7493,Cobranza!$B396,Recibos!AK$4:AK$7493)</f>
        <v>400</v>
      </c>
      <c r="BZ396" s="313">
        <f>SUMIF(Recibos!$D$4:$D$7493,Cobranza!$B396,Recibos!AL$4:AL$7493)</f>
        <v>400</v>
      </c>
      <c r="CA396" s="313">
        <f>SUMIF(Recibos!$D$4:$D$7493,Cobranza!$B396,Recibos!AM$4:AM$7493)</f>
        <v>400</v>
      </c>
      <c r="CB396" s="313">
        <f>SUMIF(Recibos!$D$4:$D$7493,Cobranza!$B396,Recibos!AN$4:AN$7493)</f>
        <v>400</v>
      </c>
      <c r="CC396" s="313">
        <f>SUMIF(Recibos!$D$4:$D$7493,Cobranza!$B396,Recibos!AO$4:AO$7493)</f>
        <v>400</v>
      </c>
      <c r="CD396" s="313">
        <f>SUMIF(Recibos!$D$4:$D$7493,Cobranza!$B396,Recibos!AP$4:AP$7493)</f>
        <v>400</v>
      </c>
      <c r="CE396" s="313">
        <f>SUMIF(Recibos!$D$4:$D$7493,Cobranza!$B396,Recibos!AQ$4:AQ$7493)</f>
        <v>400</v>
      </c>
      <c r="CF396" s="313">
        <f>SUMIF(Recibos!$D$4:$D$7493,Cobranza!$B396,Recibos!AR$4:AR$7493)</f>
        <v>400</v>
      </c>
      <c r="CG396" s="313">
        <f>SUMIF(Recibos!$D$4:$D$7493,Cobranza!$B396,Recibos!AS$4:AS$7493)</f>
        <v>400</v>
      </c>
      <c r="CH396" s="313">
        <f>SUMIF(Recibos!$D$4:$D$7493,Cobranza!$B396,Recibos!AT$4:AT$7493)</f>
        <v>400</v>
      </c>
      <c r="CI396" s="313">
        <f>SUMIF(Recibos!$D$4:$D$7493,Cobranza!$B396,Recibos!AU$4:AU$7493)</f>
        <v>0</v>
      </c>
      <c r="CJ396" s="313">
        <f>SUMIF(Recibos!$D$4:$D$7493,Cobranza!$B396,Recibos!AV$4:AV$7493)</f>
        <v>0</v>
      </c>
      <c r="CK396" s="314">
        <f t="shared" si="52"/>
        <v>4000</v>
      </c>
    </row>
    <row r="397" spans="2:89" x14ac:dyDescent="0.2">
      <c r="B397" s="42" t="s">
        <v>831</v>
      </c>
      <c r="C397" s="42" t="s">
        <v>832</v>
      </c>
      <c r="D397" s="42" t="s">
        <v>833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300</v>
      </c>
      <c r="K397" s="44">
        <f t="shared" si="46"/>
        <v>300</v>
      </c>
      <c r="L397" s="43">
        <v>300</v>
      </c>
      <c r="M397" s="43">
        <v>300</v>
      </c>
      <c r="N397" s="43">
        <v>300</v>
      </c>
      <c r="O397" s="43">
        <v>300</v>
      </c>
      <c r="P397" s="43">
        <v>300</v>
      </c>
      <c r="Q397" s="43">
        <v>300</v>
      </c>
      <c r="R397" s="43">
        <v>300</v>
      </c>
      <c r="S397" s="43">
        <v>300</v>
      </c>
      <c r="T397" s="43">
        <v>300</v>
      </c>
      <c r="U397" s="43">
        <v>300</v>
      </c>
      <c r="V397" s="43">
        <v>400</v>
      </c>
      <c r="W397" s="43">
        <v>400</v>
      </c>
      <c r="X397" s="44">
        <f t="shared" si="47"/>
        <v>3800</v>
      </c>
      <c r="Y397" s="43">
        <v>400</v>
      </c>
      <c r="Z397" s="43">
        <v>400</v>
      </c>
      <c r="AA397" s="43">
        <v>400</v>
      </c>
      <c r="AB397" s="43">
        <v>400</v>
      </c>
      <c r="AC397" s="43">
        <v>800</v>
      </c>
      <c r="AD397" s="43">
        <v>400</v>
      </c>
      <c r="AE397" s="43">
        <v>0</v>
      </c>
      <c r="AF397" s="43">
        <v>400</v>
      </c>
      <c r="AG397" s="43">
        <v>400</v>
      </c>
      <c r="AH397" s="43">
        <v>0</v>
      </c>
      <c r="AI397" s="43">
        <v>400</v>
      </c>
      <c r="AJ397" s="43">
        <v>400</v>
      </c>
      <c r="AK397" s="44">
        <f t="shared" si="48"/>
        <v>4400</v>
      </c>
      <c r="AL397" s="43">
        <v>400</v>
      </c>
      <c r="AM397" s="43">
        <v>400</v>
      </c>
      <c r="AN397" s="43">
        <v>400</v>
      </c>
      <c r="AO397" s="43">
        <v>400</v>
      </c>
      <c r="AP397" s="43">
        <v>400</v>
      </c>
      <c r="AQ397" s="43">
        <v>400</v>
      </c>
      <c r="AR397" s="43">
        <v>400</v>
      </c>
      <c r="AS397" s="43">
        <v>400</v>
      </c>
      <c r="AT397" s="43">
        <v>400</v>
      </c>
      <c r="AU397" s="43">
        <v>400</v>
      </c>
      <c r="AV397" s="43">
        <v>400</v>
      </c>
      <c r="AW397" s="43">
        <v>400</v>
      </c>
      <c r="AX397" s="44">
        <f t="shared" si="49"/>
        <v>4800</v>
      </c>
      <c r="AY397" s="311">
        <f>SUMIF(Recibos!$D$4:$D$7493,Cobranza!$B397,Recibos!K$4:K$7493)</f>
        <v>400</v>
      </c>
      <c r="AZ397" s="311">
        <f>SUMIF(Recibos!$D$4:$D$7493,Cobranza!$B397,Recibos!L$4:L$7493)</f>
        <v>400</v>
      </c>
      <c r="BA397" s="311">
        <f>SUMIF(Recibos!$D$4:$D$7493,Cobranza!$B397,Recibos!M$4:M$7493)</f>
        <v>400</v>
      </c>
      <c r="BB397" s="311">
        <f>SUMIF(Recibos!$D$4:$D$7493,Cobranza!$B397,Recibos!N$4:N$7493)</f>
        <v>400</v>
      </c>
      <c r="BC397" s="311">
        <f>SUMIF(Recibos!$D$4:$D$7493,Cobranza!$B397,Recibos!O$4:O$7493)</f>
        <v>400</v>
      </c>
      <c r="BD397" s="311">
        <f>SUMIF(Recibos!$D$4:$D$7493,Cobranza!$B397,Recibos!P$4:P$7493)</f>
        <v>400</v>
      </c>
      <c r="BE397" s="311">
        <f>SUMIF(Recibos!$D$4:$D$7493,Cobranza!$B397,Recibos!Q$4:Q$7493)</f>
        <v>400</v>
      </c>
      <c r="BF397" s="311">
        <f>SUMIF(Recibos!$D$4:$D$7493,Cobranza!$B397,Recibos!R$4:R$7493)</f>
        <v>400</v>
      </c>
      <c r="BG397" s="311">
        <f>SUMIF(Recibos!$D$4:$D$7493,Cobranza!$B397,Recibos!S$4:S$7493)</f>
        <v>400</v>
      </c>
      <c r="BH397" s="311">
        <f>SUMIF(Recibos!$D$4:$D$7493,Cobranza!$B397,Recibos!T$4:T$7493)</f>
        <v>400</v>
      </c>
      <c r="BI397" s="311">
        <f>SUMIF(Recibos!$D$4:$D$7493,Cobranza!$B397,Recibos!U$4:U$7493)</f>
        <v>400</v>
      </c>
      <c r="BJ397" s="311">
        <f>SUMIF(Recibos!$D$4:$D$7493,Cobranza!$B397,Recibos!V$4:V$7493)</f>
        <v>400</v>
      </c>
      <c r="BK397" s="312">
        <f t="shared" si="50"/>
        <v>4800</v>
      </c>
      <c r="BL397" s="311">
        <f>SUMIF(Recibos!$D$4:$D$7493,Cobranza!$B397,Recibos!X$4:X$7493)</f>
        <v>400</v>
      </c>
      <c r="BM397" s="311">
        <f>SUMIF(Recibos!$D$4:$D$7493,Cobranza!$B397,Recibos!Y$4:Y$7493)</f>
        <v>400</v>
      </c>
      <c r="BN397" s="311">
        <f>SUMIF(Recibos!$D$4:$D$7493,Cobranza!$B397,Recibos!Z$4:Z$7493)</f>
        <v>400</v>
      </c>
      <c r="BO397" s="311">
        <f>SUMIF(Recibos!$D$4:$D$7493,Cobranza!$B397,Recibos!AA$4:AA$7493)</f>
        <v>400</v>
      </c>
      <c r="BP397" s="311">
        <f>SUMIF(Recibos!$D$4:$D$7493,Cobranza!$B397,Recibos!AB$4:AB$7493)</f>
        <v>400</v>
      </c>
      <c r="BQ397" s="311">
        <f>SUMIF(Recibos!$D$4:$D$7493,Cobranza!$B397,Recibos!AC$4:AC$7493)</f>
        <v>400</v>
      </c>
      <c r="BR397" s="311">
        <f>SUMIF(Recibos!$D$4:$D$7493,Cobranza!$B397,Recibos!AD$4:AD$7493)</f>
        <v>400</v>
      </c>
      <c r="BS397" s="311">
        <f>SUMIF(Recibos!$D$4:$D$7493,Cobranza!$B397,Recibos!AE$4:AE$7493)</f>
        <v>400</v>
      </c>
      <c r="BT397" s="311">
        <f>SUMIF(Recibos!$D$4:$D$7493,Cobranza!$B397,Recibos!AF$4:AF$7493)</f>
        <v>400</v>
      </c>
      <c r="BU397" s="311">
        <f>SUMIF(Recibos!$D$4:$D$7493,Cobranza!$B397,Recibos!AG$4:AG$7493)</f>
        <v>400</v>
      </c>
      <c r="BV397" s="311">
        <f>SUMIF(Recibos!$D$4:$D$7493,Cobranza!$B397,Recibos!AH$4:AH$7493)</f>
        <v>400</v>
      </c>
      <c r="BW397" s="311">
        <f>SUMIF(Recibos!$D$4:$D$7493,Cobranza!$B397,Recibos!AI$4:AI$7493)</f>
        <v>400</v>
      </c>
      <c r="BX397" s="312">
        <f t="shared" si="51"/>
        <v>4800</v>
      </c>
      <c r="BY397" s="311">
        <f>SUMIF(Recibos!$D$4:$D$7493,Cobranza!$B397,Recibos!AK$4:AK$7493)</f>
        <v>400</v>
      </c>
      <c r="BZ397" s="311">
        <f>SUMIF(Recibos!$D$4:$D$7493,Cobranza!$B397,Recibos!AL$4:AL$7493)</f>
        <v>400</v>
      </c>
      <c r="CA397" s="311">
        <f>SUMIF(Recibos!$D$4:$D$7493,Cobranza!$B397,Recibos!AM$4:AM$7493)</f>
        <v>400</v>
      </c>
      <c r="CB397" s="311">
        <f>SUMIF(Recibos!$D$4:$D$7493,Cobranza!$B397,Recibos!AN$4:AN$7493)</f>
        <v>400</v>
      </c>
      <c r="CC397" s="311">
        <f>SUMIF(Recibos!$D$4:$D$7493,Cobranza!$B397,Recibos!AO$4:AO$7493)</f>
        <v>400</v>
      </c>
      <c r="CD397" s="311">
        <f>SUMIF(Recibos!$D$4:$D$7493,Cobranza!$B397,Recibos!AP$4:AP$7493)</f>
        <v>400</v>
      </c>
      <c r="CE397" s="311">
        <f>SUMIF(Recibos!$D$4:$D$7493,Cobranza!$B397,Recibos!AQ$4:AQ$7493)</f>
        <v>400</v>
      </c>
      <c r="CF397" s="311">
        <f>SUMIF(Recibos!$D$4:$D$7493,Cobranza!$B397,Recibos!AR$4:AR$7493)</f>
        <v>400</v>
      </c>
      <c r="CG397" s="311">
        <f>SUMIF(Recibos!$D$4:$D$7493,Cobranza!$B397,Recibos!AS$4:AS$7493)</f>
        <v>400</v>
      </c>
      <c r="CH397" s="311">
        <f>SUMIF(Recibos!$D$4:$D$7493,Cobranza!$B397,Recibos!AT$4:AT$7493)</f>
        <v>400</v>
      </c>
      <c r="CI397" s="311">
        <f>SUMIF(Recibos!$D$4:$D$7493,Cobranza!$B397,Recibos!AU$4:AU$7493)</f>
        <v>0</v>
      </c>
      <c r="CJ397" s="311">
        <f>SUMIF(Recibos!$D$4:$D$7493,Cobranza!$B397,Recibos!AV$4:AV$7493)</f>
        <v>0</v>
      </c>
      <c r="CK397" s="312">
        <f t="shared" si="52"/>
        <v>4000</v>
      </c>
    </row>
    <row r="398" spans="2:89" x14ac:dyDescent="0.2">
      <c r="B398" s="45" t="s">
        <v>265</v>
      </c>
      <c r="C398" s="45" t="s">
        <v>266</v>
      </c>
      <c r="D398" s="45" t="s">
        <v>267</v>
      </c>
      <c r="E398" s="46">
        <v>0</v>
      </c>
      <c r="F398" s="46">
        <v>0</v>
      </c>
      <c r="G398" s="46">
        <v>0</v>
      </c>
      <c r="H398" s="46">
        <v>0</v>
      </c>
      <c r="I398" s="46">
        <v>0</v>
      </c>
      <c r="J398" s="46">
        <v>300</v>
      </c>
      <c r="K398" s="47">
        <f t="shared" ref="K398:K462" si="53">SUM(E398:J398)</f>
        <v>300</v>
      </c>
      <c r="L398" s="46">
        <v>0</v>
      </c>
      <c r="M398" s="46">
        <v>300</v>
      </c>
      <c r="N398" s="46">
        <v>300</v>
      </c>
      <c r="O398" s="46">
        <v>300</v>
      </c>
      <c r="P398" s="46">
        <v>300</v>
      </c>
      <c r="Q398" s="46">
        <v>300</v>
      </c>
      <c r="R398" s="46">
        <v>300</v>
      </c>
      <c r="S398" s="46">
        <v>300</v>
      </c>
      <c r="T398" s="46">
        <v>300</v>
      </c>
      <c r="U398" s="46">
        <v>400</v>
      </c>
      <c r="V398" s="46">
        <v>400</v>
      </c>
      <c r="W398" s="46">
        <v>400</v>
      </c>
      <c r="X398" s="47">
        <f t="shared" ref="X398:X462" si="54">SUM(L398:W398)</f>
        <v>3600</v>
      </c>
      <c r="Y398" s="46">
        <v>400</v>
      </c>
      <c r="Z398" s="46">
        <v>400</v>
      </c>
      <c r="AA398" s="46">
        <v>400</v>
      </c>
      <c r="AB398" s="46">
        <v>400</v>
      </c>
      <c r="AC398" s="46">
        <v>400</v>
      </c>
      <c r="AD398" s="46">
        <v>400</v>
      </c>
      <c r="AE398" s="46">
        <v>400</v>
      </c>
      <c r="AF398" s="46">
        <v>400</v>
      </c>
      <c r="AG398" s="46">
        <v>400</v>
      </c>
      <c r="AH398" s="46">
        <v>400</v>
      </c>
      <c r="AI398" s="46">
        <v>400</v>
      </c>
      <c r="AJ398" s="46">
        <v>400</v>
      </c>
      <c r="AK398" s="47">
        <f t="shared" ref="AK398:AK462" si="55">SUM(Y398:AJ398)</f>
        <v>4800</v>
      </c>
      <c r="AL398" s="46">
        <v>400</v>
      </c>
      <c r="AM398" s="46">
        <v>400</v>
      </c>
      <c r="AN398" s="46">
        <v>400</v>
      </c>
      <c r="AO398" s="46">
        <v>400</v>
      </c>
      <c r="AP398" s="46">
        <v>400</v>
      </c>
      <c r="AQ398" s="46">
        <v>400</v>
      </c>
      <c r="AR398" s="46">
        <v>400</v>
      </c>
      <c r="AS398" s="46">
        <v>400</v>
      </c>
      <c r="AT398" s="46">
        <v>400</v>
      </c>
      <c r="AU398" s="46">
        <v>400</v>
      </c>
      <c r="AV398" s="46">
        <v>400</v>
      </c>
      <c r="AW398" s="46">
        <v>400</v>
      </c>
      <c r="AX398" s="47">
        <f t="shared" ref="AX398:AX462" si="56">SUM(AL398:AW398)</f>
        <v>4800</v>
      </c>
      <c r="AY398" s="313">
        <f>SUMIF(Recibos!$D$4:$D$7493,Cobranza!$B398,Recibos!K$4:K$7493)</f>
        <v>400</v>
      </c>
      <c r="AZ398" s="313">
        <f>SUMIF(Recibos!$D$4:$D$7493,Cobranza!$B398,Recibos!L$4:L$7493)</f>
        <v>400</v>
      </c>
      <c r="BA398" s="313">
        <f>SUMIF(Recibos!$D$4:$D$7493,Cobranza!$B398,Recibos!M$4:M$7493)</f>
        <v>400</v>
      </c>
      <c r="BB398" s="313">
        <f>SUMIF(Recibos!$D$4:$D$7493,Cobranza!$B398,Recibos!N$4:N$7493)</f>
        <v>400</v>
      </c>
      <c r="BC398" s="313">
        <f>SUMIF(Recibos!$D$4:$D$7493,Cobranza!$B398,Recibos!O$4:O$7493)</f>
        <v>400</v>
      </c>
      <c r="BD398" s="313">
        <f>SUMIF(Recibos!$D$4:$D$7493,Cobranza!$B398,Recibos!P$4:P$7493)</f>
        <v>400</v>
      </c>
      <c r="BE398" s="313">
        <f>SUMIF(Recibos!$D$4:$D$7493,Cobranza!$B398,Recibos!Q$4:Q$7493)</f>
        <v>400</v>
      </c>
      <c r="BF398" s="313">
        <f>SUMIF(Recibos!$D$4:$D$7493,Cobranza!$B398,Recibos!R$4:R$7493)</f>
        <v>400</v>
      </c>
      <c r="BG398" s="313">
        <f>SUMIF(Recibos!$D$4:$D$7493,Cobranza!$B398,Recibos!S$4:S$7493)</f>
        <v>400</v>
      </c>
      <c r="BH398" s="313">
        <f>SUMIF(Recibos!$D$4:$D$7493,Cobranza!$B398,Recibos!T$4:T$7493)</f>
        <v>400</v>
      </c>
      <c r="BI398" s="313">
        <f>SUMIF(Recibos!$D$4:$D$7493,Cobranza!$B398,Recibos!U$4:U$7493)</f>
        <v>400</v>
      </c>
      <c r="BJ398" s="313">
        <f>SUMIF(Recibos!$D$4:$D$7493,Cobranza!$B398,Recibos!V$4:V$7493)</f>
        <v>400</v>
      </c>
      <c r="BK398" s="314">
        <f t="shared" si="50"/>
        <v>4800</v>
      </c>
      <c r="BL398" s="313">
        <f>SUMIF(Recibos!$D$4:$D$7493,Cobranza!$B398,Recibos!X$4:X$7493)</f>
        <v>400</v>
      </c>
      <c r="BM398" s="313">
        <f>SUMIF(Recibos!$D$4:$D$7493,Cobranza!$B398,Recibos!Y$4:Y$7493)</f>
        <v>400</v>
      </c>
      <c r="BN398" s="313">
        <f>SUMIF(Recibos!$D$4:$D$7493,Cobranza!$B398,Recibos!Z$4:Z$7493)</f>
        <v>400</v>
      </c>
      <c r="BO398" s="313">
        <f>SUMIF(Recibos!$D$4:$D$7493,Cobranza!$B398,Recibos!AA$4:AA$7493)</f>
        <v>400</v>
      </c>
      <c r="BP398" s="313">
        <f>SUMIF(Recibos!$D$4:$D$7493,Cobranza!$B398,Recibos!AB$4:AB$7493)</f>
        <v>400</v>
      </c>
      <c r="BQ398" s="313">
        <f>SUMIF(Recibos!$D$4:$D$7493,Cobranza!$B398,Recibos!AC$4:AC$7493)</f>
        <v>400</v>
      </c>
      <c r="BR398" s="313">
        <f>SUMIF(Recibos!$D$4:$D$7493,Cobranza!$B398,Recibos!AD$4:AD$7493)</f>
        <v>400</v>
      </c>
      <c r="BS398" s="313">
        <f>SUMIF(Recibos!$D$4:$D$7493,Cobranza!$B398,Recibos!AE$4:AE$7493)</f>
        <v>400</v>
      </c>
      <c r="BT398" s="313">
        <f>SUMIF(Recibos!$D$4:$D$7493,Cobranza!$B398,Recibos!AF$4:AF$7493)</f>
        <v>400</v>
      </c>
      <c r="BU398" s="313">
        <f>SUMIF(Recibos!$D$4:$D$7493,Cobranza!$B398,Recibos!AG$4:AG$7493)</f>
        <v>400</v>
      </c>
      <c r="BV398" s="313">
        <f>SUMIF(Recibos!$D$4:$D$7493,Cobranza!$B398,Recibos!AH$4:AH$7493)</f>
        <v>400</v>
      </c>
      <c r="BW398" s="313">
        <f>SUMIF(Recibos!$D$4:$D$7493,Cobranza!$B398,Recibos!AI$4:AI$7493)</f>
        <v>400</v>
      </c>
      <c r="BX398" s="314">
        <f t="shared" si="51"/>
        <v>4800</v>
      </c>
      <c r="BY398" s="313">
        <f>SUMIF(Recibos!$D$4:$D$7493,Cobranza!$B398,Recibos!AK$4:AK$7493)</f>
        <v>400</v>
      </c>
      <c r="BZ398" s="313">
        <f>SUMIF(Recibos!$D$4:$D$7493,Cobranza!$B398,Recibos!AL$4:AL$7493)</f>
        <v>400</v>
      </c>
      <c r="CA398" s="313">
        <f>SUMIF(Recibos!$D$4:$D$7493,Cobranza!$B398,Recibos!AM$4:AM$7493)</f>
        <v>400</v>
      </c>
      <c r="CB398" s="313">
        <f>SUMIF(Recibos!$D$4:$D$7493,Cobranza!$B398,Recibos!AN$4:AN$7493)</f>
        <v>400</v>
      </c>
      <c r="CC398" s="313">
        <f>SUMIF(Recibos!$D$4:$D$7493,Cobranza!$B398,Recibos!AO$4:AO$7493)</f>
        <v>400</v>
      </c>
      <c r="CD398" s="313">
        <f>SUMIF(Recibos!$D$4:$D$7493,Cobranza!$B398,Recibos!AP$4:AP$7493)</f>
        <v>400</v>
      </c>
      <c r="CE398" s="313">
        <f>SUMIF(Recibos!$D$4:$D$7493,Cobranza!$B398,Recibos!AQ$4:AQ$7493)</f>
        <v>400</v>
      </c>
      <c r="CF398" s="313">
        <f>SUMIF(Recibos!$D$4:$D$7493,Cobranza!$B398,Recibos!AR$4:AR$7493)</f>
        <v>400</v>
      </c>
      <c r="CG398" s="313">
        <f>SUMIF(Recibos!$D$4:$D$7493,Cobranza!$B398,Recibos!AS$4:AS$7493)</f>
        <v>800</v>
      </c>
      <c r="CH398" s="313">
        <f>SUMIF(Recibos!$D$4:$D$7493,Cobranza!$B398,Recibos!AT$4:AT$7493)</f>
        <v>0</v>
      </c>
      <c r="CI398" s="313">
        <f>SUMIF(Recibos!$D$4:$D$7493,Cobranza!$B398,Recibos!AU$4:AU$7493)</f>
        <v>0</v>
      </c>
      <c r="CJ398" s="313">
        <f>SUMIF(Recibos!$D$4:$D$7493,Cobranza!$B398,Recibos!AV$4:AV$7493)</f>
        <v>0</v>
      </c>
      <c r="CK398" s="314">
        <f t="shared" si="52"/>
        <v>4000</v>
      </c>
    </row>
    <row r="399" spans="2:89" x14ac:dyDescent="0.2">
      <c r="B399" s="42" t="s">
        <v>428</v>
      </c>
      <c r="C399" s="42" t="s">
        <v>429</v>
      </c>
      <c r="D399" s="42" t="s">
        <v>430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4">
        <f t="shared" si="53"/>
        <v>0</v>
      </c>
      <c r="L399" s="43">
        <v>300</v>
      </c>
      <c r="M399" s="43">
        <v>300</v>
      </c>
      <c r="N399" s="43">
        <v>300</v>
      </c>
      <c r="O399" s="43">
        <v>300</v>
      </c>
      <c r="P399" s="43">
        <v>300</v>
      </c>
      <c r="Q399" s="43">
        <v>300</v>
      </c>
      <c r="R399" s="43">
        <v>300</v>
      </c>
      <c r="S399" s="43">
        <v>300</v>
      </c>
      <c r="T399" s="43">
        <v>300</v>
      </c>
      <c r="U399" s="43">
        <v>400</v>
      </c>
      <c r="V399" s="43">
        <v>400</v>
      </c>
      <c r="W399" s="43">
        <v>400</v>
      </c>
      <c r="X399" s="44">
        <f t="shared" si="54"/>
        <v>3900</v>
      </c>
      <c r="Y399" s="43">
        <v>400</v>
      </c>
      <c r="Z399" s="43">
        <v>400</v>
      </c>
      <c r="AA399" s="43">
        <v>400</v>
      </c>
      <c r="AB399" s="43">
        <v>400</v>
      </c>
      <c r="AC399" s="43">
        <v>400</v>
      </c>
      <c r="AD399" s="43">
        <v>400</v>
      </c>
      <c r="AE399" s="43">
        <v>400</v>
      </c>
      <c r="AF399" s="43">
        <v>400</v>
      </c>
      <c r="AG399" s="43">
        <v>400</v>
      </c>
      <c r="AH399" s="43">
        <v>400</v>
      </c>
      <c r="AI399" s="43">
        <v>400</v>
      </c>
      <c r="AJ399" s="43">
        <v>0</v>
      </c>
      <c r="AK399" s="44">
        <f t="shared" si="55"/>
        <v>4400</v>
      </c>
      <c r="AL399" s="43">
        <v>400</v>
      </c>
      <c r="AM399" s="43">
        <v>400</v>
      </c>
      <c r="AN399" s="43">
        <v>400</v>
      </c>
      <c r="AO399" s="43">
        <v>400</v>
      </c>
      <c r="AP399" s="43">
        <v>400</v>
      </c>
      <c r="AQ399" s="43">
        <v>400</v>
      </c>
      <c r="AR399" s="43">
        <v>400</v>
      </c>
      <c r="AS399" s="43">
        <v>400</v>
      </c>
      <c r="AT399" s="43">
        <v>400</v>
      </c>
      <c r="AU399" s="43">
        <v>400</v>
      </c>
      <c r="AV399" s="43">
        <v>400</v>
      </c>
      <c r="AW399" s="43">
        <v>0</v>
      </c>
      <c r="AX399" s="44">
        <f t="shared" si="56"/>
        <v>4400</v>
      </c>
      <c r="AY399" s="311">
        <f>SUMIF(Recibos!$D$4:$D$7493,Cobranza!$B399,Recibos!K$4:K$7493)</f>
        <v>400</v>
      </c>
      <c r="AZ399" s="311">
        <f>SUMIF(Recibos!$D$4:$D$7493,Cobranza!$B399,Recibos!L$4:L$7493)</f>
        <v>400</v>
      </c>
      <c r="BA399" s="311">
        <f>SUMIF(Recibos!$D$4:$D$7493,Cobranza!$B399,Recibos!M$4:M$7493)</f>
        <v>400</v>
      </c>
      <c r="BB399" s="311">
        <f>SUMIF(Recibos!$D$4:$D$7493,Cobranza!$B399,Recibos!N$4:N$7493)</f>
        <v>400</v>
      </c>
      <c r="BC399" s="311">
        <f>SUMIF(Recibos!$D$4:$D$7493,Cobranza!$B399,Recibos!O$4:O$7493)</f>
        <v>400</v>
      </c>
      <c r="BD399" s="311">
        <f>SUMIF(Recibos!$D$4:$D$7493,Cobranza!$B399,Recibos!P$4:P$7493)</f>
        <v>400</v>
      </c>
      <c r="BE399" s="311">
        <f>SUMIF(Recibos!$D$4:$D$7493,Cobranza!$B399,Recibos!Q$4:Q$7493)</f>
        <v>400</v>
      </c>
      <c r="BF399" s="311">
        <f>SUMIF(Recibos!$D$4:$D$7493,Cobranza!$B399,Recibos!R$4:R$7493)</f>
        <v>400</v>
      </c>
      <c r="BG399" s="311">
        <f>SUMIF(Recibos!$D$4:$D$7493,Cobranza!$B399,Recibos!S$4:S$7493)</f>
        <v>400</v>
      </c>
      <c r="BH399" s="311">
        <f>SUMIF(Recibos!$D$4:$D$7493,Cobranza!$B399,Recibos!T$4:T$7493)</f>
        <v>400</v>
      </c>
      <c r="BI399" s="311">
        <f>SUMIF(Recibos!$D$4:$D$7493,Cobranza!$B399,Recibos!U$4:U$7493)</f>
        <v>400</v>
      </c>
      <c r="BJ399" s="311">
        <f>SUMIF(Recibos!$D$4:$D$7493,Cobranza!$B399,Recibos!V$4:V$7493)</f>
        <v>0</v>
      </c>
      <c r="BK399" s="312">
        <f t="shared" si="50"/>
        <v>4400</v>
      </c>
      <c r="BL399" s="311">
        <f>SUMIF(Recibos!$D$4:$D$7493,Cobranza!$B399,Recibos!X$4:X$7493)</f>
        <v>400</v>
      </c>
      <c r="BM399" s="311">
        <f>SUMIF(Recibos!$D$4:$D$7493,Cobranza!$B399,Recibos!Y$4:Y$7493)</f>
        <v>400</v>
      </c>
      <c r="BN399" s="311">
        <f>SUMIF(Recibos!$D$4:$D$7493,Cobranza!$B399,Recibos!Z$4:Z$7493)</f>
        <v>400</v>
      </c>
      <c r="BO399" s="311">
        <f>SUMIF(Recibos!$D$4:$D$7493,Cobranza!$B399,Recibos!AA$4:AA$7493)</f>
        <v>400</v>
      </c>
      <c r="BP399" s="311">
        <f>SUMIF(Recibos!$D$4:$D$7493,Cobranza!$B399,Recibos!AB$4:AB$7493)</f>
        <v>400</v>
      </c>
      <c r="BQ399" s="311">
        <f>SUMIF(Recibos!$D$4:$D$7493,Cobranza!$B399,Recibos!AC$4:AC$7493)</f>
        <v>400</v>
      </c>
      <c r="BR399" s="311">
        <f>SUMIF(Recibos!$D$4:$D$7493,Cobranza!$B399,Recibos!AD$4:AD$7493)</f>
        <v>400</v>
      </c>
      <c r="BS399" s="311">
        <f>SUMIF(Recibos!$D$4:$D$7493,Cobranza!$B399,Recibos!AE$4:AE$7493)</f>
        <v>400</v>
      </c>
      <c r="BT399" s="311">
        <f>SUMIF(Recibos!$D$4:$D$7493,Cobranza!$B399,Recibos!AF$4:AF$7493)</f>
        <v>400</v>
      </c>
      <c r="BU399" s="311">
        <f>SUMIF(Recibos!$D$4:$D$7493,Cobranza!$B399,Recibos!AG$4:AG$7493)</f>
        <v>400</v>
      </c>
      <c r="BV399" s="311">
        <f>SUMIF(Recibos!$D$4:$D$7493,Cobranza!$B399,Recibos!AH$4:AH$7493)</f>
        <v>400</v>
      </c>
      <c r="BW399" s="311">
        <f>SUMIF(Recibos!$D$4:$D$7493,Cobranza!$B399,Recibos!AI$4:AI$7493)</f>
        <v>0</v>
      </c>
      <c r="BX399" s="312">
        <f t="shared" si="51"/>
        <v>4400</v>
      </c>
      <c r="BY399" s="311">
        <f>SUMIF(Recibos!$D$4:$D$7493,Cobranza!$B399,Recibos!AK$4:AK$7493)</f>
        <v>400</v>
      </c>
      <c r="BZ399" s="311">
        <f>SUMIF(Recibos!$D$4:$D$7493,Cobranza!$B399,Recibos!AL$4:AL$7493)</f>
        <v>400</v>
      </c>
      <c r="CA399" s="311">
        <f>SUMIF(Recibos!$D$4:$D$7493,Cobranza!$B399,Recibos!AM$4:AM$7493)</f>
        <v>400</v>
      </c>
      <c r="CB399" s="311">
        <f>SUMIF(Recibos!$D$4:$D$7493,Cobranza!$B399,Recibos!AN$4:AN$7493)</f>
        <v>400</v>
      </c>
      <c r="CC399" s="311">
        <f>SUMIF(Recibos!$D$4:$D$7493,Cobranza!$B399,Recibos!AO$4:AO$7493)</f>
        <v>400</v>
      </c>
      <c r="CD399" s="311">
        <f>SUMIF(Recibos!$D$4:$D$7493,Cobranza!$B399,Recibos!AP$4:AP$7493)</f>
        <v>400</v>
      </c>
      <c r="CE399" s="311">
        <f>SUMIF(Recibos!$D$4:$D$7493,Cobranza!$B399,Recibos!AQ$4:AQ$7493)</f>
        <v>400</v>
      </c>
      <c r="CF399" s="311">
        <f>SUMIF(Recibos!$D$4:$D$7493,Cobranza!$B399,Recibos!AR$4:AR$7493)</f>
        <v>400</v>
      </c>
      <c r="CG399" s="311">
        <f>SUMIF(Recibos!$D$4:$D$7493,Cobranza!$B399,Recibos!AS$4:AS$7493)</f>
        <v>400</v>
      </c>
      <c r="CH399" s="311">
        <f>SUMIF(Recibos!$D$4:$D$7493,Cobranza!$B399,Recibos!AT$4:AT$7493)</f>
        <v>400</v>
      </c>
      <c r="CI399" s="311">
        <f>SUMIF(Recibos!$D$4:$D$7493,Cobranza!$B399,Recibos!AU$4:AU$7493)</f>
        <v>400</v>
      </c>
      <c r="CJ399" s="311">
        <f>SUMIF(Recibos!$D$4:$D$7493,Cobranza!$B399,Recibos!AV$4:AV$7493)</f>
        <v>0</v>
      </c>
      <c r="CK399" s="312">
        <f t="shared" si="52"/>
        <v>4400</v>
      </c>
    </row>
    <row r="400" spans="2:89" x14ac:dyDescent="0.2">
      <c r="B400" s="45" t="s">
        <v>562</v>
      </c>
      <c r="C400" s="45" t="s">
        <v>563</v>
      </c>
      <c r="D400" s="45" t="s">
        <v>564</v>
      </c>
      <c r="E400" s="46">
        <v>0</v>
      </c>
      <c r="F400" s="46">
        <v>0</v>
      </c>
      <c r="G400" s="46">
        <v>0</v>
      </c>
      <c r="H400" s="46">
        <v>0</v>
      </c>
      <c r="I400" s="46">
        <v>0</v>
      </c>
      <c r="J400" s="46">
        <v>300</v>
      </c>
      <c r="K400" s="47">
        <f t="shared" si="53"/>
        <v>300</v>
      </c>
      <c r="L400" s="46">
        <v>300</v>
      </c>
      <c r="M400" s="46">
        <v>300</v>
      </c>
      <c r="N400" s="46">
        <v>300</v>
      </c>
      <c r="O400" s="46">
        <v>300</v>
      </c>
      <c r="P400" s="46">
        <v>300</v>
      </c>
      <c r="Q400" s="46">
        <v>300</v>
      </c>
      <c r="R400" s="46">
        <v>300</v>
      </c>
      <c r="S400" s="46">
        <v>300</v>
      </c>
      <c r="T400" s="46">
        <v>300</v>
      </c>
      <c r="U400" s="46">
        <v>400</v>
      </c>
      <c r="V400" s="46">
        <v>400</v>
      </c>
      <c r="W400" s="46">
        <v>400</v>
      </c>
      <c r="X400" s="47">
        <f t="shared" si="54"/>
        <v>3900</v>
      </c>
      <c r="Y400" s="46">
        <v>400</v>
      </c>
      <c r="Z400" s="46">
        <v>400</v>
      </c>
      <c r="AA400" s="46">
        <v>400</v>
      </c>
      <c r="AB400" s="46">
        <v>400</v>
      </c>
      <c r="AC400" s="46">
        <v>400</v>
      </c>
      <c r="AD400" s="46">
        <v>400</v>
      </c>
      <c r="AE400" s="46">
        <v>0</v>
      </c>
      <c r="AF400" s="46">
        <v>400</v>
      </c>
      <c r="AG400" s="46">
        <v>400</v>
      </c>
      <c r="AH400" s="46">
        <v>400</v>
      </c>
      <c r="AI400" s="46">
        <v>400</v>
      </c>
      <c r="AJ400" s="46">
        <v>400</v>
      </c>
      <c r="AK400" s="47">
        <f t="shared" si="55"/>
        <v>4400</v>
      </c>
      <c r="AL400" s="46">
        <v>400</v>
      </c>
      <c r="AM400" s="46">
        <v>400</v>
      </c>
      <c r="AN400" s="46">
        <v>400</v>
      </c>
      <c r="AO400" s="46">
        <v>400</v>
      </c>
      <c r="AP400" s="46">
        <v>400</v>
      </c>
      <c r="AQ400" s="46">
        <v>400</v>
      </c>
      <c r="AR400" s="46">
        <v>400</v>
      </c>
      <c r="AS400" s="46">
        <v>400</v>
      </c>
      <c r="AT400" s="46">
        <v>400</v>
      </c>
      <c r="AU400" s="46">
        <v>400</v>
      </c>
      <c r="AV400" s="46">
        <v>0</v>
      </c>
      <c r="AW400" s="46">
        <v>0</v>
      </c>
      <c r="AX400" s="47">
        <f t="shared" si="56"/>
        <v>4000</v>
      </c>
      <c r="AY400" s="313">
        <f>SUMIF(Recibos!$D$4:$D$7493,Cobranza!$B400,Recibos!K$4:K$7493)</f>
        <v>400</v>
      </c>
      <c r="AZ400" s="313">
        <f>SUMIF(Recibos!$D$4:$D$7493,Cobranza!$B400,Recibos!L$4:L$7493)</f>
        <v>400</v>
      </c>
      <c r="BA400" s="313">
        <f>SUMIF(Recibos!$D$4:$D$7493,Cobranza!$B400,Recibos!M$4:M$7493)</f>
        <v>400</v>
      </c>
      <c r="BB400" s="313">
        <f>SUMIF(Recibos!$D$4:$D$7493,Cobranza!$B400,Recibos!N$4:N$7493)</f>
        <v>400</v>
      </c>
      <c r="BC400" s="313">
        <f>SUMIF(Recibos!$D$4:$D$7493,Cobranza!$B400,Recibos!O$4:O$7493)</f>
        <v>400</v>
      </c>
      <c r="BD400" s="313">
        <f>SUMIF(Recibos!$D$4:$D$7493,Cobranza!$B400,Recibos!P$4:P$7493)</f>
        <v>400</v>
      </c>
      <c r="BE400" s="313">
        <f>SUMIF(Recibos!$D$4:$D$7493,Cobranza!$B400,Recibos!Q$4:Q$7493)</f>
        <v>400</v>
      </c>
      <c r="BF400" s="313">
        <f>SUMIF(Recibos!$D$4:$D$7493,Cobranza!$B400,Recibos!R$4:R$7493)</f>
        <v>400</v>
      </c>
      <c r="BG400" s="313">
        <f>SUMIF(Recibos!$D$4:$D$7493,Cobranza!$B400,Recibos!S$4:S$7493)</f>
        <v>400</v>
      </c>
      <c r="BH400" s="313">
        <f>SUMIF(Recibos!$D$4:$D$7493,Cobranza!$B400,Recibos!T$4:T$7493)</f>
        <v>400</v>
      </c>
      <c r="BI400" s="313">
        <f>SUMIF(Recibos!$D$4:$D$7493,Cobranza!$B400,Recibos!U$4:U$7493)</f>
        <v>400</v>
      </c>
      <c r="BJ400" s="313">
        <f>SUMIF(Recibos!$D$4:$D$7493,Cobranza!$B400,Recibos!V$4:V$7493)</f>
        <v>400</v>
      </c>
      <c r="BK400" s="314">
        <f t="shared" si="50"/>
        <v>4800</v>
      </c>
      <c r="BL400" s="313">
        <f>SUMIF(Recibos!$D$4:$D$7493,Cobranza!$B400,Recibos!X$4:X$7493)</f>
        <v>400</v>
      </c>
      <c r="BM400" s="313">
        <f>SUMIF(Recibos!$D$4:$D$7493,Cobranza!$B400,Recibos!Y$4:Y$7493)</f>
        <v>400</v>
      </c>
      <c r="BN400" s="313">
        <f>SUMIF(Recibos!$D$4:$D$7493,Cobranza!$B400,Recibos!Z$4:Z$7493)</f>
        <v>400</v>
      </c>
      <c r="BO400" s="313">
        <f>SUMIF(Recibos!$D$4:$D$7493,Cobranza!$B400,Recibos!AA$4:AA$7493)</f>
        <v>400</v>
      </c>
      <c r="BP400" s="313">
        <f>SUMIF(Recibos!$D$4:$D$7493,Cobranza!$B400,Recibos!AB$4:AB$7493)</f>
        <v>400</v>
      </c>
      <c r="BQ400" s="313">
        <f>SUMIF(Recibos!$D$4:$D$7493,Cobranza!$B400,Recibos!AC$4:AC$7493)</f>
        <v>400</v>
      </c>
      <c r="BR400" s="313">
        <f>SUMIF(Recibos!$D$4:$D$7493,Cobranza!$B400,Recibos!AD$4:AD$7493)</f>
        <v>400</v>
      </c>
      <c r="BS400" s="313">
        <f>SUMIF(Recibos!$D$4:$D$7493,Cobranza!$B400,Recibos!AE$4:AE$7493)</f>
        <v>400</v>
      </c>
      <c r="BT400" s="313">
        <f>SUMIF(Recibos!$D$4:$D$7493,Cobranza!$B400,Recibos!AF$4:AF$7493)</f>
        <v>400</v>
      </c>
      <c r="BU400" s="313">
        <f>SUMIF(Recibos!$D$4:$D$7493,Cobranza!$B400,Recibos!AG$4:AG$7493)</f>
        <v>400</v>
      </c>
      <c r="BV400" s="313">
        <f>SUMIF(Recibos!$D$4:$D$7493,Cobranza!$B400,Recibos!AH$4:AH$7493)</f>
        <v>400</v>
      </c>
      <c r="BW400" s="313">
        <f>SUMIF(Recibos!$D$4:$D$7493,Cobranza!$B400,Recibos!AI$4:AI$7493)</f>
        <v>400</v>
      </c>
      <c r="BX400" s="314">
        <f t="shared" si="51"/>
        <v>4800</v>
      </c>
      <c r="BY400" s="313">
        <f>SUMIF(Recibos!$D$4:$D$7493,Cobranza!$B400,Recibos!AK$4:AK$7493)</f>
        <v>400</v>
      </c>
      <c r="BZ400" s="313">
        <f>SUMIF(Recibos!$D$4:$D$7493,Cobranza!$B400,Recibos!AL$4:AL$7493)</f>
        <v>400</v>
      </c>
      <c r="CA400" s="313">
        <f>SUMIF(Recibos!$D$4:$D$7493,Cobranza!$B400,Recibos!AM$4:AM$7493)</f>
        <v>400</v>
      </c>
      <c r="CB400" s="313">
        <f>SUMIF(Recibos!$D$4:$D$7493,Cobranza!$B400,Recibos!AN$4:AN$7493)</f>
        <v>400</v>
      </c>
      <c r="CC400" s="313">
        <f>SUMIF(Recibos!$D$4:$D$7493,Cobranza!$B400,Recibos!AO$4:AO$7493)</f>
        <v>400</v>
      </c>
      <c r="CD400" s="313">
        <f>SUMIF(Recibos!$D$4:$D$7493,Cobranza!$B400,Recibos!AP$4:AP$7493)</f>
        <v>400</v>
      </c>
      <c r="CE400" s="313">
        <f>SUMIF(Recibos!$D$4:$D$7493,Cobranza!$B400,Recibos!AQ$4:AQ$7493)</f>
        <v>400</v>
      </c>
      <c r="CF400" s="313">
        <f>SUMIF(Recibos!$D$4:$D$7493,Cobranza!$B400,Recibos!AR$4:AR$7493)</f>
        <v>400</v>
      </c>
      <c r="CG400" s="313">
        <f>SUMIF(Recibos!$D$4:$D$7493,Cobranza!$B400,Recibos!AS$4:AS$7493)</f>
        <v>400</v>
      </c>
      <c r="CH400" s="313">
        <f>SUMIF(Recibos!$D$4:$D$7493,Cobranza!$B400,Recibos!AT$4:AT$7493)</f>
        <v>400</v>
      </c>
      <c r="CI400" s="313">
        <f>SUMIF(Recibos!$D$4:$D$7493,Cobranza!$B400,Recibos!AU$4:AU$7493)</f>
        <v>0</v>
      </c>
      <c r="CJ400" s="313">
        <f>SUMIF(Recibos!$D$4:$D$7493,Cobranza!$B400,Recibos!AV$4:AV$7493)</f>
        <v>0</v>
      </c>
      <c r="CK400" s="314">
        <f t="shared" si="52"/>
        <v>4000</v>
      </c>
    </row>
    <row r="401" spans="2:89" x14ac:dyDescent="0.2">
      <c r="B401" s="42" t="s">
        <v>343</v>
      </c>
      <c r="C401" s="42" t="s">
        <v>344</v>
      </c>
      <c r="D401" s="42" t="s">
        <v>345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300</v>
      </c>
      <c r="K401" s="44">
        <f t="shared" si="53"/>
        <v>300</v>
      </c>
      <c r="L401" s="43">
        <v>300</v>
      </c>
      <c r="M401" s="43">
        <v>300</v>
      </c>
      <c r="N401" s="43">
        <v>300</v>
      </c>
      <c r="O401" s="43">
        <v>300</v>
      </c>
      <c r="P401" s="43">
        <v>300</v>
      </c>
      <c r="Q401" s="43">
        <v>300</v>
      </c>
      <c r="R401" s="43">
        <v>300</v>
      </c>
      <c r="S401" s="43">
        <v>300</v>
      </c>
      <c r="T401" s="43">
        <v>0</v>
      </c>
      <c r="U401" s="43">
        <v>300</v>
      </c>
      <c r="V401" s="43">
        <v>400</v>
      </c>
      <c r="W401" s="43">
        <v>400</v>
      </c>
      <c r="X401" s="44">
        <f t="shared" si="54"/>
        <v>3500</v>
      </c>
      <c r="Y401" s="43">
        <v>400</v>
      </c>
      <c r="Z401" s="43">
        <v>400</v>
      </c>
      <c r="AA401" s="43">
        <v>400</v>
      </c>
      <c r="AB401" s="43">
        <v>400</v>
      </c>
      <c r="AC401" s="43">
        <v>400</v>
      </c>
      <c r="AD401" s="43">
        <v>400</v>
      </c>
      <c r="AE401" s="43">
        <v>400</v>
      </c>
      <c r="AF401" s="43">
        <v>400</v>
      </c>
      <c r="AG401" s="43">
        <v>400</v>
      </c>
      <c r="AH401" s="43">
        <v>400</v>
      </c>
      <c r="AI401" s="43">
        <v>400</v>
      </c>
      <c r="AJ401" s="43">
        <v>400</v>
      </c>
      <c r="AK401" s="44">
        <f t="shared" si="55"/>
        <v>4800</v>
      </c>
      <c r="AL401" s="43">
        <v>400</v>
      </c>
      <c r="AM401" s="43">
        <v>400</v>
      </c>
      <c r="AN401" s="43">
        <v>400</v>
      </c>
      <c r="AO401" s="43">
        <v>400</v>
      </c>
      <c r="AP401" s="43">
        <v>400</v>
      </c>
      <c r="AQ401" s="43">
        <v>400</v>
      </c>
      <c r="AR401" s="43">
        <v>400</v>
      </c>
      <c r="AS401" s="43">
        <v>400</v>
      </c>
      <c r="AT401" s="43">
        <v>400</v>
      </c>
      <c r="AU401" s="43">
        <v>400</v>
      </c>
      <c r="AV401" s="43">
        <v>400</v>
      </c>
      <c r="AW401" s="43">
        <v>400</v>
      </c>
      <c r="AX401" s="44">
        <f t="shared" si="56"/>
        <v>4800</v>
      </c>
      <c r="AY401" s="311">
        <f>SUMIF(Recibos!$D$4:$D$7493,Cobranza!$B401,Recibos!K$4:K$7493)</f>
        <v>400</v>
      </c>
      <c r="AZ401" s="311">
        <f>SUMIF(Recibos!$D$4:$D$7493,Cobranza!$B401,Recibos!L$4:L$7493)</f>
        <v>400</v>
      </c>
      <c r="BA401" s="311">
        <f>SUMIF(Recibos!$D$4:$D$7493,Cobranza!$B401,Recibos!M$4:M$7493)</f>
        <v>400</v>
      </c>
      <c r="BB401" s="311">
        <f>SUMIF(Recibos!$D$4:$D$7493,Cobranza!$B401,Recibos!N$4:N$7493)</f>
        <v>400</v>
      </c>
      <c r="BC401" s="311">
        <f>SUMIF(Recibos!$D$4:$D$7493,Cobranza!$B401,Recibos!O$4:O$7493)</f>
        <v>400</v>
      </c>
      <c r="BD401" s="311">
        <f>SUMIF(Recibos!$D$4:$D$7493,Cobranza!$B401,Recibos!P$4:P$7493)</f>
        <v>400</v>
      </c>
      <c r="BE401" s="311">
        <f>SUMIF(Recibos!$D$4:$D$7493,Cobranza!$B401,Recibos!Q$4:Q$7493)</f>
        <v>400</v>
      </c>
      <c r="BF401" s="311">
        <f>SUMIF(Recibos!$D$4:$D$7493,Cobranza!$B401,Recibos!R$4:R$7493)</f>
        <v>400</v>
      </c>
      <c r="BG401" s="311">
        <f>SUMIF(Recibos!$D$4:$D$7493,Cobranza!$B401,Recibos!S$4:S$7493)</f>
        <v>400</v>
      </c>
      <c r="BH401" s="311">
        <f>SUMIF(Recibos!$D$4:$D$7493,Cobranza!$B401,Recibos!T$4:T$7493)</f>
        <v>400</v>
      </c>
      <c r="BI401" s="311">
        <f>SUMIF(Recibos!$D$4:$D$7493,Cobranza!$B401,Recibos!U$4:U$7493)</f>
        <v>400</v>
      </c>
      <c r="BJ401" s="311">
        <f>SUMIF(Recibos!$D$4:$D$7493,Cobranza!$B401,Recibos!V$4:V$7493)</f>
        <v>400</v>
      </c>
      <c r="BK401" s="312">
        <f t="shared" si="50"/>
        <v>4800</v>
      </c>
      <c r="BL401" s="311">
        <f>SUMIF(Recibos!$D$4:$D$7493,Cobranza!$B401,Recibos!X$4:X$7493)</f>
        <v>400</v>
      </c>
      <c r="BM401" s="311">
        <f>SUMIF(Recibos!$D$4:$D$7493,Cobranza!$B401,Recibos!Y$4:Y$7493)</f>
        <v>400</v>
      </c>
      <c r="BN401" s="311">
        <f>SUMIF(Recibos!$D$4:$D$7493,Cobranza!$B401,Recibos!Z$4:Z$7493)</f>
        <v>400</v>
      </c>
      <c r="BO401" s="311">
        <f>SUMIF(Recibos!$D$4:$D$7493,Cobranza!$B401,Recibos!AA$4:AA$7493)</f>
        <v>400</v>
      </c>
      <c r="BP401" s="311">
        <f>SUMIF(Recibos!$D$4:$D$7493,Cobranza!$B401,Recibos!AB$4:AB$7493)</f>
        <v>400</v>
      </c>
      <c r="BQ401" s="311">
        <f>SUMIF(Recibos!$D$4:$D$7493,Cobranza!$B401,Recibos!AC$4:AC$7493)</f>
        <v>400</v>
      </c>
      <c r="BR401" s="311">
        <f>SUMIF(Recibos!$D$4:$D$7493,Cobranza!$B401,Recibos!AD$4:AD$7493)</f>
        <v>400</v>
      </c>
      <c r="BS401" s="311">
        <f>SUMIF(Recibos!$D$4:$D$7493,Cobranza!$B401,Recibos!AE$4:AE$7493)</f>
        <v>400</v>
      </c>
      <c r="BT401" s="311">
        <f>SUMIF(Recibos!$D$4:$D$7493,Cobranza!$B401,Recibos!AF$4:AF$7493)</f>
        <v>400</v>
      </c>
      <c r="BU401" s="311">
        <f>SUMIF(Recibos!$D$4:$D$7493,Cobranza!$B401,Recibos!AG$4:AG$7493)</f>
        <v>400</v>
      </c>
      <c r="BV401" s="311">
        <f>SUMIF(Recibos!$D$4:$D$7493,Cobranza!$B401,Recibos!AH$4:AH$7493)</f>
        <v>400</v>
      </c>
      <c r="BW401" s="311">
        <f>SUMIF(Recibos!$D$4:$D$7493,Cobranza!$B401,Recibos!AI$4:AI$7493)</f>
        <v>400</v>
      </c>
      <c r="BX401" s="312">
        <f t="shared" si="51"/>
        <v>4800</v>
      </c>
      <c r="BY401" s="311">
        <f>SUMIF(Recibos!$D$4:$D$7493,Cobranza!$B401,Recibos!AK$4:AK$7493)</f>
        <v>400</v>
      </c>
      <c r="BZ401" s="311">
        <f>SUMIF(Recibos!$D$4:$D$7493,Cobranza!$B401,Recibos!AL$4:AL$7493)</f>
        <v>400</v>
      </c>
      <c r="CA401" s="311">
        <f>SUMIF(Recibos!$D$4:$D$7493,Cobranza!$B401,Recibos!AM$4:AM$7493)</f>
        <v>400</v>
      </c>
      <c r="CB401" s="311">
        <f>SUMIF(Recibos!$D$4:$D$7493,Cobranza!$B401,Recibos!AN$4:AN$7493)</f>
        <v>400</v>
      </c>
      <c r="CC401" s="311">
        <f>SUMIF(Recibos!$D$4:$D$7493,Cobranza!$B401,Recibos!AO$4:AO$7493)</f>
        <v>400</v>
      </c>
      <c r="CD401" s="311">
        <f>SUMIF(Recibos!$D$4:$D$7493,Cobranza!$B401,Recibos!AP$4:AP$7493)</f>
        <v>400</v>
      </c>
      <c r="CE401" s="311">
        <f>SUMIF(Recibos!$D$4:$D$7493,Cobranza!$B401,Recibos!AQ$4:AQ$7493)</f>
        <v>0</v>
      </c>
      <c r="CF401" s="311">
        <f>SUMIF(Recibos!$D$4:$D$7493,Cobranza!$B401,Recibos!AR$4:AR$7493)</f>
        <v>0</v>
      </c>
      <c r="CG401" s="311">
        <f>SUMIF(Recibos!$D$4:$D$7493,Cobranza!$B401,Recibos!AS$4:AS$7493)</f>
        <v>0</v>
      </c>
      <c r="CH401" s="311">
        <f>SUMIF(Recibos!$D$4:$D$7493,Cobranza!$B401,Recibos!AT$4:AT$7493)</f>
        <v>0</v>
      </c>
      <c r="CI401" s="311">
        <f>SUMIF(Recibos!$D$4:$D$7493,Cobranza!$B401,Recibos!AU$4:AU$7493)</f>
        <v>0</v>
      </c>
      <c r="CJ401" s="311">
        <f>SUMIF(Recibos!$D$4:$D$7493,Cobranza!$B401,Recibos!AV$4:AV$7493)</f>
        <v>0</v>
      </c>
      <c r="CK401" s="312">
        <f t="shared" si="52"/>
        <v>2400</v>
      </c>
    </row>
    <row r="402" spans="2:89" x14ac:dyDescent="0.2">
      <c r="B402" s="45" t="s">
        <v>1172</v>
      </c>
      <c r="C402" s="45" t="s">
        <v>1173</v>
      </c>
      <c r="D402" s="45" t="s">
        <v>1147</v>
      </c>
      <c r="E402" s="46">
        <v>0</v>
      </c>
      <c r="F402" s="46">
        <v>0</v>
      </c>
      <c r="G402" s="46">
        <v>0</v>
      </c>
      <c r="H402" s="46">
        <v>0</v>
      </c>
      <c r="I402" s="46">
        <v>0</v>
      </c>
      <c r="J402" s="46">
        <v>0</v>
      </c>
      <c r="K402" s="47">
        <f t="shared" si="53"/>
        <v>0</v>
      </c>
      <c r="L402" s="46">
        <v>0</v>
      </c>
      <c r="M402" s="46">
        <v>0</v>
      </c>
      <c r="N402" s="46">
        <v>0</v>
      </c>
      <c r="O402" s="46">
        <v>0</v>
      </c>
      <c r="P402" s="46">
        <v>0</v>
      </c>
      <c r="Q402" s="46">
        <v>0</v>
      </c>
      <c r="R402" s="46">
        <v>0</v>
      </c>
      <c r="S402" s="46">
        <v>0</v>
      </c>
      <c r="T402" s="46">
        <v>0</v>
      </c>
      <c r="U402" s="46">
        <v>0</v>
      </c>
      <c r="V402" s="46">
        <v>0</v>
      </c>
      <c r="W402" s="46">
        <v>0</v>
      </c>
      <c r="X402" s="47">
        <f t="shared" si="54"/>
        <v>0</v>
      </c>
      <c r="Y402" s="46">
        <v>0</v>
      </c>
      <c r="Z402" s="46">
        <v>0</v>
      </c>
      <c r="AA402" s="46">
        <v>0</v>
      </c>
      <c r="AB402" s="46">
        <v>0</v>
      </c>
      <c r="AC402" s="46">
        <v>0</v>
      </c>
      <c r="AD402" s="46">
        <v>0</v>
      </c>
      <c r="AE402" s="46">
        <v>0</v>
      </c>
      <c r="AF402" s="46">
        <v>0</v>
      </c>
      <c r="AG402" s="46">
        <v>0</v>
      </c>
      <c r="AH402" s="46">
        <v>0</v>
      </c>
      <c r="AI402" s="46">
        <v>0</v>
      </c>
      <c r="AJ402" s="46">
        <v>0</v>
      </c>
      <c r="AK402" s="47">
        <f t="shared" si="55"/>
        <v>0</v>
      </c>
      <c r="AL402" s="46">
        <v>0</v>
      </c>
      <c r="AM402" s="46">
        <v>0</v>
      </c>
      <c r="AN402" s="46">
        <v>0</v>
      </c>
      <c r="AO402" s="46">
        <v>0</v>
      </c>
      <c r="AP402" s="46">
        <v>0</v>
      </c>
      <c r="AQ402" s="46">
        <v>0</v>
      </c>
      <c r="AR402" s="46">
        <v>0</v>
      </c>
      <c r="AS402" s="46">
        <v>0</v>
      </c>
      <c r="AT402" s="46">
        <v>0</v>
      </c>
      <c r="AU402" s="46">
        <v>0</v>
      </c>
      <c r="AV402" s="46">
        <v>0</v>
      </c>
      <c r="AW402" s="46">
        <v>0</v>
      </c>
      <c r="AX402" s="47">
        <f t="shared" si="56"/>
        <v>0</v>
      </c>
      <c r="AY402" s="313">
        <f>SUMIF(Recibos!$D$4:$D$7493,Cobranza!$B402,Recibos!K$4:K$7493)</f>
        <v>0</v>
      </c>
      <c r="AZ402" s="313">
        <f>SUMIF(Recibos!$D$4:$D$7493,Cobranza!$B402,Recibos!L$4:L$7493)</f>
        <v>0</v>
      </c>
      <c r="BA402" s="313">
        <f>SUMIF(Recibos!$D$4:$D$7493,Cobranza!$B402,Recibos!M$4:M$7493)</f>
        <v>0</v>
      </c>
      <c r="BB402" s="313">
        <f>SUMIF(Recibos!$D$4:$D$7493,Cobranza!$B402,Recibos!N$4:N$7493)</f>
        <v>0</v>
      </c>
      <c r="BC402" s="313">
        <f>SUMIF(Recibos!$D$4:$D$7493,Cobranza!$B402,Recibos!O$4:O$7493)</f>
        <v>0</v>
      </c>
      <c r="BD402" s="313">
        <f>SUMIF(Recibos!$D$4:$D$7493,Cobranza!$B402,Recibos!P$4:P$7493)</f>
        <v>0</v>
      </c>
      <c r="BE402" s="313">
        <f>SUMIF(Recibos!$D$4:$D$7493,Cobranza!$B402,Recibos!Q$4:Q$7493)</f>
        <v>0</v>
      </c>
      <c r="BF402" s="313">
        <f>SUMIF(Recibos!$D$4:$D$7493,Cobranza!$B402,Recibos!R$4:R$7493)</f>
        <v>0</v>
      </c>
      <c r="BG402" s="313">
        <f>SUMIF(Recibos!$D$4:$D$7493,Cobranza!$B402,Recibos!S$4:S$7493)</f>
        <v>0</v>
      </c>
      <c r="BH402" s="313">
        <f>SUMIF(Recibos!$D$4:$D$7493,Cobranza!$B402,Recibos!T$4:T$7493)</f>
        <v>0</v>
      </c>
      <c r="BI402" s="313">
        <f>SUMIF(Recibos!$D$4:$D$7493,Cobranza!$B402,Recibos!U$4:U$7493)</f>
        <v>0</v>
      </c>
      <c r="BJ402" s="313">
        <f>SUMIF(Recibos!$D$4:$D$7493,Cobranza!$B402,Recibos!V$4:V$7493)</f>
        <v>0</v>
      </c>
      <c r="BK402" s="314">
        <f t="shared" si="50"/>
        <v>0</v>
      </c>
      <c r="BL402" s="313">
        <f>SUMIF(Recibos!$D$4:$D$7493,Cobranza!$B402,Recibos!X$4:X$7493)</f>
        <v>0</v>
      </c>
      <c r="BM402" s="313">
        <f>SUMIF(Recibos!$D$4:$D$7493,Cobranza!$B402,Recibos!Y$4:Y$7493)</f>
        <v>0</v>
      </c>
      <c r="BN402" s="313">
        <f>SUMIF(Recibos!$D$4:$D$7493,Cobranza!$B402,Recibos!Z$4:Z$7493)</f>
        <v>0</v>
      </c>
      <c r="BO402" s="313">
        <f>SUMIF(Recibos!$D$4:$D$7493,Cobranza!$B402,Recibos!AA$4:AA$7493)</f>
        <v>0</v>
      </c>
      <c r="BP402" s="313">
        <f>SUMIF(Recibos!$D$4:$D$7493,Cobranza!$B402,Recibos!AB$4:AB$7493)</f>
        <v>0</v>
      </c>
      <c r="BQ402" s="313">
        <f>SUMIF(Recibos!$D$4:$D$7493,Cobranza!$B402,Recibos!AC$4:AC$7493)</f>
        <v>0</v>
      </c>
      <c r="BR402" s="313">
        <f>SUMIF(Recibos!$D$4:$D$7493,Cobranza!$B402,Recibos!AD$4:AD$7493)</f>
        <v>0</v>
      </c>
      <c r="BS402" s="313">
        <f>SUMIF(Recibos!$D$4:$D$7493,Cobranza!$B402,Recibos!AE$4:AE$7493)</f>
        <v>0</v>
      </c>
      <c r="BT402" s="313">
        <f>SUMIF(Recibos!$D$4:$D$7493,Cobranza!$B402,Recibos!AF$4:AF$7493)</f>
        <v>0</v>
      </c>
      <c r="BU402" s="313">
        <f>SUMIF(Recibos!$D$4:$D$7493,Cobranza!$B402,Recibos!AG$4:AG$7493)</f>
        <v>0</v>
      </c>
      <c r="BV402" s="313">
        <f>SUMIF(Recibos!$D$4:$D$7493,Cobranza!$B402,Recibos!AH$4:AH$7493)</f>
        <v>0</v>
      </c>
      <c r="BW402" s="313">
        <f>SUMIF(Recibos!$D$4:$D$7493,Cobranza!$B402,Recibos!AI$4:AI$7493)</f>
        <v>0</v>
      </c>
      <c r="BX402" s="314">
        <f t="shared" si="51"/>
        <v>0</v>
      </c>
      <c r="BY402" s="313">
        <f>SUMIF(Recibos!$D$4:$D$7493,Cobranza!$B402,Recibos!AK$4:AK$7493)</f>
        <v>0</v>
      </c>
      <c r="BZ402" s="313">
        <f>SUMIF(Recibos!$D$4:$D$7493,Cobranza!$B402,Recibos!AL$4:AL$7493)</f>
        <v>0</v>
      </c>
      <c r="CA402" s="313">
        <f>SUMIF(Recibos!$D$4:$D$7493,Cobranza!$B402,Recibos!AM$4:AM$7493)</f>
        <v>0</v>
      </c>
      <c r="CB402" s="313">
        <f>SUMIF(Recibos!$D$4:$D$7493,Cobranza!$B402,Recibos!AN$4:AN$7493)</f>
        <v>0</v>
      </c>
      <c r="CC402" s="313">
        <f>SUMIF(Recibos!$D$4:$D$7493,Cobranza!$B402,Recibos!AO$4:AO$7493)</f>
        <v>0</v>
      </c>
      <c r="CD402" s="313">
        <f>SUMIF(Recibos!$D$4:$D$7493,Cobranza!$B402,Recibos!AP$4:AP$7493)</f>
        <v>0</v>
      </c>
      <c r="CE402" s="313">
        <f>SUMIF(Recibos!$D$4:$D$7493,Cobranza!$B402,Recibos!AQ$4:AQ$7493)</f>
        <v>0</v>
      </c>
      <c r="CF402" s="313">
        <f>SUMIF(Recibos!$D$4:$D$7493,Cobranza!$B402,Recibos!AR$4:AR$7493)</f>
        <v>0</v>
      </c>
      <c r="CG402" s="313">
        <f>SUMIF(Recibos!$D$4:$D$7493,Cobranza!$B402,Recibos!AS$4:AS$7493)</f>
        <v>0</v>
      </c>
      <c r="CH402" s="313">
        <f>SUMIF(Recibos!$D$4:$D$7493,Cobranza!$B402,Recibos!AT$4:AT$7493)</f>
        <v>0</v>
      </c>
      <c r="CI402" s="313">
        <f>SUMIF(Recibos!$D$4:$D$7493,Cobranza!$B402,Recibos!AU$4:AU$7493)</f>
        <v>0</v>
      </c>
      <c r="CJ402" s="313">
        <f>SUMIF(Recibos!$D$4:$D$7493,Cobranza!$B402,Recibos!AV$4:AV$7493)</f>
        <v>0</v>
      </c>
      <c r="CK402" s="314">
        <f t="shared" si="52"/>
        <v>0</v>
      </c>
    </row>
    <row r="403" spans="2:89" x14ac:dyDescent="0.2">
      <c r="B403" s="42" t="s">
        <v>643</v>
      </c>
      <c r="C403" s="42" t="s">
        <v>644</v>
      </c>
      <c r="D403" s="42" t="s">
        <v>645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4">
        <f t="shared" si="53"/>
        <v>0</v>
      </c>
      <c r="L403" s="43">
        <v>150</v>
      </c>
      <c r="M403" s="43">
        <v>150</v>
      </c>
      <c r="N403" s="43">
        <v>150</v>
      </c>
      <c r="O403" s="43">
        <v>150</v>
      </c>
      <c r="P403" s="43">
        <v>150</v>
      </c>
      <c r="Q403" s="43">
        <v>150</v>
      </c>
      <c r="R403" s="43">
        <v>150</v>
      </c>
      <c r="S403" s="43">
        <v>150</v>
      </c>
      <c r="T403" s="43">
        <v>150</v>
      </c>
      <c r="U403" s="43">
        <v>150</v>
      </c>
      <c r="V403" s="43">
        <v>200</v>
      </c>
      <c r="W403" s="43">
        <v>200</v>
      </c>
      <c r="X403" s="44">
        <f t="shared" si="54"/>
        <v>1900</v>
      </c>
      <c r="Y403" s="43">
        <v>200</v>
      </c>
      <c r="Z403" s="43">
        <v>200</v>
      </c>
      <c r="AA403" s="43">
        <v>200</v>
      </c>
      <c r="AB403" s="43">
        <v>200</v>
      </c>
      <c r="AC403" s="43">
        <v>200</v>
      </c>
      <c r="AD403" s="43">
        <v>200</v>
      </c>
      <c r="AE403" s="43">
        <v>200</v>
      </c>
      <c r="AF403" s="43">
        <v>200</v>
      </c>
      <c r="AG403" s="43">
        <v>200</v>
      </c>
      <c r="AH403" s="43">
        <v>200</v>
      </c>
      <c r="AI403" s="43">
        <v>200</v>
      </c>
      <c r="AJ403" s="43">
        <v>200</v>
      </c>
      <c r="AK403" s="44">
        <f t="shared" si="55"/>
        <v>2400</v>
      </c>
      <c r="AL403" s="43">
        <v>200</v>
      </c>
      <c r="AM403" s="43">
        <v>200</v>
      </c>
      <c r="AN403" s="43">
        <v>200</v>
      </c>
      <c r="AO403" s="43">
        <v>200</v>
      </c>
      <c r="AP403" s="43">
        <v>200</v>
      </c>
      <c r="AQ403" s="43">
        <v>200</v>
      </c>
      <c r="AR403" s="43">
        <v>200</v>
      </c>
      <c r="AS403" s="43">
        <v>200</v>
      </c>
      <c r="AT403" s="43">
        <v>200</v>
      </c>
      <c r="AU403" s="43">
        <v>200</v>
      </c>
      <c r="AV403" s="43">
        <v>200</v>
      </c>
      <c r="AW403" s="43">
        <v>200</v>
      </c>
      <c r="AX403" s="44">
        <f t="shared" si="56"/>
        <v>2400</v>
      </c>
      <c r="AY403" s="311">
        <f>SUMIF(Recibos!$D$4:$D$7493,Cobranza!$B403,Recibos!K$4:K$7493)</f>
        <v>200</v>
      </c>
      <c r="AZ403" s="311">
        <f>SUMIF(Recibos!$D$4:$D$7493,Cobranza!$B403,Recibos!L$4:L$7493)</f>
        <v>200</v>
      </c>
      <c r="BA403" s="311">
        <f>SUMIF(Recibos!$D$4:$D$7493,Cobranza!$B403,Recibos!M$4:M$7493)</f>
        <v>200</v>
      </c>
      <c r="BB403" s="311">
        <f>SUMIF(Recibos!$D$4:$D$7493,Cobranza!$B403,Recibos!N$4:N$7493)</f>
        <v>200</v>
      </c>
      <c r="BC403" s="311">
        <f>SUMIF(Recibos!$D$4:$D$7493,Cobranza!$B403,Recibos!O$4:O$7493)</f>
        <v>200</v>
      </c>
      <c r="BD403" s="311">
        <f>SUMIF(Recibos!$D$4:$D$7493,Cobranza!$B403,Recibos!P$4:P$7493)</f>
        <v>200</v>
      </c>
      <c r="BE403" s="311">
        <f>SUMIF(Recibos!$D$4:$D$7493,Cobranza!$B403,Recibos!Q$4:Q$7493)</f>
        <v>200</v>
      </c>
      <c r="BF403" s="311">
        <f>SUMIF(Recibos!$D$4:$D$7493,Cobranza!$B403,Recibos!R$4:R$7493)</f>
        <v>200</v>
      </c>
      <c r="BG403" s="311">
        <f>SUMIF(Recibos!$D$4:$D$7493,Cobranza!$B403,Recibos!S$4:S$7493)</f>
        <v>200</v>
      </c>
      <c r="BH403" s="311">
        <f>SUMIF(Recibos!$D$4:$D$7493,Cobranza!$B403,Recibos!T$4:T$7493)</f>
        <v>200</v>
      </c>
      <c r="BI403" s="311">
        <f>SUMIF(Recibos!$D$4:$D$7493,Cobranza!$B403,Recibos!U$4:U$7493)</f>
        <v>200</v>
      </c>
      <c r="BJ403" s="311">
        <f>SUMIF(Recibos!$D$4:$D$7493,Cobranza!$B403,Recibos!V$4:V$7493)</f>
        <v>200</v>
      </c>
      <c r="BK403" s="312">
        <f t="shared" si="50"/>
        <v>2400</v>
      </c>
      <c r="BL403" s="311">
        <f>SUMIF(Recibos!$D$4:$D$7493,Cobranza!$B403,Recibos!X$4:X$7493)</f>
        <v>200</v>
      </c>
      <c r="BM403" s="311">
        <f>SUMIF(Recibos!$D$4:$D$7493,Cobranza!$B403,Recibos!Y$4:Y$7493)</f>
        <v>200</v>
      </c>
      <c r="BN403" s="311">
        <f>SUMIF(Recibos!$D$4:$D$7493,Cobranza!$B403,Recibos!Z$4:Z$7493)</f>
        <v>200</v>
      </c>
      <c r="BO403" s="311">
        <f>SUMIF(Recibos!$D$4:$D$7493,Cobranza!$B403,Recibos!AA$4:AA$7493)</f>
        <v>200</v>
      </c>
      <c r="BP403" s="311">
        <f>SUMIF(Recibos!$D$4:$D$7493,Cobranza!$B403,Recibos!AB$4:AB$7493)</f>
        <v>200</v>
      </c>
      <c r="BQ403" s="311">
        <f>SUMIF(Recibos!$D$4:$D$7493,Cobranza!$B403,Recibos!AC$4:AC$7493)</f>
        <v>200</v>
      </c>
      <c r="BR403" s="311">
        <f>SUMIF(Recibos!$D$4:$D$7493,Cobranza!$B403,Recibos!AD$4:AD$7493)</f>
        <v>200</v>
      </c>
      <c r="BS403" s="311">
        <f>SUMIF(Recibos!$D$4:$D$7493,Cobranza!$B403,Recibos!AE$4:AE$7493)</f>
        <v>200</v>
      </c>
      <c r="BT403" s="311">
        <f>SUMIF(Recibos!$D$4:$D$7493,Cobranza!$B403,Recibos!AF$4:AF$7493)</f>
        <v>200</v>
      </c>
      <c r="BU403" s="311">
        <f>SUMIF(Recibos!$D$4:$D$7493,Cobranza!$B403,Recibos!AG$4:AG$7493)</f>
        <v>200</v>
      </c>
      <c r="BV403" s="311">
        <f>SUMIF(Recibos!$D$4:$D$7493,Cobranza!$B403,Recibos!AH$4:AH$7493)</f>
        <v>200</v>
      </c>
      <c r="BW403" s="311">
        <f>SUMIF(Recibos!$D$4:$D$7493,Cobranza!$B403,Recibos!AI$4:AI$7493)</f>
        <v>200</v>
      </c>
      <c r="BX403" s="312">
        <f t="shared" si="51"/>
        <v>2400</v>
      </c>
      <c r="BY403" s="311">
        <f>SUMIF(Recibos!$D$4:$D$7493,Cobranza!$B403,Recibos!AK$4:AK$7493)</f>
        <v>200</v>
      </c>
      <c r="BZ403" s="311">
        <f>SUMIF(Recibos!$D$4:$D$7493,Cobranza!$B403,Recibos!AL$4:AL$7493)</f>
        <v>200</v>
      </c>
      <c r="CA403" s="311">
        <f>SUMIF(Recibos!$D$4:$D$7493,Cobranza!$B403,Recibos!AM$4:AM$7493)</f>
        <v>200</v>
      </c>
      <c r="CB403" s="311">
        <f>SUMIF(Recibos!$D$4:$D$7493,Cobranza!$B403,Recibos!AN$4:AN$7493)</f>
        <v>200</v>
      </c>
      <c r="CC403" s="311">
        <f>SUMIF(Recibos!$D$4:$D$7493,Cobranza!$B403,Recibos!AO$4:AO$7493)</f>
        <v>200</v>
      </c>
      <c r="CD403" s="311">
        <f>SUMIF(Recibos!$D$4:$D$7493,Cobranza!$B403,Recibos!AP$4:AP$7493)</f>
        <v>200</v>
      </c>
      <c r="CE403" s="311">
        <f>SUMIF(Recibos!$D$4:$D$7493,Cobranza!$B403,Recibos!AQ$4:AQ$7493)</f>
        <v>0</v>
      </c>
      <c r="CF403" s="311">
        <f>SUMIF(Recibos!$D$4:$D$7493,Cobranza!$B403,Recibos!AR$4:AR$7493)</f>
        <v>0</v>
      </c>
      <c r="CG403" s="311">
        <f>SUMIF(Recibos!$D$4:$D$7493,Cobranza!$B403,Recibos!AS$4:AS$7493)</f>
        <v>0</v>
      </c>
      <c r="CH403" s="311">
        <f>SUMIF(Recibos!$D$4:$D$7493,Cobranza!$B403,Recibos!AT$4:AT$7493)</f>
        <v>0</v>
      </c>
      <c r="CI403" s="311">
        <f>SUMIF(Recibos!$D$4:$D$7493,Cobranza!$B403,Recibos!AU$4:AU$7493)</f>
        <v>0</v>
      </c>
      <c r="CJ403" s="311">
        <f>SUMIF(Recibos!$D$4:$D$7493,Cobranza!$B403,Recibos!AV$4:AV$7493)</f>
        <v>0</v>
      </c>
      <c r="CK403" s="312">
        <f t="shared" si="52"/>
        <v>1200</v>
      </c>
    </row>
    <row r="404" spans="2:89" x14ac:dyDescent="0.2">
      <c r="B404" s="45" t="s">
        <v>1438</v>
      </c>
      <c r="C404" s="45" t="s">
        <v>1439</v>
      </c>
      <c r="D404" s="45" t="s">
        <v>1440</v>
      </c>
      <c r="E404" s="46">
        <v>0</v>
      </c>
      <c r="F404" s="46">
        <v>0</v>
      </c>
      <c r="G404" s="46">
        <v>0</v>
      </c>
      <c r="H404" s="46">
        <v>0</v>
      </c>
      <c r="I404" s="46">
        <v>0</v>
      </c>
      <c r="J404" s="46">
        <v>0</v>
      </c>
      <c r="K404" s="47">
        <f t="shared" si="53"/>
        <v>0</v>
      </c>
      <c r="L404" s="46">
        <v>0</v>
      </c>
      <c r="M404" s="46">
        <v>0</v>
      </c>
      <c r="N404" s="46">
        <v>0</v>
      </c>
      <c r="O404" s="46">
        <v>0</v>
      </c>
      <c r="P404" s="46">
        <v>0</v>
      </c>
      <c r="Q404" s="46">
        <v>0</v>
      </c>
      <c r="R404" s="46">
        <v>0</v>
      </c>
      <c r="S404" s="46">
        <v>0</v>
      </c>
      <c r="T404" s="46">
        <v>0</v>
      </c>
      <c r="U404" s="46">
        <v>0</v>
      </c>
      <c r="V404" s="46">
        <v>0</v>
      </c>
      <c r="W404" s="46">
        <v>0</v>
      </c>
      <c r="X404" s="47">
        <f t="shared" si="54"/>
        <v>0</v>
      </c>
      <c r="Y404" s="46">
        <v>400</v>
      </c>
      <c r="Z404" s="46">
        <v>400</v>
      </c>
      <c r="AA404" s="46">
        <v>0</v>
      </c>
      <c r="AB404" s="46">
        <v>0</v>
      </c>
      <c r="AC404" s="46">
        <v>0</v>
      </c>
      <c r="AD404" s="46">
        <v>0</v>
      </c>
      <c r="AE404" s="46">
        <v>0</v>
      </c>
      <c r="AF404" s="46">
        <v>0</v>
      </c>
      <c r="AG404" s="46">
        <v>0</v>
      </c>
      <c r="AH404" s="46">
        <v>0</v>
      </c>
      <c r="AI404" s="46">
        <v>0</v>
      </c>
      <c r="AJ404" s="46">
        <v>0</v>
      </c>
      <c r="AK404" s="47">
        <f t="shared" si="55"/>
        <v>800</v>
      </c>
      <c r="AL404" s="46">
        <v>0</v>
      </c>
      <c r="AM404" s="46">
        <v>0</v>
      </c>
      <c r="AN404" s="46">
        <v>0</v>
      </c>
      <c r="AO404" s="46">
        <v>0</v>
      </c>
      <c r="AP404" s="46">
        <v>0</v>
      </c>
      <c r="AQ404" s="46">
        <v>0</v>
      </c>
      <c r="AR404" s="46">
        <v>0</v>
      </c>
      <c r="AS404" s="46">
        <v>400</v>
      </c>
      <c r="AT404" s="46">
        <v>400</v>
      </c>
      <c r="AU404" s="46">
        <v>400</v>
      </c>
      <c r="AV404" s="46">
        <v>400</v>
      </c>
      <c r="AW404" s="46">
        <v>0</v>
      </c>
      <c r="AX404" s="47">
        <f t="shared" si="56"/>
        <v>1600</v>
      </c>
      <c r="AY404" s="313">
        <f>SUMIF(Recibos!$D$4:$D$7493,Cobranza!$B404,Recibos!K$4:K$7493)</f>
        <v>0</v>
      </c>
      <c r="AZ404" s="313">
        <f>SUMIF(Recibos!$D$4:$D$7493,Cobranza!$B404,Recibos!L$4:L$7493)</f>
        <v>0</v>
      </c>
      <c r="BA404" s="313">
        <f>SUMIF(Recibos!$D$4:$D$7493,Cobranza!$B404,Recibos!M$4:M$7493)</f>
        <v>0</v>
      </c>
      <c r="BB404" s="313">
        <f>SUMIF(Recibos!$D$4:$D$7493,Cobranza!$B404,Recibos!N$4:N$7493)</f>
        <v>0</v>
      </c>
      <c r="BC404" s="313">
        <f>SUMIF(Recibos!$D$4:$D$7493,Cobranza!$B404,Recibos!O$4:O$7493)</f>
        <v>0</v>
      </c>
      <c r="BD404" s="313">
        <f>SUMIF(Recibos!$D$4:$D$7493,Cobranza!$B404,Recibos!P$4:P$7493)</f>
        <v>0</v>
      </c>
      <c r="BE404" s="313">
        <f>SUMIF(Recibos!$D$4:$D$7493,Cobranza!$B404,Recibos!Q$4:Q$7493)</f>
        <v>0</v>
      </c>
      <c r="BF404" s="313">
        <f>SUMIF(Recibos!$D$4:$D$7493,Cobranza!$B404,Recibos!R$4:R$7493)</f>
        <v>0</v>
      </c>
      <c r="BG404" s="313">
        <f>SUMIF(Recibos!$D$4:$D$7493,Cobranza!$B404,Recibos!S$4:S$7493)</f>
        <v>0</v>
      </c>
      <c r="BH404" s="313">
        <f>SUMIF(Recibos!$D$4:$D$7493,Cobranza!$B404,Recibos!T$4:T$7493)</f>
        <v>0</v>
      </c>
      <c r="BI404" s="313">
        <f>SUMIF(Recibos!$D$4:$D$7493,Cobranza!$B404,Recibos!U$4:U$7493)</f>
        <v>0</v>
      </c>
      <c r="BJ404" s="313">
        <f>SUMIF(Recibos!$D$4:$D$7493,Cobranza!$B404,Recibos!V$4:V$7493)</f>
        <v>0</v>
      </c>
      <c r="BK404" s="314">
        <f t="shared" si="50"/>
        <v>0</v>
      </c>
      <c r="BL404" s="313">
        <f>SUMIF(Recibos!$D$4:$D$7493,Cobranza!$B404,Recibos!X$4:X$7493)</f>
        <v>0</v>
      </c>
      <c r="BM404" s="313">
        <f>SUMIF(Recibos!$D$4:$D$7493,Cobranza!$B404,Recibos!Y$4:Y$7493)</f>
        <v>0</v>
      </c>
      <c r="BN404" s="313">
        <f>SUMIF(Recibos!$D$4:$D$7493,Cobranza!$B404,Recibos!Z$4:Z$7493)</f>
        <v>0</v>
      </c>
      <c r="BO404" s="313">
        <f>SUMIF(Recibos!$D$4:$D$7493,Cobranza!$B404,Recibos!AA$4:AA$7493)</f>
        <v>0</v>
      </c>
      <c r="BP404" s="313">
        <f>SUMIF(Recibos!$D$4:$D$7493,Cobranza!$B404,Recibos!AB$4:AB$7493)</f>
        <v>0</v>
      </c>
      <c r="BQ404" s="313">
        <f>SUMIF(Recibos!$D$4:$D$7493,Cobranza!$B404,Recibos!AC$4:AC$7493)</f>
        <v>0</v>
      </c>
      <c r="BR404" s="313">
        <f>SUMIF(Recibos!$D$4:$D$7493,Cobranza!$B404,Recibos!AD$4:AD$7493)</f>
        <v>0</v>
      </c>
      <c r="BS404" s="313">
        <f>SUMIF(Recibos!$D$4:$D$7493,Cobranza!$B404,Recibos!AE$4:AE$7493)</f>
        <v>0</v>
      </c>
      <c r="BT404" s="313">
        <f>SUMIF(Recibos!$D$4:$D$7493,Cobranza!$B404,Recibos!AF$4:AF$7493)</f>
        <v>0</v>
      </c>
      <c r="BU404" s="313">
        <f>SUMIF(Recibos!$D$4:$D$7493,Cobranza!$B404,Recibos!AG$4:AG$7493)</f>
        <v>0</v>
      </c>
      <c r="BV404" s="313">
        <f>SUMIF(Recibos!$D$4:$D$7493,Cobranza!$B404,Recibos!AH$4:AH$7493)</f>
        <v>0</v>
      </c>
      <c r="BW404" s="313">
        <f>SUMIF(Recibos!$D$4:$D$7493,Cobranza!$B404,Recibos!AI$4:AI$7493)</f>
        <v>0</v>
      </c>
      <c r="BX404" s="314">
        <f t="shared" si="51"/>
        <v>0</v>
      </c>
      <c r="BY404" s="313">
        <f>SUMIF(Recibos!$D$4:$D$7493,Cobranza!$B404,Recibos!AK$4:AK$7493)</f>
        <v>0</v>
      </c>
      <c r="BZ404" s="313">
        <f>SUMIF(Recibos!$D$4:$D$7493,Cobranza!$B404,Recibos!AL$4:AL$7493)</f>
        <v>0</v>
      </c>
      <c r="CA404" s="313">
        <f>SUMIF(Recibos!$D$4:$D$7493,Cobranza!$B404,Recibos!AM$4:AM$7493)</f>
        <v>0</v>
      </c>
      <c r="CB404" s="313">
        <f>SUMIF(Recibos!$D$4:$D$7493,Cobranza!$B404,Recibos!AN$4:AN$7493)</f>
        <v>0</v>
      </c>
      <c r="CC404" s="313">
        <f>SUMIF(Recibos!$D$4:$D$7493,Cobranza!$B404,Recibos!AO$4:AO$7493)</f>
        <v>0</v>
      </c>
      <c r="CD404" s="313">
        <f>SUMIF(Recibos!$D$4:$D$7493,Cobranza!$B404,Recibos!AP$4:AP$7493)</f>
        <v>0</v>
      </c>
      <c r="CE404" s="313">
        <f>SUMIF(Recibos!$D$4:$D$7493,Cobranza!$B404,Recibos!AQ$4:AQ$7493)</f>
        <v>0</v>
      </c>
      <c r="CF404" s="313">
        <f>SUMIF(Recibos!$D$4:$D$7493,Cobranza!$B404,Recibos!AR$4:AR$7493)</f>
        <v>0</v>
      </c>
      <c r="CG404" s="313">
        <f>SUMIF(Recibos!$D$4:$D$7493,Cobranza!$B404,Recibos!AS$4:AS$7493)</f>
        <v>0</v>
      </c>
      <c r="CH404" s="313">
        <f>SUMIF(Recibos!$D$4:$D$7493,Cobranza!$B404,Recibos!AT$4:AT$7493)</f>
        <v>0</v>
      </c>
      <c r="CI404" s="313">
        <f>SUMIF(Recibos!$D$4:$D$7493,Cobranza!$B404,Recibos!AU$4:AU$7493)</f>
        <v>0</v>
      </c>
      <c r="CJ404" s="313">
        <f>SUMIF(Recibos!$D$4:$D$7493,Cobranza!$B404,Recibos!AV$4:AV$7493)</f>
        <v>0</v>
      </c>
      <c r="CK404" s="314">
        <f t="shared" si="52"/>
        <v>0</v>
      </c>
    </row>
    <row r="405" spans="2:89" x14ac:dyDescent="0.2">
      <c r="B405" s="42" t="s">
        <v>1441</v>
      </c>
      <c r="C405" s="42" t="s">
        <v>1442</v>
      </c>
      <c r="D405" s="42" t="s">
        <v>1443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4">
        <f t="shared" si="53"/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  <c r="V405" s="43">
        <v>0</v>
      </c>
      <c r="W405" s="43">
        <v>0</v>
      </c>
      <c r="X405" s="44">
        <f t="shared" si="54"/>
        <v>0</v>
      </c>
      <c r="Y405" s="43">
        <v>0</v>
      </c>
      <c r="Z405" s="43">
        <v>0</v>
      </c>
      <c r="AA405" s="43">
        <v>0</v>
      </c>
      <c r="AB405" s="43">
        <v>0</v>
      </c>
      <c r="AC405" s="43">
        <v>0</v>
      </c>
      <c r="AD405" s="43">
        <v>0</v>
      </c>
      <c r="AE405" s="43">
        <v>0</v>
      </c>
      <c r="AF405" s="43">
        <v>0</v>
      </c>
      <c r="AG405" s="43">
        <v>0</v>
      </c>
      <c r="AH405" s="43">
        <v>0</v>
      </c>
      <c r="AI405" s="43">
        <v>0</v>
      </c>
      <c r="AJ405" s="43">
        <v>0</v>
      </c>
      <c r="AK405" s="44">
        <f t="shared" si="55"/>
        <v>0</v>
      </c>
      <c r="AL405" s="43">
        <v>0</v>
      </c>
      <c r="AM405" s="43">
        <v>0</v>
      </c>
      <c r="AN405" s="43">
        <v>0</v>
      </c>
      <c r="AO405" s="43">
        <v>0</v>
      </c>
      <c r="AP405" s="43">
        <v>0</v>
      </c>
      <c r="AQ405" s="43">
        <v>400</v>
      </c>
      <c r="AR405" s="43">
        <v>400</v>
      </c>
      <c r="AS405" s="43">
        <v>400</v>
      </c>
      <c r="AT405" s="43">
        <v>400</v>
      </c>
      <c r="AU405" s="43">
        <v>400</v>
      </c>
      <c r="AV405" s="43">
        <v>400</v>
      </c>
      <c r="AW405" s="43">
        <v>400</v>
      </c>
      <c r="AX405" s="44">
        <f t="shared" si="56"/>
        <v>2800</v>
      </c>
      <c r="AY405" s="311">
        <f>SUMIF(Recibos!$D$4:$D$7493,Cobranza!$B405,Recibos!K$4:K$7493)</f>
        <v>0</v>
      </c>
      <c r="AZ405" s="311">
        <f>SUMIF(Recibos!$D$4:$D$7493,Cobranza!$B405,Recibos!L$4:L$7493)</f>
        <v>0</v>
      </c>
      <c r="BA405" s="311">
        <f>SUMIF(Recibos!$D$4:$D$7493,Cobranza!$B405,Recibos!M$4:M$7493)</f>
        <v>0</v>
      </c>
      <c r="BB405" s="311">
        <f>SUMIF(Recibos!$D$4:$D$7493,Cobranza!$B405,Recibos!N$4:N$7493)</f>
        <v>0</v>
      </c>
      <c r="BC405" s="311">
        <f>SUMIF(Recibos!$D$4:$D$7493,Cobranza!$B405,Recibos!O$4:O$7493)</f>
        <v>0</v>
      </c>
      <c r="BD405" s="311">
        <f>SUMIF(Recibos!$D$4:$D$7493,Cobranza!$B405,Recibos!P$4:P$7493)</f>
        <v>0</v>
      </c>
      <c r="BE405" s="311">
        <f>SUMIF(Recibos!$D$4:$D$7493,Cobranza!$B405,Recibos!Q$4:Q$7493)</f>
        <v>0</v>
      </c>
      <c r="BF405" s="311">
        <f>SUMIF(Recibos!$D$4:$D$7493,Cobranza!$B405,Recibos!R$4:R$7493)</f>
        <v>0</v>
      </c>
      <c r="BG405" s="311">
        <f>SUMIF(Recibos!$D$4:$D$7493,Cobranza!$B405,Recibos!S$4:S$7493)</f>
        <v>0</v>
      </c>
      <c r="BH405" s="311">
        <f>SUMIF(Recibos!$D$4:$D$7493,Cobranza!$B405,Recibos!T$4:T$7493)</f>
        <v>0</v>
      </c>
      <c r="BI405" s="311">
        <f>SUMIF(Recibos!$D$4:$D$7493,Cobranza!$B405,Recibos!U$4:U$7493)</f>
        <v>400</v>
      </c>
      <c r="BJ405" s="311">
        <f>SUMIF(Recibos!$D$4:$D$7493,Cobranza!$B405,Recibos!V$4:V$7493)</f>
        <v>400</v>
      </c>
      <c r="BK405" s="312">
        <f t="shared" ref="BK405:BK469" si="57">SUM(AY405:BJ405)</f>
        <v>800</v>
      </c>
      <c r="BL405" s="311">
        <f>SUMIF(Recibos!$D$4:$D$7493,Cobranza!$B405,Recibos!X$4:X$7493)</f>
        <v>300</v>
      </c>
      <c r="BM405" s="311">
        <f>SUMIF(Recibos!$D$4:$D$7493,Cobranza!$B405,Recibos!Y$4:Y$7493)</f>
        <v>300</v>
      </c>
      <c r="BN405" s="311">
        <f>SUMIF(Recibos!$D$4:$D$7493,Cobranza!$B405,Recibos!Z$4:Z$7493)</f>
        <v>300</v>
      </c>
      <c r="BO405" s="311">
        <f>SUMIF(Recibos!$D$4:$D$7493,Cobranza!$B405,Recibos!AA$4:AA$7493)</f>
        <v>300</v>
      </c>
      <c r="BP405" s="311">
        <f>SUMIF(Recibos!$D$4:$D$7493,Cobranza!$B405,Recibos!AB$4:AB$7493)</f>
        <v>300</v>
      </c>
      <c r="BQ405" s="311">
        <f>SUMIF(Recibos!$D$4:$D$7493,Cobranza!$B405,Recibos!AC$4:AC$7493)</f>
        <v>300</v>
      </c>
      <c r="BR405" s="311">
        <f>SUMIF(Recibos!$D$4:$D$7493,Cobranza!$B405,Recibos!AD$4:AD$7493)</f>
        <v>300</v>
      </c>
      <c r="BS405" s="311">
        <f>SUMIF(Recibos!$D$4:$D$7493,Cobranza!$B405,Recibos!AE$4:AE$7493)</f>
        <v>300</v>
      </c>
      <c r="BT405" s="311">
        <f>SUMIF(Recibos!$D$4:$D$7493,Cobranza!$B405,Recibos!AF$4:AF$7493)</f>
        <v>300</v>
      </c>
      <c r="BU405" s="311">
        <f>SUMIF(Recibos!$D$4:$D$7493,Cobranza!$B405,Recibos!AG$4:AG$7493)</f>
        <v>300</v>
      </c>
      <c r="BV405" s="311">
        <f>SUMIF(Recibos!$D$4:$D$7493,Cobranza!$B405,Recibos!AH$4:AH$7493)</f>
        <v>300</v>
      </c>
      <c r="BW405" s="311">
        <f>SUMIF(Recibos!$D$4:$D$7493,Cobranza!$B405,Recibos!AI$4:AI$7493)</f>
        <v>0</v>
      </c>
      <c r="BX405" s="312">
        <f t="shared" ref="BX405:BX469" si="58">SUM(BL405:BW405)</f>
        <v>3300</v>
      </c>
      <c r="BY405" s="311">
        <f>SUMIF(Recibos!$D$4:$D$7493,Cobranza!$B405,Recibos!AK$4:AK$7493)</f>
        <v>300</v>
      </c>
      <c r="BZ405" s="311">
        <f>SUMIF(Recibos!$D$4:$D$7493,Cobranza!$B405,Recibos!AL$4:AL$7493)</f>
        <v>300</v>
      </c>
      <c r="CA405" s="311">
        <f>SUMIF(Recibos!$D$4:$D$7493,Cobranza!$B405,Recibos!AM$4:AM$7493)</f>
        <v>300</v>
      </c>
      <c r="CB405" s="311">
        <f>SUMIF(Recibos!$D$4:$D$7493,Cobranza!$B405,Recibos!AN$4:AN$7493)</f>
        <v>300</v>
      </c>
      <c r="CC405" s="311">
        <f>SUMIF(Recibos!$D$4:$D$7493,Cobranza!$B405,Recibos!AO$4:AO$7493)</f>
        <v>300</v>
      </c>
      <c r="CD405" s="311">
        <f>SUMIF(Recibos!$D$4:$D$7493,Cobranza!$B405,Recibos!AP$4:AP$7493)</f>
        <v>300</v>
      </c>
      <c r="CE405" s="311">
        <f>SUMIF(Recibos!$D$4:$D$7493,Cobranza!$B405,Recibos!AQ$4:AQ$7493)</f>
        <v>300</v>
      </c>
      <c r="CF405" s="311">
        <f>SUMIF(Recibos!$D$4:$D$7493,Cobranza!$B405,Recibos!AR$4:AR$7493)</f>
        <v>300</v>
      </c>
      <c r="CG405" s="311">
        <f>SUMIF(Recibos!$D$4:$D$7493,Cobranza!$B405,Recibos!AS$4:AS$7493)</f>
        <v>300</v>
      </c>
      <c r="CH405" s="311">
        <f>SUMIF(Recibos!$D$4:$D$7493,Cobranza!$B405,Recibos!AT$4:AT$7493)</f>
        <v>300</v>
      </c>
      <c r="CI405" s="311">
        <f>SUMIF(Recibos!$D$4:$D$7493,Cobranza!$B405,Recibos!AU$4:AU$7493)</f>
        <v>300</v>
      </c>
      <c r="CJ405" s="311">
        <f>SUMIF(Recibos!$D$4:$D$7493,Cobranza!$B405,Recibos!AV$4:AV$7493)</f>
        <v>0</v>
      </c>
      <c r="CK405" s="312">
        <f t="shared" si="52"/>
        <v>3300</v>
      </c>
    </row>
    <row r="406" spans="2:89" x14ac:dyDescent="0.2">
      <c r="B406" s="45" t="s">
        <v>461</v>
      </c>
      <c r="C406" s="45" t="s">
        <v>462</v>
      </c>
      <c r="D406" s="45" t="s">
        <v>463</v>
      </c>
      <c r="E406" s="46">
        <v>0</v>
      </c>
      <c r="F406" s="46">
        <v>0</v>
      </c>
      <c r="G406" s="46">
        <v>0</v>
      </c>
      <c r="H406" s="46">
        <v>0</v>
      </c>
      <c r="I406" s="46">
        <v>0</v>
      </c>
      <c r="J406" s="46">
        <v>300</v>
      </c>
      <c r="K406" s="47">
        <f t="shared" si="53"/>
        <v>300</v>
      </c>
      <c r="L406" s="46">
        <v>300</v>
      </c>
      <c r="M406" s="46">
        <v>300</v>
      </c>
      <c r="N406" s="46">
        <v>300</v>
      </c>
      <c r="O406" s="46">
        <v>300</v>
      </c>
      <c r="P406" s="46">
        <v>300</v>
      </c>
      <c r="Q406" s="46">
        <v>300</v>
      </c>
      <c r="R406" s="46">
        <v>300</v>
      </c>
      <c r="S406" s="46">
        <v>300</v>
      </c>
      <c r="T406" s="46">
        <v>300</v>
      </c>
      <c r="U406" s="46">
        <v>400</v>
      </c>
      <c r="V406" s="46">
        <v>400</v>
      </c>
      <c r="W406" s="46">
        <v>400</v>
      </c>
      <c r="X406" s="47">
        <f t="shared" si="54"/>
        <v>3900</v>
      </c>
      <c r="Y406" s="46">
        <v>800</v>
      </c>
      <c r="Z406" s="46">
        <v>400</v>
      </c>
      <c r="AA406" s="46">
        <v>400</v>
      </c>
      <c r="AB406" s="46">
        <v>400</v>
      </c>
      <c r="AC406" s="46">
        <v>400</v>
      </c>
      <c r="AD406" s="46">
        <v>0</v>
      </c>
      <c r="AE406" s="46">
        <v>400</v>
      </c>
      <c r="AF406" s="46">
        <v>400</v>
      </c>
      <c r="AG406" s="46">
        <v>400</v>
      </c>
      <c r="AH406" s="46">
        <v>0</v>
      </c>
      <c r="AI406" s="46">
        <v>400</v>
      </c>
      <c r="AJ406" s="46">
        <v>0</v>
      </c>
      <c r="AK406" s="47">
        <f t="shared" si="55"/>
        <v>4000</v>
      </c>
      <c r="AL406" s="46">
        <v>0</v>
      </c>
      <c r="AM406" s="46">
        <v>0</v>
      </c>
      <c r="AN406" s="46">
        <v>0</v>
      </c>
      <c r="AO406" s="46">
        <v>0</v>
      </c>
      <c r="AP406" s="46">
        <v>0</v>
      </c>
      <c r="AQ406" s="46">
        <v>400</v>
      </c>
      <c r="AR406" s="46">
        <v>400</v>
      </c>
      <c r="AS406" s="46">
        <v>400</v>
      </c>
      <c r="AT406" s="46">
        <v>400</v>
      </c>
      <c r="AU406" s="46">
        <v>400</v>
      </c>
      <c r="AV406" s="46">
        <v>400</v>
      </c>
      <c r="AW406" s="46">
        <v>400</v>
      </c>
      <c r="AX406" s="47">
        <f t="shared" si="56"/>
        <v>2800</v>
      </c>
      <c r="AY406" s="313">
        <f>SUMIF(Recibos!$D$4:$D$7493,Cobranza!$B406,Recibos!K$4:K$7493)</f>
        <v>400</v>
      </c>
      <c r="AZ406" s="313">
        <f>SUMIF(Recibos!$D$4:$D$7493,Cobranza!$B406,Recibos!L$4:L$7493)</f>
        <v>400</v>
      </c>
      <c r="BA406" s="313">
        <f>SUMIF(Recibos!$D$4:$D$7493,Cobranza!$B406,Recibos!M$4:M$7493)</f>
        <v>400</v>
      </c>
      <c r="BB406" s="313">
        <f>SUMIF(Recibos!$D$4:$D$7493,Cobranza!$B406,Recibos!N$4:N$7493)</f>
        <v>400</v>
      </c>
      <c r="BC406" s="313">
        <f>SUMIF(Recibos!$D$4:$D$7493,Cobranza!$B406,Recibos!O$4:O$7493)</f>
        <v>400</v>
      </c>
      <c r="BD406" s="313">
        <f>SUMIF(Recibos!$D$4:$D$7493,Cobranza!$B406,Recibos!P$4:P$7493)</f>
        <v>400</v>
      </c>
      <c r="BE406" s="313">
        <f>SUMIF(Recibos!$D$4:$D$7493,Cobranza!$B406,Recibos!Q$4:Q$7493)</f>
        <v>400</v>
      </c>
      <c r="BF406" s="313">
        <f>SUMIF(Recibos!$D$4:$D$7493,Cobranza!$B406,Recibos!R$4:R$7493)</f>
        <v>400</v>
      </c>
      <c r="BG406" s="313">
        <f>SUMIF(Recibos!$D$4:$D$7493,Cobranza!$B406,Recibos!S$4:S$7493)</f>
        <v>400</v>
      </c>
      <c r="BH406" s="313">
        <f>SUMIF(Recibos!$D$4:$D$7493,Cobranza!$B406,Recibos!T$4:T$7493)</f>
        <v>400</v>
      </c>
      <c r="BI406" s="313">
        <f>SUMIF(Recibos!$D$4:$D$7493,Cobranza!$B406,Recibos!U$4:U$7493)</f>
        <v>400</v>
      </c>
      <c r="BJ406" s="313">
        <f>SUMIF(Recibos!$D$4:$D$7493,Cobranza!$B406,Recibos!V$4:V$7493)</f>
        <v>400</v>
      </c>
      <c r="BK406" s="314">
        <f t="shared" si="57"/>
        <v>4800</v>
      </c>
      <c r="BL406" s="313">
        <f>SUMIF(Recibos!$D$4:$D$7493,Cobranza!$B406,Recibos!X$4:X$7493)</f>
        <v>400</v>
      </c>
      <c r="BM406" s="313">
        <f>SUMIF(Recibos!$D$4:$D$7493,Cobranza!$B406,Recibos!Y$4:Y$7493)</f>
        <v>400</v>
      </c>
      <c r="BN406" s="313">
        <f>SUMIF(Recibos!$D$4:$D$7493,Cobranza!$B406,Recibos!Z$4:Z$7493)</f>
        <v>400</v>
      </c>
      <c r="BO406" s="313">
        <f>SUMIF(Recibos!$D$4:$D$7493,Cobranza!$B406,Recibos!AA$4:AA$7493)</f>
        <v>400</v>
      </c>
      <c r="BP406" s="313">
        <f>SUMIF(Recibos!$D$4:$D$7493,Cobranza!$B406,Recibos!AB$4:AB$7493)</f>
        <v>400</v>
      </c>
      <c r="BQ406" s="313">
        <f>SUMIF(Recibos!$D$4:$D$7493,Cobranza!$B406,Recibos!AC$4:AC$7493)</f>
        <v>400</v>
      </c>
      <c r="BR406" s="313">
        <f>SUMIF(Recibos!$D$4:$D$7493,Cobranza!$B406,Recibos!AD$4:AD$7493)</f>
        <v>400</v>
      </c>
      <c r="BS406" s="313">
        <f>SUMIF(Recibos!$D$4:$D$7493,Cobranza!$B406,Recibos!AE$4:AE$7493)</f>
        <v>400</v>
      </c>
      <c r="BT406" s="313">
        <f>SUMIF(Recibos!$D$4:$D$7493,Cobranza!$B406,Recibos!AF$4:AF$7493)</f>
        <v>400</v>
      </c>
      <c r="BU406" s="313">
        <f>SUMIF(Recibos!$D$4:$D$7493,Cobranza!$B406,Recibos!AG$4:AG$7493)</f>
        <v>0</v>
      </c>
      <c r="BV406" s="313">
        <f>SUMIF(Recibos!$D$4:$D$7493,Cobranza!$B406,Recibos!AH$4:AH$7493)</f>
        <v>0</v>
      </c>
      <c r="BW406" s="313">
        <f>SUMIF(Recibos!$D$4:$D$7493,Cobranza!$B406,Recibos!AI$4:AI$7493)</f>
        <v>0</v>
      </c>
      <c r="BX406" s="314">
        <f t="shared" si="58"/>
        <v>3600</v>
      </c>
      <c r="BY406" s="313">
        <f>SUMIF(Recibos!$D$4:$D$7493,Cobranza!$B406,Recibos!AK$4:AK$7493)</f>
        <v>0</v>
      </c>
      <c r="BZ406" s="313">
        <f>SUMIF(Recibos!$D$4:$D$7493,Cobranza!$B406,Recibos!AL$4:AL$7493)</f>
        <v>0</v>
      </c>
      <c r="CA406" s="313">
        <f>SUMIF(Recibos!$D$4:$D$7493,Cobranza!$B406,Recibos!AM$4:AM$7493)</f>
        <v>0</v>
      </c>
      <c r="CB406" s="313">
        <f>SUMIF(Recibos!$D$4:$D$7493,Cobranza!$B406,Recibos!AN$4:AN$7493)</f>
        <v>0</v>
      </c>
      <c r="CC406" s="313">
        <f>SUMIF(Recibos!$D$4:$D$7493,Cobranza!$B406,Recibos!AO$4:AO$7493)</f>
        <v>0</v>
      </c>
      <c r="CD406" s="313">
        <f>SUMIF(Recibos!$D$4:$D$7493,Cobranza!$B406,Recibos!AP$4:AP$7493)</f>
        <v>0</v>
      </c>
      <c r="CE406" s="313">
        <f>SUMIF(Recibos!$D$4:$D$7493,Cobranza!$B406,Recibos!AQ$4:AQ$7493)</f>
        <v>0</v>
      </c>
      <c r="CF406" s="313">
        <f>SUMIF(Recibos!$D$4:$D$7493,Cobranza!$B406,Recibos!AR$4:AR$7493)</f>
        <v>0</v>
      </c>
      <c r="CG406" s="313">
        <f>SUMIF(Recibos!$D$4:$D$7493,Cobranza!$B406,Recibos!AS$4:AS$7493)</f>
        <v>0</v>
      </c>
      <c r="CH406" s="313">
        <f>SUMIF(Recibos!$D$4:$D$7493,Cobranza!$B406,Recibos!AT$4:AT$7493)</f>
        <v>0</v>
      </c>
      <c r="CI406" s="313">
        <f>SUMIF(Recibos!$D$4:$D$7493,Cobranza!$B406,Recibos!AU$4:AU$7493)</f>
        <v>0</v>
      </c>
      <c r="CJ406" s="313">
        <f>SUMIF(Recibos!$D$4:$D$7493,Cobranza!$B406,Recibos!AV$4:AV$7493)</f>
        <v>0</v>
      </c>
      <c r="CK406" s="314">
        <f t="shared" si="52"/>
        <v>0</v>
      </c>
    </row>
    <row r="407" spans="2:89" x14ac:dyDescent="0.2">
      <c r="B407" s="42" t="s">
        <v>574</v>
      </c>
      <c r="C407" s="42" t="s">
        <v>5698</v>
      </c>
      <c r="D407" s="42" t="s">
        <v>576</v>
      </c>
      <c r="E407" s="43">
        <v>0</v>
      </c>
      <c r="F407" s="43">
        <v>0</v>
      </c>
      <c r="G407" s="43">
        <v>0</v>
      </c>
      <c r="H407" s="43">
        <v>0</v>
      </c>
      <c r="I407" s="43">
        <v>300</v>
      </c>
      <c r="J407" s="43">
        <v>0</v>
      </c>
      <c r="K407" s="44">
        <f t="shared" si="53"/>
        <v>300</v>
      </c>
      <c r="L407" s="43">
        <v>300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300</v>
      </c>
      <c r="V407" s="43">
        <v>300</v>
      </c>
      <c r="W407" s="43">
        <v>300</v>
      </c>
      <c r="X407" s="44">
        <f t="shared" si="54"/>
        <v>1200</v>
      </c>
      <c r="Y407" s="43">
        <v>400</v>
      </c>
      <c r="Z407" s="43">
        <v>400</v>
      </c>
      <c r="AA407" s="43">
        <v>400</v>
      </c>
      <c r="AB407" s="43">
        <v>400</v>
      </c>
      <c r="AC407" s="43">
        <v>400</v>
      </c>
      <c r="AD407" s="43">
        <v>400</v>
      </c>
      <c r="AE407" s="43">
        <v>400</v>
      </c>
      <c r="AF407" s="43">
        <v>400</v>
      </c>
      <c r="AG407" s="43">
        <v>0</v>
      </c>
      <c r="AH407" s="43">
        <v>0</v>
      </c>
      <c r="AI407" s="43">
        <v>0</v>
      </c>
      <c r="AJ407" s="43">
        <v>0</v>
      </c>
      <c r="AK407" s="44">
        <f t="shared" si="55"/>
        <v>3200</v>
      </c>
      <c r="AL407" s="43">
        <v>0</v>
      </c>
      <c r="AM407" s="43">
        <v>0</v>
      </c>
      <c r="AN407" s="43">
        <v>0</v>
      </c>
      <c r="AO407" s="43">
        <v>0</v>
      </c>
      <c r="AP407" s="43">
        <v>0</v>
      </c>
      <c r="AQ407" s="43">
        <v>400</v>
      </c>
      <c r="AR407" s="43">
        <v>400</v>
      </c>
      <c r="AS407" s="43">
        <v>400</v>
      </c>
      <c r="AT407" s="43">
        <v>400</v>
      </c>
      <c r="AU407" s="43">
        <v>400</v>
      </c>
      <c r="AV407" s="43">
        <v>0</v>
      </c>
      <c r="AW407" s="43">
        <v>0</v>
      </c>
      <c r="AX407" s="44">
        <f t="shared" si="56"/>
        <v>2000</v>
      </c>
      <c r="AY407" s="311">
        <f>SUMIF(Recibos!$D$4:$D$7493,Cobranza!$B407,Recibos!K$4:K$7493)</f>
        <v>400</v>
      </c>
      <c r="AZ407" s="311">
        <f>SUMIF(Recibos!$D$4:$D$7493,Cobranza!$B407,Recibos!L$4:L$7493)</f>
        <v>400</v>
      </c>
      <c r="BA407" s="311">
        <f>SUMIF(Recibos!$D$4:$D$7493,Cobranza!$B407,Recibos!M$4:M$7493)</f>
        <v>400</v>
      </c>
      <c r="BB407" s="311">
        <f>SUMIF(Recibos!$D$4:$D$7493,Cobranza!$B407,Recibos!N$4:N$7493)</f>
        <v>400</v>
      </c>
      <c r="BC407" s="311">
        <f>SUMIF(Recibos!$D$4:$D$7493,Cobranza!$B407,Recibos!O$4:O$7493)</f>
        <v>400</v>
      </c>
      <c r="BD407" s="311">
        <f>SUMIF(Recibos!$D$4:$D$7493,Cobranza!$B407,Recibos!P$4:P$7493)</f>
        <v>400</v>
      </c>
      <c r="BE407" s="311">
        <f>SUMIF(Recibos!$D$4:$D$7493,Cobranza!$B407,Recibos!Q$4:Q$7493)</f>
        <v>400</v>
      </c>
      <c r="BF407" s="311">
        <f>SUMIF(Recibos!$D$4:$D$7493,Cobranza!$B407,Recibos!R$4:R$7493)</f>
        <v>400</v>
      </c>
      <c r="BG407" s="311">
        <f>SUMIF(Recibos!$D$4:$D$7493,Cobranza!$B407,Recibos!S$4:S$7493)</f>
        <v>400</v>
      </c>
      <c r="BH407" s="311">
        <f>SUMIF(Recibos!$D$4:$D$7493,Cobranza!$B407,Recibos!T$4:T$7493)</f>
        <v>300</v>
      </c>
      <c r="BI407" s="311">
        <f>SUMIF(Recibos!$D$4:$D$7493,Cobranza!$B407,Recibos!U$4:U$7493)</f>
        <v>300</v>
      </c>
      <c r="BJ407" s="311">
        <f>SUMIF(Recibos!$D$4:$D$7493,Cobranza!$B407,Recibos!V$4:V$7493)</f>
        <v>300</v>
      </c>
      <c r="BK407" s="312">
        <f t="shared" si="57"/>
        <v>4500</v>
      </c>
      <c r="BL407" s="311">
        <f>SUMIF(Recibos!$D$4:$D$7493,Cobranza!$B407,Recibos!X$4:X$7493)</f>
        <v>300</v>
      </c>
      <c r="BM407" s="311">
        <f>SUMIF(Recibos!$D$4:$D$7493,Cobranza!$B407,Recibos!Y$4:Y$7493)</f>
        <v>300</v>
      </c>
      <c r="BN407" s="311">
        <f>SUMIF(Recibos!$D$4:$D$7493,Cobranza!$B407,Recibos!Z$4:Z$7493)</f>
        <v>300</v>
      </c>
      <c r="BO407" s="311">
        <f>SUMIF(Recibos!$D$4:$D$7493,Cobranza!$B407,Recibos!AA$4:AA$7493)</f>
        <v>300</v>
      </c>
      <c r="BP407" s="311">
        <f>SUMIF(Recibos!$D$4:$D$7493,Cobranza!$B407,Recibos!AB$4:AB$7493)</f>
        <v>300</v>
      </c>
      <c r="BQ407" s="311">
        <f>SUMIF(Recibos!$D$4:$D$7493,Cobranza!$B407,Recibos!AC$4:AC$7493)</f>
        <v>300</v>
      </c>
      <c r="BR407" s="311">
        <f>SUMIF(Recibos!$D$4:$D$7493,Cobranza!$B407,Recibos!AD$4:AD$7493)</f>
        <v>300</v>
      </c>
      <c r="BS407" s="311">
        <f>SUMIF(Recibos!$D$4:$D$7493,Cobranza!$B407,Recibos!AE$4:AE$7493)</f>
        <v>300</v>
      </c>
      <c r="BT407" s="311">
        <f>SUMIF(Recibos!$D$4:$D$7493,Cobranza!$B407,Recibos!AF$4:AF$7493)</f>
        <v>300</v>
      </c>
      <c r="BU407" s="311">
        <f>SUMIF(Recibos!$D$4:$D$7493,Cobranza!$B407,Recibos!AG$4:AG$7493)</f>
        <v>300</v>
      </c>
      <c r="BV407" s="311">
        <f>SUMIF(Recibos!$D$4:$D$7493,Cobranza!$B407,Recibos!AH$4:AH$7493)</f>
        <v>300</v>
      </c>
      <c r="BW407" s="311">
        <f>SUMIF(Recibos!$D$4:$D$7493,Cobranza!$B407,Recibos!AI$4:AI$7493)</f>
        <v>300</v>
      </c>
      <c r="BX407" s="312">
        <f t="shared" si="58"/>
        <v>3600</v>
      </c>
      <c r="BY407" s="311">
        <f>SUMIF(Recibos!$D$4:$D$7493,Cobranza!$B407,Recibos!AK$4:AK$7493)</f>
        <v>300</v>
      </c>
      <c r="BZ407" s="311">
        <f>SUMIF(Recibos!$D$4:$D$7493,Cobranza!$B407,Recibos!AL$4:AL$7493)</f>
        <v>300</v>
      </c>
      <c r="CA407" s="311">
        <f>SUMIF(Recibos!$D$4:$D$7493,Cobranza!$B407,Recibos!AM$4:AM$7493)</f>
        <v>300</v>
      </c>
      <c r="CB407" s="311">
        <f>SUMIF(Recibos!$D$4:$D$7493,Cobranza!$B407,Recibos!AN$4:AN$7493)</f>
        <v>300</v>
      </c>
      <c r="CC407" s="311">
        <f>SUMIF(Recibos!$D$4:$D$7493,Cobranza!$B407,Recibos!AO$4:AO$7493)</f>
        <v>300</v>
      </c>
      <c r="CD407" s="311">
        <f>SUMIF(Recibos!$D$4:$D$7493,Cobranza!$B407,Recibos!AP$4:AP$7493)</f>
        <v>300</v>
      </c>
      <c r="CE407" s="311">
        <f>SUMIF(Recibos!$D$4:$D$7493,Cobranza!$B407,Recibos!AQ$4:AQ$7493)</f>
        <v>300</v>
      </c>
      <c r="CF407" s="311">
        <f>SUMIF(Recibos!$D$4:$D$7493,Cobranza!$B407,Recibos!AR$4:AR$7493)</f>
        <v>300</v>
      </c>
      <c r="CG407" s="311">
        <f>SUMIF(Recibos!$D$4:$D$7493,Cobranza!$B407,Recibos!AS$4:AS$7493)</f>
        <v>300</v>
      </c>
      <c r="CH407" s="311">
        <f>SUMIF(Recibos!$D$4:$D$7493,Cobranza!$B407,Recibos!AT$4:AT$7493)</f>
        <v>300</v>
      </c>
      <c r="CI407" s="311">
        <f>SUMIF(Recibos!$D$4:$D$7493,Cobranza!$B407,Recibos!AU$4:AU$7493)</f>
        <v>0</v>
      </c>
      <c r="CJ407" s="311">
        <f>SUMIF(Recibos!$D$4:$D$7493,Cobranza!$B407,Recibos!AV$4:AV$7493)</f>
        <v>0</v>
      </c>
      <c r="CK407" s="312">
        <f t="shared" si="52"/>
        <v>3000</v>
      </c>
    </row>
    <row r="408" spans="2:89" x14ac:dyDescent="0.2">
      <c r="B408" s="402" t="s">
        <v>5687</v>
      </c>
      <c r="C408" s="402" t="s">
        <v>5695</v>
      </c>
      <c r="D408" s="402" t="s">
        <v>5696</v>
      </c>
      <c r="E408" s="398"/>
      <c r="F408" s="398"/>
      <c r="G408" s="398"/>
      <c r="H408" s="398"/>
      <c r="I408" s="398"/>
      <c r="J408" s="398"/>
      <c r="K408" s="399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9"/>
      <c r="Y408" s="398"/>
      <c r="Z408" s="398"/>
      <c r="AA408" s="398"/>
      <c r="AB408" s="398"/>
      <c r="AC408" s="398"/>
      <c r="AD408" s="398"/>
      <c r="AE408" s="398"/>
      <c r="AF408" s="398"/>
      <c r="AG408" s="398"/>
      <c r="AH408" s="398"/>
      <c r="AI408" s="398"/>
      <c r="AJ408" s="398"/>
      <c r="AK408" s="399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9"/>
      <c r="AY408" s="400"/>
      <c r="AZ408" s="400"/>
      <c r="BA408" s="400"/>
      <c r="BB408" s="400"/>
      <c r="BC408" s="400"/>
      <c r="BD408" s="400"/>
      <c r="BE408" s="400"/>
      <c r="BF408" s="400"/>
      <c r="BG408" s="400"/>
      <c r="BH408" s="400"/>
      <c r="BI408" s="400"/>
      <c r="BJ408" s="400"/>
      <c r="BK408" s="401"/>
      <c r="BL408" s="400"/>
      <c r="BM408" s="400"/>
      <c r="BN408" s="400"/>
      <c r="BO408" s="400"/>
      <c r="BP408" s="400"/>
      <c r="BQ408" s="400"/>
      <c r="BR408" s="400"/>
      <c r="BS408" s="400"/>
      <c r="BT408" s="400"/>
      <c r="BU408" s="400"/>
      <c r="BV408" s="400"/>
      <c r="BW408" s="400"/>
      <c r="BX408" s="401"/>
      <c r="BY408" s="311">
        <f>SUMIF(Recibos!$D$4:$D$7493,Cobranza!$B408,Recibos!AK$4:AK$7493)</f>
        <v>0</v>
      </c>
      <c r="BZ408" s="311">
        <f>SUMIF(Recibos!$D$4:$D$7493,Cobranza!$B408,Recibos!AL$4:AL$7493)</f>
        <v>0</v>
      </c>
      <c r="CA408" s="311">
        <f>SUMIF(Recibos!$D$4:$D$7493,Cobranza!$B408,Recibos!AM$4:AM$7493)</f>
        <v>0</v>
      </c>
      <c r="CB408" s="311">
        <f>SUMIF(Recibos!$D$4:$D$7493,Cobranza!$B408,Recibos!AN$4:AN$7493)</f>
        <v>0</v>
      </c>
      <c r="CC408" s="311">
        <f>SUMIF(Recibos!$D$4:$D$7493,Cobranza!$B408,Recibos!AO$4:AO$7493)</f>
        <v>0</v>
      </c>
      <c r="CD408" s="311">
        <f>SUMIF(Recibos!$D$4:$D$7493,Cobranza!$B408,Recibos!AP$4:AP$7493)</f>
        <v>0</v>
      </c>
      <c r="CE408" s="311">
        <f>SUMIF(Recibos!$D$4:$D$7493,Cobranza!$B408,Recibos!AQ$4:AQ$7493)</f>
        <v>0</v>
      </c>
      <c r="CF408" s="311">
        <f>SUMIF(Recibos!$D$4:$D$7493,Cobranza!$B408,Recibos!AR$4:AR$7493)</f>
        <v>0</v>
      </c>
      <c r="CG408" s="311">
        <f>SUMIF(Recibos!$D$4:$D$7493,Cobranza!$B408,Recibos!AS$4:AS$7493)</f>
        <v>0</v>
      </c>
      <c r="CH408" s="311">
        <f>SUMIF(Recibos!$D$4:$D$7493,Cobranza!$B408,Recibos!AT$4:AT$7493)</f>
        <v>100</v>
      </c>
      <c r="CI408" s="311">
        <f>SUMIF(Recibos!$D$4:$D$7493,Cobranza!$B408,Recibos!AU$4:AU$7493)</f>
        <v>0</v>
      </c>
      <c r="CJ408" s="311">
        <f>SUMIF(Recibos!$D$4:$D$7493,Cobranza!$B408,Recibos!AV$4:AV$7493)</f>
        <v>0</v>
      </c>
      <c r="CK408" s="312">
        <f t="shared" si="52"/>
        <v>100</v>
      </c>
    </row>
    <row r="409" spans="2:89" x14ac:dyDescent="0.2">
      <c r="B409" s="45" t="s">
        <v>1198</v>
      </c>
      <c r="C409" s="45" t="s">
        <v>1199</v>
      </c>
      <c r="D409" s="45" t="s">
        <v>892</v>
      </c>
      <c r="E409" s="46">
        <v>0</v>
      </c>
      <c r="F409" s="46">
        <v>0</v>
      </c>
      <c r="G409" s="46">
        <v>0</v>
      </c>
      <c r="H409" s="46">
        <v>0</v>
      </c>
      <c r="I409" s="46">
        <v>0</v>
      </c>
      <c r="J409" s="46">
        <v>0</v>
      </c>
      <c r="K409" s="47">
        <f t="shared" si="53"/>
        <v>0</v>
      </c>
      <c r="L409" s="46">
        <v>0</v>
      </c>
      <c r="M409" s="46">
        <v>0</v>
      </c>
      <c r="N409" s="46">
        <v>0</v>
      </c>
      <c r="O409" s="46">
        <v>0</v>
      </c>
      <c r="P409" s="46">
        <v>0</v>
      </c>
      <c r="Q409" s="46">
        <v>0</v>
      </c>
      <c r="R409" s="46">
        <v>0</v>
      </c>
      <c r="S409" s="46">
        <v>0</v>
      </c>
      <c r="T409" s="46">
        <v>300</v>
      </c>
      <c r="U409" s="46">
        <v>400</v>
      </c>
      <c r="V409" s="46">
        <v>400</v>
      </c>
      <c r="W409" s="46">
        <v>400</v>
      </c>
      <c r="X409" s="47">
        <f t="shared" si="54"/>
        <v>1500</v>
      </c>
      <c r="Y409" s="46">
        <v>400</v>
      </c>
      <c r="Z409" s="46">
        <v>400</v>
      </c>
      <c r="AA409" s="46">
        <v>400</v>
      </c>
      <c r="AB409" s="46">
        <v>400</v>
      </c>
      <c r="AC409" s="46">
        <v>400</v>
      </c>
      <c r="AD409" s="46">
        <v>400</v>
      </c>
      <c r="AE409" s="46">
        <v>400</v>
      </c>
      <c r="AF409" s="46">
        <v>400</v>
      </c>
      <c r="AG409" s="46">
        <v>400</v>
      </c>
      <c r="AH409" s="46">
        <v>400</v>
      </c>
      <c r="AI409" s="46">
        <v>0</v>
      </c>
      <c r="AJ409" s="46">
        <v>0</v>
      </c>
      <c r="AK409" s="47">
        <f t="shared" si="55"/>
        <v>4000</v>
      </c>
      <c r="AL409" s="46">
        <v>0</v>
      </c>
      <c r="AM409" s="46">
        <v>0</v>
      </c>
      <c r="AN409" s="46">
        <v>0</v>
      </c>
      <c r="AO409" s="46">
        <v>0</v>
      </c>
      <c r="AP409" s="46">
        <v>0</v>
      </c>
      <c r="AQ409" s="46">
        <v>0</v>
      </c>
      <c r="AR409" s="46">
        <v>0</v>
      </c>
      <c r="AS409" s="46">
        <v>0</v>
      </c>
      <c r="AT409" s="46">
        <v>0</v>
      </c>
      <c r="AU409" s="46">
        <v>0</v>
      </c>
      <c r="AV409" s="46">
        <v>0</v>
      </c>
      <c r="AW409" s="46">
        <v>0</v>
      </c>
      <c r="AX409" s="47">
        <f t="shared" si="56"/>
        <v>0</v>
      </c>
      <c r="AY409" s="313">
        <f>SUMIF(Recibos!$D$4:$D$7493,Cobranza!$B409,Recibos!K$4:K$7493)</f>
        <v>0</v>
      </c>
      <c r="AZ409" s="313">
        <f>SUMIF(Recibos!$D$4:$D$7493,Cobranza!$B409,Recibos!L$4:L$7493)</f>
        <v>0</v>
      </c>
      <c r="BA409" s="313">
        <f>SUMIF(Recibos!$D$4:$D$7493,Cobranza!$B409,Recibos!M$4:M$7493)</f>
        <v>0</v>
      </c>
      <c r="BB409" s="313">
        <f>SUMIF(Recibos!$D$4:$D$7493,Cobranza!$B409,Recibos!N$4:N$7493)</f>
        <v>0</v>
      </c>
      <c r="BC409" s="313">
        <f>SUMIF(Recibos!$D$4:$D$7493,Cobranza!$B409,Recibos!O$4:O$7493)</f>
        <v>400</v>
      </c>
      <c r="BD409" s="313">
        <f>SUMIF(Recibos!$D$4:$D$7493,Cobranza!$B409,Recibos!P$4:P$7493)</f>
        <v>400</v>
      </c>
      <c r="BE409" s="313">
        <f>SUMIF(Recibos!$D$4:$D$7493,Cobranza!$B409,Recibos!Q$4:Q$7493)</f>
        <v>400</v>
      </c>
      <c r="BF409" s="313">
        <f>SUMIF(Recibos!$D$4:$D$7493,Cobranza!$B409,Recibos!R$4:R$7493)</f>
        <v>400</v>
      </c>
      <c r="BG409" s="313">
        <f>SUMIF(Recibos!$D$4:$D$7493,Cobranza!$B409,Recibos!S$4:S$7493)</f>
        <v>400</v>
      </c>
      <c r="BH409" s="313">
        <f>SUMIF(Recibos!$D$4:$D$7493,Cobranza!$B409,Recibos!T$4:T$7493)</f>
        <v>0</v>
      </c>
      <c r="BI409" s="313">
        <f>SUMIF(Recibos!$D$4:$D$7493,Cobranza!$B409,Recibos!U$4:U$7493)</f>
        <v>0</v>
      </c>
      <c r="BJ409" s="313">
        <f>SUMIF(Recibos!$D$4:$D$7493,Cobranza!$B409,Recibos!V$4:V$7493)</f>
        <v>0</v>
      </c>
      <c r="BK409" s="314">
        <f t="shared" si="57"/>
        <v>2000</v>
      </c>
      <c r="BL409" s="313">
        <f>SUMIF(Recibos!$D$4:$D$7493,Cobranza!$B409,Recibos!X$4:X$7493)</f>
        <v>400</v>
      </c>
      <c r="BM409" s="313">
        <f>SUMIF(Recibos!$D$4:$D$7493,Cobranza!$B409,Recibos!Y$4:Y$7493)</f>
        <v>400</v>
      </c>
      <c r="BN409" s="313">
        <f>SUMIF(Recibos!$D$4:$D$7493,Cobranza!$B409,Recibos!Z$4:Z$7493)</f>
        <v>0</v>
      </c>
      <c r="BO409" s="313">
        <f>SUMIF(Recibos!$D$4:$D$7493,Cobranza!$B409,Recibos!AA$4:AA$7493)</f>
        <v>0</v>
      </c>
      <c r="BP409" s="313">
        <f>SUMIF(Recibos!$D$4:$D$7493,Cobranza!$B409,Recibos!AB$4:AB$7493)</f>
        <v>0</v>
      </c>
      <c r="BQ409" s="313">
        <f>SUMIF(Recibos!$D$4:$D$7493,Cobranza!$B409,Recibos!AC$4:AC$7493)</f>
        <v>0</v>
      </c>
      <c r="BR409" s="313">
        <f>SUMIF(Recibos!$D$4:$D$7493,Cobranza!$B409,Recibos!AD$4:AD$7493)</f>
        <v>0</v>
      </c>
      <c r="BS409" s="313">
        <f>SUMIF(Recibos!$D$4:$D$7493,Cobranza!$B409,Recibos!AE$4:AE$7493)</f>
        <v>0</v>
      </c>
      <c r="BT409" s="313">
        <f>SUMIF(Recibos!$D$4:$D$7493,Cobranza!$B409,Recibos!AF$4:AF$7493)</f>
        <v>400</v>
      </c>
      <c r="BU409" s="313">
        <f>SUMIF(Recibos!$D$4:$D$7493,Cobranza!$B409,Recibos!AG$4:AG$7493)</f>
        <v>400</v>
      </c>
      <c r="BV409" s="313">
        <f>SUMIF(Recibos!$D$4:$D$7493,Cobranza!$B409,Recibos!AH$4:AH$7493)</f>
        <v>400</v>
      </c>
      <c r="BW409" s="313">
        <f>SUMIF(Recibos!$D$4:$D$7493,Cobranza!$B409,Recibos!AI$4:AI$7493)</f>
        <v>400</v>
      </c>
      <c r="BX409" s="314">
        <f t="shared" si="58"/>
        <v>2400</v>
      </c>
      <c r="BY409" s="313">
        <f>SUMIF(Recibos!$D$4:$D$7493,Cobranza!$B409,Recibos!AK$4:AK$7493)</f>
        <v>400</v>
      </c>
      <c r="BZ409" s="313">
        <f>SUMIF(Recibos!$D$4:$D$7493,Cobranza!$B409,Recibos!AL$4:AL$7493)</f>
        <v>400</v>
      </c>
      <c r="CA409" s="313">
        <f>SUMIF(Recibos!$D$4:$D$7493,Cobranza!$B409,Recibos!AM$4:AM$7493)</f>
        <v>400</v>
      </c>
      <c r="CB409" s="313">
        <f>SUMIF(Recibos!$D$4:$D$7493,Cobranza!$B409,Recibos!AN$4:AN$7493)</f>
        <v>400</v>
      </c>
      <c r="CC409" s="313">
        <f>SUMIF(Recibos!$D$4:$D$7493,Cobranza!$B409,Recibos!AO$4:AO$7493)</f>
        <v>0</v>
      </c>
      <c r="CD409" s="313">
        <f>SUMIF(Recibos!$D$4:$D$7493,Cobranza!$B409,Recibos!AP$4:AP$7493)</f>
        <v>0</v>
      </c>
      <c r="CE409" s="313">
        <f>SUMIF(Recibos!$D$4:$D$7493,Cobranza!$B409,Recibos!AQ$4:AQ$7493)</f>
        <v>0</v>
      </c>
      <c r="CF409" s="313">
        <f>SUMIF(Recibos!$D$4:$D$7493,Cobranza!$B409,Recibos!AR$4:AR$7493)</f>
        <v>0</v>
      </c>
      <c r="CG409" s="313">
        <f>SUMIF(Recibos!$D$4:$D$7493,Cobranza!$B409,Recibos!AS$4:AS$7493)</f>
        <v>0</v>
      </c>
      <c r="CH409" s="313">
        <f>SUMIF(Recibos!$D$4:$D$7493,Cobranza!$B409,Recibos!AT$4:AT$7493)</f>
        <v>0</v>
      </c>
      <c r="CI409" s="313">
        <f>SUMIF(Recibos!$D$4:$D$7493,Cobranza!$B409,Recibos!AU$4:AU$7493)</f>
        <v>0</v>
      </c>
      <c r="CJ409" s="313">
        <f>SUMIF(Recibos!$D$4:$D$7493,Cobranza!$B409,Recibos!AV$4:AV$7493)</f>
        <v>0</v>
      </c>
      <c r="CK409" s="314">
        <f t="shared" si="52"/>
        <v>1600</v>
      </c>
    </row>
    <row r="410" spans="2:89" x14ac:dyDescent="0.2">
      <c r="B410" s="42" t="s">
        <v>1073</v>
      </c>
      <c r="C410" s="42" t="s">
        <v>1074</v>
      </c>
      <c r="D410" s="42" t="s">
        <v>1075</v>
      </c>
      <c r="E410" s="43">
        <v>0</v>
      </c>
      <c r="F410" s="43">
        <v>0</v>
      </c>
      <c r="G410" s="43">
        <v>300</v>
      </c>
      <c r="H410" s="43">
        <v>300</v>
      </c>
      <c r="I410" s="43">
        <v>300</v>
      </c>
      <c r="J410" s="43">
        <v>300</v>
      </c>
      <c r="K410" s="44">
        <f t="shared" si="53"/>
        <v>1200</v>
      </c>
      <c r="L410" s="43">
        <v>300</v>
      </c>
      <c r="M410" s="43">
        <v>300</v>
      </c>
      <c r="N410" s="43">
        <v>300</v>
      </c>
      <c r="O410" s="43">
        <v>300</v>
      </c>
      <c r="P410" s="43">
        <v>300</v>
      </c>
      <c r="Q410" s="43">
        <v>300</v>
      </c>
      <c r="R410" s="43">
        <v>300</v>
      </c>
      <c r="S410" s="43">
        <v>300</v>
      </c>
      <c r="T410" s="43">
        <v>300</v>
      </c>
      <c r="U410" s="43">
        <v>0</v>
      </c>
      <c r="V410" s="43">
        <v>400</v>
      </c>
      <c r="W410" s="43">
        <v>400</v>
      </c>
      <c r="X410" s="44">
        <f t="shared" si="54"/>
        <v>3500</v>
      </c>
      <c r="Y410" s="43">
        <v>400</v>
      </c>
      <c r="Z410" s="43">
        <v>400</v>
      </c>
      <c r="AA410" s="43">
        <v>400</v>
      </c>
      <c r="AB410" s="43">
        <v>400</v>
      </c>
      <c r="AC410" s="43">
        <v>400</v>
      </c>
      <c r="AD410" s="43">
        <v>400</v>
      </c>
      <c r="AE410" s="43">
        <v>400</v>
      </c>
      <c r="AF410" s="43">
        <v>400</v>
      </c>
      <c r="AG410" s="43">
        <v>400</v>
      </c>
      <c r="AH410" s="43">
        <v>400</v>
      </c>
      <c r="AI410" s="43">
        <v>400</v>
      </c>
      <c r="AJ410" s="43">
        <v>400</v>
      </c>
      <c r="AK410" s="44">
        <f t="shared" si="55"/>
        <v>4800</v>
      </c>
      <c r="AL410" s="43">
        <v>400</v>
      </c>
      <c r="AM410" s="43">
        <v>400</v>
      </c>
      <c r="AN410" s="43">
        <v>400</v>
      </c>
      <c r="AO410" s="43">
        <v>400</v>
      </c>
      <c r="AP410" s="43">
        <v>400</v>
      </c>
      <c r="AQ410" s="43">
        <v>400</v>
      </c>
      <c r="AR410" s="43">
        <v>400</v>
      </c>
      <c r="AS410" s="43">
        <v>400</v>
      </c>
      <c r="AT410" s="43">
        <v>400</v>
      </c>
      <c r="AU410" s="43">
        <v>400</v>
      </c>
      <c r="AV410" s="43">
        <v>400</v>
      </c>
      <c r="AW410" s="43">
        <v>400</v>
      </c>
      <c r="AX410" s="44">
        <f t="shared" si="56"/>
        <v>4800</v>
      </c>
      <c r="AY410" s="311">
        <f>SUMIF(Recibos!$D$4:$D$7493,Cobranza!$B410,Recibos!K$4:K$7493)</f>
        <v>400</v>
      </c>
      <c r="AZ410" s="311">
        <f>SUMIF(Recibos!$D$4:$D$7493,Cobranza!$B410,Recibos!L$4:L$7493)</f>
        <v>400</v>
      </c>
      <c r="BA410" s="311">
        <f>SUMIF(Recibos!$D$4:$D$7493,Cobranza!$B410,Recibos!M$4:M$7493)</f>
        <v>400</v>
      </c>
      <c r="BB410" s="311">
        <f>SUMIF(Recibos!$D$4:$D$7493,Cobranza!$B410,Recibos!N$4:N$7493)</f>
        <v>400</v>
      </c>
      <c r="BC410" s="311">
        <f>SUMIF(Recibos!$D$4:$D$7493,Cobranza!$B410,Recibos!O$4:O$7493)</f>
        <v>400</v>
      </c>
      <c r="BD410" s="311">
        <f>SUMIF(Recibos!$D$4:$D$7493,Cobranza!$B410,Recibos!P$4:P$7493)</f>
        <v>400</v>
      </c>
      <c r="BE410" s="311">
        <f>SUMIF(Recibos!$D$4:$D$7493,Cobranza!$B410,Recibos!Q$4:Q$7493)</f>
        <v>400</v>
      </c>
      <c r="BF410" s="311">
        <f>SUMIF(Recibos!$D$4:$D$7493,Cobranza!$B410,Recibos!R$4:R$7493)</f>
        <v>400</v>
      </c>
      <c r="BG410" s="311">
        <f>SUMIF(Recibos!$D$4:$D$7493,Cobranza!$B410,Recibos!S$4:S$7493)</f>
        <v>400</v>
      </c>
      <c r="BH410" s="311">
        <f>SUMIF(Recibos!$D$4:$D$7493,Cobranza!$B410,Recibos!T$4:T$7493)</f>
        <v>400</v>
      </c>
      <c r="BI410" s="311">
        <f>SUMIF(Recibos!$D$4:$D$7493,Cobranza!$B410,Recibos!U$4:U$7493)</f>
        <v>0</v>
      </c>
      <c r="BJ410" s="311">
        <f>SUMIF(Recibos!$D$4:$D$7493,Cobranza!$B410,Recibos!V$4:V$7493)</f>
        <v>0</v>
      </c>
      <c r="BK410" s="312">
        <f t="shared" si="57"/>
        <v>4000</v>
      </c>
      <c r="BL410" s="311">
        <f>SUMIF(Recibos!$D$4:$D$7493,Cobranza!$B410,Recibos!X$4:X$7493)</f>
        <v>400</v>
      </c>
      <c r="BM410" s="311">
        <f>SUMIF(Recibos!$D$4:$D$7493,Cobranza!$B410,Recibos!Y$4:Y$7493)</f>
        <v>400</v>
      </c>
      <c r="BN410" s="311">
        <f>SUMIF(Recibos!$D$4:$D$7493,Cobranza!$B410,Recibos!Z$4:Z$7493)</f>
        <v>400</v>
      </c>
      <c r="BO410" s="311">
        <f>SUMIF(Recibos!$D$4:$D$7493,Cobranza!$B410,Recibos!AA$4:AA$7493)</f>
        <v>400</v>
      </c>
      <c r="BP410" s="311">
        <f>SUMIF(Recibos!$D$4:$D$7493,Cobranza!$B410,Recibos!AB$4:AB$7493)</f>
        <v>400</v>
      </c>
      <c r="BQ410" s="311">
        <f>SUMIF(Recibos!$D$4:$D$7493,Cobranza!$B410,Recibos!AC$4:AC$7493)</f>
        <v>400</v>
      </c>
      <c r="BR410" s="311">
        <f>SUMIF(Recibos!$D$4:$D$7493,Cobranza!$B410,Recibos!AD$4:AD$7493)</f>
        <v>400</v>
      </c>
      <c r="BS410" s="311">
        <f>SUMIF(Recibos!$D$4:$D$7493,Cobranza!$B410,Recibos!AE$4:AE$7493)</f>
        <v>400</v>
      </c>
      <c r="BT410" s="311">
        <f>SUMIF(Recibos!$D$4:$D$7493,Cobranza!$B410,Recibos!AF$4:AF$7493)</f>
        <v>400</v>
      </c>
      <c r="BU410" s="311">
        <f>SUMIF(Recibos!$D$4:$D$7493,Cobranza!$B410,Recibos!AG$4:AG$7493)</f>
        <v>400</v>
      </c>
      <c r="BV410" s="311">
        <f>SUMIF(Recibos!$D$4:$D$7493,Cobranza!$B410,Recibos!AH$4:AH$7493)</f>
        <v>400</v>
      </c>
      <c r="BW410" s="311">
        <f>SUMIF(Recibos!$D$4:$D$7493,Cobranza!$B410,Recibos!AI$4:AI$7493)</f>
        <v>400</v>
      </c>
      <c r="BX410" s="312">
        <f t="shared" si="58"/>
        <v>4800</v>
      </c>
      <c r="BY410" s="311">
        <f>SUMIF(Recibos!$D$4:$D$7493,Cobranza!$B410,Recibos!AK$4:AK$7493)</f>
        <v>400</v>
      </c>
      <c r="BZ410" s="311">
        <f>SUMIF(Recibos!$D$4:$D$7493,Cobranza!$B410,Recibos!AL$4:AL$7493)</f>
        <v>400</v>
      </c>
      <c r="CA410" s="311">
        <f>SUMIF(Recibos!$D$4:$D$7493,Cobranza!$B410,Recibos!AM$4:AM$7493)</f>
        <v>400</v>
      </c>
      <c r="CB410" s="311">
        <f>SUMIF(Recibos!$D$4:$D$7493,Cobranza!$B410,Recibos!AN$4:AN$7493)</f>
        <v>400</v>
      </c>
      <c r="CC410" s="311">
        <f>SUMIF(Recibos!$D$4:$D$7493,Cobranza!$B410,Recibos!AO$4:AO$7493)</f>
        <v>400</v>
      </c>
      <c r="CD410" s="311">
        <f>SUMIF(Recibos!$D$4:$D$7493,Cobranza!$B410,Recibos!AP$4:AP$7493)</f>
        <v>400</v>
      </c>
      <c r="CE410" s="311">
        <f>SUMIF(Recibos!$D$4:$D$7493,Cobranza!$B410,Recibos!AQ$4:AQ$7493)</f>
        <v>400</v>
      </c>
      <c r="CF410" s="311">
        <f>SUMIF(Recibos!$D$4:$D$7493,Cobranza!$B410,Recibos!AR$4:AR$7493)</f>
        <v>400</v>
      </c>
      <c r="CG410" s="311">
        <f>SUMIF(Recibos!$D$4:$D$7493,Cobranza!$B410,Recibos!AS$4:AS$7493)</f>
        <v>400</v>
      </c>
      <c r="CH410" s="311">
        <f>SUMIF(Recibos!$D$4:$D$7493,Cobranza!$B410,Recibos!AT$4:AT$7493)</f>
        <v>0</v>
      </c>
      <c r="CI410" s="311">
        <f>SUMIF(Recibos!$D$4:$D$7493,Cobranza!$B410,Recibos!AU$4:AU$7493)</f>
        <v>0</v>
      </c>
      <c r="CJ410" s="311">
        <f>SUMIF(Recibos!$D$4:$D$7493,Cobranza!$B410,Recibos!AV$4:AV$7493)</f>
        <v>0</v>
      </c>
      <c r="CK410" s="312">
        <f t="shared" si="52"/>
        <v>3600</v>
      </c>
    </row>
    <row r="411" spans="2:89" x14ac:dyDescent="0.2">
      <c r="B411" s="45" t="s">
        <v>855</v>
      </c>
      <c r="C411" s="45" t="s">
        <v>856</v>
      </c>
      <c r="D411" s="45" t="s">
        <v>857</v>
      </c>
      <c r="E411" s="46">
        <v>0</v>
      </c>
      <c r="F411" s="46">
        <v>0</v>
      </c>
      <c r="G411" s="46">
        <v>0</v>
      </c>
      <c r="H411" s="46">
        <v>0</v>
      </c>
      <c r="I411" s="46">
        <v>0</v>
      </c>
      <c r="J411" s="46">
        <v>0</v>
      </c>
      <c r="K411" s="47">
        <f t="shared" si="53"/>
        <v>0</v>
      </c>
      <c r="L411" s="46">
        <v>300</v>
      </c>
      <c r="M411" s="46">
        <v>300</v>
      </c>
      <c r="N411" s="46">
        <v>300</v>
      </c>
      <c r="O411" s="46">
        <v>0</v>
      </c>
      <c r="P411" s="46">
        <v>300</v>
      </c>
      <c r="Q411" s="46">
        <v>0</v>
      </c>
      <c r="R411" s="46">
        <v>0</v>
      </c>
      <c r="S411" s="46">
        <v>0</v>
      </c>
      <c r="T411" s="46">
        <v>300</v>
      </c>
      <c r="U411" s="46">
        <v>400</v>
      </c>
      <c r="V411" s="46">
        <v>300</v>
      </c>
      <c r="W411" s="46">
        <v>300</v>
      </c>
      <c r="X411" s="47">
        <f t="shared" si="54"/>
        <v>2500</v>
      </c>
      <c r="Y411" s="46">
        <v>400</v>
      </c>
      <c r="Z411" s="46">
        <v>400</v>
      </c>
      <c r="AA411" s="46">
        <v>400</v>
      </c>
      <c r="AB411" s="46">
        <v>200</v>
      </c>
      <c r="AC411" s="46">
        <v>200</v>
      </c>
      <c r="AD411" s="46">
        <v>200</v>
      </c>
      <c r="AE411" s="46">
        <v>200</v>
      </c>
      <c r="AF411" s="46">
        <v>200</v>
      </c>
      <c r="AG411" s="46">
        <v>200</v>
      </c>
      <c r="AH411" s="46">
        <v>200</v>
      </c>
      <c r="AI411" s="46">
        <v>200</v>
      </c>
      <c r="AJ411" s="46">
        <v>200</v>
      </c>
      <c r="AK411" s="47">
        <f t="shared" si="55"/>
        <v>3000</v>
      </c>
      <c r="AL411" s="46">
        <v>200</v>
      </c>
      <c r="AM411" s="46">
        <v>200</v>
      </c>
      <c r="AN411" s="46">
        <v>200</v>
      </c>
      <c r="AO411" s="46">
        <v>200</v>
      </c>
      <c r="AP411" s="46">
        <v>200</v>
      </c>
      <c r="AQ411" s="46">
        <v>200</v>
      </c>
      <c r="AR411" s="46">
        <v>200</v>
      </c>
      <c r="AS411" s="46">
        <v>200</v>
      </c>
      <c r="AT411" s="46">
        <v>200</v>
      </c>
      <c r="AU411" s="46">
        <v>200</v>
      </c>
      <c r="AV411" s="46">
        <v>200</v>
      </c>
      <c r="AW411" s="46">
        <v>200</v>
      </c>
      <c r="AX411" s="47">
        <f t="shared" si="56"/>
        <v>2400</v>
      </c>
      <c r="AY411" s="313">
        <f>SUMIF(Recibos!$D$4:$D$7493,Cobranza!$B411,Recibos!K$4:K$7493)</f>
        <v>200</v>
      </c>
      <c r="AZ411" s="313">
        <f>SUMIF(Recibos!$D$4:$D$7493,Cobranza!$B411,Recibos!L$4:L$7493)</f>
        <v>200</v>
      </c>
      <c r="BA411" s="313">
        <f>SUMIF(Recibos!$D$4:$D$7493,Cobranza!$B411,Recibos!M$4:M$7493)</f>
        <v>200</v>
      </c>
      <c r="BB411" s="313">
        <f>SUMIF(Recibos!$D$4:$D$7493,Cobranza!$B411,Recibos!N$4:N$7493)</f>
        <v>200</v>
      </c>
      <c r="BC411" s="313">
        <f>SUMIF(Recibos!$D$4:$D$7493,Cobranza!$B411,Recibos!O$4:O$7493)</f>
        <v>200</v>
      </c>
      <c r="BD411" s="313">
        <f>SUMIF(Recibos!$D$4:$D$7493,Cobranza!$B411,Recibos!P$4:P$7493)</f>
        <v>200</v>
      </c>
      <c r="BE411" s="313">
        <f>SUMIF(Recibos!$D$4:$D$7493,Cobranza!$B411,Recibos!Q$4:Q$7493)</f>
        <v>200</v>
      </c>
      <c r="BF411" s="313">
        <f>SUMIF(Recibos!$D$4:$D$7493,Cobranza!$B411,Recibos!R$4:R$7493)</f>
        <v>200</v>
      </c>
      <c r="BG411" s="313">
        <f>SUMIF(Recibos!$D$4:$D$7493,Cobranza!$B411,Recibos!S$4:S$7493)</f>
        <v>200</v>
      </c>
      <c r="BH411" s="313">
        <f>SUMIF(Recibos!$D$4:$D$7493,Cobranza!$B411,Recibos!T$4:T$7493)</f>
        <v>200</v>
      </c>
      <c r="BI411" s="313">
        <f>SUMIF(Recibos!$D$4:$D$7493,Cobranza!$B411,Recibos!U$4:U$7493)</f>
        <v>200</v>
      </c>
      <c r="BJ411" s="313">
        <f>SUMIF(Recibos!$D$4:$D$7493,Cobranza!$B411,Recibos!V$4:V$7493)</f>
        <v>200</v>
      </c>
      <c r="BK411" s="314">
        <f t="shared" si="57"/>
        <v>2400</v>
      </c>
      <c r="BL411" s="313">
        <f>SUMIF(Recibos!$D$4:$D$7493,Cobranza!$B411,Recibos!X$4:X$7493)</f>
        <v>200</v>
      </c>
      <c r="BM411" s="313">
        <f>SUMIF(Recibos!$D$4:$D$7493,Cobranza!$B411,Recibos!Y$4:Y$7493)</f>
        <v>200</v>
      </c>
      <c r="BN411" s="313">
        <f>SUMIF(Recibos!$D$4:$D$7493,Cobranza!$B411,Recibos!Z$4:Z$7493)</f>
        <v>200</v>
      </c>
      <c r="BO411" s="313">
        <f>SUMIF(Recibos!$D$4:$D$7493,Cobranza!$B411,Recibos!AA$4:AA$7493)</f>
        <v>200</v>
      </c>
      <c r="BP411" s="313">
        <f>SUMIF(Recibos!$D$4:$D$7493,Cobranza!$B411,Recibos!AB$4:AB$7493)</f>
        <v>200</v>
      </c>
      <c r="BQ411" s="313">
        <f>SUMIF(Recibos!$D$4:$D$7493,Cobranza!$B411,Recibos!AC$4:AC$7493)</f>
        <v>200</v>
      </c>
      <c r="BR411" s="313">
        <f>SUMIF(Recibos!$D$4:$D$7493,Cobranza!$B411,Recibos!AD$4:AD$7493)</f>
        <v>200</v>
      </c>
      <c r="BS411" s="313">
        <f>SUMIF(Recibos!$D$4:$D$7493,Cobranza!$B411,Recibos!AE$4:AE$7493)</f>
        <v>200</v>
      </c>
      <c r="BT411" s="313">
        <f>SUMIF(Recibos!$D$4:$D$7493,Cobranza!$B411,Recibos!AF$4:AF$7493)</f>
        <v>200</v>
      </c>
      <c r="BU411" s="313">
        <f>SUMIF(Recibos!$D$4:$D$7493,Cobranza!$B411,Recibos!AG$4:AG$7493)</f>
        <v>200</v>
      </c>
      <c r="BV411" s="313">
        <f>SUMIF(Recibos!$D$4:$D$7493,Cobranza!$B411,Recibos!AH$4:AH$7493)</f>
        <v>200</v>
      </c>
      <c r="BW411" s="313">
        <f>SUMIF(Recibos!$D$4:$D$7493,Cobranza!$B411,Recibos!AI$4:AI$7493)</f>
        <v>200</v>
      </c>
      <c r="BX411" s="314">
        <f t="shared" si="58"/>
        <v>2400</v>
      </c>
      <c r="BY411" s="313">
        <f>SUMIF(Recibos!$D$4:$D$7493,Cobranza!$B411,Recibos!AK$4:AK$7493)</f>
        <v>200</v>
      </c>
      <c r="BZ411" s="313">
        <f>SUMIF(Recibos!$D$4:$D$7493,Cobranza!$B411,Recibos!AL$4:AL$7493)</f>
        <v>200</v>
      </c>
      <c r="CA411" s="313">
        <f>SUMIF(Recibos!$D$4:$D$7493,Cobranza!$B411,Recibos!AM$4:AM$7493)</f>
        <v>200</v>
      </c>
      <c r="CB411" s="313">
        <f>SUMIF(Recibos!$D$4:$D$7493,Cobranza!$B411,Recibos!AN$4:AN$7493)</f>
        <v>200</v>
      </c>
      <c r="CC411" s="313">
        <f>SUMIF(Recibos!$D$4:$D$7493,Cobranza!$B411,Recibos!AO$4:AO$7493)</f>
        <v>200</v>
      </c>
      <c r="CD411" s="313">
        <f>SUMIF(Recibos!$D$4:$D$7493,Cobranza!$B411,Recibos!AP$4:AP$7493)</f>
        <v>200</v>
      </c>
      <c r="CE411" s="313">
        <f>SUMIF(Recibos!$D$4:$D$7493,Cobranza!$B411,Recibos!AQ$4:AQ$7493)</f>
        <v>200</v>
      </c>
      <c r="CF411" s="313">
        <f>SUMIF(Recibos!$D$4:$D$7493,Cobranza!$B411,Recibos!AR$4:AR$7493)</f>
        <v>200</v>
      </c>
      <c r="CG411" s="313">
        <f>SUMIF(Recibos!$D$4:$D$7493,Cobranza!$B411,Recibos!AS$4:AS$7493)</f>
        <v>200</v>
      </c>
      <c r="CH411" s="313">
        <f>SUMIF(Recibos!$D$4:$D$7493,Cobranza!$B411,Recibos!AT$4:AT$7493)</f>
        <v>200</v>
      </c>
      <c r="CI411" s="313">
        <f>SUMIF(Recibos!$D$4:$D$7493,Cobranza!$B411,Recibos!AU$4:AU$7493)</f>
        <v>0</v>
      </c>
      <c r="CJ411" s="313">
        <f>SUMIF(Recibos!$D$4:$D$7493,Cobranza!$B411,Recibos!AV$4:AV$7493)</f>
        <v>0</v>
      </c>
      <c r="CK411" s="314">
        <f t="shared" si="52"/>
        <v>2000</v>
      </c>
    </row>
    <row r="412" spans="2:89" x14ac:dyDescent="0.2">
      <c r="B412" s="42" t="s">
        <v>186</v>
      </c>
      <c r="C412" s="42" t="s">
        <v>187</v>
      </c>
      <c r="D412" s="42" t="s">
        <v>188</v>
      </c>
      <c r="E412" s="43">
        <v>0</v>
      </c>
      <c r="F412" s="43">
        <v>0</v>
      </c>
      <c r="G412" s="43">
        <v>0</v>
      </c>
      <c r="H412" s="43">
        <v>0</v>
      </c>
      <c r="I412" s="43">
        <v>0</v>
      </c>
      <c r="J412" s="43">
        <v>0</v>
      </c>
      <c r="K412" s="44">
        <f t="shared" si="53"/>
        <v>0</v>
      </c>
      <c r="L412" s="43">
        <v>300</v>
      </c>
      <c r="M412" s="43">
        <v>300</v>
      </c>
      <c r="N412" s="43">
        <v>300</v>
      </c>
      <c r="O412" s="43">
        <v>300</v>
      </c>
      <c r="P412" s="43">
        <v>300</v>
      </c>
      <c r="Q412" s="43">
        <v>300</v>
      </c>
      <c r="R412" s="43">
        <v>300</v>
      </c>
      <c r="S412" s="43">
        <v>300</v>
      </c>
      <c r="T412" s="43">
        <v>300</v>
      </c>
      <c r="U412" s="43">
        <v>400</v>
      </c>
      <c r="V412" s="43">
        <v>400</v>
      </c>
      <c r="W412" s="43">
        <v>400</v>
      </c>
      <c r="X412" s="44">
        <f t="shared" si="54"/>
        <v>3900</v>
      </c>
      <c r="Y412" s="43">
        <v>400</v>
      </c>
      <c r="Z412" s="43">
        <v>400</v>
      </c>
      <c r="AA412" s="43">
        <v>400</v>
      </c>
      <c r="AB412" s="43">
        <v>400</v>
      </c>
      <c r="AC412" s="43">
        <v>400</v>
      </c>
      <c r="AD412" s="43">
        <v>400</v>
      </c>
      <c r="AE412" s="43">
        <v>400</v>
      </c>
      <c r="AF412" s="43">
        <v>400</v>
      </c>
      <c r="AG412" s="43">
        <v>400</v>
      </c>
      <c r="AH412" s="43">
        <v>400</v>
      </c>
      <c r="AI412" s="43">
        <v>400</v>
      </c>
      <c r="AJ412" s="43">
        <v>400</v>
      </c>
      <c r="AK412" s="44">
        <f t="shared" si="55"/>
        <v>4800</v>
      </c>
      <c r="AL412" s="43">
        <v>400</v>
      </c>
      <c r="AM412" s="43">
        <v>400</v>
      </c>
      <c r="AN412" s="43">
        <v>400</v>
      </c>
      <c r="AO412" s="43">
        <v>400</v>
      </c>
      <c r="AP412" s="43">
        <v>400</v>
      </c>
      <c r="AQ412" s="43">
        <v>400</v>
      </c>
      <c r="AR412" s="43">
        <v>400</v>
      </c>
      <c r="AS412" s="43">
        <v>400</v>
      </c>
      <c r="AT412" s="43">
        <v>400</v>
      </c>
      <c r="AU412" s="43">
        <v>400</v>
      </c>
      <c r="AV412" s="43">
        <v>400</v>
      </c>
      <c r="AW412" s="43">
        <v>400</v>
      </c>
      <c r="AX412" s="44">
        <f t="shared" si="56"/>
        <v>4800</v>
      </c>
      <c r="AY412" s="311">
        <f>SUMIF(Recibos!$D$4:$D$7493,Cobranza!$B412,Recibos!K$4:K$7493)</f>
        <v>400</v>
      </c>
      <c r="AZ412" s="311">
        <f>SUMIF(Recibos!$D$4:$D$7493,Cobranza!$B412,Recibos!L$4:L$7493)</f>
        <v>400</v>
      </c>
      <c r="BA412" s="311">
        <f>SUMIF(Recibos!$D$4:$D$7493,Cobranza!$B412,Recibos!M$4:M$7493)</f>
        <v>400</v>
      </c>
      <c r="BB412" s="311">
        <f>SUMIF(Recibos!$D$4:$D$7493,Cobranza!$B412,Recibos!N$4:N$7493)</f>
        <v>400</v>
      </c>
      <c r="BC412" s="311">
        <f>SUMIF(Recibos!$D$4:$D$7493,Cobranza!$B412,Recibos!O$4:O$7493)</f>
        <v>400</v>
      </c>
      <c r="BD412" s="311">
        <f>SUMIF(Recibos!$D$4:$D$7493,Cobranza!$B412,Recibos!P$4:P$7493)</f>
        <v>400</v>
      </c>
      <c r="BE412" s="311">
        <f>SUMIF(Recibos!$D$4:$D$7493,Cobranza!$B412,Recibos!Q$4:Q$7493)</f>
        <v>400</v>
      </c>
      <c r="BF412" s="311">
        <f>SUMIF(Recibos!$D$4:$D$7493,Cobranza!$B412,Recibos!R$4:R$7493)</f>
        <v>400</v>
      </c>
      <c r="BG412" s="311">
        <f>SUMIF(Recibos!$D$4:$D$7493,Cobranza!$B412,Recibos!S$4:S$7493)</f>
        <v>400</v>
      </c>
      <c r="BH412" s="311">
        <f>SUMIF(Recibos!$D$4:$D$7493,Cobranza!$B412,Recibos!T$4:T$7493)</f>
        <v>400</v>
      </c>
      <c r="BI412" s="311">
        <f>SUMIF(Recibos!$D$4:$D$7493,Cobranza!$B412,Recibos!U$4:U$7493)</f>
        <v>400</v>
      </c>
      <c r="BJ412" s="311">
        <f>SUMIF(Recibos!$D$4:$D$7493,Cobranza!$B412,Recibos!V$4:V$7493)</f>
        <v>400</v>
      </c>
      <c r="BK412" s="312">
        <f t="shared" si="57"/>
        <v>4800</v>
      </c>
      <c r="BL412" s="311">
        <f>SUMIF(Recibos!$D$4:$D$7493,Cobranza!$B412,Recibos!X$4:X$7493)</f>
        <v>400</v>
      </c>
      <c r="BM412" s="311">
        <f>SUMIF(Recibos!$D$4:$D$7493,Cobranza!$B412,Recibos!Y$4:Y$7493)</f>
        <v>400</v>
      </c>
      <c r="BN412" s="311">
        <f>SUMIF(Recibos!$D$4:$D$7493,Cobranza!$B412,Recibos!Z$4:Z$7493)</f>
        <v>400</v>
      </c>
      <c r="BO412" s="311">
        <f>SUMIF(Recibos!$D$4:$D$7493,Cobranza!$B412,Recibos!AA$4:AA$7493)</f>
        <v>400</v>
      </c>
      <c r="BP412" s="311">
        <f>SUMIF(Recibos!$D$4:$D$7493,Cobranza!$B412,Recibos!AB$4:AB$7493)</f>
        <v>400</v>
      </c>
      <c r="BQ412" s="311">
        <f>SUMIF(Recibos!$D$4:$D$7493,Cobranza!$B412,Recibos!AC$4:AC$7493)</f>
        <v>400</v>
      </c>
      <c r="BR412" s="311">
        <f>SUMIF(Recibos!$D$4:$D$7493,Cobranza!$B412,Recibos!AD$4:AD$7493)</f>
        <v>400</v>
      </c>
      <c r="BS412" s="311">
        <f>SUMIF(Recibos!$D$4:$D$7493,Cobranza!$B412,Recibos!AE$4:AE$7493)</f>
        <v>400</v>
      </c>
      <c r="BT412" s="311">
        <f>SUMIF(Recibos!$D$4:$D$7493,Cobranza!$B412,Recibos!AF$4:AF$7493)</f>
        <v>400</v>
      </c>
      <c r="BU412" s="311">
        <f>SUMIF(Recibos!$D$4:$D$7493,Cobranza!$B412,Recibos!AG$4:AG$7493)</f>
        <v>400</v>
      </c>
      <c r="BV412" s="311">
        <f>SUMIF(Recibos!$D$4:$D$7493,Cobranza!$B412,Recibos!AH$4:AH$7493)</f>
        <v>400</v>
      </c>
      <c r="BW412" s="311">
        <f>SUMIF(Recibos!$D$4:$D$7493,Cobranza!$B412,Recibos!AI$4:AI$7493)</f>
        <v>400</v>
      </c>
      <c r="BX412" s="312">
        <f t="shared" si="58"/>
        <v>4800</v>
      </c>
      <c r="BY412" s="311">
        <f>SUMIF(Recibos!$D$4:$D$7493,Cobranza!$B412,Recibos!AK$4:AK$7493)</f>
        <v>400</v>
      </c>
      <c r="BZ412" s="311">
        <f>SUMIF(Recibos!$D$4:$D$7493,Cobranza!$B412,Recibos!AL$4:AL$7493)</f>
        <v>0</v>
      </c>
      <c r="CA412" s="311">
        <f>SUMIF(Recibos!$D$4:$D$7493,Cobranza!$B412,Recibos!AM$4:AM$7493)</f>
        <v>400</v>
      </c>
      <c r="CB412" s="311">
        <f>SUMIF(Recibos!$D$4:$D$7493,Cobranza!$B412,Recibos!AN$4:AN$7493)</f>
        <v>400</v>
      </c>
      <c r="CC412" s="311">
        <f>SUMIF(Recibos!$D$4:$D$7493,Cobranza!$B412,Recibos!AO$4:AO$7493)</f>
        <v>400</v>
      </c>
      <c r="CD412" s="311">
        <f>SUMIF(Recibos!$D$4:$D$7493,Cobranza!$B412,Recibos!AP$4:AP$7493)</f>
        <v>400</v>
      </c>
      <c r="CE412" s="311">
        <f>SUMIF(Recibos!$D$4:$D$7493,Cobranza!$B412,Recibos!AQ$4:AQ$7493)</f>
        <v>400</v>
      </c>
      <c r="CF412" s="311">
        <f>SUMIF(Recibos!$D$4:$D$7493,Cobranza!$B412,Recibos!AR$4:AR$7493)</f>
        <v>400</v>
      </c>
      <c r="CG412" s="311">
        <f>SUMIF(Recibos!$D$4:$D$7493,Cobranza!$B412,Recibos!AS$4:AS$7493)</f>
        <v>400</v>
      </c>
      <c r="CH412" s="311">
        <f>SUMIF(Recibos!$D$4:$D$7493,Cobranza!$B412,Recibos!AT$4:AT$7493)</f>
        <v>0</v>
      </c>
      <c r="CI412" s="311">
        <f>SUMIF(Recibos!$D$4:$D$7493,Cobranza!$B412,Recibos!AU$4:AU$7493)</f>
        <v>0</v>
      </c>
      <c r="CJ412" s="311">
        <f>SUMIF(Recibos!$D$4:$D$7493,Cobranza!$B412,Recibos!AV$4:AV$7493)</f>
        <v>0</v>
      </c>
      <c r="CK412" s="312">
        <f t="shared" si="52"/>
        <v>3200</v>
      </c>
    </row>
    <row r="413" spans="2:89" x14ac:dyDescent="0.2">
      <c r="B413" s="45" t="s">
        <v>361</v>
      </c>
      <c r="C413" s="45" t="s">
        <v>362</v>
      </c>
      <c r="D413" s="45" t="s">
        <v>363</v>
      </c>
      <c r="E413" s="46">
        <v>0</v>
      </c>
      <c r="F413" s="46">
        <v>0</v>
      </c>
      <c r="G413" s="46">
        <v>0</v>
      </c>
      <c r="H413" s="46">
        <v>0</v>
      </c>
      <c r="I413" s="46">
        <v>0</v>
      </c>
      <c r="J413" s="46">
        <v>0</v>
      </c>
      <c r="K413" s="47">
        <f t="shared" si="53"/>
        <v>0</v>
      </c>
      <c r="L413" s="46">
        <v>300</v>
      </c>
      <c r="M413" s="46">
        <v>300</v>
      </c>
      <c r="N413" s="46">
        <v>300</v>
      </c>
      <c r="O413" s="46">
        <v>300</v>
      </c>
      <c r="P413" s="46">
        <v>300</v>
      </c>
      <c r="Q413" s="46">
        <v>300</v>
      </c>
      <c r="R413" s="46">
        <v>300</v>
      </c>
      <c r="S413" s="46">
        <v>300</v>
      </c>
      <c r="T413" s="46">
        <v>300</v>
      </c>
      <c r="U413" s="46">
        <v>300</v>
      </c>
      <c r="V413" s="46">
        <v>400</v>
      </c>
      <c r="W413" s="46">
        <v>400</v>
      </c>
      <c r="X413" s="47">
        <f t="shared" si="54"/>
        <v>3800</v>
      </c>
      <c r="Y413" s="46">
        <v>400</v>
      </c>
      <c r="Z413" s="46">
        <v>400</v>
      </c>
      <c r="AA413" s="46">
        <v>400</v>
      </c>
      <c r="AB413" s="46">
        <v>400</v>
      </c>
      <c r="AC413" s="46">
        <v>400</v>
      </c>
      <c r="AD413" s="46">
        <v>400</v>
      </c>
      <c r="AE413" s="46">
        <v>400</v>
      </c>
      <c r="AF413" s="46">
        <v>400</v>
      </c>
      <c r="AG413" s="46">
        <v>400</v>
      </c>
      <c r="AH413" s="46">
        <v>400</v>
      </c>
      <c r="AI413" s="46">
        <v>400</v>
      </c>
      <c r="AJ413" s="46">
        <v>400</v>
      </c>
      <c r="AK413" s="47">
        <f t="shared" si="55"/>
        <v>4800</v>
      </c>
      <c r="AL413" s="46">
        <v>400</v>
      </c>
      <c r="AM413" s="46">
        <v>400</v>
      </c>
      <c r="AN413" s="46">
        <v>400</v>
      </c>
      <c r="AO413" s="46">
        <v>400</v>
      </c>
      <c r="AP413" s="46">
        <v>400</v>
      </c>
      <c r="AQ413" s="46">
        <v>400</v>
      </c>
      <c r="AR413" s="46">
        <v>400</v>
      </c>
      <c r="AS413" s="46">
        <v>400</v>
      </c>
      <c r="AT413" s="46">
        <v>400</v>
      </c>
      <c r="AU413" s="46">
        <v>400</v>
      </c>
      <c r="AV413" s="46">
        <v>400</v>
      </c>
      <c r="AW413" s="46">
        <v>400</v>
      </c>
      <c r="AX413" s="47">
        <f t="shared" si="56"/>
        <v>4800</v>
      </c>
      <c r="AY413" s="313">
        <f>SUMIF(Recibos!$D$4:$D$7493,Cobranza!$B413,Recibos!K$4:K$7493)</f>
        <v>400</v>
      </c>
      <c r="AZ413" s="313">
        <f>SUMIF(Recibos!$D$4:$D$7493,Cobranza!$B413,Recibos!L$4:L$7493)</f>
        <v>400</v>
      </c>
      <c r="BA413" s="313">
        <f>SUMIF(Recibos!$D$4:$D$7493,Cobranza!$B413,Recibos!M$4:M$7493)</f>
        <v>400</v>
      </c>
      <c r="BB413" s="313">
        <f>SUMIF(Recibos!$D$4:$D$7493,Cobranza!$B413,Recibos!N$4:N$7493)</f>
        <v>400</v>
      </c>
      <c r="BC413" s="313">
        <f>SUMIF(Recibos!$D$4:$D$7493,Cobranza!$B413,Recibos!O$4:O$7493)</f>
        <v>400</v>
      </c>
      <c r="BD413" s="313">
        <f>SUMIF(Recibos!$D$4:$D$7493,Cobranza!$B413,Recibos!P$4:P$7493)</f>
        <v>400</v>
      </c>
      <c r="BE413" s="313">
        <f>SUMIF(Recibos!$D$4:$D$7493,Cobranza!$B413,Recibos!Q$4:Q$7493)</f>
        <v>400</v>
      </c>
      <c r="BF413" s="313">
        <f>SUMIF(Recibos!$D$4:$D$7493,Cobranza!$B413,Recibos!R$4:R$7493)</f>
        <v>400</v>
      </c>
      <c r="BG413" s="313">
        <f>SUMIF(Recibos!$D$4:$D$7493,Cobranza!$B413,Recibos!S$4:S$7493)</f>
        <v>400</v>
      </c>
      <c r="BH413" s="313">
        <f>SUMIF(Recibos!$D$4:$D$7493,Cobranza!$B413,Recibos!T$4:T$7493)</f>
        <v>400</v>
      </c>
      <c r="BI413" s="313">
        <f>SUMIF(Recibos!$D$4:$D$7493,Cobranza!$B413,Recibos!U$4:U$7493)</f>
        <v>400</v>
      </c>
      <c r="BJ413" s="313">
        <f>SUMIF(Recibos!$D$4:$D$7493,Cobranza!$B413,Recibos!V$4:V$7493)</f>
        <v>400</v>
      </c>
      <c r="BK413" s="314">
        <f t="shared" si="57"/>
        <v>4800</v>
      </c>
      <c r="BL413" s="313">
        <f>SUMIF(Recibos!$D$4:$D$7493,Cobranza!$B413,Recibos!X$4:X$7493)</f>
        <v>400</v>
      </c>
      <c r="BM413" s="313">
        <f>SUMIF(Recibos!$D$4:$D$7493,Cobranza!$B413,Recibos!Y$4:Y$7493)</f>
        <v>400</v>
      </c>
      <c r="BN413" s="313">
        <f>SUMIF(Recibos!$D$4:$D$7493,Cobranza!$B413,Recibos!Z$4:Z$7493)</f>
        <v>400</v>
      </c>
      <c r="BO413" s="313">
        <f>SUMIF(Recibos!$D$4:$D$7493,Cobranza!$B413,Recibos!AA$4:AA$7493)</f>
        <v>400</v>
      </c>
      <c r="BP413" s="313">
        <f>SUMIF(Recibos!$D$4:$D$7493,Cobranza!$B413,Recibos!AB$4:AB$7493)</f>
        <v>400</v>
      </c>
      <c r="BQ413" s="313">
        <f>SUMIF(Recibos!$D$4:$D$7493,Cobranza!$B413,Recibos!AC$4:AC$7493)</f>
        <v>400</v>
      </c>
      <c r="BR413" s="313">
        <f>SUMIF(Recibos!$D$4:$D$7493,Cobranza!$B413,Recibos!AD$4:AD$7493)</f>
        <v>400</v>
      </c>
      <c r="BS413" s="313">
        <f>SUMIF(Recibos!$D$4:$D$7493,Cobranza!$B413,Recibos!AE$4:AE$7493)</f>
        <v>400</v>
      </c>
      <c r="BT413" s="313">
        <f>SUMIF(Recibos!$D$4:$D$7493,Cobranza!$B413,Recibos!AF$4:AF$7493)</f>
        <v>400</v>
      </c>
      <c r="BU413" s="313">
        <f>SUMIF(Recibos!$D$4:$D$7493,Cobranza!$B413,Recibos!AG$4:AG$7493)</f>
        <v>400</v>
      </c>
      <c r="BV413" s="313">
        <f>SUMIF(Recibos!$D$4:$D$7493,Cobranza!$B413,Recibos!AH$4:AH$7493)</f>
        <v>400</v>
      </c>
      <c r="BW413" s="313">
        <f>SUMIF(Recibos!$D$4:$D$7493,Cobranza!$B413,Recibos!AI$4:AI$7493)</f>
        <v>400</v>
      </c>
      <c r="BX413" s="314">
        <f t="shared" si="58"/>
        <v>4800</v>
      </c>
      <c r="BY413" s="313">
        <f>SUMIF(Recibos!$D$4:$D$7493,Cobranza!$B413,Recibos!AK$4:AK$7493)</f>
        <v>400</v>
      </c>
      <c r="BZ413" s="313">
        <f>SUMIF(Recibos!$D$4:$D$7493,Cobranza!$B413,Recibos!AL$4:AL$7493)</f>
        <v>400</v>
      </c>
      <c r="CA413" s="313">
        <f>SUMIF(Recibos!$D$4:$D$7493,Cobranza!$B413,Recibos!AM$4:AM$7493)</f>
        <v>400</v>
      </c>
      <c r="CB413" s="313">
        <f>SUMIF(Recibos!$D$4:$D$7493,Cobranza!$B413,Recibos!AN$4:AN$7493)</f>
        <v>400</v>
      </c>
      <c r="CC413" s="313">
        <f>SUMIF(Recibos!$D$4:$D$7493,Cobranza!$B413,Recibos!AO$4:AO$7493)</f>
        <v>400</v>
      </c>
      <c r="CD413" s="313">
        <f>SUMIF(Recibos!$D$4:$D$7493,Cobranza!$B413,Recibos!AP$4:AP$7493)</f>
        <v>400</v>
      </c>
      <c r="CE413" s="313">
        <f>SUMIF(Recibos!$D$4:$D$7493,Cobranza!$B413,Recibos!AQ$4:AQ$7493)</f>
        <v>400</v>
      </c>
      <c r="CF413" s="313">
        <f>SUMIF(Recibos!$D$4:$D$7493,Cobranza!$B413,Recibos!AR$4:AR$7493)</f>
        <v>400</v>
      </c>
      <c r="CG413" s="313">
        <f>SUMIF(Recibos!$D$4:$D$7493,Cobranza!$B413,Recibos!AS$4:AS$7493)</f>
        <v>400</v>
      </c>
      <c r="CH413" s="313">
        <f>SUMIF(Recibos!$D$4:$D$7493,Cobranza!$B413,Recibos!AT$4:AT$7493)</f>
        <v>400</v>
      </c>
      <c r="CI413" s="313">
        <f>SUMIF(Recibos!$D$4:$D$7493,Cobranza!$B413,Recibos!AU$4:AU$7493)</f>
        <v>400</v>
      </c>
      <c r="CJ413" s="313">
        <f>SUMIF(Recibos!$D$4:$D$7493,Cobranza!$B413,Recibos!AV$4:AV$7493)</f>
        <v>0</v>
      </c>
      <c r="CK413" s="314">
        <f t="shared" si="52"/>
        <v>4400</v>
      </c>
    </row>
    <row r="414" spans="2:89" x14ac:dyDescent="0.2">
      <c r="B414" s="42" t="s">
        <v>1444</v>
      </c>
      <c r="C414" s="42" t="s">
        <v>1445</v>
      </c>
      <c r="D414" s="42"/>
      <c r="E414" s="43">
        <v>0</v>
      </c>
      <c r="F414" s="43">
        <v>0</v>
      </c>
      <c r="G414" s="43">
        <v>0</v>
      </c>
      <c r="H414" s="43">
        <v>0</v>
      </c>
      <c r="I414" s="43">
        <v>0</v>
      </c>
      <c r="J414" s="43">
        <v>0</v>
      </c>
      <c r="K414" s="44">
        <f t="shared" si="53"/>
        <v>0</v>
      </c>
      <c r="L414" s="43">
        <v>0</v>
      </c>
      <c r="M414" s="43">
        <v>0</v>
      </c>
      <c r="N414" s="43">
        <v>0</v>
      </c>
      <c r="O414" s="43">
        <v>0</v>
      </c>
      <c r="P414" s="43">
        <v>0</v>
      </c>
      <c r="Q414" s="43">
        <v>0</v>
      </c>
      <c r="R414" s="43">
        <v>0</v>
      </c>
      <c r="S414" s="43">
        <v>0</v>
      </c>
      <c r="T414" s="43">
        <v>0</v>
      </c>
      <c r="U414" s="43">
        <v>0</v>
      </c>
      <c r="V414" s="43">
        <v>0</v>
      </c>
      <c r="W414" s="43">
        <v>0</v>
      </c>
      <c r="X414" s="44">
        <f t="shared" si="54"/>
        <v>0</v>
      </c>
      <c r="Y414" s="43">
        <v>0</v>
      </c>
      <c r="Z414" s="43">
        <v>0</v>
      </c>
      <c r="AA414" s="43">
        <v>0</v>
      </c>
      <c r="AB414" s="43">
        <v>0</v>
      </c>
      <c r="AC414" s="43">
        <v>0</v>
      </c>
      <c r="AD414" s="43">
        <v>0</v>
      </c>
      <c r="AE414" s="43">
        <v>0</v>
      </c>
      <c r="AF414" s="43">
        <v>0</v>
      </c>
      <c r="AG414" s="43">
        <v>0</v>
      </c>
      <c r="AH414" s="43">
        <v>0</v>
      </c>
      <c r="AI414" s="43">
        <v>0</v>
      </c>
      <c r="AJ414" s="43">
        <v>0</v>
      </c>
      <c r="AK414" s="44">
        <f t="shared" si="55"/>
        <v>0</v>
      </c>
      <c r="AL414" s="43">
        <v>0</v>
      </c>
      <c r="AM414" s="43">
        <v>0</v>
      </c>
      <c r="AN414" s="43">
        <v>0</v>
      </c>
      <c r="AO414" s="43">
        <v>0</v>
      </c>
      <c r="AP414" s="43">
        <v>0</v>
      </c>
      <c r="AQ414" s="43">
        <v>0</v>
      </c>
      <c r="AR414" s="43">
        <v>0</v>
      </c>
      <c r="AS414" s="43">
        <v>0</v>
      </c>
      <c r="AT414" s="43">
        <v>0</v>
      </c>
      <c r="AU414" s="43">
        <v>0</v>
      </c>
      <c r="AV414" s="43">
        <v>0</v>
      </c>
      <c r="AW414" s="43">
        <v>0</v>
      </c>
      <c r="AX414" s="44">
        <f t="shared" si="56"/>
        <v>0</v>
      </c>
      <c r="AY414" s="311">
        <f>SUMIF(Recibos!$D$4:$D$7493,Cobranza!$B414,Recibos!K$4:K$7493)</f>
        <v>0</v>
      </c>
      <c r="AZ414" s="311">
        <f>SUMIF(Recibos!$D$4:$D$7493,Cobranza!$B414,Recibos!L$4:L$7493)</f>
        <v>0</v>
      </c>
      <c r="BA414" s="311">
        <f>SUMIF(Recibos!$D$4:$D$7493,Cobranza!$B414,Recibos!M$4:M$7493)</f>
        <v>0</v>
      </c>
      <c r="BB414" s="311">
        <f>SUMIF(Recibos!$D$4:$D$7493,Cobranza!$B414,Recibos!N$4:N$7493)</f>
        <v>0</v>
      </c>
      <c r="BC414" s="311">
        <f>SUMIF(Recibos!$D$4:$D$7493,Cobranza!$B414,Recibos!O$4:O$7493)</f>
        <v>0</v>
      </c>
      <c r="BD414" s="311">
        <f>SUMIF(Recibos!$D$4:$D$7493,Cobranza!$B414,Recibos!P$4:P$7493)</f>
        <v>0</v>
      </c>
      <c r="BE414" s="311">
        <f>SUMIF(Recibos!$D$4:$D$7493,Cobranza!$B414,Recibos!Q$4:Q$7493)</f>
        <v>0</v>
      </c>
      <c r="BF414" s="311">
        <f>SUMIF(Recibos!$D$4:$D$7493,Cobranza!$B414,Recibos!R$4:R$7493)</f>
        <v>0</v>
      </c>
      <c r="BG414" s="311">
        <f>SUMIF(Recibos!$D$4:$D$7493,Cobranza!$B414,Recibos!S$4:S$7493)</f>
        <v>0</v>
      </c>
      <c r="BH414" s="311">
        <f>SUMIF(Recibos!$D$4:$D$7493,Cobranza!$B414,Recibos!T$4:T$7493)</f>
        <v>0</v>
      </c>
      <c r="BI414" s="311">
        <f>SUMIF(Recibos!$D$4:$D$7493,Cobranza!$B414,Recibos!U$4:U$7493)</f>
        <v>0</v>
      </c>
      <c r="BJ414" s="311">
        <f>SUMIF(Recibos!$D$4:$D$7493,Cobranza!$B414,Recibos!V$4:V$7493)</f>
        <v>0</v>
      </c>
      <c r="BK414" s="312">
        <f t="shared" si="57"/>
        <v>0</v>
      </c>
      <c r="BL414" s="311">
        <f>SUMIF(Recibos!$D$4:$D$7493,Cobranza!$B414,Recibos!X$4:X$7493)</f>
        <v>0</v>
      </c>
      <c r="BM414" s="311">
        <f>SUMIF(Recibos!$D$4:$D$7493,Cobranza!$B414,Recibos!Y$4:Y$7493)</f>
        <v>0</v>
      </c>
      <c r="BN414" s="311">
        <f>SUMIF(Recibos!$D$4:$D$7493,Cobranza!$B414,Recibos!Z$4:Z$7493)</f>
        <v>0</v>
      </c>
      <c r="BO414" s="311">
        <f>SUMIF(Recibos!$D$4:$D$7493,Cobranza!$B414,Recibos!AA$4:AA$7493)</f>
        <v>0</v>
      </c>
      <c r="BP414" s="311">
        <f>SUMIF(Recibos!$D$4:$D$7493,Cobranza!$B414,Recibos!AB$4:AB$7493)</f>
        <v>0</v>
      </c>
      <c r="BQ414" s="311">
        <f>SUMIF(Recibos!$D$4:$D$7493,Cobranza!$B414,Recibos!AC$4:AC$7493)</f>
        <v>0</v>
      </c>
      <c r="BR414" s="311">
        <f>SUMIF(Recibos!$D$4:$D$7493,Cobranza!$B414,Recibos!AD$4:AD$7493)</f>
        <v>0</v>
      </c>
      <c r="BS414" s="311">
        <f>SUMIF(Recibos!$D$4:$D$7493,Cobranza!$B414,Recibos!AE$4:AE$7493)</f>
        <v>0</v>
      </c>
      <c r="BT414" s="311">
        <f>SUMIF(Recibos!$D$4:$D$7493,Cobranza!$B414,Recibos!AF$4:AF$7493)</f>
        <v>0</v>
      </c>
      <c r="BU414" s="311">
        <f>SUMIF(Recibos!$D$4:$D$7493,Cobranza!$B414,Recibos!AG$4:AG$7493)</f>
        <v>0</v>
      </c>
      <c r="BV414" s="311">
        <f>SUMIF(Recibos!$D$4:$D$7493,Cobranza!$B414,Recibos!AH$4:AH$7493)</f>
        <v>0</v>
      </c>
      <c r="BW414" s="311">
        <f>SUMIF(Recibos!$D$4:$D$7493,Cobranza!$B414,Recibos!AI$4:AI$7493)</f>
        <v>0</v>
      </c>
      <c r="BX414" s="312">
        <f t="shared" si="58"/>
        <v>0</v>
      </c>
      <c r="BY414" s="311">
        <f>SUMIF(Recibos!$D$4:$D$7493,Cobranza!$B414,Recibos!AK$4:AK$7493)</f>
        <v>0</v>
      </c>
      <c r="BZ414" s="311">
        <f>SUMIF(Recibos!$D$4:$D$7493,Cobranza!$B414,Recibos!AL$4:AL$7493)</f>
        <v>0</v>
      </c>
      <c r="CA414" s="311">
        <f>SUMIF(Recibos!$D$4:$D$7493,Cobranza!$B414,Recibos!AM$4:AM$7493)</f>
        <v>0</v>
      </c>
      <c r="CB414" s="311">
        <f>SUMIF(Recibos!$D$4:$D$7493,Cobranza!$B414,Recibos!AN$4:AN$7493)</f>
        <v>0</v>
      </c>
      <c r="CC414" s="311">
        <f>SUMIF(Recibos!$D$4:$D$7493,Cobranza!$B414,Recibos!AO$4:AO$7493)</f>
        <v>0</v>
      </c>
      <c r="CD414" s="311">
        <f>SUMIF(Recibos!$D$4:$D$7493,Cobranza!$B414,Recibos!AP$4:AP$7493)</f>
        <v>0</v>
      </c>
      <c r="CE414" s="311">
        <f>SUMIF(Recibos!$D$4:$D$7493,Cobranza!$B414,Recibos!AQ$4:AQ$7493)</f>
        <v>0</v>
      </c>
      <c r="CF414" s="311">
        <f>SUMIF(Recibos!$D$4:$D$7493,Cobranza!$B414,Recibos!AR$4:AR$7493)</f>
        <v>0</v>
      </c>
      <c r="CG414" s="311">
        <f>SUMIF(Recibos!$D$4:$D$7493,Cobranza!$B414,Recibos!AS$4:AS$7493)</f>
        <v>0</v>
      </c>
      <c r="CH414" s="311">
        <f>SUMIF(Recibos!$D$4:$D$7493,Cobranza!$B414,Recibos!AT$4:AT$7493)</f>
        <v>0</v>
      </c>
      <c r="CI414" s="311">
        <f>SUMIF(Recibos!$D$4:$D$7493,Cobranza!$B414,Recibos!AU$4:AU$7493)</f>
        <v>0</v>
      </c>
      <c r="CJ414" s="311">
        <f>SUMIF(Recibos!$D$4:$D$7493,Cobranza!$B414,Recibos!AV$4:AV$7493)</f>
        <v>0</v>
      </c>
      <c r="CK414" s="312">
        <f t="shared" si="52"/>
        <v>0</v>
      </c>
    </row>
    <row r="415" spans="2:89" x14ac:dyDescent="0.2">
      <c r="B415" s="45" t="s">
        <v>1110</v>
      </c>
      <c r="C415" s="45" t="s">
        <v>1111</v>
      </c>
      <c r="D415" s="45" t="s">
        <v>657</v>
      </c>
      <c r="E415" s="46">
        <v>0</v>
      </c>
      <c r="F415" s="46">
        <v>0</v>
      </c>
      <c r="G415" s="46">
        <v>0</v>
      </c>
      <c r="H415" s="46">
        <v>0</v>
      </c>
      <c r="I415" s="46">
        <v>0</v>
      </c>
      <c r="J415" s="46">
        <v>0</v>
      </c>
      <c r="K415" s="47">
        <f t="shared" si="53"/>
        <v>0</v>
      </c>
      <c r="L415" s="46">
        <v>300</v>
      </c>
      <c r="M415" s="46">
        <v>300</v>
      </c>
      <c r="N415" s="46">
        <v>300</v>
      </c>
      <c r="O415" s="46">
        <v>300</v>
      </c>
      <c r="P415" s="46">
        <v>300</v>
      </c>
      <c r="Q415" s="46">
        <v>300</v>
      </c>
      <c r="R415" s="46">
        <v>300</v>
      </c>
      <c r="S415" s="46">
        <v>300</v>
      </c>
      <c r="T415" s="46">
        <v>300</v>
      </c>
      <c r="U415" s="46">
        <v>300</v>
      </c>
      <c r="V415" s="46">
        <v>300</v>
      </c>
      <c r="W415" s="46">
        <v>0</v>
      </c>
      <c r="X415" s="47">
        <f t="shared" si="54"/>
        <v>3300</v>
      </c>
      <c r="Y415" s="46">
        <v>0</v>
      </c>
      <c r="Z415" s="46">
        <v>0</v>
      </c>
      <c r="AA415" s="46">
        <v>0</v>
      </c>
      <c r="AB415" s="46">
        <v>0</v>
      </c>
      <c r="AC415" s="46">
        <v>0</v>
      </c>
      <c r="AD415" s="46">
        <v>0</v>
      </c>
      <c r="AE415" s="46">
        <v>0</v>
      </c>
      <c r="AF415" s="46">
        <v>0</v>
      </c>
      <c r="AG415" s="46">
        <v>0</v>
      </c>
      <c r="AH415" s="46">
        <v>0</v>
      </c>
      <c r="AI415" s="46">
        <v>0</v>
      </c>
      <c r="AJ415" s="46">
        <v>0</v>
      </c>
      <c r="AK415" s="47">
        <f t="shared" si="55"/>
        <v>0</v>
      </c>
      <c r="AL415" s="46">
        <v>0</v>
      </c>
      <c r="AM415" s="46">
        <v>0</v>
      </c>
      <c r="AN415" s="46">
        <v>0</v>
      </c>
      <c r="AO415" s="46">
        <v>0</v>
      </c>
      <c r="AP415" s="46">
        <v>0</v>
      </c>
      <c r="AQ415" s="46">
        <v>0</v>
      </c>
      <c r="AR415" s="46">
        <v>0</v>
      </c>
      <c r="AS415" s="46">
        <v>0</v>
      </c>
      <c r="AT415" s="46">
        <v>0</v>
      </c>
      <c r="AU415" s="46">
        <v>0</v>
      </c>
      <c r="AV415" s="46">
        <v>0</v>
      </c>
      <c r="AW415" s="46">
        <v>0</v>
      </c>
      <c r="AX415" s="47">
        <f t="shared" si="56"/>
        <v>0</v>
      </c>
      <c r="AY415" s="313">
        <f>SUMIF(Recibos!$D$4:$D$7493,Cobranza!$B415,Recibos!K$4:K$7493)</f>
        <v>0</v>
      </c>
      <c r="AZ415" s="313">
        <f>SUMIF(Recibos!$D$4:$D$7493,Cobranza!$B415,Recibos!L$4:L$7493)</f>
        <v>0</v>
      </c>
      <c r="BA415" s="313">
        <f>SUMIF(Recibos!$D$4:$D$7493,Cobranza!$B415,Recibos!M$4:M$7493)</f>
        <v>0</v>
      </c>
      <c r="BB415" s="313">
        <f>SUMIF(Recibos!$D$4:$D$7493,Cobranza!$B415,Recibos!N$4:N$7493)</f>
        <v>0</v>
      </c>
      <c r="BC415" s="313">
        <f>SUMIF(Recibos!$D$4:$D$7493,Cobranza!$B415,Recibos!O$4:O$7493)</f>
        <v>0</v>
      </c>
      <c r="BD415" s="313">
        <f>SUMIF(Recibos!$D$4:$D$7493,Cobranza!$B415,Recibos!P$4:P$7493)</f>
        <v>0</v>
      </c>
      <c r="BE415" s="313">
        <f>SUMIF(Recibos!$D$4:$D$7493,Cobranza!$B415,Recibos!Q$4:Q$7493)</f>
        <v>400</v>
      </c>
      <c r="BF415" s="313">
        <f>SUMIF(Recibos!$D$4:$D$7493,Cobranza!$B415,Recibos!R$4:R$7493)</f>
        <v>400</v>
      </c>
      <c r="BG415" s="313">
        <f>SUMIF(Recibos!$D$4:$D$7493,Cobranza!$B415,Recibos!S$4:S$7493)</f>
        <v>0</v>
      </c>
      <c r="BH415" s="313">
        <f>SUMIF(Recibos!$D$4:$D$7493,Cobranza!$B415,Recibos!T$4:T$7493)</f>
        <v>0</v>
      </c>
      <c r="BI415" s="313">
        <f>SUMIF(Recibos!$D$4:$D$7493,Cobranza!$B415,Recibos!U$4:U$7493)</f>
        <v>0</v>
      </c>
      <c r="BJ415" s="313">
        <f>SUMIF(Recibos!$D$4:$D$7493,Cobranza!$B415,Recibos!V$4:V$7493)</f>
        <v>0</v>
      </c>
      <c r="BK415" s="314">
        <f t="shared" si="57"/>
        <v>800</v>
      </c>
      <c r="BL415" s="313">
        <f>SUMIF(Recibos!$D$4:$D$7493,Cobranza!$B415,Recibos!X$4:X$7493)</f>
        <v>0</v>
      </c>
      <c r="BM415" s="313">
        <f>SUMIF(Recibos!$D$4:$D$7493,Cobranza!$B415,Recibos!Y$4:Y$7493)</f>
        <v>0</v>
      </c>
      <c r="BN415" s="313">
        <f>SUMIF(Recibos!$D$4:$D$7493,Cobranza!$B415,Recibos!Z$4:Z$7493)</f>
        <v>0</v>
      </c>
      <c r="BO415" s="313">
        <f>SUMIF(Recibos!$D$4:$D$7493,Cobranza!$B415,Recibos!AA$4:AA$7493)</f>
        <v>0</v>
      </c>
      <c r="BP415" s="313">
        <f>SUMIF(Recibos!$D$4:$D$7493,Cobranza!$B415,Recibos!AB$4:AB$7493)</f>
        <v>0</v>
      </c>
      <c r="BQ415" s="313">
        <f>SUMIF(Recibos!$D$4:$D$7493,Cobranza!$B415,Recibos!AC$4:AC$7493)</f>
        <v>0</v>
      </c>
      <c r="BR415" s="313">
        <f>SUMIF(Recibos!$D$4:$D$7493,Cobranza!$B415,Recibos!AD$4:AD$7493)</f>
        <v>0</v>
      </c>
      <c r="BS415" s="313">
        <f>SUMIF(Recibos!$D$4:$D$7493,Cobranza!$B415,Recibos!AE$4:AE$7493)</f>
        <v>0</v>
      </c>
      <c r="BT415" s="313">
        <f>SUMIF(Recibos!$D$4:$D$7493,Cobranza!$B415,Recibos!AF$4:AF$7493)</f>
        <v>0</v>
      </c>
      <c r="BU415" s="313">
        <f>SUMIF(Recibos!$D$4:$D$7493,Cobranza!$B415,Recibos!AG$4:AG$7493)</f>
        <v>0</v>
      </c>
      <c r="BV415" s="313">
        <f>SUMIF(Recibos!$D$4:$D$7493,Cobranza!$B415,Recibos!AH$4:AH$7493)</f>
        <v>0</v>
      </c>
      <c r="BW415" s="313">
        <f>SUMIF(Recibos!$D$4:$D$7493,Cobranza!$B415,Recibos!AI$4:AI$7493)</f>
        <v>0</v>
      </c>
      <c r="BX415" s="314">
        <f t="shared" si="58"/>
        <v>0</v>
      </c>
      <c r="BY415" s="313">
        <f>SUMIF(Recibos!$D$4:$D$7493,Cobranza!$B415,Recibos!AK$4:AK$7493)</f>
        <v>400</v>
      </c>
      <c r="BZ415" s="313">
        <f>SUMIF(Recibos!$D$4:$D$7493,Cobranza!$B415,Recibos!AL$4:AL$7493)</f>
        <v>400</v>
      </c>
      <c r="CA415" s="313">
        <f>SUMIF(Recibos!$D$4:$D$7493,Cobranza!$B415,Recibos!AM$4:AM$7493)</f>
        <v>400</v>
      </c>
      <c r="CB415" s="313">
        <f>SUMIF(Recibos!$D$4:$D$7493,Cobranza!$B415,Recibos!AN$4:AN$7493)</f>
        <v>400</v>
      </c>
      <c r="CC415" s="313">
        <f>SUMIF(Recibos!$D$4:$D$7493,Cobranza!$B415,Recibos!AO$4:AO$7493)</f>
        <v>400</v>
      </c>
      <c r="CD415" s="313">
        <f>SUMIF(Recibos!$D$4:$D$7493,Cobranza!$B415,Recibos!AP$4:AP$7493)</f>
        <v>400</v>
      </c>
      <c r="CE415" s="313">
        <f>SUMIF(Recibos!$D$4:$D$7493,Cobranza!$B415,Recibos!AQ$4:AQ$7493)</f>
        <v>400</v>
      </c>
      <c r="CF415" s="313">
        <f>SUMIF(Recibos!$D$4:$D$7493,Cobranza!$B415,Recibos!AR$4:AR$7493)</f>
        <v>400</v>
      </c>
      <c r="CG415" s="313">
        <f>SUMIF(Recibos!$D$4:$D$7493,Cobranza!$B415,Recibos!AS$4:AS$7493)</f>
        <v>400</v>
      </c>
      <c r="CH415" s="313">
        <f>SUMIF(Recibos!$D$4:$D$7493,Cobranza!$B415,Recibos!AT$4:AT$7493)</f>
        <v>0</v>
      </c>
      <c r="CI415" s="313">
        <f>SUMIF(Recibos!$D$4:$D$7493,Cobranza!$B415,Recibos!AU$4:AU$7493)</f>
        <v>0</v>
      </c>
      <c r="CJ415" s="313">
        <f>SUMIF(Recibos!$D$4:$D$7493,Cobranza!$B415,Recibos!AV$4:AV$7493)</f>
        <v>0</v>
      </c>
      <c r="CK415" s="314">
        <f t="shared" si="52"/>
        <v>3600</v>
      </c>
    </row>
    <row r="416" spans="2:89" x14ac:dyDescent="0.2">
      <c r="B416" s="42" t="s">
        <v>944</v>
      </c>
      <c r="C416" s="42" t="s">
        <v>945</v>
      </c>
      <c r="D416" s="42" t="s">
        <v>946</v>
      </c>
      <c r="E416" s="43">
        <v>0</v>
      </c>
      <c r="F416" s="43">
        <v>0</v>
      </c>
      <c r="G416" s="43">
        <v>0</v>
      </c>
      <c r="H416" s="43">
        <v>0</v>
      </c>
      <c r="I416" s="43">
        <v>0</v>
      </c>
      <c r="J416" s="43">
        <v>300</v>
      </c>
      <c r="K416" s="44">
        <f t="shared" si="53"/>
        <v>300</v>
      </c>
      <c r="L416" s="43">
        <v>300</v>
      </c>
      <c r="M416" s="43">
        <v>300</v>
      </c>
      <c r="N416" s="43">
        <v>300</v>
      </c>
      <c r="O416" s="43">
        <v>300</v>
      </c>
      <c r="P416" s="43">
        <v>300</v>
      </c>
      <c r="Q416" s="43">
        <v>300</v>
      </c>
      <c r="R416" s="43">
        <v>300</v>
      </c>
      <c r="S416" s="43">
        <v>300</v>
      </c>
      <c r="T416" s="43">
        <v>300</v>
      </c>
      <c r="U416" s="43">
        <v>400</v>
      </c>
      <c r="V416" s="43">
        <v>400</v>
      </c>
      <c r="W416" s="43">
        <v>400</v>
      </c>
      <c r="X416" s="44">
        <f t="shared" si="54"/>
        <v>3900</v>
      </c>
      <c r="Y416" s="43">
        <v>400</v>
      </c>
      <c r="Z416" s="43">
        <v>400</v>
      </c>
      <c r="AA416" s="43">
        <v>400</v>
      </c>
      <c r="AB416" s="43">
        <v>100</v>
      </c>
      <c r="AC416" s="43">
        <v>100</v>
      </c>
      <c r="AD416" s="43">
        <v>100</v>
      </c>
      <c r="AE416" s="43">
        <v>100</v>
      </c>
      <c r="AF416" s="43">
        <v>100</v>
      </c>
      <c r="AG416" s="43">
        <v>100</v>
      </c>
      <c r="AH416" s="43">
        <v>100</v>
      </c>
      <c r="AI416" s="43">
        <v>100</v>
      </c>
      <c r="AJ416" s="43">
        <v>100</v>
      </c>
      <c r="AK416" s="44">
        <f t="shared" si="55"/>
        <v>2100</v>
      </c>
      <c r="AL416" s="43">
        <v>100</v>
      </c>
      <c r="AM416" s="43">
        <v>100</v>
      </c>
      <c r="AN416" s="43">
        <v>100</v>
      </c>
      <c r="AO416" s="43">
        <v>100</v>
      </c>
      <c r="AP416" s="43">
        <v>100</v>
      </c>
      <c r="AQ416" s="43">
        <v>0</v>
      </c>
      <c r="AR416" s="43">
        <v>0</v>
      </c>
      <c r="AS416" s="43">
        <v>0</v>
      </c>
      <c r="AT416" s="43">
        <v>400</v>
      </c>
      <c r="AU416" s="43">
        <v>400</v>
      </c>
      <c r="AV416" s="43">
        <v>0</v>
      </c>
      <c r="AW416" s="43">
        <v>0</v>
      </c>
      <c r="AX416" s="44">
        <f t="shared" si="56"/>
        <v>1300</v>
      </c>
      <c r="AY416" s="311">
        <f>SUMIF(Recibos!$D$4:$D$7493,Cobranza!$B416,Recibos!K$4:K$7493)</f>
        <v>0</v>
      </c>
      <c r="AZ416" s="311">
        <f>SUMIF(Recibos!$D$4:$D$7493,Cobranza!$B416,Recibos!L$4:L$7493)</f>
        <v>0</v>
      </c>
      <c r="BA416" s="311">
        <f>SUMIF(Recibos!$D$4:$D$7493,Cobranza!$B416,Recibos!M$4:M$7493)</f>
        <v>0</v>
      </c>
      <c r="BB416" s="311">
        <f>SUMIF(Recibos!$D$4:$D$7493,Cobranza!$B416,Recibos!N$4:N$7493)</f>
        <v>0</v>
      </c>
      <c r="BC416" s="311">
        <f>SUMIF(Recibos!$D$4:$D$7493,Cobranza!$B416,Recibos!O$4:O$7493)</f>
        <v>0</v>
      </c>
      <c r="BD416" s="311">
        <f>SUMIF(Recibos!$D$4:$D$7493,Cobranza!$B416,Recibos!P$4:P$7493)</f>
        <v>0</v>
      </c>
      <c r="BE416" s="311">
        <f>SUMIF(Recibos!$D$4:$D$7493,Cobranza!$B416,Recibos!Q$4:Q$7493)</f>
        <v>0</v>
      </c>
      <c r="BF416" s="311">
        <f>SUMIF(Recibos!$D$4:$D$7493,Cobranza!$B416,Recibos!R$4:R$7493)</f>
        <v>100</v>
      </c>
      <c r="BG416" s="311">
        <f>SUMIF(Recibos!$D$4:$D$7493,Cobranza!$B416,Recibos!S$4:S$7493)</f>
        <v>100</v>
      </c>
      <c r="BH416" s="311">
        <f>SUMIF(Recibos!$D$4:$D$7493,Cobranza!$B416,Recibos!T$4:T$7493)</f>
        <v>100</v>
      </c>
      <c r="BI416" s="311">
        <f>SUMIF(Recibos!$D$4:$D$7493,Cobranza!$B416,Recibos!U$4:U$7493)</f>
        <v>100</v>
      </c>
      <c r="BJ416" s="311">
        <f>SUMIF(Recibos!$D$4:$D$7493,Cobranza!$B416,Recibos!V$4:V$7493)</f>
        <v>100</v>
      </c>
      <c r="BK416" s="312">
        <f t="shared" si="57"/>
        <v>500</v>
      </c>
      <c r="BL416" s="311">
        <f>SUMIF(Recibos!$D$4:$D$7493,Cobranza!$B416,Recibos!X$4:X$7493)</f>
        <v>100</v>
      </c>
      <c r="BM416" s="311">
        <f>SUMIF(Recibos!$D$4:$D$7493,Cobranza!$B416,Recibos!Y$4:Y$7493)</f>
        <v>100</v>
      </c>
      <c r="BN416" s="311">
        <f>SUMIF(Recibos!$D$4:$D$7493,Cobranza!$B416,Recibos!Z$4:Z$7493)</f>
        <v>100</v>
      </c>
      <c r="BO416" s="311">
        <f>SUMIF(Recibos!$D$4:$D$7493,Cobranza!$B416,Recibos!AA$4:AA$7493)</f>
        <v>100</v>
      </c>
      <c r="BP416" s="311">
        <f>SUMIF(Recibos!$D$4:$D$7493,Cobranza!$B416,Recibos!AB$4:AB$7493)</f>
        <v>0</v>
      </c>
      <c r="BQ416" s="311">
        <f>SUMIF(Recibos!$D$4:$D$7493,Cobranza!$B416,Recibos!AC$4:AC$7493)</f>
        <v>0</v>
      </c>
      <c r="BR416" s="311">
        <f>SUMIF(Recibos!$D$4:$D$7493,Cobranza!$B416,Recibos!AD$4:AD$7493)</f>
        <v>0</v>
      </c>
      <c r="BS416" s="311">
        <f>SUMIF(Recibos!$D$4:$D$7493,Cobranza!$B416,Recibos!AE$4:AE$7493)</f>
        <v>0</v>
      </c>
      <c r="BT416" s="311">
        <f>SUMIF(Recibos!$D$4:$D$7493,Cobranza!$B416,Recibos!AF$4:AF$7493)</f>
        <v>0</v>
      </c>
      <c r="BU416" s="311">
        <f>SUMIF(Recibos!$D$4:$D$7493,Cobranza!$B416,Recibos!AG$4:AG$7493)</f>
        <v>0</v>
      </c>
      <c r="BV416" s="311">
        <f>SUMIF(Recibos!$D$4:$D$7493,Cobranza!$B416,Recibos!AH$4:AH$7493)</f>
        <v>0</v>
      </c>
      <c r="BW416" s="311">
        <f>SUMIF(Recibos!$D$4:$D$7493,Cobranza!$B416,Recibos!AI$4:AI$7493)</f>
        <v>0</v>
      </c>
      <c r="BX416" s="312">
        <f t="shared" si="58"/>
        <v>400</v>
      </c>
      <c r="BY416" s="311">
        <f>SUMIF(Recibos!$D$4:$D$7493,Cobranza!$B416,Recibos!AK$4:AK$7493)</f>
        <v>400</v>
      </c>
      <c r="BZ416" s="311">
        <f>SUMIF(Recibos!$D$4:$D$7493,Cobranza!$B416,Recibos!AL$4:AL$7493)</f>
        <v>400</v>
      </c>
      <c r="CA416" s="311">
        <f>SUMIF(Recibos!$D$4:$D$7493,Cobranza!$B416,Recibos!AM$4:AM$7493)</f>
        <v>400</v>
      </c>
      <c r="CB416" s="311">
        <f>SUMIF(Recibos!$D$4:$D$7493,Cobranza!$B416,Recibos!AN$4:AN$7493)</f>
        <v>400</v>
      </c>
      <c r="CC416" s="311">
        <f>SUMIF(Recibos!$D$4:$D$7493,Cobranza!$B416,Recibos!AO$4:AO$7493)</f>
        <v>400</v>
      </c>
      <c r="CD416" s="311">
        <f>SUMIF(Recibos!$D$4:$D$7493,Cobranza!$B416,Recibos!AP$4:AP$7493)</f>
        <v>400</v>
      </c>
      <c r="CE416" s="311">
        <f>SUMIF(Recibos!$D$4:$D$7493,Cobranza!$B416,Recibos!AQ$4:AQ$7493)</f>
        <v>400</v>
      </c>
      <c r="CF416" s="311">
        <f>SUMIF(Recibos!$D$4:$D$7493,Cobranza!$B416,Recibos!AR$4:AR$7493)</f>
        <v>400</v>
      </c>
      <c r="CG416" s="311">
        <f>SUMIF(Recibos!$D$4:$D$7493,Cobranza!$B416,Recibos!AS$4:AS$7493)</f>
        <v>0</v>
      </c>
      <c r="CH416" s="311">
        <f>SUMIF(Recibos!$D$4:$D$7493,Cobranza!$B416,Recibos!AT$4:AT$7493)</f>
        <v>0</v>
      </c>
      <c r="CI416" s="311">
        <f>SUMIF(Recibos!$D$4:$D$7493,Cobranza!$B416,Recibos!AU$4:AU$7493)</f>
        <v>0</v>
      </c>
      <c r="CJ416" s="311">
        <f>SUMIF(Recibos!$D$4:$D$7493,Cobranza!$B416,Recibos!AV$4:AV$7493)</f>
        <v>0</v>
      </c>
      <c r="CK416" s="312">
        <f t="shared" si="52"/>
        <v>3200</v>
      </c>
    </row>
    <row r="417" spans="2:89" x14ac:dyDescent="0.2">
      <c r="B417" s="45" t="s">
        <v>743</v>
      </c>
      <c r="C417" s="45" t="s">
        <v>744</v>
      </c>
      <c r="D417" s="45" t="s">
        <v>745</v>
      </c>
      <c r="E417" s="46">
        <v>0</v>
      </c>
      <c r="F417" s="46">
        <v>0</v>
      </c>
      <c r="G417" s="46">
        <v>0</v>
      </c>
      <c r="H417" s="46">
        <v>300</v>
      </c>
      <c r="I417" s="46">
        <v>300</v>
      </c>
      <c r="J417" s="46">
        <v>300</v>
      </c>
      <c r="K417" s="47">
        <f t="shared" si="53"/>
        <v>900</v>
      </c>
      <c r="L417" s="46">
        <v>300</v>
      </c>
      <c r="M417" s="46">
        <v>300</v>
      </c>
      <c r="N417" s="46">
        <v>300</v>
      </c>
      <c r="O417" s="46">
        <v>300</v>
      </c>
      <c r="P417" s="46">
        <v>300</v>
      </c>
      <c r="Q417" s="46">
        <v>300</v>
      </c>
      <c r="R417" s="46">
        <v>300</v>
      </c>
      <c r="S417" s="46">
        <v>300</v>
      </c>
      <c r="T417" s="46">
        <v>300</v>
      </c>
      <c r="U417" s="46">
        <v>400</v>
      </c>
      <c r="V417" s="46">
        <v>400</v>
      </c>
      <c r="W417" s="46">
        <v>400</v>
      </c>
      <c r="X417" s="47">
        <f t="shared" si="54"/>
        <v>3900</v>
      </c>
      <c r="Y417" s="46">
        <v>400</v>
      </c>
      <c r="Z417" s="46">
        <v>400</v>
      </c>
      <c r="AA417" s="46">
        <v>400</v>
      </c>
      <c r="AB417" s="46">
        <v>400</v>
      </c>
      <c r="AC417" s="46">
        <v>400</v>
      </c>
      <c r="AD417" s="46">
        <v>400</v>
      </c>
      <c r="AE417" s="46">
        <v>400</v>
      </c>
      <c r="AF417" s="46">
        <v>400</v>
      </c>
      <c r="AG417" s="46">
        <v>400</v>
      </c>
      <c r="AH417" s="46">
        <v>400</v>
      </c>
      <c r="AI417" s="46">
        <v>400</v>
      </c>
      <c r="AJ417" s="46">
        <v>400</v>
      </c>
      <c r="AK417" s="47">
        <f t="shared" si="55"/>
        <v>4800</v>
      </c>
      <c r="AL417" s="46">
        <v>400</v>
      </c>
      <c r="AM417" s="46">
        <v>400</v>
      </c>
      <c r="AN417" s="46">
        <v>400</v>
      </c>
      <c r="AO417" s="46">
        <v>400</v>
      </c>
      <c r="AP417" s="46">
        <v>400</v>
      </c>
      <c r="AQ417" s="46">
        <v>400</v>
      </c>
      <c r="AR417" s="46">
        <v>400</v>
      </c>
      <c r="AS417" s="46">
        <v>400</v>
      </c>
      <c r="AT417" s="46">
        <v>400</v>
      </c>
      <c r="AU417" s="46">
        <v>400</v>
      </c>
      <c r="AV417" s="46">
        <v>400</v>
      </c>
      <c r="AW417" s="46">
        <v>400</v>
      </c>
      <c r="AX417" s="47">
        <f t="shared" si="56"/>
        <v>4800</v>
      </c>
      <c r="AY417" s="313">
        <f>SUMIF(Recibos!$D$4:$D$7493,Cobranza!$B417,Recibos!K$4:K$7493)</f>
        <v>400</v>
      </c>
      <c r="AZ417" s="313">
        <f>SUMIF(Recibos!$D$4:$D$7493,Cobranza!$B417,Recibos!L$4:L$7493)</f>
        <v>400</v>
      </c>
      <c r="BA417" s="313">
        <f>SUMIF(Recibos!$D$4:$D$7493,Cobranza!$B417,Recibos!M$4:M$7493)</f>
        <v>400</v>
      </c>
      <c r="BB417" s="313">
        <f>SUMIF(Recibos!$D$4:$D$7493,Cobranza!$B417,Recibos!N$4:N$7493)</f>
        <v>400</v>
      </c>
      <c r="BC417" s="313">
        <f>SUMIF(Recibos!$D$4:$D$7493,Cobranza!$B417,Recibos!O$4:O$7493)</f>
        <v>400</v>
      </c>
      <c r="BD417" s="313">
        <f>SUMIF(Recibos!$D$4:$D$7493,Cobranza!$B417,Recibos!P$4:P$7493)</f>
        <v>400</v>
      </c>
      <c r="BE417" s="313">
        <f>SUMIF(Recibos!$D$4:$D$7493,Cobranza!$B417,Recibos!Q$4:Q$7493)</f>
        <v>400</v>
      </c>
      <c r="BF417" s="313">
        <f>SUMIF(Recibos!$D$4:$D$7493,Cobranza!$B417,Recibos!R$4:R$7493)</f>
        <v>400</v>
      </c>
      <c r="BG417" s="313">
        <f>SUMIF(Recibos!$D$4:$D$7493,Cobranza!$B417,Recibos!S$4:S$7493)</f>
        <v>400</v>
      </c>
      <c r="BH417" s="313">
        <f>SUMIF(Recibos!$D$4:$D$7493,Cobranza!$B417,Recibos!T$4:T$7493)</f>
        <v>400</v>
      </c>
      <c r="BI417" s="313">
        <f>SUMIF(Recibos!$D$4:$D$7493,Cobranza!$B417,Recibos!U$4:U$7493)</f>
        <v>400</v>
      </c>
      <c r="BJ417" s="313">
        <f>SUMIF(Recibos!$D$4:$D$7493,Cobranza!$B417,Recibos!V$4:V$7493)</f>
        <v>400</v>
      </c>
      <c r="BK417" s="314">
        <f t="shared" si="57"/>
        <v>4800</v>
      </c>
      <c r="BL417" s="313">
        <f>SUMIF(Recibos!$D$4:$D$7493,Cobranza!$B417,Recibos!X$4:X$7493)</f>
        <v>400</v>
      </c>
      <c r="BM417" s="313">
        <f>SUMIF(Recibos!$D$4:$D$7493,Cobranza!$B417,Recibos!Y$4:Y$7493)</f>
        <v>400</v>
      </c>
      <c r="BN417" s="313">
        <f>SUMIF(Recibos!$D$4:$D$7493,Cobranza!$B417,Recibos!Z$4:Z$7493)</f>
        <v>400</v>
      </c>
      <c r="BO417" s="313">
        <f>SUMIF(Recibos!$D$4:$D$7493,Cobranza!$B417,Recibos!AA$4:AA$7493)</f>
        <v>400</v>
      </c>
      <c r="BP417" s="313">
        <f>SUMIF(Recibos!$D$4:$D$7493,Cobranza!$B417,Recibos!AB$4:AB$7493)</f>
        <v>400</v>
      </c>
      <c r="BQ417" s="313">
        <f>SUMIF(Recibos!$D$4:$D$7493,Cobranza!$B417,Recibos!AC$4:AC$7493)</f>
        <v>400</v>
      </c>
      <c r="BR417" s="313">
        <f>SUMIF(Recibos!$D$4:$D$7493,Cobranza!$B417,Recibos!AD$4:AD$7493)</f>
        <v>400</v>
      </c>
      <c r="BS417" s="313">
        <f>SUMIF(Recibos!$D$4:$D$7493,Cobranza!$B417,Recibos!AE$4:AE$7493)</f>
        <v>400</v>
      </c>
      <c r="BT417" s="313">
        <f>SUMIF(Recibos!$D$4:$D$7493,Cobranza!$B417,Recibos!AF$4:AF$7493)</f>
        <v>400</v>
      </c>
      <c r="BU417" s="313">
        <f>SUMIF(Recibos!$D$4:$D$7493,Cobranza!$B417,Recibos!AG$4:AG$7493)</f>
        <v>400</v>
      </c>
      <c r="BV417" s="313">
        <f>SUMIF(Recibos!$D$4:$D$7493,Cobranza!$B417,Recibos!AH$4:AH$7493)</f>
        <v>400</v>
      </c>
      <c r="BW417" s="313">
        <f>SUMIF(Recibos!$D$4:$D$7493,Cobranza!$B417,Recibos!AI$4:AI$7493)</f>
        <v>400</v>
      </c>
      <c r="BX417" s="314">
        <f t="shared" si="58"/>
        <v>4800</v>
      </c>
      <c r="BY417" s="313">
        <f>SUMIF(Recibos!$D$4:$D$7493,Cobranza!$B417,Recibos!AK$4:AK$7493)</f>
        <v>400</v>
      </c>
      <c r="BZ417" s="313">
        <f>SUMIF(Recibos!$D$4:$D$7493,Cobranza!$B417,Recibos!AL$4:AL$7493)</f>
        <v>400</v>
      </c>
      <c r="CA417" s="313">
        <f>SUMIF(Recibos!$D$4:$D$7493,Cobranza!$B417,Recibos!AM$4:AM$7493)</f>
        <v>400</v>
      </c>
      <c r="CB417" s="313">
        <f>SUMIF(Recibos!$D$4:$D$7493,Cobranza!$B417,Recibos!AN$4:AN$7493)</f>
        <v>400</v>
      </c>
      <c r="CC417" s="313">
        <f>SUMIF(Recibos!$D$4:$D$7493,Cobranza!$B417,Recibos!AO$4:AO$7493)</f>
        <v>400</v>
      </c>
      <c r="CD417" s="313">
        <f>SUMIF(Recibos!$D$4:$D$7493,Cobranza!$B417,Recibos!AP$4:AP$7493)</f>
        <v>400</v>
      </c>
      <c r="CE417" s="313">
        <f>SUMIF(Recibos!$D$4:$D$7493,Cobranza!$B417,Recibos!AQ$4:AQ$7493)</f>
        <v>400</v>
      </c>
      <c r="CF417" s="313">
        <f>SUMIF(Recibos!$D$4:$D$7493,Cobranza!$B417,Recibos!AR$4:AR$7493)</f>
        <v>400</v>
      </c>
      <c r="CG417" s="313">
        <f>SUMIF(Recibos!$D$4:$D$7493,Cobranza!$B417,Recibos!AS$4:AS$7493)</f>
        <v>0</v>
      </c>
      <c r="CH417" s="313">
        <f>SUMIF(Recibos!$D$4:$D$7493,Cobranza!$B417,Recibos!AT$4:AT$7493)</f>
        <v>0</v>
      </c>
      <c r="CI417" s="313">
        <f>SUMIF(Recibos!$D$4:$D$7493,Cobranza!$B417,Recibos!AU$4:AU$7493)</f>
        <v>0</v>
      </c>
      <c r="CJ417" s="313">
        <f>SUMIF(Recibos!$D$4:$D$7493,Cobranza!$B417,Recibos!AV$4:AV$7493)</f>
        <v>0</v>
      </c>
      <c r="CK417" s="314">
        <f t="shared" si="52"/>
        <v>3200</v>
      </c>
    </row>
    <row r="418" spans="2:89" x14ac:dyDescent="0.2">
      <c r="B418" s="42" t="s">
        <v>346</v>
      </c>
      <c r="C418" s="42" t="s">
        <v>347</v>
      </c>
      <c r="D418" s="42" t="s">
        <v>348</v>
      </c>
      <c r="E418" s="43">
        <v>0</v>
      </c>
      <c r="F418" s="43">
        <v>0</v>
      </c>
      <c r="G418" s="43">
        <v>0</v>
      </c>
      <c r="H418" s="43">
        <v>0</v>
      </c>
      <c r="I418" s="43">
        <v>300</v>
      </c>
      <c r="J418" s="43">
        <v>300</v>
      </c>
      <c r="K418" s="44">
        <f t="shared" si="53"/>
        <v>600</v>
      </c>
      <c r="L418" s="43">
        <v>300</v>
      </c>
      <c r="M418" s="43">
        <v>300</v>
      </c>
      <c r="N418" s="43">
        <v>300</v>
      </c>
      <c r="O418" s="43">
        <v>300</v>
      </c>
      <c r="P418" s="43">
        <v>300</v>
      </c>
      <c r="Q418" s="43">
        <v>300</v>
      </c>
      <c r="R418" s="43">
        <v>300</v>
      </c>
      <c r="S418" s="43">
        <v>300</v>
      </c>
      <c r="T418" s="43">
        <v>300</v>
      </c>
      <c r="U418" s="43">
        <v>0</v>
      </c>
      <c r="V418" s="43">
        <v>400</v>
      </c>
      <c r="W418" s="43">
        <v>300</v>
      </c>
      <c r="X418" s="44">
        <f t="shared" si="54"/>
        <v>3400</v>
      </c>
      <c r="Y418" s="43">
        <v>300</v>
      </c>
      <c r="Z418" s="43">
        <v>300</v>
      </c>
      <c r="AA418" s="43">
        <v>300</v>
      </c>
      <c r="AB418" s="43">
        <v>0</v>
      </c>
      <c r="AC418" s="43">
        <v>300</v>
      </c>
      <c r="AD418" s="43">
        <v>300</v>
      </c>
      <c r="AE418" s="43">
        <v>300</v>
      </c>
      <c r="AF418" s="43">
        <v>300</v>
      </c>
      <c r="AG418" s="43">
        <v>300</v>
      </c>
      <c r="AH418" s="43">
        <v>300</v>
      </c>
      <c r="AI418" s="43">
        <v>300</v>
      </c>
      <c r="AJ418" s="43">
        <v>300</v>
      </c>
      <c r="AK418" s="44">
        <f t="shared" si="55"/>
        <v>3300</v>
      </c>
      <c r="AL418" s="43">
        <v>300</v>
      </c>
      <c r="AM418" s="43">
        <v>300</v>
      </c>
      <c r="AN418" s="43">
        <v>300</v>
      </c>
      <c r="AO418" s="43">
        <v>300</v>
      </c>
      <c r="AP418" s="43">
        <v>300</v>
      </c>
      <c r="AQ418" s="43">
        <v>300</v>
      </c>
      <c r="AR418" s="43">
        <v>300</v>
      </c>
      <c r="AS418" s="43">
        <v>300</v>
      </c>
      <c r="AT418" s="43">
        <v>300</v>
      </c>
      <c r="AU418" s="43">
        <v>300</v>
      </c>
      <c r="AV418" s="43">
        <v>300</v>
      </c>
      <c r="AW418" s="43">
        <v>300</v>
      </c>
      <c r="AX418" s="44">
        <f t="shared" si="56"/>
        <v>3600</v>
      </c>
      <c r="AY418" s="311">
        <f>SUMIF(Recibos!$D$4:$D$7493,Cobranza!$B418,Recibos!K$4:K$7493)</f>
        <v>300</v>
      </c>
      <c r="AZ418" s="311">
        <f>SUMIF(Recibos!$D$4:$D$7493,Cobranza!$B418,Recibos!L$4:L$7493)</f>
        <v>300</v>
      </c>
      <c r="BA418" s="311">
        <f>SUMIF(Recibos!$D$4:$D$7493,Cobranza!$B418,Recibos!M$4:M$7493)</f>
        <v>300</v>
      </c>
      <c r="BB418" s="311">
        <f>SUMIF(Recibos!$D$4:$D$7493,Cobranza!$B418,Recibos!N$4:N$7493)</f>
        <v>300</v>
      </c>
      <c r="BC418" s="311">
        <f>SUMIF(Recibos!$D$4:$D$7493,Cobranza!$B418,Recibos!O$4:O$7493)</f>
        <v>300</v>
      </c>
      <c r="BD418" s="311">
        <f>SUMIF(Recibos!$D$4:$D$7493,Cobranza!$B418,Recibos!P$4:P$7493)</f>
        <v>300</v>
      </c>
      <c r="BE418" s="311">
        <f>SUMIF(Recibos!$D$4:$D$7493,Cobranza!$B418,Recibos!Q$4:Q$7493)</f>
        <v>300</v>
      </c>
      <c r="BF418" s="311">
        <f>SUMIF(Recibos!$D$4:$D$7493,Cobranza!$B418,Recibos!R$4:R$7493)</f>
        <v>300</v>
      </c>
      <c r="BG418" s="311">
        <f>SUMIF(Recibos!$D$4:$D$7493,Cobranza!$B418,Recibos!S$4:S$7493)</f>
        <v>300</v>
      </c>
      <c r="BH418" s="311">
        <f>SUMIF(Recibos!$D$4:$D$7493,Cobranza!$B418,Recibos!T$4:T$7493)</f>
        <v>300</v>
      </c>
      <c r="BI418" s="311">
        <f>SUMIF(Recibos!$D$4:$D$7493,Cobranza!$B418,Recibos!U$4:U$7493)</f>
        <v>300</v>
      </c>
      <c r="BJ418" s="311">
        <f>SUMIF(Recibos!$D$4:$D$7493,Cobranza!$B418,Recibos!V$4:V$7493)</f>
        <v>300</v>
      </c>
      <c r="BK418" s="312">
        <f t="shared" si="57"/>
        <v>3600</v>
      </c>
      <c r="BL418" s="311">
        <f>SUMIF(Recibos!$D$4:$D$7493,Cobranza!$B418,Recibos!X$4:X$7493)</f>
        <v>300</v>
      </c>
      <c r="BM418" s="311">
        <f>SUMIF(Recibos!$D$4:$D$7493,Cobranza!$B418,Recibos!Y$4:Y$7493)</f>
        <v>300</v>
      </c>
      <c r="BN418" s="311">
        <f>SUMIF(Recibos!$D$4:$D$7493,Cobranza!$B418,Recibos!Z$4:Z$7493)</f>
        <v>300</v>
      </c>
      <c r="BO418" s="311">
        <f>SUMIF(Recibos!$D$4:$D$7493,Cobranza!$B418,Recibos!AA$4:AA$7493)</f>
        <v>0</v>
      </c>
      <c r="BP418" s="311">
        <f>SUMIF(Recibos!$D$4:$D$7493,Cobranza!$B418,Recibos!AB$4:AB$7493)</f>
        <v>300</v>
      </c>
      <c r="BQ418" s="311">
        <f>SUMIF(Recibos!$D$4:$D$7493,Cobranza!$B418,Recibos!AC$4:AC$7493)</f>
        <v>300</v>
      </c>
      <c r="BR418" s="311">
        <f>SUMIF(Recibos!$D$4:$D$7493,Cobranza!$B418,Recibos!AD$4:AD$7493)</f>
        <v>300</v>
      </c>
      <c r="BS418" s="311">
        <f>SUMIF(Recibos!$D$4:$D$7493,Cobranza!$B418,Recibos!AE$4:AE$7493)</f>
        <v>300</v>
      </c>
      <c r="BT418" s="311">
        <f>SUMIF(Recibos!$D$4:$D$7493,Cobranza!$B418,Recibos!AF$4:AF$7493)</f>
        <v>300</v>
      </c>
      <c r="BU418" s="311">
        <f>SUMIF(Recibos!$D$4:$D$7493,Cobranza!$B418,Recibos!AG$4:AG$7493)</f>
        <v>300</v>
      </c>
      <c r="BV418" s="311">
        <f>SUMIF(Recibos!$D$4:$D$7493,Cobranza!$B418,Recibos!AH$4:AH$7493)</f>
        <v>300</v>
      </c>
      <c r="BW418" s="311">
        <f>SUMIF(Recibos!$D$4:$D$7493,Cobranza!$B418,Recibos!AI$4:AI$7493)</f>
        <v>300</v>
      </c>
      <c r="BX418" s="312">
        <f t="shared" si="58"/>
        <v>3300</v>
      </c>
      <c r="BY418" s="311">
        <f>SUMIF(Recibos!$D$4:$D$7493,Cobranza!$B418,Recibos!AK$4:AK$7493)</f>
        <v>300</v>
      </c>
      <c r="BZ418" s="311">
        <f>SUMIF(Recibos!$D$4:$D$7493,Cobranza!$B418,Recibos!AL$4:AL$7493)</f>
        <v>300</v>
      </c>
      <c r="CA418" s="311">
        <f>SUMIF(Recibos!$D$4:$D$7493,Cobranza!$B418,Recibos!AM$4:AM$7493)</f>
        <v>300</v>
      </c>
      <c r="CB418" s="311">
        <f>SUMIF(Recibos!$D$4:$D$7493,Cobranza!$B418,Recibos!AN$4:AN$7493)</f>
        <v>300</v>
      </c>
      <c r="CC418" s="311">
        <f>SUMIF(Recibos!$D$4:$D$7493,Cobranza!$B418,Recibos!AO$4:AO$7493)</f>
        <v>300</v>
      </c>
      <c r="CD418" s="311">
        <f>SUMIF(Recibos!$D$4:$D$7493,Cobranza!$B418,Recibos!AP$4:AP$7493)</f>
        <v>300</v>
      </c>
      <c r="CE418" s="311">
        <f>SUMIF(Recibos!$D$4:$D$7493,Cobranza!$B418,Recibos!AQ$4:AQ$7493)</f>
        <v>300</v>
      </c>
      <c r="CF418" s="311">
        <f>SUMIF(Recibos!$D$4:$D$7493,Cobranza!$B418,Recibos!AR$4:AR$7493)</f>
        <v>300</v>
      </c>
      <c r="CG418" s="311">
        <f>SUMIF(Recibos!$D$4:$D$7493,Cobranza!$B418,Recibos!AS$4:AS$7493)</f>
        <v>300</v>
      </c>
      <c r="CH418" s="311">
        <f>SUMIF(Recibos!$D$4:$D$7493,Cobranza!$B418,Recibos!AT$4:AT$7493)</f>
        <v>300</v>
      </c>
      <c r="CI418" s="311">
        <f>SUMIF(Recibos!$D$4:$D$7493,Cobranza!$B418,Recibos!AU$4:AU$7493)</f>
        <v>0</v>
      </c>
      <c r="CJ418" s="311">
        <f>SUMIF(Recibos!$D$4:$D$7493,Cobranza!$B418,Recibos!AV$4:AV$7493)</f>
        <v>0</v>
      </c>
      <c r="CK418" s="312">
        <f t="shared" si="52"/>
        <v>3000</v>
      </c>
    </row>
    <row r="419" spans="2:89" x14ac:dyDescent="0.2">
      <c r="B419" s="45" t="s">
        <v>834</v>
      </c>
      <c r="C419" s="45" t="s">
        <v>835</v>
      </c>
      <c r="D419" s="45" t="s">
        <v>836</v>
      </c>
      <c r="E419" s="46">
        <v>0</v>
      </c>
      <c r="F419" s="46">
        <v>0</v>
      </c>
      <c r="G419" s="46">
        <v>0</v>
      </c>
      <c r="H419" s="46">
        <v>0</v>
      </c>
      <c r="I419" s="46">
        <v>0</v>
      </c>
      <c r="J419" s="46">
        <v>300</v>
      </c>
      <c r="K419" s="47">
        <f t="shared" si="53"/>
        <v>300</v>
      </c>
      <c r="L419" s="46">
        <v>300</v>
      </c>
      <c r="M419" s="46">
        <v>300</v>
      </c>
      <c r="N419" s="46">
        <v>300</v>
      </c>
      <c r="O419" s="46">
        <v>300</v>
      </c>
      <c r="P419" s="46">
        <v>300</v>
      </c>
      <c r="Q419" s="46">
        <v>300</v>
      </c>
      <c r="R419" s="46">
        <v>300</v>
      </c>
      <c r="S419" s="46">
        <v>300</v>
      </c>
      <c r="T419" s="46">
        <v>300</v>
      </c>
      <c r="U419" s="46">
        <v>300</v>
      </c>
      <c r="V419" s="46">
        <v>300</v>
      </c>
      <c r="W419" s="46">
        <v>0</v>
      </c>
      <c r="X419" s="47">
        <f t="shared" si="54"/>
        <v>3300</v>
      </c>
      <c r="Y419" s="46">
        <v>300</v>
      </c>
      <c r="Z419" s="46">
        <v>300</v>
      </c>
      <c r="AA419" s="46">
        <v>300</v>
      </c>
      <c r="AB419" s="46">
        <v>300</v>
      </c>
      <c r="AC419" s="46">
        <v>300</v>
      </c>
      <c r="AD419" s="46">
        <v>300</v>
      </c>
      <c r="AE419" s="46">
        <v>300</v>
      </c>
      <c r="AF419" s="46">
        <v>300</v>
      </c>
      <c r="AG419" s="46">
        <v>300</v>
      </c>
      <c r="AH419" s="46">
        <v>300</v>
      </c>
      <c r="AI419" s="46">
        <v>300</v>
      </c>
      <c r="AJ419" s="46">
        <v>300</v>
      </c>
      <c r="AK419" s="47">
        <f t="shared" si="55"/>
        <v>3600</v>
      </c>
      <c r="AL419" s="46">
        <v>300</v>
      </c>
      <c r="AM419" s="46">
        <v>300</v>
      </c>
      <c r="AN419" s="46">
        <v>300</v>
      </c>
      <c r="AO419" s="46">
        <v>300</v>
      </c>
      <c r="AP419" s="46">
        <v>300</v>
      </c>
      <c r="AQ419" s="46">
        <v>300</v>
      </c>
      <c r="AR419" s="46">
        <v>300</v>
      </c>
      <c r="AS419" s="46">
        <v>300</v>
      </c>
      <c r="AT419" s="46">
        <v>300</v>
      </c>
      <c r="AU419" s="46">
        <v>300</v>
      </c>
      <c r="AV419" s="46">
        <v>300</v>
      </c>
      <c r="AW419" s="46">
        <v>300</v>
      </c>
      <c r="AX419" s="47">
        <f t="shared" si="56"/>
        <v>3600</v>
      </c>
      <c r="AY419" s="313">
        <f>SUMIF(Recibos!$D$4:$D$7493,Cobranza!$B419,Recibos!K$4:K$7493)</f>
        <v>300</v>
      </c>
      <c r="AZ419" s="313">
        <f>SUMIF(Recibos!$D$4:$D$7493,Cobranza!$B419,Recibos!L$4:L$7493)</f>
        <v>300</v>
      </c>
      <c r="BA419" s="313">
        <f>SUMIF(Recibos!$D$4:$D$7493,Cobranza!$B419,Recibos!M$4:M$7493)</f>
        <v>300</v>
      </c>
      <c r="BB419" s="313">
        <f>SUMIF(Recibos!$D$4:$D$7493,Cobranza!$B419,Recibos!N$4:N$7493)</f>
        <v>300</v>
      </c>
      <c r="BC419" s="313">
        <f>SUMIF(Recibos!$D$4:$D$7493,Cobranza!$B419,Recibos!O$4:O$7493)</f>
        <v>300</v>
      </c>
      <c r="BD419" s="313">
        <f>SUMIF(Recibos!$D$4:$D$7493,Cobranza!$B419,Recibos!P$4:P$7493)</f>
        <v>300</v>
      </c>
      <c r="BE419" s="313">
        <f>SUMIF(Recibos!$D$4:$D$7493,Cobranza!$B419,Recibos!Q$4:Q$7493)</f>
        <v>300</v>
      </c>
      <c r="BF419" s="313">
        <f>SUMIF(Recibos!$D$4:$D$7493,Cobranza!$B419,Recibos!R$4:R$7493)</f>
        <v>300</v>
      </c>
      <c r="BG419" s="313">
        <f>SUMIF(Recibos!$D$4:$D$7493,Cobranza!$B419,Recibos!S$4:S$7493)</f>
        <v>300</v>
      </c>
      <c r="BH419" s="313">
        <f>SUMIF(Recibos!$D$4:$D$7493,Cobranza!$B419,Recibos!T$4:T$7493)</f>
        <v>300</v>
      </c>
      <c r="BI419" s="313">
        <f>SUMIF(Recibos!$D$4:$D$7493,Cobranza!$B419,Recibos!U$4:U$7493)</f>
        <v>300</v>
      </c>
      <c r="BJ419" s="313">
        <f>SUMIF(Recibos!$D$4:$D$7493,Cobranza!$B419,Recibos!V$4:V$7493)</f>
        <v>0</v>
      </c>
      <c r="BK419" s="314">
        <f t="shared" si="57"/>
        <v>3300</v>
      </c>
      <c r="BL419" s="313">
        <f>SUMIF(Recibos!$D$4:$D$7493,Cobranza!$B419,Recibos!X$4:X$7493)</f>
        <v>300</v>
      </c>
      <c r="BM419" s="313">
        <f>SUMIF(Recibos!$D$4:$D$7493,Cobranza!$B419,Recibos!Y$4:Y$7493)</f>
        <v>300</v>
      </c>
      <c r="BN419" s="313">
        <f>SUMIF(Recibos!$D$4:$D$7493,Cobranza!$B419,Recibos!Z$4:Z$7493)</f>
        <v>300</v>
      </c>
      <c r="BO419" s="313">
        <f>SUMIF(Recibos!$D$4:$D$7493,Cobranza!$B419,Recibos!AA$4:AA$7493)</f>
        <v>300</v>
      </c>
      <c r="BP419" s="313">
        <f>SUMIF(Recibos!$D$4:$D$7493,Cobranza!$B419,Recibos!AB$4:AB$7493)</f>
        <v>300</v>
      </c>
      <c r="BQ419" s="313">
        <f>SUMIF(Recibos!$D$4:$D$7493,Cobranza!$B419,Recibos!AC$4:AC$7493)</f>
        <v>300</v>
      </c>
      <c r="BR419" s="313">
        <f>SUMIF(Recibos!$D$4:$D$7493,Cobranza!$B419,Recibos!AD$4:AD$7493)</f>
        <v>300</v>
      </c>
      <c r="BS419" s="313">
        <f>SUMIF(Recibos!$D$4:$D$7493,Cobranza!$B419,Recibos!AE$4:AE$7493)</f>
        <v>300</v>
      </c>
      <c r="BT419" s="313">
        <f>SUMIF(Recibos!$D$4:$D$7493,Cobranza!$B419,Recibos!AF$4:AF$7493)</f>
        <v>300</v>
      </c>
      <c r="BU419" s="313">
        <f>SUMIF(Recibos!$D$4:$D$7493,Cobranza!$B419,Recibos!AG$4:AG$7493)</f>
        <v>300</v>
      </c>
      <c r="BV419" s="313">
        <f>SUMIF(Recibos!$D$4:$D$7493,Cobranza!$B419,Recibos!AH$4:AH$7493)</f>
        <v>300</v>
      </c>
      <c r="BW419" s="313">
        <f>SUMIF(Recibos!$D$4:$D$7493,Cobranza!$B419,Recibos!AI$4:AI$7493)</f>
        <v>300</v>
      </c>
      <c r="BX419" s="314">
        <f t="shared" si="58"/>
        <v>3600</v>
      </c>
      <c r="BY419" s="313">
        <f>SUMIF(Recibos!$D$4:$D$7493,Cobranza!$B419,Recibos!AK$4:AK$7493)</f>
        <v>300</v>
      </c>
      <c r="BZ419" s="313">
        <f>SUMIF(Recibos!$D$4:$D$7493,Cobranza!$B419,Recibos!AL$4:AL$7493)</f>
        <v>300</v>
      </c>
      <c r="CA419" s="313">
        <f>SUMIF(Recibos!$D$4:$D$7493,Cobranza!$B419,Recibos!AM$4:AM$7493)</f>
        <v>300</v>
      </c>
      <c r="CB419" s="313">
        <f>SUMIF(Recibos!$D$4:$D$7493,Cobranza!$B419,Recibos!AN$4:AN$7493)</f>
        <v>300</v>
      </c>
      <c r="CC419" s="313">
        <f>SUMIF(Recibos!$D$4:$D$7493,Cobranza!$B419,Recibos!AO$4:AO$7493)</f>
        <v>300</v>
      </c>
      <c r="CD419" s="313">
        <f>SUMIF(Recibos!$D$4:$D$7493,Cobranza!$B419,Recibos!AP$4:AP$7493)</f>
        <v>300</v>
      </c>
      <c r="CE419" s="313">
        <f>SUMIF(Recibos!$D$4:$D$7493,Cobranza!$B419,Recibos!AQ$4:AQ$7493)</f>
        <v>300</v>
      </c>
      <c r="CF419" s="313">
        <f>SUMIF(Recibos!$D$4:$D$7493,Cobranza!$B419,Recibos!AR$4:AR$7493)</f>
        <v>300</v>
      </c>
      <c r="CG419" s="313">
        <f>SUMIF(Recibos!$D$4:$D$7493,Cobranza!$B419,Recibos!AS$4:AS$7493)</f>
        <v>300</v>
      </c>
      <c r="CH419" s="313">
        <f>SUMIF(Recibos!$D$4:$D$7493,Cobranza!$B419,Recibos!AT$4:AT$7493)</f>
        <v>0</v>
      </c>
      <c r="CI419" s="313">
        <f>SUMIF(Recibos!$D$4:$D$7493,Cobranza!$B419,Recibos!AU$4:AU$7493)</f>
        <v>0</v>
      </c>
      <c r="CJ419" s="313">
        <f>SUMIF(Recibos!$D$4:$D$7493,Cobranza!$B419,Recibos!AV$4:AV$7493)</f>
        <v>0</v>
      </c>
      <c r="CK419" s="314">
        <f t="shared" si="52"/>
        <v>2700</v>
      </c>
    </row>
    <row r="420" spans="2:89" x14ac:dyDescent="0.2">
      <c r="B420" s="42" t="s">
        <v>514</v>
      </c>
      <c r="C420" s="42" t="s">
        <v>515</v>
      </c>
      <c r="D420" s="42" t="s">
        <v>516</v>
      </c>
      <c r="E420" s="43">
        <v>0</v>
      </c>
      <c r="F420" s="43">
        <v>0</v>
      </c>
      <c r="G420" s="43">
        <v>0</v>
      </c>
      <c r="H420" s="43">
        <v>0</v>
      </c>
      <c r="I420" s="43">
        <v>0</v>
      </c>
      <c r="J420" s="43">
        <v>300</v>
      </c>
      <c r="K420" s="44">
        <f t="shared" si="53"/>
        <v>300</v>
      </c>
      <c r="L420" s="43">
        <v>300</v>
      </c>
      <c r="M420" s="43">
        <v>300</v>
      </c>
      <c r="N420" s="43">
        <v>300</v>
      </c>
      <c r="O420" s="43">
        <v>300</v>
      </c>
      <c r="P420" s="43">
        <v>300</v>
      </c>
      <c r="Q420" s="43">
        <v>300</v>
      </c>
      <c r="R420" s="43">
        <v>300</v>
      </c>
      <c r="S420" s="43">
        <v>300</v>
      </c>
      <c r="T420" s="43">
        <v>300</v>
      </c>
      <c r="U420" s="43">
        <v>400</v>
      </c>
      <c r="V420" s="43">
        <v>400</v>
      </c>
      <c r="W420" s="43">
        <v>400</v>
      </c>
      <c r="X420" s="44">
        <f t="shared" si="54"/>
        <v>3900</v>
      </c>
      <c r="Y420" s="43">
        <v>400</v>
      </c>
      <c r="Z420" s="43">
        <v>400</v>
      </c>
      <c r="AA420" s="43">
        <v>400</v>
      </c>
      <c r="AB420" s="43">
        <v>400</v>
      </c>
      <c r="AC420" s="43">
        <v>400</v>
      </c>
      <c r="AD420" s="43">
        <v>400</v>
      </c>
      <c r="AE420" s="43">
        <v>400</v>
      </c>
      <c r="AF420" s="43">
        <v>400</v>
      </c>
      <c r="AG420" s="43">
        <v>400</v>
      </c>
      <c r="AH420" s="43">
        <v>400</v>
      </c>
      <c r="AI420" s="43">
        <v>400</v>
      </c>
      <c r="AJ420" s="43">
        <v>400</v>
      </c>
      <c r="AK420" s="44">
        <f t="shared" si="55"/>
        <v>4800</v>
      </c>
      <c r="AL420" s="43">
        <v>400</v>
      </c>
      <c r="AM420" s="43">
        <v>400</v>
      </c>
      <c r="AN420" s="43">
        <v>400</v>
      </c>
      <c r="AO420" s="43">
        <v>400</v>
      </c>
      <c r="AP420" s="43">
        <v>400</v>
      </c>
      <c r="AQ420" s="43">
        <v>400</v>
      </c>
      <c r="AR420" s="43">
        <v>400</v>
      </c>
      <c r="AS420" s="43">
        <v>400</v>
      </c>
      <c r="AT420" s="43">
        <v>400</v>
      </c>
      <c r="AU420" s="43">
        <v>400</v>
      </c>
      <c r="AV420" s="43">
        <v>400</v>
      </c>
      <c r="AW420" s="43">
        <v>400</v>
      </c>
      <c r="AX420" s="44">
        <f t="shared" si="56"/>
        <v>4800</v>
      </c>
      <c r="AY420" s="311">
        <f>SUMIF(Recibos!$D$4:$D$7493,Cobranza!$B420,Recibos!K$4:K$7493)</f>
        <v>400</v>
      </c>
      <c r="AZ420" s="311">
        <f>SUMIF(Recibos!$D$4:$D$7493,Cobranza!$B420,Recibos!L$4:L$7493)</f>
        <v>400</v>
      </c>
      <c r="BA420" s="311">
        <f>SUMIF(Recibos!$D$4:$D$7493,Cobranza!$B420,Recibos!M$4:M$7493)</f>
        <v>400</v>
      </c>
      <c r="BB420" s="311">
        <f>SUMIF(Recibos!$D$4:$D$7493,Cobranza!$B420,Recibos!N$4:N$7493)</f>
        <v>400</v>
      </c>
      <c r="BC420" s="311">
        <f>SUMIF(Recibos!$D$4:$D$7493,Cobranza!$B420,Recibos!O$4:O$7493)</f>
        <v>300</v>
      </c>
      <c r="BD420" s="311">
        <f>SUMIF(Recibos!$D$4:$D$7493,Cobranza!$B420,Recibos!P$4:P$7493)</f>
        <v>400</v>
      </c>
      <c r="BE420" s="311">
        <f>SUMIF(Recibos!$D$4:$D$7493,Cobranza!$B420,Recibos!Q$4:Q$7493)</f>
        <v>400</v>
      </c>
      <c r="BF420" s="311">
        <f>SUMIF(Recibos!$D$4:$D$7493,Cobranza!$B420,Recibos!R$4:R$7493)</f>
        <v>400</v>
      </c>
      <c r="BG420" s="311">
        <f>SUMIF(Recibos!$D$4:$D$7493,Cobranza!$B420,Recibos!S$4:S$7493)</f>
        <v>400</v>
      </c>
      <c r="BH420" s="311">
        <f>SUMIF(Recibos!$D$4:$D$7493,Cobranza!$B420,Recibos!T$4:T$7493)</f>
        <v>400</v>
      </c>
      <c r="BI420" s="311">
        <f>SUMIF(Recibos!$D$4:$D$7493,Cobranza!$B420,Recibos!U$4:U$7493)</f>
        <v>400</v>
      </c>
      <c r="BJ420" s="311">
        <f>SUMIF(Recibos!$D$4:$D$7493,Cobranza!$B420,Recibos!V$4:V$7493)</f>
        <v>400</v>
      </c>
      <c r="BK420" s="312">
        <f t="shared" si="57"/>
        <v>4700</v>
      </c>
      <c r="BL420" s="311">
        <f>SUMIF(Recibos!$D$4:$D$7493,Cobranza!$B420,Recibos!X$4:X$7493)</f>
        <v>400</v>
      </c>
      <c r="BM420" s="311">
        <f>SUMIF(Recibos!$D$4:$D$7493,Cobranza!$B420,Recibos!Y$4:Y$7493)</f>
        <v>400</v>
      </c>
      <c r="BN420" s="311">
        <f>SUMIF(Recibos!$D$4:$D$7493,Cobranza!$B420,Recibos!Z$4:Z$7493)</f>
        <v>400</v>
      </c>
      <c r="BO420" s="311">
        <f>SUMIF(Recibos!$D$4:$D$7493,Cobranza!$B420,Recibos!AA$4:AA$7493)</f>
        <v>400</v>
      </c>
      <c r="BP420" s="311">
        <f>SUMIF(Recibos!$D$4:$D$7493,Cobranza!$B420,Recibos!AB$4:AB$7493)</f>
        <v>0</v>
      </c>
      <c r="BQ420" s="311">
        <f>SUMIF(Recibos!$D$4:$D$7493,Cobranza!$B420,Recibos!AC$4:AC$7493)</f>
        <v>0</v>
      </c>
      <c r="BR420" s="311">
        <f>SUMIF(Recibos!$D$4:$D$7493,Cobranza!$B420,Recibos!AD$4:AD$7493)</f>
        <v>400</v>
      </c>
      <c r="BS420" s="311">
        <f>SUMIF(Recibos!$D$4:$D$7493,Cobranza!$B420,Recibos!AE$4:AE$7493)</f>
        <v>400</v>
      </c>
      <c r="BT420" s="311">
        <f>SUMIF(Recibos!$D$4:$D$7493,Cobranza!$B420,Recibos!AF$4:AF$7493)</f>
        <v>400</v>
      </c>
      <c r="BU420" s="311">
        <f>SUMIF(Recibos!$D$4:$D$7493,Cobranza!$B420,Recibos!AG$4:AG$7493)</f>
        <v>400</v>
      </c>
      <c r="BV420" s="311">
        <f>SUMIF(Recibos!$D$4:$D$7493,Cobranza!$B420,Recibos!AH$4:AH$7493)</f>
        <v>400</v>
      </c>
      <c r="BW420" s="311">
        <f>SUMIF(Recibos!$D$4:$D$7493,Cobranza!$B420,Recibos!AI$4:AI$7493)</f>
        <v>400</v>
      </c>
      <c r="BX420" s="312">
        <f t="shared" si="58"/>
        <v>4000</v>
      </c>
      <c r="BY420" s="311">
        <f>SUMIF(Recibos!$D$4:$D$7493,Cobranza!$B420,Recibos!AK$4:AK$7493)</f>
        <v>400</v>
      </c>
      <c r="BZ420" s="311">
        <f>SUMIF(Recibos!$D$4:$D$7493,Cobranza!$B420,Recibos!AL$4:AL$7493)</f>
        <v>400</v>
      </c>
      <c r="CA420" s="311">
        <f>SUMIF(Recibos!$D$4:$D$7493,Cobranza!$B420,Recibos!AM$4:AM$7493)</f>
        <v>400</v>
      </c>
      <c r="CB420" s="311">
        <f>SUMIF(Recibos!$D$4:$D$7493,Cobranza!$B420,Recibos!AN$4:AN$7493)</f>
        <v>400</v>
      </c>
      <c r="CC420" s="311">
        <f>SUMIF(Recibos!$D$4:$D$7493,Cobranza!$B420,Recibos!AO$4:AO$7493)</f>
        <v>400</v>
      </c>
      <c r="CD420" s="311">
        <f>SUMIF(Recibos!$D$4:$D$7493,Cobranza!$B420,Recibos!AP$4:AP$7493)</f>
        <v>400</v>
      </c>
      <c r="CE420" s="311">
        <f>SUMIF(Recibos!$D$4:$D$7493,Cobranza!$B420,Recibos!AQ$4:AQ$7493)</f>
        <v>400</v>
      </c>
      <c r="CF420" s="311">
        <f>SUMIF(Recibos!$D$4:$D$7493,Cobranza!$B420,Recibos!AR$4:AR$7493)</f>
        <v>400</v>
      </c>
      <c r="CG420" s="311">
        <f>SUMIF(Recibos!$D$4:$D$7493,Cobranza!$B420,Recibos!AS$4:AS$7493)</f>
        <v>400</v>
      </c>
      <c r="CH420" s="311">
        <f>SUMIF(Recibos!$D$4:$D$7493,Cobranza!$B420,Recibos!AT$4:AT$7493)</f>
        <v>0</v>
      </c>
      <c r="CI420" s="311">
        <f>SUMIF(Recibos!$D$4:$D$7493,Cobranza!$B420,Recibos!AU$4:AU$7493)</f>
        <v>0</v>
      </c>
      <c r="CJ420" s="311">
        <f>SUMIF(Recibos!$D$4:$D$7493,Cobranza!$B420,Recibos!AV$4:AV$7493)</f>
        <v>0</v>
      </c>
      <c r="CK420" s="312">
        <f t="shared" si="52"/>
        <v>3600</v>
      </c>
    </row>
    <row r="421" spans="2:89" x14ac:dyDescent="0.2">
      <c r="B421" s="45" t="s">
        <v>791</v>
      </c>
      <c r="C421" s="45" t="s">
        <v>792</v>
      </c>
      <c r="D421" s="45" t="s">
        <v>793</v>
      </c>
      <c r="E421" s="46">
        <v>0</v>
      </c>
      <c r="F421" s="46">
        <v>0</v>
      </c>
      <c r="G421" s="46">
        <v>0</v>
      </c>
      <c r="H421" s="46">
        <v>0</v>
      </c>
      <c r="I421" s="46">
        <v>0</v>
      </c>
      <c r="J421" s="46">
        <v>300</v>
      </c>
      <c r="K421" s="47">
        <f t="shared" si="53"/>
        <v>300</v>
      </c>
      <c r="L421" s="46">
        <v>300</v>
      </c>
      <c r="M421" s="46">
        <v>300</v>
      </c>
      <c r="N421" s="46">
        <v>300</v>
      </c>
      <c r="O421" s="46">
        <v>300</v>
      </c>
      <c r="P421" s="46">
        <v>300</v>
      </c>
      <c r="Q421" s="46">
        <v>300</v>
      </c>
      <c r="R421" s="46">
        <v>300</v>
      </c>
      <c r="S421" s="46">
        <v>300</v>
      </c>
      <c r="T421" s="46">
        <v>300</v>
      </c>
      <c r="U421" s="46">
        <v>400</v>
      </c>
      <c r="V421" s="46">
        <v>400</v>
      </c>
      <c r="W421" s="46">
        <v>400</v>
      </c>
      <c r="X421" s="47">
        <f t="shared" si="54"/>
        <v>3900</v>
      </c>
      <c r="Y421" s="46">
        <v>400</v>
      </c>
      <c r="Z421" s="46">
        <v>400</v>
      </c>
      <c r="AA421" s="46">
        <v>400</v>
      </c>
      <c r="AB421" s="46">
        <v>400</v>
      </c>
      <c r="AC421" s="46">
        <v>400</v>
      </c>
      <c r="AD421" s="46">
        <v>400</v>
      </c>
      <c r="AE421" s="46">
        <v>400</v>
      </c>
      <c r="AF421" s="46">
        <v>400</v>
      </c>
      <c r="AG421" s="46">
        <v>400</v>
      </c>
      <c r="AH421" s="46">
        <v>400</v>
      </c>
      <c r="AI421" s="46">
        <v>400</v>
      </c>
      <c r="AJ421" s="46">
        <v>400</v>
      </c>
      <c r="AK421" s="47">
        <f t="shared" si="55"/>
        <v>4800</v>
      </c>
      <c r="AL421" s="46">
        <v>800</v>
      </c>
      <c r="AM421" s="46">
        <v>800</v>
      </c>
      <c r="AN421" s="46">
        <v>400</v>
      </c>
      <c r="AO421" s="46">
        <v>400</v>
      </c>
      <c r="AP421" s="46">
        <v>400</v>
      </c>
      <c r="AQ421" s="46">
        <v>400</v>
      </c>
      <c r="AR421" s="46">
        <v>400</v>
      </c>
      <c r="AS421" s="46">
        <v>400</v>
      </c>
      <c r="AT421" s="46">
        <v>400</v>
      </c>
      <c r="AU421" s="46">
        <v>400</v>
      </c>
      <c r="AV421" s="46">
        <v>400</v>
      </c>
      <c r="AW421" s="46">
        <v>0</v>
      </c>
      <c r="AX421" s="47">
        <f t="shared" si="56"/>
        <v>5200</v>
      </c>
      <c r="AY421" s="313">
        <f>SUMIF(Recibos!$D$4:$D$7493,Cobranza!$B421,Recibos!K$4:K$7493)</f>
        <v>400</v>
      </c>
      <c r="AZ421" s="313">
        <f>SUMIF(Recibos!$D$4:$D$7493,Cobranza!$B421,Recibos!L$4:L$7493)</f>
        <v>400</v>
      </c>
      <c r="BA421" s="313">
        <f>SUMIF(Recibos!$D$4:$D$7493,Cobranza!$B421,Recibos!M$4:M$7493)</f>
        <v>400</v>
      </c>
      <c r="BB421" s="313">
        <f>SUMIF(Recibos!$D$4:$D$7493,Cobranza!$B421,Recibos!N$4:N$7493)</f>
        <v>400</v>
      </c>
      <c r="BC421" s="313">
        <f>SUMIF(Recibos!$D$4:$D$7493,Cobranza!$B421,Recibos!O$4:O$7493)</f>
        <v>400</v>
      </c>
      <c r="BD421" s="313">
        <f>SUMIF(Recibos!$D$4:$D$7493,Cobranza!$B421,Recibos!P$4:P$7493)</f>
        <v>400</v>
      </c>
      <c r="BE421" s="313">
        <f>SUMIF(Recibos!$D$4:$D$7493,Cobranza!$B421,Recibos!Q$4:Q$7493)</f>
        <v>400</v>
      </c>
      <c r="BF421" s="313">
        <f>SUMIF(Recibos!$D$4:$D$7493,Cobranza!$B421,Recibos!R$4:R$7493)</f>
        <v>400</v>
      </c>
      <c r="BG421" s="313">
        <f>SUMIF(Recibos!$D$4:$D$7493,Cobranza!$B421,Recibos!S$4:S$7493)</f>
        <v>400</v>
      </c>
      <c r="BH421" s="313">
        <f>SUMIF(Recibos!$D$4:$D$7493,Cobranza!$B421,Recibos!T$4:T$7493)</f>
        <v>400</v>
      </c>
      <c r="BI421" s="313">
        <f>SUMIF(Recibos!$D$4:$D$7493,Cobranza!$B421,Recibos!U$4:U$7493)</f>
        <v>400</v>
      </c>
      <c r="BJ421" s="313">
        <f>SUMIF(Recibos!$D$4:$D$7493,Cobranza!$B421,Recibos!V$4:V$7493)</f>
        <v>400</v>
      </c>
      <c r="BK421" s="314">
        <f t="shared" si="57"/>
        <v>4800</v>
      </c>
      <c r="BL421" s="313">
        <f>SUMIF(Recibos!$D$4:$D$7493,Cobranza!$B421,Recibos!X$4:X$7493)</f>
        <v>400</v>
      </c>
      <c r="BM421" s="313">
        <f>SUMIF(Recibos!$D$4:$D$7493,Cobranza!$B421,Recibos!Y$4:Y$7493)</f>
        <v>400</v>
      </c>
      <c r="BN421" s="313">
        <f>SUMIF(Recibos!$D$4:$D$7493,Cobranza!$B421,Recibos!Z$4:Z$7493)</f>
        <v>400</v>
      </c>
      <c r="BO421" s="313">
        <f>SUMIF(Recibos!$D$4:$D$7493,Cobranza!$B421,Recibos!AA$4:AA$7493)</f>
        <v>400</v>
      </c>
      <c r="BP421" s="313">
        <f>SUMIF(Recibos!$D$4:$D$7493,Cobranza!$B421,Recibos!AB$4:AB$7493)</f>
        <v>400</v>
      </c>
      <c r="BQ421" s="313">
        <f>SUMIF(Recibos!$D$4:$D$7493,Cobranza!$B421,Recibos!AC$4:AC$7493)</f>
        <v>400</v>
      </c>
      <c r="BR421" s="313">
        <f>SUMIF(Recibos!$D$4:$D$7493,Cobranza!$B421,Recibos!AD$4:AD$7493)</f>
        <v>400</v>
      </c>
      <c r="BS421" s="313">
        <f>SUMIF(Recibos!$D$4:$D$7493,Cobranza!$B421,Recibos!AE$4:AE$7493)</f>
        <v>400</v>
      </c>
      <c r="BT421" s="313">
        <f>SUMIF(Recibos!$D$4:$D$7493,Cobranza!$B421,Recibos!AF$4:AF$7493)</f>
        <v>400</v>
      </c>
      <c r="BU421" s="313">
        <f>SUMIF(Recibos!$D$4:$D$7493,Cobranza!$B421,Recibos!AG$4:AG$7493)</f>
        <v>400</v>
      </c>
      <c r="BV421" s="313">
        <f>SUMIF(Recibos!$D$4:$D$7493,Cobranza!$B421,Recibos!AH$4:AH$7493)</f>
        <v>400</v>
      </c>
      <c r="BW421" s="313">
        <f>SUMIF(Recibos!$D$4:$D$7493,Cobranza!$B421,Recibos!AI$4:AI$7493)</f>
        <v>400</v>
      </c>
      <c r="BX421" s="314">
        <f t="shared" si="58"/>
        <v>4800</v>
      </c>
      <c r="BY421" s="313">
        <f>SUMIF(Recibos!$D$4:$D$7493,Cobranza!$B421,Recibos!AK$4:AK$7493)</f>
        <v>400</v>
      </c>
      <c r="BZ421" s="313">
        <f>SUMIF(Recibos!$D$4:$D$7493,Cobranza!$B421,Recibos!AL$4:AL$7493)</f>
        <v>400</v>
      </c>
      <c r="CA421" s="313">
        <f>SUMIF(Recibos!$D$4:$D$7493,Cobranza!$B421,Recibos!AM$4:AM$7493)</f>
        <v>400</v>
      </c>
      <c r="CB421" s="313">
        <f>SUMIF(Recibos!$D$4:$D$7493,Cobranza!$B421,Recibos!AN$4:AN$7493)</f>
        <v>400</v>
      </c>
      <c r="CC421" s="313">
        <f>SUMIF(Recibos!$D$4:$D$7493,Cobranza!$B421,Recibos!AO$4:AO$7493)</f>
        <v>400</v>
      </c>
      <c r="CD421" s="313">
        <f>SUMIF(Recibos!$D$4:$D$7493,Cobranza!$B421,Recibos!AP$4:AP$7493)</f>
        <v>400</v>
      </c>
      <c r="CE421" s="313">
        <f>SUMIF(Recibos!$D$4:$D$7493,Cobranza!$B421,Recibos!AQ$4:AQ$7493)</f>
        <v>400</v>
      </c>
      <c r="CF421" s="313">
        <f>SUMIF(Recibos!$D$4:$D$7493,Cobranza!$B421,Recibos!AR$4:AR$7493)</f>
        <v>400</v>
      </c>
      <c r="CG421" s="313">
        <f>SUMIF(Recibos!$D$4:$D$7493,Cobranza!$B421,Recibos!AS$4:AS$7493)</f>
        <v>400</v>
      </c>
      <c r="CH421" s="313">
        <f>SUMIF(Recibos!$D$4:$D$7493,Cobranza!$B421,Recibos!AT$4:AT$7493)</f>
        <v>400</v>
      </c>
      <c r="CI421" s="313">
        <f>SUMIF(Recibos!$D$4:$D$7493,Cobranza!$B421,Recibos!AU$4:AU$7493)</f>
        <v>0</v>
      </c>
      <c r="CJ421" s="313">
        <f>SUMIF(Recibos!$D$4:$D$7493,Cobranza!$B421,Recibos!AV$4:AV$7493)</f>
        <v>0</v>
      </c>
      <c r="CK421" s="314">
        <f t="shared" si="52"/>
        <v>4000</v>
      </c>
    </row>
    <row r="422" spans="2:89" x14ac:dyDescent="0.2">
      <c r="B422" s="42" t="s">
        <v>373</v>
      </c>
      <c r="C422" s="42" t="s">
        <v>374</v>
      </c>
      <c r="D422" s="42" t="s">
        <v>375</v>
      </c>
      <c r="E422" s="43">
        <v>0</v>
      </c>
      <c r="F422" s="43">
        <v>0</v>
      </c>
      <c r="G422" s="43">
        <v>0</v>
      </c>
      <c r="H422" s="43">
        <v>0</v>
      </c>
      <c r="I422" s="43">
        <v>300</v>
      </c>
      <c r="J422" s="43">
        <v>300</v>
      </c>
      <c r="K422" s="44">
        <f t="shared" si="53"/>
        <v>600</v>
      </c>
      <c r="L422" s="43">
        <v>300</v>
      </c>
      <c r="M422" s="43">
        <v>300</v>
      </c>
      <c r="N422" s="43">
        <v>300</v>
      </c>
      <c r="O422" s="43">
        <v>300</v>
      </c>
      <c r="P422" s="43">
        <v>300</v>
      </c>
      <c r="Q422" s="43">
        <v>300</v>
      </c>
      <c r="R422" s="43">
        <v>300</v>
      </c>
      <c r="S422" s="43">
        <v>0</v>
      </c>
      <c r="T422" s="43">
        <v>600</v>
      </c>
      <c r="U422" s="43">
        <v>400</v>
      </c>
      <c r="V422" s="43">
        <v>400</v>
      </c>
      <c r="W422" s="43">
        <v>400</v>
      </c>
      <c r="X422" s="44">
        <f t="shared" si="54"/>
        <v>3900</v>
      </c>
      <c r="Y422" s="43">
        <v>0</v>
      </c>
      <c r="Z422" s="43">
        <v>400</v>
      </c>
      <c r="AA422" s="43">
        <v>400</v>
      </c>
      <c r="AB422" s="43">
        <v>400</v>
      </c>
      <c r="AC422" s="43">
        <v>400</v>
      </c>
      <c r="AD422" s="43">
        <v>400</v>
      </c>
      <c r="AE422" s="43">
        <v>400</v>
      </c>
      <c r="AF422" s="43">
        <v>400</v>
      </c>
      <c r="AG422" s="43">
        <v>400</v>
      </c>
      <c r="AH422" s="43">
        <v>400</v>
      </c>
      <c r="AI422" s="43">
        <v>400</v>
      </c>
      <c r="AJ422" s="43">
        <v>400</v>
      </c>
      <c r="AK422" s="44">
        <f t="shared" si="55"/>
        <v>4400</v>
      </c>
      <c r="AL422" s="43">
        <v>400</v>
      </c>
      <c r="AM422" s="43">
        <v>400</v>
      </c>
      <c r="AN422" s="43">
        <v>400</v>
      </c>
      <c r="AO422" s="43">
        <v>400</v>
      </c>
      <c r="AP422" s="43">
        <v>400</v>
      </c>
      <c r="AQ422" s="43">
        <v>400</v>
      </c>
      <c r="AR422" s="43">
        <v>400</v>
      </c>
      <c r="AS422" s="43">
        <v>400</v>
      </c>
      <c r="AT422" s="43">
        <v>400</v>
      </c>
      <c r="AU422" s="43">
        <v>400</v>
      </c>
      <c r="AV422" s="43">
        <v>400</v>
      </c>
      <c r="AW422" s="43">
        <v>400</v>
      </c>
      <c r="AX422" s="44">
        <f t="shared" si="56"/>
        <v>4800</v>
      </c>
      <c r="AY422" s="311">
        <f>SUMIF(Recibos!$D$4:$D$7493,Cobranza!$B422,Recibos!K$4:K$7493)</f>
        <v>400</v>
      </c>
      <c r="AZ422" s="311">
        <f>SUMIF(Recibos!$D$4:$D$7493,Cobranza!$B422,Recibos!L$4:L$7493)</f>
        <v>400</v>
      </c>
      <c r="BA422" s="311">
        <f>SUMIF(Recibos!$D$4:$D$7493,Cobranza!$B422,Recibos!M$4:M$7493)</f>
        <v>400</v>
      </c>
      <c r="BB422" s="311">
        <f>SUMIF(Recibos!$D$4:$D$7493,Cobranza!$B422,Recibos!N$4:N$7493)</f>
        <v>400</v>
      </c>
      <c r="BC422" s="311">
        <f>SUMIF(Recibos!$D$4:$D$7493,Cobranza!$B422,Recibos!O$4:O$7493)</f>
        <v>400</v>
      </c>
      <c r="BD422" s="311">
        <f>SUMIF(Recibos!$D$4:$D$7493,Cobranza!$B422,Recibos!P$4:P$7493)</f>
        <v>400</v>
      </c>
      <c r="BE422" s="311">
        <f>SUMIF(Recibos!$D$4:$D$7493,Cobranza!$B422,Recibos!Q$4:Q$7493)</f>
        <v>400</v>
      </c>
      <c r="BF422" s="311">
        <f>SUMIF(Recibos!$D$4:$D$7493,Cobranza!$B422,Recibos!R$4:R$7493)</f>
        <v>400</v>
      </c>
      <c r="BG422" s="311">
        <f>SUMIF(Recibos!$D$4:$D$7493,Cobranza!$B422,Recibos!S$4:S$7493)</f>
        <v>400</v>
      </c>
      <c r="BH422" s="311">
        <f>SUMIF(Recibos!$D$4:$D$7493,Cobranza!$B422,Recibos!T$4:T$7493)</f>
        <v>400</v>
      </c>
      <c r="BI422" s="311">
        <f>SUMIF(Recibos!$D$4:$D$7493,Cobranza!$B422,Recibos!U$4:U$7493)</f>
        <v>400</v>
      </c>
      <c r="BJ422" s="311">
        <f>SUMIF(Recibos!$D$4:$D$7493,Cobranza!$B422,Recibos!V$4:V$7493)</f>
        <v>400</v>
      </c>
      <c r="BK422" s="312">
        <f t="shared" si="57"/>
        <v>4800</v>
      </c>
      <c r="BL422" s="311">
        <f>SUMIF(Recibos!$D$4:$D$7493,Cobranza!$B422,Recibos!X$4:X$7493)</f>
        <v>400</v>
      </c>
      <c r="BM422" s="311">
        <f>SUMIF(Recibos!$D$4:$D$7493,Cobranza!$B422,Recibos!Y$4:Y$7493)</f>
        <v>400</v>
      </c>
      <c r="BN422" s="311">
        <f>SUMIF(Recibos!$D$4:$D$7493,Cobranza!$B422,Recibos!Z$4:Z$7493)</f>
        <v>400</v>
      </c>
      <c r="BO422" s="311">
        <f>SUMIF(Recibos!$D$4:$D$7493,Cobranza!$B422,Recibos!AA$4:AA$7493)</f>
        <v>400</v>
      </c>
      <c r="BP422" s="311">
        <f>SUMIF(Recibos!$D$4:$D$7493,Cobranza!$B422,Recibos!AB$4:AB$7493)</f>
        <v>400</v>
      </c>
      <c r="BQ422" s="311">
        <f>SUMIF(Recibos!$D$4:$D$7493,Cobranza!$B422,Recibos!AC$4:AC$7493)</f>
        <v>400</v>
      </c>
      <c r="BR422" s="311">
        <f>SUMIF(Recibos!$D$4:$D$7493,Cobranza!$B422,Recibos!AD$4:AD$7493)</f>
        <v>400</v>
      </c>
      <c r="BS422" s="311">
        <f>SUMIF(Recibos!$D$4:$D$7493,Cobranza!$B422,Recibos!AE$4:AE$7493)</f>
        <v>400</v>
      </c>
      <c r="BT422" s="311">
        <f>SUMIF(Recibos!$D$4:$D$7493,Cobranza!$B422,Recibos!AF$4:AF$7493)</f>
        <v>400</v>
      </c>
      <c r="BU422" s="311">
        <f>SUMIF(Recibos!$D$4:$D$7493,Cobranza!$B422,Recibos!AG$4:AG$7493)</f>
        <v>400</v>
      </c>
      <c r="BV422" s="311">
        <f>SUMIF(Recibos!$D$4:$D$7493,Cobranza!$B422,Recibos!AH$4:AH$7493)</f>
        <v>400</v>
      </c>
      <c r="BW422" s="311">
        <f>SUMIF(Recibos!$D$4:$D$7493,Cobranza!$B422,Recibos!AI$4:AI$7493)</f>
        <v>400</v>
      </c>
      <c r="BX422" s="312">
        <f t="shared" si="58"/>
        <v>4800</v>
      </c>
      <c r="BY422" s="311">
        <f>SUMIF(Recibos!$D$4:$D$7493,Cobranza!$B422,Recibos!AK$4:AK$7493)</f>
        <v>400</v>
      </c>
      <c r="BZ422" s="311">
        <f>SUMIF(Recibos!$D$4:$D$7493,Cobranza!$B422,Recibos!AL$4:AL$7493)</f>
        <v>400</v>
      </c>
      <c r="CA422" s="311">
        <f>SUMIF(Recibos!$D$4:$D$7493,Cobranza!$B422,Recibos!AM$4:AM$7493)</f>
        <v>400</v>
      </c>
      <c r="CB422" s="311">
        <f>SUMIF(Recibos!$D$4:$D$7493,Cobranza!$B422,Recibos!AN$4:AN$7493)</f>
        <v>400</v>
      </c>
      <c r="CC422" s="311">
        <f>SUMIF(Recibos!$D$4:$D$7493,Cobranza!$B422,Recibos!AO$4:AO$7493)</f>
        <v>400</v>
      </c>
      <c r="CD422" s="311">
        <f>SUMIF(Recibos!$D$4:$D$7493,Cobranza!$B422,Recibos!AP$4:AP$7493)</f>
        <v>400</v>
      </c>
      <c r="CE422" s="311">
        <f>SUMIF(Recibos!$D$4:$D$7493,Cobranza!$B422,Recibos!AQ$4:AQ$7493)</f>
        <v>400</v>
      </c>
      <c r="CF422" s="311">
        <f>SUMIF(Recibos!$D$4:$D$7493,Cobranza!$B422,Recibos!AR$4:AR$7493)</f>
        <v>400</v>
      </c>
      <c r="CG422" s="311">
        <f>SUMIF(Recibos!$D$4:$D$7493,Cobranza!$B422,Recibos!AS$4:AS$7493)</f>
        <v>0</v>
      </c>
      <c r="CH422" s="311">
        <f>SUMIF(Recibos!$D$4:$D$7493,Cobranza!$B422,Recibos!AT$4:AT$7493)</f>
        <v>0</v>
      </c>
      <c r="CI422" s="311">
        <f>SUMIF(Recibos!$D$4:$D$7493,Cobranza!$B422,Recibos!AU$4:AU$7493)</f>
        <v>0</v>
      </c>
      <c r="CJ422" s="311">
        <f>SUMIF(Recibos!$D$4:$D$7493,Cobranza!$B422,Recibos!AV$4:AV$7493)</f>
        <v>0</v>
      </c>
      <c r="CK422" s="312">
        <f t="shared" si="52"/>
        <v>3200</v>
      </c>
    </row>
    <row r="423" spans="2:89" x14ac:dyDescent="0.2">
      <c r="B423" s="45" t="s">
        <v>325</v>
      </c>
      <c r="C423" s="45" t="s">
        <v>326</v>
      </c>
      <c r="D423" s="45" t="s">
        <v>327</v>
      </c>
      <c r="E423" s="46">
        <v>0</v>
      </c>
      <c r="F423" s="46">
        <v>0</v>
      </c>
      <c r="G423" s="46">
        <v>0</v>
      </c>
      <c r="H423" s="46">
        <v>0</v>
      </c>
      <c r="I423" s="46">
        <v>0</v>
      </c>
      <c r="J423" s="46">
        <v>300</v>
      </c>
      <c r="K423" s="47">
        <f t="shared" si="53"/>
        <v>300</v>
      </c>
      <c r="L423" s="46">
        <v>300</v>
      </c>
      <c r="M423" s="46">
        <v>300</v>
      </c>
      <c r="N423" s="46">
        <v>300</v>
      </c>
      <c r="O423" s="46">
        <v>300</v>
      </c>
      <c r="P423" s="46">
        <v>300</v>
      </c>
      <c r="Q423" s="46">
        <v>300</v>
      </c>
      <c r="R423" s="46">
        <v>300</v>
      </c>
      <c r="S423" s="46">
        <v>300</v>
      </c>
      <c r="T423" s="46">
        <v>300</v>
      </c>
      <c r="U423" s="46">
        <v>400</v>
      </c>
      <c r="V423" s="46">
        <v>400</v>
      </c>
      <c r="W423" s="46">
        <v>400</v>
      </c>
      <c r="X423" s="47">
        <f t="shared" si="54"/>
        <v>3900</v>
      </c>
      <c r="Y423" s="46">
        <v>400</v>
      </c>
      <c r="Z423" s="46">
        <v>400</v>
      </c>
      <c r="AA423" s="46">
        <v>400</v>
      </c>
      <c r="AB423" s="46">
        <v>400</v>
      </c>
      <c r="AC423" s="46">
        <v>400</v>
      </c>
      <c r="AD423" s="46">
        <v>400</v>
      </c>
      <c r="AE423" s="46">
        <v>400</v>
      </c>
      <c r="AF423" s="46">
        <v>400</v>
      </c>
      <c r="AG423" s="46">
        <v>400</v>
      </c>
      <c r="AH423" s="46">
        <v>400</v>
      </c>
      <c r="AI423" s="46">
        <v>400</v>
      </c>
      <c r="AJ423" s="46">
        <v>400</v>
      </c>
      <c r="AK423" s="47">
        <f t="shared" si="55"/>
        <v>4800</v>
      </c>
      <c r="AL423" s="46">
        <v>400</v>
      </c>
      <c r="AM423" s="46">
        <v>400</v>
      </c>
      <c r="AN423" s="46">
        <v>400</v>
      </c>
      <c r="AO423" s="46">
        <v>400</v>
      </c>
      <c r="AP423" s="46">
        <v>400</v>
      </c>
      <c r="AQ423" s="46">
        <v>400</v>
      </c>
      <c r="AR423" s="46">
        <v>400</v>
      </c>
      <c r="AS423" s="46">
        <v>400</v>
      </c>
      <c r="AT423" s="46">
        <v>400</v>
      </c>
      <c r="AU423" s="46">
        <v>400</v>
      </c>
      <c r="AV423" s="46">
        <v>400</v>
      </c>
      <c r="AW423" s="46">
        <v>400</v>
      </c>
      <c r="AX423" s="47">
        <f t="shared" si="56"/>
        <v>4800</v>
      </c>
      <c r="AY423" s="313">
        <f>SUMIF(Recibos!$D$4:$D$7493,Cobranza!$B423,Recibos!K$4:K$7493)</f>
        <v>400</v>
      </c>
      <c r="AZ423" s="313">
        <f>SUMIF(Recibos!$D$4:$D$7493,Cobranza!$B423,Recibos!L$4:L$7493)</f>
        <v>400</v>
      </c>
      <c r="BA423" s="313">
        <f>SUMIF(Recibos!$D$4:$D$7493,Cobranza!$B423,Recibos!M$4:M$7493)</f>
        <v>400</v>
      </c>
      <c r="BB423" s="313">
        <f>SUMIF(Recibos!$D$4:$D$7493,Cobranza!$B423,Recibos!N$4:N$7493)</f>
        <v>400</v>
      </c>
      <c r="BC423" s="313">
        <f>SUMIF(Recibos!$D$4:$D$7493,Cobranza!$B423,Recibos!O$4:O$7493)</f>
        <v>400</v>
      </c>
      <c r="BD423" s="313">
        <f>SUMIF(Recibos!$D$4:$D$7493,Cobranza!$B423,Recibos!P$4:P$7493)</f>
        <v>400</v>
      </c>
      <c r="BE423" s="313">
        <f>SUMIF(Recibos!$D$4:$D$7493,Cobranza!$B423,Recibos!Q$4:Q$7493)</f>
        <v>400</v>
      </c>
      <c r="BF423" s="313">
        <f>SUMIF(Recibos!$D$4:$D$7493,Cobranza!$B423,Recibos!R$4:R$7493)</f>
        <v>400</v>
      </c>
      <c r="BG423" s="313">
        <f>SUMIF(Recibos!$D$4:$D$7493,Cobranza!$B423,Recibos!S$4:S$7493)</f>
        <v>400</v>
      </c>
      <c r="BH423" s="313">
        <f>SUMIF(Recibos!$D$4:$D$7493,Cobranza!$B423,Recibos!T$4:T$7493)</f>
        <v>400</v>
      </c>
      <c r="BI423" s="313">
        <f>SUMIF(Recibos!$D$4:$D$7493,Cobranza!$B423,Recibos!U$4:U$7493)</f>
        <v>400</v>
      </c>
      <c r="BJ423" s="313">
        <f>SUMIF(Recibos!$D$4:$D$7493,Cobranza!$B423,Recibos!V$4:V$7493)</f>
        <v>400</v>
      </c>
      <c r="BK423" s="314">
        <f t="shared" si="57"/>
        <v>4800</v>
      </c>
      <c r="BL423" s="313">
        <f>SUMIF(Recibos!$D$4:$D$7493,Cobranza!$B423,Recibos!X$4:X$7493)</f>
        <v>400</v>
      </c>
      <c r="BM423" s="313">
        <f>SUMIF(Recibos!$D$4:$D$7493,Cobranza!$B423,Recibos!Y$4:Y$7493)</f>
        <v>400</v>
      </c>
      <c r="BN423" s="313">
        <f>SUMIF(Recibos!$D$4:$D$7493,Cobranza!$B423,Recibos!Z$4:Z$7493)</f>
        <v>500</v>
      </c>
      <c r="BO423" s="313">
        <f>SUMIF(Recibos!$D$4:$D$7493,Cobranza!$B423,Recibos!AA$4:AA$7493)</f>
        <v>400</v>
      </c>
      <c r="BP423" s="313">
        <f>SUMIF(Recibos!$D$4:$D$7493,Cobranza!$B423,Recibos!AB$4:AB$7493)</f>
        <v>400</v>
      </c>
      <c r="BQ423" s="313">
        <f>SUMIF(Recibos!$D$4:$D$7493,Cobranza!$B423,Recibos!AC$4:AC$7493)</f>
        <v>400</v>
      </c>
      <c r="BR423" s="313">
        <f>SUMIF(Recibos!$D$4:$D$7493,Cobranza!$B423,Recibos!AD$4:AD$7493)</f>
        <v>400</v>
      </c>
      <c r="BS423" s="313">
        <f>SUMIF(Recibos!$D$4:$D$7493,Cobranza!$B423,Recibos!AE$4:AE$7493)</f>
        <v>400</v>
      </c>
      <c r="BT423" s="313">
        <f>SUMIF(Recibos!$D$4:$D$7493,Cobranza!$B423,Recibos!AF$4:AF$7493)</f>
        <v>400</v>
      </c>
      <c r="BU423" s="313">
        <f>SUMIF(Recibos!$D$4:$D$7493,Cobranza!$B423,Recibos!AG$4:AG$7493)</f>
        <v>400</v>
      </c>
      <c r="BV423" s="313">
        <f>SUMIF(Recibos!$D$4:$D$7493,Cobranza!$B423,Recibos!AH$4:AH$7493)</f>
        <v>400</v>
      </c>
      <c r="BW423" s="313">
        <f>SUMIF(Recibos!$D$4:$D$7493,Cobranza!$B423,Recibos!AI$4:AI$7493)</f>
        <v>400</v>
      </c>
      <c r="BX423" s="314">
        <f t="shared" si="58"/>
        <v>4900</v>
      </c>
      <c r="BY423" s="313">
        <f>SUMIF(Recibos!$D$4:$D$7493,Cobranza!$B423,Recibos!AK$4:AK$7493)</f>
        <v>400</v>
      </c>
      <c r="BZ423" s="313">
        <f>SUMIF(Recibos!$D$4:$D$7493,Cobranza!$B423,Recibos!AL$4:AL$7493)</f>
        <v>400</v>
      </c>
      <c r="CA423" s="313">
        <f>SUMIF(Recibos!$D$4:$D$7493,Cobranza!$B423,Recibos!AM$4:AM$7493)</f>
        <v>400</v>
      </c>
      <c r="CB423" s="313">
        <f>SUMIF(Recibos!$D$4:$D$7493,Cobranza!$B423,Recibos!AN$4:AN$7493)</f>
        <v>400</v>
      </c>
      <c r="CC423" s="313">
        <f>SUMIF(Recibos!$D$4:$D$7493,Cobranza!$B423,Recibos!AO$4:AO$7493)</f>
        <v>400</v>
      </c>
      <c r="CD423" s="313">
        <f>SUMIF(Recibos!$D$4:$D$7493,Cobranza!$B423,Recibos!AP$4:AP$7493)</f>
        <v>400</v>
      </c>
      <c r="CE423" s="313">
        <f>SUMIF(Recibos!$D$4:$D$7493,Cobranza!$B423,Recibos!AQ$4:AQ$7493)</f>
        <v>400</v>
      </c>
      <c r="CF423" s="313">
        <f>SUMIF(Recibos!$D$4:$D$7493,Cobranza!$B423,Recibos!AR$4:AR$7493)</f>
        <v>400</v>
      </c>
      <c r="CG423" s="313">
        <f>SUMIF(Recibos!$D$4:$D$7493,Cobranza!$B423,Recibos!AS$4:AS$7493)</f>
        <v>400</v>
      </c>
      <c r="CH423" s="313">
        <f>SUMIF(Recibos!$D$4:$D$7493,Cobranza!$B423,Recibos!AT$4:AT$7493)</f>
        <v>400</v>
      </c>
      <c r="CI423" s="313">
        <f>SUMIF(Recibos!$D$4:$D$7493,Cobranza!$B423,Recibos!AU$4:AU$7493)</f>
        <v>400</v>
      </c>
      <c r="CJ423" s="313">
        <f>SUMIF(Recibos!$D$4:$D$7493,Cobranza!$B423,Recibos!AV$4:AV$7493)</f>
        <v>0</v>
      </c>
      <c r="CK423" s="314">
        <f t="shared" si="52"/>
        <v>4400</v>
      </c>
    </row>
    <row r="424" spans="2:89" x14ac:dyDescent="0.2">
      <c r="B424" s="42" t="s">
        <v>1446</v>
      </c>
      <c r="C424" s="42" t="s">
        <v>1447</v>
      </c>
      <c r="D424" s="42"/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4">
        <f t="shared" si="53"/>
        <v>0</v>
      </c>
      <c r="L424" s="43">
        <v>0</v>
      </c>
      <c r="M424" s="43">
        <v>0</v>
      </c>
      <c r="N424" s="43">
        <v>0</v>
      </c>
      <c r="O424" s="43">
        <v>0</v>
      </c>
      <c r="P424" s="43">
        <v>0</v>
      </c>
      <c r="Q424" s="43">
        <v>0</v>
      </c>
      <c r="R424" s="43">
        <v>0</v>
      </c>
      <c r="S424" s="43">
        <v>0</v>
      </c>
      <c r="T424" s="43">
        <v>0</v>
      </c>
      <c r="U424" s="43">
        <v>0</v>
      </c>
      <c r="V424" s="43">
        <v>0</v>
      </c>
      <c r="W424" s="43">
        <v>0</v>
      </c>
      <c r="X424" s="44">
        <f t="shared" si="54"/>
        <v>0</v>
      </c>
      <c r="Y424" s="43">
        <v>0</v>
      </c>
      <c r="Z424" s="43">
        <v>0</v>
      </c>
      <c r="AA424" s="43">
        <v>0</v>
      </c>
      <c r="AB424" s="43">
        <v>0</v>
      </c>
      <c r="AC424" s="43">
        <v>0</v>
      </c>
      <c r="AD424" s="43">
        <v>0</v>
      </c>
      <c r="AE424" s="43">
        <v>0</v>
      </c>
      <c r="AF424" s="43">
        <v>0</v>
      </c>
      <c r="AG424" s="43">
        <v>0</v>
      </c>
      <c r="AH424" s="43">
        <v>0</v>
      </c>
      <c r="AI424" s="43">
        <v>0</v>
      </c>
      <c r="AJ424" s="43">
        <v>0</v>
      </c>
      <c r="AK424" s="44">
        <f t="shared" si="55"/>
        <v>0</v>
      </c>
      <c r="AL424" s="43">
        <v>0</v>
      </c>
      <c r="AM424" s="43">
        <v>0</v>
      </c>
      <c r="AN424" s="43">
        <v>0</v>
      </c>
      <c r="AO424" s="43">
        <v>0</v>
      </c>
      <c r="AP424" s="43">
        <v>0</v>
      </c>
      <c r="AQ424" s="43">
        <v>0</v>
      </c>
      <c r="AR424" s="43">
        <v>0</v>
      </c>
      <c r="AS424" s="43">
        <v>0</v>
      </c>
      <c r="AT424" s="43">
        <v>0</v>
      </c>
      <c r="AU424" s="43">
        <v>0</v>
      </c>
      <c r="AV424" s="43">
        <v>0</v>
      </c>
      <c r="AW424" s="43">
        <v>0</v>
      </c>
      <c r="AX424" s="44">
        <f t="shared" si="56"/>
        <v>0</v>
      </c>
      <c r="AY424" s="311">
        <f>SUMIF(Recibos!$D$4:$D$7493,Cobranza!$B424,Recibos!K$4:K$7493)</f>
        <v>0</v>
      </c>
      <c r="AZ424" s="311">
        <f>SUMIF(Recibos!$D$4:$D$7493,Cobranza!$B424,Recibos!L$4:L$7493)</f>
        <v>0</v>
      </c>
      <c r="BA424" s="311">
        <f>SUMIF(Recibos!$D$4:$D$7493,Cobranza!$B424,Recibos!M$4:M$7493)</f>
        <v>0</v>
      </c>
      <c r="BB424" s="311">
        <f>SUMIF(Recibos!$D$4:$D$7493,Cobranza!$B424,Recibos!N$4:N$7493)</f>
        <v>0</v>
      </c>
      <c r="BC424" s="311">
        <f>SUMIF(Recibos!$D$4:$D$7493,Cobranza!$B424,Recibos!O$4:O$7493)</f>
        <v>0</v>
      </c>
      <c r="BD424" s="311">
        <f>SUMIF(Recibos!$D$4:$D$7493,Cobranza!$B424,Recibos!P$4:P$7493)</f>
        <v>0</v>
      </c>
      <c r="BE424" s="311">
        <f>SUMIF(Recibos!$D$4:$D$7493,Cobranza!$B424,Recibos!Q$4:Q$7493)</f>
        <v>0</v>
      </c>
      <c r="BF424" s="311">
        <f>SUMIF(Recibos!$D$4:$D$7493,Cobranza!$B424,Recibos!R$4:R$7493)</f>
        <v>0</v>
      </c>
      <c r="BG424" s="311">
        <f>SUMIF(Recibos!$D$4:$D$7493,Cobranza!$B424,Recibos!S$4:S$7493)</f>
        <v>0</v>
      </c>
      <c r="BH424" s="311">
        <f>SUMIF(Recibos!$D$4:$D$7493,Cobranza!$B424,Recibos!T$4:T$7493)</f>
        <v>0</v>
      </c>
      <c r="BI424" s="311">
        <f>SUMIF(Recibos!$D$4:$D$7493,Cobranza!$B424,Recibos!U$4:U$7493)</f>
        <v>0</v>
      </c>
      <c r="BJ424" s="311">
        <f>SUMIF(Recibos!$D$4:$D$7493,Cobranza!$B424,Recibos!V$4:V$7493)</f>
        <v>0</v>
      </c>
      <c r="BK424" s="312">
        <f t="shared" si="57"/>
        <v>0</v>
      </c>
      <c r="BL424" s="311">
        <f>SUMIF(Recibos!$D$4:$D$7493,Cobranza!$B424,Recibos!X$4:X$7493)</f>
        <v>0</v>
      </c>
      <c r="BM424" s="311">
        <f>SUMIF(Recibos!$D$4:$D$7493,Cobranza!$B424,Recibos!Y$4:Y$7493)</f>
        <v>0</v>
      </c>
      <c r="BN424" s="311">
        <f>SUMIF(Recibos!$D$4:$D$7493,Cobranza!$B424,Recibos!Z$4:Z$7493)</f>
        <v>0</v>
      </c>
      <c r="BO424" s="311">
        <f>SUMIF(Recibos!$D$4:$D$7493,Cobranza!$B424,Recibos!AA$4:AA$7493)</f>
        <v>0</v>
      </c>
      <c r="BP424" s="311">
        <f>SUMIF(Recibos!$D$4:$D$7493,Cobranza!$B424,Recibos!AB$4:AB$7493)</f>
        <v>0</v>
      </c>
      <c r="BQ424" s="311">
        <f>SUMIF(Recibos!$D$4:$D$7493,Cobranza!$B424,Recibos!AC$4:AC$7493)</f>
        <v>0</v>
      </c>
      <c r="BR424" s="311">
        <f>SUMIF(Recibos!$D$4:$D$7493,Cobranza!$B424,Recibos!AD$4:AD$7493)</f>
        <v>0</v>
      </c>
      <c r="BS424" s="311">
        <f>SUMIF(Recibos!$D$4:$D$7493,Cobranza!$B424,Recibos!AE$4:AE$7493)</f>
        <v>0</v>
      </c>
      <c r="BT424" s="311">
        <f>SUMIF(Recibos!$D$4:$D$7493,Cobranza!$B424,Recibos!AF$4:AF$7493)</f>
        <v>0</v>
      </c>
      <c r="BU424" s="311">
        <f>SUMIF(Recibos!$D$4:$D$7493,Cobranza!$B424,Recibos!AG$4:AG$7493)</f>
        <v>0</v>
      </c>
      <c r="BV424" s="311">
        <f>SUMIF(Recibos!$D$4:$D$7493,Cobranza!$B424,Recibos!AH$4:AH$7493)</f>
        <v>0</v>
      </c>
      <c r="BW424" s="311">
        <f>SUMIF(Recibos!$D$4:$D$7493,Cobranza!$B424,Recibos!AI$4:AI$7493)</f>
        <v>0</v>
      </c>
      <c r="BX424" s="312">
        <f t="shared" si="58"/>
        <v>0</v>
      </c>
      <c r="BY424" s="311">
        <f>SUMIF(Recibos!$D$4:$D$7493,Cobranza!$B424,Recibos!AK$4:AK$7493)</f>
        <v>0</v>
      </c>
      <c r="BZ424" s="311">
        <f>SUMIF(Recibos!$D$4:$D$7493,Cobranza!$B424,Recibos!AL$4:AL$7493)</f>
        <v>0</v>
      </c>
      <c r="CA424" s="311">
        <f>SUMIF(Recibos!$D$4:$D$7493,Cobranza!$B424,Recibos!AM$4:AM$7493)</f>
        <v>0</v>
      </c>
      <c r="CB424" s="311">
        <f>SUMIF(Recibos!$D$4:$D$7493,Cobranza!$B424,Recibos!AN$4:AN$7493)</f>
        <v>0</v>
      </c>
      <c r="CC424" s="311">
        <f>SUMIF(Recibos!$D$4:$D$7493,Cobranza!$B424,Recibos!AO$4:AO$7493)</f>
        <v>0</v>
      </c>
      <c r="CD424" s="311">
        <f>SUMIF(Recibos!$D$4:$D$7493,Cobranza!$B424,Recibos!AP$4:AP$7493)</f>
        <v>0</v>
      </c>
      <c r="CE424" s="311">
        <f>SUMIF(Recibos!$D$4:$D$7493,Cobranza!$B424,Recibos!AQ$4:AQ$7493)</f>
        <v>0</v>
      </c>
      <c r="CF424" s="311">
        <f>SUMIF(Recibos!$D$4:$D$7493,Cobranza!$B424,Recibos!AR$4:AR$7493)</f>
        <v>0</v>
      </c>
      <c r="CG424" s="311">
        <f>SUMIF(Recibos!$D$4:$D$7493,Cobranza!$B424,Recibos!AS$4:AS$7493)</f>
        <v>0</v>
      </c>
      <c r="CH424" s="311">
        <f>SUMIF(Recibos!$D$4:$D$7493,Cobranza!$B424,Recibos!AT$4:AT$7493)</f>
        <v>0</v>
      </c>
      <c r="CI424" s="311">
        <f>SUMIF(Recibos!$D$4:$D$7493,Cobranza!$B424,Recibos!AU$4:AU$7493)</f>
        <v>0</v>
      </c>
      <c r="CJ424" s="311">
        <f>SUMIF(Recibos!$D$4:$D$7493,Cobranza!$B424,Recibos!AV$4:AV$7493)</f>
        <v>0</v>
      </c>
      <c r="CK424" s="312">
        <f t="shared" si="52"/>
        <v>0</v>
      </c>
    </row>
    <row r="425" spans="2:89" x14ac:dyDescent="0.2">
      <c r="B425" s="45" t="s">
        <v>370</v>
      </c>
      <c r="C425" s="45" t="s">
        <v>371</v>
      </c>
      <c r="D425" s="45" t="s">
        <v>372</v>
      </c>
      <c r="E425" s="46">
        <v>0</v>
      </c>
      <c r="F425" s="46">
        <v>0</v>
      </c>
      <c r="G425" s="46">
        <v>0</v>
      </c>
      <c r="H425" s="46">
        <v>0</v>
      </c>
      <c r="I425" s="46">
        <v>0</v>
      </c>
      <c r="J425" s="46">
        <v>0</v>
      </c>
      <c r="K425" s="47">
        <f t="shared" si="53"/>
        <v>0</v>
      </c>
      <c r="L425" s="46">
        <v>300</v>
      </c>
      <c r="M425" s="46">
        <v>300</v>
      </c>
      <c r="N425" s="46">
        <v>300</v>
      </c>
      <c r="O425" s="46">
        <v>300</v>
      </c>
      <c r="P425" s="46">
        <v>300</v>
      </c>
      <c r="Q425" s="46">
        <v>300</v>
      </c>
      <c r="R425" s="46">
        <v>300</v>
      </c>
      <c r="S425" s="46">
        <v>300</v>
      </c>
      <c r="T425" s="46">
        <v>0</v>
      </c>
      <c r="U425" s="46">
        <v>0</v>
      </c>
      <c r="V425" s="46">
        <v>0</v>
      </c>
      <c r="W425" s="46">
        <v>0</v>
      </c>
      <c r="X425" s="47">
        <f t="shared" si="54"/>
        <v>2400</v>
      </c>
      <c r="Y425" s="46">
        <v>0</v>
      </c>
      <c r="Z425" s="46">
        <v>0</v>
      </c>
      <c r="AA425" s="46">
        <v>0</v>
      </c>
      <c r="AB425" s="46">
        <v>0</v>
      </c>
      <c r="AC425" s="46">
        <v>0</v>
      </c>
      <c r="AD425" s="46">
        <v>0</v>
      </c>
      <c r="AE425" s="46">
        <v>0</v>
      </c>
      <c r="AF425" s="46">
        <v>0</v>
      </c>
      <c r="AG425" s="46">
        <v>0</v>
      </c>
      <c r="AH425" s="46">
        <v>0</v>
      </c>
      <c r="AI425" s="46">
        <v>0</v>
      </c>
      <c r="AJ425" s="46">
        <v>0</v>
      </c>
      <c r="AK425" s="47">
        <f t="shared" si="55"/>
        <v>0</v>
      </c>
      <c r="AL425" s="46">
        <v>0</v>
      </c>
      <c r="AM425" s="46">
        <v>0</v>
      </c>
      <c r="AN425" s="46">
        <v>0</v>
      </c>
      <c r="AO425" s="46">
        <v>0</v>
      </c>
      <c r="AP425" s="46">
        <v>0</v>
      </c>
      <c r="AQ425" s="46">
        <v>0</v>
      </c>
      <c r="AR425" s="46">
        <v>0</v>
      </c>
      <c r="AS425" s="46">
        <v>0</v>
      </c>
      <c r="AT425" s="46">
        <v>0</v>
      </c>
      <c r="AU425" s="46">
        <v>150</v>
      </c>
      <c r="AV425" s="46">
        <v>150</v>
      </c>
      <c r="AW425" s="46">
        <v>150</v>
      </c>
      <c r="AX425" s="47">
        <f t="shared" si="56"/>
        <v>450</v>
      </c>
      <c r="AY425" s="313">
        <f>SUMIF(Recibos!$D$4:$D$7493,Cobranza!$B425,Recibos!K$4:K$7493)</f>
        <v>150</v>
      </c>
      <c r="AZ425" s="313">
        <f>SUMIF(Recibos!$D$4:$D$7493,Cobranza!$B425,Recibos!L$4:L$7493)</f>
        <v>150</v>
      </c>
      <c r="BA425" s="313">
        <f>SUMIF(Recibos!$D$4:$D$7493,Cobranza!$B425,Recibos!M$4:M$7493)</f>
        <v>150</v>
      </c>
      <c r="BB425" s="313">
        <f>SUMIF(Recibos!$D$4:$D$7493,Cobranza!$B425,Recibos!N$4:N$7493)</f>
        <v>150</v>
      </c>
      <c r="BC425" s="313">
        <f>SUMIF(Recibos!$D$4:$D$7493,Cobranza!$B425,Recibos!O$4:O$7493)</f>
        <v>150</v>
      </c>
      <c r="BD425" s="313">
        <f>SUMIF(Recibos!$D$4:$D$7493,Cobranza!$B425,Recibos!P$4:P$7493)</f>
        <v>150</v>
      </c>
      <c r="BE425" s="313">
        <f>SUMIF(Recibos!$D$4:$D$7493,Cobranza!$B425,Recibos!Q$4:Q$7493)</f>
        <v>150</v>
      </c>
      <c r="BF425" s="313">
        <f>SUMIF(Recibos!$D$4:$D$7493,Cobranza!$B425,Recibos!R$4:R$7493)</f>
        <v>150</v>
      </c>
      <c r="BG425" s="313">
        <f>SUMIF(Recibos!$D$4:$D$7493,Cobranza!$B425,Recibos!S$4:S$7493)</f>
        <v>150</v>
      </c>
      <c r="BH425" s="313">
        <f>SUMIF(Recibos!$D$4:$D$7493,Cobranza!$B425,Recibos!T$4:T$7493)</f>
        <v>150</v>
      </c>
      <c r="BI425" s="313">
        <f>SUMIF(Recibos!$D$4:$D$7493,Cobranza!$B425,Recibos!U$4:U$7493)</f>
        <v>150</v>
      </c>
      <c r="BJ425" s="313">
        <f>SUMIF(Recibos!$D$4:$D$7493,Cobranza!$B425,Recibos!V$4:V$7493)</f>
        <v>150</v>
      </c>
      <c r="BK425" s="314">
        <f t="shared" si="57"/>
        <v>1800</v>
      </c>
      <c r="BL425" s="313">
        <f>SUMIF(Recibos!$D$4:$D$7493,Cobranza!$B425,Recibos!X$4:X$7493)</f>
        <v>150</v>
      </c>
      <c r="BM425" s="313">
        <f>SUMIF(Recibos!$D$4:$D$7493,Cobranza!$B425,Recibos!Y$4:Y$7493)</f>
        <v>150</v>
      </c>
      <c r="BN425" s="313">
        <f>SUMIF(Recibos!$D$4:$D$7493,Cobranza!$B425,Recibos!Z$4:Z$7493)</f>
        <v>150</v>
      </c>
      <c r="BO425" s="313">
        <f>SUMIF(Recibos!$D$4:$D$7493,Cobranza!$B425,Recibos!AA$4:AA$7493)</f>
        <v>150</v>
      </c>
      <c r="BP425" s="313">
        <f>SUMIF(Recibos!$D$4:$D$7493,Cobranza!$B425,Recibos!AB$4:AB$7493)</f>
        <v>150</v>
      </c>
      <c r="BQ425" s="313">
        <f>SUMIF(Recibos!$D$4:$D$7493,Cobranza!$B425,Recibos!AC$4:AC$7493)</f>
        <v>150</v>
      </c>
      <c r="BR425" s="313">
        <f>SUMIF(Recibos!$D$4:$D$7493,Cobranza!$B425,Recibos!AD$4:AD$7493)</f>
        <v>150</v>
      </c>
      <c r="BS425" s="313">
        <f>SUMIF(Recibos!$D$4:$D$7493,Cobranza!$B425,Recibos!AE$4:AE$7493)</f>
        <v>150</v>
      </c>
      <c r="BT425" s="313">
        <f>SUMIF(Recibos!$D$4:$D$7493,Cobranza!$B425,Recibos!AF$4:AF$7493)</f>
        <v>150</v>
      </c>
      <c r="BU425" s="313">
        <f>SUMIF(Recibos!$D$4:$D$7493,Cobranza!$B425,Recibos!AG$4:AG$7493)</f>
        <v>150</v>
      </c>
      <c r="BV425" s="313">
        <f>SUMIF(Recibos!$D$4:$D$7493,Cobranza!$B425,Recibos!AH$4:AH$7493)</f>
        <v>150</v>
      </c>
      <c r="BW425" s="313">
        <f>SUMIF(Recibos!$D$4:$D$7493,Cobranza!$B425,Recibos!AI$4:AI$7493)</f>
        <v>0</v>
      </c>
      <c r="BX425" s="314">
        <f t="shared" si="58"/>
        <v>1650</v>
      </c>
      <c r="BY425" s="313">
        <f>SUMIF(Recibos!$D$4:$D$7493,Cobranza!$B425,Recibos!AK$4:AK$7493)</f>
        <v>150</v>
      </c>
      <c r="BZ425" s="313">
        <f>SUMIF(Recibos!$D$4:$D$7493,Cobranza!$B425,Recibos!AL$4:AL$7493)</f>
        <v>150</v>
      </c>
      <c r="CA425" s="313">
        <f>SUMIF(Recibos!$D$4:$D$7493,Cobranza!$B425,Recibos!AM$4:AM$7493)</f>
        <v>150</v>
      </c>
      <c r="CB425" s="313">
        <f>SUMIF(Recibos!$D$4:$D$7493,Cobranza!$B425,Recibos!AN$4:AN$7493)</f>
        <v>150</v>
      </c>
      <c r="CC425" s="313">
        <f>SUMIF(Recibos!$D$4:$D$7493,Cobranza!$B425,Recibos!AO$4:AO$7493)</f>
        <v>150</v>
      </c>
      <c r="CD425" s="313">
        <f>SUMIF(Recibos!$D$4:$D$7493,Cobranza!$B425,Recibos!AP$4:AP$7493)</f>
        <v>150</v>
      </c>
      <c r="CE425" s="313">
        <f>SUMIF(Recibos!$D$4:$D$7493,Cobranza!$B425,Recibos!AQ$4:AQ$7493)</f>
        <v>0</v>
      </c>
      <c r="CF425" s="313">
        <f>SUMIF(Recibos!$D$4:$D$7493,Cobranza!$B425,Recibos!AR$4:AR$7493)</f>
        <v>0</v>
      </c>
      <c r="CG425" s="313">
        <f>SUMIF(Recibos!$D$4:$D$7493,Cobranza!$B425,Recibos!AS$4:AS$7493)</f>
        <v>0</v>
      </c>
      <c r="CH425" s="313">
        <f>SUMIF(Recibos!$D$4:$D$7493,Cobranza!$B425,Recibos!AT$4:AT$7493)</f>
        <v>0</v>
      </c>
      <c r="CI425" s="313">
        <f>SUMIF(Recibos!$D$4:$D$7493,Cobranza!$B425,Recibos!AU$4:AU$7493)</f>
        <v>0</v>
      </c>
      <c r="CJ425" s="313">
        <f>SUMIF(Recibos!$D$4:$D$7493,Cobranza!$B425,Recibos!AV$4:AV$7493)</f>
        <v>0</v>
      </c>
      <c r="CK425" s="314">
        <f t="shared" si="52"/>
        <v>900</v>
      </c>
    </row>
    <row r="426" spans="2:89" x14ac:dyDescent="0.2">
      <c r="B426" s="42" t="s">
        <v>1178</v>
      </c>
      <c r="C426" s="42" t="s">
        <v>1179</v>
      </c>
      <c r="D426" s="42" t="s">
        <v>1180</v>
      </c>
      <c r="E426" s="43">
        <v>0</v>
      </c>
      <c r="F426" s="43">
        <v>0</v>
      </c>
      <c r="G426" s="43">
        <v>0</v>
      </c>
      <c r="H426" s="43">
        <v>0</v>
      </c>
      <c r="I426" s="43">
        <v>0</v>
      </c>
      <c r="J426" s="43">
        <v>0</v>
      </c>
      <c r="K426" s="44">
        <f t="shared" si="53"/>
        <v>0</v>
      </c>
      <c r="L426" s="43">
        <v>0</v>
      </c>
      <c r="M426" s="43">
        <v>0</v>
      </c>
      <c r="N426" s="43">
        <v>0</v>
      </c>
      <c r="O426" s="43">
        <v>0</v>
      </c>
      <c r="P426" s="43">
        <v>0</v>
      </c>
      <c r="Q426" s="43">
        <v>0</v>
      </c>
      <c r="R426" s="43">
        <v>0</v>
      </c>
      <c r="S426" s="43">
        <v>0</v>
      </c>
      <c r="T426" s="43">
        <v>0</v>
      </c>
      <c r="U426" s="43">
        <v>0</v>
      </c>
      <c r="V426" s="43">
        <v>0</v>
      </c>
      <c r="W426" s="43">
        <v>0</v>
      </c>
      <c r="X426" s="44">
        <f t="shared" si="54"/>
        <v>0</v>
      </c>
      <c r="Y426" s="43">
        <v>0</v>
      </c>
      <c r="Z426" s="43">
        <v>0</v>
      </c>
      <c r="AA426" s="43">
        <v>0</v>
      </c>
      <c r="AB426" s="43">
        <v>0</v>
      </c>
      <c r="AC426" s="43">
        <v>0</v>
      </c>
      <c r="AD426" s="43">
        <v>0</v>
      </c>
      <c r="AE426" s="43">
        <v>0</v>
      </c>
      <c r="AF426" s="43">
        <v>0</v>
      </c>
      <c r="AG426" s="43">
        <v>0</v>
      </c>
      <c r="AH426" s="43">
        <v>0</v>
      </c>
      <c r="AI426" s="43">
        <v>0</v>
      </c>
      <c r="AJ426" s="43">
        <v>0</v>
      </c>
      <c r="AK426" s="44">
        <f t="shared" si="55"/>
        <v>0</v>
      </c>
      <c r="AL426" s="43">
        <v>0</v>
      </c>
      <c r="AM426" s="43">
        <v>0</v>
      </c>
      <c r="AN426" s="43">
        <v>0</v>
      </c>
      <c r="AO426" s="43">
        <v>0</v>
      </c>
      <c r="AP426" s="43">
        <v>0</v>
      </c>
      <c r="AQ426" s="43">
        <v>0</v>
      </c>
      <c r="AR426" s="43">
        <v>0</v>
      </c>
      <c r="AS426" s="43">
        <v>0</v>
      </c>
      <c r="AT426" s="43">
        <v>200</v>
      </c>
      <c r="AU426" s="43">
        <v>0</v>
      </c>
      <c r="AV426" s="43">
        <v>0</v>
      </c>
      <c r="AW426" s="43">
        <v>0</v>
      </c>
      <c r="AX426" s="44">
        <f t="shared" si="56"/>
        <v>200</v>
      </c>
      <c r="AY426" s="311">
        <f>SUMIF(Recibos!$D$4:$D$7493,Cobranza!$B426,Recibos!K$4:K$7493)</f>
        <v>0</v>
      </c>
      <c r="AZ426" s="311">
        <f>SUMIF(Recibos!$D$4:$D$7493,Cobranza!$B426,Recibos!L$4:L$7493)</f>
        <v>0</v>
      </c>
      <c r="BA426" s="311">
        <f>SUMIF(Recibos!$D$4:$D$7493,Cobranza!$B426,Recibos!M$4:M$7493)</f>
        <v>0</v>
      </c>
      <c r="BB426" s="311">
        <f>SUMIF(Recibos!$D$4:$D$7493,Cobranza!$B426,Recibos!N$4:N$7493)</f>
        <v>200</v>
      </c>
      <c r="BC426" s="311">
        <f>SUMIF(Recibos!$D$4:$D$7493,Cobranza!$B426,Recibos!O$4:O$7493)</f>
        <v>200</v>
      </c>
      <c r="BD426" s="311">
        <f>SUMIF(Recibos!$D$4:$D$7493,Cobranza!$B426,Recibos!P$4:P$7493)</f>
        <v>200</v>
      </c>
      <c r="BE426" s="311">
        <f>SUMIF(Recibos!$D$4:$D$7493,Cobranza!$B426,Recibos!Q$4:Q$7493)</f>
        <v>200</v>
      </c>
      <c r="BF426" s="311">
        <f>SUMIF(Recibos!$D$4:$D$7493,Cobranza!$B426,Recibos!R$4:R$7493)</f>
        <v>200</v>
      </c>
      <c r="BG426" s="311">
        <f>SUMIF(Recibos!$D$4:$D$7493,Cobranza!$B426,Recibos!S$4:S$7493)</f>
        <v>200</v>
      </c>
      <c r="BH426" s="311">
        <f>SUMIF(Recibos!$D$4:$D$7493,Cobranza!$B426,Recibos!T$4:T$7493)</f>
        <v>200</v>
      </c>
      <c r="BI426" s="311">
        <f>SUMIF(Recibos!$D$4:$D$7493,Cobranza!$B426,Recibos!U$4:U$7493)</f>
        <v>200</v>
      </c>
      <c r="BJ426" s="311">
        <f>SUMIF(Recibos!$D$4:$D$7493,Cobranza!$B426,Recibos!V$4:V$7493)</f>
        <v>0</v>
      </c>
      <c r="BK426" s="312">
        <f t="shared" si="57"/>
        <v>1600</v>
      </c>
      <c r="BL426" s="311">
        <f>SUMIF(Recibos!$D$4:$D$7493,Cobranza!$B426,Recibos!X$4:X$7493)</f>
        <v>0</v>
      </c>
      <c r="BM426" s="311">
        <f>SUMIF(Recibos!$D$4:$D$7493,Cobranza!$B426,Recibos!Y$4:Y$7493)</f>
        <v>0</v>
      </c>
      <c r="BN426" s="311">
        <f>SUMIF(Recibos!$D$4:$D$7493,Cobranza!$B426,Recibos!Z$4:Z$7493)</f>
        <v>0</v>
      </c>
      <c r="BO426" s="311">
        <f>SUMIF(Recibos!$D$4:$D$7493,Cobranza!$B426,Recibos!AA$4:AA$7493)</f>
        <v>0</v>
      </c>
      <c r="BP426" s="311">
        <f>SUMIF(Recibos!$D$4:$D$7493,Cobranza!$B426,Recibos!AB$4:AB$7493)</f>
        <v>0</v>
      </c>
      <c r="BQ426" s="311">
        <f>SUMIF(Recibos!$D$4:$D$7493,Cobranza!$B426,Recibos!AC$4:AC$7493)</f>
        <v>0</v>
      </c>
      <c r="BR426" s="311">
        <f>SUMIF(Recibos!$D$4:$D$7493,Cobranza!$B426,Recibos!AD$4:AD$7493)</f>
        <v>0</v>
      </c>
      <c r="BS426" s="311">
        <f>SUMIF(Recibos!$D$4:$D$7493,Cobranza!$B426,Recibos!AE$4:AE$7493)</f>
        <v>0</v>
      </c>
      <c r="BT426" s="311">
        <f>SUMIF(Recibos!$D$4:$D$7493,Cobranza!$B426,Recibos!AF$4:AF$7493)</f>
        <v>0</v>
      </c>
      <c r="BU426" s="311">
        <f>SUMIF(Recibos!$D$4:$D$7493,Cobranza!$B426,Recibos!AG$4:AG$7493)</f>
        <v>0</v>
      </c>
      <c r="BV426" s="311">
        <f>SUMIF(Recibos!$D$4:$D$7493,Cobranza!$B426,Recibos!AH$4:AH$7493)</f>
        <v>0</v>
      </c>
      <c r="BW426" s="311">
        <f>SUMIF(Recibos!$D$4:$D$7493,Cobranza!$B426,Recibos!AI$4:AI$7493)</f>
        <v>0</v>
      </c>
      <c r="BX426" s="312">
        <f t="shared" si="58"/>
        <v>0</v>
      </c>
      <c r="BY426" s="311">
        <f>SUMIF(Recibos!$D$4:$D$7493,Cobranza!$B426,Recibos!AK$4:AK$7493)</f>
        <v>0</v>
      </c>
      <c r="BZ426" s="311">
        <f>SUMIF(Recibos!$D$4:$D$7493,Cobranza!$B426,Recibos!AL$4:AL$7493)</f>
        <v>0</v>
      </c>
      <c r="CA426" s="311">
        <f>SUMIF(Recibos!$D$4:$D$7493,Cobranza!$B426,Recibos!AM$4:AM$7493)</f>
        <v>0</v>
      </c>
      <c r="CB426" s="311">
        <f>SUMIF(Recibos!$D$4:$D$7493,Cobranza!$B426,Recibos!AN$4:AN$7493)</f>
        <v>0</v>
      </c>
      <c r="CC426" s="311">
        <f>SUMIF(Recibos!$D$4:$D$7493,Cobranza!$B426,Recibos!AO$4:AO$7493)</f>
        <v>0</v>
      </c>
      <c r="CD426" s="311">
        <f>SUMIF(Recibos!$D$4:$D$7493,Cobranza!$B426,Recibos!AP$4:AP$7493)</f>
        <v>0</v>
      </c>
      <c r="CE426" s="311">
        <f>SUMIF(Recibos!$D$4:$D$7493,Cobranza!$B426,Recibos!AQ$4:AQ$7493)</f>
        <v>0</v>
      </c>
      <c r="CF426" s="311">
        <f>SUMIF(Recibos!$D$4:$D$7493,Cobranza!$B426,Recibos!AR$4:AR$7493)</f>
        <v>0</v>
      </c>
      <c r="CG426" s="311">
        <f>SUMIF(Recibos!$D$4:$D$7493,Cobranza!$B426,Recibos!AS$4:AS$7493)</f>
        <v>0</v>
      </c>
      <c r="CH426" s="311">
        <f>SUMIF(Recibos!$D$4:$D$7493,Cobranza!$B426,Recibos!AT$4:AT$7493)</f>
        <v>0</v>
      </c>
      <c r="CI426" s="311">
        <f>SUMIF(Recibos!$D$4:$D$7493,Cobranza!$B426,Recibos!AU$4:AU$7493)</f>
        <v>0</v>
      </c>
      <c r="CJ426" s="311">
        <f>SUMIF(Recibos!$D$4:$D$7493,Cobranza!$B426,Recibos!AV$4:AV$7493)</f>
        <v>0</v>
      </c>
      <c r="CK426" s="312">
        <f t="shared" si="52"/>
        <v>0</v>
      </c>
    </row>
    <row r="427" spans="2:89" x14ac:dyDescent="0.2">
      <c r="B427" s="45" t="s">
        <v>828</v>
      </c>
      <c r="C427" s="45" t="s">
        <v>829</v>
      </c>
      <c r="D427" s="45" t="s">
        <v>830</v>
      </c>
      <c r="E427" s="46">
        <v>0</v>
      </c>
      <c r="F427" s="46">
        <v>0</v>
      </c>
      <c r="G427" s="46">
        <v>0</v>
      </c>
      <c r="H427" s="46">
        <v>0</v>
      </c>
      <c r="I427" s="46">
        <v>0</v>
      </c>
      <c r="J427" s="46">
        <v>0</v>
      </c>
      <c r="K427" s="47">
        <f t="shared" si="53"/>
        <v>0</v>
      </c>
      <c r="L427" s="46">
        <v>150</v>
      </c>
      <c r="M427" s="46">
        <v>150</v>
      </c>
      <c r="N427" s="46">
        <v>150</v>
      </c>
      <c r="O427" s="46">
        <v>150</v>
      </c>
      <c r="P427" s="46">
        <v>150</v>
      </c>
      <c r="Q427" s="46">
        <v>150</v>
      </c>
      <c r="R427" s="46">
        <v>150</v>
      </c>
      <c r="S427" s="46">
        <v>150</v>
      </c>
      <c r="T427" s="46">
        <v>150</v>
      </c>
      <c r="U427" s="46">
        <v>200</v>
      </c>
      <c r="V427" s="46">
        <v>200</v>
      </c>
      <c r="W427" s="46">
        <v>200</v>
      </c>
      <c r="X427" s="47">
        <f t="shared" si="54"/>
        <v>1950</v>
      </c>
      <c r="Y427" s="46">
        <v>0</v>
      </c>
      <c r="Z427" s="46">
        <v>200</v>
      </c>
      <c r="AA427" s="46">
        <v>200</v>
      </c>
      <c r="AB427" s="46">
        <v>200</v>
      </c>
      <c r="AC427" s="46">
        <v>200</v>
      </c>
      <c r="AD427" s="46">
        <v>200</v>
      </c>
      <c r="AE427" s="46">
        <v>200</v>
      </c>
      <c r="AF427" s="46">
        <v>200</v>
      </c>
      <c r="AG427" s="46">
        <v>200</v>
      </c>
      <c r="AH427" s="46">
        <v>200</v>
      </c>
      <c r="AI427" s="46">
        <v>200</v>
      </c>
      <c r="AJ427" s="46">
        <v>200</v>
      </c>
      <c r="AK427" s="47">
        <f t="shared" si="55"/>
        <v>2200</v>
      </c>
      <c r="AL427" s="46">
        <v>200</v>
      </c>
      <c r="AM427" s="46">
        <v>200</v>
      </c>
      <c r="AN427" s="46">
        <v>200</v>
      </c>
      <c r="AO427" s="46">
        <v>200</v>
      </c>
      <c r="AP427" s="46">
        <v>200</v>
      </c>
      <c r="AQ427" s="46">
        <v>200</v>
      </c>
      <c r="AR427" s="46">
        <v>200</v>
      </c>
      <c r="AS427" s="46">
        <v>200</v>
      </c>
      <c r="AT427" s="46">
        <v>200</v>
      </c>
      <c r="AU427" s="46">
        <v>200</v>
      </c>
      <c r="AV427" s="46">
        <v>200</v>
      </c>
      <c r="AW427" s="46">
        <v>200</v>
      </c>
      <c r="AX427" s="47">
        <f t="shared" si="56"/>
        <v>2400</v>
      </c>
      <c r="AY427" s="313">
        <f>SUMIF(Recibos!$D$4:$D$7493,Cobranza!$B427,Recibos!K$4:K$7493)</f>
        <v>200</v>
      </c>
      <c r="AZ427" s="313">
        <f>SUMIF(Recibos!$D$4:$D$7493,Cobranza!$B427,Recibos!L$4:L$7493)</f>
        <v>200</v>
      </c>
      <c r="BA427" s="313">
        <f>SUMIF(Recibos!$D$4:$D$7493,Cobranza!$B427,Recibos!M$4:M$7493)</f>
        <v>200</v>
      </c>
      <c r="BB427" s="313">
        <f>SUMIF(Recibos!$D$4:$D$7493,Cobranza!$B427,Recibos!N$4:N$7493)</f>
        <v>200</v>
      </c>
      <c r="BC427" s="313">
        <f>SUMIF(Recibos!$D$4:$D$7493,Cobranza!$B427,Recibos!O$4:O$7493)</f>
        <v>200</v>
      </c>
      <c r="BD427" s="313">
        <f>SUMIF(Recibos!$D$4:$D$7493,Cobranza!$B427,Recibos!P$4:P$7493)</f>
        <v>200</v>
      </c>
      <c r="BE427" s="313">
        <f>SUMIF(Recibos!$D$4:$D$7493,Cobranza!$B427,Recibos!Q$4:Q$7493)</f>
        <v>200</v>
      </c>
      <c r="BF427" s="313">
        <f>SUMIF(Recibos!$D$4:$D$7493,Cobranza!$B427,Recibos!R$4:R$7493)</f>
        <v>200</v>
      </c>
      <c r="BG427" s="313">
        <f>SUMIF(Recibos!$D$4:$D$7493,Cobranza!$B427,Recibos!S$4:S$7493)</f>
        <v>200</v>
      </c>
      <c r="BH427" s="313">
        <f>SUMIF(Recibos!$D$4:$D$7493,Cobranza!$B427,Recibos!T$4:T$7493)</f>
        <v>200</v>
      </c>
      <c r="BI427" s="313">
        <f>SUMIF(Recibos!$D$4:$D$7493,Cobranza!$B427,Recibos!U$4:U$7493)</f>
        <v>200</v>
      </c>
      <c r="BJ427" s="313">
        <f>SUMIF(Recibos!$D$4:$D$7493,Cobranza!$B427,Recibos!V$4:V$7493)</f>
        <v>200</v>
      </c>
      <c r="BK427" s="314">
        <f t="shared" si="57"/>
        <v>2400</v>
      </c>
      <c r="BL427" s="313">
        <f>SUMIF(Recibos!$D$4:$D$7493,Cobranza!$B427,Recibos!X$4:X$7493)</f>
        <v>200</v>
      </c>
      <c r="BM427" s="313">
        <f>SUMIF(Recibos!$D$4:$D$7493,Cobranza!$B427,Recibos!Y$4:Y$7493)</f>
        <v>200</v>
      </c>
      <c r="BN427" s="313">
        <f>SUMIF(Recibos!$D$4:$D$7493,Cobranza!$B427,Recibos!Z$4:Z$7493)</f>
        <v>200</v>
      </c>
      <c r="BO427" s="313">
        <f>SUMIF(Recibos!$D$4:$D$7493,Cobranza!$B427,Recibos!AA$4:AA$7493)</f>
        <v>200</v>
      </c>
      <c r="BP427" s="313">
        <f>SUMIF(Recibos!$D$4:$D$7493,Cobranza!$B427,Recibos!AB$4:AB$7493)</f>
        <v>200</v>
      </c>
      <c r="BQ427" s="313">
        <f>SUMIF(Recibos!$D$4:$D$7493,Cobranza!$B427,Recibos!AC$4:AC$7493)</f>
        <v>200</v>
      </c>
      <c r="BR427" s="313">
        <f>SUMIF(Recibos!$D$4:$D$7493,Cobranza!$B427,Recibos!AD$4:AD$7493)</f>
        <v>200</v>
      </c>
      <c r="BS427" s="313">
        <f>SUMIF(Recibos!$D$4:$D$7493,Cobranza!$B427,Recibos!AE$4:AE$7493)</f>
        <v>200</v>
      </c>
      <c r="BT427" s="313">
        <f>SUMIF(Recibos!$D$4:$D$7493,Cobranza!$B427,Recibos!AF$4:AF$7493)</f>
        <v>200</v>
      </c>
      <c r="BU427" s="313">
        <f>SUMIF(Recibos!$D$4:$D$7493,Cobranza!$B427,Recibos!AG$4:AG$7493)</f>
        <v>200</v>
      </c>
      <c r="BV427" s="313">
        <f>SUMIF(Recibos!$D$4:$D$7493,Cobranza!$B427,Recibos!AH$4:AH$7493)</f>
        <v>200</v>
      </c>
      <c r="BW427" s="313">
        <f>SUMIF(Recibos!$D$4:$D$7493,Cobranza!$B427,Recibos!AI$4:AI$7493)</f>
        <v>200</v>
      </c>
      <c r="BX427" s="314">
        <f t="shared" si="58"/>
        <v>2400</v>
      </c>
      <c r="BY427" s="313">
        <f>SUMIF(Recibos!$D$4:$D$7493,Cobranza!$B427,Recibos!AK$4:AK$7493)</f>
        <v>200</v>
      </c>
      <c r="BZ427" s="313">
        <f>SUMIF(Recibos!$D$4:$D$7493,Cobranza!$B427,Recibos!AL$4:AL$7493)</f>
        <v>200</v>
      </c>
      <c r="CA427" s="313">
        <f>SUMIF(Recibos!$D$4:$D$7493,Cobranza!$B427,Recibos!AM$4:AM$7493)</f>
        <v>200</v>
      </c>
      <c r="CB427" s="313">
        <f>SUMIF(Recibos!$D$4:$D$7493,Cobranza!$B427,Recibos!AN$4:AN$7493)</f>
        <v>200</v>
      </c>
      <c r="CC427" s="313">
        <f>SUMIF(Recibos!$D$4:$D$7493,Cobranza!$B427,Recibos!AO$4:AO$7493)</f>
        <v>200</v>
      </c>
      <c r="CD427" s="313">
        <f>SUMIF(Recibos!$D$4:$D$7493,Cobranza!$B427,Recibos!AP$4:AP$7493)</f>
        <v>200</v>
      </c>
      <c r="CE427" s="313">
        <f>SUMIF(Recibos!$D$4:$D$7493,Cobranza!$B427,Recibos!AQ$4:AQ$7493)</f>
        <v>200</v>
      </c>
      <c r="CF427" s="313">
        <f>SUMIF(Recibos!$D$4:$D$7493,Cobranza!$B427,Recibos!AR$4:AR$7493)</f>
        <v>200</v>
      </c>
      <c r="CG427" s="313">
        <f>SUMIF(Recibos!$D$4:$D$7493,Cobranza!$B427,Recibos!AS$4:AS$7493)</f>
        <v>0</v>
      </c>
      <c r="CH427" s="313">
        <f>SUMIF(Recibos!$D$4:$D$7493,Cobranza!$B427,Recibos!AT$4:AT$7493)</f>
        <v>0</v>
      </c>
      <c r="CI427" s="313">
        <f>SUMIF(Recibos!$D$4:$D$7493,Cobranza!$B427,Recibos!AU$4:AU$7493)</f>
        <v>0</v>
      </c>
      <c r="CJ427" s="313">
        <f>SUMIF(Recibos!$D$4:$D$7493,Cobranza!$B427,Recibos!AV$4:AV$7493)</f>
        <v>0</v>
      </c>
      <c r="CK427" s="314">
        <f t="shared" si="52"/>
        <v>1600</v>
      </c>
    </row>
    <row r="428" spans="2:89" x14ac:dyDescent="0.2">
      <c r="B428" s="42" t="s">
        <v>506</v>
      </c>
      <c r="C428" s="42" t="s">
        <v>507</v>
      </c>
      <c r="D428" s="42" t="s">
        <v>508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4">
        <f t="shared" si="53"/>
        <v>0</v>
      </c>
      <c r="L428" s="43">
        <v>300</v>
      </c>
      <c r="M428" s="43">
        <v>300</v>
      </c>
      <c r="N428" s="43">
        <v>300</v>
      </c>
      <c r="O428" s="43">
        <v>300</v>
      </c>
      <c r="P428" s="43">
        <v>300</v>
      </c>
      <c r="Q428" s="43">
        <v>300</v>
      </c>
      <c r="R428" s="43">
        <v>300</v>
      </c>
      <c r="S428" s="43">
        <v>300</v>
      </c>
      <c r="T428" s="43">
        <v>300</v>
      </c>
      <c r="U428" s="43">
        <v>300</v>
      </c>
      <c r="V428" s="43">
        <v>300</v>
      </c>
      <c r="W428" s="43">
        <v>0</v>
      </c>
      <c r="X428" s="44">
        <f t="shared" si="54"/>
        <v>3300</v>
      </c>
      <c r="Y428" s="43">
        <v>400</v>
      </c>
      <c r="Z428" s="43">
        <v>400</v>
      </c>
      <c r="AA428" s="43">
        <v>400</v>
      </c>
      <c r="AB428" s="43">
        <v>400</v>
      </c>
      <c r="AC428" s="43">
        <v>400</v>
      </c>
      <c r="AD428" s="43">
        <v>400</v>
      </c>
      <c r="AE428" s="43">
        <v>400</v>
      </c>
      <c r="AF428" s="43">
        <v>400</v>
      </c>
      <c r="AG428" s="43">
        <v>400</v>
      </c>
      <c r="AH428" s="43">
        <v>400</v>
      </c>
      <c r="AI428" s="43">
        <v>400</v>
      </c>
      <c r="AJ428" s="43">
        <v>0</v>
      </c>
      <c r="AK428" s="44">
        <f t="shared" si="55"/>
        <v>4400</v>
      </c>
      <c r="AL428" s="43">
        <v>400</v>
      </c>
      <c r="AM428" s="43">
        <v>400</v>
      </c>
      <c r="AN428" s="43">
        <v>400</v>
      </c>
      <c r="AO428" s="43">
        <v>400</v>
      </c>
      <c r="AP428" s="43">
        <v>400</v>
      </c>
      <c r="AQ428" s="43">
        <v>400</v>
      </c>
      <c r="AR428" s="43">
        <v>400</v>
      </c>
      <c r="AS428" s="43">
        <v>400</v>
      </c>
      <c r="AT428" s="43">
        <v>400</v>
      </c>
      <c r="AU428" s="43">
        <v>400</v>
      </c>
      <c r="AV428" s="43">
        <v>400</v>
      </c>
      <c r="AW428" s="43">
        <v>0</v>
      </c>
      <c r="AX428" s="44">
        <f t="shared" si="56"/>
        <v>4400</v>
      </c>
      <c r="AY428" s="311">
        <f>SUMIF(Recibos!$D$4:$D$7493,Cobranza!$B428,Recibos!K$4:K$7493)</f>
        <v>400</v>
      </c>
      <c r="AZ428" s="311">
        <f>SUMIF(Recibos!$D$4:$D$7493,Cobranza!$B428,Recibos!L$4:L$7493)</f>
        <v>400</v>
      </c>
      <c r="BA428" s="311">
        <f>SUMIF(Recibos!$D$4:$D$7493,Cobranza!$B428,Recibos!M$4:M$7493)</f>
        <v>400</v>
      </c>
      <c r="BB428" s="311">
        <f>SUMIF(Recibos!$D$4:$D$7493,Cobranza!$B428,Recibos!N$4:N$7493)</f>
        <v>400</v>
      </c>
      <c r="BC428" s="311">
        <f>SUMIF(Recibos!$D$4:$D$7493,Cobranza!$B428,Recibos!O$4:O$7493)</f>
        <v>400</v>
      </c>
      <c r="BD428" s="311">
        <f>SUMIF(Recibos!$D$4:$D$7493,Cobranza!$B428,Recibos!P$4:P$7493)</f>
        <v>400</v>
      </c>
      <c r="BE428" s="311">
        <f>SUMIF(Recibos!$D$4:$D$7493,Cobranza!$B428,Recibos!Q$4:Q$7493)</f>
        <v>400</v>
      </c>
      <c r="BF428" s="311">
        <f>SUMIF(Recibos!$D$4:$D$7493,Cobranza!$B428,Recibos!R$4:R$7493)</f>
        <v>400</v>
      </c>
      <c r="BG428" s="311">
        <f>SUMIF(Recibos!$D$4:$D$7493,Cobranza!$B428,Recibos!S$4:S$7493)</f>
        <v>400</v>
      </c>
      <c r="BH428" s="311">
        <f>SUMIF(Recibos!$D$4:$D$7493,Cobranza!$B428,Recibos!T$4:T$7493)</f>
        <v>400</v>
      </c>
      <c r="BI428" s="311">
        <f>SUMIF(Recibos!$D$4:$D$7493,Cobranza!$B428,Recibos!U$4:U$7493)</f>
        <v>400</v>
      </c>
      <c r="BJ428" s="311">
        <f>SUMIF(Recibos!$D$4:$D$7493,Cobranza!$B428,Recibos!V$4:V$7493)</f>
        <v>0</v>
      </c>
      <c r="BK428" s="312">
        <f t="shared" si="57"/>
        <v>4400</v>
      </c>
      <c r="BL428" s="311">
        <f>SUMIF(Recibos!$D$4:$D$7493,Cobranza!$B428,Recibos!X$4:X$7493)</f>
        <v>0</v>
      </c>
      <c r="BM428" s="311">
        <f>SUMIF(Recibos!$D$4:$D$7493,Cobranza!$B428,Recibos!Y$4:Y$7493)</f>
        <v>0</v>
      </c>
      <c r="BN428" s="311">
        <f>SUMIF(Recibos!$D$4:$D$7493,Cobranza!$B428,Recibos!Z$4:Z$7493)</f>
        <v>0</v>
      </c>
      <c r="BO428" s="311">
        <f>SUMIF(Recibos!$D$4:$D$7493,Cobranza!$B428,Recibos!AA$4:AA$7493)</f>
        <v>0</v>
      </c>
      <c r="BP428" s="311">
        <f>SUMIF(Recibos!$D$4:$D$7493,Cobranza!$B428,Recibos!AB$4:AB$7493)</f>
        <v>0</v>
      </c>
      <c r="BQ428" s="311">
        <f>SUMIF(Recibos!$D$4:$D$7493,Cobranza!$B428,Recibos!AC$4:AC$7493)</f>
        <v>0</v>
      </c>
      <c r="BR428" s="311">
        <f>SUMIF(Recibos!$D$4:$D$7493,Cobranza!$B428,Recibos!AD$4:AD$7493)</f>
        <v>0</v>
      </c>
      <c r="BS428" s="311">
        <f>SUMIF(Recibos!$D$4:$D$7493,Cobranza!$B428,Recibos!AE$4:AE$7493)</f>
        <v>0</v>
      </c>
      <c r="BT428" s="311">
        <f>SUMIF(Recibos!$D$4:$D$7493,Cobranza!$B428,Recibos!AF$4:AF$7493)</f>
        <v>0</v>
      </c>
      <c r="BU428" s="311">
        <f>SUMIF(Recibos!$D$4:$D$7493,Cobranza!$B428,Recibos!AG$4:AG$7493)</f>
        <v>0</v>
      </c>
      <c r="BV428" s="311">
        <f>SUMIF(Recibos!$D$4:$D$7493,Cobranza!$B428,Recibos!AH$4:AH$7493)</f>
        <v>0</v>
      </c>
      <c r="BW428" s="311">
        <f>SUMIF(Recibos!$D$4:$D$7493,Cobranza!$B428,Recibos!AI$4:AI$7493)</f>
        <v>0</v>
      </c>
      <c r="BX428" s="312">
        <f t="shared" si="58"/>
        <v>0</v>
      </c>
      <c r="BY428" s="311">
        <f>SUMIF(Recibos!$D$4:$D$7493,Cobranza!$B428,Recibos!AK$4:AK$7493)</f>
        <v>0</v>
      </c>
      <c r="BZ428" s="311">
        <f>SUMIF(Recibos!$D$4:$D$7493,Cobranza!$B428,Recibos!AL$4:AL$7493)</f>
        <v>0</v>
      </c>
      <c r="CA428" s="311">
        <f>SUMIF(Recibos!$D$4:$D$7493,Cobranza!$B428,Recibos!AM$4:AM$7493)</f>
        <v>0</v>
      </c>
      <c r="CB428" s="311">
        <f>SUMIF(Recibos!$D$4:$D$7493,Cobranza!$B428,Recibos!AN$4:AN$7493)</f>
        <v>0</v>
      </c>
      <c r="CC428" s="311">
        <f>SUMIF(Recibos!$D$4:$D$7493,Cobranza!$B428,Recibos!AO$4:AO$7493)</f>
        <v>0</v>
      </c>
      <c r="CD428" s="311">
        <f>SUMIF(Recibos!$D$4:$D$7493,Cobranza!$B428,Recibos!AP$4:AP$7493)</f>
        <v>0</v>
      </c>
      <c r="CE428" s="311">
        <f>SUMIF(Recibos!$D$4:$D$7493,Cobranza!$B428,Recibos!AQ$4:AQ$7493)</f>
        <v>0</v>
      </c>
      <c r="CF428" s="311">
        <f>SUMIF(Recibos!$D$4:$D$7493,Cobranza!$B428,Recibos!AR$4:AR$7493)</f>
        <v>0</v>
      </c>
      <c r="CG428" s="311">
        <f>SUMIF(Recibos!$D$4:$D$7493,Cobranza!$B428,Recibos!AS$4:AS$7493)</f>
        <v>0</v>
      </c>
      <c r="CH428" s="311">
        <f>SUMIF(Recibos!$D$4:$D$7493,Cobranza!$B428,Recibos!AT$4:AT$7493)</f>
        <v>0</v>
      </c>
      <c r="CI428" s="311">
        <f>SUMIF(Recibos!$D$4:$D$7493,Cobranza!$B428,Recibos!AU$4:AU$7493)</f>
        <v>0</v>
      </c>
      <c r="CJ428" s="311">
        <f>SUMIF(Recibos!$D$4:$D$7493,Cobranza!$B428,Recibos!AV$4:AV$7493)</f>
        <v>0</v>
      </c>
      <c r="CK428" s="312">
        <f t="shared" si="52"/>
        <v>0</v>
      </c>
    </row>
    <row r="429" spans="2:89" x14ac:dyDescent="0.2">
      <c r="B429" s="45" t="s">
        <v>714</v>
      </c>
      <c r="C429" s="45" t="s">
        <v>715</v>
      </c>
      <c r="D429" s="45" t="s">
        <v>487</v>
      </c>
      <c r="E429" s="46">
        <v>0</v>
      </c>
      <c r="F429" s="46">
        <v>0</v>
      </c>
      <c r="G429" s="46">
        <v>0</v>
      </c>
      <c r="H429" s="46">
        <v>300</v>
      </c>
      <c r="I429" s="46">
        <v>300</v>
      </c>
      <c r="J429" s="46">
        <v>300</v>
      </c>
      <c r="K429" s="47">
        <f t="shared" si="53"/>
        <v>900</v>
      </c>
      <c r="L429" s="46">
        <v>300</v>
      </c>
      <c r="M429" s="46">
        <v>300</v>
      </c>
      <c r="N429" s="46">
        <v>300</v>
      </c>
      <c r="O429" s="46">
        <v>300</v>
      </c>
      <c r="P429" s="46">
        <v>300</v>
      </c>
      <c r="Q429" s="46">
        <v>300</v>
      </c>
      <c r="R429" s="46">
        <v>300</v>
      </c>
      <c r="S429" s="46">
        <v>300</v>
      </c>
      <c r="T429" s="46">
        <v>300</v>
      </c>
      <c r="U429" s="46">
        <v>400</v>
      </c>
      <c r="V429" s="46">
        <v>400</v>
      </c>
      <c r="W429" s="46">
        <v>400</v>
      </c>
      <c r="X429" s="47">
        <f t="shared" si="54"/>
        <v>3900</v>
      </c>
      <c r="Y429" s="46">
        <v>400</v>
      </c>
      <c r="Z429" s="46">
        <v>400</v>
      </c>
      <c r="AA429" s="46">
        <v>400</v>
      </c>
      <c r="AB429" s="46">
        <v>400</v>
      </c>
      <c r="AC429" s="46">
        <v>400</v>
      </c>
      <c r="AD429" s="46">
        <v>400</v>
      </c>
      <c r="AE429" s="46">
        <v>400</v>
      </c>
      <c r="AF429" s="46">
        <v>400</v>
      </c>
      <c r="AG429" s="46">
        <v>400</v>
      </c>
      <c r="AH429" s="46">
        <v>400</v>
      </c>
      <c r="AI429" s="46">
        <v>400</v>
      </c>
      <c r="AJ429" s="46">
        <v>400</v>
      </c>
      <c r="AK429" s="47">
        <f t="shared" si="55"/>
        <v>4800</v>
      </c>
      <c r="AL429" s="46">
        <v>400</v>
      </c>
      <c r="AM429" s="46">
        <v>400</v>
      </c>
      <c r="AN429" s="46">
        <v>400</v>
      </c>
      <c r="AO429" s="46">
        <v>400</v>
      </c>
      <c r="AP429" s="46">
        <v>400</v>
      </c>
      <c r="AQ429" s="46">
        <v>400</v>
      </c>
      <c r="AR429" s="46">
        <v>400</v>
      </c>
      <c r="AS429" s="46">
        <v>400</v>
      </c>
      <c r="AT429" s="46">
        <v>400</v>
      </c>
      <c r="AU429" s="46">
        <v>400</v>
      </c>
      <c r="AV429" s="46">
        <v>400</v>
      </c>
      <c r="AW429" s="46">
        <v>400</v>
      </c>
      <c r="AX429" s="47">
        <f t="shared" si="56"/>
        <v>4800</v>
      </c>
      <c r="AY429" s="313">
        <f>SUMIF(Recibos!$D$4:$D$7493,Cobranza!$B429,Recibos!K$4:K$7493)</f>
        <v>400</v>
      </c>
      <c r="AZ429" s="313">
        <f>SUMIF(Recibos!$D$4:$D$7493,Cobranza!$B429,Recibos!L$4:L$7493)</f>
        <v>400</v>
      </c>
      <c r="BA429" s="313">
        <f>SUMIF(Recibos!$D$4:$D$7493,Cobranza!$B429,Recibos!M$4:M$7493)</f>
        <v>400</v>
      </c>
      <c r="BB429" s="313">
        <f>SUMIF(Recibos!$D$4:$D$7493,Cobranza!$B429,Recibos!N$4:N$7493)</f>
        <v>400</v>
      </c>
      <c r="BC429" s="313">
        <f>SUMIF(Recibos!$D$4:$D$7493,Cobranza!$B429,Recibos!O$4:O$7493)</f>
        <v>400</v>
      </c>
      <c r="BD429" s="313">
        <f>SUMIF(Recibos!$D$4:$D$7493,Cobranza!$B429,Recibos!P$4:P$7493)</f>
        <v>400</v>
      </c>
      <c r="BE429" s="313">
        <f>SUMIF(Recibos!$D$4:$D$7493,Cobranza!$B429,Recibos!Q$4:Q$7493)</f>
        <v>400</v>
      </c>
      <c r="BF429" s="313">
        <f>SUMIF(Recibos!$D$4:$D$7493,Cobranza!$B429,Recibos!R$4:R$7493)</f>
        <v>400</v>
      </c>
      <c r="BG429" s="313">
        <f>SUMIF(Recibos!$D$4:$D$7493,Cobranza!$B429,Recibos!S$4:S$7493)</f>
        <v>400</v>
      </c>
      <c r="BH429" s="313">
        <f>SUMIF(Recibos!$D$4:$D$7493,Cobranza!$B429,Recibos!T$4:T$7493)</f>
        <v>400</v>
      </c>
      <c r="BI429" s="313">
        <f>SUMIF(Recibos!$D$4:$D$7493,Cobranza!$B429,Recibos!U$4:U$7493)</f>
        <v>400</v>
      </c>
      <c r="BJ429" s="313">
        <f>SUMIF(Recibos!$D$4:$D$7493,Cobranza!$B429,Recibos!V$4:V$7493)</f>
        <v>400</v>
      </c>
      <c r="BK429" s="314">
        <f t="shared" si="57"/>
        <v>4800</v>
      </c>
      <c r="BL429" s="313">
        <f>SUMIF(Recibos!$D$4:$D$7493,Cobranza!$B429,Recibos!X$4:X$7493)</f>
        <v>400</v>
      </c>
      <c r="BM429" s="313">
        <f>SUMIF(Recibos!$D$4:$D$7493,Cobranza!$B429,Recibos!Y$4:Y$7493)</f>
        <v>400</v>
      </c>
      <c r="BN429" s="313">
        <f>SUMIF(Recibos!$D$4:$D$7493,Cobranza!$B429,Recibos!Z$4:Z$7493)</f>
        <v>400</v>
      </c>
      <c r="BO429" s="313">
        <f>SUMIF(Recibos!$D$4:$D$7493,Cobranza!$B429,Recibos!AA$4:AA$7493)</f>
        <v>400</v>
      </c>
      <c r="BP429" s="313">
        <f>SUMIF(Recibos!$D$4:$D$7493,Cobranza!$B429,Recibos!AB$4:AB$7493)</f>
        <v>400</v>
      </c>
      <c r="BQ429" s="313">
        <f>SUMIF(Recibos!$D$4:$D$7493,Cobranza!$B429,Recibos!AC$4:AC$7493)</f>
        <v>400</v>
      </c>
      <c r="BR429" s="313">
        <f>SUMIF(Recibos!$D$4:$D$7493,Cobranza!$B429,Recibos!AD$4:AD$7493)</f>
        <v>400</v>
      </c>
      <c r="BS429" s="313">
        <f>SUMIF(Recibos!$D$4:$D$7493,Cobranza!$B429,Recibos!AE$4:AE$7493)</f>
        <v>400</v>
      </c>
      <c r="BT429" s="313">
        <f>SUMIF(Recibos!$D$4:$D$7493,Cobranza!$B429,Recibos!AF$4:AF$7493)</f>
        <v>400</v>
      </c>
      <c r="BU429" s="313">
        <f>SUMIF(Recibos!$D$4:$D$7493,Cobranza!$B429,Recibos!AG$4:AG$7493)</f>
        <v>400</v>
      </c>
      <c r="BV429" s="313">
        <f>SUMIF(Recibos!$D$4:$D$7493,Cobranza!$B429,Recibos!AH$4:AH$7493)</f>
        <v>400</v>
      </c>
      <c r="BW429" s="313">
        <f>SUMIF(Recibos!$D$4:$D$7493,Cobranza!$B429,Recibos!AI$4:AI$7493)</f>
        <v>400</v>
      </c>
      <c r="BX429" s="314">
        <f t="shared" si="58"/>
        <v>4800</v>
      </c>
      <c r="BY429" s="313">
        <f>SUMIF(Recibos!$D$4:$D$7493,Cobranza!$B429,Recibos!AK$4:AK$7493)</f>
        <v>400</v>
      </c>
      <c r="BZ429" s="313">
        <f>SUMIF(Recibos!$D$4:$D$7493,Cobranza!$B429,Recibos!AL$4:AL$7493)</f>
        <v>400</v>
      </c>
      <c r="CA429" s="313">
        <f>SUMIF(Recibos!$D$4:$D$7493,Cobranza!$B429,Recibos!AM$4:AM$7493)</f>
        <v>400</v>
      </c>
      <c r="CB429" s="313">
        <f>SUMIF(Recibos!$D$4:$D$7493,Cobranza!$B429,Recibos!AN$4:AN$7493)</f>
        <v>400</v>
      </c>
      <c r="CC429" s="313">
        <f>SUMIF(Recibos!$D$4:$D$7493,Cobranza!$B429,Recibos!AO$4:AO$7493)</f>
        <v>400</v>
      </c>
      <c r="CD429" s="313">
        <f>SUMIF(Recibos!$D$4:$D$7493,Cobranza!$B429,Recibos!AP$4:AP$7493)</f>
        <v>400</v>
      </c>
      <c r="CE429" s="313">
        <f>SUMIF(Recibos!$D$4:$D$7493,Cobranza!$B429,Recibos!AQ$4:AQ$7493)</f>
        <v>400</v>
      </c>
      <c r="CF429" s="313">
        <f>SUMIF(Recibos!$D$4:$D$7493,Cobranza!$B429,Recibos!AR$4:AR$7493)</f>
        <v>0</v>
      </c>
      <c r="CG429" s="313">
        <f>SUMIF(Recibos!$D$4:$D$7493,Cobranza!$B429,Recibos!AS$4:AS$7493)</f>
        <v>0</v>
      </c>
      <c r="CH429" s="313">
        <f>SUMIF(Recibos!$D$4:$D$7493,Cobranza!$B429,Recibos!AT$4:AT$7493)</f>
        <v>0</v>
      </c>
      <c r="CI429" s="313">
        <f>SUMIF(Recibos!$D$4:$D$7493,Cobranza!$B429,Recibos!AU$4:AU$7493)</f>
        <v>0</v>
      </c>
      <c r="CJ429" s="313">
        <f>SUMIF(Recibos!$D$4:$D$7493,Cobranza!$B429,Recibos!AV$4:AV$7493)</f>
        <v>0</v>
      </c>
      <c r="CK429" s="314">
        <f t="shared" si="52"/>
        <v>2800</v>
      </c>
    </row>
    <row r="430" spans="2:89" x14ac:dyDescent="0.2">
      <c r="B430" s="42" t="s">
        <v>893</v>
      </c>
      <c r="C430" s="42" t="s">
        <v>894</v>
      </c>
      <c r="D430" s="42" t="s">
        <v>895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300</v>
      </c>
      <c r="K430" s="44">
        <f t="shared" si="53"/>
        <v>300</v>
      </c>
      <c r="L430" s="43">
        <v>300</v>
      </c>
      <c r="M430" s="43">
        <v>300</v>
      </c>
      <c r="N430" s="43">
        <v>300</v>
      </c>
      <c r="O430" s="43">
        <v>300</v>
      </c>
      <c r="P430" s="43">
        <v>300</v>
      </c>
      <c r="Q430" s="43">
        <v>300</v>
      </c>
      <c r="R430" s="43">
        <v>300</v>
      </c>
      <c r="S430" s="43">
        <v>300</v>
      </c>
      <c r="T430" s="43">
        <v>300</v>
      </c>
      <c r="U430" s="43">
        <v>400</v>
      </c>
      <c r="V430" s="43">
        <v>400</v>
      </c>
      <c r="W430" s="43">
        <v>400</v>
      </c>
      <c r="X430" s="44">
        <f t="shared" si="54"/>
        <v>3900</v>
      </c>
      <c r="Y430" s="43">
        <v>400</v>
      </c>
      <c r="Z430" s="43">
        <v>400</v>
      </c>
      <c r="AA430" s="43">
        <v>400</v>
      </c>
      <c r="AB430" s="43">
        <v>400</v>
      </c>
      <c r="AC430" s="43">
        <v>400</v>
      </c>
      <c r="AD430" s="43">
        <v>0</v>
      </c>
      <c r="AE430" s="43">
        <v>400</v>
      </c>
      <c r="AF430" s="43">
        <v>800</v>
      </c>
      <c r="AG430" s="43">
        <v>400</v>
      </c>
      <c r="AH430" s="43">
        <v>400</v>
      </c>
      <c r="AI430" s="43">
        <v>400</v>
      </c>
      <c r="AJ430" s="43">
        <v>400</v>
      </c>
      <c r="AK430" s="44">
        <f t="shared" si="55"/>
        <v>4800</v>
      </c>
      <c r="AL430" s="43">
        <v>400</v>
      </c>
      <c r="AM430" s="43">
        <v>400</v>
      </c>
      <c r="AN430" s="43">
        <v>400</v>
      </c>
      <c r="AO430" s="43">
        <v>400</v>
      </c>
      <c r="AP430" s="43">
        <v>400</v>
      </c>
      <c r="AQ430" s="43">
        <v>400</v>
      </c>
      <c r="AR430" s="43">
        <v>400</v>
      </c>
      <c r="AS430" s="43">
        <v>400</v>
      </c>
      <c r="AT430" s="43">
        <v>400</v>
      </c>
      <c r="AU430" s="43">
        <v>400</v>
      </c>
      <c r="AV430" s="43">
        <v>0</v>
      </c>
      <c r="AW430" s="43">
        <v>0</v>
      </c>
      <c r="AX430" s="44">
        <f t="shared" si="56"/>
        <v>4000</v>
      </c>
      <c r="AY430" s="311">
        <f>SUMIF(Recibos!$D$4:$D$7493,Cobranza!$B430,Recibos!K$4:K$7493)</f>
        <v>400</v>
      </c>
      <c r="AZ430" s="311">
        <f>SUMIF(Recibos!$D$4:$D$7493,Cobranza!$B430,Recibos!L$4:L$7493)</f>
        <v>400</v>
      </c>
      <c r="BA430" s="311">
        <f>SUMIF(Recibos!$D$4:$D$7493,Cobranza!$B430,Recibos!M$4:M$7493)</f>
        <v>400</v>
      </c>
      <c r="BB430" s="311">
        <f>SUMIF(Recibos!$D$4:$D$7493,Cobranza!$B430,Recibos!N$4:N$7493)</f>
        <v>400</v>
      </c>
      <c r="BC430" s="311">
        <f>SUMIF(Recibos!$D$4:$D$7493,Cobranza!$B430,Recibos!O$4:O$7493)</f>
        <v>400</v>
      </c>
      <c r="BD430" s="311">
        <f>SUMIF(Recibos!$D$4:$D$7493,Cobranza!$B430,Recibos!P$4:P$7493)</f>
        <v>400</v>
      </c>
      <c r="BE430" s="311">
        <f>SUMIF(Recibos!$D$4:$D$7493,Cobranza!$B430,Recibos!Q$4:Q$7493)</f>
        <v>400</v>
      </c>
      <c r="BF430" s="311">
        <f>SUMIF(Recibos!$D$4:$D$7493,Cobranza!$B430,Recibos!R$4:R$7493)</f>
        <v>400</v>
      </c>
      <c r="BG430" s="311">
        <f>SUMIF(Recibos!$D$4:$D$7493,Cobranza!$B430,Recibos!S$4:S$7493)</f>
        <v>400</v>
      </c>
      <c r="BH430" s="311">
        <f>SUMIF(Recibos!$D$4:$D$7493,Cobranza!$B430,Recibos!T$4:T$7493)</f>
        <v>400</v>
      </c>
      <c r="BI430" s="311">
        <f>SUMIF(Recibos!$D$4:$D$7493,Cobranza!$B430,Recibos!U$4:U$7493)</f>
        <v>400</v>
      </c>
      <c r="BJ430" s="311">
        <f>SUMIF(Recibos!$D$4:$D$7493,Cobranza!$B430,Recibos!V$4:V$7493)</f>
        <v>400</v>
      </c>
      <c r="BK430" s="312">
        <f t="shared" si="57"/>
        <v>4800</v>
      </c>
      <c r="BL430" s="311">
        <f>SUMIF(Recibos!$D$4:$D$7493,Cobranza!$B430,Recibos!X$4:X$7493)</f>
        <v>400</v>
      </c>
      <c r="BM430" s="311">
        <f>SUMIF(Recibos!$D$4:$D$7493,Cobranza!$B430,Recibos!Y$4:Y$7493)</f>
        <v>400</v>
      </c>
      <c r="BN430" s="311">
        <f>SUMIF(Recibos!$D$4:$D$7493,Cobranza!$B430,Recibos!Z$4:Z$7493)</f>
        <v>300</v>
      </c>
      <c r="BO430" s="311">
        <f>SUMIF(Recibos!$D$4:$D$7493,Cobranza!$B430,Recibos!AA$4:AA$7493)</f>
        <v>300</v>
      </c>
      <c r="BP430" s="311">
        <f>SUMIF(Recibos!$D$4:$D$7493,Cobranza!$B430,Recibos!AB$4:AB$7493)</f>
        <v>300</v>
      </c>
      <c r="BQ430" s="311">
        <f>SUMIF(Recibos!$D$4:$D$7493,Cobranza!$B430,Recibos!AC$4:AC$7493)</f>
        <v>300</v>
      </c>
      <c r="BR430" s="311">
        <f>SUMIF(Recibos!$D$4:$D$7493,Cobranza!$B430,Recibos!AD$4:AD$7493)</f>
        <v>300</v>
      </c>
      <c r="BS430" s="311">
        <f>SUMIF(Recibos!$D$4:$D$7493,Cobranza!$B430,Recibos!AE$4:AE$7493)</f>
        <v>300</v>
      </c>
      <c r="BT430" s="311">
        <f>SUMIF(Recibos!$D$4:$D$7493,Cobranza!$B430,Recibos!AF$4:AF$7493)</f>
        <v>300</v>
      </c>
      <c r="BU430" s="311">
        <f>SUMIF(Recibos!$D$4:$D$7493,Cobranza!$B430,Recibos!AG$4:AG$7493)</f>
        <v>300</v>
      </c>
      <c r="BV430" s="311">
        <f>SUMIF(Recibos!$D$4:$D$7493,Cobranza!$B430,Recibos!AH$4:AH$7493)</f>
        <v>300</v>
      </c>
      <c r="BW430" s="311">
        <f>SUMIF(Recibos!$D$4:$D$7493,Cobranza!$B430,Recibos!AI$4:AI$7493)</f>
        <v>300</v>
      </c>
      <c r="BX430" s="312">
        <f t="shared" si="58"/>
        <v>3800</v>
      </c>
      <c r="BY430" s="311">
        <f>SUMIF(Recibos!$D$4:$D$7493,Cobranza!$B430,Recibos!AK$4:AK$7493)</f>
        <v>300</v>
      </c>
      <c r="BZ430" s="311">
        <f>SUMIF(Recibos!$D$4:$D$7493,Cobranza!$B430,Recibos!AL$4:AL$7493)</f>
        <v>300</v>
      </c>
      <c r="CA430" s="311">
        <f>SUMIF(Recibos!$D$4:$D$7493,Cobranza!$B430,Recibos!AM$4:AM$7493)</f>
        <v>300</v>
      </c>
      <c r="CB430" s="311">
        <f>SUMIF(Recibos!$D$4:$D$7493,Cobranza!$B430,Recibos!AN$4:AN$7493)</f>
        <v>300</v>
      </c>
      <c r="CC430" s="311">
        <f>SUMIF(Recibos!$D$4:$D$7493,Cobranza!$B430,Recibos!AO$4:AO$7493)</f>
        <v>300</v>
      </c>
      <c r="CD430" s="311">
        <f>SUMIF(Recibos!$D$4:$D$7493,Cobranza!$B430,Recibos!AP$4:AP$7493)</f>
        <v>300</v>
      </c>
      <c r="CE430" s="311">
        <f>SUMIF(Recibos!$D$4:$D$7493,Cobranza!$B430,Recibos!AQ$4:AQ$7493)</f>
        <v>300</v>
      </c>
      <c r="CF430" s="311">
        <f>SUMIF(Recibos!$D$4:$D$7493,Cobranza!$B430,Recibos!AR$4:AR$7493)</f>
        <v>300</v>
      </c>
      <c r="CG430" s="311">
        <f>SUMIF(Recibos!$D$4:$D$7493,Cobranza!$B430,Recibos!AS$4:AS$7493)</f>
        <v>400</v>
      </c>
      <c r="CH430" s="311">
        <f>SUMIF(Recibos!$D$4:$D$7493,Cobranza!$B430,Recibos!AT$4:AT$7493)</f>
        <v>0</v>
      </c>
      <c r="CI430" s="311">
        <f>SUMIF(Recibos!$D$4:$D$7493,Cobranza!$B430,Recibos!AU$4:AU$7493)</f>
        <v>0</v>
      </c>
      <c r="CJ430" s="311">
        <f>SUMIF(Recibos!$D$4:$D$7493,Cobranza!$B430,Recibos!AV$4:AV$7493)</f>
        <v>0</v>
      </c>
      <c r="CK430" s="312">
        <f t="shared" si="52"/>
        <v>2800</v>
      </c>
    </row>
    <row r="431" spans="2:89" x14ac:dyDescent="0.2">
      <c r="B431" s="45" t="s">
        <v>467</v>
      </c>
      <c r="C431" s="45" t="s">
        <v>468</v>
      </c>
      <c r="D431" s="45" t="s">
        <v>469</v>
      </c>
      <c r="E431" s="46">
        <v>0</v>
      </c>
      <c r="F431" s="46">
        <v>0</v>
      </c>
      <c r="G431" s="46">
        <v>0</v>
      </c>
      <c r="H431" s="46">
        <v>0</v>
      </c>
      <c r="I431" s="46">
        <v>0</v>
      </c>
      <c r="J431" s="46">
        <v>0</v>
      </c>
      <c r="K431" s="47">
        <f t="shared" si="53"/>
        <v>0</v>
      </c>
      <c r="L431" s="46">
        <v>300</v>
      </c>
      <c r="M431" s="46">
        <v>300</v>
      </c>
      <c r="N431" s="46">
        <v>300</v>
      </c>
      <c r="O431" s="46">
        <v>300</v>
      </c>
      <c r="P431" s="46">
        <v>300</v>
      </c>
      <c r="Q431" s="46">
        <v>300</v>
      </c>
      <c r="R431" s="46">
        <v>300</v>
      </c>
      <c r="S431" s="46">
        <v>300</v>
      </c>
      <c r="T431" s="46">
        <v>300</v>
      </c>
      <c r="U431" s="46">
        <v>400</v>
      </c>
      <c r="V431" s="46">
        <v>400</v>
      </c>
      <c r="W431" s="46">
        <v>400</v>
      </c>
      <c r="X431" s="47">
        <f t="shared" si="54"/>
        <v>3900</v>
      </c>
      <c r="Y431" s="46">
        <v>0</v>
      </c>
      <c r="Z431" s="46">
        <v>400</v>
      </c>
      <c r="AA431" s="46">
        <v>400</v>
      </c>
      <c r="AB431" s="46">
        <v>400</v>
      </c>
      <c r="AC431" s="46">
        <v>400</v>
      </c>
      <c r="AD431" s="46">
        <v>400</v>
      </c>
      <c r="AE431" s="46">
        <v>400</v>
      </c>
      <c r="AF431" s="46">
        <v>400</v>
      </c>
      <c r="AG431" s="46">
        <v>400</v>
      </c>
      <c r="AH431" s="46">
        <v>400</v>
      </c>
      <c r="AI431" s="46">
        <v>0</v>
      </c>
      <c r="AJ431" s="46">
        <v>0</v>
      </c>
      <c r="AK431" s="47">
        <f t="shared" si="55"/>
        <v>3600</v>
      </c>
      <c r="AL431" s="46">
        <v>400</v>
      </c>
      <c r="AM431" s="46">
        <v>400</v>
      </c>
      <c r="AN431" s="46">
        <v>400</v>
      </c>
      <c r="AO431" s="46">
        <v>400</v>
      </c>
      <c r="AP431" s="46">
        <v>400</v>
      </c>
      <c r="AQ431" s="46">
        <v>400</v>
      </c>
      <c r="AR431" s="46">
        <v>400</v>
      </c>
      <c r="AS431" s="46">
        <v>400</v>
      </c>
      <c r="AT431" s="46">
        <v>400</v>
      </c>
      <c r="AU431" s="46">
        <v>400</v>
      </c>
      <c r="AV431" s="46">
        <v>400</v>
      </c>
      <c r="AW431" s="46">
        <v>400</v>
      </c>
      <c r="AX431" s="47">
        <f t="shared" si="56"/>
        <v>4800</v>
      </c>
      <c r="AY431" s="313">
        <f>SUMIF(Recibos!$D$4:$D$7493,Cobranza!$B431,Recibos!K$4:K$7493)</f>
        <v>400</v>
      </c>
      <c r="AZ431" s="313">
        <f>SUMIF(Recibos!$D$4:$D$7493,Cobranza!$B431,Recibos!L$4:L$7493)</f>
        <v>400</v>
      </c>
      <c r="BA431" s="313">
        <f>SUMIF(Recibos!$D$4:$D$7493,Cobranza!$B431,Recibos!M$4:M$7493)</f>
        <v>400</v>
      </c>
      <c r="BB431" s="313">
        <f>SUMIF(Recibos!$D$4:$D$7493,Cobranza!$B431,Recibos!N$4:N$7493)</f>
        <v>400</v>
      </c>
      <c r="BC431" s="313">
        <f>SUMIF(Recibos!$D$4:$D$7493,Cobranza!$B431,Recibos!O$4:O$7493)</f>
        <v>400</v>
      </c>
      <c r="BD431" s="313">
        <f>SUMIF(Recibos!$D$4:$D$7493,Cobranza!$B431,Recibos!P$4:P$7493)</f>
        <v>400</v>
      </c>
      <c r="BE431" s="313">
        <f>SUMIF(Recibos!$D$4:$D$7493,Cobranza!$B431,Recibos!Q$4:Q$7493)</f>
        <v>400</v>
      </c>
      <c r="BF431" s="313">
        <f>SUMIF(Recibos!$D$4:$D$7493,Cobranza!$B431,Recibos!R$4:R$7493)</f>
        <v>400</v>
      </c>
      <c r="BG431" s="313">
        <f>SUMIF(Recibos!$D$4:$D$7493,Cobranza!$B431,Recibos!S$4:S$7493)</f>
        <v>400</v>
      </c>
      <c r="BH431" s="313">
        <f>SUMIF(Recibos!$D$4:$D$7493,Cobranza!$B431,Recibos!T$4:T$7493)</f>
        <v>400</v>
      </c>
      <c r="BI431" s="313">
        <f>SUMIF(Recibos!$D$4:$D$7493,Cobranza!$B431,Recibos!U$4:U$7493)</f>
        <v>400</v>
      </c>
      <c r="BJ431" s="313">
        <f>SUMIF(Recibos!$D$4:$D$7493,Cobranza!$B431,Recibos!V$4:V$7493)</f>
        <v>400</v>
      </c>
      <c r="BK431" s="314">
        <f t="shared" si="57"/>
        <v>4800</v>
      </c>
      <c r="BL431" s="313">
        <f>SUMIF(Recibos!$D$4:$D$7493,Cobranza!$B431,Recibos!X$4:X$7493)</f>
        <v>400</v>
      </c>
      <c r="BM431" s="313">
        <f>SUMIF(Recibos!$D$4:$D$7493,Cobranza!$B431,Recibos!Y$4:Y$7493)</f>
        <v>400</v>
      </c>
      <c r="BN431" s="313">
        <f>SUMIF(Recibos!$D$4:$D$7493,Cobranza!$B431,Recibos!Z$4:Z$7493)</f>
        <v>400</v>
      </c>
      <c r="BO431" s="313">
        <f>SUMIF(Recibos!$D$4:$D$7493,Cobranza!$B431,Recibos!AA$4:AA$7493)</f>
        <v>400</v>
      </c>
      <c r="BP431" s="313">
        <f>SUMIF(Recibos!$D$4:$D$7493,Cobranza!$B431,Recibos!AB$4:AB$7493)</f>
        <v>400</v>
      </c>
      <c r="BQ431" s="313">
        <f>SUMIF(Recibos!$D$4:$D$7493,Cobranza!$B431,Recibos!AC$4:AC$7493)</f>
        <v>400</v>
      </c>
      <c r="BR431" s="313">
        <f>SUMIF(Recibos!$D$4:$D$7493,Cobranza!$B431,Recibos!AD$4:AD$7493)</f>
        <v>400</v>
      </c>
      <c r="BS431" s="313">
        <f>SUMIF(Recibos!$D$4:$D$7493,Cobranza!$B431,Recibos!AE$4:AE$7493)</f>
        <v>400</v>
      </c>
      <c r="BT431" s="313">
        <f>SUMIF(Recibos!$D$4:$D$7493,Cobranza!$B431,Recibos!AF$4:AF$7493)</f>
        <v>300</v>
      </c>
      <c r="BU431" s="313">
        <f>SUMIF(Recibos!$D$4:$D$7493,Cobranza!$B431,Recibos!AG$4:AG$7493)</f>
        <v>300</v>
      </c>
      <c r="BV431" s="313">
        <f>SUMIF(Recibos!$D$4:$D$7493,Cobranza!$B431,Recibos!AH$4:AH$7493)</f>
        <v>300</v>
      </c>
      <c r="BW431" s="313">
        <f>SUMIF(Recibos!$D$4:$D$7493,Cobranza!$B431,Recibos!AI$4:AI$7493)</f>
        <v>300</v>
      </c>
      <c r="BX431" s="314">
        <f t="shared" si="58"/>
        <v>4400</v>
      </c>
      <c r="BY431" s="313">
        <f>SUMIF(Recibos!$D$4:$D$7493,Cobranza!$B431,Recibos!AK$4:AK$7493)</f>
        <v>300</v>
      </c>
      <c r="BZ431" s="313">
        <f>SUMIF(Recibos!$D$4:$D$7493,Cobranza!$B431,Recibos!AL$4:AL$7493)</f>
        <v>300</v>
      </c>
      <c r="CA431" s="313">
        <f>SUMIF(Recibos!$D$4:$D$7493,Cobranza!$B431,Recibos!AM$4:AM$7493)</f>
        <v>300</v>
      </c>
      <c r="CB431" s="313">
        <f>SUMIF(Recibos!$D$4:$D$7493,Cobranza!$B431,Recibos!AN$4:AN$7493)</f>
        <v>300</v>
      </c>
      <c r="CC431" s="313">
        <f>SUMIF(Recibos!$D$4:$D$7493,Cobranza!$B431,Recibos!AO$4:AO$7493)</f>
        <v>300</v>
      </c>
      <c r="CD431" s="313">
        <f>SUMIF(Recibos!$D$4:$D$7493,Cobranza!$B431,Recibos!AP$4:AP$7493)</f>
        <v>300</v>
      </c>
      <c r="CE431" s="313">
        <f>SUMIF(Recibos!$D$4:$D$7493,Cobranza!$B431,Recibos!AQ$4:AQ$7493)</f>
        <v>300</v>
      </c>
      <c r="CF431" s="313">
        <f>SUMIF(Recibos!$D$4:$D$7493,Cobranza!$B431,Recibos!AR$4:AR$7493)</f>
        <v>300</v>
      </c>
      <c r="CG431" s="313">
        <f>SUMIF(Recibos!$D$4:$D$7493,Cobranza!$B431,Recibos!AS$4:AS$7493)</f>
        <v>300</v>
      </c>
      <c r="CH431" s="313">
        <f>SUMIF(Recibos!$D$4:$D$7493,Cobranza!$B431,Recibos!AT$4:AT$7493)</f>
        <v>300</v>
      </c>
      <c r="CI431" s="313">
        <f>SUMIF(Recibos!$D$4:$D$7493,Cobranza!$B431,Recibos!AU$4:AU$7493)</f>
        <v>0</v>
      </c>
      <c r="CJ431" s="313">
        <f>SUMIF(Recibos!$D$4:$D$7493,Cobranza!$B431,Recibos!AV$4:AV$7493)</f>
        <v>0</v>
      </c>
      <c r="CK431" s="314">
        <f t="shared" si="52"/>
        <v>3000</v>
      </c>
    </row>
    <row r="432" spans="2:89" x14ac:dyDescent="0.2">
      <c r="B432" s="42" t="s">
        <v>292</v>
      </c>
      <c r="C432" s="42" t="s">
        <v>293</v>
      </c>
      <c r="D432" s="42" t="s">
        <v>294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300</v>
      </c>
      <c r="K432" s="44">
        <f t="shared" si="53"/>
        <v>300</v>
      </c>
      <c r="L432" s="43">
        <v>300</v>
      </c>
      <c r="M432" s="43">
        <v>300</v>
      </c>
      <c r="N432" s="43">
        <v>300</v>
      </c>
      <c r="O432" s="43">
        <v>300</v>
      </c>
      <c r="P432" s="43">
        <v>300</v>
      </c>
      <c r="Q432" s="43">
        <v>300</v>
      </c>
      <c r="R432" s="43">
        <v>300</v>
      </c>
      <c r="S432" s="43">
        <v>300</v>
      </c>
      <c r="T432" s="43">
        <v>300</v>
      </c>
      <c r="U432" s="43">
        <v>400</v>
      </c>
      <c r="V432" s="43">
        <v>400</v>
      </c>
      <c r="W432" s="43">
        <v>400</v>
      </c>
      <c r="X432" s="44">
        <f t="shared" si="54"/>
        <v>3900</v>
      </c>
      <c r="Y432" s="43">
        <v>400</v>
      </c>
      <c r="Z432" s="43">
        <v>400</v>
      </c>
      <c r="AA432" s="43">
        <v>400</v>
      </c>
      <c r="AB432" s="43">
        <v>400</v>
      </c>
      <c r="AC432" s="43">
        <v>400</v>
      </c>
      <c r="AD432" s="43">
        <v>400</v>
      </c>
      <c r="AE432" s="43">
        <v>400</v>
      </c>
      <c r="AF432" s="43">
        <v>400</v>
      </c>
      <c r="AG432" s="43">
        <v>400</v>
      </c>
      <c r="AH432" s="43">
        <v>400</v>
      </c>
      <c r="AI432" s="43">
        <v>400</v>
      </c>
      <c r="AJ432" s="43">
        <v>400</v>
      </c>
      <c r="AK432" s="44">
        <f t="shared" si="55"/>
        <v>4800</v>
      </c>
      <c r="AL432" s="43">
        <v>400</v>
      </c>
      <c r="AM432" s="43">
        <v>400</v>
      </c>
      <c r="AN432" s="43">
        <v>400</v>
      </c>
      <c r="AO432" s="43">
        <v>400</v>
      </c>
      <c r="AP432" s="43">
        <v>400</v>
      </c>
      <c r="AQ432" s="43">
        <v>400</v>
      </c>
      <c r="AR432" s="43">
        <v>400</v>
      </c>
      <c r="AS432" s="43">
        <v>400</v>
      </c>
      <c r="AT432" s="43">
        <v>400</v>
      </c>
      <c r="AU432" s="43">
        <v>400</v>
      </c>
      <c r="AV432" s="43">
        <v>400</v>
      </c>
      <c r="AW432" s="43">
        <v>400</v>
      </c>
      <c r="AX432" s="44">
        <f t="shared" si="56"/>
        <v>4800</v>
      </c>
      <c r="AY432" s="311">
        <f>SUMIF(Recibos!$D$4:$D$7493,Cobranza!$B432,Recibos!K$4:K$7493)</f>
        <v>400</v>
      </c>
      <c r="AZ432" s="311">
        <f>SUMIF(Recibos!$D$4:$D$7493,Cobranza!$B432,Recibos!L$4:L$7493)</f>
        <v>400</v>
      </c>
      <c r="BA432" s="311">
        <f>SUMIF(Recibos!$D$4:$D$7493,Cobranza!$B432,Recibos!M$4:M$7493)</f>
        <v>400</v>
      </c>
      <c r="BB432" s="311">
        <f>SUMIF(Recibos!$D$4:$D$7493,Cobranza!$B432,Recibos!N$4:N$7493)</f>
        <v>400</v>
      </c>
      <c r="BC432" s="311">
        <f>SUMIF(Recibos!$D$4:$D$7493,Cobranza!$B432,Recibos!O$4:O$7493)</f>
        <v>400</v>
      </c>
      <c r="BD432" s="311">
        <f>SUMIF(Recibos!$D$4:$D$7493,Cobranza!$B432,Recibos!P$4:P$7493)</f>
        <v>400</v>
      </c>
      <c r="BE432" s="311">
        <f>SUMIF(Recibos!$D$4:$D$7493,Cobranza!$B432,Recibos!Q$4:Q$7493)</f>
        <v>400</v>
      </c>
      <c r="BF432" s="311">
        <f>SUMIF(Recibos!$D$4:$D$7493,Cobranza!$B432,Recibos!R$4:R$7493)</f>
        <v>400</v>
      </c>
      <c r="BG432" s="311">
        <f>SUMIF(Recibos!$D$4:$D$7493,Cobranza!$B432,Recibos!S$4:S$7493)</f>
        <v>400</v>
      </c>
      <c r="BH432" s="311">
        <f>SUMIF(Recibos!$D$4:$D$7493,Cobranza!$B432,Recibos!T$4:T$7493)</f>
        <v>400</v>
      </c>
      <c r="BI432" s="311">
        <f>SUMIF(Recibos!$D$4:$D$7493,Cobranza!$B432,Recibos!U$4:U$7493)</f>
        <v>400</v>
      </c>
      <c r="BJ432" s="311">
        <f>SUMIF(Recibos!$D$4:$D$7493,Cobranza!$B432,Recibos!V$4:V$7493)</f>
        <v>400</v>
      </c>
      <c r="BK432" s="312">
        <f t="shared" si="57"/>
        <v>4800</v>
      </c>
      <c r="BL432" s="311">
        <f>SUMIF(Recibos!$D$4:$D$7493,Cobranza!$B432,Recibos!X$4:X$7493)</f>
        <v>400</v>
      </c>
      <c r="BM432" s="311">
        <f>SUMIF(Recibos!$D$4:$D$7493,Cobranza!$B432,Recibos!Y$4:Y$7493)</f>
        <v>400</v>
      </c>
      <c r="BN432" s="311">
        <f>SUMIF(Recibos!$D$4:$D$7493,Cobranza!$B432,Recibos!Z$4:Z$7493)</f>
        <v>400</v>
      </c>
      <c r="BO432" s="311">
        <f>SUMIF(Recibos!$D$4:$D$7493,Cobranza!$B432,Recibos!AA$4:AA$7493)</f>
        <v>400</v>
      </c>
      <c r="BP432" s="311">
        <f>SUMIF(Recibos!$D$4:$D$7493,Cobranza!$B432,Recibos!AB$4:AB$7493)</f>
        <v>400</v>
      </c>
      <c r="BQ432" s="311">
        <f>SUMIF(Recibos!$D$4:$D$7493,Cobranza!$B432,Recibos!AC$4:AC$7493)</f>
        <v>400</v>
      </c>
      <c r="BR432" s="311">
        <f>SUMIF(Recibos!$D$4:$D$7493,Cobranza!$B432,Recibos!AD$4:AD$7493)</f>
        <v>400</v>
      </c>
      <c r="BS432" s="311">
        <f>SUMIF(Recibos!$D$4:$D$7493,Cobranza!$B432,Recibos!AE$4:AE$7493)</f>
        <v>400</v>
      </c>
      <c r="BT432" s="311">
        <f>SUMIF(Recibos!$D$4:$D$7493,Cobranza!$B432,Recibos!AF$4:AF$7493)</f>
        <v>400</v>
      </c>
      <c r="BU432" s="311">
        <f>SUMIF(Recibos!$D$4:$D$7493,Cobranza!$B432,Recibos!AG$4:AG$7493)</f>
        <v>400</v>
      </c>
      <c r="BV432" s="311">
        <f>SUMIF(Recibos!$D$4:$D$7493,Cobranza!$B432,Recibos!AH$4:AH$7493)</f>
        <v>400</v>
      </c>
      <c r="BW432" s="311">
        <f>SUMIF(Recibos!$D$4:$D$7493,Cobranza!$B432,Recibos!AI$4:AI$7493)</f>
        <v>400</v>
      </c>
      <c r="BX432" s="312">
        <f t="shared" si="58"/>
        <v>4800</v>
      </c>
      <c r="BY432" s="311">
        <f>SUMIF(Recibos!$D$4:$D$7493,Cobranza!$B432,Recibos!AK$4:AK$7493)</f>
        <v>400</v>
      </c>
      <c r="BZ432" s="311">
        <f>SUMIF(Recibos!$D$4:$D$7493,Cobranza!$B432,Recibos!AL$4:AL$7493)</f>
        <v>400</v>
      </c>
      <c r="CA432" s="311">
        <f>SUMIF(Recibos!$D$4:$D$7493,Cobranza!$B432,Recibos!AM$4:AM$7493)</f>
        <v>400</v>
      </c>
      <c r="CB432" s="311">
        <f>SUMIF(Recibos!$D$4:$D$7493,Cobranza!$B432,Recibos!AN$4:AN$7493)</f>
        <v>400</v>
      </c>
      <c r="CC432" s="311">
        <f>SUMIF(Recibos!$D$4:$D$7493,Cobranza!$B432,Recibos!AO$4:AO$7493)</f>
        <v>400</v>
      </c>
      <c r="CD432" s="311">
        <f>SUMIF(Recibos!$D$4:$D$7493,Cobranza!$B432,Recibos!AP$4:AP$7493)</f>
        <v>400</v>
      </c>
      <c r="CE432" s="311">
        <f>SUMIF(Recibos!$D$4:$D$7493,Cobranza!$B432,Recibos!AQ$4:AQ$7493)</f>
        <v>400</v>
      </c>
      <c r="CF432" s="311">
        <f>SUMIF(Recibos!$D$4:$D$7493,Cobranza!$B432,Recibos!AR$4:AR$7493)</f>
        <v>400</v>
      </c>
      <c r="CG432" s="311">
        <f>SUMIF(Recibos!$D$4:$D$7493,Cobranza!$B432,Recibos!AS$4:AS$7493)</f>
        <v>400</v>
      </c>
      <c r="CH432" s="311">
        <f>SUMIF(Recibos!$D$4:$D$7493,Cobranza!$B432,Recibos!AT$4:AT$7493)</f>
        <v>400</v>
      </c>
      <c r="CI432" s="311">
        <f>SUMIF(Recibos!$D$4:$D$7493,Cobranza!$B432,Recibos!AU$4:AU$7493)</f>
        <v>0</v>
      </c>
      <c r="CJ432" s="311">
        <f>SUMIF(Recibos!$D$4:$D$7493,Cobranza!$B432,Recibos!AV$4:AV$7493)</f>
        <v>0</v>
      </c>
      <c r="CK432" s="312">
        <f t="shared" si="52"/>
        <v>4000</v>
      </c>
    </row>
    <row r="433" spans="2:89" x14ac:dyDescent="0.2">
      <c r="B433" s="45" t="s">
        <v>535</v>
      </c>
      <c r="C433" s="45" t="s">
        <v>536</v>
      </c>
      <c r="D433" s="45" t="s">
        <v>537</v>
      </c>
      <c r="E433" s="46">
        <v>0</v>
      </c>
      <c r="F433" s="46">
        <v>0</v>
      </c>
      <c r="G433" s="46">
        <v>0</v>
      </c>
      <c r="H433" s="46">
        <v>0</v>
      </c>
      <c r="I433" s="46">
        <v>0</v>
      </c>
      <c r="J433" s="46">
        <v>300</v>
      </c>
      <c r="K433" s="47">
        <f t="shared" si="53"/>
        <v>300</v>
      </c>
      <c r="L433" s="46">
        <v>300</v>
      </c>
      <c r="M433" s="46">
        <v>300</v>
      </c>
      <c r="N433" s="46">
        <v>300</v>
      </c>
      <c r="O433" s="46">
        <v>300</v>
      </c>
      <c r="P433" s="46">
        <v>300</v>
      </c>
      <c r="Q433" s="46">
        <v>300</v>
      </c>
      <c r="R433" s="46">
        <v>300</v>
      </c>
      <c r="S433" s="46">
        <v>300</v>
      </c>
      <c r="T433" s="46">
        <v>300</v>
      </c>
      <c r="U433" s="46">
        <v>300</v>
      </c>
      <c r="V433" s="46">
        <v>300</v>
      </c>
      <c r="W433" s="46">
        <v>300</v>
      </c>
      <c r="X433" s="47">
        <f t="shared" si="54"/>
        <v>3600</v>
      </c>
      <c r="Y433" s="46">
        <v>400</v>
      </c>
      <c r="Z433" s="46">
        <v>400</v>
      </c>
      <c r="AA433" s="46">
        <v>400</v>
      </c>
      <c r="AB433" s="46">
        <v>400</v>
      </c>
      <c r="AC433" s="46">
        <v>400</v>
      </c>
      <c r="AD433" s="46">
        <v>400</v>
      </c>
      <c r="AE433" s="46">
        <v>400</v>
      </c>
      <c r="AF433" s="46">
        <v>400</v>
      </c>
      <c r="AG433" s="46">
        <v>400</v>
      </c>
      <c r="AH433" s="46">
        <v>400</v>
      </c>
      <c r="AI433" s="46">
        <v>400</v>
      </c>
      <c r="AJ433" s="46">
        <v>400</v>
      </c>
      <c r="AK433" s="47">
        <f t="shared" si="55"/>
        <v>4800</v>
      </c>
      <c r="AL433" s="46">
        <v>400</v>
      </c>
      <c r="AM433" s="46">
        <v>400</v>
      </c>
      <c r="AN433" s="46">
        <v>400</v>
      </c>
      <c r="AO433" s="46">
        <v>400</v>
      </c>
      <c r="AP433" s="46">
        <v>400</v>
      </c>
      <c r="AQ433" s="46">
        <v>400</v>
      </c>
      <c r="AR433" s="46">
        <v>400</v>
      </c>
      <c r="AS433" s="46">
        <v>400</v>
      </c>
      <c r="AT433" s="46">
        <v>400</v>
      </c>
      <c r="AU433" s="46">
        <v>400</v>
      </c>
      <c r="AV433" s="46">
        <v>400</v>
      </c>
      <c r="AW433" s="46">
        <v>400</v>
      </c>
      <c r="AX433" s="47">
        <f t="shared" si="56"/>
        <v>4800</v>
      </c>
      <c r="AY433" s="313">
        <f>SUMIF(Recibos!$D$4:$D$7493,Cobranza!$B433,Recibos!K$4:K$7493)</f>
        <v>400</v>
      </c>
      <c r="AZ433" s="313">
        <f>SUMIF(Recibos!$D$4:$D$7493,Cobranza!$B433,Recibos!L$4:L$7493)</f>
        <v>400</v>
      </c>
      <c r="BA433" s="313">
        <f>SUMIF(Recibos!$D$4:$D$7493,Cobranza!$B433,Recibos!M$4:M$7493)</f>
        <v>400</v>
      </c>
      <c r="BB433" s="313">
        <f>SUMIF(Recibos!$D$4:$D$7493,Cobranza!$B433,Recibos!N$4:N$7493)</f>
        <v>400</v>
      </c>
      <c r="BC433" s="313">
        <f>SUMIF(Recibos!$D$4:$D$7493,Cobranza!$B433,Recibos!O$4:O$7493)</f>
        <v>400</v>
      </c>
      <c r="BD433" s="313">
        <f>SUMIF(Recibos!$D$4:$D$7493,Cobranza!$B433,Recibos!P$4:P$7493)</f>
        <v>400</v>
      </c>
      <c r="BE433" s="313">
        <f>SUMIF(Recibos!$D$4:$D$7493,Cobranza!$B433,Recibos!Q$4:Q$7493)</f>
        <v>400</v>
      </c>
      <c r="BF433" s="313">
        <f>SUMIF(Recibos!$D$4:$D$7493,Cobranza!$B433,Recibos!R$4:R$7493)</f>
        <v>400</v>
      </c>
      <c r="BG433" s="313">
        <f>SUMIF(Recibos!$D$4:$D$7493,Cobranza!$B433,Recibos!S$4:S$7493)</f>
        <v>400</v>
      </c>
      <c r="BH433" s="313">
        <f>SUMIF(Recibos!$D$4:$D$7493,Cobranza!$B433,Recibos!T$4:T$7493)</f>
        <v>400</v>
      </c>
      <c r="BI433" s="313">
        <f>SUMIF(Recibos!$D$4:$D$7493,Cobranza!$B433,Recibos!U$4:U$7493)</f>
        <v>400</v>
      </c>
      <c r="BJ433" s="313">
        <f>SUMIF(Recibos!$D$4:$D$7493,Cobranza!$B433,Recibos!V$4:V$7493)</f>
        <v>0</v>
      </c>
      <c r="BK433" s="314">
        <f t="shared" si="57"/>
        <v>4400</v>
      </c>
      <c r="BL433" s="313">
        <f>SUMIF(Recibos!$D$4:$D$7493,Cobranza!$B433,Recibos!X$4:X$7493)</f>
        <v>400</v>
      </c>
      <c r="BM433" s="313">
        <f>SUMIF(Recibos!$D$4:$D$7493,Cobranza!$B433,Recibos!Y$4:Y$7493)</f>
        <v>400</v>
      </c>
      <c r="BN433" s="313">
        <f>SUMIF(Recibos!$D$4:$D$7493,Cobranza!$B433,Recibos!Z$4:Z$7493)</f>
        <v>400</v>
      </c>
      <c r="BO433" s="313">
        <f>SUMIF(Recibos!$D$4:$D$7493,Cobranza!$B433,Recibos!AA$4:AA$7493)</f>
        <v>400</v>
      </c>
      <c r="BP433" s="313">
        <f>SUMIF(Recibos!$D$4:$D$7493,Cobranza!$B433,Recibos!AB$4:AB$7493)</f>
        <v>400</v>
      </c>
      <c r="BQ433" s="313">
        <f>SUMIF(Recibos!$D$4:$D$7493,Cobranza!$B433,Recibos!AC$4:AC$7493)</f>
        <v>400</v>
      </c>
      <c r="BR433" s="313">
        <f>SUMIF(Recibos!$D$4:$D$7493,Cobranza!$B433,Recibos!AD$4:AD$7493)</f>
        <v>400</v>
      </c>
      <c r="BS433" s="313">
        <f>SUMIF(Recibos!$D$4:$D$7493,Cobranza!$B433,Recibos!AE$4:AE$7493)</f>
        <v>400</v>
      </c>
      <c r="BT433" s="313">
        <f>SUMIF(Recibos!$D$4:$D$7493,Cobranza!$B433,Recibos!AF$4:AF$7493)</f>
        <v>400</v>
      </c>
      <c r="BU433" s="313">
        <f>SUMIF(Recibos!$D$4:$D$7493,Cobranza!$B433,Recibos!AG$4:AG$7493)</f>
        <v>400</v>
      </c>
      <c r="BV433" s="313">
        <f>SUMIF(Recibos!$D$4:$D$7493,Cobranza!$B433,Recibos!AH$4:AH$7493)</f>
        <v>400</v>
      </c>
      <c r="BW433" s="313">
        <f>SUMIF(Recibos!$D$4:$D$7493,Cobranza!$B433,Recibos!AI$4:AI$7493)</f>
        <v>0</v>
      </c>
      <c r="BX433" s="314">
        <f t="shared" si="58"/>
        <v>4400</v>
      </c>
      <c r="BY433" s="313">
        <f>SUMIF(Recibos!$D$4:$D$7493,Cobranza!$B433,Recibos!AK$4:AK$7493)</f>
        <v>400</v>
      </c>
      <c r="BZ433" s="313">
        <f>SUMIF(Recibos!$D$4:$D$7493,Cobranza!$B433,Recibos!AL$4:AL$7493)</f>
        <v>400</v>
      </c>
      <c r="CA433" s="313">
        <f>SUMIF(Recibos!$D$4:$D$7493,Cobranza!$B433,Recibos!AM$4:AM$7493)</f>
        <v>400</v>
      </c>
      <c r="CB433" s="313">
        <f>SUMIF(Recibos!$D$4:$D$7493,Cobranza!$B433,Recibos!AN$4:AN$7493)</f>
        <v>400</v>
      </c>
      <c r="CC433" s="313">
        <f>SUMIF(Recibos!$D$4:$D$7493,Cobranza!$B433,Recibos!AO$4:AO$7493)</f>
        <v>400</v>
      </c>
      <c r="CD433" s="313">
        <f>SUMIF(Recibos!$D$4:$D$7493,Cobranza!$B433,Recibos!AP$4:AP$7493)</f>
        <v>400</v>
      </c>
      <c r="CE433" s="313">
        <f>SUMIF(Recibos!$D$4:$D$7493,Cobranza!$B433,Recibos!AQ$4:AQ$7493)</f>
        <v>400</v>
      </c>
      <c r="CF433" s="313">
        <f>SUMIF(Recibos!$D$4:$D$7493,Cobranza!$B433,Recibos!AR$4:AR$7493)</f>
        <v>400</v>
      </c>
      <c r="CG433" s="313">
        <f>SUMIF(Recibos!$D$4:$D$7493,Cobranza!$B433,Recibos!AS$4:AS$7493)</f>
        <v>400</v>
      </c>
      <c r="CH433" s="313">
        <f>SUMIF(Recibos!$D$4:$D$7493,Cobranza!$B433,Recibos!AT$4:AT$7493)</f>
        <v>400</v>
      </c>
      <c r="CI433" s="313">
        <f>SUMIF(Recibos!$D$4:$D$7493,Cobranza!$B433,Recibos!AU$4:AU$7493)</f>
        <v>400</v>
      </c>
      <c r="CJ433" s="313">
        <f>SUMIF(Recibos!$D$4:$D$7493,Cobranza!$B433,Recibos!AV$4:AV$7493)</f>
        <v>0</v>
      </c>
      <c r="CK433" s="314">
        <f t="shared" si="52"/>
        <v>4400</v>
      </c>
    </row>
    <row r="434" spans="2:89" x14ac:dyDescent="0.2">
      <c r="B434" s="42" t="s">
        <v>1448</v>
      </c>
      <c r="C434" s="42" t="s">
        <v>1449</v>
      </c>
      <c r="D434" s="42"/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4">
        <f t="shared" si="53"/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3">
        <v>0</v>
      </c>
      <c r="U434" s="43">
        <v>0</v>
      </c>
      <c r="V434" s="43">
        <v>0</v>
      </c>
      <c r="W434" s="43">
        <v>0</v>
      </c>
      <c r="X434" s="44">
        <f t="shared" si="54"/>
        <v>0</v>
      </c>
      <c r="Y434" s="43">
        <v>0</v>
      </c>
      <c r="Z434" s="43">
        <v>0</v>
      </c>
      <c r="AA434" s="43">
        <v>0</v>
      </c>
      <c r="AB434" s="43">
        <v>0</v>
      </c>
      <c r="AC434" s="43">
        <v>0</v>
      </c>
      <c r="AD434" s="43">
        <v>0</v>
      </c>
      <c r="AE434" s="43">
        <v>0</v>
      </c>
      <c r="AF434" s="43">
        <v>0</v>
      </c>
      <c r="AG434" s="43">
        <v>0</v>
      </c>
      <c r="AH434" s="43">
        <v>0</v>
      </c>
      <c r="AI434" s="43">
        <v>0</v>
      </c>
      <c r="AJ434" s="43">
        <v>0</v>
      </c>
      <c r="AK434" s="44">
        <f t="shared" si="55"/>
        <v>0</v>
      </c>
      <c r="AL434" s="43">
        <v>0</v>
      </c>
      <c r="AM434" s="43">
        <v>0</v>
      </c>
      <c r="AN434" s="43">
        <v>0</v>
      </c>
      <c r="AO434" s="43">
        <v>0</v>
      </c>
      <c r="AP434" s="43">
        <v>0</v>
      </c>
      <c r="AQ434" s="43">
        <v>0</v>
      </c>
      <c r="AR434" s="43">
        <v>0</v>
      </c>
      <c r="AS434" s="43">
        <v>0</v>
      </c>
      <c r="AT434" s="43">
        <v>0</v>
      </c>
      <c r="AU434" s="43">
        <v>0</v>
      </c>
      <c r="AV434" s="43">
        <v>0</v>
      </c>
      <c r="AW434" s="43">
        <v>0</v>
      </c>
      <c r="AX434" s="44">
        <f t="shared" si="56"/>
        <v>0</v>
      </c>
      <c r="AY434" s="311">
        <f>SUMIF(Recibos!$D$4:$D$7493,Cobranza!$B434,Recibos!K$4:K$7493)</f>
        <v>0</v>
      </c>
      <c r="AZ434" s="311">
        <f>SUMIF(Recibos!$D$4:$D$7493,Cobranza!$B434,Recibos!L$4:L$7493)</f>
        <v>0</v>
      </c>
      <c r="BA434" s="311">
        <f>SUMIF(Recibos!$D$4:$D$7493,Cobranza!$B434,Recibos!M$4:M$7493)</f>
        <v>0</v>
      </c>
      <c r="BB434" s="311">
        <f>SUMIF(Recibos!$D$4:$D$7493,Cobranza!$B434,Recibos!N$4:N$7493)</f>
        <v>0</v>
      </c>
      <c r="BC434" s="311">
        <f>SUMIF(Recibos!$D$4:$D$7493,Cobranza!$B434,Recibos!O$4:O$7493)</f>
        <v>0</v>
      </c>
      <c r="BD434" s="311">
        <f>SUMIF(Recibos!$D$4:$D$7493,Cobranza!$B434,Recibos!P$4:P$7493)</f>
        <v>0</v>
      </c>
      <c r="BE434" s="311">
        <f>SUMIF(Recibos!$D$4:$D$7493,Cobranza!$B434,Recibos!Q$4:Q$7493)</f>
        <v>0</v>
      </c>
      <c r="BF434" s="311">
        <f>SUMIF(Recibos!$D$4:$D$7493,Cobranza!$B434,Recibos!R$4:R$7493)</f>
        <v>0</v>
      </c>
      <c r="BG434" s="311">
        <f>SUMIF(Recibos!$D$4:$D$7493,Cobranza!$B434,Recibos!S$4:S$7493)</f>
        <v>0</v>
      </c>
      <c r="BH434" s="311">
        <f>SUMIF(Recibos!$D$4:$D$7493,Cobranza!$B434,Recibos!T$4:T$7493)</f>
        <v>0</v>
      </c>
      <c r="BI434" s="311">
        <f>SUMIF(Recibos!$D$4:$D$7493,Cobranza!$B434,Recibos!U$4:U$7493)</f>
        <v>0</v>
      </c>
      <c r="BJ434" s="311">
        <f>SUMIF(Recibos!$D$4:$D$7493,Cobranza!$B434,Recibos!V$4:V$7493)</f>
        <v>0</v>
      </c>
      <c r="BK434" s="312">
        <f t="shared" si="57"/>
        <v>0</v>
      </c>
      <c r="BL434" s="311">
        <f>SUMIF(Recibos!$D$4:$D$7493,Cobranza!$B434,Recibos!X$4:X$7493)</f>
        <v>0</v>
      </c>
      <c r="BM434" s="311">
        <f>SUMIF(Recibos!$D$4:$D$7493,Cobranza!$B434,Recibos!Y$4:Y$7493)</f>
        <v>0</v>
      </c>
      <c r="BN434" s="311">
        <f>SUMIF(Recibos!$D$4:$D$7493,Cobranza!$B434,Recibos!Z$4:Z$7493)</f>
        <v>0</v>
      </c>
      <c r="BO434" s="311">
        <f>SUMIF(Recibos!$D$4:$D$7493,Cobranza!$B434,Recibos!AA$4:AA$7493)</f>
        <v>0</v>
      </c>
      <c r="BP434" s="311">
        <f>SUMIF(Recibos!$D$4:$D$7493,Cobranza!$B434,Recibos!AB$4:AB$7493)</f>
        <v>0</v>
      </c>
      <c r="BQ434" s="311">
        <f>SUMIF(Recibos!$D$4:$D$7493,Cobranza!$B434,Recibos!AC$4:AC$7493)</f>
        <v>0</v>
      </c>
      <c r="BR434" s="311">
        <f>SUMIF(Recibos!$D$4:$D$7493,Cobranza!$B434,Recibos!AD$4:AD$7493)</f>
        <v>0</v>
      </c>
      <c r="BS434" s="311">
        <f>SUMIF(Recibos!$D$4:$D$7493,Cobranza!$B434,Recibos!AE$4:AE$7493)</f>
        <v>0</v>
      </c>
      <c r="BT434" s="311">
        <f>SUMIF(Recibos!$D$4:$D$7493,Cobranza!$B434,Recibos!AF$4:AF$7493)</f>
        <v>0</v>
      </c>
      <c r="BU434" s="311">
        <f>SUMIF(Recibos!$D$4:$D$7493,Cobranza!$B434,Recibos!AG$4:AG$7493)</f>
        <v>0</v>
      </c>
      <c r="BV434" s="311">
        <f>SUMIF(Recibos!$D$4:$D$7493,Cobranza!$B434,Recibos!AH$4:AH$7493)</f>
        <v>0</v>
      </c>
      <c r="BW434" s="311">
        <f>SUMIF(Recibos!$D$4:$D$7493,Cobranza!$B434,Recibos!AI$4:AI$7493)</f>
        <v>0</v>
      </c>
      <c r="BX434" s="312">
        <f t="shared" si="58"/>
        <v>0</v>
      </c>
      <c r="BY434" s="311">
        <f>SUMIF(Recibos!$D$4:$D$7493,Cobranza!$B434,Recibos!AK$4:AK$7493)</f>
        <v>0</v>
      </c>
      <c r="BZ434" s="311">
        <f>SUMIF(Recibos!$D$4:$D$7493,Cobranza!$B434,Recibos!AL$4:AL$7493)</f>
        <v>0</v>
      </c>
      <c r="CA434" s="311">
        <f>SUMIF(Recibos!$D$4:$D$7493,Cobranza!$B434,Recibos!AM$4:AM$7493)</f>
        <v>0</v>
      </c>
      <c r="CB434" s="311">
        <f>SUMIF(Recibos!$D$4:$D$7493,Cobranza!$B434,Recibos!AN$4:AN$7493)</f>
        <v>0</v>
      </c>
      <c r="CC434" s="311">
        <f>SUMIF(Recibos!$D$4:$D$7493,Cobranza!$B434,Recibos!AO$4:AO$7493)</f>
        <v>0</v>
      </c>
      <c r="CD434" s="311">
        <f>SUMIF(Recibos!$D$4:$D$7493,Cobranza!$B434,Recibos!AP$4:AP$7493)</f>
        <v>0</v>
      </c>
      <c r="CE434" s="311">
        <f>SUMIF(Recibos!$D$4:$D$7493,Cobranza!$B434,Recibos!AQ$4:AQ$7493)</f>
        <v>0</v>
      </c>
      <c r="CF434" s="311">
        <f>SUMIF(Recibos!$D$4:$D$7493,Cobranza!$B434,Recibos!AR$4:AR$7493)</f>
        <v>0</v>
      </c>
      <c r="CG434" s="311">
        <f>SUMIF(Recibos!$D$4:$D$7493,Cobranza!$B434,Recibos!AS$4:AS$7493)</f>
        <v>0</v>
      </c>
      <c r="CH434" s="311">
        <f>SUMIF(Recibos!$D$4:$D$7493,Cobranza!$B434,Recibos!AT$4:AT$7493)</f>
        <v>0</v>
      </c>
      <c r="CI434" s="311">
        <f>SUMIF(Recibos!$D$4:$D$7493,Cobranza!$B434,Recibos!AU$4:AU$7493)</f>
        <v>0</v>
      </c>
      <c r="CJ434" s="311">
        <f>SUMIF(Recibos!$D$4:$D$7493,Cobranza!$B434,Recibos!AV$4:AV$7493)</f>
        <v>0</v>
      </c>
      <c r="CK434" s="312">
        <f t="shared" si="52"/>
        <v>0</v>
      </c>
    </row>
    <row r="435" spans="2:89" x14ac:dyDescent="0.2">
      <c r="B435" s="45" t="s">
        <v>608</v>
      </c>
      <c r="C435" s="45" t="s">
        <v>609</v>
      </c>
      <c r="D435" s="45" t="s">
        <v>610</v>
      </c>
      <c r="E435" s="46">
        <v>0</v>
      </c>
      <c r="F435" s="46">
        <v>0</v>
      </c>
      <c r="G435" s="46">
        <v>0</v>
      </c>
      <c r="H435" s="46">
        <v>0</v>
      </c>
      <c r="I435" s="46">
        <v>0</v>
      </c>
      <c r="J435" s="46">
        <v>300</v>
      </c>
      <c r="K435" s="47">
        <f t="shared" si="53"/>
        <v>300</v>
      </c>
      <c r="L435" s="46">
        <v>300</v>
      </c>
      <c r="M435" s="46">
        <v>300</v>
      </c>
      <c r="N435" s="46">
        <v>300</v>
      </c>
      <c r="O435" s="46">
        <v>300</v>
      </c>
      <c r="P435" s="46">
        <v>300</v>
      </c>
      <c r="Q435" s="46">
        <v>300</v>
      </c>
      <c r="R435" s="46">
        <v>300</v>
      </c>
      <c r="S435" s="46">
        <v>300</v>
      </c>
      <c r="T435" s="46">
        <v>300</v>
      </c>
      <c r="U435" s="46">
        <v>400</v>
      </c>
      <c r="V435" s="46">
        <v>400</v>
      </c>
      <c r="W435" s="46">
        <v>400</v>
      </c>
      <c r="X435" s="47">
        <f t="shared" si="54"/>
        <v>3900</v>
      </c>
      <c r="Y435" s="46">
        <v>400</v>
      </c>
      <c r="Z435" s="46">
        <v>400</v>
      </c>
      <c r="AA435" s="46">
        <v>400</v>
      </c>
      <c r="AB435" s="46">
        <v>400</v>
      </c>
      <c r="AC435" s="46">
        <v>400</v>
      </c>
      <c r="AD435" s="46">
        <v>400</v>
      </c>
      <c r="AE435" s="46">
        <v>400</v>
      </c>
      <c r="AF435" s="46">
        <v>400</v>
      </c>
      <c r="AG435" s="46">
        <v>400</v>
      </c>
      <c r="AH435" s="46">
        <v>400</v>
      </c>
      <c r="AI435" s="46">
        <v>400</v>
      </c>
      <c r="AJ435" s="46">
        <v>400</v>
      </c>
      <c r="AK435" s="47">
        <f t="shared" si="55"/>
        <v>4800</v>
      </c>
      <c r="AL435" s="46">
        <v>400</v>
      </c>
      <c r="AM435" s="46">
        <v>400</v>
      </c>
      <c r="AN435" s="46">
        <v>400</v>
      </c>
      <c r="AO435" s="46">
        <v>400</v>
      </c>
      <c r="AP435" s="46">
        <v>400</v>
      </c>
      <c r="AQ435" s="46">
        <v>400</v>
      </c>
      <c r="AR435" s="46">
        <v>400</v>
      </c>
      <c r="AS435" s="46">
        <v>400</v>
      </c>
      <c r="AT435" s="46">
        <v>0</v>
      </c>
      <c r="AU435" s="46">
        <v>400</v>
      </c>
      <c r="AV435" s="46">
        <v>400</v>
      </c>
      <c r="AW435" s="46">
        <v>400</v>
      </c>
      <c r="AX435" s="47">
        <f t="shared" si="56"/>
        <v>4400</v>
      </c>
      <c r="AY435" s="313">
        <f>SUMIF(Recibos!$D$4:$D$7493,Cobranza!$B435,Recibos!K$4:K$7493)</f>
        <v>400</v>
      </c>
      <c r="AZ435" s="313">
        <f>SUMIF(Recibos!$D$4:$D$7493,Cobranza!$B435,Recibos!L$4:L$7493)</f>
        <v>400</v>
      </c>
      <c r="BA435" s="313">
        <f>SUMIF(Recibos!$D$4:$D$7493,Cobranza!$B435,Recibos!M$4:M$7493)</f>
        <v>400</v>
      </c>
      <c r="BB435" s="313">
        <f>SUMIF(Recibos!$D$4:$D$7493,Cobranza!$B435,Recibos!N$4:N$7493)</f>
        <v>400</v>
      </c>
      <c r="BC435" s="313">
        <f>SUMIF(Recibos!$D$4:$D$7493,Cobranza!$B435,Recibos!O$4:O$7493)</f>
        <v>400</v>
      </c>
      <c r="BD435" s="313">
        <f>SUMIF(Recibos!$D$4:$D$7493,Cobranza!$B435,Recibos!P$4:P$7493)</f>
        <v>400</v>
      </c>
      <c r="BE435" s="313">
        <f>SUMIF(Recibos!$D$4:$D$7493,Cobranza!$B435,Recibos!Q$4:Q$7493)</f>
        <v>400</v>
      </c>
      <c r="BF435" s="313">
        <f>SUMIF(Recibos!$D$4:$D$7493,Cobranza!$B435,Recibos!R$4:R$7493)</f>
        <v>400</v>
      </c>
      <c r="BG435" s="313">
        <f>SUMIF(Recibos!$D$4:$D$7493,Cobranza!$B435,Recibos!S$4:S$7493)</f>
        <v>400</v>
      </c>
      <c r="BH435" s="313">
        <f>SUMIF(Recibos!$D$4:$D$7493,Cobranza!$B435,Recibos!T$4:T$7493)</f>
        <v>400</v>
      </c>
      <c r="BI435" s="313">
        <f>SUMIF(Recibos!$D$4:$D$7493,Cobranza!$B435,Recibos!U$4:U$7493)</f>
        <v>400</v>
      </c>
      <c r="BJ435" s="313">
        <f>SUMIF(Recibos!$D$4:$D$7493,Cobranza!$B435,Recibos!V$4:V$7493)</f>
        <v>400</v>
      </c>
      <c r="BK435" s="314">
        <f t="shared" si="57"/>
        <v>4800</v>
      </c>
      <c r="BL435" s="313">
        <f>SUMIF(Recibos!$D$4:$D$7493,Cobranza!$B435,Recibos!X$4:X$7493)</f>
        <v>400</v>
      </c>
      <c r="BM435" s="313">
        <f>SUMIF(Recibos!$D$4:$D$7493,Cobranza!$B435,Recibos!Y$4:Y$7493)</f>
        <v>400</v>
      </c>
      <c r="BN435" s="313">
        <f>SUMIF(Recibos!$D$4:$D$7493,Cobranza!$B435,Recibos!Z$4:Z$7493)</f>
        <v>400</v>
      </c>
      <c r="BO435" s="313">
        <f>SUMIF(Recibos!$D$4:$D$7493,Cobranza!$B435,Recibos!AA$4:AA$7493)</f>
        <v>400</v>
      </c>
      <c r="BP435" s="313">
        <f>SUMIF(Recibos!$D$4:$D$7493,Cobranza!$B435,Recibos!AB$4:AB$7493)</f>
        <v>400</v>
      </c>
      <c r="BQ435" s="313">
        <f>SUMIF(Recibos!$D$4:$D$7493,Cobranza!$B435,Recibos!AC$4:AC$7493)</f>
        <v>400</v>
      </c>
      <c r="BR435" s="313">
        <f>SUMIF(Recibos!$D$4:$D$7493,Cobranza!$B435,Recibos!AD$4:AD$7493)</f>
        <v>400</v>
      </c>
      <c r="BS435" s="313">
        <f>SUMIF(Recibos!$D$4:$D$7493,Cobranza!$B435,Recibos!AE$4:AE$7493)</f>
        <v>400</v>
      </c>
      <c r="BT435" s="313">
        <f>SUMIF(Recibos!$D$4:$D$7493,Cobranza!$B435,Recibos!AF$4:AF$7493)</f>
        <v>400</v>
      </c>
      <c r="BU435" s="313">
        <f>SUMIF(Recibos!$D$4:$D$7493,Cobranza!$B435,Recibos!AG$4:AG$7493)</f>
        <v>400</v>
      </c>
      <c r="BV435" s="313">
        <f>SUMIF(Recibos!$D$4:$D$7493,Cobranza!$B435,Recibos!AH$4:AH$7493)</f>
        <v>400</v>
      </c>
      <c r="BW435" s="313">
        <f>SUMIF(Recibos!$D$4:$D$7493,Cobranza!$B435,Recibos!AI$4:AI$7493)</f>
        <v>400</v>
      </c>
      <c r="BX435" s="314">
        <f t="shared" si="58"/>
        <v>4800</v>
      </c>
      <c r="BY435" s="313">
        <f>SUMIF(Recibos!$D$4:$D$7493,Cobranza!$B435,Recibos!AK$4:AK$7493)</f>
        <v>400</v>
      </c>
      <c r="BZ435" s="313">
        <f>SUMIF(Recibos!$D$4:$D$7493,Cobranza!$B435,Recibos!AL$4:AL$7493)</f>
        <v>400</v>
      </c>
      <c r="CA435" s="313">
        <f>SUMIF(Recibos!$D$4:$D$7493,Cobranza!$B435,Recibos!AM$4:AM$7493)</f>
        <v>400</v>
      </c>
      <c r="CB435" s="313">
        <f>SUMIF(Recibos!$D$4:$D$7493,Cobranza!$B435,Recibos!AN$4:AN$7493)</f>
        <v>400</v>
      </c>
      <c r="CC435" s="313">
        <f>SUMIF(Recibos!$D$4:$D$7493,Cobranza!$B435,Recibos!AO$4:AO$7493)</f>
        <v>400</v>
      </c>
      <c r="CD435" s="313">
        <f>SUMIF(Recibos!$D$4:$D$7493,Cobranza!$B435,Recibos!AP$4:AP$7493)</f>
        <v>400</v>
      </c>
      <c r="CE435" s="313">
        <f>SUMIF(Recibos!$D$4:$D$7493,Cobranza!$B435,Recibos!AQ$4:AQ$7493)</f>
        <v>400</v>
      </c>
      <c r="CF435" s="313">
        <f>SUMIF(Recibos!$D$4:$D$7493,Cobranza!$B435,Recibos!AR$4:AR$7493)</f>
        <v>400</v>
      </c>
      <c r="CG435" s="313">
        <f>SUMIF(Recibos!$D$4:$D$7493,Cobranza!$B435,Recibos!AS$4:AS$7493)</f>
        <v>0</v>
      </c>
      <c r="CH435" s="313">
        <f>SUMIF(Recibos!$D$4:$D$7493,Cobranza!$B435,Recibos!AT$4:AT$7493)</f>
        <v>0</v>
      </c>
      <c r="CI435" s="313">
        <f>SUMIF(Recibos!$D$4:$D$7493,Cobranza!$B435,Recibos!AU$4:AU$7493)</f>
        <v>0</v>
      </c>
      <c r="CJ435" s="313">
        <f>SUMIF(Recibos!$D$4:$D$7493,Cobranza!$B435,Recibos!AV$4:AV$7493)</f>
        <v>0</v>
      </c>
      <c r="CK435" s="314">
        <f t="shared" si="52"/>
        <v>3200</v>
      </c>
    </row>
    <row r="436" spans="2:89" x14ac:dyDescent="0.2">
      <c r="B436" s="42" t="s">
        <v>1450</v>
      </c>
      <c r="C436" s="42" t="s">
        <v>1451</v>
      </c>
      <c r="D436" s="42"/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0</v>
      </c>
      <c r="K436" s="44">
        <f t="shared" si="53"/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3">
        <v>0</v>
      </c>
      <c r="U436" s="43">
        <v>0</v>
      </c>
      <c r="V436" s="43">
        <v>0</v>
      </c>
      <c r="W436" s="43">
        <v>0</v>
      </c>
      <c r="X436" s="44">
        <f t="shared" si="54"/>
        <v>0</v>
      </c>
      <c r="Y436" s="43">
        <v>0</v>
      </c>
      <c r="Z436" s="43">
        <v>0</v>
      </c>
      <c r="AA436" s="43">
        <v>0</v>
      </c>
      <c r="AB436" s="43">
        <v>0</v>
      </c>
      <c r="AC436" s="43">
        <v>0</v>
      </c>
      <c r="AD436" s="43">
        <v>0</v>
      </c>
      <c r="AE436" s="43">
        <v>0</v>
      </c>
      <c r="AF436" s="43">
        <v>0</v>
      </c>
      <c r="AG436" s="43">
        <v>0</v>
      </c>
      <c r="AH436" s="43">
        <v>0</v>
      </c>
      <c r="AI436" s="43">
        <v>0</v>
      </c>
      <c r="AJ436" s="43">
        <v>0</v>
      </c>
      <c r="AK436" s="44">
        <f t="shared" si="55"/>
        <v>0</v>
      </c>
      <c r="AL436" s="43">
        <v>0</v>
      </c>
      <c r="AM436" s="43">
        <v>0</v>
      </c>
      <c r="AN436" s="43">
        <v>0</v>
      </c>
      <c r="AO436" s="43">
        <v>0</v>
      </c>
      <c r="AP436" s="43">
        <v>0</v>
      </c>
      <c r="AQ436" s="43">
        <v>0</v>
      </c>
      <c r="AR436" s="43">
        <v>0</v>
      </c>
      <c r="AS436" s="43">
        <v>0</v>
      </c>
      <c r="AT436" s="43">
        <v>0</v>
      </c>
      <c r="AU436" s="43">
        <v>0</v>
      </c>
      <c r="AV436" s="43">
        <v>0</v>
      </c>
      <c r="AW436" s="43">
        <v>0</v>
      </c>
      <c r="AX436" s="44">
        <f t="shared" si="56"/>
        <v>0</v>
      </c>
      <c r="AY436" s="311">
        <f>SUMIF(Recibos!$D$4:$D$7493,Cobranza!$B436,Recibos!K$4:K$7493)</f>
        <v>0</v>
      </c>
      <c r="AZ436" s="311">
        <f>SUMIF(Recibos!$D$4:$D$7493,Cobranza!$B436,Recibos!L$4:L$7493)</f>
        <v>0</v>
      </c>
      <c r="BA436" s="311">
        <f>SUMIF(Recibos!$D$4:$D$7493,Cobranza!$B436,Recibos!M$4:M$7493)</f>
        <v>0</v>
      </c>
      <c r="BB436" s="311">
        <f>SUMIF(Recibos!$D$4:$D$7493,Cobranza!$B436,Recibos!N$4:N$7493)</f>
        <v>0</v>
      </c>
      <c r="BC436" s="311">
        <f>SUMIF(Recibos!$D$4:$D$7493,Cobranza!$B436,Recibos!O$4:O$7493)</f>
        <v>0</v>
      </c>
      <c r="BD436" s="311">
        <f>SUMIF(Recibos!$D$4:$D$7493,Cobranza!$B436,Recibos!P$4:P$7493)</f>
        <v>0</v>
      </c>
      <c r="BE436" s="311">
        <f>SUMIF(Recibos!$D$4:$D$7493,Cobranza!$B436,Recibos!Q$4:Q$7493)</f>
        <v>0</v>
      </c>
      <c r="BF436" s="311">
        <f>SUMIF(Recibos!$D$4:$D$7493,Cobranza!$B436,Recibos!R$4:R$7493)</f>
        <v>0</v>
      </c>
      <c r="BG436" s="311">
        <f>SUMIF(Recibos!$D$4:$D$7493,Cobranza!$B436,Recibos!S$4:S$7493)</f>
        <v>0</v>
      </c>
      <c r="BH436" s="311">
        <f>SUMIF(Recibos!$D$4:$D$7493,Cobranza!$B436,Recibos!T$4:T$7493)</f>
        <v>0</v>
      </c>
      <c r="BI436" s="311">
        <f>SUMIF(Recibos!$D$4:$D$7493,Cobranza!$B436,Recibos!U$4:U$7493)</f>
        <v>0</v>
      </c>
      <c r="BJ436" s="311">
        <f>SUMIF(Recibos!$D$4:$D$7493,Cobranza!$B436,Recibos!V$4:V$7493)</f>
        <v>0</v>
      </c>
      <c r="BK436" s="312">
        <f t="shared" si="57"/>
        <v>0</v>
      </c>
      <c r="BL436" s="311">
        <f>SUMIF(Recibos!$D$4:$D$7493,Cobranza!$B436,Recibos!X$4:X$7493)</f>
        <v>0</v>
      </c>
      <c r="BM436" s="311">
        <f>SUMIF(Recibos!$D$4:$D$7493,Cobranza!$B436,Recibos!Y$4:Y$7493)</f>
        <v>0</v>
      </c>
      <c r="BN436" s="311">
        <f>SUMIF(Recibos!$D$4:$D$7493,Cobranza!$B436,Recibos!Z$4:Z$7493)</f>
        <v>0</v>
      </c>
      <c r="BO436" s="311">
        <f>SUMIF(Recibos!$D$4:$D$7493,Cobranza!$B436,Recibos!AA$4:AA$7493)</f>
        <v>0</v>
      </c>
      <c r="BP436" s="311">
        <f>SUMIF(Recibos!$D$4:$D$7493,Cobranza!$B436,Recibos!AB$4:AB$7493)</f>
        <v>0</v>
      </c>
      <c r="BQ436" s="311">
        <f>SUMIF(Recibos!$D$4:$D$7493,Cobranza!$B436,Recibos!AC$4:AC$7493)</f>
        <v>0</v>
      </c>
      <c r="BR436" s="311">
        <f>SUMIF(Recibos!$D$4:$D$7493,Cobranza!$B436,Recibos!AD$4:AD$7493)</f>
        <v>0</v>
      </c>
      <c r="BS436" s="311">
        <f>SUMIF(Recibos!$D$4:$D$7493,Cobranza!$B436,Recibos!AE$4:AE$7493)</f>
        <v>0</v>
      </c>
      <c r="BT436" s="311">
        <f>SUMIF(Recibos!$D$4:$D$7493,Cobranza!$B436,Recibos!AF$4:AF$7493)</f>
        <v>0</v>
      </c>
      <c r="BU436" s="311">
        <f>SUMIF(Recibos!$D$4:$D$7493,Cobranza!$B436,Recibos!AG$4:AG$7493)</f>
        <v>0</v>
      </c>
      <c r="BV436" s="311">
        <f>SUMIF(Recibos!$D$4:$D$7493,Cobranza!$B436,Recibos!AH$4:AH$7493)</f>
        <v>0</v>
      </c>
      <c r="BW436" s="311">
        <f>SUMIF(Recibos!$D$4:$D$7493,Cobranza!$B436,Recibos!AI$4:AI$7493)</f>
        <v>0</v>
      </c>
      <c r="BX436" s="312">
        <f t="shared" si="58"/>
        <v>0</v>
      </c>
      <c r="BY436" s="311">
        <f>SUMIF(Recibos!$D$4:$D$7493,Cobranza!$B436,Recibos!AK$4:AK$7493)</f>
        <v>0</v>
      </c>
      <c r="BZ436" s="311">
        <f>SUMIF(Recibos!$D$4:$D$7493,Cobranza!$B436,Recibos!AL$4:AL$7493)</f>
        <v>0</v>
      </c>
      <c r="CA436" s="311">
        <f>SUMIF(Recibos!$D$4:$D$7493,Cobranza!$B436,Recibos!AM$4:AM$7493)</f>
        <v>0</v>
      </c>
      <c r="CB436" s="311">
        <f>SUMIF(Recibos!$D$4:$D$7493,Cobranza!$B436,Recibos!AN$4:AN$7493)</f>
        <v>0</v>
      </c>
      <c r="CC436" s="311">
        <f>SUMIF(Recibos!$D$4:$D$7493,Cobranza!$B436,Recibos!AO$4:AO$7493)</f>
        <v>0</v>
      </c>
      <c r="CD436" s="311">
        <f>SUMIF(Recibos!$D$4:$D$7493,Cobranza!$B436,Recibos!AP$4:AP$7493)</f>
        <v>0</v>
      </c>
      <c r="CE436" s="311">
        <f>SUMIF(Recibos!$D$4:$D$7493,Cobranza!$B436,Recibos!AQ$4:AQ$7493)</f>
        <v>0</v>
      </c>
      <c r="CF436" s="311">
        <f>SUMIF(Recibos!$D$4:$D$7493,Cobranza!$B436,Recibos!AR$4:AR$7493)</f>
        <v>0</v>
      </c>
      <c r="CG436" s="311">
        <f>SUMIF(Recibos!$D$4:$D$7493,Cobranza!$B436,Recibos!AS$4:AS$7493)</f>
        <v>0</v>
      </c>
      <c r="CH436" s="311">
        <f>SUMIF(Recibos!$D$4:$D$7493,Cobranza!$B436,Recibos!AT$4:AT$7493)</f>
        <v>0</v>
      </c>
      <c r="CI436" s="311">
        <f>SUMIF(Recibos!$D$4:$D$7493,Cobranza!$B436,Recibos!AU$4:AU$7493)</f>
        <v>0</v>
      </c>
      <c r="CJ436" s="311">
        <f>SUMIF(Recibos!$D$4:$D$7493,Cobranza!$B436,Recibos!AV$4:AV$7493)</f>
        <v>0</v>
      </c>
      <c r="CK436" s="312">
        <f t="shared" si="52"/>
        <v>0</v>
      </c>
    </row>
    <row r="437" spans="2:89" x14ac:dyDescent="0.2">
      <c r="B437" s="45" t="s">
        <v>419</v>
      </c>
      <c r="C437" s="45" t="s">
        <v>420</v>
      </c>
      <c r="D437" s="45" t="s">
        <v>421</v>
      </c>
      <c r="E437" s="46">
        <v>0</v>
      </c>
      <c r="F437" s="46">
        <v>0</v>
      </c>
      <c r="G437" s="46">
        <v>0</v>
      </c>
      <c r="H437" s="46">
        <v>0</v>
      </c>
      <c r="I437" s="46">
        <v>0</v>
      </c>
      <c r="J437" s="46">
        <v>0</v>
      </c>
      <c r="K437" s="47">
        <f t="shared" si="53"/>
        <v>0</v>
      </c>
      <c r="L437" s="46">
        <v>300</v>
      </c>
      <c r="M437" s="46">
        <v>300</v>
      </c>
      <c r="N437" s="46">
        <v>300</v>
      </c>
      <c r="O437" s="46">
        <v>300</v>
      </c>
      <c r="P437" s="46">
        <v>300</v>
      </c>
      <c r="Q437" s="46">
        <v>300</v>
      </c>
      <c r="R437" s="46">
        <v>300</v>
      </c>
      <c r="S437" s="46">
        <v>300</v>
      </c>
      <c r="T437" s="46">
        <v>300</v>
      </c>
      <c r="U437" s="46">
        <v>300</v>
      </c>
      <c r="V437" s="46">
        <v>300</v>
      </c>
      <c r="W437" s="46">
        <v>300</v>
      </c>
      <c r="X437" s="47">
        <f t="shared" si="54"/>
        <v>3600</v>
      </c>
      <c r="Y437" s="46">
        <v>400</v>
      </c>
      <c r="Z437" s="46">
        <v>400</v>
      </c>
      <c r="AA437" s="46">
        <v>400</v>
      </c>
      <c r="AB437" s="46">
        <v>400</v>
      </c>
      <c r="AC437" s="46">
        <v>400</v>
      </c>
      <c r="AD437" s="46">
        <v>400</v>
      </c>
      <c r="AE437" s="46">
        <v>400</v>
      </c>
      <c r="AF437" s="46">
        <v>400</v>
      </c>
      <c r="AG437" s="46">
        <v>400</v>
      </c>
      <c r="AH437" s="46">
        <v>400</v>
      </c>
      <c r="AI437" s="46">
        <v>400</v>
      </c>
      <c r="AJ437" s="46">
        <v>400</v>
      </c>
      <c r="AK437" s="47">
        <f t="shared" si="55"/>
        <v>4800</v>
      </c>
      <c r="AL437" s="46">
        <v>400</v>
      </c>
      <c r="AM437" s="46">
        <v>400</v>
      </c>
      <c r="AN437" s="46">
        <v>400</v>
      </c>
      <c r="AO437" s="46">
        <v>400</v>
      </c>
      <c r="AP437" s="46">
        <v>400</v>
      </c>
      <c r="AQ437" s="46">
        <v>400</v>
      </c>
      <c r="AR437" s="46">
        <v>400</v>
      </c>
      <c r="AS437" s="46">
        <v>400</v>
      </c>
      <c r="AT437" s="46">
        <v>400</v>
      </c>
      <c r="AU437" s="46">
        <v>400</v>
      </c>
      <c r="AV437" s="46">
        <v>400</v>
      </c>
      <c r="AW437" s="46">
        <v>400</v>
      </c>
      <c r="AX437" s="47">
        <f t="shared" si="56"/>
        <v>4800</v>
      </c>
      <c r="AY437" s="313">
        <f>SUMIF(Recibos!$D$4:$D$7493,Cobranza!$B437,Recibos!K$4:K$7493)</f>
        <v>400</v>
      </c>
      <c r="AZ437" s="313">
        <f>SUMIF(Recibos!$D$4:$D$7493,Cobranza!$B437,Recibos!L$4:L$7493)</f>
        <v>400</v>
      </c>
      <c r="BA437" s="313">
        <f>SUMIF(Recibos!$D$4:$D$7493,Cobranza!$B437,Recibos!M$4:M$7493)</f>
        <v>400</v>
      </c>
      <c r="BB437" s="313">
        <f>SUMIF(Recibos!$D$4:$D$7493,Cobranza!$B437,Recibos!N$4:N$7493)</f>
        <v>400</v>
      </c>
      <c r="BC437" s="313">
        <f>SUMIF(Recibos!$D$4:$D$7493,Cobranza!$B437,Recibos!O$4:O$7493)</f>
        <v>400</v>
      </c>
      <c r="BD437" s="313">
        <f>SUMIF(Recibos!$D$4:$D$7493,Cobranza!$B437,Recibos!P$4:P$7493)</f>
        <v>400</v>
      </c>
      <c r="BE437" s="313">
        <f>SUMIF(Recibos!$D$4:$D$7493,Cobranza!$B437,Recibos!Q$4:Q$7493)</f>
        <v>400</v>
      </c>
      <c r="BF437" s="313">
        <f>SUMIF(Recibos!$D$4:$D$7493,Cobranza!$B437,Recibos!R$4:R$7493)</f>
        <v>400</v>
      </c>
      <c r="BG437" s="313">
        <f>SUMIF(Recibos!$D$4:$D$7493,Cobranza!$B437,Recibos!S$4:S$7493)</f>
        <v>400</v>
      </c>
      <c r="BH437" s="313">
        <f>SUMIF(Recibos!$D$4:$D$7493,Cobranza!$B437,Recibos!T$4:T$7493)</f>
        <v>400</v>
      </c>
      <c r="BI437" s="313">
        <f>SUMIF(Recibos!$D$4:$D$7493,Cobranza!$B437,Recibos!U$4:U$7493)</f>
        <v>400</v>
      </c>
      <c r="BJ437" s="313">
        <f>SUMIF(Recibos!$D$4:$D$7493,Cobranza!$B437,Recibos!V$4:V$7493)</f>
        <v>0</v>
      </c>
      <c r="BK437" s="314">
        <f t="shared" si="57"/>
        <v>4400</v>
      </c>
      <c r="BL437" s="313">
        <f>SUMIF(Recibos!$D$4:$D$7493,Cobranza!$B437,Recibos!X$4:X$7493)</f>
        <v>400</v>
      </c>
      <c r="BM437" s="313">
        <f>SUMIF(Recibos!$D$4:$D$7493,Cobranza!$B437,Recibos!Y$4:Y$7493)</f>
        <v>400</v>
      </c>
      <c r="BN437" s="313">
        <f>SUMIF(Recibos!$D$4:$D$7493,Cobranza!$B437,Recibos!Z$4:Z$7493)</f>
        <v>400</v>
      </c>
      <c r="BO437" s="313">
        <f>SUMIF(Recibos!$D$4:$D$7493,Cobranza!$B437,Recibos!AA$4:AA$7493)</f>
        <v>400</v>
      </c>
      <c r="BP437" s="313">
        <f>SUMIF(Recibos!$D$4:$D$7493,Cobranza!$B437,Recibos!AB$4:AB$7493)</f>
        <v>400</v>
      </c>
      <c r="BQ437" s="313">
        <f>SUMIF(Recibos!$D$4:$D$7493,Cobranza!$B437,Recibos!AC$4:AC$7493)</f>
        <v>400</v>
      </c>
      <c r="BR437" s="313">
        <f>SUMIF(Recibos!$D$4:$D$7493,Cobranza!$B437,Recibos!AD$4:AD$7493)</f>
        <v>400</v>
      </c>
      <c r="BS437" s="313">
        <f>SUMIF(Recibos!$D$4:$D$7493,Cobranza!$B437,Recibos!AE$4:AE$7493)</f>
        <v>400</v>
      </c>
      <c r="BT437" s="313">
        <f>SUMIF(Recibos!$D$4:$D$7493,Cobranza!$B437,Recibos!AF$4:AF$7493)</f>
        <v>400</v>
      </c>
      <c r="BU437" s="313">
        <f>SUMIF(Recibos!$D$4:$D$7493,Cobranza!$B437,Recibos!AG$4:AG$7493)</f>
        <v>400</v>
      </c>
      <c r="BV437" s="313">
        <f>SUMIF(Recibos!$D$4:$D$7493,Cobranza!$B437,Recibos!AH$4:AH$7493)</f>
        <v>400</v>
      </c>
      <c r="BW437" s="313">
        <f>SUMIF(Recibos!$D$4:$D$7493,Cobranza!$B437,Recibos!AI$4:AI$7493)</f>
        <v>0</v>
      </c>
      <c r="BX437" s="314">
        <f t="shared" si="58"/>
        <v>4400</v>
      </c>
      <c r="BY437" s="313">
        <f>SUMIF(Recibos!$D$4:$D$7493,Cobranza!$B437,Recibos!AK$4:AK$7493)</f>
        <v>400</v>
      </c>
      <c r="BZ437" s="313">
        <f>SUMIF(Recibos!$D$4:$D$7493,Cobranza!$B437,Recibos!AL$4:AL$7493)</f>
        <v>400</v>
      </c>
      <c r="CA437" s="313">
        <f>SUMIF(Recibos!$D$4:$D$7493,Cobranza!$B437,Recibos!AM$4:AM$7493)</f>
        <v>400</v>
      </c>
      <c r="CB437" s="313">
        <f>SUMIF(Recibos!$D$4:$D$7493,Cobranza!$B437,Recibos!AN$4:AN$7493)</f>
        <v>400</v>
      </c>
      <c r="CC437" s="313">
        <f>SUMIF(Recibos!$D$4:$D$7493,Cobranza!$B437,Recibos!AO$4:AO$7493)</f>
        <v>400</v>
      </c>
      <c r="CD437" s="313">
        <f>SUMIF(Recibos!$D$4:$D$7493,Cobranza!$B437,Recibos!AP$4:AP$7493)</f>
        <v>400</v>
      </c>
      <c r="CE437" s="313">
        <f>SUMIF(Recibos!$D$4:$D$7493,Cobranza!$B437,Recibos!AQ$4:AQ$7493)</f>
        <v>400</v>
      </c>
      <c r="CF437" s="313">
        <f>SUMIF(Recibos!$D$4:$D$7493,Cobranza!$B437,Recibos!AR$4:AR$7493)</f>
        <v>400</v>
      </c>
      <c r="CG437" s="313">
        <f>SUMIF(Recibos!$D$4:$D$7493,Cobranza!$B437,Recibos!AS$4:AS$7493)</f>
        <v>400</v>
      </c>
      <c r="CH437" s="313">
        <f>SUMIF(Recibos!$D$4:$D$7493,Cobranza!$B437,Recibos!AT$4:AT$7493)</f>
        <v>400</v>
      </c>
      <c r="CI437" s="313">
        <f>SUMIF(Recibos!$D$4:$D$7493,Cobranza!$B437,Recibos!AU$4:AU$7493)</f>
        <v>400</v>
      </c>
      <c r="CJ437" s="313">
        <f>SUMIF(Recibos!$D$4:$D$7493,Cobranza!$B437,Recibos!AV$4:AV$7493)</f>
        <v>0</v>
      </c>
      <c r="CK437" s="314">
        <f t="shared" si="52"/>
        <v>4400</v>
      </c>
    </row>
    <row r="438" spans="2:89" x14ac:dyDescent="0.2">
      <c r="B438" s="42" t="s">
        <v>322</v>
      </c>
      <c r="C438" s="42" t="s">
        <v>323</v>
      </c>
      <c r="D438" s="42" t="s">
        <v>324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300</v>
      </c>
      <c r="K438" s="44">
        <f t="shared" si="53"/>
        <v>300</v>
      </c>
      <c r="L438" s="43">
        <v>300</v>
      </c>
      <c r="M438" s="43">
        <v>300</v>
      </c>
      <c r="N438" s="43">
        <v>300</v>
      </c>
      <c r="O438" s="43">
        <v>300</v>
      </c>
      <c r="P438" s="43">
        <v>300</v>
      </c>
      <c r="Q438" s="43">
        <v>300</v>
      </c>
      <c r="R438" s="43">
        <v>300</v>
      </c>
      <c r="S438" s="43">
        <v>300</v>
      </c>
      <c r="T438" s="43">
        <v>300</v>
      </c>
      <c r="U438" s="43">
        <v>400</v>
      </c>
      <c r="V438" s="43">
        <v>400</v>
      </c>
      <c r="W438" s="43">
        <v>400</v>
      </c>
      <c r="X438" s="44">
        <f t="shared" si="54"/>
        <v>3900</v>
      </c>
      <c r="Y438" s="43">
        <v>400</v>
      </c>
      <c r="Z438" s="43">
        <v>400</v>
      </c>
      <c r="AA438" s="43">
        <v>400</v>
      </c>
      <c r="AB438" s="43">
        <v>400</v>
      </c>
      <c r="AC438" s="43">
        <v>400</v>
      </c>
      <c r="AD438" s="43">
        <v>400</v>
      </c>
      <c r="AE438" s="43">
        <v>400</v>
      </c>
      <c r="AF438" s="43">
        <v>400</v>
      </c>
      <c r="AG438" s="43">
        <v>400</v>
      </c>
      <c r="AH438" s="43">
        <v>400</v>
      </c>
      <c r="AI438" s="43">
        <v>400</v>
      </c>
      <c r="AJ438" s="43">
        <v>400</v>
      </c>
      <c r="AK438" s="44">
        <f t="shared" si="55"/>
        <v>4800</v>
      </c>
      <c r="AL438" s="43">
        <v>400</v>
      </c>
      <c r="AM438" s="43">
        <v>400</v>
      </c>
      <c r="AN438" s="43">
        <v>400</v>
      </c>
      <c r="AO438" s="43">
        <v>400</v>
      </c>
      <c r="AP438" s="43">
        <v>400</v>
      </c>
      <c r="AQ438" s="43">
        <v>400</v>
      </c>
      <c r="AR438" s="43">
        <v>400</v>
      </c>
      <c r="AS438" s="43">
        <v>400</v>
      </c>
      <c r="AT438" s="43">
        <v>400</v>
      </c>
      <c r="AU438" s="43">
        <v>400</v>
      </c>
      <c r="AV438" s="43">
        <v>400</v>
      </c>
      <c r="AW438" s="43">
        <v>400</v>
      </c>
      <c r="AX438" s="44">
        <f t="shared" si="56"/>
        <v>4800</v>
      </c>
      <c r="AY438" s="311">
        <f>SUMIF(Recibos!$D$4:$D$7493,Cobranza!$B438,Recibos!K$4:K$7493)</f>
        <v>400</v>
      </c>
      <c r="AZ438" s="311">
        <f>SUMIF(Recibos!$D$4:$D$7493,Cobranza!$B438,Recibos!L$4:L$7493)</f>
        <v>400</v>
      </c>
      <c r="BA438" s="311">
        <f>SUMIF(Recibos!$D$4:$D$7493,Cobranza!$B438,Recibos!M$4:M$7493)</f>
        <v>400</v>
      </c>
      <c r="BB438" s="311">
        <f>SUMIF(Recibos!$D$4:$D$7493,Cobranza!$B438,Recibos!N$4:N$7493)</f>
        <v>400</v>
      </c>
      <c r="BC438" s="311">
        <f>SUMIF(Recibos!$D$4:$D$7493,Cobranza!$B438,Recibos!O$4:O$7493)</f>
        <v>400</v>
      </c>
      <c r="BD438" s="311">
        <f>SUMIF(Recibos!$D$4:$D$7493,Cobranza!$B438,Recibos!P$4:P$7493)</f>
        <v>400</v>
      </c>
      <c r="BE438" s="311">
        <f>SUMIF(Recibos!$D$4:$D$7493,Cobranza!$B438,Recibos!Q$4:Q$7493)</f>
        <v>400</v>
      </c>
      <c r="BF438" s="311">
        <f>SUMIF(Recibos!$D$4:$D$7493,Cobranza!$B438,Recibos!R$4:R$7493)</f>
        <v>400</v>
      </c>
      <c r="BG438" s="311">
        <f>SUMIF(Recibos!$D$4:$D$7493,Cobranza!$B438,Recibos!S$4:S$7493)</f>
        <v>400</v>
      </c>
      <c r="BH438" s="311">
        <f>SUMIF(Recibos!$D$4:$D$7493,Cobranza!$B438,Recibos!T$4:T$7493)</f>
        <v>400</v>
      </c>
      <c r="BI438" s="311">
        <f>SUMIF(Recibos!$D$4:$D$7493,Cobranza!$B438,Recibos!U$4:U$7493)</f>
        <v>400</v>
      </c>
      <c r="BJ438" s="311">
        <f>SUMIF(Recibos!$D$4:$D$7493,Cobranza!$B438,Recibos!V$4:V$7493)</f>
        <v>400</v>
      </c>
      <c r="BK438" s="312">
        <f t="shared" si="57"/>
        <v>4800</v>
      </c>
      <c r="BL438" s="311">
        <f>SUMIF(Recibos!$D$4:$D$7493,Cobranza!$B438,Recibos!X$4:X$7493)</f>
        <v>400</v>
      </c>
      <c r="BM438" s="311">
        <f>SUMIF(Recibos!$D$4:$D$7493,Cobranza!$B438,Recibos!Y$4:Y$7493)</f>
        <v>400</v>
      </c>
      <c r="BN438" s="311">
        <f>SUMIF(Recibos!$D$4:$D$7493,Cobranza!$B438,Recibos!Z$4:Z$7493)</f>
        <v>400</v>
      </c>
      <c r="BO438" s="311">
        <f>SUMIF(Recibos!$D$4:$D$7493,Cobranza!$B438,Recibos!AA$4:AA$7493)</f>
        <v>400</v>
      </c>
      <c r="BP438" s="311">
        <f>SUMIF(Recibos!$D$4:$D$7493,Cobranza!$B438,Recibos!AB$4:AB$7493)</f>
        <v>400</v>
      </c>
      <c r="BQ438" s="311">
        <f>SUMIF(Recibos!$D$4:$D$7493,Cobranza!$B438,Recibos!AC$4:AC$7493)</f>
        <v>400</v>
      </c>
      <c r="BR438" s="311">
        <f>SUMIF(Recibos!$D$4:$D$7493,Cobranza!$B438,Recibos!AD$4:AD$7493)</f>
        <v>400</v>
      </c>
      <c r="BS438" s="311">
        <f>SUMIF(Recibos!$D$4:$D$7493,Cobranza!$B438,Recibos!AE$4:AE$7493)</f>
        <v>400</v>
      </c>
      <c r="BT438" s="311">
        <f>SUMIF(Recibos!$D$4:$D$7493,Cobranza!$B438,Recibos!AF$4:AF$7493)</f>
        <v>400</v>
      </c>
      <c r="BU438" s="311">
        <f>SUMIF(Recibos!$D$4:$D$7493,Cobranza!$B438,Recibos!AG$4:AG$7493)</f>
        <v>400</v>
      </c>
      <c r="BV438" s="311">
        <f>SUMIF(Recibos!$D$4:$D$7493,Cobranza!$B438,Recibos!AH$4:AH$7493)</f>
        <v>400</v>
      </c>
      <c r="BW438" s="311">
        <f>SUMIF(Recibos!$D$4:$D$7493,Cobranza!$B438,Recibos!AI$4:AI$7493)</f>
        <v>400</v>
      </c>
      <c r="BX438" s="312">
        <f t="shared" si="58"/>
        <v>4800</v>
      </c>
      <c r="BY438" s="311">
        <f>SUMIF(Recibos!$D$4:$D$7493,Cobranza!$B438,Recibos!AK$4:AK$7493)</f>
        <v>400</v>
      </c>
      <c r="BZ438" s="311">
        <f>SUMIF(Recibos!$D$4:$D$7493,Cobranza!$B438,Recibos!AL$4:AL$7493)</f>
        <v>400</v>
      </c>
      <c r="CA438" s="311">
        <f>SUMIF(Recibos!$D$4:$D$7493,Cobranza!$B438,Recibos!AM$4:AM$7493)</f>
        <v>400</v>
      </c>
      <c r="CB438" s="311">
        <f>SUMIF(Recibos!$D$4:$D$7493,Cobranza!$B438,Recibos!AN$4:AN$7493)</f>
        <v>400</v>
      </c>
      <c r="CC438" s="311">
        <f>SUMIF(Recibos!$D$4:$D$7493,Cobranza!$B438,Recibos!AO$4:AO$7493)</f>
        <v>400</v>
      </c>
      <c r="CD438" s="311">
        <f>SUMIF(Recibos!$D$4:$D$7493,Cobranza!$B438,Recibos!AP$4:AP$7493)</f>
        <v>400</v>
      </c>
      <c r="CE438" s="311">
        <f>SUMIF(Recibos!$D$4:$D$7493,Cobranza!$B438,Recibos!AQ$4:AQ$7493)</f>
        <v>400</v>
      </c>
      <c r="CF438" s="311">
        <f>SUMIF(Recibos!$D$4:$D$7493,Cobranza!$B438,Recibos!AR$4:AR$7493)</f>
        <v>400</v>
      </c>
      <c r="CG438" s="311">
        <f>SUMIF(Recibos!$D$4:$D$7493,Cobranza!$B438,Recibos!AS$4:AS$7493)</f>
        <v>400</v>
      </c>
      <c r="CH438" s="311">
        <f>SUMIF(Recibos!$D$4:$D$7493,Cobranza!$B438,Recibos!AT$4:AT$7493)</f>
        <v>0</v>
      </c>
      <c r="CI438" s="311">
        <f>SUMIF(Recibos!$D$4:$D$7493,Cobranza!$B438,Recibos!AU$4:AU$7493)</f>
        <v>0</v>
      </c>
      <c r="CJ438" s="311">
        <f>SUMIF(Recibos!$D$4:$D$7493,Cobranza!$B438,Recibos!AV$4:AV$7493)</f>
        <v>0</v>
      </c>
      <c r="CK438" s="312">
        <f t="shared" si="52"/>
        <v>3600</v>
      </c>
    </row>
    <row r="439" spans="2:89" x14ac:dyDescent="0.2">
      <c r="B439" s="45" t="s">
        <v>380</v>
      </c>
      <c r="C439" s="45" t="s">
        <v>381</v>
      </c>
      <c r="D439" s="45" t="s">
        <v>382</v>
      </c>
      <c r="E439" s="46">
        <v>0</v>
      </c>
      <c r="F439" s="46">
        <v>0</v>
      </c>
      <c r="G439" s="46">
        <v>0</v>
      </c>
      <c r="H439" s="46">
        <v>0</v>
      </c>
      <c r="I439" s="46">
        <v>0</v>
      </c>
      <c r="J439" s="46">
        <v>0</v>
      </c>
      <c r="K439" s="47">
        <f t="shared" si="53"/>
        <v>0</v>
      </c>
      <c r="L439" s="46">
        <v>0</v>
      </c>
      <c r="M439" s="46">
        <v>300</v>
      </c>
      <c r="N439" s="46">
        <v>300</v>
      </c>
      <c r="O439" s="46">
        <v>300</v>
      </c>
      <c r="P439" s="46">
        <v>300</v>
      </c>
      <c r="Q439" s="46">
        <v>300</v>
      </c>
      <c r="R439" s="46">
        <v>300</v>
      </c>
      <c r="S439" s="46">
        <v>300</v>
      </c>
      <c r="T439" s="46">
        <v>300</v>
      </c>
      <c r="U439" s="46">
        <v>400</v>
      </c>
      <c r="V439" s="46">
        <v>400</v>
      </c>
      <c r="W439" s="46">
        <v>400</v>
      </c>
      <c r="X439" s="47">
        <f t="shared" si="54"/>
        <v>3600</v>
      </c>
      <c r="Y439" s="46">
        <v>400</v>
      </c>
      <c r="Z439" s="46">
        <v>400</v>
      </c>
      <c r="AA439" s="46">
        <v>400</v>
      </c>
      <c r="AB439" s="46">
        <v>400</v>
      </c>
      <c r="AC439" s="46">
        <v>400</v>
      </c>
      <c r="AD439" s="46">
        <v>400</v>
      </c>
      <c r="AE439" s="46">
        <v>400</v>
      </c>
      <c r="AF439" s="46">
        <v>400</v>
      </c>
      <c r="AG439" s="46">
        <v>400</v>
      </c>
      <c r="AH439" s="46">
        <v>400</v>
      </c>
      <c r="AI439" s="46">
        <v>400</v>
      </c>
      <c r="AJ439" s="46">
        <v>400</v>
      </c>
      <c r="AK439" s="47">
        <f t="shared" si="55"/>
        <v>4800</v>
      </c>
      <c r="AL439" s="46">
        <v>400</v>
      </c>
      <c r="AM439" s="46">
        <v>400</v>
      </c>
      <c r="AN439" s="46">
        <v>400</v>
      </c>
      <c r="AO439" s="46">
        <v>400</v>
      </c>
      <c r="AP439" s="46">
        <v>400</v>
      </c>
      <c r="AQ439" s="46">
        <v>400</v>
      </c>
      <c r="AR439" s="46">
        <v>400</v>
      </c>
      <c r="AS439" s="46">
        <v>400</v>
      </c>
      <c r="AT439" s="46">
        <v>400</v>
      </c>
      <c r="AU439" s="46">
        <v>400</v>
      </c>
      <c r="AV439" s="46">
        <v>300</v>
      </c>
      <c r="AW439" s="46">
        <v>300</v>
      </c>
      <c r="AX439" s="47">
        <f t="shared" si="56"/>
        <v>4600</v>
      </c>
      <c r="AY439" s="313">
        <f>SUMIF(Recibos!$D$4:$D$7493,Cobranza!$B439,Recibos!K$4:K$7493)</f>
        <v>300</v>
      </c>
      <c r="AZ439" s="313">
        <f>SUMIF(Recibos!$D$4:$D$7493,Cobranza!$B439,Recibos!L$4:L$7493)</f>
        <v>300</v>
      </c>
      <c r="BA439" s="313">
        <f>SUMIF(Recibos!$D$4:$D$7493,Cobranza!$B439,Recibos!M$4:M$7493)</f>
        <v>300</v>
      </c>
      <c r="BB439" s="313">
        <f>SUMIF(Recibos!$D$4:$D$7493,Cobranza!$B439,Recibos!N$4:N$7493)</f>
        <v>300</v>
      </c>
      <c r="BC439" s="313">
        <f>SUMIF(Recibos!$D$4:$D$7493,Cobranza!$B439,Recibos!O$4:O$7493)</f>
        <v>300</v>
      </c>
      <c r="BD439" s="313">
        <f>SUMIF(Recibos!$D$4:$D$7493,Cobranza!$B439,Recibos!P$4:P$7493)</f>
        <v>300</v>
      </c>
      <c r="BE439" s="313">
        <f>SUMIF(Recibos!$D$4:$D$7493,Cobranza!$B439,Recibos!Q$4:Q$7493)</f>
        <v>300</v>
      </c>
      <c r="BF439" s="313">
        <f>SUMIF(Recibos!$D$4:$D$7493,Cobranza!$B439,Recibos!R$4:R$7493)</f>
        <v>300</v>
      </c>
      <c r="BG439" s="313">
        <f>SUMIF(Recibos!$D$4:$D$7493,Cobranza!$B439,Recibos!S$4:S$7493)</f>
        <v>300</v>
      </c>
      <c r="BH439" s="313">
        <f>SUMIF(Recibos!$D$4:$D$7493,Cobranza!$B439,Recibos!T$4:T$7493)</f>
        <v>300</v>
      </c>
      <c r="BI439" s="313">
        <f>SUMIF(Recibos!$D$4:$D$7493,Cobranza!$B439,Recibos!U$4:U$7493)</f>
        <v>300</v>
      </c>
      <c r="BJ439" s="313">
        <f>SUMIF(Recibos!$D$4:$D$7493,Cobranza!$B439,Recibos!V$4:V$7493)</f>
        <v>300</v>
      </c>
      <c r="BK439" s="314">
        <f t="shared" si="57"/>
        <v>3600</v>
      </c>
      <c r="BL439" s="313">
        <f>SUMIF(Recibos!$D$4:$D$7493,Cobranza!$B439,Recibos!X$4:X$7493)</f>
        <v>300</v>
      </c>
      <c r="BM439" s="313">
        <f>SUMIF(Recibos!$D$4:$D$7493,Cobranza!$B439,Recibos!Y$4:Y$7493)</f>
        <v>300</v>
      </c>
      <c r="BN439" s="313">
        <f>SUMIF(Recibos!$D$4:$D$7493,Cobranza!$B439,Recibos!Z$4:Z$7493)</f>
        <v>300</v>
      </c>
      <c r="BO439" s="313">
        <f>SUMIF(Recibos!$D$4:$D$7493,Cobranza!$B439,Recibos!AA$4:AA$7493)</f>
        <v>300</v>
      </c>
      <c r="BP439" s="313">
        <f>SUMIF(Recibos!$D$4:$D$7493,Cobranza!$B439,Recibos!AB$4:AB$7493)</f>
        <v>300</v>
      </c>
      <c r="BQ439" s="313">
        <f>SUMIF(Recibos!$D$4:$D$7493,Cobranza!$B439,Recibos!AC$4:AC$7493)</f>
        <v>300</v>
      </c>
      <c r="BR439" s="313">
        <f>SUMIF(Recibos!$D$4:$D$7493,Cobranza!$B439,Recibos!AD$4:AD$7493)</f>
        <v>300</v>
      </c>
      <c r="BS439" s="313">
        <f>SUMIF(Recibos!$D$4:$D$7493,Cobranza!$B439,Recibos!AE$4:AE$7493)</f>
        <v>300</v>
      </c>
      <c r="BT439" s="313">
        <f>SUMIF(Recibos!$D$4:$D$7493,Cobranza!$B439,Recibos!AF$4:AF$7493)</f>
        <v>300</v>
      </c>
      <c r="BU439" s="313">
        <f>SUMIF(Recibos!$D$4:$D$7493,Cobranza!$B439,Recibos!AG$4:AG$7493)</f>
        <v>300</v>
      </c>
      <c r="BV439" s="313">
        <f>SUMIF(Recibos!$D$4:$D$7493,Cobranza!$B439,Recibos!AH$4:AH$7493)</f>
        <v>300</v>
      </c>
      <c r="BW439" s="313">
        <f>SUMIF(Recibos!$D$4:$D$7493,Cobranza!$B439,Recibos!AI$4:AI$7493)</f>
        <v>300</v>
      </c>
      <c r="BX439" s="314">
        <f t="shared" si="58"/>
        <v>3600</v>
      </c>
      <c r="BY439" s="313">
        <f>SUMIF(Recibos!$D$4:$D$7493,Cobranza!$B439,Recibos!AK$4:AK$7493)</f>
        <v>300</v>
      </c>
      <c r="BZ439" s="313">
        <f>SUMIF(Recibos!$D$4:$D$7493,Cobranza!$B439,Recibos!AL$4:AL$7493)</f>
        <v>300</v>
      </c>
      <c r="CA439" s="313">
        <f>SUMIF(Recibos!$D$4:$D$7493,Cobranza!$B439,Recibos!AM$4:AM$7493)</f>
        <v>300</v>
      </c>
      <c r="CB439" s="313">
        <f>SUMIF(Recibos!$D$4:$D$7493,Cobranza!$B439,Recibos!AN$4:AN$7493)</f>
        <v>300</v>
      </c>
      <c r="CC439" s="313">
        <f>SUMIF(Recibos!$D$4:$D$7493,Cobranza!$B439,Recibos!AO$4:AO$7493)</f>
        <v>300</v>
      </c>
      <c r="CD439" s="313">
        <f>SUMIF(Recibos!$D$4:$D$7493,Cobranza!$B439,Recibos!AP$4:AP$7493)</f>
        <v>300</v>
      </c>
      <c r="CE439" s="313">
        <f>SUMIF(Recibos!$D$4:$D$7493,Cobranza!$B439,Recibos!AQ$4:AQ$7493)</f>
        <v>300</v>
      </c>
      <c r="CF439" s="313">
        <f>SUMIF(Recibos!$D$4:$D$7493,Cobranza!$B439,Recibos!AR$4:AR$7493)</f>
        <v>300</v>
      </c>
      <c r="CG439" s="313">
        <f>SUMIF(Recibos!$D$4:$D$7493,Cobranza!$B439,Recibos!AS$4:AS$7493)</f>
        <v>300</v>
      </c>
      <c r="CH439" s="313">
        <f>SUMIF(Recibos!$D$4:$D$7493,Cobranza!$B439,Recibos!AT$4:AT$7493)</f>
        <v>300</v>
      </c>
      <c r="CI439" s="313">
        <f>SUMIF(Recibos!$D$4:$D$7493,Cobranza!$B439,Recibos!AU$4:AU$7493)</f>
        <v>0</v>
      </c>
      <c r="CJ439" s="313">
        <f>SUMIF(Recibos!$D$4:$D$7493,Cobranza!$B439,Recibos!AV$4:AV$7493)</f>
        <v>0</v>
      </c>
      <c r="CK439" s="314">
        <f t="shared" si="52"/>
        <v>3000</v>
      </c>
    </row>
    <row r="440" spans="2:89" x14ac:dyDescent="0.2">
      <c r="B440" s="42" t="s">
        <v>78</v>
      </c>
      <c r="C440" s="42" t="s">
        <v>79</v>
      </c>
      <c r="D440" s="42" t="s">
        <v>80</v>
      </c>
      <c r="E440" s="43">
        <v>0</v>
      </c>
      <c r="F440" s="43">
        <v>0</v>
      </c>
      <c r="G440" s="43">
        <v>0</v>
      </c>
      <c r="H440" s="43">
        <v>0</v>
      </c>
      <c r="I440" s="43">
        <v>0</v>
      </c>
      <c r="J440" s="43">
        <v>400</v>
      </c>
      <c r="K440" s="44">
        <f t="shared" si="53"/>
        <v>400</v>
      </c>
      <c r="L440" s="43">
        <v>400</v>
      </c>
      <c r="M440" s="43">
        <v>400</v>
      </c>
      <c r="N440" s="43">
        <v>400</v>
      </c>
      <c r="O440" s="43">
        <v>400</v>
      </c>
      <c r="P440" s="43">
        <v>400</v>
      </c>
      <c r="Q440" s="43">
        <v>400</v>
      </c>
      <c r="R440" s="43">
        <v>400</v>
      </c>
      <c r="S440" s="43">
        <v>400</v>
      </c>
      <c r="T440" s="43">
        <v>400</v>
      </c>
      <c r="U440" s="43">
        <v>400</v>
      </c>
      <c r="V440" s="43">
        <v>400</v>
      </c>
      <c r="W440" s="43">
        <v>400</v>
      </c>
      <c r="X440" s="44">
        <f t="shared" si="54"/>
        <v>4800</v>
      </c>
      <c r="Y440" s="43">
        <v>400</v>
      </c>
      <c r="Z440" s="43">
        <v>400</v>
      </c>
      <c r="AA440" s="43">
        <v>400</v>
      </c>
      <c r="AB440" s="43">
        <v>400</v>
      </c>
      <c r="AC440" s="43">
        <v>400</v>
      </c>
      <c r="AD440" s="43">
        <v>400</v>
      </c>
      <c r="AE440" s="43">
        <v>0</v>
      </c>
      <c r="AF440" s="43">
        <v>400</v>
      </c>
      <c r="AG440" s="43">
        <v>400</v>
      </c>
      <c r="AH440" s="43">
        <v>400</v>
      </c>
      <c r="AI440" s="43">
        <v>400</v>
      </c>
      <c r="AJ440" s="43">
        <v>400</v>
      </c>
      <c r="AK440" s="44">
        <f t="shared" si="55"/>
        <v>4400</v>
      </c>
      <c r="AL440" s="43">
        <v>400</v>
      </c>
      <c r="AM440" s="43">
        <v>400</v>
      </c>
      <c r="AN440" s="43">
        <v>400</v>
      </c>
      <c r="AO440" s="43">
        <v>400</v>
      </c>
      <c r="AP440" s="43">
        <v>400</v>
      </c>
      <c r="AQ440" s="43">
        <v>400</v>
      </c>
      <c r="AR440" s="43">
        <v>400</v>
      </c>
      <c r="AS440" s="43">
        <v>400</v>
      </c>
      <c r="AT440" s="43">
        <v>400</v>
      </c>
      <c r="AU440" s="43">
        <v>400</v>
      </c>
      <c r="AV440" s="43">
        <v>400</v>
      </c>
      <c r="AW440" s="43">
        <v>400</v>
      </c>
      <c r="AX440" s="44">
        <f t="shared" si="56"/>
        <v>4800</v>
      </c>
      <c r="AY440" s="311">
        <f>SUMIF(Recibos!$D$4:$D$7493,Cobranza!$B440,Recibos!K$4:K$7493)</f>
        <v>400</v>
      </c>
      <c r="AZ440" s="311">
        <f>SUMIF(Recibos!$D$4:$D$7493,Cobranza!$B440,Recibos!L$4:L$7493)</f>
        <v>400</v>
      </c>
      <c r="BA440" s="311">
        <f>SUMIF(Recibos!$D$4:$D$7493,Cobranza!$B440,Recibos!M$4:M$7493)</f>
        <v>400</v>
      </c>
      <c r="BB440" s="311">
        <f>SUMIF(Recibos!$D$4:$D$7493,Cobranza!$B440,Recibos!N$4:N$7493)</f>
        <v>400</v>
      </c>
      <c r="BC440" s="311">
        <f>SUMIF(Recibos!$D$4:$D$7493,Cobranza!$B440,Recibos!O$4:O$7493)</f>
        <v>400</v>
      </c>
      <c r="BD440" s="311">
        <f>SUMIF(Recibos!$D$4:$D$7493,Cobranza!$B440,Recibos!P$4:P$7493)</f>
        <v>400</v>
      </c>
      <c r="BE440" s="311">
        <f>SUMIF(Recibos!$D$4:$D$7493,Cobranza!$B440,Recibos!Q$4:Q$7493)</f>
        <v>400</v>
      </c>
      <c r="BF440" s="311">
        <f>SUMIF(Recibos!$D$4:$D$7493,Cobranza!$B440,Recibos!R$4:R$7493)</f>
        <v>400</v>
      </c>
      <c r="BG440" s="311">
        <f>SUMIF(Recibos!$D$4:$D$7493,Cobranza!$B440,Recibos!S$4:S$7493)</f>
        <v>400</v>
      </c>
      <c r="BH440" s="311">
        <f>SUMIF(Recibos!$D$4:$D$7493,Cobranza!$B440,Recibos!T$4:T$7493)</f>
        <v>400</v>
      </c>
      <c r="BI440" s="311">
        <f>SUMIF(Recibos!$D$4:$D$7493,Cobranza!$B440,Recibos!U$4:U$7493)</f>
        <v>400</v>
      </c>
      <c r="BJ440" s="311">
        <f>SUMIF(Recibos!$D$4:$D$7493,Cobranza!$B440,Recibos!V$4:V$7493)</f>
        <v>0</v>
      </c>
      <c r="BK440" s="312">
        <f t="shared" si="57"/>
        <v>4400</v>
      </c>
      <c r="BL440" s="311">
        <f>SUMIF(Recibos!$D$4:$D$7493,Cobranza!$B440,Recibos!X$4:X$7493)</f>
        <v>400</v>
      </c>
      <c r="BM440" s="311">
        <f>SUMIF(Recibos!$D$4:$D$7493,Cobranza!$B440,Recibos!Y$4:Y$7493)</f>
        <v>400</v>
      </c>
      <c r="BN440" s="311">
        <f>SUMIF(Recibos!$D$4:$D$7493,Cobranza!$B440,Recibos!Z$4:Z$7493)</f>
        <v>400</v>
      </c>
      <c r="BO440" s="311">
        <f>SUMIF(Recibos!$D$4:$D$7493,Cobranza!$B440,Recibos!AA$4:AA$7493)</f>
        <v>400</v>
      </c>
      <c r="BP440" s="311">
        <f>SUMIF(Recibos!$D$4:$D$7493,Cobranza!$B440,Recibos!AB$4:AB$7493)</f>
        <v>400</v>
      </c>
      <c r="BQ440" s="311">
        <f>SUMIF(Recibos!$D$4:$D$7493,Cobranza!$B440,Recibos!AC$4:AC$7493)</f>
        <v>400</v>
      </c>
      <c r="BR440" s="311">
        <f>SUMIF(Recibos!$D$4:$D$7493,Cobranza!$B440,Recibos!AD$4:AD$7493)</f>
        <v>400</v>
      </c>
      <c r="BS440" s="311">
        <f>SUMIF(Recibos!$D$4:$D$7493,Cobranza!$B440,Recibos!AE$4:AE$7493)</f>
        <v>400</v>
      </c>
      <c r="BT440" s="311">
        <f>SUMIF(Recibos!$D$4:$D$7493,Cobranza!$B440,Recibos!AF$4:AF$7493)</f>
        <v>400</v>
      </c>
      <c r="BU440" s="311">
        <f>SUMIF(Recibos!$D$4:$D$7493,Cobranza!$B440,Recibos!AG$4:AG$7493)</f>
        <v>400</v>
      </c>
      <c r="BV440" s="311">
        <f>SUMIF(Recibos!$D$4:$D$7493,Cobranza!$B440,Recibos!AH$4:AH$7493)</f>
        <v>400</v>
      </c>
      <c r="BW440" s="311">
        <f>SUMIF(Recibos!$D$4:$D$7493,Cobranza!$B440,Recibos!AI$4:AI$7493)</f>
        <v>0</v>
      </c>
      <c r="BX440" s="312">
        <f t="shared" si="58"/>
        <v>4400</v>
      </c>
      <c r="BY440" s="311">
        <f>SUMIF(Recibos!$D$4:$D$7493,Cobranza!$B440,Recibos!AK$4:AK$7493)</f>
        <v>400</v>
      </c>
      <c r="BZ440" s="311">
        <f>SUMIF(Recibos!$D$4:$D$7493,Cobranza!$B440,Recibos!AL$4:AL$7493)</f>
        <v>400</v>
      </c>
      <c r="CA440" s="311">
        <f>SUMIF(Recibos!$D$4:$D$7493,Cobranza!$B440,Recibos!AM$4:AM$7493)</f>
        <v>400</v>
      </c>
      <c r="CB440" s="311">
        <f>SUMIF(Recibos!$D$4:$D$7493,Cobranza!$B440,Recibos!AN$4:AN$7493)</f>
        <v>400</v>
      </c>
      <c r="CC440" s="311">
        <f>SUMIF(Recibos!$D$4:$D$7493,Cobranza!$B440,Recibos!AO$4:AO$7493)</f>
        <v>400</v>
      </c>
      <c r="CD440" s="311">
        <f>SUMIF(Recibos!$D$4:$D$7493,Cobranza!$B440,Recibos!AP$4:AP$7493)</f>
        <v>400</v>
      </c>
      <c r="CE440" s="311">
        <f>SUMIF(Recibos!$D$4:$D$7493,Cobranza!$B440,Recibos!AQ$4:AQ$7493)</f>
        <v>400</v>
      </c>
      <c r="CF440" s="311">
        <f>SUMIF(Recibos!$D$4:$D$7493,Cobranza!$B440,Recibos!AR$4:AR$7493)</f>
        <v>400</v>
      </c>
      <c r="CG440" s="311">
        <f>SUMIF(Recibos!$D$4:$D$7493,Cobranza!$B440,Recibos!AS$4:AS$7493)</f>
        <v>400</v>
      </c>
      <c r="CH440" s="311">
        <f>SUMIF(Recibos!$D$4:$D$7493,Cobranza!$B440,Recibos!AT$4:AT$7493)</f>
        <v>400</v>
      </c>
      <c r="CI440" s="311">
        <f>SUMIF(Recibos!$D$4:$D$7493,Cobranza!$B440,Recibos!AU$4:AU$7493)</f>
        <v>400</v>
      </c>
      <c r="CJ440" s="311">
        <f>SUMIF(Recibos!$D$4:$D$7493,Cobranza!$B440,Recibos!AV$4:AV$7493)</f>
        <v>0</v>
      </c>
      <c r="CK440" s="312">
        <f t="shared" si="52"/>
        <v>4400</v>
      </c>
    </row>
    <row r="441" spans="2:89" x14ac:dyDescent="0.2">
      <c r="B441" s="45" t="s">
        <v>473</v>
      </c>
      <c r="C441" s="45" t="s">
        <v>474</v>
      </c>
      <c r="D441" s="45" t="s">
        <v>475</v>
      </c>
      <c r="E441" s="46">
        <v>0</v>
      </c>
      <c r="F441" s="46">
        <v>0</v>
      </c>
      <c r="G441" s="46">
        <v>0</v>
      </c>
      <c r="H441" s="46">
        <v>0</v>
      </c>
      <c r="I441" s="46">
        <v>0</v>
      </c>
      <c r="J441" s="46">
        <v>300</v>
      </c>
      <c r="K441" s="47">
        <f t="shared" si="53"/>
        <v>300</v>
      </c>
      <c r="L441" s="46">
        <v>300</v>
      </c>
      <c r="M441" s="46">
        <v>300</v>
      </c>
      <c r="N441" s="46">
        <v>300</v>
      </c>
      <c r="O441" s="46">
        <v>300</v>
      </c>
      <c r="P441" s="46">
        <v>300</v>
      </c>
      <c r="Q441" s="46">
        <v>300</v>
      </c>
      <c r="R441" s="46">
        <v>300</v>
      </c>
      <c r="S441" s="46">
        <v>300</v>
      </c>
      <c r="T441" s="46">
        <v>300</v>
      </c>
      <c r="U441" s="46">
        <v>0</v>
      </c>
      <c r="V441" s="46">
        <v>400</v>
      </c>
      <c r="W441" s="46">
        <v>400</v>
      </c>
      <c r="X441" s="47">
        <f t="shared" si="54"/>
        <v>3500</v>
      </c>
      <c r="Y441" s="46">
        <v>400</v>
      </c>
      <c r="Z441" s="46">
        <v>400</v>
      </c>
      <c r="AA441" s="46">
        <v>400</v>
      </c>
      <c r="AB441" s="46">
        <v>400</v>
      </c>
      <c r="AC441" s="46">
        <v>400</v>
      </c>
      <c r="AD441" s="46">
        <v>400</v>
      </c>
      <c r="AE441" s="46">
        <v>400</v>
      </c>
      <c r="AF441" s="46">
        <v>400</v>
      </c>
      <c r="AG441" s="46">
        <v>400</v>
      </c>
      <c r="AH441" s="46">
        <v>400</v>
      </c>
      <c r="AI441" s="46">
        <v>400</v>
      </c>
      <c r="AJ441" s="46">
        <v>400</v>
      </c>
      <c r="AK441" s="47">
        <f t="shared" si="55"/>
        <v>4800</v>
      </c>
      <c r="AL441" s="46">
        <v>400</v>
      </c>
      <c r="AM441" s="46">
        <v>0</v>
      </c>
      <c r="AN441" s="46">
        <v>400</v>
      </c>
      <c r="AO441" s="46">
        <v>400</v>
      </c>
      <c r="AP441" s="46">
        <v>400</v>
      </c>
      <c r="AQ441" s="46">
        <v>400</v>
      </c>
      <c r="AR441" s="46">
        <v>400</v>
      </c>
      <c r="AS441" s="46">
        <v>400</v>
      </c>
      <c r="AT441" s="46">
        <v>400</v>
      </c>
      <c r="AU441" s="46">
        <v>400</v>
      </c>
      <c r="AV441" s="46">
        <v>400</v>
      </c>
      <c r="AW441" s="46">
        <v>400</v>
      </c>
      <c r="AX441" s="47">
        <f t="shared" si="56"/>
        <v>4400</v>
      </c>
      <c r="AY441" s="313">
        <f>SUMIF(Recibos!$D$4:$D$7493,Cobranza!$B441,Recibos!K$4:K$7493)</f>
        <v>400</v>
      </c>
      <c r="AZ441" s="313">
        <f>SUMIF(Recibos!$D$4:$D$7493,Cobranza!$B441,Recibos!L$4:L$7493)</f>
        <v>400</v>
      </c>
      <c r="BA441" s="313">
        <f>SUMIF(Recibos!$D$4:$D$7493,Cobranza!$B441,Recibos!M$4:M$7493)</f>
        <v>400</v>
      </c>
      <c r="BB441" s="313">
        <f>SUMIF(Recibos!$D$4:$D$7493,Cobranza!$B441,Recibos!N$4:N$7493)</f>
        <v>400</v>
      </c>
      <c r="BC441" s="313">
        <f>SUMIF(Recibos!$D$4:$D$7493,Cobranza!$B441,Recibos!O$4:O$7493)</f>
        <v>400</v>
      </c>
      <c r="BD441" s="313">
        <f>SUMIF(Recibos!$D$4:$D$7493,Cobranza!$B441,Recibos!P$4:P$7493)</f>
        <v>400</v>
      </c>
      <c r="BE441" s="313">
        <f>SUMIF(Recibos!$D$4:$D$7493,Cobranza!$B441,Recibos!Q$4:Q$7493)</f>
        <v>400</v>
      </c>
      <c r="BF441" s="313">
        <f>SUMIF(Recibos!$D$4:$D$7493,Cobranza!$B441,Recibos!R$4:R$7493)</f>
        <v>400</v>
      </c>
      <c r="BG441" s="313">
        <f>SUMIF(Recibos!$D$4:$D$7493,Cobranza!$B441,Recibos!S$4:S$7493)</f>
        <v>400</v>
      </c>
      <c r="BH441" s="313">
        <f>SUMIF(Recibos!$D$4:$D$7493,Cobranza!$B441,Recibos!T$4:T$7493)</f>
        <v>400</v>
      </c>
      <c r="BI441" s="313">
        <f>SUMIF(Recibos!$D$4:$D$7493,Cobranza!$B441,Recibos!U$4:U$7493)</f>
        <v>400</v>
      </c>
      <c r="BJ441" s="313">
        <f>SUMIF(Recibos!$D$4:$D$7493,Cobranza!$B441,Recibos!V$4:V$7493)</f>
        <v>400</v>
      </c>
      <c r="BK441" s="314">
        <f t="shared" si="57"/>
        <v>4800</v>
      </c>
      <c r="BL441" s="313">
        <f>SUMIF(Recibos!$D$4:$D$7493,Cobranza!$B441,Recibos!X$4:X$7493)</f>
        <v>400</v>
      </c>
      <c r="BM441" s="313">
        <f>SUMIF(Recibos!$D$4:$D$7493,Cobranza!$B441,Recibos!Y$4:Y$7493)</f>
        <v>400</v>
      </c>
      <c r="BN441" s="313">
        <f>SUMIF(Recibos!$D$4:$D$7493,Cobranza!$B441,Recibos!Z$4:Z$7493)</f>
        <v>400</v>
      </c>
      <c r="BO441" s="313">
        <f>SUMIF(Recibos!$D$4:$D$7493,Cobranza!$B441,Recibos!AA$4:AA$7493)</f>
        <v>400</v>
      </c>
      <c r="BP441" s="313">
        <f>SUMIF(Recibos!$D$4:$D$7493,Cobranza!$B441,Recibos!AB$4:AB$7493)</f>
        <v>400</v>
      </c>
      <c r="BQ441" s="313">
        <f>SUMIF(Recibos!$D$4:$D$7493,Cobranza!$B441,Recibos!AC$4:AC$7493)</f>
        <v>400</v>
      </c>
      <c r="BR441" s="313">
        <f>SUMIF(Recibos!$D$4:$D$7493,Cobranza!$B441,Recibos!AD$4:AD$7493)</f>
        <v>400</v>
      </c>
      <c r="BS441" s="313">
        <f>SUMIF(Recibos!$D$4:$D$7493,Cobranza!$B441,Recibos!AE$4:AE$7493)</f>
        <v>400</v>
      </c>
      <c r="BT441" s="313">
        <f>SUMIF(Recibos!$D$4:$D$7493,Cobranza!$B441,Recibos!AF$4:AF$7493)</f>
        <v>400</v>
      </c>
      <c r="BU441" s="313">
        <f>SUMIF(Recibos!$D$4:$D$7493,Cobranza!$B441,Recibos!AG$4:AG$7493)</f>
        <v>400</v>
      </c>
      <c r="BV441" s="313">
        <f>SUMIF(Recibos!$D$4:$D$7493,Cobranza!$B441,Recibos!AH$4:AH$7493)</f>
        <v>400</v>
      </c>
      <c r="BW441" s="313">
        <f>SUMIF(Recibos!$D$4:$D$7493,Cobranza!$B441,Recibos!AI$4:AI$7493)</f>
        <v>400</v>
      </c>
      <c r="BX441" s="314">
        <f t="shared" si="58"/>
        <v>4800</v>
      </c>
      <c r="BY441" s="313">
        <f>SUMIF(Recibos!$D$4:$D$7493,Cobranza!$B441,Recibos!AK$4:AK$7493)</f>
        <v>400</v>
      </c>
      <c r="BZ441" s="313">
        <f>SUMIF(Recibos!$D$4:$D$7493,Cobranza!$B441,Recibos!AL$4:AL$7493)</f>
        <v>400</v>
      </c>
      <c r="CA441" s="313">
        <f>SUMIF(Recibos!$D$4:$D$7493,Cobranza!$B441,Recibos!AM$4:AM$7493)</f>
        <v>400</v>
      </c>
      <c r="CB441" s="313">
        <f>SUMIF(Recibos!$D$4:$D$7493,Cobranza!$B441,Recibos!AN$4:AN$7493)</f>
        <v>400</v>
      </c>
      <c r="CC441" s="313">
        <f>SUMIF(Recibos!$D$4:$D$7493,Cobranza!$B441,Recibos!AO$4:AO$7493)</f>
        <v>400</v>
      </c>
      <c r="CD441" s="313">
        <f>SUMIF(Recibos!$D$4:$D$7493,Cobranza!$B441,Recibos!AP$4:AP$7493)</f>
        <v>400</v>
      </c>
      <c r="CE441" s="313">
        <f>SUMIF(Recibos!$D$4:$D$7493,Cobranza!$B441,Recibos!AQ$4:AQ$7493)</f>
        <v>400</v>
      </c>
      <c r="CF441" s="313">
        <f>SUMIF(Recibos!$D$4:$D$7493,Cobranza!$B441,Recibos!AR$4:AR$7493)</f>
        <v>400</v>
      </c>
      <c r="CG441" s="313">
        <f>SUMIF(Recibos!$D$4:$D$7493,Cobranza!$B441,Recibos!AS$4:AS$7493)</f>
        <v>400</v>
      </c>
      <c r="CH441" s="313">
        <f>SUMIF(Recibos!$D$4:$D$7493,Cobranza!$B441,Recibos!AT$4:AT$7493)</f>
        <v>0</v>
      </c>
      <c r="CI441" s="313">
        <f>SUMIF(Recibos!$D$4:$D$7493,Cobranza!$B441,Recibos!AU$4:AU$7493)</f>
        <v>0</v>
      </c>
      <c r="CJ441" s="313">
        <f>SUMIF(Recibos!$D$4:$D$7493,Cobranza!$B441,Recibos!AV$4:AV$7493)</f>
        <v>0</v>
      </c>
      <c r="CK441" s="314">
        <f t="shared" si="52"/>
        <v>3600</v>
      </c>
    </row>
    <row r="442" spans="2:89" x14ac:dyDescent="0.2">
      <c r="B442" s="42" t="s">
        <v>1452</v>
      </c>
      <c r="C442" s="42" t="s">
        <v>1453</v>
      </c>
      <c r="D442" s="42" t="s">
        <v>1454</v>
      </c>
      <c r="E442" s="43">
        <v>0</v>
      </c>
      <c r="F442" s="43">
        <v>0</v>
      </c>
      <c r="G442" s="43">
        <v>0</v>
      </c>
      <c r="H442" s="43">
        <v>0</v>
      </c>
      <c r="I442" s="43">
        <v>0</v>
      </c>
      <c r="J442" s="43">
        <v>0</v>
      </c>
      <c r="K442" s="44">
        <f t="shared" si="53"/>
        <v>0</v>
      </c>
      <c r="L442" s="43">
        <v>300</v>
      </c>
      <c r="M442" s="43">
        <v>300</v>
      </c>
      <c r="N442" s="43">
        <v>300</v>
      </c>
      <c r="O442" s="43">
        <v>300</v>
      </c>
      <c r="P442" s="43">
        <v>300</v>
      </c>
      <c r="Q442" s="43">
        <v>200</v>
      </c>
      <c r="R442" s="43">
        <v>200</v>
      </c>
      <c r="S442" s="43">
        <v>200</v>
      </c>
      <c r="T442" s="43">
        <v>300</v>
      </c>
      <c r="U442" s="43">
        <v>0</v>
      </c>
      <c r="V442" s="43">
        <v>600</v>
      </c>
      <c r="W442" s="43">
        <v>200</v>
      </c>
      <c r="X442" s="44">
        <f t="shared" si="54"/>
        <v>3200</v>
      </c>
      <c r="Y442" s="43">
        <v>200</v>
      </c>
      <c r="Z442" s="43">
        <v>200</v>
      </c>
      <c r="AA442" s="43">
        <v>200</v>
      </c>
      <c r="AB442" s="43">
        <v>200</v>
      </c>
      <c r="AC442" s="43">
        <v>200</v>
      </c>
      <c r="AD442" s="43">
        <v>200</v>
      </c>
      <c r="AE442" s="43">
        <v>200</v>
      </c>
      <c r="AF442" s="43">
        <v>200</v>
      </c>
      <c r="AG442" s="43">
        <v>0</v>
      </c>
      <c r="AH442" s="43">
        <v>0</v>
      </c>
      <c r="AI442" s="43">
        <v>0</v>
      </c>
      <c r="AJ442" s="43">
        <v>0</v>
      </c>
      <c r="AK442" s="44">
        <f t="shared" si="55"/>
        <v>1600</v>
      </c>
      <c r="AL442" s="43">
        <v>0</v>
      </c>
      <c r="AM442" s="43">
        <v>0</v>
      </c>
      <c r="AN442" s="43">
        <v>0</v>
      </c>
      <c r="AO442" s="43">
        <v>0</v>
      </c>
      <c r="AP442" s="43">
        <v>0</v>
      </c>
      <c r="AQ442" s="43">
        <v>0</v>
      </c>
      <c r="AR442" s="43">
        <v>0</v>
      </c>
      <c r="AS442" s="43">
        <v>0</v>
      </c>
      <c r="AT442" s="43">
        <v>0</v>
      </c>
      <c r="AU442" s="43">
        <v>0</v>
      </c>
      <c r="AV442" s="43">
        <v>0</v>
      </c>
      <c r="AW442" s="43">
        <v>0</v>
      </c>
      <c r="AX442" s="44">
        <f t="shared" si="56"/>
        <v>0</v>
      </c>
      <c r="AY442" s="311">
        <f>SUMIF(Recibos!$D$4:$D$7493,Cobranza!$B442,Recibos!K$4:K$7493)</f>
        <v>0</v>
      </c>
      <c r="AZ442" s="311">
        <f>SUMIF(Recibos!$D$4:$D$7493,Cobranza!$B442,Recibos!L$4:L$7493)</f>
        <v>0</v>
      </c>
      <c r="BA442" s="311">
        <f>SUMIF(Recibos!$D$4:$D$7493,Cobranza!$B442,Recibos!M$4:M$7493)</f>
        <v>0</v>
      </c>
      <c r="BB442" s="311">
        <f>SUMIF(Recibos!$D$4:$D$7493,Cobranza!$B442,Recibos!N$4:N$7493)</f>
        <v>0</v>
      </c>
      <c r="BC442" s="311">
        <f>SUMIF(Recibos!$D$4:$D$7493,Cobranza!$B442,Recibos!O$4:O$7493)</f>
        <v>0</v>
      </c>
      <c r="BD442" s="311">
        <f>SUMIF(Recibos!$D$4:$D$7493,Cobranza!$B442,Recibos!P$4:P$7493)</f>
        <v>0</v>
      </c>
      <c r="BE442" s="311">
        <f>SUMIF(Recibos!$D$4:$D$7493,Cobranza!$B442,Recibos!Q$4:Q$7493)</f>
        <v>0</v>
      </c>
      <c r="BF442" s="311">
        <f>SUMIF(Recibos!$D$4:$D$7493,Cobranza!$B442,Recibos!R$4:R$7493)</f>
        <v>0</v>
      </c>
      <c r="BG442" s="311">
        <f>SUMIF(Recibos!$D$4:$D$7493,Cobranza!$B442,Recibos!S$4:S$7493)</f>
        <v>0</v>
      </c>
      <c r="BH442" s="311">
        <f>SUMIF(Recibos!$D$4:$D$7493,Cobranza!$B442,Recibos!T$4:T$7493)</f>
        <v>0</v>
      </c>
      <c r="BI442" s="311">
        <f>SUMIF(Recibos!$D$4:$D$7493,Cobranza!$B442,Recibos!U$4:U$7493)</f>
        <v>0</v>
      </c>
      <c r="BJ442" s="311">
        <f>SUMIF(Recibos!$D$4:$D$7493,Cobranza!$B442,Recibos!V$4:V$7493)</f>
        <v>0</v>
      </c>
      <c r="BK442" s="312">
        <f t="shared" si="57"/>
        <v>0</v>
      </c>
      <c r="BL442" s="311">
        <f>SUMIF(Recibos!$D$4:$D$7493,Cobranza!$B442,Recibos!X$4:X$7493)</f>
        <v>0</v>
      </c>
      <c r="BM442" s="311">
        <f>SUMIF(Recibos!$D$4:$D$7493,Cobranza!$B442,Recibos!Y$4:Y$7493)</f>
        <v>0</v>
      </c>
      <c r="BN442" s="311">
        <f>SUMIF(Recibos!$D$4:$D$7493,Cobranza!$B442,Recibos!Z$4:Z$7493)</f>
        <v>0</v>
      </c>
      <c r="BO442" s="311">
        <f>SUMIF(Recibos!$D$4:$D$7493,Cobranza!$B442,Recibos!AA$4:AA$7493)</f>
        <v>0</v>
      </c>
      <c r="BP442" s="311">
        <f>SUMIF(Recibos!$D$4:$D$7493,Cobranza!$B442,Recibos!AB$4:AB$7493)</f>
        <v>0</v>
      </c>
      <c r="BQ442" s="311">
        <f>SUMIF(Recibos!$D$4:$D$7493,Cobranza!$B442,Recibos!AC$4:AC$7493)</f>
        <v>0</v>
      </c>
      <c r="BR442" s="311">
        <f>SUMIF(Recibos!$D$4:$D$7493,Cobranza!$B442,Recibos!AD$4:AD$7493)</f>
        <v>0</v>
      </c>
      <c r="BS442" s="311">
        <f>SUMIF(Recibos!$D$4:$D$7493,Cobranza!$B442,Recibos!AE$4:AE$7493)</f>
        <v>0</v>
      </c>
      <c r="BT442" s="311">
        <f>SUMIF(Recibos!$D$4:$D$7493,Cobranza!$B442,Recibos!AF$4:AF$7493)</f>
        <v>0</v>
      </c>
      <c r="BU442" s="311">
        <f>SUMIF(Recibos!$D$4:$D$7493,Cobranza!$B442,Recibos!AG$4:AG$7493)</f>
        <v>0</v>
      </c>
      <c r="BV442" s="311">
        <f>SUMIF(Recibos!$D$4:$D$7493,Cobranza!$B442,Recibos!AH$4:AH$7493)</f>
        <v>0</v>
      </c>
      <c r="BW442" s="311">
        <f>SUMIF(Recibos!$D$4:$D$7493,Cobranza!$B442,Recibos!AI$4:AI$7493)</f>
        <v>0</v>
      </c>
      <c r="BX442" s="312">
        <f t="shared" si="58"/>
        <v>0</v>
      </c>
      <c r="BY442" s="311">
        <f>SUMIF(Recibos!$D$4:$D$7493,Cobranza!$B442,Recibos!AK$4:AK$7493)</f>
        <v>0</v>
      </c>
      <c r="BZ442" s="311">
        <f>SUMIF(Recibos!$D$4:$D$7493,Cobranza!$B442,Recibos!AL$4:AL$7493)</f>
        <v>0</v>
      </c>
      <c r="CA442" s="311">
        <f>SUMIF(Recibos!$D$4:$D$7493,Cobranza!$B442,Recibos!AM$4:AM$7493)</f>
        <v>0</v>
      </c>
      <c r="CB442" s="311">
        <f>SUMIF(Recibos!$D$4:$D$7493,Cobranza!$B442,Recibos!AN$4:AN$7493)</f>
        <v>0</v>
      </c>
      <c r="CC442" s="311">
        <f>SUMIF(Recibos!$D$4:$D$7493,Cobranza!$B442,Recibos!AO$4:AO$7493)</f>
        <v>0</v>
      </c>
      <c r="CD442" s="311">
        <f>SUMIF(Recibos!$D$4:$D$7493,Cobranza!$B442,Recibos!AP$4:AP$7493)</f>
        <v>0</v>
      </c>
      <c r="CE442" s="311">
        <f>SUMIF(Recibos!$D$4:$D$7493,Cobranza!$B442,Recibos!AQ$4:AQ$7493)</f>
        <v>0</v>
      </c>
      <c r="CF442" s="311">
        <f>SUMIF(Recibos!$D$4:$D$7493,Cobranza!$B442,Recibos!AR$4:AR$7493)</f>
        <v>0</v>
      </c>
      <c r="CG442" s="311">
        <f>SUMIF(Recibos!$D$4:$D$7493,Cobranza!$B442,Recibos!AS$4:AS$7493)</f>
        <v>0</v>
      </c>
      <c r="CH442" s="311">
        <f>SUMIF(Recibos!$D$4:$D$7493,Cobranza!$B442,Recibos!AT$4:AT$7493)</f>
        <v>0</v>
      </c>
      <c r="CI442" s="311">
        <f>SUMIF(Recibos!$D$4:$D$7493,Cobranza!$B442,Recibos!AU$4:AU$7493)</f>
        <v>0</v>
      </c>
      <c r="CJ442" s="311">
        <f>SUMIF(Recibos!$D$4:$D$7493,Cobranza!$B442,Recibos!AV$4:AV$7493)</f>
        <v>0</v>
      </c>
      <c r="CK442" s="312">
        <f t="shared" si="52"/>
        <v>0</v>
      </c>
    </row>
    <row r="443" spans="2:89" x14ac:dyDescent="0.2">
      <c r="B443" s="45" t="s">
        <v>286</v>
      </c>
      <c r="C443" s="45" t="s">
        <v>287</v>
      </c>
      <c r="D443" s="45" t="s">
        <v>3443</v>
      </c>
      <c r="E443" s="46">
        <v>0</v>
      </c>
      <c r="F443" s="46">
        <v>0</v>
      </c>
      <c r="G443" s="46">
        <v>0</v>
      </c>
      <c r="H443" s="46">
        <v>0</v>
      </c>
      <c r="I443" s="46">
        <v>0</v>
      </c>
      <c r="J443" s="46">
        <v>300</v>
      </c>
      <c r="K443" s="47">
        <f t="shared" si="53"/>
        <v>300</v>
      </c>
      <c r="L443" s="46">
        <v>300</v>
      </c>
      <c r="M443" s="46">
        <v>300</v>
      </c>
      <c r="N443" s="46">
        <v>300</v>
      </c>
      <c r="O443" s="46">
        <v>0</v>
      </c>
      <c r="P443" s="46">
        <v>300</v>
      </c>
      <c r="Q443" s="46">
        <v>300</v>
      </c>
      <c r="R443" s="46">
        <v>300</v>
      </c>
      <c r="S443" s="46">
        <v>300</v>
      </c>
      <c r="T443" s="46">
        <v>300</v>
      </c>
      <c r="U443" s="46">
        <v>400</v>
      </c>
      <c r="V443" s="46">
        <v>400</v>
      </c>
      <c r="W443" s="46">
        <v>400</v>
      </c>
      <c r="X443" s="47">
        <f t="shared" si="54"/>
        <v>3600</v>
      </c>
      <c r="Y443" s="46">
        <v>400</v>
      </c>
      <c r="Z443" s="46">
        <v>400</v>
      </c>
      <c r="AA443" s="46">
        <v>400</v>
      </c>
      <c r="AB443" s="46">
        <v>400</v>
      </c>
      <c r="AC443" s="46">
        <v>400</v>
      </c>
      <c r="AD443" s="46">
        <v>400</v>
      </c>
      <c r="AE443" s="46">
        <v>400</v>
      </c>
      <c r="AF443" s="46">
        <v>400</v>
      </c>
      <c r="AG443" s="46">
        <v>400</v>
      </c>
      <c r="AH443" s="46">
        <v>400</v>
      </c>
      <c r="AI443" s="46">
        <v>400</v>
      </c>
      <c r="AJ443" s="46">
        <v>400</v>
      </c>
      <c r="AK443" s="47">
        <f t="shared" si="55"/>
        <v>4800</v>
      </c>
      <c r="AL443" s="46">
        <v>400</v>
      </c>
      <c r="AM443" s="46">
        <v>400</v>
      </c>
      <c r="AN443" s="46">
        <v>400</v>
      </c>
      <c r="AO443" s="46">
        <v>400</v>
      </c>
      <c r="AP443" s="46">
        <v>400</v>
      </c>
      <c r="AQ443" s="46">
        <v>400</v>
      </c>
      <c r="AR443" s="46">
        <v>400</v>
      </c>
      <c r="AS443" s="46">
        <v>400</v>
      </c>
      <c r="AT443" s="46">
        <v>400</v>
      </c>
      <c r="AU443" s="46">
        <v>400</v>
      </c>
      <c r="AV443" s="46">
        <v>400</v>
      </c>
      <c r="AW443" s="46">
        <v>400</v>
      </c>
      <c r="AX443" s="47">
        <f t="shared" si="56"/>
        <v>4800</v>
      </c>
      <c r="AY443" s="313">
        <f>SUMIF(Recibos!$D$4:$D$7493,Cobranza!$B443,Recibos!K$4:K$7493)</f>
        <v>400</v>
      </c>
      <c r="AZ443" s="313">
        <f>SUMIF(Recibos!$D$4:$D$7493,Cobranza!$B443,Recibos!L$4:L$7493)</f>
        <v>400</v>
      </c>
      <c r="BA443" s="313">
        <f>SUMIF(Recibos!$D$4:$D$7493,Cobranza!$B443,Recibos!M$4:M$7493)</f>
        <v>400</v>
      </c>
      <c r="BB443" s="313">
        <f>SUMIF(Recibos!$D$4:$D$7493,Cobranza!$B443,Recibos!N$4:N$7493)</f>
        <v>400</v>
      </c>
      <c r="BC443" s="313">
        <f>SUMIF(Recibos!$D$4:$D$7493,Cobranza!$B443,Recibos!O$4:O$7493)</f>
        <v>400</v>
      </c>
      <c r="BD443" s="313">
        <f>SUMIF(Recibos!$D$4:$D$7493,Cobranza!$B443,Recibos!P$4:P$7493)</f>
        <v>400</v>
      </c>
      <c r="BE443" s="313">
        <f>SUMIF(Recibos!$D$4:$D$7493,Cobranza!$B443,Recibos!Q$4:Q$7493)</f>
        <v>400</v>
      </c>
      <c r="BF443" s="313">
        <f>SUMIF(Recibos!$D$4:$D$7493,Cobranza!$B443,Recibos!R$4:R$7493)</f>
        <v>400</v>
      </c>
      <c r="BG443" s="313">
        <f>SUMIF(Recibos!$D$4:$D$7493,Cobranza!$B443,Recibos!S$4:S$7493)</f>
        <v>400</v>
      </c>
      <c r="BH443" s="313">
        <f>SUMIF(Recibos!$D$4:$D$7493,Cobranza!$B443,Recibos!T$4:T$7493)</f>
        <v>400</v>
      </c>
      <c r="BI443" s="313">
        <f>SUMIF(Recibos!$D$4:$D$7493,Cobranza!$B443,Recibos!U$4:U$7493)</f>
        <v>400</v>
      </c>
      <c r="BJ443" s="313">
        <f>SUMIF(Recibos!$D$4:$D$7493,Cobranza!$B443,Recibos!V$4:V$7493)</f>
        <v>400</v>
      </c>
      <c r="BK443" s="314">
        <f t="shared" si="57"/>
        <v>4800</v>
      </c>
      <c r="BL443" s="313">
        <f>SUMIF(Recibos!$D$4:$D$7493,Cobranza!$B443,Recibos!X$4:X$7493)</f>
        <v>400</v>
      </c>
      <c r="BM443" s="313">
        <f>SUMIF(Recibos!$D$4:$D$7493,Cobranza!$B443,Recibos!Y$4:Y$7493)</f>
        <v>400</v>
      </c>
      <c r="BN443" s="313">
        <f>SUMIF(Recibos!$D$4:$D$7493,Cobranza!$B443,Recibos!Z$4:Z$7493)</f>
        <v>400</v>
      </c>
      <c r="BO443" s="313">
        <f>SUMIF(Recibos!$D$4:$D$7493,Cobranza!$B443,Recibos!AA$4:AA$7493)</f>
        <v>400</v>
      </c>
      <c r="BP443" s="313">
        <f>SUMIF(Recibos!$D$4:$D$7493,Cobranza!$B443,Recibos!AB$4:AB$7493)</f>
        <v>400</v>
      </c>
      <c r="BQ443" s="313">
        <f>SUMIF(Recibos!$D$4:$D$7493,Cobranza!$B443,Recibos!AC$4:AC$7493)</f>
        <v>400</v>
      </c>
      <c r="BR443" s="313">
        <f>SUMIF(Recibos!$D$4:$D$7493,Cobranza!$B443,Recibos!AD$4:AD$7493)</f>
        <v>400</v>
      </c>
      <c r="BS443" s="313">
        <f>SUMIF(Recibos!$D$4:$D$7493,Cobranza!$B443,Recibos!AE$4:AE$7493)</f>
        <v>400</v>
      </c>
      <c r="BT443" s="313">
        <f>SUMIF(Recibos!$D$4:$D$7493,Cobranza!$B443,Recibos!AF$4:AF$7493)</f>
        <v>400</v>
      </c>
      <c r="BU443" s="313">
        <f>SUMIF(Recibos!$D$4:$D$7493,Cobranza!$B443,Recibos!AG$4:AG$7493)</f>
        <v>400</v>
      </c>
      <c r="BV443" s="313">
        <f>SUMIF(Recibos!$D$4:$D$7493,Cobranza!$B443,Recibos!AH$4:AH$7493)</f>
        <v>400</v>
      </c>
      <c r="BW443" s="313">
        <f>SUMIF(Recibos!$D$4:$D$7493,Cobranza!$B443,Recibos!AI$4:AI$7493)</f>
        <v>400</v>
      </c>
      <c r="BX443" s="314">
        <f t="shared" si="58"/>
        <v>4800</v>
      </c>
      <c r="BY443" s="313">
        <f>SUMIF(Recibos!$D$4:$D$7493,Cobranza!$B443,Recibos!AK$4:AK$7493)</f>
        <v>400</v>
      </c>
      <c r="BZ443" s="313">
        <f>SUMIF(Recibos!$D$4:$D$7493,Cobranza!$B443,Recibos!AL$4:AL$7493)</f>
        <v>400</v>
      </c>
      <c r="CA443" s="313">
        <f>SUMIF(Recibos!$D$4:$D$7493,Cobranza!$B443,Recibos!AM$4:AM$7493)</f>
        <v>400</v>
      </c>
      <c r="CB443" s="313">
        <f>SUMIF(Recibos!$D$4:$D$7493,Cobranza!$B443,Recibos!AN$4:AN$7493)</f>
        <v>400</v>
      </c>
      <c r="CC443" s="313">
        <f>SUMIF(Recibos!$D$4:$D$7493,Cobranza!$B443,Recibos!AO$4:AO$7493)</f>
        <v>400</v>
      </c>
      <c r="CD443" s="313">
        <f>SUMIF(Recibos!$D$4:$D$7493,Cobranza!$B443,Recibos!AP$4:AP$7493)</f>
        <v>400</v>
      </c>
      <c r="CE443" s="313">
        <f>SUMIF(Recibos!$D$4:$D$7493,Cobranza!$B443,Recibos!AQ$4:AQ$7493)</f>
        <v>400</v>
      </c>
      <c r="CF443" s="313">
        <f>SUMIF(Recibos!$D$4:$D$7493,Cobranza!$B443,Recibos!AR$4:AR$7493)</f>
        <v>400</v>
      </c>
      <c r="CG443" s="313">
        <f>SUMIF(Recibos!$D$4:$D$7493,Cobranza!$B443,Recibos!AS$4:AS$7493)</f>
        <v>400</v>
      </c>
      <c r="CH443" s="313">
        <f>SUMIF(Recibos!$D$4:$D$7493,Cobranza!$B443,Recibos!AT$4:AT$7493)</f>
        <v>400</v>
      </c>
      <c r="CI443" s="313">
        <f>SUMIF(Recibos!$D$4:$D$7493,Cobranza!$B443,Recibos!AU$4:AU$7493)</f>
        <v>0</v>
      </c>
      <c r="CJ443" s="313">
        <f>SUMIF(Recibos!$D$4:$D$7493,Cobranza!$B443,Recibos!AV$4:AV$7493)</f>
        <v>0</v>
      </c>
      <c r="CK443" s="314">
        <f t="shared" si="52"/>
        <v>4000</v>
      </c>
    </row>
    <row r="444" spans="2:89" x14ac:dyDescent="0.2">
      <c r="B444" s="42" t="s">
        <v>987</v>
      </c>
      <c r="C444" s="42" t="s">
        <v>988</v>
      </c>
      <c r="D444" s="42" t="s">
        <v>989</v>
      </c>
      <c r="E444" s="43">
        <v>0</v>
      </c>
      <c r="F444" s="43">
        <v>0</v>
      </c>
      <c r="G444" s="43">
        <v>0</v>
      </c>
      <c r="H444" s="43">
        <v>0</v>
      </c>
      <c r="I444" s="43">
        <v>0</v>
      </c>
      <c r="J444" s="43">
        <v>0</v>
      </c>
      <c r="K444" s="44">
        <f t="shared" si="53"/>
        <v>0</v>
      </c>
      <c r="L444" s="43">
        <v>0</v>
      </c>
      <c r="M444" s="43">
        <v>0</v>
      </c>
      <c r="N444" s="43">
        <v>0</v>
      </c>
      <c r="O444" s="43">
        <v>0</v>
      </c>
      <c r="P444" s="43">
        <v>0</v>
      </c>
      <c r="Q444" s="43">
        <v>0</v>
      </c>
      <c r="R444" s="43">
        <v>0</v>
      </c>
      <c r="S444" s="43">
        <v>0</v>
      </c>
      <c r="T444" s="43">
        <v>0</v>
      </c>
      <c r="U444" s="43">
        <v>0</v>
      </c>
      <c r="V444" s="43">
        <v>0</v>
      </c>
      <c r="W444" s="43">
        <v>0</v>
      </c>
      <c r="X444" s="44">
        <f t="shared" si="54"/>
        <v>0</v>
      </c>
      <c r="Y444" s="43">
        <v>0</v>
      </c>
      <c r="Z444" s="43">
        <v>0</v>
      </c>
      <c r="AA444" s="43">
        <v>0</v>
      </c>
      <c r="AB444" s="43">
        <v>0</v>
      </c>
      <c r="AC444" s="43">
        <v>0</v>
      </c>
      <c r="AD444" s="43">
        <v>0</v>
      </c>
      <c r="AE444" s="43">
        <v>0</v>
      </c>
      <c r="AF444" s="43">
        <v>0</v>
      </c>
      <c r="AG444" s="43">
        <v>0</v>
      </c>
      <c r="AH444" s="43">
        <v>0</v>
      </c>
      <c r="AI444" s="43">
        <v>0</v>
      </c>
      <c r="AJ444" s="43">
        <v>0</v>
      </c>
      <c r="AK444" s="44">
        <f t="shared" si="55"/>
        <v>0</v>
      </c>
      <c r="AL444" s="43">
        <v>0</v>
      </c>
      <c r="AM444" s="43">
        <v>0</v>
      </c>
      <c r="AN444" s="43">
        <v>0</v>
      </c>
      <c r="AO444" s="43">
        <v>0</v>
      </c>
      <c r="AP444" s="43">
        <v>0</v>
      </c>
      <c r="AQ444" s="43">
        <v>0</v>
      </c>
      <c r="AR444" s="43">
        <v>0</v>
      </c>
      <c r="AS444" s="43">
        <v>0</v>
      </c>
      <c r="AT444" s="43">
        <v>0</v>
      </c>
      <c r="AU444" s="43">
        <v>0</v>
      </c>
      <c r="AV444" s="43">
        <v>0</v>
      </c>
      <c r="AW444" s="43">
        <v>0</v>
      </c>
      <c r="AX444" s="44">
        <f t="shared" si="56"/>
        <v>0</v>
      </c>
      <c r="AY444" s="311">
        <f>SUMIF(Recibos!$D$4:$D$7493,Cobranza!$B444,Recibos!K$4:K$7493)</f>
        <v>200</v>
      </c>
      <c r="AZ444" s="311">
        <f>SUMIF(Recibos!$D$4:$D$7493,Cobranza!$B444,Recibos!L$4:L$7493)</f>
        <v>200</v>
      </c>
      <c r="BA444" s="311">
        <f>SUMIF(Recibos!$D$4:$D$7493,Cobranza!$B444,Recibos!M$4:M$7493)</f>
        <v>200</v>
      </c>
      <c r="BB444" s="311">
        <f>SUMIF(Recibos!$D$4:$D$7493,Cobranza!$B444,Recibos!N$4:N$7493)</f>
        <v>200</v>
      </c>
      <c r="BC444" s="311">
        <f>SUMIF(Recibos!$D$4:$D$7493,Cobranza!$B444,Recibos!O$4:O$7493)</f>
        <v>0</v>
      </c>
      <c r="BD444" s="311">
        <f>SUMIF(Recibos!$D$4:$D$7493,Cobranza!$B444,Recibos!P$4:P$7493)</f>
        <v>0</v>
      </c>
      <c r="BE444" s="311">
        <f>SUMIF(Recibos!$D$4:$D$7493,Cobranza!$B444,Recibos!Q$4:Q$7493)</f>
        <v>0</v>
      </c>
      <c r="BF444" s="311">
        <f>SUMIF(Recibos!$D$4:$D$7493,Cobranza!$B444,Recibos!R$4:R$7493)</f>
        <v>0</v>
      </c>
      <c r="BG444" s="311">
        <f>SUMIF(Recibos!$D$4:$D$7493,Cobranza!$B444,Recibos!S$4:S$7493)</f>
        <v>0</v>
      </c>
      <c r="BH444" s="311">
        <f>SUMIF(Recibos!$D$4:$D$7493,Cobranza!$B444,Recibos!T$4:T$7493)</f>
        <v>0</v>
      </c>
      <c r="BI444" s="311">
        <f>SUMIF(Recibos!$D$4:$D$7493,Cobranza!$B444,Recibos!U$4:U$7493)</f>
        <v>0</v>
      </c>
      <c r="BJ444" s="311">
        <f>SUMIF(Recibos!$D$4:$D$7493,Cobranza!$B444,Recibos!V$4:V$7493)</f>
        <v>0</v>
      </c>
      <c r="BK444" s="312">
        <f t="shared" si="57"/>
        <v>800</v>
      </c>
      <c r="BL444" s="311">
        <f>SUMIF(Recibos!$D$4:$D$7493,Cobranza!$B444,Recibos!X$4:X$7493)</f>
        <v>0</v>
      </c>
      <c r="BM444" s="311">
        <f>SUMIF(Recibos!$D$4:$D$7493,Cobranza!$B444,Recibos!Y$4:Y$7493)</f>
        <v>0</v>
      </c>
      <c r="BN444" s="311">
        <f>SUMIF(Recibos!$D$4:$D$7493,Cobranza!$B444,Recibos!Z$4:Z$7493)</f>
        <v>0</v>
      </c>
      <c r="BO444" s="311">
        <f>SUMIF(Recibos!$D$4:$D$7493,Cobranza!$B444,Recibos!AA$4:AA$7493)</f>
        <v>0</v>
      </c>
      <c r="BP444" s="311">
        <f>SUMIF(Recibos!$D$4:$D$7493,Cobranza!$B444,Recibos!AB$4:AB$7493)</f>
        <v>0</v>
      </c>
      <c r="BQ444" s="311">
        <f>SUMIF(Recibos!$D$4:$D$7493,Cobranza!$B444,Recibos!AC$4:AC$7493)</f>
        <v>0</v>
      </c>
      <c r="BR444" s="311">
        <f>SUMIF(Recibos!$D$4:$D$7493,Cobranza!$B444,Recibos!AD$4:AD$7493)</f>
        <v>0</v>
      </c>
      <c r="BS444" s="311">
        <f>SUMIF(Recibos!$D$4:$D$7493,Cobranza!$B444,Recibos!AE$4:AE$7493)</f>
        <v>0</v>
      </c>
      <c r="BT444" s="311">
        <f>SUMIF(Recibos!$D$4:$D$7493,Cobranza!$B444,Recibos!AF$4:AF$7493)</f>
        <v>0</v>
      </c>
      <c r="BU444" s="311">
        <f>SUMIF(Recibos!$D$4:$D$7493,Cobranza!$B444,Recibos!AG$4:AG$7493)</f>
        <v>0</v>
      </c>
      <c r="BV444" s="311">
        <f>SUMIF(Recibos!$D$4:$D$7493,Cobranza!$B444,Recibos!AH$4:AH$7493)</f>
        <v>0</v>
      </c>
      <c r="BW444" s="311">
        <f>SUMIF(Recibos!$D$4:$D$7493,Cobranza!$B444,Recibos!AI$4:AI$7493)</f>
        <v>0</v>
      </c>
      <c r="BX444" s="312">
        <f t="shared" si="58"/>
        <v>0</v>
      </c>
      <c r="BY444" s="311">
        <f>SUMIF(Recibos!$D$4:$D$7493,Cobranza!$B444,Recibos!AK$4:AK$7493)</f>
        <v>0</v>
      </c>
      <c r="BZ444" s="311">
        <f>SUMIF(Recibos!$D$4:$D$7493,Cobranza!$B444,Recibos!AL$4:AL$7493)</f>
        <v>0</v>
      </c>
      <c r="CA444" s="311">
        <f>SUMIF(Recibos!$D$4:$D$7493,Cobranza!$B444,Recibos!AM$4:AM$7493)</f>
        <v>0</v>
      </c>
      <c r="CB444" s="311">
        <f>SUMIF(Recibos!$D$4:$D$7493,Cobranza!$B444,Recibos!AN$4:AN$7493)</f>
        <v>0</v>
      </c>
      <c r="CC444" s="311">
        <f>SUMIF(Recibos!$D$4:$D$7493,Cobranza!$B444,Recibos!AO$4:AO$7493)</f>
        <v>0</v>
      </c>
      <c r="CD444" s="311">
        <f>SUMIF(Recibos!$D$4:$D$7493,Cobranza!$B444,Recibos!AP$4:AP$7493)</f>
        <v>0</v>
      </c>
      <c r="CE444" s="311">
        <f>SUMIF(Recibos!$D$4:$D$7493,Cobranza!$B444,Recibos!AQ$4:AQ$7493)</f>
        <v>0</v>
      </c>
      <c r="CF444" s="311">
        <f>SUMIF(Recibos!$D$4:$D$7493,Cobranza!$B444,Recibos!AR$4:AR$7493)</f>
        <v>0</v>
      </c>
      <c r="CG444" s="311">
        <f>SUMIF(Recibos!$D$4:$D$7493,Cobranza!$B444,Recibos!AS$4:AS$7493)</f>
        <v>0</v>
      </c>
      <c r="CH444" s="311">
        <f>SUMIF(Recibos!$D$4:$D$7493,Cobranza!$B444,Recibos!AT$4:AT$7493)</f>
        <v>0</v>
      </c>
      <c r="CI444" s="311">
        <f>SUMIF(Recibos!$D$4:$D$7493,Cobranza!$B444,Recibos!AU$4:AU$7493)</f>
        <v>0</v>
      </c>
      <c r="CJ444" s="311">
        <f>SUMIF(Recibos!$D$4:$D$7493,Cobranza!$B444,Recibos!AV$4:AV$7493)</f>
        <v>0</v>
      </c>
      <c r="CK444" s="312">
        <f t="shared" si="52"/>
        <v>0</v>
      </c>
    </row>
    <row r="445" spans="2:89" x14ac:dyDescent="0.2">
      <c r="B445" s="45" t="s">
        <v>159</v>
      </c>
      <c r="C445" s="45" t="s">
        <v>160</v>
      </c>
      <c r="D445" s="45" t="s">
        <v>161</v>
      </c>
      <c r="E445" s="46">
        <v>0</v>
      </c>
      <c r="F445" s="46">
        <v>0</v>
      </c>
      <c r="G445" s="46">
        <v>0</v>
      </c>
      <c r="H445" s="46">
        <v>0</v>
      </c>
      <c r="I445" s="46">
        <v>0</v>
      </c>
      <c r="J445" s="46">
        <v>300</v>
      </c>
      <c r="K445" s="47">
        <f t="shared" si="53"/>
        <v>300</v>
      </c>
      <c r="L445" s="46">
        <v>300</v>
      </c>
      <c r="M445" s="46">
        <v>300</v>
      </c>
      <c r="N445" s="46">
        <v>300</v>
      </c>
      <c r="O445" s="46">
        <v>300</v>
      </c>
      <c r="P445" s="46">
        <v>300</v>
      </c>
      <c r="Q445" s="46">
        <v>300</v>
      </c>
      <c r="R445" s="46">
        <v>300</v>
      </c>
      <c r="S445" s="46">
        <v>300</v>
      </c>
      <c r="T445" s="46">
        <v>300</v>
      </c>
      <c r="U445" s="46">
        <v>300</v>
      </c>
      <c r="V445" s="46">
        <v>400</v>
      </c>
      <c r="W445" s="46">
        <v>400</v>
      </c>
      <c r="X445" s="47">
        <f t="shared" si="54"/>
        <v>3800</v>
      </c>
      <c r="Y445" s="46">
        <v>400</v>
      </c>
      <c r="Z445" s="46">
        <v>400</v>
      </c>
      <c r="AA445" s="46">
        <v>400</v>
      </c>
      <c r="AB445" s="46">
        <v>400</v>
      </c>
      <c r="AC445" s="46">
        <v>400</v>
      </c>
      <c r="AD445" s="46">
        <v>400</v>
      </c>
      <c r="AE445" s="46">
        <v>400</v>
      </c>
      <c r="AF445" s="46">
        <v>400</v>
      </c>
      <c r="AG445" s="46">
        <v>400</v>
      </c>
      <c r="AH445" s="46">
        <v>400</v>
      </c>
      <c r="AI445" s="46">
        <v>400</v>
      </c>
      <c r="AJ445" s="46">
        <v>400</v>
      </c>
      <c r="AK445" s="47">
        <f t="shared" si="55"/>
        <v>4800</v>
      </c>
      <c r="AL445" s="46">
        <v>400</v>
      </c>
      <c r="AM445" s="46">
        <v>400</v>
      </c>
      <c r="AN445" s="46">
        <v>400</v>
      </c>
      <c r="AO445" s="46">
        <v>400</v>
      </c>
      <c r="AP445" s="46">
        <v>400</v>
      </c>
      <c r="AQ445" s="46">
        <v>400</v>
      </c>
      <c r="AR445" s="46">
        <v>400</v>
      </c>
      <c r="AS445" s="46">
        <v>400</v>
      </c>
      <c r="AT445" s="46">
        <v>400</v>
      </c>
      <c r="AU445" s="46">
        <v>400</v>
      </c>
      <c r="AV445" s="46">
        <v>400</v>
      </c>
      <c r="AW445" s="46">
        <v>400</v>
      </c>
      <c r="AX445" s="47">
        <f t="shared" si="56"/>
        <v>4800</v>
      </c>
      <c r="AY445" s="313">
        <f>SUMIF(Recibos!$D$4:$D$7493,Cobranza!$B445,Recibos!K$4:K$7493)</f>
        <v>400</v>
      </c>
      <c r="AZ445" s="313">
        <f>SUMIF(Recibos!$D$4:$D$7493,Cobranza!$B445,Recibos!L$4:L$7493)</f>
        <v>400</v>
      </c>
      <c r="BA445" s="313">
        <f>SUMIF(Recibos!$D$4:$D$7493,Cobranza!$B445,Recibos!M$4:M$7493)</f>
        <v>400</v>
      </c>
      <c r="BB445" s="313">
        <f>SUMIF(Recibos!$D$4:$D$7493,Cobranza!$B445,Recibos!N$4:N$7493)</f>
        <v>400</v>
      </c>
      <c r="BC445" s="313">
        <f>SUMIF(Recibos!$D$4:$D$7493,Cobranza!$B445,Recibos!O$4:O$7493)</f>
        <v>400</v>
      </c>
      <c r="BD445" s="313">
        <f>SUMIF(Recibos!$D$4:$D$7493,Cobranza!$B445,Recibos!P$4:P$7493)</f>
        <v>400</v>
      </c>
      <c r="BE445" s="313">
        <f>SUMIF(Recibos!$D$4:$D$7493,Cobranza!$B445,Recibos!Q$4:Q$7493)</f>
        <v>400</v>
      </c>
      <c r="BF445" s="313">
        <f>SUMIF(Recibos!$D$4:$D$7493,Cobranza!$B445,Recibos!R$4:R$7493)</f>
        <v>400</v>
      </c>
      <c r="BG445" s="313">
        <f>SUMIF(Recibos!$D$4:$D$7493,Cobranza!$B445,Recibos!S$4:S$7493)</f>
        <v>400</v>
      </c>
      <c r="BH445" s="313">
        <f>SUMIF(Recibos!$D$4:$D$7493,Cobranza!$B445,Recibos!T$4:T$7493)</f>
        <v>400</v>
      </c>
      <c r="BI445" s="313">
        <f>SUMIF(Recibos!$D$4:$D$7493,Cobranza!$B445,Recibos!U$4:U$7493)</f>
        <v>400</v>
      </c>
      <c r="BJ445" s="313">
        <f>SUMIF(Recibos!$D$4:$D$7493,Cobranza!$B445,Recibos!V$4:V$7493)</f>
        <v>400</v>
      </c>
      <c r="BK445" s="314">
        <f t="shared" si="57"/>
        <v>4800</v>
      </c>
      <c r="BL445" s="313">
        <f>SUMIF(Recibos!$D$4:$D$7493,Cobranza!$B445,Recibos!X$4:X$7493)</f>
        <v>400</v>
      </c>
      <c r="BM445" s="313">
        <f>SUMIF(Recibos!$D$4:$D$7493,Cobranza!$B445,Recibos!Y$4:Y$7493)</f>
        <v>400</v>
      </c>
      <c r="BN445" s="313">
        <f>SUMIF(Recibos!$D$4:$D$7493,Cobranza!$B445,Recibos!Z$4:Z$7493)</f>
        <v>400</v>
      </c>
      <c r="BO445" s="313">
        <f>SUMIF(Recibos!$D$4:$D$7493,Cobranza!$B445,Recibos!AA$4:AA$7493)</f>
        <v>400</v>
      </c>
      <c r="BP445" s="313">
        <f>SUMIF(Recibos!$D$4:$D$7493,Cobranza!$B445,Recibos!AB$4:AB$7493)</f>
        <v>400</v>
      </c>
      <c r="BQ445" s="313">
        <f>SUMIF(Recibos!$D$4:$D$7493,Cobranza!$B445,Recibos!AC$4:AC$7493)</f>
        <v>400</v>
      </c>
      <c r="BR445" s="313">
        <f>SUMIF(Recibos!$D$4:$D$7493,Cobranza!$B445,Recibos!AD$4:AD$7493)</f>
        <v>400</v>
      </c>
      <c r="BS445" s="313">
        <f>SUMIF(Recibos!$D$4:$D$7493,Cobranza!$B445,Recibos!AE$4:AE$7493)</f>
        <v>400</v>
      </c>
      <c r="BT445" s="313">
        <f>SUMIF(Recibos!$D$4:$D$7493,Cobranza!$B445,Recibos!AF$4:AF$7493)</f>
        <v>400</v>
      </c>
      <c r="BU445" s="313">
        <f>SUMIF(Recibos!$D$4:$D$7493,Cobranza!$B445,Recibos!AG$4:AG$7493)</f>
        <v>400</v>
      </c>
      <c r="BV445" s="313">
        <f>SUMIF(Recibos!$D$4:$D$7493,Cobranza!$B445,Recibos!AH$4:AH$7493)</f>
        <v>400</v>
      </c>
      <c r="BW445" s="313">
        <f>SUMIF(Recibos!$D$4:$D$7493,Cobranza!$B445,Recibos!AI$4:AI$7493)</f>
        <v>400</v>
      </c>
      <c r="BX445" s="314">
        <f t="shared" si="58"/>
        <v>4800</v>
      </c>
      <c r="BY445" s="313">
        <f>SUMIF(Recibos!$D$4:$D$7493,Cobranza!$B445,Recibos!AK$4:AK$7493)</f>
        <v>400</v>
      </c>
      <c r="BZ445" s="313">
        <f>SUMIF(Recibos!$D$4:$D$7493,Cobranza!$B445,Recibos!AL$4:AL$7493)</f>
        <v>400</v>
      </c>
      <c r="CA445" s="313">
        <f>SUMIF(Recibos!$D$4:$D$7493,Cobranza!$B445,Recibos!AM$4:AM$7493)</f>
        <v>400</v>
      </c>
      <c r="CB445" s="313">
        <f>SUMIF(Recibos!$D$4:$D$7493,Cobranza!$B445,Recibos!AN$4:AN$7493)</f>
        <v>400</v>
      </c>
      <c r="CC445" s="313">
        <f>SUMIF(Recibos!$D$4:$D$7493,Cobranza!$B445,Recibos!AO$4:AO$7493)</f>
        <v>400</v>
      </c>
      <c r="CD445" s="313">
        <f>SUMIF(Recibos!$D$4:$D$7493,Cobranza!$B445,Recibos!AP$4:AP$7493)</f>
        <v>400</v>
      </c>
      <c r="CE445" s="313">
        <f>SUMIF(Recibos!$D$4:$D$7493,Cobranza!$B445,Recibos!AQ$4:AQ$7493)</f>
        <v>400</v>
      </c>
      <c r="CF445" s="313">
        <f>SUMIF(Recibos!$D$4:$D$7493,Cobranza!$B445,Recibos!AR$4:AR$7493)</f>
        <v>400</v>
      </c>
      <c r="CG445" s="313">
        <f>SUMIF(Recibos!$D$4:$D$7493,Cobranza!$B445,Recibos!AS$4:AS$7493)</f>
        <v>400</v>
      </c>
      <c r="CH445" s="313">
        <f>SUMIF(Recibos!$D$4:$D$7493,Cobranza!$B445,Recibos!AT$4:AT$7493)</f>
        <v>400</v>
      </c>
      <c r="CI445" s="313">
        <f>SUMIF(Recibos!$D$4:$D$7493,Cobranza!$B445,Recibos!AU$4:AU$7493)</f>
        <v>0</v>
      </c>
      <c r="CJ445" s="313">
        <f>SUMIF(Recibos!$D$4:$D$7493,Cobranza!$B445,Recibos!AV$4:AV$7493)</f>
        <v>0</v>
      </c>
      <c r="CK445" s="314">
        <f t="shared" si="52"/>
        <v>4000</v>
      </c>
    </row>
    <row r="446" spans="2:89" x14ac:dyDescent="0.2">
      <c r="B446" s="42" t="s">
        <v>556</v>
      </c>
      <c r="C446" s="42" t="s">
        <v>557</v>
      </c>
      <c r="D446" s="42" t="s">
        <v>558</v>
      </c>
      <c r="E446" s="43">
        <v>0</v>
      </c>
      <c r="F446" s="43">
        <v>0</v>
      </c>
      <c r="G446" s="43">
        <v>0</v>
      </c>
      <c r="H446" s="43">
        <v>0</v>
      </c>
      <c r="I446" s="43">
        <v>0</v>
      </c>
      <c r="J446" s="43">
        <v>300</v>
      </c>
      <c r="K446" s="44">
        <f t="shared" si="53"/>
        <v>300</v>
      </c>
      <c r="L446" s="43">
        <v>300</v>
      </c>
      <c r="M446" s="43">
        <v>300</v>
      </c>
      <c r="N446" s="43">
        <v>300</v>
      </c>
      <c r="O446" s="43">
        <v>300</v>
      </c>
      <c r="P446" s="43">
        <v>300</v>
      </c>
      <c r="Q446" s="43">
        <v>300</v>
      </c>
      <c r="R446" s="43">
        <v>300</v>
      </c>
      <c r="S446" s="43">
        <v>300</v>
      </c>
      <c r="T446" s="43">
        <v>300</v>
      </c>
      <c r="U446" s="43">
        <v>300</v>
      </c>
      <c r="V446" s="43">
        <v>400</v>
      </c>
      <c r="W446" s="43">
        <v>0</v>
      </c>
      <c r="X446" s="44">
        <f t="shared" si="54"/>
        <v>3400</v>
      </c>
      <c r="Y446" s="43">
        <v>400</v>
      </c>
      <c r="Z446" s="43">
        <v>400</v>
      </c>
      <c r="AA446" s="43">
        <v>0</v>
      </c>
      <c r="AB446" s="43">
        <v>400</v>
      </c>
      <c r="AC446" s="43">
        <v>400</v>
      </c>
      <c r="AD446" s="43">
        <v>0</v>
      </c>
      <c r="AE446" s="43">
        <v>400</v>
      </c>
      <c r="AF446" s="43">
        <v>800</v>
      </c>
      <c r="AG446" s="43">
        <v>400</v>
      </c>
      <c r="AH446" s="43">
        <v>400</v>
      </c>
      <c r="AI446" s="43">
        <v>400</v>
      </c>
      <c r="AJ446" s="43">
        <v>400</v>
      </c>
      <c r="AK446" s="44">
        <f t="shared" si="55"/>
        <v>4400</v>
      </c>
      <c r="AL446" s="43">
        <v>400</v>
      </c>
      <c r="AM446" s="43">
        <v>400</v>
      </c>
      <c r="AN446" s="43">
        <v>400</v>
      </c>
      <c r="AO446" s="43">
        <v>400</v>
      </c>
      <c r="AP446" s="43">
        <v>400</v>
      </c>
      <c r="AQ446" s="43">
        <v>400</v>
      </c>
      <c r="AR446" s="43">
        <v>400</v>
      </c>
      <c r="AS446" s="43">
        <v>400</v>
      </c>
      <c r="AT446" s="43">
        <v>400</v>
      </c>
      <c r="AU446" s="43">
        <v>400</v>
      </c>
      <c r="AV446" s="43">
        <v>400</v>
      </c>
      <c r="AW446" s="43">
        <v>400</v>
      </c>
      <c r="AX446" s="44">
        <f t="shared" si="56"/>
        <v>4800</v>
      </c>
      <c r="AY446" s="311">
        <f>SUMIF(Recibos!$D$4:$D$7493,Cobranza!$B446,Recibos!K$4:K$7493)</f>
        <v>400</v>
      </c>
      <c r="AZ446" s="311">
        <f>SUMIF(Recibos!$D$4:$D$7493,Cobranza!$B446,Recibos!L$4:L$7493)</f>
        <v>400</v>
      </c>
      <c r="BA446" s="311">
        <f>SUMIF(Recibos!$D$4:$D$7493,Cobranza!$B446,Recibos!M$4:M$7493)</f>
        <v>400</v>
      </c>
      <c r="BB446" s="311">
        <f>SUMIF(Recibos!$D$4:$D$7493,Cobranza!$B446,Recibos!N$4:N$7493)</f>
        <v>400</v>
      </c>
      <c r="BC446" s="311">
        <f>SUMIF(Recibos!$D$4:$D$7493,Cobranza!$B446,Recibos!O$4:O$7493)</f>
        <v>400</v>
      </c>
      <c r="BD446" s="311">
        <f>SUMIF(Recibos!$D$4:$D$7493,Cobranza!$B446,Recibos!P$4:P$7493)</f>
        <v>400</v>
      </c>
      <c r="BE446" s="311">
        <f>SUMIF(Recibos!$D$4:$D$7493,Cobranza!$B446,Recibos!Q$4:Q$7493)</f>
        <v>400</v>
      </c>
      <c r="BF446" s="311">
        <f>SUMIF(Recibos!$D$4:$D$7493,Cobranza!$B446,Recibos!R$4:R$7493)</f>
        <v>400</v>
      </c>
      <c r="BG446" s="311">
        <f>SUMIF(Recibos!$D$4:$D$7493,Cobranza!$B446,Recibos!S$4:S$7493)</f>
        <v>400</v>
      </c>
      <c r="BH446" s="311">
        <f>SUMIF(Recibos!$D$4:$D$7493,Cobranza!$B446,Recibos!T$4:T$7493)</f>
        <v>400</v>
      </c>
      <c r="BI446" s="311">
        <f>SUMIF(Recibos!$D$4:$D$7493,Cobranza!$B446,Recibos!U$4:U$7493)</f>
        <v>400</v>
      </c>
      <c r="BJ446" s="311">
        <f>SUMIF(Recibos!$D$4:$D$7493,Cobranza!$B446,Recibos!V$4:V$7493)</f>
        <v>400</v>
      </c>
      <c r="BK446" s="312">
        <f t="shared" si="57"/>
        <v>4800</v>
      </c>
      <c r="BL446" s="311">
        <f>SUMIF(Recibos!$D$4:$D$7493,Cobranza!$B446,Recibos!X$4:X$7493)</f>
        <v>400</v>
      </c>
      <c r="BM446" s="311">
        <f>SUMIF(Recibos!$D$4:$D$7493,Cobranza!$B446,Recibos!Y$4:Y$7493)</f>
        <v>400</v>
      </c>
      <c r="BN446" s="311">
        <f>SUMIF(Recibos!$D$4:$D$7493,Cobranza!$B446,Recibos!Z$4:Z$7493)</f>
        <v>400</v>
      </c>
      <c r="BO446" s="311">
        <f>SUMIF(Recibos!$D$4:$D$7493,Cobranza!$B446,Recibos!AA$4:AA$7493)</f>
        <v>400</v>
      </c>
      <c r="BP446" s="311">
        <f>SUMIF(Recibos!$D$4:$D$7493,Cobranza!$B446,Recibos!AB$4:AB$7493)</f>
        <v>400</v>
      </c>
      <c r="BQ446" s="311">
        <f>SUMIF(Recibos!$D$4:$D$7493,Cobranza!$B446,Recibos!AC$4:AC$7493)</f>
        <v>400</v>
      </c>
      <c r="BR446" s="311">
        <f>SUMIF(Recibos!$D$4:$D$7493,Cobranza!$B446,Recibos!AD$4:AD$7493)</f>
        <v>400</v>
      </c>
      <c r="BS446" s="311">
        <f>SUMIF(Recibos!$D$4:$D$7493,Cobranza!$B446,Recibos!AE$4:AE$7493)</f>
        <v>400</v>
      </c>
      <c r="BT446" s="311">
        <f>SUMIF(Recibos!$D$4:$D$7493,Cobranza!$B446,Recibos!AF$4:AF$7493)</f>
        <v>400</v>
      </c>
      <c r="BU446" s="311">
        <f>SUMIF(Recibos!$D$4:$D$7493,Cobranza!$B446,Recibos!AG$4:AG$7493)</f>
        <v>400</v>
      </c>
      <c r="BV446" s="311">
        <f>SUMIF(Recibos!$D$4:$D$7493,Cobranza!$B446,Recibos!AH$4:AH$7493)</f>
        <v>400</v>
      </c>
      <c r="BW446" s="311">
        <f>SUMIF(Recibos!$D$4:$D$7493,Cobranza!$B446,Recibos!AI$4:AI$7493)</f>
        <v>400</v>
      </c>
      <c r="BX446" s="312">
        <f t="shared" si="58"/>
        <v>4800</v>
      </c>
      <c r="BY446" s="311">
        <f>SUMIF(Recibos!$D$4:$D$7493,Cobranza!$B446,Recibos!AK$4:AK$7493)</f>
        <v>400</v>
      </c>
      <c r="BZ446" s="311">
        <f>SUMIF(Recibos!$D$4:$D$7493,Cobranza!$B446,Recibos!AL$4:AL$7493)</f>
        <v>400</v>
      </c>
      <c r="CA446" s="311">
        <f>SUMIF(Recibos!$D$4:$D$7493,Cobranza!$B446,Recibos!AM$4:AM$7493)</f>
        <v>400</v>
      </c>
      <c r="CB446" s="311">
        <f>SUMIF(Recibos!$D$4:$D$7493,Cobranza!$B446,Recibos!AN$4:AN$7493)</f>
        <v>400</v>
      </c>
      <c r="CC446" s="311">
        <f>SUMIF(Recibos!$D$4:$D$7493,Cobranza!$B446,Recibos!AO$4:AO$7493)</f>
        <v>400</v>
      </c>
      <c r="CD446" s="311">
        <f>SUMIF(Recibos!$D$4:$D$7493,Cobranza!$B446,Recibos!AP$4:AP$7493)</f>
        <v>400</v>
      </c>
      <c r="CE446" s="311">
        <f>SUMIF(Recibos!$D$4:$D$7493,Cobranza!$B446,Recibos!AQ$4:AQ$7493)</f>
        <v>400</v>
      </c>
      <c r="CF446" s="311">
        <f>SUMIF(Recibos!$D$4:$D$7493,Cobranza!$B446,Recibos!AR$4:AR$7493)</f>
        <v>400</v>
      </c>
      <c r="CG446" s="311">
        <f>SUMIF(Recibos!$D$4:$D$7493,Cobranza!$B446,Recibos!AS$4:AS$7493)</f>
        <v>0</v>
      </c>
      <c r="CH446" s="311">
        <f>SUMIF(Recibos!$D$4:$D$7493,Cobranza!$B446,Recibos!AT$4:AT$7493)</f>
        <v>0</v>
      </c>
      <c r="CI446" s="311">
        <f>SUMIF(Recibos!$D$4:$D$7493,Cobranza!$B446,Recibos!AU$4:AU$7493)</f>
        <v>0</v>
      </c>
      <c r="CJ446" s="311">
        <f>SUMIF(Recibos!$D$4:$D$7493,Cobranza!$B446,Recibos!AV$4:AV$7493)</f>
        <v>0</v>
      </c>
      <c r="CK446" s="312">
        <f t="shared" si="52"/>
        <v>3200</v>
      </c>
    </row>
    <row r="447" spans="2:89" x14ac:dyDescent="0.2">
      <c r="B447" s="45" t="s">
        <v>1455</v>
      </c>
      <c r="C447" s="45" t="s">
        <v>1456</v>
      </c>
      <c r="D447" s="45" t="s">
        <v>1457</v>
      </c>
      <c r="E447" s="46">
        <v>0</v>
      </c>
      <c r="F447" s="46">
        <v>0</v>
      </c>
      <c r="G447" s="46">
        <v>0</v>
      </c>
      <c r="H447" s="46">
        <v>0</v>
      </c>
      <c r="I447" s="46">
        <v>0</v>
      </c>
      <c r="J447" s="46">
        <v>0</v>
      </c>
      <c r="K447" s="47">
        <f t="shared" si="53"/>
        <v>0</v>
      </c>
      <c r="L447" s="46">
        <v>300</v>
      </c>
      <c r="M447" s="46">
        <v>300</v>
      </c>
      <c r="N447" s="46">
        <v>300</v>
      </c>
      <c r="O447" s="46">
        <v>300</v>
      </c>
      <c r="P447" s="46">
        <v>300</v>
      </c>
      <c r="Q447" s="46">
        <v>300</v>
      </c>
      <c r="R447" s="46">
        <v>300</v>
      </c>
      <c r="S447" s="46">
        <v>300</v>
      </c>
      <c r="T447" s="46">
        <v>300</v>
      </c>
      <c r="U447" s="46">
        <v>300</v>
      </c>
      <c r="V447" s="46">
        <v>400</v>
      </c>
      <c r="W447" s="46">
        <v>0</v>
      </c>
      <c r="X447" s="47">
        <f t="shared" si="54"/>
        <v>3400</v>
      </c>
      <c r="Y447" s="46">
        <v>400</v>
      </c>
      <c r="Z447" s="46">
        <v>0</v>
      </c>
      <c r="AA447" s="46">
        <v>0</v>
      </c>
      <c r="AB447" s="46">
        <v>0</v>
      </c>
      <c r="AC447" s="46">
        <v>400</v>
      </c>
      <c r="AD447" s="46">
        <v>400</v>
      </c>
      <c r="AE447" s="46">
        <v>400</v>
      </c>
      <c r="AF447" s="46">
        <v>400</v>
      </c>
      <c r="AG447" s="46">
        <v>400</v>
      </c>
      <c r="AH447" s="46">
        <v>400</v>
      </c>
      <c r="AI447" s="46">
        <v>400</v>
      </c>
      <c r="AJ447" s="46">
        <v>400</v>
      </c>
      <c r="AK447" s="47">
        <f t="shared" si="55"/>
        <v>3600</v>
      </c>
      <c r="AL447" s="46">
        <v>400</v>
      </c>
      <c r="AM447" s="46">
        <v>400</v>
      </c>
      <c r="AN447" s="46">
        <v>400</v>
      </c>
      <c r="AO447" s="46">
        <v>400</v>
      </c>
      <c r="AP447" s="46">
        <v>400</v>
      </c>
      <c r="AQ447" s="46">
        <v>400</v>
      </c>
      <c r="AR447" s="46">
        <v>400</v>
      </c>
      <c r="AS447" s="46">
        <v>400</v>
      </c>
      <c r="AT447" s="46">
        <v>400</v>
      </c>
      <c r="AU447" s="46">
        <v>400</v>
      </c>
      <c r="AV447" s="46">
        <v>400</v>
      </c>
      <c r="AW447" s="46">
        <v>0</v>
      </c>
      <c r="AX447" s="47">
        <f t="shared" si="56"/>
        <v>4400</v>
      </c>
      <c r="AY447" s="313">
        <f>SUMIF(Recibos!$D$4:$D$7493,Cobranza!$B447,Recibos!K$4:K$7493)</f>
        <v>0</v>
      </c>
      <c r="AZ447" s="313">
        <f>SUMIF(Recibos!$D$4:$D$7493,Cobranza!$B447,Recibos!L$4:L$7493)</f>
        <v>0</v>
      </c>
      <c r="BA447" s="313">
        <f>SUMIF(Recibos!$D$4:$D$7493,Cobranza!$B447,Recibos!M$4:M$7493)</f>
        <v>0</v>
      </c>
      <c r="BB447" s="313">
        <f>SUMIF(Recibos!$D$4:$D$7493,Cobranza!$B447,Recibos!N$4:N$7493)</f>
        <v>0</v>
      </c>
      <c r="BC447" s="313">
        <f>SUMIF(Recibos!$D$4:$D$7493,Cobranza!$B447,Recibos!O$4:O$7493)</f>
        <v>0</v>
      </c>
      <c r="BD447" s="313">
        <f>SUMIF(Recibos!$D$4:$D$7493,Cobranza!$B447,Recibos!P$4:P$7493)</f>
        <v>0</v>
      </c>
      <c r="BE447" s="313">
        <f>SUMIF(Recibos!$D$4:$D$7493,Cobranza!$B447,Recibos!Q$4:Q$7493)</f>
        <v>0</v>
      </c>
      <c r="BF447" s="313">
        <f>SUMIF(Recibos!$D$4:$D$7493,Cobranza!$B447,Recibos!R$4:R$7493)</f>
        <v>0</v>
      </c>
      <c r="BG447" s="313">
        <f>SUMIF(Recibos!$D$4:$D$7493,Cobranza!$B447,Recibos!S$4:S$7493)</f>
        <v>0</v>
      </c>
      <c r="BH447" s="313">
        <f>SUMIF(Recibos!$D$4:$D$7493,Cobranza!$B447,Recibos!T$4:T$7493)</f>
        <v>0</v>
      </c>
      <c r="BI447" s="313">
        <f>SUMIF(Recibos!$D$4:$D$7493,Cobranza!$B447,Recibos!U$4:U$7493)</f>
        <v>0</v>
      </c>
      <c r="BJ447" s="313">
        <f>SUMIF(Recibos!$D$4:$D$7493,Cobranza!$B447,Recibos!V$4:V$7493)</f>
        <v>0</v>
      </c>
      <c r="BK447" s="314">
        <f t="shared" si="57"/>
        <v>0</v>
      </c>
      <c r="BL447" s="313">
        <f>SUMIF(Recibos!$D$4:$D$7493,Cobranza!$B447,Recibos!X$4:X$7493)</f>
        <v>0</v>
      </c>
      <c r="BM447" s="313">
        <f>SUMIF(Recibos!$D$4:$D$7493,Cobranza!$B447,Recibos!Y$4:Y$7493)</f>
        <v>0</v>
      </c>
      <c r="BN447" s="313">
        <f>SUMIF(Recibos!$D$4:$D$7493,Cobranza!$B447,Recibos!Z$4:Z$7493)</f>
        <v>0</v>
      </c>
      <c r="BO447" s="313">
        <f>SUMIF(Recibos!$D$4:$D$7493,Cobranza!$B447,Recibos!AA$4:AA$7493)</f>
        <v>0</v>
      </c>
      <c r="BP447" s="313">
        <f>SUMIF(Recibos!$D$4:$D$7493,Cobranza!$B447,Recibos!AB$4:AB$7493)</f>
        <v>0</v>
      </c>
      <c r="BQ447" s="313">
        <f>SUMIF(Recibos!$D$4:$D$7493,Cobranza!$B447,Recibos!AC$4:AC$7493)</f>
        <v>0</v>
      </c>
      <c r="BR447" s="313">
        <f>SUMIF(Recibos!$D$4:$D$7493,Cobranza!$B447,Recibos!AD$4:AD$7493)</f>
        <v>0</v>
      </c>
      <c r="BS447" s="313">
        <f>SUMIF(Recibos!$D$4:$D$7493,Cobranza!$B447,Recibos!AE$4:AE$7493)</f>
        <v>0</v>
      </c>
      <c r="BT447" s="313">
        <f>SUMIF(Recibos!$D$4:$D$7493,Cobranza!$B447,Recibos!AF$4:AF$7493)</f>
        <v>0</v>
      </c>
      <c r="BU447" s="313">
        <f>SUMIF(Recibos!$D$4:$D$7493,Cobranza!$B447,Recibos!AG$4:AG$7493)</f>
        <v>0</v>
      </c>
      <c r="BV447" s="313">
        <f>SUMIF(Recibos!$D$4:$D$7493,Cobranza!$B447,Recibos!AH$4:AH$7493)</f>
        <v>0</v>
      </c>
      <c r="BW447" s="313">
        <f>SUMIF(Recibos!$D$4:$D$7493,Cobranza!$B447,Recibos!AI$4:AI$7493)</f>
        <v>0</v>
      </c>
      <c r="BX447" s="314">
        <f t="shared" si="58"/>
        <v>0</v>
      </c>
      <c r="BY447" s="313">
        <f>SUMIF(Recibos!$D$4:$D$7493,Cobranza!$B447,Recibos!AK$4:AK$7493)</f>
        <v>0</v>
      </c>
      <c r="BZ447" s="313">
        <f>SUMIF(Recibos!$D$4:$D$7493,Cobranza!$B447,Recibos!AL$4:AL$7493)</f>
        <v>0</v>
      </c>
      <c r="CA447" s="313">
        <f>SUMIF(Recibos!$D$4:$D$7493,Cobranza!$B447,Recibos!AM$4:AM$7493)</f>
        <v>0</v>
      </c>
      <c r="CB447" s="313">
        <f>SUMIF(Recibos!$D$4:$D$7493,Cobranza!$B447,Recibos!AN$4:AN$7493)</f>
        <v>0</v>
      </c>
      <c r="CC447" s="313">
        <f>SUMIF(Recibos!$D$4:$D$7493,Cobranza!$B447,Recibos!AO$4:AO$7493)</f>
        <v>0</v>
      </c>
      <c r="CD447" s="313">
        <f>SUMIF(Recibos!$D$4:$D$7493,Cobranza!$B447,Recibos!AP$4:AP$7493)</f>
        <v>0</v>
      </c>
      <c r="CE447" s="313">
        <f>SUMIF(Recibos!$D$4:$D$7493,Cobranza!$B447,Recibos!AQ$4:AQ$7493)</f>
        <v>0</v>
      </c>
      <c r="CF447" s="313">
        <f>SUMIF(Recibos!$D$4:$D$7493,Cobranza!$B447,Recibos!AR$4:AR$7493)</f>
        <v>0</v>
      </c>
      <c r="CG447" s="313">
        <f>SUMIF(Recibos!$D$4:$D$7493,Cobranza!$B447,Recibos!AS$4:AS$7493)</f>
        <v>0</v>
      </c>
      <c r="CH447" s="313">
        <f>SUMIF(Recibos!$D$4:$D$7493,Cobranza!$B447,Recibos!AT$4:AT$7493)</f>
        <v>0</v>
      </c>
      <c r="CI447" s="313">
        <f>SUMIF(Recibos!$D$4:$D$7493,Cobranza!$B447,Recibos!AU$4:AU$7493)</f>
        <v>0</v>
      </c>
      <c r="CJ447" s="313">
        <f>SUMIF(Recibos!$D$4:$D$7493,Cobranza!$B447,Recibos!AV$4:AV$7493)</f>
        <v>0</v>
      </c>
      <c r="CK447" s="314">
        <f t="shared" si="52"/>
        <v>0</v>
      </c>
    </row>
    <row r="448" spans="2:89" x14ac:dyDescent="0.2">
      <c r="B448" s="42" t="s">
        <v>725</v>
      </c>
      <c r="C448" s="42" t="s">
        <v>726</v>
      </c>
      <c r="D448" s="42" t="s">
        <v>727</v>
      </c>
      <c r="E448" s="43">
        <v>0</v>
      </c>
      <c r="F448" s="43">
        <v>0</v>
      </c>
      <c r="G448" s="43">
        <v>0</v>
      </c>
      <c r="H448" s="43">
        <v>0</v>
      </c>
      <c r="I448" s="43">
        <v>0</v>
      </c>
      <c r="J448" s="43">
        <v>300</v>
      </c>
      <c r="K448" s="44">
        <f t="shared" si="53"/>
        <v>300</v>
      </c>
      <c r="L448" s="43">
        <v>300</v>
      </c>
      <c r="M448" s="43">
        <v>300</v>
      </c>
      <c r="N448" s="43">
        <v>300</v>
      </c>
      <c r="O448" s="43">
        <v>300</v>
      </c>
      <c r="P448" s="43">
        <v>300</v>
      </c>
      <c r="Q448" s="43">
        <v>300</v>
      </c>
      <c r="R448" s="43">
        <v>300</v>
      </c>
      <c r="S448" s="43">
        <v>300</v>
      </c>
      <c r="T448" s="43">
        <v>300</v>
      </c>
      <c r="U448" s="43">
        <v>400</v>
      </c>
      <c r="V448" s="43">
        <v>400</v>
      </c>
      <c r="W448" s="43">
        <v>400</v>
      </c>
      <c r="X448" s="44">
        <f t="shared" si="54"/>
        <v>3900</v>
      </c>
      <c r="Y448" s="43">
        <v>400</v>
      </c>
      <c r="Z448" s="43">
        <v>400</v>
      </c>
      <c r="AA448" s="43">
        <v>400</v>
      </c>
      <c r="AB448" s="43">
        <v>400</v>
      </c>
      <c r="AC448" s="43">
        <v>400</v>
      </c>
      <c r="AD448" s="43">
        <v>400</v>
      </c>
      <c r="AE448" s="43">
        <v>400</v>
      </c>
      <c r="AF448" s="43">
        <v>400</v>
      </c>
      <c r="AG448" s="43">
        <v>400</v>
      </c>
      <c r="AH448" s="43">
        <v>400</v>
      </c>
      <c r="AI448" s="43">
        <v>400</v>
      </c>
      <c r="AJ448" s="43">
        <v>400</v>
      </c>
      <c r="AK448" s="44">
        <f t="shared" si="55"/>
        <v>4800</v>
      </c>
      <c r="AL448" s="43">
        <v>400</v>
      </c>
      <c r="AM448" s="43">
        <v>400</v>
      </c>
      <c r="AN448" s="43">
        <v>400</v>
      </c>
      <c r="AO448" s="43">
        <v>400</v>
      </c>
      <c r="AP448" s="43">
        <v>400</v>
      </c>
      <c r="AQ448" s="43">
        <v>400</v>
      </c>
      <c r="AR448" s="43">
        <v>400</v>
      </c>
      <c r="AS448" s="43">
        <v>400</v>
      </c>
      <c r="AT448" s="43">
        <v>400</v>
      </c>
      <c r="AU448" s="43">
        <v>400</v>
      </c>
      <c r="AV448" s="43">
        <v>400</v>
      </c>
      <c r="AW448" s="43">
        <v>400</v>
      </c>
      <c r="AX448" s="44">
        <f t="shared" si="56"/>
        <v>4800</v>
      </c>
      <c r="AY448" s="311">
        <f>SUMIF(Recibos!$D$4:$D$7493,Cobranza!$B448,Recibos!K$4:K$7493)</f>
        <v>400</v>
      </c>
      <c r="AZ448" s="311">
        <f>SUMIF(Recibos!$D$4:$D$7493,Cobranza!$B448,Recibos!L$4:L$7493)</f>
        <v>400</v>
      </c>
      <c r="BA448" s="311">
        <f>SUMIF(Recibos!$D$4:$D$7493,Cobranza!$B448,Recibos!M$4:M$7493)</f>
        <v>400</v>
      </c>
      <c r="BB448" s="311">
        <f>SUMIF(Recibos!$D$4:$D$7493,Cobranza!$B448,Recibos!N$4:N$7493)</f>
        <v>400</v>
      </c>
      <c r="BC448" s="311">
        <f>SUMIF(Recibos!$D$4:$D$7493,Cobranza!$B448,Recibos!O$4:O$7493)</f>
        <v>400</v>
      </c>
      <c r="BD448" s="311">
        <f>SUMIF(Recibos!$D$4:$D$7493,Cobranza!$B448,Recibos!P$4:P$7493)</f>
        <v>400</v>
      </c>
      <c r="BE448" s="311">
        <f>SUMIF(Recibos!$D$4:$D$7493,Cobranza!$B448,Recibos!Q$4:Q$7493)</f>
        <v>400</v>
      </c>
      <c r="BF448" s="311">
        <f>SUMIF(Recibos!$D$4:$D$7493,Cobranza!$B448,Recibos!R$4:R$7493)</f>
        <v>400</v>
      </c>
      <c r="BG448" s="311">
        <f>SUMIF(Recibos!$D$4:$D$7493,Cobranza!$B448,Recibos!S$4:S$7493)</f>
        <v>400</v>
      </c>
      <c r="BH448" s="311">
        <f>SUMIF(Recibos!$D$4:$D$7493,Cobranza!$B448,Recibos!T$4:T$7493)</f>
        <v>400</v>
      </c>
      <c r="BI448" s="311">
        <f>SUMIF(Recibos!$D$4:$D$7493,Cobranza!$B448,Recibos!U$4:U$7493)</f>
        <v>400</v>
      </c>
      <c r="BJ448" s="311">
        <f>SUMIF(Recibos!$D$4:$D$7493,Cobranza!$B448,Recibos!V$4:V$7493)</f>
        <v>400</v>
      </c>
      <c r="BK448" s="312">
        <f t="shared" si="57"/>
        <v>4800</v>
      </c>
      <c r="BL448" s="311">
        <f>SUMIF(Recibos!$D$4:$D$7493,Cobranza!$B448,Recibos!X$4:X$7493)</f>
        <v>400</v>
      </c>
      <c r="BM448" s="311">
        <f>SUMIF(Recibos!$D$4:$D$7493,Cobranza!$B448,Recibos!Y$4:Y$7493)</f>
        <v>400</v>
      </c>
      <c r="BN448" s="311">
        <f>SUMIF(Recibos!$D$4:$D$7493,Cobranza!$B448,Recibos!Z$4:Z$7493)</f>
        <v>400</v>
      </c>
      <c r="BO448" s="311">
        <f>SUMIF(Recibos!$D$4:$D$7493,Cobranza!$B448,Recibos!AA$4:AA$7493)</f>
        <v>400</v>
      </c>
      <c r="BP448" s="311">
        <f>SUMIF(Recibos!$D$4:$D$7493,Cobranza!$B448,Recibos!AB$4:AB$7493)</f>
        <v>400</v>
      </c>
      <c r="BQ448" s="311">
        <f>SUMIF(Recibos!$D$4:$D$7493,Cobranza!$B448,Recibos!AC$4:AC$7493)</f>
        <v>400</v>
      </c>
      <c r="BR448" s="311">
        <f>SUMIF(Recibos!$D$4:$D$7493,Cobranza!$B448,Recibos!AD$4:AD$7493)</f>
        <v>400</v>
      </c>
      <c r="BS448" s="311">
        <f>SUMIF(Recibos!$D$4:$D$7493,Cobranza!$B448,Recibos!AE$4:AE$7493)</f>
        <v>400</v>
      </c>
      <c r="BT448" s="311">
        <f>SUMIF(Recibos!$D$4:$D$7493,Cobranza!$B448,Recibos!AF$4:AF$7493)</f>
        <v>400</v>
      </c>
      <c r="BU448" s="311">
        <f>SUMIF(Recibos!$D$4:$D$7493,Cobranza!$B448,Recibos!AG$4:AG$7493)</f>
        <v>400</v>
      </c>
      <c r="BV448" s="311">
        <f>SUMIF(Recibos!$D$4:$D$7493,Cobranza!$B448,Recibos!AH$4:AH$7493)</f>
        <v>400</v>
      </c>
      <c r="BW448" s="311">
        <f>SUMIF(Recibos!$D$4:$D$7493,Cobranza!$B448,Recibos!AI$4:AI$7493)</f>
        <v>400</v>
      </c>
      <c r="BX448" s="312">
        <f t="shared" si="58"/>
        <v>4800</v>
      </c>
      <c r="BY448" s="311">
        <f>SUMIF(Recibos!$D$4:$D$7493,Cobranza!$B448,Recibos!AK$4:AK$7493)</f>
        <v>400</v>
      </c>
      <c r="BZ448" s="311">
        <f>SUMIF(Recibos!$D$4:$D$7493,Cobranza!$B448,Recibos!AL$4:AL$7493)</f>
        <v>400</v>
      </c>
      <c r="CA448" s="311">
        <f>SUMIF(Recibos!$D$4:$D$7493,Cobranza!$B448,Recibos!AM$4:AM$7493)</f>
        <v>400</v>
      </c>
      <c r="CB448" s="311">
        <f>SUMIF(Recibos!$D$4:$D$7493,Cobranza!$B448,Recibos!AN$4:AN$7493)</f>
        <v>400</v>
      </c>
      <c r="CC448" s="311">
        <f>SUMIF(Recibos!$D$4:$D$7493,Cobranza!$B448,Recibos!AO$4:AO$7493)</f>
        <v>400</v>
      </c>
      <c r="CD448" s="311">
        <f>SUMIF(Recibos!$D$4:$D$7493,Cobranza!$B448,Recibos!AP$4:AP$7493)</f>
        <v>400</v>
      </c>
      <c r="CE448" s="311">
        <f>SUMIF(Recibos!$D$4:$D$7493,Cobranza!$B448,Recibos!AQ$4:AQ$7493)</f>
        <v>400</v>
      </c>
      <c r="CF448" s="311">
        <f>SUMIF(Recibos!$D$4:$D$7493,Cobranza!$B448,Recibos!AR$4:AR$7493)</f>
        <v>400</v>
      </c>
      <c r="CG448" s="311">
        <f>SUMIF(Recibos!$D$4:$D$7493,Cobranza!$B448,Recibos!AS$4:AS$7493)</f>
        <v>400</v>
      </c>
      <c r="CH448" s="311">
        <f>SUMIF(Recibos!$D$4:$D$7493,Cobranza!$B448,Recibos!AT$4:AT$7493)</f>
        <v>400</v>
      </c>
      <c r="CI448" s="311">
        <f>SUMIF(Recibos!$D$4:$D$7493,Cobranza!$B448,Recibos!AU$4:AU$7493)</f>
        <v>0</v>
      </c>
      <c r="CJ448" s="311">
        <f>SUMIF(Recibos!$D$4:$D$7493,Cobranza!$B448,Recibos!AV$4:AV$7493)</f>
        <v>0</v>
      </c>
      <c r="CK448" s="312">
        <f t="shared" si="52"/>
        <v>4000</v>
      </c>
    </row>
    <row r="449" spans="2:89" x14ac:dyDescent="0.2">
      <c r="B449" s="45" t="s">
        <v>87</v>
      </c>
      <c r="C449" s="45" t="s">
        <v>88</v>
      </c>
      <c r="D449" s="45" t="s">
        <v>89</v>
      </c>
      <c r="E449" s="46">
        <v>0</v>
      </c>
      <c r="F449" s="46">
        <v>0</v>
      </c>
      <c r="G449" s="46">
        <v>0</v>
      </c>
      <c r="H449" s="46">
        <v>0</v>
      </c>
      <c r="I449" s="46">
        <v>0</v>
      </c>
      <c r="J449" s="46">
        <v>0</v>
      </c>
      <c r="K449" s="47">
        <f t="shared" si="53"/>
        <v>0</v>
      </c>
      <c r="L449" s="46">
        <v>300</v>
      </c>
      <c r="M449" s="46">
        <v>300</v>
      </c>
      <c r="N449" s="46">
        <v>300</v>
      </c>
      <c r="O449" s="46">
        <v>300</v>
      </c>
      <c r="P449" s="46">
        <v>300</v>
      </c>
      <c r="Q449" s="46">
        <v>300</v>
      </c>
      <c r="R449" s="46">
        <v>300</v>
      </c>
      <c r="S449" s="46">
        <v>300</v>
      </c>
      <c r="T449" s="46">
        <v>300</v>
      </c>
      <c r="U449" s="46">
        <v>300</v>
      </c>
      <c r="V449" s="46">
        <v>300</v>
      </c>
      <c r="W449" s="46">
        <v>300</v>
      </c>
      <c r="X449" s="47">
        <f t="shared" si="54"/>
        <v>3600</v>
      </c>
      <c r="Y449" s="46">
        <v>400</v>
      </c>
      <c r="Z449" s="46">
        <v>400</v>
      </c>
      <c r="AA449" s="46">
        <v>400</v>
      </c>
      <c r="AB449" s="46">
        <v>400</v>
      </c>
      <c r="AC449" s="46">
        <v>400</v>
      </c>
      <c r="AD449" s="46">
        <v>400</v>
      </c>
      <c r="AE449" s="46">
        <v>400</v>
      </c>
      <c r="AF449" s="46">
        <v>400</v>
      </c>
      <c r="AG449" s="46">
        <v>400</v>
      </c>
      <c r="AH449" s="46">
        <v>400</v>
      </c>
      <c r="AI449" s="46">
        <v>800</v>
      </c>
      <c r="AJ449" s="46">
        <v>0</v>
      </c>
      <c r="AK449" s="47">
        <f t="shared" si="55"/>
        <v>4800</v>
      </c>
      <c r="AL449" s="46">
        <v>400</v>
      </c>
      <c r="AM449" s="46">
        <v>400</v>
      </c>
      <c r="AN449" s="46">
        <v>400</v>
      </c>
      <c r="AO449" s="46">
        <v>400</v>
      </c>
      <c r="AP449" s="46">
        <v>400</v>
      </c>
      <c r="AQ449" s="46">
        <v>400</v>
      </c>
      <c r="AR449" s="46">
        <v>400</v>
      </c>
      <c r="AS449" s="46">
        <v>400</v>
      </c>
      <c r="AT449" s="46">
        <v>400</v>
      </c>
      <c r="AU449" s="46">
        <v>400</v>
      </c>
      <c r="AV449" s="46">
        <v>400</v>
      </c>
      <c r="AW449" s="46">
        <v>400</v>
      </c>
      <c r="AX449" s="47">
        <f t="shared" si="56"/>
        <v>4800</v>
      </c>
      <c r="AY449" s="313">
        <f>SUMIF(Recibos!$D$4:$D$7493,Cobranza!$B449,Recibos!K$4:K$7493)</f>
        <v>400</v>
      </c>
      <c r="AZ449" s="313">
        <f>SUMIF(Recibos!$D$4:$D$7493,Cobranza!$B449,Recibos!L$4:L$7493)</f>
        <v>400</v>
      </c>
      <c r="BA449" s="313">
        <f>SUMIF(Recibos!$D$4:$D$7493,Cobranza!$B449,Recibos!M$4:M$7493)</f>
        <v>400</v>
      </c>
      <c r="BB449" s="313">
        <f>SUMIF(Recibos!$D$4:$D$7493,Cobranza!$B449,Recibos!N$4:N$7493)</f>
        <v>400</v>
      </c>
      <c r="BC449" s="313">
        <f>SUMIF(Recibos!$D$4:$D$7493,Cobranza!$B449,Recibos!O$4:O$7493)</f>
        <v>400</v>
      </c>
      <c r="BD449" s="313">
        <f>SUMIF(Recibos!$D$4:$D$7493,Cobranza!$B449,Recibos!P$4:P$7493)</f>
        <v>400</v>
      </c>
      <c r="BE449" s="313">
        <f>SUMIF(Recibos!$D$4:$D$7493,Cobranza!$B449,Recibos!Q$4:Q$7493)</f>
        <v>400</v>
      </c>
      <c r="BF449" s="313">
        <f>SUMIF(Recibos!$D$4:$D$7493,Cobranza!$B449,Recibos!R$4:R$7493)</f>
        <v>400</v>
      </c>
      <c r="BG449" s="313">
        <f>SUMIF(Recibos!$D$4:$D$7493,Cobranza!$B449,Recibos!S$4:S$7493)</f>
        <v>400</v>
      </c>
      <c r="BH449" s="313">
        <f>SUMIF(Recibos!$D$4:$D$7493,Cobranza!$B449,Recibos!T$4:T$7493)</f>
        <v>400</v>
      </c>
      <c r="BI449" s="313">
        <f>SUMIF(Recibos!$D$4:$D$7493,Cobranza!$B449,Recibos!U$4:U$7493)</f>
        <v>400</v>
      </c>
      <c r="BJ449" s="313">
        <f>SUMIF(Recibos!$D$4:$D$7493,Cobranza!$B449,Recibos!V$4:V$7493)</f>
        <v>400</v>
      </c>
      <c r="BK449" s="314">
        <f t="shared" si="57"/>
        <v>4800</v>
      </c>
      <c r="BL449" s="313">
        <f>SUMIF(Recibos!$D$4:$D$7493,Cobranza!$B449,Recibos!X$4:X$7493)</f>
        <v>400</v>
      </c>
      <c r="BM449" s="313">
        <f>SUMIF(Recibos!$D$4:$D$7493,Cobranza!$B449,Recibos!Y$4:Y$7493)</f>
        <v>400</v>
      </c>
      <c r="BN449" s="313">
        <f>SUMIF(Recibos!$D$4:$D$7493,Cobranza!$B449,Recibos!Z$4:Z$7493)</f>
        <v>400</v>
      </c>
      <c r="BO449" s="313">
        <f>SUMIF(Recibos!$D$4:$D$7493,Cobranza!$B449,Recibos!AA$4:AA$7493)</f>
        <v>400</v>
      </c>
      <c r="BP449" s="313">
        <f>SUMIF(Recibos!$D$4:$D$7493,Cobranza!$B449,Recibos!AB$4:AB$7493)</f>
        <v>400</v>
      </c>
      <c r="BQ449" s="313">
        <f>SUMIF(Recibos!$D$4:$D$7493,Cobranza!$B449,Recibos!AC$4:AC$7493)</f>
        <v>400</v>
      </c>
      <c r="BR449" s="313">
        <f>SUMIF(Recibos!$D$4:$D$7493,Cobranza!$B449,Recibos!AD$4:AD$7493)</f>
        <v>400</v>
      </c>
      <c r="BS449" s="313">
        <f>SUMIF(Recibos!$D$4:$D$7493,Cobranza!$B449,Recibos!AE$4:AE$7493)</f>
        <v>400</v>
      </c>
      <c r="BT449" s="313">
        <f>SUMIF(Recibos!$D$4:$D$7493,Cobranza!$B449,Recibos!AF$4:AF$7493)</f>
        <v>400</v>
      </c>
      <c r="BU449" s="313">
        <f>SUMIF(Recibos!$D$4:$D$7493,Cobranza!$B449,Recibos!AG$4:AG$7493)</f>
        <v>400</v>
      </c>
      <c r="BV449" s="313">
        <f>SUMIF(Recibos!$D$4:$D$7493,Cobranza!$B449,Recibos!AH$4:AH$7493)</f>
        <v>400</v>
      </c>
      <c r="BW449" s="313">
        <f>SUMIF(Recibos!$D$4:$D$7493,Cobranza!$B449,Recibos!AI$4:AI$7493)</f>
        <v>400</v>
      </c>
      <c r="BX449" s="314">
        <f t="shared" si="58"/>
        <v>4800</v>
      </c>
      <c r="BY449" s="313">
        <f>SUMIF(Recibos!$D$4:$D$7493,Cobranza!$B449,Recibos!AK$4:AK$7493)</f>
        <v>400</v>
      </c>
      <c r="BZ449" s="313">
        <f>SUMIF(Recibos!$D$4:$D$7493,Cobranza!$B449,Recibos!AL$4:AL$7493)</f>
        <v>400</v>
      </c>
      <c r="CA449" s="313">
        <f>SUMIF(Recibos!$D$4:$D$7493,Cobranza!$B449,Recibos!AM$4:AM$7493)</f>
        <v>400</v>
      </c>
      <c r="CB449" s="313">
        <f>SUMIF(Recibos!$D$4:$D$7493,Cobranza!$B449,Recibos!AN$4:AN$7493)</f>
        <v>400</v>
      </c>
      <c r="CC449" s="313">
        <f>SUMIF(Recibos!$D$4:$D$7493,Cobranza!$B449,Recibos!AO$4:AO$7493)</f>
        <v>400</v>
      </c>
      <c r="CD449" s="313">
        <f>SUMIF(Recibos!$D$4:$D$7493,Cobranza!$B449,Recibos!AP$4:AP$7493)</f>
        <v>400</v>
      </c>
      <c r="CE449" s="313">
        <f>SUMIF(Recibos!$D$4:$D$7493,Cobranza!$B449,Recibos!AQ$4:AQ$7493)</f>
        <v>400</v>
      </c>
      <c r="CF449" s="313">
        <f>SUMIF(Recibos!$D$4:$D$7493,Cobranza!$B449,Recibos!AR$4:AR$7493)</f>
        <v>400</v>
      </c>
      <c r="CG449" s="313">
        <f>SUMIF(Recibos!$D$4:$D$7493,Cobranza!$B449,Recibos!AS$4:AS$7493)</f>
        <v>400</v>
      </c>
      <c r="CH449" s="313">
        <f>SUMIF(Recibos!$D$4:$D$7493,Cobranza!$B449,Recibos!AT$4:AT$7493)</f>
        <v>400</v>
      </c>
      <c r="CI449" s="313">
        <f>SUMIF(Recibos!$D$4:$D$7493,Cobranza!$B449,Recibos!AU$4:AU$7493)</f>
        <v>0</v>
      </c>
      <c r="CJ449" s="313">
        <f>SUMIF(Recibos!$D$4:$D$7493,Cobranza!$B449,Recibos!AV$4:AV$7493)</f>
        <v>0</v>
      </c>
      <c r="CK449" s="314">
        <f t="shared" si="52"/>
        <v>4000</v>
      </c>
    </row>
    <row r="450" spans="2:89" x14ac:dyDescent="0.2">
      <c r="B450" s="42" t="s">
        <v>455</v>
      </c>
      <c r="C450" s="42" t="s">
        <v>456</v>
      </c>
      <c r="D450" s="42" t="s">
        <v>457</v>
      </c>
      <c r="E450" s="43">
        <v>0</v>
      </c>
      <c r="F450" s="43">
        <v>0</v>
      </c>
      <c r="G450" s="43">
        <v>0</v>
      </c>
      <c r="H450" s="43">
        <v>0</v>
      </c>
      <c r="I450" s="43">
        <v>0</v>
      </c>
      <c r="J450" s="43">
        <v>0</v>
      </c>
      <c r="K450" s="44">
        <f t="shared" si="53"/>
        <v>0</v>
      </c>
      <c r="L450" s="43">
        <v>300</v>
      </c>
      <c r="M450" s="43">
        <v>300</v>
      </c>
      <c r="N450" s="43">
        <v>300</v>
      </c>
      <c r="O450" s="43">
        <v>300</v>
      </c>
      <c r="P450" s="43">
        <v>300</v>
      </c>
      <c r="Q450" s="43">
        <v>300</v>
      </c>
      <c r="R450" s="43">
        <v>300</v>
      </c>
      <c r="S450" s="43">
        <v>300</v>
      </c>
      <c r="T450" s="43">
        <v>300</v>
      </c>
      <c r="U450" s="43">
        <v>400</v>
      </c>
      <c r="V450" s="43">
        <v>400</v>
      </c>
      <c r="W450" s="43">
        <v>400</v>
      </c>
      <c r="X450" s="44">
        <f t="shared" si="54"/>
        <v>3900</v>
      </c>
      <c r="Y450" s="43">
        <v>400</v>
      </c>
      <c r="Z450" s="43">
        <v>400</v>
      </c>
      <c r="AA450" s="43">
        <v>400</v>
      </c>
      <c r="AB450" s="43">
        <v>400</v>
      </c>
      <c r="AC450" s="43">
        <v>400</v>
      </c>
      <c r="AD450" s="43">
        <v>400</v>
      </c>
      <c r="AE450" s="43">
        <v>400</v>
      </c>
      <c r="AF450" s="43">
        <v>400</v>
      </c>
      <c r="AG450" s="43">
        <v>400</v>
      </c>
      <c r="AH450" s="43">
        <v>400</v>
      </c>
      <c r="AI450" s="43">
        <v>400</v>
      </c>
      <c r="AJ450" s="43">
        <v>0</v>
      </c>
      <c r="AK450" s="44">
        <f t="shared" si="55"/>
        <v>4400</v>
      </c>
      <c r="AL450" s="43">
        <v>400</v>
      </c>
      <c r="AM450" s="43">
        <v>400</v>
      </c>
      <c r="AN450" s="43">
        <v>400</v>
      </c>
      <c r="AO450" s="43">
        <v>400</v>
      </c>
      <c r="AP450" s="43">
        <v>400</v>
      </c>
      <c r="AQ450" s="43">
        <v>400</v>
      </c>
      <c r="AR450" s="43">
        <v>400</v>
      </c>
      <c r="AS450" s="43">
        <v>400</v>
      </c>
      <c r="AT450" s="43">
        <v>400</v>
      </c>
      <c r="AU450" s="43">
        <v>400</v>
      </c>
      <c r="AV450" s="43">
        <v>0</v>
      </c>
      <c r="AW450" s="43">
        <v>400</v>
      </c>
      <c r="AX450" s="44">
        <f t="shared" si="56"/>
        <v>4400</v>
      </c>
      <c r="AY450" s="311">
        <f>SUMIF(Recibos!$D$4:$D$7493,Cobranza!$B450,Recibos!K$4:K$7493)</f>
        <v>400</v>
      </c>
      <c r="AZ450" s="311">
        <f>SUMIF(Recibos!$D$4:$D$7493,Cobranza!$B450,Recibos!L$4:L$7493)</f>
        <v>400</v>
      </c>
      <c r="BA450" s="311">
        <f>SUMIF(Recibos!$D$4:$D$7493,Cobranza!$B450,Recibos!M$4:M$7493)</f>
        <v>400</v>
      </c>
      <c r="BB450" s="311">
        <f>SUMIF(Recibos!$D$4:$D$7493,Cobranza!$B450,Recibos!N$4:N$7493)</f>
        <v>400</v>
      </c>
      <c r="BC450" s="311">
        <f>SUMIF(Recibos!$D$4:$D$7493,Cobranza!$B450,Recibos!O$4:O$7493)</f>
        <v>400</v>
      </c>
      <c r="BD450" s="311">
        <f>SUMIF(Recibos!$D$4:$D$7493,Cobranza!$B450,Recibos!P$4:P$7493)</f>
        <v>400</v>
      </c>
      <c r="BE450" s="311">
        <f>SUMIF(Recibos!$D$4:$D$7493,Cobranza!$B450,Recibos!Q$4:Q$7493)</f>
        <v>400</v>
      </c>
      <c r="BF450" s="311">
        <f>SUMIF(Recibos!$D$4:$D$7493,Cobranza!$B450,Recibos!R$4:R$7493)</f>
        <v>400</v>
      </c>
      <c r="BG450" s="311">
        <f>SUMIF(Recibos!$D$4:$D$7493,Cobranza!$B450,Recibos!S$4:S$7493)</f>
        <v>400</v>
      </c>
      <c r="BH450" s="311">
        <f>SUMIF(Recibos!$D$4:$D$7493,Cobranza!$B450,Recibos!T$4:T$7493)</f>
        <v>400</v>
      </c>
      <c r="BI450" s="311">
        <f>SUMIF(Recibos!$D$4:$D$7493,Cobranza!$B450,Recibos!U$4:U$7493)</f>
        <v>400</v>
      </c>
      <c r="BJ450" s="311">
        <f>SUMIF(Recibos!$D$4:$D$7493,Cobranza!$B450,Recibos!V$4:V$7493)</f>
        <v>400</v>
      </c>
      <c r="BK450" s="312">
        <f t="shared" si="57"/>
        <v>4800</v>
      </c>
      <c r="BL450" s="311">
        <f>SUMIF(Recibos!$D$4:$D$7493,Cobranza!$B450,Recibos!X$4:X$7493)</f>
        <v>400</v>
      </c>
      <c r="BM450" s="311">
        <f>SUMIF(Recibos!$D$4:$D$7493,Cobranza!$B450,Recibos!Y$4:Y$7493)</f>
        <v>400</v>
      </c>
      <c r="BN450" s="311">
        <f>SUMIF(Recibos!$D$4:$D$7493,Cobranza!$B450,Recibos!Z$4:Z$7493)</f>
        <v>400</v>
      </c>
      <c r="BO450" s="311">
        <f>SUMIF(Recibos!$D$4:$D$7493,Cobranza!$B450,Recibos!AA$4:AA$7493)</f>
        <v>400</v>
      </c>
      <c r="BP450" s="311">
        <f>SUMIF(Recibos!$D$4:$D$7493,Cobranza!$B450,Recibos!AB$4:AB$7493)</f>
        <v>400</v>
      </c>
      <c r="BQ450" s="311">
        <f>SUMIF(Recibos!$D$4:$D$7493,Cobranza!$B450,Recibos!AC$4:AC$7493)</f>
        <v>400</v>
      </c>
      <c r="BR450" s="311">
        <f>SUMIF(Recibos!$D$4:$D$7493,Cobranza!$B450,Recibos!AD$4:AD$7493)</f>
        <v>400</v>
      </c>
      <c r="BS450" s="311">
        <f>SUMIF(Recibos!$D$4:$D$7493,Cobranza!$B450,Recibos!AE$4:AE$7493)</f>
        <v>400</v>
      </c>
      <c r="BT450" s="311">
        <f>SUMIF(Recibos!$D$4:$D$7493,Cobranza!$B450,Recibos!AF$4:AF$7493)</f>
        <v>400</v>
      </c>
      <c r="BU450" s="311">
        <f>SUMIF(Recibos!$D$4:$D$7493,Cobranza!$B450,Recibos!AG$4:AG$7493)</f>
        <v>400</v>
      </c>
      <c r="BV450" s="311">
        <f>SUMIF(Recibos!$D$4:$D$7493,Cobranza!$B450,Recibos!AH$4:AH$7493)</f>
        <v>400</v>
      </c>
      <c r="BW450" s="311">
        <f>SUMIF(Recibos!$D$4:$D$7493,Cobranza!$B450,Recibos!AI$4:AI$7493)</f>
        <v>400</v>
      </c>
      <c r="BX450" s="312">
        <f t="shared" si="58"/>
        <v>4800</v>
      </c>
      <c r="BY450" s="311">
        <f>SUMIF(Recibos!$D$4:$D$7493,Cobranza!$B450,Recibos!AK$4:AK$7493)</f>
        <v>400</v>
      </c>
      <c r="BZ450" s="311">
        <f>SUMIF(Recibos!$D$4:$D$7493,Cobranza!$B450,Recibos!AL$4:AL$7493)</f>
        <v>400</v>
      </c>
      <c r="CA450" s="311">
        <f>SUMIF(Recibos!$D$4:$D$7493,Cobranza!$B450,Recibos!AM$4:AM$7493)</f>
        <v>400</v>
      </c>
      <c r="CB450" s="311">
        <f>SUMIF(Recibos!$D$4:$D$7493,Cobranza!$B450,Recibos!AN$4:AN$7493)</f>
        <v>400</v>
      </c>
      <c r="CC450" s="311">
        <f>SUMIF(Recibos!$D$4:$D$7493,Cobranza!$B450,Recibos!AO$4:AO$7493)</f>
        <v>400</v>
      </c>
      <c r="CD450" s="311">
        <f>SUMIF(Recibos!$D$4:$D$7493,Cobranza!$B450,Recibos!AP$4:AP$7493)</f>
        <v>400</v>
      </c>
      <c r="CE450" s="311">
        <f>SUMIF(Recibos!$D$4:$D$7493,Cobranza!$B450,Recibos!AQ$4:AQ$7493)</f>
        <v>400</v>
      </c>
      <c r="CF450" s="311">
        <f>SUMIF(Recibos!$D$4:$D$7493,Cobranza!$B450,Recibos!AR$4:AR$7493)</f>
        <v>400</v>
      </c>
      <c r="CG450" s="311">
        <f>SUMIF(Recibos!$D$4:$D$7493,Cobranza!$B450,Recibos!AS$4:AS$7493)</f>
        <v>400</v>
      </c>
      <c r="CH450" s="311">
        <f>SUMIF(Recibos!$D$4:$D$7493,Cobranza!$B450,Recibos!AT$4:AT$7493)</f>
        <v>400</v>
      </c>
      <c r="CI450" s="311">
        <f>SUMIF(Recibos!$D$4:$D$7493,Cobranza!$B450,Recibos!AU$4:AU$7493)</f>
        <v>0</v>
      </c>
      <c r="CJ450" s="311">
        <f>SUMIF(Recibos!$D$4:$D$7493,Cobranza!$B450,Recibos!AV$4:AV$7493)</f>
        <v>0</v>
      </c>
      <c r="CK450" s="312">
        <f t="shared" si="52"/>
        <v>4000</v>
      </c>
    </row>
    <row r="451" spans="2:89" x14ac:dyDescent="0.2">
      <c r="B451" s="45" t="s">
        <v>1046</v>
      </c>
      <c r="C451" s="45" t="s">
        <v>1047</v>
      </c>
      <c r="D451" s="45" t="s">
        <v>1048</v>
      </c>
      <c r="E451" s="46">
        <v>0</v>
      </c>
      <c r="F451" s="46">
        <v>0</v>
      </c>
      <c r="G451" s="46">
        <v>0</v>
      </c>
      <c r="H451" s="46">
        <v>0</v>
      </c>
      <c r="I451" s="46">
        <v>0</v>
      </c>
      <c r="J451" s="46">
        <v>0</v>
      </c>
      <c r="K451" s="47">
        <f t="shared" si="53"/>
        <v>0</v>
      </c>
      <c r="L451" s="46">
        <v>0</v>
      </c>
      <c r="M451" s="46">
        <v>0</v>
      </c>
      <c r="N451" s="46">
        <v>0</v>
      </c>
      <c r="O451" s="46">
        <v>0</v>
      </c>
      <c r="P451" s="46">
        <v>0</v>
      </c>
      <c r="Q451" s="46">
        <v>0</v>
      </c>
      <c r="R451" s="46">
        <v>0</v>
      </c>
      <c r="S451" s="46">
        <v>0</v>
      </c>
      <c r="T451" s="46">
        <v>0</v>
      </c>
      <c r="U451" s="46">
        <v>0</v>
      </c>
      <c r="V451" s="46">
        <v>0</v>
      </c>
      <c r="W451" s="46">
        <v>0</v>
      </c>
      <c r="X451" s="47">
        <f t="shared" si="54"/>
        <v>0</v>
      </c>
      <c r="Y451" s="46">
        <v>0</v>
      </c>
      <c r="Z451" s="46">
        <v>0</v>
      </c>
      <c r="AA451" s="46">
        <v>0</v>
      </c>
      <c r="AB451" s="46">
        <v>0</v>
      </c>
      <c r="AC451" s="46">
        <v>0</v>
      </c>
      <c r="AD451" s="46">
        <v>0</v>
      </c>
      <c r="AE451" s="46">
        <v>0</v>
      </c>
      <c r="AF451" s="46">
        <v>0</v>
      </c>
      <c r="AG451" s="46">
        <v>0</v>
      </c>
      <c r="AH451" s="46">
        <v>0</v>
      </c>
      <c r="AI451" s="46">
        <v>0</v>
      </c>
      <c r="AJ451" s="46">
        <v>0</v>
      </c>
      <c r="AK451" s="47">
        <f t="shared" si="55"/>
        <v>0</v>
      </c>
      <c r="AL451" s="46">
        <v>0</v>
      </c>
      <c r="AM451" s="46">
        <v>0</v>
      </c>
      <c r="AN451" s="46">
        <v>0</v>
      </c>
      <c r="AO451" s="46">
        <v>0</v>
      </c>
      <c r="AP451" s="46">
        <v>0</v>
      </c>
      <c r="AQ451" s="46">
        <v>0</v>
      </c>
      <c r="AR451" s="46">
        <v>0</v>
      </c>
      <c r="AS451" s="46">
        <v>200</v>
      </c>
      <c r="AT451" s="46">
        <v>200</v>
      </c>
      <c r="AU451" s="46">
        <v>0</v>
      </c>
      <c r="AV451" s="46">
        <v>0</v>
      </c>
      <c r="AW451" s="46">
        <v>0</v>
      </c>
      <c r="AX451" s="47">
        <f t="shared" si="56"/>
        <v>400</v>
      </c>
      <c r="AY451" s="313">
        <f>SUMIF(Recibos!$D$4:$D$7493,Cobranza!$B451,Recibos!K$4:K$7493)</f>
        <v>0</v>
      </c>
      <c r="AZ451" s="313">
        <f>SUMIF(Recibos!$D$4:$D$7493,Cobranza!$B451,Recibos!L$4:L$7493)</f>
        <v>0</v>
      </c>
      <c r="BA451" s="313">
        <f>SUMIF(Recibos!$D$4:$D$7493,Cobranza!$B451,Recibos!M$4:M$7493)</f>
        <v>0</v>
      </c>
      <c r="BB451" s="313">
        <f>SUMIF(Recibos!$D$4:$D$7493,Cobranza!$B451,Recibos!N$4:N$7493)</f>
        <v>0</v>
      </c>
      <c r="BC451" s="313">
        <f>SUMIF(Recibos!$D$4:$D$7493,Cobranza!$B451,Recibos!O$4:O$7493)</f>
        <v>0</v>
      </c>
      <c r="BD451" s="313">
        <f>SUMIF(Recibos!$D$4:$D$7493,Cobranza!$B451,Recibos!P$4:P$7493)</f>
        <v>0</v>
      </c>
      <c r="BE451" s="313">
        <f>SUMIF(Recibos!$D$4:$D$7493,Cobranza!$B451,Recibos!Q$4:Q$7493)</f>
        <v>100</v>
      </c>
      <c r="BF451" s="313">
        <f>SUMIF(Recibos!$D$4:$D$7493,Cobranza!$B451,Recibos!R$4:R$7493)</f>
        <v>0</v>
      </c>
      <c r="BG451" s="313">
        <f>SUMIF(Recibos!$D$4:$D$7493,Cobranza!$B451,Recibos!S$4:S$7493)</f>
        <v>0</v>
      </c>
      <c r="BH451" s="313">
        <f>SUMIF(Recibos!$D$4:$D$7493,Cobranza!$B451,Recibos!T$4:T$7493)</f>
        <v>0</v>
      </c>
      <c r="BI451" s="313">
        <f>SUMIF(Recibos!$D$4:$D$7493,Cobranza!$B451,Recibos!U$4:U$7493)</f>
        <v>0</v>
      </c>
      <c r="BJ451" s="313">
        <f>SUMIF(Recibos!$D$4:$D$7493,Cobranza!$B451,Recibos!V$4:V$7493)</f>
        <v>0</v>
      </c>
      <c r="BK451" s="314">
        <f t="shared" si="57"/>
        <v>100</v>
      </c>
      <c r="BL451" s="313">
        <f>SUMIF(Recibos!$D$4:$D$7493,Cobranza!$B451,Recibos!X$4:X$7493)</f>
        <v>0</v>
      </c>
      <c r="BM451" s="313">
        <f>SUMIF(Recibos!$D$4:$D$7493,Cobranza!$B451,Recibos!Y$4:Y$7493)</f>
        <v>100</v>
      </c>
      <c r="BN451" s="313">
        <f>SUMIF(Recibos!$D$4:$D$7493,Cobranza!$B451,Recibos!Z$4:Z$7493)</f>
        <v>100</v>
      </c>
      <c r="BO451" s="313">
        <f>SUMIF(Recibos!$D$4:$D$7493,Cobranza!$B451,Recibos!AA$4:AA$7493)</f>
        <v>0</v>
      </c>
      <c r="BP451" s="313">
        <f>SUMIF(Recibos!$D$4:$D$7493,Cobranza!$B451,Recibos!AB$4:AB$7493)</f>
        <v>0</v>
      </c>
      <c r="BQ451" s="313">
        <f>SUMIF(Recibos!$D$4:$D$7493,Cobranza!$B451,Recibos!AC$4:AC$7493)</f>
        <v>100</v>
      </c>
      <c r="BR451" s="313">
        <f>SUMIF(Recibos!$D$4:$D$7493,Cobranza!$B451,Recibos!AD$4:AD$7493)</f>
        <v>100</v>
      </c>
      <c r="BS451" s="313">
        <f>SUMIF(Recibos!$D$4:$D$7493,Cobranza!$B451,Recibos!AE$4:AE$7493)</f>
        <v>100</v>
      </c>
      <c r="BT451" s="313">
        <f>SUMIF(Recibos!$D$4:$D$7493,Cobranza!$B451,Recibos!AF$4:AF$7493)</f>
        <v>0</v>
      </c>
      <c r="BU451" s="313">
        <f>SUMIF(Recibos!$D$4:$D$7493,Cobranza!$B451,Recibos!AG$4:AG$7493)</f>
        <v>0</v>
      </c>
      <c r="BV451" s="313">
        <f>SUMIF(Recibos!$D$4:$D$7493,Cobranza!$B451,Recibos!AH$4:AH$7493)</f>
        <v>0</v>
      </c>
      <c r="BW451" s="313">
        <f>SUMIF(Recibos!$D$4:$D$7493,Cobranza!$B451,Recibos!AI$4:AI$7493)</f>
        <v>0</v>
      </c>
      <c r="BX451" s="314">
        <f t="shared" si="58"/>
        <v>500</v>
      </c>
      <c r="BY451" s="313">
        <f>SUMIF(Recibos!$D$4:$D$7493,Cobranza!$B451,Recibos!AK$4:AK$7493)</f>
        <v>0</v>
      </c>
      <c r="BZ451" s="313">
        <f>SUMIF(Recibos!$D$4:$D$7493,Cobranza!$B451,Recibos!AL$4:AL$7493)</f>
        <v>0</v>
      </c>
      <c r="CA451" s="313">
        <f>SUMIF(Recibos!$D$4:$D$7493,Cobranza!$B451,Recibos!AM$4:AM$7493)</f>
        <v>0</v>
      </c>
      <c r="CB451" s="313">
        <f>SUMIF(Recibos!$D$4:$D$7493,Cobranza!$B451,Recibos!AN$4:AN$7493)</f>
        <v>0</v>
      </c>
      <c r="CC451" s="313">
        <f>SUMIF(Recibos!$D$4:$D$7493,Cobranza!$B451,Recibos!AO$4:AO$7493)</f>
        <v>0</v>
      </c>
      <c r="CD451" s="313">
        <f>SUMIF(Recibos!$D$4:$D$7493,Cobranza!$B451,Recibos!AP$4:AP$7493)</f>
        <v>0</v>
      </c>
      <c r="CE451" s="313">
        <f>SUMIF(Recibos!$D$4:$D$7493,Cobranza!$B451,Recibos!AQ$4:AQ$7493)</f>
        <v>0</v>
      </c>
      <c r="CF451" s="313">
        <f>SUMIF(Recibos!$D$4:$D$7493,Cobranza!$B451,Recibos!AR$4:AR$7493)</f>
        <v>0</v>
      </c>
      <c r="CG451" s="313">
        <f>SUMIF(Recibos!$D$4:$D$7493,Cobranza!$B451,Recibos!AS$4:AS$7493)</f>
        <v>0</v>
      </c>
      <c r="CH451" s="313">
        <f>SUMIF(Recibos!$D$4:$D$7493,Cobranza!$B451,Recibos!AT$4:AT$7493)</f>
        <v>0</v>
      </c>
      <c r="CI451" s="313">
        <f>SUMIF(Recibos!$D$4:$D$7493,Cobranza!$B451,Recibos!AU$4:AU$7493)</f>
        <v>0</v>
      </c>
      <c r="CJ451" s="313">
        <f>SUMIF(Recibos!$D$4:$D$7493,Cobranza!$B451,Recibos!AV$4:AV$7493)</f>
        <v>0</v>
      </c>
      <c r="CK451" s="314">
        <f t="shared" si="52"/>
        <v>0</v>
      </c>
    </row>
    <row r="452" spans="2:89" x14ac:dyDescent="0.2">
      <c r="B452" s="42" t="s">
        <v>470</v>
      </c>
      <c r="C452" s="42" t="s">
        <v>471</v>
      </c>
      <c r="D452" s="42" t="s">
        <v>472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250</v>
      </c>
      <c r="K452" s="44">
        <f t="shared" si="53"/>
        <v>250</v>
      </c>
      <c r="L452" s="43">
        <v>250</v>
      </c>
      <c r="M452" s="43">
        <v>250</v>
      </c>
      <c r="N452" s="43">
        <v>250</v>
      </c>
      <c r="O452" s="43">
        <v>250</v>
      </c>
      <c r="P452" s="43">
        <v>250</v>
      </c>
      <c r="Q452" s="43">
        <v>250</v>
      </c>
      <c r="R452" s="43">
        <v>250</v>
      </c>
      <c r="S452" s="43">
        <v>250</v>
      </c>
      <c r="T452" s="43">
        <v>250</v>
      </c>
      <c r="U452" s="43">
        <v>300</v>
      </c>
      <c r="V452" s="43">
        <v>300</v>
      </c>
      <c r="W452" s="43">
        <v>0</v>
      </c>
      <c r="X452" s="44">
        <f t="shared" si="54"/>
        <v>2850</v>
      </c>
      <c r="Y452" s="43">
        <v>300</v>
      </c>
      <c r="Z452" s="43">
        <v>300</v>
      </c>
      <c r="AA452" s="43">
        <v>300</v>
      </c>
      <c r="AB452" s="43">
        <v>300</v>
      </c>
      <c r="AC452" s="43">
        <v>300</v>
      </c>
      <c r="AD452" s="43">
        <v>300</v>
      </c>
      <c r="AE452" s="43">
        <v>300</v>
      </c>
      <c r="AF452" s="43">
        <v>300</v>
      </c>
      <c r="AG452" s="43">
        <v>300</v>
      </c>
      <c r="AH452" s="43">
        <v>300</v>
      </c>
      <c r="AI452" s="43">
        <v>300</v>
      </c>
      <c r="AJ452" s="43">
        <v>300</v>
      </c>
      <c r="AK452" s="44">
        <f t="shared" si="55"/>
        <v>3600</v>
      </c>
      <c r="AL452" s="43">
        <v>300</v>
      </c>
      <c r="AM452" s="43">
        <v>300</v>
      </c>
      <c r="AN452" s="43">
        <v>300</v>
      </c>
      <c r="AO452" s="43">
        <v>300</v>
      </c>
      <c r="AP452" s="43">
        <v>300</v>
      </c>
      <c r="AQ452" s="43">
        <v>300</v>
      </c>
      <c r="AR452" s="43">
        <v>300</v>
      </c>
      <c r="AS452" s="43">
        <v>300</v>
      </c>
      <c r="AT452" s="43">
        <v>300</v>
      </c>
      <c r="AU452" s="43">
        <v>300</v>
      </c>
      <c r="AV452" s="43">
        <v>300</v>
      </c>
      <c r="AW452" s="43">
        <v>300</v>
      </c>
      <c r="AX452" s="44">
        <f t="shared" si="56"/>
        <v>3600</v>
      </c>
      <c r="AY452" s="311">
        <f>SUMIF(Recibos!$D$4:$D$7493,Cobranza!$B452,Recibos!K$4:K$7493)</f>
        <v>300</v>
      </c>
      <c r="AZ452" s="311">
        <f>SUMIF(Recibos!$D$4:$D$7493,Cobranza!$B452,Recibos!L$4:L$7493)</f>
        <v>300</v>
      </c>
      <c r="BA452" s="311">
        <f>SUMIF(Recibos!$D$4:$D$7493,Cobranza!$B452,Recibos!M$4:M$7493)</f>
        <v>300</v>
      </c>
      <c r="BB452" s="311">
        <f>SUMIF(Recibos!$D$4:$D$7493,Cobranza!$B452,Recibos!N$4:N$7493)</f>
        <v>300</v>
      </c>
      <c r="BC452" s="311">
        <f>SUMIF(Recibos!$D$4:$D$7493,Cobranza!$B452,Recibos!O$4:O$7493)</f>
        <v>300</v>
      </c>
      <c r="BD452" s="311">
        <f>SUMIF(Recibos!$D$4:$D$7493,Cobranza!$B452,Recibos!P$4:P$7493)</f>
        <v>300</v>
      </c>
      <c r="BE452" s="311">
        <f>SUMIF(Recibos!$D$4:$D$7493,Cobranza!$B452,Recibos!Q$4:Q$7493)</f>
        <v>300</v>
      </c>
      <c r="BF452" s="311">
        <f>SUMIF(Recibos!$D$4:$D$7493,Cobranza!$B452,Recibos!R$4:R$7493)</f>
        <v>300</v>
      </c>
      <c r="BG452" s="311">
        <f>SUMIF(Recibos!$D$4:$D$7493,Cobranza!$B452,Recibos!S$4:S$7493)</f>
        <v>300</v>
      </c>
      <c r="BH452" s="311">
        <f>SUMIF(Recibos!$D$4:$D$7493,Cobranza!$B452,Recibos!T$4:T$7493)</f>
        <v>300</v>
      </c>
      <c r="BI452" s="311">
        <f>SUMIF(Recibos!$D$4:$D$7493,Cobranza!$B452,Recibos!U$4:U$7493)</f>
        <v>300</v>
      </c>
      <c r="BJ452" s="311">
        <f>SUMIF(Recibos!$D$4:$D$7493,Cobranza!$B452,Recibos!V$4:V$7493)</f>
        <v>300</v>
      </c>
      <c r="BK452" s="312">
        <f t="shared" si="57"/>
        <v>3600</v>
      </c>
      <c r="BL452" s="311">
        <f>SUMIF(Recibos!$D$4:$D$7493,Cobranza!$B452,Recibos!X$4:X$7493)</f>
        <v>300</v>
      </c>
      <c r="BM452" s="311">
        <f>SUMIF(Recibos!$D$4:$D$7493,Cobranza!$B452,Recibos!Y$4:Y$7493)</f>
        <v>300</v>
      </c>
      <c r="BN452" s="311">
        <f>SUMIF(Recibos!$D$4:$D$7493,Cobranza!$B452,Recibos!Z$4:Z$7493)</f>
        <v>300</v>
      </c>
      <c r="BO452" s="311">
        <f>SUMIF(Recibos!$D$4:$D$7493,Cobranza!$B452,Recibos!AA$4:AA$7493)</f>
        <v>300</v>
      </c>
      <c r="BP452" s="311">
        <f>SUMIF(Recibos!$D$4:$D$7493,Cobranza!$B452,Recibos!AB$4:AB$7493)</f>
        <v>300</v>
      </c>
      <c r="BQ452" s="311">
        <f>SUMIF(Recibos!$D$4:$D$7493,Cobranza!$B452,Recibos!AC$4:AC$7493)</f>
        <v>300</v>
      </c>
      <c r="BR452" s="311">
        <f>SUMIF(Recibos!$D$4:$D$7493,Cobranza!$B452,Recibos!AD$4:AD$7493)</f>
        <v>300</v>
      </c>
      <c r="BS452" s="311">
        <f>SUMIF(Recibos!$D$4:$D$7493,Cobranza!$B452,Recibos!AE$4:AE$7493)</f>
        <v>300</v>
      </c>
      <c r="BT452" s="311">
        <f>SUMIF(Recibos!$D$4:$D$7493,Cobranza!$B452,Recibos!AF$4:AF$7493)</f>
        <v>300</v>
      </c>
      <c r="BU452" s="311">
        <f>SUMIF(Recibos!$D$4:$D$7493,Cobranza!$B452,Recibos!AG$4:AG$7493)</f>
        <v>300</v>
      </c>
      <c r="BV452" s="311">
        <f>SUMIF(Recibos!$D$4:$D$7493,Cobranza!$B452,Recibos!AH$4:AH$7493)</f>
        <v>300</v>
      </c>
      <c r="BW452" s="311">
        <f>SUMIF(Recibos!$D$4:$D$7493,Cobranza!$B452,Recibos!AI$4:AI$7493)</f>
        <v>300</v>
      </c>
      <c r="BX452" s="312">
        <f t="shared" si="58"/>
        <v>3600</v>
      </c>
      <c r="BY452" s="311">
        <f>SUMIF(Recibos!$D$4:$D$7493,Cobranza!$B452,Recibos!AK$4:AK$7493)</f>
        <v>350</v>
      </c>
      <c r="BZ452" s="311">
        <f>SUMIF(Recibos!$D$4:$D$7493,Cobranza!$B452,Recibos!AL$4:AL$7493)</f>
        <v>350</v>
      </c>
      <c r="CA452" s="311">
        <f>SUMIF(Recibos!$D$4:$D$7493,Cobranza!$B452,Recibos!AM$4:AM$7493)</f>
        <v>350</v>
      </c>
      <c r="CB452" s="311">
        <f>SUMIF(Recibos!$D$4:$D$7493,Cobranza!$B452,Recibos!AN$4:AN$7493)</f>
        <v>350</v>
      </c>
      <c r="CC452" s="311">
        <f>SUMIF(Recibos!$D$4:$D$7493,Cobranza!$B452,Recibos!AO$4:AO$7493)</f>
        <v>350</v>
      </c>
      <c r="CD452" s="311">
        <f>SUMIF(Recibos!$D$4:$D$7493,Cobranza!$B452,Recibos!AP$4:AP$7493)</f>
        <v>350</v>
      </c>
      <c r="CE452" s="311">
        <f>SUMIF(Recibos!$D$4:$D$7493,Cobranza!$B452,Recibos!AQ$4:AQ$7493)</f>
        <v>350</v>
      </c>
      <c r="CF452" s="311">
        <f>SUMIF(Recibos!$D$4:$D$7493,Cobranza!$B452,Recibos!AR$4:AR$7493)</f>
        <v>350</v>
      </c>
      <c r="CG452" s="311">
        <f>SUMIF(Recibos!$D$4:$D$7493,Cobranza!$B452,Recibos!AS$4:AS$7493)</f>
        <v>350</v>
      </c>
      <c r="CH452" s="311">
        <f>SUMIF(Recibos!$D$4:$D$7493,Cobranza!$B452,Recibos!AT$4:AT$7493)</f>
        <v>0</v>
      </c>
      <c r="CI452" s="311">
        <f>SUMIF(Recibos!$D$4:$D$7493,Cobranza!$B452,Recibos!AU$4:AU$7493)</f>
        <v>0</v>
      </c>
      <c r="CJ452" s="311">
        <f>SUMIF(Recibos!$D$4:$D$7493,Cobranza!$B452,Recibos!AV$4:AV$7493)</f>
        <v>0</v>
      </c>
      <c r="CK452" s="312">
        <f t="shared" si="52"/>
        <v>3150</v>
      </c>
    </row>
    <row r="453" spans="2:89" x14ac:dyDescent="0.2">
      <c r="B453" s="45" t="s">
        <v>129</v>
      </c>
      <c r="C453" s="45" t="s">
        <v>130</v>
      </c>
      <c r="D453" s="45" t="s">
        <v>131</v>
      </c>
      <c r="E453" s="46">
        <v>0</v>
      </c>
      <c r="F453" s="46">
        <v>0</v>
      </c>
      <c r="G453" s="46">
        <v>0</v>
      </c>
      <c r="H453" s="46">
        <v>0</v>
      </c>
      <c r="I453" s="46">
        <v>0</v>
      </c>
      <c r="J453" s="46">
        <v>300</v>
      </c>
      <c r="K453" s="47">
        <f t="shared" si="53"/>
        <v>300</v>
      </c>
      <c r="L453" s="46">
        <v>300</v>
      </c>
      <c r="M453" s="46">
        <v>300</v>
      </c>
      <c r="N453" s="46">
        <v>300</v>
      </c>
      <c r="O453" s="46">
        <v>300</v>
      </c>
      <c r="P453" s="46">
        <v>300</v>
      </c>
      <c r="Q453" s="46">
        <v>300</v>
      </c>
      <c r="R453" s="46">
        <v>0</v>
      </c>
      <c r="S453" s="46">
        <v>300</v>
      </c>
      <c r="T453" s="46">
        <v>300</v>
      </c>
      <c r="U453" s="46">
        <v>400</v>
      </c>
      <c r="V453" s="46">
        <v>400</v>
      </c>
      <c r="W453" s="46">
        <v>400</v>
      </c>
      <c r="X453" s="47">
        <f t="shared" si="54"/>
        <v>3600</v>
      </c>
      <c r="Y453" s="46">
        <v>400</v>
      </c>
      <c r="Z453" s="46">
        <v>400</v>
      </c>
      <c r="AA453" s="46">
        <v>400</v>
      </c>
      <c r="AB453" s="46">
        <v>400</v>
      </c>
      <c r="AC453" s="46">
        <v>400</v>
      </c>
      <c r="AD453" s="46">
        <v>400</v>
      </c>
      <c r="AE453" s="46">
        <v>400</v>
      </c>
      <c r="AF453" s="46">
        <v>400</v>
      </c>
      <c r="AG453" s="46">
        <v>400</v>
      </c>
      <c r="AH453" s="46">
        <v>400</v>
      </c>
      <c r="AI453" s="46">
        <v>400</v>
      </c>
      <c r="AJ453" s="46">
        <v>400</v>
      </c>
      <c r="AK453" s="47">
        <f t="shared" si="55"/>
        <v>4800</v>
      </c>
      <c r="AL453" s="46">
        <v>400</v>
      </c>
      <c r="AM453" s="46">
        <v>400</v>
      </c>
      <c r="AN453" s="46">
        <v>400</v>
      </c>
      <c r="AO453" s="46">
        <v>400</v>
      </c>
      <c r="AP453" s="46">
        <v>400</v>
      </c>
      <c r="AQ453" s="46">
        <v>400</v>
      </c>
      <c r="AR453" s="46">
        <v>400</v>
      </c>
      <c r="AS453" s="46">
        <v>400</v>
      </c>
      <c r="AT453" s="46">
        <v>400</v>
      </c>
      <c r="AU453" s="46">
        <v>400</v>
      </c>
      <c r="AV453" s="46">
        <v>400</v>
      </c>
      <c r="AW453" s="46">
        <v>400</v>
      </c>
      <c r="AX453" s="47">
        <f t="shared" si="56"/>
        <v>4800</v>
      </c>
      <c r="AY453" s="313">
        <f>SUMIF(Recibos!$D$4:$D$7493,Cobranza!$B453,Recibos!K$4:K$7493)</f>
        <v>400</v>
      </c>
      <c r="AZ453" s="313">
        <f>SUMIF(Recibos!$D$4:$D$7493,Cobranza!$B453,Recibos!L$4:L$7493)</f>
        <v>400</v>
      </c>
      <c r="BA453" s="313">
        <f>SUMIF(Recibos!$D$4:$D$7493,Cobranza!$B453,Recibos!M$4:M$7493)</f>
        <v>400</v>
      </c>
      <c r="BB453" s="313">
        <f>SUMIF(Recibos!$D$4:$D$7493,Cobranza!$B453,Recibos!N$4:N$7493)</f>
        <v>400</v>
      </c>
      <c r="BC453" s="313">
        <f>SUMIF(Recibos!$D$4:$D$7493,Cobranza!$B453,Recibos!O$4:O$7493)</f>
        <v>400</v>
      </c>
      <c r="BD453" s="313">
        <f>SUMIF(Recibos!$D$4:$D$7493,Cobranza!$B453,Recibos!P$4:P$7493)</f>
        <v>400</v>
      </c>
      <c r="BE453" s="313">
        <f>SUMIF(Recibos!$D$4:$D$7493,Cobranza!$B453,Recibos!Q$4:Q$7493)</f>
        <v>400</v>
      </c>
      <c r="BF453" s="313">
        <f>SUMIF(Recibos!$D$4:$D$7493,Cobranza!$B453,Recibos!R$4:R$7493)</f>
        <v>400</v>
      </c>
      <c r="BG453" s="313">
        <f>SUMIF(Recibos!$D$4:$D$7493,Cobranza!$B453,Recibos!S$4:S$7493)</f>
        <v>400</v>
      </c>
      <c r="BH453" s="313">
        <f>SUMIF(Recibos!$D$4:$D$7493,Cobranza!$B453,Recibos!T$4:T$7493)</f>
        <v>400</v>
      </c>
      <c r="BI453" s="313">
        <f>SUMIF(Recibos!$D$4:$D$7493,Cobranza!$B453,Recibos!U$4:U$7493)</f>
        <v>400</v>
      </c>
      <c r="BJ453" s="313">
        <f>SUMIF(Recibos!$D$4:$D$7493,Cobranza!$B453,Recibos!V$4:V$7493)</f>
        <v>400</v>
      </c>
      <c r="BK453" s="314">
        <f t="shared" si="57"/>
        <v>4800</v>
      </c>
      <c r="BL453" s="313">
        <f>SUMIF(Recibos!$D$4:$D$7493,Cobranza!$B453,Recibos!X$4:X$7493)</f>
        <v>400</v>
      </c>
      <c r="BM453" s="313">
        <f>SUMIF(Recibos!$D$4:$D$7493,Cobranza!$B453,Recibos!Y$4:Y$7493)</f>
        <v>400</v>
      </c>
      <c r="BN453" s="313">
        <f>SUMIF(Recibos!$D$4:$D$7493,Cobranza!$B453,Recibos!Z$4:Z$7493)</f>
        <v>400</v>
      </c>
      <c r="BO453" s="313">
        <f>SUMIF(Recibos!$D$4:$D$7493,Cobranza!$B453,Recibos!AA$4:AA$7493)</f>
        <v>400</v>
      </c>
      <c r="BP453" s="313">
        <f>SUMIF(Recibos!$D$4:$D$7493,Cobranza!$B453,Recibos!AB$4:AB$7493)</f>
        <v>400</v>
      </c>
      <c r="BQ453" s="313">
        <f>SUMIF(Recibos!$D$4:$D$7493,Cobranza!$B453,Recibos!AC$4:AC$7493)</f>
        <v>400</v>
      </c>
      <c r="BR453" s="313">
        <f>SUMIF(Recibos!$D$4:$D$7493,Cobranza!$B453,Recibos!AD$4:AD$7493)</f>
        <v>400</v>
      </c>
      <c r="BS453" s="313">
        <f>SUMIF(Recibos!$D$4:$D$7493,Cobranza!$B453,Recibos!AE$4:AE$7493)</f>
        <v>400</v>
      </c>
      <c r="BT453" s="313">
        <f>SUMIF(Recibos!$D$4:$D$7493,Cobranza!$B453,Recibos!AF$4:AF$7493)</f>
        <v>400</v>
      </c>
      <c r="BU453" s="313">
        <f>SUMIF(Recibos!$D$4:$D$7493,Cobranza!$B453,Recibos!AG$4:AG$7493)</f>
        <v>400</v>
      </c>
      <c r="BV453" s="313">
        <f>SUMIF(Recibos!$D$4:$D$7493,Cobranza!$B453,Recibos!AH$4:AH$7493)</f>
        <v>400</v>
      </c>
      <c r="BW453" s="313">
        <f>SUMIF(Recibos!$D$4:$D$7493,Cobranza!$B453,Recibos!AI$4:AI$7493)</f>
        <v>400</v>
      </c>
      <c r="BX453" s="314">
        <f t="shared" si="58"/>
        <v>4800</v>
      </c>
      <c r="BY453" s="313">
        <f>SUMIF(Recibos!$D$4:$D$7493,Cobranza!$B453,Recibos!AK$4:AK$7493)</f>
        <v>400</v>
      </c>
      <c r="BZ453" s="313">
        <f>SUMIF(Recibos!$D$4:$D$7493,Cobranza!$B453,Recibos!AL$4:AL$7493)</f>
        <v>400</v>
      </c>
      <c r="CA453" s="313">
        <f>SUMIF(Recibos!$D$4:$D$7493,Cobranza!$B453,Recibos!AM$4:AM$7493)</f>
        <v>400</v>
      </c>
      <c r="CB453" s="313">
        <f>SUMIF(Recibos!$D$4:$D$7493,Cobranza!$B453,Recibos!AN$4:AN$7493)</f>
        <v>400</v>
      </c>
      <c r="CC453" s="313">
        <f>SUMIF(Recibos!$D$4:$D$7493,Cobranza!$B453,Recibos!AO$4:AO$7493)</f>
        <v>400</v>
      </c>
      <c r="CD453" s="313">
        <f>SUMIF(Recibos!$D$4:$D$7493,Cobranza!$B453,Recibos!AP$4:AP$7493)</f>
        <v>400</v>
      </c>
      <c r="CE453" s="313">
        <f>SUMIF(Recibos!$D$4:$D$7493,Cobranza!$B453,Recibos!AQ$4:AQ$7493)</f>
        <v>400</v>
      </c>
      <c r="CF453" s="313">
        <f>SUMIF(Recibos!$D$4:$D$7493,Cobranza!$B453,Recibos!AR$4:AR$7493)</f>
        <v>400</v>
      </c>
      <c r="CG453" s="313">
        <f>SUMIF(Recibos!$D$4:$D$7493,Cobranza!$B453,Recibos!AS$4:AS$7493)</f>
        <v>400</v>
      </c>
      <c r="CH453" s="313">
        <f>SUMIF(Recibos!$D$4:$D$7493,Cobranza!$B453,Recibos!AT$4:AT$7493)</f>
        <v>400</v>
      </c>
      <c r="CI453" s="313">
        <f>SUMIF(Recibos!$D$4:$D$7493,Cobranza!$B453,Recibos!AU$4:AU$7493)</f>
        <v>0</v>
      </c>
      <c r="CJ453" s="313">
        <f>SUMIF(Recibos!$D$4:$D$7493,Cobranza!$B453,Recibos!AV$4:AV$7493)</f>
        <v>0</v>
      </c>
      <c r="CK453" s="314">
        <f t="shared" si="52"/>
        <v>4000</v>
      </c>
    </row>
    <row r="454" spans="2:89" x14ac:dyDescent="0.2">
      <c r="B454" s="42" t="s">
        <v>874</v>
      </c>
      <c r="C454" s="42" t="s">
        <v>875</v>
      </c>
      <c r="D454" s="42" t="s">
        <v>493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4">
        <f t="shared" si="53"/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3">
        <v>0</v>
      </c>
      <c r="U454" s="43">
        <v>0</v>
      </c>
      <c r="V454" s="43">
        <v>0</v>
      </c>
      <c r="W454" s="43">
        <v>0</v>
      </c>
      <c r="X454" s="44">
        <f t="shared" si="54"/>
        <v>0</v>
      </c>
      <c r="Y454" s="43">
        <v>0</v>
      </c>
      <c r="Z454" s="43">
        <v>200</v>
      </c>
      <c r="AA454" s="43">
        <v>200</v>
      </c>
      <c r="AB454" s="43">
        <v>200</v>
      </c>
      <c r="AC454" s="43">
        <v>200</v>
      </c>
      <c r="AD454" s="43">
        <v>0</v>
      </c>
      <c r="AE454" s="43">
        <v>0</v>
      </c>
      <c r="AF454" s="43">
        <v>0</v>
      </c>
      <c r="AG454" s="43">
        <v>200</v>
      </c>
      <c r="AH454" s="43">
        <v>200</v>
      </c>
      <c r="AI454" s="43">
        <v>200</v>
      </c>
      <c r="AJ454" s="43">
        <v>200</v>
      </c>
      <c r="AK454" s="44">
        <f t="shared" si="55"/>
        <v>1600</v>
      </c>
      <c r="AL454" s="43">
        <v>200</v>
      </c>
      <c r="AM454" s="43">
        <v>200</v>
      </c>
      <c r="AN454" s="43">
        <v>200</v>
      </c>
      <c r="AO454" s="43">
        <v>200</v>
      </c>
      <c r="AP454" s="43">
        <v>200</v>
      </c>
      <c r="AQ454" s="43">
        <v>200</v>
      </c>
      <c r="AR454" s="43">
        <v>200</v>
      </c>
      <c r="AS454" s="43">
        <v>200</v>
      </c>
      <c r="AT454" s="43">
        <v>200</v>
      </c>
      <c r="AU454" s="43">
        <v>0</v>
      </c>
      <c r="AV454" s="43">
        <v>0</v>
      </c>
      <c r="AW454" s="43">
        <v>0</v>
      </c>
      <c r="AX454" s="44">
        <f t="shared" si="56"/>
        <v>1800</v>
      </c>
      <c r="AY454" s="311">
        <f>SUMIF(Recibos!$D$4:$D$7493,Cobranza!$B454,Recibos!K$4:K$7493)</f>
        <v>200</v>
      </c>
      <c r="AZ454" s="311">
        <f>SUMIF(Recibos!$D$4:$D$7493,Cobranza!$B454,Recibos!L$4:L$7493)</f>
        <v>200</v>
      </c>
      <c r="BA454" s="311">
        <f>SUMIF(Recibos!$D$4:$D$7493,Cobranza!$B454,Recibos!M$4:M$7493)</f>
        <v>200</v>
      </c>
      <c r="BB454" s="311">
        <f>SUMIF(Recibos!$D$4:$D$7493,Cobranza!$B454,Recibos!N$4:N$7493)</f>
        <v>200</v>
      </c>
      <c r="BC454" s="311">
        <f>SUMIF(Recibos!$D$4:$D$7493,Cobranza!$B454,Recibos!O$4:O$7493)</f>
        <v>200</v>
      </c>
      <c r="BD454" s="311">
        <f>SUMIF(Recibos!$D$4:$D$7493,Cobranza!$B454,Recibos!P$4:P$7493)</f>
        <v>200</v>
      </c>
      <c r="BE454" s="311">
        <f>SUMIF(Recibos!$D$4:$D$7493,Cobranza!$B454,Recibos!Q$4:Q$7493)</f>
        <v>200</v>
      </c>
      <c r="BF454" s="311">
        <f>SUMIF(Recibos!$D$4:$D$7493,Cobranza!$B454,Recibos!R$4:R$7493)</f>
        <v>200</v>
      </c>
      <c r="BG454" s="311">
        <f>SUMIF(Recibos!$D$4:$D$7493,Cobranza!$B454,Recibos!S$4:S$7493)</f>
        <v>200</v>
      </c>
      <c r="BH454" s="311">
        <f>SUMIF(Recibos!$D$4:$D$7493,Cobranza!$B454,Recibos!T$4:T$7493)</f>
        <v>200</v>
      </c>
      <c r="BI454" s="311">
        <f>SUMIF(Recibos!$D$4:$D$7493,Cobranza!$B454,Recibos!U$4:U$7493)</f>
        <v>200</v>
      </c>
      <c r="BJ454" s="311">
        <f>SUMIF(Recibos!$D$4:$D$7493,Cobranza!$B454,Recibos!V$4:V$7493)</f>
        <v>200</v>
      </c>
      <c r="BK454" s="312">
        <f t="shared" si="57"/>
        <v>2400</v>
      </c>
      <c r="BL454" s="311">
        <f>SUMIF(Recibos!$D$4:$D$7493,Cobranza!$B454,Recibos!X$4:X$7493)</f>
        <v>200</v>
      </c>
      <c r="BM454" s="311">
        <f>SUMIF(Recibos!$D$4:$D$7493,Cobranza!$B454,Recibos!Y$4:Y$7493)</f>
        <v>200</v>
      </c>
      <c r="BN454" s="311">
        <f>SUMIF(Recibos!$D$4:$D$7493,Cobranza!$B454,Recibos!Z$4:Z$7493)</f>
        <v>200</v>
      </c>
      <c r="BO454" s="311">
        <f>SUMIF(Recibos!$D$4:$D$7493,Cobranza!$B454,Recibos!AA$4:AA$7493)</f>
        <v>200</v>
      </c>
      <c r="BP454" s="311">
        <f>SUMIF(Recibos!$D$4:$D$7493,Cobranza!$B454,Recibos!AB$4:AB$7493)</f>
        <v>200</v>
      </c>
      <c r="BQ454" s="311">
        <f>SUMIF(Recibos!$D$4:$D$7493,Cobranza!$B454,Recibos!AC$4:AC$7493)</f>
        <v>200</v>
      </c>
      <c r="BR454" s="311">
        <f>SUMIF(Recibos!$D$4:$D$7493,Cobranza!$B454,Recibos!AD$4:AD$7493)</f>
        <v>200</v>
      </c>
      <c r="BS454" s="311">
        <f>SUMIF(Recibos!$D$4:$D$7493,Cobranza!$B454,Recibos!AE$4:AE$7493)</f>
        <v>200</v>
      </c>
      <c r="BT454" s="311">
        <f>SUMIF(Recibos!$D$4:$D$7493,Cobranza!$B454,Recibos!AF$4:AF$7493)</f>
        <v>200</v>
      </c>
      <c r="BU454" s="311">
        <f>SUMIF(Recibos!$D$4:$D$7493,Cobranza!$B454,Recibos!AG$4:AG$7493)</f>
        <v>200</v>
      </c>
      <c r="BV454" s="311">
        <f>SUMIF(Recibos!$D$4:$D$7493,Cobranza!$B454,Recibos!AH$4:AH$7493)</f>
        <v>200</v>
      </c>
      <c r="BW454" s="311">
        <f>SUMIF(Recibos!$D$4:$D$7493,Cobranza!$B454,Recibos!AI$4:AI$7493)</f>
        <v>200</v>
      </c>
      <c r="BX454" s="312">
        <f t="shared" si="58"/>
        <v>2400</v>
      </c>
      <c r="BY454" s="311">
        <f>SUMIF(Recibos!$D$4:$D$7493,Cobranza!$B454,Recibos!AK$4:AK$7493)</f>
        <v>200</v>
      </c>
      <c r="BZ454" s="311">
        <f>SUMIF(Recibos!$D$4:$D$7493,Cobranza!$B454,Recibos!AL$4:AL$7493)</f>
        <v>200</v>
      </c>
      <c r="CA454" s="311">
        <f>SUMIF(Recibos!$D$4:$D$7493,Cobranza!$B454,Recibos!AM$4:AM$7493)</f>
        <v>200</v>
      </c>
      <c r="CB454" s="311">
        <f>SUMIF(Recibos!$D$4:$D$7493,Cobranza!$B454,Recibos!AN$4:AN$7493)</f>
        <v>200</v>
      </c>
      <c r="CC454" s="311">
        <f>SUMIF(Recibos!$D$4:$D$7493,Cobranza!$B454,Recibos!AO$4:AO$7493)</f>
        <v>200</v>
      </c>
      <c r="CD454" s="311">
        <f>SUMIF(Recibos!$D$4:$D$7493,Cobranza!$B454,Recibos!AP$4:AP$7493)</f>
        <v>200</v>
      </c>
      <c r="CE454" s="311">
        <f>SUMIF(Recibos!$D$4:$D$7493,Cobranza!$B454,Recibos!AQ$4:AQ$7493)</f>
        <v>200</v>
      </c>
      <c r="CF454" s="311">
        <f>SUMIF(Recibos!$D$4:$D$7493,Cobranza!$B454,Recibos!AR$4:AR$7493)</f>
        <v>200</v>
      </c>
      <c r="CG454" s="311">
        <f>SUMIF(Recibos!$D$4:$D$7493,Cobranza!$B454,Recibos!AS$4:AS$7493)</f>
        <v>200</v>
      </c>
      <c r="CH454" s="311">
        <f>SUMIF(Recibos!$D$4:$D$7493,Cobranza!$B454,Recibos!AT$4:AT$7493)</f>
        <v>200</v>
      </c>
      <c r="CI454" s="311">
        <f>SUMIF(Recibos!$D$4:$D$7493,Cobranza!$B454,Recibos!AU$4:AU$7493)</f>
        <v>0</v>
      </c>
      <c r="CJ454" s="311">
        <f>SUMIF(Recibos!$D$4:$D$7493,Cobranza!$B454,Recibos!AV$4:AV$7493)</f>
        <v>0</v>
      </c>
      <c r="CK454" s="312">
        <f t="shared" si="52"/>
        <v>2000</v>
      </c>
    </row>
    <row r="455" spans="2:89" x14ac:dyDescent="0.2">
      <c r="B455" s="45" t="s">
        <v>617</v>
      </c>
      <c r="C455" s="45" t="s">
        <v>618</v>
      </c>
      <c r="D455" s="45" t="s">
        <v>619</v>
      </c>
      <c r="E455" s="46">
        <v>0</v>
      </c>
      <c r="F455" s="46">
        <v>0</v>
      </c>
      <c r="G455" s="46">
        <v>0</v>
      </c>
      <c r="H455" s="46">
        <v>0</v>
      </c>
      <c r="I455" s="46">
        <v>0</v>
      </c>
      <c r="J455" s="46">
        <v>300</v>
      </c>
      <c r="K455" s="47">
        <f t="shared" si="53"/>
        <v>300</v>
      </c>
      <c r="L455" s="46">
        <v>300</v>
      </c>
      <c r="M455" s="46">
        <v>300</v>
      </c>
      <c r="N455" s="46">
        <v>300</v>
      </c>
      <c r="O455" s="46">
        <v>300</v>
      </c>
      <c r="P455" s="46">
        <v>300</v>
      </c>
      <c r="Q455" s="46">
        <v>300</v>
      </c>
      <c r="R455" s="46">
        <v>300</v>
      </c>
      <c r="S455" s="46">
        <v>300</v>
      </c>
      <c r="T455" s="46">
        <v>300</v>
      </c>
      <c r="U455" s="46">
        <v>400</v>
      </c>
      <c r="V455" s="46">
        <v>400</v>
      </c>
      <c r="W455" s="46">
        <v>400</v>
      </c>
      <c r="X455" s="47">
        <f t="shared" si="54"/>
        <v>3900</v>
      </c>
      <c r="Y455" s="46">
        <v>400</v>
      </c>
      <c r="Z455" s="46">
        <v>400</v>
      </c>
      <c r="AA455" s="46">
        <v>0</v>
      </c>
      <c r="AB455" s="46">
        <v>400</v>
      </c>
      <c r="AC455" s="46">
        <v>400</v>
      </c>
      <c r="AD455" s="46">
        <v>400</v>
      </c>
      <c r="AE455" s="46">
        <v>400</v>
      </c>
      <c r="AF455" s="46">
        <v>400</v>
      </c>
      <c r="AG455" s="46">
        <v>400</v>
      </c>
      <c r="AH455" s="46">
        <v>400</v>
      </c>
      <c r="AI455" s="46">
        <v>400</v>
      </c>
      <c r="AJ455" s="46">
        <v>400</v>
      </c>
      <c r="AK455" s="47">
        <f t="shared" si="55"/>
        <v>4400</v>
      </c>
      <c r="AL455" s="46">
        <v>400</v>
      </c>
      <c r="AM455" s="46">
        <v>400</v>
      </c>
      <c r="AN455" s="46">
        <v>400</v>
      </c>
      <c r="AO455" s="46">
        <v>400</v>
      </c>
      <c r="AP455" s="46">
        <v>400</v>
      </c>
      <c r="AQ455" s="46">
        <v>400</v>
      </c>
      <c r="AR455" s="46">
        <v>400</v>
      </c>
      <c r="AS455" s="46">
        <v>400</v>
      </c>
      <c r="AT455" s="46">
        <v>400</v>
      </c>
      <c r="AU455" s="46">
        <v>400</v>
      </c>
      <c r="AV455" s="46">
        <v>400</v>
      </c>
      <c r="AW455" s="46">
        <v>400</v>
      </c>
      <c r="AX455" s="47">
        <f t="shared" si="56"/>
        <v>4800</v>
      </c>
      <c r="AY455" s="313">
        <f>SUMIF(Recibos!$D$4:$D$7493,Cobranza!$B455,Recibos!K$4:K$7493)</f>
        <v>400</v>
      </c>
      <c r="AZ455" s="313">
        <f>SUMIF(Recibos!$D$4:$D$7493,Cobranza!$B455,Recibos!L$4:L$7493)</f>
        <v>400</v>
      </c>
      <c r="BA455" s="313">
        <f>SUMIF(Recibos!$D$4:$D$7493,Cobranza!$B455,Recibos!M$4:M$7493)</f>
        <v>400</v>
      </c>
      <c r="BB455" s="313">
        <f>SUMIF(Recibos!$D$4:$D$7493,Cobranza!$B455,Recibos!N$4:N$7493)</f>
        <v>400</v>
      </c>
      <c r="BC455" s="313">
        <f>SUMIF(Recibos!$D$4:$D$7493,Cobranza!$B455,Recibos!O$4:O$7493)</f>
        <v>0</v>
      </c>
      <c r="BD455" s="313">
        <f>SUMIF(Recibos!$D$4:$D$7493,Cobranza!$B455,Recibos!P$4:P$7493)</f>
        <v>800</v>
      </c>
      <c r="BE455" s="313">
        <f>SUMIF(Recibos!$D$4:$D$7493,Cobranza!$B455,Recibos!Q$4:Q$7493)</f>
        <v>400</v>
      </c>
      <c r="BF455" s="313">
        <f>SUMIF(Recibos!$D$4:$D$7493,Cobranza!$B455,Recibos!R$4:R$7493)</f>
        <v>400</v>
      </c>
      <c r="BG455" s="313">
        <f>SUMIF(Recibos!$D$4:$D$7493,Cobranza!$B455,Recibos!S$4:S$7493)</f>
        <v>400</v>
      </c>
      <c r="BH455" s="313">
        <f>SUMIF(Recibos!$D$4:$D$7493,Cobranza!$B455,Recibos!T$4:T$7493)</f>
        <v>400</v>
      </c>
      <c r="BI455" s="313">
        <f>SUMIF(Recibos!$D$4:$D$7493,Cobranza!$B455,Recibos!U$4:U$7493)</f>
        <v>400</v>
      </c>
      <c r="BJ455" s="313">
        <f>SUMIF(Recibos!$D$4:$D$7493,Cobranza!$B455,Recibos!V$4:V$7493)</f>
        <v>400</v>
      </c>
      <c r="BK455" s="314">
        <f t="shared" si="57"/>
        <v>4800</v>
      </c>
      <c r="BL455" s="313">
        <f>SUMIF(Recibos!$D$4:$D$7493,Cobranza!$B455,Recibos!X$4:X$7493)</f>
        <v>400</v>
      </c>
      <c r="BM455" s="313">
        <f>SUMIF(Recibos!$D$4:$D$7493,Cobranza!$B455,Recibos!Y$4:Y$7493)</f>
        <v>400</v>
      </c>
      <c r="BN455" s="313">
        <f>SUMIF(Recibos!$D$4:$D$7493,Cobranza!$B455,Recibos!Z$4:Z$7493)</f>
        <v>400</v>
      </c>
      <c r="BO455" s="313">
        <f>SUMIF(Recibos!$D$4:$D$7493,Cobranza!$B455,Recibos!AA$4:AA$7493)</f>
        <v>400</v>
      </c>
      <c r="BP455" s="313">
        <f>SUMIF(Recibos!$D$4:$D$7493,Cobranza!$B455,Recibos!AB$4:AB$7493)</f>
        <v>400</v>
      </c>
      <c r="BQ455" s="313">
        <f>SUMIF(Recibos!$D$4:$D$7493,Cobranza!$B455,Recibos!AC$4:AC$7493)</f>
        <v>400</v>
      </c>
      <c r="BR455" s="313">
        <f>SUMIF(Recibos!$D$4:$D$7493,Cobranza!$B455,Recibos!AD$4:AD$7493)</f>
        <v>400</v>
      </c>
      <c r="BS455" s="313">
        <f>SUMIF(Recibos!$D$4:$D$7493,Cobranza!$B455,Recibos!AE$4:AE$7493)</f>
        <v>400</v>
      </c>
      <c r="BT455" s="313">
        <f>SUMIF(Recibos!$D$4:$D$7493,Cobranza!$B455,Recibos!AF$4:AF$7493)</f>
        <v>400</v>
      </c>
      <c r="BU455" s="313">
        <f>SUMIF(Recibos!$D$4:$D$7493,Cobranza!$B455,Recibos!AG$4:AG$7493)</f>
        <v>400</v>
      </c>
      <c r="BV455" s="313">
        <f>SUMIF(Recibos!$D$4:$D$7493,Cobranza!$B455,Recibos!AH$4:AH$7493)</f>
        <v>400</v>
      </c>
      <c r="BW455" s="313">
        <f>SUMIF(Recibos!$D$4:$D$7493,Cobranza!$B455,Recibos!AI$4:AI$7493)</f>
        <v>400</v>
      </c>
      <c r="BX455" s="314">
        <f t="shared" si="58"/>
        <v>4800</v>
      </c>
      <c r="BY455" s="313">
        <f>SUMIF(Recibos!$D$4:$D$7493,Cobranza!$B455,Recibos!AK$4:AK$7493)</f>
        <v>400</v>
      </c>
      <c r="BZ455" s="313">
        <f>SUMIF(Recibos!$D$4:$D$7493,Cobranza!$B455,Recibos!AL$4:AL$7493)</f>
        <v>400</v>
      </c>
      <c r="CA455" s="313">
        <f>SUMIF(Recibos!$D$4:$D$7493,Cobranza!$B455,Recibos!AM$4:AM$7493)</f>
        <v>400</v>
      </c>
      <c r="CB455" s="313">
        <f>SUMIF(Recibos!$D$4:$D$7493,Cobranza!$B455,Recibos!AN$4:AN$7493)</f>
        <v>400</v>
      </c>
      <c r="CC455" s="313">
        <f>SUMIF(Recibos!$D$4:$D$7493,Cobranza!$B455,Recibos!AO$4:AO$7493)</f>
        <v>400</v>
      </c>
      <c r="CD455" s="313">
        <f>SUMIF(Recibos!$D$4:$D$7493,Cobranza!$B455,Recibos!AP$4:AP$7493)</f>
        <v>400</v>
      </c>
      <c r="CE455" s="313">
        <f>SUMIF(Recibos!$D$4:$D$7493,Cobranza!$B455,Recibos!AQ$4:AQ$7493)</f>
        <v>400</v>
      </c>
      <c r="CF455" s="313">
        <f>SUMIF(Recibos!$D$4:$D$7493,Cobranza!$B455,Recibos!AR$4:AR$7493)</f>
        <v>400</v>
      </c>
      <c r="CG455" s="313">
        <f>SUMIF(Recibos!$D$4:$D$7493,Cobranza!$B455,Recibos!AS$4:AS$7493)</f>
        <v>400</v>
      </c>
      <c r="CH455" s="313">
        <f>SUMIF(Recibos!$D$4:$D$7493,Cobranza!$B455,Recibos!AT$4:AT$7493)</f>
        <v>0</v>
      </c>
      <c r="CI455" s="313">
        <f>SUMIF(Recibos!$D$4:$D$7493,Cobranza!$B455,Recibos!AU$4:AU$7493)</f>
        <v>0</v>
      </c>
      <c r="CJ455" s="313">
        <f>SUMIF(Recibos!$D$4:$D$7493,Cobranza!$B455,Recibos!AV$4:AV$7493)</f>
        <v>0</v>
      </c>
      <c r="CK455" s="314">
        <f t="shared" si="52"/>
        <v>3600</v>
      </c>
    </row>
    <row r="456" spans="2:89" x14ac:dyDescent="0.2">
      <c r="B456" s="42" t="s">
        <v>1458</v>
      </c>
      <c r="C456" s="42" t="s">
        <v>1459</v>
      </c>
      <c r="D456" s="42"/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4">
        <f t="shared" si="53"/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3">
        <v>0</v>
      </c>
      <c r="U456" s="43">
        <v>0</v>
      </c>
      <c r="V456" s="43">
        <v>0</v>
      </c>
      <c r="W456" s="43">
        <v>0</v>
      </c>
      <c r="X456" s="44">
        <f t="shared" si="54"/>
        <v>0</v>
      </c>
      <c r="Y456" s="43">
        <v>0</v>
      </c>
      <c r="Z456" s="43">
        <v>0</v>
      </c>
      <c r="AA456" s="43">
        <v>0</v>
      </c>
      <c r="AB456" s="43">
        <v>0</v>
      </c>
      <c r="AC456" s="43">
        <v>0</v>
      </c>
      <c r="AD456" s="43">
        <v>0</v>
      </c>
      <c r="AE456" s="43">
        <v>0</v>
      </c>
      <c r="AF456" s="43">
        <v>0</v>
      </c>
      <c r="AG456" s="43">
        <v>0</v>
      </c>
      <c r="AH456" s="43">
        <v>0</v>
      </c>
      <c r="AI456" s="43">
        <v>0</v>
      </c>
      <c r="AJ456" s="43">
        <v>0</v>
      </c>
      <c r="AK456" s="44">
        <f t="shared" si="55"/>
        <v>0</v>
      </c>
      <c r="AL456" s="43">
        <v>0</v>
      </c>
      <c r="AM456" s="43">
        <v>0</v>
      </c>
      <c r="AN456" s="43">
        <v>0</v>
      </c>
      <c r="AO456" s="43">
        <v>0</v>
      </c>
      <c r="AP456" s="43">
        <v>0</v>
      </c>
      <c r="AQ456" s="43">
        <v>0</v>
      </c>
      <c r="AR456" s="43">
        <v>0</v>
      </c>
      <c r="AS456" s="43">
        <v>0</v>
      </c>
      <c r="AT456" s="43">
        <v>0</v>
      </c>
      <c r="AU456" s="43">
        <v>0</v>
      </c>
      <c r="AV456" s="43">
        <v>0</v>
      </c>
      <c r="AW456" s="43">
        <v>0</v>
      </c>
      <c r="AX456" s="44">
        <f t="shared" si="56"/>
        <v>0</v>
      </c>
      <c r="AY456" s="311">
        <f>SUMIF(Recibos!$D$4:$D$7493,Cobranza!$B456,Recibos!K$4:K$7493)</f>
        <v>0</v>
      </c>
      <c r="AZ456" s="311">
        <f>SUMIF(Recibos!$D$4:$D$7493,Cobranza!$B456,Recibos!L$4:L$7493)</f>
        <v>0</v>
      </c>
      <c r="BA456" s="311">
        <f>SUMIF(Recibos!$D$4:$D$7493,Cobranza!$B456,Recibos!M$4:M$7493)</f>
        <v>0</v>
      </c>
      <c r="BB456" s="311">
        <f>SUMIF(Recibos!$D$4:$D$7493,Cobranza!$B456,Recibos!N$4:N$7493)</f>
        <v>0</v>
      </c>
      <c r="BC456" s="311">
        <f>SUMIF(Recibos!$D$4:$D$7493,Cobranza!$B456,Recibos!O$4:O$7493)</f>
        <v>0</v>
      </c>
      <c r="BD456" s="311">
        <f>SUMIF(Recibos!$D$4:$D$7493,Cobranza!$B456,Recibos!P$4:P$7493)</f>
        <v>0</v>
      </c>
      <c r="BE456" s="311">
        <f>SUMIF(Recibos!$D$4:$D$7493,Cobranza!$B456,Recibos!Q$4:Q$7493)</f>
        <v>0</v>
      </c>
      <c r="BF456" s="311">
        <f>SUMIF(Recibos!$D$4:$D$7493,Cobranza!$B456,Recibos!R$4:R$7493)</f>
        <v>0</v>
      </c>
      <c r="BG456" s="311">
        <f>SUMIF(Recibos!$D$4:$D$7493,Cobranza!$B456,Recibos!S$4:S$7493)</f>
        <v>0</v>
      </c>
      <c r="BH456" s="311">
        <f>SUMIF(Recibos!$D$4:$D$7493,Cobranza!$B456,Recibos!T$4:T$7493)</f>
        <v>0</v>
      </c>
      <c r="BI456" s="311">
        <f>SUMIF(Recibos!$D$4:$D$7493,Cobranza!$B456,Recibos!U$4:U$7493)</f>
        <v>0</v>
      </c>
      <c r="BJ456" s="311">
        <f>SUMIF(Recibos!$D$4:$D$7493,Cobranza!$B456,Recibos!V$4:V$7493)</f>
        <v>0</v>
      </c>
      <c r="BK456" s="312">
        <f t="shared" si="57"/>
        <v>0</v>
      </c>
      <c r="BL456" s="311">
        <f>SUMIF(Recibos!$D$4:$D$7493,Cobranza!$B456,Recibos!X$4:X$7493)</f>
        <v>0</v>
      </c>
      <c r="BM456" s="311">
        <f>SUMIF(Recibos!$D$4:$D$7493,Cobranza!$B456,Recibos!Y$4:Y$7493)</f>
        <v>0</v>
      </c>
      <c r="BN456" s="311">
        <f>SUMIF(Recibos!$D$4:$D$7493,Cobranza!$B456,Recibos!Z$4:Z$7493)</f>
        <v>0</v>
      </c>
      <c r="BO456" s="311">
        <f>SUMIF(Recibos!$D$4:$D$7493,Cobranza!$B456,Recibos!AA$4:AA$7493)</f>
        <v>0</v>
      </c>
      <c r="BP456" s="311">
        <f>SUMIF(Recibos!$D$4:$D$7493,Cobranza!$B456,Recibos!AB$4:AB$7493)</f>
        <v>0</v>
      </c>
      <c r="BQ456" s="311">
        <f>SUMIF(Recibos!$D$4:$D$7493,Cobranza!$B456,Recibos!AC$4:AC$7493)</f>
        <v>0</v>
      </c>
      <c r="BR456" s="311">
        <f>SUMIF(Recibos!$D$4:$D$7493,Cobranza!$B456,Recibos!AD$4:AD$7493)</f>
        <v>0</v>
      </c>
      <c r="BS456" s="311">
        <f>SUMIF(Recibos!$D$4:$D$7493,Cobranza!$B456,Recibos!AE$4:AE$7493)</f>
        <v>0</v>
      </c>
      <c r="BT456" s="311">
        <f>SUMIF(Recibos!$D$4:$D$7493,Cobranza!$B456,Recibos!AF$4:AF$7493)</f>
        <v>0</v>
      </c>
      <c r="BU456" s="311">
        <f>SUMIF(Recibos!$D$4:$D$7493,Cobranza!$B456,Recibos!AG$4:AG$7493)</f>
        <v>0</v>
      </c>
      <c r="BV456" s="311">
        <f>SUMIF(Recibos!$D$4:$D$7493,Cobranza!$B456,Recibos!AH$4:AH$7493)</f>
        <v>0</v>
      </c>
      <c r="BW456" s="311">
        <f>SUMIF(Recibos!$D$4:$D$7493,Cobranza!$B456,Recibos!AI$4:AI$7493)</f>
        <v>0</v>
      </c>
      <c r="BX456" s="312">
        <f t="shared" si="58"/>
        <v>0</v>
      </c>
      <c r="BY456" s="311">
        <f>SUMIF(Recibos!$D$4:$D$7493,Cobranza!$B456,Recibos!AK$4:AK$7493)</f>
        <v>0</v>
      </c>
      <c r="BZ456" s="311">
        <f>SUMIF(Recibos!$D$4:$D$7493,Cobranza!$B456,Recibos!AL$4:AL$7493)</f>
        <v>0</v>
      </c>
      <c r="CA456" s="311">
        <f>SUMIF(Recibos!$D$4:$D$7493,Cobranza!$B456,Recibos!AM$4:AM$7493)</f>
        <v>0</v>
      </c>
      <c r="CB456" s="311">
        <f>SUMIF(Recibos!$D$4:$D$7493,Cobranza!$B456,Recibos!AN$4:AN$7493)</f>
        <v>0</v>
      </c>
      <c r="CC456" s="311">
        <f>SUMIF(Recibos!$D$4:$D$7493,Cobranza!$B456,Recibos!AO$4:AO$7493)</f>
        <v>0</v>
      </c>
      <c r="CD456" s="311">
        <f>SUMIF(Recibos!$D$4:$D$7493,Cobranza!$B456,Recibos!AP$4:AP$7493)</f>
        <v>0</v>
      </c>
      <c r="CE456" s="311">
        <f>SUMIF(Recibos!$D$4:$D$7493,Cobranza!$B456,Recibos!AQ$4:AQ$7493)</f>
        <v>0</v>
      </c>
      <c r="CF456" s="311">
        <f>SUMIF(Recibos!$D$4:$D$7493,Cobranza!$B456,Recibos!AR$4:AR$7493)</f>
        <v>0</v>
      </c>
      <c r="CG456" s="311">
        <f>SUMIF(Recibos!$D$4:$D$7493,Cobranza!$B456,Recibos!AS$4:AS$7493)</f>
        <v>0</v>
      </c>
      <c r="CH456" s="311">
        <f>SUMIF(Recibos!$D$4:$D$7493,Cobranza!$B456,Recibos!AT$4:AT$7493)</f>
        <v>0</v>
      </c>
      <c r="CI456" s="311">
        <f>SUMIF(Recibos!$D$4:$D$7493,Cobranza!$B456,Recibos!AU$4:AU$7493)</f>
        <v>0</v>
      </c>
      <c r="CJ456" s="311">
        <f>SUMIF(Recibos!$D$4:$D$7493,Cobranza!$B456,Recibos!AV$4:AV$7493)</f>
        <v>0</v>
      </c>
      <c r="CK456" s="312">
        <f t="shared" si="52"/>
        <v>0</v>
      </c>
    </row>
    <row r="457" spans="2:89" x14ac:dyDescent="0.2">
      <c r="B457" s="45" t="s">
        <v>1460</v>
      </c>
      <c r="C457" s="45" t="s">
        <v>1461</v>
      </c>
      <c r="D457" s="45" t="s">
        <v>1462</v>
      </c>
      <c r="E457" s="46">
        <v>0</v>
      </c>
      <c r="F457" s="46">
        <v>0</v>
      </c>
      <c r="G457" s="46">
        <v>0</v>
      </c>
      <c r="H457" s="46">
        <v>0</v>
      </c>
      <c r="I457" s="46">
        <v>0</v>
      </c>
      <c r="J457" s="46">
        <v>250</v>
      </c>
      <c r="K457" s="47">
        <f t="shared" si="53"/>
        <v>250</v>
      </c>
      <c r="L457" s="46">
        <v>250</v>
      </c>
      <c r="M457" s="46">
        <v>250</v>
      </c>
      <c r="N457" s="46">
        <v>250</v>
      </c>
      <c r="O457" s="46">
        <v>250</v>
      </c>
      <c r="P457" s="46">
        <v>250</v>
      </c>
      <c r="Q457" s="46">
        <v>250</v>
      </c>
      <c r="R457" s="46">
        <v>250</v>
      </c>
      <c r="S457" s="46">
        <v>250</v>
      </c>
      <c r="T457" s="46">
        <v>250</v>
      </c>
      <c r="U457" s="46">
        <v>350</v>
      </c>
      <c r="V457" s="46">
        <v>350</v>
      </c>
      <c r="W457" s="46">
        <v>350</v>
      </c>
      <c r="X457" s="47">
        <f t="shared" si="54"/>
        <v>3300</v>
      </c>
      <c r="Y457" s="46">
        <v>350</v>
      </c>
      <c r="Z457" s="46">
        <v>350</v>
      </c>
      <c r="AA457" s="46">
        <v>350</v>
      </c>
      <c r="AB457" s="46">
        <v>350</v>
      </c>
      <c r="AC457" s="46">
        <v>350</v>
      </c>
      <c r="AD457" s="46">
        <v>350</v>
      </c>
      <c r="AE457" s="46">
        <v>350</v>
      </c>
      <c r="AF457" s="46">
        <v>510</v>
      </c>
      <c r="AG457" s="46">
        <v>350</v>
      </c>
      <c r="AH457" s="46">
        <v>350</v>
      </c>
      <c r="AI457" s="46">
        <v>0</v>
      </c>
      <c r="AJ457" s="46">
        <v>0</v>
      </c>
      <c r="AK457" s="47">
        <f t="shared" si="55"/>
        <v>3660</v>
      </c>
      <c r="AL457" s="46">
        <v>0</v>
      </c>
      <c r="AM457" s="46">
        <v>0</v>
      </c>
      <c r="AN457" s="46">
        <v>0</v>
      </c>
      <c r="AO457" s="46">
        <v>0</v>
      </c>
      <c r="AP457" s="46">
        <v>0</v>
      </c>
      <c r="AQ457" s="46">
        <v>0</v>
      </c>
      <c r="AR457" s="46">
        <v>0</v>
      </c>
      <c r="AS457" s="46">
        <v>0</v>
      </c>
      <c r="AT457" s="46">
        <v>0</v>
      </c>
      <c r="AU457" s="46">
        <v>0</v>
      </c>
      <c r="AV457" s="46">
        <v>0</v>
      </c>
      <c r="AW457" s="46">
        <v>0</v>
      </c>
      <c r="AX457" s="47">
        <f t="shared" si="56"/>
        <v>0</v>
      </c>
      <c r="AY457" s="313">
        <f>SUMIF(Recibos!$D$4:$D$7493,Cobranza!$B457,Recibos!K$4:K$7493)</f>
        <v>0</v>
      </c>
      <c r="AZ457" s="313">
        <f>SUMIF(Recibos!$D$4:$D$7493,Cobranza!$B457,Recibos!L$4:L$7493)</f>
        <v>0</v>
      </c>
      <c r="BA457" s="313">
        <f>SUMIF(Recibos!$D$4:$D$7493,Cobranza!$B457,Recibos!M$4:M$7493)</f>
        <v>0</v>
      </c>
      <c r="BB457" s="313">
        <f>SUMIF(Recibos!$D$4:$D$7493,Cobranza!$B457,Recibos!N$4:N$7493)</f>
        <v>0</v>
      </c>
      <c r="BC457" s="313">
        <f>SUMIF(Recibos!$D$4:$D$7493,Cobranza!$B457,Recibos!O$4:O$7493)</f>
        <v>0</v>
      </c>
      <c r="BD457" s="313">
        <f>SUMIF(Recibos!$D$4:$D$7493,Cobranza!$B457,Recibos!P$4:P$7493)</f>
        <v>0</v>
      </c>
      <c r="BE457" s="313">
        <f>SUMIF(Recibos!$D$4:$D$7493,Cobranza!$B457,Recibos!Q$4:Q$7493)</f>
        <v>0</v>
      </c>
      <c r="BF457" s="313">
        <f>SUMIF(Recibos!$D$4:$D$7493,Cobranza!$B457,Recibos!R$4:R$7493)</f>
        <v>0</v>
      </c>
      <c r="BG457" s="313">
        <f>SUMIF(Recibos!$D$4:$D$7493,Cobranza!$B457,Recibos!S$4:S$7493)</f>
        <v>0</v>
      </c>
      <c r="BH457" s="313">
        <f>SUMIF(Recibos!$D$4:$D$7493,Cobranza!$B457,Recibos!T$4:T$7493)</f>
        <v>0</v>
      </c>
      <c r="BI457" s="313">
        <f>SUMIF(Recibos!$D$4:$D$7493,Cobranza!$B457,Recibos!U$4:U$7493)</f>
        <v>0</v>
      </c>
      <c r="BJ457" s="313">
        <f>SUMIF(Recibos!$D$4:$D$7493,Cobranza!$B457,Recibos!V$4:V$7493)</f>
        <v>0</v>
      </c>
      <c r="BK457" s="314">
        <f t="shared" si="57"/>
        <v>0</v>
      </c>
      <c r="BL457" s="313">
        <f>SUMIF(Recibos!$D$4:$D$7493,Cobranza!$B457,Recibos!X$4:X$7493)</f>
        <v>0</v>
      </c>
      <c r="BM457" s="313">
        <f>SUMIF(Recibos!$D$4:$D$7493,Cobranza!$B457,Recibos!Y$4:Y$7493)</f>
        <v>0</v>
      </c>
      <c r="BN457" s="313">
        <f>SUMIF(Recibos!$D$4:$D$7493,Cobranza!$B457,Recibos!Z$4:Z$7493)</f>
        <v>0</v>
      </c>
      <c r="BO457" s="313">
        <f>SUMIF(Recibos!$D$4:$D$7493,Cobranza!$B457,Recibos!AA$4:AA$7493)</f>
        <v>0</v>
      </c>
      <c r="BP457" s="313">
        <f>SUMIF(Recibos!$D$4:$D$7493,Cobranza!$B457,Recibos!AB$4:AB$7493)</f>
        <v>0</v>
      </c>
      <c r="BQ457" s="313">
        <f>SUMIF(Recibos!$D$4:$D$7493,Cobranza!$B457,Recibos!AC$4:AC$7493)</f>
        <v>0</v>
      </c>
      <c r="BR457" s="313">
        <f>SUMIF(Recibos!$D$4:$D$7493,Cobranza!$B457,Recibos!AD$4:AD$7493)</f>
        <v>0</v>
      </c>
      <c r="BS457" s="313">
        <f>SUMIF(Recibos!$D$4:$D$7493,Cobranza!$B457,Recibos!AE$4:AE$7493)</f>
        <v>0</v>
      </c>
      <c r="BT457" s="313">
        <f>SUMIF(Recibos!$D$4:$D$7493,Cobranza!$B457,Recibos!AF$4:AF$7493)</f>
        <v>0</v>
      </c>
      <c r="BU457" s="313">
        <f>SUMIF(Recibos!$D$4:$D$7493,Cobranza!$B457,Recibos!AG$4:AG$7493)</f>
        <v>0</v>
      </c>
      <c r="BV457" s="313">
        <f>SUMIF(Recibos!$D$4:$D$7493,Cobranza!$B457,Recibos!AH$4:AH$7493)</f>
        <v>0</v>
      </c>
      <c r="BW457" s="313">
        <f>SUMIF(Recibos!$D$4:$D$7493,Cobranza!$B457,Recibos!AI$4:AI$7493)</f>
        <v>0</v>
      </c>
      <c r="BX457" s="314">
        <f t="shared" si="58"/>
        <v>0</v>
      </c>
      <c r="BY457" s="313">
        <f>SUMIF(Recibos!$D$4:$D$7493,Cobranza!$B457,Recibos!AK$4:AK$7493)</f>
        <v>0</v>
      </c>
      <c r="BZ457" s="313">
        <f>SUMIF(Recibos!$D$4:$D$7493,Cobranza!$B457,Recibos!AL$4:AL$7493)</f>
        <v>0</v>
      </c>
      <c r="CA457" s="313">
        <f>SUMIF(Recibos!$D$4:$D$7493,Cobranza!$B457,Recibos!AM$4:AM$7493)</f>
        <v>0</v>
      </c>
      <c r="CB457" s="313">
        <f>SUMIF(Recibos!$D$4:$D$7493,Cobranza!$B457,Recibos!AN$4:AN$7493)</f>
        <v>0</v>
      </c>
      <c r="CC457" s="313">
        <f>SUMIF(Recibos!$D$4:$D$7493,Cobranza!$B457,Recibos!AO$4:AO$7493)</f>
        <v>0</v>
      </c>
      <c r="CD457" s="313">
        <f>SUMIF(Recibos!$D$4:$D$7493,Cobranza!$B457,Recibos!AP$4:AP$7493)</f>
        <v>0</v>
      </c>
      <c r="CE457" s="313">
        <f>SUMIF(Recibos!$D$4:$D$7493,Cobranza!$B457,Recibos!AQ$4:AQ$7493)</f>
        <v>0</v>
      </c>
      <c r="CF457" s="313">
        <f>SUMIF(Recibos!$D$4:$D$7493,Cobranza!$B457,Recibos!AR$4:AR$7493)</f>
        <v>0</v>
      </c>
      <c r="CG457" s="313">
        <f>SUMIF(Recibos!$D$4:$D$7493,Cobranza!$B457,Recibos!AS$4:AS$7493)</f>
        <v>300</v>
      </c>
      <c r="CH457" s="313">
        <f>SUMIF(Recibos!$D$4:$D$7493,Cobranza!$B457,Recibos!AT$4:AT$7493)</f>
        <v>300</v>
      </c>
      <c r="CI457" s="313">
        <f>SUMIF(Recibos!$D$4:$D$7493,Cobranza!$B457,Recibos!AU$4:AU$7493)</f>
        <v>0</v>
      </c>
      <c r="CJ457" s="313">
        <f>SUMIF(Recibos!$D$4:$D$7493,Cobranza!$B457,Recibos!AV$4:AV$7493)</f>
        <v>0</v>
      </c>
      <c r="CK457" s="314">
        <f t="shared" si="52"/>
        <v>600</v>
      </c>
    </row>
    <row r="458" spans="2:89" x14ac:dyDescent="0.2">
      <c r="B458" s="42" t="s">
        <v>1463</v>
      </c>
      <c r="C458" s="42" t="s">
        <v>1464</v>
      </c>
      <c r="D458" s="42" t="s">
        <v>1465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4">
        <f t="shared" si="53"/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3">
        <v>0</v>
      </c>
      <c r="U458" s="43">
        <v>0</v>
      </c>
      <c r="V458" s="43">
        <v>0</v>
      </c>
      <c r="W458" s="43">
        <v>0</v>
      </c>
      <c r="X458" s="44">
        <f t="shared" si="54"/>
        <v>0</v>
      </c>
      <c r="Y458" s="43">
        <v>0</v>
      </c>
      <c r="Z458" s="43">
        <v>0</v>
      </c>
      <c r="AA458" s="43">
        <v>0</v>
      </c>
      <c r="AB458" s="43">
        <v>0</v>
      </c>
      <c r="AC458" s="43">
        <v>0</v>
      </c>
      <c r="AD458" s="43">
        <v>0</v>
      </c>
      <c r="AE458" s="43">
        <v>0</v>
      </c>
      <c r="AF458" s="43">
        <v>0</v>
      </c>
      <c r="AG458" s="43">
        <v>0</v>
      </c>
      <c r="AH458" s="43">
        <v>0</v>
      </c>
      <c r="AI458" s="43">
        <v>0</v>
      </c>
      <c r="AJ458" s="43">
        <v>0</v>
      </c>
      <c r="AK458" s="44">
        <f t="shared" si="55"/>
        <v>0</v>
      </c>
      <c r="AL458" s="43">
        <v>0</v>
      </c>
      <c r="AM458" s="43">
        <v>0</v>
      </c>
      <c r="AN458" s="43">
        <v>0</v>
      </c>
      <c r="AO458" s="43">
        <v>0</v>
      </c>
      <c r="AP458" s="43">
        <v>0</v>
      </c>
      <c r="AQ458" s="43">
        <v>0</v>
      </c>
      <c r="AR458" s="43">
        <v>0</v>
      </c>
      <c r="AS458" s="43">
        <v>0</v>
      </c>
      <c r="AT458" s="43">
        <v>0</v>
      </c>
      <c r="AU458" s="43">
        <v>0</v>
      </c>
      <c r="AV458" s="43">
        <v>0</v>
      </c>
      <c r="AW458" s="43">
        <v>0</v>
      </c>
      <c r="AX458" s="44">
        <f t="shared" si="56"/>
        <v>0</v>
      </c>
      <c r="AY458" s="311">
        <f>SUMIF(Recibos!$D$4:$D$7493,Cobranza!$B458,Recibos!K$4:K$7493)</f>
        <v>0</v>
      </c>
      <c r="AZ458" s="311">
        <f>SUMIF(Recibos!$D$4:$D$7493,Cobranza!$B458,Recibos!L$4:L$7493)</f>
        <v>0</v>
      </c>
      <c r="BA458" s="311">
        <f>SUMIF(Recibos!$D$4:$D$7493,Cobranza!$B458,Recibos!M$4:M$7493)</f>
        <v>0</v>
      </c>
      <c r="BB458" s="311">
        <f>SUMIF(Recibos!$D$4:$D$7493,Cobranza!$B458,Recibos!N$4:N$7493)</f>
        <v>0</v>
      </c>
      <c r="BC458" s="311">
        <f>SUMIF(Recibos!$D$4:$D$7493,Cobranza!$B458,Recibos!O$4:O$7493)</f>
        <v>0</v>
      </c>
      <c r="BD458" s="311">
        <f>SUMIF(Recibos!$D$4:$D$7493,Cobranza!$B458,Recibos!P$4:P$7493)</f>
        <v>0</v>
      </c>
      <c r="BE458" s="311">
        <f>SUMIF(Recibos!$D$4:$D$7493,Cobranza!$B458,Recibos!Q$4:Q$7493)</f>
        <v>0</v>
      </c>
      <c r="BF458" s="311">
        <f>SUMIF(Recibos!$D$4:$D$7493,Cobranza!$B458,Recibos!R$4:R$7493)</f>
        <v>0</v>
      </c>
      <c r="BG458" s="311">
        <f>SUMIF(Recibos!$D$4:$D$7493,Cobranza!$B458,Recibos!S$4:S$7493)</f>
        <v>0</v>
      </c>
      <c r="BH458" s="311">
        <f>SUMIF(Recibos!$D$4:$D$7493,Cobranza!$B458,Recibos!T$4:T$7493)</f>
        <v>0</v>
      </c>
      <c r="BI458" s="311">
        <f>SUMIF(Recibos!$D$4:$D$7493,Cobranza!$B458,Recibos!U$4:U$7493)</f>
        <v>0</v>
      </c>
      <c r="BJ458" s="311">
        <f>SUMIF(Recibos!$D$4:$D$7493,Cobranza!$B458,Recibos!V$4:V$7493)</f>
        <v>0</v>
      </c>
      <c r="BK458" s="312">
        <f t="shared" si="57"/>
        <v>0</v>
      </c>
      <c r="BL458" s="311">
        <f>SUMIF(Recibos!$D$4:$D$7493,Cobranza!$B458,Recibos!X$4:X$7493)</f>
        <v>0</v>
      </c>
      <c r="BM458" s="311">
        <f>SUMIF(Recibos!$D$4:$D$7493,Cobranza!$B458,Recibos!Y$4:Y$7493)</f>
        <v>0</v>
      </c>
      <c r="BN458" s="311">
        <f>SUMIF(Recibos!$D$4:$D$7493,Cobranza!$B458,Recibos!Z$4:Z$7493)</f>
        <v>0</v>
      </c>
      <c r="BO458" s="311">
        <f>SUMIF(Recibos!$D$4:$D$7493,Cobranza!$B458,Recibos!AA$4:AA$7493)</f>
        <v>0</v>
      </c>
      <c r="BP458" s="311">
        <f>SUMIF(Recibos!$D$4:$D$7493,Cobranza!$B458,Recibos!AB$4:AB$7493)</f>
        <v>0</v>
      </c>
      <c r="BQ458" s="311">
        <f>SUMIF(Recibos!$D$4:$D$7493,Cobranza!$B458,Recibos!AC$4:AC$7493)</f>
        <v>0</v>
      </c>
      <c r="BR458" s="311">
        <f>SUMIF(Recibos!$D$4:$D$7493,Cobranza!$B458,Recibos!AD$4:AD$7493)</f>
        <v>0</v>
      </c>
      <c r="BS458" s="311">
        <f>SUMIF(Recibos!$D$4:$D$7493,Cobranza!$B458,Recibos!AE$4:AE$7493)</f>
        <v>0</v>
      </c>
      <c r="BT458" s="311">
        <f>SUMIF(Recibos!$D$4:$D$7493,Cobranza!$B458,Recibos!AF$4:AF$7493)</f>
        <v>0</v>
      </c>
      <c r="BU458" s="311">
        <f>SUMIF(Recibos!$D$4:$D$7493,Cobranza!$B458,Recibos!AG$4:AG$7493)</f>
        <v>0</v>
      </c>
      <c r="BV458" s="311">
        <f>SUMIF(Recibos!$D$4:$D$7493,Cobranza!$B458,Recibos!AH$4:AH$7493)</f>
        <v>0</v>
      </c>
      <c r="BW458" s="311">
        <f>SUMIF(Recibos!$D$4:$D$7493,Cobranza!$B458,Recibos!AI$4:AI$7493)</f>
        <v>0</v>
      </c>
      <c r="BX458" s="312">
        <f t="shared" si="58"/>
        <v>0</v>
      </c>
      <c r="BY458" s="311">
        <f>SUMIF(Recibos!$D$4:$D$7493,Cobranza!$B458,Recibos!AK$4:AK$7493)</f>
        <v>0</v>
      </c>
      <c r="BZ458" s="311">
        <f>SUMIF(Recibos!$D$4:$D$7493,Cobranza!$B458,Recibos!AL$4:AL$7493)</f>
        <v>0</v>
      </c>
      <c r="CA458" s="311">
        <f>SUMIF(Recibos!$D$4:$D$7493,Cobranza!$B458,Recibos!AM$4:AM$7493)</f>
        <v>0</v>
      </c>
      <c r="CB458" s="311">
        <f>SUMIF(Recibos!$D$4:$D$7493,Cobranza!$B458,Recibos!AN$4:AN$7493)</f>
        <v>0</v>
      </c>
      <c r="CC458" s="311">
        <f>SUMIF(Recibos!$D$4:$D$7493,Cobranza!$B458,Recibos!AO$4:AO$7493)</f>
        <v>0</v>
      </c>
      <c r="CD458" s="311">
        <f>SUMIF(Recibos!$D$4:$D$7493,Cobranza!$B458,Recibos!AP$4:AP$7493)</f>
        <v>0</v>
      </c>
      <c r="CE458" s="311">
        <f>SUMIF(Recibos!$D$4:$D$7493,Cobranza!$B458,Recibos!AQ$4:AQ$7493)</f>
        <v>0</v>
      </c>
      <c r="CF458" s="311">
        <f>SUMIF(Recibos!$D$4:$D$7493,Cobranza!$B458,Recibos!AR$4:AR$7493)</f>
        <v>0</v>
      </c>
      <c r="CG458" s="311">
        <f>SUMIF(Recibos!$D$4:$D$7493,Cobranza!$B458,Recibos!AS$4:AS$7493)</f>
        <v>0</v>
      </c>
      <c r="CH458" s="311">
        <f>SUMIF(Recibos!$D$4:$D$7493,Cobranza!$B458,Recibos!AT$4:AT$7493)</f>
        <v>0</v>
      </c>
      <c r="CI458" s="311">
        <f>SUMIF(Recibos!$D$4:$D$7493,Cobranza!$B458,Recibos!AU$4:AU$7493)</f>
        <v>0</v>
      </c>
      <c r="CJ458" s="311">
        <f>SUMIF(Recibos!$D$4:$D$7493,Cobranza!$B458,Recibos!AV$4:AV$7493)</f>
        <v>0</v>
      </c>
      <c r="CK458" s="312">
        <f t="shared" si="52"/>
        <v>0</v>
      </c>
    </row>
    <row r="459" spans="2:89" x14ac:dyDescent="0.2">
      <c r="B459" s="45" t="s">
        <v>666</v>
      </c>
      <c r="C459" s="45" t="s">
        <v>667</v>
      </c>
      <c r="D459" s="45" t="s">
        <v>668</v>
      </c>
      <c r="E459" s="46">
        <v>0</v>
      </c>
      <c r="F459" s="46">
        <v>0</v>
      </c>
      <c r="G459" s="46">
        <v>0</v>
      </c>
      <c r="H459" s="46">
        <v>0</v>
      </c>
      <c r="I459" s="46">
        <v>0</v>
      </c>
      <c r="J459" s="46">
        <v>0</v>
      </c>
      <c r="K459" s="47">
        <f t="shared" si="53"/>
        <v>0</v>
      </c>
      <c r="L459" s="46">
        <v>0</v>
      </c>
      <c r="M459" s="46">
        <v>0</v>
      </c>
      <c r="N459" s="46">
        <v>0</v>
      </c>
      <c r="O459" s="46">
        <v>0</v>
      </c>
      <c r="P459" s="46">
        <v>0</v>
      </c>
      <c r="Q459" s="46">
        <v>0</v>
      </c>
      <c r="R459" s="46">
        <v>0</v>
      </c>
      <c r="S459" s="46">
        <v>0</v>
      </c>
      <c r="T459" s="46">
        <v>0</v>
      </c>
      <c r="U459" s="46">
        <v>0</v>
      </c>
      <c r="V459" s="46">
        <v>0</v>
      </c>
      <c r="W459" s="46">
        <v>0</v>
      </c>
      <c r="X459" s="47">
        <f t="shared" si="54"/>
        <v>0</v>
      </c>
      <c r="Y459" s="46">
        <v>0</v>
      </c>
      <c r="Z459" s="46">
        <v>0</v>
      </c>
      <c r="AA459" s="46">
        <v>0</v>
      </c>
      <c r="AB459" s="46">
        <v>0</v>
      </c>
      <c r="AC459" s="46">
        <v>0</v>
      </c>
      <c r="AD459" s="46">
        <v>0</v>
      </c>
      <c r="AE459" s="46">
        <v>0</v>
      </c>
      <c r="AF459" s="46">
        <v>0</v>
      </c>
      <c r="AG459" s="46">
        <v>0</v>
      </c>
      <c r="AH459" s="46">
        <v>0</v>
      </c>
      <c r="AI459" s="46">
        <v>0</v>
      </c>
      <c r="AJ459" s="46">
        <v>0</v>
      </c>
      <c r="AK459" s="47">
        <f t="shared" si="55"/>
        <v>0</v>
      </c>
      <c r="AL459" s="46">
        <v>0</v>
      </c>
      <c r="AM459" s="46">
        <v>0</v>
      </c>
      <c r="AN459" s="46">
        <v>0</v>
      </c>
      <c r="AO459" s="46">
        <v>0</v>
      </c>
      <c r="AP459" s="46">
        <v>0</v>
      </c>
      <c r="AQ459" s="46">
        <v>0</v>
      </c>
      <c r="AR459" s="46">
        <v>0</v>
      </c>
      <c r="AS459" s="46">
        <v>200</v>
      </c>
      <c r="AT459" s="46">
        <v>200</v>
      </c>
      <c r="AU459" s="46">
        <v>200</v>
      </c>
      <c r="AV459" s="46">
        <v>200</v>
      </c>
      <c r="AW459" s="46">
        <v>200</v>
      </c>
      <c r="AX459" s="47">
        <f t="shared" si="56"/>
        <v>1000</v>
      </c>
      <c r="AY459" s="313">
        <f>SUMIF(Recibos!$D$4:$D$7493,Cobranza!$B459,Recibos!K$4:K$7493)</f>
        <v>200</v>
      </c>
      <c r="AZ459" s="313">
        <f>SUMIF(Recibos!$D$4:$D$7493,Cobranza!$B459,Recibos!L$4:L$7493)</f>
        <v>200</v>
      </c>
      <c r="BA459" s="313">
        <f>SUMIF(Recibos!$D$4:$D$7493,Cobranza!$B459,Recibos!M$4:M$7493)</f>
        <v>200</v>
      </c>
      <c r="BB459" s="313">
        <f>SUMIF(Recibos!$D$4:$D$7493,Cobranza!$B459,Recibos!N$4:N$7493)</f>
        <v>200</v>
      </c>
      <c r="BC459" s="313">
        <f>SUMIF(Recibos!$D$4:$D$7493,Cobranza!$B459,Recibos!O$4:O$7493)</f>
        <v>0</v>
      </c>
      <c r="BD459" s="313">
        <f>SUMIF(Recibos!$D$4:$D$7493,Cobranza!$B459,Recibos!P$4:P$7493)</f>
        <v>0</v>
      </c>
      <c r="BE459" s="313">
        <f>SUMIF(Recibos!$D$4:$D$7493,Cobranza!$B459,Recibos!Q$4:Q$7493)</f>
        <v>200</v>
      </c>
      <c r="BF459" s="313">
        <f>SUMIF(Recibos!$D$4:$D$7493,Cobranza!$B459,Recibos!R$4:R$7493)</f>
        <v>200</v>
      </c>
      <c r="BG459" s="313">
        <f>SUMIF(Recibos!$D$4:$D$7493,Cobranza!$B459,Recibos!S$4:S$7493)</f>
        <v>200</v>
      </c>
      <c r="BH459" s="313">
        <f>SUMIF(Recibos!$D$4:$D$7493,Cobranza!$B459,Recibos!T$4:T$7493)</f>
        <v>0</v>
      </c>
      <c r="BI459" s="313">
        <f>SUMIF(Recibos!$D$4:$D$7493,Cobranza!$B459,Recibos!U$4:U$7493)</f>
        <v>0</v>
      </c>
      <c r="BJ459" s="313">
        <f>SUMIF(Recibos!$D$4:$D$7493,Cobranza!$B459,Recibos!V$4:V$7493)</f>
        <v>0</v>
      </c>
      <c r="BK459" s="314">
        <f t="shared" si="57"/>
        <v>1400</v>
      </c>
      <c r="BL459" s="313">
        <f>SUMIF(Recibos!$D$4:$D$7493,Cobranza!$B459,Recibos!X$4:X$7493)</f>
        <v>0</v>
      </c>
      <c r="BM459" s="313">
        <f>SUMIF(Recibos!$D$4:$D$7493,Cobranza!$B459,Recibos!Y$4:Y$7493)</f>
        <v>0</v>
      </c>
      <c r="BN459" s="313">
        <f>SUMIF(Recibos!$D$4:$D$7493,Cobranza!$B459,Recibos!Z$4:Z$7493)</f>
        <v>0</v>
      </c>
      <c r="BO459" s="313">
        <f>SUMIF(Recibos!$D$4:$D$7493,Cobranza!$B459,Recibos!AA$4:AA$7493)</f>
        <v>0</v>
      </c>
      <c r="BP459" s="313">
        <f>SUMIF(Recibos!$D$4:$D$7493,Cobranza!$B459,Recibos!AB$4:AB$7493)</f>
        <v>0</v>
      </c>
      <c r="BQ459" s="313">
        <f>SUMIF(Recibos!$D$4:$D$7493,Cobranza!$B459,Recibos!AC$4:AC$7493)</f>
        <v>0</v>
      </c>
      <c r="BR459" s="313">
        <f>SUMIF(Recibos!$D$4:$D$7493,Cobranza!$B459,Recibos!AD$4:AD$7493)</f>
        <v>0</v>
      </c>
      <c r="BS459" s="313">
        <f>SUMIF(Recibos!$D$4:$D$7493,Cobranza!$B459,Recibos!AE$4:AE$7493)</f>
        <v>0</v>
      </c>
      <c r="BT459" s="313">
        <f>SUMIF(Recibos!$D$4:$D$7493,Cobranza!$B459,Recibos!AF$4:AF$7493)</f>
        <v>0</v>
      </c>
      <c r="BU459" s="313">
        <f>SUMIF(Recibos!$D$4:$D$7493,Cobranza!$B459,Recibos!AG$4:AG$7493)</f>
        <v>0</v>
      </c>
      <c r="BV459" s="313">
        <f>SUMIF(Recibos!$D$4:$D$7493,Cobranza!$B459,Recibos!AH$4:AH$7493)</f>
        <v>0</v>
      </c>
      <c r="BW459" s="313">
        <f>SUMIF(Recibos!$D$4:$D$7493,Cobranza!$B459,Recibos!AI$4:AI$7493)</f>
        <v>0</v>
      </c>
      <c r="BX459" s="314">
        <f t="shared" si="58"/>
        <v>0</v>
      </c>
      <c r="BY459" s="313">
        <f>SUMIF(Recibos!$D$4:$D$7493,Cobranza!$B459,Recibos!AK$4:AK$7493)</f>
        <v>0</v>
      </c>
      <c r="BZ459" s="313">
        <f>SUMIF(Recibos!$D$4:$D$7493,Cobranza!$B459,Recibos!AL$4:AL$7493)</f>
        <v>0</v>
      </c>
      <c r="CA459" s="313">
        <f>SUMIF(Recibos!$D$4:$D$7493,Cobranza!$B459,Recibos!AM$4:AM$7493)</f>
        <v>0</v>
      </c>
      <c r="CB459" s="313">
        <f>SUMIF(Recibos!$D$4:$D$7493,Cobranza!$B459,Recibos!AN$4:AN$7493)</f>
        <v>0</v>
      </c>
      <c r="CC459" s="313">
        <f>SUMIF(Recibos!$D$4:$D$7493,Cobranza!$B459,Recibos!AO$4:AO$7493)</f>
        <v>0</v>
      </c>
      <c r="CD459" s="313">
        <f>SUMIF(Recibos!$D$4:$D$7493,Cobranza!$B459,Recibos!AP$4:AP$7493)</f>
        <v>0</v>
      </c>
      <c r="CE459" s="313">
        <f>SUMIF(Recibos!$D$4:$D$7493,Cobranza!$B459,Recibos!AQ$4:AQ$7493)</f>
        <v>0</v>
      </c>
      <c r="CF459" s="313">
        <f>SUMIF(Recibos!$D$4:$D$7493,Cobranza!$B459,Recibos!AR$4:AR$7493)</f>
        <v>0</v>
      </c>
      <c r="CG459" s="313">
        <f>SUMIF(Recibos!$D$4:$D$7493,Cobranza!$B459,Recibos!AS$4:AS$7493)</f>
        <v>0</v>
      </c>
      <c r="CH459" s="313">
        <f>SUMIF(Recibos!$D$4:$D$7493,Cobranza!$B459,Recibos!AT$4:AT$7493)</f>
        <v>0</v>
      </c>
      <c r="CI459" s="313">
        <f>SUMIF(Recibos!$D$4:$D$7493,Cobranza!$B459,Recibos!AU$4:AU$7493)</f>
        <v>0</v>
      </c>
      <c r="CJ459" s="313">
        <f>SUMIF(Recibos!$D$4:$D$7493,Cobranza!$B459,Recibos!AV$4:AV$7493)</f>
        <v>0</v>
      </c>
      <c r="CK459" s="314">
        <f t="shared" si="52"/>
        <v>0</v>
      </c>
    </row>
    <row r="460" spans="2:89" x14ac:dyDescent="0.2">
      <c r="B460" s="42" t="s">
        <v>565</v>
      </c>
      <c r="C460" s="42" t="s">
        <v>566</v>
      </c>
      <c r="D460" s="42" t="s">
        <v>567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0</v>
      </c>
      <c r="K460" s="44">
        <f t="shared" si="53"/>
        <v>0</v>
      </c>
      <c r="L460" s="43">
        <v>250</v>
      </c>
      <c r="M460" s="43">
        <v>250</v>
      </c>
      <c r="N460" s="43">
        <v>250</v>
      </c>
      <c r="O460" s="43">
        <v>250</v>
      </c>
      <c r="P460" s="43">
        <v>250</v>
      </c>
      <c r="Q460" s="43">
        <v>250</v>
      </c>
      <c r="R460" s="43">
        <v>250</v>
      </c>
      <c r="S460" s="43">
        <v>250</v>
      </c>
      <c r="T460" s="43">
        <v>250</v>
      </c>
      <c r="U460" s="43">
        <v>250</v>
      </c>
      <c r="V460" s="43">
        <v>250</v>
      </c>
      <c r="W460" s="43">
        <v>250</v>
      </c>
      <c r="X460" s="44">
        <f t="shared" si="54"/>
        <v>3000</v>
      </c>
      <c r="Y460" s="43">
        <v>250</v>
      </c>
      <c r="Z460" s="43">
        <v>250</v>
      </c>
      <c r="AA460" s="43">
        <v>250</v>
      </c>
      <c r="AB460" s="43">
        <v>250</v>
      </c>
      <c r="AC460" s="43">
        <v>250</v>
      </c>
      <c r="AD460" s="43">
        <v>250</v>
      </c>
      <c r="AE460" s="43">
        <v>250</v>
      </c>
      <c r="AF460" s="43">
        <v>250</v>
      </c>
      <c r="AG460" s="43">
        <v>250</v>
      </c>
      <c r="AH460" s="43">
        <v>250</v>
      </c>
      <c r="AI460" s="43">
        <v>250</v>
      </c>
      <c r="AJ460" s="43">
        <v>250</v>
      </c>
      <c r="AK460" s="44">
        <f t="shared" si="55"/>
        <v>3000</v>
      </c>
      <c r="AL460" s="43">
        <v>250</v>
      </c>
      <c r="AM460" s="43">
        <v>250</v>
      </c>
      <c r="AN460" s="43">
        <v>250</v>
      </c>
      <c r="AO460" s="43">
        <v>250</v>
      </c>
      <c r="AP460" s="43">
        <v>250</v>
      </c>
      <c r="AQ460" s="43">
        <v>250</v>
      </c>
      <c r="AR460" s="43">
        <v>250</v>
      </c>
      <c r="AS460" s="43">
        <v>250</v>
      </c>
      <c r="AT460" s="43">
        <v>250</v>
      </c>
      <c r="AU460" s="43">
        <v>250</v>
      </c>
      <c r="AV460" s="43">
        <v>250</v>
      </c>
      <c r="AW460" s="43">
        <v>250</v>
      </c>
      <c r="AX460" s="44">
        <f t="shared" si="56"/>
        <v>3000</v>
      </c>
      <c r="AY460" s="311">
        <f>SUMIF(Recibos!$D$4:$D$7493,Cobranza!$B460,Recibos!K$4:K$7493)</f>
        <v>250</v>
      </c>
      <c r="AZ460" s="311">
        <f>SUMIF(Recibos!$D$4:$D$7493,Cobranza!$B460,Recibos!L$4:L$7493)</f>
        <v>250</v>
      </c>
      <c r="BA460" s="311">
        <f>SUMIF(Recibos!$D$4:$D$7493,Cobranza!$B460,Recibos!M$4:M$7493)</f>
        <v>250</v>
      </c>
      <c r="BB460" s="311">
        <f>SUMIF(Recibos!$D$4:$D$7493,Cobranza!$B460,Recibos!N$4:N$7493)</f>
        <v>250</v>
      </c>
      <c r="BC460" s="311">
        <f>SUMIF(Recibos!$D$4:$D$7493,Cobranza!$B460,Recibos!O$4:O$7493)</f>
        <v>250</v>
      </c>
      <c r="BD460" s="311">
        <f>SUMIF(Recibos!$D$4:$D$7493,Cobranza!$B460,Recibos!P$4:P$7493)</f>
        <v>250</v>
      </c>
      <c r="BE460" s="311">
        <f>SUMIF(Recibos!$D$4:$D$7493,Cobranza!$B460,Recibos!Q$4:Q$7493)</f>
        <v>250</v>
      </c>
      <c r="BF460" s="311">
        <f>SUMIF(Recibos!$D$4:$D$7493,Cobranza!$B460,Recibos!R$4:R$7493)</f>
        <v>250</v>
      </c>
      <c r="BG460" s="311">
        <f>SUMIF(Recibos!$D$4:$D$7493,Cobranza!$B460,Recibos!S$4:S$7493)</f>
        <v>250</v>
      </c>
      <c r="BH460" s="311">
        <f>SUMIF(Recibos!$D$4:$D$7493,Cobranza!$B460,Recibos!T$4:T$7493)</f>
        <v>250</v>
      </c>
      <c r="BI460" s="311">
        <f>SUMIF(Recibos!$D$4:$D$7493,Cobranza!$B460,Recibos!U$4:U$7493)</f>
        <v>250</v>
      </c>
      <c r="BJ460" s="311">
        <f>SUMIF(Recibos!$D$4:$D$7493,Cobranza!$B460,Recibos!V$4:V$7493)</f>
        <v>250</v>
      </c>
      <c r="BK460" s="312">
        <f t="shared" si="57"/>
        <v>3000</v>
      </c>
      <c r="BL460" s="311">
        <f>SUMIF(Recibos!$D$4:$D$7493,Cobranza!$B460,Recibos!X$4:X$7493)</f>
        <v>250</v>
      </c>
      <c r="BM460" s="311">
        <f>SUMIF(Recibos!$D$4:$D$7493,Cobranza!$B460,Recibos!Y$4:Y$7493)</f>
        <v>250</v>
      </c>
      <c r="BN460" s="311">
        <f>SUMIF(Recibos!$D$4:$D$7493,Cobranza!$B460,Recibos!Z$4:Z$7493)</f>
        <v>250</v>
      </c>
      <c r="BO460" s="311">
        <f>SUMIF(Recibos!$D$4:$D$7493,Cobranza!$B460,Recibos!AA$4:AA$7493)</f>
        <v>250</v>
      </c>
      <c r="BP460" s="311">
        <f>SUMIF(Recibos!$D$4:$D$7493,Cobranza!$B460,Recibos!AB$4:AB$7493)</f>
        <v>250</v>
      </c>
      <c r="BQ460" s="311">
        <f>SUMIF(Recibos!$D$4:$D$7493,Cobranza!$B460,Recibos!AC$4:AC$7493)</f>
        <v>250</v>
      </c>
      <c r="BR460" s="311">
        <f>SUMIF(Recibos!$D$4:$D$7493,Cobranza!$B460,Recibos!AD$4:AD$7493)</f>
        <v>250</v>
      </c>
      <c r="BS460" s="311">
        <f>SUMIF(Recibos!$D$4:$D$7493,Cobranza!$B460,Recibos!AE$4:AE$7493)</f>
        <v>250</v>
      </c>
      <c r="BT460" s="311">
        <f>SUMIF(Recibos!$D$4:$D$7493,Cobranza!$B460,Recibos!AF$4:AF$7493)</f>
        <v>250</v>
      </c>
      <c r="BU460" s="311">
        <f>SUMIF(Recibos!$D$4:$D$7493,Cobranza!$B460,Recibos!AG$4:AG$7493)</f>
        <v>250</v>
      </c>
      <c r="BV460" s="311">
        <f>SUMIF(Recibos!$D$4:$D$7493,Cobranza!$B460,Recibos!AH$4:AH$7493)</f>
        <v>250</v>
      </c>
      <c r="BW460" s="311">
        <f>SUMIF(Recibos!$D$4:$D$7493,Cobranza!$B460,Recibos!AI$4:AI$7493)</f>
        <v>250</v>
      </c>
      <c r="BX460" s="312">
        <f t="shared" si="58"/>
        <v>3000</v>
      </c>
      <c r="BY460" s="311">
        <f>SUMIF(Recibos!$D$4:$D$7493,Cobranza!$B460,Recibos!AK$4:AK$7493)</f>
        <v>250</v>
      </c>
      <c r="BZ460" s="311">
        <f>SUMIF(Recibos!$D$4:$D$7493,Cobranza!$B460,Recibos!AL$4:AL$7493)</f>
        <v>250</v>
      </c>
      <c r="CA460" s="311">
        <f>SUMIF(Recibos!$D$4:$D$7493,Cobranza!$B460,Recibos!AM$4:AM$7493)</f>
        <v>250</v>
      </c>
      <c r="CB460" s="311">
        <f>SUMIF(Recibos!$D$4:$D$7493,Cobranza!$B460,Recibos!AN$4:AN$7493)</f>
        <v>250</v>
      </c>
      <c r="CC460" s="311">
        <f>SUMIF(Recibos!$D$4:$D$7493,Cobranza!$B460,Recibos!AO$4:AO$7493)</f>
        <v>250</v>
      </c>
      <c r="CD460" s="311">
        <f>SUMIF(Recibos!$D$4:$D$7493,Cobranza!$B460,Recibos!AP$4:AP$7493)</f>
        <v>250</v>
      </c>
      <c r="CE460" s="311">
        <f>SUMIF(Recibos!$D$4:$D$7493,Cobranza!$B460,Recibos!AQ$4:AQ$7493)</f>
        <v>0</v>
      </c>
      <c r="CF460" s="311">
        <f>SUMIF(Recibos!$D$4:$D$7493,Cobranza!$B460,Recibos!AR$4:AR$7493)</f>
        <v>0</v>
      </c>
      <c r="CG460" s="311">
        <f>SUMIF(Recibos!$D$4:$D$7493,Cobranza!$B460,Recibos!AS$4:AS$7493)</f>
        <v>0</v>
      </c>
      <c r="CH460" s="311">
        <f>SUMIF(Recibos!$D$4:$D$7493,Cobranza!$B460,Recibos!AT$4:AT$7493)</f>
        <v>0</v>
      </c>
      <c r="CI460" s="311">
        <f>SUMIF(Recibos!$D$4:$D$7493,Cobranza!$B460,Recibos!AU$4:AU$7493)</f>
        <v>0</v>
      </c>
      <c r="CJ460" s="311">
        <f>SUMIF(Recibos!$D$4:$D$7493,Cobranza!$B460,Recibos!AV$4:AV$7493)</f>
        <v>0</v>
      </c>
      <c r="CK460" s="312">
        <f t="shared" ref="CK460:CK469" si="59">SUM(BY460:CJ460)</f>
        <v>1500</v>
      </c>
    </row>
    <row r="461" spans="2:89" x14ac:dyDescent="0.2">
      <c r="B461" s="45" t="s">
        <v>1184</v>
      </c>
      <c r="C461" s="45" t="s">
        <v>1185</v>
      </c>
      <c r="D461" s="45" t="s">
        <v>1186</v>
      </c>
      <c r="E461" s="46">
        <v>0</v>
      </c>
      <c r="F461" s="46">
        <v>0</v>
      </c>
      <c r="G461" s="46">
        <v>0</v>
      </c>
      <c r="H461" s="46">
        <v>0</v>
      </c>
      <c r="I461" s="46">
        <v>0</v>
      </c>
      <c r="J461" s="46">
        <v>0</v>
      </c>
      <c r="K461" s="47">
        <f t="shared" si="53"/>
        <v>0</v>
      </c>
      <c r="L461" s="46">
        <v>0</v>
      </c>
      <c r="M461" s="46">
        <v>0</v>
      </c>
      <c r="N461" s="46">
        <v>0</v>
      </c>
      <c r="O461" s="46">
        <v>0</v>
      </c>
      <c r="P461" s="46">
        <v>0</v>
      </c>
      <c r="Q461" s="46">
        <v>0</v>
      </c>
      <c r="R461" s="46">
        <v>0</v>
      </c>
      <c r="S461" s="46">
        <v>0</v>
      </c>
      <c r="T461" s="46">
        <v>0</v>
      </c>
      <c r="U461" s="46">
        <v>0</v>
      </c>
      <c r="V461" s="46">
        <v>0</v>
      </c>
      <c r="W461" s="46">
        <v>0</v>
      </c>
      <c r="X461" s="47">
        <f t="shared" si="54"/>
        <v>0</v>
      </c>
      <c r="Y461" s="46">
        <v>0</v>
      </c>
      <c r="Z461" s="46">
        <v>0</v>
      </c>
      <c r="AA461" s="46">
        <v>0</v>
      </c>
      <c r="AB461" s="46">
        <v>0</v>
      </c>
      <c r="AC461" s="46">
        <v>0</v>
      </c>
      <c r="AD461" s="46">
        <v>0</v>
      </c>
      <c r="AE461" s="46">
        <v>0</v>
      </c>
      <c r="AF461" s="46">
        <v>0</v>
      </c>
      <c r="AG461" s="46">
        <v>0</v>
      </c>
      <c r="AH461" s="46">
        <v>0</v>
      </c>
      <c r="AI461" s="46">
        <v>0</v>
      </c>
      <c r="AJ461" s="46">
        <v>0</v>
      </c>
      <c r="AK461" s="47">
        <f t="shared" si="55"/>
        <v>0</v>
      </c>
      <c r="AL461" s="46">
        <v>400</v>
      </c>
      <c r="AM461" s="46">
        <v>0</v>
      </c>
      <c r="AN461" s="46">
        <v>0</v>
      </c>
      <c r="AO461" s="46">
        <v>0</v>
      </c>
      <c r="AP461" s="46">
        <v>0</v>
      </c>
      <c r="AQ461" s="46">
        <v>0</v>
      </c>
      <c r="AR461" s="46">
        <v>0</v>
      </c>
      <c r="AS461" s="46">
        <v>0</v>
      </c>
      <c r="AT461" s="46">
        <v>0</v>
      </c>
      <c r="AU461" s="46">
        <v>0</v>
      </c>
      <c r="AV461" s="46">
        <v>0</v>
      </c>
      <c r="AW461" s="46">
        <v>0</v>
      </c>
      <c r="AX461" s="47">
        <f t="shared" si="56"/>
        <v>400</v>
      </c>
      <c r="AY461" s="313">
        <f>SUMIF(Recibos!$D$4:$D$7493,Cobranza!$B461,Recibos!K$4:K$7493)</f>
        <v>0</v>
      </c>
      <c r="AZ461" s="313">
        <f>SUMIF(Recibos!$D$4:$D$7493,Cobranza!$B461,Recibos!L$4:L$7493)</f>
        <v>0</v>
      </c>
      <c r="BA461" s="313">
        <f>SUMIF(Recibos!$D$4:$D$7493,Cobranza!$B461,Recibos!M$4:M$7493)</f>
        <v>0</v>
      </c>
      <c r="BB461" s="313">
        <f>SUMIF(Recibos!$D$4:$D$7493,Cobranza!$B461,Recibos!N$4:N$7493)</f>
        <v>0</v>
      </c>
      <c r="BC461" s="313">
        <f>SUMIF(Recibos!$D$4:$D$7493,Cobranza!$B461,Recibos!O$4:O$7493)</f>
        <v>0</v>
      </c>
      <c r="BD461" s="313">
        <f>SUMIF(Recibos!$D$4:$D$7493,Cobranza!$B461,Recibos!P$4:P$7493)</f>
        <v>0</v>
      </c>
      <c r="BE461" s="313">
        <f>SUMIF(Recibos!$D$4:$D$7493,Cobranza!$B461,Recibos!Q$4:Q$7493)</f>
        <v>0</v>
      </c>
      <c r="BF461" s="313">
        <f>SUMIF(Recibos!$D$4:$D$7493,Cobranza!$B461,Recibos!R$4:R$7493)</f>
        <v>0</v>
      </c>
      <c r="BG461" s="313">
        <f>SUMIF(Recibos!$D$4:$D$7493,Cobranza!$B461,Recibos!S$4:S$7493)</f>
        <v>400</v>
      </c>
      <c r="BH461" s="313">
        <f>SUMIF(Recibos!$D$4:$D$7493,Cobranza!$B461,Recibos!T$4:T$7493)</f>
        <v>400</v>
      </c>
      <c r="BI461" s="313">
        <f>SUMIF(Recibos!$D$4:$D$7493,Cobranza!$B461,Recibos!U$4:U$7493)</f>
        <v>0</v>
      </c>
      <c r="BJ461" s="313">
        <f>SUMIF(Recibos!$D$4:$D$7493,Cobranza!$B461,Recibos!V$4:V$7493)</f>
        <v>0</v>
      </c>
      <c r="BK461" s="314">
        <f t="shared" si="57"/>
        <v>800</v>
      </c>
      <c r="BL461" s="313">
        <f>SUMIF(Recibos!$D$4:$D$7493,Cobranza!$B461,Recibos!X$4:X$7493)</f>
        <v>0</v>
      </c>
      <c r="BM461" s="313">
        <f>SUMIF(Recibos!$D$4:$D$7493,Cobranza!$B461,Recibos!Y$4:Y$7493)</f>
        <v>0</v>
      </c>
      <c r="BN461" s="313">
        <f>SUMIF(Recibos!$D$4:$D$7493,Cobranza!$B461,Recibos!Z$4:Z$7493)</f>
        <v>0</v>
      </c>
      <c r="BO461" s="313">
        <f>SUMIF(Recibos!$D$4:$D$7493,Cobranza!$B461,Recibos!AA$4:AA$7493)</f>
        <v>0</v>
      </c>
      <c r="BP461" s="313">
        <f>SUMIF(Recibos!$D$4:$D$7493,Cobranza!$B461,Recibos!AB$4:AB$7493)</f>
        <v>0</v>
      </c>
      <c r="BQ461" s="313">
        <f>SUMIF(Recibos!$D$4:$D$7493,Cobranza!$B461,Recibos!AC$4:AC$7493)</f>
        <v>0</v>
      </c>
      <c r="BR461" s="313">
        <f>SUMIF(Recibos!$D$4:$D$7493,Cobranza!$B461,Recibos!AD$4:AD$7493)</f>
        <v>0</v>
      </c>
      <c r="BS461" s="313">
        <f>SUMIF(Recibos!$D$4:$D$7493,Cobranza!$B461,Recibos!AE$4:AE$7493)</f>
        <v>0</v>
      </c>
      <c r="BT461" s="313">
        <f>SUMIF(Recibos!$D$4:$D$7493,Cobranza!$B461,Recibos!AF$4:AF$7493)</f>
        <v>0</v>
      </c>
      <c r="BU461" s="313">
        <f>SUMIF(Recibos!$D$4:$D$7493,Cobranza!$B461,Recibos!AG$4:AG$7493)</f>
        <v>0</v>
      </c>
      <c r="BV461" s="313">
        <f>SUMIF(Recibos!$D$4:$D$7493,Cobranza!$B461,Recibos!AH$4:AH$7493)</f>
        <v>0</v>
      </c>
      <c r="BW461" s="313">
        <f>SUMIF(Recibos!$D$4:$D$7493,Cobranza!$B461,Recibos!AI$4:AI$7493)</f>
        <v>0</v>
      </c>
      <c r="BX461" s="314">
        <f t="shared" si="58"/>
        <v>0</v>
      </c>
      <c r="BY461" s="313">
        <f>SUMIF(Recibos!$D$4:$D$7493,Cobranza!$B461,Recibos!AK$4:AK$7493)</f>
        <v>0</v>
      </c>
      <c r="BZ461" s="313">
        <f>SUMIF(Recibos!$D$4:$D$7493,Cobranza!$B461,Recibos!AL$4:AL$7493)</f>
        <v>0</v>
      </c>
      <c r="CA461" s="313">
        <f>SUMIF(Recibos!$D$4:$D$7493,Cobranza!$B461,Recibos!AM$4:AM$7493)</f>
        <v>0</v>
      </c>
      <c r="CB461" s="313">
        <f>SUMIF(Recibos!$D$4:$D$7493,Cobranza!$B461,Recibos!AN$4:AN$7493)</f>
        <v>0</v>
      </c>
      <c r="CC461" s="313">
        <f>SUMIF(Recibos!$D$4:$D$7493,Cobranza!$B461,Recibos!AO$4:AO$7493)</f>
        <v>0</v>
      </c>
      <c r="CD461" s="313">
        <f>SUMIF(Recibos!$D$4:$D$7493,Cobranza!$B461,Recibos!AP$4:AP$7493)</f>
        <v>0</v>
      </c>
      <c r="CE461" s="313">
        <f>SUMIF(Recibos!$D$4:$D$7493,Cobranza!$B461,Recibos!AQ$4:AQ$7493)</f>
        <v>0</v>
      </c>
      <c r="CF461" s="313">
        <f>SUMIF(Recibos!$D$4:$D$7493,Cobranza!$B461,Recibos!AR$4:AR$7493)</f>
        <v>0</v>
      </c>
      <c r="CG461" s="313">
        <f>SUMIF(Recibos!$D$4:$D$7493,Cobranza!$B461,Recibos!AS$4:AS$7493)</f>
        <v>0</v>
      </c>
      <c r="CH461" s="313">
        <f>SUMIF(Recibos!$D$4:$D$7493,Cobranza!$B461,Recibos!AT$4:AT$7493)</f>
        <v>0</v>
      </c>
      <c r="CI461" s="313">
        <f>SUMIF(Recibos!$D$4:$D$7493,Cobranza!$B461,Recibos!AU$4:AU$7493)</f>
        <v>0</v>
      </c>
      <c r="CJ461" s="313">
        <f>SUMIF(Recibos!$D$4:$D$7493,Cobranza!$B461,Recibos!AV$4:AV$7493)</f>
        <v>0</v>
      </c>
      <c r="CK461" s="314">
        <f t="shared" si="59"/>
        <v>0</v>
      </c>
    </row>
    <row r="462" spans="2:89" x14ac:dyDescent="0.2">
      <c r="B462" s="42" t="s">
        <v>479</v>
      </c>
      <c r="C462" s="42" t="s">
        <v>480</v>
      </c>
      <c r="D462" s="42" t="s">
        <v>481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300</v>
      </c>
      <c r="K462" s="44">
        <f t="shared" si="53"/>
        <v>300</v>
      </c>
      <c r="L462" s="43">
        <v>600</v>
      </c>
      <c r="M462" s="43">
        <v>0</v>
      </c>
      <c r="N462" s="43">
        <v>300</v>
      </c>
      <c r="O462" s="43">
        <v>300</v>
      </c>
      <c r="P462" s="43">
        <v>300</v>
      </c>
      <c r="Q462" s="43">
        <v>300</v>
      </c>
      <c r="R462" s="43">
        <v>300</v>
      </c>
      <c r="S462" s="43">
        <v>300</v>
      </c>
      <c r="T462" s="43">
        <v>300</v>
      </c>
      <c r="U462" s="43">
        <v>300</v>
      </c>
      <c r="V462" s="43">
        <v>400</v>
      </c>
      <c r="W462" s="43">
        <v>400</v>
      </c>
      <c r="X462" s="44">
        <f t="shared" si="54"/>
        <v>3800</v>
      </c>
      <c r="Y462" s="43">
        <v>400</v>
      </c>
      <c r="Z462" s="43">
        <v>300</v>
      </c>
      <c r="AA462" s="43">
        <v>300</v>
      </c>
      <c r="AB462" s="43">
        <v>300</v>
      </c>
      <c r="AC462" s="43">
        <v>300</v>
      </c>
      <c r="AD462" s="43">
        <v>300</v>
      </c>
      <c r="AE462" s="43">
        <v>300</v>
      </c>
      <c r="AF462" s="43">
        <v>300</v>
      </c>
      <c r="AG462" s="43">
        <v>300</v>
      </c>
      <c r="AH462" s="43">
        <v>300</v>
      </c>
      <c r="AI462" s="43">
        <v>300</v>
      </c>
      <c r="AJ462" s="43">
        <v>300</v>
      </c>
      <c r="AK462" s="44">
        <f t="shared" si="55"/>
        <v>3700</v>
      </c>
      <c r="AL462" s="43">
        <v>300</v>
      </c>
      <c r="AM462" s="43">
        <v>300</v>
      </c>
      <c r="AN462" s="43">
        <v>300</v>
      </c>
      <c r="AO462" s="43">
        <v>300</v>
      </c>
      <c r="AP462" s="43">
        <v>300</v>
      </c>
      <c r="AQ462" s="43">
        <v>300</v>
      </c>
      <c r="AR462" s="43">
        <v>300</v>
      </c>
      <c r="AS462" s="43">
        <v>300</v>
      </c>
      <c r="AT462" s="43">
        <v>300</v>
      </c>
      <c r="AU462" s="43">
        <v>300</v>
      </c>
      <c r="AV462" s="43">
        <v>300</v>
      </c>
      <c r="AW462" s="43">
        <v>300</v>
      </c>
      <c r="AX462" s="44">
        <f t="shared" si="56"/>
        <v>3600</v>
      </c>
      <c r="AY462" s="311">
        <f>SUMIF(Recibos!$D$4:$D$7493,Cobranza!$B462,Recibos!K$4:K$7493)</f>
        <v>300</v>
      </c>
      <c r="AZ462" s="311">
        <f>SUMIF(Recibos!$D$4:$D$7493,Cobranza!$B462,Recibos!L$4:L$7493)</f>
        <v>300</v>
      </c>
      <c r="BA462" s="311">
        <f>SUMIF(Recibos!$D$4:$D$7493,Cobranza!$B462,Recibos!M$4:M$7493)</f>
        <v>300</v>
      </c>
      <c r="BB462" s="311">
        <f>SUMIF(Recibos!$D$4:$D$7493,Cobranza!$B462,Recibos!N$4:N$7493)</f>
        <v>300</v>
      </c>
      <c r="BC462" s="311">
        <f>SUMIF(Recibos!$D$4:$D$7493,Cobranza!$B462,Recibos!O$4:O$7493)</f>
        <v>300</v>
      </c>
      <c r="BD462" s="311">
        <f>SUMIF(Recibos!$D$4:$D$7493,Cobranza!$B462,Recibos!P$4:P$7493)</f>
        <v>300</v>
      </c>
      <c r="BE462" s="311">
        <f>SUMIF(Recibos!$D$4:$D$7493,Cobranza!$B462,Recibos!Q$4:Q$7493)</f>
        <v>300</v>
      </c>
      <c r="BF462" s="311">
        <f>SUMIF(Recibos!$D$4:$D$7493,Cobranza!$B462,Recibos!R$4:R$7493)</f>
        <v>300</v>
      </c>
      <c r="BG462" s="311">
        <f>SUMIF(Recibos!$D$4:$D$7493,Cobranza!$B462,Recibos!S$4:S$7493)</f>
        <v>300</v>
      </c>
      <c r="BH462" s="311">
        <f>SUMIF(Recibos!$D$4:$D$7493,Cobranza!$B462,Recibos!T$4:T$7493)</f>
        <v>300</v>
      </c>
      <c r="BI462" s="311">
        <f>SUMIF(Recibos!$D$4:$D$7493,Cobranza!$B462,Recibos!U$4:U$7493)</f>
        <v>300</v>
      </c>
      <c r="BJ462" s="311">
        <f>SUMIF(Recibos!$D$4:$D$7493,Cobranza!$B462,Recibos!V$4:V$7493)</f>
        <v>300</v>
      </c>
      <c r="BK462" s="312">
        <f t="shared" si="57"/>
        <v>3600</v>
      </c>
      <c r="BL462" s="311">
        <f>SUMIF(Recibos!$D$4:$D$7493,Cobranza!$B462,Recibos!X$4:X$7493)</f>
        <v>300</v>
      </c>
      <c r="BM462" s="311">
        <f>SUMIF(Recibos!$D$4:$D$7493,Cobranza!$B462,Recibos!Y$4:Y$7493)</f>
        <v>300</v>
      </c>
      <c r="BN462" s="311">
        <f>SUMIF(Recibos!$D$4:$D$7493,Cobranza!$B462,Recibos!Z$4:Z$7493)</f>
        <v>300</v>
      </c>
      <c r="BO462" s="311">
        <f>SUMIF(Recibos!$D$4:$D$7493,Cobranza!$B462,Recibos!AA$4:AA$7493)</f>
        <v>300</v>
      </c>
      <c r="BP462" s="311">
        <f>SUMIF(Recibos!$D$4:$D$7493,Cobranza!$B462,Recibos!AB$4:AB$7493)</f>
        <v>300</v>
      </c>
      <c r="BQ462" s="311">
        <f>SUMIF(Recibos!$D$4:$D$7493,Cobranza!$B462,Recibos!AC$4:AC$7493)</f>
        <v>300</v>
      </c>
      <c r="BR462" s="311">
        <f>SUMIF(Recibos!$D$4:$D$7493,Cobranza!$B462,Recibos!AD$4:AD$7493)</f>
        <v>300</v>
      </c>
      <c r="BS462" s="311">
        <f>SUMIF(Recibos!$D$4:$D$7493,Cobranza!$B462,Recibos!AE$4:AE$7493)</f>
        <v>300</v>
      </c>
      <c r="BT462" s="311">
        <f>SUMIF(Recibos!$D$4:$D$7493,Cobranza!$B462,Recibos!AF$4:AF$7493)</f>
        <v>300</v>
      </c>
      <c r="BU462" s="311">
        <f>SUMIF(Recibos!$D$4:$D$7493,Cobranza!$B462,Recibos!AG$4:AG$7493)</f>
        <v>300</v>
      </c>
      <c r="BV462" s="311">
        <f>SUMIF(Recibos!$D$4:$D$7493,Cobranza!$B462,Recibos!AH$4:AH$7493)</f>
        <v>300</v>
      </c>
      <c r="BW462" s="311">
        <f>SUMIF(Recibos!$D$4:$D$7493,Cobranza!$B462,Recibos!AI$4:AI$7493)</f>
        <v>300</v>
      </c>
      <c r="BX462" s="312">
        <f t="shared" si="58"/>
        <v>3600</v>
      </c>
      <c r="BY462" s="311">
        <f>SUMIF(Recibos!$D$4:$D$7493,Cobranza!$B462,Recibos!AK$4:AK$7493)</f>
        <v>300</v>
      </c>
      <c r="BZ462" s="311">
        <f>SUMIF(Recibos!$D$4:$D$7493,Cobranza!$B462,Recibos!AL$4:AL$7493)</f>
        <v>300</v>
      </c>
      <c r="CA462" s="311">
        <f>SUMIF(Recibos!$D$4:$D$7493,Cobranza!$B462,Recibos!AM$4:AM$7493)</f>
        <v>300</v>
      </c>
      <c r="CB462" s="311">
        <f>SUMIF(Recibos!$D$4:$D$7493,Cobranza!$B462,Recibos!AN$4:AN$7493)</f>
        <v>300</v>
      </c>
      <c r="CC462" s="311">
        <f>SUMIF(Recibos!$D$4:$D$7493,Cobranza!$B462,Recibos!AO$4:AO$7493)</f>
        <v>300</v>
      </c>
      <c r="CD462" s="311">
        <f>SUMIF(Recibos!$D$4:$D$7493,Cobranza!$B462,Recibos!AP$4:AP$7493)</f>
        <v>300</v>
      </c>
      <c r="CE462" s="311">
        <f>SUMIF(Recibos!$D$4:$D$7493,Cobranza!$B462,Recibos!AQ$4:AQ$7493)</f>
        <v>300</v>
      </c>
      <c r="CF462" s="311">
        <f>SUMIF(Recibos!$D$4:$D$7493,Cobranza!$B462,Recibos!AR$4:AR$7493)</f>
        <v>300</v>
      </c>
      <c r="CG462" s="311">
        <f>SUMIF(Recibos!$D$4:$D$7493,Cobranza!$B462,Recibos!AS$4:AS$7493)</f>
        <v>300</v>
      </c>
      <c r="CH462" s="311">
        <f>SUMIF(Recibos!$D$4:$D$7493,Cobranza!$B462,Recibos!AT$4:AT$7493)</f>
        <v>300</v>
      </c>
      <c r="CI462" s="311">
        <f>SUMIF(Recibos!$D$4:$D$7493,Cobranza!$B462,Recibos!AU$4:AU$7493)</f>
        <v>0</v>
      </c>
      <c r="CJ462" s="311">
        <f>SUMIF(Recibos!$D$4:$D$7493,Cobranza!$B462,Recibos!AV$4:AV$7493)</f>
        <v>0</v>
      </c>
      <c r="CK462" s="312">
        <f t="shared" si="59"/>
        <v>3000</v>
      </c>
    </row>
    <row r="463" spans="2:89" x14ac:dyDescent="0.2">
      <c r="B463" s="45" t="s">
        <v>547</v>
      </c>
      <c r="C463" s="45" t="s">
        <v>548</v>
      </c>
      <c r="D463" s="45" t="s">
        <v>549</v>
      </c>
      <c r="E463" s="46">
        <v>0</v>
      </c>
      <c r="F463" s="46">
        <v>0</v>
      </c>
      <c r="G463" s="46">
        <v>0</v>
      </c>
      <c r="H463" s="46">
        <v>0</v>
      </c>
      <c r="I463" s="46">
        <v>0</v>
      </c>
      <c r="J463" s="46">
        <v>0</v>
      </c>
      <c r="K463" s="47">
        <f t="shared" ref="K463:K469" si="60">SUM(E463:J463)</f>
        <v>0</v>
      </c>
      <c r="L463" s="46">
        <v>0</v>
      </c>
      <c r="M463" s="46">
        <v>0</v>
      </c>
      <c r="N463" s="46">
        <v>0</v>
      </c>
      <c r="O463" s="46">
        <v>0</v>
      </c>
      <c r="P463" s="46">
        <v>0</v>
      </c>
      <c r="Q463" s="46">
        <v>0</v>
      </c>
      <c r="R463" s="46">
        <v>0</v>
      </c>
      <c r="S463" s="46">
        <v>0</v>
      </c>
      <c r="T463" s="46">
        <v>0</v>
      </c>
      <c r="U463" s="46">
        <v>0</v>
      </c>
      <c r="V463" s="46">
        <v>0</v>
      </c>
      <c r="W463" s="46">
        <v>0</v>
      </c>
      <c r="X463" s="47">
        <f t="shared" ref="X463:X469" si="61">SUM(L463:W463)</f>
        <v>0</v>
      </c>
      <c r="Y463" s="46">
        <v>0</v>
      </c>
      <c r="Z463" s="46">
        <v>150</v>
      </c>
      <c r="AA463" s="46">
        <v>150</v>
      </c>
      <c r="AB463" s="46">
        <v>200</v>
      </c>
      <c r="AC463" s="46">
        <v>200</v>
      </c>
      <c r="AD463" s="46">
        <v>200</v>
      </c>
      <c r="AE463" s="46">
        <v>200</v>
      </c>
      <c r="AF463" s="46">
        <v>200</v>
      </c>
      <c r="AG463" s="46">
        <v>200</v>
      </c>
      <c r="AH463" s="46">
        <v>200</v>
      </c>
      <c r="AI463" s="46">
        <v>200</v>
      </c>
      <c r="AJ463" s="46">
        <v>200</v>
      </c>
      <c r="AK463" s="47">
        <f t="shared" ref="AK463:AK469" si="62">SUM(Y463:AJ463)</f>
        <v>2100</v>
      </c>
      <c r="AL463" s="46">
        <v>200</v>
      </c>
      <c r="AM463" s="46">
        <v>200</v>
      </c>
      <c r="AN463" s="46">
        <v>200</v>
      </c>
      <c r="AO463" s="46">
        <v>200</v>
      </c>
      <c r="AP463" s="46">
        <v>200</v>
      </c>
      <c r="AQ463" s="46">
        <v>200</v>
      </c>
      <c r="AR463" s="46">
        <v>200</v>
      </c>
      <c r="AS463" s="46">
        <v>200</v>
      </c>
      <c r="AT463" s="46">
        <v>200</v>
      </c>
      <c r="AU463" s="46">
        <v>200</v>
      </c>
      <c r="AV463" s="46">
        <v>200</v>
      </c>
      <c r="AW463" s="46">
        <v>0</v>
      </c>
      <c r="AX463" s="47">
        <f t="shared" ref="AX463:AX469" si="63">SUM(AL463:AW463)</f>
        <v>2200</v>
      </c>
      <c r="AY463" s="313">
        <f>SUMIF(Recibos!$D$4:$D$7493,Cobranza!$B463,Recibos!K$4:K$7493)</f>
        <v>200</v>
      </c>
      <c r="AZ463" s="313">
        <f>SUMIF(Recibos!$D$4:$D$7493,Cobranza!$B463,Recibos!L$4:L$7493)</f>
        <v>200</v>
      </c>
      <c r="BA463" s="313">
        <f>SUMIF(Recibos!$D$4:$D$7493,Cobranza!$B463,Recibos!M$4:M$7493)</f>
        <v>200</v>
      </c>
      <c r="BB463" s="313">
        <f>SUMIF(Recibos!$D$4:$D$7493,Cobranza!$B463,Recibos!N$4:N$7493)</f>
        <v>200</v>
      </c>
      <c r="BC463" s="313">
        <f>SUMIF(Recibos!$D$4:$D$7493,Cobranza!$B463,Recibos!O$4:O$7493)</f>
        <v>200</v>
      </c>
      <c r="BD463" s="313">
        <f>SUMIF(Recibos!$D$4:$D$7493,Cobranza!$B463,Recibos!P$4:P$7493)</f>
        <v>200</v>
      </c>
      <c r="BE463" s="313">
        <f>SUMIF(Recibos!$D$4:$D$7493,Cobranza!$B463,Recibos!Q$4:Q$7493)</f>
        <v>200</v>
      </c>
      <c r="BF463" s="313">
        <f>SUMIF(Recibos!$D$4:$D$7493,Cobranza!$B463,Recibos!R$4:R$7493)</f>
        <v>200</v>
      </c>
      <c r="BG463" s="313">
        <f>SUMIF(Recibos!$D$4:$D$7493,Cobranza!$B463,Recibos!S$4:S$7493)</f>
        <v>200</v>
      </c>
      <c r="BH463" s="313">
        <f>SUMIF(Recibos!$D$4:$D$7493,Cobranza!$B463,Recibos!T$4:T$7493)</f>
        <v>200</v>
      </c>
      <c r="BI463" s="313">
        <f>SUMIF(Recibos!$D$4:$D$7493,Cobranza!$B463,Recibos!U$4:U$7493)</f>
        <v>200</v>
      </c>
      <c r="BJ463" s="313">
        <f>SUMIF(Recibos!$D$4:$D$7493,Cobranza!$B463,Recibos!V$4:V$7493)</f>
        <v>200</v>
      </c>
      <c r="BK463" s="314">
        <f t="shared" si="57"/>
        <v>2400</v>
      </c>
      <c r="BL463" s="313">
        <f>SUMIF(Recibos!$D$4:$D$7493,Cobranza!$B463,Recibos!X$4:X$7493)</f>
        <v>200</v>
      </c>
      <c r="BM463" s="313">
        <f>SUMIF(Recibos!$D$4:$D$7493,Cobranza!$B463,Recibos!Y$4:Y$7493)</f>
        <v>200</v>
      </c>
      <c r="BN463" s="313">
        <f>SUMIF(Recibos!$D$4:$D$7493,Cobranza!$B463,Recibos!Z$4:Z$7493)</f>
        <v>200</v>
      </c>
      <c r="BO463" s="313">
        <f>SUMIF(Recibos!$D$4:$D$7493,Cobranza!$B463,Recibos!AA$4:AA$7493)</f>
        <v>200</v>
      </c>
      <c r="BP463" s="313">
        <f>SUMIF(Recibos!$D$4:$D$7493,Cobranza!$B463,Recibos!AB$4:AB$7493)</f>
        <v>200</v>
      </c>
      <c r="BQ463" s="313">
        <f>SUMIF(Recibos!$D$4:$D$7493,Cobranza!$B463,Recibos!AC$4:AC$7493)</f>
        <v>200</v>
      </c>
      <c r="BR463" s="313">
        <f>SUMIF(Recibos!$D$4:$D$7493,Cobranza!$B463,Recibos!AD$4:AD$7493)</f>
        <v>200</v>
      </c>
      <c r="BS463" s="313">
        <f>SUMIF(Recibos!$D$4:$D$7493,Cobranza!$B463,Recibos!AE$4:AE$7493)</f>
        <v>200</v>
      </c>
      <c r="BT463" s="313">
        <f>SUMIF(Recibos!$D$4:$D$7493,Cobranza!$B463,Recibos!AF$4:AF$7493)</f>
        <v>200</v>
      </c>
      <c r="BU463" s="313">
        <f>SUMIF(Recibos!$D$4:$D$7493,Cobranza!$B463,Recibos!AG$4:AG$7493)</f>
        <v>200</v>
      </c>
      <c r="BV463" s="313">
        <f>SUMIF(Recibos!$D$4:$D$7493,Cobranza!$B463,Recibos!AH$4:AH$7493)</f>
        <v>200</v>
      </c>
      <c r="BW463" s="313">
        <f>SUMIF(Recibos!$D$4:$D$7493,Cobranza!$B463,Recibos!AI$4:AI$7493)</f>
        <v>200</v>
      </c>
      <c r="BX463" s="314">
        <f t="shared" si="58"/>
        <v>2400</v>
      </c>
      <c r="BY463" s="313">
        <f>SUMIF(Recibos!$D$4:$D$7493,Cobranza!$B463,Recibos!AK$4:AK$7493)</f>
        <v>200</v>
      </c>
      <c r="BZ463" s="313">
        <f>SUMIF(Recibos!$D$4:$D$7493,Cobranza!$B463,Recibos!AL$4:AL$7493)</f>
        <v>200</v>
      </c>
      <c r="CA463" s="313">
        <f>SUMIF(Recibos!$D$4:$D$7493,Cobranza!$B463,Recibos!AM$4:AM$7493)</f>
        <v>200</v>
      </c>
      <c r="CB463" s="313">
        <f>SUMIF(Recibos!$D$4:$D$7493,Cobranza!$B463,Recibos!AN$4:AN$7493)</f>
        <v>200</v>
      </c>
      <c r="CC463" s="313">
        <f>SUMIF(Recibos!$D$4:$D$7493,Cobranza!$B463,Recibos!AO$4:AO$7493)</f>
        <v>200</v>
      </c>
      <c r="CD463" s="313">
        <f>SUMIF(Recibos!$D$4:$D$7493,Cobranza!$B463,Recibos!AP$4:AP$7493)</f>
        <v>200</v>
      </c>
      <c r="CE463" s="313">
        <f>SUMIF(Recibos!$D$4:$D$7493,Cobranza!$B463,Recibos!AQ$4:AQ$7493)</f>
        <v>200</v>
      </c>
      <c r="CF463" s="313">
        <f>SUMIF(Recibos!$D$4:$D$7493,Cobranza!$B463,Recibos!AR$4:AR$7493)</f>
        <v>200</v>
      </c>
      <c r="CG463" s="313">
        <f>SUMIF(Recibos!$D$4:$D$7493,Cobranza!$B463,Recibos!AS$4:AS$7493)</f>
        <v>0</v>
      </c>
      <c r="CH463" s="313">
        <f>SUMIF(Recibos!$D$4:$D$7493,Cobranza!$B463,Recibos!AT$4:AT$7493)</f>
        <v>0</v>
      </c>
      <c r="CI463" s="313">
        <f>SUMIF(Recibos!$D$4:$D$7493,Cobranza!$B463,Recibos!AU$4:AU$7493)</f>
        <v>0</v>
      </c>
      <c r="CJ463" s="313">
        <f>SUMIF(Recibos!$D$4:$D$7493,Cobranza!$B463,Recibos!AV$4:AV$7493)</f>
        <v>0</v>
      </c>
      <c r="CK463" s="314">
        <f t="shared" si="59"/>
        <v>1600</v>
      </c>
    </row>
    <row r="464" spans="2:89" x14ac:dyDescent="0.2">
      <c r="B464" s="42" t="s">
        <v>652</v>
      </c>
      <c r="C464" s="42" t="s">
        <v>653</v>
      </c>
      <c r="D464" s="42" t="s">
        <v>654</v>
      </c>
      <c r="E464" s="43">
        <v>0</v>
      </c>
      <c r="F464" s="43">
        <v>0</v>
      </c>
      <c r="G464" s="43">
        <v>0</v>
      </c>
      <c r="H464" s="43">
        <v>0</v>
      </c>
      <c r="I464" s="43">
        <v>0</v>
      </c>
      <c r="J464" s="43">
        <v>300</v>
      </c>
      <c r="K464" s="44">
        <f t="shared" si="60"/>
        <v>300</v>
      </c>
      <c r="L464" s="43">
        <v>300</v>
      </c>
      <c r="M464" s="43">
        <v>300</v>
      </c>
      <c r="N464" s="43">
        <v>300</v>
      </c>
      <c r="O464" s="43">
        <v>300</v>
      </c>
      <c r="P464" s="43">
        <v>0</v>
      </c>
      <c r="Q464" s="43">
        <v>0</v>
      </c>
      <c r="R464" s="43">
        <v>0</v>
      </c>
      <c r="S464" s="43">
        <v>0</v>
      </c>
      <c r="T464" s="43">
        <v>0</v>
      </c>
      <c r="U464" s="43">
        <v>0</v>
      </c>
      <c r="V464" s="43">
        <v>0</v>
      </c>
      <c r="W464" s="43">
        <v>0</v>
      </c>
      <c r="X464" s="44">
        <f t="shared" si="61"/>
        <v>1200</v>
      </c>
      <c r="Y464" s="43">
        <v>0</v>
      </c>
      <c r="Z464" s="43">
        <v>0</v>
      </c>
      <c r="AA464" s="43">
        <v>0</v>
      </c>
      <c r="AB464" s="43">
        <v>0</v>
      </c>
      <c r="AC464" s="43">
        <v>0</v>
      </c>
      <c r="AD464" s="43">
        <v>0</v>
      </c>
      <c r="AE464" s="43">
        <v>0</v>
      </c>
      <c r="AF464" s="43">
        <v>0</v>
      </c>
      <c r="AG464" s="43">
        <v>0</v>
      </c>
      <c r="AH464" s="43">
        <v>0</v>
      </c>
      <c r="AI464" s="43">
        <v>0</v>
      </c>
      <c r="AJ464" s="43">
        <v>0</v>
      </c>
      <c r="AK464" s="44">
        <f t="shared" si="62"/>
        <v>0</v>
      </c>
      <c r="AL464" s="43">
        <v>400</v>
      </c>
      <c r="AM464" s="43">
        <v>400</v>
      </c>
      <c r="AN464" s="43">
        <v>400</v>
      </c>
      <c r="AO464" s="43">
        <v>400</v>
      </c>
      <c r="AP464" s="43">
        <v>400</v>
      </c>
      <c r="AQ464" s="43">
        <v>400</v>
      </c>
      <c r="AR464" s="43">
        <v>400</v>
      </c>
      <c r="AS464" s="43">
        <v>0</v>
      </c>
      <c r="AT464" s="43">
        <v>400</v>
      </c>
      <c r="AU464" s="43">
        <v>400</v>
      </c>
      <c r="AV464" s="43">
        <v>400</v>
      </c>
      <c r="AW464" s="43">
        <v>400</v>
      </c>
      <c r="AX464" s="44">
        <f t="shared" si="63"/>
        <v>4400</v>
      </c>
      <c r="AY464" s="311">
        <f>SUMIF(Recibos!$D$4:$D$7493,Cobranza!$B464,Recibos!K$4:K$7493)</f>
        <v>400</v>
      </c>
      <c r="AZ464" s="311">
        <f>SUMIF(Recibos!$D$4:$D$7493,Cobranza!$B464,Recibos!L$4:L$7493)</f>
        <v>400</v>
      </c>
      <c r="BA464" s="311">
        <f>SUMIF(Recibos!$D$4:$D$7493,Cobranza!$B464,Recibos!M$4:M$7493)</f>
        <v>400</v>
      </c>
      <c r="BB464" s="311">
        <f>SUMIF(Recibos!$D$4:$D$7493,Cobranza!$B464,Recibos!N$4:N$7493)</f>
        <v>400</v>
      </c>
      <c r="BC464" s="311">
        <f>SUMIF(Recibos!$D$4:$D$7493,Cobranza!$B464,Recibos!O$4:O$7493)</f>
        <v>400</v>
      </c>
      <c r="BD464" s="311">
        <f>SUMIF(Recibos!$D$4:$D$7493,Cobranza!$B464,Recibos!P$4:P$7493)</f>
        <v>400</v>
      </c>
      <c r="BE464" s="311">
        <f>SUMIF(Recibos!$D$4:$D$7493,Cobranza!$B464,Recibos!Q$4:Q$7493)</f>
        <v>0</v>
      </c>
      <c r="BF464" s="311">
        <f>SUMIF(Recibos!$D$4:$D$7493,Cobranza!$B464,Recibos!R$4:R$7493)</f>
        <v>400</v>
      </c>
      <c r="BG464" s="311">
        <f>SUMIF(Recibos!$D$4:$D$7493,Cobranza!$B464,Recibos!S$4:S$7493)</f>
        <v>400</v>
      </c>
      <c r="BH464" s="311">
        <f>SUMIF(Recibos!$D$4:$D$7493,Cobranza!$B464,Recibos!T$4:T$7493)</f>
        <v>800</v>
      </c>
      <c r="BI464" s="311">
        <f>SUMIF(Recibos!$D$4:$D$7493,Cobranza!$B464,Recibos!U$4:U$7493)</f>
        <v>800</v>
      </c>
      <c r="BJ464" s="311">
        <f>SUMIF(Recibos!$D$4:$D$7493,Cobranza!$B464,Recibos!V$4:V$7493)</f>
        <v>800</v>
      </c>
      <c r="BK464" s="312">
        <f t="shared" si="57"/>
        <v>5600</v>
      </c>
      <c r="BL464" s="311">
        <f>SUMIF(Recibos!$D$4:$D$7493,Cobranza!$B464,Recibos!X$4:X$7493)</f>
        <v>400</v>
      </c>
      <c r="BM464" s="311">
        <f>SUMIF(Recibos!$D$4:$D$7493,Cobranza!$B464,Recibos!Y$4:Y$7493)</f>
        <v>400</v>
      </c>
      <c r="BN464" s="311">
        <f>SUMIF(Recibos!$D$4:$D$7493,Cobranza!$B464,Recibos!Z$4:Z$7493)</f>
        <v>400</v>
      </c>
      <c r="BO464" s="311">
        <f>SUMIF(Recibos!$D$4:$D$7493,Cobranza!$B464,Recibos!AA$4:AA$7493)</f>
        <v>400</v>
      </c>
      <c r="BP464" s="311">
        <f>SUMIF(Recibos!$D$4:$D$7493,Cobranza!$B464,Recibos!AB$4:AB$7493)</f>
        <v>400</v>
      </c>
      <c r="BQ464" s="311">
        <f>SUMIF(Recibos!$D$4:$D$7493,Cobranza!$B464,Recibos!AC$4:AC$7493)</f>
        <v>400</v>
      </c>
      <c r="BR464" s="311">
        <f>SUMIF(Recibos!$D$4:$D$7493,Cobranza!$B464,Recibos!AD$4:AD$7493)</f>
        <v>400</v>
      </c>
      <c r="BS464" s="311">
        <f>SUMIF(Recibos!$D$4:$D$7493,Cobranza!$B464,Recibos!AE$4:AE$7493)</f>
        <v>400</v>
      </c>
      <c r="BT464" s="311">
        <f>SUMIF(Recibos!$D$4:$D$7493,Cobranza!$B464,Recibos!AF$4:AF$7493)</f>
        <v>400</v>
      </c>
      <c r="BU464" s="311">
        <f>SUMIF(Recibos!$D$4:$D$7493,Cobranza!$B464,Recibos!AG$4:AG$7493)</f>
        <v>0</v>
      </c>
      <c r="BV464" s="311">
        <f>SUMIF(Recibos!$D$4:$D$7493,Cobranza!$B464,Recibos!AH$4:AH$7493)</f>
        <v>0</v>
      </c>
      <c r="BW464" s="311">
        <f>SUMIF(Recibos!$D$4:$D$7493,Cobranza!$B464,Recibos!AI$4:AI$7493)</f>
        <v>0</v>
      </c>
      <c r="BX464" s="312">
        <f t="shared" si="58"/>
        <v>3600</v>
      </c>
      <c r="BY464" s="311">
        <f>SUMIF(Recibos!$D$4:$D$7493,Cobranza!$B464,Recibos!AK$4:AK$7493)</f>
        <v>400</v>
      </c>
      <c r="BZ464" s="311">
        <f>SUMIF(Recibos!$D$4:$D$7493,Cobranza!$B464,Recibos!AL$4:AL$7493)</f>
        <v>400</v>
      </c>
      <c r="CA464" s="311">
        <f>SUMIF(Recibos!$D$4:$D$7493,Cobranza!$B464,Recibos!AM$4:AM$7493)</f>
        <v>400</v>
      </c>
      <c r="CB464" s="311">
        <f>SUMIF(Recibos!$D$4:$D$7493,Cobranza!$B464,Recibos!AN$4:AN$7493)</f>
        <v>400</v>
      </c>
      <c r="CC464" s="311">
        <f>SUMIF(Recibos!$D$4:$D$7493,Cobranza!$B464,Recibos!AO$4:AO$7493)</f>
        <v>400</v>
      </c>
      <c r="CD464" s="311">
        <f>SUMIF(Recibos!$D$4:$D$7493,Cobranza!$B464,Recibos!AP$4:AP$7493)</f>
        <v>400</v>
      </c>
      <c r="CE464" s="311">
        <f>SUMIF(Recibos!$D$4:$D$7493,Cobranza!$B464,Recibos!AQ$4:AQ$7493)</f>
        <v>400</v>
      </c>
      <c r="CF464" s="311">
        <f>SUMIF(Recibos!$D$4:$D$7493,Cobranza!$B464,Recibos!AR$4:AR$7493)</f>
        <v>400</v>
      </c>
      <c r="CG464" s="311">
        <f>SUMIF(Recibos!$D$4:$D$7493,Cobranza!$B464,Recibos!AS$4:AS$7493)</f>
        <v>0</v>
      </c>
      <c r="CH464" s="311">
        <f>SUMIF(Recibos!$D$4:$D$7493,Cobranza!$B464,Recibos!AT$4:AT$7493)</f>
        <v>0</v>
      </c>
      <c r="CI464" s="311">
        <f>SUMIF(Recibos!$D$4:$D$7493,Cobranza!$B464,Recibos!AU$4:AU$7493)</f>
        <v>0</v>
      </c>
      <c r="CJ464" s="311">
        <f>SUMIF(Recibos!$D$4:$D$7493,Cobranza!$B464,Recibos!AV$4:AV$7493)</f>
        <v>0</v>
      </c>
      <c r="CK464" s="312">
        <f t="shared" si="59"/>
        <v>3200</v>
      </c>
    </row>
    <row r="465" spans="2:89" x14ac:dyDescent="0.2">
      <c r="B465" s="45" t="s">
        <v>777</v>
      </c>
      <c r="C465" s="45" t="s">
        <v>778</v>
      </c>
      <c r="D465" s="45" t="s">
        <v>779</v>
      </c>
      <c r="E465" s="46">
        <v>0</v>
      </c>
      <c r="F465" s="46">
        <v>0</v>
      </c>
      <c r="G465" s="46">
        <v>0</v>
      </c>
      <c r="H465" s="46">
        <v>0</v>
      </c>
      <c r="I465" s="46">
        <v>0</v>
      </c>
      <c r="J465" s="46">
        <v>0</v>
      </c>
      <c r="K465" s="47">
        <f t="shared" si="60"/>
        <v>0</v>
      </c>
      <c r="L465" s="46">
        <v>300</v>
      </c>
      <c r="M465" s="46">
        <v>300</v>
      </c>
      <c r="N465" s="46">
        <v>300</v>
      </c>
      <c r="O465" s="46">
        <v>300</v>
      </c>
      <c r="P465" s="46">
        <v>300</v>
      </c>
      <c r="Q465" s="46">
        <v>300</v>
      </c>
      <c r="R465" s="46">
        <v>300</v>
      </c>
      <c r="S465" s="46">
        <v>300</v>
      </c>
      <c r="T465" s="46">
        <v>300</v>
      </c>
      <c r="U465" s="46">
        <v>400</v>
      </c>
      <c r="V465" s="46">
        <v>400</v>
      </c>
      <c r="W465" s="46">
        <v>400</v>
      </c>
      <c r="X465" s="47">
        <f t="shared" si="61"/>
        <v>3900</v>
      </c>
      <c r="Y465" s="46">
        <v>400</v>
      </c>
      <c r="Z465" s="46">
        <v>400</v>
      </c>
      <c r="AA465" s="46">
        <v>400</v>
      </c>
      <c r="AB465" s="46">
        <v>400</v>
      </c>
      <c r="AC465" s="46">
        <v>400</v>
      </c>
      <c r="AD465" s="46">
        <v>400</v>
      </c>
      <c r="AE465" s="46">
        <v>400</v>
      </c>
      <c r="AF465" s="46">
        <v>400</v>
      </c>
      <c r="AG465" s="46">
        <v>400</v>
      </c>
      <c r="AH465" s="46">
        <v>400</v>
      </c>
      <c r="AI465" s="46">
        <v>400</v>
      </c>
      <c r="AJ465" s="46">
        <v>400</v>
      </c>
      <c r="AK465" s="47">
        <f t="shared" si="62"/>
        <v>4800</v>
      </c>
      <c r="AL465" s="46">
        <v>400</v>
      </c>
      <c r="AM465" s="46">
        <v>400</v>
      </c>
      <c r="AN465" s="46">
        <v>400</v>
      </c>
      <c r="AO465" s="46">
        <v>400</v>
      </c>
      <c r="AP465" s="46">
        <v>400</v>
      </c>
      <c r="AQ465" s="46">
        <v>400</v>
      </c>
      <c r="AR465" s="46">
        <v>400</v>
      </c>
      <c r="AS465" s="46">
        <v>400</v>
      </c>
      <c r="AT465" s="46">
        <v>400</v>
      </c>
      <c r="AU465" s="46">
        <v>400</v>
      </c>
      <c r="AV465" s="46">
        <v>0</v>
      </c>
      <c r="AW465" s="46">
        <v>0</v>
      </c>
      <c r="AX465" s="47">
        <f t="shared" si="63"/>
        <v>4000</v>
      </c>
      <c r="AY465" s="313">
        <f>SUMIF(Recibos!$D$4:$D$7493,Cobranza!$B465,Recibos!K$4:K$7493)</f>
        <v>400</v>
      </c>
      <c r="AZ465" s="313">
        <f>SUMIF(Recibos!$D$4:$D$7493,Cobranza!$B465,Recibos!L$4:L$7493)</f>
        <v>400</v>
      </c>
      <c r="BA465" s="313">
        <f>SUMIF(Recibos!$D$4:$D$7493,Cobranza!$B465,Recibos!M$4:M$7493)</f>
        <v>400</v>
      </c>
      <c r="BB465" s="313">
        <f>SUMIF(Recibos!$D$4:$D$7493,Cobranza!$B465,Recibos!N$4:N$7493)</f>
        <v>400</v>
      </c>
      <c r="BC465" s="313">
        <f>SUMIF(Recibos!$D$4:$D$7493,Cobranza!$B465,Recibos!O$4:O$7493)</f>
        <v>400</v>
      </c>
      <c r="BD465" s="313">
        <f>SUMIF(Recibos!$D$4:$D$7493,Cobranza!$B465,Recibos!P$4:P$7493)</f>
        <v>400</v>
      </c>
      <c r="BE465" s="313">
        <f>SUMIF(Recibos!$D$4:$D$7493,Cobranza!$B465,Recibos!Q$4:Q$7493)</f>
        <v>400</v>
      </c>
      <c r="BF465" s="313">
        <f>SUMIF(Recibos!$D$4:$D$7493,Cobranza!$B465,Recibos!R$4:R$7493)</f>
        <v>400</v>
      </c>
      <c r="BG465" s="313">
        <f>SUMIF(Recibos!$D$4:$D$7493,Cobranza!$B465,Recibos!S$4:S$7493)</f>
        <v>400</v>
      </c>
      <c r="BH465" s="313">
        <f>SUMIF(Recibos!$D$4:$D$7493,Cobranza!$B465,Recibos!T$4:T$7493)</f>
        <v>400</v>
      </c>
      <c r="BI465" s="313">
        <f>SUMIF(Recibos!$D$4:$D$7493,Cobranza!$B465,Recibos!U$4:U$7493)</f>
        <v>400</v>
      </c>
      <c r="BJ465" s="313">
        <f>SUMIF(Recibos!$D$4:$D$7493,Cobranza!$B465,Recibos!V$4:V$7493)</f>
        <v>0</v>
      </c>
      <c r="BK465" s="314">
        <f t="shared" si="57"/>
        <v>4400</v>
      </c>
      <c r="BL465" s="313">
        <f>SUMIF(Recibos!$D$4:$D$7493,Cobranza!$B465,Recibos!X$4:X$7493)</f>
        <v>400</v>
      </c>
      <c r="BM465" s="313">
        <f>SUMIF(Recibos!$D$4:$D$7493,Cobranza!$B465,Recibos!Y$4:Y$7493)</f>
        <v>400</v>
      </c>
      <c r="BN465" s="313">
        <f>SUMIF(Recibos!$D$4:$D$7493,Cobranza!$B465,Recibos!Z$4:Z$7493)</f>
        <v>400</v>
      </c>
      <c r="BO465" s="313">
        <f>SUMIF(Recibos!$D$4:$D$7493,Cobranza!$B465,Recibos!AA$4:AA$7493)</f>
        <v>400</v>
      </c>
      <c r="BP465" s="313">
        <f>SUMIF(Recibos!$D$4:$D$7493,Cobranza!$B465,Recibos!AB$4:AB$7493)</f>
        <v>400</v>
      </c>
      <c r="BQ465" s="313">
        <f>SUMIF(Recibos!$D$4:$D$7493,Cobranza!$B465,Recibos!AC$4:AC$7493)</f>
        <v>400</v>
      </c>
      <c r="BR465" s="313">
        <f>SUMIF(Recibos!$D$4:$D$7493,Cobranza!$B465,Recibos!AD$4:AD$7493)</f>
        <v>400</v>
      </c>
      <c r="BS465" s="313">
        <f>SUMIF(Recibos!$D$4:$D$7493,Cobranza!$B465,Recibos!AE$4:AE$7493)</f>
        <v>400</v>
      </c>
      <c r="BT465" s="313">
        <f>SUMIF(Recibos!$D$4:$D$7493,Cobranza!$B465,Recibos!AF$4:AF$7493)</f>
        <v>400</v>
      </c>
      <c r="BU465" s="313">
        <f>SUMIF(Recibos!$D$4:$D$7493,Cobranza!$B465,Recibos!AG$4:AG$7493)</f>
        <v>400</v>
      </c>
      <c r="BV465" s="313">
        <f>SUMIF(Recibos!$D$4:$D$7493,Cobranza!$B465,Recibos!AH$4:AH$7493)</f>
        <v>400</v>
      </c>
      <c r="BW465" s="313">
        <f>SUMIF(Recibos!$D$4:$D$7493,Cobranza!$B465,Recibos!AI$4:AI$7493)</f>
        <v>0</v>
      </c>
      <c r="BX465" s="314">
        <f t="shared" si="58"/>
        <v>4400</v>
      </c>
      <c r="BY465" s="313">
        <f>SUMIF(Recibos!$D$4:$D$7493,Cobranza!$B465,Recibos!AK$4:AK$7493)</f>
        <v>400</v>
      </c>
      <c r="BZ465" s="313">
        <f>SUMIF(Recibos!$D$4:$D$7493,Cobranza!$B465,Recibos!AL$4:AL$7493)</f>
        <v>400</v>
      </c>
      <c r="CA465" s="313">
        <f>SUMIF(Recibos!$D$4:$D$7493,Cobranza!$B465,Recibos!AM$4:AM$7493)</f>
        <v>400</v>
      </c>
      <c r="CB465" s="313">
        <f>SUMIF(Recibos!$D$4:$D$7493,Cobranza!$B465,Recibos!AN$4:AN$7493)</f>
        <v>400</v>
      </c>
      <c r="CC465" s="313">
        <f>SUMIF(Recibos!$D$4:$D$7493,Cobranza!$B465,Recibos!AO$4:AO$7493)</f>
        <v>400</v>
      </c>
      <c r="CD465" s="313">
        <f>SUMIF(Recibos!$D$4:$D$7493,Cobranza!$B465,Recibos!AP$4:AP$7493)</f>
        <v>400</v>
      </c>
      <c r="CE465" s="313">
        <f>SUMIF(Recibos!$D$4:$D$7493,Cobranza!$B465,Recibos!AQ$4:AQ$7493)</f>
        <v>400</v>
      </c>
      <c r="CF465" s="313">
        <f>SUMIF(Recibos!$D$4:$D$7493,Cobranza!$B465,Recibos!AR$4:AR$7493)</f>
        <v>400</v>
      </c>
      <c r="CG465" s="313">
        <f>SUMIF(Recibos!$D$4:$D$7493,Cobranza!$B465,Recibos!AS$4:AS$7493)</f>
        <v>400</v>
      </c>
      <c r="CH465" s="313">
        <f>SUMIF(Recibos!$D$4:$D$7493,Cobranza!$B465,Recibos!AT$4:AT$7493)</f>
        <v>400</v>
      </c>
      <c r="CI465" s="313">
        <f>SUMIF(Recibos!$D$4:$D$7493,Cobranza!$B465,Recibos!AU$4:AU$7493)</f>
        <v>400</v>
      </c>
      <c r="CJ465" s="313">
        <f>SUMIF(Recibos!$D$4:$D$7493,Cobranza!$B465,Recibos!AV$4:AV$7493)</f>
        <v>0</v>
      </c>
      <c r="CK465" s="314">
        <f t="shared" si="59"/>
        <v>4400</v>
      </c>
    </row>
    <row r="466" spans="2:89" x14ac:dyDescent="0.2">
      <c r="B466" s="42" t="s">
        <v>156</v>
      </c>
      <c r="C466" s="42" t="s">
        <v>157</v>
      </c>
      <c r="D466" s="42" t="s">
        <v>158</v>
      </c>
      <c r="E466" s="43">
        <v>0</v>
      </c>
      <c r="F466" s="43">
        <v>0</v>
      </c>
      <c r="G466" s="43">
        <v>0</v>
      </c>
      <c r="H466" s="43">
        <v>0</v>
      </c>
      <c r="I466" s="43">
        <v>0</v>
      </c>
      <c r="J466" s="43">
        <v>250</v>
      </c>
      <c r="K466" s="44">
        <f t="shared" si="60"/>
        <v>250</v>
      </c>
      <c r="L466" s="43">
        <v>300</v>
      </c>
      <c r="M466" s="43">
        <v>250</v>
      </c>
      <c r="N466" s="43">
        <v>250</v>
      </c>
      <c r="O466" s="43">
        <v>250</v>
      </c>
      <c r="P466" s="43">
        <v>250</v>
      </c>
      <c r="Q466" s="43">
        <v>250</v>
      </c>
      <c r="R466" s="43">
        <v>250</v>
      </c>
      <c r="S466" s="43">
        <v>250</v>
      </c>
      <c r="T466" s="43">
        <v>250</v>
      </c>
      <c r="U466" s="43">
        <v>300</v>
      </c>
      <c r="V466" s="43">
        <v>300</v>
      </c>
      <c r="W466" s="43">
        <v>300</v>
      </c>
      <c r="X466" s="44">
        <f t="shared" si="61"/>
        <v>3200</v>
      </c>
      <c r="Y466" s="43">
        <v>300</v>
      </c>
      <c r="Z466" s="43">
        <v>300</v>
      </c>
      <c r="AA466" s="43">
        <v>300</v>
      </c>
      <c r="AB466" s="43">
        <v>300</v>
      </c>
      <c r="AC466" s="43">
        <v>300</v>
      </c>
      <c r="AD466" s="43">
        <v>300</v>
      </c>
      <c r="AE466" s="43">
        <v>300</v>
      </c>
      <c r="AF466" s="43">
        <v>300</v>
      </c>
      <c r="AG466" s="43">
        <v>300</v>
      </c>
      <c r="AH466" s="43">
        <v>300</v>
      </c>
      <c r="AI466" s="43">
        <v>300</v>
      </c>
      <c r="AJ466" s="43">
        <v>300</v>
      </c>
      <c r="AK466" s="44">
        <f t="shared" si="62"/>
        <v>3600</v>
      </c>
      <c r="AL466" s="43">
        <v>300</v>
      </c>
      <c r="AM466" s="43">
        <v>300</v>
      </c>
      <c r="AN466" s="43">
        <v>300</v>
      </c>
      <c r="AO466" s="43">
        <v>300</v>
      </c>
      <c r="AP466" s="43">
        <v>300</v>
      </c>
      <c r="AQ466" s="43">
        <v>300</v>
      </c>
      <c r="AR466" s="43">
        <v>300</v>
      </c>
      <c r="AS466" s="43">
        <v>300</v>
      </c>
      <c r="AT466" s="43">
        <v>300</v>
      </c>
      <c r="AU466" s="43">
        <v>300</v>
      </c>
      <c r="AV466" s="43">
        <v>300</v>
      </c>
      <c r="AW466" s="43">
        <v>300</v>
      </c>
      <c r="AX466" s="44">
        <f t="shared" si="63"/>
        <v>3600</v>
      </c>
      <c r="AY466" s="311">
        <f>SUMIF(Recibos!$D$4:$D$7493,Cobranza!$B466,Recibos!K$4:K$7493)</f>
        <v>300</v>
      </c>
      <c r="AZ466" s="311">
        <f>SUMIF(Recibos!$D$4:$D$7493,Cobranza!$B466,Recibos!L$4:L$7493)</f>
        <v>300</v>
      </c>
      <c r="BA466" s="311">
        <f>SUMIF(Recibos!$D$4:$D$7493,Cobranza!$B466,Recibos!M$4:M$7493)</f>
        <v>300</v>
      </c>
      <c r="BB466" s="311">
        <f>SUMIF(Recibos!$D$4:$D$7493,Cobranza!$B466,Recibos!N$4:N$7493)</f>
        <v>300</v>
      </c>
      <c r="BC466" s="311">
        <f>SUMIF(Recibos!$D$4:$D$7493,Cobranza!$B466,Recibos!O$4:O$7493)</f>
        <v>300</v>
      </c>
      <c r="BD466" s="311">
        <f>SUMIF(Recibos!$D$4:$D$7493,Cobranza!$B466,Recibos!P$4:P$7493)</f>
        <v>300</v>
      </c>
      <c r="BE466" s="311">
        <f>SUMIF(Recibos!$D$4:$D$7493,Cobranza!$B466,Recibos!Q$4:Q$7493)</f>
        <v>300</v>
      </c>
      <c r="BF466" s="311">
        <f>SUMIF(Recibos!$D$4:$D$7493,Cobranza!$B466,Recibos!R$4:R$7493)</f>
        <v>300</v>
      </c>
      <c r="BG466" s="311">
        <f>SUMIF(Recibos!$D$4:$D$7493,Cobranza!$B466,Recibos!S$4:S$7493)</f>
        <v>300</v>
      </c>
      <c r="BH466" s="311">
        <f>SUMIF(Recibos!$D$4:$D$7493,Cobranza!$B466,Recibos!T$4:T$7493)</f>
        <v>300</v>
      </c>
      <c r="BI466" s="311">
        <f>SUMIF(Recibos!$D$4:$D$7493,Cobranza!$B466,Recibos!U$4:U$7493)</f>
        <v>300</v>
      </c>
      <c r="BJ466" s="311">
        <f>SUMIF(Recibos!$D$4:$D$7493,Cobranza!$B466,Recibos!V$4:V$7493)</f>
        <v>300</v>
      </c>
      <c r="BK466" s="312">
        <f t="shared" si="57"/>
        <v>3600</v>
      </c>
      <c r="BL466" s="311">
        <f>SUMIF(Recibos!$D$4:$D$7493,Cobranza!$B466,Recibos!X$4:X$7493)</f>
        <v>300</v>
      </c>
      <c r="BM466" s="311">
        <f>SUMIF(Recibos!$D$4:$D$7493,Cobranza!$B466,Recibos!Y$4:Y$7493)</f>
        <v>300</v>
      </c>
      <c r="BN466" s="311">
        <f>SUMIF(Recibos!$D$4:$D$7493,Cobranza!$B466,Recibos!Z$4:Z$7493)</f>
        <v>300</v>
      </c>
      <c r="BO466" s="311">
        <f>SUMIF(Recibos!$D$4:$D$7493,Cobranza!$B466,Recibos!AA$4:AA$7493)</f>
        <v>300</v>
      </c>
      <c r="BP466" s="311">
        <f>SUMIF(Recibos!$D$4:$D$7493,Cobranza!$B466,Recibos!AB$4:AB$7493)</f>
        <v>300</v>
      </c>
      <c r="BQ466" s="311">
        <f>SUMIF(Recibos!$D$4:$D$7493,Cobranza!$B466,Recibos!AC$4:AC$7493)</f>
        <v>300</v>
      </c>
      <c r="BR466" s="311">
        <f>SUMIF(Recibos!$D$4:$D$7493,Cobranza!$B466,Recibos!AD$4:AD$7493)</f>
        <v>300</v>
      </c>
      <c r="BS466" s="311">
        <f>SUMIF(Recibos!$D$4:$D$7493,Cobranza!$B466,Recibos!AE$4:AE$7493)</f>
        <v>300</v>
      </c>
      <c r="BT466" s="311">
        <f>SUMIF(Recibos!$D$4:$D$7493,Cobranza!$B466,Recibos!AF$4:AF$7493)</f>
        <v>300</v>
      </c>
      <c r="BU466" s="311">
        <f>SUMIF(Recibos!$D$4:$D$7493,Cobranza!$B466,Recibos!AG$4:AG$7493)</f>
        <v>300</v>
      </c>
      <c r="BV466" s="311">
        <f>SUMIF(Recibos!$D$4:$D$7493,Cobranza!$B466,Recibos!AH$4:AH$7493)</f>
        <v>300</v>
      </c>
      <c r="BW466" s="311">
        <f>SUMIF(Recibos!$D$4:$D$7493,Cobranza!$B466,Recibos!AI$4:AI$7493)</f>
        <v>300</v>
      </c>
      <c r="BX466" s="312">
        <f t="shared" si="58"/>
        <v>3600</v>
      </c>
      <c r="BY466" s="311">
        <f>SUMIF(Recibos!$D$4:$D$7493,Cobranza!$B466,Recibos!AK$4:AK$7493)</f>
        <v>300</v>
      </c>
      <c r="BZ466" s="311">
        <f>SUMIF(Recibos!$D$4:$D$7493,Cobranza!$B466,Recibos!AL$4:AL$7493)</f>
        <v>300</v>
      </c>
      <c r="CA466" s="311">
        <f>SUMIF(Recibos!$D$4:$D$7493,Cobranza!$B466,Recibos!AM$4:AM$7493)</f>
        <v>300</v>
      </c>
      <c r="CB466" s="311">
        <f>SUMIF(Recibos!$D$4:$D$7493,Cobranza!$B466,Recibos!AN$4:AN$7493)</f>
        <v>300</v>
      </c>
      <c r="CC466" s="311">
        <f>SUMIF(Recibos!$D$4:$D$7493,Cobranza!$B466,Recibos!AO$4:AO$7493)</f>
        <v>300</v>
      </c>
      <c r="CD466" s="311">
        <f>SUMIF(Recibos!$D$4:$D$7493,Cobranza!$B466,Recibos!AP$4:AP$7493)</f>
        <v>300</v>
      </c>
      <c r="CE466" s="311">
        <f>SUMIF(Recibos!$D$4:$D$7493,Cobranza!$B466,Recibos!AQ$4:AQ$7493)</f>
        <v>300</v>
      </c>
      <c r="CF466" s="311">
        <f>SUMIF(Recibos!$D$4:$D$7493,Cobranza!$B466,Recibos!AR$4:AR$7493)</f>
        <v>300</v>
      </c>
      <c r="CG466" s="311">
        <f>SUMIF(Recibos!$D$4:$D$7493,Cobranza!$B466,Recibos!AS$4:AS$7493)</f>
        <v>300</v>
      </c>
      <c r="CH466" s="311">
        <f>SUMIF(Recibos!$D$4:$D$7493,Cobranza!$B466,Recibos!AT$4:AT$7493)</f>
        <v>300</v>
      </c>
      <c r="CI466" s="311">
        <f>SUMIF(Recibos!$D$4:$D$7493,Cobranza!$B466,Recibos!AU$4:AU$7493)</f>
        <v>0</v>
      </c>
      <c r="CJ466" s="311">
        <f>SUMIF(Recibos!$D$4:$D$7493,Cobranza!$B466,Recibos!AV$4:AV$7493)</f>
        <v>0</v>
      </c>
      <c r="CK466" s="312">
        <f t="shared" si="59"/>
        <v>3000</v>
      </c>
    </row>
    <row r="467" spans="2:89" x14ac:dyDescent="0.2">
      <c r="B467" s="45" t="s">
        <v>274</v>
      </c>
      <c r="C467" s="45" t="s">
        <v>275</v>
      </c>
      <c r="D467" s="45" t="s">
        <v>276</v>
      </c>
      <c r="E467" s="46">
        <v>0</v>
      </c>
      <c r="F467" s="46">
        <v>0</v>
      </c>
      <c r="G467" s="46">
        <v>0</v>
      </c>
      <c r="H467" s="46">
        <v>150</v>
      </c>
      <c r="I467" s="46">
        <v>150</v>
      </c>
      <c r="J467" s="46">
        <v>150</v>
      </c>
      <c r="K467" s="47">
        <f t="shared" si="60"/>
        <v>450</v>
      </c>
      <c r="L467" s="46">
        <v>150</v>
      </c>
      <c r="M467" s="46">
        <v>150</v>
      </c>
      <c r="N467" s="46">
        <v>150</v>
      </c>
      <c r="O467" s="46">
        <v>150</v>
      </c>
      <c r="P467" s="46">
        <v>150</v>
      </c>
      <c r="Q467" s="46">
        <v>150</v>
      </c>
      <c r="R467" s="46">
        <v>150</v>
      </c>
      <c r="S467" s="46">
        <v>150</v>
      </c>
      <c r="T467" s="46">
        <v>150</v>
      </c>
      <c r="U467" s="46">
        <v>200</v>
      </c>
      <c r="V467" s="46">
        <v>200</v>
      </c>
      <c r="W467" s="46">
        <v>200</v>
      </c>
      <c r="X467" s="47">
        <f t="shared" si="61"/>
        <v>1950</v>
      </c>
      <c r="Y467" s="46">
        <v>200</v>
      </c>
      <c r="Z467" s="46">
        <v>200</v>
      </c>
      <c r="AA467" s="46">
        <v>200</v>
      </c>
      <c r="AB467" s="46">
        <v>200</v>
      </c>
      <c r="AC467" s="46">
        <v>200</v>
      </c>
      <c r="AD467" s="46">
        <v>200</v>
      </c>
      <c r="AE467" s="46">
        <v>200</v>
      </c>
      <c r="AF467" s="46">
        <v>200</v>
      </c>
      <c r="AG467" s="46">
        <v>200</v>
      </c>
      <c r="AH467" s="46">
        <v>200</v>
      </c>
      <c r="AI467" s="46">
        <v>200</v>
      </c>
      <c r="AJ467" s="46">
        <v>200</v>
      </c>
      <c r="AK467" s="47">
        <f t="shared" si="62"/>
        <v>2400</v>
      </c>
      <c r="AL467" s="46">
        <v>200</v>
      </c>
      <c r="AM467" s="46">
        <v>200</v>
      </c>
      <c r="AN467" s="46">
        <v>200</v>
      </c>
      <c r="AO467" s="46">
        <v>200</v>
      </c>
      <c r="AP467" s="46">
        <v>200</v>
      </c>
      <c r="AQ467" s="46">
        <v>200</v>
      </c>
      <c r="AR467" s="46">
        <v>200</v>
      </c>
      <c r="AS467" s="46">
        <v>200</v>
      </c>
      <c r="AT467" s="46">
        <v>200</v>
      </c>
      <c r="AU467" s="46">
        <v>200</v>
      </c>
      <c r="AV467" s="46">
        <v>200</v>
      </c>
      <c r="AW467" s="46">
        <v>200</v>
      </c>
      <c r="AX467" s="47">
        <f t="shared" si="63"/>
        <v>2400</v>
      </c>
      <c r="AY467" s="313">
        <f>SUMIF(Recibos!$D$4:$D$7493,Cobranza!$B467,Recibos!K$4:K$7493)</f>
        <v>200</v>
      </c>
      <c r="AZ467" s="313">
        <f>SUMIF(Recibos!$D$4:$D$7493,Cobranza!$B467,Recibos!L$4:L$7493)</f>
        <v>200</v>
      </c>
      <c r="BA467" s="313">
        <f>SUMIF(Recibos!$D$4:$D$7493,Cobranza!$B467,Recibos!M$4:M$7493)</f>
        <v>200</v>
      </c>
      <c r="BB467" s="313">
        <f>SUMIF(Recibos!$D$4:$D$7493,Cobranza!$B467,Recibos!N$4:N$7493)</f>
        <v>200</v>
      </c>
      <c r="BC467" s="313">
        <f>SUMIF(Recibos!$D$4:$D$7493,Cobranza!$B467,Recibos!O$4:O$7493)</f>
        <v>200</v>
      </c>
      <c r="BD467" s="313">
        <f>SUMIF(Recibos!$D$4:$D$7493,Cobranza!$B467,Recibos!P$4:P$7493)</f>
        <v>200</v>
      </c>
      <c r="BE467" s="313">
        <f>SUMIF(Recibos!$D$4:$D$7493,Cobranza!$B467,Recibos!Q$4:Q$7493)</f>
        <v>200</v>
      </c>
      <c r="BF467" s="313">
        <f>SUMIF(Recibos!$D$4:$D$7493,Cobranza!$B467,Recibos!R$4:R$7493)</f>
        <v>200</v>
      </c>
      <c r="BG467" s="313">
        <f>SUMIF(Recibos!$D$4:$D$7493,Cobranza!$B467,Recibos!S$4:S$7493)</f>
        <v>200</v>
      </c>
      <c r="BH467" s="313">
        <f>SUMIF(Recibos!$D$4:$D$7493,Cobranza!$B467,Recibos!T$4:T$7493)</f>
        <v>200</v>
      </c>
      <c r="BI467" s="313">
        <f>SUMIF(Recibos!$D$4:$D$7493,Cobranza!$B467,Recibos!U$4:U$7493)</f>
        <v>200</v>
      </c>
      <c r="BJ467" s="313">
        <f>SUMIF(Recibos!$D$4:$D$7493,Cobranza!$B467,Recibos!V$4:V$7493)</f>
        <v>200</v>
      </c>
      <c r="BK467" s="314">
        <f t="shared" si="57"/>
        <v>2400</v>
      </c>
      <c r="BL467" s="313">
        <f>SUMIF(Recibos!$D$4:$D$7493,Cobranza!$B467,Recibos!X$4:X$7493)</f>
        <v>200</v>
      </c>
      <c r="BM467" s="313">
        <f>SUMIF(Recibos!$D$4:$D$7493,Cobranza!$B467,Recibos!Y$4:Y$7493)</f>
        <v>200</v>
      </c>
      <c r="BN467" s="313">
        <f>SUMIF(Recibos!$D$4:$D$7493,Cobranza!$B467,Recibos!Z$4:Z$7493)</f>
        <v>200</v>
      </c>
      <c r="BO467" s="313">
        <f>SUMIF(Recibos!$D$4:$D$7493,Cobranza!$B467,Recibos!AA$4:AA$7493)</f>
        <v>200</v>
      </c>
      <c r="BP467" s="313">
        <f>SUMIF(Recibos!$D$4:$D$7493,Cobranza!$B467,Recibos!AB$4:AB$7493)</f>
        <v>200</v>
      </c>
      <c r="BQ467" s="313">
        <f>SUMIF(Recibos!$D$4:$D$7493,Cobranza!$B467,Recibos!AC$4:AC$7493)</f>
        <v>200</v>
      </c>
      <c r="BR467" s="313">
        <f>SUMIF(Recibos!$D$4:$D$7493,Cobranza!$B467,Recibos!AD$4:AD$7493)</f>
        <v>200</v>
      </c>
      <c r="BS467" s="313">
        <f>SUMIF(Recibos!$D$4:$D$7493,Cobranza!$B467,Recibos!AE$4:AE$7493)</f>
        <v>200</v>
      </c>
      <c r="BT467" s="313">
        <f>SUMIF(Recibos!$D$4:$D$7493,Cobranza!$B467,Recibos!AF$4:AF$7493)</f>
        <v>200</v>
      </c>
      <c r="BU467" s="313">
        <f>SUMIF(Recibos!$D$4:$D$7493,Cobranza!$B467,Recibos!AG$4:AG$7493)</f>
        <v>200</v>
      </c>
      <c r="BV467" s="313">
        <f>SUMIF(Recibos!$D$4:$D$7493,Cobranza!$B467,Recibos!AH$4:AH$7493)</f>
        <v>200</v>
      </c>
      <c r="BW467" s="313">
        <f>SUMIF(Recibos!$D$4:$D$7493,Cobranza!$B467,Recibos!AI$4:AI$7493)</f>
        <v>200</v>
      </c>
      <c r="BX467" s="314">
        <f t="shared" si="58"/>
        <v>2400</v>
      </c>
      <c r="BY467" s="313">
        <f>SUMIF(Recibos!$D$4:$D$7493,Cobranza!$B467,Recibos!AK$4:AK$7493)</f>
        <v>200</v>
      </c>
      <c r="BZ467" s="313">
        <f>SUMIF(Recibos!$D$4:$D$7493,Cobranza!$B467,Recibos!AL$4:AL$7493)</f>
        <v>200</v>
      </c>
      <c r="CA467" s="313">
        <f>SUMIF(Recibos!$D$4:$D$7493,Cobranza!$B467,Recibos!AM$4:AM$7493)</f>
        <v>200</v>
      </c>
      <c r="CB467" s="313">
        <f>SUMIF(Recibos!$D$4:$D$7493,Cobranza!$B467,Recibos!AN$4:AN$7493)</f>
        <v>200</v>
      </c>
      <c r="CC467" s="313">
        <f>SUMIF(Recibos!$D$4:$D$7493,Cobranza!$B467,Recibos!AO$4:AO$7493)</f>
        <v>200</v>
      </c>
      <c r="CD467" s="313">
        <f>SUMIF(Recibos!$D$4:$D$7493,Cobranza!$B467,Recibos!AP$4:AP$7493)</f>
        <v>200</v>
      </c>
      <c r="CE467" s="313">
        <f>SUMIF(Recibos!$D$4:$D$7493,Cobranza!$B467,Recibos!AQ$4:AQ$7493)</f>
        <v>200</v>
      </c>
      <c r="CF467" s="313">
        <f>SUMIF(Recibos!$D$4:$D$7493,Cobranza!$B467,Recibos!AR$4:AR$7493)</f>
        <v>200</v>
      </c>
      <c r="CG467" s="313">
        <f>SUMIF(Recibos!$D$4:$D$7493,Cobranza!$B467,Recibos!AS$4:AS$7493)</f>
        <v>200</v>
      </c>
      <c r="CH467" s="313">
        <f>SUMIF(Recibos!$D$4:$D$7493,Cobranza!$B467,Recibos!AT$4:AT$7493)</f>
        <v>200</v>
      </c>
      <c r="CI467" s="313">
        <f>SUMIF(Recibos!$D$4:$D$7493,Cobranza!$B467,Recibos!AU$4:AU$7493)</f>
        <v>200</v>
      </c>
      <c r="CJ467" s="313">
        <f>SUMIF(Recibos!$D$4:$D$7493,Cobranza!$B467,Recibos!AV$4:AV$7493)</f>
        <v>200</v>
      </c>
      <c r="CK467" s="314">
        <f t="shared" si="59"/>
        <v>2400</v>
      </c>
    </row>
    <row r="468" spans="2:89" x14ac:dyDescent="0.2">
      <c r="B468" s="42" t="s">
        <v>820</v>
      </c>
      <c r="C468" s="42" t="s">
        <v>821</v>
      </c>
      <c r="D468" s="42" t="s">
        <v>822</v>
      </c>
      <c r="E468" s="43">
        <v>0</v>
      </c>
      <c r="F468" s="43">
        <v>0</v>
      </c>
      <c r="G468" s="43">
        <v>0</v>
      </c>
      <c r="H468" s="43">
        <v>0</v>
      </c>
      <c r="I468" s="43">
        <v>0</v>
      </c>
      <c r="J468" s="43">
        <v>300</v>
      </c>
      <c r="K468" s="44">
        <f t="shared" si="60"/>
        <v>300</v>
      </c>
      <c r="L468" s="43">
        <v>300</v>
      </c>
      <c r="M468" s="43">
        <v>0</v>
      </c>
      <c r="N468" s="43">
        <v>0</v>
      </c>
      <c r="O468" s="43">
        <v>0</v>
      </c>
      <c r="P468" s="43">
        <v>300</v>
      </c>
      <c r="Q468" s="43">
        <v>300</v>
      </c>
      <c r="R468" s="43">
        <v>300</v>
      </c>
      <c r="S468" s="43">
        <v>0</v>
      </c>
      <c r="T468" s="43">
        <v>0</v>
      </c>
      <c r="U468" s="43">
        <v>0</v>
      </c>
      <c r="V468" s="43">
        <v>300</v>
      </c>
      <c r="W468" s="43">
        <v>300</v>
      </c>
      <c r="X468" s="44">
        <f t="shared" si="61"/>
        <v>1800</v>
      </c>
      <c r="Y468" s="43">
        <v>300</v>
      </c>
      <c r="Z468" s="43">
        <v>300</v>
      </c>
      <c r="AA468" s="43">
        <v>0</v>
      </c>
      <c r="AB468" s="43">
        <v>0</v>
      </c>
      <c r="AC468" s="43">
        <v>0</v>
      </c>
      <c r="AD468" s="43">
        <v>0</v>
      </c>
      <c r="AE468" s="43">
        <v>0</v>
      </c>
      <c r="AF468" s="43">
        <v>0</v>
      </c>
      <c r="AG468" s="43">
        <v>0</v>
      </c>
      <c r="AH468" s="43">
        <v>0</v>
      </c>
      <c r="AI468" s="43">
        <v>0</v>
      </c>
      <c r="AJ468" s="43">
        <v>0</v>
      </c>
      <c r="AK468" s="44">
        <f t="shared" si="62"/>
        <v>600</v>
      </c>
      <c r="AL468" s="43">
        <v>400</v>
      </c>
      <c r="AM468" s="43">
        <v>400</v>
      </c>
      <c r="AN468" s="43">
        <v>400</v>
      </c>
      <c r="AO468" s="43">
        <v>400</v>
      </c>
      <c r="AP468" s="43">
        <v>400</v>
      </c>
      <c r="AQ468" s="43">
        <v>400</v>
      </c>
      <c r="AR468" s="43">
        <v>400</v>
      </c>
      <c r="AS468" s="43">
        <v>400</v>
      </c>
      <c r="AT468" s="43">
        <v>300</v>
      </c>
      <c r="AU468" s="43">
        <v>300</v>
      </c>
      <c r="AV468" s="43">
        <v>300</v>
      </c>
      <c r="AW468" s="43">
        <v>300</v>
      </c>
      <c r="AX468" s="44">
        <f t="shared" si="63"/>
        <v>4400</v>
      </c>
      <c r="AY468" s="311">
        <f>SUMIF(Recibos!$D$4:$D$7493,Cobranza!$B468,Recibos!K$4:K$7493)</f>
        <v>300</v>
      </c>
      <c r="AZ468" s="311">
        <f>SUMIF(Recibos!$D$4:$D$7493,Cobranza!$B468,Recibos!L$4:L$7493)</f>
        <v>300</v>
      </c>
      <c r="BA468" s="311">
        <f>SUMIF(Recibos!$D$4:$D$7493,Cobranza!$B468,Recibos!M$4:M$7493)</f>
        <v>300</v>
      </c>
      <c r="BB468" s="311">
        <f>SUMIF(Recibos!$D$4:$D$7493,Cobranza!$B468,Recibos!N$4:N$7493)</f>
        <v>300</v>
      </c>
      <c r="BC468" s="311">
        <f>SUMIF(Recibos!$D$4:$D$7493,Cobranza!$B468,Recibos!O$4:O$7493)</f>
        <v>300</v>
      </c>
      <c r="BD468" s="311">
        <f>SUMIF(Recibos!$D$4:$D$7493,Cobranza!$B468,Recibos!P$4:P$7493)</f>
        <v>300</v>
      </c>
      <c r="BE468" s="311">
        <f>SUMIF(Recibos!$D$4:$D$7493,Cobranza!$B468,Recibos!Q$4:Q$7493)</f>
        <v>300</v>
      </c>
      <c r="BF468" s="311">
        <f>SUMIF(Recibos!$D$4:$D$7493,Cobranza!$B468,Recibos!R$4:R$7493)</f>
        <v>300</v>
      </c>
      <c r="BG468" s="311">
        <f>SUMIF(Recibos!$D$4:$D$7493,Cobranza!$B468,Recibos!S$4:S$7493)</f>
        <v>300</v>
      </c>
      <c r="BH468" s="311">
        <f>SUMIF(Recibos!$D$4:$D$7493,Cobranza!$B468,Recibos!T$4:T$7493)</f>
        <v>300</v>
      </c>
      <c r="BI468" s="311">
        <f>SUMIF(Recibos!$D$4:$D$7493,Cobranza!$B468,Recibos!U$4:U$7493)</f>
        <v>300</v>
      </c>
      <c r="BJ468" s="311">
        <f>SUMIF(Recibos!$D$4:$D$7493,Cobranza!$B468,Recibos!V$4:V$7493)</f>
        <v>300</v>
      </c>
      <c r="BK468" s="312">
        <f t="shared" si="57"/>
        <v>3600</v>
      </c>
      <c r="BL468" s="311">
        <f>SUMIF(Recibos!$D$4:$D$7493,Cobranza!$B468,Recibos!X$4:X$7493)</f>
        <v>300</v>
      </c>
      <c r="BM468" s="311">
        <f>SUMIF(Recibos!$D$4:$D$7493,Cobranza!$B468,Recibos!Y$4:Y$7493)</f>
        <v>300</v>
      </c>
      <c r="BN468" s="311">
        <f>SUMIF(Recibos!$D$4:$D$7493,Cobranza!$B468,Recibos!Z$4:Z$7493)</f>
        <v>300</v>
      </c>
      <c r="BO468" s="311">
        <f>SUMIF(Recibos!$D$4:$D$7493,Cobranza!$B468,Recibos!AA$4:AA$7493)</f>
        <v>300</v>
      </c>
      <c r="BP468" s="311">
        <f>SUMIF(Recibos!$D$4:$D$7493,Cobranza!$B468,Recibos!AB$4:AB$7493)</f>
        <v>300</v>
      </c>
      <c r="BQ468" s="311">
        <f>SUMIF(Recibos!$D$4:$D$7493,Cobranza!$B468,Recibos!AC$4:AC$7493)</f>
        <v>300</v>
      </c>
      <c r="BR468" s="311">
        <f>SUMIF(Recibos!$D$4:$D$7493,Cobranza!$B468,Recibos!AD$4:AD$7493)</f>
        <v>300</v>
      </c>
      <c r="BS468" s="311">
        <f>SUMIF(Recibos!$D$4:$D$7493,Cobranza!$B468,Recibos!AE$4:AE$7493)</f>
        <v>300</v>
      </c>
      <c r="BT468" s="311">
        <f>SUMIF(Recibos!$D$4:$D$7493,Cobranza!$B468,Recibos!AF$4:AF$7493)</f>
        <v>300</v>
      </c>
      <c r="BU468" s="311">
        <f>SUMIF(Recibos!$D$4:$D$7493,Cobranza!$B468,Recibos!AG$4:AG$7493)</f>
        <v>300</v>
      </c>
      <c r="BV468" s="311">
        <f>SUMIF(Recibos!$D$4:$D$7493,Cobranza!$B468,Recibos!AH$4:AH$7493)</f>
        <v>300</v>
      </c>
      <c r="BW468" s="311">
        <f>SUMIF(Recibos!$D$4:$D$7493,Cobranza!$B468,Recibos!AI$4:AI$7493)</f>
        <v>300</v>
      </c>
      <c r="BX468" s="312">
        <f t="shared" si="58"/>
        <v>3600</v>
      </c>
      <c r="BY468" s="311">
        <f>SUMIF(Recibos!$D$4:$D$7493,Cobranza!$B468,Recibos!AK$4:AK$7493)</f>
        <v>300</v>
      </c>
      <c r="BZ468" s="311">
        <f>SUMIF(Recibos!$D$4:$D$7493,Cobranza!$B468,Recibos!AL$4:AL$7493)</f>
        <v>300</v>
      </c>
      <c r="CA468" s="311">
        <f>SUMIF(Recibos!$D$4:$D$7493,Cobranza!$B468,Recibos!AM$4:AM$7493)</f>
        <v>300</v>
      </c>
      <c r="CB468" s="311">
        <f>SUMIF(Recibos!$D$4:$D$7493,Cobranza!$B468,Recibos!AN$4:AN$7493)</f>
        <v>300</v>
      </c>
      <c r="CC468" s="311">
        <f>SUMIF(Recibos!$D$4:$D$7493,Cobranza!$B468,Recibos!AO$4:AO$7493)</f>
        <v>300</v>
      </c>
      <c r="CD468" s="311">
        <f>SUMIF(Recibos!$D$4:$D$7493,Cobranza!$B468,Recibos!AP$4:AP$7493)</f>
        <v>300</v>
      </c>
      <c r="CE468" s="311">
        <f>SUMIF(Recibos!$D$4:$D$7493,Cobranza!$B468,Recibos!AQ$4:AQ$7493)</f>
        <v>300</v>
      </c>
      <c r="CF468" s="311">
        <f>SUMIF(Recibos!$D$4:$D$7493,Cobranza!$B468,Recibos!AR$4:AR$7493)</f>
        <v>300</v>
      </c>
      <c r="CG468" s="311">
        <f>SUMIF(Recibos!$D$4:$D$7493,Cobranza!$B468,Recibos!AS$4:AS$7493)</f>
        <v>300</v>
      </c>
      <c r="CH468" s="311">
        <f>SUMIF(Recibos!$D$4:$D$7493,Cobranza!$B468,Recibos!AT$4:AT$7493)</f>
        <v>300</v>
      </c>
      <c r="CI468" s="311">
        <f>SUMIF(Recibos!$D$4:$D$7493,Cobranza!$B468,Recibos!AU$4:AU$7493)</f>
        <v>0</v>
      </c>
      <c r="CJ468" s="311">
        <f>SUMIF(Recibos!$D$4:$D$7493,Cobranza!$B468,Recibos!AV$4:AV$7493)</f>
        <v>0</v>
      </c>
      <c r="CK468" s="312">
        <f t="shared" si="59"/>
        <v>3000</v>
      </c>
    </row>
    <row r="469" spans="2:89" x14ac:dyDescent="0.2">
      <c r="B469" s="45" t="s">
        <v>384</v>
      </c>
      <c r="C469" s="45" t="s">
        <v>385</v>
      </c>
      <c r="D469" s="45" t="s">
        <v>386</v>
      </c>
      <c r="E469" s="46">
        <v>0</v>
      </c>
      <c r="F469" s="46">
        <v>0</v>
      </c>
      <c r="G469" s="46">
        <v>0</v>
      </c>
      <c r="H469" s="46">
        <v>250</v>
      </c>
      <c r="I469" s="46">
        <v>250</v>
      </c>
      <c r="J469" s="46">
        <v>250</v>
      </c>
      <c r="K469" s="47">
        <f t="shared" si="60"/>
        <v>750</v>
      </c>
      <c r="L469" s="46">
        <v>250</v>
      </c>
      <c r="M469" s="46">
        <v>250</v>
      </c>
      <c r="N469" s="46">
        <v>250</v>
      </c>
      <c r="O469" s="46">
        <v>250</v>
      </c>
      <c r="P469" s="46">
        <v>250</v>
      </c>
      <c r="Q469" s="46">
        <v>250</v>
      </c>
      <c r="R469" s="46">
        <v>250</v>
      </c>
      <c r="S469" s="46">
        <v>250</v>
      </c>
      <c r="T469" s="46">
        <v>250</v>
      </c>
      <c r="U469" s="46">
        <v>350</v>
      </c>
      <c r="V469" s="46">
        <v>350</v>
      </c>
      <c r="W469" s="46">
        <v>350</v>
      </c>
      <c r="X469" s="47">
        <f t="shared" si="61"/>
        <v>3300</v>
      </c>
      <c r="Y469" s="46">
        <v>350</v>
      </c>
      <c r="Z469" s="46">
        <v>350</v>
      </c>
      <c r="AA469" s="46">
        <v>350</v>
      </c>
      <c r="AB469" s="46">
        <v>350</v>
      </c>
      <c r="AC469" s="46">
        <v>350</v>
      </c>
      <c r="AD469" s="46">
        <v>350</v>
      </c>
      <c r="AE469" s="46">
        <v>0</v>
      </c>
      <c r="AF469" s="46">
        <v>700</v>
      </c>
      <c r="AG469" s="46">
        <v>350</v>
      </c>
      <c r="AH469" s="46">
        <v>350</v>
      </c>
      <c r="AI469" s="46">
        <v>350</v>
      </c>
      <c r="AJ469" s="46">
        <v>350</v>
      </c>
      <c r="AK469" s="47">
        <f t="shared" si="62"/>
        <v>4200</v>
      </c>
      <c r="AL469" s="46">
        <v>350</v>
      </c>
      <c r="AM469" s="46">
        <v>350</v>
      </c>
      <c r="AN469" s="46">
        <v>350</v>
      </c>
      <c r="AO469" s="46">
        <v>350</v>
      </c>
      <c r="AP469" s="46">
        <v>350</v>
      </c>
      <c r="AQ469" s="46">
        <v>350</v>
      </c>
      <c r="AR469" s="46">
        <v>350</v>
      </c>
      <c r="AS469" s="46">
        <v>350</v>
      </c>
      <c r="AT469" s="46">
        <v>350</v>
      </c>
      <c r="AU469" s="46">
        <v>350</v>
      </c>
      <c r="AV469" s="46">
        <v>350</v>
      </c>
      <c r="AW469" s="46">
        <v>350</v>
      </c>
      <c r="AX469" s="47">
        <f t="shared" si="63"/>
        <v>4200</v>
      </c>
      <c r="AY469" s="313">
        <f>SUMIF(Recibos!$D$4:$D$7493,Cobranza!$B469,Recibos!K$4:K$7493)</f>
        <v>350</v>
      </c>
      <c r="AZ469" s="313">
        <f>SUMIF(Recibos!$D$4:$D$7493,Cobranza!$B469,Recibos!L$4:L$7493)</f>
        <v>350</v>
      </c>
      <c r="BA469" s="313">
        <f>SUMIF(Recibos!$D$4:$D$7493,Cobranza!$B469,Recibos!M$4:M$7493)</f>
        <v>400</v>
      </c>
      <c r="BB469" s="313">
        <f>SUMIF(Recibos!$D$4:$D$7493,Cobranza!$B469,Recibos!N$4:N$7493)</f>
        <v>350</v>
      </c>
      <c r="BC469" s="313">
        <f>SUMIF(Recibos!$D$4:$D$7493,Cobranza!$B469,Recibos!O$4:O$7493)</f>
        <v>350</v>
      </c>
      <c r="BD469" s="313">
        <f>SUMIF(Recibos!$D$4:$D$7493,Cobranza!$B469,Recibos!P$4:P$7493)</f>
        <v>350</v>
      </c>
      <c r="BE469" s="313">
        <f>SUMIF(Recibos!$D$4:$D$7493,Cobranza!$B469,Recibos!Q$4:Q$7493)</f>
        <v>350</v>
      </c>
      <c r="BF469" s="313">
        <f>SUMIF(Recibos!$D$4:$D$7493,Cobranza!$B469,Recibos!R$4:R$7493)</f>
        <v>350</v>
      </c>
      <c r="BG469" s="313">
        <f>SUMIF(Recibos!$D$4:$D$7493,Cobranza!$B469,Recibos!S$4:S$7493)</f>
        <v>300</v>
      </c>
      <c r="BH469" s="313">
        <f>SUMIF(Recibos!$D$4:$D$7493,Cobranza!$B469,Recibos!T$4:T$7493)</f>
        <v>300</v>
      </c>
      <c r="BI469" s="313">
        <f>SUMIF(Recibos!$D$4:$D$7493,Cobranza!$B469,Recibos!U$4:U$7493)</f>
        <v>300</v>
      </c>
      <c r="BJ469" s="313">
        <f>SUMIF(Recibos!$D$4:$D$7493,Cobranza!$B469,Recibos!V$4:V$7493)</f>
        <v>300</v>
      </c>
      <c r="BK469" s="314">
        <f t="shared" si="57"/>
        <v>4050</v>
      </c>
      <c r="BL469" s="313">
        <f>SUMIF(Recibos!$D$4:$D$7493,Cobranza!$B469,Recibos!X$4:X$7493)</f>
        <v>300</v>
      </c>
      <c r="BM469" s="313">
        <f>SUMIF(Recibos!$D$4:$D$7493,Cobranza!$B469,Recibos!Y$4:Y$7493)</f>
        <v>300</v>
      </c>
      <c r="BN469" s="313">
        <f>SUMIF(Recibos!$D$4:$D$7493,Cobranza!$B469,Recibos!Z$4:Z$7493)</f>
        <v>300</v>
      </c>
      <c r="BO469" s="313">
        <f>SUMIF(Recibos!$D$4:$D$7493,Cobranza!$B469,Recibos!AA$4:AA$7493)</f>
        <v>300</v>
      </c>
      <c r="BP469" s="313">
        <f>SUMIF(Recibos!$D$4:$D$7493,Cobranza!$B469,Recibos!AB$4:AB$7493)</f>
        <v>300</v>
      </c>
      <c r="BQ469" s="313">
        <f>SUMIF(Recibos!$D$4:$D$7493,Cobranza!$B469,Recibos!AC$4:AC$7493)</f>
        <v>300</v>
      </c>
      <c r="BR469" s="313">
        <f>SUMIF(Recibos!$D$4:$D$7493,Cobranza!$B469,Recibos!AD$4:AD$7493)</f>
        <v>300</v>
      </c>
      <c r="BS469" s="313">
        <f>SUMIF(Recibos!$D$4:$D$7493,Cobranza!$B469,Recibos!AE$4:AE$7493)</f>
        <v>300</v>
      </c>
      <c r="BT469" s="313">
        <f>SUMIF(Recibos!$D$4:$D$7493,Cobranza!$B469,Recibos!AF$4:AF$7493)</f>
        <v>300</v>
      </c>
      <c r="BU469" s="313">
        <f>SUMIF(Recibos!$D$4:$D$7493,Cobranza!$B469,Recibos!AG$4:AG$7493)</f>
        <v>300</v>
      </c>
      <c r="BV469" s="313">
        <f>SUMIF(Recibos!$D$4:$D$7493,Cobranza!$B469,Recibos!AH$4:AH$7493)</f>
        <v>300</v>
      </c>
      <c r="BW469" s="313">
        <f>SUMIF(Recibos!$D$4:$D$7493,Cobranza!$B469,Recibos!AI$4:AI$7493)</f>
        <v>300</v>
      </c>
      <c r="BX469" s="314">
        <f t="shared" si="58"/>
        <v>3600</v>
      </c>
      <c r="BY469" s="313">
        <f>SUMIF(Recibos!$D$4:$D$7493,Cobranza!$B469,Recibos!AK$4:AK$7493)</f>
        <v>300</v>
      </c>
      <c r="BZ469" s="313">
        <f>SUMIF(Recibos!$D$4:$D$7493,Cobranza!$B469,Recibos!AL$4:AL$7493)</f>
        <v>300</v>
      </c>
      <c r="CA469" s="313">
        <f>SUMIF(Recibos!$D$4:$D$7493,Cobranza!$B469,Recibos!AM$4:AM$7493)</f>
        <v>300</v>
      </c>
      <c r="CB469" s="313">
        <f>SUMIF(Recibos!$D$4:$D$7493,Cobranza!$B469,Recibos!AN$4:AN$7493)</f>
        <v>300</v>
      </c>
      <c r="CC469" s="313">
        <f>SUMIF(Recibos!$D$4:$D$7493,Cobranza!$B469,Recibos!AO$4:AO$7493)</f>
        <v>300</v>
      </c>
      <c r="CD469" s="313">
        <f>SUMIF(Recibos!$D$4:$D$7493,Cobranza!$B469,Recibos!AP$4:AP$7493)</f>
        <v>300</v>
      </c>
      <c r="CE469" s="313">
        <f>SUMIF(Recibos!$D$4:$D$7493,Cobranza!$B469,Recibos!AQ$4:AQ$7493)</f>
        <v>300</v>
      </c>
      <c r="CF469" s="313">
        <f>SUMIF(Recibos!$D$4:$D$7493,Cobranza!$B469,Recibos!AR$4:AR$7493)</f>
        <v>300</v>
      </c>
      <c r="CG469" s="313">
        <f>SUMIF(Recibos!$D$4:$D$7493,Cobranza!$B469,Recibos!AS$4:AS$7493)</f>
        <v>300</v>
      </c>
      <c r="CH469" s="313">
        <f>SUMIF(Recibos!$D$4:$D$7493,Cobranza!$B469,Recibos!AT$4:AT$7493)</f>
        <v>300</v>
      </c>
      <c r="CI469" s="313">
        <f>SUMIF(Recibos!$D$4:$D$7493,Cobranza!$B469,Recibos!AU$4:AU$7493)</f>
        <v>0</v>
      </c>
      <c r="CJ469" s="313">
        <f>SUMIF(Recibos!$D$4:$D$7493,Cobranza!$B469,Recibos!AV$4:AV$7493)</f>
        <v>0</v>
      </c>
      <c r="CK469" s="314">
        <f t="shared" si="59"/>
        <v>3000</v>
      </c>
    </row>
  </sheetData>
  <sheetProtection password="8CB2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C7497"/>
  <sheetViews>
    <sheetView showGridLines="0" topLeftCell="AQ1" zoomScaleNormal="100" workbookViewId="0">
      <pane ySplit="3" topLeftCell="A7465" activePane="bottomLeft" state="frozen"/>
      <selection pane="bottomLeft" activeCell="AQ7475" sqref="AQ7475"/>
    </sheetView>
  </sheetViews>
  <sheetFormatPr baseColWidth="10" defaultRowHeight="12.75" x14ac:dyDescent="0.2"/>
  <cols>
    <col min="1" max="1" width="6" bestFit="1" customWidth="1"/>
    <col min="2" max="2" width="19.140625" customWidth="1"/>
    <col min="3" max="3" width="8.140625" bestFit="1" customWidth="1"/>
    <col min="4" max="4" width="9.42578125" customWidth="1"/>
    <col min="5" max="5" width="25.28515625" customWidth="1"/>
    <col min="6" max="6" width="27.85546875" bestFit="1" customWidth="1"/>
    <col min="7" max="7" width="6.140625" bestFit="1" customWidth="1"/>
    <col min="8" max="8" width="14.5703125" bestFit="1" customWidth="1"/>
    <col min="9" max="9" width="10.5703125" customWidth="1"/>
    <col min="10" max="10" width="8.7109375" customWidth="1"/>
    <col min="11" max="22" width="8.7109375" hidden="1" customWidth="1"/>
    <col min="23" max="23" width="11.7109375" bestFit="1" customWidth="1"/>
    <col min="24" max="49" width="8.7109375" customWidth="1"/>
    <col min="50" max="50" width="55.5703125" bestFit="1" customWidth="1"/>
  </cols>
  <sheetData>
    <row r="2" spans="1:50" x14ac:dyDescent="0.2">
      <c r="W2" s="1">
        <f>SUM(W4:W2560)</f>
        <v>1087600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50" ht="22.5" x14ac:dyDescent="0.2">
      <c r="A3" s="2"/>
      <c r="B3" s="3" t="s">
        <v>1</v>
      </c>
      <c r="C3" s="3" t="s">
        <v>2</v>
      </c>
      <c r="D3" s="3" t="s">
        <v>3</v>
      </c>
      <c r="E3" s="337" t="s">
        <v>4</v>
      </c>
      <c r="F3" s="337" t="s">
        <v>5</v>
      </c>
      <c r="G3" s="3" t="s">
        <v>6</v>
      </c>
      <c r="H3" s="3" t="s">
        <v>7</v>
      </c>
      <c r="I3" s="3" t="s">
        <v>8</v>
      </c>
      <c r="J3" s="337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338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338" t="s">
        <v>35</v>
      </c>
      <c r="AK3" s="4" t="s">
        <v>4607</v>
      </c>
      <c r="AL3" s="4" t="s">
        <v>4608</v>
      </c>
      <c r="AM3" s="4" t="s">
        <v>4609</v>
      </c>
      <c r="AN3" s="4" t="s">
        <v>4610</v>
      </c>
      <c r="AO3" s="4" t="s">
        <v>4611</v>
      </c>
      <c r="AP3" s="4" t="s">
        <v>4612</v>
      </c>
      <c r="AQ3" s="4" t="s">
        <v>4613</v>
      </c>
      <c r="AR3" s="4" t="s">
        <v>4614</v>
      </c>
      <c r="AS3" s="4" t="s">
        <v>4615</v>
      </c>
      <c r="AT3" s="4" t="s">
        <v>4616</v>
      </c>
      <c r="AU3" s="4" t="s">
        <v>4617</v>
      </c>
      <c r="AV3" s="4" t="s">
        <v>4618</v>
      </c>
      <c r="AW3" s="338" t="s">
        <v>4619</v>
      </c>
      <c r="AX3" s="6" t="s">
        <v>36</v>
      </c>
    </row>
    <row r="4" spans="1:50" x14ac:dyDescent="0.2">
      <c r="B4" s="7" t="s">
        <v>37</v>
      </c>
      <c r="C4" s="8">
        <v>9806</v>
      </c>
      <c r="D4" s="9" t="s">
        <v>38</v>
      </c>
      <c r="E4" s="10" t="s">
        <v>39</v>
      </c>
      <c r="F4" s="10" t="s">
        <v>40</v>
      </c>
      <c r="G4" s="8">
        <v>1</v>
      </c>
      <c r="H4" s="11">
        <v>900</v>
      </c>
      <c r="I4" s="12">
        <v>42204</v>
      </c>
      <c r="J4" s="13">
        <f>IF(G4=1,SUM(W4,-H4),0)</f>
        <v>0</v>
      </c>
      <c r="K4" s="14">
        <v>150</v>
      </c>
      <c r="L4" s="14">
        <v>150</v>
      </c>
      <c r="M4" s="14">
        <v>150</v>
      </c>
      <c r="N4" s="14">
        <v>150</v>
      </c>
      <c r="O4" s="14">
        <v>150</v>
      </c>
      <c r="P4" s="14">
        <v>150</v>
      </c>
      <c r="Q4" s="14"/>
      <c r="R4" s="14"/>
      <c r="S4" s="14"/>
      <c r="T4" s="14"/>
      <c r="U4" s="14"/>
      <c r="V4" s="14"/>
      <c r="W4" s="15">
        <f>SUM(K4:V4)</f>
        <v>900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5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5"/>
      <c r="AX4" s="16"/>
    </row>
    <row r="5" spans="1:50" x14ac:dyDescent="0.2">
      <c r="B5" s="48"/>
      <c r="C5" s="48"/>
      <c r="D5" s="48"/>
      <c r="E5" s="48"/>
      <c r="F5" s="48"/>
      <c r="G5" s="17">
        <v>1</v>
      </c>
      <c r="H5" s="18">
        <f>SUM(H4)</f>
        <v>900</v>
      </c>
      <c r="I5" s="12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5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5"/>
      <c r="AX5" s="16"/>
    </row>
    <row r="6" spans="1:50" x14ac:dyDescent="0.2">
      <c r="B6" s="7" t="s">
        <v>37</v>
      </c>
      <c r="C6" s="8">
        <v>9902</v>
      </c>
      <c r="D6" s="9" t="s">
        <v>41</v>
      </c>
      <c r="E6" s="10" t="s">
        <v>42</v>
      </c>
      <c r="F6" s="10" t="s">
        <v>43</v>
      </c>
      <c r="G6" s="8">
        <v>1</v>
      </c>
      <c r="H6" s="11">
        <v>150</v>
      </c>
      <c r="I6" s="12">
        <v>42219</v>
      </c>
      <c r="J6" s="13">
        <f>IF(G6=1,SUM(W6,-H6),0)</f>
        <v>0</v>
      </c>
      <c r="K6" s="14">
        <v>150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>SUM(K6:V6)</f>
        <v>150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5"/>
      <c r="AX6" s="16"/>
    </row>
    <row r="7" spans="1:50" x14ac:dyDescent="0.2">
      <c r="B7" s="48"/>
      <c r="C7" s="48"/>
      <c r="D7" s="48"/>
      <c r="E7" s="48"/>
      <c r="F7" s="48"/>
      <c r="G7" s="17">
        <v>1</v>
      </c>
      <c r="H7" s="18">
        <f>SUM(H6)</f>
        <v>150</v>
      </c>
      <c r="I7" s="12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5"/>
      <c r="AX7" s="16"/>
    </row>
    <row r="8" spans="1:50" x14ac:dyDescent="0.2">
      <c r="B8" s="7" t="s">
        <v>37</v>
      </c>
      <c r="C8" s="8">
        <v>10603</v>
      </c>
      <c r="D8" s="9" t="s">
        <v>44</v>
      </c>
      <c r="E8" s="10" t="s">
        <v>45</v>
      </c>
      <c r="F8" s="10" t="s">
        <v>46</v>
      </c>
      <c r="G8" s="8">
        <v>1</v>
      </c>
      <c r="H8" s="11">
        <v>400</v>
      </c>
      <c r="I8" s="12">
        <v>42330</v>
      </c>
      <c r="J8" s="13">
        <f>IF(G8=1,SUM(W8,-H8),0)</f>
        <v>0</v>
      </c>
      <c r="K8" s="14">
        <v>400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>SUM(K8:V8)</f>
        <v>400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5"/>
      <c r="AX8" s="16"/>
    </row>
    <row r="9" spans="1:50" x14ac:dyDescent="0.2">
      <c r="B9" s="7" t="s">
        <v>47</v>
      </c>
      <c r="C9" s="8">
        <v>10641</v>
      </c>
      <c r="D9" s="9" t="s">
        <v>48</v>
      </c>
      <c r="E9" s="10" t="s">
        <v>49</v>
      </c>
      <c r="F9" s="10" t="s">
        <v>50</v>
      </c>
      <c r="G9" s="8">
        <v>1</v>
      </c>
      <c r="H9" s="11">
        <v>400</v>
      </c>
      <c r="I9" s="12">
        <v>42337</v>
      </c>
      <c r="J9" s="13">
        <f>IF(G9=1,SUM(W9,-H9),0)</f>
        <v>0</v>
      </c>
      <c r="K9" s="14">
        <v>400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>SUM(K9:V9)</f>
        <v>400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5"/>
      <c r="AX9" s="16"/>
    </row>
    <row r="10" spans="1:50" x14ac:dyDescent="0.2">
      <c r="B10" s="48"/>
      <c r="C10" s="48"/>
      <c r="D10" s="48"/>
      <c r="E10" s="48"/>
      <c r="F10" s="48"/>
      <c r="G10" s="17">
        <v>1</v>
      </c>
      <c r="H10" s="18">
        <f>SUM(H8:H9)</f>
        <v>800</v>
      </c>
      <c r="I10" s="12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5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5"/>
      <c r="AX10" s="16"/>
    </row>
    <row r="11" spans="1:50" x14ac:dyDescent="0.2">
      <c r="B11" s="7" t="s">
        <v>37</v>
      </c>
      <c r="C11" s="8">
        <v>10667</v>
      </c>
      <c r="D11" s="9" t="s">
        <v>51</v>
      </c>
      <c r="E11" s="10" t="s">
        <v>52</v>
      </c>
      <c r="F11" s="10" t="s">
        <v>53</v>
      </c>
      <c r="G11" s="8">
        <v>1</v>
      </c>
      <c r="H11" s="11">
        <v>250</v>
      </c>
      <c r="I11" s="12">
        <v>42344</v>
      </c>
      <c r="J11" s="13">
        <f t="shared" ref="J11:J22" si="0">IF(G11=1,SUM(W11,-H11),0)</f>
        <v>0</v>
      </c>
      <c r="K11" s="14">
        <v>250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ref="W11:W22" si="1">SUM(K11:V11)</f>
        <v>250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5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5"/>
      <c r="AX11" s="16"/>
    </row>
    <row r="12" spans="1:50" x14ac:dyDescent="0.2">
      <c r="B12" s="7" t="s">
        <v>47</v>
      </c>
      <c r="C12" s="8">
        <v>10761</v>
      </c>
      <c r="D12" s="9" t="s">
        <v>54</v>
      </c>
      <c r="E12" s="10" t="s">
        <v>55</v>
      </c>
      <c r="F12" s="10" t="s">
        <v>56</v>
      </c>
      <c r="G12" s="8">
        <v>1</v>
      </c>
      <c r="H12" s="11">
        <v>4400</v>
      </c>
      <c r="I12" s="12">
        <v>42352</v>
      </c>
      <c r="J12" s="13">
        <f t="shared" si="0"/>
        <v>0</v>
      </c>
      <c r="K12" s="14">
        <v>400</v>
      </c>
      <c r="L12" s="14">
        <v>400</v>
      </c>
      <c r="M12" s="14">
        <v>400</v>
      </c>
      <c r="N12" s="14">
        <v>400</v>
      </c>
      <c r="O12" s="14">
        <v>400</v>
      </c>
      <c r="P12" s="14">
        <v>400</v>
      </c>
      <c r="Q12" s="14">
        <v>400</v>
      </c>
      <c r="R12" s="14">
        <v>400</v>
      </c>
      <c r="S12" s="14">
        <v>400</v>
      </c>
      <c r="T12" s="14">
        <v>400</v>
      </c>
      <c r="U12" s="14">
        <v>400</v>
      </c>
      <c r="V12" s="14"/>
      <c r="W12" s="15">
        <f t="shared" si="1"/>
        <v>4400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5"/>
      <c r="AX12" s="16" t="s">
        <v>57</v>
      </c>
    </row>
    <row r="13" spans="1:50" x14ac:dyDescent="0.2">
      <c r="B13" s="7" t="s">
        <v>37</v>
      </c>
      <c r="C13" s="8">
        <v>10770</v>
      </c>
      <c r="D13" s="9" t="s">
        <v>58</v>
      </c>
      <c r="E13" s="10" t="s">
        <v>59</v>
      </c>
      <c r="F13" s="10" t="s">
        <v>60</v>
      </c>
      <c r="G13" s="8">
        <v>1</v>
      </c>
      <c r="H13" s="11">
        <v>300</v>
      </c>
      <c r="I13" s="12">
        <v>42358</v>
      </c>
      <c r="J13" s="13">
        <f t="shared" si="0"/>
        <v>0</v>
      </c>
      <c r="K13" s="14">
        <v>300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1"/>
        <v>300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5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5"/>
      <c r="AX13" s="16"/>
    </row>
    <row r="14" spans="1:50" x14ac:dyDescent="0.2">
      <c r="B14" s="7" t="s">
        <v>61</v>
      </c>
      <c r="C14" s="8">
        <v>10778</v>
      </c>
      <c r="D14" s="9" t="s">
        <v>62</v>
      </c>
      <c r="E14" s="10" t="s">
        <v>63</v>
      </c>
      <c r="F14" s="10" t="s">
        <v>64</v>
      </c>
      <c r="G14" s="8">
        <v>1</v>
      </c>
      <c r="H14" s="11">
        <v>400</v>
      </c>
      <c r="I14" s="12">
        <v>42358</v>
      </c>
      <c r="J14" s="13">
        <f t="shared" si="0"/>
        <v>0</v>
      </c>
      <c r="K14" s="14">
        <v>200</v>
      </c>
      <c r="L14" s="14">
        <v>200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1"/>
        <v>400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5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5"/>
      <c r="AX14" s="16"/>
    </row>
    <row r="15" spans="1:50" x14ac:dyDescent="0.2">
      <c r="B15" s="7" t="s">
        <v>47</v>
      </c>
      <c r="C15" s="8">
        <v>10786</v>
      </c>
      <c r="D15" s="9" t="s">
        <v>65</v>
      </c>
      <c r="E15" s="10" t="s">
        <v>66</v>
      </c>
      <c r="F15" s="10" t="s">
        <v>67</v>
      </c>
      <c r="G15" s="8">
        <v>1</v>
      </c>
      <c r="H15" s="11">
        <v>4400</v>
      </c>
      <c r="I15" s="12">
        <v>42358</v>
      </c>
      <c r="J15" s="13">
        <f t="shared" si="0"/>
        <v>0</v>
      </c>
      <c r="K15" s="14">
        <v>400</v>
      </c>
      <c r="L15" s="14">
        <v>400</v>
      </c>
      <c r="M15" s="14">
        <v>400</v>
      </c>
      <c r="N15" s="14">
        <v>400</v>
      </c>
      <c r="O15" s="14">
        <v>400</v>
      </c>
      <c r="P15" s="14">
        <v>400</v>
      </c>
      <c r="Q15" s="14">
        <v>400</v>
      </c>
      <c r="R15" s="14">
        <v>400</v>
      </c>
      <c r="S15" s="14">
        <v>400</v>
      </c>
      <c r="T15" s="14">
        <v>400</v>
      </c>
      <c r="U15" s="14">
        <v>400</v>
      </c>
      <c r="V15" s="14"/>
      <c r="W15" s="15">
        <f t="shared" si="1"/>
        <v>4400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5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5"/>
      <c r="AX15" s="16" t="s">
        <v>68</v>
      </c>
    </row>
    <row r="16" spans="1:50" x14ac:dyDescent="0.2">
      <c r="B16" s="7" t="s">
        <v>69</v>
      </c>
      <c r="C16" s="8">
        <v>10795</v>
      </c>
      <c r="D16" s="9" t="s">
        <v>70</v>
      </c>
      <c r="E16" s="10" t="s">
        <v>71</v>
      </c>
      <c r="F16" s="10" t="s">
        <v>72</v>
      </c>
      <c r="G16" s="8">
        <v>1</v>
      </c>
      <c r="H16" s="11">
        <v>400</v>
      </c>
      <c r="I16" s="12">
        <v>42358</v>
      </c>
      <c r="J16" s="13">
        <f t="shared" si="0"/>
        <v>0</v>
      </c>
      <c r="K16" s="14">
        <v>400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>
        <f t="shared" si="1"/>
        <v>400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5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5"/>
      <c r="AX16" s="16"/>
    </row>
    <row r="17" spans="1:50" x14ac:dyDescent="0.2">
      <c r="B17" s="7" t="s">
        <v>73</v>
      </c>
      <c r="C17" s="8">
        <v>10798</v>
      </c>
      <c r="D17" s="9" t="s">
        <v>74</v>
      </c>
      <c r="E17" s="10" t="s">
        <v>75</v>
      </c>
      <c r="F17" s="10" t="s">
        <v>76</v>
      </c>
      <c r="G17" s="8">
        <v>1</v>
      </c>
      <c r="H17" s="11">
        <v>2200</v>
      </c>
      <c r="I17" s="12">
        <v>42358</v>
      </c>
      <c r="J17" s="13">
        <f t="shared" si="0"/>
        <v>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/>
      <c r="W17" s="15">
        <f t="shared" si="1"/>
        <v>2200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5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X17" s="16" t="s">
        <v>57</v>
      </c>
    </row>
    <row r="18" spans="1:50" x14ac:dyDescent="0.2">
      <c r="B18" s="7" t="s">
        <v>77</v>
      </c>
      <c r="C18" s="8">
        <v>10802</v>
      </c>
      <c r="D18" s="9" t="s">
        <v>78</v>
      </c>
      <c r="E18" s="10" t="s">
        <v>79</v>
      </c>
      <c r="F18" s="10" t="s">
        <v>80</v>
      </c>
      <c r="G18" s="8">
        <v>1</v>
      </c>
      <c r="H18" s="11">
        <v>4400</v>
      </c>
      <c r="I18" s="12">
        <v>42358</v>
      </c>
      <c r="J18" s="13">
        <f t="shared" si="0"/>
        <v>0</v>
      </c>
      <c r="K18" s="14">
        <v>400</v>
      </c>
      <c r="L18" s="14">
        <v>400</v>
      </c>
      <c r="M18" s="14">
        <v>400</v>
      </c>
      <c r="N18" s="14">
        <v>400</v>
      </c>
      <c r="O18" s="14">
        <v>400</v>
      </c>
      <c r="P18" s="14">
        <v>400</v>
      </c>
      <c r="Q18" s="14">
        <v>400</v>
      </c>
      <c r="R18" s="14">
        <v>400</v>
      </c>
      <c r="S18" s="14">
        <v>400</v>
      </c>
      <c r="T18" s="14">
        <v>400</v>
      </c>
      <c r="U18" s="14">
        <v>400</v>
      </c>
      <c r="V18" s="14"/>
      <c r="W18" s="15">
        <f t="shared" si="1"/>
        <v>4400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16" t="s">
        <v>57</v>
      </c>
    </row>
    <row r="19" spans="1:50" x14ac:dyDescent="0.2">
      <c r="B19" s="7" t="s">
        <v>73</v>
      </c>
      <c r="C19" s="8">
        <v>10806</v>
      </c>
      <c r="D19" s="9" t="s">
        <v>81</v>
      </c>
      <c r="E19" s="10" t="s">
        <v>82</v>
      </c>
      <c r="F19" s="10" t="s">
        <v>83</v>
      </c>
      <c r="G19" s="8">
        <v>1</v>
      </c>
      <c r="H19" s="11">
        <v>2200</v>
      </c>
      <c r="I19" s="12">
        <v>42363</v>
      </c>
      <c r="J19" s="13">
        <f t="shared" si="0"/>
        <v>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/>
      <c r="W19" s="15">
        <f t="shared" si="1"/>
        <v>2200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5"/>
      <c r="AX19" s="16" t="s">
        <v>57</v>
      </c>
    </row>
    <row r="20" spans="1:50" x14ac:dyDescent="0.2">
      <c r="B20" s="7" t="s">
        <v>47</v>
      </c>
      <c r="C20" s="8">
        <v>10808</v>
      </c>
      <c r="D20" s="9" t="s">
        <v>84</v>
      </c>
      <c r="E20" s="10" t="s">
        <v>85</v>
      </c>
      <c r="F20" s="10" t="s">
        <v>86</v>
      </c>
      <c r="G20" s="8">
        <v>1</v>
      </c>
      <c r="H20" s="11">
        <v>200</v>
      </c>
      <c r="I20" s="12">
        <v>42365</v>
      </c>
      <c r="J20" s="13">
        <f t="shared" si="0"/>
        <v>0</v>
      </c>
      <c r="K20" s="14">
        <v>200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>
        <f t="shared" si="1"/>
        <v>200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5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5"/>
      <c r="AX20" s="16"/>
    </row>
    <row r="21" spans="1:50" x14ac:dyDescent="0.2">
      <c r="B21" s="7" t="s">
        <v>77</v>
      </c>
      <c r="C21" s="8">
        <v>10809</v>
      </c>
      <c r="D21" s="9" t="s">
        <v>87</v>
      </c>
      <c r="E21" s="10" t="s">
        <v>88</v>
      </c>
      <c r="F21" s="10" t="s">
        <v>89</v>
      </c>
      <c r="G21" s="8">
        <v>1</v>
      </c>
      <c r="H21" s="11">
        <v>400</v>
      </c>
      <c r="I21" s="12">
        <v>42365</v>
      </c>
      <c r="J21" s="13">
        <f t="shared" si="0"/>
        <v>0</v>
      </c>
      <c r="K21" s="14">
        <v>400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si="1"/>
        <v>400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5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5"/>
      <c r="AX21" s="16"/>
    </row>
    <row r="22" spans="1:50" x14ac:dyDescent="0.2">
      <c r="B22" s="7" t="s">
        <v>73</v>
      </c>
      <c r="C22" s="8">
        <v>10818</v>
      </c>
      <c r="D22" s="9" t="s">
        <v>90</v>
      </c>
      <c r="E22" s="10" t="s">
        <v>91</v>
      </c>
      <c r="F22" s="10" t="s">
        <v>92</v>
      </c>
      <c r="G22" s="8">
        <v>1</v>
      </c>
      <c r="H22" s="11">
        <v>4400</v>
      </c>
      <c r="I22" s="12">
        <v>42366</v>
      </c>
      <c r="J22" s="13">
        <f t="shared" si="0"/>
        <v>0</v>
      </c>
      <c r="K22" s="14">
        <v>400</v>
      </c>
      <c r="L22" s="14">
        <v>400</v>
      </c>
      <c r="M22" s="14">
        <v>400</v>
      </c>
      <c r="N22" s="14">
        <v>400</v>
      </c>
      <c r="O22" s="14">
        <v>400</v>
      </c>
      <c r="P22" s="14">
        <v>400</v>
      </c>
      <c r="Q22" s="14">
        <v>400</v>
      </c>
      <c r="R22" s="14">
        <v>400</v>
      </c>
      <c r="S22" s="14">
        <v>400</v>
      </c>
      <c r="T22" s="14">
        <v>400</v>
      </c>
      <c r="U22" s="14">
        <v>400</v>
      </c>
      <c r="V22" s="14"/>
      <c r="W22" s="15">
        <f t="shared" si="1"/>
        <v>4400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5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5"/>
      <c r="AX22" s="16" t="s">
        <v>57</v>
      </c>
    </row>
    <row r="23" spans="1:50" x14ac:dyDescent="0.2">
      <c r="B23" s="48"/>
      <c r="C23" s="48"/>
      <c r="D23" s="48"/>
      <c r="E23" s="48"/>
      <c r="F23" s="48"/>
      <c r="G23" s="19">
        <v>1</v>
      </c>
      <c r="H23" s="20">
        <f>SUM(H11:H22)</f>
        <v>23950</v>
      </c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</row>
    <row r="24" spans="1:50" ht="22.5" x14ac:dyDescent="0.2">
      <c r="A24" s="2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4" t="s">
        <v>10</v>
      </c>
      <c r="L24" s="4" t="s">
        <v>11</v>
      </c>
      <c r="M24" s="4" t="s">
        <v>12</v>
      </c>
      <c r="N24" s="4" t="s">
        <v>13</v>
      </c>
      <c r="O24" s="4" t="s">
        <v>14</v>
      </c>
      <c r="P24" s="4" t="s">
        <v>15</v>
      </c>
      <c r="Q24" s="4" t="s">
        <v>16</v>
      </c>
      <c r="R24" s="4" t="s">
        <v>17</v>
      </c>
      <c r="S24" s="4" t="s">
        <v>18</v>
      </c>
      <c r="T24" s="4" t="s">
        <v>19</v>
      </c>
      <c r="U24" s="4" t="s">
        <v>20</v>
      </c>
      <c r="V24" s="4" t="s">
        <v>21</v>
      </c>
      <c r="W24" s="5" t="s">
        <v>22</v>
      </c>
      <c r="X24" s="4" t="s">
        <v>23</v>
      </c>
      <c r="Y24" s="4" t="s">
        <v>24</v>
      </c>
      <c r="Z24" s="4" t="s">
        <v>25</v>
      </c>
      <c r="AA24" s="4" t="s">
        <v>26</v>
      </c>
      <c r="AB24" s="4" t="s">
        <v>27</v>
      </c>
      <c r="AC24" s="4" t="s">
        <v>28</v>
      </c>
      <c r="AD24" s="4" t="s">
        <v>29</v>
      </c>
      <c r="AE24" s="4" t="s">
        <v>30</v>
      </c>
      <c r="AF24" s="4" t="s">
        <v>31</v>
      </c>
      <c r="AG24" s="4" t="s">
        <v>32</v>
      </c>
      <c r="AH24" s="4" t="s">
        <v>33</v>
      </c>
      <c r="AI24" s="4" t="s">
        <v>34</v>
      </c>
      <c r="AJ24" s="5" t="s">
        <v>35</v>
      </c>
      <c r="AK24" s="4" t="s">
        <v>4607</v>
      </c>
      <c r="AL24" s="4" t="s">
        <v>4608</v>
      </c>
      <c r="AM24" s="4" t="s">
        <v>4609</v>
      </c>
      <c r="AN24" s="4" t="s">
        <v>4610</v>
      </c>
      <c r="AO24" s="4" t="s">
        <v>4611</v>
      </c>
      <c r="AP24" s="4" t="s">
        <v>4612</v>
      </c>
      <c r="AQ24" s="4" t="s">
        <v>4613</v>
      </c>
      <c r="AR24" s="4" t="s">
        <v>4614</v>
      </c>
      <c r="AS24" s="4" t="s">
        <v>4615</v>
      </c>
      <c r="AT24" s="4" t="s">
        <v>4616</v>
      </c>
      <c r="AU24" s="4" t="s">
        <v>4617</v>
      </c>
      <c r="AV24" s="4" t="s">
        <v>4618</v>
      </c>
      <c r="AW24" s="338" t="s">
        <v>4619</v>
      </c>
      <c r="AX24" s="6" t="s">
        <v>36</v>
      </c>
    </row>
    <row r="25" spans="1:50" x14ac:dyDescent="0.2">
      <c r="B25" s="7" t="s">
        <v>93</v>
      </c>
      <c r="C25" s="8">
        <v>10819</v>
      </c>
      <c r="D25" s="9"/>
      <c r="E25" s="10" t="s">
        <v>93</v>
      </c>
      <c r="F25" s="10" t="s">
        <v>93</v>
      </c>
      <c r="G25" s="8">
        <v>8</v>
      </c>
      <c r="H25" s="11"/>
      <c r="I25" s="12"/>
      <c r="J25" s="13">
        <f>IF(G25=1,SUM(W25,-H25),0)</f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ref="W25:W88" si="2">SUM(K25:V25)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5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5"/>
      <c r="AX25" s="16"/>
    </row>
    <row r="26" spans="1:50" x14ac:dyDescent="0.2">
      <c r="B26" s="7" t="s">
        <v>37</v>
      </c>
      <c r="C26" s="8">
        <v>10820</v>
      </c>
      <c r="D26" s="9" t="s">
        <v>94</v>
      </c>
      <c r="E26" s="10" t="s">
        <v>95</v>
      </c>
      <c r="F26" s="10" t="s">
        <v>96</v>
      </c>
      <c r="G26" s="8">
        <v>1</v>
      </c>
      <c r="H26" s="11">
        <v>400</v>
      </c>
      <c r="I26" s="12">
        <v>42372</v>
      </c>
      <c r="J26" s="13">
        <f>IF(G26=1,SUM(W26,-H26),0)</f>
        <v>0</v>
      </c>
      <c r="K26" s="14">
        <v>400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2"/>
        <v>400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5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5"/>
      <c r="AX26" s="16"/>
    </row>
    <row r="27" spans="1:50" x14ac:dyDescent="0.2">
      <c r="B27" s="7" t="s">
        <v>47</v>
      </c>
      <c r="C27" s="8">
        <v>10821</v>
      </c>
      <c r="D27" s="9" t="s">
        <v>97</v>
      </c>
      <c r="E27" s="10" t="s">
        <v>98</v>
      </c>
      <c r="F27" s="10" t="s">
        <v>99</v>
      </c>
      <c r="G27" s="8">
        <v>1</v>
      </c>
      <c r="H27" s="11">
        <v>400</v>
      </c>
      <c r="I27" s="12">
        <v>42372</v>
      </c>
      <c r="J27" s="13">
        <f t="shared" ref="J27:J90" si="3">IF(G27=1,SUM(W27,-H27),0)</f>
        <v>0</v>
      </c>
      <c r="K27" s="14">
        <v>400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2"/>
        <v>400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5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5"/>
      <c r="AX27" s="16"/>
    </row>
    <row r="28" spans="1:50" x14ac:dyDescent="0.2">
      <c r="B28" s="7" t="s">
        <v>69</v>
      </c>
      <c r="C28" s="8">
        <v>10822</v>
      </c>
      <c r="D28" s="9" t="s">
        <v>100</v>
      </c>
      <c r="E28" s="10" t="s">
        <v>101</v>
      </c>
      <c r="F28" s="10" t="s">
        <v>102</v>
      </c>
      <c r="G28" s="8">
        <v>1</v>
      </c>
      <c r="H28" s="11">
        <v>400</v>
      </c>
      <c r="I28" s="12">
        <v>42372</v>
      </c>
      <c r="J28" s="13">
        <f t="shared" si="3"/>
        <v>0</v>
      </c>
      <c r="K28" s="14">
        <v>400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2"/>
        <v>400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5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5"/>
      <c r="AX28" s="16"/>
    </row>
    <row r="29" spans="1:50" x14ac:dyDescent="0.2">
      <c r="B29" s="7" t="s">
        <v>47</v>
      </c>
      <c r="C29" s="8">
        <v>10823</v>
      </c>
      <c r="D29" s="9" t="s">
        <v>103</v>
      </c>
      <c r="E29" s="10" t="s">
        <v>104</v>
      </c>
      <c r="F29" s="10" t="s">
        <v>105</v>
      </c>
      <c r="G29" s="8">
        <v>1</v>
      </c>
      <c r="H29" s="11">
        <v>0</v>
      </c>
      <c r="I29" s="12">
        <v>42372</v>
      </c>
      <c r="J29" s="13">
        <f t="shared" si="3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2"/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5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5"/>
      <c r="AX29" s="16"/>
    </row>
    <row r="30" spans="1:50" x14ac:dyDescent="0.2">
      <c r="B30" s="7" t="s">
        <v>47</v>
      </c>
      <c r="C30" s="8">
        <v>10824</v>
      </c>
      <c r="D30" s="9" t="s">
        <v>106</v>
      </c>
      <c r="E30" s="10" t="s">
        <v>107</v>
      </c>
      <c r="F30" s="10" t="s">
        <v>108</v>
      </c>
      <c r="G30" s="8">
        <v>1</v>
      </c>
      <c r="H30" s="11">
        <v>4400</v>
      </c>
      <c r="I30" s="12">
        <v>42372</v>
      </c>
      <c r="J30" s="13">
        <f t="shared" si="3"/>
        <v>0</v>
      </c>
      <c r="K30" s="14">
        <v>400</v>
      </c>
      <c r="L30" s="14">
        <v>400</v>
      </c>
      <c r="M30" s="14">
        <v>400</v>
      </c>
      <c r="N30" s="14">
        <v>400</v>
      </c>
      <c r="O30" s="14">
        <v>400</v>
      </c>
      <c r="P30" s="14">
        <v>400</v>
      </c>
      <c r="Q30" s="14">
        <v>400</v>
      </c>
      <c r="R30" s="14">
        <v>400</v>
      </c>
      <c r="S30" s="14">
        <v>400</v>
      </c>
      <c r="T30" s="14">
        <v>400</v>
      </c>
      <c r="U30" s="14">
        <v>400</v>
      </c>
      <c r="V30" s="14"/>
      <c r="W30" s="15">
        <f t="shared" si="2"/>
        <v>4400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5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5"/>
      <c r="AX30" s="16" t="s">
        <v>57</v>
      </c>
    </row>
    <row r="31" spans="1:50" x14ac:dyDescent="0.2">
      <c r="B31" s="7" t="s">
        <v>73</v>
      </c>
      <c r="C31" s="8">
        <v>10825</v>
      </c>
      <c r="D31" s="9" t="s">
        <v>109</v>
      </c>
      <c r="E31" s="10" t="s">
        <v>110</v>
      </c>
      <c r="F31" s="10" t="s">
        <v>111</v>
      </c>
      <c r="G31" s="8">
        <v>1</v>
      </c>
      <c r="H31" s="11">
        <v>0</v>
      </c>
      <c r="I31" s="12">
        <v>42372</v>
      </c>
      <c r="J31" s="13">
        <f t="shared" si="3"/>
        <v>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5">
        <f t="shared" si="2"/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5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5"/>
      <c r="AX31" s="16"/>
    </row>
    <row r="32" spans="1:50" x14ac:dyDescent="0.2">
      <c r="B32" s="7" t="s">
        <v>73</v>
      </c>
      <c r="C32" s="8">
        <v>10826</v>
      </c>
      <c r="D32" s="9" t="s">
        <v>112</v>
      </c>
      <c r="E32" s="10" t="s">
        <v>113</v>
      </c>
      <c r="F32" s="10" t="s">
        <v>114</v>
      </c>
      <c r="G32" s="8">
        <v>1</v>
      </c>
      <c r="H32" s="11">
        <v>0</v>
      </c>
      <c r="I32" s="12">
        <v>42372</v>
      </c>
      <c r="J32" s="13">
        <f t="shared" si="3"/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5">
        <f t="shared" si="2"/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5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5"/>
      <c r="AX32" s="16"/>
    </row>
    <row r="33" spans="2:50" x14ac:dyDescent="0.2">
      <c r="B33" s="7" t="s">
        <v>73</v>
      </c>
      <c r="C33" s="8">
        <v>10827</v>
      </c>
      <c r="D33" s="9" t="s">
        <v>115</v>
      </c>
      <c r="E33" s="10" t="s">
        <v>116</v>
      </c>
      <c r="F33" s="10" t="s">
        <v>117</v>
      </c>
      <c r="G33" s="8">
        <v>1</v>
      </c>
      <c r="H33" s="11">
        <v>150</v>
      </c>
      <c r="I33" s="12">
        <v>42372</v>
      </c>
      <c r="J33" s="13">
        <f t="shared" si="3"/>
        <v>0</v>
      </c>
      <c r="K33" s="14">
        <v>150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5">
        <f t="shared" si="2"/>
        <v>150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5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5"/>
      <c r="AX33" s="16"/>
    </row>
    <row r="34" spans="2:50" x14ac:dyDescent="0.2">
      <c r="B34" s="7" t="s">
        <v>69</v>
      </c>
      <c r="C34" s="8">
        <v>10828</v>
      </c>
      <c r="D34" s="9" t="s">
        <v>70</v>
      </c>
      <c r="E34" s="10" t="s">
        <v>71</v>
      </c>
      <c r="F34" s="10" t="s">
        <v>72</v>
      </c>
      <c r="G34" s="8">
        <v>1</v>
      </c>
      <c r="H34" s="11">
        <v>4000</v>
      </c>
      <c r="I34" s="12">
        <v>42372</v>
      </c>
      <c r="J34" s="13">
        <f t="shared" si="3"/>
        <v>0</v>
      </c>
      <c r="K34" s="14"/>
      <c r="L34" s="14">
        <v>400</v>
      </c>
      <c r="M34" s="14">
        <v>400</v>
      </c>
      <c r="N34" s="14">
        <v>400</v>
      </c>
      <c r="O34" s="14">
        <v>400</v>
      </c>
      <c r="P34" s="14">
        <v>400</v>
      </c>
      <c r="Q34" s="14">
        <v>400</v>
      </c>
      <c r="R34" s="14">
        <v>400</v>
      </c>
      <c r="S34" s="14">
        <v>400</v>
      </c>
      <c r="T34" s="14">
        <v>400</v>
      </c>
      <c r="U34" s="14">
        <v>400</v>
      </c>
      <c r="V34" s="14"/>
      <c r="W34" s="15">
        <f t="shared" si="2"/>
        <v>4000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5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5"/>
      <c r="AX34" s="16" t="s">
        <v>118</v>
      </c>
    </row>
    <row r="35" spans="2:50" x14ac:dyDescent="0.2">
      <c r="B35" s="7" t="s">
        <v>37</v>
      </c>
      <c r="C35" s="8">
        <v>10829</v>
      </c>
      <c r="D35" s="9" t="s">
        <v>119</v>
      </c>
      <c r="E35" s="10" t="s">
        <v>120</v>
      </c>
      <c r="F35" s="10" t="s">
        <v>121</v>
      </c>
      <c r="G35" s="8">
        <v>1</v>
      </c>
      <c r="H35" s="11">
        <v>0</v>
      </c>
      <c r="I35" s="12">
        <v>42372</v>
      </c>
      <c r="J35" s="13">
        <f t="shared" si="3"/>
        <v>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5">
        <f t="shared" si="2"/>
        <v>0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5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5"/>
      <c r="AX35" s="16"/>
    </row>
    <row r="36" spans="2:50" x14ac:dyDescent="0.2">
      <c r="B36" s="7" t="s">
        <v>122</v>
      </c>
      <c r="C36" s="8">
        <v>10830</v>
      </c>
      <c r="D36" s="9" t="s">
        <v>123</v>
      </c>
      <c r="E36" s="10" t="s">
        <v>124</v>
      </c>
      <c r="F36" s="10" t="s">
        <v>125</v>
      </c>
      <c r="G36" s="8">
        <v>1</v>
      </c>
      <c r="H36" s="11">
        <v>200</v>
      </c>
      <c r="I36" s="12">
        <v>42372</v>
      </c>
      <c r="J36" s="13">
        <f t="shared" si="3"/>
        <v>0</v>
      </c>
      <c r="K36" s="14">
        <v>200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si="2"/>
        <v>200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5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5"/>
      <c r="AX36" s="16"/>
    </row>
    <row r="37" spans="2:50" x14ac:dyDescent="0.2">
      <c r="B37" s="7" t="s">
        <v>73</v>
      </c>
      <c r="C37" s="8">
        <v>10831</v>
      </c>
      <c r="D37" s="9" t="s">
        <v>126</v>
      </c>
      <c r="E37" s="10" t="s">
        <v>127</v>
      </c>
      <c r="F37" s="10" t="s">
        <v>128</v>
      </c>
      <c r="G37" s="8">
        <v>1</v>
      </c>
      <c r="H37" s="11">
        <v>4400</v>
      </c>
      <c r="I37" s="12">
        <v>42372</v>
      </c>
      <c r="J37" s="13">
        <f t="shared" si="3"/>
        <v>0</v>
      </c>
      <c r="K37" s="14">
        <v>400</v>
      </c>
      <c r="L37" s="14">
        <v>400</v>
      </c>
      <c r="M37" s="14">
        <v>400</v>
      </c>
      <c r="N37" s="14">
        <v>400</v>
      </c>
      <c r="O37" s="14">
        <v>400</v>
      </c>
      <c r="P37" s="14">
        <v>400</v>
      </c>
      <c r="Q37" s="14">
        <v>400</v>
      </c>
      <c r="R37" s="14">
        <v>400</v>
      </c>
      <c r="S37" s="14">
        <v>400</v>
      </c>
      <c r="T37" s="14">
        <v>400</v>
      </c>
      <c r="U37" s="14">
        <v>400</v>
      </c>
      <c r="V37" s="14"/>
      <c r="W37" s="15">
        <f t="shared" si="2"/>
        <v>4400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5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5"/>
      <c r="AX37" s="16" t="s">
        <v>57</v>
      </c>
    </row>
    <row r="38" spans="2:50" x14ac:dyDescent="0.2">
      <c r="B38" s="7" t="s">
        <v>77</v>
      </c>
      <c r="C38" s="8">
        <v>10832</v>
      </c>
      <c r="D38" s="9" t="s">
        <v>129</v>
      </c>
      <c r="E38" s="10" t="s">
        <v>130</v>
      </c>
      <c r="F38" s="10" t="s">
        <v>131</v>
      </c>
      <c r="G38" s="8">
        <v>1</v>
      </c>
      <c r="H38" s="11">
        <v>400</v>
      </c>
      <c r="I38" s="12">
        <v>42372</v>
      </c>
      <c r="J38" s="13">
        <f t="shared" si="3"/>
        <v>0</v>
      </c>
      <c r="K38" s="14">
        <v>400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400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5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5"/>
      <c r="AX38" s="16"/>
    </row>
    <row r="39" spans="2:50" x14ac:dyDescent="0.2">
      <c r="B39" s="7" t="s">
        <v>77</v>
      </c>
      <c r="C39" s="8">
        <v>10832</v>
      </c>
      <c r="D39" s="9" t="s">
        <v>129</v>
      </c>
      <c r="E39" s="10" t="s">
        <v>130</v>
      </c>
      <c r="F39" s="10" t="s">
        <v>131</v>
      </c>
      <c r="G39" s="8">
        <v>3</v>
      </c>
      <c r="H39" s="11">
        <v>160</v>
      </c>
      <c r="I39" s="12">
        <v>42372</v>
      </c>
      <c r="J39" s="13">
        <f t="shared" si="3"/>
        <v>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5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5"/>
      <c r="AX39" s="16"/>
    </row>
    <row r="40" spans="2:50" x14ac:dyDescent="0.2">
      <c r="B40" s="7" t="s">
        <v>47</v>
      </c>
      <c r="C40" s="8">
        <v>10833</v>
      </c>
      <c r="D40" s="9" t="s">
        <v>132</v>
      </c>
      <c r="E40" s="10" t="s">
        <v>133</v>
      </c>
      <c r="F40" s="10" t="s">
        <v>134</v>
      </c>
      <c r="G40" s="8">
        <v>1</v>
      </c>
      <c r="H40" s="11">
        <v>0</v>
      </c>
      <c r="I40" s="12">
        <v>42372</v>
      </c>
      <c r="J40" s="13">
        <f t="shared" si="3"/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5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5"/>
      <c r="AX40" s="16"/>
    </row>
    <row r="41" spans="2:50" x14ac:dyDescent="0.2">
      <c r="B41" s="7" t="s">
        <v>69</v>
      </c>
      <c r="C41" s="8">
        <v>10834</v>
      </c>
      <c r="D41" s="9" t="s">
        <v>678</v>
      </c>
      <c r="E41" s="10" t="s">
        <v>136</v>
      </c>
      <c r="F41" s="10" t="s">
        <v>137</v>
      </c>
      <c r="G41" s="8">
        <v>1</v>
      </c>
      <c r="H41" s="11">
        <v>400</v>
      </c>
      <c r="I41" s="12">
        <v>42372</v>
      </c>
      <c r="J41" s="13">
        <f t="shared" si="3"/>
        <v>0</v>
      </c>
      <c r="K41" s="14">
        <v>400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400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5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5"/>
      <c r="AX41" s="16"/>
    </row>
    <row r="42" spans="2:50" x14ac:dyDescent="0.2">
      <c r="B42" s="7" t="s">
        <v>47</v>
      </c>
      <c r="C42" s="8">
        <v>10835</v>
      </c>
      <c r="D42" s="9" t="s">
        <v>138</v>
      </c>
      <c r="E42" s="10" t="s">
        <v>139</v>
      </c>
      <c r="F42" s="10" t="s">
        <v>140</v>
      </c>
      <c r="G42" s="8">
        <v>1</v>
      </c>
      <c r="H42" s="11">
        <v>0</v>
      </c>
      <c r="I42" s="12">
        <v>42372</v>
      </c>
      <c r="J42" s="13">
        <f t="shared" si="3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5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5"/>
      <c r="AX42" s="16"/>
    </row>
    <row r="43" spans="2:50" x14ac:dyDescent="0.2">
      <c r="B43" s="7" t="s">
        <v>73</v>
      </c>
      <c r="C43" s="8">
        <v>10836</v>
      </c>
      <c r="D43" s="9" t="s">
        <v>141</v>
      </c>
      <c r="E43" s="10" t="s">
        <v>142</v>
      </c>
      <c r="F43" s="10" t="s">
        <v>143</v>
      </c>
      <c r="G43" s="8">
        <v>1</v>
      </c>
      <c r="H43" s="11">
        <v>0</v>
      </c>
      <c r="I43" s="12">
        <v>42372</v>
      </c>
      <c r="J43" s="13">
        <f t="shared" si="3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5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5"/>
      <c r="AX43" s="16"/>
    </row>
    <row r="44" spans="2:50" x14ac:dyDescent="0.2">
      <c r="B44" s="7" t="s">
        <v>47</v>
      </c>
      <c r="C44" s="8">
        <v>10837</v>
      </c>
      <c r="D44" s="9" t="s">
        <v>144</v>
      </c>
      <c r="E44" s="10" t="s">
        <v>145</v>
      </c>
      <c r="F44" s="10" t="s">
        <v>146</v>
      </c>
      <c r="G44" s="8">
        <v>1</v>
      </c>
      <c r="H44" s="11">
        <v>3300</v>
      </c>
      <c r="I44" s="12">
        <v>42372</v>
      </c>
      <c r="J44" s="13">
        <f t="shared" si="3"/>
        <v>0</v>
      </c>
      <c r="K44" s="14">
        <v>300</v>
      </c>
      <c r="L44" s="14">
        <v>300</v>
      </c>
      <c r="M44" s="14">
        <v>300</v>
      </c>
      <c r="N44" s="14">
        <v>300</v>
      </c>
      <c r="O44" s="14">
        <v>300</v>
      </c>
      <c r="P44" s="14">
        <v>300</v>
      </c>
      <c r="Q44" s="14">
        <v>300</v>
      </c>
      <c r="R44" s="14">
        <v>300</v>
      </c>
      <c r="S44" s="14">
        <v>300</v>
      </c>
      <c r="T44" s="14">
        <v>300</v>
      </c>
      <c r="U44" s="14">
        <v>300</v>
      </c>
      <c r="V44" s="14"/>
      <c r="W44" s="15">
        <f t="shared" si="2"/>
        <v>3300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5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5"/>
      <c r="AX44" s="16" t="s">
        <v>57</v>
      </c>
    </row>
    <row r="45" spans="2:50" x14ac:dyDescent="0.2">
      <c r="B45" s="7" t="s">
        <v>69</v>
      </c>
      <c r="C45" s="8">
        <v>10838</v>
      </c>
      <c r="D45" s="9" t="s">
        <v>147</v>
      </c>
      <c r="E45" s="10" t="s">
        <v>148</v>
      </c>
      <c r="F45" s="10" t="s">
        <v>149</v>
      </c>
      <c r="G45" s="8">
        <v>1</v>
      </c>
      <c r="H45" s="11">
        <v>4400</v>
      </c>
      <c r="I45" s="12">
        <v>42372</v>
      </c>
      <c r="J45" s="13">
        <f t="shared" si="3"/>
        <v>0</v>
      </c>
      <c r="K45" s="14">
        <v>400</v>
      </c>
      <c r="L45" s="14">
        <v>400</v>
      </c>
      <c r="M45" s="14">
        <v>400</v>
      </c>
      <c r="N45" s="14">
        <v>400</v>
      </c>
      <c r="O45" s="14">
        <v>400</v>
      </c>
      <c r="P45" s="14">
        <v>400</v>
      </c>
      <c r="Q45" s="14">
        <v>400</v>
      </c>
      <c r="R45" s="14">
        <v>400</v>
      </c>
      <c r="S45" s="14">
        <v>400</v>
      </c>
      <c r="T45" s="14">
        <v>400</v>
      </c>
      <c r="U45" s="14">
        <v>400</v>
      </c>
      <c r="V45" s="14"/>
      <c r="W45" s="15">
        <f t="shared" si="2"/>
        <v>4400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5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5"/>
      <c r="AX45" s="16" t="s">
        <v>57</v>
      </c>
    </row>
    <row r="46" spans="2:50" x14ac:dyDescent="0.2">
      <c r="B46" s="7" t="s">
        <v>47</v>
      </c>
      <c r="C46" s="8">
        <v>10839</v>
      </c>
      <c r="D46" s="9" t="s">
        <v>150</v>
      </c>
      <c r="E46" s="10" t="s">
        <v>151</v>
      </c>
      <c r="F46" s="10" t="s">
        <v>152</v>
      </c>
      <c r="G46" s="8">
        <v>1</v>
      </c>
      <c r="H46" s="11">
        <v>400</v>
      </c>
      <c r="I46" s="12">
        <v>42372</v>
      </c>
      <c r="J46" s="13">
        <f t="shared" si="3"/>
        <v>0</v>
      </c>
      <c r="K46" s="14">
        <v>400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5">
        <f t="shared" si="2"/>
        <v>400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5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5"/>
      <c r="AX46" s="16"/>
    </row>
    <row r="47" spans="2:50" x14ac:dyDescent="0.2">
      <c r="B47" s="7" t="s">
        <v>47</v>
      </c>
      <c r="C47" s="8">
        <v>10840</v>
      </c>
      <c r="D47" s="9" t="s">
        <v>153</v>
      </c>
      <c r="E47" s="10" t="s">
        <v>154</v>
      </c>
      <c r="F47" s="10" t="s">
        <v>155</v>
      </c>
      <c r="G47" s="8">
        <v>1</v>
      </c>
      <c r="H47" s="11">
        <v>400</v>
      </c>
      <c r="I47" s="12">
        <v>42372</v>
      </c>
      <c r="J47" s="13">
        <f t="shared" si="3"/>
        <v>0</v>
      </c>
      <c r="K47" s="14">
        <v>400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5">
        <f t="shared" si="2"/>
        <v>400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5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5"/>
      <c r="AX47" s="16"/>
    </row>
    <row r="48" spans="2:50" x14ac:dyDescent="0.2">
      <c r="B48" s="7" t="s">
        <v>77</v>
      </c>
      <c r="C48" s="8">
        <v>10841</v>
      </c>
      <c r="D48" s="9" t="s">
        <v>156</v>
      </c>
      <c r="E48" s="10" t="s">
        <v>157</v>
      </c>
      <c r="F48" s="10" t="s">
        <v>158</v>
      </c>
      <c r="G48" s="8">
        <v>1</v>
      </c>
      <c r="H48" s="11">
        <v>300</v>
      </c>
      <c r="I48" s="12">
        <v>42372</v>
      </c>
      <c r="J48" s="13">
        <f t="shared" si="3"/>
        <v>0</v>
      </c>
      <c r="K48" s="14">
        <v>300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5">
        <f t="shared" si="2"/>
        <v>300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5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16"/>
    </row>
    <row r="49" spans="2:50" x14ac:dyDescent="0.2">
      <c r="B49" s="7" t="s">
        <v>77</v>
      </c>
      <c r="C49" s="8">
        <v>10842</v>
      </c>
      <c r="D49" s="9" t="s">
        <v>159</v>
      </c>
      <c r="E49" s="10" t="s">
        <v>160</v>
      </c>
      <c r="F49" s="10" t="s">
        <v>161</v>
      </c>
      <c r="G49" s="8">
        <v>1</v>
      </c>
      <c r="H49" s="11">
        <v>400</v>
      </c>
      <c r="I49" s="12">
        <v>42372</v>
      </c>
      <c r="J49" s="13">
        <f t="shared" si="3"/>
        <v>0</v>
      </c>
      <c r="K49" s="14">
        <v>400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5">
        <f t="shared" si="2"/>
        <v>400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5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16"/>
    </row>
    <row r="50" spans="2:50" x14ac:dyDescent="0.2">
      <c r="B50" s="7" t="s">
        <v>47</v>
      </c>
      <c r="C50" s="8">
        <v>10843</v>
      </c>
      <c r="D50" s="9" t="s">
        <v>162</v>
      </c>
      <c r="E50" s="10" t="s">
        <v>163</v>
      </c>
      <c r="F50" s="10" t="s">
        <v>164</v>
      </c>
      <c r="G50" s="8">
        <v>1</v>
      </c>
      <c r="H50" s="11">
        <v>800</v>
      </c>
      <c r="I50" s="12">
        <v>42372</v>
      </c>
      <c r="J50" s="13">
        <f t="shared" si="3"/>
        <v>0</v>
      </c>
      <c r="K50" s="14">
        <v>400</v>
      </c>
      <c r="L50" s="14">
        <v>400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5">
        <f t="shared" si="2"/>
        <v>800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5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16"/>
    </row>
    <row r="51" spans="2:50" x14ac:dyDescent="0.2">
      <c r="B51" s="7" t="s">
        <v>69</v>
      </c>
      <c r="C51" s="8">
        <v>10844</v>
      </c>
      <c r="D51" s="9" t="s">
        <v>165</v>
      </c>
      <c r="E51" s="10" t="s">
        <v>166</v>
      </c>
      <c r="F51" s="10" t="s">
        <v>167</v>
      </c>
      <c r="G51" s="8">
        <v>1</v>
      </c>
      <c r="H51" s="11">
        <v>350</v>
      </c>
      <c r="I51" s="12">
        <v>42372</v>
      </c>
      <c r="J51" s="13">
        <f t="shared" si="3"/>
        <v>0</v>
      </c>
      <c r="K51" s="14">
        <v>350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si="2"/>
        <v>350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5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16"/>
    </row>
    <row r="52" spans="2:50" x14ac:dyDescent="0.2">
      <c r="B52" s="7" t="s">
        <v>69</v>
      </c>
      <c r="C52" s="8">
        <v>10845</v>
      </c>
      <c r="D52" s="9" t="s">
        <v>168</v>
      </c>
      <c r="E52" s="10" t="s">
        <v>169</v>
      </c>
      <c r="F52" s="10" t="s">
        <v>170</v>
      </c>
      <c r="G52" s="8">
        <v>1</v>
      </c>
      <c r="H52" s="11">
        <v>0</v>
      </c>
      <c r="I52" s="12">
        <v>42372</v>
      </c>
      <c r="J52" s="13">
        <f t="shared" si="3"/>
        <v>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2"/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5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16"/>
    </row>
    <row r="53" spans="2:50" x14ac:dyDescent="0.2">
      <c r="B53" s="7" t="s">
        <v>69</v>
      </c>
      <c r="C53" s="8">
        <v>10845</v>
      </c>
      <c r="D53" s="9" t="s">
        <v>168</v>
      </c>
      <c r="E53" s="10" t="s">
        <v>169</v>
      </c>
      <c r="F53" s="10" t="s">
        <v>170</v>
      </c>
      <c r="G53" s="8">
        <v>3</v>
      </c>
      <c r="H53" s="11">
        <v>160</v>
      </c>
      <c r="I53" s="12">
        <v>42372</v>
      </c>
      <c r="J53" s="13">
        <f t="shared" si="3"/>
        <v>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2"/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5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16"/>
    </row>
    <row r="54" spans="2:50" x14ac:dyDescent="0.2">
      <c r="B54" s="7" t="s">
        <v>47</v>
      </c>
      <c r="C54" s="8">
        <v>10846</v>
      </c>
      <c r="D54" s="9" t="s">
        <v>171</v>
      </c>
      <c r="E54" s="10" t="s">
        <v>172</v>
      </c>
      <c r="F54" s="10" t="s">
        <v>173</v>
      </c>
      <c r="G54" s="8">
        <v>1</v>
      </c>
      <c r="H54" s="11">
        <v>400</v>
      </c>
      <c r="I54" s="12">
        <v>42372</v>
      </c>
      <c r="J54" s="13">
        <f t="shared" si="3"/>
        <v>0</v>
      </c>
      <c r="K54" s="14">
        <v>400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2"/>
        <v>400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16"/>
    </row>
    <row r="55" spans="2:50" x14ac:dyDescent="0.2">
      <c r="B55" s="7" t="s">
        <v>69</v>
      </c>
      <c r="C55" s="8">
        <v>10847</v>
      </c>
      <c r="D55" s="9" t="s">
        <v>174</v>
      </c>
      <c r="E55" s="10" t="s">
        <v>175</v>
      </c>
      <c r="F55" s="10" t="s">
        <v>176</v>
      </c>
      <c r="G55" s="8">
        <v>1</v>
      </c>
      <c r="H55" s="11">
        <v>300</v>
      </c>
      <c r="I55" s="12">
        <v>42372</v>
      </c>
      <c r="J55" s="13">
        <f t="shared" si="3"/>
        <v>0</v>
      </c>
      <c r="K55" s="14">
        <v>300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2"/>
        <v>300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5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16"/>
    </row>
    <row r="56" spans="2:50" x14ac:dyDescent="0.2">
      <c r="B56" s="7" t="s">
        <v>37</v>
      </c>
      <c r="C56" s="8">
        <v>10848</v>
      </c>
      <c r="D56" s="9" t="s">
        <v>177</v>
      </c>
      <c r="E56" s="10" t="s">
        <v>178</v>
      </c>
      <c r="F56" s="10" t="s">
        <v>179</v>
      </c>
      <c r="G56" s="8">
        <v>1</v>
      </c>
      <c r="H56" s="11">
        <v>400</v>
      </c>
      <c r="I56" s="12">
        <v>42372</v>
      </c>
      <c r="J56" s="13">
        <f t="shared" si="3"/>
        <v>0</v>
      </c>
      <c r="K56" s="14">
        <v>400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2"/>
        <v>400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5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16"/>
    </row>
    <row r="57" spans="2:50" x14ac:dyDescent="0.2">
      <c r="B57" s="7" t="s">
        <v>37</v>
      </c>
      <c r="C57" s="8">
        <v>10849</v>
      </c>
      <c r="D57" s="9" t="s">
        <v>180</v>
      </c>
      <c r="E57" s="10" t="s">
        <v>181</v>
      </c>
      <c r="F57" s="10" t="s">
        <v>182</v>
      </c>
      <c r="G57" s="8">
        <v>1</v>
      </c>
      <c r="H57" s="11">
        <v>400</v>
      </c>
      <c r="I57" s="12">
        <v>42372</v>
      </c>
      <c r="J57" s="13">
        <f t="shared" si="3"/>
        <v>0</v>
      </c>
      <c r="K57" s="14">
        <v>400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2"/>
        <v>400</v>
      </c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5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5"/>
      <c r="AX57" s="16"/>
    </row>
    <row r="58" spans="2:50" x14ac:dyDescent="0.2">
      <c r="B58" s="7" t="s">
        <v>47</v>
      </c>
      <c r="C58" s="8">
        <v>10850</v>
      </c>
      <c r="D58" s="9" t="s">
        <v>183</v>
      </c>
      <c r="E58" s="10" t="s">
        <v>184</v>
      </c>
      <c r="F58" s="10" t="s">
        <v>185</v>
      </c>
      <c r="G58" s="8">
        <v>1</v>
      </c>
      <c r="H58" s="11">
        <v>0</v>
      </c>
      <c r="I58" s="12">
        <v>42372</v>
      </c>
      <c r="J58" s="13">
        <f t="shared" si="3"/>
        <v>0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2"/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5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5"/>
      <c r="AX58" s="16"/>
    </row>
    <row r="59" spans="2:50" x14ac:dyDescent="0.2">
      <c r="B59" s="7" t="s">
        <v>69</v>
      </c>
      <c r="C59" s="8">
        <v>10851</v>
      </c>
      <c r="D59" s="9" t="s">
        <v>186</v>
      </c>
      <c r="E59" s="10" t="s">
        <v>187</v>
      </c>
      <c r="F59" s="10" t="s">
        <v>188</v>
      </c>
      <c r="G59" s="8">
        <v>1</v>
      </c>
      <c r="H59" s="11">
        <v>400</v>
      </c>
      <c r="I59" s="12">
        <v>42372</v>
      </c>
      <c r="J59" s="13">
        <f t="shared" si="3"/>
        <v>0</v>
      </c>
      <c r="K59" s="14">
        <v>400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2"/>
        <v>400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5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5"/>
      <c r="AX59" s="16"/>
    </row>
    <row r="60" spans="2:50" x14ac:dyDescent="0.2">
      <c r="B60" s="7" t="s">
        <v>47</v>
      </c>
      <c r="C60" s="8">
        <v>10852</v>
      </c>
      <c r="D60" s="9" t="s">
        <v>189</v>
      </c>
      <c r="E60" s="10" t="s">
        <v>190</v>
      </c>
      <c r="F60" s="10" t="s">
        <v>191</v>
      </c>
      <c r="G60" s="8">
        <v>1</v>
      </c>
      <c r="H60" s="11">
        <v>400</v>
      </c>
      <c r="I60" s="12">
        <v>42372</v>
      </c>
      <c r="J60" s="13">
        <f t="shared" si="3"/>
        <v>0</v>
      </c>
      <c r="K60" s="14">
        <v>400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2"/>
        <v>400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5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5"/>
      <c r="AX60" s="16"/>
    </row>
    <row r="61" spans="2:50" x14ac:dyDescent="0.2">
      <c r="B61" s="7" t="s">
        <v>93</v>
      </c>
      <c r="C61" s="8">
        <v>10853</v>
      </c>
      <c r="D61" s="9"/>
      <c r="E61" s="10" t="s">
        <v>93</v>
      </c>
      <c r="F61" s="10" t="s">
        <v>93</v>
      </c>
      <c r="G61" s="8">
        <v>8</v>
      </c>
      <c r="H61" s="11"/>
      <c r="I61" s="12"/>
      <c r="J61" s="13">
        <f t="shared" si="3"/>
        <v>0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5">
        <f t="shared" si="2"/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5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5"/>
      <c r="AX61" s="16"/>
    </row>
    <row r="62" spans="2:50" x14ac:dyDescent="0.2">
      <c r="B62" s="7" t="s">
        <v>37</v>
      </c>
      <c r="C62" s="8">
        <v>10854</v>
      </c>
      <c r="D62" s="9" t="s">
        <v>192</v>
      </c>
      <c r="E62" s="10" t="s">
        <v>193</v>
      </c>
      <c r="F62" s="10" t="s">
        <v>194</v>
      </c>
      <c r="G62" s="8">
        <v>1</v>
      </c>
      <c r="H62" s="11">
        <v>0</v>
      </c>
      <c r="I62" s="12">
        <v>42372</v>
      </c>
      <c r="J62" s="13">
        <f t="shared" si="3"/>
        <v>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>
        <f t="shared" si="2"/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5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16"/>
    </row>
    <row r="63" spans="2:50" x14ac:dyDescent="0.2">
      <c r="B63" s="7" t="s">
        <v>73</v>
      </c>
      <c r="C63" s="8">
        <v>10855</v>
      </c>
      <c r="D63" s="9" t="s">
        <v>195</v>
      </c>
      <c r="E63" s="10" t="s">
        <v>196</v>
      </c>
      <c r="F63" s="10" t="s">
        <v>197</v>
      </c>
      <c r="G63" s="8">
        <v>1</v>
      </c>
      <c r="H63" s="11">
        <v>400</v>
      </c>
      <c r="I63" s="12">
        <v>42372</v>
      </c>
      <c r="J63" s="13">
        <f t="shared" si="3"/>
        <v>0</v>
      </c>
      <c r="K63" s="14">
        <v>400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>
        <f t="shared" si="2"/>
        <v>400</v>
      </c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5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5"/>
      <c r="AX63" s="16" t="s">
        <v>198</v>
      </c>
    </row>
    <row r="64" spans="2:50" x14ac:dyDescent="0.2">
      <c r="B64" s="7" t="s">
        <v>73</v>
      </c>
      <c r="C64" s="8">
        <v>10856</v>
      </c>
      <c r="D64" s="9" t="s">
        <v>199</v>
      </c>
      <c r="E64" s="10" t="s">
        <v>200</v>
      </c>
      <c r="F64" s="10" t="s">
        <v>201</v>
      </c>
      <c r="G64" s="8">
        <v>1</v>
      </c>
      <c r="H64" s="11">
        <v>400</v>
      </c>
      <c r="I64" s="12">
        <v>42374</v>
      </c>
      <c r="J64" s="13">
        <f t="shared" si="3"/>
        <v>0</v>
      </c>
      <c r="K64" s="14">
        <v>400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>
        <f t="shared" si="2"/>
        <v>400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5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5"/>
      <c r="AX64" s="16"/>
    </row>
    <row r="65" spans="2:50" x14ac:dyDescent="0.2">
      <c r="B65" s="7" t="s">
        <v>73</v>
      </c>
      <c r="C65" s="8">
        <v>10856</v>
      </c>
      <c r="D65" s="9" t="s">
        <v>199</v>
      </c>
      <c r="E65" s="10" t="s">
        <v>200</v>
      </c>
      <c r="F65" s="10" t="s">
        <v>201</v>
      </c>
      <c r="G65" s="8">
        <v>4</v>
      </c>
      <c r="H65" s="11">
        <v>160</v>
      </c>
      <c r="I65" s="12">
        <v>42374</v>
      </c>
      <c r="J65" s="13">
        <f t="shared" si="3"/>
        <v>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5">
        <f t="shared" si="2"/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5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5"/>
      <c r="AX65" s="7">
        <v>1033</v>
      </c>
    </row>
    <row r="66" spans="2:50" x14ac:dyDescent="0.2">
      <c r="B66" s="7" t="s">
        <v>73</v>
      </c>
      <c r="C66" s="8">
        <v>10857</v>
      </c>
      <c r="D66" s="9" t="s">
        <v>202</v>
      </c>
      <c r="E66" s="10" t="s">
        <v>203</v>
      </c>
      <c r="F66" s="10" t="s">
        <v>204</v>
      </c>
      <c r="G66" s="8">
        <v>1</v>
      </c>
      <c r="H66" s="11">
        <v>400</v>
      </c>
      <c r="I66" s="12">
        <v>42374</v>
      </c>
      <c r="J66" s="13">
        <f t="shared" si="3"/>
        <v>0</v>
      </c>
      <c r="K66" s="14">
        <v>400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si="2"/>
        <v>400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5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5"/>
      <c r="AX66" s="16"/>
    </row>
    <row r="67" spans="2:50" x14ac:dyDescent="0.2">
      <c r="B67" s="7" t="s">
        <v>37</v>
      </c>
      <c r="C67" s="8">
        <v>10858</v>
      </c>
      <c r="D67" s="9" t="s">
        <v>205</v>
      </c>
      <c r="E67" s="10" t="s">
        <v>206</v>
      </c>
      <c r="F67" s="10" t="s">
        <v>207</v>
      </c>
      <c r="G67" s="8">
        <v>1</v>
      </c>
      <c r="H67" s="11">
        <v>0</v>
      </c>
      <c r="I67" s="12">
        <v>42374</v>
      </c>
      <c r="J67" s="13">
        <f t="shared" si="3"/>
        <v>0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2"/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5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5"/>
      <c r="AX67" s="16"/>
    </row>
    <row r="68" spans="2:50" x14ac:dyDescent="0.2">
      <c r="B68" s="7" t="s">
        <v>47</v>
      </c>
      <c r="C68" s="8">
        <v>10859</v>
      </c>
      <c r="D68" s="9" t="s">
        <v>208</v>
      </c>
      <c r="E68" s="10" t="s">
        <v>209</v>
      </c>
      <c r="F68" s="10" t="s">
        <v>210</v>
      </c>
      <c r="G68" s="8"/>
      <c r="H68" s="11"/>
      <c r="I68" s="12">
        <v>42374</v>
      </c>
      <c r="J68" s="13">
        <f t="shared" si="3"/>
        <v>0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2"/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5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5"/>
      <c r="AX68" s="16"/>
    </row>
    <row r="69" spans="2:50" x14ac:dyDescent="0.2">
      <c r="B69" s="7" t="s">
        <v>69</v>
      </c>
      <c r="C69" s="8">
        <v>10860</v>
      </c>
      <c r="D69" s="9" t="s">
        <v>211</v>
      </c>
      <c r="E69" s="10" t="s">
        <v>212</v>
      </c>
      <c r="F69" s="10" t="s">
        <v>213</v>
      </c>
      <c r="G69" s="8"/>
      <c r="H69" s="11"/>
      <c r="I69" s="12">
        <v>42374</v>
      </c>
      <c r="J69" s="13">
        <f t="shared" si="3"/>
        <v>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2"/>
        <v>0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5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5"/>
      <c r="AX69" s="16"/>
    </row>
    <row r="70" spans="2:50" x14ac:dyDescent="0.2">
      <c r="B70" s="7" t="s">
        <v>61</v>
      </c>
      <c r="C70" s="8">
        <v>10861</v>
      </c>
      <c r="D70" s="9" t="s">
        <v>214</v>
      </c>
      <c r="E70" s="10" t="s">
        <v>215</v>
      </c>
      <c r="F70" s="10" t="s">
        <v>216</v>
      </c>
      <c r="G70" s="8">
        <v>1</v>
      </c>
      <c r="H70" s="11">
        <v>0</v>
      </c>
      <c r="I70" s="12">
        <v>42374</v>
      </c>
      <c r="J70" s="13">
        <f t="shared" si="3"/>
        <v>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2"/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16"/>
    </row>
    <row r="71" spans="2:50" x14ac:dyDescent="0.2">
      <c r="B71" s="7" t="s">
        <v>69</v>
      </c>
      <c r="C71" s="8">
        <v>10862</v>
      </c>
      <c r="D71" s="9" t="s">
        <v>211</v>
      </c>
      <c r="E71" s="10" t="s">
        <v>212</v>
      </c>
      <c r="F71" s="10" t="s">
        <v>213</v>
      </c>
      <c r="G71" s="8">
        <v>1</v>
      </c>
      <c r="H71" s="11">
        <v>0</v>
      </c>
      <c r="I71" s="12">
        <v>42374</v>
      </c>
      <c r="J71" s="13">
        <f t="shared" si="3"/>
        <v>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2"/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5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5"/>
      <c r="AX71" s="16"/>
    </row>
    <row r="72" spans="2:50" x14ac:dyDescent="0.2">
      <c r="B72" s="7" t="s">
        <v>122</v>
      </c>
      <c r="C72" s="8">
        <v>10863</v>
      </c>
      <c r="D72" s="9" t="s">
        <v>217</v>
      </c>
      <c r="E72" s="10" t="s">
        <v>218</v>
      </c>
      <c r="F72" s="10" t="s">
        <v>219</v>
      </c>
      <c r="G72" s="8">
        <v>1</v>
      </c>
      <c r="H72" s="11">
        <v>900</v>
      </c>
      <c r="I72" s="12">
        <v>42374</v>
      </c>
      <c r="J72" s="13">
        <f t="shared" si="3"/>
        <v>0</v>
      </c>
      <c r="K72" s="14">
        <v>300</v>
      </c>
      <c r="L72" s="14">
        <v>300</v>
      </c>
      <c r="M72" s="14">
        <v>300</v>
      </c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2"/>
        <v>900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5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5"/>
      <c r="AX72" s="16"/>
    </row>
    <row r="73" spans="2:50" x14ac:dyDescent="0.2">
      <c r="B73" s="7" t="s">
        <v>122</v>
      </c>
      <c r="C73" s="8">
        <v>10864</v>
      </c>
      <c r="D73" s="9" t="s">
        <v>220</v>
      </c>
      <c r="E73" s="10" t="s">
        <v>221</v>
      </c>
      <c r="F73" s="10" t="s">
        <v>222</v>
      </c>
      <c r="G73" s="8">
        <v>1</v>
      </c>
      <c r="H73" s="11">
        <v>300</v>
      </c>
      <c r="I73" s="12">
        <v>42374</v>
      </c>
      <c r="J73" s="13">
        <f t="shared" si="3"/>
        <v>0</v>
      </c>
      <c r="K73" s="14">
        <v>300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2"/>
        <v>300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5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5"/>
      <c r="AX73" s="16"/>
    </row>
    <row r="74" spans="2:50" x14ac:dyDescent="0.2">
      <c r="B74" s="7" t="s">
        <v>122</v>
      </c>
      <c r="C74" s="8">
        <v>10865</v>
      </c>
      <c r="D74" s="9" t="s">
        <v>220</v>
      </c>
      <c r="E74" s="10" t="s">
        <v>221</v>
      </c>
      <c r="F74" s="10" t="s">
        <v>222</v>
      </c>
      <c r="G74" s="8">
        <v>3</v>
      </c>
      <c r="H74" s="11">
        <v>160</v>
      </c>
      <c r="I74" s="12">
        <v>42375</v>
      </c>
      <c r="J74" s="13">
        <f t="shared" si="3"/>
        <v>0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2"/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5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5"/>
      <c r="AX74" s="16"/>
    </row>
    <row r="75" spans="2:50" x14ac:dyDescent="0.2">
      <c r="B75" s="7" t="s">
        <v>37</v>
      </c>
      <c r="C75" s="8">
        <v>10866</v>
      </c>
      <c r="D75" s="9" t="s">
        <v>223</v>
      </c>
      <c r="E75" s="10" t="s">
        <v>224</v>
      </c>
      <c r="F75" s="10" t="s">
        <v>225</v>
      </c>
      <c r="G75" s="8">
        <v>1</v>
      </c>
      <c r="H75" s="11">
        <v>200</v>
      </c>
      <c r="I75" s="12">
        <v>42376</v>
      </c>
      <c r="J75" s="13">
        <f t="shared" si="3"/>
        <v>0</v>
      </c>
      <c r="K75" s="14">
        <v>100</v>
      </c>
      <c r="L75" s="14">
        <v>100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2"/>
        <v>200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5"/>
      <c r="AX75" s="16"/>
    </row>
    <row r="76" spans="2:50" x14ac:dyDescent="0.2">
      <c r="B76" s="7" t="s">
        <v>37</v>
      </c>
      <c r="C76" s="8">
        <v>10867</v>
      </c>
      <c r="D76" s="9" t="s">
        <v>226</v>
      </c>
      <c r="E76" s="10" t="s">
        <v>227</v>
      </c>
      <c r="F76" s="10" t="s">
        <v>228</v>
      </c>
      <c r="G76" s="8">
        <v>1</v>
      </c>
      <c r="H76" s="11">
        <v>200</v>
      </c>
      <c r="I76" s="12">
        <v>42376</v>
      </c>
      <c r="J76" s="13">
        <f t="shared" si="3"/>
        <v>0</v>
      </c>
      <c r="K76" s="14">
        <v>200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5">
        <f t="shared" si="2"/>
        <v>200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5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5"/>
      <c r="AX76" s="16"/>
    </row>
    <row r="77" spans="2:50" x14ac:dyDescent="0.2">
      <c r="B77" s="7" t="s">
        <v>47</v>
      </c>
      <c r="C77" s="8">
        <v>10868</v>
      </c>
      <c r="D77" s="9" t="s">
        <v>229</v>
      </c>
      <c r="E77" s="10" t="s">
        <v>230</v>
      </c>
      <c r="F77" s="10" t="s">
        <v>231</v>
      </c>
      <c r="G77" s="8">
        <v>1</v>
      </c>
      <c r="H77" s="11">
        <v>4400</v>
      </c>
      <c r="I77" s="12">
        <v>42376</v>
      </c>
      <c r="J77" s="13">
        <f t="shared" si="3"/>
        <v>0</v>
      </c>
      <c r="K77" s="14">
        <v>400</v>
      </c>
      <c r="L77" s="14">
        <v>400</v>
      </c>
      <c r="M77" s="14">
        <v>400</v>
      </c>
      <c r="N77" s="14">
        <v>400</v>
      </c>
      <c r="O77" s="14">
        <v>400</v>
      </c>
      <c r="P77" s="14">
        <v>400</v>
      </c>
      <c r="Q77" s="14">
        <v>400</v>
      </c>
      <c r="R77" s="14">
        <v>400</v>
      </c>
      <c r="S77" s="14">
        <v>400</v>
      </c>
      <c r="T77" s="14">
        <v>400</v>
      </c>
      <c r="U77" s="14">
        <v>400</v>
      </c>
      <c r="V77" s="14"/>
      <c r="W77" s="15">
        <f t="shared" si="2"/>
        <v>4400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5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5"/>
      <c r="AX77" s="16" t="s">
        <v>57</v>
      </c>
    </row>
    <row r="78" spans="2:50" x14ac:dyDescent="0.2">
      <c r="B78" s="7" t="s">
        <v>37</v>
      </c>
      <c r="C78" s="8">
        <v>10869</v>
      </c>
      <c r="D78" s="9" t="s">
        <v>232</v>
      </c>
      <c r="E78" s="10" t="s">
        <v>233</v>
      </c>
      <c r="F78" s="10" t="s">
        <v>234</v>
      </c>
      <c r="G78" s="8">
        <v>1</v>
      </c>
      <c r="H78" s="11">
        <v>4400</v>
      </c>
      <c r="I78" s="12">
        <v>42379</v>
      </c>
      <c r="J78" s="13">
        <f t="shared" si="3"/>
        <v>0</v>
      </c>
      <c r="K78" s="14">
        <v>400</v>
      </c>
      <c r="L78" s="14">
        <v>400</v>
      </c>
      <c r="M78" s="14">
        <v>400</v>
      </c>
      <c r="N78" s="14">
        <v>400</v>
      </c>
      <c r="O78" s="14">
        <v>400</v>
      </c>
      <c r="P78" s="14">
        <v>400</v>
      </c>
      <c r="Q78" s="14">
        <v>400</v>
      </c>
      <c r="R78" s="14">
        <v>400</v>
      </c>
      <c r="S78" s="14">
        <v>400</v>
      </c>
      <c r="T78" s="14">
        <v>400</v>
      </c>
      <c r="U78" s="14">
        <v>400</v>
      </c>
      <c r="V78" s="14"/>
      <c r="W78" s="15">
        <f t="shared" si="2"/>
        <v>4400</v>
      </c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5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5"/>
      <c r="AX78" s="16" t="s">
        <v>57</v>
      </c>
    </row>
    <row r="79" spans="2:50" x14ac:dyDescent="0.2">
      <c r="B79" s="7" t="s">
        <v>47</v>
      </c>
      <c r="C79" s="8">
        <v>10870</v>
      </c>
      <c r="D79" s="9" t="s">
        <v>235</v>
      </c>
      <c r="E79" s="10" t="s">
        <v>236</v>
      </c>
      <c r="F79" s="10" t="s">
        <v>237</v>
      </c>
      <c r="G79" s="8">
        <v>1</v>
      </c>
      <c r="H79" s="11">
        <v>0</v>
      </c>
      <c r="I79" s="12">
        <v>42379</v>
      </c>
      <c r="J79" s="13">
        <f t="shared" si="3"/>
        <v>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>
        <f t="shared" si="2"/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5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5"/>
      <c r="AX79" s="16"/>
    </row>
    <row r="80" spans="2:50" x14ac:dyDescent="0.2">
      <c r="B80" s="7" t="s">
        <v>47</v>
      </c>
      <c r="C80" s="8">
        <v>10871</v>
      </c>
      <c r="D80" s="9" t="s">
        <v>238</v>
      </c>
      <c r="E80" s="10" t="s">
        <v>239</v>
      </c>
      <c r="F80" s="10" t="s">
        <v>240</v>
      </c>
      <c r="G80" s="8">
        <v>1</v>
      </c>
      <c r="H80" s="11">
        <v>125</v>
      </c>
      <c r="I80" s="12">
        <v>42379</v>
      </c>
      <c r="J80" s="13">
        <f t="shared" si="3"/>
        <v>0</v>
      </c>
      <c r="K80" s="14">
        <v>125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5">
        <f t="shared" si="2"/>
        <v>125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5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5"/>
      <c r="AX80" s="16"/>
    </row>
    <row r="81" spans="2:50" x14ac:dyDescent="0.2">
      <c r="B81" s="7" t="s">
        <v>47</v>
      </c>
      <c r="C81" s="8">
        <v>10872</v>
      </c>
      <c r="D81" s="9" t="s">
        <v>241</v>
      </c>
      <c r="E81" s="10" t="s">
        <v>242</v>
      </c>
      <c r="F81" s="10" t="s">
        <v>243</v>
      </c>
      <c r="G81" s="8">
        <v>1</v>
      </c>
      <c r="H81" s="11">
        <v>400</v>
      </c>
      <c r="I81" s="12">
        <v>42379</v>
      </c>
      <c r="J81" s="13">
        <f t="shared" si="3"/>
        <v>0</v>
      </c>
      <c r="K81" s="14">
        <v>400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si="2"/>
        <v>400</v>
      </c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5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5"/>
      <c r="AX81" s="16"/>
    </row>
    <row r="82" spans="2:50" x14ac:dyDescent="0.2">
      <c r="B82" s="7" t="s">
        <v>47</v>
      </c>
      <c r="C82" s="8">
        <v>10873</v>
      </c>
      <c r="D82" s="9" t="s">
        <v>244</v>
      </c>
      <c r="E82" s="10" t="s">
        <v>245</v>
      </c>
      <c r="F82" s="10" t="s">
        <v>246</v>
      </c>
      <c r="G82" s="8">
        <v>1</v>
      </c>
      <c r="H82" s="11">
        <v>4800</v>
      </c>
      <c r="I82" s="12">
        <v>42379</v>
      </c>
      <c r="J82" s="13">
        <f t="shared" si="3"/>
        <v>0</v>
      </c>
      <c r="K82" s="14">
        <v>400</v>
      </c>
      <c r="L82" s="14">
        <v>400</v>
      </c>
      <c r="M82" s="14">
        <v>400</v>
      </c>
      <c r="N82" s="14">
        <v>400</v>
      </c>
      <c r="O82" s="14">
        <v>400</v>
      </c>
      <c r="P82" s="14">
        <v>400</v>
      </c>
      <c r="Q82" s="14">
        <v>400</v>
      </c>
      <c r="R82" s="14">
        <v>400</v>
      </c>
      <c r="S82" s="14">
        <v>400</v>
      </c>
      <c r="T82" s="14">
        <v>400</v>
      </c>
      <c r="U82" s="14">
        <v>400</v>
      </c>
      <c r="V82" s="14">
        <v>400</v>
      </c>
      <c r="W82" s="15">
        <f t="shared" si="2"/>
        <v>4800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5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5"/>
      <c r="AX82" s="16"/>
    </row>
    <row r="83" spans="2:50" x14ac:dyDescent="0.2">
      <c r="B83" s="7" t="s">
        <v>37</v>
      </c>
      <c r="C83" s="8">
        <v>10874</v>
      </c>
      <c r="D83" s="9" t="s">
        <v>247</v>
      </c>
      <c r="E83" s="10" t="s">
        <v>248</v>
      </c>
      <c r="F83" s="10" t="s">
        <v>249</v>
      </c>
      <c r="G83" s="8">
        <v>1</v>
      </c>
      <c r="H83" s="11">
        <v>800</v>
      </c>
      <c r="I83" s="12">
        <v>42379</v>
      </c>
      <c r="J83" s="13">
        <f t="shared" si="3"/>
        <v>0</v>
      </c>
      <c r="K83" s="14">
        <v>400</v>
      </c>
      <c r="L83" s="14">
        <v>400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2"/>
        <v>800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5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5"/>
      <c r="AX83" s="16"/>
    </row>
    <row r="84" spans="2:50" x14ac:dyDescent="0.2">
      <c r="B84" s="7" t="s">
        <v>47</v>
      </c>
      <c r="C84" s="8">
        <v>10875</v>
      </c>
      <c r="D84" s="9" t="s">
        <v>250</v>
      </c>
      <c r="E84" s="10" t="s">
        <v>251</v>
      </c>
      <c r="F84" s="10" t="s">
        <v>252</v>
      </c>
      <c r="G84" s="8">
        <v>1</v>
      </c>
      <c r="H84" s="11">
        <v>400</v>
      </c>
      <c r="I84" s="12">
        <v>42379</v>
      </c>
      <c r="J84" s="13">
        <f t="shared" si="3"/>
        <v>0</v>
      </c>
      <c r="K84" s="14">
        <v>400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2"/>
        <v>400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5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5"/>
      <c r="AX84" s="16"/>
    </row>
    <row r="85" spans="2:50" x14ac:dyDescent="0.2">
      <c r="B85" s="7" t="s">
        <v>69</v>
      </c>
      <c r="C85" s="8">
        <v>10876</v>
      </c>
      <c r="D85" s="9" t="s">
        <v>253</v>
      </c>
      <c r="E85" s="10" t="s">
        <v>254</v>
      </c>
      <c r="F85" s="10" t="s">
        <v>255</v>
      </c>
      <c r="G85" s="8">
        <v>1</v>
      </c>
      <c r="H85" s="11">
        <v>3300</v>
      </c>
      <c r="I85" s="12">
        <v>42379</v>
      </c>
      <c r="J85" s="13">
        <f t="shared" si="3"/>
        <v>0</v>
      </c>
      <c r="K85" s="14">
        <v>300</v>
      </c>
      <c r="L85" s="14">
        <v>300</v>
      </c>
      <c r="M85" s="14">
        <v>300</v>
      </c>
      <c r="N85" s="14">
        <v>300</v>
      </c>
      <c r="O85" s="14">
        <v>300</v>
      </c>
      <c r="P85" s="14">
        <v>300</v>
      </c>
      <c r="Q85" s="14">
        <v>300</v>
      </c>
      <c r="R85" s="14">
        <v>300</v>
      </c>
      <c r="S85" s="14">
        <v>300</v>
      </c>
      <c r="T85" s="14">
        <v>300</v>
      </c>
      <c r="U85" s="14">
        <v>300</v>
      </c>
      <c r="V85" s="14"/>
      <c r="W85" s="15">
        <f t="shared" si="2"/>
        <v>3300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5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5"/>
      <c r="AX85" s="16" t="s">
        <v>57</v>
      </c>
    </row>
    <row r="86" spans="2:50" x14ac:dyDescent="0.2">
      <c r="B86" s="7" t="s">
        <v>122</v>
      </c>
      <c r="C86" s="8">
        <v>10877</v>
      </c>
      <c r="D86" s="9" t="s">
        <v>256</v>
      </c>
      <c r="E86" s="10" t="s">
        <v>257</v>
      </c>
      <c r="F86" s="10" t="s">
        <v>258</v>
      </c>
      <c r="G86" s="8">
        <v>1</v>
      </c>
      <c r="H86" s="11">
        <v>300</v>
      </c>
      <c r="I86" s="12">
        <v>42379</v>
      </c>
      <c r="J86" s="13">
        <f t="shared" si="3"/>
        <v>0</v>
      </c>
      <c r="K86" s="14">
        <v>300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2"/>
        <v>300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5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16"/>
    </row>
    <row r="87" spans="2:50" x14ac:dyDescent="0.2">
      <c r="B87" s="7" t="s">
        <v>73</v>
      </c>
      <c r="C87" s="8">
        <v>10878</v>
      </c>
      <c r="D87" s="9" t="s">
        <v>259</v>
      </c>
      <c r="E87" s="10" t="s">
        <v>260</v>
      </c>
      <c r="F87" s="10" t="s">
        <v>261</v>
      </c>
      <c r="G87" s="8">
        <v>1</v>
      </c>
      <c r="H87" s="11">
        <v>400</v>
      </c>
      <c r="I87" s="12">
        <v>42379</v>
      </c>
      <c r="J87" s="13">
        <f t="shared" si="3"/>
        <v>0</v>
      </c>
      <c r="K87" s="14">
        <v>400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2"/>
        <v>400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5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5"/>
      <c r="AX87" s="16"/>
    </row>
    <row r="88" spans="2:50" x14ac:dyDescent="0.2">
      <c r="B88" s="7" t="s">
        <v>122</v>
      </c>
      <c r="C88" s="8">
        <v>10879</v>
      </c>
      <c r="D88" s="9" t="s">
        <v>262</v>
      </c>
      <c r="E88" s="10" t="s">
        <v>263</v>
      </c>
      <c r="F88" s="10" t="s">
        <v>264</v>
      </c>
      <c r="G88" s="8">
        <v>1</v>
      </c>
      <c r="H88" s="11">
        <v>300</v>
      </c>
      <c r="I88" s="12">
        <v>42379</v>
      </c>
      <c r="J88" s="13">
        <f t="shared" si="3"/>
        <v>0</v>
      </c>
      <c r="K88" s="14">
        <v>300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2"/>
        <v>300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5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5"/>
      <c r="AX88" s="16"/>
    </row>
    <row r="89" spans="2:50" x14ac:dyDescent="0.2">
      <c r="B89" s="7" t="s">
        <v>69</v>
      </c>
      <c r="C89" s="8">
        <v>10880</v>
      </c>
      <c r="D89" s="9" t="s">
        <v>265</v>
      </c>
      <c r="E89" s="10" t="s">
        <v>266</v>
      </c>
      <c r="F89" s="10" t="s">
        <v>267</v>
      </c>
      <c r="G89" s="8">
        <v>1</v>
      </c>
      <c r="H89" s="11">
        <v>400</v>
      </c>
      <c r="I89" s="12">
        <v>42379</v>
      </c>
      <c r="J89" s="13">
        <f t="shared" si="3"/>
        <v>0</v>
      </c>
      <c r="K89" s="14">
        <v>400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ref="W89:W152" si="4">SUM(K89:V89)</f>
        <v>400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5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5"/>
      <c r="AX89" s="16"/>
    </row>
    <row r="90" spans="2:50" x14ac:dyDescent="0.2">
      <c r="B90" s="7" t="s">
        <v>37</v>
      </c>
      <c r="C90" s="8">
        <v>10881</v>
      </c>
      <c r="D90" s="9" t="s">
        <v>268</v>
      </c>
      <c r="E90" s="10" t="s">
        <v>269</v>
      </c>
      <c r="F90" s="10" t="s">
        <v>270</v>
      </c>
      <c r="G90" s="8">
        <v>1</v>
      </c>
      <c r="H90" s="11">
        <v>300</v>
      </c>
      <c r="I90" s="12">
        <v>42379</v>
      </c>
      <c r="J90" s="13">
        <f t="shared" si="3"/>
        <v>0</v>
      </c>
      <c r="K90" s="14">
        <v>300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4"/>
        <v>300</v>
      </c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5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5"/>
      <c r="AX90" s="16"/>
    </row>
    <row r="91" spans="2:50" x14ac:dyDescent="0.2">
      <c r="B91" s="7" t="s">
        <v>37</v>
      </c>
      <c r="C91" s="8">
        <v>10882</v>
      </c>
      <c r="D91" s="9" t="s">
        <v>271</v>
      </c>
      <c r="E91" s="10" t="s">
        <v>272</v>
      </c>
      <c r="F91" s="10" t="s">
        <v>273</v>
      </c>
      <c r="G91" s="8">
        <v>1</v>
      </c>
      <c r="H91" s="11">
        <v>400</v>
      </c>
      <c r="I91" s="12">
        <v>42379</v>
      </c>
      <c r="J91" s="13">
        <f t="shared" ref="J91:J154" si="5">IF(G91=1,SUM(W91,-H91),0)</f>
        <v>0</v>
      </c>
      <c r="K91" s="14">
        <v>400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5">
        <f t="shared" si="4"/>
        <v>400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5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5"/>
      <c r="AX91" s="16"/>
    </row>
    <row r="92" spans="2:50" x14ac:dyDescent="0.2">
      <c r="B92" s="7" t="s">
        <v>77</v>
      </c>
      <c r="C92" s="8">
        <v>10883</v>
      </c>
      <c r="D92" s="9" t="s">
        <v>274</v>
      </c>
      <c r="E92" s="10" t="s">
        <v>275</v>
      </c>
      <c r="F92" s="10" t="s">
        <v>276</v>
      </c>
      <c r="G92" s="8">
        <v>1</v>
      </c>
      <c r="H92" s="11">
        <v>0</v>
      </c>
      <c r="I92" s="12">
        <v>42379</v>
      </c>
      <c r="J92" s="13">
        <f t="shared" si="5"/>
        <v>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5">
        <f t="shared" si="4"/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5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5"/>
      <c r="AX92" s="16"/>
    </row>
    <row r="93" spans="2:50" x14ac:dyDescent="0.2">
      <c r="B93" s="7" t="s">
        <v>73</v>
      </c>
      <c r="C93" s="8">
        <v>10884</v>
      </c>
      <c r="D93" s="9" t="s">
        <v>277</v>
      </c>
      <c r="E93" s="10" t="s">
        <v>278</v>
      </c>
      <c r="F93" s="10" t="s">
        <v>279</v>
      </c>
      <c r="G93" s="8">
        <v>1</v>
      </c>
      <c r="H93" s="11">
        <v>200</v>
      </c>
      <c r="I93" s="12">
        <v>42379</v>
      </c>
      <c r="J93" s="13">
        <f t="shared" si="5"/>
        <v>0</v>
      </c>
      <c r="K93" s="14">
        <v>200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5">
        <f t="shared" si="4"/>
        <v>200</v>
      </c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5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5"/>
      <c r="AX93" s="16"/>
    </row>
    <row r="94" spans="2:50" x14ac:dyDescent="0.2">
      <c r="B94" s="7" t="s">
        <v>47</v>
      </c>
      <c r="C94" s="8">
        <v>10885</v>
      </c>
      <c r="D94" s="9" t="s">
        <v>280</v>
      </c>
      <c r="E94" s="10" t="s">
        <v>281</v>
      </c>
      <c r="F94" s="10" t="s">
        <v>282</v>
      </c>
      <c r="G94" s="8">
        <v>1</v>
      </c>
      <c r="H94" s="11">
        <v>400</v>
      </c>
      <c r="I94" s="12">
        <v>42379</v>
      </c>
      <c r="J94" s="13">
        <f t="shared" si="5"/>
        <v>0</v>
      </c>
      <c r="K94" s="14">
        <v>400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5">
        <f t="shared" si="4"/>
        <v>400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5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5"/>
      <c r="AX94" s="16"/>
    </row>
    <row r="95" spans="2:50" x14ac:dyDescent="0.2">
      <c r="B95" s="7" t="s">
        <v>73</v>
      </c>
      <c r="C95" s="8">
        <v>10886</v>
      </c>
      <c r="D95" s="9" t="s">
        <v>283</v>
      </c>
      <c r="E95" s="10" t="s">
        <v>284</v>
      </c>
      <c r="F95" s="10" t="s">
        <v>285</v>
      </c>
      <c r="G95" s="8">
        <v>1</v>
      </c>
      <c r="H95" s="11">
        <v>3000</v>
      </c>
      <c r="I95" s="12">
        <v>42379</v>
      </c>
      <c r="J95" s="13">
        <f t="shared" si="5"/>
        <v>0</v>
      </c>
      <c r="K95" s="14">
        <v>250</v>
      </c>
      <c r="L95" s="14">
        <v>250</v>
      </c>
      <c r="M95" s="14">
        <v>250</v>
      </c>
      <c r="N95" s="14">
        <v>250</v>
      </c>
      <c r="O95" s="14">
        <v>250</v>
      </c>
      <c r="P95" s="14">
        <v>250</v>
      </c>
      <c r="Q95" s="14">
        <v>250</v>
      </c>
      <c r="R95" s="14">
        <v>250</v>
      </c>
      <c r="S95" s="14">
        <v>250</v>
      </c>
      <c r="T95" s="14">
        <v>250</v>
      </c>
      <c r="U95" s="14">
        <v>250</v>
      </c>
      <c r="V95" s="14">
        <v>250</v>
      </c>
      <c r="W95" s="15">
        <f t="shared" si="4"/>
        <v>3000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5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5"/>
      <c r="AX95" s="16"/>
    </row>
    <row r="96" spans="2:50" x14ac:dyDescent="0.2">
      <c r="B96" s="7" t="s">
        <v>77</v>
      </c>
      <c r="C96" s="8">
        <v>10887</v>
      </c>
      <c r="D96" s="9" t="s">
        <v>286</v>
      </c>
      <c r="E96" s="10" t="s">
        <v>287</v>
      </c>
      <c r="F96" s="10" t="s">
        <v>288</v>
      </c>
      <c r="G96" s="8">
        <v>1</v>
      </c>
      <c r="H96" s="11">
        <v>400</v>
      </c>
      <c r="I96" s="12">
        <v>42379</v>
      </c>
      <c r="J96" s="13">
        <f t="shared" si="5"/>
        <v>0</v>
      </c>
      <c r="K96" s="14">
        <v>400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si="4"/>
        <v>400</v>
      </c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5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5"/>
      <c r="AX96" s="16"/>
    </row>
    <row r="97" spans="2:50" x14ac:dyDescent="0.2">
      <c r="B97" s="7" t="s">
        <v>73</v>
      </c>
      <c r="C97" s="8">
        <v>10888</v>
      </c>
      <c r="D97" s="9" t="s">
        <v>289</v>
      </c>
      <c r="E97" s="10" t="s">
        <v>290</v>
      </c>
      <c r="F97" s="10" t="s">
        <v>291</v>
      </c>
      <c r="G97" s="8">
        <v>1</v>
      </c>
      <c r="H97" s="11">
        <v>2750</v>
      </c>
      <c r="I97" s="12">
        <v>42379</v>
      </c>
      <c r="J97" s="13">
        <f t="shared" si="5"/>
        <v>0</v>
      </c>
      <c r="K97" s="14">
        <v>250</v>
      </c>
      <c r="L97" s="14">
        <v>250</v>
      </c>
      <c r="M97" s="14">
        <v>250</v>
      </c>
      <c r="N97" s="14">
        <v>250</v>
      </c>
      <c r="O97" s="14">
        <v>250</v>
      </c>
      <c r="P97" s="14">
        <v>250</v>
      </c>
      <c r="Q97" s="14">
        <v>250</v>
      </c>
      <c r="R97" s="14">
        <v>250</v>
      </c>
      <c r="S97" s="14">
        <v>250</v>
      </c>
      <c r="T97" s="14">
        <v>250</v>
      </c>
      <c r="U97" s="14">
        <v>250</v>
      </c>
      <c r="V97" s="14"/>
      <c r="W97" s="15">
        <f t="shared" si="4"/>
        <v>2750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5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5"/>
      <c r="AX97" s="16" t="s">
        <v>57</v>
      </c>
    </row>
    <row r="98" spans="2:50" x14ac:dyDescent="0.2">
      <c r="B98" s="7" t="s">
        <v>69</v>
      </c>
      <c r="C98" s="8">
        <v>10889</v>
      </c>
      <c r="D98" s="9" t="s">
        <v>292</v>
      </c>
      <c r="E98" s="10" t="s">
        <v>293</v>
      </c>
      <c r="F98" s="10" t="s">
        <v>294</v>
      </c>
      <c r="G98" s="8">
        <v>1</v>
      </c>
      <c r="H98" s="11">
        <v>400</v>
      </c>
      <c r="I98" s="12">
        <v>42379</v>
      </c>
      <c r="J98" s="13">
        <f t="shared" si="5"/>
        <v>0</v>
      </c>
      <c r="K98" s="14">
        <v>400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4"/>
        <v>400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5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5"/>
      <c r="AX98" s="16"/>
    </row>
    <row r="99" spans="2:50" x14ac:dyDescent="0.2">
      <c r="B99" s="7" t="s">
        <v>37</v>
      </c>
      <c r="C99" s="8">
        <v>10890</v>
      </c>
      <c r="D99" s="9" t="s">
        <v>295</v>
      </c>
      <c r="E99" s="10" t="s">
        <v>296</v>
      </c>
      <c r="F99" s="10" t="s">
        <v>297</v>
      </c>
      <c r="G99" s="8">
        <v>1</v>
      </c>
      <c r="H99" s="11">
        <v>0</v>
      </c>
      <c r="I99" s="12">
        <v>42379</v>
      </c>
      <c r="J99" s="13">
        <f t="shared" si="5"/>
        <v>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4"/>
        <v>0</v>
      </c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5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5"/>
      <c r="AX99" s="16"/>
    </row>
    <row r="100" spans="2:50" x14ac:dyDescent="0.2">
      <c r="B100" s="7" t="s">
        <v>37</v>
      </c>
      <c r="C100" s="8">
        <v>10891</v>
      </c>
      <c r="D100" s="9" t="s">
        <v>298</v>
      </c>
      <c r="E100" s="10" t="s">
        <v>299</v>
      </c>
      <c r="F100" s="10" t="s">
        <v>300</v>
      </c>
      <c r="G100" s="8">
        <v>1</v>
      </c>
      <c r="H100" s="11">
        <v>0</v>
      </c>
      <c r="I100" s="12">
        <v>42379</v>
      </c>
      <c r="J100" s="13">
        <f t="shared" si="5"/>
        <v>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4"/>
        <v>0</v>
      </c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5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5"/>
      <c r="AX100" s="16"/>
    </row>
    <row r="101" spans="2:50" x14ac:dyDescent="0.2">
      <c r="B101" s="7" t="s">
        <v>69</v>
      </c>
      <c r="C101" s="8">
        <v>10892</v>
      </c>
      <c r="D101" s="9" t="s">
        <v>135</v>
      </c>
      <c r="E101" s="10" t="s">
        <v>136</v>
      </c>
      <c r="F101" s="10" t="s">
        <v>137</v>
      </c>
      <c r="G101" s="8">
        <v>1</v>
      </c>
      <c r="H101" s="11">
        <v>300</v>
      </c>
      <c r="I101" s="12">
        <v>42379</v>
      </c>
      <c r="J101" s="13">
        <f t="shared" si="5"/>
        <v>0</v>
      </c>
      <c r="K101" s="14">
        <v>300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4"/>
        <v>300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5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5"/>
      <c r="AX101" s="16"/>
    </row>
    <row r="102" spans="2:50" x14ac:dyDescent="0.2">
      <c r="B102" s="7" t="s">
        <v>69</v>
      </c>
      <c r="C102" s="8">
        <v>10893</v>
      </c>
      <c r="D102" s="9" t="s">
        <v>301</v>
      </c>
      <c r="E102" s="10" t="s">
        <v>302</v>
      </c>
      <c r="F102" s="10" t="s">
        <v>303</v>
      </c>
      <c r="G102" s="8">
        <v>1</v>
      </c>
      <c r="H102" s="11">
        <v>200</v>
      </c>
      <c r="I102" s="12">
        <v>42379</v>
      </c>
      <c r="J102" s="13">
        <f t="shared" si="5"/>
        <v>0</v>
      </c>
      <c r="K102" s="14">
        <v>200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4"/>
        <v>200</v>
      </c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5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5"/>
      <c r="AX102" s="16"/>
    </row>
    <row r="103" spans="2:50" x14ac:dyDescent="0.2">
      <c r="B103" s="7" t="s">
        <v>69</v>
      </c>
      <c r="C103" s="8">
        <v>10894</v>
      </c>
      <c r="D103" s="9" t="s">
        <v>304</v>
      </c>
      <c r="E103" s="10" t="s">
        <v>305</v>
      </c>
      <c r="F103" s="10" t="s">
        <v>306</v>
      </c>
      <c r="G103" s="8">
        <v>1</v>
      </c>
      <c r="H103" s="11">
        <v>4400</v>
      </c>
      <c r="I103" s="12">
        <v>42379</v>
      </c>
      <c r="J103" s="13">
        <f t="shared" si="5"/>
        <v>0</v>
      </c>
      <c r="K103" s="14">
        <v>400</v>
      </c>
      <c r="L103" s="14">
        <v>400</v>
      </c>
      <c r="M103" s="14">
        <v>400</v>
      </c>
      <c r="N103" s="14">
        <v>400</v>
      </c>
      <c r="O103" s="14">
        <v>400</v>
      </c>
      <c r="P103" s="14">
        <v>400</v>
      </c>
      <c r="Q103" s="14">
        <v>400</v>
      </c>
      <c r="R103" s="14">
        <v>400</v>
      </c>
      <c r="S103" s="14">
        <v>400</v>
      </c>
      <c r="T103" s="14">
        <v>400</v>
      </c>
      <c r="U103" s="14">
        <v>400</v>
      </c>
      <c r="V103" s="14"/>
      <c r="W103" s="15">
        <f t="shared" si="4"/>
        <v>4400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5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5"/>
      <c r="AX103" s="16" t="s">
        <v>57</v>
      </c>
    </row>
    <row r="104" spans="2:50" x14ac:dyDescent="0.2">
      <c r="B104" s="7" t="s">
        <v>37</v>
      </c>
      <c r="C104" s="8">
        <v>10895</v>
      </c>
      <c r="D104" s="9" t="s">
        <v>307</v>
      </c>
      <c r="E104" s="10" t="s">
        <v>308</v>
      </c>
      <c r="F104" s="10" t="s">
        <v>309</v>
      </c>
      <c r="G104" s="8">
        <v>1</v>
      </c>
      <c r="H104" s="11">
        <v>350</v>
      </c>
      <c r="I104" s="12">
        <v>42379</v>
      </c>
      <c r="J104" s="13">
        <f t="shared" si="5"/>
        <v>0</v>
      </c>
      <c r="K104" s="14">
        <v>350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4"/>
        <v>350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5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5"/>
      <c r="AX104" s="16"/>
    </row>
    <row r="105" spans="2:50" x14ac:dyDescent="0.2">
      <c r="B105" s="7" t="s">
        <v>122</v>
      </c>
      <c r="C105" s="8">
        <v>10896</v>
      </c>
      <c r="D105" s="9" t="s">
        <v>310</v>
      </c>
      <c r="E105" s="10" t="s">
        <v>311</v>
      </c>
      <c r="F105" s="10" t="s">
        <v>312</v>
      </c>
      <c r="G105" s="8">
        <v>1</v>
      </c>
      <c r="H105" s="11">
        <v>400</v>
      </c>
      <c r="I105" s="12">
        <v>42379</v>
      </c>
      <c r="J105" s="13">
        <f t="shared" si="5"/>
        <v>0</v>
      </c>
      <c r="K105" s="14">
        <v>400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4"/>
        <v>400</v>
      </c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5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5"/>
      <c r="AX105" s="16"/>
    </row>
    <row r="106" spans="2:50" x14ac:dyDescent="0.2">
      <c r="B106" s="7" t="s">
        <v>47</v>
      </c>
      <c r="C106" s="8">
        <v>10897</v>
      </c>
      <c r="D106" s="9" t="s">
        <v>313</v>
      </c>
      <c r="E106" s="10" t="s">
        <v>314</v>
      </c>
      <c r="F106" s="10" t="s">
        <v>315</v>
      </c>
      <c r="G106" s="8">
        <v>1</v>
      </c>
      <c r="H106" s="11">
        <v>400</v>
      </c>
      <c r="I106" s="12">
        <v>42379</v>
      </c>
      <c r="J106" s="13">
        <f t="shared" si="5"/>
        <v>0</v>
      </c>
      <c r="K106" s="14">
        <v>400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5">
        <f t="shared" si="4"/>
        <v>400</v>
      </c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5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5"/>
      <c r="AX106" s="16"/>
    </row>
    <row r="107" spans="2:50" x14ac:dyDescent="0.2">
      <c r="B107" s="7" t="s">
        <v>73</v>
      </c>
      <c r="C107" s="8">
        <v>10898</v>
      </c>
      <c r="D107" s="9" t="s">
        <v>316</v>
      </c>
      <c r="E107" s="10" t="s">
        <v>317</v>
      </c>
      <c r="F107" s="10" t="s">
        <v>318</v>
      </c>
      <c r="G107" s="8">
        <v>1</v>
      </c>
      <c r="H107" s="11">
        <v>0</v>
      </c>
      <c r="I107" s="12">
        <v>42379</v>
      </c>
      <c r="J107" s="13">
        <f t="shared" si="5"/>
        <v>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5">
        <f t="shared" si="4"/>
        <v>0</v>
      </c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5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5"/>
      <c r="AX107" s="16"/>
    </row>
    <row r="108" spans="2:50" x14ac:dyDescent="0.2">
      <c r="B108" s="7" t="s">
        <v>73</v>
      </c>
      <c r="C108" s="8">
        <v>10899</v>
      </c>
      <c r="D108" s="9" t="s">
        <v>319</v>
      </c>
      <c r="E108" s="10" t="s">
        <v>320</v>
      </c>
      <c r="F108" s="10" t="s">
        <v>321</v>
      </c>
      <c r="G108" s="8">
        <v>1</v>
      </c>
      <c r="H108" s="11">
        <v>0</v>
      </c>
      <c r="I108" s="12">
        <v>42379</v>
      </c>
      <c r="J108" s="13">
        <f t="shared" si="5"/>
        <v>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>
        <f t="shared" si="4"/>
        <v>0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5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5"/>
      <c r="AX108" s="16"/>
    </row>
    <row r="109" spans="2:50" x14ac:dyDescent="0.2">
      <c r="B109" s="7" t="s">
        <v>77</v>
      </c>
      <c r="C109" s="8">
        <v>10900</v>
      </c>
      <c r="D109" s="9" t="s">
        <v>322</v>
      </c>
      <c r="E109" s="10" t="s">
        <v>323</v>
      </c>
      <c r="F109" s="10" t="s">
        <v>324</v>
      </c>
      <c r="G109" s="8">
        <v>1</v>
      </c>
      <c r="H109" s="11">
        <v>0</v>
      </c>
      <c r="I109" s="12">
        <v>42379</v>
      </c>
      <c r="J109" s="13">
        <f t="shared" si="5"/>
        <v>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5">
        <f t="shared" si="4"/>
        <v>0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5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5"/>
      <c r="AX109" s="16"/>
    </row>
    <row r="110" spans="2:50" x14ac:dyDescent="0.2">
      <c r="B110" s="7" t="s">
        <v>69</v>
      </c>
      <c r="C110" s="8">
        <v>10901</v>
      </c>
      <c r="D110" s="9" t="s">
        <v>325</v>
      </c>
      <c r="E110" s="10" t="s">
        <v>326</v>
      </c>
      <c r="F110" s="10" t="s">
        <v>327</v>
      </c>
      <c r="G110" s="8">
        <v>1</v>
      </c>
      <c r="H110" s="11">
        <v>400</v>
      </c>
      <c r="I110" s="12">
        <v>42379</v>
      </c>
      <c r="J110" s="13">
        <f t="shared" si="5"/>
        <v>0</v>
      </c>
      <c r="K110" s="14">
        <v>400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>
        <f t="shared" si="4"/>
        <v>400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5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5"/>
      <c r="AX110" s="16"/>
    </row>
    <row r="111" spans="2:50" x14ac:dyDescent="0.2">
      <c r="B111" s="7" t="s">
        <v>47</v>
      </c>
      <c r="C111" s="8">
        <v>10902</v>
      </c>
      <c r="D111" s="9" t="s">
        <v>328</v>
      </c>
      <c r="E111" s="10" t="s">
        <v>329</v>
      </c>
      <c r="F111" s="10" t="s">
        <v>330</v>
      </c>
      <c r="G111" s="8">
        <v>1</v>
      </c>
      <c r="H111" s="11">
        <v>400</v>
      </c>
      <c r="I111" s="12">
        <v>42379</v>
      </c>
      <c r="J111" s="13">
        <f t="shared" si="5"/>
        <v>0</v>
      </c>
      <c r="K111" s="14">
        <v>400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si="4"/>
        <v>400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5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5"/>
      <c r="AX111" s="16"/>
    </row>
    <row r="112" spans="2:50" x14ac:dyDescent="0.2">
      <c r="B112" s="7" t="s">
        <v>122</v>
      </c>
      <c r="C112" s="8">
        <v>10903</v>
      </c>
      <c r="D112" s="9" t="s">
        <v>331</v>
      </c>
      <c r="E112" s="10" t="s">
        <v>332</v>
      </c>
      <c r="F112" s="10" t="s">
        <v>333</v>
      </c>
      <c r="G112" s="8">
        <v>1</v>
      </c>
      <c r="H112" s="11">
        <v>400</v>
      </c>
      <c r="I112" s="12">
        <v>42379</v>
      </c>
      <c r="J112" s="13">
        <f t="shared" si="5"/>
        <v>0</v>
      </c>
      <c r="K112" s="14">
        <v>400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4"/>
        <v>400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5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5"/>
      <c r="AX112" s="16"/>
    </row>
    <row r="113" spans="2:50" x14ac:dyDescent="0.2">
      <c r="B113" s="7" t="s">
        <v>69</v>
      </c>
      <c r="C113" s="8">
        <v>10904</v>
      </c>
      <c r="D113" s="9" t="s">
        <v>334</v>
      </c>
      <c r="E113" s="10" t="s">
        <v>335</v>
      </c>
      <c r="F113" s="10" t="s">
        <v>336</v>
      </c>
      <c r="G113" s="8">
        <v>1</v>
      </c>
      <c r="H113" s="11">
        <v>400</v>
      </c>
      <c r="I113" s="12">
        <v>42379</v>
      </c>
      <c r="J113" s="13">
        <f t="shared" si="5"/>
        <v>0</v>
      </c>
      <c r="K113" s="14">
        <v>400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4"/>
        <v>400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5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5"/>
      <c r="AX113" s="16"/>
    </row>
    <row r="114" spans="2:50" x14ac:dyDescent="0.2">
      <c r="B114" s="7" t="s">
        <v>47</v>
      </c>
      <c r="C114" s="8">
        <v>10905</v>
      </c>
      <c r="D114" s="9" t="s">
        <v>337</v>
      </c>
      <c r="E114" s="10" t="s">
        <v>338</v>
      </c>
      <c r="F114" s="10" t="s">
        <v>339</v>
      </c>
      <c r="G114" s="8">
        <v>1</v>
      </c>
      <c r="H114" s="11">
        <v>4400</v>
      </c>
      <c r="I114" s="12">
        <v>42379</v>
      </c>
      <c r="J114" s="13">
        <f t="shared" si="5"/>
        <v>0</v>
      </c>
      <c r="K114" s="14">
        <v>400</v>
      </c>
      <c r="L114" s="14">
        <v>400</v>
      </c>
      <c r="M114" s="14">
        <v>400</v>
      </c>
      <c r="N114" s="14">
        <v>400</v>
      </c>
      <c r="O114" s="14">
        <v>400</v>
      </c>
      <c r="P114" s="14">
        <v>400</v>
      </c>
      <c r="Q114" s="14">
        <v>400</v>
      </c>
      <c r="R114" s="14">
        <v>400</v>
      </c>
      <c r="S114" s="14">
        <v>400</v>
      </c>
      <c r="T114" s="14">
        <v>400</v>
      </c>
      <c r="U114" s="14">
        <v>400</v>
      </c>
      <c r="V114" s="14"/>
      <c r="W114" s="15">
        <f t="shared" si="4"/>
        <v>4400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5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5"/>
      <c r="AX114" s="16" t="s">
        <v>57</v>
      </c>
    </row>
    <row r="115" spans="2:50" x14ac:dyDescent="0.2">
      <c r="B115" s="7" t="s">
        <v>61</v>
      </c>
      <c r="C115" s="8">
        <v>10906</v>
      </c>
      <c r="D115" s="9" t="s">
        <v>340</v>
      </c>
      <c r="E115" s="10" t="s">
        <v>341</v>
      </c>
      <c r="F115" s="10" t="s">
        <v>342</v>
      </c>
      <c r="G115" s="8">
        <v>1</v>
      </c>
      <c r="H115" s="11">
        <v>400</v>
      </c>
      <c r="I115" s="12">
        <v>42379</v>
      </c>
      <c r="J115" s="13">
        <f t="shared" si="5"/>
        <v>0</v>
      </c>
      <c r="K115" s="14">
        <v>400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4"/>
        <v>400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5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5"/>
      <c r="AX115" s="16"/>
    </row>
    <row r="116" spans="2:50" x14ac:dyDescent="0.2">
      <c r="B116" s="7" t="s">
        <v>69</v>
      </c>
      <c r="C116" s="8">
        <v>10907</v>
      </c>
      <c r="D116" s="9" t="s">
        <v>343</v>
      </c>
      <c r="E116" s="10" t="s">
        <v>344</v>
      </c>
      <c r="F116" s="10" t="s">
        <v>345</v>
      </c>
      <c r="G116" s="8">
        <v>1</v>
      </c>
      <c r="H116" s="11">
        <v>400</v>
      </c>
      <c r="I116" s="12">
        <v>42379</v>
      </c>
      <c r="J116" s="13">
        <f t="shared" si="5"/>
        <v>0</v>
      </c>
      <c r="K116" s="14">
        <v>400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4"/>
        <v>400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5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5"/>
      <c r="AX116" s="16"/>
    </row>
    <row r="117" spans="2:50" x14ac:dyDescent="0.2">
      <c r="B117" s="7" t="s">
        <v>69</v>
      </c>
      <c r="C117" s="8">
        <v>10908</v>
      </c>
      <c r="D117" s="9" t="s">
        <v>346</v>
      </c>
      <c r="E117" s="10" t="s">
        <v>347</v>
      </c>
      <c r="F117" s="10" t="s">
        <v>348</v>
      </c>
      <c r="G117" s="8">
        <v>1</v>
      </c>
      <c r="H117" s="11">
        <v>300</v>
      </c>
      <c r="I117" s="12">
        <v>42379</v>
      </c>
      <c r="J117" s="13">
        <f t="shared" si="5"/>
        <v>0</v>
      </c>
      <c r="K117" s="14">
        <v>300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4"/>
        <v>300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5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5"/>
      <c r="AX117" s="16"/>
    </row>
    <row r="118" spans="2:50" x14ac:dyDescent="0.2">
      <c r="B118" s="7" t="s">
        <v>47</v>
      </c>
      <c r="C118" s="8">
        <v>10909</v>
      </c>
      <c r="D118" s="9" t="s">
        <v>349</v>
      </c>
      <c r="E118" s="10" t="s">
        <v>350</v>
      </c>
      <c r="F118" s="10" t="s">
        <v>351</v>
      </c>
      <c r="G118" s="8">
        <v>1</v>
      </c>
      <c r="H118" s="11">
        <v>0</v>
      </c>
      <c r="I118" s="12">
        <v>42379</v>
      </c>
      <c r="J118" s="13">
        <f t="shared" si="5"/>
        <v>0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4"/>
        <v>0</v>
      </c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5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5"/>
      <c r="AX118" s="16"/>
    </row>
    <row r="119" spans="2:50" x14ac:dyDescent="0.2">
      <c r="B119" s="7" t="s">
        <v>47</v>
      </c>
      <c r="C119" s="8">
        <v>10910</v>
      </c>
      <c r="D119" s="9" t="s">
        <v>352</v>
      </c>
      <c r="E119" s="10" t="s">
        <v>353</v>
      </c>
      <c r="F119" s="10" t="s">
        <v>354</v>
      </c>
      <c r="G119" s="8">
        <v>1</v>
      </c>
      <c r="H119" s="11">
        <v>4400</v>
      </c>
      <c r="I119" s="12">
        <v>42379</v>
      </c>
      <c r="J119" s="13">
        <f t="shared" si="5"/>
        <v>0</v>
      </c>
      <c r="K119" s="14">
        <v>400</v>
      </c>
      <c r="L119" s="14">
        <v>400</v>
      </c>
      <c r="M119" s="14">
        <v>400</v>
      </c>
      <c r="N119" s="14">
        <v>400</v>
      </c>
      <c r="O119" s="14">
        <v>400</v>
      </c>
      <c r="P119" s="14">
        <v>400</v>
      </c>
      <c r="Q119" s="14">
        <v>400</v>
      </c>
      <c r="R119" s="14">
        <v>400</v>
      </c>
      <c r="S119" s="14">
        <v>400</v>
      </c>
      <c r="T119" s="14">
        <v>400</v>
      </c>
      <c r="U119" s="14">
        <v>400</v>
      </c>
      <c r="V119" s="14"/>
      <c r="W119" s="15">
        <f t="shared" si="4"/>
        <v>4400</v>
      </c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5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5"/>
      <c r="AX119" s="16" t="s">
        <v>57</v>
      </c>
    </row>
    <row r="120" spans="2:50" x14ac:dyDescent="0.2">
      <c r="B120" s="7" t="s">
        <v>47</v>
      </c>
      <c r="C120" s="8">
        <v>10911</v>
      </c>
      <c r="D120" s="9" t="s">
        <v>352</v>
      </c>
      <c r="E120" s="10" t="s">
        <v>353</v>
      </c>
      <c r="F120" s="10" t="s">
        <v>354</v>
      </c>
      <c r="G120" s="8">
        <v>4</v>
      </c>
      <c r="H120" s="11">
        <v>160</v>
      </c>
      <c r="I120" s="12">
        <v>42379</v>
      </c>
      <c r="J120" s="13">
        <f t="shared" si="5"/>
        <v>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4"/>
        <v>0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5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5"/>
      <c r="AX120" s="7">
        <v>1030</v>
      </c>
    </row>
    <row r="121" spans="2:50" x14ac:dyDescent="0.2">
      <c r="B121" s="7" t="s">
        <v>73</v>
      </c>
      <c r="C121" s="8">
        <v>10912</v>
      </c>
      <c r="D121" s="9" t="s">
        <v>355</v>
      </c>
      <c r="E121" s="10" t="s">
        <v>356</v>
      </c>
      <c r="F121" s="10" t="s">
        <v>357</v>
      </c>
      <c r="G121" s="8">
        <v>1</v>
      </c>
      <c r="H121" s="11">
        <v>900</v>
      </c>
      <c r="I121" s="12">
        <v>42379</v>
      </c>
      <c r="J121" s="13">
        <f t="shared" si="5"/>
        <v>0</v>
      </c>
      <c r="K121" s="14">
        <v>300</v>
      </c>
      <c r="L121" s="14">
        <v>300</v>
      </c>
      <c r="M121" s="14">
        <v>300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5">
        <f t="shared" si="4"/>
        <v>900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5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5"/>
      <c r="AX121" s="16"/>
    </row>
    <row r="122" spans="2:50" x14ac:dyDescent="0.2">
      <c r="B122" s="7" t="s">
        <v>37</v>
      </c>
      <c r="C122" s="8">
        <v>10913</v>
      </c>
      <c r="D122" s="9" t="s">
        <v>358</v>
      </c>
      <c r="E122" s="10" t="s">
        <v>359</v>
      </c>
      <c r="F122" s="10" t="s">
        <v>360</v>
      </c>
      <c r="G122" s="8">
        <v>1</v>
      </c>
      <c r="H122" s="11">
        <v>0</v>
      </c>
      <c r="I122" s="12">
        <v>42379</v>
      </c>
      <c r="J122" s="13">
        <f t="shared" si="5"/>
        <v>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5">
        <f t="shared" si="4"/>
        <v>0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5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5"/>
      <c r="AX122" s="16"/>
    </row>
    <row r="123" spans="2:50" x14ac:dyDescent="0.2">
      <c r="B123" s="7" t="s">
        <v>37</v>
      </c>
      <c r="C123" s="8">
        <v>10913</v>
      </c>
      <c r="D123" s="9" t="s">
        <v>358</v>
      </c>
      <c r="E123" s="10" t="s">
        <v>359</v>
      </c>
      <c r="F123" s="10" t="s">
        <v>360</v>
      </c>
      <c r="G123" s="8">
        <v>3</v>
      </c>
      <c r="H123" s="11">
        <v>160</v>
      </c>
      <c r="I123" s="12">
        <v>42379</v>
      </c>
      <c r="J123" s="13">
        <f t="shared" si="5"/>
        <v>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>
        <f t="shared" si="4"/>
        <v>0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5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5"/>
      <c r="AX123" s="16"/>
    </row>
    <row r="124" spans="2:50" x14ac:dyDescent="0.2">
      <c r="B124" s="7" t="s">
        <v>69</v>
      </c>
      <c r="C124" s="8">
        <v>10914</v>
      </c>
      <c r="D124" s="9" t="s">
        <v>361</v>
      </c>
      <c r="E124" s="10" t="s">
        <v>362</v>
      </c>
      <c r="F124" s="10" t="s">
        <v>363</v>
      </c>
      <c r="G124" s="8">
        <v>1</v>
      </c>
      <c r="H124" s="11">
        <v>0</v>
      </c>
      <c r="I124" s="12">
        <v>42379</v>
      </c>
      <c r="J124" s="13">
        <f t="shared" si="5"/>
        <v>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>
        <f t="shared" si="4"/>
        <v>0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5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5"/>
      <c r="AX124" s="16"/>
    </row>
    <row r="125" spans="2:50" x14ac:dyDescent="0.2">
      <c r="B125" s="7" t="s">
        <v>37</v>
      </c>
      <c r="C125" s="8">
        <v>10915</v>
      </c>
      <c r="D125" s="9" t="s">
        <v>364</v>
      </c>
      <c r="E125" s="10" t="s">
        <v>365</v>
      </c>
      <c r="F125" s="10" t="s">
        <v>366</v>
      </c>
      <c r="G125" s="8">
        <v>1</v>
      </c>
      <c r="H125" s="11">
        <v>300</v>
      </c>
      <c r="I125" s="12">
        <v>42379</v>
      </c>
      <c r="J125" s="13">
        <f t="shared" si="5"/>
        <v>0</v>
      </c>
      <c r="K125" s="14">
        <v>300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>
        <f t="shared" si="4"/>
        <v>300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5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5"/>
      <c r="AX125" s="16"/>
    </row>
    <row r="126" spans="2:50" x14ac:dyDescent="0.2">
      <c r="B126" s="7" t="s">
        <v>47</v>
      </c>
      <c r="C126" s="8">
        <v>10916</v>
      </c>
      <c r="D126" s="9" t="s">
        <v>367</v>
      </c>
      <c r="E126" s="10" t="s">
        <v>368</v>
      </c>
      <c r="F126" s="10" t="s">
        <v>369</v>
      </c>
      <c r="G126" s="8">
        <v>1</v>
      </c>
      <c r="H126" s="11">
        <v>4400</v>
      </c>
      <c r="I126" s="12">
        <v>42380</v>
      </c>
      <c r="J126" s="13">
        <f t="shared" si="5"/>
        <v>0</v>
      </c>
      <c r="K126" s="14">
        <v>400</v>
      </c>
      <c r="L126" s="14">
        <v>400</v>
      </c>
      <c r="M126" s="14">
        <v>400</v>
      </c>
      <c r="N126" s="14">
        <v>400</v>
      </c>
      <c r="O126" s="14">
        <v>400</v>
      </c>
      <c r="P126" s="14">
        <v>400</v>
      </c>
      <c r="Q126" s="14">
        <v>400</v>
      </c>
      <c r="R126" s="14">
        <v>400</v>
      </c>
      <c r="S126" s="14">
        <v>400</v>
      </c>
      <c r="T126" s="14">
        <v>400</v>
      </c>
      <c r="U126" s="14">
        <v>400</v>
      </c>
      <c r="V126" s="14"/>
      <c r="W126" s="15">
        <f t="shared" si="4"/>
        <v>4400</v>
      </c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5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5"/>
      <c r="AX126" s="16" t="s">
        <v>57</v>
      </c>
    </row>
    <row r="127" spans="2:50" x14ac:dyDescent="0.2">
      <c r="B127" s="7" t="s">
        <v>69</v>
      </c>
      <c r="C127" s="8">
        <v>10917</v>
      </c>
      <c r="D127" s="9" t="s">
        <v>370</v>
      </c>
      <c r="E127" s="10" t="s">
        <v>371</v>
      </c>
      <c r="F127" s="10" t="s">
        <v>372</v>
      </c>
      <c r="G127" s="8">
        <v>1</v>
      </c>
      <c r="H127" s="11">
        <v>300</v>
      </c>
      <c r="I127" s="12">
        <v>42380</v>
      </c>
      <c r="J127" s="13">
        <f t="shared" si="5"/>
        <v>0</v>
      </c>
      <c r="K127" s="14">
        <v>150</v>
      </c>
      <c r="L127" s="14">
        <v>150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4"/>
        <v>300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5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5"/>
      <c r="AX127" s="16"/>
    </row>
    <row r="128" spans="2:50" x14ac:dyDescent="0.2">
      <c r="B128" s="7" t="s">
        <v>47</v>
      </c>
      <c r="C128" s="8">
        <v>10918</v>
      </c>
      <c r="D128" s="9" t="s">
        <v>238</v>
      </c>
      <c r="E128" s="10" t="s">
        <v>239</v>
      </c>
      <c r="F128" s="10" t="s">
        <v>240</v>
      </c>
      <c r="G128" s="8">
        <v>4</v>
      </c>
      <c r="H128" s="11">
        <v>160</v>
      </c>
      <c r="I128" s="12">
        <v>42380</v>
      </c>
      <c r="J128" s="13">
        <f t="shared" si="5"/>
        <v>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4"/>
        <v>0</v>
      </c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5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5"/>
      <c r="AX128" s="7">
        <v>160</v>
      </c>
    </row>
    <row r="129" spans="2:50" x14ac:dyDescent="0.2">
      <c r="B129" s="7" t="s">
        <v>69</v>
      </c>
      <c r="C129" s="8">
        <v>10919</v>
      </c>
      <c r="D129" s="9" t="s">
        <v>373</v>
      </c>
      <c r="E129" s="10" t="s">
        <v>374</v>
      </c>
      <c r="F129" s="10" t="s">
        <v>375</v>
      </c>
      <c r="G129" s="8">
        <v>1</v>
      </c>
      <c r="H129" s="11">
        <v>400</v>
      </c>
      <c r="I129" s="12">
        <v>42381</v>
      </c>
      <c r="J129" s="13">
        <f t="shared" si="5"/>
        <v>0</v>
      </c>
      <c r="K129" s="14">
        <v>400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4"/>
        <v>400</v>
      </c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5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5"/>
      <c r="AX129" s="16"/>
    </row>
    <row r="130" spans="2:50" x14ac:dyDescent="0.2">
      <c r="B130" s="7" t="s">
        <v>73</v>
      </c>
      <c r="C130" s="8">
        <v>10920</v>
      </c>
      <c r="D130" s="9" t="s">
        <v>376</v>
      </c>
      <c r="E130" s="10" t="s">
        <v>377</v>
      </c>
      <c r="F130" s="10" t="s">
        <v>378</v>
      </c>
      <c r="G130" s="8">
        <v>1</v>
      </c>
      <c r="H130" s="11">
        <v>4400</v>
      </c>
      <c r="I130" s="12">
        <v>42382</v>
      </c>
      <c r="J130" s="13">
        <f t="shared" si="5"/>
        <v>0</v>
      </c>
      <c r="K130" s="14">
        <v>400</v>
      </c>
      <c r="L130" s="14">
        <v>400</v>
      </c>
      <c r="M130" s="14">
        <v>400</v>
      </c>
      <c r="N130" s="14">
        <v>400</v>
      </c>
      <c r="O130" s="14">
        <v>400</v>
      </c>
      <c r="P130" s="14">
        <v>400</v>
      </c>
      <c r="Q130" s="14">
        <v>400</v>
      </c>
      <c r="R130" s="14">
        <v>400</v>
      </c>
      <c r="S130" s="14">
        <v>400</v>
      </c>
      <c r="T130" s="14">
        <v>400</v>
      </c>
      <c r="U130" s="14">
        <v>400</v>
      </c>
      <c r="V130" s="14"/>
      <c r="W130" s="15">
        <f t="shared" si="4"/>
        <v>4400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5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5"/>
      <c r="AX130" s="16" t="s">
        <v>379</v>
      </c>
    </row>
    <row r="131" spans="2:50" x14ac:dyDescent="0.2">
      <c r="B131" s="7" t="s">
        <v>77</v>
      </c>
      <c r="C131" s="8">
        <v>10921</v>
      </c>
      <c r="D131" s="9" t="s">
        <v>380</v>
      </c>
      <c r="E131" s="10" t="s">
        <v>381</v>
      </c>
      <c r="F131" s="10" t="s">
        <v>382</v>
      </c>
      <c r="G131" s="8">
        <v>1</v>
      </c>
      <c r="H131" s="11">
        <v>900</v>
      </c>
      <c r="I131" s="12">
        <v>42382</v>
      </c>
      <c r="J131" s="13">
        <f t="shared" si="5"/>
        <v>0</v>
      </c>
      <c r="K131" s="14">
        <v>300</v>
      </c>
      <c r="L131" s="14">
        <v>300</v>
      </c>
      <c r="M131" s="14">
        <v>300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4"/>
        <v>900</v>
      </c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5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5"/>
      <c r="AX131" s="16" t="s">
        <v>383</v>
      </c>
    </row>
    <row r="132" spans="2:50" x14ac:dyDescent="0.2">
      <c r="B132" s="7" t="s">
        <v>77</v>
      </c>
      <c r="C132" s="8">
        <v>10922</v>
      </c>
      <c r="D132" s="9" t="s">
        <v>384</v>
      </c>
      <c r="E132" s="10" t="s">
        <v>385</v>
      </c>
      <c r="F132" s="10" t="s">
        <v>386</v>
      </c>
      <c r="G132" s="8">
        <v>1</v>
      </c>
      <c r="H132" s="11">
        <v>350</v>
      </c>
      <c r="I132" s="12">
        <v>42386</v>
      </c>
      <c r="J132" s="13">
        <f t="shared" si="5"/>
        <v>0</v>
      </c>
      <c r="K132" s="14">
        <v>350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4"/>
        <v>350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5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5"/>
      <c r="AX132" s="16"/>
    </row>
    <row r="133" spans="2:50" x14ac:dyDescent="0.2">
      <c r="B133" s="7" t="s">
        <v>69</v>
      </c>
      <c r="C133" s="8">
        <v>10923</v>
      </c>
      <c r="D133" s="9" t="s">
        <v>387</v>
      </c>
      <c r="E133" s="10" t="s">
        <v>388</v>
      </c>
      <c r="F133" s="10" t="s">
        <v>389</v>
      </c>
      <c r="G133" s="8">
        <v>1</v>
      </c>
      <c r="H133" s="11">
        <v>0</v>
      </c>
      <c r="I133" s="12">
        <v>42386</v>
      </c>
      <c r="J133" s="13">
        <f t="shared" si="5"/>
        <v>0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4"/>
        <v>0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5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5"/>
      <c r="AX133" s="16"/>
    </row>
    <row r="134" spans="2:50" x14ac:dyDescent="0.2">
      <c r="B134" s="7" t="s">
        <v>69</v>
      </c>
      <c r="C134" s="8">
        <v>10923</v>
      </c>
      <c r="D134" s="9" t="s">
        <v>387</v>
      </c>
      <c r="E134" s="10" t="s">
        <v>388</v>
      </c>
      <c r="F134" s="10" t="s">
        <v>389</v>
      </c>
      <c r="G134" s="8">
        <v>4</v>
      </c>
      <c r="H134" s="11">
        <v>480</v>
      </c>
      <c r="I134" s="12">
        <v>42386</v>
      </c>
      <c r="J134" s="13">
        <f t="shared" si="5"/>
        <v>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4"/>
        <v>0</v>
      </c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5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5"/>
      <c r="AX134" s="16" t="s">
        <v>390</v>
      </c>
    </row>
    <row r="135" spans="2:50" x14ac:dyDescent="0.2">
      <c r="B135" s="7" t="s">
        <v>391</v>
      </c>
      <c r="C135" s="8">
        <v>10924</v>
      </c>
      <c r="D135" s="9" t="s">
        <v>392</v>
      </c>
      <c r="E135" s="10" t="s">
        <v>393</v>
      </c>
      <c r="F135" s="10" t="s">
        <v>394</v>
      </c>
      <c r="G135" s="8">
        <v>1</v>
      </c>
      <c r="H135" s="11">
        <v>4400</v>
      </c>
      <c r="I135" s="12">
        <v>42386</v>
      </c>
      <c r="J135" s="13">
        <f t="shared" si="5"/>
        <v>0</v>
      </c>
      <c r="K135" s="14">
        <v>400</v>
      </c>
      <c r="L135" s="14">
        <v>400</v>
      </c>
      <c r="M135" s="14">
        <v>400</v>
      </c>
      <c r="N135" s="14">
        <v>400</v>
      </c>
      <c r="O135" s="14">
        <v>400</v>
      </c>
      <c r="P135" s="14">
        <v>400</v>
      </c>
      <c r="Q135" s="14">
        <v>400</v>
      </c>
      <c r="R135" s="14">
        <v>400</v>
      </c>
      <c r="S135" s="14">
        <v>400</v>
      </c>
      <c r="T135" s="14">
        <v>400</v>
      </c>
      <c r="U135" s="14">
        <v>400</v>
      </c>
      <c r="V135" s="14"/>
      <c r="W135" s="15">
        <f t="shared" si="4"/>
        <v>4400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5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5"/>
      <c r="AX135" s="16" t="s">
        <v>57</v>
      </c>
    </row>
    <row r="136" spans="2:50" x14ac:dyDescent="0.2">
      <c r="B136" s="7" t="s">
        <v>37</v>
      </c>
      <c r="C136" s="8">
        <v>10925</v>
      </c>
      <c r="D136" s="9" t="s">
        <v>395</v>
      </c>
      <c r="E136" s="10" t="s">
        <v>396</v>
      </c>
      <c r="F136" s="10" t="s">
        <v>397</v>
      </c>
      <c r="G136" s="8">
        <v>1</v>
      </c>
      <c r="H136" s="11">
        <v>150</v>
      </c>
      <c r="I136" s="12">
        <v>42386</v>
      </c>
      <c r="J136" s="13">
        <f t="shared" si="5"/>
        <v>0</v>
      </c>
      <c r="K136" s="14">
        <v>150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5">
        <f t="shared" si="4"/>
        <v>150</v>
      </c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5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5"/>
      <c r="AX136" s="16"/>
    </row>
    <row r="137" spans="2:50" x14ac:dyDescent="0.2">
      <c r="B137" s="7" t="s">
        <v>73</v>
      </c>
      <c r="C137" s="8">
        <v>10926</v>
      </c>
      <c r="D137" s="9" t="s">
        <v>398</v>
      </c>
      <c r="E137" s="10" t="s">
        <v>399</v>
      </c>
      <c r="F137" s="10" t="s">
        <v>400</v>
      </c>
      <c r="G137" s="8">
        <v>1</v>
      </c>
      <c r="H137" s="11">
        <v>400</v>
      </c>
      <c r="I137" s="12">
        <v>42386</v>
      </c>
      <c r="J137" s="13">
        <f t="shared" si="5"/>
        <v>0</v>
      </c>
      <c r="K137" s="14">
        <v>400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5">
        <f t="shared" si="4"/>
        <v>400</v>
      </c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5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5"/>
      <c r="AX137" s="16"/>
    </row>
    <row r="138" spans="2:50" x14ac:dyDescent="0.2">
      <c r="B138" s="7" t="s">
        <v>37</v>
      </c>
      <c r="C138" s="8">
        <v>10927</v>
      </c>
      <c r="D138" s="9" t="s">
        <v>401</v>
      </c>
      <c r="E138" s="10" t="s">
        <v>402</v>
      </c>
      <c r="F138" s="10" t="s">
        <v>403</v>
      </c>
      <c r="G138" s="8">
        <v>1</v>
      </c>
      <c r="H138" s="11">
        <v>0</v>
      </c>
      <c r="I138" s="12">
        <v>42386</v>
      </c>
      <c r="J138" s="13">
        <f t="shared" si="5"/>
        <v>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5">
        <f t="shared" si="4"/>
        <v>0</v>
      </c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5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5"/>
      <c r="AX138" s="16" t="s">
        <v>383</v>
      </c>
    </row>
    <row r="139" spans="2:50" x14ac:dyDescent="0.2">
      <c r="B139" s="7" t="s">
        <v>47</v>
      </c>
      <c r="C139" s="8">
        <v>10928</v>
      </c>
      <c r="D139" s="9" t="s">
        <v>132</v>
      </c>
      <c r="E139" s="10" t="s">
        <v>133</v>
      </c>
      <c r="F139" s="10" t="s">
        <v>134</v>
      </c>
      <c r="G139" s="8">
        <v>1</v>
      </c>
      <c r="H139" s="11">
        <v>300</v>
      </c>
      <c r="I139" s="12">
        <v>42386</v>
      </c>
      <c r="J139" s="13">
        <f t="shared" si="5"/>
        <v>0</v>
      </c>
      <c r="K139" s="14">
        <v>300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5">
        <f t="shared" si="4"/>
        <v>300</v>
      </c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5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5"/>
      <c r="AX139" s="16"/>
    </row>
    <row r="140" spans="2:50" x14ac:dyDescent="0.2">
      <c r="B140" s="7" t="s">
        <v>47</v>
      </c>
      <c r="C140" s="8">
        <v>10929</v>
      </c>
      <c r="D140" s="9" t="s">
        <v>404</v>
      </c>
      <c r="E140" s="10" t="s">
        <v>405</v>
      </c>
      <c r="F140" s="10" t="s">
        <v>406</v>
      </c>
      <c r="G140" s="8">
        <v>1</v>
      </c>
      <c r="H140" s="11">
        <v>400</v>
      </c>
      <c r="I140" s="12">
        <v>42386</v>
      </c>
      <c r="J140" s="13">
        <f t="shared" si="5"/>
        <v>0</v>
      </c>
      <c r="K140" s="14">
        <v>400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>
        <f t="shared" si="4"/>
        <v>400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5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5"/>
      <c r="AX140" s="16"/>
    </row>
    <row r="141" spans="2:50" x14ac:dyDescent="0.2">
      <c r="B141" s="7" t="s">
        <v>73</v>
      </c>
      <c r="C141" s="8">
        <v>10930</v>
      </c>
      <c r="D141" s="9" t="s">
        <v>407</v>
      </c>
      <c r="E141" s="10" t="s">
        <v>408</v>
      </c>
      <c r="F141" s="10" t="s">
        <v>409</v>
      </c>
      <c r="G141" s="8">
        <v>1</v>
      </c>
      <c r="H141" s="11">
        <v>400</v>
      </c>
      <c r="I141" s="12">
        <v>42386</v>
      </c>
      <c r="J141" s="13">
        <f t="shared" si="5"/>
        <v>0</v>
      </c>
      <c r="K141" s="14">
        <v>400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5">
        <f t="shared" si="4"/>
        <v>400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5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5"/>
      <c r="AX141" s="16"/>
    </row>
    <row r="142" spans="2:50" x14ac:dyDescent="0.2">
      <c r="B142" s="7" t="s">
        <v>69</v>
      </c>
      <c r="C142" s="8">
        <v>10931</v>
      </c>
      <c r="D142" s="9" t="s">
        <v>410</v>
      </c>
      <c r="E142" s="10" t="s">
        <v>411</v>
      </c>
      <c r="F142" s="10" t="s">
        <v>412</v>
      </c>
      <c r="G142" s="8">
        <v>1</v>
      </c>
      <c r="H142" s="11">
        <v>3300</v>
      </c>
      <c r="I142" s="12">
        <v>42386</v>
      </c>
      <c r="J142" s="13">
        <f t="shared" si="5"/>
        <v>0</v>
      </c>
      <c r="K142" s="14">
        <v>300</v>
      </c>
      <c r="L142" s="14">
        <v>300</v>
      </c>
      <c r="M142" s="14">
        <v>300</v>
      </c>
      <c r="N142" s="14">
        <v>300</v>
      </c>
      <c r="O142" s="14">
        <v>300</v>
      </c>
      <c r="P142" s="14">
        <v>300</v>
      </c>
      <c r="Q142" s="14">
        <v>300</v>
      </c>
      <c r="R142" s="14">
        <v>300</v>
      </c>
      <c r="S142" s="14">
        <v>300</v>
      </c>
      <c r="T142" s="14">
        <v>300</v>
      </c>
      <c r="U142" s="14">
        <v>300</v>
      </c>
      <c r="V142" s="14"/>
      <c r="W142" s="15">
        <f t="shared" si="4"/>
        <v>3300</v>
      </c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5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5"/>
      <c r="AX142" s="16" t="s">
        <v>57</v>
      </c>
    </row>
    <row r="143" spans="2:50" x14ac:dyDescent="0.2">
      <c r="B143" s="7" t="s">
        <v>69</v>
      </c>
      <c r="C143" s="8">
        <v>10931</v>
      </c>
      <c r="D143" s="9" t="s">
        <v>410</v>
      </c>
      <c r="E143" s="10" t="s">
        <v>411</v>
      </c>
      <c r="F143" s="10" t="s">
        <v>412</v>
      </c>
      <c r="G143" s="8">
        <v>3</v>
      </c>
      <c r="H143" s="11">
        <v>160</v>
      </c>
      <c r="I143" s="12">
        <v>42386</v>
      </c>
      <c r="J143" s="13">
        <f t="shared" si="5"/>
        <v>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5">
        <f t="shared" si="4"/>
        <v>0</v>
      </c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5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5"/>
      <c r="AX143" s="16"/>
    </row>
    <row r="144" spans="2:50" x14ac:dyDescent="0.2">
      <c r="B144" s="7" t="s">
        <v>69</v>
      </c>
      <c r="C144" s="8">
        <v>10932</v>
      </c>
      <c r="D144" s="9" t="s">
        <v>413</v>
      </c>
      <c r="E144" s="10" t="s">
        <v>414</v>
      </c>
      <c r="F144" s="10" t="s">
        <v>415</v>
      </c>
      <c r="G144" s="8">
        <v>1</v>
      </c>
      <c r="H144" s="11">
        <v>1200</v>
      </c>
      <c r="I144" s="12">
        <v>42386</v>
      </c>
      <c r="J144" s="13">
        <f t="shared" si="5"/>
        <v>0</v>
      </c>
      <c r="K144" s="14">
        <v>400</v>
      </c>
      <c r="L144" s="14">
        <v>400</v>
      </c>
      <c r="M144" s="14">
        <v>400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5">
        <f t="shared" si="4"/>
        <v>1200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5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5"/>
      <c r="AX144" s="16"/>
    </row>
    <row r="145" spans="2:50" x14ac:dyDescent="0.2">
      <c r="B145" s="7" t="s">
        <v>69</v>
      </c>
      <c r="C145" s="8">
        <v>10932</v>
      </c>
      <c r="D145" s="9" t="s">
        <v>413</v>
      </c>
      <c r="E145" s="10" t="s">
        <v>414</v>
      </c>
      <c r="F145" s="10" t="s">
        <v>415</v>
      </c>
      <c r="G145" s="8">
        <v>4</v>
      </c>
      <c r="H145" s="11">
        <v>160</v>
      </c>
      <c r="I145" s="12">
        <v>42386</v>
      </c>
      <c r="J145" s="13">
        <f t="shared" si="5"/>
        <v>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5">
        <f t="shared" si="4"/>
        <v>0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5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5"/>
      <c r="AX145" s="7">
        <v>6574</v>
      </c>
    </row>
    <row r="146" spans="2:50" x14ac:dyDescent="0.2">
      <c r="B146" s="7" t="s">
        <v>47</v>
      </c>
      <c r="C146" s="8">
        <v>10933</v>
      </c>
      <c r="D146" s="9" t="s">
        <v>416</v>
      </c>
      <c r="E146" s="10" t="s">
        <v>417</v>
      </c>
      <c r="F146" s="10" t="s">
        <v>418</v>
      </c>
      <c r="G146" s="8">
        <v>1</v>
      </c>
      <c r="H146" s="11">
        <v>200</v>
      </c>
      <c r="I146" s="12">
        <v>42386</v>
      </c>
      <c r="J146" s="13">
        <f t="shared" si="5"/>
        <v>0</v>
      </c>
      <c r="K146" s="14">
        <v>200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5">
        <f t="shared" si="4"/>
        <v>200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5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5"/>
      <c r="AX146" s="16"/>
    </row>
    <row r="147" spans="2:50" x14ac:dyDescent="0.2">
      <c r="B147" s="7" t="s">
        <v>77</v>
      </c>
      <c r="C147" s="8">
        <v>10934</v>
      </c>
      <c r="D147" s="9" t="s">
        <v>419</v>
      </c>
      <c r="E147" s="10" t="s">
        <v>420</v>
      </c>
      <c r="F147" s="10" t="s">
        <v>421</v>
      </c>
      <c r="G147" s="8">
        <v>1</v>
      </c>
      <c r="H147" s="11">
        <v>4400</v>
      </c>
      <c r="I147" s="12">
        <v>42386</v>
      </c>
      <c r="J147" s="13">
        <f t="shared" si="5"/>
        <v>0</v>
      </c>
      <c r="K147" s="14">
        <v>400</v>
      </c>
      <c r="L147" s="14">
        <v>400</v>
      </c>
      <c r="M147" s="14">
        <v>400</v>
      </c>
      <c r="N147" s="14">
        <v>400</v>
      </c>
      <c r="O147" s="14">
        <v>400</v>
      </c>
      <c r="P147" s="14">
        <v>400</v>
      </c>
      <c r="Q147" s="14">
        <v>400</v>
      </c>
      <c r="R147" s="14">
        <v>400</v>
      </c>
      <c r="S147" s="14">
        <v>400</v>
      </c>
      <c r="T147" s="14">
        <v>400</v>
      </c>
      <c r="U147" s="14">
        <v>400</v>
      </c>
      <c r="V147" s="14"/>
      <c r="W147" s="15">
        <f t="shared" si="4"/>
        <v>4400</v>
      </c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5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5"/>
      <c r="AX147" s="16"/>
    </row>
    <row r="148" spans="2:50" x14ac:dyDescent="0.2">
      <c r="B148" s="7" t="s">
        <v>122</v>
      </c>
      <c r="C148" s="8">
        <v>10935</v>
      </c>
      <c r="D148" s="9" t="s">
        <v>422</v>
      </c>
      <c r="E148" s="10" t="s">
        <v>423</v>
      </c>
      <c r="F148" s="10" t="s">
        <v>424</v>
      </c>
      <c r="G148" s="8">
        <v>1</v>
      </c>
      <c r="H148" s="11">
        <v>1200</v>
      </c>
      <c r="I148" s="12">
        <v>42386</v>
      </c>
      <c r="J148" s="13">
        <f t="shared" si="5"/>
        <v>0</v>
      </c>
      <c r="K148" s="14">
        <v>400</v>
      </c>
      <c r="L148" s="14">
        <v>400</v>
      </c>
      <c r="M148" s="14">
        <v>400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5">
        <f t="shared" si="4"/>
        <v>1200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5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5"/>
      <c r="AX148" s="16" t="s">
        <v>383</v>
      </c>
    </row>
    <row r="149" spans="2:50" x14ac:dyDescent="0.2">
      <c r="B149" s="7" t="s">
        <v>47</v>
      </c>
      <c r="C149" s="8">
        <v>10936</v>
      </c>
      <c r="D149" s="9" t="s">
        <v>425</v>
      </c>
      <c r="E149" s="10" t="s">
        <v>426</v>
      </c>
      <c r="F149" s="10" t="s">
        <v>427</v>
      </c>
      <c r="G149" s="8">
        <v>1</v>
      </c>
      <c r="H149" s="11">
        <v>400</v>
      </c>
      <c r="I149" s="12">
        <v>42386</v>
      </c>
      <c r="J149" s="13">
        <f t="shared" si="5"/>
        <v>0</v>
      </c>
      <c r="K149" s="14">
        <v>400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5">
        <f t="shared" si="4"/>
        <v>400</v>
      </c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5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5"/>
      <c r="AX149" s="16"/>
    </row>
    <row r="150" spans="2:50" x14ac:dyDescent="0.2">
      <c r="B150" s="7" t="s">
        <v>69</v>
      </c>
      <c r="C150" s="8">
        <v>10937</v>
      </c>
      <c r="D150" s="9" t="s">
        <v>428</v>
      </c>
      <c r="E150" s="10" t="s">
        <v>429</v>
      </c>
      <c r="F150" s="10" t="s">
        <v>430</v>
      </c>
      <c r="G150" s="8">
        <v>1</v>
      </c>
      <c r="H150" s="11">
        <v>4400</v>
      </c>
      <c r="I150" s="12">
        <v>42386</v>
      </c>
      <c r="J150" s="13">
        <f t="shared" si="5"/>
        <v>0</v>
      </c>
      <c r="K150" s="14">
        <v>400</v>
      </c>
      <c r="L150" s="14">
        <v>400</v>
      </c>
      <c r="M150" s="14">
        <v>400</v>
      </c>
      <c r="N150" s="14">
        <v>400</v>
      </c>
      <c r="O150" s="14">
        <v>400</v>
      </c>
      <c r="P150" s="14">
        <v>400</v>
      </c>
      <c r="Q150" s="14">
        <v>400</v>
      </c>
      <c r="R150" s="14">
        <v>400</v>
      </c>
      <c r="S150" s="14">
        <v>400</v>
      </c>
      <c r="T150" s="14">
        <v>400</v>
      </c>
      <c r="U150" s="14">
        <v>400</v>
      </c>
      <c r="V150" s="14"/>
      <c r="W150" s="15">
        <f t="shared" si="4"/>
        <v>4400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5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5"/>
      <c r="AX150" s="16" t="s">
        <v>57</v>
      </c>
    </row>
    <row r="151" spans="2:50" x14ac:dyDescent="0.2">
      <c r="B151" s="7" t="s">
        <v>37</v>
      </c>
      <c r="C151" s="8">
        <v>10938</v>
      </c>
      <c r="D151" s="9" t="s">
        <v>431</v>
      </c>
      <c r="E151" s="10" t="s">
        <v>432</v>
      </c>
      <c r="F151" s="10" t="s">
        <v>433</v>
      </c>
      <c r="G151" s="8">
        <v>1</v>
      </c>
      <c r="H151" s="11">
        <v>0</v>
      </c>
      <c r="I151" s="12">
        <v>42386</v>
      </c>
      <c r="J151" s="13">
        <f t="shared" si="5"/>
        <v>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5">
        <f t="shared" si="4"/>
        <v>0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5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5"/>
      <c r="AX151" s="16"/>
    </row>
    <row r="152" spans="2:50" x14ac:dyDescent="0.2">
      <c r="B152" s="7" t="s">
        <v>47</v>
      </c>
      <c r="C152" s="8">
        <v>10939</v>
      </c>
      <c r="D152" s="9" t="s">
        <v>434</v>
      </c>
      <c r="E152" s="10" t="s">
        <v>435</v>
      </c>
      <c r="F152" s="10" t="s">
        <v>436</v>
      </c>
      <c r="G152" s="8">
        <v>1</v>
      </c>
      <c r="H152" s="11">
        <v>1200</v>
      </c>
      <c r="I152" s="12">
        <v>42386</v>
      </c>
      <c r="J152" s="13">
        <f t="shared" si="5"/>
        <v>0</v>
      </c>
      <c r="K152" s="14">
        <v>400</v>
      </c>
      <c r="L152" s="14">
        <v>400</v>
      </c>
      <c r="M152" s="14">
        <v>400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5">
        <f t="shared" si="4"/>
        <v>1200</v>
      </c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5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5"/>
      <c r="AX152" s="16"/>
    </row>
    <row r="153" spans="2:50" x14ac:dyDescent="0.2">
      <c r="B153" s="7" t="s">
        <v>69</v>
      </c>
      <c r="C153" s="8">
        <v>10940</v>
      </c>
      <c r="D153" s="9" t="s">
        <v>437</v>
      </c>
      <c r="E153" s="10" t="s">
        <v>438</v>
      </c>
      <c r="F153" s="10" t="s">
        <v>439</v>
      </c>
      <c r="G153" s="8">
        <v>1</v>
      </c>
      <c r="H153" s="11">
        <v>400</v>
      </c>
      <c r="I153" s="12">
        <v>42386</v>
      </c>
      <c r="J153" s="13">
        <f t="shared" si="5"/>
        <v>0</v>
      </c>
      <c r="K153" s="14">
        <v>400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5">
        <f t="shared" ref="W153:W216" si="6">SUM(K153:V153)</f>
        <v>400</v>
      </c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5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5"/>
      <c r="AX153" s="16"/>
    </row>
    <row r="154" spans="2:50" x14ac:dyDescent="0.2">
      <c r="B154" s="7" t="s">
        <v>69</v>
      </c>
      <c r="C154" s="8">
        <v>10940</v>
      </c>
      <c r="D154" s="9" t="s">
        <v>437</v>
      </c>
      <c r="E154" s="10" t="s">
        <v>438</v>
      </c>
      <c r="F154" s="10" t="s">
        <v>439</v>
      </c>
      <c r="G154" s="8">
        <v>3</v>
      </c>
      <c r="H154" s="11">
        <v>160</v>
      </c>
      <c r="I154" s="12">
        <v>42386</v>
      </c>
      <c r="J154" s="13">
        <f t="shared" si="5"/>
        <v>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5">
        <f t="shared" si="6"/>
        <v>0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5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5"/>
      <c r="AX154" s="16"/>
    </row>
    <row r="155" spans="2:50" x14ac:dyDescent="0.2">
      <c r="B155" s="7" t="s">
        <v>73</v>
      </c>
      <c r="C155" s="8">
        <v>10941</v>
      </c>
      <c r="D155" s="9" t="s">
        <v>440</v>
      </c>
      <c r="E155" s="10" t="s">
        <v>441</v>
      </c>
      <c r="F155" s="10" t="s">
        <v>442</v>
      </c>
      <c r="G155" s="8">
        <v>1</v>
      </c>
      <c r="H155" s="11">
        <v>300</v>
      </c>
      <c r="I155" s="12">
        <v>42386</v>
      </c>
      <c r="J155" s="13">
        <f t="shared" ref="J155:J218" si="7">IF(G155=1,SUM(W155,-H155),0)</f>
        <v>0</v>
      </c>
      <c r="K155" s="14">
        <v>300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5">
        <f t="shared" si="6"/>
        <v>300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5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5"/>
      <c r="AX155" s="16"/>
    </row>
    <row r="156" spans="2:50" x14ac:dyDescent="0.2">
      <c r="B156" s="7" t="s">
        <v>37</v>
      </c>
      <c r="C156" s="8">
        <v>10942</v>
      </c>
      <c r="D156" s="9" t="s">
        <v>443</v>
      </c>
      <c r="E156" s="10" t="s">
        <v>444</v>
      </c>
      <c r="F156" s="10" t="s">
        <v>445</v>
      </c>
      <c r="G156" s="8">
        <v>1</v>
      </c>
      <c r="H156" s="11">
        <v>4400</v>
      </c>
      <c r="I156" s="12">
        <v>42386</v>
      </c>
      <c r="J156" s="13">
        <f t="shared" si="7"/>
        <v>0</v>
      </c>
      <c r="K156" s="14">
        <v>400</v>
      </c>
      <c r="L156" s="14">
        <v>400</v>
      </c>
      <c r="M156" s="14">
        <v>400</v>
      </c>
      <c r="N156" s="14">
        <v>400</v>
      </c>
      <c r="O156" s="14">
        <v>400</v>
      </c>
      <c r="P156" s="14">
        <v>400</v>
      </c>
      <c r="Q156" s="14">
        <v>400</v>
      </c>
      <c r="R156" s="14">
        <v>400</v>
      </c>
      <c r="S156" s="14">
        <v>400</v>
      </c>
      <c r="T156" s="14">
        <v>400</v>
      </c>
      <c r="U156" s="14">
        <v>400</v>
      </c>
      <c r="V156" s="14"/>
      <c r="W156" s="15">
        <f t="shared" si="6"/>
        <v>4400</v>
      </c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5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5"/>
      <c r="AX156" s="16" t="s">
        <v>57</v>
      </c>
    </row>
    <row r="157" spans="2:50" x14ac:dyDescent="0.2">
      <c r="B157" s="7" t="s">
        <v>37</v>
      </c>
      <c r="C157" s="8">
        <v>10942</v>
      </c>
      <c r="D157" s="9" t="s">
        <v>443</v>
      </c>
      <c r="E157" s="10" t="s">
        <v>444</v>
      </c>
      <c r="F157" s="10" t="s">
        <v>445</v>
      </c>
      <c r="G157" s="8">
        <v>3</v>
      </c>
      <c r="H157" s="11">
        <v>160</v>
      </c>
      <c r="I157" s="12">
        <v>42386</v>
      </c>
      <c r="J157" s="13">
        <f t="shared" si="7"/>
        <v>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5">
        <f t="shared" si="6"/>
        <v>0</v>
      </c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5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5"/>
      <c r="AX157" s="16"/>
    </row>
    <row r="158" spans="2:50" x14ac:dyDescent="0.2">
      <c r="B158" s="7" t="s">
        <v>37</v>
      </c>
      <c r="C158" s="8">
        <v>10943</v>
      </c>
      <c r="D158" s="9" t="s">
        <v>443</v>
      </c>
      <c r="E158" s="10" t="s">
        <v>444</v>
      </c>
      <c r="F158" s="10" t="s">
        <v>445</v>
      </c>
      <c r="G158" s="8">
        <v>4</v>
      </c>
      <c r="H158" s="11">
        <v>160</v>
      </c>
      <c r="I158" s="12">
        <v>42386</v>
      </c>
      <c r="J158" s="13">
        <f t="shared" si="7"/>
        <v>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5">
        <f t="shared" si="6"/>
        <v>0</v>
      </c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5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5"/>
      <c r="AX158" s="7">
        <v>6573</v>
      </c>
    </row>
    <row r="159" spans="2:50" x14ac:dyDescent="0.2">
      <c r="B159" s="7" t="s">
        <v>37</v>
      </c>
      <c r="C159" s="8">
        <v>10944</v>
      </c>
      <c r="D159" s="9" t="s">
        <v>446</v>
      </c>
      <c r="E159" s="10" t="s">
        <v>447</v>
      </c>
      <c r="F159" s="10" t="s">
        <v>448</v>
      </c>
      <c r="G159" s="8">
        <v>1</v>
      </c>
      <c r="H159" s="11">
        <v>150</v>
      </c>
      <c r="I159" s="12">
        <v>42386</v>
      </c>
      <c r="J159" s="13">
        <f t="shared" si="7"/>
        <v>0</v>
      </c>
      <c r="K159" s="14">
        <v>150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5">
        <f t="shared" si="6"/>
        <v>150</v>
      </c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5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5"/>
      <c r="AX159" s="16"/>
    </row>
    <row r="160" spans="2:50" x14ac:dyDescent="0.2">
      <c r="B160" s="7" t="s">
        <v>69</v>
      </c>
      <c r="C160" s="8">
        <v>10945</v>
      </c>
      <c r="D160" s="9" t="s">
        <v>387</v>
      </c>
      <c r="E160" s="10" t="s">
        <v>388</v>
      </c>
      <c r="F160" s="10" t="s">
        <v>389</v>
      </c>
      <c r="G160" s="8">
        <v>3</v>
      </c>
      <c r="H160" s="11">
        <v>160</v>
      </c>
      <c r="I160" s="12">
        <v>42386</v>
      </c>
      <c r="J160" s="13">
        <f t="shared" si="7"/>
        <v>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5">
        <f t="shared" si="6"/>
        <v>0</v>
      </c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5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5"/>
      <c r="AX160" s="16"/>
    </row>
    <row r="161" spans="2:50" x14ac:dyDescent="0.2">
      <c r="B161" s="7" t="s">
        <v>47</v>
      </c>
      <c r="C161" s="8">
        <v>10946</v>
      </c>
      <c r="D161" s="9" t="s">
        <v>449</v>
      </c>
      <c r="E161" s="10" t="s">
        <v>450</v>
      </c>
      <c r="F161" s="10" t="s">
        <v>451</v>
      </c>
      <c r="G161" s="8">
        <v>1</v>
      </c>
      <c r="H161" s="11">
        <v>300</v>
      </c>
      <c r="I161" s="12">
        <v>42386</v>
      </c>
      <c r="J161" s="13">
        <f t="shared" si="7"/>
        <v>0</v>
      </c>
      <c r="K161" s="14">
        <v>300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5">
        <f t="shared" si="6"/>
        <v>300</v>
      </c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5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5"/>
      <c r="AX161" s="16"/>
    </row>
    <row r="162" spans="2:50" x14ac:dyDescent="0.2">
      <c r="B162" s="7" t="s">
        <v>69</v>
      </c>
      <c r="C162" s="8">
        <v>10947</v>
      </c>
      <c r="D162" s="9" t="s">
        <v>361</v>
      </c>
      <c r="E162" s="10" t="s">
        <v>362</v>
      </c>
      <c r="F162" s="10" t="s">
        <v>363</v>
      </c>
      <c r="G162" s="8">
        <v>1</v>
      </c>
      <c r="H162" s="11">
        <v>400</v>
      </c>
      <c r="I162" s="12">
        <v>42386</v>
      </c>
      <c r="J162" s="13">
        <f t="shared" si="7"/>
        <v>0</v>
      </c>
      <c r="K162" s="14">
        <v>400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5">
        <f t="shared" si="6"/>
        <v>400</v>
      </c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5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5"/>
      <c r="AX162" s="16"/>
    </row>
    <row r="163" spans="2:50" x14ac:dyDescent="0.2">
      <c r="B163" s="7" t="s">
        <v>69</v>
      </c>
      <c r="C163" s="8">
        <v>10948</v>
      </c>
      <c r="D163" s="9" t="s">
        <v>452</v>
      </c>
      <c r="E163" s="10" t="s">
        <v>453</v>
      </c>
      <c r="F163" s="10" t="s">
        <v>454</v>
      </c>
      <c r="G163" s="8">
        <v>1</v>
      </c>
      <c r="H163" s="11">
        <v>4400</v>
      </c>
      <c r="I163" s="12">
        <v>42386</v>
      </c>
      <c r="J163" s="13">
        <f t="shared" si="7"/>
        <v>0</v>
      </c>
      <c r="K163" s="14">
        <v>400</v>
      </c>
      <c r="L163" s="14">
        <v>400</v>
      </c>
      <c r="M163" s="14">
        <v>400</v>
      </c>
      <c r="N163" s="14">
        <v>400</v>
      </c>
      <c r="O163" s="14">
        <v>400</v>
      </c>
      <c r="P163" s="14">
        <v>400</v>
      </c>
      <c r="Q163" s="14">
        <v>400</v>
      </c>
      <c r="R163" s="14">
        <v>400</v>
      </c>
      <c r="S163" s="14">
        <v>400</v>
      </c>
      <c r="T163" s="14">
        <v>400</v>
      </c>
      <c r="U163" s="14">
        <v>400</v>
      </c>
      <c r="V163" s="14"/>
      <c r="W163" s="15">
        <f t="shared" si="6"/>
        <v>4400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5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5"/>
      <c r="AX163" s="16" t="s">
        <v>57</v>
      </c>
    </row>
    <row r="164" spans="2:50" x14ac:dyDescent="0.2">
      <c r="B164" s="7" t="s">
        <v>77</v>
      </c>
      <c r="C164" s="8">
        <v>10949</v>
      </c>
      <c r="D164" s="9" t="s">
        <v>455</v>
      </c>
      <c r="E164" s="10" t="s">
        <v>456</v>
      </c>
      <c r="F164" s="10" t="s">
        <v>457</v>
      </c>
      <c r="G164" s="8">
        <v>1</v>
      </c>
      <c r="H164" s="11">
        <v>400</v>
      </c>
      <c r="I164" s="12">
        <v>42386</v>
      </c>
      <c r="J164" s="13">
        <f t="shared" si="7"/>
        <v>0</v>
      </c>
      <c r="K164" s="14">
        <v>400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>
        <f t="shared" si="6"/>
        <v>400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5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5"/>
      <c r="AX164" s="16"/>
    </row>
    <row r="165" spans="2:50" x14ac:dyDescent="0.2">
      <c r="B165" s="7" t="s">
        <v>122</v>
      </c>
      <c r="C165" s="8">
        <v>10950</v>
      </c>
      <c r="D165" s="9" t="s">
        <v>310</v>
      </c>
      <c r="E165" s="10" t="s">
        <v>311</v>
      </c>
      <c r="F165" s="10" t="s">
        <v>312</v>
      </c>
      <c r="G165" s="8">
        <v>4</v>
      </c>
      <c r="H165" s="11">
        <v>160</v>
      </c>
      <c r="I165" s="12">
        <v>42386</v>
      </c>
      <c r="J165" s="13">
        <f t="shared" si="7"/>
        <v>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5">
        <f t="shared" si="6"/>
        <v>0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5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5"/>
      <c r="AX165" s="7">
        <v>6572</v>
      </c>
    </row>
    <row r="166" spans="2:50" x14ac:dyDescent="0.2">
      <c r="B166" s="7" t="s">
        <v>47</v>
      </c>
      <c r="C166" s="8">
        <v>10951</v>
      </c>
      <c r="D166" s="9" t="s">
        <v>153</v>
      </c>
      <c r="E166" s="10" t="s">
        <v>154</v>
      </c>
      <c r="F166" s="10" t="s">
        <v>155</v>
      </c>
      <c r="G166" s="8">
        <v>3</v>
      </c>
      <c r="H166" s="11">
        <v>160</v>
      </c>
      <c r="I166" s="12">
        <v>42386</v>
      </c>
      <c r="J166" s="13">
        <f t="shared" si="7"/>
        <v>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5">
        <f t="shared" si="6"/>
        <v>0</v>
      </c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5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5"/>
      <c r="AX166" s="16"/>
    </row>
    <row r="167" spans="2:50" x14ac:dyDescent="0.2">
      <c r="B167" s="7" t="s">
        <v>73</v>
      </c>
      <c r="C167" s="8">
        <v>10952</v>
      </c>
      <c r="D167" s="9" t="s">
        <v>458</v>
      </c>
      <c r="E167" s="10" t="s">
        <v>459</v>
      </c>
      <c r="F167" s="10" t="s">
        <v>460</v>
      </c>
      <c r="G167" s="8">
        <v>1</v>
      </c>
      <c r="H167" s="11">
        <v>400</v>
      </c>
      <c r="I167" s="12">
        <v>42386</v>
      </c>
      <c r="J167" s="13">
        <f t="shared" si="7"/>
        <v>0</v>
      </c>
      <c r="K167" s="14">
        <v>400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5">
        <f t="shared" si="6"/>
        <v>400</v>
      </c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5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5"/>
      <c r="AX167" s="16"/>
    </row>
    <row r="168" spans="2:50" x14ac:dyDescent="0.2">
      <c r="B168" s="7" t="s">
        <v>69</v>
      </c>
      <c r="C168" s="8">
        <v>10953</v>
      </c>
      <c r="D168" s="9" t="s">
        <v>461</v>
      </c>
      <c r="E168" s="10" t="s">
        <v>462</v>
      </c>
      <c r="F168" s="10" t="s">
        <v>463</v>
      </c>
      <c r="G168" s="8">
        <v>1</v>
      </c>
      <c r="H168" s="11">
        <v>0</v>
      </c>
      <c r="I168" s="12">
        <v>42386</v>
      </c>
      <c r="J168" s="13">
        <f t="shared" si="7"/>
        <v>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5">
        <f t="shared" si="6"/>
        <v>0</v>
      </c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5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5"/>
      <c r="AX168" s="16"/>
    </row>
    <row r="169" spans="2:50" x14ac:dyDescent="0.2">
      <c r="B169" s="7" t="s">
        <v>47</v>
      </c>
      <c r="C169" s="8">
        <v>10954</v>
      </c>
      <c r="D169" s="9" t="s">
        <v>464</v>
      </c>
      <c r="E169" s="10" t="s">
        <v>465</v>
      </c>
      <c r="F169" s="10" t="s">
        <v>466</v>
      </c>
      <c r="G169" s="8">
        <v>1</v>
      </c>
      <c r="H169" s="11">
        <v>200</v>
      </c>
      <c r="I169" s="12">
        <v>42386</v>
      </c>
      <c r="J169" s="13">
        <f t="shared" si="7"/>
        <v>0</v>
      </c>
      <c r="K169" s="14">
        <v>200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>
        <f t="shared" si="6"/>
        <v>200</v>
      </c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5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5"/>
      <c r="AX169" s="16"/>
    </row>
    <row r="170" spans="2:50" x14ac:dyDescent="0.2">
      <c r="B170" s="7" t="s">
        <v>69</v>
      </c>
      <c r="C170" s="8">
        <v>10955</v>
      </c>
      <c r="D170" s="9" t="s">
        <v>467</v>
      </c>
      <c r="E170" s="10" t="s">
        <v>468</v>
      </c>
      <c r="F170" s="10" t="s">
        <v>469</v>
      </c>
      <c r="G170" s="8">
        <v>1</v>
      </c>
      <c r="H170" s="11">
        <v>0</v>
      </c>
      <c r="I170" s="12">
        <v>42386</v>
      </c>
      <c r="J170" s="13">
        <f t="shared" si="7"/>
        <v>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5">
        <f t="shared" si="6"/>
        <v>0</v>
      </c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5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5"/>
      <c r="AX170" s="16"/>
    </row>
    <row r="171" spans="2:50" x14ac:dyDescent="0.2">
      <c r="B171" s="7" t="s">
        <v>77</v>
      </c>
      <c r="C171" s="8">
        <v>10956</v>
      </c>
      <c r="D171" s="9" t="s">
        <v>470</v>
      </c>
      <c r="E171" s="10" t="s">
        <v>471</v>
      </c>
      <c r="F171" s="10" t="s">
        <v>472</v>
      </c>
      <c r="G171" s="8">
        <v>1</v>
      </c>
      <c r="H171" s="11">
        <v>300</v>
      </c>
      <c r="I171" s="12">
        <v>42386</v>
      </c>
      <c r="J171" s="13">
        <f t="shared" si="7"/>
        <v>0</v>
      </c>
      <c r="K171" s="14">
        <v>300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5">
        <f t="shared" si="6"/>
        <v>300</v>
      </c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5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5"/>
      <c r="AX171" s="16"/>
    </row>
    <row r="172" spans="2:50" x14ac:dyDescent="0.2">
      <c r="B172" s="7" t="s">
        <v>69</v>
      </c>
      <c r="C172" s="8">
        <v>10957</v>
      </c>
      <c r="D172" s="9" t="s">
        <v>467</v>
      </c>
      <c r="E172" s="10" t="s">
        <v>468</v>
      </c>
      <c r="F172" s="10" t="s">
        <v>469</v>
      </c>
      <c r="G172" s="8">
        <v>1</v>
      </c>
      <c r="H172" s="11">
        <v>400</v>
      </c>
      <c r="I172" s="12">
        <v>42386</v>
      </c>
      <c r="J172" s="13">
        <f t="shared" si="7"/>
        <v>0</v>
      </c>
      <c r="K172" s="14">
        <v>400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>
        <f t="shared" si="6"/>
        <v>400</v>
      </c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5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5"/>
      <c r="AX172" s="16"/>
    </row>
    <row r="173" spans="2:50" x14ac:dyDescent="0.2">
      <c r="B173" s="7" t="s">
        <v>77</v>
      </c>
      <c r="C173" s="8">
        <v>10958</v>
      </c>
      <c r="D173" s="9" t="s">
        <v>473</v>
      </c>
      <c r="E173" s="10" t="s">
        <v>474</v>
      </c>
      <c r="F173" s="10" t="s">
        <v>475</v>
      </c>
      <c r="G173" s="8">
        <v>1</v>
      </c>
      <c r="H173" s="11">
        <v>400</v>
      </c>
      <c r="I173" s="12">
        <v>42386</v>
      </c>
      <c r="J173" s="13">
        <f t="shared" si="7"/>
        <v>0</v>
      </c>
      <c r="K173" s="14">
        <v>400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5">
        <f t="shared" si="6"/>
        <v>400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5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5"/>
      <c r="AX173" s="16"/>
    </row>
    <row r="174" spans="2:50" x14ac:dyDescent="0.2">
      <c r="B174" s="7" t="s">
        <v>69</v>
      </c>
      <c r="C174" s="8">
        <v>10959</v>
      </c>
      <c r="D174" s="9" t="s">
        <v>476</v>
      </c>
      <c r="E174" s="10" t="s">
        <v>477</v>
      </c>
      <c r="F174" s="10" t="s">
        <v>478</v>
      </c>
      <c r="G174" s="8">
        <v>1</v>
      </c>
      <c r="H174" s="11">
        <v>400</v>
      </c>
      <c r="I174" s="12">
        <v>42386</v>
      </c>
      <c r="J174" s="13">
        <f t="shared" si="7"/>
        <v>0</v>
      </c>
      <c r="K174" s="14">
        <v>400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>
        <f t="shared" si="6"/>
        <v>400</v>
      </c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5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5"/>
      <c r="AX174" s="16"/>
    </row>
    <row r="175" spans="2:50" x14ac:dyDescent="0.2">
      <c r="B175" s="7" t="s">
        <v>77</v>
      </c>
      <c r="C175" s="8">
        <v>10960</v>
      </c>
      <c r="D175" s="9" t="s">
        <v>479</v>
      </c>
      <c r="E175" s="10" t="s">
        <v>480</v>
      </c>
      <c r="F175" s="10" t="s">
        <v>481</v>
      </c>
      <c r="G175" s="8">
        <v>1</v>
      </c>
      <c r="H175" s="11">
        <v>300</v>
      </c>
      <c r="I175" s="12">
        <v>42386</v>
      </c>
      <c r="J175" s="13">
        <f t="shared" si="7"/>
        <v>0</v>
      </c>
      <c r="K175" s="14">
        <v>300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5">
        <f t="shared" si="6"/>
        <v>300</v>
      </c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5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5"/>
      <c r="AX175" s="16"/>
    </row>
    <row r="176" spans="2:50" x14ac:dyDescent="0.2">
      <c r="B176" s="7" t="s">
        <v>391</v>
      </c>
      <c r="C176" s="8">
        <v>10961</v>
      </c>
      <c r="D176" s="9" t="s">
        <v>482</v>
      </c>
      <c r="E176" s="10" t="s">
        <v>483</v>
      </c>
      <c r="F176" s="10" t="s">
        <v>484</v>
      </c>
      <c r="G176" s="8">
        <v>1</v>
      </c>
      <c r="H176" s="11">
        <v>200</v>
      </c>
      <c r="I176" s="12">
        <v>42386</v>
      </c>
      <c r="J176" s="13">
        <f t="shared" si="7"/>
        <v>0</v>
      </c>
      <c r="K176" s="14">
        <v>200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5">
        <f t="shared" si="6"/>
        <v>200</v>
      </c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5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5"/>
      <c r="AX176" s="16"/>
    </row>
    <row r="177" spans="2:50" x14ac:dyDescent="0.2">
      <c r="B177" s="7" t="s">
        <v>73</v>
      </c>
      <c r="C177" s="8">
        <v>10962</v>
      </c>
      <c r="D177" s="9" t="s">
        <v>485</v>
      </c>
      <c r="E177" s="10" t="s">
        <v>486</v>
      </c>
      <c r="F177" s="10" t="s">
        <v>487</v>
      </c>
      <c r="G177" s="8">
        <v>1</v>
      </c>
      <c r="H177" s="11">
        <v>0</v>
      </c>
      <c r="I177" s="12">
        <v>42387</v>
      </c>
      <c r="J177" s="13">
        <f t="shared" si="7"/>
        <v>0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>
        <f t="shared" si="6"/>
        <v>0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5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5"/>
      <c r="AX177" s="16"/>
    </row>
    <row r="178" spans="2:50" x14ac:dyDescent="0.2">
      <c r="B178" s="7" t="s">
        <v>37</v>
      </c>
      <c r="C178" s="8">
        <v>10963</v>
      </c>
      <c r="D178" s="9" t="s">
        <v>488</v>
      </c>
      <c r="E178" s="10" t="s">
        <v>489</v>
      </c>
      <c r="F178" s="10" t="s">
        <v>490</v>
      </c>
      <c r="G178" s="8">
        <v>1</v>
      </c>
      <c r="H178" s="11">
        <v>400</v>
      </c>
      <c r="I178" s="12">
        <v>42388</v>
      </c>
      <c r="J178" s="13">
        <f t="shared" si="7"/>
        <v>0</v>
      </c>
      <c r="K178" s="14">
        <v>400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>
        <f t="shared" si="6"/>
        <v>400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5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5"/>
      <c r="AX178" s="16"/>
    </row>
    <row r="179" spans="2:50" x14ac:dyDescent="0.2">
      <c r="B179" s="7" t="s">
        <v>37</v>
      </c>
      <c r="C179" s="8">
        <v>10964</v>
      </c>
      <c r="D179" s="9" t="s">
        <v>491</v>
      </c>
      <c r="E179" s="10" t="s">
        <v>492</v>
      </c>
      <c r="F179" s="10" t="s">
        <v>493</v>
      </c>
      <c r="G179" s="8">
        <v>1</v>
      </c>
      <c r="H179" s="11">
        <v>600</v>
      </c>
      <c r="I179" s="12">
        <v>42387</v>
      </c>
      <c r="J179" s="13">
        <f t="shared" si="7"/>
        <v>0</v>
      </c>
      <c r="K179" s="14">
        <v>100</v>
      </c>
      <c r="L179" s="14">
        <v>100</v>
      </c>
      <c r="M179" s="14">
        <v>100</v>
      </c>
      <c r="N179" s="14">
        <v>100</v>
      </c>
      <c r="O179" s="14">
        <v>100</v>
      </c>
      <c r="P179" s="14">
        <v>100</v>
      </c>
      <c r="Q179" s="14"/>
      <c r="R179" s="14"/>
      <c r="S179" s="14"/>
      <c r="T179" s="14"/>
      <c r="U179" s="14"/>
      <c r="V179" s="14"/>
      <c r="W179" s="15">
        <f t="shared" si="6"/>
        <v>600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5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5"/>
      <c r="AX179" s="16"/>
    </row>
    <row r="180" spans="2:50" x14ac:dyDescent="0.2">
      <c r="B180" s="7" t="s">
        <v>37</v>
      </c>
      <c r="C180" s="8">
        <v>10965</v>
      </c>
      <c r="D180" s="9" t="s">
        <v>494</v>
      </c>
      <c r="E180" s="10" t="s">
        <v>495</v>
      </c>
      <c r="F180" s="10" t="s">
        <v>496</v>
      </c>
      <c r="G180" s="8">
        <v>1</v>
      </c>
      <c r="H180" s="11">
        <v>150</v>
      </c>
      <c r="I180" s="12">
        <v>42388</v>
      </c>
      <c r="J180" s="13">
        <f t="shared" si="7"/>
        <v>0</v>
      </c>
      <c r="K180" s="14">
        <v>150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>
        <f t="shared" si="6"/>
        <v>150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5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5"/>
      <c r="AX180" s="16"/>
    </row>
    <row r="181" spans="2:50" x14ac:dyDescent="0.2">
      <c r="B181" s="7" t="s">
        <v>47</v>
      </c>
      <c r="C181" s="8">
        <v>10966</v>
      </c>
      <c r="D181" s="9" t="s">
        <v>497</v>
      </c>
      <c r="E181" s="10" t="s">
        <v>498</v>
      </c>
      <c r="F181" s="10" t="s">
        <v>499</v>
      </c>
      <c r="G181" s="8">
        <v>1</v>
      </c>
      <c r="H181" s="11">
        <v>400</v>
      </c>
      <c r="I181" s="12">
        <v>42388</v>
      </c>
      <c r="J181" s="13">
        <f t="shared" si="7"/>
        <v>0</v>
      </c>
      <c r="K181" s="14">
        <v>400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5">
        <f t="shared" si="6"/>
        <v>400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5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5"/>
      <c r="AX181" s="16"/>
    </row>
    <row r="182" spans="2:50" x14ac:dyDescent="0.2">
      <c r="B182" s="7" t="s">
        <v>47</v>
      </c>
      <c r="C182" s="8">
        <v>10967</v>
      </c>
      <c r="D182" s="9" t="s">
        <v>500</v>
      </c>
      <c r="E182" s="10" t="s">
        <v>501</v>
      </c>
      <c r="F182" s="10" t="s">
        <v>502</v>
      </c>
      <c r="G182" s="8">
        <v>1</v>
      </c>
      <c r="H182" s="11">
        <v>200</v>
      </c>
      <c r="I182" s="12">
        <v>42388</v>
      </c>
      <c r="J182" s="13">
        <f t="shared" si="7"/>
        <v>0</v>
      </c>
      <c r="K182" s="14">
        <v>200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5">
        <f t="shared" si="6"/>
        <v>200</v>
      </c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5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5"/>
      <c r="AX182" s="16"/>
    </row>
    <row r="183" spans="2:50" x14ac:dyDescent="0.2">
      <c r="B183" s="7" t="s">
        <v>37</v>
      </c>
      <c r="C183" s="8">
        <v>10968</v>
      </c>
      <c r="D183" s="9" t="s">
        <v>503</v>
      </c>
      <c r="E183" s="10" t="s">
        <v>504</v>
      </c>
      <c r="F183" s="10" t="s">
        <v>505</v>
      </c>
      <c r="G183" s="8">
        <v>1</v>
      </c>
      <c r="H183" s="11">
        <v>300</v>
      </c>
      <c r="I183" s="12">
        <v>42388</v>
      </c>
      <c r="J183" s="13">
        <f t="shared" si="7"/>
        <v>0</v>
      </c>
      <c r="K183" s="14">
        <v>150</v>
      </c>
      <c r="L183" s="14">
        <v>150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5">
        <f t="shared" si="6"/>
        <v>300</v>
      </c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5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5"/>
      <c r="AX183" s="16"/>
    </row>
    <row r="184" spans="2:50" x14ac:dyDescent="0.2">
      <c r="B184" s="7" t="s">
        <v>69</v>
      </c>
      <c r="C184" s="8">
        <v>10969</v>
      </c>
      <c r="D184" s="9" t="s">
        <v>506</v>
      </c>
      <c r="E184" s="10" t="s">
        <v>507</v>
      </c>
      <c r="F184" s="10" t="s">
        <v>508</v>
      </c>
      <c r="G184" s="8">
        <v>1</v>
      </c>
      <c r="H184" s="11">
        <v>4400</v>
      </c>
      <c r="I184" s="12">
        <v>42390</v>
      </c>
      <c r="J184" s="13">
        <f t="shared" si="7"/>
        <v>0</v>
      </c>
      <c r="K184" s="14">
        <v>400</v>
      </c>
      <c r="L184" s="14">
        <v>400</v>
      </c>
      <c r="M184" s="14">
        <v>400</v>
      </c>
      <c r="N184" s="14">
        <v>400</v>
      </c>
      <c r="O184" s="14">
        <v>400</v>
      </c>
      <c r="P184" s="14">
        <v>400</v>
      </c>
      <c r="Q184" s="14">
        <v>400</v>
      </c>
      <c r="R184" s="14">
        <v>400</v>
      </c>
      <c r="S184" s="14">
        <v>400</v>
      </c>
      <c r="T184" s="14">
        <v>400</v>
      </c>
      <c r="U184" s="14">
        <v>400</v>
      </c>
      <c r="V184" s="14"/>
      <c r="W184" s="15">
        <f t="shared" si="6"/>
        <v>4400</v>
      </c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5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5"/>
      <c r="AX184" s="16" t="s">
        <v>57</v>
      </c>
    </row>
    <row r="185" spans="2:50" x14ac:dyDescent="0.2">
      <c r="B185" s="7" t="s">
        <v>47</v>
      </c>
      <c r="C185" s="8">
        <v>10970</v>
      </c>
      <c r="D185" s="9" t="s">
        <v>509</v>
      </c>
      <c r="E185" s="10" t="s">
        <v>510</v>
      </c>
      <c r="F185" s="10" t="s">
        <v>511</v>
      </c>
      <c r="G185" s="8">
        <v>1</v>
      </c>
      <c r="H185" s="11">
        <v>300</v>
      </c>
      <c r="I185" s="12">
        <v>42393</v>
      </c>
      <c r="J185" s="13">
        <f t="shared" si="7"/>
        <v>0</v>
      </c>
      <c r="K185" s="14">
        <v>300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5">
        <f t="shared" si="6"/>
        <v>300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5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5"/>
      <c r="AX185" s="16"/>
    </row>
    <row r="186" spans="2:50" x14ac:dyDescent="0.2">
      <c r="B186" s="7" t="s">
        <v>37</v>
      </c>
      <c r="C186" s="8">
        <v>10971</v>
      </c>
      <c r="D186" s="9" t="s">
        <v>512</v>
      </c>
      <c r="E186" s="10" t="s">
        <v>513</v>
      </c>
      <c r="F186" s="10" t="s">
        <v>511</v>
      </c>
      <c r="G186" s="8">
        <v>1</v>
      </c>
      <c r="H186" s="11">
        <v>400</v>
      </c>
      <c r="I186" s="12">
        <v>42393</v>
      </c>
      <c r="J186" s="13">
        <f t="shared" si="7"/>
        <v>0</v>
      </c>
      <c r="K186" s="14">
        <v>400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>
        <f t="shared" si="6"/>
        <v>400</v>
      </c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5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5"/>
      <c r="AX186" s="16"/>
    </row>
    <row r="187" spans="2:50" x14ac:dyDescent="0.2">
      <c r="B187" s="7" t="s">
        <v>69</v>
      </c>
      <c r="C187" s="8">
        <v>10972</v>
      </c>
      <c r="D187" s="9" t="s">
        <v>514</v>
      </c>
      <c r="E187" s="10" t="s">
        <v>515</v>
      </c>
      <c r="F187" s="10" t="s">
        <v>516</v>
      </c>
      <c r="G187" s="8">
        <v>1</v>
      </c>
      <c r="H187" s="11">
        <v>400</v>
      </c>
      <c r="I187" s="12">
        <v>42393</v>
      </c>
      <c r="J187" s="13">
        <f t="shared" si="7"/>
        <v>0</v>
      </c>
      <c r="K187" s="14">
        <v>400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5">
        <f t="shared" si="6"/>
        <v>400</v>
      </c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5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5"/>
      <c r="AX187" s="16"/>
    </row>
    <row r="188" spans="2:50" x14ac:dyDescent="0.2">
      <c r="B188" s="7" t="s">
        <v>77</v>
      </c>
      <c r="C188" s="8">
        <v>10973</v>
      </c>
      <c r="D188" s="9" t="s">
        <v>87</v>
      </c>
      <c r="E188" s="10" t="s">
        <v>88</v>
      </c>
      <c r="F188" s="10" t="s">
        <v>89</v>
      </c>
      <c r="G188" s="8">
        <v>1</v>
      </c>
      <c r="H188" s="11">
        <v>400</v>
      </c>
      <c r="I188" s="12">
        <v>42393</v>
      </c>
      <c r="J188" s="13">
        <f t="shared" si="7"/>
        <v>0</v>
      </c>
      <c r="K188" s="14"/>
      <c r="L188" s="14">
        <v>400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5">
        <f t="shared" si="6"/>
        <v>400</v>
      </c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5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5"/>
      <c r="AX188" s="16"/>
    </row>
    <row r="189" spans="2:50" x14ac:dyDescent="0.2">
      <c r="B189" s="7" t="s">
        <v>77</v>
      </c>
      <c r="C189" s="8">
        <v>10973</v>
      </c>
      <c r="D189" s="9" t="s">
        <v>87</v>
      </c>
      <c r="E189" s="10" t="s">
        <v>88</v>
      </c>
      <c r="F189" s="10" t="s">
        <v>89</v>
      </c>
      <c r="G189" s="8">
        <v>4</v>
      </c>
      <c r="H189" s="11">
        <v>160</v>
      </c>
      <c r="I189" s="12">
        <v>42393</v>
      </c>
      <c r="J189" s="13">
        <f t="shared" si="7"/>
        <v>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5">
        <f t="shared" si="6"/>
        <v>0</v>
      </c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5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5"/>
      <c r="AX189" s="7">
        <v>5402</v>
      </c>
    </row>
    <row r="190" spans="2:50" x14ac:dyDescent="0.2">
      <c r="B190" s="7" t="s">
        <v>47</v>
      </c>
      <c r="C190" s="8">
        <v>10974</v>
      </c>
      <c r="D190" s="9" t="s">
        <v>517</v>
      </c>
      <c r="E190" s="10" t="s">
        <v>518</v>
      </c>
      <c r="F190" s="10" t="s">
        <v>519</v>
      </c>
      <c r="G190" s="8">
        <v>1</v>
      </c>
      <c r="H190" s="11">
        <v>4400</v>
      </c>
      <c r="I190" s="12">
        <v>42393</v>
      </c>
      <c r="J190" s="13">
        <f t="shared" si="7"/>
        <v>0</v>
      </c>
      <c r="K190" s="14">
        <v>400</v>
      </c>
      <c r="L190" s="14">
        <v>400</v>
      </c>
      <c r="M190" s="14">
        <v>400</v>
      </c>
      <c r="N190" s="14">
        <v>400</v>
      </c>
      <c r="O190" s="14">
        <v>400</v>
      </c>
      <c r="P190" s="14">
        <v>400</v>
      </c>
      <c r="Q190" s="14">
        <v>400</v>
      </c>
      <c r="R190" s="14">
        <v>400</v>
      </c>
      <c r="S190" s="14">
        <v>400</v>
      </c>
      <c r="T190" s="14">
        <v>400</v>
      </c>
      <c r="U190" s="14">
        <v>400</v>
      </c>
      <c r="V190" s="14"/>
      <c r="W190" s="15">
        <f t="shared" si="6"/>
        <v>4400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5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5"/>
      <c r="AX190" s="16" t="s">
        <v>57</v>
      </c>
    </row>
    <row r="191" spans="2:50" x14ac:dyDescent="0.2">
      <c r="B191" s="7" t="s">
        <v>37</v>
      </c>
      <c r="C191" s="8">
        <v>10975</v>
      </c>
      <c r="D191" s="9" t="s">
        <v>520</v>
      </c>
      <c r="E191" s="10" t="s">
        <v>521</v>
      </c>
      <c r="F191" s="10" t="s">
        <v>522</v>
      </c>
      <c r="G191" s="8">
        <v>1</v>
      </c>
      <c r="H191" s="11">
        <v>800</v>
      </c>
      <c r="I191" s="12">
        <v>42393</v>
      </c>
      <c r="J191" s="13">
        <f t="shared" si="7"/>
        <v>0</v>
      </c>
      <c r="K191" s="14">
        <v>400</v>
      </c>
      <c r="L191" s="14">
        <v>400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5">
        <f t="shared" si="6"/>
        <v>800</v>
      </c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5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5"/>
      <c r="AX191" s="16"/>
    </row>
    <row r="192" spans="2:50" x14ac:dyDescent="0.2">
      <c r="B192" s="7" t="s">
        <v>73</v>
      </c>
      <c r="C192" s="8">
        <v>10976</v>
      </c>
      <c r="D192" s="9" t="s">
        <v>109</v>
      </c>
      <c r="E192" s="10" t="s">
        <v>110</v>
      </c>
      <c r="F192" s="10" t="s">
        <v>111</v>
      </c>
      <c r="G192" s="8">
        <v>3</v>
      </c>
      <c r="H192" s="11">
        <v>160</v>
      </c>
      <c r="I192" s="12">
        <v>42393</v>
      </c>
      <c r="J192" s="13">
        <f t="shared" si="7"/>
        <v>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>
        <f t="shared" si="6"/>
        <v>0</v>
      </c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5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5"/>
      <c r="AX192" s="16"/>
    </row>
    <row r="193" spans="2:50" x14ac:dyDescent="0.2">
      <c r="B193" s="7" t="s">
        <v>73</v>
      </c>
      <c r="C193" s="8">
        <v>10977</v>
      </c>
      <c r="D193" s="9" t="s">
        <v>523</v>
      </c>
      <c r="E193" s="10" t="s">
        <v>524</v>
      </c>
      <c r="F193" s="10" t="s">
        <v>525</v>
      </c>
      <c r="G193" s="8">
        <v>1</v>
      </c>
      <c r="H193" s="11">
        <v>0</v>
      </c>
      <c r="I193" s="12">
        <v>42393</v>
      </c>
      <c r="J193" s="13">
        <f t="shared" si="7"/>
        <v>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5">
        <f t="shared" si="6"/>
        <v>0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5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5"/>
      <c r="AX193" s="16"/>
    </row>
    <row r="194" spans="2:50" x14ac:dyDescent="0.2">
      <c r="B194" s="7" t="s">
        <v>37</v>
      </c>
      <c r="C194" s="8">
        <v>10978</v>
      </c>
      <c r="D194" s="9" t="s">
        <v>526</v>
      </c>
      <c r="E194" s="10" t="s">
        <v>527</v>
      </c>
      <c r="F194" s="10" t="s">
        <v>528</v>
      </c>
      <c r="G194" s="8">
        <v>1</v>
      </c>
      <c r="H194" s="11">
        <v>800</v>
      </c>
      <c r="I194" s="12">
        <v>42393</v>
      </c>
      <c r="J194" s="13">
        <f t="shared" si="7"/>
        <v>0</v>
      </c>
      <c r="K194" s="14">
        <v>400</v>
      </c>
      <c r="L194" s="14">
        <v>400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5">
        <f t="shared" si="6"/>
        <v>800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5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5"/>
      <c r="AX194" s="16"/>
    </row>
    <row r="195" spans="2:50" x14ac:dyDescent="0.2">
      <c r="B195" s="7" t="s">
        <v>73</v>
      </c>
      <c r="C195" s="8">
        <v>10979</v>
      </c>
      <c r="D195" s="9" t="s">
        <v>529</v>
      </c>
      <c r="E195" s="10" t="s">
        <v>530</v>
      </c>
      <c r="F195" s="10" t="s">
        <v>531</v>
      </c>
      <c r="G195" s="8">
        <v>1</v>
      </c>
      <c r="H195" s="11">
        <v>0</v>
      </c>
      <c r="I195" s="12">
        <v>42393</v>
      </c>
      <c r="J195" s="13">
        <f t="shared" si="7"/>
        <v>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5">
        <f t="shared" si="6"/>
        <v>0</v>
      </c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5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5"/>
      <c r="AX195" s="16"/>
    </row>
    <row r="196" spans="2:50" x14ac:dyDescent="0.2">
      <c r="B196" s="7" t="s">
        <v>73</v>
      </c>
      <c r="C196" s="8">
        <v>10980</v>
      </c>
      <c r="D196" s="9" t="s">
        <v>532</v>
      </c>
      <c r="E196" s="10" t="s">
        <v>533</v>
      </c>
      <c r="F196" s="10" t="s">
        <v>534</v>
      </c>
      <c r="G196" s="8">
        <v>1</v>
      </c>
      <c r="H196" s="11">
        <v>400</v>
      </c>
      <c r="I196" s="12">
        <v>42393</v>
      </c>
      <c r="J196" s="13">
        <f t="shared" si="7"/>
        <v>0</v>
      </c>
      <c r="K196" s="14">
        <v>400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>
        <f t="shared" si="6"/>
        <v>400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5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5"/>
      <c r="AX196" s="16"/>
    </row>
    <row r="197" spans="2:50" x14ac:dyDescent="0.2">
      <c r="B197" s="7" t="s">
        <v>69</v>
      </c>
      <c r="C197" s="8">
        <v>10981</v>
      </c>
      <c r="D197" s="9" t="s">
        <v>535</v>
      </c>
      <c r="E197" s="10" t="s">
        <v>536</v>
      </c>
      <c r="F197" s="10" t="s">
        <v>537</v>
      </c>
      <c r="G197" s="8">
        <v>1</v>
      </c>
      <c r="H197" s="11">
        <v>4400</v>
      </c>
      <c r="I197" s="12">
        <v>42393</v>
      </c>
      <c r="J197" s="13">
        <f t="shared" si="7"/>
        <v>0</v>
      </c>
      <c r="K197" s="14">
        <v>400</v>
      </c>
      <c r="L197" s="14">
        <v>400</v>
      </c>
      <c r="M197" s="14">
        <v>400</v>
      </c>
      <c r="N197" s="14">
        <v>400</v>
      </c>
      <c r="O197" s="14">
        <v>400</v>
      </c>
      <c r="P197" s="14">
        <v>400</v>
      </c>
      <c r="Q197" s="14">
        <v>400</v>
      </c>
      <c r="R197" s="14">
        <v>400</v>
      </c>
      <c r="S197" s="14">
        <v>400</v>
      </c>
      <c r="T197" s="14">
        <v>400</v>
      </c>
      <c r="U197" s="14">
        <v>400</v>
      </c>
      <c r="V197" s="14"/>
      <c r="W197" s="15">
        <f t="shared" si="6"/>
        <v>4400</v>
      </c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5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5"/>
      <c r="AX197" s="16" t="s">
        <v>57</v>
      </c>
    </row>
    <row r="198" spans="2:50" x14ac:dyDescent="0.2">
      <c r="B198" s="7" t="s">
        <v>37</v>
      </c>
      <c r="C198" s="8">
        <v>10982</v>
      </c>
      <c r="D198" s="9" t="s">
        <v>538</v>
      </c>
      <c r="E198" s="10" t="s">
        <v>539</v>
      </c>
      <c r="F198" s="10" t="s">
        <v>540</v>
      </c>
      <c r="G198" s="8">
        <v>1</v>
      </c>
      <c r="H198" s="11">
        <v>400</v>
      </c>
      <c r="I198" s="12">
        <v>42393</v>
      </c>
      <c r="J198" s="13">
        <f t="shared" si="7"/>
        <v>0</v>
      </c>
      <c r="K198" s="14">
        <v>400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5">
        <f t="shared" si="6"/>
        <v>400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5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5"/>
      <c r="AX198" s="16"/>
    </row>
    <row r="199" spans="2:50" x14ac:dyDescent="0.2">
      <c r="B199" s="7" t="s">
        <v>73</v>
      </c>
      <c r="C199" s="8">
        <v>10983</v>
      </c>
      <c r="D199" s="9" t="s">
        <v>541</v>
      </c>
      <c r="E199" s="10" t="s">
        <v>542</v>
      </c>
      <c r="F199" s="10" t="s">
        <v>543</v>
      </c>
      <c r="G199" s="8">
        <v>1</v>
      </c>
      <c r="H199" s="11">
        <v>800</v>
      </c>
      <c r="I199" s="12">
        <v>42393</v>
      </c>
      <c r="J199" s="13">
        <f t="shared" si="7"/>
        <v>0</v>
      </c>
      <c r="K199" s="14">
        <v>400</v>
      </c>
      <c r="L199" s="14">
        <v>400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>
        <f t="shared" si="6"/>
        <v>800</v>
      </c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5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5"/>
      <c r="AX199" s="16"/>
    </row>
    <row r="200" spans="2:50" x14ac:dyDescent="0.2">
      <c r="B200" s="7" t="s">
        <v>73</v>
      </c>
      <c r="C200" s="8">
        <v>10984</v>
      </c>
      <c r="D200" s="9" t="s">
        <v>544</v>
      </c>
      <c r="E200" s="10" t="s">
        <v>545</v>
      </c>
      <c r="F200" s="10" t="s">
        <v>546</v>
      </c>
      <c r="G200" s="8">
        <v>1</v>
      </c>
      <c r="H200" s="11">
        <v>400</v>
      </c>
      <c r="I200" s="12">
        <v>42393</v>
      </c>
      <c r="J200" s="13">
        <f t="shared" si="7"/>
        <v>0</v>
      </c>
      <c r="K200" s="14">
        <v>400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>
        <f t="shared" si="6"/>
        <v>400</v>
      </c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5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5"/>
      <c r="AX200" s="16"/>
    </row>
    <row r="201" spans="2:50" x14ac:dyDescent="0.2">
      <c r="B201" s="7" t="s">
        <v>77</v>
      </c>
      <c r="C201" s="8">
        <v>10985</v>
      </c>
      <c r="D201" s="9" t="s">
        <v>547</v>
      </c>
      <c r="E201" s="10" t="s">
        <v>548</v>
      </c>
      <c r="F201" s="10" t="s">
        <v>549</v>
      </c>
      <c r="G201" s="8">
        <v>1</v>
      </c>
      <c r="H201" s="11">
        <v>400</v>
      </c>
      <c r="I201" s="12">
        <v>42393</v>
      </c>
      <c r="J201" s="13">
        <f t="shared" si="7"/>
        <v>0</v>
      </c>
      <c r="K201" s="14">
        <v>200</v>
      </c>
      <c r="L201" s="14">
        <v>200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5">
        <f t="shared" si="6"/>
        <v>400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5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5"/>
      <c r="AX201" s="16"/>
    </row>
    <row r="202" spans="2:50" x14ac:dyDescent="0.2">
      <c r="B202" s="7" t="s">
        <v>37</v>
      </c>
      <c r="C202" s="8">
        <v>10986</v>
      </c>
      <c r="D202" s="9" t="s">
        <v>550</v>
      </c>
      <c r="E202" s="10" t="s">
        <v>551</v>
      </c>
      <c r="F202" s="10" t="s">
        <v>552</v>
      </c>
      <c r="G202" s="8">
        <v>1</v>
      </c>
      <c r="H202" s="11">
        <v>300</v>
      </c>
      <c r="I202" s="12">
        <v>42393</v>
      </c>
      <c r="J202" s="13">
        <f t="shared" si="7"/>
        <v>0</v>
      </c>
      <c r="K202" s="14">
        <v>300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5">
        <f t="shared" si="6"/>
        <v>300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5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5"/>
      <c r="AX202" s="16"/>
    </row>
    <row r="203" spans="2:50" x14ac:dyDescent="0.2">
      <c r="B203" s="7" t="s">
        <v>37</v>
      </c>
      <c r="C203" s="8">
        <v>10987</v>
      </c>
      <c r="D203" s="9" t="s">
        <v>553</v>
      </c>
      <c r="E203" s="10" t="s">
        <v>554</v>
      </c>
      <c r="F203" s="10" t="s">
        <v>555</v>
      </c>
      <c r="G203" s="8">
        <v>1</v>
      </c>
      <c r="H203" s="11">
        <v>400</v>
      </c>
      <c r="I203" s="12">
        <v>42393</v>
      </c>
      <c r="J203" s="13">
        <f t="shared" si="7"/>
        <v>0</v>
      </c>
      <c r="K203" s="14">
        <v>400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5">
        <f t="shared" si="6"/>
        <v>400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5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5"/>
      <c r="AX203" s="16"/>
    </row>
    <row r="204" spans="2:50" x14ac:dyDescent="0.2">
      <c r="B204" s="7" t="s">
        <v>37</v>
      </c>
      <c r="C204" s="8">
        <v>10988</v>
      </c>
      <c r="D204" s="9" t="s">
        <v>553</v>
      </c>
      <c r="E204" s="10" t="s">
        <v>554</v>
      </c>
      <c r="F204" s="10" t="s">
        <v>555</v>
      </c>
      <c r="G204" s="8">
        <v>1</v>
      </c>
      <c r="H204" s="11">
        <v>0</v>
      </c>
      <c r="I204" s="12">
        <v>42393</v>
      </c>
      <c r="J204" s="13">
        <f t="shared" si="7"/>
        <v>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5">
        <f t="shared" si="6"/>
        <v>0</v>
      </c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5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5"/>
      <c r="AX204" s="16"/>
    </row>
    <row r="205" spans="2:50" x14ac:dyDescent="0.2">
      <c r="B205" s="7" t="s">
        <v>77</v>
      </c>
      <c r="C205" s="8">
        <v>10989</v>
      </c>
      <c r="D205" s="9" t="s">
        <v>556</v>
      </c>
      <c r="E205" s="10" t="s">
        <v>557</v>
      </c>
      <c r="F205" s="10" t="s">
        <v>558</v>
      </c>
      <c r="G205" s="8">
        <v>1</v>
      </c>
      <c r="H205" s="11">
        <v>0</v>
      </c>
      <c r="I205" s="12">
        <v>42393</v>
      </c>
      <c r="J205" s="13">
        <f t="shared" si="7"/>
        <v>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5">
        <f t="shared" si="6"/>
        <v>0</v>
      </c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5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5"/>
      <c r="AX205" s="16"/>
    </row>
    <row r="206" spans="2:50" x14ac:dyDescent="0.2">
      <c r="B206" s="7" t="s">
        <v>73</v>
      </c>
      <c r="C206" s="8">
        <v>10990</v>
      </c>
      <c r="D206" s="9" t="s">
        <v>559</v>
      </c>
      <c r="E206" s="10" t="s">
        <v>560</v>
      </c>
      <c r="F206" s="10" t="s">
        <v>561</v>
      </c>
      <c r="G206" s="8">
        <v>1</v>
      </c>
      <c r="H206" s="11">
        <v>4400</v>
      </c>
      <c r="I206" s="12">
        <v>42393</v>
      </c>
      <c r="J206" s="13">
        <f t="shared" si="7"/>
        <v>0</v>
      </c>
      <c r="K206" s="14">
        <v>400</v>
      </c>
      <c r="L206" s="14">
        <v>400</v>
      </c>
      <c r="M206" s="14">
        <v>400</v>
      </c>
      <c r="N206" s="14">
        <v>400</v>
      </c>
      <c r="O206" s="14">
        <v>400</v>
      </c>
      <c r="P206" s="14">
        <v>400</v>
      </c>
      <c r="Q206" s="14">
        <v>400</v>
      </c>
      <c r="R206" s="14">
        <v>400</v>
      </c>
      <c r="S206" s="14">
        <v>400</v>
      </c>
      <c r="T206" s="14">
        <v>400</v>
      </c>
      <c r="U206" s="14">
        <v>400</v>
      </c>
      <c r="V206" s="14"/>
      <c r="W206" s="15">
        <f t="shared" si="6"/>
        <v>4400</v>
      </c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5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5"/>
      <c r="AX206" s="16" t="s">
        <v>57</v>
      </c>
    </row>
    <row r="207" spans="2:50" x14ac:dyDescent="0.2">
      <c r="B207" s="7" t="s">
        <v>77</v>
      </c>
      <c r="C207" s="8">
        <v>10991</v>
      </c>
      <c r="D207" s="9" t="s">
        <v>473</v>
      </c>
      <c r="E207" s="10" t="s">
        <v>474</v>
      </c>
      <c r="F207" s="10" t="s">
        <v>475</v>
      </c>
      <c r="G207" s="8">
        <v>4</v>
      </c>
      <c r="H207" s="11">
        <v>320</v>
      </c>
      <c r="I207" s="12">
        <v>42393</v>
      </c>
      <c r="J207" s="13">
        <f t="shared" si="7"/>
        <v>0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5">
        <f t="shared" si="6"/>
        <v>0</v>
      </c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5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5"/>
      <c r="AX207" s="16"/>
    </row>
    <row r="208" spans="2:50" x14ac:dyDescent="0.2">
      <c r="B208" s="7" t="s">
        <v>69</v>
      </c>
      <c r="C208" s="8">
        <v>10992</v>
      </c>
      <c r="D208" s="9" t="s">
        <v>562</v>
      </c>
      <c r="E208" s="10" t="s">
        <v>563</v>
      </c>
      <c r="F208" s="10" t="s">
        <v>564</v>
      </c>
      <c r="G208" s="8">
        <v>1</v>
      </c>
      <c r="H208" s="11">
        <v>400</v>
      </c>
      <c r="I208" s="12">
        <v>42393</v>
      </c>
      <c r="J208" s="13">
        <f t="shared" si="7"/>
        <v>0</v>
      </c>
      <c r="K208" s="14">
        <v>400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5">
        <f t="shared" si="6"/>
        <v>400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5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5"/>
      <c r="AX208" s="16"/>
    </row>
    <row r="209" spans="2:50" x14ac:dyDescent="0.2">
      <c r="B209" s="7" t="s">
        <v>77</v>
      </c>
      <c r="C209" s="8">
        <v>10993</v>
      </c>
      <c r="D209" s="9" t="s">
        <v>565</v>
      </c>
      <c r="E209" s="10" t="s">
        <v>566</v>
      </c>
      <c r="F209" s="10" t="s">
        <v>567</v>
      </c>
      <c r="G209" s="8">
        <v>1</v>
      </c>
      <c r="H209" s="11">
        <v>250</v>
      </c>
      <c r="I209" s="12">
        <v>42393</v>
      </c>
      <c r="J209" s="13">
        <f t="shared" si="7"/>
        <v>0</v>
      </c>
      <c r="K209" s="14">
        <v>250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5">
        <f t="shared" si="6"/>
        <v>250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5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5"/>
      <c r="AX209" s="16"/>
    </row>
    <row r="210" spans="2:50" x14ac:dyDescent="0.2">
      <c r="B210" s="7" t="s">
        <v>47</v>
      </c>
      <c r="C210" s="8">
        <v>10994</v>
      </c>
      <c r="D210" s="9" t="s">
        <v>103</v>
      </c>
      <c r="E210" s="10" t="s">
        <v>104</v>
      </c>
      <c r="F210" s="10" t="s">
        <v>105</v>
      </c>
      <c r="G210" s="8">
        <v>1</v>
      </c>
      <c r="H210" s="11">
        <v>400</v>
      </c>
      <c r="I210" s="12">
        <v>42393</v>
      </c>
      <c r="J210" s="13">
        <f t="shared" si="7"/>
        <v>0</v>
      </c>
      <c r="K210" s="14">
        <v>400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>
        <f t="shared" si="6"/>
        <v>400</v>
      </c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5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5"/>
      <c r="AX210" s="16"/>
    </row>
    <row r="211" spans="2:50" x14ac:dyDescent="0.2">
      <c r="B211" s="7" t="s">
        <v>47</v>
      </c>
      <c r="C211" s="8">
        <v>10995</v>
      </c>
      <c r="D211" s="9" t="s">
        <v>328</v>
      </c>
      <c r="E211" s="10" t="s">
        <v>329</v>
      </c>
      <c r="F211" s="10" t="s">
        <v>330</v>
      </c>
      <c r="G211" s="8">
        <v>4</v>
      </c>
      <c r="H211" s="11">
        <v>160</v>
      </c>
      <c r="I211" s="12">
        <v>42393</v>
      </c>
      <c r="J211" s="13">
        <f t="shared" si="7"/>
        <v>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5">
        <f t="shared" si="6"/>
        <v>0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5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5"/>
      <c r="AX211" s="16"/>
    </row>
    <row r="212" spans="2:50" x14ac:dyDescent="0.2">
      <c r="B212" s="7" t="s">
        <v>37</v>
      </c>
      <c r="C212" s="8">
        <v>10996</v>
      </c>
      <c r="D212" s="9" t="s">
        <v>568</v>
      </c>
      <c r="E212" s="10" t="s">
        <v>569</v>
      </c>
      <c r="F212" s="10" t="s">
        <v>570</v>
      </c>
      <c r="G212" s="8">
        <v>1</v>
      </c>
      <c r="H212" s="11">
        <v>400</v>
      </c>
      <c r="I212" s="12">
        <v>42393</v>
      </c>
      <c r="J212" s="13">
        <f t="shared" si="7"/>
        <v>0</v>
      </c>
      <c r="K212" s="14">
        <v>400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5">
        <f t="shared" si="6"/>
        <v>400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5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5"/>
      <c r="AX212" s="16"/>
    </row>
    <row r="213" spans="2:50" x14ac:dyDescent="0.2">
      <c r="B213" s="7" t="s">
        <v>73</v>
      </c>
      <c r="C213" s="8">
        <v>10997</v>
      </c>
      <c r="D213" s="9" t="s">
        <v>571</v>
      </c>
      <c r="E213" s="10" t="s">
        <v>572</v>
      </c>
      <c r="F213" s="10" t="s">
        <v>573</v>
      </c>
      <c r="G213" s="8">
        <v>1</v>
      </c>
      <c r="H213" s="11">
        <v>0</v>
      </c>
      <c r="I213" s="12">
        <v>42393</v>
      </c>
      <c r="J213" s="13">
        <f t="shared" si="7"/>
        <v>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5">
        <f t="shared" si="6"/>
        <v>0</v>
      </c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5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5"/>
      <c r="AX213" s="16"/>
    </row>
    <row r="214" spans="2:50" x14ac:dyDescent="0.2">
      <c r="B214" s="7" t="s">
        <v>37</v>
      </c>
      <c r="C214" s="8">
        <v>10998</v>
      </c>
      <c r="D214" s="9" t="s">
        <v>295</v>
      </c>
      <c r="E214" s="10" t="s">
        <v>296</v>
      </c>
      <c r="F214" s="10" t="s">
        <v>297</v>
      </c>
      <c r="G214" s="8">
        <v>1</v>
      </c>
      <c r="H214" s="11">
        <v>300</v>
      </c>
      <c r="I214" s="12">
        <v>42393</v>
      </c>
      <c r="J214" s="13">
        <f t="shared" si="7"/>
        <v>0</v>
      </c>
      <c r="K214" s="14">
        <v>300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>
        <f t="shared" si="6"/>
        <v>300</v>
      </c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5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5"/>
      <c r="AX214" s="16"/>
    </row>
    <row r="215" spans="2:50" x14ac:dyDescent="0.2">
      <c r="B215" s="7" t="s">
        <v>69</v>
      </c>
      <c r="C215" s="8">
        <v>10999</v>
      </c>
      <c r="D215" s="9" t="s">
        <v>574</v>
      </c>
      <c r="E215" s="10" t="s">
        <v>575</v>
      </c>
      <c r="F215" s="10" t="s">
        <v>576</v>
      </c>
      <c r="G215" s="8">
        <v>1</v>
      </c>
      <c r="H215" s="11">
        <v>400</v>
      </c>
      <c r="I215" s="12">
        <v>42393</v>
      </c>
      <c r="J215" s="13">
        <f t="shared" si="7"/>
        <v>0</v>
      </c>
      <c r="K215" s="14">
        <v>400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5">
        <f t="shared" si="6"/>
        <v>400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5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5"/>
      <c r="AX215" s="16"/>
    </row>
    <row r="216" spans="2:50" x14ac:dyDescent="0.2">
      <c r="B216" s="7" t="s">
        <v>47</v>
      </c>
      <c r="C216" s="8">
        <v>11000</v>
      </c>
      <c r="D216" s="9" t="s">
        <v>577</v>
      </c>
      <c r="E216" s="10" t="s">
        <v>578</v>
      </c>
      <c r="F216" s="10" t="s">
        <v>579</v>
      </c>
      <c r="G216" s="8">
        <v>1</v>
      </c>
      <c r="H216" s="11">
        <v>1200</v>
      </c>
      <c r="I216" s="12">
        <v>42393</v>
      </c>
      <c r="J216" s="13">
        <f t="shared" si="7"/>
        <v>0</v>
      </c>
      <c r="K216" s="14">
        <v>400</v>
      </c>
      <c r="L216" s="14">
        <v>400</v>
      </c>
      <c r="M216" s="14">
        <v>400</v>
      </c>
      <c r="N216" s="14"/>
      <c r="O216" s="14"/>
      <c r="P216" s="14"/>
      <c r="Q216" s="14"/>
      <c r="R216" s="14"/>
      <c r="S216" s="14"/>
      <c r="T216" s="14"/>
      <c r="U216" s="14"/>
      <c r="V216" s="14"/>
      <c r="W216" s="15">
        <f t="shared" si="6"/>
        <v>1200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5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5"/>
      <c r="AX216" s="16"/>
    </row>
    <row r="217" spans="2:50" x14ac:dyDescent="0.2">
      <c r="B217" s="7" t="s">
        <v>47</v>
      </c>
      <c r="C217" s="8">
        <v>11001</v>
      </c>
      <c r="D217" s="9" t="s">
        <v>580</v>
      </c>
      <c r="E217" s="10" t="s">
        <v>581</v>
      </c>
      <c r="F217" s="10" t="s">
        <v>582</v>
      </c>
      <c r="G217" s="8">
        <v>1</v>
      </c>
      <c r="H217" s="11">
        <v>450</v>
      </c>
      <c r="I217" s="12">
        <v>42393</v>
      </c>
      <c r="J217" s="13">
        <f t="shared" si="7"/>
        <v>0</v>
      </c>
      <c r="K217" s="14">
        <v>150</v>
      </c>
      <c r="L217" s="14">
        <v>150</v>
      </c>
      <c r="M217" s="14">
        <v>150</v>
      </c>
      <c r="N217" s="14"/>
      <c r="O217" s="14"/>
      <c r="P217" s="14"/>
      <c r="Q217" s="14"/>
      <c r="R217" s="14"/>
      <c r="S217" s="14"/>
      <c r="T217" s="14"/>
      <c r="U217" s="14"/>
      <c r="V217" s="14"/>
      <c r="W217" s="15">
        <f t="shared" ref="W217:W273" si="8">SUM(K217:V217)</f>
        <v>450</v>
      </c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5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5"/>
      <c r="AX217" s="16"/>
    </row>
    <row r="218" spans="2:50" x14ac:dyDescent="0.2">
      <c r="B218" s="7" t="s">
        <v>73</v>
      </c>
      <c r="C218" s="8">
        <v>11002</v>
      </c>
      <c r="D218" s="9" t="s">
        <v>529</v>
      </c>
      <c r="E218" s="10" t="s">
        <v>530</v>
      </c>
      <c r="F218" s="10" t="s">
        <v>531</v>
      </c>
      <c r="G218" s="8">
        <v>1</v>
      </c>
      <c r="H218" s="11">
        <v>1200</v>
      </c>
      <c r="I218" s="12">
        <v>42393</v>
      </c>
      <c r="J218" s="13">
        <f t="shared" si="7"/>
        <v>0</v>
      </c>
      <c r="K218" s="14">
        <v>400</v>
      </c>
      <c r="L218" s="14">
        <v>400</v>
      </c>
      <c r="M218" s="14">
        <v>400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5">
        <f t="shared" si="8"/>
        <v>1200</v>
      </c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5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5"/>
      <c r="AX218" s="16"/>
    </row>
    <row r="219" spans="2:50" x14ac:dyDescent="0.2">
      <c r="B219" s="7" t="s">
        <v>47</v>
      </c>
      <c r="C219" s="8">
        <v>11003</v>
      </c>
      <c r="D219" s="9" t="s">
        <v>583</v>
      </c>
      <c r="E219" s="10" t="s">
        <v>584</v>
      </c>
      <c r="F219" s="10" t="s">
        <v>585</v>
      </c>
      <c r="G219" s="8">
        <v>1</v>
      </c>
      <c r="H219" s="11">
        <v>200</v>
      </c>
      <c r="I219" s="12">
        <v>42393</v>
      </c>
      <c r="J219" s="13">
        <f t="shared" ref="J219:J273" si="9">IF(G219=1,SUM(W219,-H219),0)</f>
        <v>0</v>
      </c>
      <c r="K219" s="14">
        <v>200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5">
        <f t="shared" si="8"/>
        <v>200</v>
      </c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5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5"/>
      <c r="AX219" s="16"/>
    </row>
    <row r="220" spans="2:50" x14ac:dyDescent="0.2">
      <c r="B220" s="7" t="s">
        <v>73</v>
      </c>
      <c r="C220" s="8">
        <v>11004</v>
      </c>
      <c r="D220" s="9" t="s">
        <v>586</v>
      </c>
      <c r="E220" s="10" t="s">
        <v>587</v>
      </c>
      <c r="F220" s="10" t="s">
        <v>588</v>
      </c>
      <c r="G220" s="8">
        <v>1</v>
      </c>
      <c r="H220" s="11">
        <v>0</v>
      </c>
      <c r="I220" s="12">
        <v>42393</v>
      </c>
      <c r="J220" s="13">
        <f t="shared" si="9"/>
        <v>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5">
        <f t="shared" si="8"/>
        <v>0</v>
      </c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5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5"/>
      <c r="AX220" s="16"/>
    </row>
    <row r="221" spans="2:50" x14ac:dyDescent="0.2">
      <c r="B221" s="7" t="s">
        <v>73</v>
      </c>
      <c r="C221" s="8">
        <v>11005</v>
      </c>
      <c r="D221" s="9" t="s">
        <v>586</v>
      </c>
      <c r="E221" s="10" t="s">
        <v>587</v>
      </c>
      <c r="F221" s="10" t="s">
        <v>588</v>
      </c>
      <c r="G221" s="8">
        <v>3</v>
      </c>
      <c r="H221" s="11">
        <v>160</v>
      </c>
      <c r="I221" s="12">
        <v>42393</v>
      </c>
      <c r="J221" s="13">
        <f t="shared" si="9"/>
        <v>0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5">
        <f t="shared" si="8"/>
        <v>0</v>
      </c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5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5"/>
      <c r="AX221" s="16"/>
    </row>
    <row r="222" spans="2:50" x14ac:dyDescent="0.2">
      <c r="B222" s="7" t="s">
        <v>47</v>
      </c>
      <c r="C222" s="8">
        <v>11006</v>
      </c>
      <c r="D222" s="9" t="s">
        <v>589</v>
      </c>
      <c r="E222" s="10" t="s">
        <v>590</v>
      </c>
      <c r="F222" s="10" t="s">
        <v>591</v>
      </c>
      <c r="G222" s="8">
        <v>1</v>
      </c>
      <c r="H222" s="11">
        <v>800</v>
      </c>
      <c r="I222" s="12">
        <v>42395</v>
      </c>
      <c r="J222" s="13">
        <f t="shared" si="9"/>
        <v>0</v>
      </c>
      <c r="K222" s="14">
        <v>400</v>
      </c>
      <c r="L222" s="14">
        <v>400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5">
        <f t="shared" si="8"/>
        <v>800</v>
      </c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5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5"/>
      <c r="AX222" s="16"/>
    </row>
    <row r="223" spans="2:50" x14ac:dyDescent="0.2">
      <c r="B223" s="7" t="s">
        <v>37</v>
      </c>
      <c r="C223" s="8">
        <v>11007</v>
      </c>
      <c r="D223" s="9" t="s">
        <v>592</v>
      </c>
      <c r="E223" s="10" t="s">
        <v>593</v>
      </c>
      <c r="F223" s="10" t="s">
        <v>594</v>
      </c>
      <c r="G223" s="8">
        <v>1</v>
      </c>
      <c r="H223" s="11">
        <v>1200</v>
      </c>
      <c r="I223" s="12">
        <v>42395</v>
      </c>
      <c r="J223" s="13">
        <f t="shared" si="9"/>
        <v>0</v>
      </c>
      <c r="K223" s="14">
        <v>400</v>
      </c>
      <c r="L223" s="14">
        <v>400</v>
      </c>
      <c r="M223" s="14">
        <v>400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5">
        <f t="shared" si="8"/>
        <v>1200</v>
      </c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5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5"/>
      <c r="AX223" s="16"/>
    </row>
    <row r="224" spans="2:50" x14ac:dyDescent="0.2">
      <c r="B224" s="7" t="s">
        <v>37</v>
      </c>
      <c r="C224" s="8">
        <v>11008</v>
      </c>
      <c r="D224" s="9" t="s">
        <v>592</v>
      </c>
      <c r="E224" s="10" t="s">
        <v>593</v>
      </c>
      <c r="F224" s="10" t="s">
        <v>594</v>
      </c>
      <c r="G224" s="8">
        <v>4</v>
      </c>
      <c r="H224" s="11">
        <v>160</v>
      </c>
      <c r="I224" s="12">
        <v>42395</v>
      </c>
      <c r="J224" s="13">
        <f t="shared" si="9"/>
        <v>0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>
        <f t="shared" si="8"/>
        <v>0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5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5"/>
      <c r="AX224" s="7">
        <v>6578</v>
      </c>
    </row>
    <row r="225" spans="2:50" x14ac:dyDescent="0.2">
      <c r="B225" s="7" t="s">
        <v>69</v>
      </c>
      <c r="C225" s="8">
        <v>11009</v>
      </c>
      <c r="D225" s="9" t="s">
        <v>595</v>
      </c>
      <c r="E225" s="10" t="s">
        <v>596</v>
      </c>
      <c r="F225" s="10" t="s">
        <v>597</v>
      </c>
      <c r="G225" s="8">
        <v>1</v>
      </c>
      <c r="H225" s="11">
        <v>0</v>
      </c>
      <c r="I225" s="12">
        <v>42395</v>
      </c>
      <c r="J225" s="13">
        <f t="shared" si="9"/>
        <v>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5">
        <f t="shared" si="8"/>
        <v>0</v>
      </c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5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5"/>
      <c r="AX225" s="16" t="s">
        <v>57</v>
      </c>
    </row>
    <row r="226" spans="2:50" x14ac:dyDescent="0.2">
      <c r="B226" s="7" t="s">
        <v>37</v>
      </c>
      <c r="C226" s="8">
        <v>11010</v>
      </c>
      <c r="D226" s="9" t="s">
        <v>503</v>
      </c>
      <c r="E226" s="10" t="s">
        <v>504</v>
      </c>
      <c r="F226" s="10" t="s">
        <v>505</v>
      </c>
      <c r="G226" s="8">
        <v>4</v>
      </c>
      <c r="H226" s="11">
        <v>160</v>
      </c>
      <c r="I226" s="12">
        <v>42396</v>
      </c>
      <c r="J226" s="13">
        <f t="shared" si="9"/>
        <v>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5">
        <f t="shared" si="8"/>
        <v>0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5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5"/>
      <c r="AX226" s="7">
        <v>1008</v>
      </c>
    </row>
    <row r="227" spans="2:50" x14ac:dyDescent="0.2">
      <c r="B227" s="7" t="s">
        <v>73</v>
      </c>
      <c r="C227" s="8">
        <v>11011</v>
      </c>
      <c r="D227" s="9" t="s">
        <v>598</v>
      </c>
      <c r="E227" s="10" t="s">
        <v>599</v>
      </c>
      <c r="F227" s="10" t="s">
        <v>600</v>
      </c>
      <c r="G227" s="8">
        <v>1</v>
      </c>
      <c r="H227" s="11">
        <v>400</v>
      </c>
      <c r="I227" s="12">
        <v>42397</v>
      </c>
      <c r="J227" s="13">
        <f t="shared" si="9"/>
        <v>0</v>
      </c>
      <c r="K227" s="14">
        <v>400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5">
        <f t="shared" si="8"/>
        <v>400</v>
      </c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5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5"/>
      <c r="AX227" s="16" t="s">
        <v>601</v>
      </c>
    </row>
    <row r="228" spans="2:50" x14ac:dyDescent="0.2">
      <c r="B228" s="7" t="s">
        <v>93</v>
      </c>
      <c r="C228" s="8">
        <v>11012</v>
      </c>
      <c r="D228" s="9"/>
      <c r="E228" s="10" t="s">
        <v>93</v>
      </c>
      <c r="F228" s="10" t="s">
        <v>93</v>
      </c>
      <c r="G228" s="8">
        <v>8</v>
      </c>
      <c r="H228" s="11"/>
      <c r="I228" s="12"/>
      <c r="J228" s="13">
        <f t="shared" si="9"/>
        <v>0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5">
        <f t="shared" si="8"/>
        <v>0</v>
      </c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5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5"/>
      <c r="AX228" s="16"/>
    </row>
    <row r="229" spans="2:50" x14ac:dyDescent="0.2">
      <c r="B229" s="7" t="s">
        <v>69</v>
      </c>
      <c r="C229" s="8">
        <v>11013</v>
      </c>
      <c r="D229" s="9" t="s">
        <v>602</v>
      </c>
      <c r="E229" s="10" t="s">
        <v>603</v>
      </c>
      <c r="F229" s="10" t="s">
        <v>604</v>
      </c>
      <c r="G229" s="8">
        <v>1</v>
      </c>
      <c r="H229" s="11">
        <v>200</v>
      </c>
      <c r="I229" s="12">
        <v>42400</v>
      </c>
      <c r="J229" s="13">
        <f t="shared" si="9"/>
        <v>0</v>
      </c>
      <c r="K229" s="14">
        <v>200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>
        <f t="shared" si="8"/>
        <v>200</v>
      </c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5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5"/>
      <c r="AX229" s="16"/>
    </row>
    <row r="230" spans="2:50" x14ac:dyDescent="0.2">
      <c r="B230" s="7" t="s">
        <v>69</v>
      </c>
      <c r="C230" s="8">
        <v>11014</v>
      </c>
      <c r="D230" s="9" t="s">
        <v>605</v>
      </c>
      <c r="E230" s="10" t="s">
        <v>606</v>
      </c>
      <c r="F230" s="10" t="s">
        <v>607</v>
      </c>
      <c r="G230" s="8">
        <v>1</v>
      </c>
      <c r="H230" s="11">
        <v>800</v>
      </c>
      <c r="I230" s="12">
        <v>42400</v>
      </c>
      <c r="J230" s="13">
        <f t="shared" si="9"/>
        <v>0</v>
      </c>
      <c r="K230" s="14">
        <v>400</v>
      </c>
      <c r="L230" s="14">
        <v>400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5">
        <f t="shared" si="8"/>
        <v>800</v>
      </c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5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5"/>
      <c r="AX230" s="16"/>
    </row>
    <row r="231" spans="2:50" x14ac:dyDescent="0.2">
      <c r="B231" s="7" t="s">
        <v>69</v>
      </c>
      <c r="C231" s="8">
        <v>11015</v>
      </c>
      <c r="D231" s="9" t="s">
        <v>605</v>
      </c>
      <c r="E231" s="10" t="s">
        <v>606</v>
      </c>
      <c r="F231" s="10" t="s">
        <v>607</v>
      </c>
      <c r="G231" s="8">
        <v>3</v>
      </c>
      <c r="H231" s="11">
        <v>160</v>
      </c>
      <c r="I231" s="12">
        <v>42400</v>
      </c>
      <c r="J231" s="13">
        <f t="shared" si="9"/>
        <v>0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5">
        <f t="shared" si="8"/>
        <v>0</v>
      </c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5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5"/>
      <c r="AX231" s="16"/>
    </row>
    <row r="232" spans="2:50" x14ac:dyDescent="0.2">
      <c r="B232" s="7" t="s">
        <v>37</v>
      </c>
      <c r="C232" s="8">
        <v>11016</v>
      </c>
      <c r="D232" s="9" t="s">
        <v>51</v>
      </c>
      <c r="E232" s="10" t="s">
        <v>52</v>
      </c>
      <c r="F232" s="10" t="s">
        <v>53</v>
      </c>
      <c r="G232" s="8">
        <v>1</v>
      </c>
      <c r="H232" s="11">
        <v>500</v>
      </c>
      <c r="I232" s="12">
        <v>42400</v>
      </c>
      <c r="J232" s="13">
        <f t="shared" si="9"/>
        <v>0</v>
      </c>
      <c r="K232" s="14"/>
      <c r="L232" s="14">
        <v>250</v>
      </c>
      <c r="M232" s="14">
        <v>250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5">
        <f t="shared" si="8"/>
        <v>500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5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5"/>
      <c r="AX232" s="16"/>
    </row>
    <row r="233" spans="2:50" x14ac:dyDescent="0.2">
      <c r="B233" s="7" t="s">
        <v>69</v>
      </c>
      <c r="C233" s="8">
        <v>11017</v>
      </c>
      <c r="D233" s="9" t="s">
        <v>608</v>
      </c>
      <c r="E233" s="10" t="s">
        <v>609</v>
      </c>
      <c r="F233" s="10" t="s">
        <v>610</v>
      </c>
      <c r="G233" s="8">
        <v>1</v>
      </c>
      <c r="H233" s="11">
        <v>400</v>
      </c>
      <c r="I233" s="12">
        <v>42400</v>
      </c>
      <c r="J233" s="13">
        <f t="shared" si="9"/>
        <v>0</v>
      </c>
      <c r="K233" s="14">
        <v>400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5">
        <f t="shared" si="8"/>
        <v>400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5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5"/>
      <c r="AX233" s="16"/>
    </row>
    <row r="234" spans="2:50" x14ac:dyDescent="0.2">
      <c r="B234" s="7" t="s">
        <v>73</v>
      </c>
      <c r="C234" s="8">
        <v>11018</v>
      </c>
      <c r="D234" s="9" t="s">
        <v>611</v>
      </c>
      <c r="E234" s="10" t="s">
        <v>612</v>
      </c>
      <c r="F234" s="10" t="s">
        <v>613</v>
      </c>
      <c r="G234" s="8">
        <v>1</v>
      </c>
      <c r="H234" s="11">
        <v>400</v>
      </c>
      <c r="I234" s="12">
        <v>42400</v>
      </c>
      <c r="J234" s="13">
        <f t="shared" si="9"/>
        <v>0</v>
      </c>
      <c r="K234" s="14">
        <v>400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5">
        <f t="shared" si="8"/>
        <v>400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5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5"/>
      <c r="AX234" s="16"/>
    </row>
    <row r="235" spans="2:50" x14ac:dyDescent="0.2">
      <c r="B235" s="7" t="s">
        <v>93</v>
      </c>
      <c r="C235" s="8">
        <v>11019</v>
      </c>
      <c r="D235" s="9"/>
      <c r="E235" s="10" t="s">
        <v>93</v>
      </c>
      <c r="F235" s="10" t="s">
        <v>93</v>
      </c>
      <c r="G235" s="8">
        <v>8</v>
      </c>
      <c r="H235" s="11"/>
      <c r="I235" s="12"/>
      <c r="J235" s="13">
        <f t="shared" si="9"/>
        <v>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>
        <f t="shared" si="8"/>
        <v>0</v>
      </c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5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5"/>
      <c r="AX235" s="16"/>
    </row>
    <row r="236" spans="2:50" x14ac:dyDescent="0.2">
      <c r="B236" s="7" t="s">
        <v>47</v>
      </c>
      <c r="C236" s="8">
        <v>11020</v>
      </c>
      <c r="D236" s="9" t="s">
        <v>328</v>
      </c>
      <c r="E236" s="10" t="s">
        <v>329</v>
      </c>
      <c r="F236" s="10" t="s">
        <v>330</v>
      </c>
      <c r="G236" s="8">
        <v>1</v>
      </c>
      <c r="H236" s="11">
        <v>400</v>
      </c>
      <c r="I236" s="12">
        <v>42400</v>
      </c>
      <c r="J236" s="13">
        <f t="shared" si="9"/>
        <v>0</v>
      </c>
      <c r="K236" s="14"/>
      <c r="L236" s="14">
        <v>400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5">
        <f t="shared" si="8"/>
        <v>400</v>
      </c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5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5"/>
      <c r="AX236" s="16"/>
    </row>
    <row r="237" spans="2:50" x14ac:dyDescent="0.2">
      <c r="B237" s="7" t="s">
        <v>47</v>
      </c>
      <c r="C237" s="8">
        <v>11021</v>
      </c>
      <c r="D237" s="9" t="s">
        <v>614</v>
      </c>
      <c r="E237" s="10" t="s">
        <v>615</v>
      </c>
      <c r="F237" s="10" t="s">
        <v>616</v>
      </c>
      <c r="G237" s="8">
        <v>1</v>
      </c>
      <c r="H237" s="11">
        <v>0</v>
      </c>
      <c r="I237" s="12">
        <v>42400</v>
      </c>
      <c r="J237" s="13">
        <f t="shared" si="9"/>
        <v>0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5">
        <f t="shared" si="8"/>
        <v>0</v>
      </c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5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5"/>
      <c r="AX237" s="16"/>
    </row>
    <row r="238" spans="2:50" x14ac:dyDescent="0.2">
      <c r="B238" s="7" t="s">
        <v>47</v>
      </c>
      <c r="C238" s="8">
        <v>11022</v>
      </c>
      <c r="D238" s="9" t="s">
        <v>614</v>
      </c>
      <c r="E238" s="10" t="s">
        <v>615</v>
      </c>
      <c r="F238" s="10" t="s">
        <v>616</v>
      </c>
      <c r="G238" s="8">
        <v>1</v>
      </c>
      <c r="H238" s="11">
        <v>4400</v>
      </c>
      <c r="I238" s="12">
        <v>42400</v>
      </c>
      <c r="J238" s="13">
        <f t="shared" si="9"/>
        <v>0</v>
      </c>
      <c r="K238" s="14">
        <v>400</v>
      </c>
      <c r="L238" s="14">
        <v>400</v>
      </c>
      <c r="M238" s="14">
        <v>400</v>
      </c>
      <c r="N238" s="14">
        <v>400</v>
      </c>
      <c r="O238" s="14">
        <v>400</v>
      </c>
      <c r="P238" s="14">
        <v>400</v>
      </c>
      <c r="Q238" s="14">
        <v>400</v>
      </c>
      <c r="R238" s="14">
        <v>400</v>
      </c>
      <c r="S238" s="14">
        <v>400</v>
      </c>
      <c r="T238" s="14">
        <v>400</v>
      </c>
      <c r="U238" s="14">
        <v>400</v>
      </c>
      <c r="V238" s="14"/>
      <c r="W238" s="15">
        <f t="shared" si="8"/>
        <v>4400</v>
      </c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5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5"/>
      <c r="AX238" s="16" t="s">
        <v>57</v>
      </c>
    </row>
    <row r="239" spans="2:50" x14ac:dyDescent="0.2">
      <c r="B239" s="7" t="s">
        <v>73</v>
      </c>
      <c r="C239" s="8">
        <v>11023</v>
      </c>
      <c r="D239" s="9" t="s">
        <v>109</v>
      </c>
      <c r="E239" s="10" t="s">
        <v>110</v>
      </c>
      <c r="F239" s="10" t="s">
        <v>111</v>
      </c>
      <c r="G239" s="8">
        <v>1</v>
      </c>
      <c r="H239" s="11">
        <v>400</v>
      </c>
      <c r="I239" s="12">
        <v>42400</v>
      </c>
      <c r="J239" s="13">
        <f t="shared" si="9"/>
        <v>0</v>
      </c>
      <c r="K239" s="14">
        <v>400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5">
        <f t="shared" si="8"/>
        <v>400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5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5"/>
      <c r="AX239" s="16"/>
    </row>
    <row r="240" spans="2:50" x14ac:dyDescent="0.2">
      <c r="B240" s="7" t="s">
        <v>77</v>
      </c>
      <c r="C240" s="8">
        <v>11024</v>
      </c>
      <c r="D240" s="9" t="s">
        <v>479</v>
      </c>
      <c r="E240" s="10" t="s">
        <v>480</v>
      </c>
      <c r="F240" s="10" t="s">
        <v>481</v>
      </c>
      <c r="G240" s="8">
        <v>1</v>
      </c>
      <c r="H240" s="11">
        <v>300</v>
      </c>
      <c r="I240" s="12">
        <v>42400</v>
      </c>
      <c r="J240" s="13">
        <f t="shared" si="9"/>
        <v>0</v>
      </c>
      <c r="K240" s="14"/>
      <c r="L240" s="14">
        <v>300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>
        <f t="shared" si="8"/>
        <v>300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5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5"/>
      <c r="AX240" s="16"/>
    </row>
    <row r="241" spans="2:50" x14ac:dyDescent="0.2">
      <c r="B241" s="7" t="s">
        <v>77</v>
      </c>
      <c r="C241" s="8">
        <v>11025</v>
      </c>
      <c r="D241" s="9" t="s">
        <v>617</v>
      </c>
      <c r="E241" s="10" t="s">
        <v>618</v>
      </c>
      <c r="F241" s="10" t="s">
        <v>619</v>
      </c>
      <c r="G241" s="8">
        <v>1</v>
      </c>
      <c r="H241" s="11">
        <v>0</v>
      </c>
      <c r="I241" s="12">
        <v>42400</v>
      </c>
      <c r="J241" s="13">
        <f t="shared" si="9"/>
        <v>0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5">
        <f t="shared" si="8"/>
        <v>0</v>
      </c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5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5"/>
      <c r="AX241" s="16"/>
    </row>
    <row r="242" spans="2:50" x14ac:dyDescent="0.2">
      <c r="B242" s="7" t="s">
        <v>69</v>
      </c>
      <c r="C242" s="8">
        <v>11026</v>
      </c>
      <c r="D242" s="9" t="s">
        <v>437</v>
      </c>
      <c r="E242" s="10" t="s">
        <v>438</v>
      </c>
      <c r="F242" s="10" t="s">
        <v>439</v>
      </c>
      <c r="G242" s="8">
        <v>1</v>
      </c>
      <c r="H242" s="11">
        <v>400</v>
      </c>
      <c r="I242" s="12">
        <v>42400</v>
      </c>
      <c r="J242" s="13">
        <f t="shared" si="9"/>
        <v>0</v>
      </c>
      <c r="K242" s="14"/>
      <c r="L242" s="14">
        <v>400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5">
        <f t="shared" si="8"/>
        <v>400</v>
      </c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5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5"/>
      <c r="AX242" s="16"/>
    </row>
    <row r="243" spans="2:50" x14ac:dyDescent="0.2">
      <c r="B243" s="7" t="s">
        <v>73</v>
      </c>
      <c r="C243" s="8">
        <v>11027</v>
      </c>
      <c r="D243" s="9" t="s">
        <v>112</v>
      </c>
      <c r="E243" s="10" t="s">
        <v>113</v>
      </c>
      <c r="F243" s="10" t="s">
        <v>114</v>
      </c>
      <c r="G243" s="8">
        <v>1</v>
      </c>
      <c r="H243" s="11">
        <v>250</v>
      </c>
      <c r="I243" s="12">
        <v>42400</v>
      </c>
      <c r="J243" s="13">
        <f t="shared" si="9"/>
        <v>0</v>
      </c>
      <c r="K243" s="14">
        <v>250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5">
        <f t="shared" si="8"/>
        <v>250</v>
      </c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5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5"/>
      <c r="AX243" s="16"/>
    </row>
    <row r="244" spans="2:50" x14ac:dyDescent="0.2">
      <c r="B244" s="7" t="s">
        <v>47</v>
      </c>
      <c r="C244" s="8">
        <v>11028</v>
      </c>
      <c r="D244" s="9" t="s">
        <v>84</v>
      </c>
      <c r="E244" s="10" t="s">
        <v>85</v>
      </c>
      <c r="F244" s="10" t="s">
        <v>86</v>
      </c>
      <c r="G244" s="8">
        <v>1</v>
      </c>
      <c r="H244" s="11">
        <v>200</v>
      </c>
      <c r="I244" s="12">
        <v>42400</v>
      </c>
      <c r="J244" s="13">
        <f t="shared" si="9"/>
        <v>0</v>
      </c>
      <c r="K244" s="14"/>
      <c r="L244" s="14">
        <v>200</v>
      </c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5">
        <f t="shared" si="8"/>
        <v>200</v>
      </c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5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5"/>
      <c r="AX244" s="16"/>
    </row>
    <row r="245" spans="2:50" x14ac:dyDescent="0.2">
      <c r="B245" s="7" t="s">
        <v>69</v>
      </c>
      <c r="C245" s="8">
        <v>11029</v>
      </c>
      <c r="D245" s="9" t="s">
        <v>100</v>
      </c>
      <c r="E245" s="10" t="s">
        <v>101</v>
      </c>
      <c r="F245" s="10" t="s">
        <v>102</v>
      </c>
      <c r="G245" s="8">
        <v>1</v>
      </c>
      <c r="H245" s="11">
        <v>400</v>
      </c>
      <c r="I245" s="12">
        <v>42400</v>
      </c>
      <c r="J245" s="13">
        <f t="shared" si="9"/>
        <v>0</v>
      </c>
      <c r="K245" s="14"/>
      <c r="L245" s="14">
        <v>400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5">
        <f t="shared" si="8"/>
        <v>400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5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5"/>
      <c r="AX245" s="16"/>
    </row>
    <row r="246" spans="2:50" x14ac:dyDescent="0.2">
      <c r="B246" s="7" t="s">
        <v>47</v>
      </c>
      <c r="C246" s="8">
        <v>11030</v>
      </c>
      <c r="D246" s="9" t="s">
        <v>620</v>
      </c>
      <c r="E246" s="10" t="s">
        <v>621</v>
      </c>
      <c r="F246" s="10" t="s">
        <v>366</v>
      </c>
      <c r="G246" s="8">
        <v>1</v>
      </c>
      <c r="H246" s="11">
        <v>0</v>
      </c>
      <c r="I246" s="12">
        <v>42400</v>
      </c>
      <c r="J246" s="13">
        <f t="shared" si="9"/>
        <v>0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>
        <f t="shared" si="8"/>
        <v>0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5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5"/>
      <c r="AX246" s="16"/>
    </row>
    <row r="247" spans="2:50" x14ac:dyDescent="0.2">
      <c r="B247" s="7" t="s">
        <v>47</v>
      </c>
      <c r="C247" s="8">
        <v>11031</v>
      </c>
      <c r="D247" s="9" t="s">
        <v>620</v>
      </c>
      <c r="E247" s="10" t="s">
        <v>621</v>
      </c>
      <c r="F247" s="10" t="s">
        <v>366</v>
      </c>
      <c r="G247" s="8">
        <v>1</v>
      </c>
      <c r="H247" s="11">
        <v>400</v>
      </c>
      <c r="I247" s="12">
        <v>42400</v>
      </c>
      <c r="J247" s="13">
        <f t="shared" si="9"/>
        <v>0</v>
      </c>
      <c r="K247" s="14">
        <v>400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5">
        <f t="shared" si="8"/>
        <v>400</v>
      </c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5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5"/>
      <c r="AX247" s="16"/>
    </row>
    <row r="248" spans="2:50" x14ac:dyDescent="0.2">
      <c r="B248" s="7" t="s">
        <v>47</v>
      </c>
      <c r="C248" s="8">
        <v>11032</v>
      </c>
      <c r="D248" s="9" t="s">
        <v>620</v>
      </c>
      <c r="E248" s="10" t="s">
        <v>621</v>
      </c>
      <c r="F248" s="10" t="s">
        <v>366</v>
      </c>
      <c r="G248" s="8">
        <v>3</v>
      </c>
      <c r="H248" s="11">
        <v>160</v>
      </c>
      <c r="I248" s="12">
        <v>42400</v>
      </c>
      <c r="J248" s="13">
        <f t="shared" si="9"/>
        <v>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>
        <f t="shared" si="8"/>
        <v>0</v>
      </c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5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5"/>
      <c r="AX248" s="16"/>
    </row>
    <row r="249" spans="2:50" x14ac:dyDescent="0.2">
      <c r="B249" s="7" t="s">
        <v>122</v>
      </c>
      <c r="C249" s="8">
        <v>11033</v>
      </c>
      <c r="D249" s="9" t="s">
        <v>622</v>
      </c>
      <c r="E249" s="10" t="s">
        <v>623</v>
      </c>
      <c r="F249" s="10" t="s">
        <v>624</v>
      </c>
      <c r="G249" s="8">
        <v>1</v>
      </c>
      <c r="H249" s="11">
        <v>800</v>
      </c>
      <c r="I249" s="12">
        <v>42400</v>
      </c>
      <c r="J249" s="13">
        <f t="shared" si="9"/>
        <v>0</v>
      </c>
      <c r="K249" s="14">
        <v>400</v>
      </c>
      <c r="L249" s="14">
        <v>400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5">
        <f t="shared" si="8"/>
        <v>800</v>
      </c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5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5"/>
      <c r="AX249" s="16"/>
    </row>
    <row r="250" spans="2:50" x14ac:dyDescent="0.2">
      <c r="B250" s="7" t="s">
        <v>69</v>
      </c>
      <c r="C250" s="8">
        <v>11034</v>
      </c>
      <c r="D250" s="9" t="s">
        <v>625</v>
      </c>
      <c r="E250" s="10" t="s">
        <v>626</v>
      </c>
      <c r="F250" s="10" t="s">
        <v>627</v>
      </c>
      <c r="G250" s="8">
        <v>1</v>
      </c>
      <c r="H250" s="11">
        <v>400</v>
      </c>
      <c r="I250" s="12">
        <v>42400</v>
      </c>
      <c r="J250" s="13">
        <f t="shared" si="9"/>
        <v>0</v>
      </c>
      <c r="K250" s="14">
        <v>400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>
        <f t="shared" si="8"/>
        <v>400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5"/>
      <c r="AX250" s="16"/>
    </row>
    <row r="251" spans="2:50" x14ac:dyDescent="0.2">
      <c r="B251" s="7" t="s">
        <v>37</v>
      </c>
      <c r="C251" s="8">
        <v>11035</v>
      </c>
      <c r="D251" s="9" t="s">
        <v>628</v>
      </c>
      <c r="E251" s="10" t="s">
        <v>629</v>
      </c>
      <c r="F251" s="10" t="s">
        <v>630</v>
      </c>
      <c r="G251" s="8">
        <v>1</v>
      </c>
      <c r="H251" s="11">
        <v>400</v>
      </c>
      <c r="I251" s="12">
        <v>42400</v>
      </c>
      <c r="J251" s="13">
        <f t="shared" si="9"/>
        <v>0</v>
      </c>
      <c r="K251" s="14">
        <v>400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5">
        <f t="shared" si="8"/>
        <v>400</v>
      </c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5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5"/>
      <c r="AX251" s="16"/>
    </row>
    <row r="252" spans="2:50" x14ac:dyDescent="0.2">
      <c r="B252" s="7" t="s">
        <v>61</v>
      </c>
      <c r="C252" s="8">
        <v>11036</v>
      </c>
      <c r="D252" s="9" t="s">
        <v>631</v>
      </c>
      <c r="E252" s="10" t="s">
        <v>632</v>
      </c>
      <c r="F252" s="10" t="s">
        <v>633</v>
      </c>
      <c r="G252" s="8">
        <v>1</v>
      </c>
      <c r="H252" s="11">
        <v>300</v>
      </c>
      <c r="I252" s="12">
        <v>42400</v>
      </c>
      <c r="J252" s="13">
        <f t="shared" si="9"/>
        <v>0</v>
      </c>
      <c r="K252" s="14">
        <v>300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5">
        <f t="shared" si="8"/>
        <v>300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5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5"/>
      <c r="AX252" s="16"/>
    </row>
    <row r="253" spans="2:50" x14ac:dyDescent="0.2">
      <c r="B253" s="7" t="s">
        <v>69</v>
      </c>
      <c r="C253" s="8">
        <v>11037</v>
      </c>
      <c r="D253" s="9" t="s">
        <v>634</v>
      </c>
      <c r="E253" s="10" t="s">
        <v>635</v>
      </c>
      <c r="F253" s="10" t="s">
        <v>636</v>
      </c>
      <c r="G253" s="8">
        <v>1</v>
      </c>
      <c r="H253" s="11">
        <v>600</v>
      </c>
      <c r="I253" s="12">
        <v>42400</v>
      </c>
      <c r="J253" s="13">
        <f t="shared" si="9"/>
        <v>0</v>
      </c>
      <c r="K253" s="14">
        <v>300</v>
      </c>
      <c r="L253" s="14">
        <v>300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5">
        <f t="shared" si="8"/>
        <v>600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5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5"/>
      <c r="AX253" s="16"/>
    </row>
    <row r="254" spans="2:50" x14ac:dyDescent="0.2">
      <c r="B254" s="7" t="s">
        <v>122</v>
      </c>
      <c r="C254" s="8">
        <v>11038</v>
      </c>
      <c r="D254" s="9" t="s">
        <v>637</v>
      </c>
      <c r="E254" s="10" t="s">
        <v>638</v>
      </c>
      <c r="F254" s="10" t="s">
        <v>639</v>
      </c>
      <c r="G254" s="8">
        <v>1</v>
      </c>
      <c r="H254" s="11">
        <v>400</v>
      </c>
      <c r="I254" s="12">
        <v>42400</v>
      </c>
      <c r="J254" s="13">
        <f t="shared" si="9"/>
        <v>0</v>
      </c>
      <c r="K254" s="14">
        <v>400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5">
        <f t="shared" si="8"/>
        <v>400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5"/>
      <c r="AX254" s="16"/>
    </row>
    <row r="255" spans="2:50" x14ac:dyDescent="0.2">
      <c r="B255" s="7" t="s">
        <v>69</v>
      </c>
      <c r="C255" s="8">
        <v>11039</v>
      </c>
      <c r="D255" s="9" t="s">
        <v>135</v>
      </c>
      <c r="E255" s="10" t="s">
        <v>136</v>
      </c>
      <c r="F255" s="10" t="s">
        <v>137</v>
      </c>
      <c r="G255" s="8">
        <v>1</v>
      </c>
      <c r="H255" s="11">
        <v>300</v>
      </c>
      <c r="I255" s="12">
        <v>42400</v>
      </c>
      <c r="J255" s="13">
        <f t="shared" si="9"/>
        <v>0</v>
      </c>
      <c r="K255" s="14"/>
      <c r="L255" s="14">
        <v>300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5">
        <f t="shared" si="8"/>
        <v>300</v>
      </c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5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5"/>
      <c r="AX255" s="16"/>
    </row>
    <row r="256" spans="2:50" x14ac:dyDescent="0.2">
      <c r="B256" s="7" t="s">
        <v>77</v>
      </c>
      <c r="C256" s="8">
        <v>11040</v>
      </c>
      <c r="D256" s="9" t="s">
        <v>129</v>
      </c>
      <c r="E256" s="10" t="s">
        <v>130</v>
      </c>
      <c r="F256" s="10" t="s">
        <v>131</v>
      </c>
      <c r="G256" s="8">
        <v>1</v>
      </c>
      <c r="H256" s="11">
        <v>400</v>
      </c>
      <c r="I256" s="12">
        <v>42400</v>
      </c>
      <c r="J256" s="13">
        <f t="shared" si="9"/>
        <v>0</v>
      </c>
      <c r="K256" s="14"/>
      <c r="L256" s="14">
        <v>400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5">
        <f t="shared" si="8"/>
        <v>400</v>
      </c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5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5"/>
      <c r="AX256" s="16"/>
    </row>
    <row r="257" spans="2:50" x14ac:dyDescent="0.2">
      <c r="B257" s="7" t="s">
        <v>77</v>
      </c>
      <c r="C257" s="8">
        <v>11040</v>
      </c>
      <c r="D257" s="9" t="s">
        <v>129</v>
      </c>
      <c r="E257" s="10" t="s">
        <v>130</v>
      </c>
      <c r="F257" s="10" t="s">
        <v>131</v>
      </c>
      <c r="G257" s="8">
        <v>4</v>
      </c>
      <c r="H257" s="11">
        <v>160</v>
      </c>
      <c r="I257" s="12">
        <v>42400</v>
      </c>
      <c r="J257" s="13">
        <f t="shared" si="9"/>
        <v>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5">
        <f t="shared" si="8"/>
        <v>0</v>
      </c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5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5"/>
      <c r="AX257" s="7">
        <v>1009</v>
      </c>
    </row>
    <row r="258" spans="2:50" x14ac:dyDescent="0.2">
      <c r="B258" s="7" t="s">
        <v>391</v>
      </c>
      <c r="C258" s="8">
        <v>11041</v>
      </c>
      <c r="D258" s="9" t="s">
        <v>640</v>
      </c>
      <c r="E258" s="10" t="s">
        <v>641</v>
      </c>
      <c r="F258" s="10" t="s">
        <v>642</v>
      </c>
      <c r="G258" s="8">
        <v>1</v>
      </c>
      <c r="H258" s="11">
        <v>200</v>
      </c>
      <c r="I258" s="12">
        <v>42400</v>
      </c>
      <c r="J258" s="13">
        <f t="shared" si="9"/>
        <v>0</v>
      </c>
      <c r="K258" s="14">
        <v>200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5">
        <f t="shared" si="8"/>
        <v>200</v>
      </c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5"/>
      <c r="AX258" s="16"/>
    </row>
    <row r="259" spans="2:50" x14ac:dyDescent="0.2">
      <c r="B259" s="7" t="s">
        <v>47</v>
      </c>
      <c r="C259" s="8">
        <v>11042</v>
      </c>
      <c r="D259" s="9" t="s">
        <v>238</v>
      </c>
      <c r="E259" s="10" t="s">
        <v>239</v>
      </c>
      <c r="F259" s="10" t="s">
        <v>240</v>
      </c>
      <c r="G259" s="8">
        <v>1</v>
      </c>
      <c r="H259" s="11">
        <v>125</v>
      </c>
      <c r="I259" s="12">
        <v>42400</v>
      </c>
      <c r="J259" s="13">
        <f t="shared" si="9"/>
        <v>0</v>
      </c>
      <c r="K259" s="14"/>
      <c r="L259" s="14">
        <v>125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5">
        <f t="shared" si="8"/>
        <v>125</v>
      </c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5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5"/>
      <c r="AX259" s="16"/>
    </row>
    <row r="260" spans="2:50" x14ac:dyDescent="0.2">
      <c r="B260" s="7" t="s">
        <v>69</v>
      </c>
      <c r="C260" s="8">
        <v>11043</v>
      </c>
      <c r="D260" s="9" t="s">
        <v>643</v>
      </c>
      <c r="E260" s="10" t="s">
        <v>644</v>
      </c>
      <c r="F260" s="10" t="s">
        <v>645</v>
      </c>
      <c r="G260" s="8">
        <v>1</v>
      </c>
      <c r="H260" s="11">
        <v>400</v>
      </c>
      <c r="I260" s="12">
        <v>42400</v>
      </c>
      <c r="J260" s="13">
        <f t="shared" si="9"/>
        <v>0</v>
      </c>
      <c r="K260" s="14">
        <v>200</v>
      </c>
      <c r="L260" s="14">
        <v>200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>
        <f t="shared" si="8"/>
        <v>400</v>
      </c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5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5"/>
      <c r="AX260" s="16"/>
    </row>
    <row r="261" spans="2:50" x14ac:dyDescent="0.2">
      <c r="B261" s="7" t="s">
        <v>37</v>
      </c>
      <c r="C261" s="8">
        <v>11044</v>
      </c>
      <c r="D261" s="9" t="s">
        <v>177</v>
      </c>
      <c r="E261" s="10" t="s">
        <v>178</v>
      </c>
      <c r="F261" s="10" t="s">
        <v>179</v>
      </c>
      <c r="G261" s="8">
        <v>1</v>
      </c>
      <c r="H261" s="11">
        <v>400</v>
      </c>
      <c r="I261" s="12">
        <v>42400</v>
      </c>
      <c r="J261" s="13">
        <f t="shared" si="9"/>
        <v>0</v>
      </c>
      <c r="K261" s="14"/>
      <c r="L261" s="14">
        <v>400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5">
        <f t="shared" si="8"/>
        <v>400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5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5"/>
      <c r="AX261" s="16"/>
    </row>
    <row r="262" spans="2:50" x14ac:dyDescent="0.2">
      <c r="B262" s="7" t="s">
        <v>47</v>
      </c>
      <c r="C262" s="8">
        <v>11045</v>
      </c>
      <c r="D262" s="9" t="s">
        <v>97</v>
      </c>
      <c r="E262" s="10" t="s">
        <v>98</v>
      </c>
      <c r="F262" s="10" t="s">
        <v>99</v>
      </c>
      <c r="G262" s="8">
        <v>1</v>
      </c>
      <c r="H262" s="11">
        <v>400</v>
      </c>
      <c r="I262" s="12">
        <v>42400</v>
      </c>
      <c r="J262" s="13">
        <f t="shared" si="9"/>
        <v>0</v>
      </c>
      <c r="K262" s="14"/>
      <c r="L262" s="14">
        <v>400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5">
        <f t="shared" si="8"/>
        <v>400</v>
      </c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5"/>
      <c r="AX262" s="16"/>
    </row>
    <row r="263" spans="2:50" x14ac:dyDescent="0.2">
      <c r="B263" s="7" t="s">
        <v>37</v>
      </c>
      <c r="C263" s="8">
        <v>11046</v>
      </c>
      <c r="D263" s="9" t="s">
        <v>646</v>
      </c>
      <c r="E263" s="10" t="s">
        <v>647</v>
      </c>
      <c r="F263" s="10" t="s">
        <v>648</v>
      </c>
      <c r="G263" s="8">
        <v>1</v>
      </c>
      <c r="H263" s="11">
        <v>400</v>
      </c>
      <c r="I263" s="12">
        <v>42400</v>
      </c>
      <c r="J263" s="13">
        <f t="shared" si="9"/>
        <v>0</v>
      </c>
      <c r="K263" s="14">
        <v>400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5">
        <f t="shared" si="8"/>
        <v>400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5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5"/>
      <c r="AX263" s="16"/>
    </row>
    <row r="264" spans="2:50" x14ac:dyDescent="0.2">
      <c r="B264" s="7" t="s">
        <v>73</v>
      </c>
      <c r="C264" s="8">
        <v>11047</v>
      </c>
      <c r="D264" s="9" t="s">
        <v>649</v>
      </c>
      <c r="E264" s="10" t="s">
        <v>650</v>
      </c>
      <c r="F264" s="10" t="s">
        <v>651</v>
      </c>
      <c r="G264" s="8">
        <v>1</v>
      </c>
      <c r="H264" s="11">
        <v>600</v>
      </c>
      <c r="I264" s="12">
        <v>42400</v>
      </c>
      <c r="J264" s="13">
        <f t="shared" si="9"/>
        <v>0</v>
      </c>
      <c r="K264" s="14">
        <v>300</v>
      </c>
      <c r="L264" s="14">
        <v>300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5">
        <f t="shared" si="8"/>
        <v>600</v>
      </c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5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5"/>
      <c r="AX264" s="16"/>
    </row>
    <row r="265" spans="2:50" x14ac:dyDescent="0.2">
      <c r="B265" s="7" t="s">
        <v>77</v>
      </c>
      <c r="C265" s="8">
        <v>11048</v>
      </c>
      <c r="D265" s="9" t="s">
        <v>652</v>
      </c>
      <c r="E265" s="10" t="s">
        <v>653</v>
      </c>
      <c r="F265" s="10" t="s">
        <v>654</v>
      </c>
      <c r="G265" s="8">
        <v>1</v>
      </c>
      <c r="H265" s="11">
        <v>0</v>
      </c>
      <c r="I265" s="12">
        <v>42400</v>
      </c>
      <c r="J265" s="13">
        <f t="shared" si="9"/>
        <v>0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5">
        <f t="shared" si="8"/>
        <v>0</v>
      </c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5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5"/>
      <c r="AX265" s="16"/>
    </row>
    <row r="266" spans="2:50" x14ac:dyDescent="0.2">
      <c r="B266" s="7" t="s">
        <v>93</v>
      </c>
      <c r="C266" s="8">
        <v>11049</v>
      </c>
      <c r="D266" s="9"/>
      <c r="E266" s="10" t="s">
        <v>93</v>
      </c>
      <c r="F266" s="10" t="s">
        <v>93</v>
      </c>
      <c r="G266" s="8">
        <v>8</v>
      </c>
      <c r="H266" s="11"/>
      <c r="I266" s="12"/>
      <c r="J266" s="13">
        <f t="shared" si="9"/>
        <v>0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5">
        <f t="shared" si="8"/>
        <v>0</v>
      </c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5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5"/>
      <c r="AX266" s="16"/>
    </row>
    <row r="267" spans="2:50" x14ac:dyDescent="0.2">
      <c r="B267" s="7" t="s">
        <v>47</v>
      </c>
      <c r="C267" s="8">
        <v>11050</v>
      </c>
      <c r="D267" s="9" t="s">
        <v>655</v>
      </c>
      <c r="E267" s="10" t="s">
        <v>656</v>
      </c>
      <c r="F267" s="10" t="s">
        <v>657</v>
      </c>
      <c r="G267" s="8">
        <v>1</v>
      </c>
      <c r="H267" s="11">
        <v>0</v>
      </c>
      <c r="I267" s="12">
        <v>42400</v>
      </c>
      <c r="J267" s="13">
        <f t="shared" si="9"/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5">
        <f t="shared" si="8"/>
        <v>0</v>
      </c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5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5"/>
      <c r="AX267" s="16"/>
    </row>
    <row r="268" spans="2:50" x14ac:dyDescent="0.2">
      <c r="B268" s="7" t="s">
        <v>47</v>
      </c>
      <c r="C268" s="8">
        <v>11051</v>
      </c>
      <c r="D268" s="9" t="s">
        <v>658</v>
      </c>
      <c r="E268" s="10" t="s">
        <v>659</v>
      </c>
      <c r="F268" s="10" t="s">
        <v>660</v>
      </c>
      <c r="G268" s="8">
        <v>1</v>
      </c>
      <c r="H268" s="11">
        <v>350</v>
      </c>
      <c r="I268" s="12">
        <v>42400</v>
      </c>
      <c r="J268" s="13">
        <f t="shared" si="9"/>
        <v>0</v>
      </c>
      <c r="K268" s="14">
        <v>350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>
        <f t="shared" si="8"/>
        <v>350</v>
      </c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5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5"/>
      <c r="AX268" s="16"/>
    </row>
    <row r="269" spans="2:50" x14ac:dyDescent="0.2">
      <c r="B269" s="7" t="s">
        <v>47</v>
      </c>
      <c r="C269" s="8">
        <v>11052</v>
      </c>
      <c r="D269" s="9" t="s">
        <v>235</v>
      </c>
      <c r="E269" s="10" t="s">
        <v>236</v>
      </c>
      <c r="F269" s="10" t="s">
        <v>237</v>
      </c>
      <c r="G269" s="8">
        <v>1</v>
      </c>
      <c r="H269" s="11">
        <v>400</v>
      </c>
      <c r="I269" s="12">
        <v>42400</v>
      </c>
      <c r="J269" s="13">
        <f t="shared" si="9"/>
        <v>0</v>
      </c>
      <c r="K269" s="14">
        <v>400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5">
        <f t="shared" si="8"/>
        <v>400</v>
      </c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5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5"/>
      <c r="AX269" s="16"/>
    </row>
    <row r="270" spans="2:50" x14ac:dyDescent="0.2">
      <c r="B270" s="7" t="s">
        <v>37</v>
      </c>
      <c r="C270" s="8">
        <v>11053</v>
      </c>
      <c r="D270" s="9" t="s">
        <v>661</v>
      </c>
      <c r="E270" s="10" t="s">
        <v>662</v>
      </c>
      <c r="F270" s="10" t="s">
        <v>624</v>
      </c>
      <c r="G270" s="8">
        <v>1</v>
      </c>
      <c r="H270" s="11">
        <v>800</v>
      </c>
      <c r="I270" s="12">
        <v>42400</v>
      </c>
      <c r="J270" s="13">
        <f t="shared" si="9"/>
        <v>0</v>
      </c>
      <c r="K270" s="14">
        <v>400</v>
      </c>
      <c r="L270" s="14">
        <v>400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>
        <f t="shared" si="8"/>
        <v>800</v>
      </c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5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5"/>
      <c r="AX270" s="16"/>
    </row>
    <row r="271" spans="2:50" x14ac:dyDescent="0.2">
      <c r="B271" s="7" t="s">
        <v>61</v>
      </c>
      <c r="C271" s="8">
        <v>11054</v>
      </c>
      <c r="D271" s="9" t="s">
        <v>663</v>
      </c>
      <c r="E271" s="10" t="s">
        <v>664</v>
      </c>
      <c r="F271" s="10" t="s">
        <v>665</v>
      </c>
      <c r="G271" s="8">
        <v>1</v>
      </c>
      <c r="H271" s="11">
        <v>400</v>
      </c>
      <c r="I271" s="12">
        <v>42400</v>
      </c>
      <c r="J271" s="13">
        <f t="shared" si="9"/>
        <v>0</v>
      </c>
      <c r="K271" s="14">
        <v>400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5">
        <f t="shared" si="8"/>
        <v>400</v>
      </c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5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5"/>
      <c r="AX271" s="16"/>
    </row>
    <row r="272" spans="2:50" x14ac:dyDescent="0.2">
      <c r="B272" s="7" t="s">
        <v>47</v>
      </c>
      <c r="C272" s="8">
        <v>11055</v>
      </c>
      <c r="D272" s="9" t="s">
        <v>183</v>
      </c>
      <c r="E272" s="10" t="s">
        <v>184</v>
      </c>
      <c r="F272" s="10" t="s">
        <v>185</v>
      </c>
      <c r="G272" s="8">
        <v>1</v>
      </c>
      <c r="H272" s="11">
        <v>400</v>
      </c>
      <c r="I272" s="12">
        <v>42400</v>
      </c>
      <c r="J272" s="13">
        <f t="shared" si="9"/>
        <v>0</v>
      </c>
      <c r="K272" s="14">
        <v>400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5">
        <f t="shared" si="8"/>
        <v>400</v>
      </c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5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5"/>
      <c r="AX272" s="16"/>
    </row>
    <row r="273" spans="1:50" x14ac:dyDescent="0.2">
      <c r="B273" s="7" t="s">
        <v>93</v>
      </c>
      <c r="C273" s="8"/>
      <c r="D273" s="9"/>
      <c r="E273" s="10" t="s">
        <v>93</v>
      </c>
      <c r="F273" s="10" t="s">
        <v>93</v>
      </c>
      <c r="G273" s="8"/>
      <c r="H273" s="11"/>
      <c r="I273" s="12"/>
      <c r="J273" s="13">
        <f t="shared" si="9"/>
        <v>0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5">
        <f t="shared" si="8"/>
        <v>0</v>
      </c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5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5"/>
      <c r="AX273" s="16"/>
    </row>
    <row r="274" spans="1:50" x14ac:dyDescent="0.2">
      <c r="B274" s="48"/>
      <c r="C274" s="48"/>
      <c r="D274" s="48"/>
      <c r="E274" s="48"/>
      <c r="F274" s="48"/>
      <c r="G274" s="19">
        <v>1</v>
      </c>
      <c r="H274" s="21">
        <v>38000</v>
      </c>
      <c r="I274" s="22"/>
      <c r="J274" s="23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5"/>
    </row>
    <row r="275" spans="1:50" ht="22.5" x14ac:dyDescent="0.2">
      <c r="A275" s="2" t="s">
        <v>0</v>
      </c>
      <c r="B275" s="3" t="s">
        <v>1</v>
      </c>
      <c r="C275" s="3" t="s">
        <v>2</v>
      </c>
      <c r="D275" s="3" t="s">
        <v>3</v>
      </c>
      <c r="E275" s="3" t="s">
        <v>4</v>
      </c>
      <c r="F275" s="3" t="s">
        <v>5</v>
      </c>
      <c r="G275" s="3" t="s">
        <v>6</v>
      </c>
      <c r="H275" s="3" t="s">
        <v>7</v>
      </c>
      <c r="I275" s="3" t="s">
        <v>8</v>
      </c>
      <c r="J275" s="3" t="s">
        <v>9</v>
      </c>
      <c r="K275" s="4" t="s">
        <v>10</v>
      </c>
      <c r="L275" s="4" t="s">
        <v>11</v>
      </c>
      <c r="M275" s="4" t="s">
        <v>12</v>
      </c>
      <c r="N275" s="4" t="s">
        <v>13</v>
      </c>
      <c r="O275" s="4" t="s">
        <v>14</v>
      </c>
      <c r="P275" s="4" t="s">
        <v>15</v>
      </c>
      <c r="Q275" s="4" t="s">
        <v>16</v>
      </c>
      <c r="R275" s="4" t="s">
        <v>17</v>
      </c>
      <c r="S275" s="4" t="s">
        <v>18</v>
      </c>
      <c r="T275" s="4" t="s">
        <v>19</v>
      </c>
      <c r="U275" s="4" t="s">
        <v>20</v>
      </c>
      <c r="V275" s="4" t="s">
        <v>21</v>
      </c>
      <c r="W275" s="5" t="s">
        <v>22</v>
      </c>
      <c r="X275" s="4" t="s">
        <v>23</v>
      </c>
      <c r="Y275" s="4" t="s">
        <v>24</v>
      </c>
      <c r="Z275" s="4" t="s">
        <v>25</v>
      </c>
      <c r="AA275" s="4" t="s">
        <v>26</v>
      </c>
      <c r="AB275" s="4" t="s">
        <v>27</v>
      </c>
      <c r="AC275" s="4" t="s">
        <v>28</v>
      </c>
      <c r="AD275" s="4" t="s">
        <v>29</v>
      </c>
      <c r="AE275" s="4" t="s">
        <v>30</v>
      </c>
      <c r="AF275" s="4" t="s">
        <v>31</v>
      </c>
      <c r="AG275" s="4" t="s">
        <v>32</v>
      </c>
      <c r="AH275" s="4" t="s">
        <v>33</v>
      </c>
      <c r="AI275" s="4" t="s">
        <v>34</v>
      </c>
      <c r="AJ275" s="5" t="s">
        <v>35</v>
      </c>
      <c r="AK275" s="4" t="s">
        <v>4607</v>
      </c>
      <c r="AL275" s="4" t="s">
        <v>4608</v>
      </c>
      <c r="AM275" s="4" t="s">
        <v>4609</v>
      </c>
      <c r="AN275" s="4" t="s">
        <v>4610</v>
      </c>
      <c r="AO275" s="4" t="s">
        <v>4611</v>
      </c>
      <c r="AP275" s="4" t="s">
        <v>4612</v>
      </c>
      <c r="AQ275" s="4" t="s">
        <v>4613</v>
      </c>
      <c r="AR275" s="4" t="s">
        <v>4614</v>
      </c>
      <c r="AS275" s="4" t="s">
        <v>4615</v>
      </c>
      <c r="AT275" s="4" t="s">
        <v>4616</v>
      </c>
      <c r="AU275" s="4" t="s">
        <v>4617</v>
      </c>
      <c r="AV275" s="4" t="s">
        <v>4618</v>
      </c>
      <c r="AW275" s="338" t="s">
        <v>4619</v>
      </c>
      <c r="AX275" s="6" t="s">
        <v>36</v>
      </c>
    </row>
    <row r="276" spans="1:50" x14ac:dyDescent="0.2">
      <c r="B276" s="7" t="s">
        <v>73</v>
      </c>
      <c r="C276" s="8">
        <v>11056</v>
      </c>
      <c r="D276" s="9" t="s">
        <v>202</v>
      </c>
      <c r="E276" s="10" t="s">
        <v>203</v>
      </c>
      <c r="F276" s="10" t="s">
        <v>204</v>
      </c>
      <c r="G276" s="8">
        <v>1</v>
      </c>
      <c r="H276" s="11">
        <v>400</v>
      </c>
      <c r="I276" s="12">
        <v>42404</v>
      </c>
      <c r="J276" s="13">
        <f t="shared" ref="J276:J339" si="10">IF(G276=1,SUM(W276,-H276),0)</f>
        <v>0</v>
      </c>
      <c r="K276" s="14"/>
      <c r="L276" s="14">
        <v>400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5">
        <f t="shared" ref="W276:W307" si="11">SUM(K276:V276)</f>
        <v>400</v>
      </c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5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5"/>
      <c r="AX276" s="16"/>
    </row>
    <row r="277" spans="1:50" x14ac:dyDescent="0.2">
      <c r="B277" s="7" t="s">
        <v>77</v>
      </c>
      <c r="C277" s="8">
        <v>11057</v>
      </c>
      <c r="D277" s="9" t="s">
        <v>666</v>
      </c>
      <c r="E277" s="10" t="s">
        <v>667</v>
      </c>
      <c r="F277" s="10" t="s">
        <v>668</v>
      </c>
      <c r="G277" s="8">
        <v>1</v>
      </c>
      <c r="H277" s="11">
        <v>200</v>
      </c>
      <c r="I277" s="12">
        <v>42404</v>
      </c>
      <c r="J277" s="13">
        <f t="shared" si="10"/>
        <v>0</v>
      </c>
      <c r="K277" s="14">
        <v>200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5">
        <f t="shared" si="11"/>
        <v>200</v>
      </c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5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5"/>
      <c r="AX277" s="16"/>
    </row>
    <row r="278" spans="1:50" x14ac:dyDescent="0.2">
      <c r="B278" s="7" t="s">
        <v>37</v>
      </c>
      <c r="C278" s="8">
        <v>11058</v>
      </c>
      <c r="D278" s="9" t="s">
        <v>669</v>
      </c>
      <c r="E278" s="10" t="s">
        <v>670</v>
      </c>
      <c r="F278" s="10" t="s">
        <v>671</v>
      </c>
      <c r="G278" s="8">
        <v>1</v>
      </c>
      <c r="H278" s="11">
        <v>400</v>
      </c>
      <c r="I278" s="12">
        <v>42406</v>
      </c>
      <c r="J278" s="13">
        <f t="shared" si="10"/>
        <v>0</v>
      </c>
      <c r="K278" s="14">
        <v>400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5">
        <f t="shared" si="11"/>
        <v>400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5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5"/>
      <c r="AX278" s="16"/>
    </row>
    <row r="279" spans="1:50" x14ac:dyDescent="0.2">
      <c r="B279" s="7" t="s">
        <v>73</v>
      </c>
      <c r="C279" s="8">
        <v>11059</v>
      </c>
      <c r="D279" s="9" t="s">
        <v>672</v>
      </c>
      <c r="E279" s="10" t="s">
        <v>673</v>
      </c>
      <c r="F279" s="10" t="s">
        <v>674</v>
      </c>
      <c r="G279" s="8">
        <v>1</v>
      </c>
      <c r="H279" s="11">
        <v>400</v>
      </c>
      <c r="I279" s="12">
        <v>42407</v>
      </c>
      <c r="J279" s="13">
        <f t="shared" si="10"/>
        <v>0</v>
      </c>
      <c r="K279" s="14">
        <v>200</v>
      </c>
      <c r="L279" s="14">
        <v>200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5">
        <f t="shared" si="11"/>
        <v>400</v>
      </c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5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5"/>
      <c r="AX279" s="16"/>
    </row>
    <row r="280" spans="1:50" x14ac:dyDescent="0.2">
      <c r="B280" s="7" t="s">
        <v>77</v>
      </c>
      <c r="C280" s="8">
        <v>11060</v>
      </c>
      <c r="D280" s="9" t="s">
        <v>156</v>
      </c>
      <c r="E280" s="10" t="s">
        <v>157</v>
      </c>
      <c r="F280" s="10" t="s">
        <v>158</v>
      </c>
      <c r="G280" s="8">
        <v>1</v>
      </c>
      <c r="H280" s="11">
        <v>300</v>
      </c>
      <c r="I280" s="12">
        <v>42407</v>
      </c>
      <c r="J280" s="13">
        <f t="shared" si="10"/>
        <v>0</v>
      </c>
      <c r="K280" s="14"/>
      <c r="L280" s="14">
        <v>300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5">
        <f t="shared" si="11"/>
        <v>300</v>
      </c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5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5"/>
      <c r="AX280" s="16"/>
    </row>
    <row r="281" spans="1:50" x14ac:dyDescent="0.2">
      <c r="B281" s="7" t="s">
        <v>73</v>
      </c>
      <c r="C281" s="8">
        <v>11061</v>
      </c>
      <c r="D281" s="9" t="s">
        <v>675</v>
      </c>
      <c r="E281" s="10" t="s">
        <v>676</v>
      </c>
      <c r="F281" s="10" t="s">
        <v>677</v>
      </c>
      <c r="G281" s="8">
        <v>1</v>
      </c>
      <c r="H281" s="11">
        <v>4400</v>
      </c>
      <c r="I281" s="12">
        <v>42407</v>
      </c>
      <c r="J281" s="13">
        <f t="shared" si="10"/>
        <v>0</v>
      </c>
      <c r="K281" s="14">
        <v>400</v>
      </c>
      <c r="L281" s="14">
        <v>400</v>
      </c>
      <c r="M281" s="14">
        <v>400</v>
      </c>
      <c r="N281" s="14">
        <v>400</v>
      </c>
      <c r="O281" s="14">
        <v>400</v>
      </c>
      <c r="P281" s="14">
        <v>400</v>
      </c>
      <c r="Q281" s="14">
        <v>400</v>
      </c>
      <c r="R281" s="14">
        <v>400</v>
      </c>
      <c r="S281" s="14">
        <v>400</v>
      </c>
      <c r="T281" s="14">
        <v>400</v>
      </c>
      <c r="U281" s="14">
        <v>400</v>
      </c>
      <c r="V281" s="14"/>
      <c r="W281" s="15">
        <f t="shared" si="11"/>
        <v>4400</v>
      </c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5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5"/>
      <c r="AX281" s="16" t="s">
        <v>57</v>
      </c>
    </row>
    <row r="282" spans="1:50" x14ac:dyDescent="0.2">
      <c r="B282" s="7" t="s">
        <v>73</v>
      </c>
      <c r="C282" s="8">
        <v>11061</v>
      </c>
      <c r="D282" s="9" t="s">
        <v>675</v>
      </c>
      <c r="E282" s="10" t="s">
        <v>676</v>
      </c>
      <c r="F282" s="10" t="s">
        <v>677</v>
      </c>
      <c r="G282" s="8">
        <v>3</v>
      </c>
      <c r="H282" s="11">
        <v>160</v>
      </c>
      <c r="I282" s="12">
        <v>42407</v>
      </c>
      <c r="J282" s="13">
        <f t="shared" si="10"/>
        <v>0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>
        <f t="shared" si="11"/>
        <v>0</v>
      </c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5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5"/>
      <c r="AX282" s="16"/>
    </row>
    <row r="283" spans="1:50" x14ac:dyDescent="0.2">
      <c r="B283" s="7" t="s">
        <v>73</v>
      </c>
      <c r="C283" s="8">
        <v>11061</v>
      </c>
      <c r="D283" s="9" t="s">
        <v>675</v>
      </c>
      <c r="E283" s="10" t="s">
        <v>676</v>
      </c>
      <c r="F283" s="10" t="s">
        <v>677</v>
      </c>
      <c r="G283" s="8">
        <v>4</v>
      </c>
      <c r="H283" s="11">
        <v>160</v>
      </c>
      <c r="I283" s="12">
        <v>42407</v>
      </c>
      <c r="J283" s="13">
        <f t="shared" si="10"/>
        <v>0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5">
        <f t="shared" si="11"/>
        <v>0</v>
      </c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5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5"/>
      <c r="AX283" s="16"/>
    </row>
    <row r="284" spans="1:50" x14ac:dyDescent="0.2">
      <c r="B284" s="7" t="s">
        <v>61</v>
      </c>
      <c r="C284" s="8">
        <v>11062</v>
      </c>
      <c r="D284" s="9" t="s">
        <v>663</v>
      </c>
      <c r="E284" s="10" t="s">
        <v>664</v>
      </c>
      <c r="F284" s="10" t="s">
        <v>665</v>
      </c>
      <c r="G284" s="8">
        <v>1</v>
      </c>
      <c r="H284" s="11">
        <v>400</v>
      </c>
      <c r="I284" s="12">
        <v>42407</v>
      </c>
      <c r="J284" s="13">
        <f t="shared" si="10"/>
        <v>0</v>
      </c>
      <c r="K284" s="14"/>
      <c r="L284" s="14">
        <v>400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5">
        <f t="shared" si="11"/>
        <v>400</v>
      </c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5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5"/>
      <c r="AX284" s="16"/>
    </row>
    <row r="285" spans="1:50" x14ac:dyDescent="0.2">
      <c r="B285" s="7" t="s">
        <v>69</v>
      </c>
      <c r="C285" s="8">
        <v>11063</v>
      </c>
      <c r="D285" s="9" t="s">
        <v>678</v>
      </c>
      <c r="E285" s="10" t="s">
        <v>679</v>
      </c>
      <c r="F285" s="10" t="s">
        <v>680</v>
      </c>
      <c r="G285" s="8">
        <v>1</v>
      </c>
      <c r="H285" s="11">
        <v>400</v>
      </c>
      <c r="I285" s="12">
        <v>42407</v>
      </c>
      <c r="J285" s="13">
        <f t="shared" si="10"/>
        <v>0</v>
      </c>
      <c r="K285" s="14"/>
      <c r="L285" s="14">
        <v>400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5">
        <f t="shared" si="11"/>
        <v>400</v>
      </c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5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5"/>
      <c r="AX285" s="16"/>
    </row>
    <row r="286" spans="1:50" x14ac:dyDescent="0.2">
      <c r="B286" s="7" t="s">
        <v>37</v>
      </c>
      <c r="C286" s="8">
        <v>11064</v>
      </c>
      <c r="D286" s="9" t="s">
        <v>94</v>
      </c>
      <c r="E286" s="10" t="s">
        <v>95</v>
      </c>
      <c r="F286" s="10" t="s">
        <v>96</v>
      </c>
      <c r="G286" s="8">
        <v>1</v>
      </c>
      <c r="H286" s="11">
        <v>400</v>
      </c>
      <c r="I286" s="12">
        <v>42407</v>
      </c>
      <c r="J286" s="13">
        <f t="shared" si="10"/>
        <v>0</v>
      </c>
      <c r="K286" s="14"/>
      <c r="L286" s="14">
        <v>400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5">
        <f t="shared" si="11"/>
        <v>400</v>
      </c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5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5"/>
      <c r="AX286" s="16"/>
    </row>
    <row r="287" spans="1:50" x14ac:dyDescent="0.2">
      <c r="B287" s="7" t="s">
        <v>47</v>
      </c>
      <c r="C287" s="8">
        <v>11065</v>
      </c>
      <c r="D287" s="9" t="s">
        <v>241</v>
      </c>
      <c r="E287" s="10" t="s">
        <v>242</v>
      </c>
      <c r="F287" s="10" t="s">
        <v>243</v>
      </c>
      <c r="G287" s="8">
        <v>1</v>
      </c>
      <c r="H287" s="11">
        <v>400</v>
      </c>
      <c r="I287" s="12">
        <v>42407</v>
      </c>
      <c r="J287" s="13">
        <f t="shared" si="10"/>
        <v>0</v>
      </c>
      <c r="K287" s="14"/>
      <c r="L287" s="14">
        <v>400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>
        <f t="shared" si="11"/>
        <v>400</v>
      </c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5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5"/>
      <c r="AX287" s="16"/>
    </row>
    <row r="288" spans="1:50" x14ac:dyDescent="0.2">
      <c r="B288" s="7" t="s">
        <v>122</v>
      </c>
      <c r="C288" s="8">
        <v>11066</v>
      </c>
      <c r="D288" s="9" t="s">
        <v>262</v>
      </c>
      <c r="E288" s="10" t="s">
        <v>263</v>
      </c>
      <c r="F288" s="10" t="s">
        <v>264</v>
      </c>
      <c r="G288" s="8">
        <v>1</v>
      </c>
      <c r="H288" s="11">
        <v>300</v>
      </c>
      <c r="I288" s="12">
        <v>42407</v>
      </c>
      <c r="J288" s="13">
        <f t="shared" si="10"/>
        <v>0</v>
      </c>
      <c r="K288" s="14"/>
      <c r="L288" s="14">
        <v>300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5">
        <f t="shared" si="11"/>
        <v>300</v>
      </c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5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5"/>
      <c r="AX288" s="16"/>
    </row>
    <row r="289" spans="2:50" x14ac:dyDescent="0.2">
      <c r="B289" s="7" t="s">
        <v>122</v>
      </c>
      <c r="C289" s="8">
        <v>11067</v>
      </c>
      <c r="D289" s="9" t="s">
        <v>331</v>
      </c>
      <c r="E289" s="10" t="s">
        <v>332</v>
      </c>
      <c r="F289" s="10" t="s">
        <v>333</v>
      </c>
      <c r="G289" s="8">
        <v>1</v>
      </c>
      <c r="H289" s="11">
        <v>400</v>
      </c>
      <c r="I289" s="12">
        <v>42407</v>
      </c>
      <c r="J289" s="13">
        <f t="shared" si="10"/>
        <v>0</v>
      </c>
      <c r="K289" s="14"/>
      <c r="L289" s="14">
        <v>400</v>
      </c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5">
        <f t="shared" si="11"/>
        <v>400</v>
      </c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5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5"/>
      <c r="AX289" s="16"/>
    </row>
    <row r="290" spans="2:50" x14ac:dyDescent="0.2">
      <c r="B290" s="7" t="s">
        <v>69</v>
      </c>
      <c r="C290" s="8">
        <v>11068</v>
      </c>
      <c r="D290" s="9" t="s">
        <v>265</v>
      </c>
      <c r="E290" s="10" t="s">
        <v>266</v>
      </c>
      <c r="F290" s="10" t="s">
        <v>267</v>
      </c>
      <c r="G290" s="8">
        <v>1</v>
      </c>
      <c r="H290" s="11">
        <v>400</v>
      </c>
      <c r="I290" s="12">
        <v>42407</v>
      </c>
      <c r="J290" s="13">
        <f t="shared" si="10"/>
        <v>0</v>
      </c>
      <c r="K290" s="14"/>
      <c r="L290" s="14">
        <v>400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5">
        <f t="shared" si="11"/>
        <v>400</v>
      </c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5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5"/>
      <c r="AX290" s="16"/>
    </row>
    <row r="291" spans="2:50" x14ac:dyDescent="0.2">
      <c r="B291" s="7" t="s">
        <v>77</v>
      </c>
      <c r="C291" s="8">
        <v>11069</v>
      </c>
      <c r="D291" s="9" t="s">
        <v>286</v>
      </c>
      <c r="E291" s="10" t="s">
        <v>287</v>
      </c>
      <c r="F291" s="10" t="s">
        <v>288</v>
      </c>
      <c r="G291" s="8">
        <v>1</v>
      </c>
      <c r="H291" s="11">
        <v>400</v>
      </c>
      <c r="I291" s="12">
        <v>42407</v>
      </c>
      <c r="J291" s="13">
        <f t="shared" si="10"/>
        <v>0</v>
      </c>
      <c r="K291" s="14"/>
      <c r="L291" s="14">
        <v>400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5">
        <f t="shared" si="11"/>
        <v>400</v>
      </c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5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5"/>
      <c r="AX291" s="16"/>
    </row>
    <row r="292" spans="2:50" x14ac:dyDescent="0.2">
      <c r="B292" s="7" t="s">
        <v>73</v>
      </c>
      <c r="C292" s="8">
        <v>11070</v>
      </c>
      <c r="D292" s="9" t="s">
        <v>259</v>
      </c>
      <c r="E292" s="10" t="s">
        <v>260</v>
      </c>
      <c r="F292" s="10" t="s">
        <v>261</v>
      </c>
      <c r="G292" s="8">
        <v>1</v>
      </c>
      <c r="H292" s="11">
        <v>400</v>
      </c>
      <c r="I292" s="12">
        <v>42407</v>
      </c>
      <c r="J292" s="13">
        <f t="shared" si="10"/>
        <v>0</v>
      </c>
      <c r="K292" s="14"/>
      <c r="L292" s="14">
        <v>400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5">
        <f t="shared" si="11"/>
        <v>400</v>
      </c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5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5"/>
      <c r="AX292" s="16"/>
    </row>
    <row r="293" spans="2:50" x14ac:dyDescent="0.2">
      <c r="B293" s="7" t="s">
        <v>73</v>
      </c>
      <c r="C293" s="8">
        <v>11070</v>
      </c>
      <c r="D293" s="9" t="s">
        <v>259</v>
      </c>
      <c r="E293" s="10" t="s">
        <v>260</v>
      </c>
      <c r="F293" s="10" t="s">
        <v>261</v>
      </c>
      <c r="G293" s="8">
        <v>3</v>
      </c>
      <c r="H293" s="11">
        <v>160</v>
      </c>
      <c r="I293" s="12">
        <v>42407</v>
      </c>
      <c r="J293" s="13">
        <f t="shared" si="10"/>
        <v>0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5">
        <f t="shared" si="11"/>
        <v>0</v>
      </c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5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5"/>
      <c r="AX293" s="16"/>
    </row>
    <row r="294" spans="2:50" x14ac:dyDescent="0.2">
      <c r="B294" s="7" t="s">
        <v>37</v>
      </c>
      <c r="C294" s="8">
        <v>11071</v>
      </c>
      <c r="D294" s="9" t="s">
        <v>681</v>
      </c>
      <c r="E294" s="10" t="s">
        <v>682</v>
      </c>
      <c r="F294" s="10" t="s">
        <v>683</v>
      </c>
      <c r="G294" s="8">
        <v>1</v>
      </c>
      <c r="H294" s="11">
        <v>300</v>
      </c>
      <c r="I294" s="12">
        <v>42407</v>
      </c>
      <c r="J294" s="13">
        <f t="shared" si="10"/>
        <v>0</v>
      </c>
      <c r="K294" s="14">
        <v>300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5">
        <f t="shared" si="11"/>
        <v>300</v>
      </c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5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5"/>
      <c r="AX294" s="16"/>
    </row>
    <row r="295" spans="2:50" x14ac:dyDescent="0.2">
      <c r="B295" s="7" t="s">
        <v>37</v>
      </c>
      <c r="C295" s="8">
        <v>11072</v>
      </c>
      <c r="D295" s="9" t="s">
        <v>684</v>
      </c>
      <c r="E295" s="10" t="s">
        <v>685</v>
      </c>
      <c r="F295" s="10" t="s">
        <v>686</v>
      </c>
      <c r="G295" s="8">
        <v>1</v>
      </c>
      <c r="H295" s="11">
        <v>800</v>
      </c>
      <c r="I295" s="12">
        <v>42407</v>
      </c>
      <c r="J295" s="13">
        <f t="shared" si="10"/>
        <v>0</v>
      </c>
      <c r="K295" s="14">
        <v>400</v>
      </c>
      <c r="L295" s="14">
        <v>400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5">
        <f t="shared" si="11"/>
        <v>800</v>
      </c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5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5"/>
      <c r="AX295" s="16"/>
    </row>
    <row r="296" spans="2:50" x14ac:dyDescent="0.2">
      <c r="B296" s="7" t="s">
        <v>69</v>
      </c>
      <c r="C296" s="8">
        <v>11073</v>
      </c>
      <c r="D296" s="9" t="s">
        <v>687</v>
      </c>
      <c r="E296" s="10" t="s">
        <v>688</v>
      </c>
      <c r="F296" s="10" t="s">
        <v>689</v>
      </c>
      <c r="G296" s="8">
        <v>1</v>
      </c>
      <c r="H296" s="11">
        <v>200</v>
      </c>
      <c r="I296" s="12">
        <v>42407</v>
      </c>
      <c r="J296" s="13">
        <f t="shared" si="10"/>
        <v>0</v>
      </c>
      <c r="K296" s="14">
        <v>200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5">
        <f t="shared" si="11"/>
        <v>200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5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5"/>
      <c r="AX296" s="16"/>
    </row>
    <row r="297" spans="2:50" x14ac:dyDescent="0.2">
      <c r="B297" s="7" t="s">
        <v>122</v>
      </c>
      <c r="C297" s="8">
        <v>11074</v>
      </c>
      <c r="D297" s="9" t="s">
        <v>256</v>
      </c>
      <c r="E297" s="10" t="s">
        <v>257</v>
      </c>
      <c r="F297" s="10" t="s">
        <v>258</v>
      </c>
      <c r="G297" s="8">
        <v>1</v>
      </c>
      <c r="H297" s="11">
        <v>300</v>
      </c>
      <c r="I297" s="12">
        <v>42407</v>
      </c>
      <c r="J297" s="13">
        <f t="shared" si="10"/>
        <v>0</v>
      </c>
      <c r="K297" s="14"/>
      <c r="L297" s="14">
        <v>300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>
        <f t="shared" si="11"/>
        <v>300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5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5"/>
      <c r="AX297" s="16"/>
    </row>
    <row r="298" spans="2:50" x14ac:dyDescent="0.2">
      <c r="B298" s="7" t="s">
        <v>73</v>
      </c>
      <c r="C298" s="8">
        <v>11075</v>
      </c>
      <c r="D298" s="9" t="s">
        <v>690</v>
      </c>
      <c r="E298" s="10" t="s">
        <v>691</v>
      </c>
      <c r="F298" s="10" t="s">
        <v>692</v>
      </c>
      <c r="G298" s="8">
        <v>3</v>
      </c>
      <c r="H298" s="11">
        <v>480</v>
      </c>
      <c r="I298" s="12">
        <v>42407</v>
      </c>
      <c r="J298" s="13">
        <f t="shared" si="10"/>
        <v>0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>
        <f t="shared" si="11"/>
        <v>0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5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5"/>
      <c r="AX298" s="16"/>
    </row>
    <row r="299" spans="2:50" x14ac:dyDescent="0.2">
      <c r="B299" s="7" t="s">
        <v>37</v>
      </c>
      <c r="C299" s="8">
        <v>11076</v>
      </c>
      <c r="D299" s="9" t="s">
        <v>395</v>
      </c>
      <c r="E299" s="10" t="s">
        <v>396</v>
      </c>
      <c r="F299" s="10" t="s">
        <v>397</v>
      </c>
      <c r="G299" s="8">
        <v>1</v>
      </c>
      <c r="H299" s="11">
        <v>150</v>
      </c>
      <c r="I299" s="12">
        <v>42407</v>
      </c>
      <c r="J299" s="13">
        <f t="shared" si="10"/>
        <v>0</v>
      </c>
      <c r="K299" s="14"/>
      <c r="L299" s="14">
        <v>150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>
        <f t="shared" si="11"/>
        <v>150</v>
      </c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5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5"/>
      <c r="AX299" s="16"/>
    </row>
    <row r="300" spans="2:50" x14ac:dyDescent="0.2">
      <c r="B300" s="7" t="s">
        <v>73</v>
      </c>
      <c r="C300" s="8">
        <v>11077</v>
      </c>
      <c r="D300" s="9" t="s">
        <v>398</v>
      </c>
      <c r="E300" s="10" t="s">
        <v>399</v>
      </c>
      <c r="F300" s="10" t="s">
        <v>400</v>
      </c>
      <c r="G300" s="8">
        <v>1</v>
      </c>
      <c r="H300" s="11">
        <v>400</v>
      </c>
      <c r="I300" s="12">
        <v>42407</v>
      </c>
      <c r="J300" s="13">
        <f t="shared" si="10"/>
        <v>0</v>
      </c>
      <c r="K300" s="14"/>
      <c r="L300" s="14">
        <v>400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>
        <f t="shared" si="11"/>
        <v>400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5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5"/>
      <c r="AX300" s="16"/>
    </row>
    <row r="301" spans="2:50" x14ac:dyDescent="0.2">
      <c r="B301" s="7" t="s">
        <v>37</v>
      </c>
      <c r="C301" s="8">
        <v>11078</v>
      </c>
      <c r="D301" s="9" t="s">
        <v>271</v>
      </c>
      <c r="E301" s="10" t="s">
        <v>272</v>
      </c>
      <c r="F301" s="10" t="s">
        <v>273</v>
      </c>
      <c r="G301" s="8">
        <v>1</v>
      </c>
      <c r="H301" s="11">
        <v>400</v>
      </c>
      <c r="I301" s="12">
        <v>42407</v>
      </c>
      <c r="J301" s="13">
        <f t="shared" si="10"/>
        <v>0</v>
      </c>
      <c r="K301" s="14"/>
      <c r="L301" s="14">
        <v>400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5">
        <f t="shared" si="11"/>
        <v>400</v>
      </c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5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5"/>
      <c r="AX301" s="16"/>
    </row>
    <row r="302" spans="2:50" x14ac:dyDescent="0.2">
      <c r="B302" s="7" t="s">
        <v>61</v>
      </c>
      <c r="C302" s="8">
        <v>11079</v>
      </c>
      <c r="D302" s="9" t="s">
        <v>693</v>
      </c>
      <c r="E302" s="10" t="s">
        <v>694</v>
      </c>
      <c r="F302" s="10" t="s">
        <v>695</v>
      </c>
      <c r="G302" s="8">
        <v>1</v>
      </c>
      <c r="H302" s="11">
        <v>300</v>
      </c>
      <c r="I302" s="12">
        <v>42407</v>
      </c>
      <c r="J302" s="13">
        <f t="shared" si="10"/>
        <v>0</v>
      </c>
      <c r="K302" s="14">
        <v>150</v>
      </c>
      <c r="L302" s="14">
        <v>150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5">
        <f t="shared" si="11"/>
        <v>300</v>
      </c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5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5"/>
      <c r="AX302" s="16"/>
    </row>
    <row r="303" spans="2:50" x14ac:dyDescent="0.2">
      <c r="B303" s="7" t="s">
        <v>69</v>
      </c>
      <c r="C303" s="8">
        <v>11080</v>
      </c>
      <c r="D303" s="9" t="s">
        <v>461</v>
      </c>
      <c r="E303" s="10" t="s">
        <v>462</v>
      </c>
      <c r="F303" s="10" t="s">
        <v>463</v>
      </c>
      <c r="G303" s="8">
        <v>1</v>
      </c>
      <c r="H303" s="11">
        <v>400</v>
      </c>
      <c r="I303" s="12">
        <v>42407</v>
      </c>
      <c r="J303" s="13">
        <f t="shared" si="10"/>
        <v>0</v>
      </c>
      <c r="K303" s="14">
        <v>400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>
        <f t="shared" si="11"/>
        <v>400</v>
      </c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5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5"/>
      <c r="AX303" s="16"/>
    </row>
    <row r="304" spans="2:50" x14ac:dyDescent="0.2">
      <c r="B304" s="7" t="s">
        <v>73</v>
      </c>
      <c r="C304" s="8">
        <v>11081</v>
      </c>
      <c r="D304" s="9" t="s">
        <v>407</v>
      </c>
      <c r="E304" s="10" t="s">
        <v>408</v>
      </c>
      <c r="F304" s="10" t="s">
        <v>409</v>
      </c>
      <c r="G304" s="8">
        <v>1</v>
      </c>
      <c r="H304" s="11">
        <v>400</v>
      </c>
      <c r="I304" s="12">
        <v>42407</v>
      </c>
      <c r="J304" s="13">
        <f t="shared" si="10"/>
        <v>0</v>
      </c>
      <c r="K304" s="14"/>
      <c r="L304" s="14">
        <v>400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>
        <f t="shared" si="11"/>
        <v>400</v>
      </c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5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5"/>
      <c r="AX304" s="16"/>
    </row>
    <row r="305" spans="2:50" x14ac:dyDescent="0.2">
      <c r="B305" s="7" t="s">
        <v>47</v>
      </c>
      <c r="C305" s="8">
        <v>11082</v>
      </c>
      <c r="D305" s="9" t="s">
        <v>425</v>
      </c>
      <c r="E305" s="10" t="s">
        <v>426</v>
      </c>
      <c r="F305" s="10" t="s">
        <v>427</v>
      </c>
      <c r="G305" s="8">
        <v>1</v>
      </c>
      <c r="H305" s="11">
        <v>400</v>
      </c>
      <c r="I305" s="12">
        <v>42407</v>
      </c>
      <c r="J305" s="13">
        <f t="shared" si="10"/>
        <v>0</v>
      </c>
      <c r="K305" s="14"/>
      <c r="L305" s="14">
        <v>400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>
        <f t="shared" si="11"/>
        <v>400</v>
      </c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5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5"/>
      <c r="AX305" s="16"/>
    </row>
    <row r="306" spans="2:50" x14ac:dyDescent="0.2">
      <c r="B306" s="7" t="s">
        <v>37</v>
      </c>
      <c r="C306" s="8">
        <v>11083</v>
      </c>
      <c r="D306" s="9" t="s">
        <v>268</v>
      </c>
      <c r="E306" s="10" t="s">
        <v>269</v>
      </c>
      <c r="F306" s="10" t="s">
        <v>270</v>
      </c>
      <c r="G306" s="8">
        <v>1</v>
      </c>
      <c r="H306" s="11">
        <v>300</v>
      </c>
      <c r="I306" s="12">
        <v>42407</v>
      </c>
      <c r="J306" s="13">
        <f t="shared" si="10"/>
        <v>0</v>
      </c>
      <c r="K306" s="14"/>
      <c r="L306" s="14">
        <v>300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5">
        <f t="shared" si="11"/>
        <v>300</v>
      </c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5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5"/>
      <c r="AX306" s="16"/>
    </row>
    <row r="307" spans="2:50" x14ac:dyDescent="0.2">
      <c r="B307" s="7" t="s">
        <v>69</v>
      </c>
      <c r="C307" s="8">
        <v>11084</v>
      </c>
      <c r="D307" s="9" t="s">
        <v>696</v>
      </c>
      <c r="E307" s="10" t="s">
        <v>697</v>
      </c>
      <c r="F307" s="10" t="s">
        <v>698</v>
      </c>
      <c r="G307" s="8">
        <v>1</v>
      </c>
      <c r="H307" s="11">
        <v>300</v>
      </c>
      <c r="I307" s="12">
        <v>42407</v>
      </c>
      <c r="J307" s="13">
        <f t="shared" si="10"/>
        <v>0</v>
      </c>
      <c r="K307" s="14">
        <v>300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5">
        <f t="shared" si="11"/>
        <v>300</v>
      </c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5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5"/>
      <c r="AX307" s="16"/>
    </row>
    <row r="308" spans="2:50" x14ac:dyDescent="0.2">
      <c r="B308" s="7" t="s">
        <v>69</v>
      </c>
      <c r="C308" s="8">
        <v>11085</v>
      </c>
      <c r="D308" s="9" t="s">
        <v>696</v>
      </c>
      <c r="E308" s="10" t="s">
        <v>697</v>
      </c>
      <c r="F308" s="10" t="s">
        <v>698</v>
      </c>
      <c r="G308" s="8">
        <v>1</v>
      </c>
      <c r="H308" s="11">
        <v>300</v>
      </c>
      <c r="I308" s="12">
        <v>42407</v>
      </c>
      <c r="J308" s="13">
        <f t="shared" si="10"/>
        <v>0</v>
      </c>
      <c r="K308" s="14"/>
      <c r="L308" s="14">
        <v>300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5">
        <f t="shared" ref="W308:W339" si="12">SUM(K308:V308)</f>
        <v>300</v>
      </c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5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5"/>
      <c r="AX308" s="16"/>
    </row>
    <row r="309" spans="2:50" x14ac:dyDescent="0.2">
      <c r="B309" s="7" t="s">
        <v>47</v>
      </c>
      <c r="C309" s="8">
        <v>11086</v>
      </c>
      <c r="D309" s="9" t="s">
        <v>138</v>
      </c>
      <c r="E309" s="10" t="s">
        <v>139</v>
      </c>
      <c r="F309" s="10" t="s">
        <v>140</v>
      </c>
      <c r="G309" s="8">
        <v>1</v>
      </c>
      <c r="H309" s="11">
        <v>400</v>
      </c>
      <c r="I309" s="12">
        <v>42407</v>
      </c>
      <c r="J309" s="13">
        <f t="shared" si="10"/>
        <v>0</v>
      </c>
      <c r="K309" s="14">
        <v>400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5">
        <f t="shared" si="12"/>
        <v>400</v>
      </c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5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5"/>
      <c r="AX309" s="16"/>
    </row>
    <row r="310" spans="2:50" x14ac:dyDescent="0.2">
      <c r="B310" s="7" t="s">
        <v>73</v>
      </c>
      <c r="C310" s="8">
        <v>11087</v>
      </c>
      <c r="D310" s="9" t="s">
        <v>611</v>
      </c>
      <c r="E310" s="10" t="s">
        <v>612</v>
      </c>
      <c r="F310" s="10" t="s">
        <v>613</v>
      </c>
      <c r="G310" s="8">
        <v>1</v>
      </c>
      <c r="H310" s="11">
        <v>400</v>
      </c>
      <c r="I310" s="12">
        <v>42407</v>
      </c>
      <c r="J310" s="13">
        <f t="shared" si="10"/>
        <v>0</v>
      </c>
      <c r="K310" s="14"/>
      <c r="L310" s="14">
        <v>400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5">
        <f t="shared" si="12"/>
        <v>400</v>
      </c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5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5"/>
      <c r="AX310" s="16"/>
    </row>
    <row r="311" spans="2:50" x14ac:dyDescent="0.2">
      <c r="B311" s="7" t="s">
        <v>69</v>
      </c>
      <c r="C311" s="8">
        <v>11088</v>
      </c>
      <c r="D311" s="9" t="s">
        <v>343</v>
      </c>
      <c r="E311" s="10" t="s">
        <v>344</v>
      </c>
      <c r="F311" s="10" t="s">
        <v>345</v>
      </c>
      <c r="G311" s="8">
        <v>1</v>
      </c>
      <c r="H311" s="11">
        <v>400</v>
      </c>
      <c r="I311" s="12">
        <v>42407</v>
      </c>
      <c r="J311" s="13">
        <f t="shared" si="10"/>
        <v>0</v>
      </c>
      <c r="K311" s="14"/>
      <c r="L311" s="14">
        <v>400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5">
        <f t="shared" si="12"/>
        <v>400</v>
      </c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5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5"/>
      <c r="AX311" s="16"/>
    </row>
    <row r="312" spans="2:50" x14ac:dyDescent="0.2">
      <c r="B312" s="7" t="s">
        <v>37</v>
      </c>
      <c r="C312" s="8">
        <v>11089</v>
      </c>
      <c r="D312" s="9" t="s">
        <v>307</v>
      </c>
      <c r="E312" s="10" t="s">
        <v>308</v>
      </c>
      <c r="F312" s="10" t="s">
        <v>309</v>
      </c>
      <c r="G312" s="8">
        <v>1</v>
      </c>
      <c r="H312" s="11">
        <v>350</v>
      </c>
      <c r="I312" s="12">
        <v>42407</v>
      </c>
      <c r="J312" s="13">
        <f t="shared" si="10"/>
        <v>0</v>
      </c>
      <c r="K312" s="14"/>
      <c r="L312" s="14">
        <v>350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>
        <f t="shared" si="12"/>
        <v>350</v>
      </c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5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5"/>
      <c r="AX312" s="16"/>
    </row>
    <row r="313" spans="2:50" x14ac:dyDescent="0.2">
      <c r="B313" s="7" t="s">
        <v>47</v>
      </c>
      <c r="C313" s="8">
        <v>11090</v>
      </c>
      <c r="D313" s="9" t="s">
        <v>153</v>
      </c>
      <c r="E313" s="10" t="s">
        <v>154</v>
      </c>
      <c r="F313" s="10" t="s">
        <v>155</v>
      </c>
      <c r="G313" s="8">
        <v>1</v>
      </c>
      <c r="H313" s="11">
        <v>400</v>
      </c>
      <c r="I313" s="12">
        <v>42407</v>
      </c>
      <c r="J313" s="13">
        <f t="shared" si="10"/>
        <v>0</v>
      </c>
      <c r="K313" s="14"/>
      <c r="L313" s="14">
        <v>400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5">
        <f t="shared" si="12"/>
        <v>400</v>
      </c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5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5"/>
      <c r="AX313" s="16"/>
    </row>
    <row r="314" spans="2:50" x14ac:dyDescent="0.2">
      <c r="B314" s="7" t="s">
        <v>122</v>
      </c>
      <c r="C314" s="8">
        <v>11091</v>
      </c>
      <c r="D314" s="9" t="s">
        <v>123</v>
      </c>
      <c r="E314" s="10" t="s">
        <v>124</v>
      </c>
      <c r="F314" s="10" t="s">
        <v>125</v>
      </c>
      <c r="G314" s="8">
        <v>1</v>
      </c>
      <c r="H314" s="11">
        <v>200</v>
      </c>
      <c r="I314" s="12">
        <v>42407</v>
      </c>
      <c r="J314" s="13">
        <f t="shared" si="10"/>
        <v>0</v>
      </c>
      <c r="K314" s="14"/>
      <c r="L314" s="14">
        <v>200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5">
        <f t="shared" si="12"/>
        <v>200</v>
      </c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5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5"/>
      <c r="AX314" s="16"/>
    </row>
    <row r="315" spans="2:50" x14ac:dyDescent="0.2">
      <c r="B315" s="7" t="s">
        <v>69</v>
      </c>
      <c r="C315" s="8">
        <v>11092</v>
      </c>
      <c r="D315" s="9" t="s">
        <v>325</v>
      </c>
      <c r="E315" s="10" t="s">
        <v>326</v>
      </c>
      <c r="F315" s="10" t="s">
        <v>327</v>
      </c>
      <c r="G315" s="8">
        <v>1</v>
      </c>
      <c r="H315" s="11">
        <v>400</v>
      </c>
      <c r="I315" s="12">
        <v>42407</v>
      </c>
      <c r="J315" s="13">
        <f t="shared" si="10"/>
        <v>0</v>
      </c>
      <c r="K315" s="14"/>
      <c r="L315" s="14">
        <v>400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5">
        <f t="shared" si="12"/>
        <v>400</v>
      </c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5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5"/>
      <c r="AX315" s="16"/>
    </row>
    <row r="316" spans="2:50" x14ac:dyDescent="0.2">
      <c r="B316" s="7" t="s">
        <v>47</v>
      </c>
      <c r="C316" s="8">
        <v>11093</v>
      </c>
      <c r="D316" s="9" t="s">
        <v>132</v>
      </c>
      <c r="E316" s="10" t="s">
        <v>133</v>
      </c>
      <c r="F316" s="10" t="s">
        <v>134</v>
      </c>
      <c r="G316" s="8">
        <v>1</v>
      </c>
      <c r="H316" s="11">
        <v>300</v>
      </c>
      <c r="I316" s="12">
        <v>42407</v>
      </c>
      <c r="J316" s="13">
        <f t="shared" si="10"/>
        <v>0</v>
      </c>
      <c r="K316" s="14"/>
      <c r="L316" s="14">
        <v>300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5">
        <f t="shared" si="12"/>
        <v>300</v>
      </c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5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5"/>
      <c r="AX316" s="16"/>
    </row>
    <row r="317" spans="2:50" x14ac:dyDescent="0.2">
      <c r="B317" s="7" t="s">
        <v>37</v>
      </c>
      <c r="C317" s="8">
        <v>11094</v>
      </c>
      <c r="D317" s="9" t="s">
        <v>192</v>
      </c>
      <c r="E317" s="10" t="s">
        <v>193</v>
      </c>
      <c r="F317" s="10" t="s">
        <v>194</v>
      </c>
      <c r="G317" s="8">
        <v>1</v>
      </c>
      <c r="H317" s="11">
        <v>800</v>
      </c>
      <c r="I317" s="12">
        <v>42407</v>
      </c>
      <c r="J317" s="13">
        <f t="shared" si="10"/>
        <v>0</v>
      </c>
      <c r="K317" s="14">
        <v>400</v>
      </c>
      <c r="L317" s="14">
        <v>400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5">
        <f t="shared" si="12"/>
        <v>800</v>
      </c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5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5"/>
      <c r="AX317" s="16"/>
    </row>
    <row r="318" spans="2:50" x14ac:dyDescent="0.2">
      <c r="B318" s="7" t="s">
        <v>47</v>
      </c>
      <c r="C318" s="8">
        <v>11095</v>
      </c>
      <c r="D318" s="9" t="s">
        <v>699</v>
      </c>
      <c r="E318" s="10" t="s">
        <v>700</v>
      </c>
      <c r="F318" s="10" t="s">
        <v>701</v>
      </c>
      <c r="G318" s="8">
        <v>1</v>
      </c>
      <c r="H318" s="11">
        <v>800</v>
      </c>
      <c r="I318" s="12">
        <v>42407</v>
      </c>
      <c r="J318" s="13">
        <f t="shared" si="10"/>
        <v>0</v>
      </c>
      <c r="K318" s="14">
        <v>400</v>
      </c>
      <c r="L318" s="14">
        <v>400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5">
        <f t="shared" si="12"/>
        <v>800</v>
      </c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5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5"/>
      <c r="AX318" s="16"/>
    </row>
    <row r="319" spans="2:50" x14ac:dyDescent="0.2">
      <c r="B319" s="7" t="s">
        <v>47</v>
      </c>
      <c r="C319" s="8">
        <v>11096</v>
      </c>
      <c r="D319" s="9" t="s">
        <v>702</v>
      </c>
      <c r="E319" s="10" t="s">
        <v>703</v>
      </c>
      <c r="F319" s="10" t="s">
        <v>704</v>
      </c>
      <c r="G319" s="8">
        <v>1</v>
      </c>
      <c r="H319" s="11">
        <v>800</v>
      </c>
      <c r="I319" s="12">
        <v>42407</v>
      </c>
      <c r="J319" s="13">
        <f t="shared" si="10"/>
        <v>0</v>
      </c>
      <c r="K319" s="14">
        <v>400</v>
      </c>
      <c r="L319" s="14">
        <v>400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5">
        <f t="shared" si="12"/>
        <v>800</v>
      </c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5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5"/>
      <c r="AX319" s="16"/>
    </row>
    <row r="320" spans="2:50" x14ac:dyDescent="0.2">
      <c r="B320" s="7" t="s">
        <v>47</v>
      </c>
      <c r="C320" s="8">
        <v>11097</v>
      </c>
      <c r="D320" s="9" t="s">
        <v>705</v>
      </c>
      <c r="E320" s="10" t="s">
        <v>706</v>
      </c>
      <c r="F320" s="10" t="s">
        <v>707</v>
      </c>
      <c r="G320" s="8">
        <v>1</v>
      </c>
      <c r="H320" s="11">
        <v>600</v>
      </c>
      <c r="I320" s="12">
        <v>42407</v>
      </c>
      <c r="J320" s="13">
        <f t="shared" si="10"/>
        <v>0</v>
      </c>
      <c r="K320" s="14">
        <v>300</v>
      </c>
      <c r="L320" s="14">
        <v>300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5">
        <f t="shared" si="12"/>
        <v>600</v>
      </c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5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5"/>
      <c r="AX320" s="16"/>
    </row>
    <row r="321" spans="2:50" x14ac:dyDescent="0.2">
      <c r="B321" s="7" t="s">
        <v>47</v>
      </c>
      <c r="C321" s="8">
        <v>11098</v>
      </c>
      <c r="D321" s="9" t="s">
        <v>313</v>
      </c>
      <c r="E321" s="10" t="s">
        <v>314</v>
      </c>
      <c r="F321" s="10" t="s">
        <v>315</v>
      </c>
      <c r="G321" s="8">
        <v>1</v>
      </c>
      <c r="H321" s="11">
        <v>400</v>
      </c>
      <c r="I321" s="12">
        <v>42407</v>
      </c>
      <c r="J321" s="13">
        <f t="shared" si="10"/>
        <v>0</v>
      </c>
      <c r="K321" s="14"/>
      <c r="L321" s="14">
        <v>400</v>
      </c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5">
        <f t="shared" si="12"/>
        <v>400</v>
      </c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5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5"/>
      <c r="AX321" s="16"/>
    </row>
    <row r="322" spans="2:50" x14ac:dyDescent="0.2">
      <c r="B322" s="7" t="s">
        <v>37</v>
      </c>
      <c r="C322" s="8">
        <v>11099</v>
      </c>
      <c r="D322" s="9" t="s">
        <v>708</v>
      </c>
      <c r="E322" s="10" t="s">
        <v>709</v>
      </c>
      <c r="F322" s="10" t="s">
        <v>710</v>
      </c>
      <c r="G322" s="8">
        <v>1</v>
      </c>
      <c r="H322" s="11">
        <v>800</v>
      </c>
      <c r="I322" s="12">
        <v>42407</v>
      </c>
      <c r="J322" s="13">
        <f t="shared" si="10"/>
        <v>0</v>
      </c>
      <c r="K322" s="14">
        <v>400</v>
      </c>
      <c r="L322" s="14">
        <v>400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5">
        <f t="shared" si="12"/>
        <v>800</v>
      </c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5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5"/>
      <c r="AX322" s="16"/>
    </row>
    <row r="323" spans="2:50" x14ac:dyDescent="0.2">
      <c r="B323" s="7" t="s">
        <v>47</v>
      </c>
      <c r="C323" s="8">
        <v>11100</v>
      </c>
      <c r="D323" s="9" t="s">
        <v>583</v>
      </c>
      <c r="E323" s="10" t="s">
        <v>584</v>
      </c>
      <c r="F323" s="10" t="s">
        <v>585</v>
      </c>
      <c r="G323" s="8">
        <v>1</v>
      </c>
      <c r="H323" s="11">
        <v>200</v>
      </c>
      <c r="I323" s="12">
        <v>42407</v>
      </c>
      <c r="J323" s="13">
        <f t="shared" si="10"/>
        <v>0</v>
      </c>
      <c r="K323" s="14"/>
      <c r="L323" s="14">
        <v>200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5">
        <f t="shared" si="12"/>
        <v>200</v>
      </c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5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5"/>
      <c r="AX323" s="16"/>
    </row>
    <row r="324" spans="2:50" x14ac:dyDescent="0.2">
      <c r="B324" s="7" t="s">
        <v>47</v>
      </c>
      <c r="C324" s="8">
        <v>11101</v>
      </c>
      <c r="D324" s="9" t="s">
        <v>171</v>
      </c>
      <c r="E324" s="10" t="s">
        <v>172</v>
      </c>
      <c r="F324" s="10" t="s">
        <v>173</v>
      </c>
      <c r="G324" s="8">
        <v>1</v>
      </c>
      <c r="H324" s="11">
        <v>400</v>
      </c>
      <c r="I324" s="12">
        <v>42407</v>
      </c>
      <c r="J324" s="13">
        <f t="shared" si="10"/>
        <v>0</v>
      </c>
      <c r="K324" s="14"/>
      <c r="L324" s="14">
        <v>400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5">
        <f t="shared" si="12"/>
        <v>400</v>
      </c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5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5"/>
      <c r="AX324" s="16"/>
    </row>
    <row r="325" spans="2:50" x14ac:dyDescent="0.2">
      <c r="B325" s="7" t="s">
        <v>69</v>
      </c>
      <c r="C325" s="8">
        <v>11102</v>
      </c>
      <c r="D325" s="9" t="s">
        <v>174</v>
      </c>
      <c r="E325" s="10" t="s">
        <v>175</v>
      </c>
      <c r="F325" s="10" t="s">
        <v>176</v>
      </c>
      <c r="G325" s="8">
        <v>1</v>
      </c>
      <c r="H325" s="11">
        <v>300</v>
      </c>
      <c r="I325" s="12">
        <v>42407</v>
      </c>
      <c r="J325" s="13">
        <f t="shared" si="10"/>
        <v>0</v>
      </c>
      <c r="K325" s="14"/>
      <c r="L325" s="14">
        <v>300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5">
        <f t="shared" si="12"/>
        <v>300</v>
      </c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5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5"/>
      <c r="AX325" s="16"/>
    </row>
    <row r="326" spans="2:50" x14ac:dyDescent="0.2">
      <c r="B326" s="7" t="s">
        <v>37</v>
      </c>
      <c r="C326" s="8">
        <v>11103</v>
      </c>
      <c r="D326" s="9" t="s">
        <v>180</v>
      </c>
      <c r="E326" s="10" t="s">
        <v>181</v>
      </c>
      <c r="F326" s="10" t="s">
        <v>182</v>
      </c>
      <c r="G326" s="8">
        <v>1</v>
      </c>
      <c r="H326" s="11">
        <v>400</v>
      </c>
      <c r="I326" s="12">
        <v>42407</v>
      </c>
      <c r="J326" s="13">
        <f t="shared" si="10"/>
        <v>0</v>
      </c>
      <c r="K326" s="14"/>
      <c r="L326" s="14">
        <v>400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>
        <f t="shared" si="12"/>
        <v>400</v>
      </c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5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5"/>
      <c r="AX326" s="16"/>
    </row>
    <row r="327" spans="2:50" x14ac:dyDescent="0.2">
      <c r="B327" s="7" t="s">
        <v>47</v>
      </c>
      <c r="C327" s="8">
        <v>11104</v>
      </c>
      <c r="D327" s="9" t="s">
        <v>711</v>
      </c>
      <c r="E327" s="10" t="s">
        <v>712</v>
      </c>
      <c r="F327" s="10" t="s">
        <v>713</v>
      </c>
      <c r="G327" s="8">
        <v>1</v>
      </c>
      <c r="H327" s="11">
        <v>400</v>
      </c>
      <c r="I327" s="12">
        <v>42407</v>
      </c>
      <c r="J327" s="13">
        <f t="shared" si="10"/>
        <v>0</v>
      </c>
      <c r="K327" s="14">
        <v>400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5">
        <f t="shared" si="12"/>
        <v>400</v>
      </c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5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5"/>
      <c r="AX327" s="16"/>
    </row>
    <row r="328" spans="2:50" x14ac:dyDescent="0.2">
      <c r="B328" s="7" t="s">
        <v>47</v>
      </c>
      <c r="C328" s="8">
        <v>11104</v>
      </c>
      <c r="D328" s="9" t="s">
        <v>711</v>
      </c>
      <c r="E328" s="10" t="s">
        <v>712</v>
      </c>
      <c r="F328" s="10" t="s">
        <v>713</v>
      </c>
      <c r="G328" s="8">
        <v>3</v>
      </c>
      <c r="H328" s="11">
        <v>320</v>
      </c>
      <c r="I328" s="12">
        <v>42407</v>
      </c>
      <c r="J328" s="13">
        <f t="shared" si="10"/>
        <v>0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5">
        <f t="shared" si="12"/>
        <v>0</v>
      </c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5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5"/>
      <c r="AX328" s="16"/>
    </row>
    <row r="329" spans="2:50" x14ac:dyDescent="0.2">
      <c r="B329" s="7" t="s">
        <v>47</v>
      </c>
      <c r="C329" s="8">
        <v>11104</v>
      </c>
      <c r="D329" s="9" t="s">
        <v>711</v>
      </c>
      <c r="E329" s="10" t="s">
        <v>712</v>
      </c>
      <c r="F329" s="10" t="s">
        <v>713</v>
      </c>
      <c r="G329" s="8">
        <v>4</v>
      </c>
      <c r="H329" s="11">
        <v>160</v>
      </c>
      <c r="I329" s="12">
        <v>42407</v>
      </c>
      <c r="J329" s="13">
        <f t="shared" si="10"/>
        <v>0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5">
        <f t="shared" si="12"/>
        <v>0</v>
      </c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5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5"/>
      <c r="AX329" s="16"/>
    </row>
    <row r="330" spans="2:50" x14ac:dyDescent="0.2">
      <c r="B330" s="7" t="s">
        <v>73</v>
      </c>
      <c r="C330" s="8">
        <v>11105</v>
      </c>
      <c r="D330" s="9" t="s">
        <v>126</v>
      </c>
      <c r="E330" s="10" t="s">
        <v>127</v>
      </c>
      <c r="F330" s="10" t="s">
        <v>128</v>
      </c>
      <c r="G330" s="8">
        <v>4</v>
      </c>
      <c r="H330" s="11">
        <v>160</v>
      </c>
      <c r="I330" s="12">
        <v>42407</v>
      </c>
      <c r="J330" s="13">
        <f t="shared" si="10"/>
        <v>0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5">
        <f t="shared" si="12"/>
        <v>0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5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5"/>
      <c r="AX330" s="7">
        <v>6562</v>
      </c>
    </row>
    <row r="331" spans="2:50" x14ac:dyDescent="0.2">
      <c r="B331" s="7" t="s">
        <v>69</v>
      </c>
      <c r="C331" s="8">
        <v>11106</v>
      </c>
      <c r="D331" s="9" t="s">
        <v>714</v>
      </c>
      <c r="E331" s="10" t="s">
        <v>715</v>
      </c>
      <c r="F331" s="10" t="s">
        <v>487</v>
      </c>
      <c r="G331" s="8">
        <v>1</v>
      </c>
      <c r="H331" s="11">
        <v>400</v>
      </c>
      <c r="I331" s="12">
        <v>42407</v>
      </c>
      <c r="J331" s="13">
        <f t="shared" si="10"/>
        <v>0</v>
      </c>
      <c r="K331" s="14">
        <v>400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5">
        <f t="shared" si="12"/>
        <v>400</v>
      </c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5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5"/>
      <c r="AX331" s="16"/>
    </row>
    <row r="332" spans="2:50" x14ac:dyDescent="0.2">
      <c r="B332" s="7" t="s">
        <v>69</v>
      </c>
      <c r="C332" s="8">
        <v>11107</v>
      </c>
      <c r="D332" s="9" t="s">
        <v>476</v>
      </c>
      <c r="E332" s="10" t="s">
        <v>477</v>
      </c>
      <c r="F332" s="10" t="s">
        <v>478</v>
      </c>
      <c r="G332" s="8">
        <v>1</v>
      </c>
      <c r="H332" s="11">
        <v>400</v>
      </c>
      <c r="I332" s="12">
        <v>42407</v>
      </c>
      <c r="J332" s="13">
        <f t="shared" si="10"/>
        <v>0</v>
      </c>
      <c r="K332" s="14"/>
      <c r="L332" s="14">
        <v>400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5">
        <f t="shared" si="12"/>
        <v>400</v>
      </c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5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5"/>
      <c r="AX332" s="16"/>
    </row>
    <row r="333" spans="2:50" x14ac:dyDescent="0.2">
      <c r="B333" s="7" t="s">
        <v>37</v>
      </c>
      <c r="C333" s="8">
        <v>11108</v>
      </c>
      <c r="D333" s="9" t="s">
        <v>716</v>
      </c>
      <c r="E333" s="10" t="s">
        <v>717</v>
      </c>
      <c r="F333" s="10" t="s">
        <v>718</v>
      </c>
      <c r="G333" s="8">
        <v>1</v>
      </c>
      <c r="H333" s="11">
        <v>600</v>
      </c>
      <c r="I333" s="12">
        <v>42406</v>
      </c>
      <c r="J333" s="13">
        <f t="shared" si="10"/>
        <v>0</v>
      </c>
      <c r="K333" s="14">
        <v>300</v>
      </c>
      <c r="L333" s="14">
        <v>300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5">
        <f t="shared" si="12"/>
        <v>600</v>
      </c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5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5"/>
      <c r="AX333" s="16"/>
    </row>
    <row r="334" spans="2:50" x14ac:dyDescent="0.2">
      <c r="B334" s="7" t="s">
        <v>37</v>
      </c>
      <c r="C334" s="8">
        <v>11109</v>
      </c>
      <c r="D334" s="9" t="s">
        <v>205</v>
      </c>
      <c r="E334" s="10" t="s">
        <v>206</v>
      </c>
      <c r="F334" s="10" t="s">
        <v>207</v>
      </c>
      <c r="G334" s="8">
        <v>1</v>
      </c>
      <c r="H334" s="11">
        <v>600</v>
      </c>
      <c r="I334" s="12">
        <v>42407</v>
      </c>
      <c r="J334" s="13">
        <f t="shared" si="10"/>
        <v>0</v>
      </c>
      <c r="K334" s="14">
        <v>600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5">
        <f t="shared" si="12"/>
        <v>600</v>
      </c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5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5"/>
      <c r="AX334" s="16"/>
    </row>
    <row r="335" spans="2:50" x14ac:dyDescent="0.2">
      <c r="B335" s="7" t="s">
        <v>69</v>
      </c>
      <c r="C335" s="8">
        <v>11110</v>
      </c>
      <c r="D335" s="9" t="s">
        <v>373</v>
      </c>
      <c r="E335" s="10" t="s">
        <v>374</v>
      </c>
      <c r="F335" s="10" t="s">
        <v>375</v>
      </c>
      <c r="G335" s="8">
        <v>1</v>
      </c>
      <c r="H335" s="11">
        <v>400</v>
      </c>
      <c r="I335" s="12">
        <v>42409</v>
      </c>
      <c r="J335" s="13">
        <f t="shared" si="10"/>
        <v>0</v>
      </c>
      <c r="K335" s="14"/>
      <c r="L335" s="14">
        <v>400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5">
        <f t="shared" si="12"/>
        <v>400</v>
      </c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5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5"/>
      <c r="AX335" s="16"/>
    </row>
    <row r="336" spans="2:50" x14ac:dyDescent="0.2">
      <c r="B336" s="7" t="s">
        <v>47</v>
      </c>
      <c r="C336" s="8">
        <v>11111</v>
      </c>
      <c r="D336" s="9" t="s">
        <v>280</v>
      </c>
      <c r="E336" s="10" t="s">
        <v>281</v>
      </c>
      <c r="F336" s="10" t="s">
        <v>282</v>
      </c>
      <c r="G336" s="8">
        <v>1</v>
      </c>
      <c r="H336" s="11">
        <v>400</v>
      </c>
      <c r="I336" s="12">
        <v>42414</v>
      </c>
      <c r="J336" s="13">
        <f t="shared" si="10"/>
        <v>0</v>
      </c>
      <c r="K336" s="14"/>
      <c r="L336" s="14">
        <v>400</v>
      </c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5">
        <f t="shared" si="12"/>
        <v>400</v>
      </c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5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5"/>
      <c r="AX336" s="16"/>
    </row>
    <row r="337" spans="2:50" x14ac:dyDescent="0.2">
      <c r="B337" s="7" t="s">
        <v>69</v>
      </c>
      <c r="C337" s="8">
        <v>11112</v>
      </c>
      <c r="D337" s="9" t="s">
        <v>301</v>
      </c>
      <c r="E337" s="10" t="s">
        <v>302</v>
      </c>
      <c r="F337" s="10" t="s">
        <v>303</v>
      </c>
      <c r="G337" s="8">
        <v>1</v>
      </c>
      <c r="H337" s="11">
        <v>200</v>
      </c>
      <c r="I337" s="12">
        <v>42414</v>
      </c>
      <c r="J337" s="13">
        <f t="shared" si="10"/>
        <v>0</v>
      </c>
      <c r="K337" s="14"/>
      <c r="L337" s="14">
        <v>200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5">
        <f t="shared" si="12"/>
        <v>200</v>
      </c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5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5"/>
      <c r="AX337" s="16"/>
    </row>
    <row r="338" spans="2:50" x14ac:dyDescent="0.2">
      <c r="B338" s="7" t="s">
        <v>37</v>
      </c>
      <c r="C338" s="8">
        <v>11113</v>
      </c>
      <c r="D338" s="9" t="s">
        <v>44</v>
      </c>
      <c r="E338" s="10" t="s">
        <v>45</v>
      </c>
      <c r="F338" s="10" t="s">
        <v>46</v>
      </c>
      <c r="G338" s="8">
        <v>1</v>
      </c>
      <c r="H338" s="11">
        <v>1200</v>
      </c>
      <c r="I338" s="12">
        <v>42414</v>
      </c>
      <c r="J338" s="13">
        <f t="shared" si="10"/>
        <v>0</v>
      </c>
      <c r="K338" s="14"/>
      <c r="L338" s="14">
        <v>400</v>
      </c>
      <c r="M338" s="14">
        <v>400</v>
      </c>
      <c r="N338" s="14">
        <v>400</v>
      </c>
      <c r="O338" s="14"/>
      <c r="P338" s="14"/>
      <c r="Q338" s="14"/>
      <c r="R338" s="14"/>
      <c r="S338" s="14"/>
      <c r="T338" s="14"/>
      <c r="U338" s="14"/>
      <c r="V338" s="14"/>
      <c r="W338" s="15">
        <f t="shared" si="12"/>
        <v>1200</v>
      </c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5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5"/>
      <c r="AX338" s="16"/>
    </row>
    <row r="339" spans="2:50" x14ac:dyDescent="0.2">
      <c r="B339" s="7" t="s">
        <v>73</v>
      </c>
      <c r="C339" s="8">
        <v>11114</v>
      </c>
      <c r="D339" s="9" t="s">
        <v>719</v>
      </c>
      <c r="E339" s="10" t="s">
        <v>720</v>
      </c>
      <c r="F339" s="10" t="s">
        <v>721</v>
      </c>
      <c r="G339" s="8">
        <v>1</v>
      </c>
      <c r="H339" s="11">
        <v>800</v>
      </c>
      <c r="I339" s="12">
        <v>42414</v>
      </c>
      <c r="J339" s="13">
        <f t="shared" si="10"/>
        <v>0</v>
      </c>
      <c r="K339" s="14">
        <v>400</v>
      </c>
      <c r="L339" s="14">
        <v>400</v>
      </c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5">
        <f t="shared" si="12"/>
        <v>800</v>
      </c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5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5"/>
      <c r="AX339" s="16"/>
    </row>
    <row r="340" spans="2:50" x14ac:dyDescent="0.2">
      <c r="B340" s="7" t="s">
        <v>73</v>
      </c>
      <c r="C340" s="8">
        <v>11114</v>
      </c>
      <c r="D340" s="9" t="s">
        <v>719</v>
      </c>
      <c r="E340" s="10" t="s">
        <v>720</v>
      </c>
      <c r="F340" s="10" t="s">
        <v>721</v>
      </c>
      <c r="G340" s="8">
        <v>3</v>
      </c>
      <c r="H340" s="11">
        <v>160</v>
      </c>
      <c r="I340" s="12">
        <v>42414</v>
      </c>
      <c r="J340" s="13">
        <f t="shared" ref="J340:J403" si="13">IF(G340=1,SUM(W340,-H340),0)</f>
        <v>0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5">
        <f t="shared" ref="W340:W403" si="14">SUM(K340:V340)</f>
        <v>0</v>
      </c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5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5"/>
      <c r="AX340" s="16"/>
    </row>
    <row r="341" spans="2:50" x14ac:dyDescent="0.2">
      <c r="B341" s="7" t="s">
        <v>37</v>
      </c>
      <c r="C341" s="8">
        <v>11115</v>
      </c>
      <c r="D341" s="9" t="s">
        <v>119</v>
      </c>
      <c r="E341" s="10" t="s">
        <v>120</v>
      </c>
      <c r="F341" s="10" t="s">
        <v>121</v>
      </c>
      <c r="G341" s="8">
        <v>1</v>
      </c>
      <c r="H341" s="11">
        <v>800</v>
      </c>
      <c r="I341" s="12">
        <v>42414</v>
      </c>
      <c r="J341" s="13">
        <f t="shared" si="13"/>
        <v>0</v>
      </c>
      <c r="K341" s="14">
        <v>400</v>
      </c>
      <c r="L341" s="14">
        <v>400</v>
      </c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5">
        <f t="shared" si="14"/>
        <v>800</v>
      </c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5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5"/>
      <c r="AX341" s="16"/>
    </row>
    <row r="342" spans="2:50" x14ac:dyDescent="0.2">
      <c r="B342" s="7" t="s">
        <v>73</v>
      </c>
      <c r="C342" s="8">
        <v>11116</v>
      </c>
      <c r="D342" s="9" t="s">
        <v>722</v>
      </c>
      <c r="E342" s="10" t="s">
        <v>723</v>
      </c>
      <c r="F342" s="10" t="s">
        <v>724</v>
      </c>
      <c r="G342" s="8">
        <v>1</v>
      </c>
      <c r="H342" s="11">
        <v>4400</v>
      </c>
      <c r="I342" s="12">
        <v>42414</v>
      </c>
      <c r="J342" s="13">
        <f t="shared" si="13"/>
        <v>0</v>
      </c>
      <c r="K342" s="14">
        <v>400</v>
      </c>
      <c r="L342" s="14">
        <v>400</v>
      </c>
      <c r="M342" s="14">
        <v>400</v>
      </c>
      <c r="N342" s="14">
        <v>400</v>
      </c>
      <c r="O342" s="14">
        <v>400</v>
      </c>
      <c r="P342" s="14">
        <v>400</v>
      </c>
      <c r="Q342" s="14">
        <v>400</v>
      </c>
      <c r="R342" s="14">
        <v>400</v>
      </c>
      <c r="S342" s="14">
        <v>400</v>
      </c>
      <c r="T342" s="14">
        <v>400</v>
      </c>
      <c r="U342" s="14">
        <v>400</v>
      </c>
      <c r="V342" s="14"/>
      <c r="W342" s="15">
        <f t="shared" si="14"/>
        <v>4400</v>
      </c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5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5"/>
      <c r="AX342" s="16" t="s">
        <v>57</v>
      </c>
    </row>
    <row r="343" spans="2:50" x14ac:dyDescent="0.2">
      <c r="B343" s="7" t="s">
        <v>77</v>
      </c>
      <c r="C343" s="8">
        <v>11117</v>
      </c>
      <c r="D343" s="9" t="s">
        <v>725</v>
      </c>
      <c r="E343" s="10" t="s">
        <v>726</v>
      </c>
      <c r="F343" s="10" t="s">
        <v>727</v>
      </c>
      <c r="G343" s="8">
        <v>1</v>
      </c>
      <c r="H343" s="11">
        <v>400</v>
      </c>
      <c r="I343" s="12">
        <v>42414</v>
      </c>
      <c r="J343" s="13">
        <f t="shared" si="13"/>
        <v>0</v>
      </c>
      <c r="K343" s="14">
        <v>400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5">
        <f t="shared" si="14"/>
        <v>400</v>
      </c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5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5"/>
      <c r="AX343" s="16"/>
    </row>
    <row r="344" spans="2:50" x14ac:dyDescent="0.2">
      <c r="B344" s="7" t="s">
        <v>73</v>
      </c>
      <c r="C344" s="8">
        <v>11118</v>
      </c>
      <c r="D344" s="9" t="s">
        <v>728</v>
      </c>
      <c r="E344" s="10" t="s">
        <v>729</v>
      </c>
      <c r="F344" s="10" t="s">
        <v>730</v>
      </c>
      <c r="G344" s="8">
        <v>1</v>
      </c>
      <c r="H344" s="11">
        <v>400</v>
      </c>
      <c r="I344" s="12">
        <v>42414</v>
      </c>
      <c r="J344" s="13">
        <f t="shared" si="13"/>
        <v>0</v>
      </c>
      <c r="K344" s="14">
        <v>400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5">
        <f t="shared" si="14"/>
        <v>400</v>
      </c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5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5"/>
      <c r="AX344" s="16"/>
    </row>
    <row r="345" spans="2:50" x14ac:dyDescent="0.2">
      <c r="B345" s="7" t="s">
        <v>73</v>
      </c>
      <c r="C345" s="8">
        <v>11118</v>
      </c>
      <c r="D345" s="9" t="s">
        <v>728</v>
      </c>
      <c r="E345" s="10" t="s">
        <v>729</v>
      </c>
      <c r="F345" s="10" t="s">
        <v>730</v>
      </c>
      <c r="G345" s="8">
        <v>3</v>
      </c>
      <c r="H345" s="11">
        <v>160</v>
      </c>
      <c r="I345" s="12">
        <v>42414</v>
      </c>
      <c r="J345" s="13">
        <f t="shared" si="13"/>
        <v>0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5">
        <f t="shared" si="14"/>
        <v>0</v>
      </c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5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5"/>
      <c r="AX345" s="16"/>
    </row>
    <row r="346" spans="2:50" x14ac:dyDescent="0.2">
      <c r="B346" s="7" t="s">
        <v>73</v>
      </c>
      <c r="C346" s="8">
        <v>11118</v>
      </c>
      <c r="D346" s="9" t="s">
        <v>728</v>
      </c>
      <c r="E346" s="10" t="s">
        <v>729</v>
      </c>
      <c r="F346" s="10" t="s">
        <v>730</v>
      </c>
      <c r="G346" s="8">
        <v>4</v>
      </c>
      <c r="H346" s="11">
        <v>160</v>
      </c>
      <c r="I346" s="12">
        <v>42414</v>
      </c>
      <c r="J346" s="13">
        <f t="shared" si="13"/>
        <v>0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5">
        <f t="shared" si="14"/>
        <v>0</v>
      </c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5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5"/>
      <c r="AX346" s="16"/>
    </row>
    <row r="347" spans="2:50" x14ac:dyDescent="0.2">
      <c r="B347" s="7" t="s">
        <v>73</v>
      </c>
      <c r="C347" s="8">
        <v>11119</v>
      </c>
      <c r="D347" s="9" t="s">
        <v>731</v>
      </c>
      <c r="E347" s="10" t="s">
        <v>732</v>
      </c>
      <c r="F347" s="10" t="s">
        <v>733</v>
      </c>
      <c r="G347" s="8">
        <v>1</v>
      </c>
      <c r="H347" s="11">
        <v>900</v>
      </c>
      <c r="I347" s="12">
        <v>42414</v>
      </c>
      <c r="J347" s="13">
        <f t="shared" si="13"/>
        <v>0</v>
      </c>
      <c r="K347" s="14">
        <v>300</v>
      </c>
      <c r="L347" s="14">
        <v>300</v>
      </c>
      <c r="M347" s="14">
        <v>300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5">
        <f t="shared" si="14"/>
        <v>900</v>
      </c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5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5"/>
      <c r="AX347" s="16"/>
    </row>
    <row r="348" spans="2:50" x14ac:dyDescent="0.2">
      <c r="B348" s="7" t="s">
        <v>37</v>
      </c>
      <c r="C348" s="8">
        <v>11120</v>
      </c>
      <c r="D348" s="9" t="s">
        <v>223</v>
      </c>
      <c r="E348" s="10" t="s">
        <v>224</v>
      </c>
      <c r="F348" s="10" t="s">
        <v>225</v>
      </c>
      <c r="G348" s="8">
        <v>4</v>
      </c>
      <c r="H348" s="11">
        <v>160</v>
      </c>
      <c r="I348" s="12">
        <v>42414</v>
      </c>
      <c r="J348" s="13">
        <f t="shared" si="13"/>
        <v>0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5">
        <f t="shared" si="14"/>
        <v>0</v>
      </c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5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5"/>
      <c r="AX348" s="16"/>
    </row>
    <row r="349" spans="2:50" x14ac:dyDescent="0.2">
      <c r="B349" s="7" t="s">
        <v>37</v>
      </c>
      <c r="C349" s="8">
        <v>11121</v>
      </c>
      <c r="D349" s="9" t="s">
        <v>295</v>
      </c>
      <c r="E349" s="10" t="s">
        <v>296</v>
      </c>
      <c r="F349" s="10" t="s">
        <v>297</v>
      </c>
      <c r="G349" s="8">
        <v>1</v>
      </c>
      <c r="H349" s="11">
        <v>300</v>
      </c>
      <c r="I349" s="12">
        <v>42414</v>
      </c>
      <c r="J349" s="13">
        <f t="shared" si="13"/>
        <v>0</v>
      </c>
      <c r="K349" s="14"/>
      <c r="L349" s="14">
        <v>300</v>
      </c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5">
        <f t="shared" si="14"/>
        <v>300</v>
      </c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5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5"/>
      <c r="AX349" s="16"/>
    </row>
    <row r="350" spans="2:50" x14ac:dyDescent="0.2">
      <c r="B350" s="7" t="s">
        <v>69</v>
      </c>
      <c r="C350" s="8">
        <v>11122</v>
      </c>
      <c r="D350" s="9" t="s">
        <v>292</v>
      </c>
      <c r="E350" s="10" t="s">
        <v>293</v>
      </c>
      <c r="F350" s="10" t="s">
        <v>294</v>
      </c>
      <c r="G350" s="8">
        <v>1</v>
      </c>
      <c r="H350" s="11">
        <v>400</v>
      </c>
      <c r="I350" s="12">
        <v>42414</v>
      </c>
      <c r="J350" s="13">
        <f t="shared" si="13"/>
        <v>0</v>
      </c>
      <c r="K350" s="14"/>
      <c r="L350" s="14">
        <v>400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5">
        <f t="shared" si="14"/>
        <v>400</v>
      </c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5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16"/>
    </row>
    <row r="351" spans="2:50" x14ac:dyDescent="0.2">
      <c r="B351" s="7" t="s">
        <v>69</v>
      </c>
      <c r="C351" s="8">
        <v>11123</v>
      </c>
      <c r="D351" s="9" t="s">
        <v>625</v>
      </c>
      <c r="E351" s="10" t="s">
        <v>626</v>
      </c>
      <c r="F351" s="10" t="s">
        <v>627</v>
      </c>
      <c r="G351" s="8">
        <v>1</v>
      </c>
      <c r="H351" s="11">
        <v>400</v>
      </c>
      <c r="I351" s="12">
        <v>42414</v>
      </c>
      <c r="J351" s="13">
        <f t="shared" si="13"/>
        <v>0</v>
      </c>
      <c r="K351" s="14"/>
      <c r="L351" s="14">
        <v>400</v>
      </c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5">
        <f t="shared" si="14"/>
        <v>400</v>
      </c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5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5"/>
      <c r="AX351" s="16"/>
    </row>
    <row r="352" spans="2:50" x14ac:dyDescent="0.2">
      <c r="B352" s="7" t="s">
        <v>47</v>
      </c>
      <c r="C352" s="8">
        <v>11124</v>
      </c>
      <c r="D352" s="9" t="s">
        <v>734</v>
      </c>
      <c r="E352" s="10" t="s">
        <v>735</v>
      </c>
      <c r="F352" s="10" t="s">
        <v>736</v>
      </c>
      <c r="G352" s="8">
        <v>1</v>
      </c>
      <c r="H352" s="11">
        <v>4400</v>
      </c>
      <c r="I352" s="12">
        <v>42414</v>
      </c>
      <c r="J352" s="13">
        <f t="shared" si="13"/>
        <v>0</v>
      </c>
      <c r="K352" s="14">
        <v>400</v>
      </c>
      <c r="L352" s="14">
        <v>400</v>
      </c>
      <c r="M352" s="14">
        <v>400</v>
      </c>
      <c r="N352" s="14">
        <v>400</v>
      </c>
      <c r="O352" s="14">
        <v>400</v>
      </c>
      <c r="P352" s="14">
        <v>400</v>
      </c>
      <c r="Q352" s="14">
        <v>400</v>
      </c>
      <c r="R352" s="14">
        <v>400</v>
      </c>
      <c r="S352" s="14">
        <v>400</v>
      </c>
      <c r="T352" s="14">
        <v>400</v>
      </c>
      <c r="U352" s="14">
        <v>400</v>
      </c>
      <c r="V352" s="14"/>
      <c r="W352" s="15">
        <f t="shared" si="14"/>
        <v>4400</v>
      </c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5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5"/>
      <c r="AX352" s="16" t="s">
        <v>379</v>
      </c>
    </row>
    <row r="353" spans="2:50" x14ac:dyDescent="0.2">
      <c r="B353" s="7" t="s">
        <v>73</v>
      </c>
      <c r="C353" s="8">
        <v>11125</v>
      </c>
      <c r="D353" s="9" t="s">
        <v>458</v>
      </c>
      <c r="E353" s="10" t="s">
        <v>459</v>
      </c>
      <c r="F353" s="10" t="s">
        <v>460</v>
      </c>
      <c r="G353" s="8">
        <v>1</v>
      </c>
      <c r="H353" s="11">
        <v>400</v>
      </c>
      <c r="I353" s="12">
        <v>42414</v>
      </c>
      <c r="J353" s="13">
        <f t="shared" si="13"/>
        <v>0</v>
      </c>
      <c r="K353" s="14"/>
      <c r="L353" s="14">
        <v>400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5">
        <f t="shared" si="14"/>
        <v>400</v>
      </c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5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5"/>
      <c r="AX353" s="16"/>
    </row>
    <row r="354" spans="2:50" x14ac:dyDescent="0.2">
      <c r="B354" s="7" t="s">
        <v>37</v>
      </c>
      <c r="C354" s="8">
        <v>11126</v>
      </c>
      <c r="D354" s="9" t="s">
        <v>488</v>
      </c>
      <c r="E354" s="10" t="s">
        <v>489</v>
      </c>
      <c r="F354" s="10" t="s">
        <v>490</v>
      </c>
      <c r="G354" s="8">
        <v>1</v>
      </c>
      <c r="H354" s="11">
        <v>400</v>
      </c>
      <c r="I354" s="12">
        <v>42414</v>
      </c>
      <c r="J354" s="13">
        <f t="shared" si="13"/>
        <v>0</v>
      </c>
      <c r="K354" s="14"/>
      <c r="L354" s="14">
        <v>400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>
        <f t="shared" si="14"/>
        <v>400</v>
      </c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5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16"/>
    </row>
    <row r="355" spans="2:50" x14ac:dyDescent="0.2">
      <c r="B355" s="7" t="s">
        <v>69</v>
      </c>
      <c r="C355" s="8">
        <v>11127</v>
      </c>
      <c r="D355" s="9" t="s">
        <v>165</v>
      </c>
      <c r="E355" s="10" t="s">
        <v>166</v>
      </c>
      <c r="F355" s="10" t="s">
        <v>167</v>
      </c>
      <c r="G355" s="8">
        <v>1</v>
      </c>
      <c r="H355" s="11">
        <v>350</v>
      </c>
      <c r="I355" s="12">
        <v>42414</v>
      </c>
      <c r="J355" s="13">
        <f t="shared" si="13"/>
        <v>0</v>
      </c>
      <c r="K355" s="14"/>
      <c r="L355" s="14">
        <v>350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5">
        <f t="shared" si="14"/>
        <v>350</v>
      </c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5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5"/>
      <c r="AX355" s="16"/>
    </row>
    <row r="356" spans="2:50" x14ac:dyDescent="0.2">
      <c r="B356" s="7" t="s">
        <v>73</v>
      </c>
      <c r="C356" s="8">
        <v>11128</v>
      </c>
      <c r="D356" s="9" t="s">
        <v>277</v>
      </c>
      <c r="E356" s="10" t="s">
        <v>278</v>
      </c>
      <c r="F356" s="10" t="s">
        <v>279</v>
      </c>
      <c r="G356" s="8">
        <v>1</v>
      </c>
      <c r="H356" s="11">
        <v>200</v>
      </c>
      <c r="I356" s="12">
        <v>42414</v>
      </c>
      <c r="J356" s="13">
        <f t="shared" si="13"/>
        <v>0</v>
      </c>
      <c r="K356" s="14"/>
      <c r="L356" s="14">
        <v>200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5">
        <f t="shared" si="14"/>
        <v>200</v>
      </c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5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5"/>
      <c r="AX356" s="16"/>
    </row>
    <row r="357" spans="2:50" x14ac:dyDescent="0.2">
      <c r="B357" s="7" t="s">
        <v>47</v>
      </c>
      <c r="C357" s="8">
        <v>11129</v>
      </c>
      <c r="D357" s="9" t="s">
        <v>734</v>
      </c>
      <c r="E357" s="10" t="s">
        <v>735</v>
      </c>
      <c r="F357" s="10" t="s">
        <v>736</v>
      </c>
      <c r="G357" s="8">
        <v>4</v>
      </c>
      <c r="H357" s="11">
        <v>160</v>
      </c>
      <c r="I357" s="12">
        <v>42414</v>
      </c>
      <c r="J357" s="13">
        <f t="shared" si="13"/>
        <v>0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5">
        <f t="shared" si="14"/>
        <v>0</v>
      </c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5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5"/>
      <c r="AX357" s="16"/>
    </row>
    <row r="358" spans="2:50" x14ac:dyDescent="0.2">
      <c r="B358" s="7" t="s">
        <v>61</v>
      </c>
      <c r="C358" s="8">
        <v>11130</v>
      </c>
      <c r="D358" s="9" t="s">
        <v>737</v>
      </c>
      <c r="E358" s="10" t="s">
        <v>738</v>
      </c>
      <c r="F358" s="10" t="s">
        <v>739</v>
      </c>
      <c r="G358" s="8">
        <v>1</v>
      </c>
      <c r="H358" s="11">
        <v>800</v>
      </c>
      <c r="I358" s="12">
        <v>42414</v>
      </c>
      <c r="J358" s="13">
        <f t="shared" si="13"/>
        <v>0</v>
      </c>
      <c r="K358" s="14">
        <v>400</v>
      </c>
      <c r="L358" s="14">
        <v>400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5">
        <f t="shared" si="14"/>
        <v>800</v>
      </c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5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5"/>
      <c r="AX358" s="16"/>
    </row>
    <row r="359" spans="2:50" x14ac:dyDescent="0.2">
      <c r="B359" s="7" t="s">
        <v>61</v>
      </c>
      <c r="C359" s="8">
        <v>11131</v>
      </c>
      <c r="D359" s="9" t="s">
        <v>737</v>
      </c>
      <c r="E359" s="10" t="s">
        <v>738</v>
      </c>
      <c r="F359" s="10" t="s">
        <v>739</v>
      </c>
      <c r="G359" s="8">
        <v>4</v>
      </c>
      <c r="H359" s="11">
        <v>160</v>
      </c>
      <c r="I359" s="12">
        <v>42414</v>
      </c>
      <c r="J359" s="13">
        <f t="shared" si="13"/>
        <v>0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5">
        <f t="shared" si="14"/>
        <v>0</v>
      </c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5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5"/>
      <c r="AX359" s="16"/>
    </row>
    <row r="360" spans="2:50" x14ac:dyDescent="0.2">
      <c r="B360" s="7" t="s">
        <v>47</v>
      </c>
      <c r="C360" s="8">
        <v>11132</v>
      </c>
      <c r="D360" s="9" t="s">
        <v>150</v>
      </c>
      <c r="E360" s="10" t="s">
        <v>151</v>
      </c>
      <c r="F360" s="10" t="s">
        <v>152</v>
      </c>
      <c r="G360" s="8">
        <v>1</v>
      </c>
      <c r="H360" s="11">
        <v>400</v>
      </c>
      <c r="I360" s="12">
        <v>42414</v>
      </c>
      <c r="J360" s="13">
        <f t="shared" si="13"/>
        <v>0</v>
      </c>
      <c r="K360" s="14"/>
      <c r="L360" s="14">
        <v>400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5">
        <f t="shared" si="14"/>
        <v>400</v>
      </c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5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5"/>
      <c r="AX360" s="16"/>
    </row>
    <row r="361" spans="2:50" x14ac:dyDescent="0.2">
      <c r="B361" s="7" t="s">
        <v>69</v>
      </c>
      <c r="C361" s="8">
        <v>11133</v>
      </c>
      <c r="D361" s="9" t="s">
        <v>740</v>
      </c>
      <c r="E361" s="10" t="s">
        <v>741</v>
      </c>
      <c r="F361" s="10" t="s">
        <v>742</v>
      </c>
      <c r="G361" s="8">
        <v>1</v>
      </c>
      <c r="H361" s="11">
        <v>800</v>
      </c>
      <c r="I361" s="12">
        <v>42414</v>
      </c>
      <c r="J361" s="13">
        <f t="shared" si="13"/>
        <v>0</v>
      </c>
      <c r="K361" s="14">
        <v>400</v>
      </c>
      <c r="L361" s="14">
        <v>400</v>
      </c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5">
        <f t="shared" si="14"/>
        <v>800</v>
      </c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5"/>
      <c r="AX361" s="16"/>
    </row>
    <row r="362" spans="2:50" x14ac:dyDescent="0.2">
      <c r="B362" s="7" t="s">
        <v>47</v>
      </c>
      <c r="C362" s="8">
        <v>11134</v>
      </c>
      <c r="D362" s="9" t="s">
        <v>208</v>
      </c>
      <c r="E362" s="10" t="s">
        <v>209</v>
      </c>
      <c r="F362" s="10" t="s">
        <v>210</v>
      </c>
      <c r="G362" s="8">
        <v>1</v>
      </c>
      <c r="H362" s="11">
        <v>400</v>
      </c>
      <c r="I362" s="12">
        <v>42414</v>
      </c>
      <c r="J362" s="13">
        <f t="shared" si="13"/>
        <v>0</v>
      </c>
      <c r="K362" s="14">
        <v>400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5">
        <f t="shared" si="14"/>
        <v>400</v>
      </c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5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5"/>
      <c r="AX362" s="16"/>
    </row>
    <row r="363" spans="2:50" x14ac:dyDescent="0.2">
      <c r="B363" s="7" t="s">
        <v>69</v>
      </c>
      <c r="C363" s="8">
        <v>11135</v>
      </c>
      <c r="D363" s="9" t="s">
        <v>514</v>
      </c>
      <c r="E363" s="10" t="s">
        <v>515</v>
      </c>
      <c r="F363" s="10" t="s">
        <v>516</v>
      </c>
      <c r="G363" s="8">
        <v>1</v>
      </c>
      <c r="H363" s="11">
        <v>400</v>
      </c>
      <c r="I363" s="12">
        <v>42414</v>
      </c>
      <c r="J363" s="13">
        <f t="shared" si="13"/>
        <v>0</v>
      </c>
      <c r="K363" s="14"/>
      <c r="L363" s="14">
        <v>400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5">
        <f t="shared" si="14"/>
        <v>400</v>
      </c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5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5"/>
      <c r="AX363" s="16"/>
    </row>
    <row r="364" spans="2:50" x14ac:dyDescent="0.2">
      <c r="B364" s="7" t="s">
        <v>69</v>
      </c>
      <c r="C364" s="8">
        <v>11136</v>
      </c>
      <c r="D364" s="9" t="s">
        <v>743</v>
      </c>
      <c r="E364" s="10" t="s">
        <v>744</v>
      </c>
      <c r="F364" s="10" t="s">
        <v>745</v>
      </c>
      <c r="G364" s="8">
        <v>1</v>
      </c>
      <c r="H364" s="11">
        <v>400</v>
      </c>
      <c r="I364" s="12">
        <v>42414</v>
      </c>
      <c r="J364" s="13">
        <f t="shared" si="13"/>
        <v>0</v>
      </c>
      <c r="K364" s="14">
        <v>400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5">
        <f t="shared" si="14"/>
        <v>400</v>
      </c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5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5"/>
      <c r="AX364" s="16"/>
    </row>
    <row r="365" spans="2:50" x14ac:dyDescent="0.2">
      <c r="B365" s="7" t="s">
        <v>47</v>
      </c>
      <c r="C365" s="8">
        <v>11137</v>
      </c>
      <c r="D365" s="9" t="s">
        <v>746</v>
      </c>
      <c r="E365" s="10" t="s">
        <v>747</v>
      </c>
      <c r="F365" s="10" t="s">
        <v>748</v>
      </c>
      <c r="G365" s="8">
        <v>1</v>
      </c>
      <c r="H365" s="11">
        <v>900</v>
      </c>
      <c r="I365" s="12">
        <v>42414</v>
      </c>
      <c r="J365" s="13">
        <f t="shared" si="13"/>
        <v>0</v>
      </c>
      <c r="K365" s="14">
        <v>300</v>
      </c>
      <c r="L365" s="14">
        <v>300</v>
      </c>
      <c r="M365" s="14">
        <v>300</v>
      </c>
      <c r="N365" s="14"/>
      <c r="O365" s="14"/>
      <c r="P365" s="14"/>
      <c r="Q365" s="14"/>
      <c r="R365" s="14"/>
      <c r="S365" s="14"/>
      <c r="T365" s="14"/>
      <c r="U365" s="14"/>
      <c r="V365" s="14"/>
      <c r="W365" s="15">
        <f t="shared" si="14"/>
        <v>900</v>
      </c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5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5"/>
      <c r="AX365" s="16"/>
    </row>
    <row r="366" spans="2:50" x14ac:dyDescent="0.2">
      <c r="B366" s="7" t="s">
        <v>47</v>
      </c>
      <c r="C366" s="8">
        <v>11138</v>
      </c>
      <c r="D366" s="9" t="s">
        <v>658</v>
      </c>
      <c r="E366" s="10" t="s">
        <v>659</v>
      </c>
      <c r="F366" s="10" t="s">
        <v>660</v>
      </c>
      <c r="G366" s="8">
        <v>1</v>
      </c>
      <c r="H366" s="11">
        <v>350</v>
      </c>
      <c r="I366" s="12">
        <v>42414</v>
      </c>
      <c r="J366" s="13">
        <f t="shared" si="13"/>
        <v>0</v>
      </c>
      <c r="K366" s="14"/>
      <c r="L366" s="14">
        <v>350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5">
        <f t="shared" si="14"/>
        <v>350</v>
      </c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5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5"/>
      <c r="AX366" s="16"/>
    </row>
    <row r="367" spans="2:50" x14ac:dyDescent="0.2">
      <c r="B367" s="7" t="s">
        <v>37</v>
      </c>
      <c r="C367" s="8">
        <v>11139</v>
      </c>
      <c r="D367" s="9" t="s">
        <v>749</v>
      </c>
      <c r="E367" s="10" t="s">
        <v>750</v>
      </c>
      <c r="F367" s="10" t="s">
        <v>751</v>
      </c>
      <c r="G367" s="8">
        <v>1</v>
      </c>
      <c r="H367" s="11">
        <v>800</v>
      </c>
      <c r="I367" s="12">
        <v>42414</v>
      </c>
      <c r="J367" s="13">
        <f t="shared" si="13"/>
        <v>0</v>
      </c>
      <c r="K367" s="14">
        <v>400</v>
      </c>
      <c r="L367" s="14">
        <v>400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5">
        <f t="shared" si="14"/>
        <v>800</v>
      </c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5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5"/>
      <c r="AX367" s="16"/>
    </row>
    <row r="368" spans="2:50" x14ac:dyDescent="0.2">
      <c r="B368" s="7" t="s">
        <v>93</v>
      </c>
      <c r="C368" s="8">
        <v>11140</v>
      </c>
      <c r="D368" s="9"/>
      <c r="E368" s="10" t="s">
        <v>93</v>
      </c>
      <c r="F368" s="10" t="s">
        <v>93</v>
      </c>
      <c r="G368" s="8">
        <v>8</v>
      </c>
      <c r="H368" s="11"/>
      <c r="I368" s="12"/>
      <c r="J368" s="13">
        <f t="shared" si="13"/>
        <v>0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5">
        <f t="shared" si="14"/>
        <v>0</v>
      </c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5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5"/>
      <c r="AX368" s="16"/>
    </row>
    <row r="369" spans="1:50" x14ac:dyDescent="0.2">
      <c r="B369" s="7" t="s">
        <v>47</v>
      </c>
      <c r="C369" s="8">
        <v>11141</v>
      </c>
      <c r="D369" s="9" t="s">
        <v>404</v>
      </c>
      <c r="E369" s="10" t="s">
        <v>405</v>
      </c>
      <c r="F369" s="10" t="s">
        <v>406</v>
      </c>
      <c r="G369" s="8">
        <v>1</v>
      </c>
      <c r="H369" s="11">
        <v>400</v>
      </c>
      <c r="I369" s="12">
        <v>42414</v>
      </c>
      <c r="J369" s="13">
        <f t="shared" si="13"/>
        <v>0</v>
      </c>
      <c r="K369" s="14"/>
      <c r="L369" s="14">
        <v>400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5">
        <f t="shared" si="14"/>
        <v>400</v>
      </c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5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5"/>
      <c r="AX369" s="16"/>
    </row>
    <row r="370" spans="1:50" x14ac:dyDescent="0.2">
      <c r="B370" s="7" t="s">
        <v>69</v>
      </c>
      <c r="C370" s="8">
        <v>11142</v>
      </c>
      <c r="D370" s="9" t="s">
        <v>574</v>
      </c>
      <c r="E370" s="10" t="s">
        <v>575</v>
      </c>
      <c r="F370" s="10" t="s">
        <v>576</v>
      </c>
      <c r="G370" s="8">
        <v>1</v>
      </c>
      <c r="H370" s="11">
        <v>400</v>
      </c>
      <c r="I370" s="12">
        <v>42416</v>
      </c>
      <c r="J370" s="13">
        <f t="shared" si="13"/>
        <v>0</v>
      </c>
      <c r="K370" s="14"/>
      <c r="L370" s="14">
        <v>400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5">
        <f t="shared" si="14"/>
        <v>400</v>
      </c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5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5"/>
      <c r="AX370" s="16"/>
    </row>
    <row r="371" spans="1:50" x14ac:dyDescent="0.2">
      <c r="B371" s="7" t="s">
        <v>391</v>
      </c>
      <c r="C371" s="8">
        <v>11143</v>
      </c>
      <c r="D371" s="9" t="s">
        <v>482</v>
      </c>
      <c r="E371" s="10" t="s">
        <v>483</v>
      </c>
      <c r="F371" s="10" t="s">
        <v>484</v>
      </c>
      <c r="G371" s="8">
        <v>1</v>
      </c>
      <c r="H371" s="11">
        <v>200</v>
      </c>
      <c r="I371" s="12">
        <v>42416</v>
      </c>
      <c r="J371" s="13">
        <f t="shared" si="13"/>
        <v>0</v>
      </c>
      <c r="K371" s="14"/>
      <c r="L371" s="14">
        <v>200</v>
      </c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5">
        <f t="shared" si="14"/>
        <v>200</v>
      </c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5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5"/>
      <c r="AX371" s="16"/>
    </row>
    <row r="372" spans="1:50" x14ac:dyDescent="0.2">
      <c r="B372" s="7" t="s">
        <v>37</v>
      </c>
      <c r="C372" s="8">
        <v>11144</v>
      </c>
      <c r="D372" s="9" t="s">
        <v>494</v>
      </c>
      <c r="E372" s="10" t="s">
        <v>495</v>
      </c>
      <c r="F372" s="10" t="s">
        <v>496</v>
      </c>
      <c r="G372" s="8">
        <v>1</v>
      </c>
      <c r="H372" s="11">
        <v>150</v>
      </c>
      <c r="I372" s="12">
        <v>42416</v>
      </c>
      <c r="J372" s="13">
        <f t="shared" si="13"/>
        <v>0</v>
      </c>
      <c r="K372" s="14"/>
      <c r="L372" s="14">
        <v>150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>
        <f t="shared" si="14"/>
        <v>150</v>
      </c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5"/>
      <c r="AX372" s="16"/>
    </row>
    <row r="373" spans="1:50" x14ac:dyDescent="0.2">
      <c r="B373" s="7" t="s">
        <v>47</v>
      </c>
      <c r="C373" s="8">
        <v>11145</v>
      </c>
      <c r="D373" s="9" t="s">
        <v>614</v>
      </c>
      <c r="E373" s="10" t="s">
        <v>615</v>
      </c>
      <c r="F373" s="10" t="s">
        <v>616</v>
      </c>
      <c r="G373" s="8">
        <v>3</v>
      </c>
      <c r="H373" s="11">
        <v>160</v>
      </c>
      <c r="I373" s="12">
        <v>42418</v>
      </c>
      <c r="J373" s="13">
        <f t="shared" si="13"/>
        <v>0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5">
        <f t="shared" si="14"/>
        <v>0</v>
      </c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5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5"/>
      <c r="AX373" s="16"/>
    </row>
    <row r="374" spans="1:50" x14ac:dyDescent="0.2">
      <c r="B374" s="7" t="s">
        <v>47</v>
      </c>
      <c r="C374" s="8">
        <v>11146</v>
      </c>
      <c r="D374" s="9" t="s">
        <v>752</v>
      </c>
      <c r="E374" s="10" t="s">
        <v>753</v>
      </c>
      <c r="F374" s="10" t="s">
        <v>754</v>
      </c>
      <c r="G374" s="8">
        <v>1</v>
      </c>
      <c r="H374" s="11">
        <v>800</v>
      </c>
      <c r="I374" s="12">
        <v>42419</v>
      </c>
      <c r="J374" s="13">
        <f t="shared" si="13"/>
        <v>0</v>
      </c>
      <c r="K374" s="14">
        <v>400</v>
      </c>
      <c r="L374" s="14">
        <v>400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5">
        <f t="shared" si="14"/>
        <v>800</v>
      </c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5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5"/>
      <c r="AX374" s="16"/>
    </row>
    <row r="375" spans="1:50" x14ac:dyDescent="0.2">
      <c r="B375" s="7" t="s">
        <v>73</v>
      </c>
      <c r="C375" s="8">
        <v>11147</v>
      </c>
      <c r="D375" s="9" t="s">
        <v>199</v>
      </c>
      <c r="E375" s="10" t="s">
        <v>200</v>
      </c>
      <c r="F375" s="10" t="s">
        <v>201</v>
      </c>
      <c r="G375" s="8">
        <v>1</v>
      </c>
      <c r="H375" s="11">
        <v>400</v>
      </c>
      <c r="I375" s="12">
        <v>42419</v>
      </c>
      <c r="J375" s="13">
        <f t="shared" si="13"/>
        <v>0</v>
      </c>
      <c r="K375" s="14"/>
      <c r="L375" s="14">
        <v>400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5">
        <f t="shared" si="14"/>
        <v>400</v>
      </c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5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5"/>
      <c r="AX375" s="16"/>
    </row>
    <row r="376" spans="1:50" x14ac:dyDescent="0.2">
      <c r="B376" s="7" t="s">
        <v>77</v>
      </c>
      <c r="C376" s="8">
        <v>11148</v>
      </c>
      <c r="D376" s="9" t="s">
        <v>666</v>
      </c>
      <c r="E376" s="10" t="s">
        <v>667</v>
      </c>
      <c r="F376" s="10" t="s">
        <v>668</v>
      </c>
      <c r="G376" s="8">
        <v>7</v>
      </c>
      <c r="H376" s="11">
        <v>500</v>
      </c>
      <c r="I376" s="12">
        <v>42420</v>
      </c>
      <c r="J376" s="13">
        <f t="shared" si="13"/>
        <v>0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5">
        <f t="shared" si="14"/>
        <v>0</v>
      </c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5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5"/>
      <c r="AX376" s="16"/>
    </row>
    <row r="377" spans="1:50" x14ac:dyDescent="0.2">
      <c r="B377" s="7" t="s">
        <v>77</v>
      </c>
      <c r="C377" s="8">
        <v>11149</v>
      </c>
      <c r="D377" s="9" t="s">
        <v>322</v>
      </c>
      <c r="E377" s="10" t="s">
        <v>323</v>
      </c>
      <c r="F377" s="10" t="s">
        <v>324</v>
      </c>
      <c r="G377" s="8">
        <v>1</v>
      </c>
      <c r="H377" s="11">
        <v>400</v>
      </c>
      <c r="I377" s="12">
        <v>42421</v>
      </c>
      <c r="J377" s="13">
        <f t="shared" si="13"/>
        <v>0</v>
      </c>
      <c r="K377" s="14">
        <v>400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5">
        <f t="shared" si="14"/>
        <v>400</v>
      </c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5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5"/>
      <c r="AX377" s="16"/>
    </row>
    <row r="378" spans="1:50" x14ac:dyDescent="0.2">
      <c r="B378" s="7" t="s">
        <v>69</v>
      </c>
      <c r="C378" s="8">
        <v>11150</v>
      </c>
      <c r="D378" s="9" t="s">
        <v>186</v>
      </c>
      <c r="E378" s="10" t="s">
        <v>187</v>
      </c>
      <c r="F378" s="10" t="s">
        <v>188</v>
      </c>
      <c r="G378" s="8">
        <v>1</v>
      </c>
      <c r="H378" s="11">
        <v>400</v>
      </c>
      <c r="I378" s="12">
        <v>42421</v>
      </c>
      <c r="J378" s="13">
        <f t="shared" si="13"/>
        <v>0</v>
      </c>
      <c r="K378" s="14"/>
      <c r="L378" s="14">
        <v>400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5">
        <f t="shared" si="14"/>
        <v>400</v>
      </c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5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5"/>
      <c r="AX378" s="16"/>
    </row>
    <row r="379" spans="1:50" x14ac:dyDescent="0.2">
      <c r="B379" s="7" t="s">
        <v>47</v>
      </c>
      <c r="C379" s="8">
        <v>11151</v>
      </c>
      <c r="D379" s="9" t="s">
        <v>416</v>
      </c>
      <c r="E379" s="10" t="s">
        <v>417</v>
      </c>
      <c r="F379" s="10" t="s">
        <v>418</v>
      </c>
      <c r="G379" s="8">
        <v>1</v>
      </c>
      <c r="H379" s="11">
        <v>200</v>
      </c>
      <c r="I379" s="12">
        <v>42421</v>
      </c>
      <c r="J379" s="13">
        <f t="shared" si="13"/>
        <v>0</v>
      </c>
      <c r="K379" s="14"/>
      <c r="L379" s="14">
        <v>200</v>
      </c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5">
        <f t="shared" si="14"/>
        <v>200</v>
      </c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5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5"/>
      <c r="AX379" s="16"/>
    </row>
    <row r="380" spans="1:50" x14ac:dyDescent="0.2">
      <c r="B380" s="7" t="s">
        <v>47</v>
      </c>
      <c r="C380" s="8">
        <v>11152</v>
      </c>
      <c r="D380" s="9" t="s">
        <v>755</v>
      </c>
      <c r="E380" s="10" t="s">
        <v>756</v>
      </c>
      <c r="F380" s="10" t="s">
        <v>757</v>
      </c>
      <c r="G380" s="8">
        <v>1</v>
      </c>
      <c r="H380" s="11">
        <v>400</v>
      </c>
      <c r="I380" s="12">
        <v>42421</v>
      </c>
      <c r="J380" s="13">
        <f t="shared" si="13"/>
        <v>0</v>
      </c>
      <c r="K380" s="14">
        <v>400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5">
        <f t="shared" si="14"/>
        <v>400</v>
      </c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5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5"/>
      <c r="AX380" s="16"/>
    </row>
    <row r="381" spans="1:50" x14ac:dyDescent="0.2">
      <c r="A381" t="s">
        <v>4069</v>
      </c>
      <c r="B381" s="7" t="s">
        <v>47</v>
      </c>
      <c r="C381" s="8">
        <v>11153</v>
      </c>
      <c r="D381" s="9" t="s">
        <v>497</v>
      </c>
      <c r="E381" s="10" t="s">
        <v>498</v>
      </c>
      <c r="F381" s="10" t="s">
        <v>499</v>
      </c>
      <c r="G381" s="8">
        <v>1</v>
      </c>
      <c r="H381" s="11">
        <v>800</v>
      </c>
      <c r="I381" s="12">
        <v>42421</v>
      </c>
      <c r="J381" s="13">
        <f t="shared" si="13"/>
        <v>0</v>
      </c>
      <c r="K381" s="14"/>
      <c r="L381" s="14">
        <v>400</v>
      </c>
      <c r="M381" s="14">
        <v>400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5">
        <f t="shared" si="14"/>
        <v>800</v>
      </c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5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5"/>
      <c r="AX381" s="16"/>
    </row>
    <row r="382" spans="1:50" x14ac:dyDescent="0.2">
      <c r="B382" s="7" t="s">
        <v>69</v>
      </c>
      <c r="C382" s="8">
        <v>11154</v>
      </c>
      <c r="D382" s="9" t="s">
        <v>758</v>
      </c>
      <c r="E382" s="10" t="s">
        <v>759</v>
      </c>
      <c r="F382" s="10" t="s">
        <v>760</v>
      </c>
      <c r="G382" s="8">
        <v>1</v>
      </c>
      <c r="H382" s="11">
        <v>1500</v>
      </c>
      <c r="I382" s="12">
        <v>42421</v>
      </c>
      <c r="J382" s="13">
        <f t="shared" si="13"/>
        <v>0</v>
      </c>
      <c r="K382" s="14">
        <v>150</v>
      </c>
      <c r="L382" s="14">
        <v>150</v>
      </c>
      <c r="M382" s="14">
        <v>150</v>
      </c>
      <c r="N382" s="14">
        <v>150</v>
      </c>
      <c r="O382" s="14">
        <v>150</v>
      </c>
      <c r="P382" s="14">
        <v>150</v>
      </c>
      <c r="Q382" s="14">
        <v>150</v>
      </c>
      <c r="R382" s="14">
        <v>150</v>
      </c>
      <c r="S382" s="14">
        <v>150</v>
      </c>
      <c r="T382" s="14">
        <v>150</v>
      </c>
      <c r="U382" s="14"/>
      <c r="V382" s="14"/>
      <c r="W382" s="15">
        <f t="shared" si="14"/>
        <v>1500</v>
      </c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5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5"/>
      <c r="AX382" s="16"/>
    </row>
    <row r="383" spans="1:50" x14ac:dyDescent="0.2">
      <c r="B383" s="7" t="s">
        <v>73</v>
      </c>
      <c r="C383" s="8">
        <v>11155</v>
      </c>
      <c r="D383" s="9" t="s">
        <v>544</v>
      </c>
      <c r="E383" s="10" t="s">
        <v>545</v>
      </c>
      <c r="F383" s="10" t="s">
        <v>546</v>
      </c>
      <c r="G383" s="8">
        <v>1</v>
      </c>
      <c r="H383" s="11">
        <v>400</v>
      </c>
      <c r="I383" s="12">
        <v>42421</v>
      </c>
      <c r="J383" s="13">
        <f t="shared" si="13"/>
        <v>0</v>
      </c>
      <c r="K383" s="14"/>
      <c r="L383" s="14">
        <v>400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5">
        <f t="shared" si="14"/>
        <v>400</v>
      </c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5"/>
      <c r="AX383" s="16"/>
    </row>
    <row r="384" spans="1:50" x14ac:dyDescent="0.2">
      <c r="B384" s="7" t="s">
        <v>122</v>
      </c>
      <c r="C384" s="8">
        <v>11156</v>
      </c>
      <c r="D384" s="9" t="s">
        <v>761</v>
      </c>
      <c r="E384" s="10" t="s">
        <v>762</v>
      </c>
      <c r="F384" s="10" t="s">
        <v>403</v>
      </c>
      <c r="G384" s="8">
        <v>1</v>
      </c>
      <c r="H384" s="11">
        <v>800</v>
      </c>
      <c r="I384" s="12">
        <v>42421</v>
      </c>
      <c r="J384" s="13">
        <f t="shared" si="13"/>
        <v>0</v>
      </c>
      <c r="K384" s="14">
        <v>400</v>
      </c>
      <c r="L384" s="14">
        <v>400</v>
      </c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5">
        <f t="shared" si="14"/>
        <v>800</v>
      </c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5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5"/>
      <c r="AX384" s="16"/>
    </row>
    <row r="385" spans="2:50" x14ac:dyDescent="0.2">
      <c r="B385" s="7" t="s">
        <v>122</v>
      </c>
      <c r="C385" s="8">
        <v>11157</v>
      </c>
      <c r="D385" s="9" t="s">
        <v>761</v>
      </c>
      <c r="E385" s="10" t="s">
        <v>762</v>
      </c>
      <c r="F385" s="10" t="s">
        <v>403</v>
      </c>
      <c r="G385" s="8">
        <v>3</v>
      </c>
      <c r="H385" s="11">
        <v>160</v>
      </c>
      <c r="I385" s="12">
        <v>42421</v>
      </c>
      <c r="J385" s="13">
        <f t="shared" si="13"/>
        <v>0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5">
        <f t="shared" si="14"/>
        <v>0</v>
      </c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5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5"/>
      <c r="AX385" s="16"/>
    </row>
    <row r="386" spans="2:50" x14ac:dyDescent="0.2">
      <c r="B386" s="7" t="s">
        <v>77</v>
      </c>
      <c r="C386" s="8">
        <v>11158</v>
      </c>
      <c r="D386" s="9" t="s">
        <v>384</v>
      </c>
      <c r="E386" s="10" t="s">
        <v>385</v>
      </c>
      <c r="F386" s="10" t="s">
        <v>386</v>
      </c>
      <c r="G386" s="8">
        <v>1</v>
      </c>
      <c r="H386" s="11">
        <v>350</v>
      </c>
      <c r="I386" s="12">
        <v>42421</v>
      </c>
      <c r="J386" s="13">
        <f t="shared" si="13"/>
        <v>0</v>
      </c>
      <c r="K386" s="14"/>
      <c r="L386" s="14">
        <v>350</v>
      </c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5">
        <f t="shared" si="14"/>
        <v>350</v>
      </c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5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5"/>
      <c r="AX386" s="16"/>
    </row>
    <row r="387" spans="2:50" x14ac:dyDescent="0.2">
      <c r="B387" s="7" t="s">
        <v>77</v>
      </c>
      <c r="C387" s="8">
        <v>11158</v>
      </c>
      <c r="D387" s="9" t="s">
        <v>384</v>
      </c>
      <c r="E387" s="10" t="s">
        <v>385</v>
      </c>
      <c r="F387" s="10" t="s">
        <v>386</v>
      </c>
      <c r="G387" s="8">
        <v>4</v>
      </c>
      <c r="H387" s="11">
        <v>160</v>
      </c>
      <c r="I387" s="12">
        <v>42421</v>
      </c>
      <c r="J387" s="13">
        <f t="shared" si="13"/>
        <v>0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5">
        <f t="shared" si="14"/>
        <v>0</v>
      </c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5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5"/>
      <c r="AX387" s="7">
        <v>1010</v>
      </c>
    </row>
    <row r="388" spans="2:50" x14ac:dyDescent="0.2">
      <c r="B388" s="7" t="s">
        <v>73</v>
      </c>
      <c r="C388" s="8">
        <v>11159</v>
      </c>
      <c r="D388" s="9" t="s">
        <v>763</v>
      </c>
      <c r="E388" s="10" t="s">
        <v>764</v>
      </c>
      <c r="F388" s="10" t="s">
        <v>765</v>
      </c>
      <c r="G388" s="8">
        <v>1</v>
      </c>
      <c r="H388" s="11">
        <v>400</v>
      </c>
      <c r="I388" s="12">
        <v>42421</v>
      </c>
      <c r="J388" s="13">
        <f t="shared" si="13"/>
        <v>0</v>
      </c>
      <c r="K388" s="14">
        <v>400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5">
        <f t="shared" si="14"/>
        <v>400</v>
      </c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5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5"/>
      <c r="AX388" s="16"/>
    </row>
    <row r="389" spans="2:50" x14ac:dyDescent="0.2">
      <c r="B389" s="7" t="s">
        <v>37</v>
      </c>
      <c r="C389" s="8">
        <v>11160</v>
      </c>
      <c r="D389" s="9" t="s">
        <v>766</v>
      </c>
      <c r="E389" s="10" t="s">
        <v>767</v>
      </c>
      <c r="F389" s="10" t="s">
        <v>768</v>
      </c>
      <c r="G389" s="8">
        <v>1</v>
      </c>
      <c r="H389" s="11">
        <v>1200</v>
      </c>
      <c r="I389" s="12">
        <v>42421</v>
      </c>
      <c r="J389" s="13">
        <f t="shared" si="13"/>
        <v>0</v>
      </c>
      <c r="K389" s="14">
        <v>400</v>
      </c>
      <c r="L389" s="14">
        <v>400</v>
      </c>
      <c r="M389" s="14">
        <v>400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15">
        <f t="shared" si="14"/>
        <v>1200</v>
      </c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5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5"/>
      <c r="AX389" s="16"/>
    </row>
    <row r="390" spans="2:50" x14ac:dyDescent="0.2">
      <c r="B390" s="7" t="s">
        <v>37</v>
      </c>
      <c r="C390" s="8">
        <v>11161</v>
      </c>
      <c r="D390" s="9" t="s">
        <v>628</v>
      </c>
      <c r="E390" s="10" t="s">
        <v>629</v>
      </c>
      <c r="F390" s="10" t="s">
        <v>630</v>
      </c>
      <c r="G390" s="8">
        <v>1</v>
      </c>
      <c r="H390" s="11">
        <v>400</v>
      </c>
      <c r="I390" s="12">
        <v>42421</v>
      </c>
      <c r="J390" s="13">
        <f t="shared" si="13"/>
        <v>0</v>
      </c>
      <c r="K390" s="14">
        <v>400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5">
        <f t="shared" si="14"/>
        <v>400</v>
      </c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5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5"/>
      <c r="AX390" s="16"/>
    </row>
    <row r="391" spans="2:50" x14ac:dyDescent="0.2">
      <c r="B391" s="7" t="s">
        <v>69</v>
      </c>
      <c r="C391" s="8">
        <v>11162</v>
      </c>
      <c r="D391" s="9" t="s">
        <v>168</v>
      </c>
      <c r="E391" s="10" t="s">
        <v>169</v>
      </c>
      <c r="F391" s="10" t="s">
        <v>170</v>
      </c>
      <c r="G391" s="8">
        <v>1</v>
      </c>
      <c r="H391" s="11">
        <v>200</v>
      </c>
      <c r="I391" s="12">
        <v>42421</v>
      </c>
      <c r="J391" s="13">
        <f t="shared" si="13"/>
        <v>0</v>
      </c>
      <c r="K391" s="14">
        <v>200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5">
        <f t="shared" si="14"/>
        <v>200</v>
      </c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5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5"/>
      <c r="AX391" s="16"/>
    </row>
    <row r="392" spans="2:50" x14ac:dyDescent="0.2">
      <c r="B392" s="7" t="s">
        <v>77</v>
      </c>
      <c r="C392" s="8">
        <v>11163</v>
      </c>
      <c r="D392" s="9" t="s">
        <v>473</v>
      </c>
      <c r="E392" s="10" t="s">
        <v>474</v>
      </c>
      <c r="F392" s="10" t="s">
        <v>475</v>
      </c>
      <c r="G392" s="8">
        <v>1</v>
      </c>
      <c r="H392" s="11">
        <v>400</v>
      </c>
      <c r="I392" s="12">
        <v>42421</v>
      </c>
      <c r="J392" s="13">
        <f t="shared" si="13"/>
        <v>0</v>
      </c>
      <c r="K392" s="14"/>
      <c r="L392" s="14">
        <v>400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5">
        <f t="shared" si="14"/>
        <v>400</v>
      </c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5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5"/>
      <c r="AX392" s="16"/>
    </row>
    <row r="393" spans="2:50" x14ac:dyDescent="0.2">
      <c r="B393" s="7" t="s">
        <v>47</v>
      </c>
      <c r="C393" s="8">
        <v>11164</v>
      </c>
      <c r="D393" s="9" t="s">
        <v>769</v>
      </c>
      <c r="E393" s="10" t="s">
        <v>770</v>
      </c>
      <c r="F393" s="10" t="s">
        <v>771</v>
      </c>
      <c r="G393" s="8">
        <v>1</v>
      </c>
      <c r="H393" s="11">
        <v>800</v>
      </c>
      <c r="I393" s="12">
        <v>42421</v>
      </c>
      <c r="J393" s="13">
        <f t="shared" si="13"/>
        <v>0</v>
      </c>
      <c r="K393" s="14">
        <v>400</v>
      </c>
      <c r="L393" s="14">
        <v>400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5">
        <f t="shared" si="14"/>
        <v>800</v>
      </c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5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5"/>
      <c r="AX393" s="16"/>
    </row>
    <row r="394" spans="2:50" x14ac:dyDescent="0.2">
      <c r="B394" s="7" t="s">
        <v>77</v>
      </c>
      <c r="C394" s="8">
        <v>11165</v>
      </c>
      <c r="D394" s="9" t="s">
        <v>159</v>
      </c>
      <c r="E394" s="10" t="s">
        <v>160</v>
      </c>
      <c r="F394" s="10" t="s">
        <v>161</v>
      </c>
      <c r="G394" s="8">
        <v>1</v>
      </c>
      <c r="H394" s="11">
        <v>400</v>
      </c>
      <c r="I394" s="12">
        <v>42421</v>
      </c>
      <c r="J394" s="13">
        <f t="shared" si="13"/>
        <v>0</v>
      </c>
      <c r="K394" s="14"/>
      <c r="L394" s="14">
        <v>400</v>
      </c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5">
        <f t="shared" si="14"/>
        <v>400</v>
      </c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5"/>
      <c r="AX394" s="16"/>
    </row>
    <row r="395" spans="2:50" x14ac:dyDescent="0.2">
      <c r="B395" s="7" t="s">
        <v>47</v>
      </c>
      <c r="C395" s="8">
        <v>11166</v>
      </c>
      <c r="D395" s="9" t="s">
        <v>772</v>
      </c>
      <c r="E395" s="10" t="s">
        <v>773</v>
      </c>
      <c r="F395" s="10" t="s">
        <v>237</v>
      </c>
      <c r="G395" s="8">
        <v>1</v>
      </c>
      <c r="H395" s="11">
        <v>0</v>
      </c>
      <c r="I395" s="12">
        <v>42421</v>
      </c>
      <c r="J395" s="13">
        <f t="shared" si="13"/>
        <v>0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5">
        <f t="shared" si="14"/>
        <v>0</v>
      </c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5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5"/>
      <c r="AX395" s="16"/>
    </row>
    <row r="396" spans="2:50" x14ac:dyDescent="0.2">
      <c r="B396" s="7" t="s">
        <v>93</v>
      </c>
      <c r="C396" s="8">
        <v>11167</v>
      </c>
      <c r="D396" s="9"/>
      <c r="E396" s="10" t="s">
        <v>93</v>
      </c>
      <c r="F396" s="10" t="s">
        <v>93</v>
      </c>
      <c r="G396" s="8">
        <v>8</v>
      </c>
      <c r="H396" s="11"/>
      <c r="I396" s="12"/>
      <c r="J396" s="13">
        <f t="shared" si="13"/>
        <v>0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>
        <f t="shared" si="14"/>
        <v>0</v>
      </c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5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5"/>
      <c r="AX396" s="16"/>
    </row>
    <row r="397" spans="2:50" x14ac:dyDescent="0.2">
      <c r="B397" s="7" t="s">
        <v>122</v>
      </c>
      <c r="C397" s="8">
        <v>11168</v>
      </c>
      <c r="D397" s="9" t="s">
        <v>310</v>
      </c>
      <c r="E397" s="10" t="s">
        <v>311</v>
      </c>
      <c r="F397" s="10" t="s">
        <v>312</v>
      </c>
      <c r="G397" s="8">
        <v>1</v>
      </c>
      <c r="H397" s="11">
        <v>800</v>
      </c>
      <c r="I397" s="12">
        <v>42421</v>
      </c>
      <c r="J397" s="13">
        <f t="shared" si="13"/>
        <v>0</v>
      </c>
      <c r="K397" s="14"/>
      <c r="L397" s="14">
        <v>400</v>
      </c>
      <c r="M397" s="14">
        <v>400</v>
      </c>
      <c r="N397" s="14"/>
      <c r="O397" s="14"/>
      <c r="P397" s="14"/>
      <c r="Q397" s="14"/>
      <c r="R397" s="14"/>
      <c r="S397" s="14"/>
      <c r="T397" s="14"/>
      <c r="U397" s="14"/>
      <c r="V397" s="14"/>
      <c r="W397" s="15">
        <f t="shared" si="14"/>
        <v>800</v>
      </c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5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5"/>
      <c r="AX397" s="16"/>
    </row>
    <row r="398" spans="2:50" x14ac:dyDescent="0.2">
      <c r="B398" s="7" t="s">
        <v>37</v>
      </c>
      <c r="C398" s="8">
        <v>11169</v>
      </c>
      <c r="D398" s="9" t="s">
        <v>774</v>
      </c>
      <c r="E398" s="10" t="s">
        <v>775</v>
      </c>
      <c r="F398" s="10" t="s">
        <v>776</v>
      </c>
      <c r="G398" s="8">
        <v>1</v>
      </c>
      <c r="H398" s="11">
        <v>800</v>
      </c>
      <c r="I398" s="12">
        <v>42421</v>
      </c>
      <c r="J398" s="13">
        <f t="shared" si="13"/>
        <v>0</v>
      </c>
      <c r="K398" s="14">
        <v>400</v>
      </c>
      <c r="L398" s="14">
        <v>400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5">
        <f t="shared" si="14"/>
        <v>800</v>
      </c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5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5"/>
      <c r="AX398" s="16"/>
    </row>
    <row r="399" spans="2:50" x14ac:dyDescent="0.2">
      <c r="B399" s="7" t="s">
        <v>77</v>
      </c>
      <c r="C399" s="8">
        <v>11170</v>
      </c>
      <c r="D399" s="9" t="s">
        <v>777</v>
      </c>
      <c r="E399" s="10" t="s">
        <v>778</v>
      </c>
      <c r="F399" s="10" t="s">
        <v>779</v>
      </c>
      <c r="G399" s="8">
        <v>1</v>
      </c>
      <c r="H399" s="11">
        <v>4400</v>
      </c>
      <c r="I399" s="12">
        <v>42423</v>
      </c>
      <c r="J399" s="13">
        <f t="shared" si="13"/>
        <v>0</v>
      </c>
      <c r="K399" s="14">
        <v>400</v>
      </c>
      <c r="L399" s="14">
        <v>400</v>
      </c>
      <c r="M399" s="14">
        <v>400</v>
      </c>
      <c r="N399" s="14">
        <v>400</v>
      </c>
      <c r="O399" s="14">
        <v>400</v>
      </c>
      <c r="P399" s="14">
        <v>400</v>
      </c>
      <c r="Q399" s="14">
        <v>400</v>
      </c>
      <c r="R399" s="14">
        <v>400</v>
      </c>
      <c r="S399" s="14">
        <v>400</v>
      </c>
      <c r="T399" s="14">
        <v>400</v>
      </c>
      <c r="U399" s="14">
        <v>400</v>
      </c>
      <c r="V399" s="14"/>
      <c r="W399" s="15">
        <f t="shared" si="14"/>
        <v>4400</v>
      </c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5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5"/>
      <c r="AX399" s="16" t="s">
        <v>57</v>
      </c>
    </row>
    <row r="400" spans="2:50" x14ac:dyDescent="0.2">
      <c r="B400" s="7" t="s">
        <v>122</v>
      </c>
      <c r="C400" s="8">
        <v>11171</v>
      </c>
      <c r="D400" s="9" t="s">
        <v>220</v>
      </c>
      <c r="E400" s="10" t="s">
        <v>221</v>
      </c>
      <c r="F400" s="10" t="s">
        <v>222</v>
      </c>
      <c r="G400" s="8">
        <v>1</v>
      </c>
      <c r="H400" s="11">
        <v>300</v>
      </c>
      <c r="I400" s="12">
        <v>42423</v>
      </c>
      <c r="J400" s="13">
        <f t="shared" si="13"/>
        <v>0</v>
      </c>
      <c r="K400" s="14"/>
      <c r="L400" s="14">
        <v>300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5">
        <f t="shared" si="14"/>
        <v>300</v>
      </c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5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5"/>
      <c r="AX400" s="16"/>
    </row>
    <row r="401" spans="2:50" x14ac:dyDescent="0.2">
      <c r="B401" s="7" t="s">
        <v>37</v>
      </c>
      <c r="C401" s="8">
        <v>11172</v>
      </c>
      <c r="D401" s="9" t="s">
        <v>446</v>
      </c>
      <c r="E401" s="10" t="s">
        <v>447</v>
      </c>
      <c r="F401" s="10" t="s">
        <v>448</v>
      </c>
      <c r="G401" s="8">
        <v>1</v>
      </c>
      <c r="H401" s="11">
        <v>150</v>
      </c>
      <c r="I401" s="12">
        <v>42423</v>
      </c>
      <c r="J401" s="13">
        <f t="shared" si="13"/>
        <v>0</v>
      </c>
      <c r="K401" s="14"/>
      <c r="L401" s="14">
        <v>150</v>
      </c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5">
        <f t="shared" si="14"/>
        <v>150</v>
      </c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5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5"/>
      <c r="AX401" s="16"/>
    </row>
    <row r="402" spans="2:50" x14ac:dyDescent="0.2">
      <c r="B402" s="7" t="s">
        <v>37</v>
      </c>
      <c r="C402" s="8">
        <v>11173</v>
      </c>
      <c r="D402" s="9" t="s">
        <v>780</v>
      </c>
      <c r="E402" s="10" t="s">
        <v>781</v>
      </c>
      <c r="F402" s="10" t="s">
        <v>493</v>
      </c>
      <c r="G402" s="8">
        <v>1</v>
      </c>
      <c r="H402" s="11">
        <v>500</v>
      </c>
      <c r="I402" s="12">
        <v>42424</v>
      </c>
      <c r="J402" s="13">
        <f t="shared" si="13"/>
        <v>0</v>
      </c>
      <c r="K402" s="14"/>
      <c r="L402" s="14">
        <v>100</v>
      </c>
      <c r="M402" s="14">
        <v>100</v>
      </c>
      <c r="N402" s="14">
        <v>100</v>
      </c>
      <c r="O402" s="14">
        <v>100</v>
      </c>
      <c r="P402" s="14">
        <v>100</v>
      </c>
      <c r="Q402" s="14"/>
      <c r="R402" s="14"/>
      <c r="S402" s="14"/>
      <c r="T402" s="14"/>
      <c r="U402" s="14"/>
      <c r="V402" s="14"/>
      <c r="W402" s="15">
        <f t="shared" si="14"/>
        <v>500</v>
      </c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5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5"/>
      <c r="AX402" s="16"/>
    </row>
    <row r="403" spans="2:50" x14ac:dyDescent="0.2">
      <c r="B403" s="7" t="s">
        <v>73</v>
      </c>
      <c r="C403" s="8">
        <v>11174</v>
      </c>
      <c r="D403" s="9" t="s">
        <v>485</v>
      </c>
      <c r="E403" s="10" t="s">
        <v>486</v>
      </c>
      <c r="F403" s="10" t="s">
        <v>487</v>
      </c>
      <c r="G403" s="8">
        <v>1</v>
      </c>
      <c r="H403" s="11">
        <v>800</v>
      </c>
      <c r="I403" s="12">
        <v>42426</v>
      </c>
      <c r="J403" s="13">
        <f t="shared" si="13"/>
        <v>0</v>
      </c>
      <c r="K403" s="14">
        <v>400</v>
      </c>
      <c r="L403" s="14">
        <v>400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5">
        <f t="shared" si="14"/>
        <v>800</v>
      </c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5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5"/>
      <c r="AX403" s="16"/>
    </row>
    <row r="404" spans="2:50" x14ac:dyDescent="0.2">
      <c r="B404" s="7" t="s">
        <v>73</v>
      </c>
      <c r="C404" s="8">
        <v>11175</v>
      </c>
      <c r="D404" s="9" t="s">
        <v>782</v>
      </c>
      <c r="E404" s="10" t="s">
        <v>783</v>
      </c>
      <c r="F404" s="10" t="s">
        <v>784</v>
      </c>
      <c r="G404" s="8">
        <v>1</v>
      </c>
      <c r="H404" s="11">
        <v>500</v>
      </c>
      <c r="I404" s="12">
        <v>42428</v>
      </c>
      <c r="J404" s="13">
        <f t="shared" ref="J404:J431" si="15">IF(G404=1,SUM(W404,-H404),0)</f>
        <v>0</v>
      </c>
      <c r="K404" s="14">
        <v>100</v>
      </c>
      <c r="L404" s="14">
        <v>100</v>
      </c>
      <c r="M404" s="14">
        <v>100</v>
      </c>
      <c r="N404" s="14">
        <v>100</v>
      </c>
      <c r="O404" s="14">
        <v>100</v>
      </c>
      <c r="P404" s="14"/>
      <c r="Q404" s="14"/>
      <c r="R404" s="14"/>
      <c r="S404" s="14"/>
      <c r="T404" s="14"/>
      <c r="U404" s="14"/>
      <c r="V404" s="14"/>
      <c r="W404" s="15">
        <f t="shared" ref="W404:W431" si="16">SUM(K404:V404)</f>
        <v>500</v>
      </c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5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5"/>
      <c r="AX404" s="16"/>
    </row>
    <row r="405" spans="2:50" x14ac:dyDescent="0.2">
      <c r="B405" s="7" t="s">
        <v>61</v>
      </c>
      <c r="C405" s="8">
        <v>11176</v>
      </c>
      <c r="D405" s="9" t="s">
        <v>62</v>
      </c>
      <c r="E405" s="10" t="s">
        <v>63</v>
      </c>
      <c r="F405" s="10" t="s">
        <v>64</v>
      </c>
      <c r="G405" s="8">
        <v>1</v>
      </c>
      <c r="H405" s="11">
        <v>400</v>
      </c>
      <c r="I405" s="12">
        <v>42428</v>
      </c>
      <c r="J405" s="13">
        <f t="shared" si="15"/>
        <v>0</v>
      </c>
      <c r="K405" s="14"/>
      <c r="L405" s="14"/>
      <c r="M405" s="14">
        <v>200</v>
      </c>
      <c r="N405" s="14">
        <v>200</v>
      </c>
      <c r="O405" s="14"/>
      <c r="P405" s="14"/>
      <c r="Q405" s="14"/>
      <c r="R405" s="14"/>
      <c r="S405" s="14"/>
      <c r="T405" s="14"/>
      <c r="U405" s="14"/>
      <c r="V405" s="14"/>
      <c r="W405" s="15">
        <f t="shared" si="16"/>
        <v>400</v>
      </c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5"/>
      <c r="AX405" s="16"/>
    </row>
    <row r="406" spans="2:50" x14ac:dyDescent="0.2">
      <c r="B406" s="7" t="s">
        <v>73</v>
      </c>
      <c r="C406" s="8">
        <v>11177</v>
      </c>
      <c r="D406" s="9" t="s">
        <v>785</v>
      </c>
      <c r="E406" s="10" t="s">
        <v>786</v>
      </c>
      <c r="F406" s="10" t="s">
        <v>787</v>
      </c>
      <c r="G406" s="8">
        <v>1</v>
      </c>
      <c r="H406" s="11">
        <v>400</v>
      </c>
      <c r="I406" s="12">
        <v>42428</v>
      </c>
      <c r="J406" s="13">
        <f t="shared" si="15"/>
        <v>0</v>
      </c>
      <c r="K406" s="14">
        <v>200</v>
      </c>
      <c r="L406" s="14">
        <v>200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5">
        <f t="shared" si="16"/>
        <v>400</v>
      </c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5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5"/>
      <c r="AX406" s="16"/>
    </row>
    <row r="407" spans="2:50" x14ac:dyDescent="0.2">
      <c r="B407" s="7" t="s">
        <v>47</v>
      </c>
      <c r="C407" s="8">
        <v>11178</v>
      </c>
      <c r="D407" s="9" t="s">
        <v>84</v>
      </c>
      <c r="E407" s="10" t="s">
        <v>85</v>
      </c>
      <c r="F407" s="10" t="s">
        <v>86</v>
      </c>
      <c r="G407" s="8">
        <v>1</v>
      </c>
      <c r="H407" s="11">
        <v>200</v>
      </c>
      <c r="I407" s="12">
        <v>42428</v>
      </c>
      <c r="J407" s="13">
        <f t="shared" si="15"/>
        <v>0</v>
      </c>
      <c r="K407" s="14"/>
      <c r="L407" s="14"/>
      <c r="M407" s="14">
        <v>200</v>
      </c>
      <c r="N407" s="14"/>
      <c r="O407" s="14"/>
      <c r="P407" s="14"/>
      <c r="Q407" s="14"/>
      <c r="R407" s="14"/>
      <c r="S407" s="14"/>
      <c r="T407" s="14"/>
      <c r="U407" s="14"/>
      <c r="V407" s="14"/>
      <c r="W407" s="15">
        <f t="shared" si="16"/>
        <v>200</v>
      </c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5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5"/>
      <c r="AX407" s="16"/>
    </row>
    <row r="408" spans="2:50" x14ac:dyDescent="0.2">
      <c r="B408" s="7" t="s">
        <v>37</v>
      </c>
      <c r="C408" s="8">
        <v>11179</v>
      </c>
      <c r="D408" s="9" t="s">
        <v>681</v>
      </c>
      <c r="E408" s="10" t="s">
        <v>682</v>
      </c>
      <c r="F408" s="10" t="s">
        <v>683</v>
      </c>
      <c r="G408" s="8">
        <v>1</v>
      </c>
      <c r="H408" s="11">
        <v>300</v>
      </c>
      <c r="I408" s="12">
        <v>42428</v>
      </c>
      <c r="J408" s="13">
        <f t="shared" si="15"/>
        <v>0</v>
      </c>
      <c r="K408" s="14"/>
      <c r="L408" s="14">
        <v>300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5">
        <f t="shared" si="16"/>
        <v>300</v>
      </c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5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5"/>
      <c r="AX408" s="16"/>
    </row>
    <row r="409" spans="2:50" x14ac:dyDescent="0.2">
      <c r="B409" s="7" t="s">
        <v>47</v>
      </c>
      <c r="C409" s="8">
        <v>11180</v>
      </c>
      <c r="D409" s="9" t="s">
        <v>103</v>
      </c>
      <c r="E409" s="10" t="s">
        <v>104</v>
      </c>
      <c r="F409" s="10" t="s">
        <v>105</v>
      </c>
      <c r="G409" s="8">
        <v>1</v>
      </c>
      <c r="H409" s="11">
        <v>400</v>
      </c>
      <c r="I409" s="12">
        <v>42428</v>
      </c>
      <c r="J409" s="13">
        <f t="shared" si="15"/>
        <v>0</v>
      </c>
      <c r="K409" s="14"/>
      <c r="L409" s="14">
        <v>400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5">
        <f t="shared" si="16"/>
        <v>400</v>
      </c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5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5"/>
      <c r="AX409" s="16"/>
    </row>
    <row r="410" spans="2:50" x14ac:dyDescent="0.2">
      <c r="B410" s="7" t="s">
        <v>122</v>
      </c>
      <c r="C410" s="8">
        <v>11181</v>
      </c>
      <c r="D410" s="9" t="s">
        <v>788</v>
      </c>
      <c r="E410" s="10" t="s">
        <v>789</v>
      </c>
      <c r="F410" s="10" t="s">
        <v>790</v>
      </c>
      <c r="G410" s="8">
        <v>1</v>
      </c>
      <c r="H410" s="11">
        <v>1200</v>
      </c>
      <c r="I410" s="12">
        <v>42428</v>
      </c>
      <c r="J410" s="13">
        <f t="shared" si="15"/>
        <v>0</v>
      </c>
      <c r="K410" s="14">
        <v>400</v>
      </c>
      <c r="L410" s="14">
        <v>400</v>
      </c>
      <c r="M410" s="14">
        <v>400</v>
      </c>
      <c r="N410" s="14"/>
      <c r="O410" s="14"/>
      <c r="P410" s="14"/>
      <c r="Q410" s="14"/>
      <c r="R410" s="14"/>
      <c r="S410" s="14"/>
      <c r="T410" s="14"/>
      <c r="U410" s="14"/>
      <c r="V410" s="14"/>
      <c r="W410" s="15">
        <f t="shared" si="16"/>
        <v>1200</v>
      </c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5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5"/>
      <c r="AX410" s="16"/>
    </row>
    <row r="411" spans="2:50" x14ac:dyDescent="0.2">
      <c r="B411" s="7" t="s">
        <v>69</v>
      </c>
      <c r="C411" s="8">
        <v>11182</v>
      </c>
      <c r="D411" s="9" t="s">
        <v>791</v>
      </c>
      <c r="E411" s="10" t="s">
        <v>792</v>
      </c>
      <c r="F411" s="10" t="s">
        <v>793</v>
      </c>
      <c r="G411" s="8">
        <v>1</v>
      </c>
      <c r="H411" s="11">
        <v>800</v>
      </c>
      <c r="I411" s="12">
        <v>42428</v>
      </c>
      <c r="J411" s="13">
        <f t="shared" si="15"/>
        <v>0</v>
      </c>
      <c r="K411" s="14">
        <v>400</v>
      </c>
      <c r="L411" s="14">
        <v>400</v>
      </c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5">
        <f t="shared" si="16"/>
        <v>800</v>
      </c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5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5"/>
      <c r="AX411" s="16"/>
    </row>
    <row r="412" spans="2:50" x14ac:dyDescent="0.2">
      <c r="B412" s="7" t="s">
        <v>37</v>
      </c>
      <c r="C412" s="8">
        <v>11183</v>
      </c>
      <c r="D412" s="9" t="s">
        <v>794</v>
      </c>
      <c r="E412" s="10" t="s">
        <v>795</v>
      </c>
      <c r="F412" s="10" t="s">
        <v>796</v>
      </c>
      <c r="G412" s="8">
        <v>1</v>
      </c>
      <c r="H412" s="11">
        <v>300</v>
      </c>
      <c r="I412" s="12">
        <v>42428</v>
      </c>
      <c r="J412" s="13">
        <f t="shared" si="15"/>
        <v>0</v>
      </c>
      <c r="K412" s="14"/>
      <c r="L412" s="14">
        <v>300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5">
        <f t="shared" si="16"/>
        <v>300</v>
      </c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5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5"/>
      <c r="AX412" s="16"/>
    </row>
    <row r="413" spans="2:50" x14ac:dyDescent="0.2">
      <c r="B413" s="7" t="s">
        <v>122</v>
      </c>
      <c r="C413" s="8">
        <v>11184</v>
      </c>
      <c r="D413" s="9" t="s">
        <v>797</v>
      </c>
      <c r="E413" s="10" t="s">
        <v>798</v>
      </c>
      <c r="F413" s="10" t="s">
        <v>799</v>
      </c>
      <c r="G413" s="8">
        <v>1</v>
      </c>
      <c r="H413" s="11">
        <v>800</v>
      </c>
      <c r="I413" s="12">
        <v>42428</v>
      </c>
      <c r="J413" s="13">
        <f t="shared" si="15"/>
        <v>0</v>
      </c>
      <c r="K413" s="14">
        <v>400</v>
      </c>
      <c r="L413" s="14">
        <v>400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5">
        <f t="shared" si="16"/>
        <v>800</v>
      </c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5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5"/>
      <c r="AX413" s="16"/>
    </row>
    <row r="414" spans="2:50" x14ac:dyDescent="0.2">
      <c r="B414" s="7" t="s">
        <v>69</v>
      </c>
      <c r="C414" s="8">
        <v>11185</v>
      </c>
      <c r="D414" s="9" t="s">
        <v>301</v>
      </c>
      <c r="E414" s="10" t="s">
        <v>302</v>
      </c>
      <c r="F414" s="10" t="s">
        <v>303</v>
      </c>
      <c r="G414" s="8">
        <v>1</v>
      </c>
      <c r="H414" s="11">
        <v>200</v>
      </c>
      <c r="I414" s="12">
        <v>42428</v>
      </c>
      <c r="J414" s="13">
        <f t="shared" si="15"/>
        <v>0</v>
      </c>
      <c r="K414" s="14"/>
      <c r="L414" s="14"/>
      <c r="M414" s="14">
        <v>200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5">
        <f t="shared" si="16"/>
        <v>200</v>
      </c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5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5"/>
      <c r="AX414" s="16"/>
    </row>
    <row r="415" spans="2:50" x14ac:dyDescent="0.2">
      <c r="B415" s="7" t="s">
        <v>77</v>
      </c>
      <c r="C415" s="8">
        <v>11186</v>
      </c>
      <c r="D415" s="9" t="s">
        <v>129</v>
      </c>
      <c r="E415" s="10" t="s">
        <v>130</v>
      </c>
      <c r="F415" s="10" t="s">
        <v>131</v>
      </c>
      <c r="G415" s="8">
        <v>1</v>
      </c>
      <c r="H415" s="11">
        <v>400</v>
      </c>
      <c r="I415" s="12">
        <v>42428</v>
      </c>
      <c r="J415" s="13">
        <f t="shared" si="15"/>
        <v>0</v>
      </c>
      <c r="K415" s="14"/>
      <c r="L415" s="14"/>
      <c r="M415" s="14">
        <v>400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5">
        <f t="shared" si="16"/>
        <v>400</v>
      </c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5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5"/>
      <c r="AX415" s="16"/>
    </row>
    <row r="416" spans="2:50" x14ac:dyDescent="0.2">
      <c r="B416" s="7" t="s">
        <v>77</v>
      </c>
      <c r="C416" s="8">
        <v>11187</v>
      </c>
      <c r="D416" s="9" t="s">
        <v>617</v>
      </c>
      <c r="E416" s="10" t="s">
        <v>618</v>
      </c>
      <c r="F416" s="10" t="s">
        <v>619</v>
      </c>
      <c r="G416" s="8">
        <v>1</v>
      </c>
      <c r="H416" s="11">
        <v>400</v>
      </c>
      <c r="I416" s="12">
        <v>42428</v>
      </c>
      <c r="J416" s="13">
        <f t="shared" si="15"/>
        <v>0</v>
      </c>
      <c r="K416" s="14">
        <v>400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5">
        <f t="shared" si="16"/>
        <v>400</v>
      </c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5"/>
      <c r="AX416" s="16"/>
    </row>
    <row r="417" spans="2:50" x14ac:dyDescent="0.2">
      <c r="B417" s="7" t="s">
        <v>69</v>
      </c>
      <c r="C417" s="8">
        <v>11188</v>
      </c>
      <c r="D417" s="9" t="s">
        <v>800</v>
      </c>
      <c r="E417" s="10" t="s">
        <v>801</v>
      </c>
      <c r="F417" s="10" t="s">
        <v>802</v>
      </c>
      <c r="G417" s="8">
        <v>1</v>
      </c>
      <c r="H417" s="11">
        <v>800</v>
      </c>
      <c r="I417" s="12">
        <v>42428</v>
      </c>
      <c r="J417" s="13">
        <f t="shared" si="15"/>
        <v>0</v>
      </c>
      <c r="K417" s="14">
        <v>400</v>
      </c>
      <c r="L417" s="14">
        <v>400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>
        <f t="shared" si="16"/>
        <v>800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5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5"/>
      <c r="AX417" s="16"/>
    </row>
    <row r="418" spans="2:50" x14ac:dyDescent="0.2">
      <c r="B418" s="7" t="s">
        <v>37</v>
      </c>
      <c r="C418" s="8">
        <v>11189</v>
      </c>
      <c r="D418" s="9" t="s">
        <v>431</v>
      </c>
      <c r="E418" s="10" t="s">
        <v>432</v>
      </c>
      <c r="F418" s="10" t="s">
        <v>433</v>
      </c>
      <c r="G418" s="8">
        <v>1</v>
      </c>
      <c r="H418" s="11">
        <v>800</v>
      </c>
      <c r="I418" s="12">
        <v>42428</v>
      </c>
      <c r="J418" s="13">
        <f t="shared" si="15"/>
        <v>0</v>
      </c>
      <c r="K418" s="14">
        <v>400</v>
      </c>
      <c r="L418" s="14">
        <v>400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>
        <f t="shared" si="16"/>
        <v>800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5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5"/>
      <c r="AX418" s="16"/>
    </row>
    <row r="419" spans="2:50" x14ac:dyDescent="0.2">
      <c r="B419" s="7" t="s">
        <v>122</v>
      </c>
      <c r="C419" s="8">
        <v>11190</v>
      </c>
      <c r="D419" s="9" t="s">
        <v>637</v>
      </c>
      <c r="E419" s="10" t="s">
        <v>638</v>
      </c>
      <c r="F419" s="10" t="s">
        <v>639</v>
      </c>
      <c r="G419" s="8">
        <v>1</v>
      </c>
      <c r="H419" s="11">
        <v>400</v>
      </c>
      <c r="I419" s="12">
        <v>42428</v>
      </c>
      <c r="J419" s="13">
        <f t="shared" si="15"/>
        <v>0</v>
      </c>
      <c r="K419" s="14"/>
      <c r="L419" s="14">
        <v>400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5">
        <f t="shared" si="16"/>
        <v>400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5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5"/>
      <c r="AX419" s="16"/>
    </row>
    <row r="420" spans="2:50" x14ac:dyDescent="0.2">
      <c r="B420" s="7" t="s">
        <v>37</v>
      </c>
      <c r="C420" s="8">
        <v>11191</v>
      </c>
      <c r="D420" s="9" t="s">
        <v>443</v>
      </c>
      <c r="E420" s="10" t="s">
        <v>444</v>
      </c>
      <c r="F420" s="10" t="s">
        <v>445</v>
      </c>
      <c r="G420" s="8">
        <v>4</v>
      </c>
      <c r="H420" s="11">
        <v>160</v>
      </c>
      <c r="I420" s="12">
        <v>42428</v>
      </c>
      <c r="J420" s="13">
        <f t="shared" si="15"/>
        <v>0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5">
        <f t="shared" si="16"/>
        <v>0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5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5"/>
      <c r="AX420" s="7">
        <v>6565</v>
      </c>
    </row>
    <row r="421" spans="2:50" x14ac:dyDescent="0.2">
      <c r="B421" s="7" t="s">
        <v>47</v>
      </c>
      <c r="C421" s="8">
        <v>11192</v>
      </c>
      <c r="D421" s="9" t="s">
        <v>803</v>
      </c>
      <c r="E421" s="10" t="s">
        <v>804</v>
      </c>
      <c r="F421" s="10" t="s">
        <v>312</v>
      </c>
      <c r="G421" s="8">
        <v>1</v>
      </c>
      <c r="H421" s="11">
        <v>400</v>
      </c>
      <c r="I421" s="12">
        <v>42428</v>
      </c>
      <c r="J421" s="13">
        <f t="shared" si="15"/>
        <v>0</v>
      </c>
      <c r="K421" s="14"/>
      <c r="L421" s="14">
        <v>400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5">
        <f t="shared" si="16"/>
        <v>400</v>
      </c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5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5"/>
      <c r="AX421" s="16"/>
    </row>
    <row r="422" spans="2:50" x14ac:dyDescent="0.2">
      <c r="B422" s="7" t="s">
        <v>37</v>
      </c>
      <c r="C422" s="8">
        <v>11193</v>
      </c>
      <c r="D422" s="9" t="s">
        <v>538</v>
      </c>
      <c r="E422" s="10" t="s">
        <v>539</v>
      </c>
      <c r="F422" s="10" t="s">
        <v>540</v>
      </c>
      <c r="G422" s="8">
        <v>1</v>
      </c>
      <c r="H422" s="11">
        <v>400</v>
      </c>
      <c r="I422" s="12">
        <v>42428</v>
      </c>
      <c r="J422" s="13">
        <f t="shared" si="15"/>
        <v>0</v>
      </c>
      <c r="K422" s="14"/>
      <c r="L422" s="14">
        <v>400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>
        <f t="shared" si="16"/>
        <v>400</v>
      </c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5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5"/>
      <c r="AX422" s="16"/>
    </row>
    <row r="423" spans="2:50" x14ac:dyDescent="0.2">
      <c r="B423" s="7" t="s">
        <v>47</v>
      </c>
      <c r="C423" s="8">
        <v>11194</v>
      </c>
      <c r="D423" s="9" t="s">
        <v>171</v>
      </c>
      <c r="E423" s="10" t="s">
        <v>172</v>
      </c>
      <c r="F423" s="10" t="s">
        <v>173</v>
      </c>
      <c r="G423" s="8">
        <v>1</v>
      </c>
      <c r="H423" s="11">
        <v>400</v>
      </c>
      <c r="I423" s="12">
        <v>42428</v>
      </c>
      <c r="J423" s="13">
        <f t="shared" si="15"/>
        <v>0</v>
      </c>
      <c r="K423" s="14"/>
      <c r="L423" s="14"/>
      <c r="M423" s="14">
        <v>400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5">
        <f t="shared" si="16"/>
        <v>400</v>
      </c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5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5"/>
      <c r="AX423" s="16"/>
    </row>
    <row r="424" spans="2:50" x14ac:dyDescent="0.2">
      <c r="B424" s="7" t="s">
        <v>77</v>
      </c>
      <c r="C424" s="8">
        <v>11195</v>
      </c>
      <c r="D424" s="9" t="s">
        <v>556</v>
      </c>
      <c r="E424" s="10" t="s">
        <v>557</v>
      </c>
      <c r="F424" s="10" t="s">
        <v>558</v>
      </c>
      <c r="G424" s="8">
        <v>1</v>
      </c>
      <c r="H424" s="11">
        <v>400</v>
      </c>
      <c r="I424" s="12">
        <v>42428</v>
      </c>
      <c r="J424" s="13">
        <f t="shared" si="15"/>
        <v>0</v>
      </c>
      <c r="K424" s="14">
        <v>400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5">
        <f t="shared" si="16"/>
        <v>400</v>
      </c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5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5"/>
      <c r="AX424" s="16"/>
    </row>
    <row r="425" spans="2:50" x14ac:dyDescent="0.2">
      <c r="B425" s="7" t="s">
        <v>77</v>
      </c>
      <c r="C425" s="8">
        <v>11195</v>
      </c>
      <c r="D425" s="9" t="s">
        <v>556</v>
      </c>
      <c r="E425" s="10" t="s">
        <v>557</v>
      </c>
      <c r="F425" s="10" t="s">
        <v>558</v>
      </c>
      <c r="G425" s="8">
        <v>3</v>
      </c>
      <c r="H425" s="11">
        <v>160</v>
      </c>
      <c r="I425" s="12">
        <v>42428</v>
      </c>
      <c r="J425" s="13">
        <f t="shared" si="15"/>
        <v>0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5">
        <f t="shared" si="16"/>
        <v>0</v>
      </c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5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5"/>
      <c r="AX425" s="16"/>
    </row>
    <row r="426" spans="2:50" x14ac:dyDescent="0.2">
      <c r="B426" s="7" t="s">
        <v>73</v>
      </c>
      <c r="C426" s="8">
        <v>11196</v>
      </c>
      <c r="D426" s="9" t="s">
        <v>532</v>
      </c>
      <c r="E426" s="10" t="s">
        <v>533</v>
      </c>
      <c r="F426" s="10" t="s">
        <v>534</v>
      </c>
      <c r="G426" s="8">
        <v>1</v>
      </c>
      <c r="H426" s="11">
        <v>400</v>
      </c>
      <c r="I426" s="12">
        <v>42428</v>
      </c>
      <c r="J426" s="13">
        <f t="shared" si="15"/>
        <v>0</v>
      </c>
      <c r="K426" s="14"/>
      <c r="L426" s="14">
        <v>400</v>
      </c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5">
        <f t="shared" si="16"/>
        <v>400</v>
      </c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5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5"/>
      <c r="AX426" s="16"/>
    </row>
    <row r="427" spans="2:50" x14ac:dyDescent="0.2">
      <c r="B427" s="7" t="s">
        <v>73</v>
      </c>
      <c r="C427" s="8">
        <v>11197</v>
      </c>
      <c r="D427" s="9" t="s">
        <v>532</v>
      </c>
      <c r="E427" s="10" t="s">
        <v>533</v>
      </c>
      <c r="F427" s="10" t="s">
        <v>534</v>
      </c>
      <c r="G427" s="8">
        <v>3</v>
      </c>
      <c r="H427" s="11">
        <v>160</v>
      </c>
      <c r="I427" s="12">
        <v>42428</v>
      </c>
      <c r="J427" s="13">
        <f t="shared" si="15"/>
        <v>0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5">
        <f t="shared" si="16"/>
        <v>0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5"/>
      <c r="AX427" s="16"/>
    </row>
    <row r="428" spans="2:50" x14ac:dyDescent="0.2">
      <c r="B428" s="7" t="s">
        <v>37</v>
      </c>
      <c r="C428" s="8">
        <v>11198</v>
      </c>
      <c r="D428" s="9" t="s">
        <v>180</v>
      </c>
      <c r="E428" s="10" t="s">
        <v>181</v>
      </c>
      <c r="F428" s="10" t="s">
        <v>182</v>
      </c>
      <c r="G428" s="8">
        <v>1</v>
      </c>
      <c r="H428" s="11">
        <v>400</v>
      </c>
      <c r="I428" s="12">
        <v>42428</v>
      </c>
      <c r="J428" s="13">
        <f t="shared" si="15"/>
        <v>0</v>
      </c>
      <c r="K428" s="14"/>
      <c r="L428" s="14"/>
      <c r="M428" s="14">
        <v>400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5">
        <f t="shared" si="16"/>
        <v>400</v>
      </c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5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5"/>
      <c r="AX428" s="16"/>
    </row>
    <row r="429" spans="2:50" x14ac:dyDescent="0.2">
      <c r="B429" s="7" t="s">
        <v>61</v>
      </c>
      <c r="C429" s="8">
        <v>11199</v>
      </c>
      <c r="D429" s="9" t="s">
        <v>631</v>
      </c>
      <c r="E429" s="10" t="s">
        <v>632</v>
      </c>
      <c r="F429" s="10" t="s">
        <v>633</v>
      </c>
      <c r="G429" s="8">
        <v>1</v>
      </c>
      <c r="H429" s="11">
        <v>600</v>
      </c>
      <c r="I429" s="12">
        <v>42428</v>
      </c>
      <c r="J429" s="13">
        <f t="shared" si="15"/>
        <v>0</v>
      </c>
      <c r="K429" s="14"/>
      <c r="L429" s="14">
        <v>300</v>
      </c>
      <c r="M429" s="14">
        <v>300</v>
      </c>
      <c r="N429" s="14"/>
      <c r="O429" s="14"/>
      <c r="P429" s="14"/>
      <c r="Q429" s="14"/>
      <c r="R429" s="14"/>
      <c r="S429" s="14"/>
      <c r="T429" s="14"/>
      <c r="U429" s="14"/>
      <c r="V429" s="14"/>
      <c r="W429" s="15">
        <f t="shared" si="16"/>
        <v>600</v>
      </c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5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5"/>
      <c r="AX429" s="16"/>
    </row>
    <row r="430" spans="2:50" x14ac:dyDescent="0.2">
      <c r="B430" s="7" t="s">
        <v>805</v>
      </c>
      <c r="C430" s="8"/>
      <c r="D430" s="9" t="s">
        <v>806</v>
      </c>
      <c r="E430" s="10" t="e">
        <f>IF(D430=0,"",VLOOKUP(D430,BASE_A,6,FALSE))</f>
        <v>#NAME?</v>
      </c>
      <c r="F430" s="10" t="e">
        <f>IF(D430=0,"",VLOOKUP(D430,BASE_A,8,FALSE))</f>
        <v>#NAME?</v>
      </c>
      <c r="G430" s="8">
        <v>1</v>
      </c>
      <c r="H430" s="11">
        <v>11000</v>
      </c>
      <c r="I430" s="12">
        <v>42411</v>
      </c>
      <c r="J430" s="13">
        <f t="shared" si="15"/>
        <v>0</v>
      </c>
      <c r="K430" s="14">
        <v>11000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5">
        <f t="shared" si="16"/>
        <v>11000</v>
      </c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5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5"/>
      <c r="AX430" s="16"/>
    </row>
    <row r="431" spans="2:50" x14ac:dyDescent="0.2">
      <c r="B431" s="7" t="s">
        <v>93</v>
      </c>
      <c r="C431" s="8">
        <v>11332</v>
      </c>
      <c r="D431" s="9" t="s">
        <v>208</v>
      </c>
      <c r="E431" s="10" t="e">
        <f>IF(D431=0,"",VLOOKUP(D431,BASE_A,6,FALSE))</f>
        <v>#NAME?</v>
      </c>
      <c r="F431" s="10" t="e">
        <f>IF(D431=0,"",VLOOKUP(D431,BASE_A,8,FALSE))</f>
        <v>#NAME?</v>
      </c>
      <c r="G431" s="8">
        <v>1</v>
      </c>
      <c r="H431" s="11">
        <v>400</v>
      </c>
      <c r="I431" s="12">
        <v>42419</v>
      </c>
      <c r="J431" s="13">
        <f t="shared" si="15"/>
        <v>0</v>
      </c>
      <c r="K431" s="14"/>
      <c r="L431" s="14">
        <v>400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5">
        <f t="shared" si="16"/>
        <v>400</v>
      </c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5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5"/>
      <c r="AX431" s="16"/>
    </row>
    <row r="432" spans="2:50" x14ac:dyDescent="0.2">
      <c r="B432" s="48"/>
      <c r="C432" s="48"/>
      <c r="D432" s="48"/>
      <c r="E432" s="48"/>
      <c r="F432" s="48"/>
      <c r="G432" s="19">
        <v>1</v>
      </c>
      <c r="H432" s="21">
        <v>5600</v>
      </c>
      <c r="I432" s="26"/>
      <c r="J432" s="27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9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9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9"/>
      <c r="AX432" s="25"/>
    </row>
    <row r="433" spans="1:50" ht="22.5" x14ac:dyDescent="0.2">
      <c r="A433" s="2" t="s">
        <v>0</v>
      </c>
      <c r="B433" s="3" t="s">
        <v>1</v>
      </c>
      <c r="C433" s="3" t="s">
        <v>2</v>
      </c>
      <c r="D433" s="3" t="s">
        <v>3</v>
      </c>
      <c r="E433" s="3" t="s">
        <v>4</v>
      </c>
      <c r="F433" s="3" t="s">
        <v>5</v>
      </c>
      <c r="G433" s="3" t="s">
        <v>6</v>
      </c>
      <c r="H433" s="3" t="s">
        <v>7</v>
      </c>
      <c r="I433" s="3" t="s">
        <v>8</v>
      </c>
      <c r="J433" s="3" t="s">
        <v>9</v>
      </c>
      <c r="K433" s="4" t="s">
        <v>10</v>
      </c>
      <c r="L433" s="4" t="s">
        <v>11</v>
      </c>
      <c r="M433" s="4" t="s">
        <v>12</v>
      </c>
      <c r="N433" s="4" t="s">
        <v>13</v>
      </c>
      <c r="O433" s="4" t="s">
        <v>14</v>
      </c>
      <c r="P433" s="4" t="s">
        <v>15</v>
      </c>
      <c r="Q433" s="4" t="s">
        <v>16</v>
      </c>
      <c r="R433" s="4" t="s">
        <v>17</v>
      </c>
      <c r="S433" s="4" t="s">
        <v>18</v>
      </c>
      <c r="T433" s="4" t="s">
        <v>19</v>
      </c>
      <c r="U433" s="4" t="s">
        <v>20</v>
      </c>
      <c r="V433" s="4" t="s">
        <v>21</v>
      </c>
      <c r="W433" s="5" t="s">
        <v>22</v>
      </c>
      <c r="X433" s="4" t="s">
        <v>23</v>
      </c>
      <c r="Y433" s="4" t="s">
        <v>24</v>
      </c>
      <c r="Z433" s="4" t="s">
        <v>25</v>
      </c>
      <c r="AA433" s="4" t="s">
        <v>26</v>
      </c>
      <c r="AB433" s="4" t="s">
        <v>27</v>
      </c>
      <c r="AC433" s="4" t="s">
        <v>28</v>
      </c>
      <c r="AD433" s="4" t="s">
        <v>29</v>
      </c>
      <c r="AE433" s="4" t="s">
        <v>30</v>
      </c>
      <c r="AF433" s="4" t="s">
        <v>31</v>
      </c>
      <c r="AG433" s="4" t="s">
        <v>32</v>
      </c>
      <c r="AH433" s="4" t="s">
        <v>33</v>
      </c>
      <c r="AI433" s="4" t="s">
        <v>34</v>
      </c>
      <c r="AJ433" s="5" t="s">
        <v>35</v>
      </c>
      <c r="AK433" s="4" t="s">
        <v>4607</v>
      </c>
      <c r="AL433" s="4" t="s">
        <v>4608</v>
      </c>
      <c r="AM433" s="4" t="s">
        <v>4609</v>
      </c>
      <c r="AN433" s="4" t="s">
        <v>4610</v>
      </c>
      <c r="AO433" s="4" t="s">
        <v>4611</v>
      </c>
      <c r="AP433" s="4" t="s">
        <v>4612</v>
      </c>
      <c r="AQ433" s="4" t="s">
        <v>4613</v>
      </c>
      <c r="AR433" s="4" t="s">
        <v>4614</v>
      </c>
      <c r="AS433" s="4" t="s">
        <v>4615</v>
      </c>
      <c r="AT433" s="4" t="s">
        <v>4616</v>
      </c>
      <c r="AU433" s="4" t="s">
        <v>4617</v>
      </c>
      <c r="AV433" s="4" t="s">
        <v>4618</v>
      </c>
      <c r="AW433" s="338" t="s">
        <v>4619</v>
      </c>
      <c r="AX433" s="6" t="s">
        <v>36</v>
      </c>
    </row>
    <row r="434" spans="1:50" x14ac:dyDescent="0.2">
      <c r="B434" s="7" t="s">
        <v>47</v>
      </c>
      <c r="C434" s="8">
        <v>11200</v>
      </c>
      <c r="D434" s="9" t="s">
        <v>807</v>
      </c>
      <c r="E434" s="10" t="s">
        <v>808</v>
      </c>
      <c r="F434" s="10" t="s">
        <v>809</v>
      </c>
      <c r="G434" s="8">
        <v>1</v>
      </c>
      <c r="H434" s="11">
        <v>400</v>
      </c>
      <c r="I434" s="12">
        <v>42429</v>
      </c>
      <c r="J434" s="13">
        <f t="shared" ref="J434:J497" si="17">IF(G434=1,SUM(W434,-H434),0)</f>
        <v>0</v>
      </c>
      <c r="K434" s="14">
        <v>200</v>
      </c>
      <c r="L434" s="14">
        <v>200</v>
      </c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5">
        <f t="shared" ref="W434:W497" si="18">SUM(K434:V434)</f>
        <v>400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5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5"/>
      <c r="AX434" s="16"/>
    </row>
    <row r="435" spans="1:50" x14ac:dyDescent="0.2">
      <c r="B435" s="7" t="s">
        <v>37</v>
      </c>
      <c r="C435" s="8">
        <v>11201</v>
      </c>
      <c r="D435" s="9" t="s">
        <v>568</v>
      </c>
      <c r="E435" s="10" t="s">
        <v>569</v>
      </c>
      <c r="F435" s="10" t="s">
        <v>570</v>
      </c>
      <c r="G435" s="8">
        <v>1</v>
      </c>
      <c r="H435" s="11">
        <v>400</v>
      </c>
      <c r="I435" s="12">
        <v>42429</v>
      </c>
      <c r="J435" s="13">
        <f t="shared" si="17"/>
        <v>0</v>
      </c>
      <c r="K435" s="14"/>
      <c r="L435" s="14">
        <v>400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5">
        <f t="shared" si="18"/>
        <v>400</v>
      </c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5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5"/>
      <c r="AX435" s="16"/>
    </row>
    <row r="436" spans="1:50" x14ac:dyDescent="0.2">
      <c r="B436" s="7" t="s">
        <v>47</v>
      </c>
      <c r="C436" s="8">
        <v>11202</v>
      </c>
      <c r="D436" s="9" t="s">
        <v>810</v>
      </c>
      <c r="E436" s="10" t="s">
        <v>811</v>
      </c>
      <c r="F436" s="10" t="s">
        <v>812</v>
      </c>
      <c r="G436" s="8">
        <v>1</v>
      </c>
      <c r="H436" s="11">
        <v>400</v>
      </c>
      <c r="I436" s="12">
        <v>42431</v>
      </c>
      <c r="J436" s="13">
        <f t="shared" si="17"/>
        <v>0</v>
      </c>
      <c r="K436" s="14">
        <v>200</v>
      </c>
      <c r="L436" s="14">
        <v>200</v>
      </c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5">
        <f t="shared" si="18"/>
        <v>400</v>
      </c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5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5"/>
      <c r="AX436" s="16"/>
    </row>
    <row r="437" spans="1:50" x14ac:dyDescent="0.2">
      <c r="B437" s="7" t="s">
        <v>47</v>
      </c>
      <c r="C437" s="8">
        <v>11202</v>
      </c>
      <c r="D437" s="9" t="s">
        <v>810</v>
      </c>
      <c r="E437" s="10" t="s">
        <v>811</v>
      </c>
      <c r="F437" s="10" t="s">
        <v>812</v>
      </c>
      <c r="G437" s="8">
        <v>7</v>
      </c>
      <c r="H437" s="11">
        <v>150</v>
      </c>
      <c r="I437" s="12">
        <v>42431</v>
      </c>
      <c r="J437" s="13">
        <f t="shared" si="17"/>
        <v>0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5">
        <f t="shared" si="18"/>
        <v>0</v>
      </c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5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5"/>
      <c r="AX437" s="16" t="s">
        <v>813</v>
      </c>
    </row>
    <row r="438" spans="1:50" x14ac:dyDescent="0.2">
      <c r="B438" s="7" t="s">
        <v>73</v>
      </c>
      <c r="C438" s="8">
        <v>11203</v>
      </c>
      <c r="D438" s="9" t="s">
        <v>115</v>
      </c>
      <c r="E438" s="10" t="s">
        <v>116</v>
      </c>
      <c r="F438" s="10" t="s">
        <v>117</v>
      </c>
      <c r="G438" s="8">
        <v>1</v>
      </c>
      <c r="H438" s="11">
        <v>300</v>
      </c>
      <c r="I438" s="12">
        <v>42435</v>
      </c>
      <c r="J438" s="13">
        <f t="shared" si="17"/>
        <v>0</v>
      </c>
      <c r="K438" s="14"/>
      <c r="L438" s="14">
        <v>150</v>
      </c>
      <c r="M438" s="14">
        <v>150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5">
        <f t="shared" si="18"/>
        <v>300</v>
      </c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5"/>
      <c r="AX438" s="16"/>
    </row>
    <row r="439" spans="1:50" x14ac:dyDescent="0.2">
      <c r="B439" s="7" t="s">
        <v>37</v>
      </c>
      <c r="C439" s="8">
        <v>11204</v>
      </c>
      <c r="D439" s="9" t="s">
        <v>247</v>
      </c>
      <c r="E439" s="10" t="s">
        <v>248</v>
      </c>
      <c r="F439" s="10" t="s">
        <v>249</v>
      </c>
      <c r="G439" s="8">
        <v>1</v>
      </c>
      <c r="H439" s="11">
        <v>800</v>
      </c>
      <c r="I439" s="12">
        <v>42435</v>
      </c>
      <c r="J439" s="13">
        <f t="shared" si="17"/>
        <v>0</v>
      </c>
      <c r="K439" s="14"/>
      <c r="L439" s="14"/>
      <c r="M439" s="14">
        <v>400</v>
      </c>
      <c r="N439" s="14">
        <v>400</v>
      </c>
      <c r="O439" s="14"/>
      <c r="P439" s="14"/>
      <c r="Q439" s="14"/>
      <c r="R439" s="14"/>
      <c r="S439" s="14"/>
      <c r="T439" s="14"/>
      <c r="U439" s="14"/>
      <c r="V439" s="14"/>
      <c r="W439" s="15">
        <f t="shared" si="18"/>
        <v>800</v>
      </c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5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5"/>
      <c r="AX439" s="16"/>
    </row>
    <row r="440" spans="1:50" x14ac:dyDescent="0.2">
      <c r="B440" s="7" t="s">
        <v>69</v>
      </c>
      <c r="C440" s="8">
        <v>11205</v>
      </c>
      <c r="D440" s="9" t="s">
        <v>186</v>
      </c>
      <c r="E440" s="10" t="s">
        <v>187</v>
      </c>
      <c r="F440" s="10" t="s">
        <v>188</v>
      </c>
      <c r="G440" s="8">
        <v>1</v>
      </c>
      <c r="H440" s="11">
        <v>400</v>
      </c>
      <c r="I440" s="12">
        <v>42435</v>
      </c>
      <c r="J440" s="13">
        <f t="shared" si="17"/>
        <v>0</v>
      </c>
      <c r="K440" s="14"/>
      <c r="L440" s="14"/>
      <c r="M440" s="14">
        <v>400</v>
      </c>
      <c r="N440" s="14"/>
      <c r="O440" s="14"/>
      <c r="P440" s="14"/>
      <c r="Q440" s="14"/>
      <c r="R440" s="14"/>
      <c r="S440" s="14"/>
      <c r="T440" s="14"/>
      <c r="U440" s="14"/>
      <c r="V440" s="14"/>
      <c r="W440" s="15">
        <f t="shared" si="18"/>
        <v>400</v>
      </c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5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5"/>
      <c r="AX440" s="16"/>
    </row>
    <row r="441" spans="1:50" x14ac:dyDescent="0.2">
      <c r="B441" s="7" t="s">
        <v>69</v>
      </c>
      <c r="C441" s="8">
        <v>11206</v>
      </c>
      <c r="D441" s="9" t="s">
        <v>292</v>
      </c>
      <c r="E441" s="10" t="s">
        <v>293</v>
      </c>
      <c r="F441" s="10" t="s">
        <v>294</v>
      </c>
      <c r="G441" s="8">
        <v>1</v>
      </c>
      <c r="H441" s="11">
        <v>400</v>
      </c>
      <c r="I441" s="12">
        <v>42435</v>
      </c>
      <c r="J441" s="13">
        <f t="shared" si="17"/>
        <v>0</v>
      </c>
      <c r="K441" s="14"/>
      <c r="L441" s="14"/>
      <c r="M441" s="14">
        <v>400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5">
        <f t="shared" si="18"/>
        <v>400</v>
      </c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5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5"/>
      <c r="AX441" s="16"/>
    </row>
    <row r="442" spans="1:50" x14ac:dyDescent="0.2">
      <c r="B442" s="7" t="s">
        <v>69</v>
      </c>
      <c r="C442" s="8">
        <v>11207</v>
      </c>
      <c r="D442" s="9" t="s">
        <v>678</v>
      </c>
      <c r="E442" s="10" t="s">
        <v>679</v>
      </c>
      <c r="F442" s="10" t="s">
        <v>680</v>
      </c>
      <c r="G442" s="8">
        <v>1</v>
      </c>
      <c r="H442" s="11">
        <v>400</v>
      </c>
      <c r="I442" s="12">
        <v>42435</v>
      </c>
      <c r="J442" s="13">
        <f t="shared" si="17"/>
        <v>0</v>
      </c>
      <c r="K442" s="14"/>
      <c r="L442" s="14"/>
      <c r="M442" s="14">
        <v>400</v>
      </c>
      <c r="N442" s="14"/>
      <c r="O442" s="14"/>
      <c r="P442" s="14"/>
      <c r="Q442" s="14"/>
      <c r="R442" s="14"/>
      <c r="S442" s="14"/>
      <c r="T442" s="14"/>
      <c r="U442" s="14"/>
      <c r="V442" s="14"/>
      <c r="W442" s="15">
        <f t="shared" si="18"/>
        <v>400</v>
      </c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5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5"/>
      <c r="AX442" s="16"/>
    </row>
    <row r="443" spans="1:50" x14ac:dyDescent="0.2">
      <c r="B443" s="7" t="s">
        <v>47</v>
      </c>
      <c r="C443" s="8">
        <v>11208</v>
      </c>
      <c r="D443" s="9" t="s">
        <v>241</v>
      </c>
      <c r="E443" s="10" t="s">
        <v>242</v>
      </c>
      <c r="F443" s="10" t="s">
        <v>243</v>
      </c>
      <c r="G443" s="8">
        <v>1</v>
      </c>
      <c r="H443" s="11">
        <v>400</v>
      </c>
      <c r="I443" s="12">
        <v>42435</v>
      </c>
      <c r="J443" s="13">
        <f t="shared" si="17"/>
        <v>0</v>
      </c>
      <c r="K443" s="14"/>
      <c r="L443" s="14"/>
      <c r="M443" s="14">
        <v>400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5">
        <f t="shared" si="18"/>
        <v>400</v>
      </c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5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5"/>
      <c r="AX443" s="16"/>
    </row>
    <row r="444" spans="1:50" x14ac:dyDescent="0.2">
      <c r="B444" s="7" t="s">
        <v>47</v>
      </c>
      <c r="C444" s="8">
        <v>11209</v>
      </c>
      <c r="D444" s="9" t="s">
        <v>702</v>
      </c>
      <c r="E444" s="10" t="s">
        <v>703</v>
      </c>
      <c r="F444" s="10" t="s">
        <v>704</v>
      </c>
      <c r="G444" s="8">
        <v>1</v>
      </c>
      <c r="H444" s="11">
        <v>3200</v>
      </c>
      <c r="I444" s="12">
        <v>42435</v>
      </c>
      <c r="J444" s="13">
        <f t="shared" si="17"/>
        <v>0</v>
      </c>
      <c r="K444" s="14"/>
      <c r="L444" s="14"/>
      <c r="M444" s="14">
        <v>400</v>
      </c>
      <c r="N444" s="14">
        <v>400</v>
      </c>
      <c r="O444" s="14">
        <v>400</v>
      </c>
      <c r="P444" s="14">
        <v>400</v>
      </c>
      <c r="Q444" s="14">
        <v>400</v>
      </c>
      <c r="R444" s="14">
        <v>400</v>
      </c>
      <c r="S444" s="14">
        <v>400</v>
      </c>
      <c r="T444" s="14">
        <v>400</v>
      </c>
      <c r="U444" s="14"/>
      <c r="V444" s="14"/>
      <c r="W444" s="15">
        <f t="shared" si="18"/>
        <v>3200</v>
      </c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5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5"/>
      <c r="AX444" s="16"/>
    </row>
    <row r="445" spans="1:50" x14ac:dyDescent="0.2">
      <c r="B445" s="7" t="s">
        <v>69</v>
      </c>
      <c r="C445" s="8">
        <v>11210</v>
      </c>
      <c r="D445" s="9" t="s">
        <v>437</v>
      </c>
      <c r="E445" s="10" t="s">
        <v>438</v>
      </c>
      <c r="F445" s="10" t="s">
        <v>439</v>
      </c>
      <c r="G445" s="8">
        <v>1</v>
      </c>
      <c r="H445" s="11">
        <v>400</v>
      </c>
      <c r="I445" s="12">
        <v>42435</v>
      </c>
      <c r="J445" s="13">
        <f t="shared" si="17"/>
        <v>0</v>
      </c>
      <c r="K445" s="14"/>
      <c r="L445" s="14"/>
      <c r="M445" s="14">
        <v>400</v>
      </c>
      <c r="N445" s="14"/>
      <c r="O445" s="14"/>
      <c r="P445" s="14"/>
      <c r="Q445" s="14"/>
      <c r="R445" s="14"/>
      <c r="S445" s="14"/>
      <c r="T445" s="14"/>
      <c r="U445" s="14"/>
      <c r="V445" s="14"/>
      <c r="W445" s="15">
        <f t="shared" si="18"/>
        <v>400</v>
      </c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5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5"/>
      <c r="AX445" s="16"/>
    </row>
    <row r="446" spans="1:50" x14ac:dyDescent="0.2">
      <c r="B446" s="7" t="s">
        <v>77</v>
      </c>
      <c r="C446" s="8">
        <v>11211</v>
      </c>
      <c r="D446" s="9" t="s">
        <v>479</v>
      </c>
      <c r="E446" s="10" t="s">
        <v>480</v>
      </c>
      <c r="F446" s="10" t="s">
        <v>481</v>
      </c>
      <c r="G446" s="8">
        <v>1</v>
      </c>
      <c r="H446" s="11">
        <v>300</v>
      </c>
      <c r="I446" s="12">
        <v>42435</v>
      </c>
      <c r="J446" s="13">
        <f t="shared" si="17"/>
        <v>0</v>
      </c>
      <c r="K446" s="14"/>
      <c r="L446" s="14"/>
      <c r="M446" s="14">
        <v>300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5">
        <f t="shared" si="18"/>
        <v>300</v>
      </c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5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5"/>
      <c r="AX446" s="16"/>
    </row>
    <row r="447" spans="1:50" x14ac:dyDescent="0.2">
      <c r="B447" s="7" t="s">
        <v>37</v>
      </c>
      <c r="C447" s="8">
        <v>11212</v>
      </c>
      <c r="D447" s="9" t="s">
        <v>814</v>
      </c>
      <c r="E447" s="10" t="s">
        <v>815</v>
      </c>
      <c r="F447" s="10" t="s">
        <v>816</v>
      </c>
      <c r="G447" s="8">
        <v>1</v>
      </c>
      <c r="H447" s="11">
        <v>1200</v>
      </c>
      <c r="I447" s="12">
        <v>42435</v>
      </c>
      <c r="J447" s="13">
        <f t="shared" si="17"/>
        <v>0</v>
      </c>
      <c r="K447" s="14">
        <v>400</v>
      </c>
      <c r="L447" s="14">
        <v>400</v>
      </c>
      <c r="M447" s="14">
        <v>400</v>
      </c>
      <c r="N447" s="14"/>
      <c r="O447" s="14"/>
      <c r="P447" s="14"/>
      <c r="Q447" s="14"/>
      <c r="R447" s="14"/>
      <c r="S447" s="14"/>
      <c r="T447" s="14"/>
      <c r="U447" s="14"/>
      <c r="V447" s="14"/>
      <c r="W447" s="15">
        <f t="shared" si="18"/>
        <v>1200</v>
      </c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5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5"/>
      <c r="AX447" s="16"/>
    </row>
    <row r="448" spans="1:50" x14ac:dyDescent="0.2">
      <c r="B448" s="7" t="s">
        <v>73</v>
      </c>
      <c r="C448" s="8">
        <v>11213</v>
      </c>
      <c r="D448" s="9" t="s">
        <v>407</v>
      </c>
      <c r="E448" s="10" t="s">
        <v>408</v>
      </c>
      <c r="F448" s="10" t="s">
        <v>409</v>
      </c>
      <c r="G448" s="8">
        <v>1</v>
      </c>
      <c r="H448" s="11">
        <v>400</v>
      </c>
      <c r="I448" s="12">
        <v>42435</v>
      </c>
      <c r="J448" s="13">
        <f t="shared" si="17"/>
        <v>0</v>
      </c>
      <c r="K448" s="14"/>
      <c r="L448" s="14"/>
      <c r="M448" s="14">
        <v>400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5">
        <f t="shared" si="18"/>
        <v>400</v>
      </c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5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5"/>
      <c r="AX448" s="16"/>
    </row>
    <row r="449" spans="2:50" x14ac:dyDescent="0.2">
      <c r="B449" s="7" t="s">
        <v>73</v>
      </c>
      <c r="C449" s="8">
        <v>11213</v>
      </c>
      <c r="D449" s="9" t="s">
        <v>407</v>
      </c>
      <c r="E449" s="10" t="s">
        <v>408</v>
      </c>
      <c r="F449" s="10" t="s">
        <v>409</v>
      </c>
      <c r="G449" s="8">
        <v>3</v>
      </c>
      <c r="H449" s="11">
        <v>160</v>
      </c>
      <c r="I449" s="12">
        <v>42435</v>
      </c>
      <c r="J449" s="13">
        <f t="shared" si="17"/>
        <v>0</v>
      </c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5">
        <f t="shared" si="18"/>
        <v>0</v>
      </c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5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5"/>
      <c r="AX449" s="16"/>
    </row>
    <row r="450" spans="2:50" x14ac:dyDescent="0.2">
      <c r="B450" s="7" t="s">
        <v>37</v>
      </c>
      <c r="C450" s="8">
        <v>11214</v>
      </c>
      <c r="D450" s="9" t="s">
        <v>716</v>
      </c>
      <c r="E450" s="10" t="s">
        <v>717</v>
      </c>
      <c r="F450" s="10" t="s">
        <v>718</v>
      </c>
      <c r="G450" s="8">
        <v>1</v>
      </c>
      <c r="H450" s="11">
        <v>300</v>
      </c>
      <c r="I450" s="12">
        <v>42435</v>
      </c>
      <c r="J450" s="13">
        <f t="shared" si="17"/>
        <v>0</v>
      </c>
      <c r="K450" s="14"/>
      <c r="L450" s="14"/>
      <c r="M450" s="14">
        <v>300</v>
      </c>
      <c r="N450" s="14"/>
      <c r="O450" s="14"/>
      <c r="P450" s="14"/>
      <c r="Q450" s="14"/>
      <c r="R450" s="14"/>
      <c r="S450" s="14"/>
      <c r="T450" s="14"/>
      <c r="U450" s="14"/>
      <c r="V450" s="14"/>
      <c r="W450" s="15">
        <f t="shared" si="18"/>
        <v>300</v>
      </c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5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5"/>
      <c r="AX450" s="16"/>
    </row>
    <row r="451" spans="2:50" x14ac:dyDescent="0.2">
      <c r="B451" s="7" t="s">
        <v>47</v>
      </c>
      <c r="C451" s="8">
        <v>11215</v>
      </c>
      <c r="D451" s="9" t="s">
        <v>769</v>
      </c>
      <c r="E451" s="10" t="s">
        <v>770</v>
      </c>
      <c r="F451" s="10" t="s">
        <v>771</v>
      </c>
      <c r="G451" s="8">
        <v>1</v>
      </c>
      <c r="H451" s="11">
        <v>400</v>
      </c>
      <c r="I451" s="12">
        <v>42435</v>
      </c>
      <c r="J451" s="13">
        <f t="shared" si="17"/>
        <v>0</v>
      </c>
      <c r="K451" s="14"/>
      <c r="L451" s="14"/>
      <c r="M451" s="14">
        <v>400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5">
        <f t="shared" si="18"/>
        <v>400</v>
      </c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5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5"/>
      <c r="AX451" s="16"/>
    </row>
    <row r="452" spans="2:50" x14ac:dyDescent="0.2">
      <c r="B452" s="7" t="s">
        <v>73</v>
      </c>
      <c r="C452" s="8">
        <v>11216</v>
      </c>
      <c r="D452" s="9" t="s">
        <v>817</v>
      </c>
      <c r="E452" s="10" t="s">
        <v>818</v>
      </c>
      <c r="F452" s="10" t="s">
        <v>819</v>
      </c>
      <c r="G452" s="8">
        <v>1</v>
      </c>
      <c r="H452" s="11">
        <v>2200</v>
      </c>
      <c r="I452" s="12">
        <v>42435</v>
      </c>
      <c r="J452" s="13">
        <f t="shared" si="17"/>
        <v>0</v>
      </c>
      <c r="K452" s="14">
        <v>200</v>
      </c>
      <c r="L452" s="14">
        <v>200</v>
      </c>
      <c r="M452" s="14">
        <v>200</v>
      </c>
      <c r="N452" s="14">
        <v>200</v>
      </c>
      <c r="O452" s="14">
        <v>200</v>
      </c>
      <c r="P452" s="14">
        <v>200</v>
      </c>
      <c r="Q452" s="14">
        <v>200</v>
      </c>
      <c r="R452" s="14">
        <v>200</v>
      </c>
      <c r="S452" s="14">
        <v>200</v>
      </c>
      <c r="T452" s="14">
        <v>200</v>
      </c>
      <c r="U452" s="14">
        <v>200</v>
      </c>
      <c r="V452" s="14"/>
      <c r="W452" s="15">
        <f t="shared" si="18"/>
        <v>2200</v>
      </c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5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5"/>
      <c r="AX452" s="16" t="s">
        <v>57</v>
      </c>
    </row>
    <row r="453" spans="2:50" x14ac:dyDescent="0.2">
      <c r="B453" s="7" t="s">
        <v>69</v>
      </c>
      <c r="C453" s="8">
        <v>11217</v>
      </c>
      <c r="D453" s="9" t="s">
        <v>325</v>
      </c>
      <c r="E453" s="10" t="s">
        <v>326</v>
      </c>
      <c r="F453" s="10" t="s">
        <v>327</v>
      </c>
      <c r="G453" s="8">
        <v>1</v>
      </c>
      <c r="H453" s="11">
        <v>400</v>
      </c>
      <c r="I453" s="12">
        <v>42435</v>
      </c>
      <c r="J453" s="13">
        <f t="shared" si="17"/>
        <v>0</v>
      </c>
      <c r="K453" s="14"/>
      <c r="L453" s="14"/>
      <c r="M453" s="14">
        <v>400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15">
        <f t="shared" si="18"/>
        <v>400</v>
      </c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5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5"/>
      <c r="AX453" s="16"/>
    </row>
    <row r="454" spans="2:50" x14ac:dyDescent="0.2">
      <c r="B454" s="7" t="s">
        <v>73</v>
      </c>
      <c r="C454" s="8">
        <v>11218</v>
      </c>
      <c r="D454" s="9" t="s">
        <v>141</v>
      </c>
      <c r="E454" s="10" t="s">
        <v>142</v>
      </c>
      <c r="F454" s="10" t="s">
        <v>143</v>
      </c>
      <c r="G454" s="8">
        <v>1</v>
      </c>
      <c r="H454" s="11">
        <v>1200</v>
      </c>
      <c r="I454" s="12">
        <v>42435</v>
      </c>
      <c r="J454" s="13">
        <f t="shared" si="17"/>
        <v>0</v>
      </c>
      <c r="K454" s="14">
        <v>400</v>
      </c>
      <c r="L454" s="14">
        <v>400</v>
      </c>
      <c r="M454" s="14">
        <v>400</v>
      </c>
      <c r="N454" s="14"/>
      <c r="O454" s="14"/>
      <c r="P454" s="14"/>
      <c r="Q454" s="14"/>
      <c r="R454" s="14"/>
      <c r="S454" s="14"/>
      <c r="T454" s="14"/>
      <c r="U454" s="14"/>
      <c r="V454" s="14"/>
      <c r="W454" s="15">
        <f t="shared" si="18"/>
        <v>1200</v>
      </c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5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5"/>
      <c r="AX454" s="16"/>
    </row>
    <row r="455" spans="2:50" x14ac:dyDescent="0.2">
      <c r="B455" s="7" t="s">
        <v>69</v>
      </c>
      <c r="C455" s="8">
        <v>11219</v>
      </c>
      <c r="D455" s="9" t="s">
        <v>100</v>
      </c>
      <c r="E455" s="10" t="s">
        <v>101</v>
      </c>
      <c r="F455" s="10" t="s">
        <v>102</v>
      </c>
      <c r="G455" s="8">
        <v>1</v>
      </c>
      <c r="H455" s="11">
        <v>400</v>
      </c>
      <c r="I455" s="12">
        <v>42435</v>
      </c>
      <c r="J455" s="13">
        <f t="shared" si="17"/>
        <v>0</v>
      </c>
      <c r="K455" s="14"/>
      <c r="L455" s="14"/>
      <c r="M455" s="14">
        <v>400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5">
        <f t="shared" si="18"/>
        <v>400</v>
      </c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5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5"/>
      <c r="AX455" s="16"/>
    </row>
    <row r="456" spans="2:50" x14ac:dyDescent="0.2">
      <c r="B456" s="7" t="s">
        <v>47</v>
      </c>
      <c r="C456" s="8">
        <v>11220</v>
      </c>
      <c r="D456" s="9" t="s">
        <v>162</v>
      </c>
      <c r="E456" s="10" t="s">
        <v>163</v>
      </c>
      <c r="F456" s="10" t="s">
        <v>164</v>
      </c>
      <c r="G456" s="8">
        <v>1</v>
      </c>
      <c r="H456" s="11">
        <v>800</v>
      </c>
      <c r="I456" s="12">
        <v>42435</v>
      </c>
      <c r="J456" s="13">
        <f t="shared" si="17"/>
        <v>0</v>
      </c>
      <c r="K456" s="14"/>
      <c r="L456" s="14"/>
      <c r="M456" s="14">
        <v>400</v>
      </c>
      <c r="N456" s="14">
        <v>400</v>
      </c>
      <c r="O456" s="14"/>
      <c r="P456" s="14"/>
      <c r="Q456" s="14"/>
      <c r="R456" s="14"/>
      <c r="S456" s="14"/>
      <c r="T456" s="14"/>
      <c r="U456" s="14"/>
      <c r="V456" s="14"/>
      <c r="W456" s="15">
        <f t="shared" si="18"/>
        <v>800</v>
      </c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5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5"/>
      <c r="AX456" s="16"/>
    </row>
    <row r="457" spans="2:50" x14ac:dyDescent="0.2">
      <c r="B457" s="7" t="s">
        <v>37</v>
      </c>
      <c r="C457" s="8">
        <v>11221</v>
      </c>
      <c r="D457" s="9" t="s">
        <v>94</v>
      </c>
      <c r="E457" s="10" t="s">
        <v>95</v>
      </c>
      <c r="F457" s="10" t="s">
        <v>96</v>
      </c>
      <c r="G457" s="8">
        <v>1</v>
      </c>
      <c r="H457" s="11">
        <v>400</v>
      </c>
      <c r="I457" s="12">
        <v>42435</v>
      </c>
      <c r="J457" s="13">
        <f t="shared" si="17"/>
        <v>0</v>
      </c>
      <c r="K457" s="14"/>
      <c r="L457" s="14"/>
      <c r="M457" s="14">
        <v>400</v>
      </c>
      <c r="N457" s="14"/>
      <c r="O457" s="14"/>
      <c r="P457" s="14"/>
      <c r="Q457" s="14"/>
      <c r="R457" s="14"/>
      <c r="S457" s="14"/>
      <c r="T457" s="14"/>
      <c r="U457" s="14"/>
      <c r="V457" s="14"/>
      <c r="W457" s="15">
        <f t="shared" si="18"/>
        <v>400</v>
      </c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5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5"/>
      <c r="AX457" s="16"/>
    </row>
    <row r="458" spans="2:50" x14ac:dyDescent="0.2">
      <c r="B458" s="7" t="s">
        <v>77</v>
      </c>
      <c r="C458" s="8">
        <v>11222</v>
      </c>
      <c r="D458" s="9" t="s">
        <v>820</v>
      </c>
      <c r="E458" s="10" t="s">
        <v>821</v>
      </c>
      <c r="F458" s="10" t="s">
        <v>822</v>
      </c>
      <c r="G458" s="8">
        <v>1</v>
      </c>
      <c r="H458" s="11">
        <v>600</v>
      </c>
      <c r="I458" s="12">
        <v>42435</v>
      </c>
      <c r="J458" s="13">
        <f t="shared" si="17"/>
        <v>0</v>
      </c>
      <c r="K458" s="14">
        <v>300</v>
      </c>
      <c r="L458" s="14">
        <v>300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5">
        <f t="shared" si="18"/>
        <v>600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5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5"/>
      <c r="AX458" s="16"/>
    </row>
    <row r="459" spans="2:50" x14ac:dyDescent="0.2">
      <c r="B459" s="7" t="s">
        <v>47</v>
      </c>
      <c r="C459" s="8">
        <v>11223</v>
      </c>
      <c r="D459" s="9" t="s">
        <v>150</v>
      </c>
      <c r="E459" s="10" t="s">
        <v>151</v>
      </c>
      <c r="F459" s="10" t="s">
        <v>152</v>
      </c>
      <c r="G459" s="8">
        <v>1</v>
      </c>
      <c r="H459" s="11">
        <v>400</v>
      </c>
      <c r="I459" s="12">
        <v>42435</v>
      </c>
      <c r="J459" s="13">
        <f t="shared" si="17"/>
        <v>0</v>
      </c>
      <c r="K459" s="14"/>
      <c r="L459" s="14"/>
      <c r="M459" s="14">
        <v>400</v>
      </c>
      <c r="N459" s="14"/>
      <c r="O459" s="14"/>
      <c r="P459" s="14"/>
      <c r="Q459" s="14"/>
      <c r="R459" s="14"/>
      <c r="S459" s="14"/>
      <c r="T459" s="14"/>
      <c r="U459" s="14"/>
      <c r="V459" s="14"/>
      <c r="W459" s="15">
        <f t="shared" si="18"/>
        <v>400</v>
      </c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5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5"/>
      <c r="AX459" s="16"/>
    </row>
    <row r="460" spans="2:50" x14ac:dyDescent="0.2">
      <c r="B460" s="7" t="s">
        <v>47</v>
      </c>
      <c r="C460" s="8">
        <v>11224</v>
      </c>
      <c r="D460" s="9" t="s">
        <v>583</v>
      </c>
      <c r="E460" s="10" t="s">
        <v>584</v>
      </c>
      <c r="F460" s="10" t="s">
        <v>585</v>
      </c>
      <c r="G460" s="8">
        <v>1</v>
      </c>
      <c r="H460" s="11">
        <v>200</v>
      </c>
      <c r="I460" s="12">
        <v>42435</v>
      </c>
      <c r="J460" s="13">
        <f t="shared" si="17"/>
        <v>0</v>
      </c>
      <c r="K460" s="14"/>
      <c r="L460" s="14"/>
      <c r="M460" s="14">
        <v>200</v>
      </c>
      <c r="N460" s="14"/>
      <c r="O460" s="14"/>
      <c r="P460" s="14"/>
      <c r="Q460" s="14"/>
      <c r="R460" s="14"/>
      <c r="S460" s="14"/>
      <c r="T460" s="14"/>
      <c r="U460" s="14"/>
      <c r="V460" s="14"/>
      <c r="W460" s="15">
        <f t="shared" si="18"/>
        <v>200</v>
      </c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5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5"/>
      <c r="AX460" s="16"/>
    </row>
    <row r="461" spans="2:50" x14ac:dyDescent="0.2">
      <c r="B461" s="7" t="s">
        <v>47</v>
      </c>
      <c r="C461" s="8">
        <v>11225</v>
      </c>
      <c r="D461" s="9" t="s">
        <v>823</v>
      </c>
      <c r="E461" s="10" t="s">
        <v>824</v>
      </c>
      <c r="F461" s="10" t="s">
        <v>765</v>
      </c>
      <c r="G461" s="8">
        <v>1</v>
      </c>
      <c r="H461" s="11">
        <v>600</v>
      </c>
      <c r="I461" s="12">
        <v>42435</v>
      </c>
      <c r="J461" s="13">
        <f t="shared" si="17"/>
        <v>0</v>
      </c>
      <c r="K461" s="14">
        <v>200</v>
      </c>
      <c r="L461" s="14">
        <v>200</v>
      </c>
      <c r="M461" s="14">
        <v>200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5">
        <f t="shared" si="18"/>
        <v>600</v>
      </c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5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5"/>
      <c r="AX461" s="16"/>
    </row>
    <row r="462" spans="2:50" x14ac:dyDescent="0.2">
      <c r="B462" s="7" t="s">
        <v>47</v>
      </c>
      <c r="C462" s="8">
        <v>11226</v>
      </c>
      <c r="D462" s="9" t="s">
        <v>825</v>
      </c>
      <c r="E462" s="10" t="s">
        <v>826</v>
      </c>
      <c r="F462" s="10" t="s">
        <v>827</v>
      </c>
      <c r="G462" s="8">
        <v>1</v>
      </c>
      <c r="H462" s="11">
        <v>400</v>
      </c>
      <c r="I462" s="12">
        <v>42435</v>
      </c>
      <c r="J462" s="13">
        <f t="shared" si="17"/>
        <v>0</v>
      </c>
      <c r="K462" s="14"/>
      <c r="L462" s="14"/>
      <c r="M462" s="14">
        <v>400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15">
        <f t="shared" si="18"/>
        <v>400</v>
      </c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5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5"/>
      <c r="AX462" s="16"/>
    </row>
    <row r="463" spans="2:50" x14ac:dyDescent="0.2">
      <c r="B463" s="7" t="s">
        <v>69</v>
      </c>
      <c r="C463" s="8">
        <v>11227</v>
      </c>
      <c r="D463" s="9" t="s">
        <v>828</v>
      </c>
      <c r="E463" s="10" t="s">
        <v>829</v>
      </c>
      <c r="F463" s="10" t="s">
        <v>830</v>
      </c>
      <c r="G463" s="8">
        <v>1</v>
      </c>
      <c r="H463" s="11">
        <v>600</v>
      </c>
      <c r="I463" s="12">
        <v>42435</v>
      </c>
      <c r="J463" s="13">
        <f t="shared" si="17"/>
        <v>0</v>
      </c>
      <c r="K463" s="14">
        <v>200</v>
      </c>
      <c r="L463" s="14">
        <v>200</v>
      </c>
      <c r="M463" s="14">
        <v>200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5">
        <f t="shared" si="18"/>
        <v>600</v>
      </c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5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5"/>
      <c r="AX463" s="16"/>
    </row>
    <row r="464" spans="2:50" x14ac:dyDescent="0.2">
      <c r="B464" s="7" t="s">
        <v>37</v>
      </c>
      <c r="C464" s="8">
        <v>11228</v>
      </c>
      <c r="D464" s="9" t="s">
        <v>364</v>
      </c>
      <c r="E464" s="10" t="s">
        <v>365</v>
      </c>
      <c r="F464" s="10" t="s">
        <v>366</v>
      </c>
      <c r="G464" s="8">
        <v>1</v>
      </c>
      <c r="H464" s="11">
        <v>600</v>
      </c>
      <c r="I464" s="12">
        <v>42435</v>
      </c>
      <c r="J464" s="13">
        <f t="shared" si="17"/>
        <v>0</v>
      </c>
      <c r="K464" s="14"/>
      <c r="L464" s="14">
        <v>300</v>
      </c>
      <c r="M464" s="14">
        <v>300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5">
        <f t="shared" si="18"/>
        <v>600</v>
      </c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5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5"/>
      <c r="AX464" s="16"/>
    </row>
    <row r="465" spans="2:50" x14ac:dyDescent="0.2">
      <c r="B465" s="7" t="s">
        <v>47</v>
      </c>
      <c r="C465" s="8">
        <v>11229</v>
      </c>
      <c r="D465" s="9" t="s">
        <v>48</v>
      </c>
      <c r="E465" s="10" t="s">
        <v>49</v>
      </c>
      <c r="F465" s="10" t="s">
        <v>50</v>
      </c>
      <c r="G465" s="8">
        <v>1</v>
      </c>
      <c r="H465" s="11">
        <v>800</v>
      </c>
      <c r="I465" s="12">
        <v>42435</v>
      </c>
      <c r="J465" s="13">
        <f t="shared" si="17"/>
        <v>0</v>
      </c>
      <c r="K465" s="14"/>
      <c r="L465" s="14">
        <v>400</v>
      </c>
      <c r="M465" s="14">
        <v>400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15">
        <f t="shared" si="18"/>
        <v>800</v>
      </c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5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5"/>
      <c r="AX465" s="16"/>
    </row>
    <row r="466" spans="2:50" x14ac:dyDescent="0.2">
      <c r="B466" s="7" t="s">
        <v>73</v>
      </c>
      <c r="C466" s="8">
        <v>11230</v>
      </c>
      <c r="D466" s="9" t="s">
        <v>109</v>
      </c>
      <c r="E466" s="10" t="s">
        <v>110</v>
      </c>
      <c r="F466" s="10" t="s">
        <v>111</v>
      </c>
      <c r="G466" s="8">
        <v>1</v>
      </c>
      <c r="H466" s="11">
        <v>400</v>
      </c>
      <c r="I466" s="12">
        <v>42435</v>
      </c>
      <c r="J466" s="13">
        <f t="shared" si="17"/>
        <v>0</v>
      </c>
      <c r="K466" s="14"/>
      <c r="L466" s="14">
        <v>400</v>
      </c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5">
        <f t="shared" si="18"/>
        <v>400</v>
      </c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5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5"/>
      <c r="AX466" s="16"/>
    </row>
    <row r="467" spans="2:50" x14ac:dyDescent="0.2">
      <c r="B467" s="7" t="s">
        <v>69</v>
      </c>
      <c r="C467" s="8">
        <v>11231</v>
      </c>
      <c r="D467" s="9" t="s">
        <v>831</v>
      </c>
      <c r="E467" s="10" t="s">
        <v>832</v>
      </c>
      <c r="F467" s="10" t="s">
        <v>833</v>
      </c>
      <c r="G467" s="8">
        <v>1</v>
      </c>
      <c r="H467" s="11">
        <v>800</v>
      </c>
      <c r="I467" s="12">
        <v>42435</v>
      </c>
      <c r="J467" s="13">
        <f t="shared" si="17"/>
        <v>0</v>
      </c>
      <c r="K467" s="14"/>
      <c r="L467" s="14">
        <v>400</v>
      </c>
      <c r="M467" s="14">
        <v>400</v>
      </c>
      <c r="N467" s="14"/>
      <c r="O467" s="14"/>
      <c r="P467" s="14"/>
      <c r="Q467" s="14"/>
      <c r="R467" s="14"/>
      <c r="S467" s="14"/>
      <c r="T467" s="14"/>
      <c r="U467" s="14"/>
      <c r="V467" s="14"/>
      <c r="W467" s="15">
        <f t="shared" si="18"/>
        <v>800</v>
      </c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5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5"/>
      <c r="AX467" s="16"/>
    </row>
    <row r="468" spans="2:50" x14ac:dyDescent="0.2">
      <c r="B468" s="7" t="s">
        <v>47</v>
      </c>
      <c r="C468" s="8">
        <v>11232</v>
      </c>
      <c r="D468" s="9" t="s">
        <v>313</v>
      </c>
      <c r="E468" s="10" t="s">
        <v>314</v>
      </c>
      <c r="F468" s="10" t="s">
        <v>315</v>
      </c>
      <c r="G468" s="8">
        <v>1</v>
      </c>
      <c r="H468" s="11">
        <v>400</v>
      </c>
      <c r="I468" s="12">
        <v>42435</v>
      </c>
      <c r="J468" s="13">
        <f t="shared" si="17"/>
        <v>0</v>
      </c>
      <c r="K468" s="14"/>
      <c r="L468" s="14"/>
      <c r="M468" s="14">
        <v>400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f t="shared" si="18"/>
        <v>400</v>
      </c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5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5"/>
      <c r="AX468" s="16"/>
    </row>
    <row r="469" spans="2:50" x14ac:dyDescent="0.2">
      <c r="B469" s="7" t="s">
        <v>37</v>
      </c>
      <c r="C469" s="8">
        <v>11233</v>
      </c>
      <c r="D469" s="9" t="s">
        <v>307</v>
      </c>
      <c r="E469" s="10" t="s">
        <v>308</v>
      </c>
      <c r="F469" s="10" t="s">
        <v>309</v>
      </c>
      <c r="G469" s="8">
        <v>1</v>
      </c>
      <c r="H469" s="11">
        <v>350</v>
      </c>
      <c r="I469" s="12">
        <v>42435</v>
      </c>
      <c r="J469" s="13">
        <f t="shared" si="17"/>
        <v>0</v>
      </c>
      <c r="K469" s="14"/>
      <c r="L469" s="14"/>
      <c r="M469" s="14">
        <v>350</v>
      </c>
      <c r="N469" s="14"/>
      <c r="O469" s="14"/>
      <c r="P469" s="14"/>
      <c r="Q469" s="14"/>
      <c r="R469" s="14"/>
      <c r="S469" s="14"/>
      <c r="T469" s="14"/>
      <c r="U469" s="14"/>
      <c r="V469" s="14"/>
      <c r="W469" s="15">
        <f t="shared" si="18"/>
        <v>350</v>
      </c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5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5"/>
      <c r="AX469" s="16"/>
    </row>
    <row r="470" spans="2:50" x14ac:dyDescent="0.2">
      <c r="B470" s="7" t="s">
        <v>47</v>
      </c>
      <c r="C470" s="8">
        <v>11234</v>
      </c>
      <c r="D470" s="9" t="s">
        <v>620</v>
      </c>
      <c r="E470" s="10" t="s">
        <v>621</v>
      </c>
      <c r="F470" s="10" t="s">
        <v>366</v>
      </c>
      <c r="G470" s="8">
        <v>1</v>
      </c>
      <c r="H470" s="11">
        <v>400</v>
      </c>
      <c r="I470" s="12">
        <v>42435</v>
      </c>
      <c r="J470" s="13">
        <f t="shared" si="17"/>
        <v>0</v>
      </c>
      <c r="K470" s="14"/>
      <c r="L470" s="14">
        <v>400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5">
        <f t="shared" si="18"/>
        <v>400</v>
      </c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5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5"/>
      <c r="AX470" s="16"/>
    </row>
    <row r="471" spans="2:50" x14ac:dyDescent="0.2">
      <c r="B471" s="7" t="s">
        <v>69</v>
      </c>
      <c r="C471" s="8">
        <v>11235</v>
      </c>
      <c r="D471" s="9" t="s">
        <v>834</v>
      </c>
      <c r="E471" s="10" t="s">
        <v>835</v>
      </c>
      <c r="F471" s="10" t="s">
        <v>836</v>
      </c>
      <c r="G471" s="8">
        <v>1</v>
      </c>
      <c r="H471" s="11">
        <v>600</v>
      </c>
      <c r="I471" s="12">
        <v>42435</v>
      </c>
      <c r="J471" s="13">
        <f t="shared" si="17"/>
        <v>0</v>
      </c>
      <c r="K471" s="14">
        <v>300</v>
      </c>
      <c r="L471" s="14">
        <v>300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>
        <f t="shared" si="18"/>
        <v>600</v>
      </c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5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5"/>
      <c r="AX471" s="16"/>
    </row>
    <row r="472" spans="2:50" x14ac:dyDescent="0.2">
      <c r="B472" s="7" t="s">
        <v>77</v>
      </c>
      <c r="C472" s="8">
        <v>11236</v>
      </c>
      <c r="D472" s="9" t="s">
        <v>725</v>
      </c>
      <c r="E472" s="10" t="s">
        <v>726</v>
      </c>
      <c r="F472" s="10" t="s">
        <v>727</v>
      </c>
      <c r="G472" s="8">
        <v>1</v>
      </c>
      <c r="H472" s="11">
        <v>400</v>
      </c>
      <c r="I472" s="12">
        <v>42435</v>
      </c>
      <c r="J472" s="13">
        <f t="shared" si="17"/>
        <v>0</v>
      </c>
      <c r="K472" s="14"/>
      <c r="L472" s="14">
        <v>400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>
        <f t="shared" si="18"/>
        <v>400</v>
      </c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5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5"/>
      <c r="AX472" s="16"/>
    </row>
    <row r="473" spans="2:50" x14ac:dyDescent="0.2">
      <c r="B473" s="7" t="s">
        <v>47</v>
      </c>
      <c r="C473" s="8">
        <v>11237</v>
      </c>
      <c r="D473" s="9" t="s">
        <v>404</v>
      </c>
      <c r="E473" s="10" t="s">
        <v>405</v>
      </c>
      <c r="F473" s="10" t="s">
        <v>406</v>
      </c>
      <c r="G473" s="8">
        <v>1</v>
      </c>
      <c r="H473" s="11">
        <v>400</v>
      </c>
      <c r="I473" s="12">
        <v>42435</v>
      </c>
      <c r="J473" s="13">
        <f t="shared" si="17"/>
        <v>0</v>
      </c>
      <c r="K473" s="14"/>
      <c r="L473" s="14"/>
      <c r="M473" s="14">
        <v>400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5">
        <f t="shared" si="18"/>
        <v>400</v>
      </c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5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5"/>
      <c r="AX473" s="16"/>
    </row>
    <row r="474" spans="2:50" x14ac:dyDescent="0.2">
      <c r="B474" s="7" t="s">
        <v>69</v>
      </c>
      <c r="C474" s="8">
        <v>11238</v>
      </c>
      <c r="D474" s="9" t="s">
        <v>696</v>
      </c>
      <c r="E474" s="10" t="s">
        <v>697</v>
      </c>
      <c r="F474" s="10" t="s">
        <v>698</v>
      </c>
      <c r="G474" s="8">
        <v>1</v>
      </c>
      <c r="H474" s="11">
        <v>300</v>
      </c>
      <c r="I474" s="12">
        <v>42435</v>
      </c>
      <c r="J474" s="13">
        <f t="shared" si="17"/>
        <v>0</v>
      </c>
      <c r="K474" s="14"/>
      <c r="L474" s="14"/>
      <c r="M474" s="14">
        <v>300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5">
        <f t="shared" si="18"/>
        <v>300</v>
      </c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5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5"/>
      <c r="AX474" s="16"/>
    </row>
    <row r="475" spans="2:50" x14ac:dyDescent="0.2">
      <c r="B475" s="7" t="s">
        <v>47</v>
      </c>
      <c r="C475" s="8">
        <v>11239</v>
      </c>
      <c r="D475" s="9" t="s">
        <v>705</v>
      </c>
      <c r="E475" s="10" t="s">
        <v>706</v>
      </c>
      <c r="F475" s="10" t="s">
        <v>707</v>
      </c>
      <c r="G475" s="8">
        <v>1</v>
      </c>
      <c r="H475" s="11">
        <v>300</v>
      </c>
      <c r="I475" s="12">
        <v>42435</v>
      </c>
      <c r="J475" s="13">
        <f t="shared" si="17"/>
        <v>0</v>
      </c>
      <c r="K475" s="14"/>
      <c r="L475" s="14"/>
      <c r="M475" s="14">
        <v>300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5">
        <f t="shared" si="18"/>
        <v>300</v>
      </c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5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5"/>
      <c r="AX475" s="16"/>
    </row>
    <row r="476" spans="2:50" x14ac:dyDescent="0.2">
      <c r="B476" s="7" t="s">
        <v>69</v>
      </c>
      <c r="C476" s="8">
        <v>11240</v>
      </c>
      <c r="D476" s="9" t="s">
        <v>467</v>
      </c>
      <c r="E476" s="10" t="s">
        <v>468</v>
      </c>
      <c r="F476" s="10" t="s">
        <v>469</v>
      </c>
      <c r="G476" s="8">
        <v>1</v>
      </c>
      <c r="H476" s="11">
        <v>800</v>
      </c>
      <c r="I476" s="12">
        <v>42435</v>
      </c>
      <c r="J476" s="13">
        <f t="shared" si="17"/>
        <v>0</v>
      </c>
      <c r="K476" s="14"/>
      <c r="L476" s="14">
        <v>400</v>
      </c>
      <c r="M476" s="14">
        <v>400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5">
        <f t="shared" si="18"/>
        <v>800</v>
      </c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5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5"/>
      <c r="AX476" s="16"/>
    </row>
    <row r="477" spans="2:50" x14ac:dyDescent="0.2">
      <c r="B477" s="7" t="s">
        <v>69</v>
      </c>
      <c r="C477" s="8">
        <v>11241</v>
      </c>
      <c r="D477" s="9" t="s">
        <v>467</v>
      </c>
      <c r="E477" s="10" t="s">
        <v>468</v>
      </c>
      <c r="F477" s="10" t="s">
        <v>469</v>
      </c>
      <c r="G477" s="8">
        <v>1</v>
      </c>
      <c r="H477" s="11">
        <v>400</v>
      </c>
      <c r="I477" s="12">
        <v>42435</v>
      </c>
      <c r="J477" s="13">
        <f t="shared" si="17"/>
        <v>0</v>
      </c>
      <c r="K477" s="14"/>
      <c r="L477" s="14"/>
      <c r="M477" s="14"/>
      <c r="N477" s="14">
        <v>400</v>
      </c>
      <c r="O477" s="14"/>
      <c r="P477" s="14"/>
      <c r="Q477" s="14"/>
      <c r="R477" s="14"/>
      <c r="S477" s="14"/>
      <c r="T477" s="14"/>
      <c r="U477" s="14"/>
      <c r="V477" s="14"/>
      <c r="W477" s="15">
        <f t="shared" si="18"/>
        <v>400</v>
      </c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5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5"/>
      <c r="AX477" s="16"/>
    </row>
    <row r="478" spans="2:50" x14ac:dyDescent="0.2">
      <c r="B478" s="7" t="s">
        <v>69</v>
      </c>
      <c r="C478" s="8">
        <v>11242</v>
      </c>
      <c r="D478" s="9" t="s">
        <v>562</v>
      </c>
      <c r="E478" s="10" t="s">
        <v>563</v>
      </c>
      <c r="F478" s="10" t="s">
        <v>564</v>
      </c>
      <c r="G478" s="8">
        <v>1</v>
      </c>
      <c r="H478" s="11">
        <v>400</v>
      </c>
      <c r="I478" s="12">
        <v>42435</v>
      </c>
      <c r="J478" s="13">
        <f t="shared" si="17"/>
        <v>0</v>
      </c>
      <c r="K478" s="14"/>
      <c r="L478" s="14">
        <v>400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5">
        <f t="shared" si="18"/>
        <v>400</v>
      </c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5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5"/>
      <c r="AX478" s="16"/>
    </row>
    <row r="479" spans="2:50" x14ac:dyDescent="0.2">
      <c r="B479" s="7" t="s">
        <v>47</v>
      </c>
      <c r="C479" s="8">
        <v>11243</v>
      </c>
      <c r="D479" s="9" t="s">
        <v>97</v>
      </c>
      <c r="E479" s="10" t="s">
        <v>98</v>
      </c>
      <c r="F479" s="10" t="s">
        <v>99</v>
      </c>
      <c r="G479" s="8">
        <v>1</v>
      </c>
      <c r="H479" s="11">
        <v>400</v>
      </c>
      <c r="I479" s="12">
        <v>42435</v>
      </c>
      <c r="J479" s="13">
        <f t="shared" si="17"/>
        <v>0</v>
      </c>
      <c r="K479" s="14"/>
      <c r="L479" s="14"/>
      <c r="M479" s="14">
        <v>400</v>
      </c>
      <c r="N479" s="14"/>
      <c r="O479" s="14"/>
      <c r="P479" s="14"/>
      <c r="Q479" s="14"/>
      <c r="R479" s="14"/>
      <c r="S479" s="14"/>
      <c r="T479" s="14"/>
      <c r="U479" s="14"/>
      <c r="V479" s="14"/>
      <c r="W479" s="15">
        <f t="shared" si="18"/>
        <v>400</v>
      </c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5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5"/>
      <c r="AX479" s="16"/>
    </row>
    <row r="480" spans="2:50" x14ac:dyDescent="0.2">
      <c r="B480" s="7" t="s">
        <v>69</v>
      </c>
      <c r="C480" s="8">
        <v>11244</v>
      </c>
      <c r="D480" s="9" t="s">
        <v>562</v>
      </c>
      <c r="E480" s="10" t="s">
        <v>563</v>
      </c>
      <c r="F480" s="10" t="s">
        <v>564</v>
      </c>
      <c r="G480" s="8">
        <v>1</v>
      </c>
      <c r="H480" s="11">
        <v>400</v>
      </c>
      <c r="I480" s="12">
        <v>42435</v>
      </c>
      <c r="J480" s="13">
        <f t="shared" si="17"/>
        <v>0</v>
      </c>
      <c r="K480" s="14"/>
      <c r="L480" s="14"/>
      <c r="M480" s="14">
        <v>400</v>
      </c>
      <c r="N480" s="14"/>
      <c r="O480" s="14"/>
      <c r="P480" s="14"/>
      <c r="Q480" s="14"/>
      <c r="R480" s="14"/>
      <c r="S480" s="14"/>
      <c r="T480" s="14"/>
      <c r="U480" s="14"/>
      <c r="V480" s="14"/>
      <c r="W480" s="15">
        <f t="shared" si="18"/>
        <v>400</v>
      </c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5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5"/>
      <c r="AX480" s="16"/>
    </row>
    <row r="481" spans="2:50" x14ac:dyDescent="0.2">
      <c r="B481" s="7" t="s">
        <v>69</v>
      </c>
      <c r="C481" s="8">
        <v>11245</v>
      </c>
      <c r="D481" s="9" t="s">
        <v>831</v>
      </c>
      <c r="E481" s="10" t="s">
        <v>832</v>
      </c>
      <c r="F481" s="10" t="s">
        <v>833</v>
      </c>
      <c r="G481" s="8">
        <v>1</v>
      </c>
      <c r="H481" s="11">
        <v>400</v>
      </c>
      <c r="I481" s="12">
        <v>42435</v>
      </c>
      <c r="J481" s="13">
        <f t="shared" si="17"/>
        <v>0</v>
      </c>
      <c r="K481" s="14">
        <v>400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5">
        <f t="shared" si="18"/>
        <v>400</v>
      </c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5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5"/>
      <c r="AX481" s="16"/>
    </row>
    <row r="482" spans="2:50" x14ac:dyDescent="0.2">
      <c r="B482" s="7" t="s">
        <v>73</v>
      </c>
      <c r="C482" s="8">
        <v>11246</v>
      </c>
      <c r="D482" s="9" t="s">
        <v>126</v>
      </c>
      <c r="E482" s="10" t="s">
        <v>127</v>
      </c>
      <c r="F482" s="10" t="s">
        <v>128</v>
      </c>
      <c r="G482" s="8">
        <v>4</v>
      </c>
      <c r="H482" s="11">
        <v>160</v>
      </c>
      <c r="I482" s="12">
        <v>42435</v>
      </c>
      <c r="J482" s="13">
        <f t="shared" si="17"/>
        <v>0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5">
        <f t="shared" si="18"/>
        <v>0</v>
      </c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5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5"/>
      <c r="AX482" s="16"/>
    </row>
    <row r="483" spans="2:50" x14ac:dyDescent="0.2">
      <c r="B483" s="7" t="s">
        <v>73</v>
      </c>
      <c r="C483" s="8">
        <v>11247</v>
      </c>
      <c r="D483" s="9" t="s">
        <v>837</v>
      </c>
      <c r="E483" s="10" t="s">
        <v>838</v>
      </c>
      <c r="F483" s="10" t="s">
        <v>839</v>
      </c>
      <c r="G483" s="8">
        <v>1</v>
      </c>
      <c r="H483" s="11">
        <v>1200</v>
      </c>
      <c r="I483" s="12">
        <v>42435</v>
      </c>
      <c r="J483" s="13">
        <f t="shared" si="17"/>
        <v>0</v>
      </c>
      <c r="K483" s="14">
        <v>400</v>
      </c>
      <c r="L483" s="14">
        <v>400</v>
      </c>
      <c r="M483" s="14">
        <v>400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5">
        <f t="shared" si="18"/>
        <v>1200</v>
      </c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5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5"/>
      <c r="AX483" s="16"/>
    </row>
    <row r="484" spans="2:50" x14ac:dyDescent="0.2">
      <c r="B484" s="7" t="s">
        <v>37</v>
      </c>
      <c r="C484" s="8">
        <v>11248</v>
      </c>
      <c r="D484" s="9" t="s">
        <v>520</v>
      </c>
      <c r="E484" s="10" t="s">
        <v>521</v>
      </c>
      <c r="F484" s="10" t="s">
        <v>522</v>
      </c>
      <c r="G484" s="8">
        <v>1</v>
      </c>
      <c r="H484" s="11">
        <v>800</v>
      </c>
      <c r="I484" s="12">
        <v>42435</v>
      </c>
      <c r="J484" s="13">
        <f t="shared" si="17"/>
        <v>0</v>
      </c>
      <c r="K484" s="14"/>
      <c r="L484" s="14"/>
      <c r="M484" s="14">
        <v>400</v>
      </c>
      <c r="N484" s="14">
        <v>400</v>
      </c>
      <c r="O484" s="14"/>
      <c r="P484" s="14"/>
      <c r="Q484" s="14"/>
      <c r="R484" s="14"/>
      <c r="S484" s="14"/>
      <c r="T484" s="14"/>
      <c r="U484" s="14"/>
      <c r="V484" s="14"/>
      <c r="W484" s="15">
        <f t="shared" si="18"/>
        <v>800</v>
      </c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5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5"/>
      <c r="AX484" s="16"/>
    </row>
    <row r="485" spans="2:50" x14ac:dyDescent="0.2">
      <c r="B485" s="7" t="s">
        <v>73</v>
      </c>
      <c r="C485" s="8">
        <v>11249</v>
      </c>
      <c r="D485" s="9" t="s">
        <v>611</v>
      </c>
      <c r="E485" s="10" t="s">
        <v>612</v>
      </c>
      <c r="F485" s="10" t="s">
        <v>613</v>
      </c>
      <c r="G485" s="8">
        <v>1</v>
      </c>
      <c r="H485" s="11">
        <v>400</v>
      </c>
      <c r="I485" s="12">
        <v>42435</v>
      </c>
      <c r="J485" s="13">
        <f t="shared" si="17"/>
        <v>0</v>
      </c>
      <c r="K485" s="14"/>
      <c r="L485" s="14"/>
      <c r="M485" s="14">
        <v>400</v>
      </c>
      <c r="N485" s="14"/>
      <c r="O485" s="14"/>
      <c r="P485" s="14"/>
      <c r="Q485" s="14"/>
      <c r="R485" s="14"/>
      <c r="S485" s="14"/>
      <c r="T485" s="14"/>
      <c r="U485" s="14"/>
      <c r="V485" s="14"/>
      <c r="W485" s="15">
        <f t="shared" si="18"/>
        <v>400</v>
      </c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5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5"/>
      <c r="AX485" s="16"/>
    </row>
    <row r="486" spans="2:50" x14ac:dyDescent="0.2">
      <c r="B486" s="7" t="s">
        <v>47</v>
      </c>
      <c r="C486" s="8">
        <v>11250</v>
      </c>
      <c r="D486" s="9" t="s">
        <v>153</v>
      </c>
      <c r="E486" s="10" t="s">
        <v>154</v>
      </c>
      <c r="F486" s="10" t="s">
        <v>155</v>
      </c>
      <c r="G486" s="8">
        <v>1</v>
      </c>
      <c r="H486" s="11">
        <v>400</v>
      </c>
      <c r="I486" s="12">
        <v>42435</v>
      </c>
      <c r="J486" s="13">
        <f t="shared" si="17"/>
        <v>0</v>
      </c>
      <c r="K486" s="14"/>
      <c r="L486" s="14"/>
      <c r="M486" s="14">
        <v>400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5">
        <f t="shared" si="18"/>
        <v>400</v>
      </c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5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5"/>
      <c r="AX486" s="16"/>
    </row>
    <row r="487" spans="2:50" x14ac:dyDescent="0.2">
      <c r="B487" s="7" t="s">
        <v>77</v>
      </c>
      <c r="C487" s="8">
        <v>11251</v>
      </c>
      <c r="D487" s="9" t="s">
        <v>286</v>
      </c>
      <c r="E487" s="10" t="s">
        <v>287</v>
      </c>
      <c r="F487" s="10" t="s">
        <v>288</v>
      </c>
      <c r="G487" s="8">
        <v>1</v>
      </c>
      <c r="H487" s="11">
        <v>400</v>
      </c>
      <c r="I487" s="12">
        <v>42435</v>
      </c>
      <c r="J487" s="13">
        <f t="shared" si="17"/>
        <v>0</v>
      </c>
      <c r="K487" s="14"/>
      <c r="L487" s="14"/>
      <c r="M487" s="14">
        <v>400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5">
        <f t="shared" si="18"/>
        <v>400</v>
      </c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5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5"/>
      <c r="AX487" s="16"/>
    </row>
    <row r="488" spans="2:50" x14ac:dyDescent="0.2">
      <c r="B488" s="7" t="s">
        <v>47</v>
      </c>
      <c r="C488" s="8">
        <v>11252</v>
      </c>
      <c r="D488" s="9" t="s">
        <v>183</v>
      </c>
      <c r="E488" s="10" t="s">
        <v>184</v>
      </c>
      <c r="F488" s="10" t="s">
        <v>185</v>
      </c>
      <c r="G488" s="8">
        <v>1</v>
      </c>
      <c r="H488" s="11">
        <v>400</v>
      </c>
      <c r="I488" s="12">
        <v>42435</v>
      </c>
      <c r="J488" s="13">
        <f t="shared" si="17"/>
        <v>0</v>
      </c>
      <c r="K488" s="14"/>
      <c r="L488" s="14">
        <v>400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5">
        <f t="shared" si="18"/>
        <v>400</v>
      </c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5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5"/>
      <c r="AX488" s="16"/>
    </row>
    <row r="489" spans="2:50" x14ac:dyDescent="0.2">
      <c r="B489" s="7" t="s">
        <v>77</v>
      </c>
      <c r="C489" s="8">
        <v>11253</v>
      </c>
      <c r="D489" s="9" t="s">
        <v>156</v>
      </c>
      <c r="E489" s="10" t="s">
        <v>157</v>
      </c>
      <c r="F489" s="10" t="s">
        <v>158</v>
      </c>
      <c r="G489" s="8">
        <v>1</v>
      </c>
      <c r="H489" s="11">
        <v>300</v>
      </c>
      <c r="I489" s="12">
        <v>42435</v>
      </c>
      <c r="J489" s="13">
        <f t="shared" si="17"/>
        <v>0</v>
      </c>
      <c r="K489" s="14"/>
      <c r="L489" s="14"/>
      <c r="M489" s="14">
        <v>300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15">
        <f t="shared" si="18"/>
        <v>300</v>
      </c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5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5"/>
      <c r="AX489" s="16"/>
    </row>
    <row r="490" spans="2:50" x14ac:dyDescent="0.2">
      <c r="B490" s="7" t="s">
        <v>69</v>
      </c>
      <c r="C490" s="8">
        <v>11254</v>
      </c>
      <c r="D490" s="9" t="s">
        <v>687</v>
      </c>
      <c r="E490" s="10" t="s">
        <v>688</v>
      </c>
      <c r="F490" s="10" t="s">
        <v>689</v>
      </c>
      <c r="G490" s="8">
        <v>1</v>
      </c>
      <c r="H490" s="11">
        <v>400</v>
      </c>
      <c r="I490" s="12">
        <v>42435</v>
      </c>
      <c r="J490" s="13">
        <f t="shared" si="17"/>
        <v>0</v>
      </c>
      <c r="K490" s="14"/>
      <c r="L490" s="14">
        <v>200</v>
      </c>
      <c r="M490" s="14">
        <v>200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15">
        <f t="shared" si="18"/>
        <v>400</v>
      </c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5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5"/>
      <c r="AX490" s="16"/>
    </row>
    <row r="491" spans="2:50" x14ac:dyDescent="0.2">
      <c r="B491" s="7" t="s">
        <v>69</v>
      </c>
      <c r="C491" s="8">
        <v>11255</v>
      </c>
      <c r="D491" s="9" t="s">
        <v>135</v>
      </c>
      <c r="E491" s="10" t="s">
        <v>136</v>
      </c>
      <c r="F491" s="10" t="s">
        <v>137</v>
      </c>
      <c r="G491" s="8">
        <v>1</v>
      </c>
      <c r="H491" s="11">
        <v>300</v>
      </c>
      <c r="I491" s="12">
        <v>42435</v>
      </c>
      <c r="J491" s="13">
        <f t="shared" si="17"/>
        <v>0</v>
      </c>
      <c r="K491" s="14"/>
      <c r="L491" s="14"/>
      <c r="M491" s="14">
        <v>300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5">
        <f t="shared" si="18"/>
        <v>300</v>
      </c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5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5"/>
      <c r="AX491" s="16"/>
    </row>
    <row r="492" spans="2:50" x14ac:dyDescent="0.2">
      <c r="B492" s="7" t="s">
        <v>47</v>
      </c>
      <c r="C492" s="8">
        <v>11256</v>
      </c>
      <c r="D492" s="9" t="s">
        <v>328</v>
      </c>
      <c r="E492" s="10" t="s">
        <v>329</v>
      </c>
      <c r="F492" s="10" t="s">
        <v>330</v>
      </c>
      <c r="G492" s="8">
        <v>1</v>
      </c>
      <c r="H492" s="11">
        <v>400</v>
      </c>
      <c r="I492" s="12">
        <v>42435</v>
      </c>
      <c r="J492" s="13">
        <f t="shared" si="17"/>
        <v>0</v>
      </c>
      <c r="K492" s="14"/>
      <c r="L492" s="14"/>
      <c r="M492" s="14">
        <v>400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5">
        <f t="shared" si="18"/>
        <v>400</v>
      </c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5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5"/>
      <c r="AX492" s="16"/>
    </row>
    <row r="493" spans="2:50" x14ac:dyDescent="0.2">
      <c r="B493" s="7" t="s">
        <v>77</v>
      </c>
      <c r="C493" s="8">
        <v>11257</v>
      </c>
      <c r="D493" s="9" t="s">
        <v>87</v>
      </c>
      <c r="E493" s="10" t="s">
        <v>88</v>
      </c>
      <c r="F493" s="10" t="s">
        <v>89</v>
      </c>
      <c r="G493" s="8">
        <v>1</v>
      </c>
      <c r="H493" s="11">
        <v>400</v>
      </c>
      <c r="I493" s="12">
        <v>42435</v>
      </c>
      <c r="J493" s="13">
        <f t="shared" si="17"/>
        <v>0</v>
      </c>
      <c r="K493" s="14"/>
      <c r="L493" s="14"/>
      <c r="M493" s="14">
        <v>400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5">
        <f t="shared" si="18"/>
        <v>400</v>
      </c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5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5"/>
      <c r="AX493" s="16"/>
    </row>
    <row r="494" spans="2:50" x14ac:dyDescent="0.2">
      <c r="B494" s="7" t="s">
        <v>73</v>
      </c>
      <c r="C494" s="8">
        <v>11258</v>
      </c>
      <c r="D494" s="9" t="s">
        <v>112</v>
      </c>
      <c r="E494" s="10" t="s">
        <v>113</v>
      </c>
      <c r="F494" s="10" t="s">
        <v>114</v>
      </c>
      <c r="G494" s="8">
        <v>1</v>
      </c>
      <c r="H494" s="11">
        <v>250</v>
      </c>
      <c r="I494" s="12">
        <v>42435</v>
      </c>
      <c r="J494" s="13">
        <f t="shared" si="17"/>
        <v>0</v>
      </c>
      <c r="K494" s="14"/>
      <c r="L494" s="14">
        <v>250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5">
        <f t="shared" si="18"/>
        <v>250</v>
      </c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5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5"/>
      <c r="AX494" s="16"/>
    </row>
    <row r="495" spans="2:50" x14ac:dyDescent="0.2">
      <c r="B495" s="7" t="s">
        <v>122</v>
      </c>
      <c r="C495" s="8">
        <v>11259</v>
      </c>
      <c r="D495" s="9" t="s">
        <v>262</v>
      </c>
      <c r="E495" s="10" t="s">
        <v>263</v>
      </c>
      <c r="F495" s="10" t="s">
        <v>264</v>
      </c>
      <c r="G495" s="8">
        <v>1</v>
      </c>
      <c r="H495" s="11">
        <v>300</v>
      </c>
      <c r="I495" s="12">
        <v>42435</v>
      </c>
      <c r="J495" s="13">
        <f t="shared" si="17"/>
        <v>0</v>
      </c>
      <c r="K495" s="14"/>
      <c r="L495" s="14"/>
      <c r="M495" s="14">
        <v>300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5">
        <f t="shared" si="18"/>
        <v>300</v>
      </c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5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5"/>
      <c r="AX495" s="16"/>
    </row>
    <row r="496" spans="2:50" x14ac:dyDescent="0.2">
      <c r="B496" s="7" t="s">
        <v>37</v>
      </c>
      <c r="C496" s="8">
        <v>11260</v>
      </c>
      <c r="D496" s="9" t="s">
        <v>840</v>
      </c>
      <c r="E496" s="10" t="s">
        <v>841</v>
      </c>
      <c r="F496" s="10" t="s">
        <v>842</v>
      </c>
      <c r="G496" s="8">
        <v>1</v>
      </c>
      <c r="H496" s="11">
        <v>800</v>
      </c>
      <c r="I496" s="12">
        <v>42435</v>
      </c>
      <c r="J496" s="13">
        <f t="shared" si="17"/>
        <v>0</v>
      </c>
      <c r="K496" s="14">
        <v>400</v>
      </c>
      <c r="L496" s="14">
        <v>400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5">
        <f t="shared" si="18"/>
        <v>800</v>
      </c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5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5"/>
      <c r="AX496" s="16"/>
    </row>
    <row r="497" spans="2:50" x14ac:dyDescent="0.2">
      <c r="B497" s="7" t="s">
        <v>37</v>
      </c>
      <c r="C497" s="8">
        <v>11261</v>
      </c>
      <c r="D497" s="9" t="s">
        <v>843</v>
      </c>
      <c r="E497" s="10" t="s">
        <v>844</v>
      </c>
      <c r="F497" s="10" t="s">
        <v>845</v>
      </c>
      <c r="G497" s="8">
        <v>1</v>
      </c>
      <c r="H497" s="11">
        <v>600</v>
      </c>
      <c r="I497" s="12">
        <v>42435</v>
      </c>
      <c r="J497" s="13">
        <f t="shared" si="17"/>
        <v>0</v>
      </c>
      <c r="K497" s="14">
        <v>200</v>
      </c>
      <c r="L497" s="14">
        <v>200</v>
      </c>
      <c r="M497" s="14">
        <v>200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5">
        <f t="shared" si="18"/>
        <v>600</v>
      </c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5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5"/>
      <c r="AX497" s="16"/>
    </row>
    <row r="498" spans="2:50" x14ac:dyDescent="0.2">
      <c r="B498" s="7" t="s">
        <v>77</v>
      </c>
      <c r="C498" s="8">
        <v>11262</v>
      </c>
      <c r="D498" s="9" t="s">
        <v>384</v>
      </c>
      <c r="E498" s="10" t="s">
        <v>385</v>
      </c>
      <c r="F498" s="10" t="s">
        <v>386</v>
      </c>
      <c r="G498" s="8">
        <v>1</v>
      </c>
      <c r="H498" s="11">
        <v>400</v>
      </c>
      <c r="I498" s="12">
        <v>42435</v>
      </c>
      <c r="J498" s="13">
        <f t="shared" ref="J498:J561" si="19">IF(G498=1,SUM(W498,-H498),0)</f>
        <v>0</v>
      </c>
      <c r="K498" s="14"/>
      <c r="L498" s="14"/>
      <c r="M498" s="14">
        <v>400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5">
        <f t="shared" ref="W498:W561" si="20">SUM(K498:V498)</f>
        <v>400</v>
      </c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5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5"/>
      <c r="AX498" s="16"/>
    </row>
    <row r="499" spans="2:50" x14ac:dyDescent="0.2">
      <c r="B499" s="7" t="s">
        <v>73</v>
      </c>
      <c r="C499" s="8">
        <v>11263</v>
      </c>
      <c r="D499" s="9" t="s">
        <v>846</v>
      </c>
      <c r="E499" s="10" t="s">
        <v>847</v>
      </c>
      <c r="F499" s="10" t="s">
        <v>848</v>
      </c>
      <c r="G499" s="8">
        <v>1</v>
      </c>
      <c r="H499" s="11">
        <v>1200</v>
      </c>
      <c r="I499" s="12">
        <v>42435</v>
      </c>
      <c r="J499" s="13">
        <f t="shared" si="19"/>
        <v>0</v>
      </c>
      <c r="K499" s="14">
        <v>400</v>
      </c>
      <c r="L499" s="14">
        <v>400</v>
      </c>
      <c r="M499" s="14">
        <v>400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5">
        <f t="shared" si="20"/>
        <v>1200</v>
      </c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5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5"/>
      <c r="AX499" s="16"/>
    </row>
    <row r="500" spans="2:50" x14ac:dyDescent="0.2">
      <c r="B500" s="7" t="s">
        <v>73</v>
      </c>
      <c r="C500" s="8">
        <v>11263</v>
      </c>
      <c r="D500" s="9" t="s">
        <v>846</v>
      </c>
      <c r="E500" s="10" t="s">
        <v>847</v>
      </c>
      <c r="F500" s="10" t="s">
        <v>848</v>
      </c>
      <c r="G500" s="8">
        <v>3</v>
      </c>
      <c r="H500" s="11">
        <v>160</v>
      </c>
      <c r="I500" s="12">
        <v>42435</v>
      </c>
      <c r="J500" s="13">
        <f t="shared" si="19"/>
        <v>0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5">
        <f t="shared" si="20"/>
        <v>0</v>
      </c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5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5"/>
      <c r="AX500" s="16"/>
    </row>
    <row r="501" spans="2:50" x14ac:dyDescent="0.2">
      <c r="B501" s="7" t="s">
        <v>69</v>
      </c>
      <c r="C501" s="8">
        <v>11264</v>
      </c>
      <c r="D501" s="9" t="s">
        <v>476</v>
      </c>
      <c r="E501" s="10" t="s">
        <v>477</v>
      </c>
      <c r="F501" s="10" t="s">
        <v>478</v>
      </c>
      <c r="G501" s="8">
        <v>1</v>
      </c>
      <c r="H501" s="11">
        <v>400</v>
      </c>
      <c r="I501" s="12">
        <v>42435</v>
      </c>
      <c r="J501" s="13">
        <f t="shared" si="19"/>
        <v>0</v>
      </c>
      <c r="K501" s="14"/>
      <c r="L501" s="14"/>
      <c r="M501" s="14">
        <v>400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5">
        <f t="shared" si="20"/>
        <v>400</v>
      </c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5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5"/>
      <c r="AX501" s="16"/>
    </row>
    <row r="502" spans="2:50" x14ac:dyDescent="0.2">
      <c r="B502" s="7" t="s">
        <v>47</v>
      </c>
      <c r="C502" s="8">
        <v>11265</v>
      </c>
      <c r="D502" s="9" t="s">
        <v>280</v>
      </c>
      <c r="E502" s="10" t="s">
        <v>281</v>
      </c>
      <c r="F502" s="10" t="s">
        <v>282</v>
      </c>
      <c r="G502" s="8">
        <v>1</v>
      </c>
      <c r="H502" s="11">
        <v>400</v>
      </c>
      <c r="I502" s="12">
        <v>42435</v>
      </c>
      <c r="J502" s="13">
        <f t="shared" si="19"/>
        <v>0</v>
      </c>
      <c r="K502" s="14"/>
      <c r="L502" s="14"/>
      <c r="M502" s="14">
        <v>400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5">
        <f t="shared" si="20"/>
        <v>400</v>
      </c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5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5"/>
      <c r="AX502" s="16"/>
    </row>
    <row r="503" spans="2:50" x14ac:dyDescent="0.2">
      <c r="B503" s="7" t="s">
        <v>47</v>
      </c>
      <c r="C503" s="8">
        <v>11266</v>
      </c>
      <c r="D503" s="9" t="s">
        <v>849</v>
      </c>
      <c r="E503" s="10" t="s">
        <v>850</v>
      </c>
      <c r="F503" s="10" t="s">
        <v>851</v>
      </c>
      <c r="G503" s="8">
        <v>1</v>
      </c>
      <c r="H503" s="11">
        <v>1200</v>
      </c>
      <c r="I503" s="12">
        <v>42435</v>
      </c>
      <c r="J503" s="13">
        <f t="shared" si="19"/>
        <v>0</v>
      </c>
      <c r="K503" s="14">
        <v>400</v>
      </c>
      <c r="L503" s="14">
        <v>400</v>
      </c>
      <c r="M503" s="14">
        <v>400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5">
        <f t="shared" si="20"/>
        <v>1200</v>
      </c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5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5"/>
      <c r="AX503" s="16"/>
    </row>
    <row r="504" spans="2:50" x14ac:dyDescent="0.2">
      <c r="B504" s="7" t="s">
        <v>122</v>
      </c>
      <c r="C504" s="8">
        <v>11267</v>
      </c>
      <c r="D504" s="9" t="s">
        <v>123</v>
      </c>
      <c r="E504" s="10" t="s">
        <v>124</v>
      </c>
      <c r="F504" s="10" t="s">
        <v>125</v>
      </c>
      <c r="G504" s="8">
        <v>1</v>
      </c>
      <c r="H504" s="11">
        <v>250</v>
      </c>
      <c r="I504" s="12">
        <v>42435</v>
      </c>
      <c r="J504" s="13">
        <f t="shared" si="19"/>
        <v>0</v>
      </c>
      <c r="K504" s="14"/>
      <c r="L504" s="14"/>
      <c r="M504" s="14">
        <v>250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5">
        <f t="shared" si="20"/>
        <v>250</v>
      </c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5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5"/>
      <c r="AX504" s="16"/>
    </row>
    <row r="505" spans="2:50" x14ac:dyDescent="0.2">
      <c r="B505" s="7" t="s">
        <v>77</v>
      </c>
      <c r="C505" s="8">
        <v>11268</v>
      </c>
      <c r="D505" s="9" t="s">
        <v>470</v>
      </c>
      <c r="E505" s="10" t="s">
        <v>471</v>
      </c>
      <c r="F505" s="10" t="s">
        <v>472</v>
      </c>
      <c r="G505" s="8">
        <v>1</v>
      </c>
      <c r="H505" s="11">
        <v>600</v>
      </c>
      <c r="I505" s="12">
        <v>42435</v>
      </c>
      <c r="J505" s="13">
        <f t="shared" si="19"/>
        <v>0</v>
      </c>
      <c r="K505" s="14"/>
      <c r="L505" s="14">
        <v>300</v>
      </c>
      <c r="M505" s="14">
        <v>300</v>
      </c>
      <c r="N505" s="14"/>
      <c r="O505" s="14"/>
      <c r="P505" s="14"/>
      <c r="Q505" s="14"/>
      <c r="R505" s="14"/>
      <c r="S505" s="14"/>
      <c r="T505" s="14"/>
      <c r="U505" s="14"/>
      <c r="V505" s="14"/>
      <c r="W505" s="15">
        <f t="shared" si="20"/>
        <v>600</v>
      </c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5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5"/>
      <c r="AX505" s="16"/>
    </row>
    <row r="506" spans="2:50" x14ac:dyDescent="0.2">
      <c r="B506" s="7" t="s">
        <v>37</v>
      </c>
      <c r="C506" s="8">
        <v>11269</v>
      </c>
      <c r="D506" s="9" t="s">
        <v>443</v>
      </c>
      <c r="E506" s="10" t="s">
        <v>444</v>
      </c>
      <c r="F506" s="10" t="s">
        <v>445</v>
      </c>
      <c r="G506" s="8">
        <v>4</v>
      </c>
      <c r="H506" s="11">
        <v>160</v>
      </c>
      <c r="I506" s="12">
        <v>42437</v>
      </c>
      <c r="J506" s="13">
        <f t="shared" si="19"/>
        <v>0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5">
        <f t="shared" si="20"/>
        <v>0</v>
      </c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5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5"/>
      <c r="AX506" s="7">
        <v>6281</v>
      </c>
    </row>
    <row r="507" spans="2:50" x14ac:dyDescent="0.2">
      <c r="B507" s="7" t="s">
        <v>69</v>
      </c>
      <c r="C507" s="8">
        <v>11270</v>
      </c>
      <c r="D507" s="9" t="s">
        <v>373</v>
      </c>
      <c r="E507" s="10" t="s">
        <v>374</v>
      </c>
      <c r="F507" s="10" t="s">
        <v>375</v>
      </c>
      <c r="G507" s="8">
        <v>1</v>
      </c>
      <c r="H507" s="11">
        <v>400</v>
      </c>
      <c r="I507" s="12">
        <v>42437</v>
      </c>
      <c r="J507" s="13">
        <f t="shared" si="19"/>
        <v>0</v>
      </c>
      <c r="K507" s="14"/>
      <c r="L507" s="14"/>
      <c r="M507" s="14">
        <v>400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15">
        <f t="shared" si="20"/>
        <v>400</v>
      </c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5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5"/>
      <c r="AX507" s="16"/>
    </row>
    <row r="508" spans="2:50" x14ac:dyDescent="0.2">
      <c r="B508" s="7" t="s">
        <v>73</v>
      </c>
      <c r="C508" s="8">
        <v>11271</v>
      </c>
      <c r="D508" s="9" t="s">
        <v>202</v>
      </c>
      <c r="E508" s="10" t="s">
        <v>203</v>
      </c>
      <c r="F508" s="10" t="s">
        <v>204</v>
      </c>
      <c r="G508" s="8">
        <v>1</v>
      </c>
      <c r="H508" s="11">
        <v>400</v>
      </c>
      <c r="I508" s="12">
        <v>42438</v>
      </c>
      <c r="J508" s="13">
        <f t="shared" si="19"/>
        <v>0</v>
      </c>
      <c r="K508" s="14"/>
      <c r="L508" s="14"/>
      <c r="M508" s="14">
        <v>400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5">
        <f t="shared" si="20"/>
        <v>400</v>
      </c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5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5"/>
      <c r="AX508" s="16"/>
    </row>
    <row r="509" spans="2:50" x14ac:dyDescent="0.2">
      <c r="B509" s="7" t="s">
        <v>37</v>
      </c>
      <c r="C509" s="8">
        <v>11272</v>
      </c>
      <c r="D509" s="9" t="s">
        <v>205</v>
      </c>
      <c r="E509" s="10" t="s">
        <v>206</v>
      </c>
      <c r="F509" s="10" t="s">
        <v>207</v>
      </c>
      <c r="G509" s="8">
        <v>1</v>
      </c>
      <c r="H509" s="11">
        <v>600</v>
      </c>
      <c r="I509" s="12">
        <v>42438</v>
      </c>
      <c r="J509" s="13">
        <f t="shared" si="19"/>
        <v>0</v>
      </c>
      <c r="K509" s="14"/>
      <c r="L509" s="14">
        <v>600</v>
      </c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5">
        <f t="shared" si="20"/>
        <v>600</v>
      </c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5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5"/>
      <c r="AX509" s="16"/>
    </row>
    <row r="510" spans="2:50" x14ac:dyDescent="0.2">
      <c r="B510" s="7" t="s">
        <v>47</v>
      </c>
      <c r="C510" s="8">
        <v>11273</v>
      </c>
      <c r="D510" s="9" t="s">
        <v>852</v>
      </c>
      <c r="E510" s="10" t="s">
        <v>853</v>
      </c>
      <c r="F510" s="10" t="s">
        <v>854</v>
      </c>
      <c r="G510" s="8">
        <v>1</v>
      </c>
      <c r="H510" s="11">
        <v>600</v>
      </c>
      <c r="I510" s="12">
        <v>42440</v>
      </c>
      <c r="J510" s="13">
        <f t="shared" si="19"/>
        <v>0</v>
      </c>
      <c r="K510" s="14">
        <v>300</v>
      </c>
      <c r="L510" s="14">
        <v>300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5">
        <f t="shared" si="20"/>
        <v>600</v>
      </c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5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5"/>
      <c r="AX510" s="16"/>
    </row>
    <row r="511" spans="2:50" x14ac:dyDescent="0.2">
      <c r="B511" s="7" t="s">
        <v>69</v>
      </c>
      <c r="C511" s="8">
        <v>11274</v>
      </c>
      <c r="D511" s="9" t="s">
        <v>855</v>
      </c>
      <c r="E511" s="10" t="s">
        <v>856</v>
      </c>
      <c r="F511" s="10" t="s">
        <v>857</v>
      </c>
      <c r="G511" s="8">
        <v>1</v>
      </c>
      <c r="H511" s="11">
        <v>1000</v>
      </c>
      <c r="I511" s="12">
        <v>42442</v>
      </c>
      <c r="J511" s="13">
        <f t="shared" si="19"/>
        <v>0</v>
      </c>
      <c r="K511" s="14">
        <v>200</v>
      </c>
      <c r="L511" s="14">
        <v>200</v>
      </c>
      <c r="M511" s="14">
        <v>200</v>
      </c>
      <c r="N511" s="14">
        <v>200</v>
      </c>
      <c r="O511" s="14">
        <v>200</v>
      </c>
      <c r="P511" s="14"/>
      <c r="Q511" s="14"/>
      <c r="R511" s="14"/>
      <c r="S511" s="14"/>
      <c r="T511" s="14"/>
      <c r="U511" s="14"/>
      <c r="V511" s="14"/>
      <c r="W511" s="15">
        <f t="shared" si="20"/>
        <v>1000</v>
      </c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5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5"/>
      <c r="AX511" s="16"/>
    </row>
    <row r="512" spans="2:50" x14ac:dyDescent="0.2">
      <c r="B512" s="7" t="s">
        <v>47</v>
      </c>
      <c r="C512" s="8">
        <v>11275</v>
      </c>
      <c r="D512" s="9" t="s">
        <v>238</v>
      </c>
      <c r="E512" s="10" t="s">
        <v>239</v>
      </c>
      <c r="F512" s="10" t="s">
        <v>240</v>
      </c>
      <c r="G512" s="8">
        <v>1</v>
      </c>
      <c r="H512" s="11">
        <v>125</v>
      </c>
      <c r="I512" s="12">
        <v>42442</v>
      </c>
      <c r="J512" s="13">
        <f t="shared" si="19"/>
        <v>0</v>
      </c>
      <c r="K512" s="14"/>
      <c r="L512" s="14"/>
      <c r="M512" s="14">
        <v>125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5">
        <f t="shared" si="20"/>
        <v>125</v>
      </c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5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5"/>
      <c r="AX512" s="16"/>
    </row>
    <row r="513" spans="2:50" x14ac:dyDescent="0.2">
      <c r="B513" s="7" t="s">
        <v>73</v>
      </c>
      <c r="C513" s="8">
        <v>11276</v>
      </c>
      <c r="D513" s="9" t="s">
        <v>398</v>
      </c>
      <c r="E513" s="10" t="s">
        <v>399</v>
      </c>
      <c r="F513" s="10" t="s">
        <v>400</v>
      </c>
      <c r="G513" s="8">
        <v>1</v>
      </c>
      <c r="H513" s="11">
        <v>400</v>
      </c>
      <c r="I513" s="12">
        <v>42442</v>
      </c>
      <c r="J513" s="13">
        <f t="shared" si="19"/>
        <v>0</v>
      </c>
      <c r="K513" s="14"/>
      <c r="L513" s="14"/>
      <c r="M513" s="14">
        <v>400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5">
        <f t="shared" si="20"/>
        <v>400</v>
      </c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5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5"/>
      <c r="AX513" s="16"/>
    </row>
    <row r="514" spans="2:50" x14ac:dyDescent="0.2">
      <c r="B514" s="7" t="s">
        <v>47</v>
      </c>
      <c r="C514" s="8">
        <v>11277</v>
      </c>
      <c r="D514" s="9" t="s">
        <v>702</v>
      </c>
      <c r="E514" s="10" t="s">
        <v>703</v>
      </c>
      <c r="F514" s="10" t="s">
        <v>704</v>
      </c>
      <c r="G514" s="8">
        <v>1</v>
      </c>
      <c r="H514" s="11">
        <v>400</v>
      </c>
      <c r="I514" s="12">
        <v>42442</v>
      </c>
      <c r="J514" s="13">
        <f t="shared" si="19"/>
        <v>0</v>
      </c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>
        <v>400</v>
      </c>
      <c r="V514" s="14"/>
      <c r="W514" s="15">
        <f t="shared" si="20"/>
        <v>400</v>
      </c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5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5"/>
      <c r="AX514" s="16"/>
    </row>
    <row r="515" spans="2:50" x14ac:dyDescent="0.2">
      <c r="B515" s="7" t="s">
        <v>47</v>
      </c>
      <c r="C515" s="8">
        <v>11278</v>
      </c>
      <c r="D515" s="9" t="s">
        <v>425</v>
      </c>
      <c r="E515" s="10" t="s">
        <v>426</v>
      </c>
      <c r="F515" s="10" t="s">
        <v>427</v>
      </c>
      <c r="G515" s="8">
        <v>1</v>
      </c>
      <c r="H515" s="11">
        <v>400</v>
      </c>
      <c r="I515" s="12">
        <v>42442</v>
      </c>
      <c r="J515" s="13">
        <f t="shared" si="19"/>
        <v>0</v>
      </c>
      <c r="K515" s="14"/>
      <c r="L515" s="14"/>
      <c r="M515" s="14">
        <v>400</v>
      </c>
      <c r="N515" s="14"/>
      <c r="O515" s="14"/>
      <c r="P515" s="14"/>
      <c r="Q515" s="14"/>
      <c r="R515" s="14"/>
      <c r="S515" s="14"/>
      <c r="T515" s="14"/>
      <c r="U515" s="14"/>
      <c r="V515" s="14"/>
      <c r="W515" s="15">
        <f t="shared" si="20"/>
        <v>400</v>
      </c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5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5"/>
      <c r="AX515" s="16"/>
    </row>
    <row r="516" spans="2:50" x14ac:dyDescent="0.2">
      <c r="B516" s="7" t="s">
        <v>37</v>
      </c>
      <c r="C516" s="8">
        <v>11279</v>
      </c>
      <c r="D516" s="9" t="s">
        <v>669</v>
      </c>
      <c r="E516" s="10" t="s">
        <v>670</v>
      </c>
      <c r="F516" s="10" t="s">
        <v>671</v>
      </c>
      <c r="G516" s="8">
        <v>1</v>
      </c>
      <c r="H516" s="11">
        <v>400</v>
      </c>
      <c r="I516" s="12">
        <v>42442</v>
      </c>
      <c r="J516" s="13">
        <f t="shared" si="19"/>
        <v>0</v>
      </c>
      <c r="K516" s="14"/>
      <c r="L516" s="14">
        <v>400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5">
        <f t="shared" si="20"/>
        <v>400</v>
      </c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5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5"/>
      <c r="AX516" s="16"/>
    </row>
    <row r="517" spans="2:50" x14ac:dyDescent="0.2">
      <c r="B517" s="7" t="s">
        <v>73</v>
      </c>
      <c r="C517" s="8">
        <v>11280</v>
      </c>
      <c r="D517" s="9" t="s">
        <v>259</v>
      </c>
      <c r="E517" s="10" t="s">
        <v>260</v>
      </c>
      <c r="F517" s="10" t="s">
        <v>261</v>
      </c>
      <c r="G517" s="8">
        <v>1</v>
      </c>
      <c r="H517" s="11">
        <v>400</v>
      </c>
      <c r="I517" s="12">
        <v>42442</v>
      </c>
      <c r="J517" s="13">
        <f t="shared" si="19"/>
        <v>0</v>
      </c>
      <c r="K517" s="14"/>
      <c r="L517" s="14"/>
      <c r="M517" s="14">
        <v>400</v>
      </c>
      <c r="N517" s="14"/>
      <c r="O517" s="14"/>
      <c r="P517" s="14"/>
      <c r="Q517" s="14"/>
      <c r="R517" s="14"/>
      <c r="S517" s="14"/>
      <c r="T517" s="14"/>
      <c r="U517" s="14"/>
      <c r="V517" s="14"/>
      <c r="W517" s="15">
        <f t="shared" si="20"/>
        <v>400</v>
      </c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5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5"/>
      <c r="AX517" s="16"/>
    </row>
    <row r="518" spans="2:50" x14ac:dyDescent="0.2">
      <c r="B518" s="7" t="s">
        <v>37</v>
      </c>
      <c r="C518" s="8">
        <v>11281</v>
      </c>
      <c r="D518" s="9" t="s">
        <v>858</v>
      </c>
      <c r="E518" s="10" t="s">
        <v>859</v>
      </c>
      <c r="F518" s="10" t="s">
        <v>860</v>
      </c>
      <c r="G518" s="8">
        <v>1</v>
      </c>
      <c r="H518" s="11">
        <v>2000</v>
      </c>
      <c r="I518" s="12">
        <v>42442</v>
      </c>
      <c r="J518" s="13">
        <f t="shared" si="19"/>
        <v>0</v>
      </c>
      <c r="K518" s="14">
        <v>400</v>
      </c>
      <c r="L518" s="14">
        <v>400</v>
      </c>
      <c r="M518" s="14">
        <v>400</v>
      </c>
      <c r="N518" s="14">
        <v>400</v>
      </c>
      <c r="O518" s="14">
        <v>400</v>
      </c>
      <c r="P518" s="14"/>
      <c r="Q518" s="14"/>
      <c r="R518" s="14"/>
      <c r="S518" s="14"/>
      <c r="T518" s="14"/>
      <c r="U518" s="14"/>
      <c r="V518" s="14"/>
      <c r="W518" s="15">
        <f t="shared" si="20"/>
        <v>2000</v>
      </c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5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5"/>
      <c r="AX518" s="16"/>
    </row>
    <row r="519" spans="2:50" x14ac:dyDescent="0.2">
      <c r="B519" s="7" t="s">
        <v>37</v>
      </c>
      <c r="C519" s="8">
        <v>11282</v>
      </c>
      <c r="D519" s="9" t="s">
        <v>858</v>
      </c>
      <c r="E519" s="10" t="s">
        <v>859</v>
      </c>
      <c r="F519" s="10" t="s">
        <v>860</v>
      </c>
      <c r="G519" s="8">
        <v>3</v>
      </c>
      <c r="H519" s="11">
        <v>160</v>
      </c>
      <c r="I519" s="12">
        <v>42442</v>
      </c>
      <c r="J519" s="13">
        <f t="shared" si="19"/>
        <v>0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5">
        <f t="shared" si="20"/>
        <v>0</v>
      </c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5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5"/>
      <c r="AX519" s="16"/>
    </row>
    <row r="520" spans="2:50" x14ac:dyDescent="0.2">
      <c r="B520" s="7" t="s">
        <v>37</v>
      </c>
      <c r="C520" s="8">
        <v>11283</v>
      </c>
      <c r="D520" s="9" t="s">
        <v>177</v>
      </c>
      <c r="E520" s="10" t="s">
        <v>178</v>
      </c>
      <c r="F520" s="10" t="s">
        <v>179</v>
      </c>
      <c r="G520" s="8">
        <v>1</v>
      </c>
      <c r="H520" s="11">
        <v>400</v>
      </c>
      <c r="I520" s="12">
        <v>42442</v>
      </c>
      <c r="J520" s="13">
        <f t="shared" si="19"/>
        <v>0</v>
      </c>
      <c r="K520" s="14"/>
      <c r="L520" s="14"/>
      <c r="M520" s="14">
        <v>400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5">
        <f t="shared" si="20"/>
        <v>400</v>
      </c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5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5"/>
      <c r="AX520" s="16"/>
    </row>
    <row r="521" spans="2:50" x14ac:dyDescent="0.2">
      <c r="B521" s="7" t="s">
        <v>37</v>
      </c>
      <c r="C521" s="8">
        <v>11284</v>
      </c>
      <c r="D521" s="9" t="s">
        <v>550</v>
      </c>
      <c r="E521" s="10" t="s">
        <v>551</v>
      </c>
      <c r="F521" s="10" t="s">
        <v>552</v>
      </c>
      <c r="G521" s="8">
        <v>1</v>
      </c>
      <c r="H521" s="11">
        <v>600</v>
      </c>
      <c r="I521" s="12">
        <v>42442</v>
      </c>
      <c r="J521" s="13">
        <f t="shared" si="19"/>
        <v>0</v>
      </c>
      <c r="K521" s="14"/>
      <c r="L521" s="14">
        <v>300</v>
      </c>
      <c r="M521" s="14">
        <v>300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5">
        <f t="shared" si="20"/>
        <v>600</v>
      </c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5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5"/>
      <c r="AX521" s="16"/>
    </row>
    <row r="522" spans="2:50" x14ac:dyDescent="0.2">
      <c r="B522" s="7" t="s">
        <v>69</v>
      </c>
      <c r="C522" s="8">
        <v>11285</v>
      </c>
      <c r="D522" s="9" t="s">
        <v>743</v>
      </c>
      <c r="E522" s="10" t="s">
        <v>744</v>
      </c>
      <c r="F522" s="10" t="s">
        <v>745</v>
      </c>
      <c r="G522" s="8">
        <v>1</v>
      </c>
      <c r="H522" s="11">
        <v>400</v>
      </c>
      <c r="I522" s="12">
        <v>42442</v>
      </c>
      <c r="J522" s="13">
        <f t="shared" si="19"/>
        <v>0</v>
      </c>
      <c r="K522" s="14"/>
      <c r="L522" s="14">
        <v>400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5">
        <f t="shared" si="20"/>
        <v>400</v>
      </c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5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5"/>
      <c r="AX522" s="16"/>
    </row>
    <row r="523" spans="2:50" x14ac:dyDescent="0.2">
      <c r="B523" s="7" t="s">
        <v>47</v>
      </c>
      <c r="C523" s="8">
        <v>11286</v>
      </c>
      <c r="D523" s="9" t="s">
        <v>861</v>
      </c>
      <c r="E523" s="10" t="s">
        <v>862</v>
      </c>
      <c r="F523" s="10" t="s">
        <v>863</v>
      </c>
      <c r="G523" s="8">
        <v>1</v>
      </c>
      <c r="H523" s="11">
        <v>300</v>
      </c>
      <c r="I523" s="12">
        <v>42442</v>
      </c>
      <c r="J523" s="13">
        <f t="shared" si="19"/>
        <v>0</v>
      </c>
      <c r="K523" s="14">
        <v>100</v>
      </c>
      <c r="L523" s="14">
        <v>100</v>
      </c>
      <c r="M523" s="14">
        <v>100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15">
        <f t="shared" si="20"/>
        <v>300</v>
      </c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5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5"/>
      <c r="AX523" s="16"/>
    </row>
    <row r="524" spans="2:50" x14ac:dyDescent="0.2">
      <c r="B524" s="7" t="s">
        <v>37</v>
      </c>
      <c r="C524" s="8">
        <v>11287</v>
      </c>
      <c r="D524" s="9" t="s">
        <v>395</v>
      </c>
      <c r="E524" s="10" t="s">
        <v>396</v>
      </c>
      <c r="F524" s="10" t="s">
        <v>397</v>
      </c>
      <c r="G524" s="8">
        <v>1</v>
      </c>
      <c r="H524" s="11">
        <v>150</v>
      </c>
      <c r="I524" s="12">
        <v>42442</v>
      </c>
      <c r="J524" s="13">
        <f t="shared" si="19"/>
        <v>0</v>
      </c>
      <c r="K524" s="14"/>
      <c r="L524" s="14"/>
      <c r="M524" s="14">
        <v>150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5">
        <f t="shared" si="20"/>
        <v>150</v>
      </c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5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5"/>
      <c r="AX524" s="16"/>
    </row>
    <row r="525" spans="2:50" x14ac:dyDescent="0.2">
      <c r="B525" s="7" t="s">
        <v>69</v>
      </c>
      <c r="C525" s="8">
        <v>11288</v>
      </c>
      <c r="D525" s="9" t="s">
        <v>346</v>
      </c>
      <c r="E525" s="10" t="s">
        <v>347</v>
      </c>
      <c r="F525" s="10" t="s">
        <v>348</v>
      </c>
      <c r="G525" s="8">
        <v>1</v>
      </c>
      <c r="H525" s="11">
        <v>300</v>
      </c>
      <c r="I525" s="12">
        <v>42442</v>
      </c>
      <c r="J525" s="13">
        <f t="shared" si="19"/>
        <v>0</v>
      </c>
      <c r="K525" s="14"/>
      <c r="L525" s="14">
        <v>300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5">
        <f t="shared" si="20"/>
        <v>300</v>
      </c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5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5"/>
      <c r="AX525" s="16"/>
    </row>
    <row r="526" spans="2:50" x14ac:dyDescent="0.2">
      <c r="B526" s="7" t="s">
        <v>69</v>
      </c>
      <c r="C526" s="8">
        <v>11289</v>
      </c>
      <c r="D526" s="9" t="s">
        <v>864</v>
      </c>
      <c r="E526" s="10" t="s">
        <v>865</v>
      </c>
      <c r="F526" s="10" t="s">
        <v>866</v>
      </c>
      <c r="G526" s="8">
        <v>1</v>
      </c>
      <c r="H526" s="11">
        <v>600</v>
      </c>
      <c r="I526" s="12">
        <v>42442</v>
      </c>
      <c r="J526" s="13">
        <f t="shared" si="19"/>
        <v>0</v>
      </c>
      <c r="K526" s="14">
        <v>300</v>
      </c>
      <c r="L526" s="14">
        <v>300</v>
      </c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5">
        <f t="shared" si="20"/>
        <v>600</v>
      </c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5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5"/>
      <c r="AX526" s="16"/>
    </row>
    <row r="527" spans="2:50" x14ac:dyDescent="0.2">
      <c r="B527" s="7" t="s">
        <v>73</v>
      </c>
      <c r="C527" s="8">
        <v>11290</v>
      </c>
      <c r="D527" s="9" t="s">
        <v>719</v>
      </c>
      <c r="E527" s="10" t="s">
        <v>720</v>
      </c>
      <c r="F527" s="10" t="s">
        <v>867</v>
      </c>
      <c r="G527" s="8">
        <v>1</v>
      </c>
      <c r="H527" s="11">
        <v>400</v>
      </c>
      <c r="I527" s="12">
        <v>42442</v>
      </c>
      <c r="J527" s="13">
        <f t="shared" si="19"/>
        <v>0</v>
      </c>
      <c r="K527" s="14"/>
      <c r="L527" s="14"/>
      <c r="M527" s="14">
        <v>400</v>
      </c>
      <c r="N527" s="14"/>
      <c r="O527" s="14"/>
      <c r="P527" s="14"/>
      <c r="Q527" s="14"/>
      <c r="R527" s="14"/>
      <c r="S527" s="14"/>
      <c r="T527" s="14"/>
      <c r="U527" s="14"/>
      <c r="V527" s="14"/>
      <c r="W527" s="15">
        <f t="shared" si="20"/>
        <v>400</v>
      </c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5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5"/>
      <c r="AX527" s="16"/>
    </row>
    <row r="528" spans="2:50" x14ac:dyDescent="0.2">
      <c r="B528" s="7" t="s">
        <v>37</v>
      </c>
      <c r="C528" s="8">
        <v>11291</v>
      </c>
      <c r="D528" s="9" t="s">
        <v>271</v>
      </c>
      <c r="E528" s="10" t="s">
        <v>272</v>
      </c>
      <c r="F528" s="10" t="s">
        <v>273</v>
      </c>
      <c r="G528" s="8">
        <v>1</v>
      </c>
      <c r="H528" s="11">
        <v>400</v>
      </c>
      <c r="I528" s="12">
        <v>42442</v>
      </c>
      <c r="J528" s="13">
        <f t="shared" si="19"/>
        <v>0</v>
      </c>
      <c r="K528" s="14"/>
      <c r="L528" s="14"/>
      <c r="M528" s="14">
        <v>400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5">
        <f t="shared" si="20"/>
        <v>400</v>
      </c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5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5"/>
      <c r="AX528" s="16"/>
    </row>
    <row r="529" spans="2:50" x14ac:dyDescent="0.2">
      <c r="B529" s="7" t="s">
        <v>122</v>
      </c>
      <c r="C529" s="8">
        <v>11292</v>
      </c>
      <c r="D529" s="9" t="s">
        <v>637</v>
      </c>
      <c r="E529" s="10" t="s">
        <v>638</v>
      </c>
      <c r="F529" s="10" t="s">
        <v>639</v>
      </c>
      <c r="G529" s="8">
        <v>1</v>
      </c>
      <c r="H529" s="11">
        <v>400</v>
      </c>
      <c r="I529" s="12">
        <v>42442</v>
      </c>
      <c r="J529" s="13">
        <f t="shared" si="19"/>
        <v>0</v>
      </c>
      <c r="K529" s="14"/>
      <c r="L529" s="14"/>
      <c r="M529" s="14">
        <v>400</v>
      </c>
      <c r="N529" s="14"/>
      <c r="O529" s="14"/>
      <c r="P529" s="14"/>
      <c r="Q529" s="14"/>
      <c r="R529" s="14"/>
      <c r="S529" s="14"/>
      <c r="T529" s="14"/>
      <c r="U529" s="14"/>
      <c r="V529" s="14"/>
      <c r="W529" s="15">
        <f t="shared" si="20"/>
        <v>400</v>
      </c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5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5"/>
      <c r="AX529" s="16"/>
    </row>
    <row r="530" spans="2:50" x14ac:dyDescent="0.2">
      <c r="B530" s="7" t="s">
        <v>93</v>
      </c>
      <c r="C530" s="8">
        <v>11293</v>
      </c>
      <c r="D530" s="9"/>
      <c r="E530" s="10" t="s">
        <v>93</v>
      </c>
      <c r="F530" s="10" t="s">
        <v>93</v>
      </c>
      <c r="G530" s="8">
        <v>8</v>
      </c>
      <c r="H530" s="11"/>
      <c r="I530" s="12"/>
      <c r="J530" s="13">
        <f t="shared" si="19"/>
        <v>0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5">
        <f t="shared" si="20"/>
        <v>0</v>
      </c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5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5"/>
      <c r="AX530" s="16"/>
    </row>
    <row r="531" spans="2:50" x14ac:dyDescent="0.2">
      <c r="B531" s="7" t="s">
        <v>47</v>
      </c>
      <c r="C531" s="8">
        <v>11294</v>
      </c>
      <c r="D531" s="9" t="s">
        <v>772</v>
      </c>
      <c r="E531" s="10" t="s">
        <v>773</v>
      </c>
      <c r="F531" s="10" t="s">
        <v>237</v>
      </c>
      <c r="G531" s="8">
        <v>1</v>
      </c>
      <c r="H531" s="11">
        <v>400</v>
      </c>
      <c r="I531" s="12">
        <v>42442</v>
      </c>
      <c r="J531" s="13">
        <f t="shared" si="19"/>
        <v>0</v>
      </c>
      <c r="K531" s="14">
        <v>200</v>
      </c>
      <c r="L531" s="14">
        <v>200</v>
      </c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5">
        <f t="shared" si="20"/>
        <v>400</v>
      </c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5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5"/>
      <c r="AX531" s="16"/>
    </row>
    <row r="532" spans="2:50" x14ac:dyDescent="0.2">
      <c r="B532" s="7" t="s">
        <v>122</v>
      </c>
      <c r="C532" s="8">
        <v>11295</v>
      </c>
      <c r="D532" s="9" t="s">
        <v>622</v>
      </c>
      <c r="E532" s="10" t="s">
        <v>623</v>
      </c>
      <c r="F532" s="10" t="s">
        <v>624</v>
      </c>
      <c r="G532" s="8">
        <v>1</v>
      </c>
      <c r="H532" s="11">
        <v>800</v>
      </c>
      <c r="I532" s="12">
        <v>42442</v>
      </c>
      <c r="J532" s="13">
        <f t="shared" si="19"/>
        <v>0</v>
      </c>
      <c r="K532" s="14"/>
      <c r="L532" s="14"/>
      <c r="M532" s="14">
        <v>400</v>
      </c>
      <c r="N532" s="14">
        <v>400</v>
      </c>
      <c r="O532" s="14"/>
      <c r="P532" s="14"/>
      <c r="Q532" s="14"/>
      <c r="R532" s="14"/>
      <c r="S532" s="14"/>
      <c r="T532" s="14"/>
      <c r="U532" s="14"/>
      <c r="V532" s="14"/>
      <c r="W532" s="15">
        <f t="shared" si="20"/>
        <v>800</v>
      </c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5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5"/>
      <c r="AX532" s="16"/>
    </row>
    <row r="533" spans="2:50" x14ac:dyDescent="0.2">
      <c r="B533" s="7" t="s">
        <v>69</v>
      </c>
      <c r="C533" s="8">
        <v>11296</v>
      </c>
      <c r="D533" s="9" t="s">
        <v>165</v>
      </c>
      <c r="E533" s="10" t="s">
        <v>166</v>
      </c>
      <c r="F533" s="10" t="s">
        <v>167</v>
      </c>
      <c r="G533" s="8">
        <v>1</v>
      </c>
      <c r="H533" s="11">
        <v>350</v>
      </c>
      <c r="I533" s="12">
        <v>42442</v>
      </c>
      <c r="J533" s="13">
        <f t="shared" si="19"/>
        <v>0</v>
      </c>
      <c r="K533" s="14"/>
      <c r="L533" s="14"/>
      <c r="M533" s="14">
        <v>350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5">
        <f t="shared" si="20"/>
        <v>350</v>
      </c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5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5"/>
      <c r="AX533" s="16"/>
    </row>
    <row r="534" spans="2:50" x14ac:dyDescent="0.2">
      <c r="B534" s="7" t="s">
        <v>69</v>
      </c>
      <c r="C534" s="8">
        <v>11297</v>
      </c>
      <c r="D534" s="9" t="s">
        <v>165</v>
      </c>
      <c r="E534" s="10" t="s">
        <v>166</v>
      </c>
      <c r="F534" s="10" t="s">
        <v>167</v>
      </c>
      <c r="G534" s="8">
        <v>4</v>
      </c>
      <c r="H534" s="11">
        <v>160</v>
      </c>
      <c r="I534" s="12">
        <v>42442</v>
      </c>
      <c r="J534" s="13">
        <f t="shared" si="19"/>
        <v>0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5">
        <f t="shared" si="20"/>
        <v>0</v>
      </c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5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5"/>
      <c r="AX534" s="7">
        <v>6590</v>
      </c>
    </row>
    <row r="535" spans="2:50" x14ac:dyDescent="0.2">
      <c r="B535" s="7" t="s">
        <v>69</v>
      </c>
      <c r="C535" s="8">
        <v>11298</v>
      </c>
      <c r="D535" s="9" t="s">
        <v>174</v>
      </c>
      <c r="E535" s="10" t="s">
        <v>175</v>
      </c>
      <c r="F535" s="10" t="s">
        <v>176</v>
      </c>
      <c r="G535" s="8">
        <v>1</v>
      </c>
      <c r="H535" s="11">
        <v>300</v>
      </c>
      <c r="I535" s="12">
        <v>42442</v>
      </c>
      <c r="J535" s="13">
        <f t="shared" si="19"/>
        <v>0</v>
      </c>
      <c r="K535" s="14"/>
      <c r="L535" s="14"/>
      <c r="M535" s="14">
        <v>300</v>
      </c>
      <c r="N535" s="14"/>
      <c r="O535" s="14"/>
      <c r="P535" s="14"/>
      <c r="Q535" s="14"/>
      <c r="R535" s="14"/>
      <c r="S535" s="14"/>
      <c r="T535" s="14"/>
      <c r="U535" s="14"/>
      <c r="V535" s="14"/>
      <c r="W535" s="15">
        <f t="shared" si="20"/>
        <v>300</v>
      </c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5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5"/>
      <c r="AX535" s="16"/>
    </row>
    <row r="536" spans="2:50" x14ac:dyDescent="0.2">
      <c r="B536" s="7" t="s">
        <v>73</v>
      </c>
      <c r="C536" s="8">
        <v>11299</v>
      </c>
      <c r="D536" s="9" t="s">
        <v>440</v>
      </c>
      <c r="E536" s="10" t="s">
        <v>441</v>
      </c>
      <c r="F536" s="10" t="s">
        <v>442</v>
      </c>
      <c r="G536" s="8">
        <v>1</v>
      </c>
      <c r="H536" s="11">
        <v>300</v>
      </c>
      <c r="I536" s="12">
        <v>42442</v>
      </c>
      <c r="J536" s="13">
        <f t="shared" si="19"/>
        <v>0</v>
      </c>
      <c r="K536" s="14"/>
      <c r="L536" s="14">
        <v>300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5">
        <f t="shared" si="20"/>
        <v>300</v>
      </c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5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5"/>
      <c r="AX536" s="16"/>
    </row>
    <row r="537" spans="2:50" x14ac:dyDescent="0.2">
      <c r="B537" s="7" t="s">
        <v>69</v>
      </c>
      <c r="C537" s="8">
        <v>11300</v>
      </c>
      <c r="D537" s="9" t="s">
        <v>361</v>
      </c>
      <c r="E537" s="10" t="s">
        <v>362</v>
      </c>
      <c r="F537" s="10" t="s">
        <v>363</v>
      </c>
      <c r="G537" s="8">
        <v>1</v>
      </c>
      <c r="H537" s="11">
        <v>800</v>
      </c>
      <c r="I537" s="12">
        <v>42442</v>
      </c>
      <c r="J537" s="13">
        <f t="shared" si="19"/>
        <v>0</v>
      </c>
      <c r="K537" s="14"/>
      <c r="L537" s="14">
        <v>400</v>
      </c>
      <c r="M537" s="14">
        <v>400</v>
      </c>
      <c r="N537" s="14"/>
      <c r="O537" s="14"/>
      <c r="P537" s="14"/>
      <c r="Q537" s="14"/>
      <c r="R537" s="14"/>
      <c r="S537" s="14"/>
      <c r="T537" s="14"/>
      <c r="U537" s="14"/>
      <c r="V537" s="14"/>
      <c r="W537" s="15">
        <f t="shared" si="20"/>
        <v>800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5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5"/>
      <c r="AX537" s="16"/>
    </row>
    <row r="538" spans="2:50" x14ac:dyDescent="0.2">
      <c r="B538" s="7" t="s">
        <v>93</v>
      </c>
      <c r="C538" s="8">
        <v>11301</v>
      </c>
      <c r="D538" s="9"/>
      <c r="E538" s="10" t="s">
        <v>93</v>
      </c>
      <c r="F538" s="10" t="s">
        <v>93</v>
      </c>
      <c r="G538" s="8">
        <v>8</v>
      </c>
      <c r="H538" s="11"/>
      <c r="I538" s="12"/>
      <c r="J538" s="13">
        <f t="shared" si="19"/>
        <v>0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>
        <f t="shared" si="20"/>
        <v>0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5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5"/>
      <c r="AX538" s="16"/>
    </row>
    <row r="539" spans="2:50" x14ac:dyDescent="0.2">
      <c r="B539" s="7" t="s">
        <v>69</v>
      </c>
      <c r="C539" s="8">
        <v>11302</v>
      </c>
      <c r="D539" s="9" t="s">
        <v>868</v>
      </c>
      <c r="E539" s="10" t="s">
        <v>869</v>
      </c>
      <c r="F539" s="10" t="s">
        <v>870</v>
      </c>
      <c r="G539" s="8">
        <v>1</v>
      </c>
      <c r="H539" s="11">
        <v>1200</v>
      </c>
      <c r="I539" s="12">
        <v>42442</v>
      </c>
      <c r="J539" s="13">
        <f t="shared" si="19"/>
        <v>0</v>
      </c>
      <c r="K539" s="14">
        <v>400</v>
      </c>
      <c r="L539" s="14">
        <v>400</v>
      </c>
      <c r="M539" s="14">
        <v>400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5">
        <f t="shared" si="20"/>
        <v>1200</v>
      </c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5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5"/>
      <c r="AX539" s="16"/>
    </row>
    <row r="540" spans="2:50" x14ac:dyDescent="0.2">
      <c r="B540" s="7" t="s">
        <v>73</v>
      </c>
      <c r="C540" s="8">
        <v>11303</v>
      </c>
      <c r="D540" s="9" t="s">
        <v>277</v>
      </c>
      <c r="E540" s="10" t="s">
        <v>278</v>
      </c>
      <c r="F540" s="10" t="s">
        <v>279</v>
      </c>
      <c r="G540" s="8">
        <v>1</v>
      </c>
      <c r="H540" s="11">
        <v>200</v>
      </c>
      <c r="I540" s="12">
        <v>42442</v>
      </c>
      <c r="J540" s="13">
        <f t="shared" si="19"/>
        <v>0</v>
      </c>
      <c r="K540" s="14"/>
      <c r="L540" s="14"/>
      <c r="M540" s="14">
        <v>200</v>
      </c>
      <c r="N540" s="14"/>
      <c r="O540" s="14"/>
      <c r="P540" s="14"/>
      <c r="Q540" s="14"/>
      <c r="R540" s="14"/>
      <c r="S540" s="14"/>
      <c r="T540" s="14"/>
      <c r="U540" s="14"/>
      <c r="V540" s="14"/>
      <c r="W540" s="15">
        <f t="shared" si="20"/>
        <v>200</v>
      </c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5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5"/>
      <c r="AX540" s="16"/>
    </row>
    <row r="541" spans="2:50" x14ac:dyDescent="0.2">
      <c r="B541" s="7" t="s">
        <v>69</v>
      </c>
      <c r="C541" s="8">
        <v>11304</v>
      </c>
      <c r="D541" s="9" t="s">
        <v>678</v>
      </c>
      <c r="E541" s="10" t="s">
        <v>679</v>
      </c>
      <c r="F541" s="10" t="s">
        <v>680</v>
      </c>
      <c r="G541" s="8">
        <v>3</v>
      </c>
      <c r="H541" s="11">
        <v>160</v>
      </c>
      <c r="I541" s="12">
        <v>42442</v>
      </c>
      <c r="J541" s="13">
        <f t="shared" si="19"/>
        <v>0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5">
        <f t="shared" si="20"/>
        <v>0</v>
      </c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5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5"/>
      <c r="AX541" s="16"/>
    </row>
    <row r="542" spans="2:50" x14ac:dyDescent="0.2">
      <c r="B542" s="7" t="s">
        <v>122</v>
      </c>
      <c r="C542" s="8">
        <v>11305</v>
      </c>
      <c r="D542" s="9" t="s">
        <v>331</v>
      </c>
      <c r="E542" s="10" t="s">
        <v>332</v>
      </c>
      <c r="F542" s="10" t="s">
        <v>333</v>
      </c>
      <c r="G542" s="8">
        <v>1</v>
      </c>
      <c r="H542" s="11">
        <v>400</v>
      </c>
      <c r="I542" s="12">
        <v>42442</v>
      </c>
      <c r="J542" s="13">
        <f t="shared" si="19"/>
        <v>0</v>
      </c>
      <c r="K542" s="14"/>
      <c r="L542" s="14"/>
      <c r="M542" s="14">
        <v>400</v>
      </c>
      <c r="N542" s="14"/>
      <c r="O542" s="14"/>
      <c r="P542" s="14"/>
      <c r="Q542" s="14"/>
      <c r="R542" s="14"/>
      <c r="S542" s="14"/>
      <c r="T542" s="14"/>
      <c r="U542" s="14"/>
      <c r="V542" s="14"/>
      <c r="W542" s="15">
        <f t="shared" si="20"/>
        <v>400</v>
      </c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5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5"/>
      <c r="AX542" s="16"/>
    </row>
    <row r="543" spans="2:50" x14ac:dyDescent="0.2">
      <c r="B543" s="7" t="s">
        <v>77</v>
      </c>
      <c r="C543" s="8">
        <v>11306</v>
      </c>
      <c r="D543" s="9" t="s">
        <v>159</v>
      </c>
      <c r="E543" s="10" t="s">
        <v>160</v>
      </c>
      <c r="F543" s="10" t="s">
        <v>161</v>
      </c>
      <c r="G543" s="8">
        <v>1</v>
      </c>
      <c r="H543" s="11">
        <v>400</v>
      </c>
      <c r="I543" s="12">
        <v>42442</v>
      </c>
      <c r="J543" s="13">
        <f t="shared" si="19"/>
        <v>0</v>
      </c>
      <c r="K543" s="14"/>
      <c r="L543" s="14"/>
      <c r="M543" s="14">
        <v>400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15">
        <f t="shared" si="20"/>
        <v>400</v>
      </c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5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5"/>
      <c r="AX543" s="16"/>
    </row>
    <row r="544" spans="2:50" x14ac:dyDescent="0.2">
      <c r="B544" s="7" t="s">
        <v>73</v>
      </c>
      <c r="C544" s="8">
        <v>11307</v>
      </c>
      <c r="D544" s="9" t="s">
        <v>458</v>
      </c>
      <c r="E544" s="10" t="s">
        <v>459</v>
      </c>
      <c r="F544" s="10" t="s">
        <v>460</v>
      </c>
      <c r="G544" s="8">
        <v>1</v>
      </c>
      <c r="H544" s="11">
        <v>400</v>
      </c>
      <c r="I544" s="12">
        <v>42442</v>
      </c>
      <c r="J544" s="13">
        <f t="shared" si="19"/>
        <v>0</v>
      </c>
      <c r="K544" s="14"/>
      <c r="L544" s="14"/>
      <c r="M544" s="14">
        <v>400</v>
      </c>
      <c r="N544" s="14"/>
      <c r="O544" s="14"/>
      <c r="P544" s="14"/>
      <c r="Q544" s="14"/>
      <c r="R544" s="14"/>
      <c r="S544" s="14"/>
      <c r="T544" s="14"/>
      <c r="U544" s="14"/>
      <c r="V544" s="14"/>
      <c r="W544" s="15">
        <f t="shared" si="20"/>
        <v>400</v>
      </c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5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5"/>
      <c r="AX544" s="16"/>
    </row>
    <row r="545" spans="2:50" x14ac:dyDescent="0.2">
      <c r="B545" s="7" t="s">
        <v>69</v>
      </c>
      <c r="C545" s="8">
        <v>11308</v>
      </c>
      <c r="D545" s="9" t="s">
        <v>871</v>
      </c>
      <c r="E545" s="10" t="s">
        <v>872</v>
      </c>
      <c r="F545" s="10" t="s">
        <v>873</v>
      </c>
      <c r="G545" s="8">
        <v>1</v>
      </c>
      <c r="H545" s="11">
        <v>0</v>
      </c>
      <c r="I545" s="12">
        <v>42442</v>
      </c>
      <c r="J545" s="13">
        <f t="shared" si="19"/>
        <v>0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5">
        <f t="shared" si="20"/>
        <v>0</v>
      </c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5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5"/>
      <c r="AX545" s="16"/>
    </row>
    <row r="546" spans="2:50" x14ac:dyDescent="0.2">
      <c r="B546" s="7" t="s">
        <v>69</v>
      </c>
      <c r="C546" s="8">
        <v>11309</v>
      </c>
      <c r="D546" s="9" t="s">
        <v>625</v>
      </c>
      <c r="E546" s="10" t="s">
        <v>626</v>
      </c>
      <c r="F546" s="10" t="s">
        <v>627</v>
      </c>
      <c r="G546" s="8">
        <v>1</v>
      </c>
      <c r="H546" s="11">
        <v>400</v>
      </c>
      <c r="I546" s="12">
        <v>42442</v>
      </c>
      <c r="J546" s="13">
        <f t="shared" si="19"/>
        <v>0</v>
      </c>
      <c r="K546" s="14"/>
      <c r="L546" s="14"/>
      <c r="M546" s="14">
        <v>400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5">
        <f t="shared" si="20"/>
        <v>400</v>
      </c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5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5"/>
      <c r="AX546" s="16"/>
    </row>
    <row r="547" spans="2:50" x14ac:dyDescent="0.2">
      <c r="B547" s="7" t="s">
        <v>73</v>
      </c>
      <c r="C547" s="8">
        <v>11310</v>
      </c>
      <c r="D547" s="9" t="s">
        <v>763</v>
      </c>
      <c r="E547" s="10" t="s">
        <v>764</v>
      </c>
      <c r="F547" s="10" t="s">
        <v>765</v>
      </c>
      <c r="G547" s="8">
        <v>1</v>
      </c>
      <c r="H547" s="11">
        <v>400</v>
      </c>
      <c r="I547" s="12">
        <v>42442</v>
      </c>
      <c r="J547" s="13">
        <f t="shared" si="19"/>
        <v>0</v>
      </c>
      <c r="K547" s="14"/>
      <c r="L547" s="14">
        <v>400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5">
        <f t="shared" si="20"/>
        <v>400</v>
      </c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5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5"/>
      <c r="AX547" s="16"/>
    </row>
    <row r="548" spans="2:50" x14ac:dyDescent="0.2">
      <c r="B548" s="7" t="s">
        <v>77</v>
      </c>
      <c r="C548" s="8">
        <v>11311</v>
      </c>
      <c r="D548" s="9" t="s">
        <v>874</v>
      </c>
      <c r="E548" s="10" t="s">
        <v>875</v>
      </c>
      <c r="F548" s="10" t="s">
        <v>493</v>
      </c>
      <c r="G548" s="8">
        <v>1</v>
      </c>
      <c r="H548" s="11">
        <v>600</v>
      </c>
      <c r="I548" s="12">
        <v>42442</v>
      </c>
      <c r="J548" s="13">
        <f t="shared" si="19"/>
        <v>0</v>
      </c>
      <c r="K548" s="14">
        <v>200</v>
      </c>
      <c r="L548" s="14">
        <v>200</v>
      </c>
      <c r="M548" s="14">
        <v>200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15">
        <f t="shared" si="20"/>
        <v>600</v>
      </c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5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5"/>
      <c r="AX548" s="16"/>
    </row>
    <row r="549" spans="2:50" x14ac:dyDescent="0.2">
      <c r="B549" s="7" t="s">
        <v>77</v>
      </c>
      <c r="C549" s="8">
        <v>11312</v>
      </c>
      <c r="D549" s="9" t="s">
        <v>666</v>
      </c>
      <c r="E549" s="10" t="s">
        <v>667</v>
      </c>
      <c r="F549" s="10" t="s">
        <v>668</v>
      </c>
      <c r="G549" s="8">
        <v>1</v>
      </c>
      <c r="H549" s="11">
        <v>200</v>
      </c>
      <c r="I549" s="12">
        <v>42445</v>
      </c>
      <c r="J549" s="13">
        <f t="shared" si="19"/>
        <v>0</v>
      </c>
      <c r="K549" s="14"/>
      <c r="L549" s="14">
        <v>200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5">
        <f t="shared" si="20"/>
        <v>200</v>
      </c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5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5"/>
      <c r="AX549" s="16"/>
    </row>
    <row r="550" spans="2:50" x14ac:dyDescent="0.2">
      <c r="B550" s="7" t="s">
        <v>37</v>
      </c>
      <c r="C550" s="8">
        <v>11313</v>
      </c>
      <c r="D550" s="9" t="s">
        <v>494</v>
      </c>
      <c r="E550" s="10" t="s">
        <v>495</v>
      </c>
      <c r="F550" s="10" t="s">
        <v>496</v>
      </c>
      <c r="G550" s="8">
        <v>1</v>
      </c>
      <c r="H550" s="11">
        <v>150</v>
      </c>
      <c r="I550" s="12">
        <v>42446</v>
      </c>
      <c r="J550" s="13">
        <f t="shared" si="19"/>
        <v>0</v>
      </c>
      <c r="K550" s="14"/>
      <c r="L550" s="14"/>
      <c r="M550" s="14">
        <v>150</v>
      </c>
      <c r="N550" s="14"/>
      <c r="O550" s="14"/>
      <c r="P550" s="14"/>
      <c r="Q550" s="14"/>
      <c r="R550" s="14"/>
      <c r="S550" s="14"/>
      <c r="T550" s="14"/>
      <c r="U550" s="14"/>
      <c r="V550" s="14"/>
      <c r="W550" s="15">
        <f t="shared" si="20"/>
        <v>150</v>
      </c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5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5"/>
      <c r="AX550" s="16"/>
    </row>
    <row r="551" spans="2:50" x14ac:dyDescent="0.2">
      <c r="B551" s="7" t="s">
        <v>37</v>
      </c>
      <c r="C551" s="8">
        <v>11314</v>
      </c>
      <c r="D551" s="9" t="s">
        <v>503</v>
      </c>
      <c r="E551" s="10" t="s">
        <v>504</v>
      </c>
      <c r="F551" s="10" t="s">
        <v>505</v>
      </c>
      <c r="G551" s="8">
        <v>1</v>
      </c>
      <c r="H551" s="11">
        <v>300</v>
      </c>
      <c r="I551" s="12">
        <v>42447</v>
      </c>
      <c r="J551" s="13">
        <f t="shared" si="19"/>
        <v>0</v>
      </c>
      <c r="K551" s="14"/>
      <c r="L551" s="14"/>
      <c r="M551" s="14">
        <v>150</v>
      </c>
      <c r="N551" s="14">
        <v>150</v>
      </c>
      <c r="O551" s="14"/>
      <c r="P551" s="14"/>
      <c r="Q551" s="14"/>
      <c r="R551" s="14"/>
      <c r="S551" s="14"/>
      <c r="T551" s="14"/>
      <c r="U551" s="14"/>
      <c r="V551" s="14"/>
      <c r="W551" s="15">
        <f t="shared" si="20"/>
        <v>300</v>
      </c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5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5"/>
      <c r="AX551" s="16"/>
    </row>
    <row r="552" spans="2:50" x14ac:dyDescent="0.2">
      <c r="B552" s="7" t="s">
        <v>69</v>
      </c>
      <c r="C552" s="8">
        <v>11315</v>
      </c>
      <c r="D552" s="9" t="s">
        <v>602</v>
      </c>
      <c r="E552" s="10" t="s">
        <v>603</v>
      </c>
      <c r="F552" s="10" t="s">
        <v>604</v>
      </c>
      <c r="G552" s="8">
        <v>1</v>
      </c>
      <c r="H552" s="11">
        <v>400</v>
      </c>
      <c r="I552" s="12">
        <v>42449</v>
      </c>
      <c r="J552" s="13">
        <f t="shared" si="19"/>
        <v>0</v>
      </c>
      <c r="K552" s="14"/>
      <c r="L552" s="14">
        <v>200</v>
      </c>
      <c r="M552" s="14">
        <v>200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5">
        <f t="shared" si="20"/>
        <v>400</v>
      </c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5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5"/>
      <c r="AX552" s="16"/>
    </row>
    <row r="553" spans="2:50" x14ac:dyDescent="0.2">
      <c r="B553" s="7" t="s">
        <v>73</v>
      </c>
      <c r="C553" s="8">
        <v>11316</v>
      </c>
      <c r="D553" s="9" t="s">
        <v>109</v>
      </c>
      <c r="E553" s="10" t="s">
        <v>110</v>
      </c>
      <c r="F553" s="10" t="s">
        <v>111</v>
      </c>
      <c r="G553" s="8">
        <v>4</v>
      </c>
      <c r="H553" s="11">
        <v>160</v>
      </c>
      <c r="I553" s="12">
        <v>42449</v>
      </c>
      <c r="J553" s="13">
        <f t="shared" si="19"/>
        <v>0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5">
        <f t="shared" si="20"/>
        <v>0</v>
      </c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5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5"/>
      <c r="AX553" s="16"/>
    </row>
    <row r="554" spans="2:50" x14ac:dyDescent="0.2">
      <c r="B554" s="7" t="s">
        <v>73</v>
      </c>
      <c r="C554" s="8">
        <v>11317</v>
      </c>
      <c r="D554" s="9" t="s">
        <v>523</v>
      </c>
      <c r="E554" s="10" t="s">
        <v>524</v>
      </c>
      <c r="F554" s="10" t="s">
        <v>525</v>
      </c>
      <c r="G554" s="8">
        <v>1</v>
      </c>
      <c r="H554" s="11">
        <v>800</v>
      </c>
      <c r="I554" s="12">
        <v>42449</v>
      </c>
      <c r="J554" s="13">
        <f t="shared" si="19"/>
        <v>0</v>
      </c>
      <c r="K554" s="14">
        <v>400</v>
      </c>
      <c r="L554" s="14">
        <v>400</v>
      </c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5">
        <f t="shared" si="20"/>
        <v>800</v>
      </c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5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5"/>
      <c r="AX554" s="16"/>
    </row>
    <row r="555" spans="2:50" x14ac:dyDescent="0.2">
      <c r="B555" s="7" t="s">
        <v>73</v>
      </c>
      <c r="C555" s="8">
        <v>11318</v>
      </c>
      <c r="D555" s="9" t="s">
        <v>544</v>
      </c>
      <c r="E555" s="10" t="s">
        <v>545</v>
      </c>
      <c r="F555" s="10" t="s">
        <v>546</v>
      </c>
      <c r="G555" s="8">
        <v>1</v>
      </c>
      <c r="H555" s="11">
        <v>400</v>
      </c>
      <c r="I555" s="12">
        <v>42449</v>
      </c>
      <c r="J555" s="13">
        <f t="shared" si="19"/>
        <v>0</v>
      </c>
      <c r="K555" s="14"/>
      <c r="L555" s="14"/>
      <c r="M555" s="14">
        <v>400</v>
      </c>
      <c r="N555" s="14"/>
      <c r="O555" s="14"/>
      <c r="P555" s="14"/>
      <c r="Q555" s="14"/>
      <c r="R555" s="14"/>
      <c r="S555" s="14"/>
      <c r="T555" s="14"/>
      <c r="U555" s="14"/>
      <c r="V555" s="14"/>
      <c r="W555" s="15">
        <f t="shared" si="20"/>
        <v>400</v>
      </c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5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5"/>
      <c r="AX555" s="16"/>
    </row>
    <row r="556" spans="2:50" x14ac:dyDescent="0.2">
      <c r="B556" s="7" t="s">
        <v>69</v>
      </c>
      <c r="C556" s="8">
        <v>11319</v>
      </c>
      <c r="D556" s="9" t="s">
        <v>413</v>
      </c>
      <c r="E556" s="10" t="s">
        <v>414</v>
      </c>
      <c r="F556" s="10" t="s">
        <v>415</v>
      </c>
      <c r="G556" s="8">
        <v>1</v>
      </c>
      <c r="H556" s="11">
        <v>1200</v>
      </c>
      <c r="I556" s="12">
        <v>42449</v>
      </c>
      <c r="J556" s="13">
        <f t="shared" si="19"/>
        <v>0</v>
      </c>
      <c r="K556" s="14"/>
      <c r="L556" s="14"/>
      <c r="M556" s="14"/>
      <c r="N556" s="14">
        <v>400</v>
      </c>
      <c r="O556" s="14">
        <v>400</v>
      </c>
      <c r="P556" s="14">
        <v>400</v>
      </c>
      <c r="Q556" s="14"/>
      <c r="R556" s="14"/>
      <c r="S556" s="14"/>
      <c r="T556" s="14"/>
      <c r="U556" s="14"/>
      <c r="V556" s="14"/>
      <c r="W556" s="15">
        <f t="shared" si="20"/>
        <v>1200</v>
      </c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5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5"/>
      <c r="AX556" s="16"/>
    </row>
    <row r="557" spans="2:50" x14ac:dyDescent="0.2">
      <c r="B557" s="7" t="s">
        <v>69</v>
      </c>
      <c r="C557" s="8">
        <v>11320</v>
      </c>
      <c r="D557" s="9" t="s">
        <v>343</v>
      </c>
      <c r="E557" s="10" t="s">
        <v>344</v>
      </c>
      <c r="F557" s="10" t="s">
        <v>345</v>
      </c>
      <c r="G557" s="8">
        <v>1</v>
      </c>
      <c r="H557" s="11">
        <v>400</v>
      </c>
      <c r="I557" s="12">
        <v>42449</v>
      </c>
      <c r="J557" s="13">
        <f t="shared" si="19"/>
        <v>0</v>
      </c>
      <c r="K557" s="14"/>
      <c r="L557" s="14"/>
      <c r="M557" s="14">
        <v>400</v>
      </c>
      <c r="N557" s="14"/>
      <c r="O557" s="14"/>
      <c r="P557" s="14"/>
      <c r="Q557" s="14"/>
      <c r="R557" s="14"/>
      <c r="S557" s="14"/>
      <c r="T557" s="14"/>
      <c r="U557" s="14"/>
      <c r="V557" s="14"/>
      <c r="W557" s="15">
        <f t="shared" si="20"/>
        <v>400</v>
      </c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5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5"/>
      <c r="AX557" s="16"/>
    </row>
    <row r="558" spans="2:50" x14ac:dyDescent="0.2">
      <c r="B558" s="7" t="s">
        <v>73</v>
      </c>
      <c r="C558" s="8">
        <v>11321</v>
      </c>
      <c r="D558" s="9" t="s">
        <v>195</v>
      </c>
      <c r="E558" s="10" t="s">
        <v>196</v>
      </c>
      <c r="F558" s="10" t="s">
        <v>197</v>
      </c>
      <c r="G558" s="8">
        <v>1</v>
      </c>
      <c r="H558" s="11">
        <v>800</v>
      </c>
      <c r="I558" s="12">
        <v>42449</v>
      </c>
      <c r="J558" s="13">
        <f t="shared" si="19"/>
        <v>0</v>
      </c>
      <c r="K558" s="14"/>
      <c r="L558" s="14">
        <v>400</v>
      </c>
      <c r="M558" s="14">
        <v>400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5">
        <f t="shared" si="20"/>
        <v>800</v>
      </c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5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5"/>
      <c r="AX558" s="16"/>
    </row>
    <row r="559" spans="2:50" x14ac:dyDescent="0.2">
      <c r="B559" s="7" t="s">
        <v>47</v>
      </c>
      <c r="C559" s="8">
        <v>11322</v>
      </c>
      <c r="D559" s="9" t="s">
        <v>103</v>
      </c>
      <c r="E559" s="10" t="s">
        <v>104</v>
      </c>
      <c r="F559" s="10" t="s">
        <v>105</v>
      </c>
      <c r="G559" s="8">
        <v>1</v>
      </c>
      <c r="H559" s="11">
        <v>400</v>
      </c>
      <c r="I559" s="12">
        <v>42449</v>
      </c>
      <c r="J559" s="13">
        <f t="shared" si="19"/>
        <v>0</v>
      </c>
      <c r="K559" s="14"/>
      <c r="L559" s="14"/>
      <c r="M559" s="14">
        <v>400</v>
      </c>
      <c r="N559" s="14"/>
      <c r="O559" s="14"/>
      <c r="P559" s="14"/>
      <c r="Q559" s="14"/>
      <c r="R559" s="14"/>
      <c r="S559" s="14"/>
      <c r="T559" s="14"/>
      <c r="U559" s="14"/>
      <c r="V559" s="14"/>
      <c r="W559" s="15">
        <f t="shared" si="20"/>
        <v>400</v>
      </c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5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5"/>
      <c r="AX559" s="16"/>
    </row>
    <row r="560" spans="2:50" x14ac:dyDescent="0.2">
      <c r="B560" s="7" t="s">
        <v>391</v>
      </c>
      <c r="C560" s="8">
        <v>11323</v>
      </c>
      <c r="D560" s="9" t="s">
        <v>876</v>
      </c>
      <c r="E560" s="10" t="s">
        <v>877</v>
      </c>
      <c r="F560" s="10" t="s">
        <v>878</v>
      </c>
      <c r="G560" s="8">
        <v>1</v>
      </c>
      <c r="H560" s="11">
        <v>200</v>
      </c>
      <c r="I560" s="12">
        <v>42449</v>
      </c>
      <c r="J560" s="13">
        <f t="shared" si="19"/>
        <v>0</v>
      </c>
      <c r="K560" s="14"/>
      <c r="L560" s="14"/>
      <c r="M560" s="14">
        <v>200</v>
      </c>
      <c r="N560" s="14"/>
      <c r="O560" s="14"/>
      <c r="P560" s="14"/>
      <c r="Q560" s="14"/>
      <c r="R560" s="14"/>
      <c r="S560" s="14"/>
      <c r="T560" s="14"/>
      <c r="U560" s="14"/>
      <c r="V560" s="14"/>
      <c r="W560" s="15">
        <f t="shared" si="20"/>
        <v>200</v>
      </c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5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5"/>
      <c r="AX560" s="16"/>
    </row>
    <row r="561" spans="2:50" x14ac:dyDescent="0.2">
      <c r="B561" s="7" t="s">
        <v>391</v>
      </c>
      <c r="C561" s="8">
        <v>11323</v>
      </c>
      <c r="D561" s="9" t="s">
        <v>876</v>
      </c>
      <c r="E561" s="10" t="s">
        <v>877</v>
      </c>
      <c r="F561" s="10" t="s">
        <v>878</v>
      </c>
      <c r="G561" s="8">
        <v>3</v>
      </c>
      <c r="H561" s="11">
        <v>160</v>
      </c>
      <c r="I561" s="12">
        <v>42449</v>
      </c>
      <c r="J561" s="13">
        <f t="shared" si="19"/>
        <v>0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5">
        <f t="shared" si="20"/>
        <v>0</v>
      </c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5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5"/>
      <c r="AX561" s="16"/>
    </row>
    <row r="562" spans="2:50" x14ac:dyDescent="0.2">
      <c r="B562" s="7" t="s">
        <v>47</v>
      </c>
      <c r="C562" s="8">
        <v>11324</v>
      </c>
      <c r="D562" s="9" t="s">
        <v>235</v>
      </c>
      <c r="E562" s="10" t="s">
        <v>236</v>
      </c>
      <c r="F562" s="10" t="s">
        <v>237</v>
      </c>
      <c r="G562" s="8">
        <v>1</v>
      </c>
      <c r="H562" s="11">
        <v>800</v>
      </c>
      <c r="I562" s="12">
        <v>42449</v>
      </c>
      <c r="J562" s="13">
        <f t="shared" ref="J562:J588" si="21">IF(G562=1,SUM(W562,-H562),0)</f>
        <v>0</v>
      </c>
      <c r="K562" s="14"/>
      <c r="L562" s="14">
        <v>400</v>
      </c>
      <c r="M562" s="14">
        <v>400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5">
        <f t="shared" ref="W562:W586" si="22">SUM(K562:V562)</f>
        <v>800</v>
      </c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5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5"/>
      <c r="AX562" s="16"/>
    </row>
    <row r="563" spans="2:50" x14ac:dyDescent="0.2">
      <c r="B563" s="7" t="s">
        <v>391</v>
      </c>
      <c r="C563" s="8">
        <v>11325</v>
      </c>
      <c r="D563" s="9" t="s">
        <v>640</v>
      </c>
      <c r="E563" s="10" t="s">
        <v>641</v>
      </c>
      <c r="F563" s="10" t="s">
        <v>642</v>
      </c>
      <c r="G563" s="8">
        <v>1</v>
      </c>
      <c r="H563" s="11">
        <v>400</v>
      </c>
      <c r="I563" s="12">
        <v>42449</v>
      </c>
      <c r="J563" s="13">
        <f t="shared" si="21"/>
        <v>0</v>
      </c>
      <c r="K563" s="14"/>
      <c r="L563" s="14">
        <v>200</v>
      </c>
      <c r="M563" s="14">
        <v>200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15">
        <f t="shared" si="22"/>
        <v>400</v>
      </c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5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5"/>
      <c r="AX563" s="16"/>
    </row>
    <row r="564" spans="2:50" x14ac:dyDescent="0.2">
      <c r="B564" s="7" t="s">
        <v>391</v>
      </c>
      <c r="C564" s="8">
        <v>11326</v>
      </c>
      <c r="D564" s="9" t="s">
        <v>482</v>
      </c>
      <c r="E564" s="10" t="s">
        <v>483</v>
      </c>
      <c r="F564" s="10" t="s">
        <v>484</v>
      </c>
      <c r="G564" s="8">
        <v>4</v>
      </c>
      <c r="H564" s="11">
        <v>160</v>
      </c>
      <c r="I564" s="12">
        <v>42449</v>
      </c>
      <c r="J564" s="13">
        <f t="shared" si="21"/>
        <v>0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5">
        <f t="shared" si="22"/>
        <v>0</v>
      </c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5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5"/>
      <c r="AX564" s="16"/>
    </row>
    <row r="565" spans="2:50" x14ac:dyDescent="0.2">
      <c r="B565" s="7" t="s">
        <v>391</v>
      </c>
      <c r="C565" s="8">
        <v>11327</v>
      </c>
      <c r="D565" s="9" t="s">
        <v>876</v>
      </c>
      <c r="E565" s="10" t="s">
        <v>877</v>
      </c>
      <c r="F565" s="10" t="s">
        <v>878</v>
      </c>
      <c r="G565" s="8">
        <v>4</v>
      </c>
      <c r="H565" s="11">
        <v>320</v>
      </c>
      <c r="I565" s="12">
        <v>42449</v>
      </c>
      <c r="J565" s="13">
        <f t="shared" si="21"/>
        <v>0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5">
        <f t="shared" si="22"/>
        <v>0</v>
      </c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5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5"/>
      <c r="AX565" s="16"/>
    </row>
    <row r="566" spans="2:50" x14ac:dyDescent="0.2">
      <c r="B566" s="7" t="s">
        <v>37</v>
      </c>
      <c r="C566" s="8">
        <v>11328</v>
      </c>
      <c r="D566" s="9" t="s">
        <v>295</v>
      </c>
      <c r="E566" s="10" t="s">
        <v>296</v>
      </c>
      <c r="F566" s="10" t="s">
        <v>297</v>
      </c>
      <c r="G566" s="8">
        <v>1</v>
      </c>
      <c r="H566" s="11">
        <v>300</v>
      </c>
      <c r="I566" s="12">
        <v>42449</v>
      </c>
      <c r="J566" s="13">
        <f t="shared" si="21"/>
        <v>0</v>
      </c>
      <c r="K566" s="14"/>
      <c r="L566" s="14"/>
      <c r="M566" s="14">
        <v>300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5">
        <f t="shared" si="22"/>
        <v>300</v>
      </c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5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5"/>
      <c r="AX566" s="16"/>
    </row>
    <row r="567" spans="2:50" x14ac:dyDescent="0.2">
      <c r="B567" s="7" t="s">
        <v>47</v>
      </c>
      <c r="C567" s="8">
        <v>11329</v>
      </c>
      <c r="D567" s="9" t="s">
        <v>416</v>
      </c>
      <c r="E567" s="10" t="s">
        <v>417</v>
      </c>
      <c r="F567" s="10" t="s">
        <v>418</v>
      </c>
      <c r="G567" s="8">
        <v>1</v>
      </c>
      <c r="H567" s="11">
        <v>200</v>
      </c>
      <c r="I567" s="12">
        <v>42451</v>
      </c>
      <c r="J567" s="13">
        <f t="shared" si="21"/>
        <v>0</v>
      </c>
      <c r="K567" s="14"/>
      <c r="L567" s="14"/>
      <c r="M567" s="14">
        <v>200</v>
      </c>
      <c r="N567" s="14"/>
      <c r="O567" s="14"/>
      <c r="P567" s="14"/>
      <c r="Q567" s="14"/>
      <c r="R567" s="14"/>
      <c r="S567" s="14"/>
      <c r="T567" s="14"/>
      <c r="U567" s="14"/>
      <c r="V567" s="14"/>
      <c r="W567" s="15">
        <f t="shared" si="22"/>
        <v>200</v>
      </c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5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5"/>
      <c r="AX567" s="16"/>
    </row>
    <row r="568" spans="2:50" x14ac:dyDescent="0.2">
      <c r="B568" s="7" t="s">
        <v>391</v>
      </c>
      <c r="C568" s="8">
        <v>11330</v>
      </c>
      <c r="D568" s="9" t="s">
        <v>879</v>
      </c>
      <c r="E568" s="10" t="s">
        <v>880</v>
      </c>
      <c r="F568" s="10" t="s">
        <v>881</v>
      </c>
      <c r="G568" s="8">
        <v>1</v>
      </c>
      <c r="H568" s="11">
        <v>200</v>
      </c>
      <c r="I568" s="12">
        <v>42450</v>
      </c>
      <c r="J568" s="13">
        <f t="shared" si="21"/>
        <v>0</v>
      </c>
      <c r="K568" s="14"/>
      <c r="L568" s="14"/>
      <c r="M568" s="14">
        <v>200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5">
        <f t="shared" si="22"/>
        <v>200</v>
      </c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5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5"/>
      <c r="AX568" s="16"/>
    </row>
    <row r="569" spans="2:50" x14ac:dyDescent="0.2">
      <c r="B569" s="7" t="s">
        <v>37</v>
      </c>
      <c r="C569" s="8">
        <v>11331</v>
      </c>
      <c r="D569" s="9" t="s">
        <v>488</v>
      </c>
      <c r="E569" s="10" t="s">
        <v>489</v>
      </c>
      <c r="F569" s="10" t="s">
        <v>490</v>
      </c>
      <c r="G569" s="8">
        <v>1</v>
      </c>
      <c r="H569" s="11">
        <v>400</v>
      </c>
      <c r="I569" s="12">
        <v>42452</v>
      </c>
      <c r="J569" s="13">
        <f t="shared" si="21"/>
        <v>0</v>
      </c>
      <c r="K569" s="14"/>
      <c r="L569" s="14"/>
      <c r="M569" s="14">
        <v>400</v>
      </c>
      <c r="N569" s="14"/>
      <c r="O569" s="14"/>
      <c r="P569" s="14"/>
      <c r="Q569" s="14"/>
      <c r="R569" s="14"/>
      <c r="S569" s="14"/>
      <c r="T569" s="14"/>
      <c r="U569" s="14"/>
      <c r="V569" s="14"/>
      <c r="W569" s="15">
        <f t="shared" si="22"/>
        <v>400</v>
      </c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5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5"/>
      <c r="AX569" s="16"/>
    </row>
    <row r="570" spans="2:50" x14ac:dyDescent="0.2">
      <c r="B570" s="7" t="s">
        <v>47</v>
      </c>
      <c r="C570" s="8">
        <v>11332</v>
      </c>
      <c r="D570" s="9" t="s">
        <v>208</v>
      </c>
      <c r="E570" s="10" t="s">
        <v>209</v>
      </c>
      <c r="F570" s="10" t="s">
        <v>210</v>
      </c>
      <c r="G570" s="8"/>
      <c r="H570" s="11"/>
      <c r="I570" s="12"/>
      <c r="J570" s="13">
        <f t="shared" si="21"/>
        <v>0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5">
        <f t="shared" si="22"/>
        <v>0</v>
      </c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5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5"/>
      <c r="AX570" s="16"/>
    </row>
    <row r="571" spans="2:50" x14ac:dyDescent="0.2">
      <c r="B571" s="7" t="s">
        <v>37</v>
      </c>
      <c r="C571" s="8">
        <v>11333</v>
      </c>
      <c r="D571" s="9" t="s">
        <v>268</v>
      </c>
      <c r="E571" s="10" t="s">
        <v>269</v>
      </c>
      <c r="F571" s="10" t="s">
        <v>270</v>
      </c>
      <c r="G571" s="8">
        <v>1</v>
      </c>
      <c r="H571" s="11">
        <v>300</v>
      </c>
      <c r="I571" s="12">
        <v>42456</v>
      </c>
      <c r="J571" s="13">
        <f t="shared" si="21"/>
        <v>0</v>
      </c>
      <c r="K571" s="14"/>
      <c r="L571" s="14"/>
      <c r="M571" s="14">
        <v>300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5">
        <f t="shared" si="22"/>
        <v>300</v>
      </c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5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5"/>
      <c r="AX571" s="16"/>
    </row>
    <row r="572" spans="2:50" x14ac:dyDescent="0.2">
      <c r="B572" s="7" t="s">
        <v>47</v>
      </c>
      <c r="C572" s="8">
        <v>11334</v>
      </c>
      <c r="D572" s="9" t="s">
        <v>497</v>
      </c>
      <c r="E572" s="10" t="s">
        <v>498</v>
      </c>
      <c r="F572" s="10" t="s">
        <v>499</v>
      </c>
      <c r="G572" s="8">
        <v>1</v>
      </c>
      <c r="H572" s="11">
        <v>400</v>
      </c>
      <c r="I572" s="12">
        <v>42456</v>
      </c>
      <c r="J572" s="13">
        <f t="shared" si="21"/>
        <v>0</v>
      </c>
      <c r="K572" s="14"/>
      <c r="L572" s="14"/>
      <c r="M572" s="14"/>
      <c r="N572" s="14">
        <v>400</v>
      </c>
      <c r="O572" s="14"/>
      <c r="P572" s="14"/>
      <c r="Q572" s="14"/>
      <c r="R572" s="14"/>
      <c r="S572" s="14"/>
      <c r="T572" s="14"/>
      <c r="U572" s="14"/>
      <c r="V572" s="14"/>
      <c r="W572" s="15">
        <f t="shared" si="22"/>
        <v>400</v>
      </c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5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5"/>
      <c r="AX572" s="16"/>
    </row>
    <row r="573" spans="2:50" x14ac:dyDescent="0.2">
      <c r="B573" s="7" t="s">
        <v>69</v>
      </c>
      <c r="C573" s="8">
        <v>11335</v>
      </c>
      <c r="D573" s="9" t="s">
        <v>882</v>
      </c>
      <c r="E573" s="10" t="s">
        <v>883</v>
      </c>
      <c r="F573" s="10" t="s">
        <v>884</v>
      </c>
      <c r="G573" s="8">
        <v>1</v>
      </c>
      <c r="H573" s="11">
        <v>600</v>
      </c>
      <c r="I573" s="12">
        <v>42456</v>
      </c>
      <c r="J573" s="13">
        <f t="shared" si="21"/>
        <v>0</v>
      </c>
      <c r="K573" s="14">
        <v>200</v>
      </c>
      <c r="L573" s="14">
        <v>200</v>
      </c>
      <c r="M573" s="14">
        <v>200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15">
        <f t="shared" si="22"/>
        <v>600</v>
      </c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5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5"/>
      <c r="AX573" s="16"/>
    </row>
    <row r="574" spans="2:50" x14ac:dyDescent="0.2">
      <c r="B574" s="7" t="s">
        <v>77</v>
      </c>
      <c r="C574" s="8">
        <v>11336</v>
      </c>
      <c r="D574" s="9" t="s">
        <v>820</v>
      </c>
      <c r="E574" s="10" t="s">
        <v>821</v>
      </c>
      <c r="F574" s="10" t="s">
        <v>822</v>
      </c>
      <c r="G574" s="8">
        <v>1</v>
      </c>
      <c r="H574" s="11">
        <v>300</v>
      </c>
      <c r="I574" s="12">
        <v>42456</v>
      </c>
      <c r="J574" s="13">
        <f t="shared" si="21"/>
        <v>0</v>
      </c>
      <c r="K574" s="14"/>
      <c r="L574" s="14"/>
      <c r="M574" s="14">
        <v>300</v>
      </c>
      <c r="N574" s="14"/>
      <c r="O574" s="14"/>
      <c r="P574" s="14"/>
      <c r="Q574" s="14"/>
      <c r="R574" s="14"/>
      <c r="S574" s="14"/>
      <c r="T574" s="14"/>
      <c r="U574" s="14"/>
      <c r="V574" s="14"/>
      <c r="W574" s="15">
        <f t="shared" si="22"/>
        <v>300</v>
      </c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5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5"/>
      <c r="AX574" s="16"/>
    </row>
    <row r="575" spans="2:50" x14ac:dyDescent="0.2">
      <c r="B575" s="7" t="s">
        <v>122</v>
      </c>
      <c r="C575" s="8">
        <v>11337</v>
      </c>
      <c r="D575" s="9" t="s">
        <v>256</v>
      </c>
      <c r="E575" s="10" t="s">
        <v>257</v>
      </c>
      <c r="F575" s="10" t="s">
        <v>258</v>
      </c>
      <c r="G575" s="8">
        <v>1</v>
      </c>
      <c r="H575" s="11">
        <v>300</v>
      </c>
      <c r="I575" s="12">
        <v>42456</v>
      </c>
      <c r="J575" s="13">
        <f t="shared" si="21"/>
        <v>0</v>
      </c>
      <c r="K575" s="14"/>
      <c r="L575" s="14"/>
      <c r="M575" s="14">
        <v>300</v>
      </c>
      <c r="N575" s="14"/>
      <c r="O575" s="14"/>
      <c r="P575" s="14"/>
      <c r="Q575" s="14"/>
      <c r="R575" s="14"/>
      <c r="S575" s="14"/>
      <c r="T575" s="14"/>
      <c r="U575" s="14"/>
      <c r="V575" s="14"/>
      <c r="W575" s="15">
        <f t="shared" si="22"/>
        <v>300</v>
      </c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5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5"/>
      <c r="AX575" s="16"/>
    </row>
    <row r="576" spans="2:50" x14ac:dyDescent="0.2">
      <c r="B576" s="7" t="s">
        <v>37</v>
      </c>
      <c r="C576" s="8">
        <v>11338</v>
      </c>
      <c r="D576" s="9" t="s">
        <v>538</v>
      </c>
      <c r="E576" s="10" t="s">
        <v>539</v>
      </c>
      <c r="F576" s="10" t="s">
        <v>540</v>
      </c>
      <c r="G576" s="8">
        <v>1</v>
      </c>
      <c r="H576" s="11">
        <v>400</v>
      </c>
      <c r="I576" s="12">
        <v>42456</v>
      </c>
      <c r="J576" s="13">
        <f t="shared" si="21"/>
        <v>0</v>
      </c>
      <c r="K576" s="14"/>
      <c r="L576" s="14"/>
      <c r="M576" s="14">
        <v>400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5">
        <f t="shared" si="22"/>
        <v>400</v>
      </c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5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5"/>
      <c r="AX576" s="16"/>
    </row>
    <row r="577" spans="1:50" x14ac:dyDescent="0.2">
      <c r="B577" s="7" t="s">
        <v>37</v>
      </c>
      <c r="C577" s="8">
        <v>11339</v>
      </c>
      <c r="D577" s="9" t="s">
        <v>794</v>
      </c>
      <c r="E577" s="10" t="s">
        <v>795</v>
      </c>
      <c r="F577" s="10" t="s">
        <v>796</v>
      </c>
      <c r="G577" s="8">
        <v>1</v>
      </c>
      <c r="H577" s="11">
        <v>300</v>
      </c>
      <c r="I577" s="12">
        <v>42456</v>
      </c>
      <c r="J577" s="13">
        <f t="shared" si="21"/>
        <v>0</v>
      </c>
      <c r="K577" s="14"/>
      <c r="L577" s="14"/>
      <c r="M577" s="14">
        <v>300</v>
      </c>
      <c r="N577" s="14"/>
      <c r="O577" s="14"/>
      <c r="P577" s="14"/>
      <c r="Q577" s="14"/>
      <c r="R577" s="14"/>
      <c r="S577" s="14"/>
      <c r="T577" s="14"/>
      <c r="U577" s="14"/>
      <c r="V577" s="14"/>
      <c r="W577" s="15">
        <f t="shared" si="22"/>
        <v>300</v>
      </c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5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5"/>
      <c r="AX577" s="16"/>
    </row>
    <row r="578" spans="1:50" x14ac:dyDescent="0.2">
      <c r="B578" s="7" t="s">
        <v>37</v>
      </c>
      <c r="C578" s="8">
        <v>11340</v>
      </c>
      <c r="D578" s="9" t="s">
        <v>526</v>
      </c>
      <c r="E578" s="10" t="s">
        <v>527</v>
      </c>
      <c r="F578" s="10" t="s">
        <v>528</v>
      </c>
      <c r="G578" s="8">
        <v>1</v>
      </c>
      <c r="H578" s="11">
        <v>400</v>
      </c>
      <c r="I578" s="12">
        <v>42456</v>
      </c>
      <c r="J578" s="13">
        <f t="shared" si="21"/>
        <v>0</v>
      </c>
      <c r="K578" s="14"/>
      <c r="L578" s="14"/>
      <c r="M578" s="14">
        <v>400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5">
        <f t="shared" si="22"/>
        <v>400</v>
      </c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5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5"/>
      <c r="AX578" s="16"/>
    </row>
    <row r="579" spans="1:50" x14ac:dyDescent="0.2">
      <c r="B579" s="7" t="s">
        <v>37</v>
      </c>
      <c r="C579" s="8">
        <v>11341</v>
      </c>
      <c r="D579" s="9" t="s">
        <v>628</v>
      </c>
      <c r="E579" s="10" t="s">
        <v>629</v>
      </c>
      <c r="F579" s="10" t="s">
        <v>630</v>
      </c>
      <c r="G579" s="8">
        <v>1</v>
      </c>
      <c r="H579" s="11">
        <v>400</v>
      </c>
      <c r="I579" s="12">
        <v>42456</v>
      </c>
      <c r="J579" s="13">
        <f t="shared" si="21"/>
        <v>0</v>
      </c>
      <c r="K579" s="14"/>
      <c r="L579" s="14"/>
      <c r="M579" s="14">
        <v>400</v>
      </c>
      <c r="N579" s="14"/>
      <c r="O579" s="14"/>
      <c r="P579" s="14"/>
      <c r="Q579" s="14"/>
      <c r="R579" s="14"/>
      <c r="S579" s="14"/>
      <c r="T579" s="14"/>
      <c r="U579" s="14"/>
      <c r="V579" s="14"/>
      <c r="W579" s="15">
        <f t="shared" si="22"/>
        <v>400</v>
      </c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5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5"/>
      <c r="AX579" s="16"/>
    </row>
    <row r="580" spans="1:50" x14ac:dyDescent="0.2">
      <c r="B580" s="7" t="s">
        <v>77</v>
      </c>
      <c r="C580" s="8">
        <v>11342</v>
      </c>
      <c r="D580" s="9" t="s">
        <v>652</v>
      </c>
      <c r="E580" s="10" t="s">
        <v>653</v>
      </c>
      <c r="F580" s="10" t="s">
        <v>654</v>
      </c>
      <c r="G580" s="8">
        <v>1</v>
      </c>
      <c r="H580" s="11">
        <v>800</v>
      </c>
      <c r="I580" s="12">
        <v>42456</v>
      </c>
      <c r="J580" s="13">
        <f t="shared" si="21"/>
        <v>0</v>
      </c>
      <c r="K580" s="14">
        <v>400</v>
      </c>
      <c r="L580" s="14">
        <v>400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5">
        <f t="shared" si="22"/>
        <v>800</v>
      </c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5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5"/>
      <c r="AX580" s="16"/>
    </row>
    <row r="581" spans="1:50" x14ac:dyDescent="0.2">
      <c r="B581" s="7" t="s">
        <v>77</v>
      </c>
      <c r="C581" s="8">
        <v>11343</v>
      </c>
      <c r="D581" s="9" t="s">
        <v>322</v>
      </c>
      <c r="E581" s="10" t="s">
        <v>323</v>
      </c>
      <c r="F581" s="10" t="s">
        <v>324</v>
      </c>
      <c r="G581" s="8">
        <v>1</v>
      </c>
      <c r="H581" s="11">
        <v>400</v>
      </c>
      <c r="I581" s="12">
        <v>42456</v>
      </c>
      <c r="J581" s="13">
        <f t="shared" si="21"/>
        <v>0</v>
      </c>
      <c r="K581" s="14"/>
      <c r="L581" s="14">
        <v>400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5">
        <f t="shared" si="22"/>
        <v>400</v>
      </c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5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5"/>
      <c r="AX581" s="16"/>
    </row>
    <row r="582" spans="1:50" x14ac:dyDescent="0.2">
      <c r="B582" s="7" t="s">
        <v>47</v>
      </c>
      <c r="C582" s="8">
        <v>11344</v>
      </c>
      <c r="D582" s="9" t="s">
        <v>250</v>
      </c>
      <c r="E582" s="10" t="s">
        <v>251</v>
      </c>
      <c r="F582" s="10" t="s">
        <v>252</v>
      </c>
      <c r="G582" s="8">
        <v>1</v>
      </c>
      <c r="H582" s="11">
        <v>800</v>
      </c>
      <c r="I582" s="12">
        <v>42456</v>
      </c>
      <c r="J582" s="13">
        <f t="shared" si="21"/>
        <v>0</v>
      </c>
      <c r="K582" s="14"/>
      <c r="L582" s="14">
        <v>400</v>
      </c>
      <c r="M582" s="14">
        <v>400</v>
      </c>
      <c r="N582" s="14"/>
      <c r="O582" s="14"/>
      <c r="P582" s="14"/>
      <c r="Q582" s="14"/>
      <c r="R582" s="14"/>
      <c r="S582" s="14"/>
      <c r="T582" s="14"/>
      <c r="U582" s="14"/>
      <c r="V582" s="14"/>
      <c r="W582" s="15">
        <f t="shared" si="22"/>
        <v>800</v>
      </c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5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5"/>
      <c r="AX582" s="16"/>
    </row>
    <row r="583" spans="1:50" x14ac:dyDescent="0.2">
      <c r="B583" s="7" t="s">
        <v>73</v>
      </c>
      <c r="C583" s="8"/>
      <c r="D583" s="9" t="s">
        <v>806</v>
      </c>
      <c r="E583" s="10" t="s">
        <v>885</v>
      </c>
      <c r="F583" s="10" t="s">
        <v>805</v>
      </c>
      <c r="G583" s="8">
        <v>1</v>
      </c>
      <c r="H583" s="11">
        <v>11000</v>
      </c>
      <c r="I583" s="12">
        <v>42795</v>
      </c>
      <c r="J583" s="13">
        <f t="shared" si="21"/>
        <v>0</v>
      </c>
      <c r="K583" s="14"/>
      <c r="L583" s="14">
        <v>11000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5">
        <f t="shared" si="22"/>
        <v>11000</v>
      </c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5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5"/>
      <c r="AX583" s="16"/>
    </row>
    <row r="584" spans="1:50" x14ac:dyDescent="0.2">
      <c r="B584" s="7" t="s">
        <v>69</v>
      </c>
      <c r="C584" s="8">
        <v>11400</v>
      </c>
      <c r="D584" s="9" t="s">
        <v>211</v>
      </c>
      <c r="E584" s="10" t="s">
        <v>212</v>
      </c>
      <c r="F584" s="10" t="s">
        <v>213</v>
      </c>
      <c r="G584" s="8">
        <v>1</v>
      </c>
      <c r="H584" s="11">
        <v>300</v>
      </c>
      <c r="I584" s="12">
        <v>42431</v>
      </c>
      <c r="J584" s="13">
        <f t="shared" si="21"/>
        <v>0</v>
      </c>
      <c r="K584" s="14"/>
      <c r="L584" s="14">
        <v>300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5">
        <f t="shared" si="22"/>
        <v>300</v>
      </c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5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5"/>
      <c r="AX584" s="16"/>
    </row>
    <row r="585" spans="1:50" x14ac:dyDescent="0.2">
      <c r="B585" s="7" t="s">
        <v>73</v>
      </c>
      <c r="C585" s="8">
        <v>11401</v>
      </c>
      <c r="D585" s="9" t="s">
        <v>598</v>
      </c>
      <c r="E585" s="10" t="s">
        <v>599</v>
      </c>
      <c r="F585" s="10" t="s">
        <v>886</v>
      </c>
      <c r="G585" s="8">
        <v>1</v>
      </c>
      <c r="H585" s="11">
        <v>-400</v>
      </c>
      <c r="I585" s="12">
        <v>42437</v>
      </c>
      <c r="J585" s="13">
        <f t="shared" si="21"/>
        <v>0</v>
      </c>
      <c r="K585" s="14">
        <v>-400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5">
        <f t="shared" si="22"/>
        <v>-400</v>
      </c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5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5"/>
      <c r="AX585" s="16"/>
    </row>
    <row r="586" spans="1:50" x14ac:dyDescent="0.2">
      <c r="B586" s="7" t="s">
        <v>37</v>
      </c>
      <c r="C586" s="8">
        <v>11865</v>
      </c>
      <c r="D586" s="9" t="s">
        <v>119</v>
      </c>
      <c r="E586" s="10" t="s">
        <v>120</v>
      </c>
      <c r="F586" s="10" t="s">
        <v>121</v>
      </c>
      <c r="G586" s="8">
        <v>1</v>
      </c>
      <c r="H586" s="11">
        <v>400</v>
      </c>
      <c r="I586" s="12">
        <v>42447</v>
      </c>
      <c r="J586" s="13">
        <f t="shared" si="21"/>
        <v>0</v>
      </c>
      <c r="K586" s="14"/>
      <c r="L586" s="14"/>
      <c r="M586" s="14">
        <v>400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5">
        <f t="shared" si="22"/>
        <v>400</v>
      </c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5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5"/>
      <c r="AX586" s="16"/>
    </row>
    <row r="587" spans="1:50" x14ac:dyDescent="0.2">
      <c r="B587" s="7" t="s">
        <v>69</v>
      </c>
      <c r="C587" s="8">
        <v>11402</v>
      </c>
      <c r="D587" s="9" t="s">
        <v>211</v>
      </c>
      <c r="E587" s="10" t="s">
        <v>212</v>
      </c>
      <c r="F587" s="10" t="s">
        <v>213</v>
      </c>
      <c r="G587" s="8">
        <v>1</v>
      </c>
      <c r="H587" s="11">
        <v>300</v>
      </c>
      <c r="I587" s="12">
        <v>42437</v>
      </c>
      <c r="J587" s="13">
        <f t="shared" si="21"/>
        <v>0</v>
      </c>
      <c r="K587" s="14"/>
      <c r="L587" s="14"/>
      <c r="M587" s="14">
        <v>300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5">
        <f>SUM(K587:V587)</f>
        <v>300</v>
      </c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5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5"/>
      <c r="AX587" s="16"/>
    </row>
    <row r="588" spans="1:50" x14ac:dyDescent="0.2">
      <c r="B588" s="7" t="s">
        <v>47</v>
      </c>
      <c r="C588" s="8">
        <v>11403</v>
      </c>
      <c r="D588" s="9" t="s">
        <v>208</v>
      </c>
      <c r="E588" s="10" t="s">
        <v>209</v>
      </c>
      <c r="F588" s="10" t="s">
        <v>210</v>
      </c>
      <c r="G588" s="8">
        <v>1</v>
      </c>
      <c r="H588" s="11">
        <v>400</v>
      </c>
      <c r="I588" s="12">
        <v>42438</v>
      </c>
      <c r="J588" s="13">
        <f t="shared" si="21"/>
        <v>0</v>
      </c>
      <c r="K588" s="14"/>
      <c r="L588" s="14"/>
      <c r="M588" s="14">
        <v>400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5">
        <f>SUM(K588:V588)</f>
        <v>400</v>
      </c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5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5"/>
      <c r="AX588" s="16"/>
    </row>
    <row r="589" spans="1:50" x14ac:dyDescent="0.2">
      <c r="B589" s="48"/>
      <c r="C589" s="48"/>
      <c r="D589" s="48"/>
      <c r="E589" s="48"/>
      <c r="F589" s="48"/>
      <c r="G589" s="19">
        <v>1</v>
      </c>
      <c r="H589" s="21">
        <v>1000</v>
      </c>
      <c r="I589" s="26"/>
      <c r="J589" s="27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9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9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9"/>
      <c r="AX589" s="25"/>
    </row>
    <row r="590" spans="1:50" ht="22.5" x14ac:dyDescent="0.2">
      <c r="A590" s="2" t="s">
        <v>0</v>
      </c>
      <c r="B590" s="3" t="s">
        <v>1</v>
      </c>
      <c r="C590" s="3" t="s">
        <v>2</v>
      </c>
      <c r="D590" s="3" t="s">
        <v>3</v>
      </c>
      <c r="E590" s="3" t="s">
        <v>4</v>
      </c>
      <c r="F590" s="3" t="s">
        <v>5</v>
      </c>
      <c r="G590" s="3" t="s">
        <v>6</v>
      </c>
      <c r="H590" s="3" t="s">
        <v>7</v>
      </c>
      <c r="I590" s="3" t="s">
        <v>8</v>
      </c>
      <c r="J590" s="3" t="s">
        <v>9</v>
      </c>
      <c r="K590" s="4" t="s">
        <v>10</v>
      </c>
      <c r="L590" s="4" t="s">
        <v>11</v>
      </c>
      <c r="M590" s="4" t="s">
        <v>12</v>
      </c>
      <c r="N590" s="4" t="s">
        <v>13</v>
      </c>
      <c r="O590" s="4" t="s">
        <v>14</v>
      </c>
      <c r="P590" s="4" t="s">
        <v>15</v>
      </c>
      <c r="Q590" s="4" t="s">
        <v>16</v>
      </c>
      <c r="R590" s="4" t="s">
        <v>17</v>
      </c>
      <c r="S590" s="4" t="s">
        <v>18</v>
      </c>
      <c r="T590" s="4" t="s">
        <v>19</v>
      </c>
      <c r="U590" s="4" t="s">
        <v>20</v>
      </c>
      <c r="V590" s="4" t="s">
        <v>21</v>
      </c>
      <c r="W590" s="5" t="s">
        <v>22</v>
      </c>
      <c r="X590" s="4" t="s">
        <v>23</v>
      </c>
      <c r="Y590" s="4" t="s">
        <v>24</v>
      </c>
      <c r="Z590" s="4" t="s">
        <v>25</v>
      </c>
      <c r="AA590" s="4" t="s">
        <v>26</v>
      </c>
      <c r="AB590" s="4" t="s">
        <v>27</v>
      </c>
      <c r="AC590" s="4" t="s">
        <v>28</v>
      </c>
      <c r="AD590" s="4" t="s">
        <v>29</v>
      </c>
      <c r="AE590" s="4" t="s">
        <v>30</v>
      </c>
      <c r="AF590" s="4" t="s">
        <v>31</v>
      </c>
      <c r="AG590" s="4" t="s">
        <v>32</v>
      </c>
      <c r="AH590" s="4" t="s">
        <v>33</v>
      </c>
      <c r="AI590" s="4" t="s">
        <v>34</v>
      </c>
      <c r="AJ590" s="5" t="s">
        <v>35</v>
      </c>
      <c r="AK590" s="4" t="s">
        <v>4607</v>
      </c>
      <c r="AL590" s="4" t="s">
        <v>4608</v>
      </c>
      <c r="AM590" s="4" t="s">
        <v>4609</v>
      </c>
      <c r="AN590" s="4" t="s">
        <v>4610</v>
      </c>
      <c r="AO590" s="4" t="s">
        <v>4611</v>
      </c>
      <c r="AP590" s="4" t="s">
        <v>4612</v>
      </c>
      <c r="AQ590" s="4" t="s">
        <v>4613</v>
      </c>
      <c r="AR590" s="4" t="s">
        <v>4614</v>
      </c>
      <c r="AS590" s="4" t="s">
        <v>4615</v>
      </c>
      <c r="AT590" s="4" t="s">
        <v>4616</v>
      </c>
      <c r="AU590" s="4" t="s">
        <v>4617</v>
      </c>
      <c r="AV590" s="4" t="s">
        <v>4618</v>
      </c>
      <c r="AW590" s="338" t="s">
        <v>4619</v>
      </c>
      <c r="AX590" s="6" t="s">
        <v>36</v>
      </c>
    </row>
    <row r="591" spans="1:50" x14ac:dyDescent="0.2">
      <c r="B591" s="7" t="s">
        <v>37</v>
      </c>
      <c r="C591" s="8">
        <v>11345</v>
      </c>
      <c r="D591" s="9" t="s">
        <v>443</v>
      </c>
      <c r="E591" s="10" t="s">
        <v>444</v>
      </c>
      <c r="F591" s="10" t="s">
        <v>445</v>
      </c>
      <c r="G591" s="8">
        <v>3</v>
      </c>
      <c r="H591" s="11">
        <v>320</v>
      </c>
      <c r="I591" s="12">
        <v>42458</v>
      </c>
      <c r="J591" s="13">
        <f t="shared" ref="J591:J654" si="23">IF(G591=1,SUM(W591,-H591),0)</f>
        <v>0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5">
        <f>SUM(K591:V591)</f>
        <v>0</v>
      </c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5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5"/>
      <c r="AX591" s="16"/>
    </row>
    <row r="592" spans="1:50" x14ac:dyDescent="0.2">
      <c r="B592" s="7" t="s">
        <v>73</v>
      </c>
      <c r="C592" s="8">
        <v>11346</v>
      </c>
      <c r="D592" s="9" t="s">
        <v>199</v>
      </c>
      <c r="E592" s="10" t="s">
        <v>200</v>
      </c>
      <c r="F592" s="10" t="s">
        <v>201</v>
      </c>
      <c r="G592" s="8">
        <v>1</v>
      </c>
      <c r="H592" s="11">
        <v>400</v>
      </c>
      <c r="I592" s="12">
        <v>42458</v>
      </c>
      <c r="J592" s="13">
        <f t="shared" si="23"/>
        <v>0</v>
      </c>
      <c r="K592" s="14"/>
      <c r="L592" s="14"/>
      <c r="M592" s="14">
        <v>400</v>
      </c>
      <c r="N592" s="14"/>
      <c r="O592" s="14"/>
      <c r="P592" s="14"/>
      <c r="Q592" s="14"/>
      <c r="R592" s="14"/>
      <c r="S592" s="14"/>
      <c r="T592" s="14"/>
      <c r="U592" s="14"/>
      <c r="V592" s="14"/>
      <c r="W592" s="15">
        <f>SUM(K592:V592)</f>
        <v>400</v>
      </c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5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5"/>
      <c r="AX592" s="16"/>
    </row>
    <row r="593" spans="2:50" x14ac:dyDescent="0.2">
      <c r="B593" s="7" t="s">
        <v>37</v>
      </c>
      <c r="C593" s="8">
        <v>11347</v>
      </c>
      <c r="D593" s="9" t="s">
        <v>226</v>
      </c>
      <c r="E593" s="10" t="s">
        <v>227</v>
      </c>
      <c r="F593" s="10" t="s">
        <v>228</v>
      </c>
      <c r="G593" s="8">
        <v>1</v>
      </c>
      <c r="H593" s="11">
        <v>200</v>
      </c>
      <c r="I593" s="12">
        <v>42460</v>
      </c>
      <c r="J593" s="13">
        <f t="shared" si="23"/>
        <v>0</v>
      </c>
      <c r="K593" s="14"/>
      <c r="L593" s="14">
        <v>200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5">
        <f>SUM(K593:V593)</f>
        <v>200</v>
      </c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5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5"/>
      <c r="AX593" s="16"/>
    </row>
    <row r="594" spans="2:50" x14ac:dyDescent="0.2">
      <c r="B594" s="7" t="s">
        <v>47</v>
      </c>
      <c r="C594" s="8">
        <v>11856</v>
      </c>
      <c r="D594" s="9" t="s">
        <v>620</v>
      </c>
      <c r="E594" s="10" t="s">
        <v>621</v>
      </c>
      <c r="F594" s="10" t="s">
        <v>366</v>
      </c>
      <c r="G594" s="8">
        <v>1</v>
      </c>
      <c r="H594" s="11">
        <v>400</v>
      </c>
      <c r="I594" s="12">
        <v>42489</v>
      </c>
      <c r="J594" s="13">
        <f t="shared" si="23"/>
        <v>0</v>
      </c>
      <c r="K594" s="14"/>
      <c r="L594" s="14"/>
      <c r="M594" s="14"/>
      <c r="N594" s="14">
        <v>400</v>
      </c>
      <c r="O594" s="14"/>
      <c r="P594" s="14"/>
      <c r="Q594" s="14"/>
      <c r="R594" s="14"/>
      <c r="S594" s="14"/>
      <c r="T594" s="14"/>
      <c r="U594" s="14"/>
      <c r="V594" s="14"/>
      <c r="W594" s="15">
        <f>SUM(K594:V594)</f>
        <v>400</v>
      </c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5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5"/>
      <c r="AX594" s="16"/>
    </row>
    <row r="595" spans="2:50" x14ac:dyDescent="0.2">
      <c r="B595" s="7" t="s">
        <v>73</v>
      </c>
      <c r="C595" s="8">
        <v>11348</v>
      </c>
      <c r="D595" s="9" t="s">
        <v>806</v>
      </c>
      <c r="E595" s="10" t="s">
        <v>885</v>
      </c>
      <c r="F595" s="10" t="s">
        <v>805</v>
      </c>
      <c r="G595" s="8">
        <v>3</v>
      </c>
      <c r="H595" s="11">
        <v>160</v>
      </c>
      <c r="I595" s="12">
        <v>42461</v>
      </c>
      <c r="J595" s="13">
        <f t="shared" si="23"/>
        <v>0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5">
        <f t="shared" ref="W595:W658" si="24">SUM(K595:V595)</f>
        <v>0</v>
      </c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5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5"/>
      <c r="AX595" s="16"/>
    </row>
    <row r="596" spans="2:50" x14ac:dyDescent="0.2">
      <c r="B596" s="7" t="s">
        <v>73</v>
      </c>
      <c r="C596" s="8">
        <v>11349</v>
      </c>
      <c r="D596" s="9" t="s">
        <v>806</v>
      </c>
      <c r="E596" s="10" t="s">
        <v>885</v>
      </c>
      <c r="F596" s="10" t="s">
        <v>805</v>
      </c>
      <c r="G596" s="8">
        <v>3</v>
      </c>
      <c r="H596" s="11">
        <v>160</v>
      </c>
      <c r="I596" s="12">
        <v>42461</v>
      </c>
      <c r="J596" s="13">
        <f t="shared" si="23"/>
        <v>0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5">
        <f t="shared" si="24"/>
        <v>0</v>
      </c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5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5"/>
      <c r="AX596" s="16"/>
    </row>
    <row r="597" spans="2:50" x14ac:dyDescent="0.2">
      <c r="B597" s="7" t="s">
        <v>47</v>
      </c>
      <c r="C597" s="8">
        <v>11350</v>
      </c>
      <c r="D597" s="9" t="s">
        <v>752</v>
      </c>
      <c r="E597" s="10" t="s">
        <v>753</v>
      </c>
      <c r="F597" s="10" t="s">
        <v>754</v>
      </c>
      <c r="G597" s="8">
        <v>1</v>
      </c>
      <c r="H597" s="11">
        <v>400</v>
      </c>
      <c r="I597" s="12">
        <v>42461</v>
      </c>
      <c r="J597" s="13">
        <f t="shared" si="23"/>
        <v>0</v>
      </c>
      <c r="K597" s="14"/>
      <c r="L597" s="14"/>
      <c r="M597" s="14">
        <v>400</v>
      </c>
      <c r="N597" s="14"/>
      <c r="O597" s="14"/>
      <c r="P597" s="14"/>
      <c r="Q597" s="14"/>
      <c r="R597" s="14"/>
      <c r="S597" s="14"/>
      <c r="T597" s="14"/>
      <c r="U597" s="14"/>
      <c r="V597" s="14"/>
      <c r="W597" s="15">
        <f t="shared" si="24"/>
        <v>400</v>
      </c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5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5"/>
      <c r="AX597" s="16"/>
    </row>
    <row r="598" spans="2:50" x14ac:dyDescent="0.2">
      <c r="B598" s="7" t="s">
        <v>77</v>
      </c>
      <c r="C598" s="8">
        <v>11351</v>
      </c>
      <c r="D598" s="9" t="s">
        <v>156</v>
      </c>
      <c r="E598" s="10" t="s">
        <v>157</v>
      </c>
      <c r="F598" s="10" t="s">
        <v>158</v>
      </c>
      <c r="G598" s="8">
        <v>1</v>
      </c>
      <c r="H598" s="11">
        <v>300</v>
      </c>
      <c r="I598" s="12">
        <v>42463</v>
      </c>
      <c r="J598" s="13">
        <f t="shared" si="23"/>
        <v>0</v>
      </c>
      <c r="K598" s="14"/>
      <c r="L598" s="14"/>
      <c r="M598" s="14"/>
      <c r="N598" s="14">
        <v>300</v>
      </c>
      <c r="O598" s="14"/>
      <c r="P598" s="14"/>
      <c r="Q598" s="14"/>
      <c r="R598" s="14"/>
      <c r="S598" s="14"/>
      <c r="T598" s="14"/>
      <c r="U598" s="14"/>
      <c r="V598" s="14"/>
      <c r="W598" s="15">
        <f t="shared" si="24"/>
        <v>300</v>
      </c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5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5"/>
      <c r="AX598" s="16"/>
    </row>
    <row r="599" spans="2:50" x14ac:dyDescent="0.2">
      <c r="B599" s="7" t="s">
        <v>47</v>
      </c>
      <c r="C599" s="8">
        <v>11352</v>
      </c>
      <c r="D599" s="9" t="s">
        <v>238</v>
      </c>
      <c r="E599" s="10" t="s">
        <v>239</v>
      </c>
      <c r="F599" s="10" t="s">
        <v>240</v>
      </c>
      <c r="G599" s="8">
        <v>1</v>
      </c>
      <c r="H599" s="11">
        <v>125</v>
      </c>
      <c r="I599" s="12">
        <v>42463</v>
      </c>
      <c r="J599" s="13">
        <f t="shared" si="23"/>
        <v>0</v>
      </c>
      <c r="K599" s="14"/>
      <c r="L599" s="14"/>
      <c r="M599" s="14"/>
      <c r="N599" s="14">
        <v>125</v>
      </c>
      <c r="O599" s="14"/>
      <c r="P599" s="14"/>
      <c r="Q599" s="14"/>
      <c r="R599" s="14"/>
      <c r="S599" s="14"/>
      <c r="T599" s="14"/>
      <c r="U599" s="14"/>
      <c r="V599" s="14"/>
      <c r="W599" s="15">
        <f t="shared" si="24"/>
        <v>125</v>
      </c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5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5"/>
      <c r="AX599" s="16"/>
    </row>
    <row r="600" spans="2:50" x14ac:dyDescent="0.2">
      <c r="B600" s="7" t="s">
        <v>47</v>
      </c>
      <c r="C600" s="8">
        <v>11353</v>
      </c>
      <c r="D600" s="9" t="s">
        <v>97</v>
      </c>
      <c r="E600" s="10" t="s">
        <v>98</v>
      </c>
      <c r="F600" s="10" t="s">
        <v>99</v>
      </c>
      <c r="G600" s="8">
        <v>1</v>
      </c>
      <c r="H600" s="11">
        <v>400</v>
      </c>
      <c r="I600" s="12">
        <v>42463</v>
      </c>
      <c r="J600" s="13">
        <f t="shared" si="23"/>
        <v>0</v>
      </c>
      <c r="K600" s="14"/>
      <c r="L600" s="14"/>
      <c r="M600" s="14"/>
      <c r="N600" s="14">
        <v>400</v>
      </c>
      <c r="O600" s="14"/>
      <c r="P600" s="14"/>
      <c r="Q600" s="14"/>
      <c r="R600" s="14"/>
      <c r="S600" s="14"/>
      <c r="T600" s="14"/>
      <c r="U600" s="14"/>
      <c r="V600" s="14"/>
      <c r="W600" s="15">
        <f t="shared" si="24"/>
        <v>400</v>
      </c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5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5"/>
      <c r="AX600" s="16"/>
    </row>
    <row r="601" spans="2:50" x14ac:dyDescent="0.2">
      <c r="B601" s="7" t="s">
        <v>69</v>
      </c>
      <c r="C601" s="8">
        <v>11354</v>
      </c>
      <c r="D601" s="9" t="s">
        <v>678</v>
      </c>
      <c r="E601" s="10" t="s">
        <v>679</v>
      </c>
      <c r="F601" s="10" t="s">
        <v>680</v>
      </c>
      <c r="G601" s="8">
        <v>1</v>
      </c>
      <c r="H601" s="11">
        <v>400</v>
      </c>
      <c r="I601" s="12">
        <v>42463</v>
      </c>
      <c r="J601" s="13">
        <f t="shared" si="23"/>
        <v>0</v>
      </c>
      <c r="K601" s="14"/>
      <c r="L601" s="14"/>
      <c r="M601" s="14"/>
      <c r="N601" s="14">
        <v>400</v>
      </c>
      <c r="O601" s="14"/>
      <c r="P601" s="14"/>
      <c r="Q601" s="14"/>
      <c r="R601" s="14"/>
      <c r="S601" s="14"/>
      <c r="T601" s="14"/>
      <c r="U601" s="14"/>
      <c r="V601" s="14"/>
      <c r="W601" s="15">
        <f t="shared" si="24"/>
        <v>400</v>
      </c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5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5"/>
      <c r="AX601" s="16"/>
    </row>
    <row r="602" spans="2:50" x14ac:dyDescent="0.2">
      <c r="B602" s="7" t="s">
        <v>47</v>
      </c>
      <c r="C602" s="8">
        <v>11355</v>
      </c>
      <c r="D602" s="9" t="s">
        <v>84</v>
      </c>
      <c r="E602" s="10" t="s">
        <v>85</v>
      </c>
      <c r="F602" s="10" t="s">
        <v>86</v>
      </c>
      <c r="G602" s="8">
        <v>1</v>
      </c>
      <c r="H602" s="11">
        <v>200</v>
      </c>
      <c r="I602" s="12">
        <v>42463</v>
      </c>
      <c r="J602" s="13">
        <f t="shared" si="23"/>
        <v>0</v>
      </c>
      <c r="K602" s="14"/>
      <c r="L602" s="14"/>
      <c r="M602" s="14"/>
      <c r="N602" s="14">
        <v>200</v>
      </c>
      <c r="O602" s="14"/>
      <c r="P602" s="14"/>
      <c r="Q602" s="14"/>
      <c r="R602" s="14"/>
      <c r="S602" s="14"/>
      <c r="T602" s="14"/>
      <c r="U602" s="14"/>
      <c r="V602" s="14"/>
      <c r="W602" s="15">
        <f t="shared" si="24"/>
        <v>200</v>
      </c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5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5"/>
      <c r="AX602" s="16"/>
    </row>
    <row r="603" spans="2:50" x14ac:dyDescent="0.2">
      <c r="B603" s="7" t="s">
        <v>69</v>
      </c>
      <c r="C603" s="8">
        <v>11356</v>
      </c>
      <c r="D603" s="9" t="s">
        <v>634</v>
      </c>
      <c r="E603" s="10" t="s">
        <v>635</v>
      </c>
      <c r="F603" s="10" t="s">
        <v>636</v>
      </c>
      <c r="G603" s="8">
        <v>1</v>
      </c>
      <c r="H603" s="11">
        <v>600</v>
      </c>
      <c r="I603" s="12">
        <v>42463</v>
      </c>
      <c r="J603" s="13">
        <f t="shared" si="23"/>
        <v>0</v>
      </c>
      <c r="K603" s="14"/>
      <c r="L603" s="14"/>
      <c r="M603" s="14">
        <v>300</v>
      </c>
      <c r="N603" s="14">
        <v>300</v>
      </c>
      <c r="O603" s="14"/>
      <c r="P603" s="14"/>
      <c r="Q603" s="14"/>
      <c r="R603" s="14"/>
      <c r="S603" s="14"/>
      <c r="T603" s="14"/>
      <c r="U603" s="14"/>
      <c r="V603" s="14"/>
      <c r="W603" s="15">
        <f t="shared" si="24"/>
        <v>600</v>
      </c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5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5"/>
      <c r="AX603" s="16"/>
    </row>
    <row r="604" spans="2:50" x14ac:dyDescent="0.2">
      <c r="B604" s="7" t="s">
        <v>37</v>
      </c>
      <c r="C604" s="8">
        <v>11357</v>
      </c>
      <c r="D604" s="9" t="s">
        <v>94</v>
      </c>
      <c r="E604" s="10" t="s">
        <v>95</v>
      </c>
      <c r="F604" s="10" t="s">
        <v>96</v>
      </c>
      <c r="G604" s="8">
        <v>1</v>
      </c>
      <c r="H604" s="11">
        <v>400</v>
      </c>
      <c r="I604" s="12">
        <v>42463</v>
      </c>
      <c r="J604" s="13">
        <f t="shared" si="23"/>
        <v>0</v>
      </c>
      <c r="K604" s="14"/>
      <c r="L604" s="14"/>
      <c r="M604" s="14"/>
      <c r="N604" s="14">
        <v>400</v>
      </c>
      <c r="O604" s="14"/>
      <c r="P604" s="14"/>
      <c r="Q604" s="14"/>
      <c r="R604" s="14"/>
      <c r="S604" s="14"/>
      <c r="T604" s="14"/>
      <c r="U604" s="14"/>
      <c r="V604" s="14"/>
      <c r="W604" s="15">
        <f t="shared" si="24"/>
        <v>400</v>
      </c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5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5"/>
      <c r="AX604" s="16"/>
    </row>
    <row r="605" spans="2:50" x14ac:dyDescent="0.2">
      <c r="B605" s="7" t="s">
        <v>69</v>
      </c>
      <c r="C605" s="8">
        <v>11358</v>
      </c>
      <c r="D605" s="9" t="s">
        <v>186</v>
      </c>
      <c r="E605" s="10" t="s">
        <v>187</v>
      </c>
      <c r="F605" s="10" t="s">
        <v>188</v>
      </c>
      <c r="G605" s="8">
        <v>1</v>
      </c>
      <c r="H605" s="11">
        <v>400</v>
      </c>
      <c r="I605" s="12">
        <v>42463</v>
      </c>
      <c r="J605" s="13">
        <f t="shared" si="23"/>
        <v>0</v>
      </c>
      <c r="K605" s="14"/>
      <c r="L605" s="14"/>
      <c r="M605" s="14"/>
      <c r="N605" s="14">
        <v>400</v>
      </c>
      <c r="O605" s="14"/>
      <c r="P605" s="14"/>
      <c r="Q605" s="14"/>
      <c r="R605" s="14"/>
      <c r="S605" s="14"/>
      <c r="T605" s="14"/>
      <c r="U605" s="14"/>
      <c r="V605" s="14"/>
      <c r="W605" s="15">
        <f t="shared" si="24"/>
        <v>400</v>
      </c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5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5"/>
      <c r="AX605" s="16"/>
    </row>
    <row r="606" spans="2:50" x14ac:dyDescent="0.2">
      <c r="B606" s="7" t="s">
        <v>47</v>
      </c>
      <c r="C606" s="8">
        <v>11359</v>
      </c>
      <c r="D606" s="9" t="s">
        <v>328</v>
      </c>
      <c r="E606" s="10" t="s">
        <v>329</v>
      </c>
      <c r="F606" s="10" t="s">
        <v>330</v>
      </c>
      <c r="G606" s="8">
        <v>1</v>
      </c>
      <c r="H606" s="11">
        <v>400</v>
      </c>
      <c r="I606" s="12">
        <v>42463</v>
      </c>
      <c r="J606" s="13">
        <f t="shared" si="23"/>
        <v>0</v>
      </c>
      <c r="K606" s="14"/>
      <c r="L606" s="14"/>
      <c r="M606" s="14"/>
      <c r="N606" s="14">
        <v>400</v>
      </c>
      <c r="O606" s="14"/>
      <c r="P606" s="14"/>
      <c r="Q606" s="14"/>
      <c r="R606" s="14"/>
      <c r="S606" s="14"/>
      <c r="T606" s="14"/>
      <c r="U606" s="14"/>
      <c r="V606" s="14"/>
      <c r="W606" s="15">
        <f t="shared" si="24"/>
        <v>400</v>
      </c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5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5"/>
      <c r="AX606" s="16"/>
    </row>
    <row r="607" spans="2:50" x14ac:dyDescent="0.2">
      <c r="B607" s="7" t="s">
        <v>69</v>
      </c>
      <c r="C607" s="8">
        <v>11360</v>
      </c>
      <c r="D607" s="9" t="s">
        <v>100</v>
      </c>
      <c r="E607" s="10" t="s">
        <v>101</v>
      </c>
      <c r="F607" s="10" t="s">
        <v>102</v>
      </c>
      <c r="G607" s="8">
        <v>1</v>
      </c>
      <c r="H607" s="11">
        <v>400</v>
      </c>
      <c r="I607" s="12">
        <v>42463</v>
      </c>
      <c r="J607" s="13">
        <f t="shared" si="23"/>
        <v>0</v>
      </c>
      <c r="K607" s="14"/>
      <c r="L607" s="14"/>
      <c r="M607" s="14"/>
      <c r="N607" s="14">
        <v>400</v>
      </c>
      <c r="O607" s="14"/>
      <c r="P607" s="14"/>
      <c r="Q607" s="14"/>
      <c r="R607" s="14"/>
      <c r="S607" s="14"/>
      <c r="T607" s="14"/>
      <c r="U607" s="14"/>
      <c r="V607" s="14"/>
      <c r="W607" s="15">
        <f t="shared" si="24"/>
        <v>400</v>
      </c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5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5"/>
      <c r="AX607" s="16"/>
    </row>
    <row r="608" spans="2:50" x14ac:dyDescent="0.2">
      <c r="B608" s="7" t="s">
        <v>77</v>
      </c>
      <c r="C608" s="8">
        <v>11361</v>
      </c>
      <c r="D608" s="9" t="s">
        <v>479</v>
      </c>
      <c r="E608" s="10" t="s">
        <v>480</v>
      </c>
      <c r="F608" s="10" t="s">
        <v>481</v>
      </c>
      <c r="G608" s="8">
        <v>1</v>
      </c>
      <c r="H608" s="11">
        <v>300</v>
      </c>
      <c r="I608" s="12">
        <v>42463</v>
      </c>
      <c r="J608" s="13">
        <f t="shared" si="23"/>
        <v>0</v>
      </c>
      <c r="K608" s="14"/>
      <c r="L608" s="14"/>
      <c r="M608" s="14"/>
      <c r="N608" s="14">
        <v>300</v>
      </c>
      <c r="O608" s="14"/>
      <c r="P608" s="14"/>
      <c r="Q608" s="14"/>
      <c r="R608" s="14"/>
      <c r="S608" s="14"/>
      <c r="T608" s="14"/>
      <c r="U608" s="14"/>
      <c r="V608" s="14"/>
      <c r="W608" s="15">
        <f t="shared" si="24"/>
        <v>300</v>
      </c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5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5"/>
      <c r="AX608" s="16"/>
    </row>
    <row r="609" spans="2:50" x14ac:dyDescent="0.2">
      <c r="B609" s="7" t="s">
        <v>47</v>
      </c>
      <c r="C609" s="8">
        <v>11362</v>
      </c>
      <c r="D609" s="9" t="s">
        <v>150</v>
      </c>
      <c r="E609" s="10" t="s">
        <v>151</v>
      </c>
      <c r="F609" s="10" t="s">
        <v>152</v>
      </c>
      <c r="G609" s="8">
        <v>1</v>
      </c>
      <c r="H609" s="11">
        <v>400</v>
      </c>
      <c r="I609" s="12">
        <v>42463</v>
      </c>
      <c r="J609" s="13">
        <f t="shared" si="23"/>
        <v>0</v>
      </c>
      <c r="K609" s="14"/>
      <c r="L609" s="14"/>
      <c r="M609" s="14"/>
      <c r="N609" s="14">
        <v>400</v>
      </c>
      <c r="O609" s="14"/>
      <c r="P609" s="14"/>
      <c r="Q609" s="14"/>
      <c r="R609" s="14"/>
      <c r="S609" s="14"/>
      <c r="T609" s="14"/>
      <c r="U609" s="14"/>
      <c r="V609" s="14"/>
      <c r="W609" s="15">
        <f t="shared" si="24"/>
        <v>400</v>
      </c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5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5"/>
      <c r="AX609" s="16"/>
    </row>
    <row r="610" spans="2:50" x14ac:dyDescent="0.2">
      <c r="B610" s="7" t="s">
        <v>73</v>
      </c>
      <c r="C610" s="8">
        <v>11363</v>
      </c>
      <c r="D610" s="9" t="s">
        <v>109</v>
      </c>
      <c r="E610" s="10" t="s">
        <v>110</v>
      </c>
      <c r="F610" s="10" t="s">
        <v>111</v>
      </c>
      <c r="G610" s="8">
        <v>1</v>
      </c>
      <c r="H610" s="11">
        <v>400</v>
      </c>
      <c r="I610" s="12">
        <v>42463</v>
      </c>
      <c r="J610" s="13">
        <f t="shared" si="23"/>
        <v>0</v>
      </c>
      <c r="K610" s="14"/>
      <c r="L610" s="14"/>
      <c r="M610" s="14">
        <v>400</v>
      </c>
      <c r="N610" s="14"/>
      <c r="O610" s="14"/>
      <c r="P610" s="14"/>
      <c r="Q610" s="14"/>
      <c r="R610" s="14"/>
      <c r="S610" s="14"/>
      <c r="T610" s="14"/>
      <c r="U610" s="14"/>
      <c r="V610" s="14"/>
      <c r="W610" s="15">
        <f t="shared" si="24"/>
        <v>400</v>
      </c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5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5"/>
      <c r="AX610" s="16"/>
    </row>
    <row r="611" spans="2:50" x14ac:dyDescent="0.2">
      <c r="B611" s="7" t="s">
        <v>37</v>
      </c>
      <c r="C611" s="8">
        <v>11364</v>
      </c>
      <c r="D611" s="9" t="s">
        <v>180</v>
      </c>
      <c r="E611" s="10" t="s">
        <v>181</v>
      </c>
      <c r="F611" s="10" t="s">
        <v>182</v>
      </c>
      <c r="G611" s="8">
        <v>1</v>
      </c>
      <c r="H611" s="11">
        <v>400</v>
      </c>
      <c r="I611" s="12">
        <v>42463</v>
      </c>
      <c r="J611" s="13">
        <f t="shared" si="23"/>
        <v>0</v>
      </c>
      <c r="K611" s="14"/>
      <c r="L611" s="14"/>
      <c r="M611" s="14"/>
      <c r="N611" s="14">
        <v>400</v>
      </c>
      <c r="O611" s="14"/>
      <c r="P611" s="14"/>
      <c r="Q611" s="14"/>
      <c r="R611" s="14"/>
      <c r="S611" s="14"/>
      <c r="T611" s="14"/>
      <c r="U611" s="14"/>
      <c r="V611" s="14"/>
      <c r="W611" s="15">
        <f t="shared" si="24"/>
        <v>400</v>
      </c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5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5"/>
      <c r="AX611" s="16"/>
    </row>
    <row r="612" spans="2:50" x14ac:dyDescent="0.2">
      <c r="B612" s="7" t="s">
        <v>77</v>
      </c>
      <c r="C612" s="8">
        <v>11365</v>
      </c>
      <c r="D612" s="9" t="s">
        <v>129</v>
      </c>
      <c r="E612" s="10" t="s">
        <v>130</v>
      </c>
      <c r="F612" s="10" t="s">
        <v>131</v>
      </c>
      <c r="G612" s="8">
        <v>1</v>
      </c>
      <c r="H612" s="11">
        <v>400</v>
      </c>
      <c r="I612" s="12">
        <v>42463</v>
      </c>
      <c r="J612" s="13">
        <f t="shared" si="23"/>
        <v>0</v>
      </c>
      <c r="K612" s="14"/>
      <c r="L612" s="14"/>
      <c r="M612" s="14"/>
      <c r="N612" s="14">
        <v>400</v>
      </c>
      <c r="O612" s="14"/>
      <c r="P612" s="14"/>
      <c r="Q612" s="14"/>
      <c r="R612" s="14"/>
      <c r="S612" s="14"/>
      <c r="T612" s="14"/>
      <c r="U612" s="14"/>
      <c r="V612" s="14"/>
      <c r="W612" s="15">
        <f t="shared" si="24"/>
        <v>400</v>
      </c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5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5"/>
      <c r="AX612" s="16"/>
    </row>
    <row r="613" spans="2:50" x14ac:dyDescent="0.2">
      <c r="B613" s="7" t="s">
        <v>69</v>
      </c>
      <c r="C613" s="8">
        <v>11366</v>
      </c>
      <c r="D613" s="9" t="s">
        <v>461</v>
      </c>
      <c r="E613" s="10" t="s">
        <v>462</v>
      </c>
      <c r="F613" s="10" t="s">
        <v>463</v>
      </c>
      <c r="G613" s="8">
        <v>1</v>
      </c>
      <c r="H613" s="11">
        <v>400</v>
      </c>
      <c r="I613" s="12">
        <v>42463</v>
      </c>
      <c r="J613" s="13">
        <f t="shared" si="23"/>
        <v>0</v>
      </c>
      <c r="K613" s="14"/>
      <c r="L613" s="14">
        <v>400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5">
        <f t="shared" si="24"/>
        <v>400</v>
      </c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5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5"/>
      <c r="AX613" s="16"/>
    </row>
    <row r="614" spans="2:50" x14ac:dyDescent="0.2">
      <c r="B614" s="7" t="s">
        <v>69</v>
      </c>
      <c r="C614" s="8">
        <v>11367</v>
      </c>
      <c r="D614" s="9" t="s">
        <v>461</v>
      </c>
      <c r="E614" s="10" t="s">
        <v>462</v>
      </c>
      <c r="F614" s="10" t="s">
        <v>463</v>
      </c>
      <c r="G614" s="8">
        <v>4</v>
      </c>
      <c r="H614" s="11">
        <v>160</v>
      </c>
      <c r="I614" s="12">
        <v>42463</v>
      </c>
      <c r="J614" s="13">
        <f t="shared" si="23"/>
        <v>0</v>
      </c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5">
        <f t="shared" si="24"/>
        <v>0</v>
      </c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5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5"/>
      <c r="AX614" s="7">
        <v>6566</v>
      </c>
    </row>
    <row r="615" spans="2:50" x14ac:dyDescent="0.2">
      <c r="B615" s="7" t="s">
        <v>69</v>
      </c>
      <c r="C615" s="8">
        <v>11368</v>
      </c>
      <c r="D615" s="9" t="s">
        <v>265</v>
      </c>
      <c r="E615" s="10" t="s">
        <v>266</v>
      </c>
      <c r="F615" s="10" t="s">
        <v>267</v>
      </c>
      <c r="G615" s="8">
        <v>1</v>
      </c>
      <c r="H615" s="11">
        <v>800</v>
      </c>
      <c r="I615" s="12">
        <v>42463</v>
      </c>
      <c r="J615" s="13">
        <f t="shared" si="23"/>
        <v>0</v>
      </c>
      <c r="K615" s="14"/>
      <c r="L615" s="14"/>
      <c r="M615" s="14">
        <v>400</v>
      </c>
      <c r="N615" s="14">
        <v>400</v>
      </c>
      <c r="O615" s="14"/>
      <c r="P615" s="14"/>
      <c r="Q615" s="14"/>
      <c r="R615" s="14"/>
      <c r="S615" s="14"/>
      <c r="T615" s="14"/>
      <c r="U615" s="14"/>
      <c r="V615" s="14"/>
      <c r="W615" s="15">
        <f t="shared" si="24"/>
        <v>800</v>
      </c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5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5"/>
      <c r="AX615" s="16"/>
    </row>
    <row r="616" spans="2:50" x14ac:dyDescent="0.2">
      <c r="B616" s="7" t="s">
        <v>69</v>
      </c>
      <c r="C616" s="8">
        <v>11369</v>
      </c>
      <c r="D616" s="9" t="s">
        <v>292</v>
      </c>
      <c r="E616" s="10" t="s">
        <v>293</v>
      </c>
      <c r="F616" s="10" t="s">
        <v>294</v>
      </c>
      <c r="G616" s="8">
        <v>1</v>
      </c>
      <c r="H616" s="11">
        <v>400</v>
      </c>
      <c r="I616" s="12">
        <v>42463</v>
      </c>
      <c r="J616" s="13">
        <f t="shared" si="23"/>
        <v>0</v>
      </c>
      <c r="K616" s="14"/>
      <c r="L616" s="14"/>
      <c r="M616" s="14"/>
      <c r="N616" s="14">
        <v>400</v>
      </c>
      <c r="O616" s="14"/>
      <c r="P616" s="14"/>
      <c r="Q616" s="14"/>
      <c r="R616" s="14"/>
      <c r="S616" s="14"/>
      <c r="T616" s="14"/>
      <c r="U616" s="14"/>
      <c r="V616" s="14"/>
      <c r="W616" s="15">
        <f t="shared" si="24"/>
        <v>400</v>
      </c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5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5"/>
      <c r="AX616" s="16"/>
    </row>
    <row r="617" spans="2:50" x14ac:dyDescent="0.2">
      <c r="B617" s="7" t="s">
        <v>47</v>
      </c>
      <c r="C617" s="8">
        <v>11370</v>
      </c>
      <c r="D617" s="9" t="s">
        <v>280</v>
      </c>
      <c r="E617" s="10" t="s">
        <v>281</v>
      </c>
      <c r="F617" s="10" t="s">
        <v>282</v>
      </c>
      <c r="G617" s="8">
        <v>1</v>
      </c>
      <c r="H617" s="11">
        <v>400</v>
      </c>
      <c r="I617" s="12">
        <v>42463</v>
      </c>
      <c r="J617" s="13">
        <f t="shared" si="23"/>
        <v>0</v>
      </c>
      <c r="K617" s="14"/>
      <c r="L617" s="14"/>
      <c r="M617" s="14"/>
      <c r="N617" s="14">
        <v>400</v>
      </c>
      <c r="O617" s="14"/>
      <c r="P617" s="14"/>
      <c r="Q617" s="14"/>
      <c r="R617" s="14"/>
      <c r="S617" s="14"/>
      <c r="T617" s="14"/>
      <c r="U617" s="14"/>
      <c r="V617" s="14"/>
      <c r="W617" s="15">
        <f t="shared" si="24"/>
        <v>400</v>
      </c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5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5"/>
      <c r="AX617" s="16"/>
    </row>
    <row r="618" spans="2:50" x14ac:dyDescent="0.2">
      <c r="B618" s="7" t="s">
        <v>69</v>
      </c>
      <c r="C618" s="8">
        <v>11371</v>
      </c>
      <c r="D618" s="9" t="s">
        <v>361</v>
      </c>
      <c r="E618" s="10" t="s">
        <v>362</v>
      </c>
      <c r="F618" s="10" t="s">
        <v>363</v>
      </c>
      <c r="G618" s="8">
        <v>1</v>
      </c>
      <c r="H618" s="11">
        <v>400</v>
      </c>
      <c r="I618" s="12">
        <v>42463</v>
      </c>
      <c r="J618" s="13">
        <f t="shared" si="23"/>
        <v>0</v>
      </c>
      <c r="K618" s="14"/>
      <c r="L618" s="14"/>
      <c r="M618" s="14"/>
      <c r="N618" s="14">
        <v>400</v>
      </c>
      <c r="O618" s="14"/>
      <c r="P618" s="14"/>
      <c r="Q618" s="14"/>
      <c r="R618" s="14"/>
      <c r="S618" s="14"/>
      <c r="T618" s="14"/>
      <c r="U618" s="14"/>
      <c r="V618" s="14"/>
      <c r="W618" s="15">
        <f t="shared" si="24"/>
        <v>400</v>
      </c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5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5"/>
      <c r="AX618" s="16"/>
    </row>
    <row r="619" spans="2:50" x14ac:dyDescent="0.2">
      <c r="B619" s="7" t="s">
        <v>47</v>
      </c>
      <c r="C619" s="8">
        <v>11372</v>
      </c>
      <c r="D619" s="9" t="s">
        <v>823</v>
      </c>
      <c r="E619" s="10" t="s">
        <v>824</v>
      </c>
      <c r="F619" s="10" t="s">
        <v>765</v>
      </c>
      <c r="G619" s="8">
        <v>1</v>
      </c>
      <c r="H619" s="11">
        <v>200</v>
      </c>
      <c r="I619" s="12">
        <v>42463</v>
      </c>
      <c r="J619" s="13">
        <f t="shared" si="23"/>
        <v>0</v>
      </c>
      <c r="K619" s="14"/>
      <c r="L619" s="14"/>
      <c r="M619" s="14"/>
      <c r="N619" s="14">
        <v>200</v>
      </c>
      <c r="O619" s="14"/>
      <c r="P619" s="14"/>
      <c r="Q619" s="14"/>
      <c r="R619" s="14"/>
      <c r="S619" s="14"/>
      <c r="T619" s="14"/>
      <c r="U619" s="14"/>
      <c r="V619" s="14"/>
      <c r="W619" s="15">
        <f t="shared" si="24"/>
        <v>200</v>
      </c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5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5"/>
      <c r="AX619" s="16"/>
    </row>
    <row r="620" spans="2:50" x14ac:dyDescent="0.2">
      <c r="B620" s="7" t="s">
        <v>47</v>
      </c>
      <c r="C620" s="8">
        <v>11372</v>
      </c>
      <c r="D620" s="9" t="s">
        <v>823</v>
      </c>
      <c r="E620" s="10" t="s">
        <v>824</v>
      </c>
      <c r="F620" s="10" t="s">
        <v>765</v>
      </c>
      <c r="G620" s="8">
        <v>4</v>
      </c>
      <c r="H620" s="11">
        <v>160</v>
      </c>
      <c r="I620" s="12">
        <v>42463</v>
      </c>
      <c r="J620" s="13">
        <f t="shared" si="23"/>
        <v>0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5">
        <f t="shared" si="24"/>
        <v>0</v>
      </c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5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5"/>
      <c r="AX620" s="7">
        <v>6581</v>
      </c>
    </row>
    <row r="621" spans="2:50" x14ac:dyDescent="0.2">
      <c r="B621" s="7" t="s">
        <v>37</v>
      </c>
      <c r="C621" s="8">
        <v>11373</v>
      </c>
      <c r="D621" s="9" t="s">
        <v>177</v>
      </c>
      <c r="E621" s="10" t="s">
        <v>178</v>
      </c>
      <c r="F621" s="10" t="s">
        <v>179</v>
      </c>
      <c r="G621" s="8">
        <v>1</v>
      </c>
      <c r="H621" s="11">
        <v>400</v>
      </c>
      <c r="I621" s="12">
        <v>42463</v>
      </c>
      <c r="J621" s="13">
        <f t="shared" si="23"/>
        <v>0</v>
      </c>
      <c r="K621" s="14"/>
      <c r="L621" s="14"/>
      <c r="M621" s="14"/>
      <c r="N621" s="14">
        <v>400</v>
      </c>
      <c r="O621" s="14"/>
      <c r="P621" s="14"/>
      <c r="Q621" s="14"/>
      <c r="R621" s="14"/>
      <c r="S621" s="14"/>
      <c r="T621" s="14"/>
      <c r="U621" s="14"/>
      <c r="V621" s="14"/>
      <c r="W621" s="15">
        <f t="shared" si="24"/>
        <v>400</v>
      </c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5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5"/>
      <c r="AX621" s="16"/>
    </row>
    <row r="622" spans="2:50" x14ac:dyDescent="0.2">
      <c r="B622" s="7" t="s">
        <v>77</v>
      </c>
      <c r="C622" s="8">
        <v>11374</v>
      </c>
      <c r="D622" s="9" t="s">
        <v>455</v>
      </c>
      <c r="E622" s="10" t="s">
        <v>456</v>
      </c>
      <c r="F622" s="10" t="s">
        <v>457</v>
      </c>
      <c r="G622" s="8">
        <v>1</v>
      </c>
      <c r="H622" s="11">
        <v>1200</v>
      </c>
      <c r="I622" s="12">
        <v>42463</v>
      </c>
      <c r="J622" s="13">
        <f t="shared" si="23"/>
        <v>0</v>
      </c>
      <c r="K622" s="14"/>
      <c r="L622" s="14">
        <v>400</v>
      </c>
      <c r="M622" s="14">
        <v>400</v>
      </c>
      <c r="N622" s="14">
        <v>400</v>
      </c>
      <c r="O622" s="14"/>
      <c r="P622" s="14"/>
      <c r="Q622" s="14"/>
      <c r="R622" s="14"/>
      <c r="S622" s="14"/>
      <c r="T622" s="14"/>
      <c r="U622" s="14"/>
      <c r="V622" s="14"/>
      <c r="W622" s="15">
        <f t="shared" si="24"/>
        <v>1200</v>
      </c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5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5"/>
      <c r="AX622" s="16"/>
    </row>
    <row r="623" spans="2:50" x14ac:dyDescent="0.2">
      <c r="B623" s="7" t="s">
        <v>47</v>
      </c>
      <c r="C623" s="8">
        <v>11375</v>
      </c>
      <c r="D623" s="9" t="s">
        <v>425</v>
      </c>
      <c r="E623" s="10" t="s">
        <v>426</v>
      </c>
      <c r="F623" s="10" t="s">
        <v>427</v>
      </c>
      <c r="G623" s="8">
        <v>1</v>
      </c>
      <c r="H623" s="11">
        <v>400</v>
      </c>
      <c r="I623" s="12">
        <v>42463</v>
      </c>
      <c r="J623" s="13">
        <f t="shared" si="23"/>
        <v>0</v>
      </c>
      <c r="K623" s="14"/>
      <c r="L623" s="14"/>
      <c r="M623" s="14"/>
      <c r="N623" s="14">
        <v>400</v>
      </c>
      <c r="O623" s="14"/>
      <c r="P623" s="14"/>
      <c r="Q623" s="14"/>
      <c r="R623" s="14"/>
      <c r="S623" s="14"/>
      <c r="T623" s="14"/>
      <c r="U623" s="14"/>
      <c r="V623" s="14"/>
      <c r="W623" s="15">
        <f t="shared" si="24"/>
        <v>400</v>
      </c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5"/>
      <c r="AX623" s="16"/>
    </row>
    <row r="624" spans="2:50" x14ac:dyDescent="0.2">
      <c r="B624" s="7" t="s">
        <v>69</v>
      </c>
      <c r="C624" s="8">
        <v>11376</v>
      </c>
      <c r="D624" s="9" t="s">
        <v>325</v>
      </c>
      <c r="E624" s="10" t="s">
        <v>326</v>
      </c>
      <c r="F624" s="10" t="s">
        <v>327</v>
      </c>
      <c r="G624" s="8">
        <v>1</v>
      </c>
      <c r="H624" s="11">
        <v>400</v>
      </c>
      <c r="I624" s="12">
        <v>42463</v>
      </c>
      <c r="J624" s="13">
        <f t="shared" si="23"/>
        <v>0</v>
      </c>
      <c r="K624" s="14"/>
      <c r="L624" s="14"/>
      <c r="M624" s="14"/>
      <c r="N624" s="14">
        <v>400</v>
      </c>
      <c r="O624" s="14"/>
      <c r="P624" s="14"/>
      <c r="Q624" s="14"/>
      <c r="R624" s="14"/>
      <c r="S624" s="14"/>
      <c r="T624" s="14"/>
      <c r="U624" s="14"/>
      <c r="V624" s="14"/>
      <c r="W624" s="15">
        <f t="shared" si="24"/>
        <v>400</v>
      </c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5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5"/>
      <c r="AX624" s="16"/>
    </row>
    <row r="625" spans="2:50" x14ac:dyDescent="0.2">
      <c r="B625" s="7" t="s">
        <v>73</v>
      </c>
      <c r="C625" s="8">
        <v>11377</v>
      </c>
      <c r="D625" s="9" t="s">
        <v>649</v>
      </c>
      <c r="E625" s="10" t="s">
        <v>650</v>
      </c>
      <c r="F625" s="10" t="s">
        <v>651</v>
      </c>
      <c r="G625" s="8">
        <v>1</v>
      </c>
      <c r="H625" s="11">
        <v>300</v>
      </c>
      <c r="I625" s="12">
        <v>42463</v>
      </c>
      <c r="J625" s="13">
        <f t="shared" si="23"/>
        <v>0</v>
      </c>
      <c r="K625" s="14"/>
      <c r="L625" s="14"/>
      <c r="M625" s="14">
        <v>300</v>
      </c>
      <c r="N625" s="14"/>
      <c r="O625" s="14"/>
      <c r="P625" s="14"/>
      <c r="Q625" s="14"/>
      <c r="R625" s="14"/>
      <c r="S625" s="14"/>
      <c r="T625" s="14"/>
      <c r="U625" s="14"/>
      <c r="V625" s="14"/>
      <c r="W625" s="15">
        <f t="shared" si="24"/>
        <v>300</v>
      </c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5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5"/>
      <c r="AX625" s="16"/>
    </row>
    <row r="626" spans="2:50" x14ac:dyDescent="0.2">
      <c r="B626" s="7" t="s">
        <v>37</v>
      </c>
      <c r="C626" s="8">
        <v>11378</v>
      </c>
      <c r="D626" s="9" t="s">
        <v>395</v>
      </c>
      <c r="E626" s="10" t="s">
        <v>396</v>
      </c>
      <c r="F626" s="10" t="s">
        <v>397</v>
      </c>
      <c r="G626" s="8">
        <v>1</v>
      </c>
      <c r="H626" s="11">
        <v>150</v>
      </c>
      <c r="I626" s="12">
        <v>42463</v>
      </c>
      <c r="J626" s="13">
        <f t="shared" si="23"/>
        <v>0</v>
      </c>
      <c r="K626" s="14"/>
      <c r="L626" s="14"/>
      <c r="M626" s="14"/>
      <c r="N626" s="14">
        <v>150</v>
      </c>
      <c r="O626" s="14"/>
      <c r="P626" s="14"/>
      <c r="Q626" s="14"/>
      <c r="R626" s="14"/>
      <c r="S626" s="14"/>
      <c r="T626" s="14"/>
      <c r="U626" s="14"/>
      <c r="V626" s="14"/>
      <c r="W626" s="15">
        <f t="shared" si="24"/>
        <v>150</v>
      </c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5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5"/>
      <c r="AX626" s="16"/>
    </row>
    <row r="627" spans="2:50" x14ac:dyDescent="0.2">
      <c r="B627" s="7" t="s">
        <v>37</v>
      </c>
      <c r="C627" s="8">
        <v>11379</v>
      </c>
      <c r="D627" s="9" t="s">
        <v>661</v>
      </c>
      <c r="E627" s="10" t="s">
        <v>662</v>
      </c>
      <c r="F627" s="10" t="s">
        <v>624</v>
      </c>
      <c r="G627" s="8">
        <v>1</v>
      </c>
      <c r="H627" s="11">
        <v>800</v>
      </c>
      <c r="I627" s="12">
        <v>42463</v>
      </c>
      <c r="J627" s="13">
        <f t="shared" si="23"/>
        <v>0</v>
      </c>
      <c r="K627" s="14"/>
      <c r="L627" s="14"/>
      <c r="M627" s="14">
        <v>400</v>
      </c>
      <c r="N627" s="14">
        <v>400</v>
      </c>
      <c r="O627" s="14"/>
      <c r="P627" s="14"/>
      <c r="Q627" s="14"/>
      <c r="R627" s="14"/>
      <c r="S627" s="14"/>
      <c r="T627" s="14"/>
      <c r="U627" s="14"/>
      <c r="V627" s="14"/>
      <c r="W627" s="15">
        <f t="shared" si="24"/>
        <v>800</v>
      </c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5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5"/>
      <c r="AX627" s="16"/>
    </row>
    <row r="628" spans="2:50" x14ac:dyDescent="0.2">
      <c r="B628" s="7" t="s">
        <v>122</v>
      </c>
      <c r="C628" s="8">
        <v>11380</v>
      </c>
      <c r="D628" s="9" t="s">
        <v>262</v>
      </c>
      <c r="E628" s="10" t="s">
        <v>263</v>
      </c>
      <c r="F628" s="10" t="s">
        <v>264</v>
      </c>
      <c r="G628" s="8">
        <v>1</v>
      </c>
      <c r="H628" s="11">
        <v>300</v>
      </c>
      <c r="I628" s="12">
        <v>42463</v>
      </c>
      <c r="J628" s="13">
        <f t="shared" si="23"/>
        <v>0</v>
      </c>
      <c r="K628" s="14"/>
      <c r="L628" s="14"/>
      <c r="M628" s="14"/>
      <c r="N628" s="14">
        <v>300</v>
      </c>
      <c r="O628" s="14"/>
      <c r="P628" s="14"/>
      <c r="Q628" s="14"/>
      <c r="R628" s="14"/>
      <c r="S628" s="14"/>
      <c r="T628" s="14"/>
      <c r="U628" s="14"/>
      <c r="V628" s="14"/>
      <c r="W628" s="15">
        <f t="shared" si="24"/>
        <v>300</v>
      </c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5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5"/>
      <c r="AX628" s="16"/>
    </row>
    <row r="629" spans="2:50" x14ac:dyDescent="0.2">
      <c r="B629" s="7" t="s">
        <v>69</v>
      </c>
      <c r="C629" s="8">
        <v>11381</v>
      </c>
      <c r="D629" s="9" t="s">
        <v>174</v>
      </c>
      <c r="E629" s="10" t="s">
        <v>175</v>
      </c>
      <c r="F629" s="10" t="s">
        <v>176</v>
      </c>
      <c r="G629" s="8">
        <v>1</v>
      </c>
      <c r="H629" s="11">
        <v>300</v>
      </c>
      <c r="I629" s="12">
        <v>42463</v>
      </c>
      <c r="J629" s="13">
        <f t="shared" si="23"/>
        <v>0</v>
      </c>
      <c r="K629" s="14"/>
      <c r="L629" s="14"/>
      <c r="M629" s="14"/>
      <c r="N629" s="14">
        <v>300</v>
      </c>
      <c r="O629" s="14"/>
      <c r="P629" s="14"/>
      <c r="Q629" s="14"/>
      <c r="R629" s="14"/>
      <c r="S629" s="14"/>
      <c r="T629" s="14"/>
      <c r="U629" s="14"/>
      <c r="V629" s="14"/>
      <c r="W629" s="15">
        <f t="shared" si="24"/>
        <v>300</v>
      </c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5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5"/>
      <c r="AX629" s="16"/>
    </row>
    <row r="630" spans="2:50" x14ac:dyDescent="0.2">
      <c r="B630" s="7" t="s">
        <v>69</v>
      </c>
      <c r="C630" s="8">
        <v>11382</v>
      </c>
      <c r="D630" s="9" t="s">
        <v>476</v>
      </c>
      <c r="E630" s="10" t="s">
        <v>477</v>
      </c>
      <c r="F630" s="10" t="s">
        <v>478</v>
      </c>
      <c r="G630" s="8">
        <v>1</v>
      </c>
      <c r="H630" s="11">
        <v>400</v>
      </c>
      <c r="I630" s="12">
        <v>42463</v>
      </c>
      <c r="J630" s="13">
        <f t="shared" si="23"/>
        <v>0</v>
      </c>
      <c r="K630" s="14"/>
      <c r="L630" s="14"/>
      <c r="M630" s="14"/>
      <c r="N630" s="14">
        <v>400</v>
      </c>
      <c r="O630" s="14"/>
      <c r="P630" s="14"/>
      <c r="Q630" s="14"/>
      <c r="R630" s="14"/>
      <c r="S630" s="14"/>
      <c r="T630" s="14"/>
      <c r="U630" s="14"/>
      <c r="V630" s="14"/>
      <c r="W630" s="15">
        <f t="shared" si="24"/>
        <v>400</v>
      </c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5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5"/>
      <c r="AX630" s="16"/>
    </row>
    <row r="631" spans="2:50" x14ac:dyDescent="0.2">
      <c r="B631" s="7" t="s">
        <v>73</v>
      </c>
      <c r="C631" s="8">
        <v>11383</v>
      </c>
      <c r="D631" s="9" t="s">
        <v>398</v>
      </c>
      <c r="E631" s="10" t="s">
        <v>399</v>
      </c>
      <c r="F631" s="10" t="s">
        <v>400</v>
      </c>
      <c r="G631" s="8">
        <v>1</v>
      </c>
      <c r="H631" s="11">
        <v>400</v>
      </c>
      <c r="I631" s="12">
        <v>42463</v>
      </c>
      <c r="J631" s="13">
        <f t="shared" si="23"/>
        <v>0</v>
      </c>
      <c r="K631" s="14"/>
      <c r="L631" s="14"/>
      <c r="M631" s="14"/>
      <c r="N631" s="14">
        <v>400</v>
      </c>
      <c r="O631" s="14"/>
      <c r="P631" s="14"/>
      <c r="Q631" s="14"/>
      <c r="R631" s="14"/>
      <c r="S631" s="14"/>
      <c r="T631" s="14"/>
      <c r="U631" s="14"/>
      <c r="V631" s="14"/>
      <c r="W631" s="15">
        <f t="shared" si="24"/>
        <v>400</v>
      </c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5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5"/>
      <c r="AX631" s="16"/>
    </row>
    <row r="632" spans="2:50" x14ac:dyDescent="0.2">
      <c r="B632" s="7" t="s">
        <v>47</v>
      </c>
      <c r="C632" s="8">
        <v>11384</v>
      </c>
      <c r="D632" s="9" t="s">
        <v>138</v>
      </c>
      <c r="E632" s="10" t="s">
        <v>139</v>
      </c>
      <c r="F632" s="10" t="s">
        <v>140</v>
      </c>
      <c r="G632" s="8">
        <v>1</v>
      </c>
      <c r="H632" s="11">
        <v>800</v>
      </c>
      <c r="I632" s="12">
        <v>42463</v>
      </c>
      <c r="J632" s="13">
        <f t="shared" si="23"/>
        <v>0</v>
      </c>
      <c r="K632" s="14"/>
      <c r="L632" s="14">
        <v>400</v>
      </c>
      <c r="M632" s="14">
        <v>400</v>
      </c>
      <c r="N632" s="14"/>
      <c r="O632" s="14"/>
      <c r="P632" s="14"/>
      <c r="Q632" s="14"/>
      <c r="R632" s="14"/>
      <c r="S632" s="14"/>
      <c r="T632" s="14"/>
      <c r="U632" s="14"/>
      <c r="V632" s="14"/>
      <c r="W632" s="15">
        <f t="shared" si="24"/>
        <v>800</v>
      </c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5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5"/>
      <c r="AX632" s="16"/>
    </row>
    <row r="633" spans="2:50" x14ac:dyDescent="0.2">
      <c r="B633" s="7" t="s">
        <v>47</v>
      </c>
      <c r="C633" s="8">
        <v>11385</v>
      </c>
      <c r="D633" s="9" t="s">
        <v>171</v>
      </c>
      <c r="E633" s="10" t="s">
        <v>172</v>
      </c>
      <c r="F633" s="10" t="s">
        <v>173</v>
      </c>
      <c r="G633" s="8">
        <v>1</v>
      </c>
      <c r="H633" s="11">
        <v>400</v>
      </c>
      <c r="I633" s="12">
        <v>42463</v>
      </c>
      <c r="J633" s="13">
        <f t="shared" si="23"/>
        <v>0</v>
      </c>
      <c r="K633" s="14"/>
      <c r="L633" s="14"/>
      <c r="M633" s="14"/>
      <c r="N633" s="14">
        <v>400</v>
      </c>
      <c r="O633" s="14"/>
      <c r="P633" s="14"/>
      <c r="Q633" s="14"/>
      <c r="R633" s="14"/>
      <c r="S633" s="14"/>
      <c r="T633" s="14"/>
      <c r="U633" s="14"/>
      <c r="V633" s="14"/>
      <c r="W633" s="15">
        <f t="shared" si="24"/>
        <v>400</v>
      </c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5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5"/>
      <c r="AX633" s="16"/>
    </row>
    <row r="634" spans="2:50" x14ac:dyDescent="0.2">
      <c r="B634" s="7" t="s">
        <v>69</v>
      </c>
      <c r="C634" s="8">
        <v>11386</v>
      </c>
      <c r="D634" s="9" t="s">
        <v>301</v>
      </c>
      <c r="E634" s="10" t="s">
        <v>302</v>
      </c>
      <c r="F634" s="10" t="s">
        <v>303</v>
      </c>
      <c r="G634" s="8">
        <v>1</v>
      </c>
      <c r="H634" s="11">
        <v>200</v>
      </c>
      <c r="I634" s="12">
        <v>42463</v>
      </c>
      <c r="J634" s="13">
        <f t="shared" si="23"/>
        <v>0</v>
      </c>
      <c r="K634" s="14"/>
      <c r="L634" s="14"/>
      <c r="M634" s="14"/>
      <c r="N634" s="14">
        <v>200</v>
      </c>
      <c r="O634" s="14"/>
      <c r="P634" s="14"/>
      <c r="Q634" s="14"/>
      <c r="R634" s="14"/>
      <c r="S634" s="14"/>
      <c r="T634" s="14"/>
      <c r="U634" s="14"/>
      <c r="V634" s="14"/>
      <c r="W634" s="15">
        <f t="shared" si="24"/>
        <v>200</v>
      </c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5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5"/>
      <c r="AX634" s="16"/>
    </row>
    <row r="635" spans="2:50" x14ac:dyDescent="0.2">
      <c r="B635" s="7" t="s">
        <v>37</v>
      </c>
      <c r="C635" s="8">
        <v>11387</v>
      </c>
      <c r="D635" s="9" t="s">
        <v>814</v>
      </c>
      <c r="E635" s="10" t="s">
        <v>815</v>
      </c>
      <c r="F635" s="10" t="s">
        <v>816</v>
      </c>
      <c r="G635" s="8">
        <v>1</v>
      </c>
      <c r="H635" s="11">
        <v>400</v>
      </c>
      <c r="I635" s="12">
        <v>42463</v>
      </c>
      <c r="J635" s="13">
        <f t="shared" si="23"/>
        <v>0</v>
      </c>
      <c r="K635" s="14"/>
      <c r="L635" s="14"/>
      <c r="M635" s="14"/>
      <c r="N635" s="14">
        <v>400</v>
      </c>
      <c r="O635" s="14"/>
      <c r="P635" s="14"/>
      <c r="Q635" s="14"/>
      <c r="R635" s="14"/>
      <c r="S635" s="14"/>
      <c r="T635" s="14"/>
      <c r="U635" s="14"/>
      <c r="V635" s="14"/>
      <c r="W635" s="15">
        <f t="shared" si="24"/>
        <v>400</v>
      </c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5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5"/>
      <c r="AX635" s="16"/>
    </row>
    <row r="636" spans="2:50" x14ac:dyDescent="0.2">
      <c r="B636" s="7" t="s">
        <v>73</v>
      </c>
      <c r="C636" s="8">
        <v>11388</v>
      </c>
      <c r="D636" s="9" t="s">
        <v>112</v>
      </c>
      <c r="E636" s="10" t="s">
        <v>113</v>
      </c>
      <c r="F636" s="10" t="s">
        <v>114</v>
      </c>
      <c r="G636" s="8">
        <v>1</v>
      </c>
      <c r="H636" s="11">
        <v>250</v>
      </c>
      <c r="I636" s="12">
        <v>42463</v>
      </c>
      <c r="J636" s="13">
        <f t="shared" si="23"/>
        <v>0</v>
      </c>
      <c r="K636" s="14"/>
      <c r="L636" s="14"/>
      <c r="M636" s="14">
        <v>250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5">
        <f t="shared" si="24"/>
        <v>250</v>
      </c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5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5"/>
      <c r="AX636" s="16"/>
    </row>
    <row r="637" spans="2:50" x14ac:dyDescent="0.2">
      <c r="B637" s="7" t="s">
        <v>391</v>
      </c>
      <c r="C637" s="8">
        <v>11389</v>
      </c>
      <c r="D637" s="9" t="s">
        <v>887</v>
      </c>
      <c r="E637" s="10" t="s">
        <v>888</v>
      </c>
      <c r="F637" s="10" t="s">
        <v>889</v>
      </c>
      <c r="G637" s="8">
        <v>1</v>
      </c>
      <c r="H637" s="11">
        <v>200</v>
      </c>
      <c r="I637" s="12">
        <v>42463</v>
      </c>
      <c r="J637" s="13">
        <f t="shared" si="23"/>
        <v>0</v>
      </c>
      <c r="K637" s="14"/>
      <c r="L637" s="14"/>
      <c r="M637" s="14"/>
      <c r="N637" s="14">
        <v>200</v>
      </c>
      <c r="O637" s="14"/>
      <c r="P637" s="14"/>
      <c r="Q637" s="14"/>
      <c r="R637" s="14"/>
      <c r="S637" s="14"/>
      <c r="T637" s="14"/>
      <c r="U637" s="14"/>
      <c r="V637" s="14"/>
      <c r="W637" s="15">
        <f t="shared" si="24"/>
        <v>200</v>
      </c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5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5"/>
      <c r="AX637" s="16"/>
    </row>
    <row r="638" spans="2:50" x14ac:dyDescent="0.2">
      <c r="B638" s="7" t="s">
        <v>47</v>
      </c>
      <c r="C638" s="8">
        <v>11390</v>
      </c>
      <c r="D638" s="9" t="s">
        <v>313</v>
      </c>
      <c r="E638" s="10" t="s">
        <v>314</v>
      </c>
      <c r="F638" s="10" t="s">
        <v>315</v>
      </c>
      <c r="G638" s="8">
        <v>1</v>
      </c>
      <c r="H638" s="11">
        <v>400</v>
      </c>
      <c r="I638" s="12">
        <v>42463</v>
      </c>
      <c r="J638" s="13">
        <f t="shared" si="23"/>
        <v>0</v>
      </c>
      <c r="K638" s="14"/>
      <c r="L638" s="14"/>
      <c r="M638" s="14"/>
      <c r="N638" s="14">
        <v>400</v>
      </c>
      <c r="O638" s="14"/>
      <c r="P638" s="14"/>
      <c r="Q638" s="14"/>
      <c r="R638" s="14"/>
      <c r="S638" s="14"/>
      <c r="T638" s="14"/>
      <c r="U638" s="14"/>
      <c r="V638" s="14"/>
      <c r="W638" s="15">
        <f t="shared" si="24"/>
        <v>400</v>
      </c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5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5"/>
      <c r="AX638" s="16"/>
    </row>
    <row r="639" spans="2:50" x14ac:dyDescent="0.2">
      <c r="B639" s="7" t="s">
        <v>69</v>
      </c>
      <c r="C639" s="8">
        <v>11391</v>
      </c>
      <c r="D639" s="9" t="s">
        <v>135</v>
      </c>
      <c r="E639" s="10" t="s">
        <v>136</v>
      </c>
      <c r="F639" s="10" t="s">
        <v>137</v>
      </c>
      <c r="G639" s="8">
        <v>1</v>
      </c>
      <c r="H639" s="11">
        <v>300</v>
      </c>
      <c r="I639" s="12">
        <v>42463</v>
      </c>
      <c r="J639" s="13">
        <f t="shared" si="23"/>
        <v>0</v>
      </c>
      <c r="K639" s="14"/>
      <c r="L639" s="14"/>
      <c r="M639" s="14"/>
      <c r="N639" s="14">
        <v>300</v>
      </c>
      <c r="O639" s="14"/>
      <c r="P639" s="14"/>
      <c r="Q639" s="14"/>
      <c r="R639" s="14"/>
      <c r="S639" s="14"/>
      <c r="T639" s="14"/>
      <c r="U639" s="14"/>
      <c r="V639" s="14"/>
      <c r="W639" s="15">
        <f t="shared" si="24"/>
        <v>300</v>
      </c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5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5"/>
      <c r="AX639" s="16"/>
    </row>
    <row r="640" spans="2:50" x14ac:dyDescent="0.2">
      <c r="B640" s="7" t="s">
        <v>47</v>
      </c>
      <c r="C640" s="8">
        <v>11392</v>
      </c>
      <c r="D640" s="9" t="s">
        <v>183</v>
      </c>
      <c r="E640" s="10" t="s">
        <v>184</v>
      </c>
      <c r="F640" s="10" t="s">
        <v>185</v>
      </c>
      <c r="G640" s="8">
        <v>1</v>
      </c>
      <c r="H640" s="11">
        <v>400</v>
      </c>
      <c r="I640" s="12">
        <v>42463</v>
      </c>
      <c r="J640" s="13">
        <f t="shared" si="23"/>
        <v>0</v>
      </c>
      <c r="K640" s="14"/>
      <c r="L640" s="14"/>
      <c r="M640" s="14">
        <v>400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15">
        <f t="shared" si="24"/>
        <v>400</v>
      </c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5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5"/>
      <c r="AX640" s="16"/>
    </row>
    <row r="641" spans="2:50" x14ac:dyDescent="0.2">
      <c r="B641" s="7" t="s">
        <v>69</v>
      </c>
      <c r="C641" s="8">
        <v>11393</v>
      </c>
      <c r="D641" s="9" t="s">
        <v>890</v>
      </c>
      <c r="E641" s="10" t="s">
        <v>891</v>
      </c>
      <c r="F641" s="10" t="s">
        <v>892</v>
      </c>
      <c r="G641" s="8">
        <v>1</v>
      </c>
      <c r="H641" s="11">
        <v>800</v>
      </c>
      <c r="I641" s="12">
        <v>42463</v>
      </c>
      <c r="J641" s="13">
        <f t="shared" si="23"/>
        <v>0</v>
      </c>
      <c r="K641" s="14">
        <v>400</v>
      </c>
      <c r="L641" s="14">
        <v>400</v>
      </c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5">
        <f t="shared" si="24"/>
        <v>800</v>
      </c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5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5"/>
      <c r="AX641" s="16"/>
    </row>
    <row r="642" spans="2:50" x14ac:dyDescent="0.2">
      <c r="B642" s="7" t="s">
        <v>47</v>
      </c>
      <c r="C642" s="8">
        <v>11394</v>
      </c>
      <c r="D642" s="9" t="s">
        <v>153</v>
      </c>
      <c r="E642" s="10" t="s">
        <v>154</v>
      </c>
      <c r="F642" s="10" t="s">
        <v>155</v>
      </c>
      <c r="G642" s="8">
        <v>1</v>
      </c>
      <c r="H642" s="11">
        <v>400</v>
      </c>
      <c r="I642" s="12">
        <v>42463</v>
      </c>
      <c r="J642" s="13">
        <f t="shared" si="23"/>
        <v>0</v>
      </c>
      <c r="K642" s="14"/>
      <c r="L642" s="14"/>
      <c r="M642" s="14"/>
      <c r="N642" s="14">
        <v>400</v>
      </c>
      <c r="O642" s="14"/>
      <c r="P642" s="14"/>
      <c r="Q642" s="14"/>
      <c r="R642" s="14"/>
      <c r="S642" s="14"/>
      <c r="T642" s="14"/>
      <c r="U642" s="14"/>
      <c r="V642" s="14"/>
      <c r="W642" s="15">
        <f t="shared" si="24"/>
        <v>400</v>
      </c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5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5"/>
      <c r="AX642" s="16"/>
    </row>
    <row r="643" spans="2:50" x14ac:dyDescent="0.2">
      <c r="B643" s="7" t="s">
        <v>37</v>
      </c>
      <c r="C643" s="8">
        <v>11395</v>
      </c>
      <c r="D643" s="9" t="s">
        <v>446</v>
      </c>
      <c r="E643" s="10" t="s">
        <v>447</v>
      </c>
      <c r="F643" s="10" t="s">
        <v>448</v>
      </c>
      <c r="G643" s="8">
        <v>1</v>
      </c>
      <c r="H643" s="11">
        <v>150</v>
      </c>
      <c r="I643" s="12">
        <v>42464</v>
      </c>
      <c r="J643" s="13">
        <f t="shared" si="23"/>
        <v>0</v>
      </c>
      <c r="K643" s="14"/>
      <c r="L643" s="14"/>
      <c r="M643" s="14">
        <v>150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15">
        <f t="shared" si="24"/>
        <v>150</v>
      </c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5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5"/>
      <c r="AX643" s="16"/>
    </row>
    <row r="644" spans="2:50" x14ac:dyDescent="0.2">
      <c r="B644" s="7" t="s">
        <v>122</v>
      </c>
      <c r="C644" s="8">
        <v>11396</v>
      </c>
      <c r="D644" s="9" t="s">
        <v>217</v>
      </c>
      <c r="E644" s="10" t="s">
        <v>218</v>
      </c>
      <c r="F644" s="10" t="s">
        <v>219</v>
      </c>
      <c r="G644" s="8">
        <v>1</v>
      </c>
      <c r="H644" s="11">
        <v>600</v>
      </c>
      <c r="I644" s="12">
        <v>42464</v>
      </c>
      <c r="J644" s="13">
        <f t="shared" si="23"/>
        <v>0</v>
      </c>
      <c r="K644" s="14"/>
      <c r="L644" s="14"/>
      <c r="M644" s="14"/>
      <c r="N644" s="14">
        <v>300</v>
      </c>
      <c r="O644" s="14">
        <v>300</v>
      </c>
      <c r="P644" s="14"/>
      <c r="Q644" s="14"/>
      <c r="R644" s="14"/>
      <c r="S644" s="14"/>
      <c r="T644" s="14"/>
      <c r="U644" s="14"/>
      <c r="V644" s="14"/>
      <c r="W644" s="15">
        <f t="shared" si="24"/>
        <v>600</v>
      </c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5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5"/>
      <c r="AX644" s="16"/>
    </row>
    <row r="645" spans="2:50" x14ac:dyDescent="0.2">
      <c r="B645" s="7" t="s">
        <v>37</v>
      </c>
      <c r="C645" s="8">
        <v>11397</v>
      </c>
      <c r="D645" s="9" t="s">
        <v>205</v>
      </c>
      <c r="E645" s="10" t="s">
        <v>206</v>
      </c>
      <c r="F645" s="10" t="s">
        <v>207</v>
      </c>
      <c r="G645" s="8">
        <v>1</v>
      </c>
      <c r="H645" s="11">
        <v>600</v>
      </c>
      <c r="I645" s="12">
        <v>42464</v>
      </c>
      <c r="J645" s="13">
        <f t="shared" si="23"/>
        <v>0</v>
      </c>
      <c r="K645" s="14"/>
      <c r="L645" s="14"/>
      <c r="M645" s="14">
        <v>600</v>
      </c>
      <c r="N645" s="14"/>
      <c r="O645" s="14"/>
      <c r="P645" s="14"/>
      <c r="Q645" s="14"/>
      <c r="R645" s="14"/>
      <c r="S645" s="14"/>
      <c r="T645" s="14"/>
      <c r="U645" s="14"/>
      <c r="V645" s="14"/>
      <c r="W645" s="15">
        <f t="shared" si="24"/>
        <v>600</v>
      </c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5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5"/>
      <c r="AX645" s="16"/>
    </row>
    <row r="646" spans="2:50" x14ac:dyDescent="0.2">
      <c r="B646" s="7" t="s">
        <v>37</v>
      </c>
      <c r="C646" s="8">
        <v>11398</v>
      </c>
      <c r="D646" s="9" t="s">
        <v>716</v>
      </c>
      <c r="E646" s="10" t="s">
        <v>717</v>
      </c>
      <c r="F646" s="10" t="s">
        <v>718</v>
      </c>
      <c r="G646" s="8">
        <v>1</v>
      </c>
      <c r="H646" s="11">
        <v>300</v>
      </c>
      <c r="I646" s="12">
        <v>42467</v>
      </c>
      <c r="J646" s="13">
        <f t="shared" si="23"/>
        <v>0</v>
      </c>
      <c r="K646" s="14"/>
      <c r="L646" s="14"/>
      <c r="M646" s="14"/>
      <c r="N646" s="14">
        <v>300</v>
      </c>
      <c r="O646" s="14"/>
      <c r="P646" s="14"/>
      <c r="Q646" s="14"/>
      <c r="R646" s="14"/>
      <c r="S646" s="14"/>
      <c r="T646" s="14"/>
      <c r="U646" s="14"/>
      <c r="V646" s="14"/>
      <c r="W646" s="15">
        <f t="shared" si="24"/>
        <v>300</v>
      </c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5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5"/>
      <c r="AX646" s="16"/>
    </row>
    <row r="647" spans="2:50" x14ac:dyDescent="0.2">
      <c r="B647" s="7" t="s">
        <v>93</v>
      </c>
      <c r="C647" s="8">
        <v>11399</v>
      </c>
      <c r="D647" s="9"/>
      <c r="E647" s="10" t="s">
        <v>93</v>
      </c>
      <c r="F647" s="10" t="s">
        <v>93</v>
      </c>
      <c r="G647" s="8">
        <v>8</v>
      </c>
      <c r="H647" s="11"/>
      <c r="I647" s="12"/>
      <c r="J647" s="13">
        <f t="shared" si="23"/>
        <v>0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>
        <f t="shared" si="24"/>
        <v>0</v>
      </c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5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5"/>
      <c r="AX647" s="16"/>
    </row>
    <row r="648" spans="2:50" x14ac:dyDescent="0.2">
      <c r="B648" s="7" t="s">
        <v>69</v>
      </c>
      <c r="C648" s="8">
        <v>11400</v>
      </c>
      <c r="D648" s="9" t="s">
        <v>211</v>
      </c>
      <c r="E648" s="10" t="s">
        <v>212</v>
      </c>
      <c r="F648" s="10" t="s">
        <v>213</v>
      </c>
      <c r="G648" s="8"/>
      <c r="H648" s="11"/>
      <c r="I648" s="12">
        <v>42467</v>
      </c>
      <c r="J648" s="13">
        <f t="shared" si="23"/>
        <v>0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5">
        <f t="shared" si="24"/>
        <v>0</v>
      </c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5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5"/>
      <c r="AX648" s="16"/>
    </row>
    <row r="649" spans="2:50" x14ac:dyDescent="0.2">
      <c r="B649" s="7" t="s">
        <v>73</v>
      </c>
      <c r="C649" s="8">
        <v>11401</v>
      </c>
      <c r="D649" s="9" t="s">
        <v>598</v>
      </c>
      <c r="E649" s="10" t="s">
        <v>599</v>
      </c>
      <c r="F649" s="10" t="s">
        <v>886</v>
      </c>
      <c r="G649" s="8"/>
      <c r="H649" s="11"/>
      <c r="I649" s="12">
        <v>42468</v>
      </c>
      <c r="J649" s="13">
        <f t="shared" si="23"/>
        <v>0</v>
      </c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5">
        <f t="shared" si="24"/>
        <v>0</v>
      </c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5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5"/>
      <c r="AX649" s="16"/>
    </row>
    <row r="650" spans="2:50" x14ac:dyDescent="0.2">
      <c r="B650" s="7" t="s">
        <v>69</v>
      </c>
      <c r="C650" s="8">
        <v>11402</v>
      </c>
      <c r="D650" s="9" t="s">
        <v>211</v>
      </c>
      <c r="E650" s="10" t="s">
        <v>212</v>
      </c>
      <c r="F650" s="10" t="s">
        <v>213</v>
      </c>
      <c r="G650" s="8"/>
      <c r="H650" s="11"/>
      <c r="I650" s="12">
        <v>42468</v>
      </c>
      <c r="J650" s="13">
        <f t="shared" si="23"/>
        <v>0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5">
        <f t="shared" si="24"/>
        <v>0</v>
      </c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5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5"/>
      <c r="AX650" s="16"/>
    </row>
    <row r="651" spans="2:50" x14ac:dyDescent="0.2">
      <c r="B651" s="7" t="s">
        <v>47</v>
      </c>
      <c r="C651" s="8">
        <v>11403</v>
      </c>
      <c r="D651" s="9" t="s">
        <v>208</v>
      </c>
      <c r="E651" s="10" t="s">
        <v>209</v>
      </c>
      <c r="F651" s="10" t="s">
        <v>210</v>
      </c>
      <c r="G651" s="8"/>
      <c r="H651" s="11"/>
      <c r="I651" s="12">
        <v>42468</v>
      </c>
      <c r="J651" s="13">
        <f t="shared" si="23"/>
        <v>0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5">
        <f t="shared" si="24"/>
        <v>0</v>
      </c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5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5"/>
      <c r="AX651" s="16"/>
    </row>
    <row r="652" spans="2:50" x14ac:dyDescent="0.2">
      <c r="B652" s="7" t="s">
        <v>61</v>
      </c>
      <c r="C652" s="8">
        <v>11404</v>
      </c>
      <c r="D652" s="9" t="s">
        <v>214</v>
      </c>
      <c r="E652" s="10" t="s">
        <v>215</v>
      </c>
      <c r="F652" s="10" t="s">
        <v>216</v>
      </c>
      <c r="G652" s="8">
        <v>1</v>
      </c>
      <c r="H652" s="11">
        <v>400</v>
      </c>
      <c r="I652" s="12">
        <v>42468</v>
      </c>
      <c r="J652" s="13">
        <f t="shared" si="23"/>
        <v>0</v>
      </c>
      <c r="K652" s="14">
        <v>200</v>
      </c>
      <c r="L652" s="14">
        <v>200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5">
        <f t="shared" si="24"/>
        <v>400</v>
      </c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5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5"/>
      <c r="AX652" s="16"/>
    </row>
    <row r="653" spans="2:50" x14ac:dyDescent="0.2">
      <c r="B653" s="7" t="s">
        <v>122</v>
      </c>
      <c r="C653" s="8">
        <v>11405</v>
      </c>
      <c r="D653" s="9" t="s">
        <v>220</v>
      </c>
      <c r="E653" s="10" t="s">
        <v>221</v>
      </c>
      <c r="F653" s="10" t="s">
        <v>222</v>
      </c>
      <c r="G653" s="8">
        <v>1</v>
      </c>
      <c r="H653" s="11">
        <v>300</v>
      </c>
      <c r="I653" s="12">
        <v>42468</v>
      </c>
      <c r="J653" s="13">
        <f t="shared" si="23"/>
        <v>0</v>
      </c>
      <c r="K653" s="14"/>
      <c r="L653" s="14"/>
      <c r="M653" s="14">
        <v>300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15">
        <f t="shared" si="24"/>
        <v>300</v>
      </c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5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5"/>
      <c r="AX653" s="16"/>
    </row>
    <row r="654" spans="2:50" x14ac:dyDescent="0.2">
      <c r="B654" s="7" t="s">
        <v>47</v>
      </c>
      <c r="C654" s="8">
        <v>11406</v>
      </c>
      <c r="D654" s="9" t="s">
        <v>702</v>
      </c>
      <c r="E654" s="10" t="s">
        <v>703</v>
      </c>
      <c r="F654" s="10" t="s">
        <v>704</v>
      </c>
      <c r="G654" s="8">
        <v>4</v>
      </c>
      <c r="H654" s="11">
        <v>160</v>
      </c>
      <c r="I654" s="12">
        <v>42470</v>
      </c>
      <c r="J654" s="13">
        <f t="shared" si="23"/>
        <v>0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5">
        <f t="shared" si="24"/>
        <v>0</v>
      </c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5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5"/>
      <c r="AX654" s="7">
        <v>19185</v>
      </c>
    </row>
    <row r="655" spans="2:50" x14ac:dyDescent="0.2">
      <c r="B655" s="7" t="s">
        <v>61</v>
      </c>
      <c r="C655" s="8">
        <v>11407</v>
      </c>
      <c r="D655" s="9" t="s">
        <v>693</v>
      </c>
      <c r="E655" s="10" t="s">
        <v>694</v>
      </c>
      <c r="F655" s="10" t="s">
        <v>695</v>
      </c>
      <c r="G655" s="8">
        <v>1</v>
      </c>
      <c r="H655" s="11">
        <v>300</v>
      </c>
      <c r="I655" s="12">
        <v>42470</v>
      </c>
      <c r="J655" s="13">
        <f t="shared" ref="J655:J718" si="25">IF(G655=1,SUM(W655,-H655),0)</f>
        <v>0</v>
      </c>
      <c r="K655" s="14"/>
      <c r="L655" s="14"/>
      <c r="M655" s="14">
        <v>150</v>
      </c>
      <c r="N655" s="14">
        <v>150</v>
      </c>
      <c r="O655" s="14"/>
      <c r="P655" s="14"/>
      <c r="Q655" s="14"/>
      <c r="R655" s="14"/>
      <c r="S655" s="14"/>
      <c r="T655" s="14"/>
      <c r="U655" s="14"/>
      <c r="V655" s="14"/>
      <c r="W655" s="15">
        <f t="shared" si="24"/>
        <v>300</v>
      </c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5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5"/>
      <c r="AX655" s="16"/>
    </row>
    <row r="656" spans="2:50" x14ac:dyDescent="0.2">
      <c r="B656" s="7" t="s">
        <v>69</v>
      </c>
      <c r="C656" s="8">
        <v>11408</v>
      </c>
      <c r="D656" s="9" t="s">
        <v>514</v>
      </c>
      <c r="E656" s="10" t="s">
        <v>515</v>
      </c>
      <c r="F656" s="10" t="s">
        <v>516</v>
      </c>
      <c r="G656" s="8">
        <v>1</v>
      </c>
      <c r="H656" s="11">
        <v>800</v>
      </c>
      <c r="I656" s="12">
        <v>42470</v>
      </c>
      <c r="J656" s="13">
        <f t="shared" si="25"/>
        <v>0</v>
      </c>
      <c r="K656" s="14"/>
      <c r="L656" s="14"/>
      <c r="M656" s="14">
        <v>400</v>
      </c>
      <c r="N656" s="14">
        <v>400</v>
      </c>
      <c r="O656" s="14"/>
      <c r="P656" s="14"/>
      <c r="Q656" s="14"/>
      <c r="R656" s="14"/>
      <c r="S656" s="14"/>
      <c r="T656" s="14"/>
      <c r="U656" s="14"/>
      <c r="V656" s="14"/>
      <c r="W656" s="15">
        <f t="shared" si="24"/>
        <v>800</v>
      </c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5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5"/>
      <c r="AX656" s="16"/>
    </row>
    <row r="657" spans="2:50" x14ac:dyDescent="0.2">
      <c r="B657" s="7" t="s">
        <v>73</v>
      </c>
      <c r="C657" s="8">
        <v>11409</v>
      </c>
      <c r="D657" s="9" t="s">
        <v>115</v>
      </c>
      <c r="E657" s="10" t="s">
        <v>116</v>
      </c>
      <c r="F657" s="10" t="s">
        <v>117</v>
      </c>
      <c r="G657" s="8">
        <v>1</v>
      </c>
      <c r="H657" s="11">
        <v>150</v>
      </c>
      <c r="I657" s="12">
        <v>42470</v>
      </c>
      <c r="J657" s="13">
        <f t="shared" si="25"/>
        <v>0</v>
      </c>
      <c r="K657" s="14"/>
      <c r="L657" s="14"/>
      <c r="M657" s="14"/>
      <c r="N657" s="14">
        <v>150</v>
      </c>
      <c r="O657" s="14"/>
      <c r="P657" s="14"/>
      <c r="Q657" s="14"/>
      <c r="R657" s="14"/>
      <c r="S657" s="14"/>
      <c r="T657" s="14"/>
      <c r="U657" s="14"/>
      <c r="V657" s="14"/>
      <c r="W657" s="15">
        <f t="shared" si="24"/>
        <v>150</v>
      </c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5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5"/>
      <c r="AX657" s="16"/>
    </row>
    <row r="658" spans="2:50" x14ac:dyDescent="0.2">
      <c r="B658" s="7" t="s">
        <v>37</v>
      </c>
      <c r="C658" s="8">
        <v>11410</v>
      </c>
      <c r="D658" s="9" t="s">
        <v>568</v>
      </c>
      <c r="E658" s="10" t="s">
        <v>569</v>
      </c>
      <c r="F658" s="10" t="s">
        <v>570</v>
      </c>
      <c r="G658" s="8">
        <v>1</v>
      </c>
      <c r="H658" s="11">
        <v>800</v>
      </c>
      <c r="I658" s="12">
        <v>42470</v>
      </c>
      <c r="J658" s="13">
        <f t="shared" si="25"/>
        <v>0</v>
      </c>
      <c r="K658" s="14"/>
      <c r="L658" s="14"/>
      <c r="M658" s="14">
        <v>400</v>
      </c>
      <c r="N658" s="14">
        <v>400</v>
      </c>
      <c r="O658" s="14"/>
      <c r="P658" s="14"/>
      <c r="Q658" s="14"/>
      <c r="R658" s="14"/>
      <c r="S658" s="14"/>
      <c r="T658" s="14"/>
      <c r="U658" s="14"/>
      <c r="V658" s="14"/>
      <c r="W658" s="15">
        <f t="shared" si="24"/>
        <v>800</v>
      </c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5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5"/>
      <c r="AX658" s="16"/>
    </row>
    <row r="659" spans="2:50" x14ac:dyDescent="0.2">
      <c r="B659" s="7" t="s">
        <v>122</v>
      </c>
      <c r="C659" s="8">
        <v>11411</v>
      </c>
      <c r="D659" s="9" t="s">
        <v>797</v>
      </c>
      <c r="E659" s="10" t="s">
        <v>798</v>
      </c>
      <c r="F659" s="10" t="s">
        <v>799</v>
      </c>
      <c r="G659" s="8">
        <v>1</v>
      </c>
      <c r="H659" s="11">
        <v>800</v>
      </c>
      <c r="I659" s="12">
        <v>42470</v>
      </c>
      <c r="J659" s="13">
        <f t="shared" si="25"/>
        <v>0</v>
      </c>
      <c r="K659" s="14"/>
      <c r="L659" s="14"/>
      <c r="M659" s="14">
        <v>400</v>
      </c>
      <c r="N659" s="14">
        <v>400</v>
      </c>
      <c r="O659" s="14"/>
      <c r="P659" s="14"/>
      <c r="Q659" s="14"/>
      <c r="R659" s="14"/>
      <c r="S659" s="14"/>
      <c r="T659" s="14"/>
      <c r="U659" s="14"/>
      <c r="V659" s="14"/>
      <c r="W659" s="15">
        <f t="shared" ref="W659:W722" si="26">SUM(K659:V659)</f>
        <v>800</v>
      </c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5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5"/>
      <c r="AX659" s="16"/>
    </row>
    <row r="660" spans="2:50" x14ac:dyDescent="0.2">
      <c r="B660" s="7" t="s">
        <v>122</v>
      </c>
      <c r="C660" s="8">
        <v>11412</v>
      </c>
      <c r="D660" s="9" t="s">
        <v>256</v>
      </c>
      <c r="E660" s="10" t="s">
        <v>257</v>
      </c>
      <c r="F660" s="10" t="s">
        <v>258</v>
      </c>
      <c r="G660" s="8">
        <v>1</v>
      </c>
      <c r="H660" s="11">
        <v>300</v>
      </c>
      <c r="I660" s="12">
        <v>42470</v>
      </c>
      <c r="J660" s="13">
        <f t="shared" si="25"/>
        <v>0</v>
      </c>
      <c r="K660" s="14"/>
      <c r="L660" s="14"/>
      <c r="M660" s="14"/>
      <c r="N660" s="14">
        <v>300</v>
      </c>
      <c r="O660" s="14"/>
      <c r="P660" s="14"/>
      <c r="Q660" s="14"/>
      <c r="R660" s="14"/>
      <c r="S660" s="14"/>
      <c r="T660" s="14"/>
      <c r="U660" s="14"/>
      <c r="V660" s="14"/>
      <c r="W660" s="15">
        <f t="shared" si="26"/>
        <v>300</v>
      </c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5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5"/>
      <c r="AX660" s="16"/>
    </row>
    <row r="661" spans="2:50" x14ac:dyDescent="0.2">
      <c r="B661" s="7" t="s">
        <v>93</v>
      </c>
      <c r="C661" s="8">
        <v>11413</v>
      </c>
      <c r="D661" s="9"/>
      <c r="E661" s="10" t="s">
        <v>93</v>
      </c>
      <c r="F661" s="10" t="s">
        <v>93</v>
      </c>
      <c r="G661" s="8">
        <v>8</v>
      </c>
      <c r="H661" s="11"/>
      <c r="I661" s="12"/>
      <c r="J661" s="13">
        <f t="shared" si="25"/>
        <v>0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5">
        <f t="shared" si="26"/>
        <v>0</v>
      </c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5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5"/>
      <c r="AX661" s="16"/>
    </row>
    <row r="662" spans="2:50" x14ac:dyDescent="0.2">
      <c r="B662" s="7" t="s">
        <v>69</v>
      </c>
      <c r="C662" s="8">
        <v>11414</v>
      </c>
      <c r="D662" s="9" t="s">
        <v>893</v>
      </c>
      <c r="E662" s="10" t="s">
        <v>894</v>
      </c>
      <c r="F662" s="10" t="s">
        <v>895</v>
      </c>
      <c r="G662" s="8">
        <v>1</v>
      </c>
      <c r="H662" s="11">
        <v>1200</v>
      </c>
      <c r="I662" s="12">
        <v>42470</v>
      </c>
      <c r="J662" s="13">
        <f t="shared" si="25"/>
        <v>0</v>
      </c>
      <c r="K662" s="14">
        <v>400</v>
      </c>
      <c r="L662" s="14">
        <v>400</v>
      </c>
      <c r="M662" s="14">
        <v>400</v>
      </c>
      <c r="N662" s="14"/>
      <c r="O662" s="14"/>
      <c r="P662" s="14"/>
      <c r="Q662" s="14"/>
      <c r="R662" s="14"/>
      <c r="S662" s="14"/>
      <c r="T662" s="14"/>
      <c r="U662" s="14"/>
      <c r="V662" s="14"/>
      <c r="W662" s="15">
        <f t="shared" si="26"/>
        <v>1200</v>
      </c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5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5"/>
      <c r="AX662" s="16"/>
    </row>
    <row r="663" spans="2:50" x14ac:dyDescent="0.2">
      <c r="B663" s="7" t="s">
        <v>37</v>
      </c>
      <c r="C663" s="8">
        <v>11415</v>
      </c>
      <c r="D663" s="9" t="s">
        <v>51</v>
      </c>
      <c r="E663" s="10" t="s">
        <v>52</v>
      </c>
      <c r="F663" s="10" t="s">
        <v>53</v>
      </c>
      <c r="G663" s="8">
        <v>1</v>
      </c>
      <c r="H663" s="11">
        <v>500</v>
      </c>
      <c r="I663" s="12">
        <v>42470</v>
      </c>
      <c r="J663" s="13">
        <f t="shared" si="25"/>
        <v>0</v>
      </c>
      <c r="K663" s="14"/>
      <c r="L663" s="14"/>
      <c r="M663" s="14"/>
      <c r="N663" s="14">
        <v>250</v>
      </c>
      <c r="O663" s="14">
        <v>250</v>
      </c>
      <c r="P663" s="14"/>
      <c r="Q663" s="14"/>
      <c r="R663" s="14"/>
      <c r="S663" s="14"/>
      <c r="T663" s="14"/>
      <c r="U663" s="14"/>
      <c r="V663" s="14"/>
      <c r="W663" s="15">
        <f t="shared" si="26"/>
        <v>500</v>
      </c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5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5"/>
      <c r="AX663" s="16"/>
    </row>
    <row r="664" spans="2:50" x14ac:dyDescent="0.2">
      <c r="B664" s="7" t="s">
        <v>73</v>
      </c>
      <c r="C664" s="8">
        <v>11416</v>
      </c>
      <c r="D664" s="9" t="s">
        <v>763</v>
      </c>
      <c r="E664" s="10" t="s">
        <v>764</v>
      </c>
      <c r="F664" s="10" t="s">
        <v>765</v>
      </c>
      <c r="G664" s="8">
        <v>1</v>
      </c>
      <c r="H664" s="11">
        <v>400</v>
      </c>
      <c r="I664" s="12">
        <v>42470</v>
      </c>
      <c r="J664" s="13">
        <f t="shared" si="25"/>
        <v>0</v>
      </c>
      <c r="K664" s="14"/>
      <c r="L664" s="14"/>
      <c r="M664" s="14">
        <v>400</v>
      </c>
      <c r="N664" s="14"/>
      <c r="O664" s="14"/>
      <c r="P664" s="14"/>
      <c r="Q664" s="14"/>
      <c r="R664" s="14"/>
      <c r="S664" s="14"/>
      <c r="T664" s="14"/>
      <c r="U664" s="14"/>
      <c r="V664" s="14"/>
      <c r="W664" s="15">
        <f t="shared" si="26"/>
        <v>400</v>
      </c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5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5"/>
      <c r="AX664" s="16"/>
    </row>
    <row r="665" spans="2:50" x14ac:dyDescent="0.2">
      <c r="B665" s="7" t="s">
        <v>37</v>
      </c>
      <c r="C665" s="8">
        <v>11417</v>
      </c>
      <c r="D665" s="9" t="s">
        <v>307</v>
      </c>
      <c r="E665" s="10" t="s">
        <v>308</v>
      </c>
      <c r="F665" s="10" t="s">
        <v>309</v>
      </c>
      <c r="G665" s="8">
        <v>1</v>
      </c>
      <c r="H665" s="11">
        <v>350</v>
      </c>
      <c r="I665" s="12">
        <v>42470</v>
      </c>
      <c r="J665" s="13">
        <f t="shared" si="25"/>
        <v>0</v>
      </c>
      <c r="K665" s="14"/>
      <c r="L665" s="14"/>
      <c r="M665" s="14"/>
      <c r="N665" s="14">
        <v>350</v>
      </c>
      <c r="O665" s="14"/>
      <c r="P665" s="14"/>
      <c r="Q665" s="14"/>
      <c r="R665" s="14"/>
      <c r="S665" s="14"/>
      <c r="T665" s="14"/>
      <c r="U665" s="14"/>
      <c r="V665" s="14"/>
      <c r="W665" s="15">
        <f t="shared" si="26"/>
        <v>350</v>
      </c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5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5"/>
      <c r="AX665" s="16"/>
    </row>
    <row r="666" spans="2:50" x14ac:dyDescent="0.2">
      <c r="B666" s="7" t="s">
        <v>73</v>
      </c>
      <c r="C666" s="8">
        <v>11418</v>
      </c>
      <c r="D666" s="9" t="s">
        <v>719</v>
      </c>
      <c r="E666" s="10" t="s">
        <v>720</v>
      </c>
      <c r="F666" s="10" t="s">
        <v>867</v>
      </c>
      <c r="G666" s="8">
        <v>1</v>
      </c>
      <c r="H666" s="11">
        <v>400</v>
      </c>
      <c r="I666" s="12">
        <v>42470</v>
      </c>
      <c r="J666" s="13">
        <f t="shared" si="25"/>
        <v>0</v>
      </c>
      <c r="K666" s="14"/>
      <c r="L666" s="14"/>
      <c r="M666" s="14"/>
      <c r="N666" s="14">
        <v>400</v>
      </c>
      <c r="O666" s="14"/>
      <c r="P666" s="14"/>
      <c r="Q666" s="14"/>
      <c r="R666" s="14"/>
      <c r="S666" s="14"/>
      <c r="T666" s="14"/>
      <c r="U666" s="14"/>
      <c r="V666" s="14"/>
      <c r="W666" s="15">
        <f t="shared" si="26"/>
        <v>400</v>
      </c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5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5"/>
      <c r="AX666" s="16"/>
    </row>
    <row r="667" spans="2:50" x14ac:dyDescent="0.2">
      <c r="B667" s="7" t="s">
        <v>37</v>
      </c>
      <c r="C667" s="8">
        <v>11419</v>
      </c>
      <c r="D667" s="9" t="s">
        <v>268</v>
      </c>
      <c r="E667" s="10" t="s">
        <v>269</v>
      </c>
      <c r="F667" s="10" t="s">
        <v>270</v>
      </c>
      <c r="G667" s="8">
        <v>1</v>
      </c>
      <c r="H667" s="11">
        <v>300</v>
      </c>
      <c r="I667" s="12">
        <v>42470</v>
      </c>
      <c r="J667" s="13">
        <f t="shared" si="25"/>
        <v>0</v>
      </c>
      <c r="K667" s="14"/>
      <c r="L667" s="14"/>
      <c r="M667" s="14"/>
      <c r="N667" s="14">
        <v>300</v>
      </c>
      <c r="O667" s="14"/>
      <c r="P667" s="14"/>
      <c r="Q667" s="14"/>
      <c r="R667" s="14"/>
      <c r="S667" s="14"/>
      <c r="T667" s="14"/>
      <c r="U667" s="14"/>
      <c r="V667" s="14"/>
      <c r="W667" s="15">
        <f t="shared" si="26"/>
        <v>300</v>
      </c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5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5"/>
      <c r="AX667" s="16"/>
    </row>
    <row r="668" spans="2:50" x14ac:dyDescent="0.2">
      <c r="B668" s="7" t="s">
        <v>77</v>
      </c>
      <c r="C668" s="8">
        <v>11420</v>
      </c>
      <c r="D668" s="9" t="s">
        <v>617</v>
      </c>
      <c r="E668" s="10" t="s">
        <v>618</v>
      </c>
      <c r="F668" s="10" t="s">
        <v>619</v>
      </c>
      <c r="G668" s="8">
        <v>1</v>
      </c>
      <c r="H668" s="11">
        <v>400</v>
      </c>
      <c r="I668" s="12">
        <v>42470</v>
      </c>
      <c r="J668" s="13">
        <f t="shared" si="25"/>
        <v>0</v>
      </c>
      <c r="K668" s="14"/>
      <c r="L668" s="14">
        <v>400</v>
      </c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5">
        <f t="shared" si="26"/>
        <v>400</v>
      </c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5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5"/>
      <c r="AX668" s="16"/>
    </row>
    <row r="669" spans="2:50" x14ac:dyDescent="0.2">
      <c r="B669" s="7" t="s">
        <v>37</v>
      </c>
      <c r="C669" s="8">
        <v>11421</v>
      </c>
      <c r="D669" s="9" t="s">
        <v>646</v>
      </c>
      <c r="E669" s="10" t="s">
        <v>647</v>
      </c>
      <c r="F669" s="10" t="s">
        <v>648</v>
      </c>
      <c r="G669" s="8">
        <v>1</v>
      </c>
      <c r="H669" s="11">
        <v>800</v>
      </c>
      <c r="I669" s="12">
        <v>42470</v>
      </c>
      <c r="J669" s="13">
        <f t="shared" si="25"/>
        <v>0</v>
      </c>
      <c r="K669" s="14"/>
      <c r="L669" s="14">
        <v>400</v>
      </c>
      <c r="M669" s="14">
        <v>400</v>
      </c>
      <c r="N669" s="14"/>
      <c r="O669" s="14"/>
      <c r="P669" s="14"/>
      <c r="Q669" s="14"/>
      <c r="R669" s="14"/>
      <c r="S669" s="14"/>
      <c r="T669" s="14"/>
      <c r="U669" s="14"/>
      <c r="V669" s="14"/>
      <c r="W669" s="15">
        <f t="shared" si="26"/>
        <v>800</v>
      </c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5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5"/>
      <c r="AX669" s="16"/>
    </row>
    <row r="670" spans="2:50" x14ac:dyDescent="0.2">
      <c r="B670" s="7" t="s">
        <v>77</v>
      </c>
      <c r="C670" s="8">
        <v>11422</v>
      </c>
      <c r="D670" s="9" t="s">
        <v>565</v>
      </c>
      <c r="E670" s="10" t="s">
        <v>566</v>
      </c>
      <c r="F670" s="10" t="s">
        <v>567</v>
      </c>
      <c r="G670" s="8">
        <v>1</v>
      </c>
      <c r="H670" s="11">
        <v>750</v>
      </c>
      <c r="I670" s="12">
        <v>42470</v>
      </c>
      <c r="J670" s="13">
        <f t="shared" si="25"/>
        <v>0</v>
      </c>
      <c r="K670" s="14"/>
      <c r="L670" s="14">
        <v>250</v>
      </c>
      <c r="M670" s="14">
        <v>250</v>
      </c>
      <c r="N670" s="14">
        <v>250</v>
      </c>
      <c r="O670" s="14"/>
      <c r="P670" s="14"/>
      <c r="Q670" s="14"/>
      <c r="R670" s="14"/>
      <c r="S670" s="14"/>
      <c r="T670" s="14"/>
      <c r="U670" s="14"/>
      <c r="V670" s="14"/>
      <c r="W670" s="15">
        <f t="shared" si="26"/>
        <v>750</v>
      </c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5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5"/>
      <c r="AX670" s="16"/>
    </row>
    <row r="671" spans="2:50" x14ac:dyDescent="0.2">
      <c r="B671" s="7" t="s">
        <v>73</v>
      </c>
      <c r="C671" s="8">
        <v>11423</v>
      </c>
      <c r="D671" s="9" t="s">
        <v>485</v>
      </c>
      <c r="E671" s="10" t="s">
        <v>486</v>
      </c>
      <c r="F671" s="10" t="s">
        <v>487</v>
      </c>
      <c r="G671" s="8">
        <v>3</v>
      </c>
      <c r="H671" s="11">
        <v>160</v>
      </c>
      <c r="I671" s="12">
        <v>42470</v>
      </c>
      <c r="J671" s="13">
        <f t="shared" si="25"/>
        <v>0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5">
        <f t="shared" si="26"/>
        <v>0</v>
      </c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5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5"/>
      <c r="AX671" s="16"/>
    </row>
    <row r="672" spans="2:50" x14ac:dyDescent="0.2">
      <c r="B672" s="7" t="s">
        <v>47</v>
      </c>
      <c r="C672" s="8">
        <v>11424</v>
      </c>
      <c r="D672" s="9" t="s">
        <v>896</v>
      </c>
      <c r="E672" s="10" t="s">
        <v>897</v>
      </c>
      <c r="F672" s="10" t="s">
        <v>898</v>
      </c>
      <c r="G672" s="8">
        <v>1</v>
      </c>
      <c r="H672" s="11">
        <v>400</v>
      </c>
      <c r="I672" s="12">
        <v>42470</v>
      </c>
      <c r="J672" s="13">
        <f t="shared" si="25"/>
        <v>0</v>
      </c>
      <c r="K672" s="14">
        <v>100</v>
      </c>
      <c r="L672" s="14">
        <v>100</v>
      </c>
      <c r="M672" s="14">
        <v>100</v>
      </c>
      <c r="N672" s="14">
        <v>100</v>
      </c>
      <c r="O672" s="14"/>
      <c r="P672" s="14"/>
      <c r="Q672" s="14"/>
      <c r="R672" s="14"/>
      <c r="S672" s="14"/>
      <c r="T672" s="14"/>
      <c r="U672" s="14"/>
      <c r="V672" s="14"/>
      <c r="W672" s="15">
        <f t="shared" si="26"/>
        <v>400</v>
      </c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5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5"/>
      <c r="AX672" s="16"/>
    </row>
    <row r="673" spans="2:50" x14ac:dyDescent="0.2">
      <c r="B673" s="7" t="s">
        <v>47</v>
      </c>
      <c r="C673" s="8">
        <v>11425</v>
      </c>
      <c r="D673" s="9" t="s">
        <v>48</v>
      </c>
      <c r="E673" s="10" t="s">
        <v>49</v>
      </c>
      <c r="F673" s="10" t="s">
        <v>50</v>
      </c>
      <c r="G673" s="8">
        <v>1</v>
      </c>
      <c r="H673" s="11">
        <v>400</v>
      </c>
      <c r="I673" s="12">
        <v>42470</v>
      </c>
      <c r="J673" s="13">
        <f t="shared" si="25"/>
        <v>0</v>
      </c>
      <c r="K673" s="14"/>
      <c r="L673" s="14"/>
      <c r="M673" s="14"/>
      <c r="N673" s="14">
        <v>400</v>
      </c>
      <c r="O673" s="14"/>
      <c r="P673" s="14"/>
      <c r="Q673" s="14"/>
      <c r="R673" s="14"/>
      <c r="S673" s="14"/>
      <c r="T673" s="14"/>
      <c r="U673" s="14"/>
      <c r="V673" s="14"/>
      <c r="W673" s="15">
        <f t="shared" si="26"/>
        <v>400</v>
      </c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5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5"/>
      <c r="AX673" s="16"/>
    </row>
    <row r="674" spans="2:50" x14ac:dyDescent="0.2">
      <c r="B674" s="7" t="s">
        <v>69</v>
      </c>
      <c r="C674" s="8">
        <v>11426</v>
      </c>
      <c r="D674" s="9" t="s">
        <v>714</v>
      </c>
      <c r="E674" s="10" t="s">
        <v>715</v>
      </c>
      <c r="F674" s="10" t="s">
        <v>487</v>
      </c>
      <c r="G674" s="8">
        <v>1</v>
      </c>
      <c r="H674" s="11">
        <v>800</v>
      </c>
      <c r="I674" s="12">
        <v>42470</v>
      </c>
      <c r="J674" s="13">
        <f t="shared" si="25"/>
        <v>0</v>
      </c>
      <c r="K674" s="14"/>
      <c r="L674" s="14">
        <v>400</v>
      </c>
      <c r="M674" s="14">
        <v>400</v>
      </c>
      <c r="N674" s="14"/>
      <c r="O674" s="14"/>
      <c r="P674" s="14"/>
      <c r="Q674" s="14"/>
      <c r="R674" s="14"/>
      <c r="S674" s="14"/>
      <c r="T674" s="14"/>
      <c r="U674" s="14"/>
      <c r="V674" s="14"/>
      <c r="W674" s="15">
        <f t="shared" si="26"/>
        <v>800</v>
      </c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5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5"/>
      <c r="AX674" s="16"/>
    </row>
    <row r="675" spans="2:50" x14ac:dyDescent="0.2">
      <c r="B675" s="7" t="s">
        <v>69</v>
      </c>
      <c r="C675" s="8">
        <v>11426</v>
      </c>
      <c r="D675" s="9" t="s">
        <v>714</v>
      </c>
      <c r="E675" s="10" t="s">
        <v>715</v>
      </c>
      <c r="F675" s="10" t="s">
        <v>487</v>
      </c>
      <c r="G675" s="8">
        <v>3</v>
      </c>
      <c r="H675" s="11">
        <v>160</v>
      </c>
      <c r="I675" s="12">
        <v>42470</v>
      </c>
      <c r="J675" s="13">
        <f t="shared" si="25"/>
        <v>0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5">
        <f t="shared" si="26"/>
        <v>0</v>
      </c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5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5"/>
      <c r="AX675" s="16"/>
    </row>
    <row r="676" spans="2:50" x14ac:dyDescent="0.2">
      <c r="B676" s="7" t="s">
        <v>47</v>
      </c>
      <c r="C676" s="8">
        <v>11427</v>
      </c>
      <c r="D676" s="9" t="s">
        <v>189</v>
      </c>
      <c r="E676" s="10" t="s">
        <v>190</v>
      </c>
      <c r="F676" s="10" t="s">
        <v>191</v>
      </c>
      <c r="G676" s="8">
        <v>1</v>
      </c>
      <c r="H676" s="11">
        <v>800</v>
      </c>
      <c r="I676" s="12">
        <v>42470</v>
      </c>
      <c r="J676" s="13">
        <f t="shared" si="25"/>
        <v>0</v>
      </c>
      <c r="K676" s="14"/>
      <c r="L676" s="14">
        <v>400</v>
      </c>
      <c r="M676" s="14">
        <v>400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5">
        <f t="shared" si="26"/>
        <v>800</v>
      </c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5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5"/>
      <c r="AX676" s="16"/>
    </row>
    <row r="677" spans="2:50" x14ac:dyDescent="0.2">
      <c r="B677" s="7" t="s">
        <v>69</v>
      </c>
      <c r="C677" s="8">
        <v>11428</v>
      </c>
      <c r="D677" s="9" t="s">
        <v>165</v>
      </c>
      <c r="E677" s="10" t="s">
        <v>166</v>
      </c>
      <c r="F677" s="10" t="s">
        <v>167</v>
      </c>
      <c r="G677" s="8">
        <v>1</v>
      </c>
      <c r="H677" s="11">
        <v>350</v>
      </c>
      <c r="I677" s="12">
        <v>42470</v>
      </c>
      <c r="J677" s="13">
        <f t="shared" si="25"/>
        <v>0</v>
      </c>
      <c r="K677" s="14"/>
      <c r="L677" s="14"/>
      <c r="M677" s="14"/>
      <c r="N677" s="14">
        <v>350</v>
      </c>
      <c r="O677" s="14"/>
      <c r="P677" s="14"/>
      <c r="Q677" s="14"/>
      <c r="R677" s="14"/>
      <c r="S677" s="14"/>
      <c r="T677" s="14"/>
      <c r="U677" s="14"/>
      <c r="V677" s="14"/>
      <c r="W677" s="15">
        <f t="shared" si="26"/>
        <v>350</v>
      </c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5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5"/>
      <c r="AX677" s="16"/>
    </row>
    <row r="678" spans="2:50" x14ac:dyDescent="0.2">
      <c r="B678" s="7" t="s">
        <v>47</v>
      </c>
      <c r="C678" s="8">
        <v>11429</v>
      </c>
      <c r="D678" s="9" t="s">
        <v>449</v>
      </c>
      <c r="E678" s="10" t="s">
        <v>450</v>
      </c>
      <c r="F678" s="10" t="s">
        <v>451</v>
      </c>
      <c r="G678" s="8">
        <v>1</v>
      </c>
      <c r="H678" s="11">
        <v>900</v>
      </c>
      <c r="I678" s="12">
        <v>42470</v>
      </c>
      <c r="J678" s="13">
        <f t="shared" si="25"/>
        <v>0</v>
      </c>
      <c r="K678" s="14"/>
      <c r="L678" s="14">
        <v>300</v>
      </c>
      <c r="M678" s="14">
        <v>300</v>
      </c>
      <c r="N678" s="14">
        <v>300</v>
      </c>
      <c r="O678" s="14"/>
      <c r="P678" s="14"/>
      <c r="Q678" s="14"/>
      <c r="R678" s="14"/>
      <c r="S678" s="14"/>
      <c r="T678" s="14"/>
      <c r="U678" s="14"/>
      <c r="V678" s="14"/>
      <c r="W678" s="15">
        <f t="shared" si="26"/>
        <v>900</v>
      </c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5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5"/>
      <c r="AX678" s="16"/>
    </row>
    <row r="679" spans="2:50" x14ac:dyDescent="0.2">
      <c r="B679" s="7" t="s">
        <v>37</v>
      </c>
      <c r="C679" s="8">
        <v>11430</v>
      </c>
      <c r="D679" s="9" t="s">
        <v>899</v>
      </c>
      <c r="E679" s="10" t="s">
        <v>900</v>
      </c>
      <c r="F679" s="10" t="s">
        <v>901</v>
      </c>
      <c r="G679" s="8">
        <v>1</v>
      </c>
      <c r="H679" s="11">
        <v>500</v>
      </c>
      <c r="I679" s="12">
        <v>42470</v>
      </c>
      <c r="J679" s="13">
        <f t="shared" si="25"/>
        <v>0</v>
      </c>
      <c r="K679" s="14"/>
      <c r="L679" s="14"/>
      <c r="M679" s="14">
        <v>250</v>
      </c>
      <c r="N679" s="14">
        <v>250</v>
      </c>
      <c r="O679" s="14"/>
      <c r="P679" s="14"/>
      <c r="Q679" s="14"/>
      <c r="R679" s="14"/>
      <c r="S679" s="14"/>
      <c r="T679" s="14"/>
      <c r="U679" s="14"/>
      <c r="V679" s="14"/>
      <c r="W679" s="15">
        <f t="shared" si="26"/>
        <v>500</v>
      </c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5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5"/>
      <c r="AX679" s="16"/>
    </row>
    <row r="680" spans="2:50" x14ac:dyDescent="0.2">
      <c r="B680" s="7" t="s">
        <v>47</v>
      </c>
      <c r="C680" s="8">
        <v>11431</v>
      </c>
      <c r="D680" s="9" t="s">
        <v>583</v>
      </c>
      <c r="E680" s="10" t="s">
        <v>584</v>
      </c>
      <c r="F680" s="10" t="s">
        <v>585</v>
      </c>
      <c r="G680" s="8">
        <v>1</v>
      </c>
      <c r="H680" s="11">
        <v>200</v>
      </c>
      <c r="I680" s="12">
        <v>42470</v>
      </c>
      <c r="J680" s="13">
        <f t="shared" si="25"/>
        <v>0</v>
      </c>
      <c r="K680" s="14"/>
      <c r="L680" s="14"/>
      <c r="M680" s="14"/>
      <c r="N680" s="14">
        <v>200</v>
      </c>
      <c r="O680" s="14"/>
      <c r="P680" s="14"/>
      <c r="Q680" s="14"/>
      <c r="R680" s="14"/>
      <c r="S680" s="14"/>
      <c r="T680" s="14"/>
      <c r="U680" s="14"/>
      <c r="V680" s="14"/>
      <c r="W680" s="15">
        <f t="shared" si="26"/>
        <v>200</v>
      </c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5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5"/>
      <c r="AX680" s="16"/>
    </row>
    <row r="681" spans="2:50" x14ac:dyDescent="0.2">
      <c r="B681" s="7" t="s">
        <v>61</v>
      </c>
      <c r="C681" s="8">
        <v>11432</v>
      </c>
      <c r="D681" s="9" t="s">
        <v>62</v>
      </c>
      <c r="E681" s="10" t="s">
        <v>63</v>
      </c>
      <c r="F681" s="10" t="s">
        <v>64</v>
      </c>
      <c r="G681" s="8">
        <v>1</v>
      </c>
      <c r="H681" s="11">
        <v>400</v>
      </c>
      <c r="I681" s="12">
        <v>42470</v>
      </c>
      <c r="J681" s="13">
        <f t="shared" si="25"/>
        <v>0</v>
      </c>
      <c r="K681" s="14"/>
      <c r="L681" s="14"/>
      <c r="M681" s="14"/>
      <c r="N681" s="14"/>
      <c r="O681" s="14">
        <v>200</v>
      </c>
      <c r="P681" s="14">
        <v>200</v>
      </c>
      <c r="Q681" s="14"/>
      <c r="R681" s="14"/>
      <c r="S681" s="14"/>
      <c r="T681" s="14"/>
      <c r="U681" s="14"/>
      <c r="V681" s="14"/>
      <c r="W681" s="15">
        <f t="shared" si="26"/>
        <v>400</v>
      </c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5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5"/>
      <c r="AX681" s="16"/>
    </row>
    <row r="682" spans="2:50" x14ac:dyDescent="0.2">
      <c r="B682" s="7" t="s">
        <v>61</v>
      </c>
      <c r="C682" s="8">
        <v>11433</v>
      </c>
      <c r="D682" s="9" t="s">
        <v>902</v>
      </c>
      <c r="E682" s="10" t="s">
        <v>903</v>
      </c>
      <c r="F682" s="10" t="s">
        <v>904</v>
      </c>
      <c r="G682" s="8">
        <v>1</v>
      </c>
      <c r="H682" s="11">
        <v>2800</v>
      </c>
      <c r="I682" s="12">
        <v>42470</v>
      </c>
      <c r="J682" s="13">
        <f t="shared" si="25"/>
        <v>0</v>
      </c>
      <c r="K682" s="14">
        <v>400</v>
      </c>
      <c r="L682" s="14">
        <v>400</v>
      </c>
      <c r="M682" s="14">
        <v>400</v>
      </c>
      <c r="N682" s="14">
        <v>400</v>
      </c>
      <c r="O682" s="14">
        <v>400</v>
      </c>
      <c r="P682" s="14">
        <v>400</v>
      </c>
      <c r="Q682" s="14">
        <v>400</v>
      </c>
      <c r="R682" s="14"/>
      <c r="S682" s="14"/>
      <c r="T682" s="14"/>
      <c r="U682" s="14"/>
      <c r="V682" s="14"/>
      <c r="W682" s="15">
        <f t="shared" si="26"/>
        <v>2800</v>
      </c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5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5"/>
      <c r="AX682" s="16"/>
    </row>
    <row r="683" spans="2:50" x14ac:dyDescent="0.2">
      <c r="B683" s="7" t="s">
        <v>61</v>
      </c>
      <c r="C683" s="8">
        <v>11434</v>
      </c>
      <c r="D683" s="9" t="s">
        <v>902</v>
      </c>
      <c r="E683" s="10" t="s">
        <v>903</v>
      </c>
      <c r="F683" s="10" t="s">
        <v>904</v>
      </c>
      <c r="G683" s="8">
        <v>3</v>
      </c>
      <c r="H683" s="11">
        <v>160</v>
      </c>
      <c r="I683" s="12">
        <v>42470</v>
      </c>
      <c r="J683" s="13">
        <f t="shared" si="25"/>
        <v>0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5">
        <f t="shared" si="26"/>
        <v>0</v>
      </c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5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5"/>
      <c r="AX683" s="16"/>
    </row>
    <row r="684" spans="2:50" x14ac:dyDescent="0.2">
      <c r="B684" s="7" t="s">
        <v>47</v>
      </c>
      <c r="C684" s="8">
        <v>11435</v>
      </c>
      <c r="D684" s="9" t="s">
        <v>404</v>
      </c>
      <c r="E684" s="10" t="s">
        <v>405</v>
      </c>
      <c r="F684" s="10" t="s">
        <v>406</v>
      </c>
      <c r="G684" s="8">
        <v>1</v>
      </c>
      <c r="H684" s="11">
        <v>400</v>
      </c>
      <c r="I684" s="12">
        <v>42470</v>
      </c>
      <c r="J684" s="13">
        <f t="shared" si="25"/>
        <v>0</v>
      </c>
      <c r="K684" s="14"/>
      <c r="L684" s="14"/>
      <c r="M684" s="14"/>
      <c r="N684" s="14">
        <v>400</v>
      </c>
      <c r="O684" s="14"/>
      <c r="P684" s="14"/>
      <c r="Q684" s="14"/>
      <c r="R684" s="14"/>
      <c r="S684" s="14"/>
      <c r="T684" s="14"/>
      <c r="U684" s="14"/>
      <c r="V684" s="14"/>
      <c r="W684" s="15">
        <f t="shared" si="26"/>
        <v>400</v>
      </c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5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5"/>
      <c r="AX684" s="16"/>
    </row>
    <row r="685" spans="2:50" x14ac:dyDescent="0.2">
      <c r="B685" s="7" t="s">
        <v>73</v>
      </c>
      <c r="C685" s="8">
        <v>11436</v>
      </c>
      <c r="D685" s="9" t="s">
        <v>541</v>
      </c>
      <c r="E685" s="10" t="s">
        <v>542</v>
      </c>
      <c r="F685" s="10" t="s">
        <v>543</v>
      </c>
      <c r="G685" s="8">
        <v>1</v>
      </c>
      <c r="H685" s="11">
        <v>800</v>
      </c>
      <c r="I685" s="12">
        <v>42470</v>
      </c>
      <c r="J685" s="13">
        <f t="shared" si="25"/>
        <v>0</v>
      </c>
      <c r="K685" s="14"/>
      <c r="L685" s="14"/>
      <c r="M685" s="14">
        <v>400</v>
      </c>
      <c r="N685" s="14">
        <v>400</v>
      </c>
      <c r="O685" s="14"/>
      <c r="P685" s="14"/>
      <c r="Q685" s="14"/>
      <c r="R685" s="14"/>
      <c r="S685" s="14"/>
      <c r="T685" s="14"/>
      <c r="U685" s="14"/>
      <c r="V685" s="14"/>
      <c r="W685" s="15">
        <f t="shared" si="26"/>
        <v>800</v>
      </c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5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5"/>
      <c r="AX685" s="16"/>
    </row>
    <row r="686" spans="2:50" x14ac:dyDescent="0.2">
      <c r="B686" s="7" t="s">
        <v>69</v>
      </c>
      <c r="C686" s="8">
        <v>11437</v>
      </c>
      <c r="D686" s="9" t="s">
        <v>168</v>
      </c>
      <c r="E686" s="10" t="s">
        <v>169</v>
      </c>
      <c r="F686" s="10" t="s">
        <v>170</v>
      </c>
      <c r="G686" s="8">
        <v>1</v>
      </c>
      <c r="H686" s="11">
        <v>200</v>
      </c>
      <c r="I686" s="12">
        <v>42470</v>
      </c>
      <c r="J686" s="13">
        <f t="shared" si="25"/>
        <v>0</v>
      </c>
      <c r="K686" s="14"/>
      <c r="L686" s="14">
        <v>200</v>
      </c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5">
        <f t="shared" si="26"/>
        <v>200</v>
      </c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5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5"/>
      <c r="AX686" s="16"/>
    </row>
    <row r="687" spans="2:50" x14ac:dyDescent="0.2">
      <c r="B687" s="7" t="s">
        <v>47</v>
      </c>
      <c r="C687" s="8">
        <v>11449</v>
      </c>
      <c r="D687" s="9" t="s">
        <v>349</v>
      </c>
      <c r="E687" s="10" t="s">
        <v>350</v>
      </c>
      <c r="F687" s="10" t="s">
        <v>351</v>
      </c>
      <c r="G687" s="8">
        <v>1</v>
      </c>
      <c r="H687" s="11">
        <v>600</v>
      </c>
      <c r="I687" s="12">
        <v>42470</v>
      </c>
      <c r="J687" s="13">
        <f t="shared" si="25"/>
        <v>0</v>
      </c>
      <c r="K687" s="14"/>
      <c r="L687" s="14"/>
      <c r="M687" s="14">
        <v>300</v>
      </c>
      <c r="N687" s="14">
        <v>300</v>
      </c>
      <c r="O687" s="14"/>
      <c r="P687" s="14"/>
      <c r="Q687" s="14"/>
      <c r="R687" s="14"/>
      <c r="S687" s="14"/>
      <c r="T687" s="14"/>
      <c r="U687" s="14"/>
      <c r="V687" s="14"/>
      <c r="W687" s="15">
        <f t="shared" si="26"/>
        <v>600</v>
      </c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5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5"/>
      <c r="AX687" s="16"/>
    </row>
    <row r="688" spans="2:50" x14ac:dyDescent="0.2">
      <c r="B688" s="7" t="s">
        <v>37</v>
      </c>
      <c r="C688" s="8">
        <v>11438</v>
      </c>
      <c r="D688" s="9" t="s">
        <v>905</v>
      </c>
      <c r="E688" s="10" t="s">
        <v>906</v>
      </c>
      <c r="F688" s="10" t="s">
        <v>907</v>
      </c>
      <c r="G688" s="8">
        <v>1</v>
      </c>
      <c r="H688" s="11">
        <v>200</v>
      </c>
      <c r="I688" s="12">
        <v>42471</v>
      </c>
      <c r="J688" s="13">
        <f t="shared" si="25"/>
        <v>0</v>
      </c>
      <c r="K688" s="14"/>
      <c r="L688" s="14"/>
      <c r="M688" s="14"/>
      <c r="N688" s="14">
        <v>200</v>
      </c>
      <c r="O688" s="14"/>
      <c r="P688" s="14"/>
      <c r="Q688" s="14"/>
      <c r="R688" s="14"/>
      <c r="S688" s="14"/>
      <c r="T688" s="14"/>
      <c r="U688" s="14"/>
      <c r="V688" s="14"/>
      <c r="W688" s="15">
        <f t="shared" si="26"/>
        <v>200</v>
      </c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5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5"/>
      <c r="AX688" s="16"/>
    </row>
    <row r="689" spans="2:50" x14ac:dyDescent="0.2">
      <c r="B689" s="7" t="s">
        <v>37</v>
      </c>
      <c r="C689" s="8">
        <v>11439</v>
      </c>
      <c r="D689" s="9" t="s">
        <v>905</v>
      </c>
      <c r="E689" s="10" t="s">
        <v>906</v>
      </c>
      <c r="F689" s="10" t="s">
        <v>907</v>
      </c>
      <c r="G689" s="8">
        <v>3</v>
      </c>
      <c r="H689" s="11">
        <v>160</v>
      </c>
      <c r="I689" s="12">
        <v>42471</v>
      </c>
      <c r="J689" s="13">
        <f t="shared" si="25"/>
        <v>0</v>
      </c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5">
        <f t="shared" si="26"/>
        <v>0</v>
      </c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5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5"/>
      <c r="AX689" s="16"/>
    </row>
    <row r="690" spans="2:50" x14ac:dyDescent="0.2">
      <c r="B690" s="7" t="s">
        <v>37</v>
      </c>
      <c r="C690" s="8">
        <v>11440</v>
      </c>
      <c r="D690" s="9" t="s">
        <v>681</v>
      </c>
      <c r="E690" s="10" t="s">
        <v>682</v>
      </c>
      <c r="F690" s="10" t="s">
        <v>683</v>
      </c>
      <c r="G690" s="8">
        <v>1</v>
      </c>
      <c r="H690" s="11">
        <v>300</v>
      </c>
      <c r="I690" s="12">
        <v>42471</v>
      </c>
      <c r="J690" s="13">
        <f t="shared" si="25"/>
        <v>0</v>
      </c>
      <c r="K690" s="14"/>
      <c r="L690" s="14"/>
      <c r="M690" s="14">
        <v>300</v>
      </c>
      <c r="N690" s="14"/>
      <c r="O690" s="14"/>
      <c r="P690" s="14"/>
      <c r="Q690" s="14"/>
      <c r="R690" s="14"/>
      <c r="S690" s="14"/>
      <c r="T690" s="14"/>
      <c r="U690" s="14"/>
      <c r="V690" s="14"/>
      <c r="W690" s="15">
        <f t="shared" si="26"/>
        <v>300</v>
      </c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5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5"/>
      <c r="AX690" s="16"/>
    </row>
    <row r="691" spans="2:50" x14ac:dyDescent="0.2">
      <c r="B691" s="7" t="s">
        <v>47</v>
      </c>
      <c r="C691" s="8">
        <v>11441</v>
      </c>
      <c r="D691" s="9" t="s">
        <v>589</v>
      </c>
      <c r="E691" s="10" t="s">
        <v>590</v>
      </c>
      <c r="F691" s="10" t="s">
        <v>591</v>
      </c>
      <c r="G691" s="8">
        <v>1</v>
      </c>
      <c r="H691" s="11">
        <v>800</v>
      </c>
      <c r="I691" s="12">
        <v>42472</v>
      </c>
      <c r="J691" s="13">
        <f t="shared" si="25"/>
        <v>0</v>
      </c>
      <c r="K691" s="14"/>
      <c r="L691" s="14"/>
      <c r="M691" s="14">
        <v>400</v>
      </c>
      <c r="N691" s="14">
        <v>400</v>
      </c>
      <c r="O691" s="14"/>
      <c r="P691" s="14"/>
      <c r="Q691" s="14"/>
      <c r="R691" s="14"/>
      <c r="S691" s="14"/>
      <c r="T691" s="14"/>
      <c r="U691" s="14"/>
      <c r="V691" s="14"/>
      <c r="W691" s="15">
        <f t="shared" si="26"/>
        <v>800</v>
      </c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5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5"/>
      <c r="AX691" s="16"/>
    </row>
    <row r="692" spans="2:50" x14ac:dyDescent="0.2">
      <c r="B692" s="7" t="s">
        <v>122</v>
      </c>
      <c r="C692" s="8">
        <v>11442</v>
      </c>
      <c r="D692" s="9" t="s">
        <v>256</v>
      </c>
      <c r="E692" s="10" t="s">
        <v>257</v>
      </c>
      <c r="F692" s="10" t="s">
        <v>258</v>
      </c>
      <c r="G692" s="8">
        <v>4</v>
      </c>
      <c r="H692" s="11">
        <v>320</v>
      </c>
      <c r="I692" s="12">
        <v>42472</v>
      </c>
      <c r="J692" s="13">
        <f t="shared" si="25"/>
        <v>0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5">
        <f t="shared" si="26"/>
        <v>0</v>
      </c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5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5"/>
      <c r="AX692" s="16" t="s">
        <v>908</v>
      </c>
    </row>
    <row r="693" spans="2:50" x14ac:dyDescent="0.2">
      <c r="B693" s="7" t="s">
        <v>37</v>
      </c>
      <c r="C693" s="8">
        <v>11443</v>
      </c>
      <c r="D693" s="9" t="s">
        <v>443</v>
      </c>
      <c r="E693" s="10" t="s">
        <v>444</v>
      </c>
      <c r="F693" s="10" t="s">
        <v>445</v>
      </c>
      <c r="G693" s="8">
        <v>3</v>
      </c>
      <c r="H693" s="11">
        <v>160</v>
      </c>
      <c r="I693" s="12">
        <v>42472</v>
      </c>
      <c r="J693" s="13">
        <f t="shared" si="25"/>
        <v>0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5">
        <f t="shared" si="26"/>
        <v>0</v>
      </c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5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5"/>
      <c r="AX693" s="16"/>
    </row>
    <row r="694" spans="2:50" x14ac:dyDescent="0.2">
      <c r="B694" s="7" t="s">
        <v>93</v>
      </c>
      <c r="C694" s="8">
        <v>11444</v>
      </c>
      <c r="D694" s="9"/>
      <c r="E694" s="10" t="s">
        <v>93</v>
      </c>
      <c r="F694" s="10" t="s">
        <v>93</v>
      </c>
      <c r="G694" s="8">
        <v>8</v>
      </c>
      <c r="H694" s="11"/>
      <c r="I694" s="12"/>
      <c r="J694" s="13">
        <f t="shared" si="25"/>
        <v>0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5">
        <f t="shared" si="26"/>
        <v>0</v>
      </c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5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5"/>
      <c r="AX694" s="16"/>
    </row>
    <row r="695" spans="2:50" x14ac:dyDescent="0.2">
      <c r="B695" s="7" t="s">
        <v>37</v>
      </c>
      <c r="C695" s="8">
        <v>11445</v>
      </c>
      <c r="D695" s="9" t="s">
        <v>58</v>
      </c>
      <c r="E695" s="10" t="s">
        <v>59</v>
      </c>
      <c r="F695" s="10" t="s">
        <v>60</v>
      </c>
      <c r="G695" s="8">
        <v>1</v>
      </c>
      <c r="H695" s="11">
        <v>300</v>
      </c>
      <c r="I695" s="12">
        <v>42474</v>
      </c>
      <c r="J695" s="13">
        <f t="shared" si="25"/>
        <v>0</v>
      </c>
      <c r="K695" s="14"/>
      <c r="L695" s="14">
        <v>300</v>
      </c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5">
        <f t="shared" si="26"/>
        <v>300</v>
      </c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5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5"/>
      <c r="AX695" s="16"/>
    </row>
    <row r="696" spans="2:50" x14ac:dyDescent="0.2">
      <c r="B696" s="7" t="s">
        <v>37</v>
      </c>
      <c r="C696" s="8">
        <v>11445</v>
      </c>
      <c r="D696" s="9" t="s">
        <v>58</v>
      </c>
      <c r="E696" s="10" t="s">
        <v>59</v>
      </c>
      <c r="F696" s="10" t="s">
        <v>60</v>
      </c>
      <c r="G696" s="8">
        <v>3</v>
      </c>
      <c r="H696" s="11">
        <v>160</v>
      </c>
      <c r="I696" s="12">
        <v>42474</v>
      </c>
      <c r="J696" s="13">
        <f t="shared" si="25"/>
        <v>0</v>
      </c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5">
        <f t="shared" si="26"/>
        <v>0</v>
      </c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5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5"/>
      <c r="AX696" s="16"/>
    </row>
    <row r="697" spans="2:50" x14ac:dyDescent="0.2">
      <c r="B697" s="7" t="s">
        <v>77</v>
      </c>
      <c r="C697" s="8">
        <v>11446</v>
      </c>
      <c r="D697" s="9" t="s">
        <v>159</v>
      </c>
      <c r="E697" s="10" t="s">
        <v>160</v>
      </c>
      <c r="F697" s="10" t="s">
        <v>161</v>
      </c>
      <c r="G697" s="8">
        <v>1</v>
      </c>
      <c r="H697" s="11">
        <v>400</v>
      </c>
      <c r="I697" s="12">
        <v>42477</v>
      </c>
      <c r="J697" s="13">
        <f t="shared" si="25"/>
        <v>0</v>
      </c>
      <c r="K697" s="14"/>
      <c r="L697" s="14"/>
      <c r="M697" s="14"/>
      <c r="N697" s="14">
        <v>400</v>
      </c>
      <c r="O697" s="14"/>
      <c r="P697" s="14"/>
      <c r="Q697" s="14"/>
      <c r="R697" s="14"/>
      <c r="S697" s="14"/>
      <c r="T697" s="14"/>
      <c r="U697" s="14"/>
      <c r="V697" s="14"/>
      <c r="W697" s="15">
        <f t="shared" si="26"/>
        <v>400</v>
      </c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5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5"/>
      <c r="AX697" s="16"/>
    </row>
    <row r="698" spans="2:50" x14ac:dyDescent="0.2">
      <c r="B698" s="7" t="s">
        <v>73</v>
      </c>
      <c r="C698" s="8">
        <v>11447</v>
      </c>
      <c r="D698" s="9" t="s">
        <v>259</v>
      </c>
      <c r="E698" s="10" t="s">
        <v>260</v>
      </c>
      <c r="F698" s="10" t="s">
        <v>261</v>
      </c>
      <c r="G698" s="8">
        <v>1</v>
      </c>
      <c r="H698" s="11">
        <v>400</v>
      </c>
      <c r="I698" s="12">
        <v>42477</v>
      </c>
      <c r="J698" s="13">
        <f t="shared" si="25"/>
        <v>0</v>
      </c>
      <c r="K698" s="14"/>
      <c r="L698" s="14"/>
      <c r="M698" s="14"/>
      <c r="N698" s="14">
        <v>400</v>
      </c>
      <c r="O698" s="14"/>
      <c r="P698" s="14"/>
      <c r="Q698" s="14"/>
      <c r="R698" s="14"/>
      <c r="S698" s="14"/>
      <c r="T698" s="14"/>
      <c r="U698" s="14"/>
      <c r="V698" s="14"/>
      <c r="W698" s="15">
        <f t="shared" si="26"/>
        <v>400</v>
      </c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5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5"/>
      <c r="AX698" s="16"/>
    </row>
    <row r="699" spans="2:50" x14ac:dyDescent="0.2">
      <c r="B699" s="7" t="s">
        <v>47</v>
      </c>
      <c r="C699" s="8">
        <v>11448</v>
      </c>
      <c r="D699" s="9" t="s">
        <v>909</v>
      </c>
      <c r="E699" s="10" t="s">
        <v>910</v>
      </c>
      <c r="F699" s="10" t="s">
        <v>222</v>
      </c>
      <c r="G699" s="8">
        <v>1</v>
      </c>
      <c r="H699" s="11">
        <v>400</v>
      </c>
      <c r="I699" s="12">
        <v>42477</v>
      </c>
      <c r="J699" s="13">
        <f t="shared" si="25"/>
        <v>0</v>
      </c>
      <c r="K699" s="14">
        <v>100</v>
      </c>
      <c r="L699" s="14">
        <v>100</v>
      </c>
      <c r="M699" s="14">
        <v>100</v>
      </c>
      <c r="N699" s="14">
        <v>100</v>
      </c>
      <c r="O699" s="14"/>
      <c r="P699" s="14"/>
      <c r="Q699" s="14"/>
      <c r="R699" s="14"/>
      <c r="S699" s="14"/>
      <c r="T699" s="14"/>
      <c r="U699" s="14"/>
      <c r="V699" s="14"/>
      <c r="W699" s="15">
        <f t="shared" si="26"/>
        <v>400</v>
      </c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5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5"/>
      <c r="AX699" s="16"/>
    </row>
    <row r="700" spans="2:50" x14ac:dyDescent="0.2">
      <c r="B700" s="7" t="s">
        <v>47</v>
      </c>
      <c r="C700" s="8">
        <v>11449</v>
      </c>
      <c r="D700" s="9" t="s">
        <v>349</v>
      </c>
      <c r="E700" s="10" t="s">
        <v>350</v>
      </c>
      <c r="F700" s="10" t="s">
        <v>351</v>
      </c>
      <c r="G700" s="8"/>
      <c r="H700" s="11"/>
      <c r="I700" s="12"/>
      <c r="J700" s="13">
        <f t="shared" si="25"/>
        <v>0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5">
        <f t="shared" si="26"/>
        <v>0</v>
      </c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5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5"/>
      <c r="AX700" s="16"/>
    </row>
    <row r="701" spans="2:50" x14ac:dyDescent="0.2">
      <c r="B701" s="7" t="s">
        <v>47</v>
      </c>
      <c r="C701" s="8">
        <v>11450</v>
      </c>
      <c r="D701" s="9" t="s">
        <v>746</v>
      </c>
      <c r="E701" s="10" t="s">
        <v>747</v>
      </c>
      <c r="F701" s="10" t="s">
        <v>748</v>
      </c>
      <c r="G701" s="8">
        <v>1</v>
      </c>
      <c r="H701" s="11">
        <v>300</v>
      </c>
      <c r="I701" s="12">
        <v>42477</v>
      </c>
      <c r="J701" s="13">
        <f t="shared" si="25"/>
        <v>0</v>
      </c>
      <c r="K701" s="14"/>
      <c r="L701" s="14"/>
      <c r="M701" s="14"/>
      <c r="N701" s="14">
        <v>300</v>
      </c>
      <c r="O701" s="14"/>
      <c r="P701" s="14"/>
      <c r="Q701" s="14"/>
      <c r="R701" s="14"/>
      <c r="S701" s="14"/>
      <c r="T701" s="14"/>
      <c r="U701" s="14"/>
      <c r="V701" s="14"/>
      <c r="W701" s="15">
        <f t="shared" si="26"/>
        <v>300</v>
      </c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5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5"/>
      <c r="AX701" s="16"/>
    </row>
    <row r="702" spans="2:50" x14ac:dyDescent="0.2">
      <c r="B702" s="7" t="s">
        <v>69</v>
      </c>
      <c r="C702" s="8">
        <v>11451</v>
      </c>
      <c r="D702" s="9" t="s">
        <v>437</v>
      </c>
      <c r="E702" s="10" t="s">
        <v>438</v>
      </c>
      <c r="F702" s="10" t="s">
        <v>439</v>
      </c>
      <c r="G702" s="8">
        <v>1</v>
      </c>
      <c r="H702" s="11">
        <v>400</v>
      </c>
      <c r="I702" s="12">
        <v>42477</v>
      </c>
      <c r="J702" s="13">
        <f t="shared" si="25"/>
        <v>0</v>
      </c>
      <c r="K702" s="14"/>
      <c r="L702" s="14"/>
      <c r="M702" s="14"/>
      <c r="N702" s="14">
        <v>400</v>
      </c>
      <c r="O702" s="14"/>
      <c r="P702" s="14"/>
      <c r="Q702" s="14"/>
      <c r="R702" s="14"/>
      <c r="S702" s="14"/>
      <c r="T702" s="14"/>
      <c r="U702" s="14"/>
      <c r="V702" s="14"/>
      <c r="W702" s="15">
        <f t="shared" si="26"/>
        <v>400</v>
      </c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5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5"/>
      <c r="AX702" s="16"/>
    </row>
    <row r="703" spans="2:50" x14ac:dyDescent="0.2">
      <c r="B703" s="7" t="s">
        <v>73</v>
      </c>
      <c r="C703" s="8">
        <v>11452</v>
      </c>
      <c r="D703" s="9" t="s">
        <v>911</v>
      </c>
      <c r="E703" s="10" t="s">
        <v>912</v>
      </c>
      <c r="F703" s="10" t="s">
        <v>397</v>
      </c>
      <c r="G703" s="8">
        <v>1</v>
      </c>
      <c r="H703" s="11">
        <v>800</v>
      </c>
      <c r="I703" s="12">
        <v>42477</v>
      </c>
      <c r="J703" s="13">
        <f t="shared" si="25"/>
        <v>0</v>
      </c>
      <c r="K703" s="14">
        <v>400</v>
      </c>
      <c r="L703" s="14">
        <v>400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5">
        <f t="shared" si="26"/>
        <v>800</v>
      </c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5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5"/>
      <c r="AX703" s="16"/>
    </row>
    <row r="704" spans="2:50" x14ac:dyDescent="0.2">
      <c r="B704" s="7" t="s">
        <v>47</v>
      </c>
      <c r="C704" s="8">
        <v>11453</v>
      </c>
      <c r="D704" s="9" t="s">
        <v>416</v>
      </c>
      <c r="E704" s="10" t="s">
        <v>417</v>
      </c>
      <c r="F704" s="10" t="s">
        <v>418</v>
      </c>
      <c r="G704" s="8">
        <v>1</v>
      </c>
      <c r="H704" s="11">
        <v>200</v>
      </c>
      <c r="I704" s="12">
        <v>42477</v>
      </c>
      <c r="J704" s="13">
        <f t="shared" si="25"/>
        <v>0</v>
      </c>
      <c r="K704" s="14"/>
      <c r="L704" s="14"/>
      <c r="M704" s="14"/>
      <c r="N704" s="14">
        <v>200</v>
      </c>
      <c r="O704" s="14"/>
      <c r="P704" s="14"/>
      <c r="Q704" s="14"/>
      <c r="R704" s="14"/>
      <c r="S704" s="14"/>
      <c r="T704" s="14"/>
      <c r="U704" s="14"/>
      <c r="V704" s="14"/>
      <c r="W704" s="15">
        <f t="shared" si="26"/>
        <v>200</v>
      </c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5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5"/>
      <c r="AX704" s="16"/>
    </row>
    <row r="705" spans="2:50" x14ac:dyDescent="0.2">
      <c r="B705" s="7" t="s">
        <v>61</v>
      </c>
      <c r="C705" s="8">
        <v>11454</v>
      </c>
      <c r="D705" s="9" t="s">
        <v>631</v>
      </c>
      <c r="E705" s="10" t="s">
        <v>632</v>
      </c>
      <c r="F705" s="10" t="s">
        <v>633</v>
      </c>
      <c r="G705" s="8">
        <v>1</v>
      </c>
      <c r="H705" s="11">
        <v>300</v>
      </c>
      <c r="I705" s="12">
        <v>42477</v>
      </c>
      <c r="J705" s="13">
        <f t="shared" si="25"/>
        <v>0</v>
      </c>
      <c r="K705" s="14"/>
      <c r="L705" s="14"/>
      <c r="M705" s="14"/>
      <c r="N705" s="14">
        <v>300</v>
      </c>
      <c r="O705" s="14"/>
      <c r="P705" s="14"/>
      <c r="Q705" s="14"/>
      <c r="R705" s="14"/>
      <c r="S705" s="14"/>
      <c r="T705" s="14"/>
      <c r="U705" s="14"/>
      <c r="V705" s="14"/>
      <c r="W705" s="15">
        <f t="shared" si="26"/>
        <v>300</v>
      </c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5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5"/>
      <c r="AX705" s="16"/>
    </row>
    <row r="706" spans="2:50" x14ac:dyDescent="0.2">
      <c r="B706" s="7" t="s">
        <v>69</v>
      </c>
      <c r="C706" s="8">
        <v>11455</v>
      </c>
      <c r="D706" s="9" t="s">
        <v>292</v>
      </c>
      <c r="E706" s="10" t="s">
        <v>293</v>
      </c>
      <c r="F706" s="10" t="s">
        <v>294</v>
      </c>
      <c r="G706" s="8">
        <v>3</v>
      </c>
      <c r="H706" s="11">
        <v>160</v>
      </c>
      <c r="I706" s="12">
        <v>42477</v>
      </c>
      <c r="J706" s="13">
        <f t="shared" si="25"/>
        <v>0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5">
        <f t="shared" si="26"/>
        <v>0</v>
      </c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5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5"/>
      <c r="AX706" s="16"/>
    </row>
    <row r="707" spans="2:50" x14ac:dyDescent="0.2">
      <c r="B707" s="7" t="s">
        <v>69</v>
      </c>
      <c r="C707" s="8">
        <v>11455</v>
      </c>
      <c r="D707" s="9" t="s">
        <v>292</v>
      </c>
      <c r="E707" s="10" t="s">
        <v>293</v>
      </c>
      <c r="F707" s="10" t="s">
        <v>294</v>
      </c>
      <c r="G707" s="8">
        <v>4</v>
      </c>
      <c r="H707" s="11">
        <v>160</v>
      </c>
      <c r="I707" s="12">
        <v>42477</v>
      </c>
      <c r="J707" s="13">
        <f t="shared" si="25"/>
        <v>0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5">
        <f t="shared" si="26"/>
        <v>0</v>
      </c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5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5"/>
      <c r="AX707" s="7">
        <v>6583</v>
      </c>
    </row>
    <row r="708" spans="2:50" x14ac:dyDescent="0.2">
      <c r="B708" s="7" t="s">
        <v>69</v>
      </c>
      <c r="C708" s="8">
        <v>11456</v>
      </c>
      <c r="D708" s="9" t="s">
        <v>625</v>
      </c>
      <c r="E708" s="10" t="s">
        <v>626</v>
      </c>
      <c r="F708" s="10" t="s">
        <v>627</v>
      </c>
      <c r="G708" s="8">
        <v>1</v>
      </c>
      <c r="H708" s="11">
        <v>400</v>
      </c>
      <c r="I708" s="12">
        <v>42477</v>
      </c>
      <c r="J708" s="13">
        <f t="shared" si="25"/>
        <v>0</v>
      </c>
      <c r="K708" s="14"/>
      <c r="L708" s="14"/>
      <c r="M708" s="14"/>
      <c r="N708" s="14">
        <v>400</v>
      </c>
      <c r="O708" s="14"/>
      <c r="P708" s="14"/>
      <c r="Q708" s="14"/>
      <c r="R708" s="14"/>
      <c r="S708" s="14"/>
      <c r="T708" s="14"/>
      <c r="U708" s="14"/>
      <c r="V708" s="14"/>
      <c r="W708" s="15">
        <f t="shared" si="26"/>
        <v>400</v>
      </c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5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5"/>
      <c r="AX708" s="16"/>
    </row>
    <row r="709" spans="2:50" x14ac:dyDescent="0.2">
      <c r="B709" s="7" t="s">
        <v>69</v>
      </c>
      <c r="C709" s="8">
        <v>11457</v>
      </c>
      <c r="D709" s="9" t="s">
        <v>265</v>
      </c>
      <c r="E709" s="10" t="s">
        <v>266</v>
      </c>
      <c r="F709" s="10" t="s">
        <v>267</v>
      </c>
      <c r="G709" s="8">
        <v>4</v>
      </c>
      <c r="H709" s="11">
        <v>320</v>
      </c>
      <c r="I709" s="12">
        <v>42477</v>
      </c>
      <c r="J709" s="13">
        <f t="shared" si="25"/>
        <v>0</v>
      </c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5">
        <f t="shared" si="26"/>
        <v>0</v>
      </c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5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5"/>
      <c r="AX709" s="16" t="s">
        <v>913</v>
      </c>
    </row>
    <row r="710" spans="2:50" x14ac:dyDescent="0.2">
      <c r="B710" s="7" t="s">
        <v>47</v>
      </c>
      <c r="C710" s="8">
        <v>11458</v>
      </c>
      <c r="D710" s="9" t="s">
        <v>241</v>
      </c>
      <c r="E710" s="10" t="s">
        <v>242</v>
      </c>
      <c r="F710" s="10" t="s">
        <v>243</v>
      </c>
      <c r="G710" s="8">
        <v>1</v>
      </c>
      <c r="H710" s="11">
        <v>400</v>
      </c>
      <c r="I710" s="12">
        <v>42477</v>
      </c>
      <c r="J710" s="13">
        <f t="shared" si="25"/>
        <v>0</v>
      </c>
      <c r="K710" s="14"/>
      <c r="L710" s="14"/>
      <c r="M710" s="14"/>
      <c r="N710" s="14">
        <v>400</v>
      </c>
      <c r="O710" s="14"/>
      <c r="P710" s="14"/>
      <c r="Q710" s="14"/>
      <c r="R710" s="14"/>
      <c r="S710" s="14"/>
      <c r="T710" s="14"/>
      <c r="U710" s="14"/>
      <c r="V710" s="14"/>
      <c r="W710" s="15">
        <f t="shared" si="26"/>
        <v>400</v>
      </c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5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5"/>
      <c r="AX710" s="16"/>
    </row>
    <row r="711" spans="2:50" x14ac:dyDescent="0.2">
      <c r="B711" s="7" t="s">
        <v>69</v>
      </c>
      <c r="C711" s="8">
        <v>11459</v>
      </c>
      <c r="D711" s="9" t="s">
        <v>334</v>
      </c>
      <c r="E711" s="10" t="s">
        <v>335</v>
      </c>
      <c r="F711" s="10" t="s">
        <v>336</v>
      </c>
      <c r="G711" s="8">
        <v>1</v>
      </c>
      <c r="H711" s="11">
        <v>800</v>
      </c>
      <c r="I711" s="12">
        <v>42477</v>
      </c>
      <c r="J711" s="13">
        <f t="shared" si="25"/>
        <v>0</v>
      </c>
      <c r="K711" s="14"/>
      <c r="L711" s="14">
        <v>400</v>
      </c>
      <c r="M711" s="14">
        <v>400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5">
        <f t="shared" si="26"/>
        <v>800</v>
      </c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5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5"/>
      <c r="AX711" s="16"/>
    </row>
    <row r="712" spans="2:50" x14ac:dyDescent="0.2">
      <c r="B712" s="7" t="s">
        <v>73</v>
      </c>
      <c r="C712" s="8">
        <v>11460</v>
      </c>
      <c r="D712" s="9" t="s">
        <v>586</v>
      </c>
      <c r="E712" s="10" t="s">
        <v>587</v>
      </c>
      <c r="F712" s="10" t="s">
        <v>588</v>
      </c>
      <c r="G712" s="8">
        <v>1</v>
      </c>
      <c r="H712" s="11">
        <v>400</v>
      </c>
      <c r="I712" s="12">
        <v>42477</v>
      </c>
      <c r="J712" s="13">
        <f t="shared" si="25"/>
        <v>0</v>
      </c>
      <c r="K712" s="14">
        <v>200</v>
      </c>
      <c r="L712" s="14">
        <v>200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5">
        <f t="shared" si="26"/>
        <v>400</v>
      </c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5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5"/>
      <c r="AX712" s="16"/>
    </row>
    <row r="713" spans="2:50" x14ac:dyDescent="0.2">
      <c r="B713" s="7" t="s">
        <v>47</v>
      </c>
      <c r="C713" s="8">
        <v>11461</v>
      </c>
      <c r="D713" s="9" t="s">
        <v>235</v>
      </c>
      <c r="E713" s="10" t="s">
        <v>236</v>
      </c>
      <c r="F713" s="10" t="s">
        <v>237</v>
      </c>
      <c r="G713" s="8">
        <v>1</v>
      </c>
      <c r="H713" s="11">
        <v>400</v>
      </c>
      <c r="I713" s="12">
        <v>42477</v>
      </c>
      <c r="J713" s="13">
        <f t="shared" si="25"/>
        <v>0</v>
      </c>
      <c r="K713" s="14"/>
      <c r="L713" s="14"/>
      <c r="M713" s="14"/>
      <c r="N713" s="14">
        <v>400</v>
      </c>
      <c r="O713" s="14"/>
      <c r="P713" s="14"/>
      <c r="Q713" s="14"/>
      <c r="R713" s="14"/>
      <c r="S713" s="14"/>
      <c r="T713" s="14"/>
      <c r="U713" s="14"/>
      <c r="V713" s="14"/>
      <c r="W713" s="15">
        <f t="shared" si="26"/>
        <v>400</v>
      </c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5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5"/>
      <c r="AX713" s="16"/>
    </row>
    <row r="714" spans="2:50" x14ac:dyDescent="0.2">
      <c r="B714" s="7" t="s">
        <v>122</v>
      </c>
      <c r="C714" s="8">
        <v>11462</v>
      </c>
      <c r="D714" s="9" t="s">
        <v>123</v>
      </c>
      <c r="E714" s="10" t="s">
        <v>124</v>
      </c>
      <c r="F714" s="10" t="s">
        <v>125</v>
      </c>
      <c r="G714" s="8">
        <v>1</v>
      </c>
      <c r="H714" s="11">
        <v>250</v>
      </c>
      <c r="I714" s="12">
        <v>42477</v>
      </c>
      <c r="J714" s="13">
        <f t="shared" si="25"/>
        <v>0</v>
      </c>
      <c r="K714" s="14"/>
      <c r="L714" s="14"/>
      <c r="M714" s="14"/>
      <c r="N714" s="14">
        <v>250</v>
      </c>
      <c r="O714" s="14"/>
      <c r="P714" s="14"/>
      <c r="Q714" s="14"/>
      <c r="R714" s="14"/>
      <c r="S714" s="14"/>
      <c r="T714" s="14"/>
      <c r="U714" s="14"/>
      <c r="V714" s="14"/>
      <c r="W714" s="15">
        <f t="shared" si="26"/>
        <v>250</v>
      </c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5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5"/>
      <c r="AX714" s="16"/>
    </row>
    <row r="715" spans="2:50" x14ac:dyDescent="0.2">
      <c r="B715" s="7" t="s">
        <v>37</v>
      </c>
      <c r="C715" s="8">
        <v>11463</v>
      </c>
      <c r="D715" s="9" t="s">
        <v>681</v>
      </c>
      <c r="E715" s="10" t="s">
        <v>682</v>
      </c>
      <c r="F715" s="10" t="s">
        <v>683</v>
      </c>
      <c r="G715" s="8">
        <v>1</v>
      </c>
      <c r="H715" s="11">
        <v>300</v>
      </c>
      <c r="I715" s="12">
        <v>42477</v>
      </c>
      <c r="J715" s="13">
        <f t="shared" si="25"/>
        <v>0</v>
      </c>
      <c r="K715" s="14"/>
      <c r="L715" s="14"/>
      <c r="M715" s="14"/>
      <c r="N715" s="14">
        <v>300</v>
      </c>
      <c r="O715" s="14"/>
      <c r="P715" s="14"/>
      <c r="Q715" s="14"/>
      <c r="R715" s="14"/>
      <c r="S715" s="14"/>
      <c r="T715" s="14"/>
      <c r="U715" s="14"/>
      <c r="V715" s="14"/>
      <c r="W715" s="15">
        <f t="shared" si="26"/>
        <v>300</v>
      </c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5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5"/>
      <c r="AX715" s="16"/>
    </row>
    <row r="716" spans="2:50" x14ac:dyDescent="0.2">
      <c r="B716" s="7" t="s">
        <v>47</v>
      </c>
      <c r="C716" s="8">
        <v>11464</v>
      </c>
      <c r="D716" s="9" t="s">
        <v>580</v>
      </c>
      <c r="E716" s="10" t="s">
        <v>581</v>
      </c>
      <c r="F716" s="10" t="s">
        <v>582</v>
      </c>
      <c r="G716" s="8">
        <v>1</v>
      </c>
      <c r="H716" s="11">
        <v>450</v>
      </c>
      <c r="I716" s="12">
        <v>42477</v>
      </c>
      <c r="J716" s="13">
        <f t="shared" si="25"/>
        <v>0</v>
      </c>
      <c r="K716" s="14"/>
      <c r="L716" s="14"/>
      <c r="M716" s="14"/>
      <c r="N716" s="14">
        <v>150</v>
      </c>
      <c r="O716" s="14">
        <v>150</v>
      </c>
      <c r="P716" s="14">
        <v>150</v>
      </c>
      <c r="Q716" s="14"/>
      <c r="R716" s="14"/>
      <c r="S716" s="14"/>
      <c r="T716" s="14"/>
      <c r="U716" s="14"/>
      <c r="V716" s="14"/>
      <c r="W716" s="15">
        <f t="shared" si="26"/>
        <v>450</v>
      </c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5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5"/>
      <c r="AX716" s="16"/>
    </row>
    <row r="717" spans="2:50" x14ac:dyDescent="0.2">
      <c r="B717" s="7" t="s">
        <v>77</v>
      </c>
      <c r="C717" s="8">
        <v>11465</v>
      </c>
      <c r="D717" s="9" t="s">
        <v>473</v>
      </c>
      <c r="E717" s="10" t="s">
        <v>474</v>
      </c>
      <c r="F717" s="10" t="s">
        <v>475</v>
      </c>
      <c r="G717" s="8">
        <v>1</v>
      </c>
      <c r="H717" s="11">
        <v>400</v>
      </c>
      <c r="I717" s="12">
        <v>42477</v>
      </c>
      <c r="J717" s="13">
        <f t="shared" si="25"/>
        <v>0</v>
      </c>
      <c r="K717" s="14"/>
      <c r="L717" s="14"/>
      <c r="M717" s="14"/>
      <c r="N717" s="14">
        <v>400</v>
      </c>
      <c r="O717" s="14"/>
      <c r="P717" s="14"/>
      <c r="Q717" s="14"/>
      <c r="R717" s="14"/>
      <c r="S717" s="14"/>
      <c r="T717" s="14"/>
      <c r="U717" s="14"/>
      <c r="V717" s="14"/>
      <c r="W717" s="15">
        <f t="shared" si="26"/>
        <v>400</v>
      </c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5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5"/>
      <c r="AX717" s="16"/>
    </row>
    <row r="718" spans="2:50" x14ac:dyDescent="0.2">
      <c r="B718" s="7" t="s">
        <v>69</v>
      </c>
      <c r="C718" s="8">
        <v>11466</v>
      </c>
      <c r="D718" s="9" t="s">
        <v>370</v>
      </c>
      <c r="E718" s="10" t="s">
        <v>371</v>
      </c>
      <c r="F718" s="10" t="s">
        <v>372</v>
      </c>
      <c r="G718" s="8">
        <v>1</v>
      </c>
      <c r="H718" s="11">
        <v>450</v>
      </c>
      <c r="I718" s="12">
        <v>42477</v>
      </c>
      <c r="J718" s="13">
        <f t="shared" si="25"/>
        <v>0</v>
      </c>
      <c r="K718" s="14"/>
      <c r="L718" s="14"/>
      <c r="M718" s="14">
        <v>150</v>
      </c>
      <c r="N718" s="14">
        <v>150</v>
      </c>
      <c r="O718" s="14">
        <v>150</v>
      </c>
      <c r="P718" s="14"/>
      <c r="Q718" s="14"/>
      <c r="R718" s="14"/>
      <c r="S718" s="14"/>
      <c r="T718" s="14"/>
      <c r="U718" s="14"/>
      <c r="V718" s="14"/>
      <c r="W718" s="15">
        <f t="shared" si="26"/>
        <v>450</v>
      </c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5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5"/>
      <c r="AX718" s="16"/>
    </row>
    <row r="719" spans="2:50" x14ac:dyDescent="0.2">
      <c r="B719" s="7" t="s">
        <v>73</v>
      </c>
      <c r="C719" s="8">
        <v>11467</v>
      </c>
      <c r="D719" s="9" t="s">
        <v>277</v>
      </c>
      <c r="E719" s="10" t="s">
        <v>278</v>
      </c>
      <c r="F719" s="10" t="s">
        <v>279</v>
      </c>
      <c r="G719" s="8">
        <v>1</v>
      </c>
      <c r="H719" s="11">
        <v>400</v>
      </c>
      <c r="I719" s="12">
        <v>42477</v>
      </c>
      <c r="J719" s="13">
        <f t="shared" ref="J719:J782" si="27">IF(G719=1,SUM(W719,-H719),0)</f>
        <v>0</v>
      </c>
      <c r="K719" s="14"/>
      <c r="L719" s="14"/>
      <c r="M719" s="14"/>
      <c r="N719" s="14">
        <v>200</v>
      </c>
      <c r="O719" s="14">
        <v>200</v>
      </c>
      <c r="P719" s="14"/>
      <c r="Q719" s="14"/>
      <c r="R719" s="14"/>
      <c r="S719" s="14"/>
      <c r="T719" s="14"/>
      <c r="U719" s="14"/>
      <c r="V719" s="14"/>
      <c r="W719" s="15">
        <f t="shared" si="26"/>
        <v>400</v>
      </c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5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5"/>
      <c r="AX719" s="16"/>
    </row>
    <row r="720" spans="2:50" x14ac:dyDescent="0.2">
      <c r="B720" s="7" t="s">
        <v>37</v>
      </c>
      <c r="C720" s="8">
        <v>11468</v>
      </c>
      <c r="D720" s="9" t="s">
        <v>766</v>
      </c>
      <c r="E720" s="10" t="s">
        <v>767</v>
      </c>
      <c r="F720" s="10" t="s">
        <v>768</v>
      </c>
      <c r="G720" s="8">
        <v>1</v>
      </c>
      <c r="H720" s="11">
        <v>800</v>
      </c>
      <c r="I720" s="12">
        <v>42477</v>
      </c>
      <c r="J720" s="13">
        <f t="shared" si="27"/>
        <v>0</v>
      </c>
      <c r="K720" s="14"/>
      <c r="L720" s="14"/>
      <c r="M720" s="14"/>
      <c r="N720" s="14">
        <v>400</v>
      </c>
      <c r="O720" s="14">
        <v>400</v>
      </c>
      <c r="P720" s="14"/>
      <c r="Q720" s="14"/>
      <c r="R720" s="14"/>
      <c r="S720" s="14"/>
      <c r="T720" s="14"/>
      <c r="U720" s="14"/>
      <c r="V720" s="14"/>
      <c r="W720" s="15">
        <f t="shared" si="26"/>
        <v>800</v>
      </c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5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5"/>
      <c r="AX720" s="16"/>
    </row>
    <row r="721" spans="2:50" x14ac:dyDescent="0.2">
      <c r="B721" s="7" t="s">
        <v>37</v>
      </c>
      <c r="C721" s="8">
        <v>11469</v>
      </c>
      <c r="D721" s="9" t="s">
        <v>766</v>
      </c>
      <c r="E721" s="10" t="s">
        <v>767</v>
      </c>
      <c r="F721" s="10" t="s">
        <v>768</v>
      </c>
      <c r="G721" s="8">
        <v>1</v>
      </c>
      <c r="H721" s="11">
        <v>400</v>
      </c>
      <c r="I721" s="12">
        <v>42477</v>
      </c>
      <c r="J721" s="13">
        <f t="shared" si="27"/>
        <v>0</v>
      </c>
      <c r="K721" s="14"/>
      <c r="L721" s="14"/>
      <c r="M721" s="14"/>
      <c r="N721" s="14"/>
      <c r="O721" s="14"/>
      <c r="P721" s="14">
        <v>400</v>
      </c>
      <c r="Q721" s="14"/>
      <c r="R721" s="14"/>
      <c r="S721" s="14"/>
      <c r="T721" s="14"/>
      <c r="U721" s="14"/>
      <c r="V721" s="14"/>
      <c r="W721" s="15">
        <f t="shared" si="26"/>
        <v>400</v>
      </c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5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5"/>
      <c r="AX721" s="16"/>
    </row>
    <row r="722" spans="2:50" x14ac:dyDescent="0.2">
      <c r="B722" s="7" t="s">
        <v>69</v>
      </c>
      <c r="C722" s="8">
        <v>11470</v>
      </c>
      <c r="D722" s="9" t="s">
        <v>714</v>
      </c>
      <c r="E722" s="10" t="s">
        <v>715</v>
      </c>
      <c r="F722" s="10" t="s">
        <v>487</v>
      </c>
      <c r="G722" s="8">
        <v>4</v>
      </c>
      <c r="H722" s="11">
        <v>160</v>
      </c>
      <c r="I722" s="12">
        <v>42477</v>
      </c>
      <c r="J722" s="13">
        <f t="shared" si="27"/>
        <v>0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5">
        <f t="shared" si="26"/>
        <v>0</v>
      </c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5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5"/>
      <c r="AX722" s="7">
        <v>8414</v>
      </c>
    </row>
    <row r="723" spans="2:50" x14ac:dyDescent="0.2">
      <c r="B723" s="7" t="s">
        <v>37</v>
      </c>
      <c r="C723" s="8">
        <v>11471</v>
      </c>
      <c r="D723" s="9" t="s">
        <v>526</v>
      </c>
      <c r="E723" s="10" t="s">
        <v>527</v>
      </c>
      <c r="F723" s="10" t="s">
        <v>528</v>
      </c>
      <c r="G723" s="8">
        <v>1</v>
      </c>
      <c r="H723" s="11">
        <v>400</v>
      </c>
      <c r="I723" s="12">
        <v>42477</v>
      </c>
      <c r="J723" s="13">
        <f t="shared" si="27"/>
        <v>0</v>
      </c>
      <c r="K723" s="14"/>
      <c r="L723" s="14"/>
      <c r="M723" s="14"/>
      <c r="N723" s="14">
        <v>400</v>
      </c>
      <c r="O723" s="14"/>
      <c r="P723" s="14"/>
      <c r="Q723" s="14"/>
      <c r="R723" s="14"/>
      <c r="S723" s="14"/>
      <c r="T723" s="14"/>
      <c r="U723" s="14"/>
      <c r="V723" s="14"/>
      <c r="W723" s="15">
        <f t="shared" ref="W723:W783" si="28">SUM(K723:V723)</f>
        <v>400</v>
      </c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5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5"/>
      <c r="AX723" s="16"/>
    </row>
    <row r="724" spans="2:50" x14ac:dyDescent="0.2">
      <c r="B724" s="7" t="s">
        <v>73</v>
      </c>
      <c r="C724" s="8">
        <v>11472</v>
      </c>
      <c r="D724" s="9" t="s">
        <v>458</v>
      </c>
      <c r="E724" s="10" t="s">
        <v>459</v>
      </c>
      <c r="F724" s="10" t="s">
        <v>460</v>
      </c>
      <c r="G724" s="8">
        <v>1</v>
      </c>
      <c r="H724" s="11">
        <v>400</v>
      </c>
      <c r="I724" s="12">
        <v>42477</v>
      </c>
      <c r="J724" s="13">
        <f t="shared" si="27"/>
        <v>0</v>
      </c>
      <c r="K724" s="14"/>
      <c r="L724" s="14"/>
      <c r="M724" s="14"/>
      <c r="N724" s="14">
        <v>400</v>
      </c>
      <c r="O724" s="14"/>
      <c r="P724" s="14"/>
      <c r="Q724" s="14"/>
      <c r="R724" s="14"/>
      <c r="S724" s="14"/>
      <c r="T724" s="14"/>
      <c r="U724" s="14"/>
      <c r="V724" s="14"/>
      <c r="W724" s="15">
        <f t="shared" si="28"/>
        <v>400</v>
      </c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5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5"/>
      <c r="AX724" s="16"/>
    </row>
    <row r="725" spans="2:50" x14ac:dyDescent="0.2">
      <c r="B725" s="7" t="s">
        <v>122</v>
      </c>
      <c r="C725" s="8">
        <v>11473</v>
      </c>
      <c r="D725" s="9" t="s">
        <v>331</v>
      </c>
      <c r="E725" s="10" t="s">
        <v>332</v>
      </c>
      <c r="F725" s="10" t="s">
        <v>333</v>
      </c>
      <c r="G725" s="8">
        <v>1</v>
      </c>
      <c r="H725" s="11">
        <v>400</v>
      </c>
      <c r="I725" s="12">
        <v>42477</v>
      </c>
      <c r="J725" s="13">
        <f t="shared" si="27"/>
        <v>0</v>
      </c>
      <c r="K725" s="14"/>
      <c r="L725" s="14"/>
      <c r="M725" s="14"/>
      <c r="N725" s="14">
        <v>400</v>
      </c>
      <c r="O725" s="14"/>
      <c r="P725" s="14"/>
      <c r="Q725" s="14"/>
      <c r="R725" s="14"/>
      <c r="S725" s="14"/>
      <c r="T725" s="14"/>
      <c r="U725" s="14"/>
      <c r="V725" s="14"/>
      <c r="W725" s="15">
        <f t="shared" si="28"/>
        <v>400</v>
      </c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5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5"/>
      <c r="AX725" s="16"/>
    </row>
    <row r="726" spans="2:50" x14ac:dyDescent="0.2">
      <c r="B726" s="7" t="s">
        <v>37</v>
      </c>
      <c r="C726" s="8">
        <v>11474</v>
      </c>
      <c r="D726" s="9" t="s">
        <v>401</v>
      </c>
      <c r="E726" s="10" t="s">
        <v>402</v>
      </c>
      <c r="F726" s="10" t="s">
        <v>403</v>
      </c>
      <c r="G726" s="8">
        <v>1</v>
      </c>
      <c r="H726" s="11">
        <v>1600</v>
      </c>
      <c r="I726" s="12">
        <v>42477</v>
      </c>
      <c r="J726" s="13">
        <f t="shared" si="27"/>
        <v>0</v>
      </c>
      <c r="K726" s="14">
        <v>400</v>
      </c>
      <c r="L726" s="14">
        <v>400</v>
      </c>
      <c r="M726" s="14">
        <v>400</v>
      </c>
      <c r="N726" s="14">
        <v>400</v>
      </c>
      <c r="O726" s="14"/>
      <c r="P726" s="14"/>
      <c r="Q726" s="14"/>
      <c r="R726" s="14"/>
      <c r="S726" s="14"/>
      <c r="T726" s="14"/>
      <c r="U726" s="14"/>
      <c r="V726" s="14"/>
      <c r="W726" s="15">
        <f t="shared" si="28"/>
        <v>1600</v>
      </c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5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5"/>
      <c r="AX726" s="16" t="s">
        <v>914</v>
      </c>
    </row>
    <row r="727" spans="2:50" x14ac:dyDescent="0.2">
      <c r="B727" s="7" t="s">
        <v>47</v>
      </c>
      <c r="C727" s="8">
        <v>11475</v>
      </c>
      <c r="D727" s="9" t="s">
        <v>620</v>
      </c>
      <c r="E727" s="10" t="s">
        <v>621</v>
      </c>
      <c r="F727" s="10" t="s">
        <v>366</v>
      </c>
      <c r="G727" s="8">
        <v>1</v>
      </c>
      <c r="H727" s="11">
        <v>400</v>
      </c>
      <c r="I727" s="12">
        <v>42477</v>
      </c>
      <c r="J727" s="13">
        <f t="shared" si="27"/>
        <v>0</v>
      </c>
      <c r="K727" s="14"/>
      <c r="L727" s="14"/>
      <c r="M727" s="14">
        <v>400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5">
        <f t="shared" si="28"/>
        <v>400</v>
      </c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5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5"/>
      <c r="AX727" s="16"/>
    </row>
    <row r="728" spans="2:50" x14ac:dyDescent="0.2">
      <c r="B728" s="7" t="s">
        <v>122</v>
      </c>
      <c r="C728" s="8">
        <v>11476</v>
      </c>
      <c r="D728" s="9" t="s">
        <v>761</v>
      </c>
      <c r="E728" s="10" t="s">
        <v>762</v>
      </c>
      <c r="F728" s="10" t="s">
        <v>403</v>
      </c>
      <c r="G728" s="8">
        <v>1</v>
      </c>
      <c r="H728" s="11">
        <v>800</v>
      </c>
      <c r="I728" s="12">
        <v>42477</v>
      </c>
      <c r="J728" s="13">
        <f t="shared" si="27"/>
        <v>0</v>
      </c>
      <c r="K728" s="14"/>
      <c r="L728" s="14"/>
      <c r="M728" s="14">
        <v>400</v>
      </c>
      <c r="N728" s="14">
        <v>400</v>
      </c>
      <c r="O728" s="14"/>
      <c r="P728" s="14"/>
      <c r="Q728" s="14"/>
      <c r="R728" s="14"/>
      <c r="S728" s="14"/>
      <c r="T728" s="14"/>
      <c r="U728" s="14"/>
      <c r="V728" s="14"/>
      <c r="W728" s="15">
        <f t="shared" si="28"/>
        <v>800</v>
      </c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5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5"/>
      <c r="AX728" s="16"/>
    </row>
    <row r="729" spans="2:50" x14ac:dyDescent="0.2">
      <c r="B729" s="7" t="s">
        <v>37</v>
      </c>
      <c r="C729" s="8">
        <v>11477</v>
      </c>
      <c r="D729" s="9" t="s">
        <v>295</v>
      </c>
      <c r="E729" s="10" t="s">
        <v>296</v>
      </c>
      <c r="F729" s="10" t="s">
        <v>297</v>
      </c>
      <c r="G729" s="8">
        <v>1</v>
      </c>
      <c r="H729" s="11">
        <v>300</v>
      </c>
      <c r="I729" s="12">
        <v>42477</v>
      </c>
      <c r="J729" s="13">
        <f t="shared" si="27"/>
        <v>0</v>
      </c>
      <c r="K729" s="14"/>
      <c r="L729" s="14"/>
      <c r="M729" s="14"/>
      <c r="N729" s="14">
        <v>300</v>
      </c>
      <c r="O729" s="14"/>
      <c r="P729" s="14"/>
      <c r="Q729" s="14"/>
      <c r="R729" s="14"/>
      <c r="S729" s="14"/>
      <c r="T729" s="14"/>
      <c r="U729" s="14"/>
      <c r="V729" s="14"/>
      <c r="W729" s="15">
        <f t="shared" si="28"/>
        <v>300</v>
      </c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5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5"/>
      <c r="AX729" s="16"/>
    </row>
    <row r="730" spans="2:50" x14ac:dyDescent="0.2">
      <c r="B730" s="7" t="s">
        <v>69</v>
      </c>
      <c r="C730" s="8">
        <v>11478</v>
      </c>
      <c r="D730" s="9" t="s">
        <v>915</v>
      </c>
      <c r="E730" s="10" t="s">
        <v>916</v>
      </c>
      <c r="F730" s="10" t="s">
        <v>917</v>
      </c>
      <c r="G730" s="8">
        <v>1</v>
      </c>
      <c r="H730" s="11">
        <v>800</v>
      </c>
      <c r="I730" s="12">
        <v>42477</v>
      </c>
      <c r="J730" s="13">
        <f t="shared" si="27"/>
        <v>0</v>
      </c>
      <c r="K730" s="14">
        <v>200</v>
      </c>
      <c r="L730" s="14">
        <v>200</v>
      </c>
      <c r="M730" s="14">
        <v>200</v>
      </c>
      <c r="N730" s="14">
        <v>200</v>
      </c>
      <c r="O730" s="14"/>
      <c r="P730" s="14"/>
      <c r="Q730" s="14"/>
      <c r="R730" s="14"/>
      <c r="S730" s="14"/>
      <c r="T730" s="14"/>
      <c r="U730" s="14"/>
      <c r="V730" s="14"/>
      <c r="W730" s="15">
        <f t="shared" si="28"/>
        <v>800</v>
      </c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5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5"/>
      <c r="AX730" s="16"/>
    </row>
    <row r="731" spans="2:50" x14ac:dyDescent="0.2">
      <c r="B731" s="7" t="s">
        <v>77</v>
      </c>
      <c r="C731" s="8">
        <v>11479</v>
      </c>
      <c r="D731" s="9" t="s">
        <v>384</v>
      </c>
      <c r="E731" s="10" t="s">
        <v>385</v>
      </c>
      <c r="F731" s="10" t="s">
        <v>386</v>
      </c>
      <c r="G731" s="8">
        <v>1</v>
      </c>
      <c r="H731" s="11">
        <v>350</v>
      </c>
      <c r="I731" s="12">
        <v>42477</v>
      </c>
      <c r="J731" s="13">
        <f t="shared" si="27"/>
        <v>0</v>
      </c>
      <c r="K731" s="14"/>
      <c r="L731" s="14"/>
      <c r="M731" s="14"/>
      <c r="N731" s="14">
        <v>350</v>
      </c>
      <c r="O731" s="14"/>
      <c r="P731" s="14"/>
      <c r="Q731" s="14"/>
      <c r="R731" s="14"/>
      <c r="S731" s="14"/>
      <c r="T731" s="14"/>
      <c r="U731" s="14"/>
      <c r="V731" s="14"/>
      <c r="W731" s="15">
        <f t="shared" si="28"/>
        <v>350</v>
      </c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5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5"/>
      <c r="AX731" s="16"/>
    </row>
    <row r="732" spans="2:50" x14ac:dyDescent="0.2">
      <c r="B732" s="7" t="s">
        <v>47</v>
      </c>
      <c r="C732" s="8">
        <v>11480</v>
      </c>
      <c r="D732" s="9" t="s">
        <v>705</v>
      </c>
      <c r="E732" s="10" t="s">
        <v>706</v>
      </c>
      <c r="F732" s="10" t="s">
        <v>707</v>
      </c>
      <c r="G732" s="8">
        <v>1</v>
      </c>
      <c r="H732" s="11">
        <v>300</v>
      </c>
      <c r="I732" s="12">
        <v>42477</v>
      </c>
      <c r="J732" s="13">
        <f t="shared" si="27"/>
        <v>0</v>
      </c>
      <c r="K732" s="14"/>
      <c r="L732" s="14"/>
      <c r="M732" s="14"/>
      <c r="N732" s="14">
        <v>300</v>
      </c>
      <c r="O732" s="14"/>
      <c r="P732" s="14"/>
      <c r="Q732" s="14"/>
      <c r="R732" s="14"/>
      <c r="S732" s="14"/>
      <c r="T732" s="14"/>
      <c r="U732" s="14"/>
      <c r="V732" s="14"/>
      <c r="W732" s="15">
        <f t="shared" si="28"/>
        <v>300</v>
      </c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5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5"/>
      <c r="AX732" s="16"/>
    </row>
    <row r="733" spans="2:50" x14ac:dyDescent="0.2">
      <c r="B733" s="7" t="s">
        <v>37</v>
      </c>
      <c r="C733" s="8">
        <v>11481</v>
      </c>
      <c r="D733" s="9" t="s">
        <v>553</v>
      </c>
      <c r="E733" s="10" t="s">
        <v>554</v>
      </c>
      <c r="F733" s="10" t="s">
        <v>555</v>
      </c>
      <c r="G733" s="8">
        <v>1</v>
      </c>
      <c r="H733" s="11">
        <v>1200</v>
      </c>
      <c r="I733" s="12">
        <v>42477</v>
      </c>
      <c r="J733" s="13">
        <f t="shared" si="27"/>
        <v>0</v>
      </c>
      <c r="K733" s="14"/>
      <c r="L733" s="14">
        <v>400</v>
      </c>
      <c r="M733" s="14">
        <v>400</v>
      </c>
      <c r="N733" s="14">
        <v>400</v>
      </c>
      <c r="O733" s="14"/>
      <c r="P733" s="14"/>
      <c r="Q733" s="14"/>
      <c r="R733" s="14"/>
      <c r="S733" s="14"/>
      <c r="T733" s="14"/>
      <c r="U733" s="14"/>
      <c r="V733" s="14"/>
      <c r="W733" s="15">
        <f t="shared" si="28"/>
        <v>1200</v>
      </c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5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5"/>
      <c r="AX733" s="16"/>
    </row>
    <row r="734" spans="2:50" x14ac:dyDescent="0.2">
      <c r="B734" s="7" t="s">
        <v>69</v>
      </c>
      <c r="C734" s="8">
        <v>11482</v>
      </c>
      <c r="D734" s="9" t="s">
        <v>800</v>
      </c>
      <c r="E734" s="10" t="s">
        <v>801</v>
      </c>
      <c r="F734" s="10" t="s">
        <v>802</v>
      </c>
      <c r="G734" s="8">
        <v>1</v>
      </c>
      <c r="H734" s="11">
        <v>800</v>
      </c>
      <c r="I734" s="12">
        <v>42477</v>
      </c>
      <c r="J734" s="13">
        <f t="shared" si="27"/>
        <v>0</v>
      </c>
      <c r="K734" s="14"/>
      <c r="L734" s="14"/>
      <c r="M734" s="14">
        <v>400</v>
      </c>
      <c r="N734" s="14">
        <v>400</v>
      </c>
      <c r="O734" s="14"/>
      <c r="P734" s="14"/>
      <c r="Q734" s="14"/>
      <c r="R734" s="14"/>
      <c r="S734" s="14"/>
      <c r="T734" s="14"/>
      <c r="U734" s="14"/>
      <c r="V734" s="14"/>
      <c r="W734" s="15">
        <f t="shared" si="28"/>
        <v>800</v>
      </c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5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5"/>
      <c r="AX734" s="16"/>
    </row>
    <row r="735" spans="2:50" x14ac:dyDescent="0.2">
      <c r="B735" s="7" t="s">
        <v>47</v>
      </c>
      <c r="C735" s="8">
        <v>11483</v>
      </c>
      <c r="D735" s="9" t="s">
        <v>189</v>
      </c>
      <c r="E735" s="10" t="s">
        <v>190</v>
      </c>
      <c r="F735" s="10" t="s">
        <v>191</v>
      </c>
      <c r="G735" s="8">
        <v>1</v>
      </c>
      <c r="H735" s="11">
        <v>400</v>
      </c>
      <c r="I735" s="12">
        <v>42477</v>
      </c>
      <c r="J735" s="13">
        <f t="shared" si="27"/>
        <v>0</v>
      </c>
      <c r="K735" s="14"/>
      <c r="L735" s="14"/>
      <c r="M735" s="14"/>
      <c r="N735" s="14">
        <v>400</v>
      </c>
      <c r="O735" s="14"/>
      <c r="P735" s="14"/>
      <c r="Q735" s="14"/>
      <c r="R735" s="14"/>
      <c r="S735" s="14"/>
      <c r="T735" s="14"/>
      <c r="U735" s="14"/>
      <c r="V735" s="14"/>
      <c r="W735" s="15">
        <f t="shared" si="28"/>
        <v>400</v>
      </c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5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5"/>
      <c r="AX735" s="16"/>
    </row>
    <row r="736" spans="2:50" x14ac:dyDescent="0.2">
      <c r="B736" s="7" t="s">
        <v>73</v>
      </c>
      <c r="C736" s="8">
        <v>11484</v>
      </c>
      <c r="D736" s="9" t="s">
        <v>611</v>
      </c>
      <c r="E736" s="10" t="s">
        <v>612</v>
      </c>
      <c r="F736" s="10" t="s">
        <v>613</v>
      </c>
      <c r="G736" s="8">
        <v>1</v>
      </c>
      <c r="H736" s="11">
        <v>400</v>
      </c>
      <c r="I736" s="12">
        <v>42477</v>
      </c>
      <c r="J736" s="13">
        <f t="shared" si="27"/>
        <v>0</v>
      </c>
      <c r="K736" s="14"/>
      <c r="L736" s="14"/>
      <c r="M736" s="14"/>
      <c r="N736" s="14">
        <v>400</v>
      </c>
      <c r="O736" s="14"/>
      <c r="P736" s="14"/>
      <c r="Q736" s="14"/>
      <c r="R736" s="14"/>
      <c r="S736" s="14"/>
      <c r="T736" s="14"/>
      <c r="U736" s="14"/>
      <c r="V736" s="14"/>
      <c r="W736" s="15">
        <f t="shared" si="28"/>
        <v>400</v>
      </c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5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5"/>
      <c r="AX736" s="16"/>
    </row>
    <row r="737" spans="2:50" x14ac:dyDescent="0.2">
      <c r="B737" s="7" t="s">
        <v>73</v>
      </c>
      <c r="C737" s="8">
        <v>11485</v>
      </c>
      <c r="D737" s="9" t="s">
        <v>559</v>
      </c>
      <c r="E737" s="10" t="s">
        <v>560</v>
      </c>
      <c r="F737" s="10" t="s">
        <v>561</v>
      </c>
      <c r="G737" s="8">
        <v>3</v>
      </c>
      <c r="H737" s="11">
        <v>160</v>
      </c>
      <c r="I737" s="12">
        <v>42477</v>
      </c>
      <c r="J737" s="13">
        <f t="shared" si="27"/>
        <v>0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5">
        <f t="shared" si="28"/>
        <v>0</v>
      </c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5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5"/>
      <c r="AX737" s="16"/>
    </row>
    <row r="738" spans="2:50" x14ac:dyDescent="0.2">
      <c r="B738" s="7" t="s">
        <v>47</v>
      </c>
      <c r="C738" s="8">
        <v>11486</v>
      </c>
      <c r="D738" s="9" t="s">
        <v>464</v>
      </c>
      <c r="E738" s="10" t="s">
        <v>465</v>
      </c>
      <c r="F738" s="10" t="s">
        <v>466</v>
      </c>
      <c r="G738" s="8">
        <v>1</v>
      </c>
      <c r="H738" s="11">
        <v>600</v>
      </c>
      <c r="I738" s="12">
        <v>42477</v>
      </c>
      <c r="J738" s="13">
        <f t="shared" si="27"/>
        <v>0</v>
      </c>
      <c r="K738" s="14"/>
      <c r="L738" s="14">
        <v>200</v>
      </c>
      <c r="M738" s="14">
        <v>200</v>
      </c>
      <c r="N738" s="14">
        <v>200</v>
      </c>
      <c r="O738" s="14"/>
      <c r="P738" s="14"/>
      <c r="Q738" s="14"/>
      <c r="R738" s="14"/>
      <c r="S738" s="14"/>
      <c r="T738" s="14"/>
      <c r="U738" s="14"/>
      <c r="V738" s="14"/>
      <c r="W738" s="15">
        <f t="shared" si="28"/>
        <v>600</v>
      </c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5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5"/>
      <c r="AX738" s="16"/>
    </row>
    <row r="739" spans="2:50" x14ac:dyDescent="0.2">
      <c r="B739" s="7" t="s">
        <v>77</v>
      </c>
      <c r="C739" s="8">
        <v>11487</v>
      </c>
      <c r="D739" s="9" t="s">
        <v>725</v>
      </c>
      <c r="E739" s="10" t="s">
        <v>726</v>
      </c>
      <c r="F739" s="10" t="s">
        <v>727</v>
      </c>
      <c r="G739" s="8">
        <v>1</v>
      </c>
      <c r="H739" s="11">
        <v>400</v>
      </c>
      <c r="I739" s="12">
        <v>42477</v>
      </c>
      <c r="J739" s="13">
        <f t="shared" si="27"/>
        <v>0</v>
      </c>
      <c r="K739" s="14"/>
      <c r="L739" s="14"/>
      <c r="M739" s="14">
        <v>400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5">
        <f t="shared" si="28"/>
        <v>400</v>
      </c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5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5"/>
      <c r="AX739" s="16"/>
    </row>
    <row r="740" spans="2:50" x14ac:dyDescent="0.2">
      <c r="B740" s="7" t="s">
        <v>37</v>
      </c>
      <c r="C740" s="8">
        <v>11488</v>
      </c>
      <c r="D740" s="9" t="s">
        <v>684</v>
      </c>
      <c r="E740" s="10" t="s">
        <v>685</v>
      </c>
      <c r="F740" s="10" t="s">
        <v>686</v>
      </c>
      <c r="G740" s="8">
        <v>1</v>
      </c>
      <c r="H740" s="11">
        <v>800</v>
      </c>
      <c r="I740" s="12">
        <v>42477</v>
      </c>
      <c r="J740" s="13">
        <f t="shared" si="27"/>
        <v>0</v>
      </c>
      <c r="K740" s="14"/>
      <c r="L740" s="14"/>
      <c r="M740" s="14">
        <v>400</v>
      </c>
      <c r="N740" s="14">
        <v>400</v>
      </c>
      <c r="O740" s="14"/>
      <c r="P740" s="14"/>
      <c r="Q740" s="14"/>
      <c r="R740" s="14"/>
      <c r="S740" s="14"/>
      <c r="T740" s="14"/>
      <c r="U740" s="14"/>
      <c r="V740" s="14"/>
      <c r="W740" s="15">
        <f t="shared" si="28"/>
        <v>800</v>
      </c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5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5"/>
      <c r="AX740" s="16"/>
    </row>
    <row r="741" spans="2:50" x14ac:dyDescent="0.2">
      <c r="B741" s="7" t="s">
        <v>37</v>
      </c>
      <c r="C741" s="8">
        <v>11489</v>
      </c>
      <c r="D741" s="9" t="s">
        <v>446</v>
      </c>
      <c r="E741" s="10" t="s">
        <v>447</v>
      </c>
      <c r="F741" s="10" t="s">
        <v>448</v>
      </c>
      <c r="G741" s="8">
        <v>1</v>
      </c>
      <c r="H741" s="11">
        <v>150</v>
      </c>
      <c r="I741" s="12">
        <v>42478</v>
      </c>
      <c r="J741" s="13">
        <f t="shared" si="27"/>
        <v>0</v>
      </c>
      <c r="K741" s="14"/>
      <c r="L741" s="14"/>
      <c r="M741" s="14"/>
      <c r="N741" s="14">
        <v>150</v>
      </c>
      <c r="O741" s="14"/>
      <c r="P741" s="14"/>
      <c r="Q741" s="14"/>
      <c r="R741" s="14"/>
      <c r="S741" s="14"/>
      <c r="T741" s="14"/>
      <c r="U741" s="14"/>
      <c r="V741" s="14"/>
      <c r="W741" s="15">
        <f t="shared" si="28"/>
        <v>150</v>
      </c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5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5"/>
      <c r="AX741" s="16"/>
    </row>
    <row r="742" spans="2:50" x14ac:dyDescent="0.2">
      <c r="B742" s="7" t="s">
        <v>73</v>
      </c>
      <c r="C742" s="8">
        <v>11490</v>
      </c>
      <c r="D742" s="9" t="s">
        <v>202</v>
      </c>
      <c r="E742" s="10" t="s">
        <v>203</v>
      </c>
      <c r="F742" s="10" t="s">
        <v>204</v>
      </c>
      <c r="G742" s="8">
        <v>1</v>
      </c>
      <c r="H742" s="11">
        <v>400</v>
      </c>
      <c r="I742" s="12">
        <v>42478</v>
      </c>
      <c r="J742" s="13">
        <f t="shared" si="27"/>
        <v>0</v>
      </c>
      <c r="K742" s="14"/>
      <c r="L742" s="14"/>
      <c r="M742" s="14"/>
      <c r="N742" s="14">
        <v>400</v>
      </c>
      <c r="O742" s="14"/>
      <c r="P742" s="14"/>
      <c r="Q742" s="14"/>
      <c r="R742" s="14"/>
      <c r="S742" s="14"/>
      <c r="T742" s="14"/>
      <c r="U742" s="14"/>
      <c r="V742" s="14"/>
      <c r="W742" s="15">
        <f t="shared" si="28"/>
        <v>400</v>
      </c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5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5"/>
      <c r="AX742" s="16"/>
    </row>
    <row r="743" spans="2:50" x14ac:dyDescent="0.2">
      <c r="B743" s="7" t="s">
        <v>122</v>
      </c>
      <c r="C743" s="8">
        <v>11491</v>
      </c>
      <c r="D743" s="9" t="s">
        <v>331</v>
      </c>
      <c r="E743" s="10" t="s">
        <v>332</v>
      </c>
      <c r="F743" s="10" t="s">
        <v>333</v>
      </c>
      <c r="G743" s="8">
        <v>4</v>
      </c>
      <c r="H743" s="11">
        <v>160</v>
      </c>
      <c r="I743" s="12">
        <v>42479</v>
      </c>
      <c r="J743" s="13">
        <f t="shared" si="27"/>
        <v>0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5">
        <f t="shared" si="28"/>
        <v>0</v>
      </c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5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5"/>
      <c r="AX743" s="7">
        <v>19184</v>
      </c>
    </row>
    <row r="744" spans="2:50" x14ac:dyDescent="0.2">
      <c r="B744" s="7" t="s">
        <v>69</v>
      </c>
      <c r="C744" s="8">
        <v>11492</v>
      </c>
      <c r="D744" s="9" t="s">
        <v>361</v>
      </c>
      <c r="E744" s="10" t="s">
        <v>362</v>
      </c>
      <c r="F744" s="10" t="s">
        <v>363</v>
      </c>
      <c r="G744" s="8">
        <v>3</v>
      </c>
      <c r="H744" s="11">
        <v>160</v>
      </c>
      <c r="I744" s="12">
        <v>42481</v>
      </c>
      <c r="J744" s="13">
        <f t="shared" si="27"/>
        <v>0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5">
        <f t="shared" si="28"/>
        <v>0</v>
      </c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5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5"/>
      <c r="AX744" s="16"/>
    </row>
    <row r="745" spans="2:50" x14ac:dyDescent="0.2">
      <c r="B745" s="7" t="s">
        <v>37</v>
      </c>
      <c r="C745" s="8">
        <v>11493</v>
      </c>
      <c r="D745" s="9" t="s">
        <v>840</v>
      </c>
      <c r="E745" s="10" t="s">
        <v>841</v>
      </c>
      <c r="F745" s="10" t="s">
        <v>842</v>
      </c>
      <c r="G745" s="8">
        <v>1</v>
      </c>
      <c r="H745" s="11">
        <v>800</v>
      </c>
      <c r="I745" s="12">
        <v>42484</v>
      </c>
      <c r="J745" s="13">
        <f t="shared" si="27"/>
        <v>0</v>
      </c>
      <c r="K745" s="14"/>
      <c r="L745" s="14"/>
      <c r="M745" s="14">
        <v>400</v>
      </c>
      <c r="N745" s="14">
        <v>400</v>
      </c>
      <c r="O745" s="14"/>
      <c r="P745" s="14"/>
      <c r="Q745" s="14"/>
      <c r="R745" s="14"/>
      <c r="S745" s="14"/>
      <c r="T745" s="14"/>
      <c r="U745" s="14"/>
      <c r="V745" s="14"/>
      <c r="W745" s="15">
        <f t="shared" si="28"/>
        <v>800</v>
      </c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5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5"/>
      <c r="AX745" s="16"/>
    </row>
    <row r="746" spans="2:50" x14ac:dyDescent="0.2">
      <c r="B746" s="7" t="s">
        <v>37</v>
      </c>
      <c r="C746" s="8">
        <v>11494</v>
      </c>
      <c r="D746" s="9" t="s">
        <v>814</v>
      </c>
      <c r="E746" s="10" t="s">
        <v>815</v>
      </c>
      <c r="F746" s="10" t="s">
        <v>816</v>
      </c>
      <c r="G746" s="8">
        <v>8</v>
      </c>
      <c r="H746" s="11"/>
      <c r="I746" s="12">
        <v>42484</v>
      </c>
      <c r="J746" s="13">
        <f t="shared" si="27"/>
        <v>0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5">
        <f t="shared" si="28"/>
        <v>0</v>
      </c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5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5"/>
      <c r="AX746" s="16"/>
    </row>
    <row r="747" spans="2:50" x14ac:dyDescent="0.2">
      <c r="B747" s="7" t="s">
        <v>93</v>
      </c>
      <c r="C747" s="8">
        <v>11495</v>
      </c>
      <c r="D747" s="9"/>
      <c r="E747" s="10" t="s">
        <v>93</v>
      </c>
      <c r="F747" s="10" t="s">
        <v>93</v>
      </c>
      <c r="G747" s="8">
        <v>8</v>
      </c>
      <c r="H747" s="11"/>
      <c r="I747" s="12"/>
      <c r="J747" s="13">
        <f t="shared" si="27"/>
        <v>0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5">
        <f t="shared" si="28"/>
        <v>0</v>
      </c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5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5"/>
      <c r="AX747" s="16"/>
    </row>
    <row r="748" spans="2:50" x14ac:dyDescent="0.2">
      <c r="B748" s="7" t="s">
        <v>37</v>
      </c>
      <c r="C748" s="8">
        <v>11496</v>
      </c>
      <c r="D748" s="9" t="s">
        <v>538</v>
      </c>
      <c r="E748" s="10" t="s">
        <v>539</v>
      </c>
      <c r="F748" s="10" t="s">
        <v>540</v>
      </c>
      <c r="G748" s="8">
        <v>1</v>
      </c>
      <c r="H748" s="11">
        <v>400</v>
      </c>
      <c r="I748" s="12">
        <v>42484</v>
      </c>
      <c r="J748" s="13">
        <f t="shared" si="27"/>
        <v>0</v>
      </c>
      <c r="K748" s="14"/>
      <c r="L748" s="14"/>
      <c r="M748" s="14"/>
      <c r="N748" s="14">
        <v>400</v>
      </c>
      <c r="O748" s="14"/>
      <c r="P748" s="14"/>
      <c r="Q748" s="14"/>
      <c r="R748" s="14"/>
      <c r="S748" s="14"/>
      <c r="T748" s="14"/>
      <c r="U748" s="14"/>
      <c r="V748" s="14"/>
      <c r="W748" s="15">
        <f t="shared" si="28"/>
        <v>400</v>
      </c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5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5"/>
      <c r="AX748" s="16"/>
    </row>
    <row r="749" spans="2:50" x14ac:dyDescent="0.2">
      <c r="B749" s="7" t="s">
        <v>47</v>
      </c>
      <c r="C749" s="8">
        <v>11497</v>
      </c>
      <c r="D749" s="9" t="s">
        <v>103</v>
      </c>
      <c r="E749" s="10" t="s">
        <v>104</v>
      </c>
      <c r="F749" s="10" t="s">
        <v>105</v>
      </c>
      <c r="G749" s="8">
        <v>1</v>
      </c>
      <c r="H749" s="11">
        <v>400</v>
      </c>
      <c r="I749" s="12">
        <v>42484</v>
      </c>
      <c r="J749" s="13">
        <f t="shared" si="27"/>
        <v>0</v>
      </c>
      <c r="K749" s="14"/>
      <c r="L749" s="14"/>
      <c r="M749" s="14"/>
      <c r="N749" s="14">
        <v>400</v>
      </c>
      <c r="O749" s="14"/>
      <c r="P749" s="14"/>
      <c r="Q749" s="14"/>
      <c r="R749" s="14"/>
      <c r="S749" s="14"/>
      <c r="T749" s="14"/>
      <c r="U749" s="14"/>
      <c r="V749" s="14"/>
      <c r="W749" s="15">
        <f t="shared" si="28"/>
        <v>400</v>
      </c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5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5"/>
      <c r="AX749" s="16"/>
    </row>
    <row r="750" spans="2:50" x14ac:dyDescent="0.2">
      <c r="B750" s="7" t="s">
        <v>69</v>
      </c>
      <c r="C750" s="8">
        <v>11498</v>
      </c>
      <c r="D750" s="9" t="s">
        <v>343</v>
      </c>
      <c r="E750" s="10" t="s">
        <v>344</v>
      </c>
      <c r="F750" s="10" t="s">
        <v>345</v>
      </c>
      <c r="G750" s="8">
        <v>1</v>
      </c>
      <c r="H750" s="11">
        <v>400</v>
      </c>
      <c r="I750" s="12">
        <v>42484</v>
      </c>
      <c r="J750" s="13">
        <f t="shared" si="27"/>
        <v>0</v>
      </c>
      <c r="K750" s="14"/>
      <c r="L750" s="14"/>
      <c r="M750" s="14"/>
      <c r="N750" s="14">
        <v>400</v>
      </c>
      <c r="O750" s="14"/>
      <c r="P750" s="14"/>
      <c r="Q750" s="14"/>
      <c r="R750" s="14"/>
      <c r="S750" s="14"/>
      <c r="T750" s="14"/>
      <c r="U750" s="14"/>
      <c r="V750" s="14"/>
      <c r="W750" s="15">
        <f t="shared" si="28"/>
        <v>400</v>
      </c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5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5"/>
      <c r="AX750" s="16"/>
    </row>
    <row r="751" spans="2:50" x14ac:dyDescent="0.2">
      <c r="B751" s="7" t="s">
        <v>61</v>
      </c>
      <c r="C751" s="8">
        <v>11499</v>
      </c>
      <c r="D751" s="9" t="s">
        <v>737</v>
      </c>
      <c r="E751" s="10" t="s">
        <v>738</v>
      </c>
      <c r="F751" s="10" t="s">
        <v>739</v>
      </c>
      <c r="G751" s="8">
        <v>1</v>
      </c>
      <c r="H751" s="11">
        <v>1200</v>
      </c>
      <c r="I751" s="12">
        <v>42484</v>
      </c>
      <c r="J751" s="13">
        <f t="shared" si="27"/>
        <v>0</v>
      </c>
      <c r="K751" s="14"/>
      <c r="L751" s="14"/>
      <c r="M751" s="14">
        <v>400</v>
      </c>
      <c r="N751" s="14">
        <v>400</v>
      </c>
      <c r="O751" s="14">
        <v>400</v>
      </c>
      <c r="P751" s="14"/>
      <c r="Q751" s="14"/>
      <c r="R751" s="14"/>
      <c r="S751" s="14"/>
      <c r="T751" s="14"/>
      <c r="U751" s="14"/>
      <c r="V751" s="14"/>
      <c r="W751" s="15">
        <f t="shared" si="28"/>
        <v>1200</v>
      </c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5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5"/>
      <c r="AX751" s="16"/>
    </row>
    <row r="752" spans="2:50" x14ac:dyDescent="0.2">
      <c r="B752" s="7" t="s">
        <v>69</v>
      </c>
      <c r="C752" s="8">
        <v>11500</v>
      </c>
      <c r="D752" s="9" t="s">
        <v>334</v>
      </c>
      <c r="E752" s="10" t="s">
        <v>335</v>
      </c>
      <c r="F752" s="10" t="s">
        <v>336</v>
      </c>
      <c r="G752" s="8">
        <v>3</v>
      </c>
      <c r="H752" s="11">
        <v>160</v>
      </c>
      <c r="I752" s="12">
        <v>42484</v>
      </c>
      <c r="J752" s="13">
        <f t="shared" si="27"/>
        <v>0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5">
        <f t="shared" si="28"/>
        <v>0</v>
      </c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5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5"/>
      <c r="AX752" s="16"/>
    </row>
    <row r="753" spans="2:50" x14ac:dyDescent="0.2">
      <c r="B753" s="7" t="s">
        <v>69</v>
      </c>
      <c r="C753" s="8">
        <v>11501</v>
      </c>
      <c r="D753" s="9" t="s">
        <v>608</v>
      </c>
      <c r="E753" s="10" t="s">
        <v>609</v>
      </c>
      <c r="F753" s="10" t="s">
        <v>610</v>
      </c>
      <c r="G753" s="8">
        <v>1</v>
      </c>
      <c r="H753" s="11">
        <v>400</v>
      </c>
      <c r="I753" s="12">
        <v>42484</v>
      </c>
      <c r="J753" s="13">
        <f t="shared" si="27"/>
        <v>0</v>
      </c>
      <c r="K753" s="14"/>
      <c r="L753" s="14">
        <v>400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5">
        <f t="shared" si="28"/>
        <v>400</v>
      </c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5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5"/>
      <c r="AX753" s="16"/>
    </row>
    <row r="754" spans="2:50" x14ac:dyDescent="0.2">
      <c r="B754" s="7" t="s">
        <v>37</v>
      </c>
      <c r="C754" s="8">
        <v>11502</v>
      </c>
      <c r="D754" s="9" t="s">
        <v>749</v>
      </c>
      <c r="E754" s="10" t="s">
        <v>750</v>
      </c>
      <c r="F754" s="10" t="s">
        <v>751</v>
      </c>
      <c r="G754" s="8">
        <v>1</v>
      </c>
      <c r="H754" s="11">
        <v>800</v>
      </c>
      <c r="I754" s="12">
        <v>42484</v>
      </c>
      <c r="J754" s="13">
        <f t="shared" si="27"/>
        <v>0</v>
      </c>
      <c r="K754" s="14"/>
      <c r="L754" s="14"/>
      <c r="M754" s="14">
        <v>400</v>
      </c>
      <c r="N754" s="14">
        <v>400</v>
      </c>
      <c r="O754" s="14"/>
      <c r="P754" s="14"/>
      <c r="Q754" s="14"/>
      <c r="R754" s="14"/>
      <c r="S754" s="14"/>
      <c r="T754" s="14"/>
      <c r="U754" s="14"/>
      <c r="V754" s="14"/>
      <c r="W754" s="15">
        <f t="shared" si="28"/>
        <v>800</v>
      </c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5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5"/>
      <c r="AX754" s="16"/>
    </row>
    <row r="755" spans="2:50" x14ac:dyDescent="0.2">
      <c r="B755" s="7" t="s">
        <v>47</v>
      </c>
      <c r="C755" s="8">
        <v>11503</v>
      </c>
      <c r="D755" s="9" t="s">
        <v>132</v>
      </c>
      <c r="E755" s="10" t="s">
        <v>133</v>
      </c>
      <c r="F755" s="10" t="s">
        <v>134</v>
      </c>
      <c r="G755" s="8">
        <v>1</v>
      </c>
      <c r="H755" s="11">
        <v>300</v>
      </c>
      <c r="I755" s="12">
        <v>42484</v>
      </c>
      <c r="J755" s="13">
        <f t="shared" si="27"/>
        <v>0</v>
      </c>
      <c r="K755" s="14"/>
      <c r="L755" s="14"/>
      <c r="M755" s="14"/>
      <c r="N755" s="14">
        <v>300</v>
      </c>
      <c r="O755" s="14"/>
      <c r="P755" s="14"/>
      <c r="Q755" s="14"/>
      <c r="R755" s="14"/>
      <c r="S755" s="14"/>
      <c r="T755" s="14"/>
      <c r="U755" s="14"/>
      <c r="V755" s="14"/>
      <c r="W755" s="15">
        <f t="shared" si="28"/>
        <v>300</v>
      </c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5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5"/>
      <c r="AX755" s="16"/>
    </row>
    <row r="756" spans="2:50" x14ac:dyDescent="0.2">
      <c r="B756" s="7" t="s">
        <v>77</v>
      </c>
      <c r="C756" s="8">
        <v>11504</v>
      </c>
      <c r="D756" s="9" t="s">
        <v>820</v>
      </c>
      <c r="E756" s="10" t="s">
        <v>821</v>
      </c>
      <c r="F756" s="10" t="s">
        <v>822</v>
      </c>
      <c r="G756" s="8">
        <v>1</v>
      </c>
      <c r="H756" s="11">
        <v>300</v>
      </c>
      <c r="I756" s="12">
        <v>42484</v>
      </c>
      <c r="J756" s="13">
        <f t="shared" si="27"/>
        <v>0</v>
      </c>
      <c r="K756" s="14"/>
      <c r="L756" s="14"/>
      <c r="M756" s="14"/>
      <c r="N756" s="14">
        <v>300</v>
      </c>
      <c r="O756" s="14"/>
      <c r="P756" s="14"/>
      <c r="Q756" s="14"/>
      <c r="R756" s="14"/>
      <c r="S756" s="14"/>
      <c r="T756" s="14"/>
      <c r="U756" s="14"/>
      <c r="V756" s="14"/>
      <c r="W756" s="15">
        <f t="shared" si="28"/>
        <v>300</v>
      </c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5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5"/>
      <c r="AX756" s="16"/>
    </row>
    <row r="757" spans="2:50" x14ac:dyDescent="0.2">
      <c r="B757" s="7" t="s">
        <v>73</v>
      </c>
      <c r="C757" s="8">
        <v>11505</v>
      </c>
      <c r="D757" s="9" t="s">
        <v>485</v>
      </c>
      <c r="E757" s="10" t="s">
        <v>486</v>
      </c>
      <c r="F757" s="10" t="s">
        <v>487</v>
      </c>
      <c r="G757" s="8">
        <v>1</v>
      </c>
      <c r="H757" s="11">
        <v>400</v>
      </c>
      <c r="I757" s="12">
        <v>42484</v>
      </c>
      <c r="J757" s="13">
        <f t="shared" si="27"/>
        <v>0</v>
      </c>
      <c r="K757" s="14"/>
      <c r="L757" s="14"/>
      <c r="M757" s="14">
        <v>400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15">
        <f t="shared" si="28"/>
        <v>400</v>
      </c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5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5"/>
      <c r="AX757" s="16"/>
    </row>
    <row r="758" spans="2:50" x14ac:dyDescent="0.2">
      <c r="B758" s="7" t="s">
        <v>69</v>
      </c>
      <c r="C758" s="8">
        <v>11506</v>
      </c>
      <c r="D758" s="9" t="s">
        <v>740</v>
      </c>
      <c r="E758" s="10" t="s">
        <v>741</v>
      </c>
      <c r="F758" s="10" t="s">
        <v>742</v>
      </c>
      <c r="G758" s="8">
        <v>1</v>
      </c>
      <c r="H758" s="11">
        <v>800</v>
      </c>
      <c r="I758" s="12">
        <v>42484</v>
      </c>
      <c r="J758" s="13">
        <f t="shared" si="27"/>
        <v>0</v>
      </c>
      <c r="K758" s="14"/>
      <c r="L758" s="14"/>
      <c r="M758" s="14">
        <v>400</v>
      </c>
      <c r="N758" s="14">
        <v>400</v>
      </c>
      <c r="O758" s="14"/>
      <c r="P758" s="14"/>
      <c r="Q758" s="14"/>
      <c r="R758" s="14"/>
      <c r="S758" s="14"/>
      <c r="T758" s="14"/>
      <c r="U758" s="14"/>
      <c r="V758" s="14"/>
      <c r="W758" s="15">
        <f t="shared" si="28"/>
        <v>800</v>
      </c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5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5"/>
      <c r="AX758" s="16"/>
    </row>
    <row r="759" spans="2:50" x14ac:dyDescent="0.2">
      <c r="B759" s="7" t="s">
        <v>73</v>
      </c>
      <c r="C759" s="8">
        <v>11507</v>
      </c>
      <c r="D759" s="9" t="s">
        <v>126</v>
      </c>
      <c r="E759" s="10" t="s">
        <v>127</v>
      </c>
      <c r="F759" s="10" t="s">
        <v>128</v>
      </c>
      <c r="G759" s="8">
        <v>3</v>
      </c>
      <c r="H759" s="11">
        <v>160</v>
      </c>
      <c r="I759" s="12">
        <v>42484</v>
      </c>
      <c r="J759" s="13">
        <f t="shared" si="27"/>
        <v>0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5">
        <f t="shared" si="28"/>
        <v>0</v>
      </c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5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5"/>
      <c r="AX759" s="16"/>
    </row>
    <row r="760" spans="2:50" x14ac:dyDescent="0.2">
      <c r="B760" s="7" t="s">
        <v>69</v>
      </c>
      <c r="C760" s="8">
        <v>11508</v>
      </c>
      <c r="D760" s="9" t="s">
        <v>831</v>
      </c>
      <c r="E760" s="10" t="s">
        <v>832</v>
      </c>
      <c r="F760" s="10" t="s">
        <v>833</v>
      </c>
      <c r="G760" s="8">
        <v>1</v>
      </c>
      <c r="H760" s="11">
        <v>800</v>
      </c>
      <c r="I760" s="12">
        <v>42484</v>
      </c>
      <c r="J760" s="13">
        <f t="shared" si="27"/>
        <v>0</v>
      </c>
      <c r="K760" s="14"/>
      <c r="L760" s="14"/>
      <c r="M760" s="14"/>
      <c r="N760" s="14">
        <v>400</v>
      </c>
      <c r="O760" s="14">
        <v>400</v>
      </c>
      <c r="P760" s="14"/>
      <c r="Q760" s="14"/>
      <c r="R760" s="14"/>
      <c r="S760" s="14"/>
      <c r="T760" s="14"/>
      <c r="U760" s="14"/>
      <c r="V760" s="14"/>
      <c r="W760" s="15">
        <f t="shared" si="28"/>
        <v>800</v>
      </c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5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5"/>
      <c r="AX760" s="16"/>
    </row>
    <row r="761" spans="2:50" x14ac:dyDescent="0.2">
      <c r="B761" s="7" t="s">
        <v>77</v>
      </c>
      <c r="C761" s="8">
        <v>11509</v>
      </c>
      <c r="D761" s="9" t="s">
        <v>129</v>
      </c>
      <c r="E761" s="10" t="s">
        <v>130</v>
      </c>
      <c r="F761" s="10" t="s">
        <v>131</v>
      </c>
      <c r="G761" s="8">
        <v>4</v>
      </c>
      <c r="H761" s="11">
        <v>160</v>
      </c>
      <c r="I761" s="12">
        <v>42484</v>
      </c>
      <c r="J761" s="13">
        <f t="shared" si="27"/>
        <v>0</v>
      </c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5">
        <f t="shared" si="28"/>
        <v>0</v>
      </c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5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5"/>
      <c r="AX761" s="16"/>
    </row>
    <row r="762" spans="2:50" x14ac:dyDescent="0.2">
      <c r="B762" s="7" t="s">
        <v>77</v>
      </c>
      <c r="C762" s="8">
        <v>11510</v>
      </c>
      <c r="D762" s="9" t="s">
        <v>274</v>
      </c>
      <c r="E762" s="10" t="s">
        <v>275</v>
      </c>
      <c r="F762" s="10" t="s">
        <v>276</v>
      </c>
      <c r="G762" s="8">
        <v>1</v>
      </c>
      <c r="H762" s="11">
        <v>1200</v>
      </c>
      <c r="I762" s="12">
        <v>42484</v>
      </c>
      <c r="J762" s="13">
        <f t="shared" si="27"/>
        <v>0</v>
      </c>
      <c r="K762" s="14">
        <v>200</v>
      </c>
      <c r="L762" s="14">
        <v>200</v>
      </c>
      <c r="M762" s="14">
        <v>200</v>
      </c>
      <c r="N762" s="14">
        <v>200</v>
      </c>
      <c r="O762" s="14">
        <v>200</v>
      </c>
      <c r="P762" s="14">
        <v>200</v>
      </c>
      <c r="Q762" s="14"/>
      <c r="R762" s="14"/>
      <c r="S762" s="14"/>
      <c r="T762" s="14"/>
      <c r="U762" s="14"/>
      <c r="V762" s="14"/>
      <c r="W762" s="15">
        <f t="shared" si="28"/>
        <v>1200</v>
      </c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5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5"/>
      <c r="AX762" s="16"/>
    </row>
    <row r="763" spans="2:50" x14ac:dyDescent="0.2">
      <c r="B763" s="7" t="s">
        <v>77</v>
      </c>
      <c r="C763" s="8">
        <v>11511</v>
      </c>
      <c r="D763" s="9" t="s">
        <v>322</v>
      </c>
      <c r="E763" s="10" t="s">
        <v>323</v>
      </c>
      <c r="F763" s="10" t="s">
        <v>324</v>
      </c>
      <c r="G763" s="8">
        <v>1</v>
      </c>
      <c r="H763" s="11">
        <v>800</v>
      </c>
      <c r="I763" s="12">
        <v>42484</v>
      </c>
      <c r="J763" s="13">
        <f t="shared" si="27"/>
        <v>0</v>
      </c>
      <c r="K763" s="14"/>
      <c r="L763" s="14"/>
      <c r="M763" s="14">
        <v>400</v>
      </c>
      <c r="N763" s="14">
        <v>400</v>
      </c>
      <c r="O763" s="14"/>
      <c r="P763" s="14"/>
      <c r="Q763" s="14"/>
      <c r="R763" s="14"/>
      <c r="S763" s="14"/>
      <c r="T763" s="14"/>
      <c r="U763" s="14"/>
      <c r="V763" s="14"/>
      <c r="W763" s="15">
        <f t="shared" si="28"/>
        <v>800</v>
      </c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5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5"/>
      <c r="AX763" s="16"/>
    </row>
    <row r="764" spans="2:50" x14ac:dyDescent="0.2">
      <c r="B764" s="7" t="s">
        <v>391</v>
      </c>
      <c r="C764" s="8">
        <v>11512</v>
      </c>
      <c r="D764" s="9" t="s">
        <v>640</v>
      </c>
      <c r="E764" s="10" t="s">
        <v>641</v>
      </c>
      <c r="F764" s="10" t="s">
        <v>642</v>
      </c>
      <c r="G764" s="8">
        <v>1</v>
      </c>
      <c r="H764" s="11">
        <v>200</v>
      </c>
      <c r="I764" s="12">
        <v>42484</v>
      </c>
      <c r="J764" s="13">
        <f t="shared" si="27"/>
        <v>0</v>
      </c>
      <c r="K764" s="14"/>
      <c r="L764" s="14"/>
      <c r="M764" s="14"/>
      <c r="N764" s="14">
        <v>200</v>
      </c>
      <c r="O764" s="14"/>
      <c r="P764" s="14"/>
      <c r="Q764" s="14"/>
      <c r="R764" s="14"/>
      <c r="S764" s="14"/>
      <c r="T764" s="14"/>
      <c r="U764" s="14"/>
      <c r="V764" s="14"/>
      <c r="W764" s="15">
        <f t="shared" si="28"/>
        <v>200</v>
      </c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5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5"/>
      <c r="AX764" s="16"/>
    </row>
    <row r="765" spans="2:50" x14ac:dyDescent="0.2">
      <c r="B765" s="7" t="s">
        <v>93</v>
      </c>
      <c r="C765" s="8">
        <v>11513</v>
      </c>
      <c r="D765" s="9"/>
      <c r="E765" s="10" t="s">
        <v>93</v>
      </c>
      <c r="F765" s="10" t="s">
        <v>93</v>
      </c>
      <c r="G765" s="8">
        <v>8</v>
      </c>
      <c r="H765" s="11"/>
      <c r="I765" s="12"/>
      <c r="J765" s="13">
        <f t="shared" si="27"/>
        <v>0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5">
        <f t="shared" si="28"/>
        <v>0</v>
      </c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5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5"/>
      <c r="AX765" s="16"/>
    </row>
    <row r="766" spans="2:50" x14ac:dyDescent="0.2">
      <c r="B766" s="7" t="s">
        <v>47</v>
      </c>
      <c r="C766" s="8">
        <v>11514</v>
      </c>
      <c r="D766" s="9" t="s">
        <v>349</v>
      </c>
      <c r="E766" s="10" t="s">
        <v>350</v>
      </c>
      <c r="F766" s="10" t="s">
        <v>351</v>
      </c>
      <c r="G766" s="8">
        <v>8</v>
      </c>
      <c r="H766" s="11"/>
      <c r="I766" s="12">
        <v>42484</v>
      </c>
      <c r="J766" s="13">
        <f t="shared" si="27"/>
        <v>0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5">
        <f t="shared" si="28"/>
        <v>0</v>
      </c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5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5"/>
      <c r="AX766" s="16"/>
    </row>
    <row r="767" spans="2:50" x14ac:dyDescent="0.2">
      <c r="B767" s="7" t="s">
        <v>69</v>
      </c>
      <c r="C767" s="8">
        <v>11515</v>
      </c>
      <c r="D767" s="9" t="s">
        <v>893</v>
      </c>
      <c r="E767" s="10" t="s">
        <v>894</v>
      </c>
      <c r="F767" s="10" t="s">
        <v>895</v>
      </c>
      <c r="G767" s="8">
        <v>1</v>
      </c>
      <c r="H767" s="11">
        <v>400</v>
      </c>
      <c r="I767" s="12">
        <v>42484</v>
      </c>
      <c r="J767" s="13">
        <f t="shared" si="27"/>
        <v>0</v>
      </c>
      <c r="K767" s="14"/>
      <c r="L767" s="14"/>
      <c r="M767" s="14"/>
      <c r="N767" s="14">
        <v>400</v>
      </c>
      <c r="O767" s="14"/>
      <c r="P767" s="14"/>
      <c r="Q767" s="14"/>
      <c r="R767" s="14"/>
      <c r="S767" s="14"/>
      <c r="T767" s="14"/>
      <c r="U767" s="14"/>
      <c r="V767" s="14"/>
      <c r="W767" s="15">
        <f t="shared" si="28"/>
        <v>400</v>
      </c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5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5"/>
      <c r="AX767" s="16"/>
    </row>
    <row r="768" spans="2:50" x14ac:dyDescent="0.2">
      <c r="B768" s="7" t="s">
        <v>122</v>
      </c>
      <c r="C768" s="8">
        <v>11516</v>
      </c>
      <c r="D768" s="9" t="s">
        <v>788</v>
      </c>
      <c r="E768" s="10" t="s">
        <v>789</v>
      </c>
      <c r="F768" s="10" t="s">
        <v>790</v>
      </c>
      <c r="G768" s="8">
        <v>1</v>
      </c>
      <c r="H768" s="11">
        <v>400</v>
      </c>
      <c r="I768" s="12">
        <v>42484</v>
      </c>
      <c r="J768" s="13">
        <f t="shared" si="27"/>
        <v>0</v>
      </c>
      <c r="K768" s="14"/>
      <c r="L768" s="14"/>
      <c r="M768" s="14"/>
      <c r="N768" s="14">
        <v>400</v>
      </c>
      <c r="O768" s="14"/>
      <c r="P768" s="14"/>
      <c r="Q768" s="14"/>
      <c r="R768" s="14"/>
      <c r="S768" s="14"/>
      <c r="T768" s="14"/>
      <c r="U768" s="14"/>
      <c r="V768" s="14"/>
      <c r="W768" s="15">
        <f t="shared" si="28"/>
        <v>400</v>
      </c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5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5"/>
      <c r="AX768" s="16"/>
    </row>
    <row r="769" spans="2:50" x14ac:dyDescent="0.2">
      <c r="B769" s="7" t="s">
        <v>77</v>
      </c>
      <c r="C769" s="8">
        <v>11517</v>
      </c>
      <c r="D769" s="9" t="s">
        <v>87</v>
      </c>
      <c r="E769" s="10" t="s">
        <v>88</v>
      </c>
      <c r="F769" s="10" t="s">
        <v>89</v>
      </c>
      <c r="G769" s="8">
        <v>1</v>
      </c>
      <c r="H769" s="11">
        <v>800</v>
      </c>
      <c r="I769" s="12">
        <v>42484</v>
      </c>
      <c r="J769" s="13">
        <f t="shared" si="27"/>
        <v>0</v>
      </c>
      <c r="K769" s="14"/>
      <c r="L769" s="14"/>
      <c r="M769" s="14"/>
      <c r="N769" s="14">
        <v>400</v>
      </c>
      <c r="O769" s="14">
        <v>400</v>
      </c>
      <c r="P769" s="14"/>
      <c r="Q769" s="14"/>
      <c r="R769" s="14"/>
      <c r="S769" s="14"/>
      <c r="T769" s="14"/>
      <c r="U769" s="14"/>
      <c r="V769" s="14"/>
      <c r="W769" s="15">
        <f t="shared" si="28"/>
        <v>800</v>
      </c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5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5"/>
      <c r="AX769" s="16"/>
    </row>
    <row r="770" spans="2:50" x14ac:dyDescent="0.2">
      <c r="B770" s="7" t="s">
        <v>77</v>
      </c>
      <c r="C770" s="8">
        <v>11518</v>
      </c>
      <c r="D770" s="9" t="s">
        <v>652</v>
      </c>
      <c r="E770" s="10" t="s">
        <v>653</v>
      </c>
      <c r="F770" s="10" t="s">
        <v>654</v>
      </c>
      <c r="G770" s="8">
        <v>1</v>
      </c>
      <c r="H770" s="11">
        <v>400</v>
      </c>
      <c r="I770" s="12">
        <v>42484</v>
      </c>
      <c r="J770" s="13">
        <f t="shared" si="27"/>
        <v>0</v>
      </c>
      <c r="K770" s="14"/>
      <c r="L770" s="14"/>
      <c r="M770" s="14">
        <v>400</v>
      </c>
      <c r="N770" s="14"/>
      <c r="O770" s="14"/>
      <c r="P770" s="14"/>
      <c r="Q770" s="14"/>
      <c r="R770" s="14"/>
      <c r="S770" s="14"/>
      <c r="T770" s="14"/>
      <c r="U770" s="14"/>
      <c r="V770" s="14"/>
      <c r="W770" s="15">
        <f t="shared" si="28"/>
        <v>400</v>
      </c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5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5"/>
      <c r="AX770" s="16"/>
    </row>
    <row r="771" spans="2:50" x14ac:dyDescent="0.2">
      <c r="B771" s="7" t="s">
        <v>73</v>
      </c>
      <c r="C771" s="8">
        <v>11519</v>
      </c>
      <c r="D771" s="9" t="s">
        <v>911</v>
      </c>
      <c r="E771" s="10" t="s">
        <v>912</v>
      </c>
      <c r="F771" s="10" t="s">
        <v>397</v>
      </c>
      <c r="G771" s="8">
        <v>1</v>
      </c>
      <c r="H771" s="11">
        <v>400</v>
      </c>
      <c r="I771" s="12">
        <v>42484</v>
      </c>
      <c r="J771" s="13">
        <f t="shared" si="27"/>
        <v>0</v>
      </c>
      <c r="K771" s="14"/>
      <c r="L771" s="14"/>
      <c r="M771" s="14">
        <v>400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5">
        <f t="shared" si="28"/>
        <v>400</v>
      </c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5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5"/>
      <c r="AX771" s="16"/>
    </row>
    <row r="772" spans="2:50" x14ac:dyDescent="0.2">
      <c r="B772" s="7" t="s">
        <v>73</v>
      </c>
      <c r="C772" s="8">
        <v>11520</v>
      </c>
      <c r="D772" s="9" t="s">
        <v>532</v>
      </c>
      <c r="E772" s="10" t="s">
        <v>533</v>
      </c>
      <c r="F772" s="10" t="s">
        <v>534</v>
      </c>
      <c r="G772" s="8">
        <v>1</v>
      </c>
      <c r="H772" s="11">
        <v>800</v>
      </c>
      <c r="I772" s="12">
        <v>42484</v>
      </c>
      <c r="J772" s="13">
        <f t="shared" si="27"/>
        <v>0</v>
      </c>
      <c r="K772" s="14"/>
      <c r="L772" s="14"/>
      <c r="M772" s="14">
        <v>400</v>
      </c>
      <c r="N772" s="14">
        <v>400</v>
      </c>
      <c r="O772" s="14"/>
      <c r="P772" s="14"/>
      <c r="Q772" s="14"/>
      <c r="R772" s="14"/>
      <c r="S772" s="14"/>
      <c r="T772" s="14"/>
      <c r="U772" s="14"/>
      <c r="V772" s="14"/>
      <c r="W772" s="15">
        <f t="shared" si="28"/>
        <v>800</v>
      </c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5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5"/>
      <c r="AX772" s="16"/>
    </row>
    <row r="773" spans="2:50" x14ac:dyDescent="0.2">
      <c r="B773" s="7" t="s">
        <v>391</v>
      </c>
      <c r="C773" s="8">
        <v>11521</v>
      </c>
      <c r="D773" s="9" t="s">
        <v>918</v>
      </c>
      <c r="E773" s="10" t="s">
        <v>919</v>
      </c>
      <c r="F773" s="10" t="s">
        <v>920</v>
      </c>
      <c r="G773" s="8">
        <v>1</v>
      </c>
      <c r="H773" s="11">
        <v>250</v>
      </c>
      <c r="I773" s="12">
        <v>42484</v>
      </c>
      <c r="J773" s="13">
        <f t="shared" si="27"/>
        <v>0</v>
      </c>
      <c r="K773" s="14"/>
      <c r="L773" s="14"/>
      <c r="M773" s="14"/>
      <c r="N773" s="14"/>
      <c r="O773" s="14">
        <v>250</v>
      </c>
      <c r="P773" s="14"/>
      <c r="Q773" s="14"/>
      <c r="R773" s="14"/>
      <c r="S773" s="14"/>
      <c r="T773" s="14"/>
      <c r="U773" s="14"/>
      <c r="V773" s="14"/>
      <c r="W773" s="15">
        <f t="shared" si="28"/>
        <v>250</v>
      </c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5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5"/>
      <c r="AX773" s="16"/>
    </row>
    <row r="774" spans="2:50" x14ac:dyDescent="0.2">
      <c r="B774" s="7" t="s">
        <v>73</v>
      </c>
      <c r="C774" s="8">
        <v>11522</v>
      </c>
      <c r="D774" s="9" t="s">
        <v>571</v>
      </c>
      <c r="E774" s="10" t="s">
        <v>572</v>
      </c>
      <c r="F774" s="10" t="s">
        <v>573</v>
      </c>
      <c r="G774" s="8">
        <v>1</v>
      </c>
      <c r="H774" s="11">
        <v>600</v>
      </c>
      <c r="I774" s="12">
        <v>42484</v>
      </c>
      <c r="J774" s="13">
        <f t="shared" si="27"/>
        <v>0</v>
      </c>
      <c r="K774" s="14"/>
      <c r="L774" s="14"/>
      <c r="M774" s="14">
        <v>200</v>
      </c>
      <c r="N774" s="14">
        <v>200</v>
      </c>
      <c r="O774" s="14">
        <v>200</v>
      </c>
      <c r="P774" s="14"/>
      <c r="Q774" s="14"/>
      <c r="R774" s="14"/>
      <c r="S774" s="14"/>
      <c r="T774" s="14"/>
      <c r="U774" s="14"/>
      <c r="V774" s="14"/>
      <c r="W774" s="15">
        <f t="shared" si="28"/>
        <v>600</v>
      </c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5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5"/>
      <c r="AX774" s="16"/>
    </row>
    <row r="775" spans="2:50" x14ac:dyDescent="0.2">
      <c r="B775" s="7" t="s">
        <v>47</v>
      </c>
      <c r="C775" s="8">
        <v>11523</v>
      </c>
      <c r="D775" s="9" t="s">
        <v>658</v>
      </c>
      <c r="E775" s="10" t="s">
        <v>659</v>
      </c>
      <c r="F775" s="10" t="s">
        <v>921</v>
      </c>
      <c r="G775" s="8">
        <v>1</v>
      </c>
      <c r="H775" s="11">
        <v>700</v>
      </c>
      <c r="I775" s="12">
        <v>42484</v>
      </c>
      <c r="J775" s="13">
        <f t="shared" si="27"/>
        <v>0</v>
      </c>
      <c r="K775" s="14"/>
      <c r="L775" s="14"/>
      <c r="M775" s="14">
        <v>350</v>
      </c>
      <c r="N775" s="14">
        <v>350</v>
      </c>
      <c r="O775" s="14"/>
      <c r="P775" s="14"/>
      <c r="Q775" s="14"/>
      <c r="R775" s="14"/>
      <c r="S775" s="14"/>
      <c r="T775" s="14"/>
      <c r="U775" s="14"/>
      <c r="V775" s="14"/>
      <c r="W775" s="15">
        <f t="shared" si="28"/>
        <v>700</v>
      </c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5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5"/>
      <c r="AX775" s="16"/>
    </row>
    <row r="776" spans="2:50" x14ac:dyDescent="0.2">
      <c r="B776" s="7" t="s">
        <v>73</v>
      </c>
      <c r="C776" s="8">
        <v>11524</v>
      </c>
      <c r="D776" s="9" t="s">
        <v>109</v>
      </c>
      <c r="E776" s="10" t="s">
        <v>110</v>
      </c>
      <c r="F776" s="10" t="s">
        <v>111</v>
      </c>
      <c r="G776" s="8">
        <v>4</v>
      </c>
      <c r="H776" s="11">
        <v>320</v>
      </c>
      <c r="I776" s="12">
        <v>42484</v>
      </c>
      <c r="J776" s="13">
        <f t="shared" si="27"/>
        <v>0</v>
      </c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5">
        <f t="shared" si="28"/>
        <v>0</v>
      </c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5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5"/>
      <c r="AX776" s="16"/>
    </row>
    <row r="777" spans="2:50" x14ac:dyDescent="0.2">
      <c r="B777" s="7" t="s">
        <v>73</v>
      </c>
      <c r="C777" s="8">
        <v>11525</v>
      </c>
      <c r="D777" s="9" t="s">
        <v>922</v>
      </c>
      <c r="E777" s="10" t="s">
        <v>923</v>
      </c>
      <c r="F777" s="10" t="s">
        <v>924</v>
      </c>
      <c r="G777" s="8">
        <v>1</v>
      </c>
      <c r="H777" s="11">
        <v>1000</v>
      </c>
      <c r="I777" s="12">
        <v>42484</v>
      </c>
      <c r="J777" s="13">
        <f t="shared" si="27"/>
        <v>0</v>
      </c>
      <c r="K777" s="14">
        <v>250</v>
      </c>
      <c r="L777" s="14">
        <v>250</v>
      </c>
      <c r="M777" s="14">
        <v>250</v>
      </c>
      <c r="N777" s="14">
        <v>250</v>
      </c>
      <c r="O777" s="14"/>
      <c r="P777" s="14"/>
      <c r="Q777" s="14"/>
      <c r="R777" s="14"/>
      <c r="S777" s="14"/>
      <c r="T777" s="14"/>
      <c r="U777" s="14"/>
      <c r="V777" s="14"/>
      <c r="W777" s="15">
        <f t="shared" si="28"/>
        <v>1000</v>
      </c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5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5"/>
      <c r="AX777" s="16"/>
    </row>
    <row r="778" spans="2:50" x14ac:dyDescent="0.2">
      <c r="B778" s="7" t="s">
        <v>47</v>
      </c>
      <c r="C778" s="8">
        <v>11526</v>
      </c>
      <c r="D778" s="9" t="s">
        <v>803</v>
      </c>
      <c r="E778" s="10" t="s">
        <v>804</v>
      </c>
      <c r="F778" s="10" t="s">
        <v>312</v>
      </c>
      <c r="G778" s="8">
        <v>1</v>
      </c>
      <c r="H778" s="11">
        <v>800</v>
      </c>
      <c r="I778" s="12">
        <v>42484</v>
      </c>
      <c r="J778" s="13">
        <f t="shared" si="27"/>
        <v>0</v>
      </c>
      <c r="K778" s="14"/>
      <c r="L778" s="14"/>
      <c r="M778" s="14">
        <v>400</v>
      </c>
      <c r="N778" s="14">
        <v>400</v>
      </c>
      <c r="O778" s="14"/>
      <c r="P778" s="14"/>
      <c r="Q778" s="14"/>
      <c r="R778" s="14"/>
      <c r="S778" s="14"/>
      <c r="T778" s="14"/>
      <c r="U778" s="14"/>
      <c r="V778" s="14"/>
      <c r="W778" s="15">
        <f t="shared" si="28"/>
        <v>800</v>
      </c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5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5"/>
      <c r="AX778" s="16"/>
    </row>
    <row r="779" spans="2:50" x14ac:dyDescent="0.2">
      <c r="B779" s="7" t="s">
        <v>122</v>
      </c>
      <c r="C779" s="8">
        <v>11527</v>
      </c>
      <c r="D779" s="9" t="s">
        <v>422</v>
      </c>
      <c r="E779" s="10" t="s">
        <v>423</v>
      </c>
      <c r="F779" s="10" t="s">
        <v>424</v>
      </c>
      <c r="G779" s="8">
        <v>1</v>
      </c>
      <c r="H779" s="11">
        <v>1200</v>
      </c>
      <c r="I779" s="12">
        <v>42484</v>
      </c>
      <c r="J779" s="13">
        <f t="shared" si="27"/>
        <v>0</v>
      </c>
      <c r="K779" s="14"/>
      <c r="L779" s="14"/>
      <c r="M779" s="14"/>
      <c r="N779" s="14">
        <v>400</v>
      </c>
      <c r="O779" s="14">
        <v>400</v>
      </c>
      <c r="P779" s="14">
        <v>400</v>
      </c>
      <c r="Q779" s="14"/>
      <c r="R779" s="14"/>
      <c r="S779" s="14"/>
      <c r="T779" s="14"/>
      <c r="U779" s="14"/>
      <c r="V779" s="14"/>
      <c r="W779" s="15">
        <f t="shared" si="28"/>
        <v>1200</v>
      </c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5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5"/>
      <c r="AX779" s="16" t="s">
        <v>925</v>
      </c>
    </row>
    <row r="780" spans="2:50" x14ac:dyDescent="0.2">
      <c r="B780" s="7" t="s">
        <v>73</v>
      </c>
      <c r="C780" s="8"/>
      <c r="D780" s="9" t="s">
        <v>806</v>
      </c>
      <c r="E780" s="10" t="s">
        <v>885</v>
      </c>
      <c r="F780" s="10" t="s">
        <v>805</v>
      </c>
      <c r="G780" s="8">
        <v>1</v>
      </c>
      <c r="H780" s="11">
        <v>11000</v>
      </c>
      <c r="I780" s="12">
        <v>42465</v>
      </c>
      <c r="J780" s="13">
        <f t="shared" si="27"/>
        <v>0</v>
      </c>
      <c r="K780" s="14"/>
      <c r="L780" s="14"/>
      <c r="M780" s="14">
        <v>11000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15">
        <f t="shared" si="28"/>
        <v>11000</v>
      </c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5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5"/>
      <c r="AX780" s="16"/>
    </row>
    <row r="781" spans="2:50" x14ac:dyDescent="0.2">
      <c r="B781" s="7" t="s">
        <v>69</v>
      </c>
      <c r="C781" s="8">
        <v>11593</v>
      </c>
      <c r="D781" s="9" t="s">
        <v>211</v>
      </c>
      <c r="E781" s="10" t="s">
        <v>212</v>
      </c>
      <c r="F781" s="10" t="s">
        <v>213</v>
      </c>
      <c r="G781" s="8">
        <v>1</v>
      </c>
      <c r="H781" s="11">
        <v>300</v>
      </c>
      <c r="I781" s="12">
        <v>42480</v>
      </c>
      <c r="J781" s="13">
        <f t="shared" si="27"/>
        <v>0</v>
      </c>
      <c r="K781" s="14"/>
      <c r="L781" s="14"/>
      <c r="M781" s="14"/>
      <c r="N781" s="14">
        <v>300</v>
      </c>
      <c r="O781" s="14"/>
      <c r="P781" s="14"/>
      <c r="Q781" s="14"/>
      <c r="R781" s="14"/>
      <c r="S781" s="14"/>
      <c r="T781" s="14"/>
      <c r="U781" s="14"/>
      <c r="V781" s="14"/>
      <c r="W781" s="15">
        <f t="shared" si="28"/>
        <v>300</v>
      </c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5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5"/>
      <c r="AX781" s="16"/>
    </row>
    <row r="782" spans="2:50" x14ac:dyDescent="0.2">
      <c r="B782" s="7" t="s">
        <v>73</v>
      </c>
      <c r="C782" s="8"/>
      <c r="D782" s="9" t="s">
        <v>806</v>
      </c>
      <c r="E782" s="10" t="s">
        <v>885</v>
      </c>
      <c r="F782" s="10" t="s">
        <v>805</v>
      </c>
      <c r="G782" s="8">
        <v>1</v>
      </c>
      <c r="H782" s="11">
        <v>11000</v>
      </c>
      <c r="I782" s="12">
        <v>42486</v>
      </c>
      <c r="J782" s="13">
        <f t="shared" si="27"/>
        <v>0</v>
      </c>
      <c r="K782" s="14"/>
      <c r="L782" s="14"/>
      <c r="M782" s="14"/>
      <c r="N782" s="14">
        <v>11000</v>
      </c>
      <c r="O782" s="14"/>
      <c r="P782" s="14"/>
      <c r="Q782" s="14"/>
      <c r="R782" s="14"/>
      <c r="S782" s="14"/>
      <c r="T782" s="14"/>
      <c r="U782" s="14"/>
      <c r="V782" s="14"/>
      <c r="W782" s="15">
        <f t="shared" si="28"/>
        <v>11000</v>
      </c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5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5"/>
      <c r="AX782" s="16"/>
    </row>
    <row r="783" spans="2:50" x14ac:dyDescent="0.2">
      <c r="B783" s="7" t="s">
        <v>37</v>
      </c>
      <c r="C783" s="8">
        <v>11591</v>
      </c>
      <c r="D783" s="9" t="s">
        <v>814</v>
      </c>
      <c r="E783" s="10" t="s">
        <v>815</v>
      </c>
      <c r="F783" s="10" t="s">
        <v>816</v>
      </c>
      <c r="G783" s="8">
        <v>1</v>
      </c>
      <c r="H783" s="11">
        <v>800</v>
      </c>
      <c r="I783" s="12">
        <v>42484</v>
      </c>
      <c r="J783" s="13">
        <f>IF(G783=1,SUM(W783,-H783),0)</f>
        <v>0</v>
      </c>
      <c r="K783" s="14"/>
      <c r="L783" s="14"/>
      <c r="M783" s="14"/>
      <c r="N783" s="14"/>
      <c r="O783" s="14">
        <v>400</v>
      </c>
      <c r="P783" s="14">
        <v>400</v>
      </c>
      <c r="Q783" s="14"/>
      <c r="R783" s="14"/>
      <c r="S783" s="14"/>
      <c r="T783" s="14"/>
      <c r="U783" s="14"/>
      <c r="V783" s="14"/>
      <c r="W783" s="15">
        <f t="shared" si="28"/>
        <v>800</v>
      </c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5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5"/>
      <c r="AX783" s="16"/>
    </row>
    <row r="784" spans="2:50" x14ac:dyDescent="0.2">
      <c r="B784" s="30"/>
      <c r="C784" s="31"/>
      <c r="D784" s="32"/>
      <c r="E784" s="33"/>
      <c r="F784" s="33"/>
      <c r="G784" s="31"/>
      <c r="H784" s="34"/>
      <c r="I784" s="26"/>
      <c r="J784" s="13">
        <f>IF(G784=1,SUM(W784,-H784),0)</f>
        <v>0</v>
      </c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9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9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9"/>
      <c r="AX784" s="25"/>
    </row>
    <row r="785" spans="1:50" x14ac:dyDescent="0.2">
      <c r="B785" s="48"/>
      <c r="C785" s="48"/>
      <c r="D785" s="48"/>
      <c r="E785" s="48"/>
      <c r="F785" s="48"/>
      <c r="G785" s="19">
        <v>1</v>
      </c>
      <c r="H785" s="21">
        <v>1200</v>
      </c>
      <c r="I785" s="26"/>
      <c r="J785" s="27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9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9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9"/>
      <c r="AX785" s="25"/>
    </row>
    <row r="786" spans="1:50" ht="22.5" x14ac:dyDescent="0.2">
      <c r="A786" s="2" t="s">
        <v>0</v>
      </c>
      <c r="B786" s="3" t="s">
        <v>1</v>
      </c>
      <c r="C786" s="3" t="s">
        <v>2</v>
      </c>
      <c r="D786" s="3" t="s">
        <v>3</v>
      </c>
      <c r="E786" s="3" t="s">
        <v>4</v>
      </c>
      <c r="F786" s="3" t="s">
        <v>5</v>
      </c>
      <c r="G786" s="3" t="s">
        <v>6</v>
      </c>
      <c r="H786" s="3" t="s">
        <v>7</v>
      </c>
      <c r="I786" s="3" t="s">
        <v>8</v>
      </c>
      <c r="J786" s="3" t="s">
        <v>9</v>
      </c>
      <c r="K786" s="4" t="s">
        <v>10</v>
      </c>
      <c r="L786" s="4" t="s">
        <v>11</v>
      </c>
      <c r="M786" s="4" t="s">
        <v>12</v>
      </c>
      <c r="N786" s="4" t="s">
        <v>13</v>
      </c>
      <c r="O786" s="4" t="s">
        <v>14</v>
      </c>
      <c r="P786" s="4" t="s">
        <v>15</v>
      </c>
      <c r="Q786" s="4" t="s">
        <v>16</v>
      </c>
      <c r="R786" s="4" t="s">
        <v>17</v>
      </c>
      <c r="S786" s="4" t="s">
        <v>18</v>
      </c>
      <c r="T786" s="4" t="s">
        <v>19</v>
      </c>
      <c r="U786" s="4" t="s">
        <v>20</v>
      </c>
      <c r="V786" s="4" t="s">
        <v>21</v>
      </c>
      <c r="W786" s="5" t="s">
        <v>22</v>
      </c>
      <c r="X786" s="4" t="s">
        <v>23</v>
      </c>
      <c r="Y786" s="4" t="s">
        <v>24</v>
      </c>
      <c r="Z786" s="4" t="s">
        <v>25</v>
      </c>
      <c r="AA786" s="4" t="s">
        <v>26</v>
      </c>
      <c r="AB786" s="4" t="s">
        <v>27</v>
      </c>
      <c r="AC786" s="4" t="s">
        <v>28</v>
      </c>
      <c r="AD786" s="4" t="s">
        <v>29</v>
      </c>
      <c r="AE786" s="4" t="s">
        <v>30</v>
      </c>
      <c r="AF786" s="4" t="s">
        <v>31</v>
      </c>
      <c r="AG786" s="4" t="s">
        <v>32</v>
      </c>
      <c r="AH786" s="4" t="s">
        <v>33</v>
      </c>
      <c r="AI786" s="4" t="s">
        <v>34</v>
      </c>
      <c r="AJ786" s="5" t="s">
        <v>35</v>
      </c>
      <c r="AK786" s="4" t="s">
        <v>4607</v>
      </c>
      <c r="AL786" s="4" t="s">
        <v>4608</v>
      </c>
      <c r="AM786" s="4" t="s">
        <v>4609</v>
      </c>
      <c r="AN786" s="4" t="s">
        <v>4610</v>
      </c>
      <c r="AO786" s="4" t="s">
        <v>4611</v>
      </c>
      <c r="AP786" s="4" t="s">
        <v>4612</v>
      </c>
      <c r="AQ786" s="4" t="s">
        <v>4613</v>
      </c>
      <c r="AR786" s="4" t="s">
        <v>4614</v>
      </c>
      <c r="AS786" s="4" t="s">
        <v>4615</v>
      </c>
      <c r="AT786" s="4" t="s">
        <v>4616</v>
      </c>
      <c r="AU786" s="4" t="s">
        <v>4617</v>
      </c>
      <c r="AV786" s="4" t="s">
        <v>4618</v>
      </c>
      <c r="AW786" s="338" t="s">
        <v>4619</v>
      </c>
      <c r="AX786" s="6" t="s">
        <v>36</v>
      </c>
    </row>
    <row r="787" spans="1:50" x14ac:dyDescent="0.2">
      <c r="B787" s="7" t="s">
        <v>37</v>
      </c>
      <c r="C787" s="8">
        <v>11528</v>
      </c>
      <c r="D787" s="9" t="s">
        <v>488</v>
      </c>
      <c r="E787" s="10" t="s">
        <v>489</v>
      </c>
      <c r="F787" s="10" t="s">
        <v>490</v>
      </c>
      <c r="G787" s="8">
        <v>1</v>
      </c>
      <c r="H787" s="11">
        <v>400</v>
      </c>
      <c r="I787" s="12">
        <v>42485</v>
      </c>
      <c r="J787" s="13">
        <f t="shared" ref="J787:J850" si="29">IF(G787=1,SUM(W787,-H787),0)</f>
        <v>0</v>
      </c>
      <c r="K787" s="14"/>
      <c r="L787" s="14"/>
      <c r="M787" s="14"/>
      <c r="N787" s="14">
        <v>400</v>
      </c>
      <c r="O787" s="14"/>
      <c r="P787" s="14"/>
      <c r="Q787" s="14"/>
      <c r="R787" s="14"/>
      <c r="S787" s="14"/>
      <c r="T787" s="14"/>
      <c r="U787" s="14"/>
      <c r="V787" s="14"/>
      <c r="W787" s="15">
        <f t="shared" ref="W787:W850" si="30">SUM(K787:V787)</f>
        <v>400</v>
      </c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5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5"/>
      <c r="AX787" s="16"/>
    </row>
    <row r="788" spans="1:50" x14ac:dyDescent="0.2">
      <c r="B788" s="7" t="s">
        <v>37</v>
      </c>
      <c r="C788" s="8">
        <v>11529</v>
      </c>
      <c r="D788" s="9" t="s">
        <v>592</v>
      </c>
      <c r="E788" s="10" t="s">
        <v>593</v>
      </c>
      <c r="F788" s="10" t="s">
        <v>594</v>
      </c>
      <c r="G788" s="8">
        <v>1</v>
      </c>
      <c r="H788" s="11">
        <v>1200</v>
      </c>
      <c r="I788" s="12">
        <v>42486</v>
      </c>
      <c r="J788" s="13">
        <f t="shared" si="29"/>
        <v>0</v>
      </c>
      <c r="K788" s="14"/>
      <c r="L788" s="14"/>
      <c r="M788" s="14"/>
      <c r="N788" s="14">
        <v>400</v>
      </c>
      <c r="O788" s="14">
        <v>400</v>
      </c>
      <c r="P788" s="14">
        <v>400</v>
      </c>
      <c r="Q788" s="14"/>
      <c r="R788" s="14"/>
      <c r="S788" s="14"/>
      <c r="T788" s="14"/>
      <c r="U788" s="14"/>
      <c r="V788" s="14"/>
      <c r="W788" s="15">
        <f t="shared" si="30"/>
        <v>1200</v>
      </c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5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5"/>
      <c r="AX788" s="16"/>
    </row>
    <row r="789" spans="1:50" x14ac:dyDescent="0.2">
      <c r="B789" s="7" t="s">
        <v>47</v>
      </c>
      <c r="C789" s="8">
        <v>11530</v>
      </c>
      <c r="D789" s="9" t="s">
        <v>807</v>
      </c>
      <c r="E789" s="10" t="s">
        <v>808</v>
      </c>
      <c r="F789" s="10" t="s">
        <v>809</v>
      </c>
      <c r="G789" s="8">
        <v>1</v>
      </c>
      <c r="H789" s="11">
        <v>400</v>
      </c>
      <c r="I789" s="12">
        <v>42486</v>
      </c>
      <c r="J789" s="13">
        <f t="shared" si="29"/>
        <v>0</v>
      </c>
      <c r="K789" s="14"/>
      <c r="L789" s="14"/>
      <c r="M789" s="14">
        <v>200</v>
      </c>
      <c r="N789" s="14">
        <v>200</v>
      </c>
      <c r="O789" s="14"/>
      <c r="P789" s="14"/>
      <c r="Q789" s="14"/>
      <c r="R789" s="14"/>
      <c r="S789" s="14"/>
      <c r="T789" s="14"/>
      <c r="U789" s="14"/>
      <c r="V789" s="14"/>
      <c r="W789" s="15">
        <f t="shared" si="30"/>
        <v>400</v>
      </c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5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5"/>
      <c r="AX789" s="16"/>
    </row>
    <row r="790" spans="1:50" x14ac:dyDescent="0.2">
      <c r="B790" s="7" t="s">
        <v>77</v>
      </c>
      <c r="C790" s="8">
        <v>11531</v>
      </c>
      <c r="D790" s="9" t="s">
        <v>129</v>
      </c>
      <c r="E790" s="10" t="s">
        <v>130</v>
      </c>
      <c r="F790" s="10" t="s">
        <v>131</v>
      </c>
      <c r="G790" s="8">
        <v>1</v>
      </c>
      <c r="H790" s="11">
        <v>400</v>
      </c>
      <c r="I790" s="12">
        <v>42491</v>
      </c>
      <c r="J790" s="13">
        <f t="shared" si="29"/>
        <v>0</v>
      </c>
      <c r="K790" s="14"/>
      <c r="L790" s="14"/>
      <c r="M790" s="14"/>
      <c r="N790" s="14"/>
      <c r="O790" s="14">
        <v>400</v>
      </c>
      <c r="P790" s="14"/>
      <c r="Q790" s="14"/>
      <c r="R790" s="14"/>
      <c r="S790" s="14"/>
      <c r="T790" s="14"/>
      <c r="U790" s="14"/>
      <c r="V790" s="14"/>
      <c r="W790" s="15">
        <f t="shared" si="30"/>
        <v>400</v>
      </c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5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5"/>
      <c r="AX790" s="16"/>
    </row>
    <row r="791" spans="1:50" x14ac:dyDescent="0.2">
      <c r="B791" s="7" t="s">
        <v>69</v>
      </c>
      <c r="C791" s="8">
        <v>11532</v>
      </c>
      <c r="D791" s="9" t="s">
        <v>325</v>
      </c>
      <c r="E791" s="10" t="s">
        <v>326</v>
      </c>
      <c r="F791" s="10" t="s">
        <v>327</v>
      </c>
      <c r="G791" s="8">
        <v>1</v>
      </c>
      <c r="H791" s="11">
        <v>400</v>
      </c>
      <c r="I791" s="12">
        <v>42491</v>
      </c>
      <c r="J791" s="13">
        <f t="shared" si="29"/>
        <v>0</v>
      </c>
      <c r="K791" s="14"/>
      <c r="L791" s="14"/>
      <c r="M791" s="14"/>
      <c r="N791" s="14"/>
      <c r="O791" s="14">
        <v>400</v>
      </c>
      <c r="P791" s="14"/>
      <c r="Q791" s="14"/>
      <c r="R791" s="14"/>
      <c r="S791" s="14"/>
      <c r="T791" s="14"/>
      <c r="U791" s="14"/>
      <c r="V791" s="14"/>
      <c r="W791" s="15">
        <f t="shared" si="30"/>
        <v>400</v>
      </c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5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5"/>
      <c r="AX791" s="16"/>
    </row>
    <row r="792" spans="1:50" x14ac:dyDescent="0.2">
      <c r="B792" s="7" t="s">
        <v>69</v>
      </c>
      <c r="C792" s="8">
        <v>11533</v>
      </c>
      <c r="D792" s="9" t="s">
        <v>602</v>
      </c>
      <c r="E792" s="10" t="s">
        <v>603</v>
      </c>
      <c r="F792" s="10" t="s">
        <v>604</v>
      </c>
      <c r="G792" s="8">
        <v>1</v>
      </c>
      <c r="H792" s="11">
        <v>400</v>
      </c>
      <c r="I792" s="12">
        <v>42491</v>
      </c>
      <c r="J792" s="13">
        <f t="shared" si="29"/>
        <v>0</v>
      </c>
      <c r="K792" s="14"/>
      <c r="L792" s="14"/>
      <c r="M792" s="14"/>
      <c r="N792" s="14">
        <v>200</v>
      </c>
      <c r="O792" s="14">
        <v>200</v>
      </c>
      <c r="P792" s="14"/>
      <c r="Q792" s="14"/>
      <c r="R792" s="14"/>
      <c r="S792" s="14"/>
      <c r="T792" s="14"/>
      <c r="U792" s="14"/>
      <c r="V792" s="14"/>
      <c r="W792" s="15">
        <f t="shared" si="30"/>
        <v>400</v>
      </c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5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5"/>
      <c r="AX792" s="16"/>
    </row>
    <row r="793" spans="1:50" x14ac:dyDescent="0.2">
      <c r="B793" s="7" t="s">
        <v>69</v>
      </c>
      <c r="C793" s="8">
        <v>11534</v>
      </c>
      <c r="D793" s="9" t="s">
        <v>265</v>
      </c>
      <c r="E793" s="10" t="s">
        <v>266</v>
      </c>
      <c r="F793" s="10" t="s">
        <v>267</v>
      </c>
      <c r="G793" s="8">
        <v>1</v>
      </c>
      <c r="H793" s="11">
        <v>400</v>
      </c>
      <c r="I793" s="12">
        <v>42491</v>
      </c>
      <c r="J793" s="13">
        <f t="shared" si="29"/>
        <v>0</v>
      </c>
      <c r="K793" s="14"/>
      <c r="L793" s="14"/>
      <c r="M793" s="14"/>
      <c r="N793" s="14"/>
      <c r="O793" s="14">
        <v>400</v>
      </c>
      <c r="P793" s="14"/>
      <c r="Q793" s="14"/>
      <c r="R793" s="14"/>
      <c r="S793" s="14"/>
      <c r="T793" s="14"/>
      <c r="U793" s="14"/>
      <c r="V793" s="14"/>
      <c r="W793" s="15">
        <f t="shared" si="30"/>
        <v>400</v>
      </c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5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5"/>
      <c r="AX793" s="16"/>
    </row>
    <row r="794" spans="1:50" x14ac:dyDescent="0.2">
      <c r="B794" s="7" t="s">
        <v>69</v>
      </c>
      <c r="C794" s="8">
        <v>11535</v>
      </c>
      <c r="D794" s="9" t="s">
        <v>100</v>
      </c>
      <c r="E794" s="10" t="s">
        <v>101</v>
      </c>
      <c r="F794" s="10" t="s">
        <v>102</v>
      </c>
      <c r="G794" s="8">
        <v>1</v>
      </c>
      <c r="H794" s="11">
        <v>400</v>
      </c>
      <c r="I794" s="12">
        <v>42491</v>
      </c>
      <c r="J794" s="13">
        <f t="shared" si="29"/>
        <v>0</v>
      </c>
      <c r="K794" s="14"/>
      <c r="L794" s="14"/>
      <c r="M794" s="14"/>
      <c r="N794" s="14"/>
      <c r="O794" s="14">
        <v>400</v>
      </c>
      <c r="P794" s="14"/>
      <c r="Q794" s="14"/>
      <c r="R794" s="14"/>
      <c r="S794" s="14"/>
      <c r="T794" s="14"/>
      <c r="U794" s="14"/>
      <c r="V794" s="14"/>
      <c r="W794" s="15">
        <f t="shared" si="30"/>
        <v>400</v>
      </c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5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5"/>
      <c r="AX794" s="16"/>
    </row>
    <row r="795" spans="1:50" x14ac:dyDescent="0.2">
      <c r="B795" s="7" t="s">
        <v>73</v>
      </c>
      <c r="C795" s="8">
        <v>11536</v>
      </c>
      <c r="D795" s="9" t="s">
        <v>926</v>
      </c>
      <c r="E795" s="10" t="s">
        <v>927</v>
      </c>
      <c r="F795" s="10" t="s">
        <v>928</v>
      </c>
      <c r="G795" s="8">
        <v>1</v>
      </c>
      <c r="H795" s="11">
        <v>1350</v>
      </c>
      <c r="I795" s="12">
        <v>42491</v>
      </c>
      <c r="J795" s="13">
        <f t="shared" si="29"/>
        <v>-1350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5">
        <f t="shared" si="30"/>
        <v>0</v>
      </c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5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5"/>
      <c r="AX795" s="16"/>
    </row>
    <row r="796" spans="1:50" x14ac:dyDescent="0.2">
      <c r="B796" s="7" t="s">
        <v>73</v>
      </c>
      <c r="C796" s="8">
        <v>11536</v>
      </c>
      <c r="D796" s="9" t="s">
        <v>929</v>
      </c>
      <c r="E796" s="10" t="s">
        <v>930</v>
      </c>
      <c r="F796" s="10" t="s">
        <v>931</v>
      </c>
      <c r="G796" s="8">
        <v>1</v>
      </c>
      <c r="H796" s="11">
        <v>1350</v>
      </c>
      <c r="I796" s="12">
        <v>42491</v>
      </c>
      <c r="J796" s="13">
        <f t="shared" si="29"/>
        <v>-1350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5">
        <f t="shared" si="30"/>
        <v>0</v>
      </c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5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5"/>
      <c r="AX796" s="16"/>
    </row>
    <row r="797" spans="1:50" x14ac:dyDescent="0.2">
      <c r="B797" s="7" t="s">
        <v>73</v>
      </c>
      <c r="C797" s="8">
        <v>11537</v>
      </c>
      <c r="D797" s="9" t="s">
        <v>926</v>
      </c>
      <c r="E797" s="10" t="s">
        <v>927</v>
      </c>
      <c r="F797" s="10" t="s">
        <v>928</v>
      </c>
      <c r="G797" s="8">
        <v>1</v>
      </c>
      <c r="H797" s="11">
        <v>150</v>
      </c>
      <c r="I797" s="12">
        <v>42491</v>
      </c>
      <c r="J797" s="13">
        <f t="shared" si="29"/>
        <v>0</v>
      </c>
      <c r="K797" s="14">
        <v>150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5">
        <f t="shared" si="30"/>
        <v>150</v>
      </c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5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5"/>
      <c r="AX797" s="16"/>
    </row>
    <row r="798" spans="1:50" x14ac:dyDescent="0.2">
      <c r="B798" s="7" t="s">
        <v>73</v>
      </c>
      <c r="C798" s="8">
        <v>11537</v>
      </c>
      <c r="D798" s="9" t="s">
        <v>929</v>
      </c>
      <c r="E798" s="10" t="s">
        <v>930</v>
      </c>
      <c r="F798" s="10" t="s">
        <v>931</v>
      </c>
      <c r="G798" s="8">
        <v>1</v>
      </c>
      <c r="H798" s="11">
        <v>150</v>
      </c>
      <c r="I798" s="12">
        <v>42491</v>
      </c>
      <c r="J798" s="13">
        <f t="shared" si="29"/>
        <v>0</v>
      </c>
      <c r="K798" s="14">
        <v>150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5">
        <f t="shared" si="30"/>
        <v>150</v>
      </c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5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5"/>
      <c r="AX798" s="16"/>
    </row>
    <row r="799" spans="1:50" x14ac:dyDescent="0.2">
      <c r="B799" s="7" t="s">
        <v>47</v>
      </c>
      <c r="C799" s="8">
        <v>11538</v>
      </c>
      <c r="D799" s="9" t="s">
        <v>162</v>
      </c>
      <c r="E799" s="10" t="s">
        <v>163</v>
      </c>
      <c r="F799" s="10" t="s">
        <v>164</v>
      </c>
      <c r="G799" s="8">
        <v>1</v>
      </c>
      <c r="H799" s="11">
        <v>800</v>
      </c>
      <c r="I799" s="12">
        <v>42491</v>
      </c>
      <c r="J799" s="13">
        <f t="shared" si="29"/>
        <v>0</v>
      </c>
      <c r="K799" s="14"/>
      <c r="L799" s="14"/>
      <c r="M799" s="14"/>
      <c r="N799" s="14"/>
      <c r="O799" s="14">
        <v>400</v>
      </c>
      <c r="P799" s="14">
        <v>400</v>
      </c>
      <c r="Q799" s="14"/>
      <c r="R799" s="14"/>
      <c r="S799" s="14"/>
      <c r="T799" s="14"/>
      <c r="U799" s="14"/>
      <c r="V799" s="14"/>
      <c r="W799" s="15">
        <f t="shared" si="30"/>
        <v>800</v>
      </c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5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5"/>
      <c r="AX799" s="16"/>
    </row>
    <row r="800" spans="1:50" x14ac:dyDescent="0.2">
      <c r="B800" s="7" t="s">
        <v>69</v>
      </c>
      <c r="C800" s="8">
        <v>11539</v>
      </c>
      <c r="D800" s="9" t="s">
        <v>678</v>
      </c>
      <c r="E800" s="10" t="s">
        <v>679</v>
      </c>
      <c r="F800" s="10" t="s">
        <v>680</v>
      </c>
      <c r="G800" s="8">
        <v>1</v>
      </c>
      <c r="H800" s="11">
        <v>400</v>
      </c>
      <c r="I800" s="12">
        <v>42491</v>
      </c>
      <c r="J800" s="13">
        <f t="shared" si="29"/>
        <v>0</v>
      </c>
      <c r="K800" s="14"/>
      <c r="L800" s="14"/>
      <c r="M800" s="14"/>
      <c r="N800" s="14"/>
      <c r="O800" s="14">
        <v>400</v>
      </c>
      <c r="P800" s="14"/>
      <c r="Q800" s="14"/>
      <c r="R800" s="14"/>
      <c r="S800" s="14"/>
      <c r="T800" s="14"/>
      <c r="U800" s="14"/>
      <c r="V800" s="14"/>
      <c r="W800" s="15">
        <f t="shared" si="30"/>
        <v>400</v>
      </c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5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5"/>
      <c r="AX800" s="16"/>
    </row>
    <row r="801" spans="2:50" x14ac:dyDescent="0.2">
      <c r="B801" s="7" t="s">
        <v>69</v>
      </c>
      <c r="C801" s="8">
        <v>11540</v>
      </c>
      <c r="D801" s="9" t="s">
        <v>135</v>
      </c>
      <c r="E801" s="10" t="s">
        <v>136</v>
      </c>
      <c r="F801" s="10" t="s">
        <v>137</v>
      </c>
      <c r="G801" s="8">
        <v>1</v>
      </c>
      <c r="H801" s="11">
        <v>300</v>
      </c>
      <c r="I801" s="12">
        <v>42491</v>
      </c>
      <c r="J801" s="13">
        <f t="shared" si="29"/>
        <v>0</v>
      </c>
      <c r="K801" s="14"/>
      <c r="L801" s="14"/>
      <c r="M801" s="14"/>
      <c r="N801" s="14"/>
      <c r="O801" s="14">
        <v>300</v>
      </c>
      <c r="P801" s="14"/>
      <c r="Q801" s="14"/>
      <c r="R801" s="14"/>
      <c r="S801" s="14"/>
      <c r="T801" s="14"/>
      <c r="U801" s="14"/>
      <c r="V801" s="14"/>
      <c r="W801" s="15">
        <f t="shared" si="30"/>
        <v>300</v>
      </c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5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5"/>
      <c r="AX801" s="16"/>
    </row>
    <row r="802" spans="2:50" x14ac:dyDescent="0.2">
      <c r="B802" s="7" t="s">
        <v>77</v>
      </c>
      <c r="C802" s="8">
        <v>11541</v>
      </c>
      <c r="D802" s="9" t="s">
        <v>617</v>
      </c>
      <c r="E802" s="10" t="s">
        <v>618</v>
      </c>
      <c r="F802" s="10" t="s">
        <v>619</v>
      </c>
      <c r="G802" s="8">
        <v>1</v>
      </c>
      <c r="H802" s="11">
        <v>400</v>
      </c>
      <c r="I802" s="12">
        <v>42491</v>
      </c>
      <c r="J802" s="13">
        <f t="shared" si="29"/>
        <v>0</v>
      </c>
      <c r="K802" s="14"/>
      <c r="L802" s="14"/>
      <c r="M802" s="14">
        <v>400</v>
      </c>
      <c r="N802" s="14"/>
      <c r="O802" s="14"/>
      <c r="P802" s="14"/>
      <c r="Q802" s="14"/>
      <c r="R802" s="14"/>
      <c r="S802" s="14"/>
      <c r="T802" s="14"/>
      <c r="U802" s="14"/>
      <c r="V802" s="14"/>
      <c r="W802" s="15">
        <f t="shared" si="30"/>
        <v>400</v>
      </c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5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5"/>
      <c r="AX802" s="16"/>
    </row>
    <row r="803" spans="2:50" x14ac:dyDescent="0.2">
      <c r="B803" s="7" t="s">
        <v>47</v>
      </c>
      <c r="C803" s="8">
        <v>11542</v>
      </c>
      <c r="D803" s="9" t="s">
        <v>97</v>
      </c>
      <c r="E803" s="10" t="s">
        <v>98</v>
      </c>
      <c r="F803" s="10" t="s">
        <v>99</v>
      </c>
      <c r="G803" s="8">
        <v>1</v>
      </c>
      <c r="H803" s="11">
        <v>400</v>
      </c>
      <c r="I803" s="12">
        <v>42491</v>
      </c>
      <c r="J803" s="13">
        <f t="shared" si="29"/>
        <v>0</v>
      </c>
      <c r="K803" s="14"/>
      <c r="L803" s="14"/>
      <c r="M803" s="14"/>
      <c r="N803" s="14"/>
      <c r="O803" s="14">
        <v>400</v>
      </c>
      <c r="P803" s="14"/>
      <c r="Q803" s="14"/>
      <c r="R803" s="14"/>
      <c r="S803" s="14"/>
      <c r="T803" s="14"/>
      <c r="U803" s="14"/>
      <c r="V803" s="14"/>
      <c r="W803" s="15">
        <f t="shared" si="30"/>
        <v>400</v>
      </c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5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5"/>
      <c r="AX803" s="16"/>
    </row>
    <row r="804" spans="2:50" x14ac:dyDescent="0.2">
      <c r="B804" s="7" t="s">
        <v>69</v>
      </c>
      <c r="C804" s="8">
        <v>11543</v>
      </c>
      <c r="D804" s="9" t="s">
        <v>574</v>
      </c>
      <c r="E804" s="10" t="s">
        <v>575</v>
      </c>
      <c r="F804" s="10" t="s">
        <v>576</v>
      </c>
      <c r="G804" s="8">
        <v>1</v>
      </c>
      <c r="H804" s="11">
        <v>400</v>
      </c>
      <c r="I804" s="12">
        <v>42491</v>
      </c>
      <c r="J804" s="13">
        <f t="shared" si="29"/>
        <v>0</v>
      </c>
      <c r="K804" s="14"/>
      <c r="L804" s="14"/>
      <c r="M804" s="14">
        <v>400</v>
      </c>
      <c r="N804" s="14"/>
      <c r="O804" s="14"/>
      <c r="P804" s="14"/>
      <c r="Q804" s="14"/>
      <c r="R804" s="14"/>
      <c r="S804" s="14"/>
      <c r="T804" s="14"/>
      <c r="U804" s="14"/>
      <c r="V804" s="14"/>
      <c r="W804" s="15">
        <f t="shared" si="30"/>
        <v>400</v>
      </c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5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5"/>
      <c r="AX804" s="16"/>
    </row>
    <row r="805" spans="2:50" x14ac:dyDescent="0.2">
      <c r="B805" s="7" t="s">
        <v>47</v>
      </c>
      <c r="C805" s="8">
        <v>11544</v>
      </c>
      <c r="D805" s="9" t="s">
        <v>699</v>
      </c>
      <c r="E805" s="10" t="s">
        <v>700</v>
      </c>
      <c r="F805" s="10" t="s">
        <v>701</v>
      </c>
      <c r="G805" s="8">
        <v>1</v>
      </c>
      <c r="H805" s="11">
        <v>1200</v>
      </c>
      <c r="I805" s="12">
        <v>42491</v>
      </c>
      <c r="J805" s="13">
        <f t="shared" si="29"/>
        <v>0</v>
      </c>
      <c r="K805" s="14"/>
      <c r="L805" s="14"/>
      <c r="M805" s="14">
        <v>400</v>
      </c>
      <c r="N805" s="14">
        <v>400</v>
      </c>
      <c r="O805" s="14">
        <v>400</v>
      </c>
      <c r="P805" s="14"/>
      <c r="Q805" s="14"/>
      <c r="R805" s="14"/>
      <c r="S805" s="14"/>
      <c r="T805" s="14"/>
      <c r="U805" s="14"/>
      <c r="V805" s="14"/>
      <c r="W805" s="15">
        <f t="shared" si="30"/>
        <v>1200</v>
      </c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5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5"/>
      <c r="AX805" s="16"/>
    </row>
    <row r="806" spans="2:50" x14ac:dyDescent="0.2">
      <c r="B806" s="7" t="s">
        <v>73</v>
      </c>
      <c r="C806" s="8">
        <v>11545</v>
      </c>
      <c r="D806" s="9" t="s">
        <v>112</v>
      </c>
      <c r="E806" s="10" t="s">
        <v>113</v>
      </c>
      <c r="F806" s="10" t="s">
        <v>114</v>
      </c>
      <c r="G806" s="8">
        <v>1</v>
      </c>
      <c r="H806" s="11">
        <v>250</v>
      </c>
      <c r="I806" s="12">
        <v>42491</v>
      </c>
      <c r="J806" s="13">
        <f t="shared" si="29"/>
        <v>0</v>
      </c>
      <c r="K806" s="14"/>
      <c r="L806" s="14"/>
      <c r="M806" s="14"/>
      <c r="N806" s="14">
        <v>250</v>
      </c>
      <c r="O806" s="14"/>
      <c r="P806" s="14"/>
      <c r="Q806" s="14"/>
      <c r="R806" s="14"/>
      <c r="S806" s="14"/>
      <c r="T806" s="14"/>
      <c r="U806" s="14"/>
      <c r="V806" s="14"/>
      <c r="W806" s="15">
        <f t="shared" si="30"/>
        <v>250</v>
      </c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5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5"/>
      <c r="AX806" s="16"/>
    </row>
    <row r="807" spans="2:50" x14ac:dyDescent="0.2">
      <c r="B807" s="7" t="s">
        <v>47</v>
      </c>
      <c r="C807" s="8">
        <v>11546</v>
      </c>
      <c r="D807" s="9" t="s">
        <v>823</v>
      </c>
      <c r="E807" s="10" t="s">
        <v>824</v>
      </c>
      <c r="F807" s="10" t="s">
        <v>765</v>
      </c>
      <c r="G807" s="8">
        <v>1</v>
      </c>
      <c r="H807" s="11">
        <v>200</v>
      </c>
      <c r="I807" s="12">
        <v>42491</v>
      </c>
      <c r="J807" s="13">
        <f t="shared" si="29"/>
        <v>0</v>
      </c>
      <c r="K807" s="14"/>
      <c r="L807" s="14"/>
      <c r="M807" s="14"/>
      <c r="N807" s="14"/>
      <c r="O807" s="14">
        <v>200</v>
      </c>
      <c r="P807" s="14"/>
      <c r="Q807" s="14"/>
      <c r="R807" s="14"/>
      <c r="S807" s="14"/>
      <c r="T807" s="14"/>
      <c r="U807" s="14"/>
      <c r="V807" s="14"/>
      <c r="W807" s="15">
        <f t="shared" si="30"/>
        <v>200</v>
      </c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5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5"/>
      <c r="AX807" s="16"/>
    </row>
    <row r="808" spans="2:50" x14ac:dyDescent="0.2">
      <c r="B808" s="7" t="s">
        <v>47</v>
      </c>
      <c r="C808" s="8">
        <v>11547</v>
      </c>
      <c r="D808" s="9" t="s">
        <v>84</v>
      </c>
      <c r="E808" s="10" t="s">
        <v>85</v>
      </c>
      <c r="F808" s="10" t="s">
        <v>86</v>
      </c>
      <c r="G808" s="8">
        <v>1</v>
      </c>
      <c r="H808" s="11">
        <v>200</v>
      </c>
      <c r="I808" s="12">
        <v>42491</v>
      </c>
      <c r="J808" s="13">
        <f t="shared" si="29"/>
        <v>0</v>
      </c>
      <c r="K808" s="14"/>
      <c r="L808" s="14"/>
      <c r="M808" s="14"/>
      <c r="N808" s="14"/>
      <c r="O808" s="14">
        <v>200</v>
      </c>
      <c r="P808" s="14"/>
      <c r="Q808" s="14"/>
      <c r="R808" s="14"/>
      <c r="S808" s="14"/>
      <c r="T808" s="14"/>
      <c r="U808" s="14"/>
      <c r="V808" s="14"/>
      <c r="W808" s="15">
        <f t="shared" si="30"/>
        <v>200</v>
      </c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5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5"/>
      <c r="AX808" s="16"/>
    </row>
    <row r="809" spans="2:50" x14ac:dyDescent="0.2">
      <c r="B809" s="7" t="s">
        <v>69</v>
      </c>
      <c r="C809" s="8">
        <v>11548</v>
      </c>
      <c r="D809" s="9" t="s">
        <v>461</v>
      </c>
      <c r="E809" s="10" t="s">
        <v>462</v>
      </c>
      <c r="F809" s="10" t="s">
        <v>463</v>
      </c>
      <c r="G809" s="8">
        <v>1</v>
      </c>
      <c r="H809" s="11">
        <v>400</v>
      </c>
      <c r="I809" s="12">
        <v>42491</v>
      </c>
      <c r="J809" s="13">
        <f t="shared" si="29"/>
        <v>0</v>
      </c>
      <c r="K809" s="14"/>
      <c r="L809" s="14"/>
      <c r="M809" s="14">
        <v>400</v>
      </c>
      <c r="N809" s="14"/>
      <c r="O809" s="14"/>
      <c r="P809" s="14"/>
      <c r="Q809" s="14"/>
      <c r="R809" s="14"/>
      <c r="S809" s="14"/>
      <c r="T809" s="14"/>
      <c r="U809" s="14"/>
      <c r="V809" s="14"/>
      <c r="W809" s="15">
        <f t="shared" si="30"/>
        <v>400</v>
      </c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5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5"/>
      <c r="AX809" s="16"/>
    </row>
    <row r="810" spans="2:50" x14ac:dyDescent="0.2">
      <c r="B810" s="7" t="s">
        <v>73</v>
      </c>
      <c r="C810" s="8">
        <v>11549</v>
      </c>
      <c r="D810" s="9" t="s">
        <v>782</v>
      </c>
      <c r="E810" s="10" t="s">
        <v>783</v>
      </c>
      <c r="F810" s="10" t="s">
        <v>784</v>
      </c>
      <c r="G810" s="8">
        <v>3</v>
      </c>
      <c r="H810" s="11">
        <v>160</v>
      </c>
      <c r="I810" s="12">
        <v>42491</v>
      </c>
      <c r="J810" s="13">
        <f t="shared" si="29"/>
        <v>0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5">
        <f t="shared" si="30"/>
        <v>0</v>
      </c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5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5"/>
      <c r="AX810" s="16"/>
    </row>
    <row r="811" spans="2:50" x14ac:dyDescent="0.2">
      <c r="B811" s="7" t="s">
        <v>69</v>
      </c>
      <c r="C811" s="8">
        <v>11550</v>
      </c>
      <c r="D811" s="9" t="s">
        <v>186</v>
      </c>
      <c r="E811" s="10" t="s">
        <v>187</v>
      </c>
      <c r="F811" s="10" t="s">
        <v>188</v>
      </c>
      <c r="G811" s="8">
        <v>1</v>
      </c>
      <c r="H811" s="11">
        <v>400</v>
      </c>
      <c r="I811" s="12">
        <v>42491</v>
      </c>
      <c r="J811" s="13">
        <f t="shared" si="29"/>
        <v>0</v>
      </c>
      <c r="K811" s="14"/>
      <c r="L811" s="14"/>
      <c r="M811" s="14"/>
      <c r="N811" s="14"/>
      <c r="O811" s="14">
        <v>400</v>
      </c>
      <c r="P811" s="14"/>
      <c r="Q811" s="14"/>
      <c r="R811" s="14"/>
      <c r="S811" s="14"/>
      <c r="T811" s="14"/>
      <c r="U811" s="14"/>
      <c r="V811" s="14"/>
      <c r="W811" s="15">
        <f t="shared" si="30"/>
        <v>400</v>
      </c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5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5"/>
      <c r="AX811" s="16"/>
    </row>
    <row r="812" spans="2:50" x14ac:dyDescent="0.2">
      <c r="B812" s="7" t="s">
        <v>77</v>
      </c>
      <c r="C812" s="8">
        <v>11551</v>
      </c>
      <c r="D812" s="9" t="s">
        <v>479</v>
      </c>
      <c r="E812" s="10" t="s">
        <v>480</v>
      </c>
      <c r="F812" s="10" t="s">
        <v>481</v>
      </c>
      <c r="G812" s="8">
        <v>1</v>
      </c>
      <c r="H812" s="11">
        <v>300</v>
      </c>
      <c r="I812" s="12">
        <v>42491</v>
      </c>
      <c r="J812" s="13">
        <f t="shared" si="29"/>
        <v>0</v>
      </c>
      <c r="K812" s="14"/>
      <c r="L812" s="14"/>
      <c r="M812" s="14"/>
      <c r="N812" s="14"/>
      <c r="O812" s="14">
        <v>300</v>
      </c>
      <c r="P812" s="14"/>
      <c r="Q812" s="14"/>
      <c r="R812" s="14"/>
      <c r="S812" s="14"/>
      <c r="T812" s="14"/>
      <c r="U812" s="14"/>
      <c r="V812" s="14"/>
      <c r="W812" s="15">
        <f t="shared" si="30"/>
        <v>300</v>
      </c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5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5"/>
      <c r="AX812" s="16"/>
    </row>
    <row r="813" spans="2:50" x14ac:dyDescent="0.2">
      <c r="B813" s="7" t="s">
        <v>37</v>
      </c>
      <c r="C813" s="8">
        <v>11552</v>
      </c>
      <c r="D813" s="9" t="s">
        <v>268</v>
      </c>
      <c r="E813" s="10" t="s">
        <v>269</v>
      </c>
      <c r="F813" s="10" t="s">
        <v>270</v>
      </c>
      <c r="G813" s="8">
        <v>1</v>
      </c>
      <c r="H813" s="11">
        <v>300</v>
      </c>
      <c r="I813" s="12">
        <v>42491</v>
      </c>
      <c r="J813" s="13">
        <f t="shared" si="29"/>
        <v>0</v>
      </c>
      <c r="K813" s="14"/>
      <c r="L813" s="14"/>
      <c r="M813" s="14"/>
      <c r="N813" s="14"/>
      <c r="O813" s="14">
        <v>300</v>
      </c>
      <c r="P813" s="14"/>
      <c r="Q813" s="14"/>
      <c r="R813" s="14"/>
      <c r="S813" s="14"/>
      <c r="T813" s="14"/>
      <c r="U813" s="14"/>
      <c r="V813" s="14"/>
      <c r="W813" s="15">
        <f t="shared" si="30"/>
        <v>300</v>
      </c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5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5"/>
      <c r="AX813" s="16"/>
    </row>
    <row r="814" spans="2:50" x14ac:dyDescent="0.2">
      <c r="B814" s="7" t="s">
        <v>37</v>
      </c>
      <c r="C814" s="8">
        <v>11552</v>
      </c>
      <c r="D814" s="9" t="s">
        <v>268</v>
      </c>
      <c r="E814" s="10" t="s">
        <v>269</v>
      </c>
      <c r="F814" s="10" t="s">
        <v>270</v>
      </c>
      <c r="G814" s="8">
        <v>3</v>
      </c>
      <c r="H814" s="11">
        <v>160</v>
      </c>
      <c r="I814" s="12">
        <v>42491</v>
      </c>
      <c r="J814" s="13">
        <f t="shared" si="29"/>
        <v>0</v>
      </c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5">
        <f t="shared" si="30"/>
        <v>0</v>
      </c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5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5"/>
      <c r="AX814" s="16"/>
    </row>
    <row r="815" spans="2:50" x14ac:dyDescent="0.2">
      <c r="B815" s="7" t="s">
        <v>93</v>
      </c>
      <c r="C815" s="8">
        <v>11553</v>
      </c>
      <c r="D815" s="9"/>
      <c r="E815" s="10" t="s">
        <v>93</v>
      </c>
      <c r="F815" s="10" t="s">
        <v>93</v>
      </c>
      <c r="G815" s="8">
        <v>8</v>
      </c>
      <c r="H815" s="11"/>
      <c r="I815" s="12"/>
      <c r="J815" s="13">
        <f t="shared" si="29"/>
        <v>0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5">
        <f t="shared" si="30"/>
        <v>0</v>
      </c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5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5"/>
      <c r="AX815" s="16"/>
    </row>
    <row r="816" spans="2:50" x14ac:dyDescent="0.2">
      <c r="B816" s="7" t="s">
        <v>37</v>
      </c>
      <c r="C816" s="8">
        <v>11554</v>
      </c>
      <c r="D816" s="9" t="s">
        <v>271</v>
      </c>
      <c r="E816" s="10" t="s">
        <v>272</v>
      </c>
      <c r="F816" s="10" t="s">
        <v>273</v>
      </c>
      <c r="G816" s="8">
        <v>1</v>
      </c>
      <c r="H816" s="11">
        <v>800</v>
      </c>
      <c r="I816" s="12">
        <v>42491</v>
      </c>
      <c r="J816" s="13">
        <f t="shared" si="29"/>
        <v>0</v>
      </c>
      <c r="K816" s="14"/>
      <c r="L816" s="14"/>
      <c r="M816" s="14"/>
      <c r="N816" s="14">
        <v>400</v>
      </c>
      <c r="O816" s="14">
        <v>400</v>
      </c>
      <c r="P816" s="14"/>
      <c r="Q816" s="14"/>
      <c r="R816" s="14"/>
      <c r="S816" s="14"/>
      <c r="T816" s="14"/>
      <c r="U816" s="14"/>
      <c r="V816" s="14"/>
      <c r="W816" s="15">
        <f t="shared" si="30"/>
        <v>800</v>
      </c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5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5"/>
      <c r="AX816" s="16"/>
    </row>
    <row r="817" spans="2:50" x14ac:dyDescent="0.2">
      <c r="B817" s="7" t="s">
        <v>122</v>
      </c>
      <c r="C817" s="8">
        <v>11555</v>
      </c>
      <c r="D817" s="9" t="s">
        <v>123</v>
      </c>
      <c r="E817" s="10" t="s">
        <v>124</v>
      </c>
      <c r="F817" s="10" t="s">
        <v>125</v>
      </c>
      <c r="G817" s="8">
        <v>1</v>
      </c>
      <c r="H817" s="11">
        <v>250</v>
      </c>
      <c r="I817" s="12">
        <v>42491</v>
      </c>
      <c r="J817" s="13">
        <f t="shared" si="29"/>
        <v>0</v>
      </c>
      <c r="K817" s="14"/>
      <c r="L817" s="14"/>
      <c r="M817" s="14"/>
      <c r="N817" s="14"/>
      <c r="O817" s="14">
        <v>250</v>
      </c>
      <c r="P817" s="14"/>
      <c r="Q817" s="14"/>
      <c r="R817" s="14"/>
      <c r="S817" s="14"/>
      <c r="T817" s="14"/>
      <c r="U817" s="14"/>
      <c r="V817" s="14"/>
      <c r="W817" s="15">
        <f t="shared" si="30"/>
        <v>250</v>
      </c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5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5"/>
      <c r="AX817" s="16"/>
    </row>
    <row r="818" spans="2:50" x14ac:dyDescent="0.2">
      <c r="B818" s="7" t="s">
        <v>69</v>
      </c>
      <c r="C818" s="8">
        <v>11556</v>
      </c>
      <c r="D818" s="9" t="s">
        <v>292</v>
      </c>
      <c r="E818" s="10" t="s">
        <v>293</v>
      </c>
      <c r="F818" s="10" t="s">
        <v>294</v>
      </c>
      <c r="G818" s="8">
        <v>1</v>
      </c>
      <c r="H818" s="11">
        <v>400</v>
      </c>
      <c r="I818" s="12">
        <v>42491</v>
      </c>
      <c r="J818" s="13">
        <f t="shared" si="29"/>
        <v>0</v>
      </c>
      <c r="K818" s="14"/>
      <c r="L818" s="14"/>
      <c r="M818" s="14"/>
      <c r="N818" s="14"/>
      <c r="O818" s="14">
        <v>400</v>
      </c>
      <c r="P818" s="14"/>
      <c r="Q818" s="14"/>
      <c r="R818" s="14"/>
      <c r="S818" s="14"/>
      <c r="T818" s="14"/>
      <c r="U818" s="14"/>
      <c r="V818" s="14"/>
      <c r="W818" s="15">
        <f t="shared" si="30"/>
        <v>400</v>
      </c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5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5"/>
      <c r="AX818" s="16"/>
    </row>
    <row r="819" spans="2:50" x14ac:dyDescent="0.2">
      <c r="B819" s="7" t="s">
        <v>47</v>
      </c>
      <c r="C819" s="8">
        <v>11557</v>
      </c>
      <c r="D819" s="9" t="s">
        <v>404</v>
      </c>
      <c r="E819" s="10" t="s">
        <v>405</v>
      </c>
      <c r="F819" s="10" t="s">
        <v>406</v>
      </c>
      <c r="G819" s="8">
        <v>1</v>
      </c>
      <c r="H819" s="11">
        <v>400</v>
      </c>
      <c r="I819" s="12">
        <v>42491</v>
      </c>
      <c r="J819" s="13">
        <f t="shared" si="29"/>
        <v>0</v>
      </c>
      <c r="K819" s="14"/>
      <c r="L819" s="14"/>
      <c r="M819" s="14"/>
      <c r="N819" s="14"/>
      <c r="O819" s="14">
        <v>400</v>
      </c>
      <c r="P819" s="14"/>
      <c r="Q819" s="14"/>
      <c r="R819" s="14"/>
      <c r="S819" s="14"/>
      <c r="T819" s="14"/>
      <c r="U819" s="14"/>
      <c r="V819" s="14"/>
      <c r="W819" s="15">
        <f t="shared" si="30"/>
        <v>400</v>
      </c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5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5"/>
      <c r="AX819" s="16"/>
    </row>
    <row r="820" spans="2:50" x14ac:dyDescent="0.2">
      <c r="B820" s="7" t="s">
        <v>73</v>
      </c>
      <c r="C820" s="8">
        <v>11558</v>
      </c>
      <c r="D820" s="9" t="s">
        <v>763</v>
      </c>
      <c r="E820" s="10" t="s">
        <v>764</v>
      </c>
      <c r="F820" s="10" t="s">
        <v>765</v>
      </c>
      <c r="G820" s="8">
        <v>1</v>
      </c>
      <c r="H820" s="11">
        <v>400</v>
      </c>
      <c r="I820" s="12">
        <v>42491</v>
      </c>
      <c r="J820" s="13">
        <f t="shared" si="29"/>
        <v>0</v>
      </c>
      <c r="K820" s="14"/>
      <c r="L820" s="14"/>
      <c r="M820" s="14"/>
      <c r="N820" s="14">
        <v>400</v>
      </c>
      <c r="O820" s="14"/>
      <c r="P820" s="14"/>
      <c r="Q820" s="14"/>
      <c r="R820" s="14"/>
      <c r="S820" s="14"/>
      <c r="T820" s="14"/>
      <c r="U820" s="14"/>
      <c r="V820" s="14"/>
      <c r="W820" s="15">
        <f t="shared" si="30"/>
        <v>400</v>
      </c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5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5"/>
      <c r="AX820" s="16"/>
    </row>
    <row r="821" spans="2:50" x14ac:dyDescent="0.2">
      <c r="B821" s="7" t="s">
        <v>93</v>
      </c>
      <c r="C821" s="8">
        <v>11559</v>
      </c>
      <c r="D821" s="9"/>
      <c r="E821" s="10" t="s">
        <v>93</v>
      </c>
      <c r="F821" s="10" t="s">
        <v>93</v>
      </c>
      <c r="G821" s="8">
        <v>8</v>
      </c>
      <c r="H821" s="11"/>
      <c r="I821" s="12"/>
      <c r="J821" s="13">
        <f t="shared" si="29"/>
        <v>0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5">
        <f t="shared" si="30"/>
        <v>0</v>
      </c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5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5"/>
      <c r="AX821" s="16"/>
    </row>
    <row r="822" spans="2:50" x14ac:dyDescent="0.2">
      <c r="B822" s="7" t="s">
        <v>73</v>
      </c>
      <c r="C822" s="8">
        <v>11560</v>
      </c>
      <c r="D822" s="9" t="s">
        <v>316</v>
      </c>
      <c r="E822" s="10" t="s">
        <v>317</v>
      </c>
      <c r="F822" s="10" t="s">
        <v>318</v>
      </c>
      <c r="G822" s="8">
        <v>1</v>
      </c>
      <c r="H822" s="11">
        <v>300</v>
      </c>
      <c r="I822" s="12">
        <v>42491</v>
      </c>
      <c r="J822" s="13">
        <f t="shared" si="29"/>
        <v>0</v>
      </c>
      <c r="K822" s="14">
        <v>100</v>
      </c>
      <c r="L822" s="14">
        <v>100</v>
      </c>
      <c r="M822" s="14">
        <v>100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15">
        <f t="shared" si="30"/>
        <v>300</v>
      </c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5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5"/>
      <c r="AX822" s="16"/>
    </row>
    <row r="823" spans="2:50" x14ac:dyDescent="0.2">
      <c r="B823" s="7" t="s">
        <v>73</v>
      </c>
      <c r="C823" s="8">
        <v>11561</v>
      </c>
      <c r="D823" s="9" t="s">
        <v>319</v>
      </c>
      <c r="E823" s="10" t="s">
        <v>320</v>
      </c>
      <c r="F823" s="10" t="s">
        <v>321</v>
      </c>
      <c r="G823" s="8">
        <v>1</v>
      </c>
      <c r="H823" s="11">
        <v>300</v>
      </c>
      <c r="I823" s="12">
        <v>42491</v>
      </c>
      <c r="J823" s="13">
        <f t="shared" si="29"/>
        <v>0</v>
      </c>
      <c r="K823" s="14">
        <v>100</v>
      </c>
      <c r="L823" s="14">
        <v>100</v>
      </c>
      <c r="M823" s="14">
        <v>100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15">
        <f t="shared" si="30"/>
        <v>300</v>
      </c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5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5"/>
      <c r="AX823" s="16"/>
    </row>
    <row r="824" spans="2:50" x14ac:dyDescent="0.2">
      <c r="B824" s="7" t="s">
        <v>69</v>
      </c>
      <c r="C824" s="8">
        <v>11562</v>
      </c>
      <c r="D824" s="9" t="s">
        <v>346</v>
      </c>
      <c r="E824" s="10" t="s">
        <v>347</v>
      </c>
      <c r="F824" s="10" t="s">
        <v>348</v>
      </c>
      <c r="G824" s="8">
        <v>1</v>
      </c>
      <c r="H824" s="11">
        <v>300</v>
      </c>
      <c r="I824" s="12">
        <v>42491</v>
      </c>
      <c r="J824" s="13">
        <f t="shared" si="29"/>
        <v>0</v>
      </c>
      <c r="K824" s="14"/>
      <c r="L824" s="14"/>
      <c r="M824" s="14">
        <v>300</v>
      </c>
      <c r="N824" s="14"/>
      <c r="O824" s="14"/>
      <c r="P824" s="14"/>
      <c r="Q824" s="14"/>
      <c r="R824" s="14"/>
      <c r="S824" s="14"/>
      <c r="T824" s="14"/>
      <c r="U824" s="14"/>
      <c r="V824" s="14"/>
      <c r="W824" s="15">
        <f t="shared" si="30"/>
        <v>300</v>
      </c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5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5"/>
      <c r="AX824" s="16"/>
    </row>
    <row r="825" spans="2:50" x14ac:dyDescent="0.2">
      <c r="B825" s="7" t="s">
        <v>37</v>
      </c>
      <c r="C825" s="8">
        <v>11563</v>
      </c>
      <c r="D825" s="9" t="s">
        <v>716</v>
      </c>
      <c r="E825" s="10" t="s">
        <v>717</v>
      </c>
      <c r="F825" s="10" t="s">
        <v>718</v>
      </c>
      <c r="G825" s="8">
        <v>1</v>
      </c>
      <c r="H825" s="11">
        <v>300</v>
      </c>
      <c r="I825" s="12">
        <v>42491</v>
      </c>
      <c r="J825" s="13">
        <f t="shared" si="29"/>
        <v>0</v>
      </c>
      <c r="K825" s="14"/>
      <c r="L825" s="14"/>
      <c r="M825" s="14"/>
      <c r="N825" s="14"/>
      <c r="O825" s="14">
        <v>300</v>
      </c>
      <c r="P825" s="14"/>
      <c r="Q825" s="14"/>
      <c r="R825" s="14"/>
      <c r="S825" s="14"/>
      <c r="T825" s="14"/>
      <c r="U825" s="14"/>
      <c r="V825" s="14"/>
      <c r="W825" s="15">
        <f t="shared" si="30"/>
        <v>300</v>
      </c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5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5"/>
      <c r="AX825" s="16"/>
    </row>
    <row r="826" spans="2:50" x14ac:dyDescent="0.2">
      <c r="B826" s="7" t="s">
        <v>37</v>
      </c>
      <c r="C826" s="8">
        <v>11564</v>
      </c>
      <c r="D826" s="9" t="s">
        <v>298</v>
      </c>
      <c r="E826" s="10" t="s">
        <v>299</v>
      </c>
      <c r="F826" s="10" t="s">
        <v>300</v>
      </c>
      <c r="G826" s="8">
        <v>1</v>
      </c>
      <c r="H826" s="11">
        <v>300</v>
      </c>
      <c r="I826" s="12">
        <v>42491</v>
      </c>
      <c r="J826" s="13">
        <f t="shared" si="29"/>
        <v>0</v>
      </c>
      <c r="K826" s="14"/>
      <c r="L826" s="14"/>
      <c r="M826" s="14">
        <v>150</v>
      </c>
      <c r="N826" s="14">
        <v>150</v>
      </c>
      <c r="O826" s="14"/>
      <c r="P826" s="14"/>
      <c r="Q826" s="14"/>
      <c r="R826" s="14"/>
      <c r="S826" s="14"/>
      <c r="T826" s="14"/>
      <c r="U826" s="14"/>
      <c r="V826" s="14"/>
      <c r="W826" s="15">
        <f t="shared" si="30"/>
        <v>300</v>
      </c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5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5"/>
      <c r="AX826" s="16"/>
    </row>
    <row r="827" spans="2:50" x14ac:dyDescent="0.2">
      <c r="B827" s="7" t="s">
        <v>122</v>
      </c>
      <c r="C827" s="8">
        <v>11565</v>
      </c>
      <c r="D827" s="9" t="s">
        <v>310</v>
      </c>
      <c r="E827" s="10" t="s">
        <v>311</v>
      </c>
      <c r="F827" s="10" t="s">
        <v>312</v>
      </c>
      <c r="G827" s="8">
        <v>1</v>
      </c>
      <c r="H827" s="11">
        <v>800</v>
      </c>
      <c r="I827" s="12">
        <v>42491</v>
      </c>
      <c r="J827" s="13">
        <f t="shared" si="29"/>
        <v>0</v>
      </c>
      <c r="K827" s="14"/>
      <c r="L827" s="14"/>
      <c r="M827" s="14"/>
      <c r="N827" s="14">
        <v>400</v>
      </c>
      <c r="O827" s="14">
        <v>400</v>
      </c>
      <c r="P827" s="14"/>
      <c r="Q827" s="14"/>
      <c r="R827" s="14"/>
      <c r="S827" s="14"/>
      <c r="T827" s="14"/>
      <c r="U827" s="14"/>
      <c r="V827" s="14"/>
      <c r="W827" s="15">
        <f t="shared" si="30"/>
        <v>800</v>
      </c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5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5"/>
      <c r="AX827" s="16"/>
    </row>
    <row r="828" spans="2:50" x14ac:dyDescent="0.2">
      <c r="B828" s="7" t="s">
        <v>73</v>
      </c>
      <c r="C828" s="8">
        <v>11566</v>
      </c>
      <c r="D828" s="9" t="s">
        <v>817</v>
      </c>
      <c r="E828" s="10" t="s">
        <v>818</v>
      </c>
      <c r="F828" s="10" t="s">
        <v>819</v>
      </c>
      <c r="G828" s="8">
        <v>3</v>
      </c>
      <c r="H828" s="11">
        <v>160</v>
      </c>
      <c r="I828" s="12">
        <v>42491</v>
      </c>
      <c r="J828" s="13">
        <f t="shared" si="29"/>
        <v>0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>
        <f t="shared" si="30"/>
        <v>0</v>
      </c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5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5"/>
      <c r="AX828" s="16"/>
    </row>
    <row r="829" spans="2:50" x14ac:dyDescent="0.2">
      <c r="B829" s="7" t="s">
        <v>69</v>
      </c>
      <c r="C829" s="8">
        <v>11567</v>
      </c>
      <c r="D829" s="9" t="s">
        <v>915</v>
      </c>
      <c r="E829" s="10" t="s">
        <v>916</v>
      </c>
      <c r="F829" s="10" t="s">
        <v>917</v>
      </c>
      <c r="G829" s="8">
        <v>1</v>
      </c>
      <c r="H829" s="11">
        <v>200</v>
      </c>
      <c r="I829" s="12">
        <v>42491</v>
      </c>
      <c r="J829" s="13">
        <f t="shared" si="29"/>
        <v>0</v>
      </c>
      <c r="K829" s="14"/>
      <c r="L829" s="14"/>
      <c r="M829" s="14"/>
      <c r="N829" s="14"/>
      <c r="O829" s="14">
        <v>200</v>
      </c>
      <c r="P829" s="14"/>
      <c r="Q829" s="14"/>
      <c r="R829" s="14"/>
      <c r="S829" s="14"/>
      <c r="T829" s="14"/>
      <c r="U829" s="14"/>
      <c r="V829" s="14"/>
      <c r="W829" s="15">
        <f t="shared" si="30"/>
        <v>200</v>
      </c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5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5"/>
      <c r="AX829" s="16"/>
    </row>
    <row r="830" spans="2:50" x14ac:dyDescent="0.2">
      <c r="B830" s="7" t="s">
        <v>69</v>
      </c>
      <c r="C830" s="8">
        <v>11567</v>
      </c>
      <c r="D830" s="9" t="s">
        <v>915</v>
      </c>
      <c r="E830" s="10" t="s">
        <v>916</v>
      </c>
      <c r="F830" s="10" t="s">
        <v>917</v>
      </c>
      <c r="G830" s="8">
        <v>3</v>
      </c>
      <c r="H830" s="11">
        <v>160</v>
      </c>
      <c r="I830" s="12">
        <v>42491</v>
      </c>
      <c r="J830" s="13">
        <f t="shared" si="29"/>
        <v>0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5">
        <f t="shared" si="30"/>
        <v>0</v>
      </c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5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5"/>
      <c r="AX830" s="16"/>
    </row>
    <row r="831" spans="2:50" x14ac:dyDescent="0.2">
      <c r="B831" s="7" t="s">
        <v>73</v>
      </c>
      <c r="C831" s="8">
        <v>11568</v>
      </c>
      <c r="D831" s="9" t="s">
        <v>544</v>
      </c>
      <c r="E831" s="10" t="s">
        <v>545</v>
      </c>
      <c r="F831" s="10" t="s">
        <v>546</v>
      </c>
      <c r="G831" s="8">
        <v>1</v>
      </c>
      <c r="H831" s="11">
        <v>800</v>
      </c>
      <c r="I831" s="12">
        <v>42491</v>
      </c>
      <c r="J831" s="13">
        <f t="shared" si="29"/>
        <v>0</v>
      </c>
      <c r="K831" s="14"/>
      <c r="L831" s="14"/>
      <c r="M831" s="14"/>
      <c r="N831" s="14">
        <v>400</v>
      </c>
      <c r="O831" s="14">
        <v>400</v>
      </c>
      <c r="P831" s="14"/>
      <c r="Q831" s="14"/>
      <c r="R831" s="14"/>
      <c r="S831" s="14"/>
      <c r="T831" s="14"/>
      <c r="U831" s="14"/>
      <c r="V831" s="14"/>
      <c r="W831" s="15">
        <f t="shared" si="30"/>
        <v>800</v>
      </c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5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5"/>
      <c r="AX831" s="16"/>
    </row>
    <row r="832" spans="2:50" x14ac:dyDescent="0.2">
      <c r="B832" s="7" t="s">
        <v>47</v>
      </c>
      <c r="C832" s="8">
        <v>11569</v>
      </c>
      <c r="D832" s="9" t="s">
        <v>313</v>
      </c>
      <c r="E832" s="10" t="s">
        <v>314</v>
      </c>
      <c r="F832" s="10" t="s">
        <v>315</v>
      </c>
      <c r="G832" s="8">
        <v>1</v>
      </c>
      <c r="H832" s="11">
        <v>400</v>
      </c>
      <c r="I832" s="12">
        <v>42491</v>
      </c>
      <c r="J832" s="13">
        <f t="shared" si="29"/>
        <v>0</v>
      </c>
      <c r="K832" s="14"/>
      <c r="L832" s="14"/>
      <c r="M832" s="14"/>
      <c r="N832" s="14"/>
      <c r="O832" s="14">
        <v>400</v>
      </c>
      <c r="P832" s="14"/>
      <c r="Q832" s="14"/>
      <c r="R832" s="14"/>
      <c r="S832" s="14"/>
      <c r="T832" s="14"/>
      <c r="U832" s="14"/>
      <c r="V832" s="14"/>
      <c r="W832" s="15">
        <f t="shared" si="30"/>
        <v>400</v>
      </c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5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5"/>
      <c r="AX832" s="16"/>
    </row>
    <row r="833" spans="2:50" x14ac:dyDescent="0.2">
      <c r="B833" s="7" t="s">
        <v>37</v>
      </c>
      <c r="C833" s="8">
        <v>11570</v>
      </c>
      <c r="D833" s="9" t="s">
        <v>932</v>
      </c>
      <c r="E833" s="10" t="s">
        <v>933</v>
      </c>
      <c r="F833" s="10" t="s">
        <v>934</v>
      </c>
      <c r="G833" s="8">
        <v>1</v>
      </c>
      <c r="H833" s="11">
        <v>2000</v>
      </c>
      <c r="I833" s="12">
        <v>42491</v>
      </c>
      <c r="J833" s="13">
        <f t="shared" si="29"/>
        <v>0</v>
      </c>
      <c r="K833" s="14">
        <v>400</v>
      </c>
      <c r="L833" s="14">
        <v>400</v>
      </c>
      <c r="M833" s="14">
        <v>400</v>
      </c>
      <c r="N833" s="14">
        <v>400</v>
      </c>
      <c r="O833" s="14">
        <v>400</v>
      </c>
      <c r="P833" s="14"/>
      <c r="Q833" s="14"/>
      <c r="R833" s="14"/>
      <c r="S833" s="14"/>
      <c r="T833" s="14"/>
      <c r="U833" s="14"/>
      <c r="V833" s="14"/>
      <c r="W833" s="15">
        <f t="shared" si="30"/>
        <v>2000</v>
      </c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5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5"/>
      <c r="AX833" s="16"/>
    </row>
    <row r="834" spans="2:50" x14ac:dyDescent="0.2">
      <c r="B834" s="7" t="s">
        <v>37</v>
      </c>
      <c r="C834" s="8">
        <v>11571</v>
      </c>
      <c r="D834" s="9" t="s">
        <v>932</v>
      </c>
      <c r="E834" s="10" t="s">
        <v>933</v>
      </c>
      <c r="F834" s="10" t="s">
        <v>934</v>
      </c>
      <c r="G834" s="8">
        <v>4</v>
      </c>
      <c r="H834" s="11">
        <v>160</v>
      </c>
      <c r="I834" s="12">
        <v>42491</v>
      </c>
      <c r="J834" s="13">
        <f t="shared" si="29"/>
        <v>0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5">
        <f t="shared" si="30"/>
        <v>0</v>
      </c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5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5"/>
      <c r="AX834" s="7">
        <v>178</v>
      </c>
    </row>
    <row r="835" spans="2:50" x14ac:dyDescent="0.2">
      <c r="B835" s="7" t="s">
        <v>73</v>
      </c>
      <c r="C835" s="8">
        <v>11572</v>
      </c>
      <c r="D835" s="9" t="s">
        <v>109</v>
      </c>
      <c r="E835" s="10" t="s">
        <v>110</v>
      </c>
      <c r="F835" s="10" t="s">
        <v>111</v>
      </c>
      <c r="G835" s="8">
        <v>1</v>
      </c>
      <c r="H835" s="11">
        <v>400</v>
      </c>
      <c r="I835" s="12">
        <v>42491</v>
      </c>
      <c r="J835" s="13">
        <f t="shared" si="29"/>
        <v>0</v>
      </c>
      <c r="K835" s="14"/>
      <c r="L835" s="14"/>
      <c r="M835" s="14"/>
      <c r="N835" s="14">
        <v>400</v>
      </c>
      <c r="O835" s="14"/>
      <c r="P835" s="14"/>
      <c r="Q835" s="14"/>
      <c r="R835" s="14"/>
      <c r="S835" s="14"/>
      <c r="T835" s="14"/>
      <c r="U835" s="14"/>
      <c r="V835" s="14"/>
      <c r="W835" s="15">
        <f t="shared" si="30"/>
        <v>400</v>
      </c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5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5"/>
      <c r="AX835" s="16"/>
    </row>
    <row r="836" spans="2:50" x14ac:dyDescent="0.2">
      <c r="B836" s="7" t="s">
        <v>47</v>
      </c>
      <c r="C836" s="8">
        <v>11573</v>
      </c>
      <c r="D836" s="9" t="s">
        <v>153</v>
      </c>
      <c r="E836" s="10" t="s">
        <v>154</v>
      </c>
      <c r="F836" s="10" t="s">
        <v>155</v>
      </c>
      <c r="G836" s="8">
        <v>1</v>
      </c>
      <c r="H836" s="11">
        <v>400</v>
      </c>
      <c r="I836" s="12">
        <v>42491</v>
      </c>
      <c r="J836" s="13">
        <f t="shared" si="29"/>
        <v>0</v>
      </c>
      <c r="K836" s="14"/>
      <c r="L836" s="14"/>
      <c r="M836" s="14"/>
      <c r="N836" s="14"/>
      <c r="O836" s="14">
        <v>400</v>
      </c>
      <c r="P836" s="14"/>
      <c r="Q836" s="14"/>
      <c r="R836" s="14"/>
      <c r="S836" s="14"/>
      <c r="T836" s="14"/>
      <c r="U836" s="14"/>
      <c r="V836" s="14"/>
      <c r="W836" s="15">
        <f t="shared" si="30"/>
        <v>400</v>
      </c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5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5"/>
      <c r="AX836" s="16"/>
    </row>
    <row r="837" spans="2:50" x14ac:dyDescent="0.2">
      <c r="B837" s="7" t="s">
        <v>69</v>
      </c>
      <c r="C837" s="8">
        <v>11574</v>
      </c>
      <c r="D837" s="9" t="s">
        <v>476</v>
      </c>
      <c r="E837" s="10" t="s">
        <v>477</v>
      </c>
      <c r="F837" s="10" t="s">
        <v>478</v>
      </c>
      <c r="G837" s="8">
        <v>1</v>
      </c>
      <c r="H837" s="11">
        <v>400</v>
      </c>
      <c r="I837" s="12">
        <v>42491</v>
      </c>
      <c r="J837" s="13">
        <f t="shared" si="29"/>
        <v>0</v>
      </c>
      <c r="K837" s="14"/>
      <c r="L837" s="14"/>
      <c r="M837" s="14"/>
      <c r="N837" s="14"/>
      <c r="O837" s="14">
        <v>400</v>
      </c>
      <c r="P837" s="14"/>
      <c r="Q837" s="14"/>
      <c r="R837" s="14"/>
      <c r="S837" s="14"/>
      <c r="T837" s="14"/>
      <c r="U837" s="14"/>
      <c r="V837" s="14"/>
      <c r="W837" s="15">
        <f t="shared" si="30"/>
        <v>400</v>
      </c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5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5"/>
      <c r="AX837" s="16"/>
    </row>
    <row r="838" spans="2:50" x14ac:dyDescent="0.2">
      <c r="B838" s="7" t="s">
        <v>69</v>
      </c>
      <c r="C838" s="8">
        <v>11575</v>
      </c>
      <c r="D838" s="9" t="s">
        <v>168</v>
      </c>
      <c r="E838" s="10" t="s">
        <v>169</v>
      </c>
      <c r="F838" s="10" t="s">
        <v>170</v>
      </c>
      <c r="G838" s="8">
        <v>1</v>
      </c>
      <c r="H838" s="11">
        <v>200</v>
      </c>
      <c r="I838" s="12">
        <v>42491</v>
      </c>
      <c r="J838" s="13">
        <f t="shared" si="29"/>
        <v>0</v>
      </c>
      <c r="K838" s="14"/>
      <c r="L838" s="14"/>
      <c r="M838" s="14">
        <v>200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5">
        <f t="shared" si="30"/>
        <v>200</v>
      </c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5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5"/>
      <c r="AX838" s="16"/>
    </row>
    <row r="839" spans="2:50" x14ac:dyDescent="0.2">
      <c r="B839" s="7" t="s">
        <v>73</v>
      </c>
      <c r="C839" s="8">
        <v>11576</v>
      </c>
      <c r="D839" s="9" t="s">
        <v>846</v>
      </c>
      <c r="E839" s="10" t="s">
        <v>847</v>
      </c>
      <c r="F839" s="10" t="s">
        <v>848</v>
      </c>
      <c r="G839" s="8">
        <v>1</v>
      </c>
      <c r="H839" s="11">
        <v>800</v>
      </c>
      <c r="I839" s="12">
        <v>42491</v>
      </c>
      <c r="J839" s="13">
        <f t="shared" si="29"/>
        <v>0</v>
      </c>
      <c r="K839" s="14"/>
      <c r="L839" s="14"/>
      <c r="M839" s="14"/>
      <c r="N839" s="14">
        <v>400</v>
      </c>
      <c r="O839" s="14">
        <v>400</v>
      </c>
      <c r="P839" s="14"/>
      <c r="Q839" s="14"/>
      <c r="R839" s="14"/>
      <c r="S839" s="14"/>
      <c r="T839" s="14"/>
      <c r="U839" s="14"/>
      <c r="V839" s="14"/>
      <c r="W839" s="15">
        <f t="shared" si="30"/>
        <v>800</v>
      </c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5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5"/>
      <c r="AX839" s="16"/>
    </row>
    <row r="840" spans="2:50" x14ac:dyDescent="0.2">
      <c r="B840" s="7" t="s">
        <v>47</v>
      </c>
      <c r="C840" s="8">
        <v>11577</v>
      </c>
      <c r="D840" s="9" t="s">
        <v>150</v>
      </c>
      <c r="E840" s="10" t="s">
        <v>151</v>
      </c>
      <c r="F840" s="10" t="s">
        <v>152</v>
      </c>
      <c r="G840" s="8">
        <v>1</v>
      </c>
      <c r="H840" s="11">
        <v>400</v>
      </c>
      <c r="I840" s="12">
        <v>42491</v>
      </c>
      <c r="J840" s="13">
        <f t="shared" si="29"/>
        <v>0</v>
      </c>
      <c r="K840" s="14"/>
      <c r="L840" s="14"/>
      <c r="M840" s="14"/>
      <c r="N840" s="14"/>
      <c r="O840" s="14">
        <v>400</v>
      </c>
      <c r="P840" s="14"/>
      <c r="Q840" s="14"/>
      <c r="R840" s="14"/>
      <c r="S840" s="14"/>
      <c r="T840" s="14"/>
      <c r="U840" s="14"/>
      <c r="V840" s="14"/>
      <c r="W840" s="15">
        <f t="shared" si="30"/>
        <v>400</v>
      </c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5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5"/>
      <c r="AX840" s="16"/>
    </row>
    <row r="841" spans="2:50" x14ac:dyDescent="0.2">
      <c r="B841" s="7" t="s">
        <v>47</v>
      </c>
      <c r="C841" s="8">
        <v>11578</v>
      </c>
      <c r="D841" s="9" t="s">
        <v>416</v>
      </c>
      <c r="E841" s="10" t="s">
        <v>417</v>
      </c>
      <c r="F841" s="10" t="s">
        <v>418</v>
      </c>
      <c r="G841" s="8">
        <v>1</v>
      </c>
      <c r="H841" s="11">
        <v>200</v>
      </c>
      <c r="I841" s="12">
        <v>42491</v>
      </c>
      <c r="J841" s="13">
        <f t="shared" si="29"/>
        <v>0</v>
      </c>
      <c r="K841" s="14"/>
      <c r="L841" s="14"/>
      <c r="M841" s="14"/>
      <c r="N841" s="14"/>
      <c r="O841" s="14">
        <v>200</v>
      </c>
      <c r="P841" s="14"/>
      <c r="Q841" s="14"/>
      <c r="R841" s="14"/>
      <c r="S841" s="14"/>
      <c r="T841" s="14"/>
      <c r="U841" s="14"/>
      <c r="V841" s="14"/>
      <c r="W841" s="15">
        <f t="shared" si="30"/>
        <v>200</v>
      </c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5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5"/>
      <c r="AX841" s="16"/>
    </row>
    <row r="842" spans="2:50" x14ac:dyDescent="0.2">
      <c r="B842" s="7" t="s">
        <v>47</v>
      </c>
      <c r="C842" s="8">
        <v>11579</v>
      </c>
      <c r="D842" s="9" t="s">
        <v>171</v>
      </c>
      <c r="E842" s="10" t="s">
        <v>172</v>
      </c>
      <c r="F842" s="10" t="s">
        <v>173</v>
      </c>
      <c r="G842" s="8">
        <v>1</v>
      </c>
      <c r="H842" s="11">
        <v>400</v>
      </c>
      <c r="I842" s="12">
        <v>42491</v>
      </c>
      <c r="J842" s="13">
        <f t="shared" si="29"/>
        <v>0</v>
      </c>
      <c r="K842" s="14"/>
      <c r="L842" s="14"/>
      <c r="M842" s="14"/>
      <c r="N842" s="14"/>
      <c r="O842" s="14">
        <v>400</v>
      </c>
      <c r="P842" s="14"/>
      <c r="Q842" s="14"/>
      <c r="R842" s="14"/>
      <c r="S842" s="14"/>
      <c r="T842" s="14"/>
      <c r="U842" s="14"/>
      <c r="V842" s="14"/>
      <c r="W842" s="15">
        <f t="shared" si="30"/>
        <v>400</v>
      </c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5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5"/>
      <c r="AX842" s="16"/>
    </row>
    <row r="843" spans="2:50" x14ac:dyDescent="0.2">
      <c r="B843" s="7" t="s">
        <v>47</v>
      </c>
      <c r="C843" s="8">
        <v>11580</v>
      </c>
      <c r="D843" s="9" t="s">
        <v>655</v>
      </c>
      <c r="E843" s="10" t="s">
        <v>656</v>
      </c>
      <c r="F843" s="10" t="s">
        <v>657</v>
      </c>
      <c r="G843" s="8">
        <v>1</v>
      </c>
      <c r="H843" s="11">
        <v>800</v>
      </c>
      <c r="I843" s="12">
        <v>42491</v>
      </c>
      <c r="J843" s="13">
        <f t="shared" si="29"/>
        <v>0</v>
      </c>
      <c r="K843" s="14">
        <v>400</v>
      </c>
      <c r="L843" s="14">
        <v>400</v>
      </c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5">
        <f t="shared" si="30"/>
        <v>800</v>
      </c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5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5"/>
      <c r="AX843" s="16"/>
    </row>
    <row r="844" spans="2:50" x14ac:dyDescent="0.2">
      <c r="B844" s="7" t="s">
        <v>37</v>
      </c>
      <c r="C844" s="8">
        <v>11581</v>
      </c>
      <c r="D844" s="9" t="s">
        <v>708</v>
      </c>
      <c r="E844" s="10" t="s">
        <v>709</v>
      </c>
      <c r="F844" s="10" t="s">
        <v>710</v>
      </c>
      <c r="G844" s="8">
        <v>1</v>
      </c>
      <c r="H844" s="11">
        <v>800</v>
      </c>
      <c r="I844" s="12">
        <v>42491</v>
      </c>
      <c r="J844" s="13">
        <f t="shared" si="29"/>
        <v>0</v>
      </c>
      <c r="K844" s="14"/>
      <c r="L844" s="14"/>
      <c r="M844" s="14">
        <v>400</v>
      </c>
      <c r="N844" s="14">
        <v>400</v>
      </c>
      <c r="O844" s="14"/>
      <c r="P844" s="14"/>
      <c r="Q844" s="14"/>
      <c r="R844" s="14"/>
      <c r="S844" s="14"/>
      <c r="T844" s="14"/>
      <c r="U844" s="14"/>
      <c r="V844" s="14"/>
      <c r="W844" s="15">
        <f t="shared" si="30"/>
        <v>800</v>
      </c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5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5"/>
      <c r="AX844" s="16"/>
    </row>
    <row r="845" spans="2:50" x14ac:dyDescent="0.2">
      <c r="B845" s="7" t="s">
        <v>37</v>
      </c>
      <c r="C845" s="8">
        <v>11582</v>
      </c>
      <c r="D845" s="9" t="s">
        <v>177</v>
      </c>
      <c r="E845" s="10" t="s">
        <v>178</v>
      </c>
      <c r="F845" s="10" t="s">
        <v>179</v>
      </c>
      <c r="G845" s="8">
        <v>1</v>
      </c>
      <c r="H845" s="11">
        <v>400</v>
      </c>
      <c r="I845" s="12">
        <v>42491</v>
      </c>
      <c r="J845" s="13">
        <f t="shared" si="29"/>
        <v>0</v>
      </c>
      <c r="K845" s="14"/>
      <c r="L845" s="14"/>
      <c r="M845" s="14"/>
      <c r="N845" s="14"/>
      <c r="O845" s="14">
        <v>400</v>
      </c>
      <c r="P845" s="14"/>
      <c r="Q845" s="14"/>
      <c r="R845" s="14"/>
      <c r="S845" s="14"/>
      <c r="T845" s="14"/>
      <c r="U845" s="14"/>
      <c r="V845" s="14"/>
      <c r="W845" s="15">
        <f t="shared" si="30"/>
        <v>400</v>
      </c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5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5"/>
      <c r="AX845" s="16"/>
    </row>
    <row r="846" spans="2:50" x14ac:dyDescent="0.2">
      <c r="B846" s="7" t="s">
        <v>47</v>
      </c>
      <c r="C846" s="8">
        <v>11583</v>
      </c>
      <c r="D846" s="9" t="s">
        <v>434</v>
      </c>
      <c r="E846" s="10" t="s">
        <v>435</v>
      </c>
      <c r="F846" s="10" t="s">
        <v>436</v>
      </c>
      <c r="G846" s="8">
        <v>1</v>
      </c>
      <c r="H846" s="11">
        <v>800</v>
      </c>
      <c r="I846" s="12">
        <v>42491</v>
      </c>
      <c r="J846" s="13">
        <f t="shared" si="29"/>
        <v>0</v>
      </c>
      <c r="K846" s="14"/>
      <c r="L846" s="14"/>
      <c r="M846" s="14"/>
      <c r="N846" s="14">
        <v>400</v>
      </c>
      <c r="O846" s="14">
        <v>400</v>
      </c>
      <c r="P846" s="14"/>
      <c r="Q846" s="14"/>
      <c r="R846" s="14"/>
      <c r="S846" s="14"/>
      <c r="T846" s="14"/>
      <c r="U846" s="14"/>
      <c r="V846" s="14"/>
      <c r="W846" s="15">
        <f t="shared" si="30"/>
        <v>800</v>
      </c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5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5"/>
      <c r="AX846" s="16"/>
    </row>
    <row r="847" spans="2:50" x14ac:dyDescent="0.2">
      <c r="B847" s="7" t="s">
        <v>37</v>
      </c>
      <c r="C847" s="8">
        <v>11584</v>
      </c>
      <c r="D847" s="9" t="s">
        <v>935</v>
      </c>
      <c r="E847" s="10" t="s">
        <v>936</v>
      </c>
      <c r="F847" s="10" t="s">
        <v>937</v>
      </c>
      <c r="G847" s="8">
        <v>1</v>
      </c>
      <c r="H847" s="11">
        <v>1000</v>
      </c>
      <c r="I847" s="12">
        <v>42491</v>
      </c>
      <c r="J847" s="13">
        <f t="shared" si="29"/>
        <v>0</v>
      </c>
      <c r="K847" s="14">
        <v>250</v>
      </c>
      <c r="L847" s="14">
        <v>250</v>
      </c>
      <c r="M847" s="14">
        <v>250</v>
      </c>
      <c r="N847" s="14">
        <v>250</v>
      </c>
      <c r="O847" s="14"/>
      <c r="P847" s="14"/>
      <c r="Q847" s="14"/>
      <c r="R847" s="14"/>
      <c r="S847" s="14"/>
      <c r="T847" s="14"/>
      <c r="U847" s="14"/>
      <c r="V847" s="14"/>
      <c r="W847" s="15">
        <f t="shared" si="30"/>
        <v>1000</v>
      </c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5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5"/>
      <c r="AX847" s="16"/>
    </row>
    <row r="848" spans="2:50" x14ac:dyDescent="0.2">
      <c r="B848" s="7" t="s">
        <v>37</v>
      </c>
      <c r="C848" s="8">
        <v>11585</v>
      </c>
      <c r="D848" s="9" t="s">
        <v>858</v>
      </c>
      <c r="E848" s="10" t="s">
        <v>859</v>
      </c>
      <c r="F848" s="10" t="s">
        <v>860</v>
      </c>
      <c r="G848" s="8">
        <v>4</v>
      </c>
      <c r="H848" s="11">
        <v>160</v>
      </c>
      <c r="I848" s="12">
        <v>42491</v>
      </c>
      <c r="J848" s="13">
        <f t="shared" si="29"/>
        <v>0</v>
      </c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5">
        <f t="shared" si="30"/>
        <v>0</v>
      </c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5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5"/>
      <c r="AX848" s="7">
        <v>181</v>
      </c>
    </row>
    <row r="849" spans="2:51" x14ac:dyDescent="0.2">
      <c r="B849" s="7" t="s">
        <v>69</v>
      </c>
      <c r="C849" s="8">
        <v>11586</v>
      </c>
      <c r="D849" s="9" t="s">
        <v>174</v>
      </c>
      <c r="E849" s="10" t="s">
        <v>175</v>
      </c>
      <c r="F849" s="10" t="s">
        <v>176</v>
      </c>
      <c r="G849" s="8">
        <v>1</v>
      </c>
      <c r="H849" s="315">
        <v>300</v>
      </c>
      <c r="I849" s="12">
        <v>42491</v>
      </c>
      <c r="J849" s="13">
        <f t="shared" si="29"/>
        <v>0</v>
      </c>
      <c r="K849" s="14"/>
      <c r="L849" s="14"/>
      <c r="M849" s="14"/>
      <c r="N849" s="14"/>
      <c r="O849" s="14">
        <v>300</v>
      </c>
      <c r="P849" s="14"/>
      <c r="Q849" s="14"/>
      <c r="R849" s="14"/>
      <c r="S849" s="14"/>
      <c r="T849" s="14"/>
      <c r="U849" s="14"/>
      <c r="V849" s="14"/>
      <c r="W849" s="15">
        <f t="shared" si="30"/>
        <v>300</v>
      </c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5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5"/>
      <c r="AX849" s="16"/>
      <c r="AY849" s="112">
        <f>SUM(H787:H849)</f>
        <v>29160</v>
      </c>
    </row>
    <row r="850" spans="2:51" x14ac:dyDescent="0.2">
      <c r="B850" s="7" t="s">
        <v>77</v>
      </c>
      <c r="C850" s="8">
        <v>11587</v>
      </c>
      <c r="D850" s="9" t="s">
        <v>286</v>
      </c>
      <c r="E850" s="10" t="s">
        <v>287</v>
      </c>
      <c r="F850" s="10" t="s">
        <v>288</v>
      </c>
      <c r="G850" s="8">
        <v>1</v>
      </c>
      <c r="H850" s="11">
        <v>400</v>
      </c>
      <c r="I850" s="12">
        <v>42492</v>
      </c>
      <c r="J850" s="13">
        <f t="shared" si="29"/>
        <v>0</v>
      </c>
      <c r="K850" s="14"/>
      <c r="L850" s="14"/>
      <c r="M850" s="14"/>
      <c r="N850" s="14">
        <v>400</v>
      </c>
      <c r="O850" s="14"/>
      <c r="P850" s="14"/>
      <c r="Q850" s="14"/>
      <c r="R850" s="14"/>
      <c r="S850" s="14"/>
      <c r="T850" s="14"/>
      <c r="U850" s="14"/>
      <c r="V850" s="14"/>
      <c r="W850" s="15">
        <f t="shared" si="30"/>
        <v>400</v>
      </c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5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5"/>
      <c r="AX850" s="16"/>
    </row>
    <row r="851" spans="2:51" x14ac:dyDescent="0.2">
      <c r="B851" s="7" t="s">
        <v>73</v>
      </c>
      <c r="C851" s="8">
        <v>11588</v>
      </c>
      <c r="D851" s="9" t="s">
        <v>938</v>
      </c>
      <c r="E851" s="10" t="s">
        <v>939</v>
      </c>
      <c r="F851" s="10" t="s">
        <v>940</v>
      </c>
      <c r="G851" s="8">
        <v>1</v>
      </c>
      <c r="H851" s="11">
        <v>800</v>
      </c>
      <c r="I851" s="12">
        <v>42492</v>
      </c>
      <c r="J851" s="13">
        <f t="shared" ref="J851:J914" si="31">IF(G851=1,SUM(W851,-H851),0)</f>
        <v>0</v>
      </c>
      <c r="K851" s="14"/>
      <c r="L851" s="14"/>
      <c r="M851" s="14"/>
      <c r="N851" s="14">
        <v>400</v>
      </c>
      <c r="O851" s="14">
        <v>400</v>
      </c>
      <c r="P851" s="14"/>
      <c r="Q851" s="14"/>
      <c r="R851" s="14"/>
      <c r="S851" s="14"/>
      <c r="T851" s="14"/>
      <c r="U851" s="14"/>
      <c r="V851" s="14"/>
      <c r="W851" s="15">
        <f t="shared" ref="W851:W914" si="32">SUM(K851:V851)</f>
        <v>800</v>
      </c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5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5"/>
      <c r="AX851" s="16"/>
    </row>
    <row r="852" spans="2:51" x14ac:dyDescent="0.2">
      <c r="B852" s="7" t="s">
        <v>73</v>
      </c>
      <c r="C852" s="8">
        <v>11588</v>
      </c>
      <c r="D852" s="9" t="s">
        <v>938</v>
      </c>
      <c r="E852" s="10" t="s">
        <v>939</v>
      </c>
      <c r="F852" s="10" t="s">
        <v>940</v>
      </c>
      <c r="G852" s="8">
        <v>4</v>
      </c>
      <c r="H852" s="11">
        <v>160</v>
      </c>
      <c r="I852" s="12">
        <v>42492</v>
      </c>
      <c r="J852" s="13">
        <f t="shared" si="31"/>
        <v>0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5">
        <f t="shared" si="32"/>
        <v>0</v>
      </c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5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5"/>
      <c r="AX852" s="7">
        <v>19183</v>
      </c>
    </row>
    <row r="853" spans="2:51" x14ac:dyDescent="0.2">
      <c r="B853" s="7" t="s">
        <v>37</v>
      </c>
      <c r="C853" s="8">
        <v>11589</v>
      </c>
      <c r="D853" s="9" t="s">
        <v>226</v>
      </c>
      <c r="E853" s="10" t="s">
        <v>227</v>
      </c>
      <c r="F853" s="10" t="s">
        <v>228</v>
      </c>
      <c r="G853" s="8">
        <v>1</v>
      </c>
      <c r="H853" s="11">
        <v>400</v>
      </c>
      <c r="I853" s="12">
        <v>42492</v>
      </c>
      <c r="J853" s="13">
        <f t="shared" si="31"/>
        <v>0</v>
      </c>
      <c r="K853" s="14"/>
      <c r="L853" s="14"/>
      <c r="M853" s="14"/>
      <c r="N853" s="14">
        <v>200</v>
      </c>
      <c r="O853" s="14">
        <v>200</v>
      </c>
      <c r="P853" s="14"/>
      <c r="Q853" s="14"/>
      <c r="R853" s="14"/>
      <c r="S853" s="14"/>
      <c r="T853" s="14"/>
      <c r="U853" s="14"/>
      <c r="V853" s="14"/>
      <c r="W853" s="15">
        <f t="shared" si="32"/>
        <v>400</v>
      </c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5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5"/>
      <c r="AX853" s="16"/>
    </row>
    <row r="854" spans="2:51" x14ac:dyDescent="0.2">
      <c r="B854" s="7" t="s">
        <v>61</v>
      </c>
      <c r="C854" s="8">
        <v>11590</v>
      </c>
      <c r="D854" s="9" t="s">
        <v>214</v>
      </c>
      <c r="E854" s="10" t="s">
        <v>215</v>
      </c>
      <c r="F854" s="10" t="s">
        <v>216</v>
      </c>
      <c r="G854" s="8">
        <v>3</v>
      </c>
      <c r="H854" s="11">
        <v>150</v>
      </c>
      <c r="I854" s="12">
        <v>42492</v>
      </c>
      <c r="J854" s="13">
        <f t="shared" si="31"/>
        <v>0</v>
      </c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5">
        <f t="shared" si="32"/>
        <v>0</v>
      </c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5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5"/>
      <c r="AX854" s="16"/>
    </row>
    <row r="855" spans="2:51" x14ac:dyDescent="0.2">
      <c r="B855" s="7" t="s">
        <v>37</v>
      </c>
      <c r="C855" s="8">
        <v>11591</v>
      </c>
      <c r="D855" s="9" t="s">
        <v>814</v>
      </c>
      <c r="E855" s="10" t="s">
        <v>815</v>
      </c>
      <c r="F855" s="10" t="s">
        <v>816</v>
      </c>
      <c r="G855" s="8"/>
      <c r="H855" s="11"/>
      <c r="I855" s="12"/>
      <c r="J855" s="13">
        <f t="shared" si="31"/>
        <v>0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5">
        <f t="shared" si="32"/>
        <v>0</v>
      </c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5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5"/>
      <c r="AX855" s="16"/>
    </row>
    <row r="856" spans="2:51" x14ac:dyDescent="0.2">
      <c r="B856" s="7" t="s">
        <v>391</v>
      </c>
      <c r="C856" s="8">
        <v>11592</v>
      </c>
      <c r="D856" s="9" t="s">
        <v>482</v>
      </c>
      <c r="E856" s="10" t="s">
        <v>483</v>
      </c>
      <c r="F856" s="10" t="s">
        <v>484</v>
      </c>
      <c r="G856" s="8">
        <v>1</v>
      </c>
      <c r="H856" s="11">
        <v>400</v>
      </c>
      <c r="I856" s="12">
        <v>42493</v>
      </c>
      <c r="J856" s="13">
        <f t="shared" si="31"/>
        <v>0</v>
      </c>
      <c r="K856" s="14"/>
      <c r="L856" s="14"/>
      <c r="M856" s="14">
        <v>200</v>
      </c>
      <c r="N856" s="14">
        <v>200</v>
      </c>
      <c r="O856" s="14"/>
      <c r="P856" s="14"/>
      <c r="Q856" s="14"/>
      <c r="R856" s="14"/>
      <c r="S856" s="14"/>
      <c r="T856" s="14"/>
      <c r="U856" s="14"/>
      <c r="V856" s="14"/>
      <c r="W856" s="15">
        <f t="shared" si="32"/>
        <v>400</v>
      </c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5"/>
      <c r="AX856" s="16"/>
    </row>
    <row r="857" spans="2:51" x14ac:dyDescent="0.2">
      <c r="B857" s="7" t="s">
        <v>69</v>
      </c>
      <c r="C857" s="8">
        <v>11593</v>
      </c>
      <c r="D857" s="9" t="s">
        <v>211</v>
      </c>
      <c r="E857" s="10" t="s">
        <v>212</v>
      </c>
      <c r="F857" s="10" t="s">
        <v>213</v>
      </c>
      <c r="G857" s="8"/>
      <c r="H857" s="11"/>
      <c r="I857" s="12"/>
      <c r="J857" s="13">
        <f t="shared" si="31"/>
        <v>0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5">
        <f t="shared" si="32"/>
        <v>0</v>
      </c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5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5"/>
      <c r="AX857" s="16"/>
    </row>
    <row r="858" spans="2:51" x14ac:dyDescent="0.2">
      <c r="B858" s="7" t="s">
        <v>69</v>
      </c>
      <c r="C858" s="8">
        <v>11594</v>
      </c>
      <c r="D858" s="9" t="s">
        <v>211</v>
      </c>
      <c r="E858" s="10" t="s">
        <v>212</v>
      </c>
      <c r="F858" s="10" t="s">
        <v>213</v>
      </c>
      <c r="G858" s="8">
        <v>1</v>
      </c>
      <c r="H858" s="11">
        <v>300</v>
      </c>
      <c r="I858" s="12">
        <v>42493</v>
      </c>
      <c r="J858" s="13">
        <f t="shared" si="31"/>
        <v>0</v>
      </c>
      <c r="K858" s="14"/>
      <c r="L858" s="14"/>
      <c r="M858" s="14"/>
      <c r="N858" s="14"/>
      <c r="O858" s="14">
        <v>300</v>
      </c>
      <c r="P858" s="14"/>
      <c r="Q858" s="14"/>
      <c r="R858" s="14"/>
      <c r="S858" s="14"/>
      <c r="T858" s="14"/>
      <c r="U858" s="14"/>
      <c r="V858" s="14"/>
      <c r="W858" s="15">
        <f t="shared" si="32"/>
        <v>300</v>
      </c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5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5"/>
      <c r="AX858" s="16"/>
    </row>
    <row r="859" spans="2:51" x14ac:dyDescent="0.2">
      <c r="B859" s="7" t="s">
        <v>73</v>
      </c>
      <c r="C859" s="8">
        <v>11595</v>
      </c>
      <c r="D859" s="9" t="s">
        <v>938</v>
      </c>
      <c r="E859" s="10" t="s">
        <v>939</v>
      </c>
      <c r="F859" s="10" t="s">
        <v>940</v>
      </c>
      <c r="G859" s="8">
        <v>3</v>
      </c>
      <c r="H859" s="11">
        <v>480</v>
      </c>
      <c r="I859" s="12">
        <v>42495</v>
      </c>
      <c r="J859" s="13">
        <f t="shared" si="31"/>
        <v>0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5">
        <f t="shared" si="32"/>
        <v>0</v>
      </c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5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5"/>
      <c r="AX859" s="16"/>
    </row>
    <row r="860" spans="2:51" x14ac:dyDescent="0.2">
      <c r="B860" s="7" t="s">
        <v>37</v>
      </c>
      <c r="C860" s="8">
        <v>11596</v>
      </c>
      <c r="D860" s="9" t="s">
        <v>553</v>
      </c>
      <c r="E860" s="10" t="s">
        <v>554</v>
      </c>
      <c r="F860" s="10" t="s">
        <v>555</v>
      </c>
      <c r="G860" s="8">
        <v>1</v>
      </c>
      <c r="H860" s="11">
        <v>400</v>
      </c>
      <c r="I860" s="12">
        <v>42498</v>
      </c>
      <c r="J860" s="13">
        <f t="shared" si="31"/>
        <v>0</v>
      </c>
      <c r="K860" s="14"/>
      <c r="L860" s="14"/>
      <c r="M860" s="14"/>
      <c r="N860" s="14"/>
      <c r="O860" s="14">
        <v>400</v>
      </c>
      <c r="P860" s="14"/>
      <c r="Q860" s="14"/>
      <c r="R860" s="14"/>
      <c r="S860" s="14"/>
      <c r="T860" s="14"/>
      <c r="U860" s="14"/>
      <c r="V860" s="14"/>
      <c r="W860" s="15">
        <f t="shared" si="32"/>
        <v>400</v>
      </c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5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5"/>
      <c r="AX860" s="16"/>
    </row>
    <row r="861" spans="2:51" x14ac:dyDescent="0.2">
      <c r="B861" s="7" t="s">
        <v>69</v>
      </c>
      <c r="C861" s="8">
        <v>11597</v>
      </c>
      <c r="D861" s="9" t="s">
        <v>714</v>
      </c>
      <c r="E861" s="10" t="s">
        <v>715</v>
      </c>
      <c r="F861" s="10" t="s">
        <v>487</v>
      </c>
      <c r="G861" s="8">
        <v>1</v>
      </c>
      <c r="H861" s="11">
        <v>400</v>
      </c>
      <c r="I861" s="12">
        <v>42498</v>
      </c>
      <c r="J861" s="13">
        <f t="shared" si="31"/>
        <v>0</v>
      </c>
      <c r="K861" s="14"/>
      <c r="L861" s="14"/>
      <c r="M861" s="14"/>
      <c r="N861" s="14">
        <v>400</v>
      </c>
      <c r="O861" s="14"/>
      <c r="P861" s="14"/>
      <c r="Q861" s="14"/>
      <c r="R861" s="14"/>
      <c r="S861" s="14"/>
      <c r="T861" s="14"/>
      <c r="U861" s="14"/>
      <c r="V861" s="14"/>
      <c r="W861" s="15">
        <f t="shared" si="32"/>
        <v>400</v>
      </c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5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5"/>
      <c r="AX861" s="16"/>
    </row>
    <row r="862" spans="2:51" x14ac:dyDescent="0.2">
      <c r="B862" s="7" t="s">
        <v>47</v>
      </c>
      <c r="C862" s="8">
        <v>11598</v>
      </c>
      <c r="D862" s="9" t="s">
        <v>241</v>
      </c>
      <c r="E862" s="10" t="s">
        <v>242</v>
      </c>
      <c r="F862" s="10" t="s">
        <v>243</v>
      </c>
      <c r="G862" s="8">
        <v>1</v>
      </c>
      <c r="H862" s="11">
        <v>400</v>
      </c>
      <c r="I862" s="12">
        <v>42498</v>
      </c>
      <c r="J862" s="13">
        <f t="shared" si="31"/>
        <v>0</v>
      </c>
      <c r="K862" s="14"/>
      <c r="L862" s="14"/>
      <c r="M862" s="14"/>
      <c r="N862" s="14"/>
      <c r="O862" s="14">
        <v>400</v>
      </c>
      <c r="P862" s="14"/>
      <c r="Q862" s="14"/>
      <c r="R862" s="14"/>
      <c r="S862" s="14"/>
      <c r="T862" s="14"/>
      <c r="U862" s="14"/>
      <c r="V862" s="14"/>
      <c r="W862" s="15">
        <f t="shared" si="32"/>
        <v>400</v>
      </c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5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5"/>
      <c r="AX862" s="16"/>
    </row>
    <row r="863" spans="2:51" x14ac:dyDescent="0.2">
      <c r="B863" s="7" t="s">
        <v>37</v>
      </c>
      <c r="C863" s="8">
        <v>11599</v>
      </c>
      <c r="D863" s="9" t="s">
        <v>94</v>
      </c>
      <c r="E863" s="10" t="s">
        <v>95</v>
      </c>
      <c r="F863" s="10" t="s">
        <v>96</v>
      </c>
      <c r="G863" s="8">
        <v>1</v>
      </c>
      <c r="H863" s="11">
        <v>400</v>
      </c>
      <c r="I863" s="12">
        <v>42498</v>
      </c>
      <c r="J863" s="13">
        <f t="shared" si="31"/>
        <v>0</v>
      </c>
      <c r="K863" s="14"/>
      <c r="L863" s="14"/>
      <c r="M863" s="14"/>
      <c r="N863" s="14"/>
      <c r="O863" s="14">
        <v>400</v>
      </c>
      <c r="P863" s="14"/>
      <c r="Q863" s="14"/>
      <c r="R863" s="14"/>
      <c r="S863" s="14"/>
      <c r="T863" s="14"/>
      <c r="U863" s="14"/>
      <c r="V863" s="14"/>
      <c r="W863" s="15">
        <f t="shared" si="32"/>
        <v>400</v>
      </c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5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5"/>
      <c r="AX863" s="16"/>
    </row>
    <row r="864" spans="2:51" x14ac:dyDescent="0.2">
      <c r="B864" s="7" t="s">
        <v>69</v>
      </c>
      <c r="C864" s="8">
        <v>11600</v>
      </c>
      <c r="D864" s="9" t="s">
        <v>834</v>
      </c>
      <c r="E864" s="10" t="s">
        <v>835</v>
      </c>
      <c r="F864" s="10" t="s">
        <v>836</v>
      </c>
      <c r="G864" s="8">
        <v>1</v>
      </c>
      <c r="H864" s="11">
        <v>300</v>
      </c>
      <c r="I864" s="12">
        <v>42498</v>
      </c>
      <c r="J864" s="13">
        <f t="shared" si="31"/>
        <v>0</v>
      </c>
      <c r="K864" s="14"/>
      <c r="L864" s="14"/>
      <c r="M864" s="14">
        <v>300</v>
      </c>
      <c r="N864" s="14"/>
      <c r="O864" s="14"/>
      <c r="P864" s="14"/>
      <c r="Q864" s="14"/>
      <c r="R864" s="14"/>
      <c r="S864" s="14"/>
      <c r="T864" s="14"/>
      <c r="U864" s="14"/>
      <c r="V864" s="14"/>
      <c r="W864" s="15">
        <f t="shared" si="32"/>
        <v>300</v>
      </c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5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5"/>
      <c r="AX864" s="16"/>
    </row>
    <row r="865" spans="2:50" x14ac:dyDescent="0.2">
      <c r="B865" s="7" t="s">
        <v>37</v>
      </c>
      <c r="C865" s="8">
        <v>11601</v>
      </c>
      <c r="D865" s="9" t="s">
        <v>307</v>
      </c>
      <c r="E865" s="10" t="s">
        <v>308</v>
      </c>
      <c r="F865" s="10" t="s">
        <v>309</v>
      </c>
      <c r="G865" s="8">
        <v>1</v>
      </c>
      <c r="H865" s="11">
        <v>350</v>
      </c>
      <c r="I865" s="12">
        <v>42498</v>
      </c>
      <c r="J865" s="13">
        <f t="shared" si="31"/>
        <v>0</v>
      </c>
      <c r="K865" s="14"/>
      <c r="L865" s="14"/>
      <c r="M865" s="14"/>
      <c r="N865" s="14"/>
      <c r="O865" s="14">
        <v>350</v>
      </c>
      <c r="P865" s="14"/>
      <c r="Q865" s="14"/>
      <c r="R865" s="14"/>
      <c r="S865" s="14"/>
      <c r="T865" s="14"/>
      <c r="U865" s="14"/>
      <c r="V865" s="14"/>
      <c r="W865" s="15">
        <f t="shared" si="32"/>
        <v>350</v>
      </c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5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5"/>
      <c r="AX865" s="16"/>
    </row>
    <row r="866" spans="2:50" x14ac:dyDescent="0.2">
      <c r="B866" s="7" t="s">
        <v>37</v>
      </c>
      <c r="C866" s="8">
        <v>11602</v>
      </c>
      <c r="D866" s="9" t="s">
        <v>550</v>
      </c>
      <c r="E866" s="10" t="s">
        <v>551</v>
      </c>
      <c r="F866" s="10" t="s">
        <v>552</v>
      </c>
      <c r="G866" s="8">
        <v>1</v>
      </c>
      <c r="H866" s="11">
        <v>300</v>
      </c>
      <c r="I866" s="12">
        <v>42498</v>
      </c>
      <c r="J866" s="13">
        <f t="shared" si="31"/>
        <v>0</v>
      </c>
      <c r="K866" s="14"/>
      <c r="L866" s="14"/>
      <c r="M866" s="14"/>
      <c r="N866" s="14">
        <v>300</v>
      </c>
      <c r="O866" s="14"/>
      <c r="P866" s="14"/>
      <c r="Q866" s="14"/>
      <c r="R866" s="14"/>
      <c r="S866" s="14"/>
      <c r="T866" s="14"/>
      <c r="U866" s="14"/>
      <c r="V866" s="14"/>
      <c r="W866" s="15">
        <f t="shared" si="32"/>
        <v>300</v>
      </c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5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5"/>
      <c r="AX866" s="16"/>
    </row>
    <row r="867" spans="2:50" x14ac:dyDescent="0.2">
      <c r="B867" s="7" t="s">
        <v>73</v>
      </c>
      <c r="C867" s="8">
        <v>11603</v>
      </c>
      <c r="D867" s="9" t="s">
        <v>141</v>
      </c>
      <c r="E867" s="10" t="s">
        <v>142</v>
      </c>
      <c r="F867" s="10" t="s">
        <v>143</v>
      </c>
      <c r="G867" s="8">
        <v>1</v>
      </c>
      <c r="H867" s="11">
        <v>1200</v>
      </c>
      <c r="I867" s="12">
        <v>42498</v>
      </c>
      <c r="J867" s="13">
        <f t="shared" si="31"/>
        <v>0</v>
      </c>
      <c r="K867" s="14"/>
      <c r="L867" s="14"/>
      <c r="M867" s="14"/>
      <c r="N867" s="14">
        <v>400</v>
      </c>
      <c r="O867" s="14">
        <v>400</v>
      </c>
      <c r="P867" s="14">
        <v>400</v>
      </c>
      <c r="Q867" s="14"/>
      <c r="R867" s="14"/>
      <c r="S867" s="14"/>
      <c r="T867" s="14"/>
      <c r="U867" s="14"/>
      <c r="V867" s="14"/>
      <c r="W867" s="15">
        <f t="shared" si="32"/>
        <v>1200</v>
      </c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5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5"/>
      <c r="AX867" s="16"/>
    </row>
    <row r="868" spans="2:50" x14ac:dyDescent="0.2">
      <c r="B868" s="7" t="s">
        <v>73</v>
      </c>
      <c r="C868" s="8">
        <v>11603</v>
      </c>
      <c r="D868" s="9" t="s">
        <v>141</v>
      </c>
      <c r="E868" s="10" t="s">
        <v>142</v>
      </c>
      <c r="F868" s="10" t="s">
        <v>143</v>
      </c>
      <c r="G868" s="8">
        <v>3</v>
      </c>
      <c r="H868" s="11">
        <v>160</v>
      </c>
      <c r="I868" s="12">
        <v>42498</v>
      </c>
      <c r="J868" s="13">
        <f t="shared" si="31"/>
        <v>0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5">
        <f t="shared" si="32"/>
        <v>0</v>
      </c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5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5"/>
      <c r="AX868" s="16"/>
    </row>
    <row r="869" spans="2:50" x14ac:dyDescent="0.2">
      <c r="B869" s="7" t="s">
        <v>73</v>
      </c>
      <c r="C869" s="8">
        <v>11604</v>
      </c>
      <c r="D869" s="9" t="s">
        <v>259</v>
      </c>
      <c r="E869" s="10" t="s">
        <v>260</v>
      </c>
      <c r="F869" s="10" t="s">
        <v>261</v>
      </c>
      <c r="G869" s="8">
        <v>1</v>
      </c>
      <c r="H869" s="11">
        <v>400</v>
      </c>
      <c r="I869" s="12">
        <v>42498</v>
      </c>
      <c r="J869" s="13">
        <f t="shared" si="31"/>
        <v>0</v>
      </c>
      <c r="K869" s="14"/>
      <c r="L869" s="14"/>
      <c r="M869" s="14"/>
      <c r="N869" s="14"/>
      <c r="O869" s="14">
        <v>400</v>
      </c>
      <c r="P869" s="14"/>
      <c r="Q869" s="14"/>
      <c r="R869" s="14"/>
      <c r="S869" s="14"/>
      <c r="T869" s="14"/>
      <c r="U869" s="14"/>
      <c r="V869" s="14"/>
      <c r="W869" s="15">
        <f t="shared" si="32"/>
        <v>400</v>
      </c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5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5"/>
      <c r="AX869" s="16"/>
    </row>
    <row r="870" spans="2:50" x14ac:dyDescent="0.2">
      <c r="B870" s="7" t="s">
        <v>37</v>
      </c>
      <c r="C870" s="8">
        <v>11605</v>
      </c>
      <c r="D870" s="9" t="s">
        <v>247</v>
      </c>
      <c r="E870" s="10" t="s">
        <v>248</v>
      </c>
      <c r="F870" s="10" t="s">
        <v>249</v>
      </c>
      <c r="G870" s="8">
        <v>1</v>
      </c>
      <c r="H870" s="11">
        <v>800</v>
      </c>
      <c r="I870" s="12">
        <v>42498</v>
      </c>
      <c r="J870" s="13">
        <f t="shared" si="31"/>
        <v>0</v>
      </c>
      <c r="K870" s="14"/>
      <c r="L870" s="14"/>
      <c r="M870" s="14"/>
      <c r="N870" s="14"/>
      <c r="O870" s="14">
        <v>400</v>
      </c>
      <c r="P870" s="14">
        <v>400</v>
      </c>
      <c r="Q870" s="14"/>
      <c r="R870" s="14"/>
      <c r="S870" s="14"/>
      <c r="T870" s="14"/>
      <c r="U870" s="14"/>
      <c r="V870" s="14"/>
      <c r="W870" s="15">
        <f t="shared" si="32"/>
        <v>800</v>
      </c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5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5"/>
      <c r="AX870" s="16"/>
    </row>
    <row r="871" spans="2:50" x14ac:dyDescent="0.2">
      <c r="B871" s="7" t="s">
        <v>61</v>
      </c>
      <c r="C871" s="8">
        <v>11606</v>
      </c>
      <c r="D871" s="9" t="s">
        <v>663</v>
      </c>
      <c r="E871" s="10" t="s">
        <v>664</v>
      </c>
      <c r="F871" s="10" t="s">
        <v>665</v>
      </c>
      <c r="G871" s="8">
        <v>1</v>
      </c>
      <c r="H871" s="11">
        <v>800</v>
      </c>
      <c r="I871" s="12">
        <v>42498</v>
      </c>
      <c r="J871" s="13">
        <f t="shared" si="31"/>
        <v>0</v>
      </c>
      <c r="K871" s="14"/>
      <c r="L871" s="14"/>
      <c r="M871" s="14">
        <v>400</v>
      </c>
      <c r="N871" s="14">
        <v>400</v>
      </c>
      <c r="O871" s="14"/>
      <c r="P871" s="14"/>
      <c r="Q871" s="14"/>
      <c r="R871" s="14"/>
      <c r="S871" s="14"/>
      <c r="T871" s="14"/>
      <c r="U871" s="14"/>
      <c r="V871" s="14"/>
      <c r="W871" s="15">
        <f t="shared" si="32"/>
        <v>800</v>
      </c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5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5"/>
      <c r="AX871" s="16"/>
    </row>
    <row r="872" spans="2:50" x14ac:dyDescent="0.2">
      <c r="B872" s="7" t="s">
        <v>69</v>
      </c>
      <c r="C872" s="8">
        <v>11607</v>
      </c>
      <c r="D872" s="9" t="s">
        <v>696</v>
      </c>
      <c r="E872" s="10" t="s">
        <v>697</v>
      </c>
      <c r="F872" s="10" t="s">
        <v>698</v>
      </c>
      <c r="G872" s="8">
        <v>1</v>
      </c>
      <c r="H872" s="11">
        <v>300</v>
      </c>
      <c r="I872" s="12">
        <v>42498</v>
      </c>
      <c r="J872" s="13">
        <f t="shared" si="31"/>
        <v>0</v>
      </c>
      <c r="K872" s="14"/>
      <c r="L872" s="14"/>
      <c r="M872" s="14"/>
      <c r="N872" s="14">
        <v>300</v>
      </c>
      <c r="O872" s="14"/>
      <c r="P872" s="14"/>
      <c r="Q872" s="14"/>
      <c r="R872" s="14"/>
      <c r="S872" s="14"/>
      <c r="T872" s="14"/>
      <c r="U872" s="14"/>
      <c r="V872" s="14"/>
      <c r="W872" s="15">
        <f t="shared" si="32"/>
        <v>300</v>
      </c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5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5"/>
      <c r="AX872" s="16"/>
    </row>
    <row r="873" spans="2:50" x14ac:dyDescent="0.2">
      <c r="B873" s="7" t="s">
        <v>69</v>
      </c>
      <c r="C873" s="8">
        <v>11608</v>
      </c>
      <c r="D873" s="9" t="s">
        <v>696</v>
      </c>
      <c r="E873" s="10" t="s">
        <v>697</v>
      </c>
      <c r="F873" s="10" t="s">
        <v>698</v>
      </c>
      <c r="G873" s="8">
        <v>1</v>
      </c>
      <c r="H873" s="11">
        <v>300</v>
      </c>
      <c r="I873" s="12">
        <v>42498</v>
      </c>
      <c r="J873" s="13">
        <f t="shared" si="31"/>
        <v>0</v>
      </c>
      <c r="K873" s="14"/>
      <c r="L873" s="14"/>
      <c r="M873" s="14"/>
      <c r="N873" s="14"/>
      <c r="O873" s="14">
        <v>300</v>
      </c>
      <c r="P873" s="14"/>
      <c r="Q873" s="14"/>
      <c r="R873" s="14"/>
      <c r="S873" s="14"/>
      <c r="T873" s="14"/>
      <c r="U873" s="14"/>
      <c r="V873" s="14"/>
      <c r="W873" s="15">
        <f t="shared" si="32"/>
        <v>300</v>
      </c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5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5"/>
      <c r="AX873" s="16"/>
    </row>
    <row r="874" spans="2:50" x14ac:dyDescent="0.2">
      <c r="B874" s="7" t="s">
        <v>73</v>
      </c>
      <c r="C874" s="8">
        <v>11609</v>
      </c>
      <c r="D874" s="9" t="s">
        <v>458</v>
      </c>
      <c r="E874" s="10" t="s">
        <v>459</v>
      </c>
      <c r="F874" s="10" t="s">
        <v>460</v>
      </c>
      <c r="G874" s="8">
        <v>3</v>
      </c>
      <c r="H874" s="11">
        <v>160</v>
      </c>
      <c r="I874" s="12">
        <v>42498</v>
      </c>
      <c r="J874" s="13">
        <f t="shared" si="31"/>
        <v>0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5">
        <f t="shared" si="32"/>
        <v>0</v>
      </c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5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5"/>
      <c r="AX874" s="16"/>
    </row>
    <row r="875" spans="2:50" x14ac:dyDescent="0.2">
      <c r="B875" s="7" t="s">
        <v>73</v>
      </c>
      <c r="C875" s="8">
        <v>11610</v>
      </c>
      <c r="D875" s="9" t="s">
        <v>523</v>
      </c>
      <c r="E875" s="10" t="s">
        <v>524</v>
      </c>
      <c r="F875" s="10" t="s">
        <v>525</v>
      </c>
      <c r="G875" s="8">
        <v>1</v>
      </c>
      <c r="H875" s="11">
        <v>400</v>
      </c>
      <c r="I875" s="12">
        <v>42498</v>
      </c>
      <c r="J875" s="13">
        <f t="shared" si="31"/>
        <v>0</v>
      </c>
      <c r="K875" s="14"/>
      <c r="L875" s="14"/>
      <c r="M875" s="14"/>
      <c r="N875" s="14">
        <v>400</v>
      </c>
      <c r="O875" s="14"/>
      <c r="P875" s="14"/>
      <c r="Q875" s="14"/>
      <c r="R875" s="14"/>
      <c r="S875" s="14"/>
      <c r="T875" s="14"/>
      <c r="U875" s="14"/>
      <c r="V875" s="14"/>
      <c r="W875" s="15">
        <f t="shared" si="32"/>
        <v>400</v>
      </c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5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5"/>
      <c r="AX875" s="16"/>
    </row>
    <row r="876" spans="2:50" x14ac:dyDescent="0.2">
      <c r="B876" s="7" t="s">
        <v>73</v>
      </c>
      <c r="C876" s="8">
        <v>11611</v>
      </c>
      <c r="D876" s="9" t="s">
        <v>529</v>
      </c>
      <c r="E876" s="10" t="s">
        <v>530</v>
      </c>
      <c r="F876" s="10" t="s">
        <v>531</v>
      </c>
      <c r="G876" s="8">
        <v>1</v>
      </c>
      <c r="H876" s="11">
        <v>1200</v>
      </c>
      <c r="I876" s="12">
        <v>42498</v>
      </c>
      <c r="J876" s="13">
        <f t="shared" si="31"/>
        <v>0</v>
      </c>
      <c r="K876" s="14"/>
      <c r="L876" s="14"/>
      <c r="M876" s="14"/>
      <c r="N876" s="14">
        <v>400</v>
      </c>
      <c r="O876" s="14">
        <v>400</v>
      </c>
      <c r="P876" s="14">
        <v>400</v>
      </c>
      <c r="Q876" s="14"/>
      <c r="R876" s="14"/>
      <c r="S876" s="14"/>
      <c r="T876" s="14"/>
      <c r="U876" s="14"/>
      <c r="V876" s="14"/>
      <c r="W876" s="15">
        <f t="shared" si="32"/>
        <v>1200</v>
      </c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5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5"/>
      <c r="AX876" s="16"/>
    </row>
    <row r="877" spans="2:50" x14ac:dyDescent="0.2">
      <c r="B877" s="7" t="s">
        <v>73</v>
      </c>
      <c r="C877" s="8">
        <v>11611</v>
      </c>
      <c r="D877" s="9" t="s">
        <v>529</v>
      </c>
      <c r="E877" s="10" t="s">
        <v>530</v>
      </c>
      <c r="F877" s="10" t="s">
        <v>531</v>
      </c>
      <c r="G877" s="8">
        <v>3</v>
      </c>
      <c r="H877" s="11">
        <v>160</v>
      </c>
      <c r="I877" s="12">
        <v>42498</v>
      </c>
      <c r="J877" s="13">
        <f t="shared" si="31"/>
        <v>0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5">
        <f t="shared" si="32"/>
        <v>0</v>
      </c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5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5"/>
      <c r="AX877" s="16"/>
    </row>
    <row r="878" spans="2:50" x14ac:dyDescent="0.2">
      <c r="B878" s="7" t="s">
        <v>73</v>
      </c>
      <c r="C878" s="8">
        <v>11612</v>
      </c>
      <c r="D878" s="9" t="s">
        <v>611</v>
      </c>
      <c r="E878" s="10" t="s">
        <v>612</v>
      </c>
      <c r="F878" s="10" t="s">
        <v>613</v>
      </c>
      <c r="G878" s="8">
        <v>1</v>
      </c>
      <c r="H878" s="11">
        <v>400</v>
      </c>
      <c r="I878" s="12">
        <v>42498</v>
      </c>
      <c r="J878" s="13">
        <f t="shared" si="31"/>
        <v>0</v>
      </c>
      <c r="K878" s="14"/>
      <c r="L878" s="14"/>
      <c r="M878" s="14"/>
      <c r="N878" s="14"/>
      <c r="O878" s="14">
        <v>400</v>
      </c>
      <c r="P878" s="14"/>
      <c r="Q878" s="14"/>
      <c r="R878" s="14"/>
      <c r="S878" s="14"/>
      <c r="T878" s="14"/>
      <c r="U878" s="14"/>
      <c r="V878" s="14"/>
      <c r="W878" s="15">
        <f t="shared" si="32"/>
        <v>400</v>
      </c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5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5"/>
      <c r="AX878" s="16"/>
    </row>
    <row r="879" spans="2:50" x14ac:dyDescent="0.2">
      <c r="B879" s="7" t="s">
        <v>37</v>
      </c>
      <c r="C879" s="8">
        <v>11613</v>
      </c>
      <c r="D879" s="9" t="s">
        <v>180</v>
      </c>
      <c r="E879" s="10" t="s">
        <v>181</v>
      </c>
      <c r="F879" s="10" t="s">
        <v>182</v>
      </c>
      <c r="G879" s="8">
        <v>1</v>
      </c>
      <c r="H879" s="11">
        <v>400</v>
      </c>
      <c r="I879" s="12">
        <v>42498</v>
      </c>
      <c r="J879" s="13">
        <f t="shared" si="31"/>
        <v>0</v>
      </c>
      <c r="K879" s="14"/>
      <c r="L879" s="14"/>
      <c r="M879" s="14"/>
      <c r="N879" s="14"/>
      <c r="O879" s="14">
        <v>400</v>
      </c>
      <c r="P879" s="14"/>
      <c r="Q879" s="14"/>
      <c r="R879" s="14"/>
      <c r="S879" s="14"/>
      <c r="T879" s="14"/>
      <c r="U879" s="14"/>
      <c r="V879" s="14"/>
      <c r="W879" s="15">
        <f t="shared" si="32"/>
        <v>400</v>
      </c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5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5"/>
      <c r="AX879" s="16"/>
    </row>
    <row r="880" spans="2:50" x14ac:dyDescent="0.2">
      <c r="B880" s="7" t="s">
        <v>37</v>
      </c>
      <c r="C880" s="8">
        <v>11614</v>
      </c>
      <c r="D880" s="9" t="s">
        <v>180</v>
      </c>
      <c r="E880" s="10" t="s">
        <v>181</v>
      </c>
      <c r="F880" s="10" t="s">
        <v>182</v>
      </c>
      <c r="G880" s="8">
        <v>4</v>
      </c>
      <c r="H880" s="11">
        <v>160</v>
      </c>
      <c r="I880" s="12">
        <v>42498</v>
      </c>
      <c r="J880" s="13">
        <f t="shared" si="31"/>
        <v>0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5">
        <f t="shared" si="32"/>
        <v>0</v>
      </c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5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5"/>
      <c r="AX880" s="7">
        <v>19175</v>
      </c>
    </row>
    <row r="881" spans="2:50" x14ac:dyDescent="0.2">
      <c r="B881" s="7" t="s">
        <v>37</v>
      </c>
      <c r="C881" s="8">
        <v>11615</v>
      </c>
      <c r="D881" s="9" t="s">
        <v>295</v>
      </c>
      <c r="E881" s="10" t="s">
        <v>296</v>
      </c>
      <c r="F881" s="10" t="s">
        <v>297</v>
      </c>
      <c r="G881" s="8">
        <v>1</v>
      </c>
      <c r="H881" s="11">
        <v>300</v>
      </c>
      <c r="I881" s="12">
        <v>42498</v>
      </c>
      <c r="J881" s="13">
        <f t="shared" si="31"/>
        <v>0</v>
      </c>
      <c r="K881" s="14"/>
      <c r="L881" s="14"/>
      <c r="M881" s="14"/>
      <c r="N881" s="14"/>
      <c r="O881" s="14">
        <v>300</v>
      </c>
      <c r="P881" s="14"/>
      <c r="Q881" s="14"/>
      <c r="R881" s="14"/>
      <c r="S881" s="14"/>
      <c r="T881" s="14"/>
      <c r="U881" s="14"/>
      <c r="V881" s="14"/>
      <c r="W881" s="15">
        <f t="shared" si="32"/>
        <v>300</v>
      </c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5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5"/>
      <c r="AX881" s="16"/>
    </row>
    <row r="882" spans="2:50" x14ac:dyDescent="0.2">
      <c r="B882" s="7" t="s">
        <v>73</v>
      </c>
      <c r="C882" s="8">
        <v>11616</v>
      </c>
      <c r="D882" s="9" t="s">
        <v>398</v>
      </c>
      <c r="E882" s="10" t="s">
        <v>399</v>
      </c>
      <c r="F882" s="10" t="s">
        <v>400</v>
      </c>
      <c r="G882" s="8">
        <v>1</v>
      </c>
      <c r="H882" s="11">
        <v>400</v>
      </c>
      <c r="I882" s="12">
        <v>42498</v>
      </c>
      <c r="J882" s="13">
        <f t="shared" si="31"/>
        <v>0</v>
      </c>
      <c r="K882" s="14"/>
      <c r="L882" s="14"/>
      <c r="M882" s="14"/>
      <c r="N882" s="14"/>
      <c r="O882" s="14">
        <v>400</v>
      </c>
      <c r="P882" s="14"/>
      <c r="Q882" s="14"/>
      <c r="R882" s="14"/>
      <c r="S882" s="14"/>
      <c r="T882" s="14"/>
      <c r="U882" s="14"/>
      <c r="V882" s="14"/>
      <c r="W882" s="15">
        <f t="shared" si="32"/>
        <v>400</v>
      </c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5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5"/>
      <c r="AX882" s="16"/>
    </row>
    <row r="883" spans="2:50" x14ac:dyDescent="0.2">
      <c r="B883" s="7" t="s">
        <v>37</v>
      </c>
      <c r="C883" s="8">
        <v>11617</v>
      </c>
      <c r="D883" s="9" t="s">
        <v>794</v>
      </c>
      <c r="E883" s="10" t="s">
        <v>795</v>
      </c>
      <c r="F883" s="10" t="s">
        <v>796</v>
      </c>
      <c r="G883" s="8">
        <v>1</v>
      </c>
      <c r="H883" s="11">
        <v>300</v>
      </c>
      <c r="I883" s="12">
        <v>42498</v>
      </c>
      <c r="J883" s="13">
        <f t="shared" si="31"/>
        <v>0</v>
      </c>
      <c r="K883" s="14"/>
      <c r="L883" s="14"/>
      <c r="M883" s="14"/>
      <c r="N883" s="14">
        <v>300</v>
      </c>
      <c r="O883" s="14"/>
      <c r="P883" s="14"/>
      <c r="Q883" s="14"/>
      <c r="R883" s="14"/>
      <c r="S883" s="14"/>
      <c r="T883" s="14"/>
      <c r="U883" s="14"/>
      <c r="V883" s="14"/>
      <c r="W883" s="15">
        <f t="shared" si="32"/>
        <v>300</v>
      </c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5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5"/>
      <c r="AX883" s="16"/>
    </row>
    <row r="884" spans="2:50" x14ac:dyDescent="0.2">
      <c r="B884" s="7" t="s">
        <v>69</v>
      </c>
      <c r="C884" s="8">
        <v>11618</v>
      </c>
      <c r="D884" s="9" t="s">
        <v>343</v>
      </c>
      <c r="E884" s="10" t="s">
        <v>344</v>
      </c>
      <c r="F884" s="10" t="s">
        <v>345</v>
      </c>
      <c r="G884" s="8">
        <v>1</v>
      </c>
      <c r="H884" s="11">
        <v>400</v>
      </c>
      <c r="I884" s="12">
        <v>42498</v>
      </c>
      <c r="J884" s="13">
        <f t="shared" si="31"/>
        <v>0</v>
      </c>
      <c r="K884" s="14"/>
      <c r="L884" s="14"/>
      <c r="M884" s="14"/>
      <c r="N884" s="14"/>
      <c r="O884" s="14">
        <v>400</v>
      </c>
      <c r="P884" s="14"/>
      <c r="Q884" s="14"/>
      <c r="R884" s="14"/>
      <c r="S884" s="14"/>
      <c r="T884" s="14"/>
      <c r="U884" s="14"/>
      <c r="V884" s="14"/>
      <c r="W884" s="15">
        <f t="shared" si="32"/>
        <v>400</v>
      </c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5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5"/>
      <c r="AX884" s="16"/>
    </row>
    <row r="885" spans="2:50" x14ac:dyDescent="0.2">
      <c r="B885" s="7" t="s">
        <v>37</v>
      </c>
      <c r="C885" s="8">
        <v>11619</v>
      </c>
      <c r="D885" s="9" t="s">
        <v>192</v>
      </c>
      <c r="E885" s="10" t="s">
        <v>193</v>
      </c>
      <c r="F885" s="10" t="s">
        <v>194</v>
      </c>
      <c r="G885" s="8">
        <v>1</v>
      </c>
      <c r="H885" s="11">
        <v>1200</v>
      </c>
      <c r="I885" s="12">
        <v>42498</v>
      </c>
      <c r="J885" s="13">
        <f t="shared" si="31"/>
        <v>0</v>
      </c>
      <c r="K885" s="14"/>
      <c r="L885" s="14"/>
      <c r="M885" s="14">
        <v>400</v>
      </c>
      <c r="N885" s="14">
        <v>400</v>
      </c>
      <c r="O885" s="14">
        <v>400</v>
      </c>
      <c r="P885" s="14"/>
      <c r="Q885" s="14"/>
      <c r="R885" s="14"/>
      <c r="S885" s="14"/>
      <c r="T885" s="14"/>
      <c r="U885" s="14"/>
      <c r="V885" s="14"/>
      <c r="W885" s="15">
        <f t="shared" si="32"/>
        <v>1200</v>
      </c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5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5"/>
      <c r="AX885" s="16"/>
    </row>
    <row r="886" spans="2:50" x14ac:dyDescent="0.2">
      <c r="B886" s="7" t="s">
        <v>391</v>
      </c>
      <c r="C886" s="8">
        <v>11620</v>
      </c>
      <c r="D886" s="9" t="s">
        <v>876</v>
      </c>
      <c r="E886" s="10" t="s">
        <v>877</v>
      </c>
      <c r="F886" s="10" t="s">
        <v>878</v>
      </c>
      <c r="G886" s="8">
        <v>1</v>
      </c>
      <c r="H886" s="11">
        <v>400</v>
      </c>
      <c r="I886" s="12">
        <v>42498</v>
      </c>
      <c r="J886" s="13">
        <f t="shared" si="31"/>
        <v>0</v>
      </c>
      <c r="K886" s="14"/>
      <c r="L886" s="14"/>
      <c r="M886" s="14"/>
      <c r="N886" s="14">
        <v>200</v>
      </c>
      <c r="O886" s="14">
        <v>200</v>
      </c>
      <c r="P886" s="14"/>
      <c r="Q886" s="14"/>
      <c r="R886" s="14"/>
      <c r="S886" s="14"/>
      <c r="T886" s="14"/>
      <c r="U886" s="14"/>
      <c r="V886" s="14"/>
      <c r="W886" s="15">
        <f t="shared" si="32"/>
        <v>400</v>
      </c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5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5"/>
      <c r="AX886" s="16"/>
    </row>
    <row r="887" spans="2:50" x14ac:dyDescent="0.2">
      <c r="B887" s="7" t="s">
        <v>47</v>
      </c>
      <c r="C887" s="8">
        <v>11621</v>
      </c>
      <c r="D887" s="9" t="s">
        <v>238</v>
      </c>
      <c r="E887" s="10" t="s">
        <v>239</v>
      </c>
      <c r="F887" s="10" t="s">
        <v>240</v>
      </c>
      <c r="G887" s="8">
        <v>1</v>
      </c>
      <c r="H887" s="11">
        <v>125</v>
      </c>
      <c r="I887" s="12">
        <v>42498</v>
      </c>
      <c r="J887" s="13">
        <f t="shared" si="31"/>
        <v>0</v>
      </c>
      <c r="K887" s="14"/>
      <c r="L887" s="14"/>
      <c r="M887" s="14"/>
      <c r="N887" s="14"/>
      <c r="O887" s="14">
        <v>125</v>
      </c>
      <c r="P887" s="14"/>
      <c r="Q887" s="14"/>
      <c r="R887" s="14"/>
      <c r="S887" s="14"/>
      <c r="T887" s="14"/>
      <c r="U887" s="14"/>
      <c r="V887" s="14"/>
      <c r="W887" s="15">
        <f t="shared" si="32"/>
        <v>125</v>
      </c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5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5"/>
      <c r="AX887" s="16"/>
    </row>
    <row r="888" spans="2:50" x14ac:dyDescent="0.2">
      <c r="B888" s="7" t="s">
        <v>73</v>
      </c>
      <c r="C888" s="8">
        <v>11622</v>
      </c>
      <c r="D888" s="9" t="s">
        <v>407</v>
      </c>
      <c r="E888" s="10" t="s">
        <v>408</v>
      </c>
      <c r="F888" s="10" t="s">
        <v>409</v>
      </c>
      <c r="G888" s="8">
        <v>1</v>
      </c>
      <c r="H888" s="11">
        <v>800</v>
      </c>
      <c r="I888" s="12">
        <v>42498</v>
      </c>
      <c r="J888" s="13">
        <f t="shared" si="31"/>
        <v>0</v>
      </c>
      <c r="K888" s="14"/>
      <c r="L888" s="14"/>
      <c r="M888" s="14"/>
      <c r="N888" s="14">
        <v>400</v>
      </c>
      <c r="O888" s="14">
        <v>400</v>
      </c>
      <c r="P888" s="14"/>
      <c r="Q888" s="14"/>
      <c r="R888" s="14"/>
      <c r="S888" s="14"/>
      <c r="T888" s="14"/>
      <c r="U888" s="14"/>
      <c r="V888" s="14"/>
      <c r="W888" s="15">
        <f t="shared" si="32"/>
        <v>800</v>
      </c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5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5"/>
      <c r="AX888" s="16"/>
    </row>
    <row r="889" spans="2:50" x14ac:dyDescent="0.2">
      <c r="B889" s="7" t="s">
        <v>37</v>
      </c>
      <c r="C889" s="8">
        <v>11623</v>
      </c>
      <c r="D889" s="9" t="s">
        <v>395</v>
      </c>
      <c r="E889" s="10" t="s">
        <v>396</v>
      </c>
      <c r="F889" s="10" t="s">
        <v>397</v>
      </c>
      <c r="G889" s="8">
        <v>1</v>
      </c>
      <c r="H889" s="11">
        <v>150</v>
      </c>
      <c r="I889" s="12">
        <v>42498</v>
      </c>
      <c r="J889" s="13">
        <f t="shared" si="31"/>
        <v>0</v>
      </c>
      <c r="K889" s="14"/>
      <c r="L889" s="14"/>
      <c r="M889" s="14"/>
      <c r="N889" s="14"/>
      <c r="O889" s="14">
        <v>150</v>
      </c>
      <c r="P889" s="14"/>
      <c r="Q889" s="14"/>
      <c r="R889" s="14"/>
      <c r="S889" s="14"/>
      <c r="T889" s="14"/>
      <c r="U889" s="14"/>
      <c r="V889" s="14"/>
      <c r="W889" s="15">
        <f t="shared" si="32"/>
        <v>150</v>
      </c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5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5"/>
      <c r="AX889" s="16"/>
    </row>
    <row r="890" spans="2:50" x14ac:dyDescent="0.2">
      <c r="B890" s="7" t="s">
        <v>77</v>
      </c>
      <c r="C890" s="8">
        <v>11624</v>
      </c>
      <c r="D890" s="9" t="s">
        <v>725</v>
      </c>
      <c r="E890" s="10" t="s">
        <v>726</v>
      </c>
      <c r="F890" s="10" t="s">
        <v>727</v>
      </c>
      <c r="G890" s="8">
        <v>1</v>
      </c>
      <c r="H890" s="11">
        <v>400</v>
      </c>
      <c r="I890" s="12">
        <v>42498</v>
      </c>
      <c r="J890" s="13">
        <f t="shared" si="31"/>
        <v>0</v>
      </c>
      <c r="K890" s="14"/>
      <c r="L890" s="14"/>
      <c r="M890" s="14"/>
      <c r="N890" s="14">
        <v>400</v>
      </c>
      <c r="O890" s="14"/>
      <c r="P890" s="14"/>
      <c r="Q890" s="14"/>
      <c r="R890" s="14"/>
      <c r="S890" s="14"/>
      <c r="T890" s="14"/>
      <c r="U890" s="14"/>
      <c r="V890" s="14"/>
      <c r="W890" s="15">
        <f t="shared" si="32"/>
        <v>400</v>
      </c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5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5"/>
      <c r="AX890" s="16"/>
    </row>
    <row r="891" spans="2:50" x14ac:dyDescent="0.2">
      <c r="B891" s="7" t="s">
        <v>37</v>
      </c>
      <c r="C891" s="8">
        <v>11625</v>
      </c>
      <c r="D891" s="9" t="s">
        <v>520</v>
      </c>
      <c r="E891" s="10" t="s">
        <v>521</v>
      </c>
      <c r="F891" s="10" t="s">
        <v>522</v>
      </c>
      <c r="G891" s="8">
        <v>1</v>
      </c>
      <c r="H891" s="11">
        <v>800</v>
      </c>
      <c r="I891" s="12">
        <v>42498</v>
      </c>
      <c r="J891" s="13">
        <f t="shared" si="31"/>
        <v>0</v>
      </c>
      <c r="K891" s="14"/>
      <c r="L891" s="14"/>
      <c r="M891" s="14"/>
      <c r="N891" s="14"/>
      <c r="O891" s="14">
        <v>400</v>
      </c>
      <c r="P891" s="14">
        <v>400</v>
      </c>
      <c r="Q891" s="14"/>
      <c r="R891" s="14"/>
      <c r="S891" s="14"/>
      <c r="T891" s="14"/>
      <c r="U891" s="14"/>
      <c r="V891" s="14"/>
      <c r="W891" s="15">
        <f t="shared" si="32"/>
        <v>800</v>
      </c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5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5"/>
      <c r="AX891" s="16"/>
    </row>
    <row r="892" spans="2:50" x14ac:dyDescent="0.2">
      <c r="B892" s="7" t="s">
        <v>37</v>
      </c>
      <c r="C892" s="8">
        <v>11625</v>
      </c>
      <c r="D892" s="9" t="s">
        <v>520</v>
      </c>
      <c r="E892" s="10" t="s">
        <v>521</v>
      </c>
      <c r="F892" s="10" t="s">
        <v>522</v>
      </c>
      <c r="G892" s="8">
        <v>3</v>
      </c>
      <c r="H892" s="11">
        <v>160</v>
      </c>
      <c r="I892" s="12">
        <v>42498</v>
      </c>
      <c r="J892" s="13">
        <f t="shared" si="31"/>
        <v>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5">
        <f t="shared" si="32"/>
        <v>0</v>
      </c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5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5"/>
      <c r="AX892" s="16"/>
    </row>
    <row r="893" spans="2:50" x14ac:dyDescent="0.2">
      <c r="B893" s="7" t="s">
        <v>77</v>
      </c>
      <c r="C893" s="8">
        <v>11626</v>
      </c>
      <c r="D893" s="9" t="s">
        <v>547</v>
      </c>
      <c r="E893" s="10" t="s">
        <v>548</v>
      </c>
      <c r="F893" s="10" t="s">
        <v>549</v>
      </c>
      <c r="G893" s="8">
        <v>1</v>
      </c>
      <c r="H893" s="11">
        <v>400</v>
      </c>
      <c r="I893" s="12">
        <v>42498</v>
      </c>
      <c r="J893" s="13">
        <f t="shared" si="31"/>
        <v>0</v>
      </c>
      <c r="K893" s="14"/>
      <c r="L893" s="14"/>
      <c r="M893" s="14">
        <v>200</v>
      </c>
      <c r="N893" s="14">
        <v>200</v>
      </c>
      <c r="O893" s="14"/>
      <c r="P893" s="14"/>
      <c r="Q893" s="14"/>
      <c r="R893" s="14"/>
      <c r="S893" s="14"/>
      <c r="T893" s="14"/>
      <c r="U893" s="14"/>
      <c r="V893" s="14"/>
      <c r="W893" s="15">
        <f t="shared" si="32"/>
        <v>400</v>
      </c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5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5"/>
      <c r="AX893" s="16"/>
    </row>
    <row r="894" spans="2:50" x14ac:dyDescent="0.2">
      <c r="B894" s="7" t="s">
        <v>77</v>
      </c>
      <c r="C894" s="8">
        <v>11627</v>
      </c>
      <c r="D894" s="9" t="s">
        <v>455</v>
      </c>
      <c r="E894" s="10" t="s">
        <v>456</v>
      </c>
      <c r="F894" s="10" t="s">
        <v>457</v>
      </c>
      <c r="G894" s="8">
        <v>1</v>
      </c>
      <c r="H894" s="11">
        <v>400</v>
      </c>
      <c r="I894" s="12">
        <v>42498</v>
      </c>
      <c r="J894" s="13">
        <f t="shared" si="31"/>
        <v>0</v>
      </c>
      <c r="K894" s="14"/>
      <c r="L894" s="14"/>
      <c r="M894" s="14"/>
      <c r="N894" s="14"/>
      <c r="O894" s="14">
        <v>400</v>
      </c>
      <c r="P894" s="14"/>
      <c r="Q894" s="14"/>
      <c r="R894" s="14"/>
      <c r="S894" s="14"/>
      <c r="T894" s="14"/>
      <c r="U894" s="14"/>
      <c r="V894" s="14"/>
      <c r="W894" s="15">
        <f t="shared" si="32"/>
        <v>400</v>
      </c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5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5"/>
      <c r="AX894" s="16"/>
    </row>
    <row r="895" spans="2:50" x14ac:dyDescent="0.2">
      <c r="B895" s="7" t="s">
        <v>122</v>
      </c>
      <c r="C895" s="8">
        <v>11628</v>
      </c>
      <c r="D895" s="9" t="s">
        <v>256</v>
      </c>
      <c r="E895" s="10" t="s">
        <v>257</v>
      </c>
      <c r="F895" s="10" t="s">
        <v>258</v>
      </c>
      <c r="G895" s="8">
        <v>1</v>
      </c>
      <c r="H895" s="11">
        <v>300</v>
      </c>
      <c r="I895" s="12">
        <v>42498</v>
      </c>
      <c r="J895" s="13">
        <f t="shared" si="31"/>
        <v>0</v>
      </c>
      <c r="K895" s="14"/>
      <c r="L895" s="14"/>
      <c r="M895" s="14"/>
      <c r="N895" s="14"/>
      <c r="O895" s="14">
        <v>300</v>
      </c>
      <c r="P895" s="14"/>
      <c r="Q895" s="14"/>
      <c r="R895" s="14"/>
      <c r="S895" s="14"/>
      <c r="T895" s="14"/>
      <c r="U895" s="14"/>
      <c r="V895" s="14"/>
      <c r="W895" s="15">
        <f t="shared" si="32"/>
        <v>300</v>
      </c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5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5"/>
      <c r="AX895" s="16"/>
    </row>
    <row r="896" spans="2:50" x14ac:dyDescent="0.2">
      <c r="B896" s="7" t="s">
        <v>73</v>
      </c>
      <c r="C896" s="8">
        <v>11629</v>
      </c>
      <c r="D896" s="9" t="s">
        <v>115</v>
      </c>
      <c r="E896" s="10" t="s">
        <v>116</v>
      </c>
      <c r="F896" s="10" t="s">
        <v>117</v>
      </c>
      <c r="G896" s="8">
        <v>1</v>
      </c>
      <c r="H896" s="11">
        <v>150</v>
      </c>
      <c r="I896" s="12">
        <v>42498</v>
      </c>
      <c r="J896" s="13">
        <f t="shared" si="31"/>
        <v>0</v>
      </c>
      <c r="K896" s="14"/>
      <c r="L896" s="14"/>
      <c r="M896" s="14"/>
      <c r="N896" s="14"/>
      <c r="O896" s="14">
        <v>150</v>
      </c>
      <c r="P896" s="14"/>
      <c r="Q896" s="14"/>
      <c r="R896" s="14"/>
      <c r="S896" s="14"/>
      <c r="T896" s="14"/>
      <c r="U896" s="14"/>
      <c r="V896" s="14"/>
      <c r="W896" s="15">
        <f t="shared" si="32"/>
        <v>150</v>
      </c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5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5"/>
      <c r="AX896" s="16"/>
    </row>
    <row r="897" spans="2:51" x14ac:dyDescent="0.2">
      <c r="B897" s="7" t="s">
        <v>73</v>
      </c>
      <c r="C897" s="8">
        <v>11629</v>
      </c>
      <c r="D897" s="9" t="s">
        <v>115</v>
      </c>
      <c r="E897" s="10" t="s">
        <v>116</v>
      </c>
      <c r="F897" s="10" t="s">
        <v>117</v>
      </c>
      <c r="G897" s="8">
        <v>3</v>
      </c>
      <c r="H897" s="11">
        <v>160</v>
      </c>
      <c r="I897" s="12">
        <v>42498</v>
      </c>
      <c r="J897" s="13">
        <f t="shared" si="31"/>
        <v>0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5">
        <f t="shared" si="32"/>
        <v>0</v>
      </c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5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5"/>
      <c r="AX897" s="16"/>
    </row>
    <row r="898" spans="2:51" x14ac:dyDescent="0.2">
      <c r="B898" s="7" t="s">
        <v>69</v>
      </c>
      <c r="C898" s="8">
        <v>11630</v>
      </c>
      <c r="D898" s="9" t="s">
        <v>165</v>
      </c>
      <c r="E898" s="10" t="s">
        <v>166</v>
      </c>
      <c r="F898" s="10" t="s">
        <v>167</v>
      </c>
      <c r="G898" s="8">
        <v>1</v>
      </c>
      <c r="H898" s="11">
        <v>350</v>
      </c>
      <c r="I898" s="12">
        <v>42498</v>
      </c>
      <c r="J898" s="13">
        <f t="shared" si="31"/>
        <v>0</v>
      </c>
      <c r="K898" s="14"/>
      <c r="L898" s="14"/>
      <c r="M898" s="14"/>
      <c r="N898" s="14"/>
      <c r="O898" s="14">
        <v>350</v>
      </c>
      <c r="P898" s="14"/>
      <c r="Q898" s="14"/>
      <c r="R898" s="14"/>
      <c r="S898" s="14"/>
      <c r="T898" s="14"/>
      <c r="U898" s="14"/>
      <c r="V898" s="14"/>
      <c r="W898" s="15">
        <f t="shared" si="32"/>
        <v>350</v>
      </c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5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5"/>
      <c r="AX898" s="16"/>
    </row>
    <row r="899" spans="2:51" x14ac:dyDescent="0.2">
      <c r="B899" s="7" t="s">
        <v>69</v>
      </c>
      <c r="C899" s="8">
        <v>11631</v>
      </c>
      <c r="D899" s="9" t="s">
        <v>301</v>
      </c>
      <c r="E899" s="10" t="s">
        <v>302</v>
      </c>
      <c r="F899" s="10" t="s">
        <v>303</v>
      </c>
      <c r="G899" s="8">
        <v>1</v>
      </c>
      <c r="H899" s="11">
        <v>200</v>
      </c>
      <c r="I899" s="12">
        <v>42498</v>
      </c>
      <c r="J899" s="13">
        <f t="shared" si="31"/>
        <v>0</v>
      </c>
      <c r="K899" s="14"/>
      <c r="L899" s="14"/>
      <c r="M899" s="14"/>
      <c r="N899" s="14"/>
      <c r="O899" s="14">
        <v>200</v>
      </c>
      <c r="P899" s="14"/>
      <c r="Q899" s="14"/>
      <c r="R899" s="14"/>
      <c r="S899" s="14"/>
      <c r="T899" s="14"/>
      <c r="U899" s="14"/>
      <c r="V899" s="14"/>
      <c r="W899" s="15">
        <f t="shared" si="32"/>
        <v>200</v>
      </c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5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5"/>
      <c r="AX899" s="16"/>
    </row>
    <row r="900" spans="2:51" x14ac:dyDescent="0.2">
      <c r="B900" s="7" t="s">
        <v>47</v>
      </c>
      <c r="C900" s="8">
        <v>11632</v>
      </c>
      <c r="D900" s="9" t="s">
        <v>583</v>
      </c>
      <c r="E900" s="10" t="s">
        <v>584</v>
      </c>
      <c r="F900" s="10" t="s">
        <v>585</v>
      </c>
      <c r="G900" s="8">
        <v>1</v>
      </c>
      <c r="H900" s="11">
        <v>200</v>
      </c>
      <c r="I900" s="12">
        <v>42498</v>
      </c>
      <c r="J900" s="13">
        <f t="shared" si="31"/>
        <v>0</v>
      </c>
      <c r="K900" s="14"/>
      <c r="L900" s="14"/>
      <c r="M900" s="14"/>
      <c r="N900" s="14"/>
      <c r="O900" s="14">
        <v>200</v>
      </c>
      <c r="P900" s="14"/>
      <c r="Q900" s="14"/>
      <c r="R900" s="14"/>
      <c r="S900" s="14"/>
      <c r="T900" s="14"/>
      <c r="U900" s="14"/>
      <c r="V900" s="14"/>
      <c r="W900" s="15">
        <f t="shared" si="32"/>
        <v>200</v>
      </c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5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5"/>
      <c r="AX900" s="16"/>
    </row>
    <row r="901" spans="2:51" x14ac:dyDescent="0.2">
      <c r="B901" s="7" t="s">
        <v>37</v>
      </c>
      <c r="C901" s="8">
        <v>11633</v>
      </c>
      <c r="D901" s="9" t="s">
        <v>941</v>
      </c>
      <c r="E901" s="10" t="s">
        <v>942</v>
      </c>
      <c r="F901" s="10" t="s">
        <v>943</v>
      </c>
      <c r="G901" s="8">
        <v>1</v>
      </c>
      <c r="H901" s="315">
        <v>200</v>
      </c>
      <c r="I901" s="12">
        <v>42498</v>
      </c>
      <c r="J901" s="13">
        <f t="shared" si="31"/>
        <v>0</v>
      </c>
      <c r="K901" s="14"/>
      <c r="L901" s="14"/>
      <c r="M901" s="14"/>
      <c r="N901" s="14"/>
      <c r="O901" s="14">
        <v>200</v>
      </c>
      <c r="P901" s="14"/>
      <c r="Q901" s="14"/>
      <c r="R901" s="14"/>
      <c r="S901" s="14"/>
      <c r="T901" s="14"/>
      <c r="U901" s="14"/>
      <c r="V901" s="14"/>
      <c r="W901" s="15">
        <f t="shared" si="32"/>
        <v>200</v>
      </c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5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5"/>
      <c r="AX901" s="16"/>
      <c r="AY901" s="112">
        <f>SUM(H850:H901)</f>
        <v>20275</v>
      </c>
    </row>
    <row r="902" spans="2:51" x14ac:dyDescent="0.2">
      <c r="B902" s="7" t="s">
        <v>37</v>
      </c>
      <c r="C902" s="8">
        <v>11634</v>
      </c>
      <c r="D902" s="9" t="s">
        <v>205</v>
      </c>
      <c r="E902" s="10" t="s">
        <v>206</v>
      </c>
      <c r="F902" s="10" t="s">
        <v>207</v>
      </c>
      <c r="G902" s="8">
        <v>1</v>
      </c>
      <c r="H902" s="11">
        <v>600</v>
      </c>
      <c r="I902" s="12">
        <v>42501</v>
      </c>
      <c r="J902" s="13">
        <f t="shared" si="31"/>
        <v>0</v>
      </c>
      <c r="K902" s="14"/>
      <c r="L902" s="14"/>
      <c r="M902" s="14"/>
      <c r="N902" s="14">
        <v>600</v>
      </c>
      <c r="O902" s="14"/>
      <c r="P902" s="14"/>
      <c r="Q902" s="14"/>
      <c r="R902" s="14"/>
      <c r="S902" s="14"/>
      <c r="T902" s="14"/>
      <c r="U902" s="14"/>
      <c r="V902" s="14"/>
      <c r="W902" s="15">
        <f t="shared" si="32"/>
        <v>600</v>
      </c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5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5"/>
      <c r="AX902" s="16"/>
      <c r="AY902" s="320"/>
    </row>
    <row r="903" spans="2:51" x14ac:dyDescent="0.2">
      <c r="B903" s="7" t="s">
        <v>37</v>
      </c>
      <c r="C903" s="8">
        <v>11635</v>
      </c>
      <c r="D903" s="9" t="s">
        <v>58</v>
      </c>
      <c r="E903" s="10" t="s">
        <v>59</v>
      </c>
      <c r="F903" s="10" t="s">
        <v>60</v>
      </c>
      <c r="G903" s="8">
        <v>3</v>
      </c>
      <c r="H903" s="11">
        <v>160</v>
      </c>
      <c r="I903" s="12">
        <v>42501</v>
      </c>
      <c r="J903" s="13">
        <f t="shared" si="31"/>
        <v>0</v>
      </c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5">
        <f t="shared" si="32"/>
        <v>0</v>
      </c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5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5"/>
      <c r="AX903" s="16"/>
    </row>
    <row r="904" spans="2:51" x14ac:dyDescent="0.2">
      <c r="B904" s="7" t="s">
        <v>77</v>
      </c>
      <c r="C904" s="8">
        <v>11636</v>
      </c>
      <c r="D904" s="9" t="s">
        <v>380</v>
      </c>
      <c r="E904" s="10" t="s">
        <v>381</v>
      </c>
      <c r="F904" s="10" t="s">
        <v>382</v>
      </c>
      <c r="G904" s="8">
        <v>1</v>
      </c>
      <c r="H904" s="11">
        <v>1200</v>
      </c>
      <c r="I904" s="12">
        <v>42501</v>
      </c>
      <c r="J904" s="13">
        <f t="shared" si="31"/>
        <v>0</v>
      </c>
      <c r="K904" s="14"/>
      <c r="L904" s="14"/>
      <c r="M904" s="14"/>
      <c r="N904" s="14">
        <v>300</v>
      </c>
      <c r="O904" s="14">
        <v>300</v>
      </c>
      <c r="P904" s="14">
        <v>300</v>
      </c>
      <c r="Q904" s="14">
        <v>300</v>
      </c>
      <c r="R904" s="14"/>
      <c r="S904" s="14"/>
      <c r="T904" s="14"/>
      <c r="U904" s="14"/>
      <c r="V904" s="14"/>
      <c r="W904" s="15">
        <f t="shared" si="32"/>
        <v>1200</v>
      </c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5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5"/>
      <c r="AX904" s="16"/>
    </row>
    <row r="905" spans="2:51" x14ac:dyDescent="0.2">
      <c r="B905" s="7" t="s">
        <v>37</v>
      </c>
      <c r="C905" s="8">
        <v>11637</v>
      </c>
      <c r="D905" s="9" t="s">
        <v>491</v>
      </c>
      <c r="E905" s="10" t="s">
        <v>492</v>
      </c>
      <c r="F905" s="10" t="s">
        <v>493</v>
      </c>
      <c r="G905" s="8">
        <v>4</v>
      </c>
      <c r="H905" s="11">
        <v>160</v>
      </c>
      <c r="I905" s="12">
        <v>42501</v>
      </c>
      <c r="J905" s="13">
        <f t="shared" si="31"/>
        <v>0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5">
        <f t="shared" si="32"/>
        <v>0</v>
      </c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5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5"/>
      <c r="AX905" s="7">
        <v>19172</v>
      </c>
    </row>
    <row r="906" spans="2:51" x14ac:dyDescent="0.2">
      <c r="B906" s="7" t="s">
        <v>77</v>
      </c>
      <c r="C906" s="8">
        <v>11638</v>
      </c>
      <c r="D906" s="9" t="s">
        <v>666</v>
      </c>
      <c r="E906" s="10" t="s">
        <v>667</v>
      </c>
      <c r="F906" s="10" t="s">
        <v>668</v>
      </c>
      <c r="G906" s="8">
        <v>1</v>
      </c>
      <c r="H906" s="11">
        <v>400</v>
      </c>
      <c r="I906" s="12">
        <v>42501</v>
      </c>
      <c r="J906" s="13">
        <f t="shared" si="31"/>
        <v>0</v>
      </c>
      <c r="K906" s="14"/>
      <c r="L906" s="14"/>
      <c r="M906" s="14">
        <v>200</v>
      </c>
      <c r="N906" s="14">
        <v>200</v>
      </c>
      <c r="O906" s="14"/>
      <c r="P906" s="14"/>
      <c r="Q906" s="14"/>
      <c r="R906" s="14"/>
      <c r="S906" s="14"/>
      <c r="T906" s="14"/>
      <c r="U906" s="14"/>
      <c r="V906" s="14"/>
      <c r="W906" s="15">
        <f t="shared" si="32"/>
        <v>400</v>
      </c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5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5"/>
      <c r="AX906" s="16"/>
    </row>
    <row r="907" spans="2:51" x14ac:dyDescent="0.2">
      <c r="B907" s="7" t="s">
        <v>391</v>
      </c>
      <c r="C907" s="8">
        <v>11639</v>
      </c>
      <c r="D907" s="9" t="s">
        <v>482</v>
      </c>
      <c r="E907" s="10" t="s">
        <v>483</v>
      </c>
      <c r="F907" s="10" t="s">
        <v>484</v>
      </c>
      <c r="G907" s="8">
        <v>1</v>
      </c>
      <c r="H907" s="11">
        <v>200</v>
      </c>
      <c r="I907" s="12">
        <v>42502</v>
      </c>
      <c r="J907" s="13">
        <f t="shared" si="31"/>
        <v>0</v>
      </c>
      <c r="K907" s="14"/>
      <c r="L907" s="14"/>
      <c r="M907" s="14"/>
      <c r="N907" s="14"/>
      <c r="O907" s="14">
        <v>200</v>
      </c>
      <c r="P907" s="14"/>
      <c r="Q907" s="14"/>
      <c r="R907" s="14"/>
      <c r="S907" s="14"/>
      <c r="T907" s="14"/>
      <c r="U907" s="14"/>
      <c r="V907" s="14"/>
      <c r="W907" s="15">
        <f t="shared" si="32"/>
        <v>200</v>
      </c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5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5"/>
      <c r="AX907" s="16"/>
    </row>
    <row r="908" spans="2:51" x14ac:dyDescent="0.2">
      <c r="B908" s="7" t="s">
        <v>391</v>
      </c>
      <c r="C908" s="8">
        <v>11640</v>
      </c>
      <c r="D908" s="9" t="s">
        <v>879</v>
      </c>
      <c r="E908" s="10" t="s">
        <v>880</v>
      </c>
      <c r="F908" s="10" t="s">
        <v>881</v>
      </c>
      <c r="G908" s="8">
        <v>1</v>
      </c>
      <c r="H908" s="11">
        <v>400</v>
      </c>
      <c r="I908" s="12">
        <v>42502</v>
      </c>
      <c r="J908" s="13">
        <f t="shared" si="31"/>
        <v>0</v>
      </c>
      <c r="K908" s="14"/>
      <c r="L908" s="14"/>
      <c r="M908" s="14"/>
      <c r="N908" s="14">
        <v>200</v>
      </c>
      <c r="O908" s="14">
        <v>200</v>
      </c>
      <c r="P908" s="14"/>
      <c r="Q908" s="14"/>
      <c r="R908" s="14"/>
      <c r="S908" s="14"/>
      <c r="T908" s="14"/>
      <c r="U908" s="14"/>
      <c r="V908" s="14"/>
      <c r="W908" s="15">
        <f t="shared" si="32"/>
        <v>400</v>
      </c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5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5"/>
      <c r="AX908" s="16"/>
    </row>
    <row r="909" spans="2:51" x14ac:dyDescent="0.2">
      <c r="B909" s="7" t="s">
        <v>391</v>
      </c>
      <c r="C909" s="8">
        <v>11640</v>
      </c>
      <c r="D909" s="9" t="s">
        <v>879</v>
      </c>
      <c r="E909" s="10" t="s">
        <v>880</v>
      </c>
      <c r="F909" s="10" t="s">
        <v>881</v>
      </c>
      <c r="G909" s="8">
        <v>3</v>
      </c>
      <c r="H909" s="11">
        <v>160</v>
      </c>
      <c r="I909" s="12">
        <v>42502</v>
      </c>
      <c r="J909" s="13">
        <f t="shared" si="31"/>
        <v>0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5">
        <f t="shared" si="32"/>
        <v>0</v>
      </c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5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5"/>
      <c r="AX909" s="16"/>
    </row>
    <row r="910" spans="2:51" x14ac:dyDescent="0.2">
      <c r="B910" s="7" t="s">
        <v>391</v>
      </c>
      <c r="C910" s="8">
        <v>11640</v>
      </c>
      <c r="D910" s="9" t="s">
        <v>879</v>
      </c>
      <c r="E910" s="10" t="s">
        <v>880</v>
      </c>
      <c r="F910" s="10" t="s">
        <v>881</v>
      </c>
      <c r="G910" s="8">
        <v>4</v>
      </c>
      <c r="H910" s="11">
        <v>160</v>
      </c>
      <c r="I910" s="12">
        <v>42502</v>
      </c>
      <c r="J910" s="13">
        <f t="shared" si="31"/>
        <v>0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5">
        <f t="shared" si="32"/>
        <v>0</v>
      </c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5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5"/>
      <c r="AX910" s="7">
        <v>19166</v>
      </c>
    </row>
    <row r="911" spans="2:51" x14ac:dyDescent="0.2">
      <c r="B911" s="7" t="s">
        <v>37</v>
      </c>
      <c r="C911" s="8">
        <v>11641</v>
      </c>
      <c r="D911" s="9" t="s">
        <v>669</v>
      </c>
      <c r="E911" s="10" t="s">
        <v>670</v>
      </c>
      <c r="F911" s="10" t="s">
        <v>671</v>
      </c>
      <c r="G911" s="8">
        <v>1</v>
      </c>
      <c r="H911" s="11">
        <v>800</v>
      </c>
      <c r="I911" s="12">
        <v>42503</v>
      </c>
      <c r="J911" s="13">
        <f t="shared" si="31"/>
        <v>0</v>
      </c>
      <c r="K911" s="14"/>
      <c r="L911" s="14"/>
      <c r="M911" s="14">
        <v>400</v>
      </c>
      <c r="N911" s="14">
        <v>400</v>
      </c>
      <c r="O911" s="14"/>
      <c r="P911" s="14"/>
      <c r="Q911" s="14"/>
      <c r="R911" s="14"/>
      <c r="S911" s="14"/>
      <c r="T911" s="14"/>
      <c r="U911" s="14"/>
      <c r="V911" s="14"/>
      <c r="W911" s="15">
        <f t="shared" si="32"/>
        <v>800</v>
      </c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5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5"/>
      <c r="AX911" s="16"/>
    </row>
    <row r="912" spans="2:51" x14ac:dyDescent="0.2">
      <c r="B912" s="7" t="s">
        <v>47</v>
      </c>
      <c r="C912" s="8">
        <v>11642</v>
      </c>
      <c r="D912" s="9" t="s">
        <v>497</v>
      </c>
      <c r="E912" s="10" t="s">
        <v>498</v>
      </c>
      <c r="F912" s="10" t="s">
        <v>499</v>
      </c>
      <c r="G912" s="8">
        <v>1</v>
      </c>
      <c r="H912" s="11">
        <v>800</v>
      </c>
      <c r="I912" s="12">
        <v>42505</v>
      </c>
      <c r="J912" s="13">
        <f t="shared" si="31"/>
        <v>0</v>
      </c>
      <c r="K912" s="14"/>
      <c r="L912" s="14"/>
      <c r="M912" s="14"/>
      <c r="N912" s="14"/>
      <c r="O912" s="14">
        <v>400</v>
      </c>
      <c r="P912" s="14">
        <v>400</v>
      </c>
      <c r="Q912" s="14"/>
      <c r="R912" s="14"/>
      <c r="S912" s="14"/>
      <c r="T912" s="14"/>
      <c r="U912" s="14"/>
      <c r="V912" s="14"/>
      <c r="W912" s="15">
        <f t="shared" si="32"/>
        <v>800</v>
      </c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5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5"/>
      <c r="AX912" s="16"/>
    </row>
    <row r="913" spans="2:50" x14ac:dyDescent="0.2">
      <c r="B913" s="7" t="s">
        <v>37</v>
      </c>
      <c r="C913" s="8">
        <v>11643</v>
      </c>
      <c r="D913" s="9" t="s">
        <v>568</v>
      </c>
      <c r="E913" s="10" t="s">
        <v>569</v>
      </c>
      <c r="F913" s="10" t="s">
        <v>570</v>
      </c>
      <c r="G913" s="8">
        <v>1</v>
      </c>
      <c r="H913" s="11">
        <v>400</v>
      </c>
      <c r="I913" s="12">
        <v>42505</v>
      </c>
      <c r="J913" s="13">
        <f t="shared" si="31"/>
        <v>0</v>
      </c>
      <c r="K913" s="14"/>
      <c r="L913" s="14"/>
      <c r="M913" s="14"/>
      <c r="N913" s="14"/>
      <c r="O913" s="14">
        <v>400</v>
      </c>
      <c r="P913" s="14"/>
      <c r="Q913" s="14"/>
      <c r="R913" s="14"/>
      <c r="S913" s="14"/>
      <c r="T913" s="14"/>
      <c r="U913" s="14"/>
      <c r="V913" s="14"/>
      <c r="W913" s="15">
        <f t="shared" si="32"/>
        <v>400</v>
      </c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5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5"/>
      <c r="AX913" s="16"/>
    </row>
    <row r="914" spans="2:50" x14ac:dyDescent="0.2">
      <c r="B914" s="7" t="s">
        <v>47</v>
      </c>
      <c r="C914" s="8">
        <v>11644</v>
      </c>
      <c r="D914" s="9" t="s">
        <v>425</v>
      </c>
      <c r="E914" s="10" t="s">
        <v>426</v>
      </c>
      <c r="F914" s="10" t="s">
        <v>427</v>
      </c>
      <c r="G914" s="8">
        <v>1</v>
      </c>
      <c r="H914" s="11">
        <v>400</v>
      </c>
      <c r="I914" s="12">
        <v>42505</v>
      </c>
      <c r="J914" s="13">
        <f t="shared" si="31"/>
        <v>0</v>
      </c>
      <c r="K914" s="14"/>
      <c r="L914" s="14"/>
      <c r="M914" s="14"/>
      <c r="N914" s="14"/>
      <c r="O914" s="14">
        <v>400</v>
      </c>
      <c r="P914" s="14"/>
      <c r="Q914" s="14"/>
      <c r="R914" s="14"/>
      <c r="S914" s="14"/>
      <c r="T914" s="14"/>
      <c r="U914" s="14"/>
      <c r="V914" s="14"/>
      <c r="W914" s="15">
        <f t="shared" si="32"/>
        <v>400</v>
      </c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5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5"/>
      <c r="AX914" s="16"/>
    </row>
    <row r="915" spans="2:50" x14ac:dyDescent="0.2">
      <c r="B915" s="7" t="s">
        <v>73</v>
      </c>
      <c r="C915" s="8">
        <v>11645</v>
      </c>
      <c r="D915" s="9" t="s">
        <v>586</v>
      </c>
      <c r="E915" s="10" t="s">
        <v>587</v>
      </c>
      <c r="F915" s="10" t="s">
        <v>588</v>
      </c>
      <c r="G915" s="8">
        <v>1</v>
      </c>
      <c r="H915" s="11">
        <v>400</v>
      </c>
      <c r="I915" s="12">
        <v>42505</v>
      </c>
      <c r="J915" s="13">
        <f t="shared" ref="J915:J978" si="33">IF(G915=1,SUM(W915,-H915),0)</f>
        <v>0</v>
      </c>
      <c r="K915" s="14"/>
      <c r="L915" s="14"/>
      <c r="M915" s="14">
        <v>200</v>
      </c>
      <c r="N915" s="14">
        <v>200</v>
      </c>
      <c r="O915" s="14"/>
      <c r="P915" s="14"/>
      <c r="Q915" s="14"/>
      <c r="R915" s="14"/>
      <c r="S915" s="14"/>
      <c r="T915" s="14"/>
      <c r="U915" s="14"/>
      <c r="V915" s="14"/>
      <c r="W915" s="15">
        <f t="shared" ref="W915:W978" si="34">SUM(K915:V915)</f>
        <v>400</v>
      </c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5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5"/>
      <c r="AX915" s="16"/>
    </row>
    <row r="916" spans="2:50" x14ac:dyDescent="0.2">
      <c r="B916" s="7" t="s">
        <v>77</v>
      </c>
      <c r="C916" s="8">
        <v>11646</v>
      </c>
      <c r="D916" s="9" t="s">
        <v>874</v>
      </c>
      <c r="E916" s="10" t="s">
        <v>875</v>
      </c>
      <c r="F916" s="10" t="s">
        <v>493</v>
      </c>
      <c r="G916" s="8">
        <v>1</v>
      </c>
      <c r="H916" s="11">
        <v>400</v>
      </c>
      <c r="I916" s="12">
        <v>42505</v>
      </c>
      <c r="J916" s="13">
        <f t="shared" si="33"/>
        <v>0</v>
      </c>
      <c r="K916" s="14"/>
      <c r="L916" s="14"/>
      <c r="M916" s="14"/>
      <c r="N916" s="14">
        <v>200</v>
      </c>
      <c r="O916" s="14">
        <v>200</v>
      </c>
      <c r="P916" s="14"/>
      <c r="Q916" s="14"/>
      <c r="R916" s="14"/>
      <c r="S916" s="14"/>
      <c r="T916" s="14"/>
      <c r="U916" s="14"/>
      <c r="V916" s="14"/>
      <c r="W916" s="15">
        <f t="shared" si="34"/>
        <v>400</v>
      </c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5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5"/>
      <c r="AX916" s="16"/>
    </row>
    <row r="917" spans="2:50" x14ac:dyDescent="0.2">
      <c r="B917" s="7" t="s">
        <v>122</v>
      </c>
      <c r="C917" s="8">
        <v>11647</v>
      </c>
      <c r="D917" s="9" t="s">
        <v>262</v>
      </c>
      <c r="E917" s="10" t="s">
        <v>263</v>
      </c>
      <c r="F917" s="10" t="s">
        <v>264</v>
      </c>
      <c r="G917" s="8">
        <v>1</v>
      </c>
      <c r="H917" s="11">
        <v>300</v>
      </c>
      <c r="I917" s="12">
        <v>42505</v>
      </c>
      <c r="J917" s="13">
        <f t="shared" si="33"/>
        <v>0</v>
      </c>
      <c r="K917" s="14"/>
      <c r="L917" s="14"/>
      <c r="M917" s="14"/>
      <c r="N917" s="14"/>
      <c r="O917" s="14">
        <v>300</v>
      </c>
      <c r="P917" s="14"/>
      <c r="Q917" s="14"/>
      <c r="R917" s="14"/>
      <c r="S917" s="14"/>
      <c r="T917" s="14"/>
      <c r="U917" s="14"/>
      <c r="V917" s="14"/>
      <c r="W917" s="15">
        <f t="shared" si="34"/>
        <v>300</v>
      </c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5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5"/>
      <c r="AX917" s="16"/>
    </row>
    <row r="918" spans="2:50" x14ac:dyDescent="0.2">
      <c r="B918" s="7" t="s">
        <v>69</v>
      </c>
      <c r="C918" s="8">
        <v>11648</v>
      </c>
      <c r="D918" s="9" t="s">
        <v>944</v>
      </c>
      <c r="E918" s="10" t="s">
        <v>945</v>
      </c>
      <c r="F918" s="10" t="s">
        <v>946</v>
      </c>
      <c r="G918" s="8">
        <v>3</v>
      </c>
      <c r="H918" s="11">
        <v>160</v>
      </c>
      <c r="I918" s="12">
        <v>42505</v>
      </c>
      <c r="J918" s="13">
        <f t="shared" si="33"/>
        <v>0</v>
      </c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5">
        <f t="shared" si="34"/>
        <v>0</v>
      </c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5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5"/>
      <c r="AX918" s="16"/>
    </row>
    <row r="919" spans="2:50" x14ac:dyDescent="0.2">
      <c r="B919" s="7" t="s">
        <v>122</v>
      </c>
      <c r="C919" s="8">
        <v>11649</v>
      </c>
      <c r="D919" s="9" t="s">
        <v>637</v>
      </c>
      <c r="E919" s="10" t="s">
        <v>638</v>
      </c>
      <c r="F919" s="10" t="s">
        <v>639</v>
      </c>
      <c r="G919" s="8">
        <v>1</v>
      </c>
      <c r="H919" s="11">
        <v>800</v>
      </c>
      <c r="I919" s="12">
        <v>42505</v>
      </c>
      <c r="J919" s="13">
        <f t="shared" si="33"/>
        <v>0</v>
      </c>
      <c r="K919" s="14"/>
      <c r="L919" s="14"/>
      <c r="M919" s="14"/>
      <c r="N919" s="14">
        <v>400</v>
      </c>
      <c r="O919" s="14">
        <v>400</v>
      </c>
      <c r="P919" s="14"/>
      <c r="Q919" s="14"/>
      <c r="R919" s="14"/>
      <c r="S919" s="14"/>
      <c r="T919" s="14"/>
      <c r="U919" s="14"/>
      <c r="V919" s="14"/>
      <c r="W919" s="15">
        <f t="shared" si="34"/>
        <v>800</v>
      </c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5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5"/>
      <c r="AX919" s="16"/>
    </row>
    <row r="920" spans="2:50" x14ac:dyDescent="0.2">
      <c r="B920" s="7" t="s">
        <v>47</v>
      </c>
      <c r="C920" s="8">
        <v>11650</v>
      </c>
      <c r="D920" s="9" t="s">
        <v>769</v>
      </c>
      <c r="E920" s="10" t="s">
        <v>770</v>
      </c>
      <c r="F920" s="10" t="s">
        <v>771</v>
      </c>
      <c r="G920" s="8">
        <v>1</v>
      </c>
      <c r="H920" s="11">
        <v>400</v>
      </c>
      <c r="I920" s="12">
        <v>42505</v>
      </c>
      <c r="J920" s="13">
        <f t="shared" si="33"/>
        <v>0</v>
      </c>
      <c r="K920" s="14"/>
      <c r="L920" s="14"/>
      <c r="M920" s="14"/>
      <c r="N920" s="14">
        <v>400</v>
      </c>
      <c r="O920" s="14"/>
      <c r="P920" s="14"/>
      <c r="Q920" s="14"/>
      <c r="R920" s="14"/>
      <c r="S920" s="14"/>
      <c r="T920" s="14"/>
      <c r="U920" s="14"/>
      <c r="V920" s="14"/>
      <c r="W920" s="15">
        <f t="shared" si="34"/>
        <v>400</v>
      </c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5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5"/>
      <c r="AX920" s="16"/>
    </row>
    <row r="921" spans="2:50" x14ac:dyDescent="0.2">
      <c r="B921" s="7" t="s">
        <v>37</v>
      </c>
      <c r="C921" s="8">
        <v>11651</v>
      </c>
      <c r="D921" s="9" t="s">
        <v>947</v>
      </c>
      <c r="E921" s="10" t="s">
        <v>948</v>
      </c>
      <c r="F921" s="10" t="s">
        <v>949</v>
      </c>
      <c r="G921" s="8">
        <v>1</v>
      </c>
      <c r="H921" s="11">
        <v>400</v>
      </c>
      <c r="I921" s="12">
        <v>42505</v>
      </c>
      <c r="J921" s="13">
        <f t="shared" si="33"/>
        <v>0</v>
      </c>
      <c r="K921" s="14"/>
      <c r="L921" s="14"/>
      <c r="M921" s="14"/>
      <c r="N921" s="14"/>
      <c r="O921" s="14">
        <v>400</v>
      </c>
      <c r="P921" s="14"/>
      <c r="Q921" s="14"/>
      <c r="R921" s="14"/>
      <c r="S921" s="14"/>
      <c r="T921" s="14"/>
      <c r="U921" s="14"/>
      <c r="V921" s="14"/>
      <c r="W921" s="15">
        <f t="shared" si="34"/>
        <v>400</v>
      </c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5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5"/>
      <c r="AX921" s="16"/>
    </row>
    <row r="922" spans="2:50" x14ac:dyDescent="0.2">
      <c r="B922" s="7" t="s">
        <v>37</v>
      </c>
      <c r="C922" s="8">
        <v>11652</v>
      </c>
      <c r="D922" s="9" t="s">
        <v>947</v>
      </c>
      <c r="E922" s="10" t="s">
        <v>948</v>
      </c>
      <c r="F922" s="10" t="s">
        <v>949</v>
      </c>
      <c r="G922" s="8">
        <v>3</v>
      </c>
      <c r="H922" s="11">
        <v>160</v>
      </c>
      <c r="I922" s="12">
        <v>42505</v>
      </c>
      <c r="J922" s="13">
        <f t="shared" si="33"/>
        <v>0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5">
        <f t="shared" si="34"/>
        <v>0</v>
      </c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5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5"/>
      <c r="AX922" s="16"/>
    </row>
    <row r="923" spans="2:50" x14ac:dyDescent="0.2">
      <c r="B923" s="7" t="s">
        <v>47</v>
      </c>
      <c r="C923" s="8">
        <v>11653</v>
      </c>
      <c r="D923" s="9" t="s">
        <v>280</v>
      </c>
      <c r="E923" s="10" t="s">
        <v>281</v>
      </c>
      <c r="F923" s="10" t="s">
        <v>282</v>
      </c>
      <c r="G923" s="8">
        <v>1</v>
      </c>
      <c r="H923" s="11">
        <v>400</v>
      </c>
      <c r="I923" s="12">
        <v>42505</v>
      </c>
      <c r="J923" s="13">
        <f t="shared" si="33"/>
        <v>0</v>
      </c>
      <c r="K923" s="14"/>
      <c r="L923" s="14"/>
      <c r="M923" s="14"/>
      <c r="N923" s="14"/>
      <c r="O923" s="14">
        <v>400</v>
      </c>
      <c r="P923" s="14"/>
      <c r="Q923" s="14"/>
      <c r="R923" s="14"/>
      <c r="S923" s="14"/>
      <c r="T923" s="14"/>
      <c r="U923" s="14"/>
      <c r="V923" s="14"/>
      <c r="W923" s="15">
        <f t="shared" si="34"/>
        <v>400</v>
      </c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5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5"/>
      <c r="AX923" s="16"/>
    </row>
    <row r="924" spans="2:50" x14ac:dyDescent="0.2">
      <c r="B924" s="7" t="s">
        <v>77</v>
      </c>
      <c r="C924" s="8">
        <v>11654</v>
      </c>
      <c r="D924" s="9" t="s">
        <v>159</v>
      </c>
      <c r="E924" s="10" t="s">
        <v>160</v>
      </c>
      <c r="F924" s="10" t="s">
        <v>161</v>
      </c>
      <c r="G924" s="8">
        <v>1</v>
      </c>
      <c r="H924" s="11">
        <v>400</v>
      </c>
      <c r="I924" s="12">
        <v>42505</v>
      </c>
      <c r="J924" s="13">
        <f t="shared" si="33"/>
        <v>0</v>
      </c>
      <c r="K924" s="14"/>
      <c r="L924" s="14"/>
      <c r="M924" s="14"/>
      <c r="N924" s="14"/>
      <c r="O924" s="14">
        <v>400</v>
      </c>
      <c r="P924" s="14"/>
      <c r="Q924" s="14"/>
      <c r="R924" s="14"/>
      <c r="S924" s="14"/>
      <c r="T924" s="14"/>
      <c r="U924" s="14"/>
      <c r="V924" s="14"/>
      <c r="W924" s="15">
        <f t="shared" si="34"/>
        <v>400</v>
      </c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5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5"/>
      <c r="AX924" s="16"/>
    </row>
    <row r="925" spans="2:50" x14ac:dyDescent="0.2">
      <c r="B925" s="7" t="s">
        <v>73</v>
      </c>
      <c r="C925" s="8">
        <v>11655</v>
      </c>
      <c r="D925" s="9" t="s">
        <v>728</v>
      </c>
      <c r="E925" s="10" t="s">
        <v>729</v>
      </c>
      <c r="F925" s="10" t="s">
        <v>730</v>
      </c>
      <c r="G925" s="8">
        <v>1</v>
      </c>
      <c r="H925" s="11">
        <v>1200</v>
      </c>
      <c r="I925" s="12">
        <v>42505</v>
      </c>
      <c r="J925" s="13">
        <f t="shared" si="33"/>
        <v>0</v>
      </c>
      <c r="K925" s="14"/>
      <c r="L925" s="14">
        <v>400</v>
      </c>
      <c r="M925" s="14">
        <v>400</v>
      </c>
      <c r="N925" s="14">
        <v>400</v>
      </c>
      <c r="O925" s="14"/>
      <c r="P925" s="14"/>
      <c r="Q925" s="14"/>
      <c r="R925" s="14"/>
      <c r="S925" s="14"/>
      <c r="T925" s="14"/>
      <c r="U925" s="14"/>
      <c r="V925" s="14"/>
      <c r="W925" s="15">
        <f t="shared" si="34"/>
        <v>1200</v>
      </c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5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5"/>
      <c r="AX925" s="16"/>
    </row>
    <row r="926" spans="2:50" x14ac:dyDescent="0.2">
      <c r="B926" s="7" t="s">
        <v>69</v>
      </c>
      <c r="C926" s="8">
        <v>11656</v>
      </c>
      <c r="D926" s="9" t="s">
        <v>678</v>
      </c>
      <c r="E926" s="10" t="s">
        <v>679</v>
      </c>
      <c r="F926" s="10" t="s">
        <v>680</v>
      </c>
      <c r="G926" s="8">
        <v>4</v>
      </c>
      <c r="H926" s="11">
        <v>160</v>
      </c>
      <c r="I926" s="12">
        <v>42505</v>
      </c>
      <c r="J926" s="13">
        <f t="shared" si="33"/>
        <v>0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5">
        <f t="shared" si="34"/>
        <v>0</v>
      </c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5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5"/>
      <c r="AX926" s="7">
        <v>19173</v>
      </c>
    </row>
    <row r="927" spans="2:50" x14ac:dyDescent="0.2">
      <c r="B927" s="7" t="s">
        <v>73</v>
      </c>
      <c r="C927" s="8">
        <v>11657</v>
      </c>
      <c r="D927" s="9" t="s">
        <v>649</v>
      </c>
      <c r="E927" s="10" t="s">
        <v>650</v>
      </c>
      <c r="F927" s="10" t="s">
        <v>651</v>
      </c>
      <c r="G927" s="8">
        <v>1</v>
      </c>
      <c r="H927" s="11">
        <v>600</v>
      </c>
      <c r="I927" s="12">
        <v>42505</v>
      </c>
      <c r="J927" s="13">
        <f t="shared" si="33"/>
        <v>0</v>
      </c>
      <c r="K927" s="14"/>
      <c r="L927" s="14"/>
      <c r="M927" s="14"/>
      <c r="N927" s="14">
        <v>300</v>
      </c>
      <c r="O927" s="14">
        <v>300</v>
      </c>
      <c r="P927" s="14"/>
      <c r="Q927" s="14"/>
      <c r="R927" s="14"/>
      <c r="S927" s="14"/>
      <c r="T927" s="14"/>
      <c r="U927" s="14"/>
      <c r="V927" s="14"/>
      <c r="W927" s="15">
        <f t="shared" si="34"/>
        <v>600</v>
      </c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5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5"/>
      <c r="AX927" s="16"/>
    </row>
    <row r="928" spans="2:50" x14ac:dyDescent="0.2">
      <c r="B928" s="7" t="s">
        <v>37</v>
      </c>
      <c r="C928" s="8">
        <v>11658</v>
      </c>
      <c r="D928" s="9" t="s">
        <v>840</v>
      </c>
      <c r="E928" s="10" t="s">
        <v>841</v>
      </c>
      <c r="F928" s="10" t="s">
        <v>842</v>
      </c>
      <c r="G928" s="8">
        <v>1</v>
      </c>
      <c r="H928" s="11">
        <v>400</v>
      </c>
      <c r="I928" s="12">
        <v>42505</v>
      </c>
      <c r="J928" s="13">
        <f t="shared" si="33"/>
        <v>0</v>
      </c>
      <c r="K928" s="14"/>
      <c r="L928" s="14"/>
      <c r="M928" s="14"/>
      <c r="N928" s="14"/>
      <c r="O928" s="14">
        <v>400</v>
      </c>
      <c r="P928" s="14"/>
      <c r="Q928" s="14"/>
      <c r="R928" s="14"/>
      <c r="S928" s="14"/>
      <c r="T928" s="14"/>
      <c r="U928" s="14"/>
      <c r="V928" s="14"/>
      <c r="W928" s="15">
        <f t="shared" si="34"/>
        <v>400</v>
      </c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5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5"/>
      <c r="AX928" s="16"/>
    </row>
    <row r="929" spans="2:51" x14ac:dyDescent="0.2">
      <c r="B929" s="7" t="s">
        <v>47</v>
      </c>
      <c r="C929" s="8">
        <v>11659</v>
      </c>
      <c r="D929" s="9" t="s">
        <v>132</v>
      </c>
      <c r="E929" s="10" t="s">
        <v>133</v>
      </c>
      <c r="F929" s="10" t="s">
        <v>134</v>
      </c>
      <c r="G929" s="8">
        <v>1</v>
      </c>
      <c r="H929" s="11">
        <v>300</v>
      </c>
      <c r="I929" s="12">
        <v>42505</v>
      </c>
      <c r="J929" s="13">
        <f t="shared" si="33"/>
        <v>0</v>
      </c>
      <c r="K929" s="14"/>
      <c r="L929" s="14"/>
      <c r="M929" s="14">
        <v>300</v>
      </c>
      <c r="N929" s="14"/>
      <c r="O929" s="14"/>
      <c r="P929" s="14"/>
      <c r="Q929" s="14"/>
      <c r="R929" s="14"/>
      <c r="S929" s="14"/>
      <c r="T929" s="14"/>
      <c r="U929" s="14"/>
      <c r="V929" s="14"/>
      <c r="W929" s="15">
        <f t="shared" si="34"/>
        <v>300</v>
      </c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5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5"/>
      <c r="AX929" s="16"/>
    </row>
    <row r="930" spans="2:51" x14ac:dyDescent="0.2">
      <c r="B930" s="7" t="s">
        <v>47</v>
      </c>
      <c r="C930" s="8">
        <v>11660</v>
      </c>
      <c r="D930" s="9" t="s">
        <v>132</v>
      </c>
      <c r="E930" s="10" t="s">
        <v>133</v>
      </c>
      <c r="F930" s="10" t="s">
        <v>134</v>
      </c>
      <c r="G930" s="8">
        <v>1</v>
      </c>
      <c r="H930" s="11">
        <v>300</v>
      </c>
      <c r="I930" s="12">
        <v>42505</v>
      </c>
      <c r="J930" s="13">
        <f t="shared" si="33"/>
        <v>0</v>
      </c>
      <c r="K930" s="14"/>
      <c r="L930" s="14"/>
      <c r="M930" s="14"/>
      <c r="N930" s="14"/>
      <c r="O930" s="14">
        <v>300</v>
      </c>
      <c r="P930" s="14"/>
      <c r="Q930" s="14"/>
      <c r="R930" s="14"/>
      <c r="S930" s="14"/>
      <c r="T930" s="14"/>
      <c r="U930" s="14"/>
      <c r="V930" s="14"/>
      <c r="W930" s="15">
        <f t="shared" si="34"/>
        <v>300</v>
      </c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5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5"/>
      <c r="AX930" s="16"/>
    </row>
    <row r="931" spans="2:51" x14ac:dyDescent="0.2">
      <c r="B931" s="7" t="s">
        <v>73</v>
      </c>
      <c r="C931" s="8">
        <v>11661</v>
      </c>
      <c r="D931" s="9" t="s">
        <v>672</v>
      </c>
      <c r="E931" s="10" t="s">
        <v>673</v>
      </c>
      <c r="F931" s="10" t="s">
        <v>674</v>
      </c>
      <c r="G931" s="8">
        <v>1</v>
      </c>
      <c r="H931" s="11">
        <v>600</v>
      </c>
      <c r="I931" s="12">
        <v>42505</v>
      </c>
      <c r="J931" s="13">
        <f t="shared" si="33"/>
        <v>0</v>
      </c>
      <c r="K931" s="14"/>
      <c r="L931" s="14"/>
      <c r="M931" s="14">
        <v>200</v>
      </c>
      <c r="N931" s="14">
        <v>200</v>
      </c>
      <c r="O931" s="14">
        <v>200</v>
      </c>
      <c r="P931" s="14"/>
      <c r="Q931" s="14"/>
      <c r="R931" s="14"/>
      <c r="S931" s="14"/>
      <c r="T931" s="14"/>
      <c r="U931" s="14"/>
      <c r="V931" s="14"/>
      <c r="W931" s="15">
        <f t="shared" si="34"/>
        <v>600</v>
      </c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5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5"/>
      <c r="AX931" s="16"/>
    </row>
    <row r="932" spans="2:51" x14ac:dyDescent="0.2">
      <c r="B932" s="7" t="s">
        <v>47</v>
      </c>
      <c r="C932" s="8">
        <v>11662</v>
      </c>
      <c r="D932" s="9" t="s">
        <v>328</v>
      </c>
      <c r="E932" s="10" t="s">
        <v>329</v>
      </c>
      <c r="F932" s="10" t="s">
        <v>330</v>
      </c>
      <c r="G932" s="8">
        <v>1</v>
      </c>
      <c r="H932" s="11">
        <v>400</v>
      </c>
      <c r="I932" s="12">
        <v>42505</v>
      </c>
      <c r="J932" s="13">
        <f t="shared" si="33"/>
        <v>0</v>
      </c>
      <c r="K932" s="14"/>
      <c r="L932" s="14"/>
      <c r="M932" s="14"/>
      <c r="N932" s="14"/>
      <c r="O932" s="14">
        <v>400</v>
      </c>
      <c r="P932" s="14"/>
      <c r="Q932" s="14"/>
      <c r="R932" s="14"/>
      <c r="S932" s="14"/>
      <c r="T932" s="14"/>
      <c r="U932" s="14"/>
      <c r="V932" s="14"/>
      <c r="W932" s="15">
        <f t="shared" si="34"/>
        <v>400</v>
      </c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5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5"/>
      <c r="AX932" s="16"/>
    </row>
    <row r="933" spans="2:51" x14ac:dyDescent="0.2">
      <c r="B933" s="7" t="s">
        <v>69</v>
      </c>
      <c r="C933" s="8">
        <v>11663</v>
      </c>
      <c r="D933" s="9" t="s">
        <v>868</v>
      </c>
      <c r="E933" s="10" t="s">
        <v>869</v>
      </c>
      <c r="F933" s="10" t="s">
        <v>870</v>
      </c>
      <c r="G933" s="8">
        <v>1</v>
      </c>
      <c r="H933" s="11">
        <v>1200</v>
      </c>
      <c r="I933" s="12">
        <v>42505</v>
      </c>
      <c r="J933" s="13">
        <f t="shared" si="33"/>
        <v>0</v>
      </c>
      <c r="K933" s="14"/>
      <c r="L933" s="14"/>
      <c r="M933" s="14"/>
      <c r="N933" s="14">
        <v>400</v>
      </c>
      <c r="O933" s="14">
        <v>400</v>
      </c>
      <c r="P933" s="14">
        <v>400</v>
      </c>
      <c r="Q933" s="14"/>
      <c r="R933" s="14"/>
      <c r="S933" s="14"/>
      <c r="T933" s="14"/>
      <c r="U933" s="14"/>
      <c r="V933" s="14"/>
      <c r="W933" s="15">
        <f t="shared" si="34"/>
        <v>1200</v>
      </c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5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5"/>
      <c r="AX933" s="16"/>
    </row>
    <row r="934" spans="2:51" x14ac:dyDescent="0.2">
      <c r="B934" s="7" t="s">
        <v>69</v>
      </c>
      <c r="C934" s="8">
        <v>11664</v>
      </c>
      <c r="D934" s="9" t="s">
        <v>868</v>
      </c>
      <c r="E934" s="10" t="s">
        <v>869</v>
      </c>
      <c r="F934" s="10" t="s">
        <v>870</v>
      </c>
      <c r="G934" s="8">
        <v>4</v>
      </c>
      <c r="H934" s="11">
        <v>160</v>
      </c>
      <c r="I934" s="12">
        <v>42505</v>
      </c>
      <c r="J934" s="13">
        <f t="shared" si="33"/>
        <v>0</v>
      </c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5">
        <f t="shared" si="34"/>
        <v>0</v>
      </c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5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5"/>
      <c r="AX934" s="7">
        <v>8411</v>
      </c>
    </row>
    <row r="935" spans="2:51" x14ac:dyDescent="0.2">
      <c r="B935" s="7" t="s">
        <v>69</v>
      </c>
      <c r="C935" s="8">
        <v>11665</v>
      </c>
      <c r="D935" s="9" t="s">
        <v>562</v>
      </c>
      <c r="E935" s="10" t="s">
        <v>563</v>
      </c>
      <c r="F935" s="10" t="s">
        <v>564</v>
      </c>
      <c r="G935" s="8">
        <v>1</v>
      </c>
      <c r="H935" s="11">
        <v>800</v>
      </c>
      <c r="I935" s="12">
        <v>42505</v>
      </c>
      <c r="J935" s="13">
        <f t="shared" si="33"/>
        <v>0</v>
      </c>
      <c r="K935" s="14"/>
      <c r="L935" s="14"/>
      <c r="M935" s="14"/>
      <c r="N935" s="14">
        <v>400</v>
      </c>
      <c r="O935" s="14">
        <v>400</v>
      </c>
      <c r="P935" s="14"/>
      <c r="Q935" s="14"/>
      <c r="R935" s="14"/>
      <c r="S935" s="14"/>
      <c r="T935" s="14"/>
      <c r="U935" s="14"/>
      <c r="V935" s="14"/>
      <c r="W935" s="15">
        <f t="shared" si="34"/>
        <v>800</v>
      </c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5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5"/>
      <c r="AX935" s="16"/>
    </row>
    <row r="936" spans="2:51" x14ac:dyDescent="0.2">
      <c r="B936" s="7" t="s">
        <v>69</v>
      </c>
      <c r="C936" s="8">
        <v>11666</v>
      </c>
      <c r="D936" s="9" t="s">
        <v>461</v>
      </c>
      <c r="E936" s="10" t="s">
        <v>462</v>
      </c>
      <c r="F936" s="10" t="s">
        <v>463</v>
      </c>
      <c r="G936" s="8">
        <v>1</v>
      </c>
      <c r="H936" s="11">
        <v>400</v>
      </c>
      <c r="I936" s="12">
        <v>42505</v>
      </c>
      <c r="J936" s="13">
        <f t="shared" si="33"/>
        <v>0</v>
      </c>
      <c r="K936" s="14"/>
      <c r="L936" s="14"/>
      <c r="M936" s="14"/>
      <c r="N936" s="14">
        <v>400</v>
      </c>
      <c r="O936" s="14"/>
      <c r="P936" s="14"/>
      <c r="Q936" s="14"/>
      <c r="R936" s="14"/>
      <c r="S936" s="14"/>
      <c r="T936" s="14"/>
      <c r="U936" s="14"/>
      <c r="V936" s="14"/>
      <c r="W936" s="15">
        <f t="shared" si="34"/>
        <v>400</v>
      </c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5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5"/>
      <c r="AX936" s="16"/>
    </row>
    <row r="937" spans="2:51" x14ac:dyDescent="0.2">
      <c r="B937" s="7" t="s">
        <v>77</v>
      </c>
      <c r="C937" s="8">
        <v>11667</v>
      </c>
      <c r="D937" s="9" t="s">
        <v>156</v>
      </c>
      <c r="E937" s="10" t="s">
        <v>157</v>
      </c>
      <c r="F937" s="10" t="s">
        <v>158</v>
      </c>
      <c r="G937" s="8">
        <v>1</v>
      </c>
      <c r="H937" s="11">
        <v>300</v>
      </c>
      <c r="I937" s="12">
        <v>42505</v>
      </c>
      <c r="J937" s="13">
        <f t="shared" si="33"/>
        <v>0</v>
      </c>
      <c r="K937" s="14"/>
      <c r="L937" s="14"/>
      <c r="M937" s="14"/>
      <c r="N937" s="14"/>
      <c r="O937" s="14">
        <v>300</v>
      </c>
      <c r="P937" s="14"/>
      <c r="Q937" s="14"/>
      <c r="R937" s="14"/>
      <c r="S937" s="14"/>
      <c r="T937" s="14"/>
      <c r="U937" s="14"/>
      <c r="V937" s="14"/>
      <c r="W937" s="15">
        <f t="shared" si="34"/>
        <v>300</v>
      </c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5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5"/>
      <c r="AX937" s="16"/>
    </row>
    <row r="938" spans="2:51" x14ac:dyDescent="0.2">
      <c r="B938" s="7" t="s">
        <v>47</v>
      </c>
      <c r="C938" s="8">
        <v>11668</v>
      </c>
      <c r="D938" s="9" t="s">
        <v>772</v>
      </c>
      <c r="E938" s="10" t="s">
        <v>773</v>
      </c>
      <c r="F938" s="10" t="s">
        <v>237</v>
      </c>
      <c r="G938" s="8">
        <v>1</v>
      </c>
      <c r="H938" s="11">
        <v>800</v>
      </c>
      <c r="I938" s="12">
        <v>42505</v>
      </c>
      <c r="J938" s="13">
        <f t="shared" si="33"/>
        <v>0</v>
      </c>
      <c r="K938" s="14"/>
      <c r="L938" s="14"/>
      <c r="M938" s="14">
        <v>200</v>
      </c>
      <c r="N938" s="14">
        <v>200</v>
      </c>
      <c r="O938" s="14">
        <v>200</v>
      </c>
      <c r="P938" s="14">
        <v>200</v>
      </c>
      <c r="Q938" s="14"/>
      <c r="R938" s="14"/>
      <c r="S938" s="14"/>
      <c r="T938" s="14"/>
      <c r="U938" s="14"/>
      <c r="V938" s="14"/>
      <c r="W938" s="15">
        <f t="shared" si="34"/>
        <v>800</v>
      </c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5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5"/>
      <c r="AX938" s="16"/>
    </row>
    <row r="939" spans="2:51" x14ac:dyDescent="0.2">
      <c r="B939" s="7" t="s">
        <v>47</v>
      </c>
      <c r="C939" s="8">
        <v>11668</v>
      </c>
      <c r="D939" s="9" t="s">
        <v>772</v>
      </c>
      <c r="E939" s="10" t="s">
        <v>773</v>
      </c>
      <c r="F939" s="10" t="s">
        <v>237</v>
      </c>
      <c r="G939" s="8">
        <v>4</v>
      </c>
      <c r="H939" s="11">
        <v>160</v>
      </c>
      <c r="I939" s="12">
        <v>42505</v>
      </c>
      <c r="J939" s="13">
        <f t="shared" si="33"/>
        <v>0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5">
        <f t="shared" si="34"/>
        <v>0</v>
      </c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5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5"/>
      <c r="AX939" s="7">
        <v>8413</v>
      </c>
    </row>
    <row r="940" spans="2:51" x14ac:dyDescent="0.2">
      <c r="B940" s="7" t="s">
        <v>37</v>
      </c>
      <c r="C940" s="8">
        <v>11669</v>
      </c>
      <c r="D940" s="9" t="s">
        <v>708</v>
      </c>
      <c r="E940" s="10" t="s">
        <v>709</v>
      </c>
      <c r="F940" s="10" t="s">
        <v>710</v>
      </c>
      <c r="G940" s="8">
        <v>1</v>
      </c>
      <c r="H940" s="11">
        <v>400</v>
      </c>
      <c r="I940" s="12">
        <v>42505</v>
      </c>
      <c r="J940" s="13">
        <f t="shared" si="33"/>
        <v>0</v>
      </c>
      <c r="K940" s="14"/>
      <c r="L940" s="14"/>
      <c r="M940" s="14"/>
      <c r="N940" s="14"/>
      <c r="O940" s="14">
        <v>400</v>
      </c>
      <c r="P940" s="14"/>
      <c r="Q940" s="14"/>
      <c r="R940" s="14"/>
      <c r="S940" s="14"/>
      <c r="T940" s="14"/>
      <c r="U940" s="14"/>
      <c r="V940" s="14"/>
      <c r="W940" s="15">
        <f t="shared" si="34"/>
        <v>400</v>
      </c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5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5"/>
      <c r="AX940" s="16"/>
    </row>
    <row r="941" spans="2:51" x14ac:dyDescent="0.2">
      <c r="B941" s="7" t="s">
        <v>37</v>
      </c>
      <c r="C941" s="8">
        <v>11669</v>
      </c>
      <c r="D941" s="9" t="s">
        <v>708</v>
      </c>
      <c r="E941" s="10" t="s">
        <v>709</v>
      </c>
      <c r="F941" s="10" t="s">
        <v>710</v>
      </c>
      <c r="G941" s="8">
        <v>4</v>
      </c>
      <c r="H941" s="11">
        <v>160</v>
      </c>
      <c r="I941" s="12">
        <v>42505</v>
      </c>
      <c r="J941" s="13">
        <f t="shared" si="33"/>
        <v>0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5">
        <f t="shared" si="34"/>
        <v>0</v>
      </c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5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5"/>
      <c r="AX941" s="7">
        <v>19174</v>
      </c>
    </row>
    <row r="942" spans="2:51" x14ac:dyDescent="0.2">
      <c r="B942" s="7" t="s">
        <v>47</v>
      </c>
      <c r="C942" s="8">
        <v>11670</v>
      </c>
      <c r="D942" s="9" t="s">
        <v>950</v>
      </c>
      <c r="E942" s="10" t="s">
        <v>951</v>
      </c>
      <c r="F942" s="10" t="s">
        <v>952</v>
      </c>
      <c r="G942" s="8">
        <v>4</v>
      </c>
      <c r="H942" s="315">
        <v>160</v>
      </c>
      <c r="I942" s="12">
        <v>42505</v>
      </c>
      <c r="J942" s="13">
        <f t="shared" si="33"/>
        <v>0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5">
        <f t="shared" si="34"/>
        <v>0</v>
      </c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5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5"/>
      <c r="AX942" s="7">
        <v>19182</v>
      </c>
      <c r="AY942" s="112">
        <f>SUM(H902:H942)</f>
        <v>18160</v>
      </c>
    </row>
    <row r="943" spans="2:51" x14ac:dyDescent="0.2">
      <c r="B943" s="7" t="s">
        <v>37</v>
      </c>
      <c r="C943" s="8">
        <v>11671</v>
      </c>
      <c r="D943" s="9" t="s">
        <v>58</v>
      </c>
      <c r="E943" s="10" t="s">
        <v>59</v>
      </c>
      <c r="F943" s="10" t="s">
        <v>60</v>
      </c>
      <c r="G943" s="8">
        <v>1</v>
      </c>
      <c r="H943" s="11">
        <v>900</v>
      </c>
      <c r="I943" s="12">
        <v>42506</v>
      </c>
      <c r="J943" s="13">
        <f t="shared" si="33"/>
        <v>0</v>
      </c>
      <c r="K943" s="14"/>
      <c r="L943" s="14"/>
      <c r="M943" s="14">
        <v>300</v>
      </c>
      <c r="N943" s="14">
        <v>300</v>
      </c>
      <c r="O943" s="14">
        <v>300</v>
      </c>
      <c r="P943" s="14"/>
      <c r="Q943" s="14"/>
      <c r="R943" s="14"/>
      <c r="S943" s="14"/>
      <c r="T943" s="14"/>
      <c r="U943" s="14"/>
      <c r="V943" s="14"/>
      <c r="W943" s="15">
        <f t="shared" si="34"/>
        <v>900</v>
      </c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5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5"/>
      <c r="AX943" s="16"/>
    </row>
    <row r="944" spans="2:51" x14ac:dyDescent="0.2">
      <c r="B944" s="7" t="s">
        <v>122</v>
      </c>
      <c r="C944" s="8">
        <v>11672</v>
      </c>
      <c r="D944" s="9" t="s">
        <v>220</v>
      </c>
      <c r="E944" s="10" t="s">
        <v>221</v>
      </c>
      <c r="F944" s="10" t="s">
        <v>222</v>
      </c>
      <c r="G944" s="8">
        <v>1</v>
      </c>
      <c r="H944" s="11">
        <v>300</v>
      </c>
      <c r="I944" s="12">
        <v>42507</v>
      </c>
      <c r="J944" s="13">
        <f t="shared" si="33"/>
        <v>0</v>
      </c>
      <c r="K944" s="14"/>
      <c r="L944" s="14"/>
      <c r="M944" s="14"/>
      <c r="N944" s="14"/>
      <c r="O944" s="14">
        <v>300</v>
      </c>
      <c r="P944" s="14"/>
      <c r="Q944" s="14"/>
      <c r="R944" s="14"/>
      <c r="S944" s="14"/>
      <c r="T944" s="14"/>
      <c r="U944" s="14"/>
      <c r="V944" s="14"/>
      <c r="W944" s="15">
        <f t="shared" si="34"/>
        <v>300</v>
      </c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5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5"/>
      <c r="AX944" s="16"/>
    </row>
    <row r="945" spans="2:50" x14ac:dyDescent="0.2">
      <c r="B945" s="7" t="s">
        <v>122</v>
      </c>
      <c r="C945" s="8">
        <v>11673</v>
      </c>
      <c r="D945" s="9" t="s">
        <v>220</v>
      </c>
      <c r="E945" s="10" t="s">
        <v>221</v>
      </c>
      <c r="F945" s="10" t="s">
        <v>222</v>
      </c>
      <c r="G945" s="8">
        <v>1</v>
      </c>
      <c r="H945" s="11">
        <v>300</v>
      </c>
      <c r="I945" s="12">
        <v>42506</v>
      </c>
      <c r="J945" s="13">
        <f t="shared" si="33"/>
        <v>0</v>
      </c>
      <c r="K945" s="14"/>
      <c r="L945" s="14"/>
      <c r="M945" s="14"/>
      <c r="N945" s="14">
        <v>300</v>
      </c>
      <c r="O945" s="14"/>
      <c r="P945" s="14"/>
      <c r="Q945" s="14"/>
      <c r="R945" s="14"/>
      <c r="S945" s="14"/>
      <c r="T945" s="14"/>
      <c r="U945" s="14"/>
      <c r="V945" s="14"/>
      <c r="W945" s="15">
        <f t="shared" si="34"/>
        <v>300</v>
      </c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5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5"/>
      <c r="AX945" s="16"/>
    </row>
    <row r="946" spans="2:50" x14ac:dyDescent="0.2">
      <c r="B946" s="7" t="s">
        <v>122</v>
      </c>
      <c r="C946" s="8">
        <v>11673</v>
      </c>
      <c r="D946" s="9" t="s">
        <v>220</v>
      </c>
      <c r="E946" s="10" t="s">
        <v>221</v>
      </c>
      <c r="F946" s="10" t="s">
        <v>222</v>
      </c>
      <c r="G946" s="8">
        <v>4</v>
      </c>
      <c r="H946" s="11">
        <v>160</v>
      </c>
      <c r="I946" s="12">
        <v>42506</v>
      </c>
      <c r="J946" s="13">
        <f t="shared" si="33"/>
        <v>0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5">
        <f t="shared" si="34"/>
        <v>0</v>
      </c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5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5"/>
      <c r="AX946" s="7">
        <v>19171</v>
      </c>
    </row>
    <row r="947" spans="2:50" x14ac:dyDescent="0.2">
      <c r="B947" s="7" t="s">
        <v>122</v>
      </c>
      <c r="C947" s="8">
        <v>11674</v>
      </c>
      <c r="D947" s="9" t="s">
        <v>331</v>
      </c>
      <c r="E947" s="10" t="s">
        <v>332</v>
      </c>
      <c r="F947" s="10" t="s">
        <v>333</v>
      </c>
      <c r="G947" s="8">
        <v>1</v>
      </c>
      <c r="H947" s="11">
        <v>400</v>
      </c>
      <c r="I947" s="12">
        <v>42508</v>
      </c>
      <c r="J947" s="13">
        <f t="shared" si="33"/>
        <v>0</v>
      </c>
      <c r="K947" s="14"/>
      <c r="L947" s="14"/>
      <c r="M947" s="14"/>
      <c r="N947" s="14"/>
      <c r="O947" s="14">
        <v>400</v>
      </c>
      <c r="P947" s="14"/>
      <c r="Q947" s="14"/>
      <c r="R947" s="14"/>
      <c r="S947" s="14"/>
      <c r="T947" s="14"/>
      <c r="U947" s="14"/>
      <c r="V947" s="14"/>
      <c r="W947" s="15">
        <f t="shared" si="34"/>
        <v>400</v>
      </c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5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5"/>
      <c r="AX947" s="16"/>
    </row>
    <row r="948" spans="2:50" x14ac:dyDescent="0.2">
      <c r="B948" s="7" t="s">
        <v>73</v>
      </c>
      <c r="C948" s="8">
        <v>11675</v>
      </c>
      <c r="D948" s="9" t="s">
        <v>199</v>
      </c>
      <c r="E948" s="10" t="s">
        <v>200</v>
      </c>
      <c r="F948" s="10" t="s">
        <v>201</v>
      </c>
      <c r="G948" s="8">
        <v>1</v>
      </c>
      <c r="H948" s="11">
        <v>400</v>
      </c>
      <c r="I948" s="12">
        <v>42509</v>
      </c>
      <c r="J948" s="13">
        <f t="shared" si="33"/>
        <v>0</v>
      </c>
      <c r="K948" s="14"/>
      <c r="L948" s="14"/>
      <c r="M948" s="14"/>
      <c r="N948" s="14">
        <v>400</v>
      </c>
      <c r="O948" s="14"/>
      <c r="P948" s="14"/>
      <c r="Q948" s="14"/>
      <c r="R948" s="14"/>
      <c r="S948" s="14"/>
      <c r="T948" s="14"/>
      <c r="U948" s="14"/>
      <c r="V948" s="14"/>
      <c r="W948" s="15">
        <f t="shared" si="34"/>
        <v>400</v>
      </c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5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5"/>
      <c r="AX948" s="16"/>
    </row>
    <row r="949" spans="2:50" x14ac:dyDescent="0.2">
      <c r="B949" s="7" t="s">
        <v>37</v>
      </c>
      <c r="C949" s="8">
        <v>11676</v>
      </c>
      <c r="D949" s="9" t="s">
        <v>94</v>
      </c>
      <c r="E949" s="10" t="s">
        <v>95</v>
      </c>
      <c r="F949" s="10" t="s">
        <v>96</v>
      </c>
      <c r="G949" s="8">
        <v>3</v>
      </c>
      <c r="H949" s="11">
        <v>160</v>
      </c>
      <c r="I949" s="12">
        <v>42510</v>
      </c>
      <c r="J949" s="13">
        <f t="shared" si="33"/>
        <v>0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5">
        <f t="shared" si="34"/>
        <v>0</v>
      </c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5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5"/>
      <c r="AX949" s="16"/>
    </row>
    <row r="950" spans="2:50" x14ac:dyDescent="0.2">
      <c r="B950" s="7" t="s">
        <v>37</v>
      </c>
      <c r="C950" s="8">
        <v>11677</v>
      </c>
      <c r="D950" s="9" t="s">
        <v>494</v>
      </c>
      <c r="E950" s="10" t="s">
        <v>495</v>
      </c>
      <c r="F950" s="10" t="s">
        <v>496</v>
      </c>
      <c r="G950" s="8">
        <v>1</v>
      </c>
      <c r="H950" s="11">
        <v>300</v>
      </c>
      <c r="I950" s="12">
        <v>42510</v>
      </c>
      <c r="J950" s="13">
        <f t="shared" si="33"/>
        <v>0</v>
      </c>
      <c r="K950" s="14"/>
      <c r="L950" s="14"/>
      <c r="M950" s="14"/>
      <c r="N950" s="14">
        <v>150</v>
      </c>
      <c r="O950" s="14">
        <v>150</v>
      </c>
      <c r="P950" s="14"/>
      <c r="Q950" s="14"/>
      <c r="R950" s="14"/>
      <c r="S950" s="14"/>
      <c r="T950" s="14"/>
      <c r="U950" s="14"/>
      <c r="V950" s="14"/>
      <c r="W950" s="15">
        <f t="shared" si="34"/>
        <v>300</v>
      </c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5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5"/>
      <c r="AX950" s="16"/>
    </row>
    <row r="951" spans="2:50" x14ac:dyDescent="0.2">
      <c r="B951" s="7" t="s">
        <v>73</v>
      </c>
      <c r="C951" s="8">
        <v>11678</v>
      </c>
      <c r="D951" s="9" t="s">
        <v>598</v>
      </c>
      <c r="E951" s="10" t="s">
        <v>599</v>
      </c>
      <c r="F951" s="10" t="s">
        <v>886</v>
      </c>
      <c r="G951" s="8">
        <v>1</v>
      </c>
      <c r="H951" s="11">
        <v>400</v>
      </c>
      <c r="I951" s="12">
        <v>42511</v>
      </c>
      <c r="J951" s="13">
        <f t="shared" si="33"/>
        <v>0</v>
      </c>
      <c r="K951" s="14"/>
      <c r="L951" s="14"/>
      <c r="M951" s="14"/>
      <c r="N951" s="14"/>
      <c r="O951" s="14">
        <v>400</v>
      </c>
      <c r="P951" s="14"/>
      <c r="Q951" s="14"/>
      <c r="R951" s="14"/>
      <c r="S951" s="14"/>
      <c r="T951" s="14"/>
      <c r="U951" s="14"/>
      <c r="V951" s="14"/>
      <c r="W951" s="15">
        <f t="shared" si="34"/>
        <v>400</v>
      </c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5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5"/>
      <c r="AX951" s="16"/>
    </row>
    <row r="952" spans="2:50" x14ac:dyDescent="0.2">
      <c r="B952" s="7" t="s">
        <v>73</v>
      </c>
      <c r="C952" s="8">
        <v>11678</v>
      </c>
      <c r="D952" s="9" t="s">
        <v>598</v>
      </c>
      <c r="E952" s="10" t="s">
        <v>599</v>
      </c>
      <c r="F952" s="10" t="s">
        <v>886</v>
      </c>
      <c r="G952" s="8">
        <v>3</v>
      </c>
      <c r="H952" s="11">
        <v>480</v>
      </c>
      <c r="I952" s="12">
        <v>42511</v>
      </c>
      <c r="J952" s="13">
        <f t="shared" si="33"/>
        <v>0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5">
        <f t="shared" si="34"/>
        <v>0</v>
      </c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5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5"/>
      <c r="AX952" s="16"/>
    </row>
    <row r="953" spans="2:50" x14ac:dyDescent="0.2">
      <c r="B953" s="7" t="s">
        <v>73</v>
      </c>
      <c r="C953" s="8">
        <v>11678</v>
      </c>
      <c r="D953" s="9" t="s">
        <v>598</v>
      </c>
      <c r="E953" s="10" t="s">
        <v>599</v>
      </c>
      <c r="F953" s="10" t="s">
        <v>886</v>
      </c>
      <c r="G953" s="8">
        <v>4</v>
      </c>
      <c r="H953" s="11">
        <v>800</v>
      </c>
      <c r="I953" s="12">
        <v>42511</v>
      </c>
      <c r="J953" s="13">
        <f t="shared" si="33"/>
        <v>0</v>
      </c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5">
        <f t="shared" si="34"/>
        <v>0</v>
      </c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5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5"/>
      <c r="AX953" s="16" t="s">
        <v>953</v>
      </c>
    </row>
    <row r="954" spans="2:50" x14ac:dyDescent="0.2">
      <c r="B954" s="7" t="s">
        <v>37</v>
      </c>
      <c r="C954" s="8">
        <v>11679</v>
      </c>
      <c r="D954" s="9" t="s">
        <v>954</v>
      </c>
      <c r="E954" s="10" t="s">
        <v>955</v>
      </c>
      <c r="F954" s="10" t="s">
        <v>956</v>
      </c>
      <c r="G954" s="8">
        <v>1</v>
      </c>
      <c r="H954" s="11">
        <v>800</v>
      </c>
      <c r="I954" s="12">
        <v>42511</v>
      </c>
      <c r="J954" s="13">
        <f t="shared" si="33"/>
        <v>0</v>
      </c>
      <c r="K954" s="14"/>
      <c r="L954" s="14"/>
      <c r="M954" s="14"/>
      <c r="N954" s="14"/>
      <c r="O954" s="14">
        <v>400</v>
      </c>
      <c r="P954" s="14">
        <v>400</v>
      </c>
      <c r="Q954" s="14"/>
      <c r="R954" s="14"/>
      <c r="S954" s="14"/>
      <c r="T954" s="14"/>
      <c r="U954" s="14"/>
      <c r="V954" s="14"/>
      <c r="W954" s="15">
        <f t="shared" si="34"/>
        <v>800</v>
      </c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5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5"/>
      <c r="AX954" s="16"/>
    </row>
    <row r="955" spans="2:50" x14ac:dyDescent="0.2">
      <c r="B955" s="7" t="s">
        <v>37</v>
      </c>
      <c r="C955" s="8">
        <v>11679</v>
      </c>
      <c r="D955" s="9" t="s">
        <v>954</v>
      </c>
      <c r="E955" s="10" t="s">
        <v>955</v>
      </c>
      <c r="F955" s="10" t="s">
        <v>956</v>
      </c>
      <c r="G955" s="8">
        <v>3</v>
      </c>
      <c r="H955" s="11">
        <v>160</v>
      </c>
      <c r="I955" s="12">
        <v>42511</v>
      </c>
      <c r="J955" s="13">
        <f t="shared" si="33"/>
        <v>0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5">
        <f t="shared" si="34"/>
        <v>0</v>
      </c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5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5"/>
      <c r="AX955" s="16"/>
    </row>
    <row r="956" spans="2:50" x14ac:dyDescent="0.2">
      <c r="B956" s="7" t="s">
        <v>47</v>
      </c>
      <c r="C956" s="8">
        <v>11680</v>
      </c>
      <c r="D956" s="9" t="s">
        <v>909</v>
      </c>
      <c r="E956" s="10" t="s">
        <v>910</v>
      </c>
      <c r="F956" s="10" t="s">
        <v>222</v>
      </c>
      <c r="G956" s="8">
        <v>1</v>
      </c>
      <c r="H956" s="11">
        <v>100</v>
      </c>
      <c r="I956" s="12">
        <v>42512</v>
      </c>
      <c r="J956" s="13">
        <f t="shared" si="33"/>
        <v>0</v>
      </c>
      <c r="K956" s="14"/>
      <c r="L956" s="14"/>
      <c r="M956" s="14"/>
      <c r="N956" s="14"/>
      <c r="O956" s="14">
        <v>100</v>
      </c>
      <c r="P956" s="14"/>
      <c r="Q956" s="14"/>
      <c r="R956" s="14"/>
      <c r="S956" s="14"/>
      <c r="T956" s="14"/>
      <c r="U956" s="14"/>
      <c r="V956" s="14"/>
      <c r="W956" s="15">
        <f t="shared" si="34"/>
        <v>100</v>
      </c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5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5"/>
      <c r="AX956" s="16"/>
    </row>
    <row r="957" spans="2:50" x14ac:dyDescent="0.2">
      <c r="B957" s="7" t="s">
        <v>37</v>
      </c>
      <c r="C957" s="8">
        <v>11681</v>
      </c>
      <c r="D957" s="9" t="s">
        <v>488</v>
      </c>
      <c r="E957" s="10" t="s">
        <v>489</v>
      </c>
      <c r="F957" s="10" t="s">
        <v>490</v>
      </c>
      <c r="G957" s="8">
        <v>1</v>
      </c>
      <c r="H957" s="11">
        <v>400</v>
      </c>
      <c r="I957" s="12">
        <v>42512</v>
      </c>
      <c r="J957" s="13">
        <f t="shared" si="33"/>
        <v>0</v>
      </c>
      <c r="K957" s="14"/>
      <c r="L957" s="14"/>
      <c r="M957" s="14"/>
      <c r="N957" s="14"/>
      <c r="O957" s="14">
        <v>400</v>
      </c>
      <c r="P957" s="14"/>
      <c r="Q957" s="14"/>
      <c r="R957" s="14"/>
      <c r="S957" s="14"/>
      <c r="T957" s="14"/>
      <c r="U957" s="14"/>
      <c r="V957" s="14"/>
      <c r="W957" s="15">
        <f t="shared" si="34"/>
        <v>400</v>
      </c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5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5"/>
      <c r="AX957" s="16"/>
    </row>
    <row r="958" spans="2:50" x14ac:dyDescent="0.2">
      <c r="B958" s="7" t="s">
        <v>37</v>
      </c>
      <c r="C958" s="8">
        <v>11682</v>
      </c>
      <c r="D958" s="9" t="s">
        <v>794</v>
      </c>
      <c r="E958" s="10" t="s">
        <v>795</v>
      </c>
      <c r="F958" s="10" t="s">
        <v>796</v>
      </c>
      <c r="G958" s="8">
        <v>1</v>
      </c>
      <c r="H958" s="11">
        <v>300</v>
      </c>
      <c r="I958" s="12">
        <v>42512</v>
      </c>
      <c r="J958" s="13">
        <f t="shared" si="33"/>
        <v>0</v>
      </c>
      <c r="K958" s="14"/>
      <c r="L958" s="14"/>
      <c r="M958" s="14"/>
      <c r="N958" s="14"/>
      <c r="O958" s="14">
        <v>300</v>
      </c>
      <c r="P958" s="14"/>
      <c r="Q958" s="14"/>
      <c r="R958" s="14"/>
      <c r="S958" s="14"/>
      <c r="T958" s="14"/>
      <c r="U958" s="14"/>
      <c r="V958" s="14"/>
      <c r="W958" s="15">
        <f t="shared" si="34"/>
        <v>300</v>
      </c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5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5"/>
      <c r="AX958" s="16"/>
    </row>
    <row r="959" spans="2:50" x14ac:dyDescent="0.2">
      <c r="B959" s="7" t="s">
        <v>37</v>
      </c>
      <c r="C959" s="8">
        <v>11683</v>
      </c>
      <c r="D959" s="9" t="s">
        <v>526</v>
      </c>
      <c r="E959" s="10" t="s">
        <v>527</v>
      </c>
      <c r="F959" s="10" t="s">
        <v>528</v>
      </c>
      <c r="G959" s="8">
        <v>1</v>
      </c>
      <c r="H959" s="11">
        <v>400</v>
      </c>
      <c r="I959" s="12">
        <v>42512</v>
      </c>
      <c r="J959" s="13">
        <f t="shared" si="33"/>
        <v>0</v>
      </c>
      <c r="K959" s="14"/>
      <c r="L959" s="14"/>
      <c r="M959" s="14"/>
      <c r="N959" s="14"/>
      <c r="O959" s="14">
        <v>400</v>
      </c>
      <c r="P959" s="14"/>
      <c r="Q959" s="14"/>
      <c r="R959" s="14"/>
      <c r="S959" s="14"/>
      <c r="T959" s="14"/>
      <c r="U959" s="14"/>
      <c r="V959" s="14"/>
      <c r="W959" s="15">
        <f t="shared" si="34"/>
        <v>400</v>
      </c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5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5"/>
      <c r="AX959" s="16"/>
    </row>
    <row r="960" spans="2:50" x14ac:dyDescent="0.2">
      <c r="B960" s="7" t="s">
        <v>47</v>
      </c>
      <c r="C960" s="8">
        <v>11684</v>
      </c>
      <c r="D960" s="9" t="s">
        <v>957</v>
      </c>
      <c r="E960" s="10" t="s">
        <v>958</v>
      </c>
      <c r="F960" s="10" t="s">
        <v>959</v>
      </c>
      <c r="G960" s="8">
        <v>1</v>
      </c>
      <c r="H960" s="11">
        <v>2800</v>
      </c>
      <c r="I960" s="12">
        <v>42512</v>
      </c>
      <c r="J960" s="13">
        <f t="shared" si="33"/>
        <v>-800</v>
      </c>
      <c r="K960" s="14">
        <v>400</v>
      </c>
      <c r="L960" s="14">
        <v>400</v>
      </c>
      <c r="M960" s="14">
        <v>400</v>
      </c>
      <c r="N960" s="14">
        <v>400</v>
      </c>
      <c r="O960" s="14">
        <v>400</v>
      </c>
      <c r="P960" s="14"/>
      <c r="Q960" s="14"/>
      <c r="R960" s="14"/>
      <c r="S960" s="14"/>
      <c r="T960" s="14"/>
      <c r="U960" s="14"/>
      <c r="V960" s="14"/>
      <c r="W960" s="15">
        <f t="shared" si="34"/>
        <v>2000</v>
      </c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5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5"/>
      <c r="AX960" s="16"/>
    </row>
    <row r="961" spans="2:50" x14ac:dyDescent="0.2">
      <c r="B961" s="7" t="s">
        <v>73</v>
      </c>
      <c r="C961" s="8">
        <v>11685</v>
      </c>
      <c r="D961" s="9" t="s">
        <v>785</v>
      </c>
      <c r="E961" s="10" t="s">
        <v>786</v>
      </c>
      <c r="F961" s="10" t="s">
        <v>787</v>
      </c>
      <c r="G961" s="8">
        <v>1</v>
      </c>
      <c r="H961" s="11">
        <v>600</v>
      </c>
      <c r="I961" s="12">
        <v>42512</v>
      </c>
      <c r="J961" s="13">
        <f t="shared" si="33"/>
        <v>0</v>
      </c>
      <c r="K961" s="14"/>
      <c r="L961" s="14"/>
      <c r="M961" s="14">
        <v>200</v>
      </c>
      <c r="N961" s="14">
        <v>200</v>
      </c>
      <c r="O961" s="14">
        <v>200</v>
      </c>
      <c r="P961" s="14"/>
      <c r="Q961" s="14"/>
      <c r="R961" s="14"/>
      <c r="S961" s="14"/>
      <c r="T961" s="14"/>
      <c r="U961" s="14"/>
      <c r="V961" s="14"/>
      <c r="W961" s="15">
        <f t="shared" si="34"/>
        <v>600</v>
      </c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5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5"/>
      <c r="AX961" s="16"/>
    </row>
    <row r="962" spans="2:50" x14ac:dyDescent="0.2">
      <c r="B962" s="7" t="s">
        <v>37</v>
      </c>
      <c r="C962" s="8">
        <v>11686</v>
      </c>
      <c r="D962" s="9" t="s">
        <v>684</v>
      </c>
      <c r="E962" s="10" t="s">
        <v>685</v>
      </c>
      <c r="F962" s="10" t="s">
        <v>686</v>
      </c>
      <c r="G962" s="8">
        <v>1</v>
      </c>
      <c r="H962" s="11">
        <v>400</v>
      </c>
      <c r="I962" s="12">
        <v>42512</v>
      </c>
      <c r="J962" s="13">
        <f t="shared" si="33"/>
        <v>0</v>
      </c>
      <c r="K962" s="14"/>
      <c r="L962" s="14"/>
      <c r="M962" s="14"/>
      <c r="N962" s="14"/>
      <c r="O962" s="14">
        <v>400</v>
      </c>
      <c r="P962" s="14"/>
      <c r="Q962" s="14"/>
      <c r="R962" s="14"/>
      <c r="S962" s="14"/>
      <c r="T962" s="14"/>
      <c r="U962" s="14"/>
      <c r="V962" s="14"/>
      <c r="W962" s="15">
        <f t="shared" si="34"/>
        <v>400</v>
      </c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5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5"/>
      <c r="AX962" s="16"/>
    </row>
    <row r="963" spans="2:50" x14ac:dyDescent="0.2">
      <c r="B963" s="7" t="s">
        <v>37</v>
      </c>
      <c r="C963" s="8">
        <v>11687</v>
      </c>
      <c r="D963" s="9" t="s">
        <v>905</v>
      </c>
      <c r="E963" s="10" t="s">
        <v>906</v>
      </c>
      <c r="F963" s="10" t="s">
        <v>907</v>
      </c>
      <c r="G963" s="8">
        <v>1</v>
      </c>
      <c r="H963" s="11">
        <v>200</v>
      </c>
      <c r="I963" s="12">
        <v>42512</v>
      </c>
      <c r="J963" s="13">
        <f t="shared" si="33"/>
        <v>0</v>
      </c>
      <c r="K963" s="14"/>
      <c r="L963" s="14"/>
      <c r="M963" s="14"/>
      <c r="N963" s="14"/>
      <c r="O963" s="14">
        <v>200</v>
      </c>
      <c r="P963" s="14"/>
      <c r="Q963" s="14"/>
      <c r="R963" s="14"/>
      <c r="S963" s="14"/>
      <c r="T963" s="14"/>
      <c r="U963" s="14"/>
      <c r="V963" s="14"/>
      <c r="W963" s="15">
        <f t="shared" si="34"/>
        <v>200</v>
      </c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5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5"/>
      <c r="AX963" s="16"/>
    </row>
    <row r="964" spans="2:50" x14ac:dyDescent="0.2">
      <c r="B964" s="7" t="s">
        <v>73</v>
      </c>
      <c r="C964" s="8">
        <v>11688</v>
      </c>
      <c r="D964" s="9" t="s">
        <v>541</v>
      </c>
      <c r="E964" s="10" t="s">
        <v>542</v>
      </c>
      <c r="F964" s="10" t="s">
        <v>543</v>
      </c>
      <c r="G964" s="8">
        <v>1</v>
      </c>
      <c r="H964" s="11">
        <v>800</v>
      </c>
      <c r="I964" s="12">
        <v>42512</v>
      </c>
      <c r="J964" s="13">
        <f t="shared" si="33"/>
        <v>0</v>
      </c>
      <c r="K964" s="14"/>
      <c r="L964" s="14"/>
      <c r="M964" s="14"/>
      <c r="N964" s="14"/>
      <c r="O964" s="14">
        <v>400</v>
      </c>
      <c r="P964" s="14">
        <v>400</v>
      </c>
      <c r="Q964" s="14"/>
      <c r="R964" s="14"/>
      <c r="S964" s="14"/>
      <c r="T964" s="14"/>
      <c r="U964" s="14"/>
      <c r="V964" s="14"/>
      <c r="W964" s="15">
        <f t="shared" si="34"/>
        <v>800</v>
      </c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5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5"/>
      <c r="AX964" s="16"/>
    </row>
    <row r="965" spans="2:50" x14ac:dyDescent="0.2">
      <c r="B965" s="7" t="s">
        <v>47</v>
      </c>
      <c r="C965" s="8">
        <v>11689</v>
      </c>
      <c r="D965" s="9" t="s">
        <v>48</v>
      </c>
      <c r="E965" s="10" t="s">
        <v>49</v>
      </c>
      <c r="F965" s="10" t="s">
        <v>50</v>
      </c>
      <c r="G965" s="8">
        <v>1</v>
      </c>
      <c r="H965" s="11">
        <v>400</v>
      </c>
      <c r="I965" s="12">
        <v>42512</v>
      </c>
      <c r="J965" s="13">
        <f t="shared" si="33"/>
        <v>0</v>
      </c>
      <c r="K965" s="14"/>
      <c r="L965" s="14"/>
      <c r="M965" s="14"/>
      <c r="N965" s="14"/>
      <c r="O965" s="14">
        <v>400</v>
      </c>
      <c r="P965" s="14"/>
      <c r="Q965" s="14"/>
      <c r="R965" s="14"/>
      <c r="S965" s="14"/>
      <c r="T965" s="14"/>
      <c r="U965" s="14"/>
      <c r="V965" s="14"/>
      <c r="W965" s="15">
        <f t="shared" si="34"/>
        <v>400</v>
      </c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5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5"/>
      <c r="AX965" s="16"/>
    </row>
    <row r="966" spans="2:50" x14ac:dyDescent="0.2">
      <c r="B966" s="7" t="s">
        <v>37</v>
      </c>
      <c r="C966" s="8">
        <v>11690</v>
      </c>
      <c r="D966" s="9" t="s">
        <v>431</v>
      </c>
      <c r="E966" s="10" t="s">
        <v>432</v>
      </c>
      <c r="F966" s="10" t="s">
        <v>433</v>
      </c>
      <c r="G966" s="8">
        <v>1</v>
      </c>
      <c r="H966" s="11">
        <v>800</v>
      </c>
      <c r="I966" s="12">
        <v>42512</v>
      </c>
      <c r="J966" s="13">
        <f t="shared" si="33"/>
        <v>0</v>
      </c>
      <c r="K966" s="14"/>
      <c r="L966" s="14"/>
      <c r="M966" s="14">
        <v>400</v>
      </c>
      <c r="N966" s="14">
        <v>400</v>
      </c>
      <c r="O966" s="14"/>
      <c r="P966" s="14"/>
      <c r="Q966" s="14"/>
      <c r="R966" s="14"/>
      <c r="S966" s="14"/>
      <c r="T966" s="14"/>
      <c r="U966" s="14"/>
      <c r="V966" s="14"/>
      <c r="W966" s="15">
        <f t="shared" si="34"/>
        <v>800</v>
      </c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5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5"/>
      <c r="AX966" s="16"/>
    </row>
    <row r="967" spans="2:50" x14ac:dyDescent="0.2">
      <c r="B967" s="7" t="s">
        <v>69</v>
      </c>
      <c r="C967" s="8">
        <v>11691</v>
      </c>
      <c r="D967" s="9" t="s">
        <v>437</v>
      </c>
      <c r="E967" s="10" t="s">
        <v>438</v>
      </c>
      <c r="F967" s="10" t="s">
        <v>439</v>
      </c>
      <c r="G967" s="8">
        <v>1</v>
      </c>
      <c r="H967" s="11">
        <v>400</v>
      </c>
      <c r="I967" s="12">
        <v>42512</v>
      </c>
      <c r="J967" s="13">
        <f t="shared" si="33"/>
        <v>0</v>
      </c>
      <c r="K967" s="14"/>
      <c r="L967" s="14"/>
      <c r="M967" s="14"/>
      <c r="N967" s="14"/>
      <c r="O967" s="14">
        <v>400</v>
      </c>
      <c r="P967" s="14"/>
      <c r="Q967" s="14"/>
      <c r="R967" s="14"/>
      <c r="S967" s="14"/>
      <c r="T967" s="14"/>
      <c r="U967" s="14"/>
      <c r="V967" s="14"/>
      <c r="W967" s="15">
        <f t="shared" si="34"/>
        <v>400</v>
      </c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5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5"/>
      <c r="AX967" s="16"/>
    </row>
    <row r="968" spans="2:50" x14ac:dyDescent="0.2">
      <c r="B968" s="7" t="s">
        <v>73</v>
      </c>
      <c r="C968" s="8">
        <v>11692</v>
      </c>
      <c r="D968" s="9" t="s">
        <v>485</v>
      </c>
      <c r="E968" s="10" t="s">
        <v>486</v>
      </c>
      <c r="F968" s="10" t="s">
        <v>487</v>
      </c>
      <c r="G968" s="8">
        <v>1</v>
      </c>
      <c r="H968" s="11">
        <v>400</v>
      </c>
      <c r="I968" s="12">
        <v>42512</v>
      </c>
      <c r="J968" s="13">
        <f t="shared" si="33"/>
        <v>0</v>
      </c>
      <c r="K968" s="14"/>
      <c r="L968" s="14"/>
      <c r="M968" s="14"/>
      <c r="N968" s="14">
        <v>400</v>
      </c>
      <c r="O968" s="14"/>
      <c r="P968" s="14"/>
      <c r="Q968" s="14"/>
      <c r="R968" s="14"/>
      <c r="S968" s="14"/>
      <c r="T968" s="14"/>
      <c r="U968" s="14"/>
      <c r="V968" s="14"/>
      <c r="W968" s="15">
        <f t="shared" si="34"/>
        <v>400</v>
      </c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5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5"/>
      <c r="AX968" s="16"/>
    </row>
    <row r="969" spans="2:50" x14ac:dyDescent="0.2">
      <c r="B969" s="7" t="s">
        <v>77</v>
      </c>
      <c r="C969" s="8">
        <v>11693</v>
      </c>
      <c r="D969" s="9" t="s">
        <v>617</v>
      </c>
      <c r="E969" s="10" t="s">
        <v>618</v>
      </c>
      <c r="F969" s="10" t="s">
        <v>619</v>
      </c>
      <c r="G969" s="8">
        <v>1</v>
      </c>
      <c r="H969" s="11">
        <v>400</v>
      </c>
      <c r="I969" s="12">
        <v>42512</v>
      </c>
      <c r="J969" s="13">
        <f t="shared" si="33"/>
        <v>0</v>
      </c>
      <c r="K969" s="14"/>
      <c r="L969" s="14"/>
      <c r="M969" s="14"/>
      <c r="N969" s="14">
        <v>400</v>
      </c>
      <c r="O969" s="14"/>
      <c r="P969" s="14"/>
      <c r="Q969" s="14"/>
      <c r="R969" s="14"/>
      <c r="S969" s="14"/>
      <c r="T969" s="14"/>
      <c r="U969" s="14"/>
      <c r="V969" s="14"/>
      <c r="W969" s="15">
        <f t="shared" si="34"/>
        <v>400</v>
      </c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5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5"/>
      <c r="AX969" s="16"/>
    </row>
    <row r="970" spans="2:50" x14ac:dyDescent="0.2">
      <c r="B970" s="7" t="s">
        <v>47</v>
      </c>
      <c r="C970" s="8">
        <v>11694</v>
      </c>
      <c r="D970" s="9" t="s">
        <v>103</v>
      </c>
      <c r="E970" s="10" t="s">
        <v>104</v>
      </c>
      <c r="F970" s="10" t="s">
        <v>105</v>
      </c>
      <c r="G970" s="8">
        <v>1</v>
      </c>
      <c r="H970" s="11">
        <v>400</v>
      </c>
      <c r="I970" s="12">
        <v>42512</v>
      </c>
      <c r="J970" s="13">
        <f t="shared" si="33"/>
        <v>0</v>
      </c>
      <c r="K970" s="14"/>
      <c r="L970" s="14"/>
      <c r="M970" s="14"/>
      <c r="N970" s="14"/>
      <c r="O970" s="14">
        <v>400</v>
      </c>
      <c r="P970" s="14"/>
      <c r="Q970" s="14"/>
      <c r="R970" s="14"/>
      <c r="S970" s="14"/>
      <c r="T970" s="14"/>
      <c r="U970" s="14"/>
      <c r="V970" s="14"/>
      <c r="W970" s="15">
        <f t="shared" si="34"/>
        <v>400</v>
      </c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5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5"/>
      <c r="AX970" s="16"/>
    </row>
    <row r="971" spans="2:50" x14ac:dyDescent="0.2">
      <c r="B971" s="7" t="s">
        <v>73</v>
      </c>
      <c r="C971" s="8">
        <v>11695</v>
      </c>
      <c r="D971" s="9" t="s">
        <v>440</v>
      </c>
      <c r="E971" s="10" t="s">
        <v>441</v>
      </c>
      <c r="F971" s="10" t="s">
        <v>442</v>
      </c>
      <c r="G971" s="8">
        <v>1</v>
      </c>
      <c r="H971" s="11">
        <v>600</v>
      </c>
      <c r="I971" s="12">
        <v>42512</v>
      </c>
      <c r="J971" s="13">
        <f t="shared" si="33"/>
        <v>0</v>
      </c>
      <c r="K971" s="14"/>
      <c r="L971" s="14"/>
      <c r="M971" s="14"/>
      <c r="N971" s="14">
        <v>300</v>
      </c>
      <c r="O971" s="14">
        <v>300</v>
      </c>
      <c r="P971" s="14"/>
      <c r="Q971" s="14"/>
      <c r="R971" s="14"/>
      <c r="S971" s="14"/>
      <c r="T971" s="14"/>
      <c r="U971" s="14"/>
      <c r="V971" s="14"/>
      <c r="W971" s="15">
        <f t="shared" si="34"/>
        <v>600</v>
      </c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5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5"/>
      <c r="AX971" s="16"/>
    </row>
    <row r="972" spans="2:50" x14ac:dyDescent="0.2">
      <c r="B972" s="7" t="s">
        <v>37</v>
      </c>
      <c r="C972" s="8">
        <v>11696</v>
      </c>
      <c r="D972" s="9" t="s">
        <v>44</v>
      </c>
      <c r="E972" s="10" t="s">
        <v>45</v>
      </c>
      <c r="F972" s="10" t="s">
        <v>46</v>
      </c>
      <c r="G972" s="8">
        <v>1</v>
      </c>
      <c r="H972" s="11">
        <v>1200</v>
      </c>
      <c r="I972" s="12">
        <v>42512</v>
      </c>
      <c r="J972" s="13">
        <f t="shared" si="33"/>
        <v>0</v>
      </c>
      <c r="K972" s="14"/>
      <c r="L972" s="14"/>
      <c r="M972" s="14"/>
      <c r="N972" s="14"/>
      <c r="O972" s="14">
        <v>400</v>
      </c>
      <c r="P972" s="14">
        <v>400</v>
      </c>
      <c r="Q972" s="14">
        <v>400</v>
      </c>
      <c r="R972" s="14"/>
      <c r="S972" s="14"/>
      <c r="T972" s="14"/>
      <c r="U972" s="14"/>
      <c r="V972" s="14"/>
      <c r="W972" s="15">
        <f t="shared" si="34"/>
        <v>1200</v>
      </c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5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5"/>
      <c r="AX972" s="16"/>
    </row>
    <row r="973" spans="2:50" x14ac:dyDescent="0.2">
      <c r="B973" s="7" t="s">
        <v>69</v>
      </c>
      <c r="C973" s="8">
        <v>11697</v>
      </c>
      <c r="D973" s="9" t="s">
        <v>168</v>
      </c>
      <c r="E973" s="10" t="s">
        <v>169</v>
      </c>
      <c r="F973" s="10" t="s">
        <v>170</v>
      </c>
      <c r="G973" s="8">
        <v>1</v>
      </c>
      <c r="H973" s="11">
        <v>200</v>
      </c>
      <c r="I973" s="12">
        <v>42512</v>
      </c>
      <c r="J973" s="13">
        <f t="shared" si="33"/>
        <v>0</v>
      </c>
      <c r="K973" s="14"/>
      <c r="L973" s="14"/>
      <c r="M973" s="14"/>
      <c r="N973" s="14">
        <v>200</v>
      </c>
      <c r="O973" s="14"/>
      <c r="P973" s="14"/>
      <c r="Q973" s="14"/>
      <c r="R973" s="14"/>
      <c r="S973" s="14"/>
      <c r="T973" s="14"/>
      <c r="U973" s="14"/>
      <c r="V973" s="14"/>
      <c r="W973" s="15">
        <f t="shared" si="34"/>
        <v>200</v>
      </c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5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5"/>
      <c r="AX973" s="16"/>
    </row>
    <row r="974" spans="2:50" x14ac:dyDescent="0.2">
      <c r="B974" s="7" t="s">
        <v>47</v>
      </c>
      <c r="C974" s="8">
        <v>11698</v>
      </c>
      <c r="D974" s="9" t="s">
        <v>183</v>
      </c>
      <c r="E974" s="10" t="s">
        <v>184</v>
      </c>
      <c r="F974" s="10" t="s">
        <v>185</v>
      </c>
      <c r="G974" s="8">
        <v>1</v>
      </c>
      <c r="H974" s="11">
        <v>800</v>
      </c>
      <c r="I974" s="12">
        <v>42512</v>
      </c>
      <c r="J974" s="13">
        <f t="shared" si="33"/>
        <v>0</v>
      </c>
      <c r="K974" s="14"/>
      <c r="L974" s="14"/>
      <c r="M974" s="14"/>
      <c r="N974" s="14">
        <v>400</v>
      </c>
      <c r="O974" s="14">
        <v>400</v>
      </c>
      <c r="P974" s="14"/>
      <c r="Q974" s="14"/>
      <c r="R974" s="14"/>
      <c r="S974" s="14"/>
      <c r="T974" s="14"/>
      <c r="U974" s="14"/>
      <c r="V974" s="14"/>
      <c r="W974" s="15">
        <f t="shared" si="34"/>
        <v>800</v>
      </c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5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5"/>
      <c r="AX974" s="16"/>
    </row>
    <row r="975" spans="2:50" x14ac:dyDescent="0.2">
      <c r="B975" s="7" t="s">
        <v>47</v>
      </c>
      <c r="C975" s="8">
        <v>11699</v>
      </c>
      <c r="D975" s="9" t="s">
        <v>803</v>
      </c>
      <c r="E975" s="10" t="s">
        <v>804</v>
      </c>
      <c r="F975" s="10" t="s">
        <v>312</v>
      </c>
      <c r="G975" s="8">
        <v>1</v>
      </c>
      <c r="H975" s="11">
        <v>400</v>
      </c>
      <c r="I975" s="12">
        <v>42512</v>
      </c>
      <c r="J975" s="13">
        <f t="shared" si="33"/>
        <v>0</v>
      </c>
      <c r="K975" s="14"/>
      <c r="L975" s="14"/>
      <c r="M975" s="14"/>
      <c r="N975" s="14"/>
      <c r="O975" s="14">
        <v>400</v>
      </c>
      <c r="P975" s="14"/>
      <c r="Q975" s="14"/>
      <c r="R975" s="14"/>
      <c r="S975" s="14"/>
      <c r="T975" s="14"/>
      <c r="U975" s="14"/>
      <c r="V975" s="14"/>
      <c r="W975" s="15">
        <f t="shared" si="34"/>
        <v>400</v>
      </c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5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5"/>
      <c r="AX975" s="16"/>
    </row>
    <row r="976" spans="2:50" x14ac:dyDescent="0.2">
      <c r="B976" s="7" t="s">
        <v>37</v>
      </c>
      <c r="C976" s="8">
        <v>11700</v>
      </c>
      <c r="D976" s="9" t="s">
        <v>550</v>
      </c>
      <c r="E976" s="10" t="s">
        <v>551</v>
      </c>
      <c r="F976" s="10" t="s">
        <v>552</v>
      </c>
      <c r="G976" s="8">
        <v>1</v>
      </c>
      <c r="H976" s="11">
        <v>300</v>
      </c>
      <c r="I976" s="12">
        <v>42512</v>
      </c>
      <c r="J976" s="13">
        <f t="shared" si="33"/>
        <v>0</v>
      </c>
      <c r="K976" s="14"/>
      <c r="L976" s="14"/>
      <c r="M976" s="14"/>
      <c r="N976" s="14"/>
      <c r="O976" s="14">
        <v>300</v>
      </c>
      <c r="P976" s="14"/>
      <c r="Q976" s="14"/>
      <c r="R976" s="14"/>
      <c r="S976" s="14"/>
      <c r="T976" s="14"/>
      <c r="U976" s="14"/>
      <c r="V976" s="14"/>
      <c r="W976" s="15">
        <f t="shared" si="34"/>
        <v>300</v>
      </c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5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5"/>
      <c r="AX976" s="16"/>
    </row>
    <row r="977" spans="2:51" x14ac:dyDescent="0.2">
      <c r="B977" s="7" t="s">
        <v>37</v>
      </c>
      <c r="C977" s="8">
        <v>11701</v>
      </c>
      <c r="D977" s="9" t="s">
        <v>960</v>
      </c>
      <c r="E977" s="10" t="s">
        <v>961</v>
      </c>
      <c r="F977" s="10" t="s">
        <v>962</v>
      </c>
      <c r="G977" s="8">
        <v>1</v>
      </c>
      <c r="H977" s="11">
        <v>2000</v>
      </c>
      <c r="I977" s="12">
        <v>42512</v>
      </c>
      <c r="J977" s="13">
        <f t="shared" si="33"/>
        <v>0</v>
      </c>
      <c r="K977" s="14">
        <v>400</v>
      </c>
      <c r="L977" s="14">
        <v>400</v>
      </c>
      <c r="M977" s="14">
        <v>400</v>
      </c>
      <c r="N977" s="14">
        <v>400</v>
      </c>
      <c r="O977" s="14">
        <v>400</v>
      </c>
      <c r="P977" s="14"/>
      <c r="Q977" s="14"/>
      <c r="R977" s="14"/>
      <c r="S977" s="14"/>
      <c r="T977" s="14"/>
      <c r="U977" s="14"/>
      <c r="V977" s="14"/>
      <c r="W977" s="15">
        <f t="shared" si="34"/>
        <v>2000</v>
      </c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5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5"/>
      <c r="AX977" s="16"/>
    </row>
    <row r="978" spans="2:51" x14ac:dyDescent="0.2">
      <c r="B978" s="7" t="s">
        <v>47</v>
      </c>
      <c r="C978" s="8">
        <v>11702</v>
      </c>
      <c r="D978" s="9" t="s">
        <v>963</v>
      </c>
      <c r="E978" s="10" t="s">
        <v>964</v>
      </c>
      <c r="F978" s="10" t="s">
        <v>460</v>
      </c>
      <c r="G978" s="8">
        <v>1</v>
      </c>
      <c r="H978" s="11">
        <v>1000</v>
      </c>
      <c r="I978" s="12">
        <v>42512</v>
      </c>
      <c r="J978" s="13">
        <f t="shared" si="33"/>
        <v>0</v>
      </c>
      <c r="K978" s="14"/>
      <c r="L978" s="14"/>
      <c r="M978" s="14">
        <v>200</v>
      </c>
      <c r="N978" s="14">
        <v>400</v>
      </c>
      <c r="O978" s="14">
        <v>400</v>
      </c>
      <c r="P978" s="14"/>
      <c r="Q978" s="14"/>
      <c r="R978" s="14"/>
      <c r="S978" s="14"/>
      <c r="T978" s="14"/>
      <c r="U978" s="14"/>
      <c r="V978" s="14"/>
      <c r="W978" s="15">
        <f t="shared" si="34"/>
        <v>1000</v>
      </c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5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5"/>
      <c r="AX978" s="16"/>
    </row>
    <row r="979" spans="2:51" x14ac:dyDescent="0.2">
      <c r="B979" s="7" t="s">
        <v>73</v>
      </c>
      <c r="C979" s="8">
        <v>11703</v>
      </c>
      <c r="D979" s="9" t="s">
        <v>837</v>
      </c>
      <c r="E979" s="10" t="s">
        <v>838</v>
      </c>
      <c r="F979" s="10" t="s">
        <v>839</v>
      </c>
      <c r="G979" s="8">
        <v>1</v>
      </c>
      <c r="H979" s="11">
        <v>1200</v>
      </c>
      <c r="I979" s="12">
        <v>42512</v>
      </c>
      <c r="J979" s="13">
        <f t="shared" ref="J979:J1017" si="35">IF(G979=1,SUM(W979,-H979),0)</f>
        <v>0</v>
      </c>
      <c r="K979" s="14"/>
      <c r="L979" s="14"/>
      <c r="M979" s="14"/>
      <c r="N979" s="14">
        <v>400</v>
      </c>
      <c r="O979" s="14">
        <v>400</v>
      </c>
      <c r="P979" s="14">
        <v>400</v>
      </c>
      <c r="Q979" s="14"/>
      <c r="R979" s="14"/>
      <c r="S979" s="14"/>
      <c r="T979" s="14"/>
      <c r="U979" s="14"/>
      <c r="V979" s="14"/>
      <c r="W979" s="15">
        <f t="shared" ref="W979:W1017" si="36">SUM(K979:V979)</f>
        <v>1200</v>
      </c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5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5"/>
      <c r="AX979" s="16"/>
    </row>
    <row r="980" spans="2:51" x14ac:dyDescent="0.2">
      <c r="B980" s="7" t="s">
        <v>47</v>
      </c>
      <c r="C980" s="8">
        <v>11704</v>
      </c>
      <c r="D980" s="9" t="s">
        <v>861</v>
      </c>
      <c r="E980" s="10" t="s">
        <v>862</v>
      </c>
      <c r="F980" s="10" t="s">
        <v>863</v>
      </c>
      <c r="G980" s="8">
        <v>1</v>
      </c>
      <c r="H980" s="11">
        <v>300</v>
      </c>
      <c r="I980" s="12">
        <v>42512</v>
      </c>
      <c r="J980" s="13">
        <f t="shared" si="35"/>
        <v>0</v>
      </c>
      <c r="K980" s="14"/>
      <c r="L980" s="14"/>
      <c r="M980" s="14"/>
      <c r="N980" s="14">
        <v>100</v>
      </c>
      <c r="O980" s="14">
        <v>100</v>
      </c>
      <c r="P980" s="14">
        <v>100</v>
      </c>
      <c r="Q980" s="14"/>
      <c r="R980" s="14"/>
      <c r="S980" s="14"/>
      <c r="T980" s="14"/>
      <c r="U980" s="14"/>
      <c r="V980" s="14"/>
      <c r="W980" s="15">
        <f t="shared" si="36"/>
        <v>300</v>
      </c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5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5"/>
      <c r="AX980" s="16"/>
    </row>
    <row r="981" spans="2:51" x14ac:dyDescent="0.2">
      <c r="B981" s="7" t="s">
        <v>69</v>
      </c>
      <c r="C981" s="8">
        <v>11705</v>
      </c>
      <c r="D981" s="9" t="s">
        <v>574</v>
      </c>
      <c r="E981" s="10" t="s">
        <v>575</v>
      </c>
      <c r="F981" s="10" t="s">
        <v>576</v>
      </c>
      <c r="G981" s="8">
        <v>1</v>
      </c>
      <c r="H981" s="11">
        <v>400</v>
      </c>
      <c r="I981" s="12">
        <v>42512</v>
      </c>
      <c r="J981" s="13">
        <f t="shared" si="35"/>
        <v>0</v>
      </c>
      <c r="K981" s="14"/>
      <c r="L981" s="14"/>
      <c r="M981" s="14"/>
      <c r="N981" s="14">
        <v>400</v>
      </c>
      <c r="O981" s="14"/>
      <c r="P981" s="14"/>
      <c r="Q981" s="14"/>
      <c r="R981" s="14"/>
      <c r="S981" s="14"/>
      <c r="T981" s="14"/>
      <c r="U981" s="14"/>
      <c r="V981" s="14"/>
      <c r="W981" s="15">
        <f t="shared" si="36"/>
        <v>400</v>
      </c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5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5"/>
      <c r="AX981" s="16"/>
    </row>
    <row r="982" spans="2:51" x14ac:dyDescent="0.2">
      <c r="B982" s="7" t="s">
        <v>69</v>
      </c>
      <c r="C982" s="8">
        <v>11705</v>
      </c>
      <c r="D982" s="9" t="s">
        <v>574</v>
      </c>
      <c r="E982" s="10" t="s">
        <v>575</v>
      </c>
      <c r="F982" s="10" t="s">
        <v>576</v>
      </c>
      <c r="G982" s="8">
        <v>3</v>
      </c>
      <c r="H982" s="11">
        <v>160</v>
      </c>
      <c r="I982" s="12">
        <v>42512</v>
      </c>
      <c r="J982" s="13">
        <f t="shared" si="35"/>
        <v>0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5">
        <f t="shared" si="36"/>
        <v>0</v>
      </c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5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5"/>
      <c r="AX982" s="16"/>
    </row>
    <row r="983" spans="2:51" x14ac:dyDescent="0.2">
      <c r="B983" s="7" t="s">
        <v>47</v>
      </c>
      <c r="C983" s="8">
        <v>11706</v>
      </c>
      <c r="D983" s="9" t="s">
        <v>861</v>
      </c>
      <c r="E983" s="10" t="s">
        <v>862</v>
      </c>
      <c r="F983" s="10" t="s">
        <v>863</v>
      </c>
      <c r="G983" s="8">
        <v>3</v>
      </c>
      <c r="H983" s="11">
        <v>160</v>
      </c>
      <c r="I983" s="12">
        <v>42512</v>
      </c>
      <c r="J983" s="13">
        <f t="shared" si="35"/>
        <v>0</v>
      </c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5">
        <f t="shared" si="36"/>
        <v>0</v>
      </c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5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5"/>
      <c r="AX983" s="16"/>
    </row>
    <row r="984" spans="2:51" x14ac:dyDescent="0.2">
      <c r="B984" s="7" t="s">
        <v>73</v>
      </c>
      <c r="C984" s="8">
        <v>11707</v>
      </c>
      <c r="D984" s="9" t="s">
        <v>731</v>
      </c>
      <c r="E984" s="10" t="s">
        <v>732</v>
      </c>
      <c r="F984" s="10" t="s">
        <v>733</v>
      </c>
      <c r="G984" s="8">
        <v>1</v>
      </c>
      <c r="H984" s="11">
        <v>600</v>
      </c>
      <c r="I984" s="12">
        <v>42512</v>
      </c>
      <c r="J984" s="13">
        <f t="shared" si="35"/>
        <v>0</v>
      </c>
      <c r="K984" s="14"/>
      <c r="L984" s="14"/>
      <c r="M984" s="14"/>
      <c r="N984" s="14">
        <v>300</v>
      </c>
      <c r="O984" s="14">
        <v>300</v>
      </c>
      <c r="P984" s="14"/>
      <c r="Q984" s="14"/>
      <c r="R984" s="14"/>
      <c r="S984" s="14"/>
      <c r="T984" s="14"/>
      <c r="U984" s="14"/>
      <c r="V984" s="14"/>
      <c r="W984" s="15">
        <f t="shared" si="36"/>
        <v>600</v>
      </c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5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5"/>
      <c r="AX984" s="16"/>
    </row>
    <row r="985" spans="2:51" x14ac:dyDescent="0.2">
      <c r="B985" s="7" t="s">
        <v>69</v>
      </c>
      <c r="C985" s="8">
        <v>11708</v>
      </c>
      <c r="D985" s="9" t="s">
        <v>634</v>
      </c>
      <c r="E985" s="10" t="s">
        <v>635</v>
      </c>
      <c r="F985" s="10" t="s">
        <v>636</v>
      </c>
      <c r="G985" s="8">
        <v>1</v>
      </c>
      <c r="H985" s="11">
        <v>300</v>
      </c>
      <c r="I985" s="12">
        <v>42512</v>
      </c>
      <c r="J985" s="13">
        <f t="shared" si="35"/>
        <v>0</v>
      </c>
      <c r="K985" s="14"/>
      <c r="L985" s="14"/>
      <c r="M985" s="14"/>
      <c r="N985" s="14"/>
      <c r="O985" s="14">
        <v>300</v>
      </c>
      <c r="P985" s="14"/>
      <c r="Q985" s="14"/>
      <c r="R985" s="14"/>
      <c r="S985" s="14"/>
      <c r="T985" s="14"/>
      <c r="U985" s="14"/>
      <c r="V985" s="14"/>
      <c r="W985" s="15">
        <f t="shared" si="36"/>
        <v>300</v>
      </c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5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5"/>
      <c r="AX985" s="16"/>
    </row>
    <row r="986" spans="2:51" x14ac:dyDescent="0.2">
      <c r="B986" s="7" t="s">
        <v>47</v>
      </c>
      <c r="C986" s="8">
        <v>11709</v>
      </c>
      <c r="D986" s="9" t="s">
        <v>965</v>
      </c>
      <c r="E986" s="10" t="s">
        <v>966</v>
      </c>
      <c r="F986" s="10" t="s">
        <v>967</v>
      </c>
      <c r="G986" s="8">
        <v>1</v>
      </c>
      <c r="H986" s="11">
        <v>400</v>
      </c>
      <c r="I986" s="12">
        <v>42512</v>
      </c>
      <c r="J986" s="13">
        <f t="shared" si="35"/>
        <v>0</v>
      </c>
      <c r="K986" s="14"/>
      <c r="L986" s="14"/>
      <c r="M986" s="14"/>
      <c r="N986" s="14"/>
      <c r="O986" s="14">
        <v>400</v>
      </c>
      <c r="P986" s="14"/>
      <c r="Q986" s="14"/>
      <c r="R986" s="14"/>
      <c r="S986" s="14"/>
      <c r="T986" s="14"/>
      <c r="U986" s="14"/>
      <c r="V986" s="14"/>
      <c r="W986" s="15">
        <f t="shared" si="36"/>
        <v>400</v>
      </c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5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5"/>
      <c r="AX986" s="16"/>
    </row>
    <row r="987" spans="2:51" x14ac:dyDescent="0.2">
      <c r="B987" s="7" t="s">
        <v>69</v>
      </c>
      <c r="C987" s="8">
        <v>11710</v>
      </c>
      <c r="D987" s="9" t="s">
        <v>625</v>
      </c>
      <c r="E987" s="10" t="s">
        <v>626</v>
      </c>
      <c r="F987" s="10" t="s">
        <v>627</v>
      </c>
      <c r="G987" s="8">
        <v>1</v>
      </c>
      <c r="H987" s="11">
        <v>400</v>
      </c>
      <c r="I987" s="12">
        <v>42512</v>
      </c>
      <c r="J987" s="13">
        <f t="shared" si="35"/>
        <v>0</v>
      </c>
      <c r="K987" s="14"/>
      <c r="L987" s="14"/>
      <c r="M987" s="14"/>
      <c r="N987" s="14"/>
      <c r="O987" s="14">
        <v>400</v>
      </c>
      <c r="P987" s="14"/>
      <c r="Q987" s="14"/>
      <c r="R987" s="14"/>
      <c r="S987" s="14"/>
      <c r="T987" s="14"/>
      <c r="U987" s="14"/>
      <c r="V987" s="14"/>
      <c r="W987" s="15">
        <f t="shared" si="36"/>
        <v>400</v>
      </c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5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5"/>
      <c r="AX987" s="16"/>
    </row>
    <row r="988" spans="2:51" x14ac:dyDescent="0.2">
      <c r="B988" s="7" t="s">
        <v>73</v>
      </c>
      <c r="C988" s="8">
        <v>11711</v>
      </c>
      <c r="D988" s="9" t="s">
        <v>458</v>
      </c>
      <c r="E988" s="10" t="s">
        <v>459</v>
      </c>
      <c r="F988" s="10" t="s">
        <v>460</v>
      </c>
      <c r="G988" s="8">
        <v>1</v>
      </c>
      <c r="H988" s="11">
        <v>400</v>
      </c>
      <c r="I988" s="12">
        <v>42512</v>
      </c>
      <c r="J988" s="13">
        <f t="shared" si="35"/>
        <v>0</v>
      </c>
      <c r="K988" s="14"/>
      <c r="L988" s="14"/>
      <c r="M988" s="14"/>
      <c r="N988" s="14"/>
      <c r="O988" s="14">
        <v>400</v>
      </c>
      <c r="P988" s="14"/>
      <c r="Q988" s="14"/>
      <c r="R988" s="14"/>
      <c r="S988" s="14"/>
      <c r="T988" s="14"/>
      <c r="U988" s="14"/>
      <c r="V988" s="14"/>
      <c r="W988" s="15">
        <f t="shared" si="36"/>
        <v>400</v>
      </c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5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5"/>
      <c r="AX988" s="16"/>
    </row>
    <row r="989" spans="2:51" x14ac:dyDescent="0.2">
      <c r="B989" s="7" t="s">
        <v>93</v>
      </c>
      <c r="C989" s="8">
        <v>11712</v>
      </c>
      <c r="D989" s="9"/>
      <c r="E989" s="10" t="s">
        <v>93</v>
      </c>
      <c r="F989" s="10" t="s">
        <v>93</v>
      </c>
      <c r="G989" s="8">
        <v>8</v>
      </c>
      <c r="H989" s="11"/>
      <c r="I989" s="12"/>
      <c r="J989" s="13">
        <f t="shared" si="35"/>
        <v>0</v>
      </c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5">
        <f t="shared" si="36"/>
        <v>0</v>
      </c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5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5"/>
      <c r="AX989" s="16"/>
    </row>
    <row r="990" spans="2:51" x14ac:dyDescent="0.2">
      <c r="B990" s="7" t="s">
        <v>37</v>
      </c>
      <c r="C990" s="8">
        <v>11713</v>
      </c>
      <c r="D990" s="9" t="s">
        <v>298</v>
      </c>
      <c r="E990" s="10" t="s">
        <v>299</v>
      </c>
      <c r="F990" s="10" t="s">
        <v>300</v>
      </c>
      <c r="G990" s="8">
        <v>1</v>
      </c>
      <c r="H990" s="315">
        <v>300</v>
      </c>
      <c r="I990" s="12">
        <v>42512</v>
      </c>
      <c r="J990" s="13">
        <f t="shared" si="35"/>
        <v>0</v>
      </c>
      <c r="K990" s="14">
        <v>150</v>
      </c>
      <c r="L990" s="14">
        <v>150</v>
      </c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5">
        <f t="shared" si="36"/>
        <v>300</v>
      </c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5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5"/>
      <c r="AX990" s="16"/>
      <c r="AY990" s="112">
        <f>SUM(H943:H990)</f>
        <v>25480</v>
      </c>
    </row>
    <row r="991" spans="2:51" x14ac:dyDescent="0.2">
      <c r="B991" s="7" t="s">
        <v>73</v>
      </c>
      <c r="C991" s="8">
        <v>11714</v>
      </c>
      <c r="D991" s="9" t="s">
        <v>109</v>
      </c>
      <c r="E991" s="10" t="s">
        <v>110</v>
      </c>
      <c r="F991" s="10" t="s">
        <v>111</v>
      </c>
      <c r="G991" s="8">
        <v>1</v>
      </c>
      <c r="H991" s="11">
        <v>400</v>
      </c>
      <c r="I991" s="12">
        <v>42519</v>
      </c>
      <c r="J991" s="13">
        <f t="shared" si="35"/>
        <v>0</v>
      </c>
      <c r="K991" s="14"/>
      <c r="L991" s="14"/>
      <c r="M991" s="14"/>
      <c r="N991" s="14"/>
      <c r="O991" s="14">
        <v>400</v>
      </c>
      <c r="P991" s="14"/>
      <c r="Q991" s="14"/>
      <c r="R991" s="14"/>
      <c r="S991" s="14"/>
      <c r="T991" s="14"/>
      <c r="U991" s="14"/>
      <c r="V991" s="14"/>
      <c r="W991" s="15">
        <f t="shared" si="36"/>
        <v>400</v>
      </c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5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5"/>
      <c r="AX991" s="16"/>
    </row>
    <row r="992" spans="2:51" x14ac:dyDescent="0.2">
      <c r="B992" s="7" t="s">
        <v>73</v>
      </c>
      <c r="C992" s="8">
        <v>11714</v>
      </c>
      <c r="D992" s="9" t="s">
        <v>109</v>
      </c>
      <c r="E992" s="10" t="s">
        <v>110</v>
      </c>
      <c r="F992" s="10" t="s">
        <v>111</v>
      </c>
      <c r="G992" s="8">
        <v>3</v>
      </c>
      <c r="H992" s="11">
        <v>160</v>
      </c>
      <c r="I992" s="12">
        <v>42519</v>
      </c>
      <c r="J992" s="13">
        <f t="shared" si="35"/>
        <v>0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5">
        <f t="shared" si="36"/>
        <v>0</v>
      </c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5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5"/>
      <c r="AX992" s="16"/>
    </row>
    <row r="993" spans="2:50" x14ac:dyDescent="0.2">
      <c r="B993" s="7" t="s">
        <v>69</v>
      </c>
      <c r="C993" s="8">
        <v>11715</v>
      </c>
      <c r="D993" s="9" t="s">
        <v>855</v>
      </c>
      <c r="E993" s="10" t="s">
        <v>856</v>
      </c>
      <c r="F993" s="10" t="s">
        <v>857</v>
      </c>
      <c r="G993" s="8">
        <v>1</v>
      </c>
      <c r="H993" s="11">
        <v>600</v>
      </c>
      <c r="I993" s="12">
        <v>42519</v>
      </c>
      <c r="J993" s="13">
        <f t="shared" si="35"/>
        <v>0</v>
      </c>
      <c r="K993" s="14"/>
      <c r="L993" s="14"/>
      <c r="M993" s="14"/>
      <c r="N993" s="14"/>
      <c r="O993" s="14"/>
      <c r="P993" s="14">
        <v>200</v>
      </c>
      <c r="Q993" s="14">
        <v>200</v>
      </c>
      <c r="R993" s="14">
        <v>200</v>
      </c>
      <c r="S993" s="14"/>
      <c r="T993" s="14"/>
      <c r="U993" s="14"/>
      <c r="V993" s="14"/>
      <c r="W993" s="15">
        <f t="shared" si="36"/>
        <v>600</v>
      </c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5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5"/>
      <c r="AX993" s="16"/>
    </row>
    <row r="994" spans="2:50" x14ac:dyDescent="0.2">
      <c r="B994" s="7" t="s">
        <v>47</v>
      </c>
      <c r="C994" s="8">
        <v>11716</v>
      </c>
      <c r="D994" s="9" t="s">
        <v>138</v>
      </c>
      <c r="E994" s="10" t="s">
        <v>139</v>
      </c>
      <c r="F994" s="10" t="s">
        <v>140</v>
      </c>
      <c r="G994" s="8">
        <v>1</v>
      </c>
      <c r="H994" s="11">
        <v>800</v>
      </c>
      <c r="I994" s="12">
        <v>42519</v>
      </c>
      <c r="J994" s="13">
        <f t="shared" si="35"/>
        <v>0</v>
      </c>
      <c r="K994" s="14"/>
      <c r="L994" s="14"/>
      <c r="M994" s="14"/>
      <c r="N994" s="14">
        <v>400</v>
      </c>
      <c r="O994" s="14">
        <v>400</v>
      </c>
      <c r="P994" s="14"/>
      <c r="Q994" s="14"/>
      <c r="R994" s="14"/>
      <c r="S994" s="14"/>
      <c r="T994" s="14"/>
      <c r="U994" s="14"/>
      <c r="V994" s="14"/>
      <c r="W994" s="15">
        <f t="shared" si="36"/>
        <v>800</v>
      </c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5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5"/>
      <c r="AX994" s="16"/>
    </row>
    <row r="995" spans="2:50" x14ac:dyDescent="0.2">
      <c r="B995" s="7" t="s">
        <v>73</v>
      </c>
      <c r="C995" s="8">
        <v>11717</v>
      </c>
      <c r="D995" s="9" t="s">
        <v>586</v>
      </c>
      <c r="E995" s="10" t="s">
        <v>587</v>
      </c>
      <c r="F995" s="10" t="s">
        <v>588</v>
      </c>
      <c r="G995" s="8">
        <v>1</v>
      </c>
      <c r="H995" s="11">
        <v>200</v>
      </c>
      <c r="I995" s="12">
        <v>42519</v>
      </c>
      <c r="J995" s="13">
        <f t="shared" si="35"/>
        <v>0</v>
      </c>
      <c r="K995" s="14"/>
      <c r="L995" s="14"/>
      <c r="M995" s="14"/>
      <c r="N995" s="14"/>
      <c r="O995" s="14">
        <v>200</v>
      </c>
      <c r="P995" s="14"/>
      <c r="Q995" s="14"/>
      <c r="R995" s="14"/>
      <c r="S995" s="14"/>
      <c r="T995" s="14"/>
      <c r="U995" s="14"/>
      <c r="V995" s="14"/>
      <c r="W995" s="15">
        <f t="shared" si="36"/>
        <v>200</v>
      </c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5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5"/>
      <c r="AX995" s="16"/>
    </row>
    <row r="996" spans="2:50" x14ac:dyDescent="0.2">
      <c r="B996" s="7" t="s">
        <v>37</v>
      </c>
      <c r="C996" s="8">
        <v>11718</v>
      </c>
      <c r="D996" s="9" t="s">
        <v>681</v>
      </c>
      <c r="E996" s="10" t="s">
        <v>682</v>
      </c>
      <c r="F996" s="10" t="s">
        <v>683</v>
      </c>
      <c r="G996" s="8">
        <v>1</v>
      </c>
      <c r="H996" s="11">
        <v>300</v>
      </c>
      <c r="I996" s="12">
        <v>42519</v>
      </c>
      <c r="J996" s="13">
        <f t="shared" si="35"/>
        <v>0</v>
      </c>
      <c r="K996" s="14"/>
      <c r="L996" s="14"/>
      <c r="M996" s="14"/>
      <c r="N996" s="14"/>
      <c r="O996" s="14">
        <v>300</v>
      </c>
      <c r="P996" s="14"/>
      <c r="Q996" s="14"/>
      <c r="R996" s="14"/>
      <c r="S996" s="14"/>
      <c r="T996" s="14"/>
      <c r="U996" s="14"/>
      <c r="V996" s="14"/>
      <c r="W996" s="15">
        <f t="shared" si="36"/>
        <v>300</v>
      </c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5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5"/>
      <c r="AX996" s="16"/>
    </row>
    <row r="997" spans="2:50" x14ac:dyDescent="0.2">
      <c r="B997" s="7" t="s">
        <v>69</v>
      </c>
      <c r="C997" s="8">
        <v>11719</v>
      </c>
      <c r="D997" s="9" t="s">
        <v>514</v>
      </c>
      <c r="E997" s="10" t="s">
        <v>515</v>
      </c>
      <c r="F997" s="10" t="s">
        <v>516</v>
      </c>
      <c r="G997" s="8">
        <v>1</v>
      </c>
      <c r="H997" s="11">
        <v>300</v>
      </c>
      <c r="I997" s="12">
        <v>42519</v>
      </c>
      <c r="J997" s="13">
        <f t="shared" si="35"/>
        <v>0</v>
      </c>
      <c r="K997" s="14"/>
      <c r="L997" s="14"/>
      <c r="M997" s="14"/>
      <c r="N997" s="14"/>
      <c r="O997" s="14">
        <v>300</v>
      </c>
      <c r="P997" s="14"/>
      <c r="Q997" s="14"/>
      <c r="R997" s="14"/>
      <c r="S997" s="14"/>
      <c r="T997" s="14"/>
      <c r="U997" s="14"/>
      <c r="V997" s="14"/>
      <c r="W997" s="15">
        <f t="shared" si="36"/>
        <v>300</v>
      </c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5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5"/>
      <c r="AX997" s="16"/>
    </row>
    <row r="998" spans="2:50" x14ac:dyDescent="0.2">
      <c r="B998" s="7" t="s">
        <v>69</v>
      </c>
      <c r="C998" s="8">
        <v>11720</v>
      </c>
      <c r="D998" s="9" t="s">
        <v>135</v>
      </c>
      <c r="E998" s="10" t="s">
        <v>136</v>
      </c>
      <c r="F998" s="10" t="s">
        <v>137</v>
      </c>
      <c r="G998" s="8">
        <v>1</v>
      </c>
      <c r="H998" s="11">
        <v>300</v>
      </c>
      <c r="I998" s="12">
        <v>42519</v>
      </c>
      <c r="J998" s="13">
        <f t="shared" si="35"/>
        <v>0</v>
      </c>
      <c r="K998" s="14"/>
      <c r="L998" s="14"/>
      <c r="M998" s="14"/>
      <c r="N998" s="14"/>
      <c r="O998" s="14"/>
      <c r="P998" s="14">
        <v>300</v>
      </c>
      <c r="Q998" s="14"/>
      <c r="R998" s="14"/>
      <c r="S998" s="14"/>
      <c r="T998" s="14"/>
      <c r="U998" s="14"/>
      <c r="V998" s="14"/>
      <c r="W998" s="15">
        <f t="shared" si="36"/>
        <v>300</v>
      </c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5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5"/>
      <c r="AX998" s="16"/>
    </row>
    <row r="999" spans="2:50" x14ac:dyDescent="0.2">
      <c r="B999" s="7" t="s">
        <v>122</v>
      </c>
      <c r="C999" s="8">
        <v>11721</v>
      </c>
      <c r="D999" s="9" t="s">
        <v>788</v>
      </c>
      <c r="E999" s="10" t="s">
        <v>789</v>
      </c>
      <c r="F999" s="10" t="s">
        <v>790</v>
      </c>
      <c r="G999" s="8">
        <v>1</v>
      </c>
      <c r="H999" s="11">
        <v>400</v>
      </c>
      <c r="I999" s="12">
        <v>42519</v>
      </c>
      <c r="J999" s="13">
        <f t="shared" si="35"/>
        <v>0</v>
      </c>
      <c r="K999" s="14"/>
      <c r="L999" s="14"/>
      <c r="M999" s="14"/>
      <c r="N999" s="14"/>
      <c r="O999" s="14">
        <v>400</v>
      </c>
      <c r="P999" s="14"/>
      <c r="Q999" s="14"/>
      <c r="R999" s="14"/>
      <c r="S999" s="14"/>
      <c r="T999" s="14"/>
      <c r="U999" s="14"/>
      <c r="V999" s="14"/>
      <c r="W999" s="15">
        <f t="shared" si="36"/>
        <v>400</v>
      </c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5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5"/>
      <c r="AX999" s="16"/>
    </row>
    <row r="1000" spans="2:50" x14ac:dyDescent="0.2">
      <c r="B1000" s="7" t="s">
        <v>122</v>
      </c>
      <c r="C1000" s="8">
        <v>11722</v>
      </c>
      <c r="D1000" s="9" t="s">
        <v>123</v>
      </c>
      <c r="E1000" s="10" t="s">
        <v>124</v>
      </c>
      <c r="F1000" s="10" t="s">
        <v>125</v>
      </c>
      <c r="G1000" s="8">
        <v>1</v>
      </c>
      <c r="H1000" s="11">
        <v>250</v>
      </c>
      <c r="I1000" s="12">
        <v>42519</v>
      </c>
      <c r="J1000" s="13">
        <f t="shared" si="35"/>
        <v>0</v>
      </c>
      <c r="K1000" s="14"/>
      <c r="L1000" s="14"/>
      <c r="M1000" s="14"/>
      <c r="N1000" s="14"/>
      <c r="O1000" s="14"/>
      <c r="P1000" s="14">
        <v>250</v>
      </c>
      <c r="Q1000" s="14"/>
      <c r="R1000" s="14"/>
      <c r="S1000" s="14"/>
      <c r="T1000" s="14"/>
      <c r="U1000" s="14"/>
      <c r="V1000" s="14"/>
      <c r="W1000" s="15">
        <f t="shared" si="36"/>
        <v>250</v>
      </c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5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5"/>
      <c r="AX1000" s="16"/>
    </row>
    <row r="1001" spans="2:50" x14ac:dyDescent="0.2">
      <c r="B1001" s="7" t="s">
        <v>93</v>
      </c>
      <c r="C1001" s="8">
        <v>11723</v>
      </c>
      <c r="D1001" s="9"/>
      <c r="E1001" s="10" t="s">
        <v>93</v>
      </c>
      <c r="F1001" s="10" t="s">
        <v>93</v>
      </c>
      <c r="G1001" s="8">
        <v>8</v>
      </c>
      <c r="H1001" s="11"/>
      <c r="I1001" s="12"/>
      <c r="J1001" s="13">
        <f t="shared" si="35"/>
        <v>0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5">
        <f t="shared" si="36"/>
        <v>0</v>
      </c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5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5"/>
      <c r="AX1001" s="16"/>
    </row>
    <row r="1002" spans="2:50" x14ac:dyDescent="0.2">
      <c r="B1002" s="7" t="s">
        <v>37</v>
      </c>
      <c r="C1002" s="8">
        <v>11724</v>
      </c>
      <c r="D1002" s="9" t="s">
        <v>538</v>
      </c>
      <c r="E1002" s="10" t="s">
        <v>539</v>
      </c>
      <c r="F1002" s="10" t="s">
        <v>540</v>
      </c>
      <c r="G1002" s="8">
        <v>1</v>
      </c>
      <c r="H1002" s="11">
        <v>400</v>
      </c>
      <c r="I1002" s="12">
        <v>42519</v>
      </c>
      <c r="J1002" s="13">
        <f t="shared" si="35"/>
        <v>0</v>
      </c>
      <c r="K1002" s="14"/>
      <c r="L1002" s="14"/>
      <c r="M1002" s="14"/>
      <c r="N1002" s="14"/>
      <c r="O1002" s="14">
        <v>400</v>
      </c>
      <c r="P1002" s="14"/>
      <c r="Q1002" s="14"/>
      <c r="R1002" s="14"/>
      <c r="S1002" s="14"/>
      <c r="T1002" s="14"/>
      <c r="U1002" s="14"/>
      <c r="V1002" s="14"/>
      <c r="W1002" s="15">
        <f t="shared" si="36"/>
        <v>400</v>
      </c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5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5"/>
      <c r="AX1002" s="16"/>
    </row>
    <row r="1003" spans="2:50" x14ac:dyDescent="0.2">
      <c r="B1003" s="7" t="s">
        <v>69</v>
      </c>
      <c r="C1003" s="8">
        <v>11725</v>
      </c>
      <c r="D1003" s="9" t="s">
        <v>882</v>
      </c>
      <c r="E1003" s="10" t="s">
        <v>883</v>
      </c>
      <c r="F1003" s="10" t="s">
        <v>884</v>
      </c>
      <c r="G1003" s="8">
        <v>1</v>
      </c>
      <c r="H1003" s="11">
        <v>600</v>
      </c>
      <c r="I1003" s="12">
        <v>42519</v>
      </c>
      <c r="J1003" s="13">
        <f t="shared" si="35"/>
        <v>0</v>
      </c>
      <c r="K1003" s="14"/>
      <c r="L1003" s="14"/>
      <c r="M1003" s="14"/>
      <c r="N1003" s="14">
        <v>200</v>
      </c>
      <c r="O1003" s="14">
        <v>200</v>
      </c>
      <c r="P1003" s="14">
        <v>200</v>
      </c>
      <c r="Q1003" s="14"/>
      <c r="R1003" s="14"/>
      <c r="S1003" s="14"/>
      <c r="T1003" s="14"/>
      <c r="U1003" s="14"/>
      <c r="V1003" s="14"/>
      <c r="W1003" s="15">
        <f t="shared" si="36"/>
        <v>600</v>
      </c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5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5"/>
      <c r="AX1003" s="16"/>
    </row>
    <row r="1004" spans="2:50" x14ac:dyDescent="0.2">
      <c r="B1004" s="7" t="s">
        <v>77</v>
      </c>
      <c r="C1004" s="8">
        <v>11726</v>
      </c>
      <c r="D1004" s="9" t="s">
        <v>473</v>
      </c>
      <c r="E1004" s="10" t="s">
        <v>474</v>
      </c>
      <c r="F1004" s="10" t="s">
        <v>475</v>
      </c>
      <c r="G1004" s="8">
        <v>1</v>
      </c>
      <c r="H1004" s="11">
        <v>400</v>
      </c>
      <c r="I1004" s="12">
        <v>42519</v>
      </c>
      <c r="J1004" s="13">
        <f t="shared" si="35"/>
        <v>0</v>
      </c>
      <c r="K1004" s="14"/>
      <c r="L1004" s="14"/>
      <c r="M1004" s="14"/>
      <c r="N1004" s="14"/>
      <c r="O1004" s="14">
        <v>400</v>
      </c>
      <c r="P1004" s="14"/>
      <c r="Q1004" s="14"/>
      <c r="R1004" s="14"/>
      <c r="S1004" s="14"/>
      <c r="T1004" s="14"/>
      <c r="U1004" s="14"/>
      <c r="V1004" s="14"/>
      <c r="W1004" s="15">
        <f t="shared" si="36"/>
        <v>400</v>
      </c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5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5"/>
      <c r="AX1004" s="16"/>
    </row>
    <row r="1005" spans="2:50" x14ac:dyDescent="0.2">
      <c r="B1005" s="7" t="s">
        <v>47</v>
      </c>
      <c r="C1005" s="8">
        <v>11727</v>
      </c>
      <c r="D1005" s="9" t="s">
        <v>84</v>
      </c>
      <c r="E1005" s="10" t="s">
        <v>85</v>
      </c>
      <c r="F1005" s="10" t="s">
        <v>86</v>
      </c>
      <c r="G1005" s="8">
        <v>3</v>
      </c>
      <c r="H1005" s="11">
        <v>160</v>
      </c>
      <c r="I1005" s="12">
        <v>42519</v>
      </c>
      <c r="J1005" s="13">
        <f t="shared" si="35"/>
        <v>0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5">
        <f t="shared" si="36"/>
        <v>0</v>
      </c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5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5"/>
      <c r="AX1005" s="16"/>
    </row>
    <row r="1006" spans="2:50" x14ac:dyDescent="0.2">
      <c r="B1006" s="7" t="s">
        <v>69</v>
      </c>
      <c r="C1006" s="8">
        <v>11728</v>
      </c>
      <c r="D1006" s="9" t="s">
        <v>361</v>
      </c>
      <c r="E1006" s="10" t="s">
        <v>362</v>
      </c>
      <c r="F1006" s="10" t="s">
        <v>363</v>
      </c>
      <c r="G1006" s="8">
        <v>1</v>
      </c>
      <c r="H1006" s="11">
        <v>400</v>
      </c>
      <c r="I1006" s="12">
        <v>42519</v>
      </c>
      <c r="J1006" s="13">
        <f t="shared" si="35"/>
        <v>0</v>
      </c>
      <c r="K1006" s="14"/>
      <c r="L1006" s="14"/>
      <c r="M1006" s="14"/>
      <c r="N1006" s="14"/>
      <c r="O1006" s="14">
        <v>400</v>
      </c>
      <c r="P1006" s="14"/>
      <c r="Q1006" s="14"/>
      <c r="R1006" s="14"/>
      <c r="S1006" s="14"/>
      <c r="T1006" s="14"/>
      <c r="U1006" s="14"/>
      <c r="V1006" s="14"/>
      <c r="W1006" s="15">
        <f t="shared" si="36"/>
        <v>400</v>
      </c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5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5"/>
      <c r="AX1006" s="16"/>
    </row>
    <row r="1007" spans="2:50" x14ac:dyDescent="0.2">
      <c r="B1007" s="7" t="s">
        <v>69</v>
      </c>
      <c r="C1007" s="8">
        <v>11729</v>
      </c>
      <c r="D1007" s="9" t="s">
        <v>361</v>
      </c>
      <c r="E1007" s="10" t="s">
        <v>362</v>
      </c>
      <c r="F1007" s="10" t="s">
        <v>363</v>
      </c>
      <c r="G1007" s="8">
        <v>1</v>
      </c>
      <c r="H1007" s="11">
        <v>400</v>
      </c>
      <c r="I1007" s="12">
        <v>42519</v>
      </c>
      <c r="J1007" s="13">
        <f t="shared" si="35"/>
        <v>0</v>
      </c>
      <c r="K1007" s="14"/>
      <c r="L1007" s="14"/>
      <c r="M1007" s="14"/>
      <c r="N1007" s="14"/>
      <c r="O1007" s="14"/>
      <c r="P1007" s="14">
        <v>400</v>
      </c>
      <c r="Q1007" s="14"/>
      <c r="R1007" s="14"/>
      <c r="S1007" s="14"/>
      <c r="T1007" s="14"/>
      <c r="U1007" s="14"/>
      <c r="V1007" s="14"/>
      <c r="W1007" s="15">
        <f t="shared" si="36"/>
        <v>400</v>
      </c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5"/>
      <c r="AX1007" s="16"/>
    </row>
    <row r="1008" spans="2:50" x14ac:dyDescent="0.2">
      <c r="B1008" s="7" t="s">
        <v>73</v>
      </c>
      <c r="C1008" s="8">
        <v>11730</v>
      </c>
      <c r="D1008" s="9" t="s">
        <v>523</v>
      </c>
      <c r="E1008" s="10" t="s">
        <v>524</v>
      </c>
      <c r="F1008" s="10" t="s">
        <v>525</v>
      </c>
      <c r="G1008" s="8">
        <v>1</v>
      </c>
      <c r="H1008" s="11">
        <v>400</v>
      </c>
      <c r="I1008" s="12">
        <v>42519</v>
      </c>
      <c r="J1008" s="13">
        <f t="shared" si="35"/>
        <v>0</v>
      </c>
      <c r="K1008" s="14"/>
      <c r="L1008" s="14"/>
      <c r="M1008" s="14">
        <v>400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15">
        <f t="shared" si="36"/>
        <v>400</v>
      </c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5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5"/>
      <c r="AX1008" s="16"/>
    </row>
    <row r="1009" spans="1:51" x14ac:dyDescent="0.2">
      <c r="B1009" s="7" t="s">
        <v>93</v>
      </c>
      <c r="C1009" s="8">
        <v>11731</v>
      </c>
      <c r="D1009" s="9"/>
      <c r="E1009" s="10" t="s">
        <v>93</v>
      </c>
      <c r="F1009" s="10" t="s">
        <v>93</v>
      </c>
      <c r="G1009" s="8">
        <v>8</v>
      </c>
      <c r="H1009" s="11"/>
      <c r="I1009" s="12"/>
      <c r="J1009" s="13">
        <f t="shared" si="35"/>
        <v>0</v>
      </c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5">
        <f t="shared" si="36"/>
        <v>0</v>
      </c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5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5"/>
      <c r="AX1009" s="16"/>
    </row>
    <row r="1010" spans="1:51" x14ac:dyDescent="0.2">
      <c r="B1010" s="7" t="s">
        <v>47</v>
      </c>
      <c r="C1010" s="8">
        <v>11732</v>
      </c>
      <c r="D1010" s="9" t="s">
        <v>349</v>
      </c>
      <c r="E1010" s="10" t="s">
        <v>350</v>
      </c>
      <c r="F1010" s="10" t="s">
        <v>351</v>
      </c>
      <c r="G1010" s="8">
        <v>1</v>
      </c>
      <c r="H1010" s="11">
        <v>300</v>
      </c>
      <c r="I1010" s="12">
        <v>42519</v>
      </c>
      <c r="J1010" s="13">
        <f t="shared" si="35"/>
        <v>0</v>
      </c>
      <c r="K1010" s="14"/>
      <c r="L1010" s="14"/>
      <c r="M1010" s="14"/>
      <c r="N1010" s="14"/>
      <c r="O1010" s="14"/>
      <c r="P1010" s="14">
        <v>300</v>
      </c>
      <c r="Q1010" s="14"/>
      <c r="R1010" s="14"/>
      <c r="S1010" s="14"/>
      <c r="T1010" s="14"/>
      <c r="U1010" s="14"/>
      <c r="V1010" s="14"/>
      <c r="W1010" s="15">
        <f t="shared" si="36"/>
        <v>300</v>
      </c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5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5"/>
      <c r="AX1010" s="16"/>
    </row>
    <row r="1011" spans="1:51" x14ac:dyDescent="0.2">
      <c r="B1011" s="7" t="s">
        <v>69</v>
      </c>
      <c r="C1011" s="8">
        <v>11733</v>
      </c>
      <c r="D1011" s="9" t="s">
        <v>871</v>
      </c>
      <c r="E1011" s="10" t="s">
        <v>872</v>
      </c>
      <c r="F1011" s="10" t="s">
        <v>873</v>
      </c>
      <c r="G1011" s="8">
        <v>1</v>
      </c>
      <c r="H1011" s="11">
        <v>200</v>
      </c>
      <c r="I1011" s="12">
        <v>42519</v>
      </c>
      <c r="J1011" s="13">
        <f t="shared" si="35"/>
        <v>0</v>
      </c>
      <c r="K1011" s="14">
        <v>200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5">
        <f t="shared" si="36"/>
        <v>200</v>
      </c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5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5"/>
      <c r="AX1011" s="16"/>
    </row>
    <row r="1012" spans="1:51" x14ac:dyDescent="0.2">
      <c r="B1012" s="7" t="s">
        <v>69</v>
      </c>
      <c r="C1012" s="8">
        <v>11734</v>
      </c>
      <c r="D1012" s="9" t="s">
        <v>871</v>
      </c>
      <c r="E1012" s="10" t="s">
        <v>872</v>
      </c>
      <c r="F1012" s="10" t="s">
        <v>873</v>
      </c>
      <c r="G1012" s="8">
        <v>1</v>
      </c>
      <c r="H1012" s="11">
        <v>300</v>
      </c>
      <c r="I1012" s="12">
        <v>42519</v>
      </c>
      <c r="J1012" s="13">
        <f t="shared" si="35"/>
        <v>0</v>
      </c>
      <c r="K1012" s="14"/>
      <c r="L1012" s="14"/>
      <c r="M1012" s="14"/>
      <c r="N1012" s="14"/>
      <c r="O1012" s="14">
        <v>300</v>
      </c>
      <c r="P1012" s="14"/>
      <c r="Q1012" s="14"/>
      <c r="R1012" s="14"/>
      <c r="S1012" s="14"/>
      <c r="T1012" s="14"/>
      <c r="U1012" s="14"/>
      <c r="V1012" s="14"/>
      <c r="W1012" s="15">
        <f t="shared" si="36"/>
        <v>300</v>
      </c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5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5"/>
      <c r="AX1012" s="16"/>
    </row>
    <row r="1013" spans="1:51" x14ac:dyDescent="0.2">
      <c r="B1013" s="7" t="s">
        <v>47</v>
      </c>
      <c r="C1013" s="8">
        <v>11735</v>
      </c>
      <c r="D1013" s="9" t="s">
        <v>577</v>
      </c>
      <c r="E1013" s="10" t="s">
        <v>578</v>
      </c>
      <c r="F1013" s="10" t="s">
        <v>579</v>
      </c>
      <c r="G1013" s="8">
        <v>1</v>
      </c>
      <c r="H1013" s="11">
        <v>1200</v>
      </c>
      <c r="I1013" s="12">
        <v>42519</v>
      </c>
      <c r="J1013" s="13">
        <f t="shared" si="35"/>
        <v>0</v>
      </c>
      <c r="K1013" s="14"/>
      <c r="L1013" s="14"/>
      <c r="M1013" s="14"/>
      <c r="N1013" s="14">
        <v>400</v>
      </c>
      <c r="O1013" s="14">
        <v>400</v>
      </c>
      <c r="P1013" s="14">
        <v>400</v>
      </c>
      <c r="Q1013" s="14"/>
      <c r="R1013" s="14"/>
      <c r="S1013" s="14"/>
      <c r="T1013" s="14"/>
      <c r="U1013" s="14"/>
      <c r="V1013" s="14"/>
      <c r="W1013" s="15">
        <f t="shared" si="36"/>
        <v>1200</v>
      </c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5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5"/>
      <c r="AX1013" s="16"/>
    </row>
    <row r="1014" spans="1:51" x14ac:dyDescent="0.2">
      <c r="B1014" s="7" t="s">
        <v>47</v>
      </c>
      <c r="C1014" s="8">
        <v>11736</v>
      </c>
      <c r="D1014" s="9" t="s">
        <v>968</v>
      </c>
      <c r="E1014" s="10" t="s">
        <v>969</v>
      </c>
      <c r="F1014" s="10" t="s">
        <v>970</v>
      </c>
      <c r="G1014" s="8">
        <v>1</v>
      </c>
      <c r="H1014" s="11">
        <v>2400</v>
      </c>
      <c r="I1014" s="12">
        <v>42519</v>
      </c>
      <c r="J1014" s="13">
        <f t="shared" si="35"/>
        <v>0</v>
      </c>
      <c r="K1014" s="14">
        <v>400</v>
      </c>
      <c r="L1014" s="14">
        <v>400</v>
      </c>
      <c r="M1014" s="14">
        <v>400</v>
      </c>
      <c r="N1014" s="14">
        <v>400</v>
      </c>
      <c r="O1014" s="14">
        <v>400</v>
      </c>
      <c r="P1014" s="14">
        <v>400</v>
      </c>
      <c r="Q1014" s="14"/>
      <c r="R1014" s="14"/>
      <c r="S1014" s="14"/>
      <c r="T1014" s="14"/>
      <c r="U1014" s="14"/>
      <c r="V1014" s="14"/>
      <c r="W1014" s="15">
        <f t="shared" si="36"/>
        <v>2400</v>
      </c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5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5"/>
      <c r="AX1014" s="16"/>
      <c r="AY1014" s="112">
        <f>SUM(H991:H1014)</f>
        <v>10870</v>
      </c>
    </row>
    <row r="1015" spans="1:51" x14ac:dyDescent="0.2">
      <c r="B1015" s="7" t="s">
        <v>73</v>
      </c>
      <c r="C1015" s="8"/>
      <c r="D1015" s="9" t="s">
        <v>806</v>
      </c>
      <c r="E1015" s="10" t="s">
        <v>885</v>
      </c>
      <c r="F1015" s="10" t="s">
        <v>805</v>
      </c>
      <c r="G1015" s="8">
        <v>1</v>
      </c>
      <c r="H1015" s="11">
        <v>11000</v>
      </c>
      <c r="I1015" s="12">
        <v>42508</v>
      </c>
      <c r="J1015" s="13">
        <f t="shared" si="35"/>
        <v>0</v>
      </c>
      <c r="K1015" s="14"/>
      <c r="L1015" s="14"/>
      <c r="M1015" s="14"/>
      <c r="N1015" s="14"/>
      <c r="O1015" s="14">
        <v>11000</v>
      </c>
      <c r="P1015" s="14"/>
      <c r="Q1015" s="14"/>
      <c r="R1015" s="14"/>
      <c r="S1015" s="14"/>
      <c r="T1015" s="14"/>
      <c r="U1015" s="14"/>
      <c r="V1015" s="14"/>
      <c r="W1015" s="15">
        <f t="shared" si="36"/>
        <v>11000</v>
      </c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5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5"/>
      <c r="AX1015" s="16"/>
    </row>
    <row r="1016" spans="1:51" x14ac:dyDescent="0.2">
      <c r="B1016" s="7" t="s">
        <v>37</v>
      </c>
      <c r="C1016" s="8">
        <v>11867</v>
      </c>
      <c r="D1016" s="9" t="s">
        <v>119</v>
      </c>
      <c r="E1016" s="10" t="s">
        <v>120</v>
      </c>
      <c r="F1016" s="10" t="s">
        <v>121</v>
      </c>
      <c r="G1016" s="8">
        <v>1</v>
      </c>
      <c r="H1016" s="11">
        <v>800</v>
      </c>
      <c r="I1016" s="12">
        <v>42520</v>
      </c>
      <c r="J1016" s="13">
        <f t="shared" si="35"/>
        <v>0</v>
      </c>
      <c r="K1016" s="14"/>
      <c r="L1016" s="14"/>
      <c r="M1016" s="14"/>
      <c r="N1016" s="14">
        <v>400</v>
      </c>
      <c r="O1016" s="14">
        <v>400</v>
      </c>
      <c r="P1016" s="14"/>
      <c r="Q1016" s="14"/>
      <c r="R1016" s="14"/>
      <c r="S1016" s="14"/>
      <c r="T1016" s="14"/>
      <c r="U1016" s="14"/>
      <c r="V1016" s="14"/>
      <c r="W1016" s="15">
        <f t="shared" si="36"/>
        <v>800</v>
      </c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5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5"/>
      <c r="AX1016" s="16"/>
    </row>
    <row r="1017" spans="1:51" x14ac:dyDescent="0.2">
      <c r="B1017" s="7" t="s">
        <v>47</v>
      </c>
      <c r="C1017" s="8">
        <v>11854</v>
      </c>
      <c r="D1017" s="9" t="s">
        <v>971</v>
      </c>
      <c r="E1017" s="10" t="s">
        <v>972</v>
      </c>
      <c r="F1017" s="10" t="s">
        <v>973</v>
      </c>
      <c r="G1017" s="8">
        <v>7</v>
      </c>
      <c r="H1017" s="11">
        <v>1300</v>
      </c>
      <c r="I1017" s="12">
        <v>42501</v>
      </c>
      <c r="J1017" s="13">
        <f t="shared" si="35"/>
        <v>0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5">
        <f t="shared" si="36"/>
        <v>0</v>
      </c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5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5"/>
      <c r="AX1017" s="16" t="s">
        <v>974</v>
      </c>
    </row>
    <row r="1018" spans="1:51" x14ac:dyDescent="0.2">
      <c r="B1018" s="48"/>
      <c r="C1018" s="48"/>
      <c r="D1018" s="48"/>
      <c r="E1018" s="48"/>
      <c r="F1018" s="48"/>
      <c r="G1018" s="19"/>
      <c r="H1018" s="21"/>
      <c r="I1018" s="26"/>
      <c r="J1018" s="27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9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9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9"/>
      <c r="AX1018" s="25"/>
      <c r="AY1018" s="112">
        <f>SUM(H787:H1017)</f>
        <v>117045</v>
      </c>
    </row>
    <row r="1019" spans="1:51" ht="22.5" x14ac:dyDescent="0.2">
      <c r="A1019" s="2" t="s">
        <v>0</v>
      </c>
      <c r="B1019" s="3" t="s">
        <v>1</v>
      </c>
      <c r="C1019" s="3" t="s">
        <v>2</v>
      </c>
      <c r="D1019" s="3" t="s">
        <v>3</v>
      </c>
      <c r="E1019" s="3" t="s">
        <v>4</v>
      </c>
      <c r="F1019" s="3" t="s">
        <v>5</v>
      </c>
      <c r="G1019" s="3" t="s">
        <v>6</v>
      </c>
      <c r="H1019" s="3" t="s">
        <v>7</v>
      </c>
      <c r="I1019" s="3" t="s">
        <v>8</v>
      </c>
      <c r="J1019" s="3" t="s">
        <v>9</v>
      </c>
      <c r="K1019" s="4" t="s">
        <v>10</v>
      </c>
      <c r="L1019" s="4" t="s">
        <v>11</v>
      </c>
      <c r="M1019" s="4" t="s">
        <v>12</v>
      </c>
      <c r="N1019" s="4" t="s">
        <v>13</v>
      </c>
      <c r="O1019" s="4" t="s">
        <v>14</v>
      </c>
      <c r="P1019" s="4" t="s">
        <v>15</v>
      </c>
      <c r="Q1019" s="4" t="s">
        <v>16</v>
      </c>
      <c r="R1019" s="4" t="s">
        <v>17</v>
      </c>
      <c r="S1019" s="4" t="s">
        <v>18</v>
      </c>
      <c r="T1019" s="4" t="s">
        <v>19</v>
      </c>
      <c r="U1019" s="4" t="s">
        <v>20</v>
      </c>
      <c r="V1019" s="4" t="s">
        <v>21</v>
      </c>
      <c r="W1019" s="5" t="s">
        <v>22</v>
      </c>
      <c r="X1019" s="4" t="s">
        <v>23</v>
      </c>
      <c r="Y1019" s="4" t="s">
        <v>24</v>
      </c>
      <c r="Z1019" s="4" t="s">
        <v>25</v>
      </c>
      <c r="AA1019" s="4" t="s">
        <v>26</v>
      </c>
      <c r="AB1019" s="4" t="s">
        <v>27</v>
      </c>
      <c r="AC1019" s="4" t="s">
        <v>28</v>
      </c>
      <c r="AD1019" s="4" t="s">
        <v>29</v>
      </c>
      <c r="AE1019" s="4" t="s">
        <v>30</v>
      </c>
      <c r="AF1019" s="4" t="s">
        <v>31</v>
      </c>
      <c r="AG1019" s="4" t="s">
        <v>32</v>
      </c>
      <c r="AH1019" s="4" t="s">
        <v>33</v>
      </c>
      <c r="AI1019" s="4" t="s">
        <v>34</v>
      </c>
      <c r="AJ1019" s="5" t="s">
        <v>35</v>
      </c>
      <c r="AK1019" s="4" t="s">
        <v>4607</v>
      </c>
      <c r="AL1019" s="4" t="s">
        <v>4608</v>
      </c>
      <c r="AM1019" s="4" t="s">
        <v>4609</v>
      </c>
      <c r="AN1019" s="4" t="s">
        <v>4610</v>
      </c>
      <c r="AO1019" s="4" t="s">
        <v>4611</v>
      </c>
      <c r="AP1019" s="4" t="s">
        <v>4612</v>
      </c>
      <c r="AQ1019" s="4" t="s">
        <v>4613</v>
      </c>
      <c r="AR1019" s="4" t="s">
        <v>4614</v>
      </c>
      <c r="AS1019" s="4" t="s">
        <v>4615</v>
      </c>
      <c r="AT1019" s="4" t="s">
        <v>4616</v>
      </c>
      <c r="AU1019" s="4" t="s">
        <v>4617</v>
      </c>
      <c r="AV1019" s="4" t="s">
        <v>4618</v>
      </c>
      <c r="AW1019" s="338" t="s">
        <v>4619</v>
      </c>
      <c r="AX1019" s="6" t="s">
        <v>36</v>
      </c>
    </row>
    <row r="1020" spans="1:51" x14ac:dyDescent="0.2">
      <c r="B1020" s="7" t="s">
        <v>37</v>
      </c>
      <c r="C1020" s="8">
        <v>11737</v>
      </c>
      <c r="D1020" s="9" t="s">
        <v>446</v>
      </c>
      <c r="E1020" s="10" t="s">
        <v>447</v>
      </c>
      <c r="F1020" s="10" t="s">
        <v>448</v>
      </c>
      <c r="G1020" s="8">
        <v>1</v>
      </c>
      <c r="H1020" s="11">
        <v>200</v>
      </c>
      <c r="I1020" s="12">
        <v>42520</v>
      </c>
      <c r="J1020" s="13">
        <f t="shared" ref="J1020:J1083" si="37">IF(G1020=1,SUM(W1020,-H1020),0)</f>
        <v>0</v>
      </c>
      <c r="K1020" s="14"/>
      <c r="L1020" s="14"/>
      <c r="M1020" s="14"/>
      <c r="N1020" s="14"/>
      <c r="O1020" s="14">
        <v>200</v>
      </c>
      <c r="P1020" s="14"/>
      <c r="Q1020" s="14"/>
      <c r="R1020" s="14"/>
      <c r="S1020" s="14"/>
      <c r="T1020" s="14"/>
      <c r="U1020" s="14"/>
      <c r="V1020" s="14"/>
      <c r="W1020" s="15">
        <f t="shared" ref="W1020:W1083" si="38">SUM(K1020:V1020)</f>
        <v>200</v>
      </c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5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5"/>
      <c r="AX1020" s="16"/>
    </row>
    <row r="1021" spans="1:51" x14ac:dyDescent="0.2">
      <c r="B1021" s="7" t="s">
        <v>69</v>
      </c>
      <c r="C1021" s="8">
        <v>11738</v>
      </c>
      <c r="D1021" s="9" t="s">
        <v>890</v>
      </c>
      <c r="E1021" s="10" t="s">
        <v>891</v>
      </c>
      <c r="F1021" s="10" t="s">
        <v>892</v>
      </c>
      <c r="G1021" s="8">
        <v>1</v>
      </c>
      <c r="H1021" s="11">
        <v>1200</v>
      </c>
      <c r="I1021" s="12">
        <v>42521</v>
      </c>
      <c r="J1021" s="13">
        <f t="shared" si="37"/>
        <v>0</v>
      </c>
      <c r="K1021" s="14"/>
      <c r="L1021" s="14"/>
      <c r="M1021" s="14">
        <v>400</v>
      </c>
      <c r="N1021" s="14">
        <v>400</v>
      </c>
      <c r="O1021" s="14">
        <v>400</v>
      </c>
      <c r="P1021" s="14"/>
      <c r="Q1021" s="14"/>
      <c r="R1021" s="14"/>
      <c r="S1021" s="14"/>
      <c r="T1021" s="14"/>
      <c r="U1021" s="14"/>
      <c r="V1021" s="14"/>
      <c r="W1021" s="15">
        <f t="shared" si="38"/>
        <v>1200</v>
      </c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5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5"/>
      <c r="AX1021" s="16"/>
    </row>
    <row r="1022" spans="1:51" x14ac:dyDescent="0.2">
      <c r="B1022" s="7" t="s">
        <v>37</v>
      </c>
      <c r="C1022" s="8">
        <v>11739</v>
      </c>
      <c r="D1022" s="9" t="s">
        <v>975</v>
      </c>
      <c r="E1022" s="10" t="s">
        <v>976</v>
      </c>
      <c r="F1022" s="10" t="s">
        <v>573</v>
      </c>
      <c r="G1022" s="8">
        <v>1</v>
      </c>
      <c r="H1022" s="11">
        <v>400</v>
      </c>
      <c r="I1022" s="12">
        <v>42521</v>
      </c>
      <c r="J1022" s="13">
        <f t="shared" si="37"/>
        <v>0</v>
      </c>
      <c r="K1022" s="14"/>
      <c r="L1022" s="14"/>
      <c r="M1022" s="14"/>
      <c r="N1022" s="14"/>
      <c r="O1022" s="14"/>
      <c r="P1022" s="14">
        <v>400</v>
      </c>
      <c r="Q1022" s="14"/>
      <c r="R1022" s="14"/>
      <c r="S1022" s="14"/>
      <c r="T1022" s="14"/>
      <c r="U1022" s="14"/>
      <c r="V1022" s="14"/>
      <c r="W1022" s="15">
        <f t="shared" si="38"/>
        <v>400</v>
      </c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5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5"/>
      <c r="AX1022" s="16"/>
    </row>
    <row r="1023" spans="1:51" x14ac:dyDescent="0.2">
      <c r="B1023" s="7" t="s">
        <v>47</v>
      </c>
      <c r="C1023" s="8">
        <v>11740</v>
      </c>
      <c r="D1023" s="9" t="s">
        <v>162</v>
      </c>
      <c r="E1023" s="10" t="s">
        <v>163</v>
      </c>
      <c r="F1023" s="10" t="s">
        <v>164</v>
      </c>
      <c r="G1023" s="8">
        <v>3</v>
      </c>
      <c r="H1023" s="11">
        <v>160</v>
      </c>
      <c r="I1023" s="12">
        <v>42521</v>
      </c>
      <c r="J1023" s="13">
        <f t="shared" si="37"/>
        <v>0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5">
        <f t="shared" si="38"/>
        <v>0</v>
      </c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5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5"/>
      <c r="AX1023" s="16"/>
    </row>
    <row r="1024" spans="1:51" x14ac:dyDescent="0.2">
      <c r="B1024" s="7" t="s">
        <v>69</v>
      </c>
      <c r="C1024" s="8">
        <v>11741</v>
      </c>
      <c r="D1024" s="9" t="s">
        <v>346</v>
      </c>
      <c r="E1024" s="10" t="s">
        <v>347</v>
      </c>
      <c r="F1024" s="10" t="s">
        <v>348</v>
      </c>
      <c r="G1024" s="8">
        <v>1</v>
      </c>
      <c r="H1024" s="11">
        <v>300</v>
      </c>
      <c r="I1024" s="12">
        <v>42521</v>
      </c>
      <c r="J1024" s="13">
        <f t="shared" si="37"/>
        <v>0</v>
      </c>
      <c r="K1024" s="14"/>
      <c r="L1024" s="14"/>
      <c r="M1024" s="14"/>
      <c r="N1024" s="14">
        <v>300</v>
      </c>
      <c r="O1024" s="14"/>
      <c r="P1024" s="14"/>
      <c r="Q1024" s="14"/>
      <c r="R1024" s="14"/>
      <c r="S1024" s="14"/>
      <c r="T1024" s="14"/>
      <c r="U1024" s="14"/>
      <c r="V1024" s="14"/>
      <c r="W1024" s="15">
        <f t="shared" si="38"/>
        <v>300</v>
      </c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5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5"/>
      <c r="AX1024" s="16"/>
    </row>
    <row r="1025" spans="2:50" x14ac:dyDescent="0.2">
      <c r="B1025" s="7" t="s">
        <v>37</v>
      </c>
      <c r="C1025" s="8">
        <v>11742</v>
      </c>
      <c r="D1025" s="9" t="s">
        <v>298</v>
      </c>
      <c r="E1025" s="10" t="s">
        <v>299</v>
      </c>
      <c r="F1025" s="10" t="s">
        <v>300</v>
      </c>
      <c r="G1025" s="8">
        <v>1</v>
      </c>
      <c r="H1025" s="11">
        <v>300</v>
      </c>
      <c r="I1025" s="12">
        <v>42522</v>
      </c>
      <c r="J1025" s="13">
        <f t="shared" si="37"/>
        <v>0</v>
      </c>
      <c r="K1025" s="14"/>
      <c r="L1025" s="14"/>
      <c r="M1025" s="14"/>
      <c r="N1025" s="14"/>
      <c r="O1025" s="14">
        <v>150</v>
      </c>
      <c r="P1025" s="14">
        <v>150</v>
      </c>
      <c r="Q1025" s="14"/>
      <c r="R1025" s="14"/>
      <c r="S1025" s="14"/>
      <c r="T1025" s="14"/>
      <c r="U1025" s="14"/>
      <c r="V1025" s="14"/>
      <c r="W1025" s="15">
        <f t="shared" si="38"/>
        <v>300</v>
      </c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5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5"/>
      <c r="AX1025" s="16"/>
    </row>
    <row r="1026" spans="2:50" x14ac:dyDescent="0.2">
      <c r="B1026" s="7" t="s">
        <v>37</v>
      </c>
      <c r="C1026" s="8">
        <v>11743</v>
      </c>
      <c r="D1026" s="9" t="s">
        <v>977</v>
      </c>
      <c r="E1026" s="10" t="s">
        <v>978</v>
      </c>
      <c r="F1026" s="10" t="s">
        <v>979</v>
      </c>
      <c r="G1026" s="8">
        <v>1</v>
      </c>
      <c r="H1026" s="11">
        <v>250</v>
      </c>
      <c r="I1026" s="12">
        <v>42522</v>
      </c>
      <c r="J1026" s="13">
        <f t="shared" si="37"/>
        <v>0</v>
      </c>
      <c r="K1026" s="14"/>
      <c r="L1026" s="14"/>
      <c r="M1026" s="14"/>
      <c r="N1026" s="14"/>
      <c r="O1026" s="14"/>
      <c r="P1026" s="14">
        <v>250</v>
      </c>
      <c r="Q1026" s="14"/>
      <c r="R1026" s="14"/>
      <c r="S1026" s="14"/>
      <c r="T1026" s="14"/>
      <c r="U1026" s="14"/>
      <c r="V1026" s="14"/>
      <c r="W1026" s="15">
        <f t="shared" si="38"/>
        <v>250</v>
      </c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5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5"/>
      <c r="AX1026" s="16"/>
    </row>
    <row r="1027" spans="2:50" x14ac:dyDescent="0.2">
      <c r="B1027" s="7" t="s">
        <v>47</v>
      </c>
      <c r="C1027" s="8">
        <v>11744</v>
      </c>
      <c r="D1027" s="9" t="s">
        <v>755</v>
      </c>
      <c r="E1027" s="10" t="s">
        <v>756</v>
      </c>
      <c r="F1027" s="10" t="s">
        <v>757</v>
      </c>
      <c r="G1027" s="8">
        <v>1</v>
      </c>
      <c r="H1027" s="11">
        <v>400</v>
      </c>
      <c r="I1027" s="12">
        <v>42523</v>
      </c>
      <c r="J1027" s="13">
        <f t="shared" si="37"/>
        <v>0</v>
      </c>
      <c r="K1027" s="14"/>
      <c r="L1027" s="14"/>
      <c r="M1027" s="14"/>
      <c r="N1027" s="14"/>
      <c r="O1027" s="14"/>
      <c r="P1027" s="14">
        <v>400</v>
      </c>
      <c r="Q1027" s="14"/>
      <c r="R1027" s="14"/>
      <c r="S1027" s="14"/>
      <c r="T1027" s="14"/>
      <c r="U1027" s="14"/>
      <c r="V1027" s="14"/>
      <c r="W1027" s="15">
        <f t="shared" si="38"/>
        <v>400</v>
      </c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5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5"/>
      <c r="AX1027" s="16"/>
    </row>
    <row r="1028" spans="2:50" x14ac:dyDescent="0.2">
      <c r="B1028" s="7" t="s">
        <v>47</v>
      </c>
      <c r="C1028" s="8">
        <v>11744</v>
      </c>
      <c r="D1028" s="9" t="s">
        <v>755</v>
      </c>
      <c r="E1028" s="10" t="s">
        <v>756</v>
      </c>
      <c r="F1028" s="10" t="s">
        <v>757</v>
      </c>
      <c r="G1028" s="8">
        <v>3</v>
      </c>
      <c r="H1028" s="11">
        <v>160</v>
      </c>
      <c r="I1028" s="12">
        <v>42523</v>
      </c>
      <c r="J1028" s="13">
        <f t="shared" si="37"/>
        <v>0</v>
      </c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5">
        <f t="shared" si="38"/>
        <v>0</v>
      </c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5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5"/>
      <c r="AX1028" s="16"/>
    </row>
    <row r="1029" spans="2:50" x14ac:dyDescent="0.2">
      <c r="B1029" s="7" t="s">
        <v>47</v>
      </c>
      <c r="C1029" s="8">
        <v>11744</v>
      </c>
      <c r="D1029" s="9" t="s">
        <v>755</v>
      </c>
      <c r="E1029" s="10" t="s">
        <v>756</v>
      </c>
      <c r="F1029" s="10" t="s">
        <v>757</v>
      </c>
      <c r="G1029" s="8">
        <v>4</v>
      </c>
      <c r="H1029" s="11">
        <v>200</v>
      </c>
      <c r="I1029" s="12">
        <v>42523</v>
      </c>
      <c r="J1029" s="13">
        <f t="shared" si="37"/>
        <v>0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5">
        <f t="shared" si="38"/>
        <v>0</v>
      </c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5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5"/>
      <c r="AX1029" s="7">
        <v>10422882</v>
      </c>
    </row>
    <row r="1030" spans="2:50" x14ac:dyDescent="0.2">
      <c r="B1030" s="7" t="s">
        <v>61</v>
      </c>
      <c r="C1030" s="8">
        <v>11745</v>
      </c>
      <c r="D1030" s="9" t="s">
        <v>693</v>
      </c>
      <c r="E1030" s="10" t="s">
        <v>694</v>
      </c>
      <c r="F1030" s="10" t="s">
        <v>695</v>
      </c>
      <c r="G1030" s="8">
        <v>1</v>
      </c>
      <c r="H1030" s="11">
        <v>300</v>
      </c>
      <c r="I1030" s="12">
        <v>42526</v>
      </c>
      <c r="J1030" s="13">
        <f t="shared" si="37"/>
        <v>0</v>
      </c>
      <c r="K1030" s="14"/>
      <c r="L1030" s="14"/>
      <c r="M1030" s="14"/>
      <c r="N1030" s="14"/>
      <c r="O1030" s="14">
        <v>150</v>
      </c>
      <c r="P1030" s="14">
        <v>150</v>
      </c>
      <c r="Q1030" s="14"/>
      <c r="R1030" s="14"/>
      <c r="S1030" s="14"/>
      <c r="T1030" s="14"/>
      <c r="U1030" s="14"/>
      <c r="V1030" s="14"/>
      <c r="W1030" s="15">
        <f t="shared" si="38"/>
        <v>300</v>
      </c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5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5"/>
      <c r="AX1030" s="16"/>
    </row>
    <row r="1031" spans="2:50" x14ac:dyDescent="0.2">
      <c r="B1031" s="7" t="s">
        <v>69</v>
      </c>
      <c r="C1031" s="8">
        <v>11746</v>
      </c>
      <c r="D1031" s="9" t="s">
        <v>678</v>
      </c>
      <c r="E1031" s="10" t="s">
        <v>679</v>
      </c>
      <c r="F1031" s="10" t="s">
        <v>680</v>
      </c>
      <c r="G1031" s="8">
        <v>1</v>
      </c>
      <c r="H1031" s="11">
        <v>400</v>
      </c>
      <c r="I1031" s="12">
        <v>42526</v>
      </c>
      <c r="J1031" s="13">
        <f t="shared" si="37"/>
        <v>0</v>
      </c>
      <c r="K1031" s="14"/>
      <c r="L1031" s="14"/>
      <c r="M1031" s="14"/>
      <c r="N1031" s="14"/>
      <c r="O1031" s="14"/>
      <c r="P1031" s="14">
        <v>400</v>
      </c>
      <c r="Q1031" s="14"/>
      <c r="R1031" s="14"/>
      <c r="S1031" s="14"/>
      <c r="T1031" s="14"/>
      <c r="U1031" s="14"/>
      <c r="V1031" s="14"/>
      <c r="W1031" s="15">
        <f t="shared" si="38"/>
        <v>400</v>
      </c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5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5"/>
      <c r="AX1031" s="16"/>
    </row>
    <row r="1032" spans="2:50" x14ac:dyDescent="0.2">
      <c r="B1032" s="7" t="s">
        <v>37</v>
      </c>
      <c r="C1032" s="8">
        <v>11747</v>
      </c>
      <c r="D1032" s="9" t="s">
        <v>94</v>
      </c>
      <c r="E1032" s="10" t="s">
        <v>95</v>
      </c>
      <c r="F1032" s="10" t="s">
        <v>96</v>
      </c>
      <c r="G1032" s="8">
        <v>1</v>
      </c>
      <c r="H1032" s="11">
        <v>400</v>
      </c>
      <c r="I1032" s="12">
        <v>42526</v>
      </c>
      <c r="J1032" s="13">
        <f t="shared" si="37"/>
        <v>0</v>
      </c>
      <c r="K1032" s="14"/>
      <c r="L1032" s="14"/>
      <c r="M1032" s="14"/>
      <c r="N1032" s="14"/>
      <c r="O1032" s="14"/>
      <c r="P1032" s="14">
        <v>400</v>
      </c>
      <c r="Q1032" s="14"/>
      <c r="R1032" s="14"/>
      <c r="S1032" s="14"/>
      <c r="T1032" s="14"/>
      <c r="U1032" s="14"/>
      <c r="V1032" s="14"/>
      <c r="W1032" s="15">
        <f t="shared" si="38"/>
        <v>400</v>
      </c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5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5"/>
      <c r="AX1032" s="16"/>
    </row>
    <row r="1033" spans="2:50" x14ac:dyDescent="0.2">
      <c r="B1033" s="7" t="s">
        <v>47</v>
      </c>
      <c r="C1033" s="8">
        <v>11748</v>
      </c>
      <c r="D1033" s="9" t="s">
        <v>150</v>
      </c>
      <c r="E1033" s="10" t="s">
        <v>151</v>
      </c>
      <c r="F1033" s="10" t="s">
        <v>152</v>
      </c>
      <c r="G1033" s="8">
        <v>1</v>
      </c>
      <c r="H1033" s="11">
        <v>400</v>
      </c>
      <c r="I1033" s="12">
        <v>42526</v>
      </c>
      <c r="J1033" s="13">
        <f t="shared" si="37"/>
        <v>0</v>
      </c>
      <c r="K1033" s="14"/>
      <c r="L1033" s="14"/>
      <c r="M1033" s="14"/>
      <c r="N1033" s="14"/>
      <c r="O1033" s="14"/>
      <c r="P1033" s="14">
        <v>400</v>
      </c>
      <c r="Q1033" s="14"/>
      <c r="R1033" s="14"/>
      <c r="S1033" s="14"/>
      <c r="T1033" s="14"/>
      <c r="U1033" s="14"/>
      <c r="V1033" s="14"/>
      <c r="W1033" s="15">
        <f t="shared" si="38"/>
        <v>400</v>
      </c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5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5"/>
      <c r="AX1033" s="16"/>
    </row>
    <row r="1034" spans="2:50" x14ac:dyDescent="0.2">
      <c r="B1034" s="7" t="s">
        <v>47</v>
      </c>
      <c r="C1034" s="8">
        <v>11749</v>
      </c>
      <c r="D1034" s="9" t="s">
        <v>404</v>
      </c>
      <c r="E1034" s="10" t="s">
        <v>405</v>
      </c>
      <c r="F1034" s="10" t="s">
        <v>406</v>
      </c>
      <c r="G1034" s="8">
        <v>1</v>
      </c>
      <c r="H1034" s="11">
        <v>400</v>
      </c>
      <c r="I1034" s="12">
        <v>42526</v>
      </c>
      <c r="J1034" s="13">
        <f t="shared" si="37"/>
        <v>0</v>
      </c>
      <c r="K1034" s="14"/>
      <c r="L1034" s="14"/>
      <c r="M1034" s="14"/>
      <c r="N1034" s="14"/>
      <c r="O1034" s="14"/>
      <c r="P1034" s="14">
        <v>400</v>
      </c>
      <c r="Q1034" s="14"/>
      <c r="R1034" s="14"/>
      <c r="S1034" s="14"/>
      <c r="T1034" s="14"/>
      <c r="U1034" s="14"/>
      <c r="V1034" s="14"/>
      <c r="W1034" s="15">
        <f t="shared" si="38"/>
        <v>400</v>
      </c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5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5"/>
      <c r="AX1034" s="16"/>
    </row>
    <row r="1035" spans="2:50" x14ac:dyDescent="0.2">
      <c r="B1035" s="7" t="s">
        <v>77</v>
      </c>
      <c r="C1035" s="8">
        <v>11750</v>
      </c>
      <c r="D1035" s="9" t="s">
        <v>322</v>
      </c>
      <c r="E1035" s="10" t="s">
        <v>323</v>
      </c>
      <c r="F1035" s="10" t="s">
        <v>324</v>
      </c>
      <c r="G1035" s="8">
        <v>1</v>
      </c>
      <c r="H1035" s="11">
        <v>400</v>
      </c>
      <c r="I1035" s="12">
        <v>42526</v>
      </c>
      <c r="J1035" s="13">
        <f t="shared" si="37"/>
        <v>0</v>
      </c>
      <c r="K1035" s="14"/>
      <c r="L1035" s="14"/>
      <c r="M1035" s="14"/>
      <c r="N1035" s="14"/>
      <c r="O1035" s="14">
        <v>400</v>
      </c>
      <c r="P1035" s="14"/>
      <c r="Q1035" s="14"/>
      <c r="R1035" s="14"/>
      <c r="S1035" s="14"/>
      <c r="T1035" s="14"/>
      <c r="U1035" s="14"/>
      <c r="V1035" s="14"/>
      <c r="W1035" s="15">
        <f t="shared" si="38"/>
        <v>400</v>
      </c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5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5"/>
      <c r="AX1035" s="16"/>
    </row>
    <row r="1036" spans="2:50" x14ac:dyDescent="0.2">
      <c r="B1036" s="7" t="s">
        <v>122</v>
      </c>
      <c r="C1036" s="8">
        <v>11751</v>
      </c>
      <c r="D1036" s="9" t="s">
        <v>797</v>
      </c>
      <c r="E1036" s="10" t="s">
        <v>798</v>
      </c>
      <c r="F1036" s="10" t="s">
        <v>799</v>
      </c>
      <c r="G1036" s="8">
        <v>1</v>
      </c>
      <c r="H1036" s="11">
        <v>800</v>
      </c>
      <c r="I1036" s="12">
        <v>42526</v>
      </c>
      <c r="J1036" s="13">
        <f t="shared" si="37"/>
        <v>0</v>
      </c>
      <c r="K1036" s="14"/>
      <c r="L1036" s="14"/>
      <c r="M1036" s="14"/>
      <c r="N1036" s="14"/>
      <c r="O1036" s="14">
        <v>400</v>
      </c>
      <c r="P1036" s="14">
        <v>400</v>
      </c>
      <c r="Q1036" s="14"/>
      <c r="R1036" s="14"/>
      <c r="S1036" s="14"/>
      <c r="T1036" s="14"/>
      <c r="U1036" s="14"/>
      <c r="V1036" s="14"/>
      <c r="W1036" s="15">
        <f t="shared" si="38"/>
        <v>800</v>
      </c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5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5"/>
      <c r="AX1036" s="16"/>
    </row>
    <row r="1037" spans="2:50" x14ac:dyDescent="0.2">
      <c r="B1037" s="7" t="s">
        <v>47</v>
      </c>
      <c r="C1037" s="8">
        <v>11752</v>
      </c>
      <c r="D1037" s="9" t="s">
        <v>238</v>
      </c>
      <c r="E1037" s="10" t="s">
        <v>239</v>
      </c>
      <c r="F1037" s="10" t="s">
        <v>240</v>
      </c>
      <c r="G1037" s="8">
        <v>1</v>
      </c>
      <c r="H1037" s="11">
        <v>125</v>
      </c>
      <c r="I1037" s="12">
        <v>42526</v>
      </c>
      <c r="J1037" s="13">
        <f t="shared" si="37"/>
        <v>0</v>
      </c>
      <c r="K1037" s="14"/>
      <c r="L1037" s="14"/>
      <c r="M1037" s="14"/>
      <c r="N1037" s="14"/>
      <c r="O1037" s="14"/>
      <c r="P1037" s="14">
        <v>125</v>
      </c>
      <c r="Q1037" s="14"/>
      <c r="R1037" s="14"/>
      <c r="S1037" s="14"/>
      <c r="T1037" s="14"/>
      <c r="U1037" s="14"/>
      <c r="V1037" s="14"/>
      <c r="W1037" s="15">
        <f t="shared" si="38"/>
        <v>125</v>
      </c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5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5"/>
      <c r="AX1037" s="16"/>
    </row>
    <row r="1038" spans="2:50" x14ac:dyDescent="0.2">
      <c r="B1038" s="7" t="s">
        <v>69</v>
      </c>
      <c r="C1038" s="8">
        <v>11753</v>
      </c>
      <c r="D1038" s="9" t="s">
        <v>100</v>
      </c>
      <c r="E1038" s="10" t="s">
        <v>101</v>
      </c>
      <c r="F1038" s="10" t="s">
        <v>102</v>
      </c>
      <c r="G1038" s="8">
        <v>1</v>
      </c>
      <c r="H1038" s="11">
        <v>400</v>
      </c>
      <c r="I1038" s="12">
        <v>42526</v>
      </c>
      <c r="J1038" s="13">
        <f t="shared" si="37"/>
        <v>0</v>
      </c>
      <c r="K1038" s="14"/>
      <c r="L1038" s="14"/>
      <c r="M1038" s="14"/>
      <c r="N1038" s="14"/>
      <c r="O1038" s="14"/>
      <c r="P1038" s="14">
        <v>400</v>
      </c>
      <c r="Q1038" s="14"/>
      <c r="R1038" s="14"/>
      <c r="S1038" s="14"/>
      <c r="T1038" s="14"/>
      <c r="U1038" s="14"/>
      <c r="V1038" s="14"/>
      <c r="W1038" s="15">
        <f t="shared" si="38"/>
        <v>400</v>
      </c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5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5"/>
      <c r="AX1038" s="16"/>
    </row>
    <row r="1039" spans="2:50" x14ac:dyDescent="0.2">
      <c r="B1039" s="7" t="s">
        <v>47</v>
      </c>
      <c r="C1039" s="8">
        <v>11754</v>
      </c>
      <c r="D1039" s="9" t="s">
        <v>280</v>
      </c>
      <c r="E1039" s="10" t="s">
        <v>281</v>
      </c>
      <c r="F1039" s="10" t="s">
        <v>282</v>
      </c>
      <c r="G1039" s="8">
        <v>1</v>
      </c>
      <c r="H1039" s="11">
        <v>400</v>
      </c>
      <c r="I1039" s="12">
        <v>42526</v>
      </c>
      <c r="J1039" s="13">
        <f t="shared" si="37"/>
        <v>0</v>
      </c>
      <c r="K1039" s="14"/>
      <c r="L1039" s="14"/>
      <c r="M1039" s="14"/>
      <c r="N1039" s="14"/>
      <c r="O1039" s="14"/>
      <c r="P1039" s="14">
        <v>400</v>
      </c>
      <c r="Q1039" s="14"/>
      <c r="R1039" s="14"/>
      <c r="S1039" s="14"/>
      <c r="T1039" s="14"/>
      <c r="U1039" s="14"/>
      <c r="V1039" s="14"/>
      <c r="W1039" s="15">
        <f t="shared" si="38"/>
        <v>400</v>
      </c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5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5"/>
      <c r="AX1039" s="16"/>
    </row>
    <row r="1040" spans="2:50" x14ac:dyDescent="0.2">
      <c r="B1040" s="7" t="s">
        <v>47</v>
      </c>
      <c r="C1040" s="8">
        <v>11755</v>
      </c>
      <c r="D1040" s="9" t="s">
        <v>620</v>
      </c>
      <c r="E1040" s="10" t="s">
        <v>621</v>
      </c>
      <c r="F1040" s="10" t="s">
        <v>366</v>
      </c>
      <c r="G1040" s="8">
        <v>1</v>
      </c>
      <c r="H1040" s="11">
        <v>400</v>
      </c>
      <c r="I1040" s="12">
        <v>42526</v>
      </c>
      <c r="J1040" s="13">
        <f t="shared" si="37"/>
        <v>0</v>
      </c>
      <c r="K1040" s="14"/>
      <c r="L1040" s="14"/>
      <c r="M1040" s="14"/>
      <c r="N1040" s="14"/>
      <c r="O1040" s="14">
        <v>400</v>
      </c>
      <c r="P1040" s="14"/>
      <c r="Q1040" s="14"/>
      <c r="R1040" s="14"/>
      <c r="S1040" s="14"/>
      <c r="T1040" s="14"/>
      <c r="U1040" s="14"/>
      <c r="V1040" s="14"/>
      <c r="W1040" s="15">
        <f t="shared" si="38"/>
        <v>400</v>
      </c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5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5"/>
      <c r="AX1040" s="16"/>
    </row>
    <row r="1041" spans="2:50" x14ac:dyDescent="0.2">
      <c r="B1041" s="7" t="s">
        <v>69</v>
      </c>
      <c r="C1041" s="8">
        <v>11756</v>
      </c>
      <c r="D1041" s="9" t="s">
        <v>186</v>
      </c>
      <c r="E1041" s="10" t="s">
        <v>187</v>
      </c>
      <c r="F1041" s="10" t="s">
        <v>188</v>
      </c>
      <c r="G1041" s="8">
        <v>1</v>
      </c>
      <c r="H1041" s="11">
        <v>400</v>
      </c>
      <c r="I1041" s="12">
        <v>42526</v>
      </c>
      <c r="J1041" s="13">
        <f t="shared" si="37"/>
        <v>0</v>
      </c>
      <c r="K1041" s="14"/>
      <c r="L1041" s="14"/>
      <c r="M1041" s="14"/>
      <c r="N1041" s="14"/>
      <c r="O1041" s="14"/>
      <c r="P1041" s="14">
        <v>400</v>
      </c>
      <c r="Q1041" s="14"/>
      <c r="R1041" s="14"/>
      <c r="S1041" s="14"/>
      <c r="T1041" s="14"/>
      <c r="U1041" s="14"/>
      <c r="V1041" s="14"/>
      <c r="W1041" s="15">
        <f t="shared" si="38"/>
        <v>400</v>
      </c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5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5"/>
      <c r="AX1041" s="16"/>
    </row>
    <row r="1042" spans="2:50" x14ac:dyDescent="0.2">
      <c r="B1042" s="7" t="s">
        <v>37</v>
      </c>
      <c r="C1042" s="8">
        <v>11757</v>
      </c>
      <c r="D1042" s="9" t="s">
        <v>271</v>
      </c>
      <c r="E1042" s="10" t="s">
        <v>272</v>
      </c>
      <c r="F1042" s="10" t="s">
        <v>273</v>
      </c>
      <c r="G1042" s="8">
        <v>1</v>
      </c>
      <c r="H1042" s="11">
        <v>400</v>
      </c>
      <c r="I1042" s="12">
        <v>42526</v>
      </c>
      <c r="J1042" s="13">
        <f t="shared" si="37"/>
        <v>0</v>
      </c>
      <c r="K1042" s="14"/>
      <c r="L1042" s="14"/>
      <c r="M1042" s="14"/>
      <c r="N1042" s="14"/>
      <c r="O1042" s="14"/>
      <c r="P1042" s="14">
        <v>400</v>
      </c>
      <c r="Q1042" s="14"/>
      <c r="R1042" s="14"/>
      <c r="S1042" s="14"/>
      <c r="T1042" s="14"/>
      <c r="U1042" s="14"/>
      <c r="V1042" s="14"/>
      <c r="W1042" s="15">
        <f t="shared" si="38"/>
        <v>400</v>
      </c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5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5"/>
      <c r="AX1042" s="16"/>
    </row>
    <row r="1043" spans="2:50" x14ac:dyDescent="0.2">
      <c r="B1043" s="7" t="s">
        <v>47</v>
      </c>
      <c r="C1043" s="8">
        <v>11758</v>
      </c>
      <c r="D1043" s="9" t="s">
        <v>849</v>
      </c>
      <c r="E1043" s="10" t="s">
        <v>850</v>
      </c>
      <c r="F1043" s="10" t="s">
        <v>851</v>
      </c>
      <c r="G1043" s="8">
        <v>1</v>
      </c>
      <c r="H1043" s="11">
        <v>1200</v>
      </c>
      <c r="I1043" s="12">
        <v>42526</v>
      </c>
      <c r="J1043" s="13">
        <f t="shared" si="37"/>
        <v>0</v>
      </c>
      <c r="K1043" s="14"/>
      <c r="L1043" s="14"/>
      <c r="M1043" s="14"/>
      <c r="N1043" s="14">
        <v>400</v>
      </c>
      <c r="O1043" s="14">
        <v>400</v>
      </c>
      <c r="P1043" s="14">
        <v>400</v>
      </c>
      <c r="Q1043" s="14"/>
      <c r="R1043" s="14"/>
      <c r="S1043" s="14"/>
      <c r="T1043" s="14"/>
      <c r="U1043" s="14"/>
      <c r="V1043" s="14"/>
      <c r="W1043" s="15">
        <f t="shared" si="38"/>
        <v>1200</v>
      </c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5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5"/>
      <c r="AX1043" s="16"/>
    </row>
    <row r="1044" spans="2:50" x14ac:dyDescent="0.2">
      <c r="B1044" s="7" t="s">
        <v>69</v>
      </c>
      <c r="C1044" s="8">
        <v>11759</v>
      </c>
      <c r="D1044" s="9" t="s">
        <v>301</v>
      </c>
      <c r="E1044" s="10" t="s">
        <v>302</v>
      </c>
      <c r="F1044" s="10" t="s">
        <v>303</v>
      </c>
      <c r="G1044" s="8">
        <v>1</v>
      </c>
      <c r="H1044" s="11">
        <v>200</v>
      </c>
      <c r="I1044" s="12">
        <v>42526</v>
      </c>
      <c r="J1044" s="13">
        <f t="shared" si="37"/>
        <v>0</v>
      </c>
      <c r="K1044" s="14"/>
      <c r="L1044" s="14"/>
      <c r="M1044" s="14"/>
      <c r="N1044" s="14"/>
      <c r="O1044" s="14"/>
      <c r="P1044" s="14">
        <v>200</v>
      </c>
      <c r="Q1044" s="14"/>
      <c r="R1044" s="14"/>
      <c r="S1044" s="14"/>
      <c r="T1044" s="14"/>
      <c r="U1044" s="14"/>
      <c r="V1044" s="14"/>
      <c r="W1044" s="15">
        <f t="shared" si="38"/>
        <v>200</v>
      </c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5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5"/>
      <c r="AX1044" s="16"/>
    </row>
    <row r="1045" spans="2:50" x14ac:dyDescent="0.2">
      <c r="B1045" s="7" t="s">
        <v>77</v>
      </c>
      <c r="C1045" s="8">
        <v>11760</v>
      </c>
      <c r="D1045" s="9" t="s">
        <v>156</v>
      </c>
      <c r="E1045" s="10" t="s">
        <v>157</v>
      </c>
      <c r="F1045" s="10" t="s">
        <v>158</v>
      </c>
      <c r="G1045" s="8">
        <v>1</v>
      </c>
      <c r="H1045" s="11">
        <v>300</v>
      </c>
      <c r="I1045" s="12">
        <v>42526</v>
      </c>
      <c r="J1045" s="13">
        <f t="shared" si="37"/>
        <v>0</v>
      </c>
      <c r="K1045" s="14"/>
      <c r="L1045" s="14"/>
      <c r="M1045" s="14"/>
      <c r="N1045" s="14"/>
      <c r="O1045" s="14"/>
      <c r="P1045" s="14">
        <v>300</v>
      </c>
      <c r="Q1045" s="14"/>
      <c r="R1045" s="14"/>
      <c r="S1045" s="14"/>
      <c r="T1045" s="14"/>
      <c r="U1045" s="14"/>
      <c r="V1045" s="14"/>
      <c r="W1045" s="15">
        <f t="shared" si="38"/>
        <v>300</v>
      </c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5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5"/>
      <c r="AX1045" s="16"/>
    </row>
    <row r="1046" spans="2:50" x14ac:dyDescent="0.2">
      <c r="B1046" s="7" t="s">
        <v>61</v>
      </c>
      <c r="C1046" s="8">
        <v>11761</v>
      </c>
      <c r="D1046" s="9" t="s">
        <v>62</v>
      </c>
      <c r="E1046" s="10" t="s">
        <v>63</v>
      </c>
      <c r="F1046" s="10" t="s">
        <v>64</v>
      </c>
      <c r="G1046" s="8">
        <v>1</v>
      </c>
      <c r="H1046" s="11">
        <v>400</v>
      </c>
      <c r="I1046" s="12">
        <v>42526</v>
      </c>
      <c r="J1046" s="13">
        <f t="shared" si="37"/>
        <v>0</v>
      </c>
      <c r="K1046" s="14"/>
      <c r="L1046" s="14"/>
      <c r="M1046" s="14"/>
      <c r="N1046" s="14"/>
      <c r="O1046" s="14"/>
      <c r="P1046" s="14"/>
      <c r="Q1046" s="14">
        <v>200</v>
      </c>
      <c r="R1046" s="14">
        <v>200</v>
      </c>
      <c r="S1046" s="14"/>
      <c r="T1046" s="14"/>
      <c r="U1046" s="14"/>
      <c r="V1046" s="14"/>
      <c r="W1046" s="15">
        <f t="shared" si="38"/>
        <v>400</v>
      </c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5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5"/>
      <c r="AX1046" s="16"/>
    </row>
    <row r="1047" spans="2:50" x14ac:dyDescent="0.2">
      <c r="B1047" s="7" t="s">
        <v>47</v>
      </c>
      <c r="C1047" s="8">
        <v>11762</v>
      </c>
      <c r="D1047" s="9" t="s">
        <v>84</v>
      </c>
      <c r="E1047" s="10" t="s">
        <v>85</v>
      </c>
      <c r="F1047" s="10" t="s">
        <v>86</v>
      </c>
      <c r="G1047" s="8">
        <v>1</v>
      </c>
      <c r="H1047" s="11">
        <v>200</v>
      </c>
      <c r="I1047" s="12">
        <v>42526</v>
      </c>
      <c r="J1047" s="13">
        <f t="shared" si="37"/>
        <v>0</v>
      </c>
      <c r="K1047" s="14"/>
      <c r="L1047" s="14"/>
      <c r="M1047" s="14"/>
      <c r="N1047" s="14"/>
      <c r="O1047" s="14"/>
      <c r="P1047" s="14">
        <v>200</v>
      </c>
      <c r="Q1047" s="14"/>
      <c r="R1047" s="14"/>
      <c r="S1047" s="14"/>
      <c r="T1047" s="14"/>
      <c r="U1047" s="14"/>
      <c r="V1047" s="14"/>
      <c r="W1047" s="15">
        <f t="shared" si="38"/>
        <v>200</v>
      </c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5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5"/>
      <c r="AX1047" s="16"/>
    </row>
    <row r="1048" spans="2:50" x14ac:dyDescent="0.2">
      <c r="B1048" s="7" t="s">
        <v>47</v>
      </c>
      <c r="C1048" s="8">
        <v>11763</v>
      </c>
      <c r="D1048" s="9" t="s">
        <v>235</v>
      </c>
      <c r="E1048" s="10" t="s">
        <v>236</v>
      </c>
      <c r="F1048" s="10" t="s">
        <v>237</v>
      </c>
      <c r="G1048" s="8">
        <v>1</v>
      </c>
      <c r="H1048" s="11">
        <v>400</v>
      </c>
      <c r="I1048" s="12">
        <v>42526</v>
      </c>
      <c r="J1048" s="13">
        <f t="shared" si="37"/>
        <v>0</v>
      </c>
      <c r="K1048" s="14"/>
      <c r="L1048" s="14"/>
      <c r="M1048" s="14"/>
      <c r="N1048" s="14"/>
      <c r="O1048" s="14"/>
      <c r="P1048" s="14">
        <v>400</v>
      </c>
      <c r="Q1048" s="14"/>
      <c r="R1048" s="14"/>
      <c r="S1048" s="14"/>
      <c r="T1048" s="14"/>
      <c r="U1048" s="14"/>
      <c r="V1048" s="14"/>
      <c r="W1048" s="15">
        <f t="shared" si="38"/>
        <v>400</v>
      </c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5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5"/>
      <c r="AX1048" s="16"/>
    </row>
    <row r="1049" spans="2:50" x14ac:dyDescent="0.2">
      <c r="B1049" s="7" t="s">
        <v>69</v>
      </c>
      <c r="C1049" s="8">
        <v>11764</v>
      </c>
      <c r="D1049" s="9" t="s">
        <v>165</v>
      </c>
      <c r="E1049" s="10" t="s">
        <v>166</v>
      </c>
      <c r="F1049" s="10" t="s">
        <v>167</v>
      </c>
      <c r="G1049" s="8">
        <v>1</v>
      </c>
      <c r="H1049" s="11">
        <v>350</v>
      </c>
      <c r="I1049" s="12">
        <v>42526</v>
      </c>
      <c r="J1049" s="13">
        <f t="shared" si="37"/>
        <v>0</v>
      </c>
      <c r="K1049" s="14"/>
      <c r="L1049" s="14"/>
      <c r="M1049" s="14"/>
      <c r="N1049" s="14"/>
      <c r="O1049" s="14"/>
      <c r="P1049" s="14">
        <v>350</v>
      </c>
      <c r="Q1049" s="14"/>
      <c r="R1049" s="14"/>
      <c r="S1049" s="14"/>
      <c r="T1049" s="14"/>
      <c r="U1049" s="14"/>
      <c r="V1049" s="14"/>
      <c r="W1049" s="15">
        <f t="shared" si="38"/>
        <v>350</v>
      </c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5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5"/>
      <c r="AX1049" s="16"/>
    </row>
    <row r="1050" spans="2:50" x14ac:dyDescent="0.2">
      <c r="B1050" s="7" t="s">
        <v>47</v>
      </c>
      <c r="C1050" s="8">
        <v>11765</v>
      </c>
      <c r="D1050" s="9" t="s">
        <v>434</v>
      </c>
      <c r="E1050" s="10" t="s">
        <v>435</v>
      </c>
      <c r="F1050" s="10" t="s">
        <v>436</v>
      </c>
      <c r="G1050" s="8">
        <v>1</v>
      </c>
      <c r="H1050" s="11">
        <v>400</v>
      </c>
      <c r="I1050" s="12">
        <v>42526</v>
      </c>
      <c r="J1050" s="13">
        <f t="shared" si="37"/>
        <v>0</v>
      </c>
      <c r="K1050" s="14"/>
      <c r="L1050" s="14"/>
      <c r="M1050" s="14"/>
      <c r="N1050" s="14"/>
      <c r="O1050" s="14"/>
      <c r="P1050" s="14">
        <v>400</v>
      </c>
      <c r="Q1050" s="14"/>
      <c r="R1050" s="14"/>
      <c r="S1050" s="14"/>
      <c r="T1050" s="14"/>
      <c r="U1050" s="14"/>
      <c r="V1050" s="14"/>
      <c r="W1050" s="15">
        <f t="shared" si="38"/>
        <v>400</v>
      </c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5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5"/>
      <c r="AX1050" s="16"/>
    </row>
    <row r="1051" spans="2:50" x14ac:dyDescent="0.2">
      <c r="B1051" s="7" t="s">
        <v>69</v>
      </c>
      <c r="C1051" s="8">
        <v>11766</v>
      </c>
      <c r="D1051" s="9" t="s">
        <v>325</v>
      </c>
      <c r="E1051" s="10" t="s">
        <v>326</v>
      </c>
      <c r="F1051" s="10" t="s">
        <v>327</v>
      </c>
      <c r="G1051" s="8">
        <v>1</v>
      </c>
      <c r="H1051" s="11">
        <v>400</v>
      </c>
      <c r="I1051" s="12">
        <v>42526</v>
      </c>
      <c r="J1051" s="13">
        <f t="shared" si="37"/>
        <v>0</v>
      </c>
      <c r="K1051" s="14"/>
      <c r="L1051" s="14"/>
      <c r="M1051" s="14"/>
      <c r="N1051" s="14"/>
      <c r="O1051" s="14"/>
      <c r="P1051" s="14">
        <v>400</v>
      </c>
      <c r="Q1051" s="14"/>
      <c r="R1051" s="14"/>
      <c r="S1051" s="14"/>
      <c r="T1051" s="14"/>
      <c r="U1051" s="14"/>
      <c r="V1051" s="14"/>
      <c r="W1051" s="15">
        <f t="shared" si="38"/>
        <v>400</v>
      </c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5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5"/>
      <c r="AX1051" s="16"/>
    </row>
    <row r="1052" spans="2:50" x14ac:dyDescent="0.2">
      <c r="B1052" s="7" t="s">
        <v>73</v>
      </c>
      <c r="C1052" s="8">
        <v>11767</v>
      </c>
      <c r="D1052" s="9" t="s">
        <v>112</v>
      </c>
      <c r="E1052" s="10" t="s">
        <v>113</v>
      </c>
      <c r="F1052" s="10" t="s">
        <v>114</v>
      </c>
      <c r="G1052" s="8">
        <v>1</v>
      </c>
      <c r="H1052" s="11">
        <v>250</v>
      </c>
      <c r="I1052" s="12">
        <v>42526</v>
      </c>
      <c r="J1052" s="13">
        <f t="shared" si="37"/>
        <v>0</v>
      </c>
      <c r="K1052" s="14"/>
      <c r="L1052" s="14"/>
      <c r="M1052" s="14"/>
      <c r="N1052" s="14"/>
      <c r="O1052" s="14">
        <v>250</v>
      </c>
      <c r="P1052" s="14"/>
      <c r="Q1052" s="14"/>
      <c r="R1052" s="14"/>
      <c r="S1052" s="14"/>
      <c r="T1052" s="14"/>
      <c r="U1052" s="14"/>
      <c r="V1052" s="14"/>
      <c r="W1052" s="15">
        <f t="shared" si="38"/>
        <v>250</v>
      </c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5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5"/>
      <c r="AX1052" s="16"/>
    </row>
    <row r="1053" spans="2:50" x14ac:dyDescent="0.2">
      <c r="B1053" s="7" t="s">
        <v>73</v>
      </c>
      <c r="C1053" s="8">
        <v>11768</v>
      </c>
      <c r="D1053" s="9" t="s">
        <v>398</v>
      </c>
      <c r="E1053" s="10" t="s">
        <v>399</v>
      </c>
      <c r="F1053" s="10" t="s">
        <v>400</v>
      </c>
      <c r="G1053" s="8">
        <v>1</v>
      </c>
      <c r="H1053" s="11">
        <v>400</v>
      </c>
      <c r="I1053" s="12">
        <v>42526</v>
      </c>
      <c r="J1053" s="13">
        <f t="shared" si="37"/>
        <v>0</v>
      </c>
      <c r="K1053" s="14"/>
      <c r="L1053" s="14"/>
      <c r="M1053" s="14"/>
      <c r="N1053" s="14"/>
      <c r="O1053" s="14"/>
      <c r="P1053" s="14">
        <v>400</v>
      </c>
      <c r="Q1053" s="14"/>
      <c r="R1053" s="14"/>
      <c r="S1053" s="14"/>
      <c r="T1053" s="14"/>
      <c r="U1053" s="14"/>
      <c r="V1053" s="14"/>
      <c r="W1053" s="15">
        <f t="shared" si="38"/>
        <v>400</v>
      </c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5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5"/>
      <c r="AX1053" s="16"/>
    </row>
    <row r="1054" spans="2:50" x14ac:dyDescent="0.2">
      <c r="B1054" s="7" t="s">
        <v>77</v>
      </c>
      <c r="C1054" s="8">
        <v>11769</v>
      </c>
      <c r="D1054" s="9" t="s">
        <v>617</v>
      </c>
      <c r="E1054" s="10" t="s">
        <v>618</v>
      </c>
      <c r="F1054" s="10" t="s">
        <v>619</v>
      </c>
      <c r="G1054" s="8">
        <v>1</v>
      </c>
      <c r="H1054" s="11">
        <v>400</v>
      </c>
      <c r="I1054" s="12">
        <v>42526</v>
      </c>
      <c r="J1054" s="13">
        <f t="shared" si="37"/>
        <v>0</v>
      </c>
      <c r="K1054" s="14"/>
      <c r="L1054" s="14"/>
      <c r="M1054" s="14"/>
      <c r="N1054" s="14"/>
      <c r="O1054" s="14"/>
      <c r="P1054" s="14">
        <v>400</v>
      </c>
      <c r="Q1054" s="14"/>
      <c r="R1054" s="14"/>
      <c r="S1054" s="14"/>
      <c r="T1054" s="14"/>
      <c r="U1054" s="14"/>
      <c r="V1054" s="14"/>
      <c r="W1054" s="15">
        <f t="shared" si="38"/>
        <v>400</v>
      </c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5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5"/>
      <c r="AX1054" s="16"/>
    </row>
    <row r="1055" spans="2:50" x14ac:dyDescent="0.2">
      <c r="B1055" s="7" t="s">
        <v>37</v>
      </c>
      <c r="C1055" s="8">
        <v>11770</v>
      </c>
      <c r="D1055" s="9" t="s">
        <v>268</v>
      </c>
      <c r="E1055" s="10" t="s">
        <v>269</v>
      </c>
      <c r="F1055" s="10" t="s">
        <v>270</v>
      </c>
      <c r="G1055" s="8">
        <v>1</v>
      </c>
      <c r="H1055" s="11">
        <v>300</v>
      </c>
      <c r="I1055" s="12">
        <v>42526</v>
      </c>
      <c r="J1055" s="13">
        <f t="shared" si="37"/>
        <v>0</v>
      </c>
      <c r="K1055" s="14"/>
      <c r="L1055" s="14"/>
      <c r="M1055" s="14"/>
      <c r="N1055" s="14"/>
      <c r="O1055" s="14"/>
      <c r="P1055" s="14">
        <v>300</v>
      </c>
      <c r="Q1055" s="14"/>
      <c r="R1055" s="14"/>
      <c r="S1055" s="14"/>
      <c r="T1055" s="14"/>
      <c r="U1055" s="14"/>
      <c r="V1055" s="14"/>
      <c r="W1055" s="15">
        <f t="shared" si="38"/>
        <v>300</v>
      </c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5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5"/>
      <c r="AX1055" s="16"/>
    </row>
    <row r="1056" spans="2:50" x14ac:dyDescent="0.2">
      <c r="B1056" s="7" t="s">
        <v>391</v>
      </c>
      <c r="C1056" s="8">
        <v>11771</v>
      </c>
      <c r="D1056" s="9" t="s">
        <v>640</v>
      </c>
      <c r="E1056" s="10" t="s">
        <v>641</v>
      </c>
      <c r="F1056" s="10" t="s">
        <v>642</v>
      </c>
      <c r="G1056" s="8">
        <v>1</v>
      </c>
      <c r="H1056" s="11">
        <v>200</v>
      </c>
      <c r="I1056" s="12">
        <v>42526</v>
      </c>
      <c r="J1056" s="13">
        <f t="shared" si="37"/>
        <v>0</v>
      </c>
      <c r="K1056" s="14"/>
      <c r="L1056" s="14"/>
      <c r="M1056" s="14"/>
      <c r="N1056" s="14"/>
      <c r="O1056" s="14">
        <v>200</v>
      </c>
      <c r="P1056" s="14"/>
      <c r="Q1056" s="14"/>
      <c r="R1056" s="14"/>
      <c r="S1056" s="14"/>
      <c r="T1056" s="14"/>
      <c r="U1056" s="14"/>
      <c r="V1056" s="14"/>
      <c r="W1056" s="15">
        <f t="shared" si="38"/>
        <v>200</v>
      </c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5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5"/>
      <c r="AX1056" s="16"/>
    </row>
    <row r="1057" spans="2:50" x14ac:dyDescent="0.2">
      <c r="B1057" s="7" t="s">
        <v>77</v>
      </c>
      <c r="C1057" s="8">
        <v>11772</v>
      </c>
      <c r="D1057" s="9" t="s">
        <v>479</v>
      </c>
      <c r="E1057" s="10" t="s">
        <v>480</v>
      </c>
      <c r="F1057" s="10" t="s">
        <v>481</v>
      </c>
      <c r="G1057" s="8">
        <v>1</v>
      </c>
      <c r="H1057" s="11">
        <v>300</v>
      </c>
      <c r="I1057" s="12">
        <v>42526</v>
      </c>
      <c r="J1057" s="13">
        <f t="shared" si="37"/>
        <v>0</v>
      </c>
      <c r="K1057" s="14"/>
      <c r="L1057" s="14"/>
      <c r="M1057" s="14"/>
      <c r="N1057" s="14"/>
      <c r="O1057" s="14"/>
      <c r="P1057" s="14">
        <v>300</v>
      </c>
      <c r="Q1057" s="14"/>
      <c r="R1057" s="14"/>
      <c r="S1057" s="14"/>
      <c r="T1057" s="14"/>
      <c r="U1057" s="14"/>
      <c r="V1057" s="14"/>
      <c r="W1057" s="15">
        <f t="shared" si="38"/>
        <v>300</v>
      </c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5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5"/>
      <c r="AX1057" s="16"/>
    </row>
    <row r="1058" spans="2:50" x14ac:dyDescent="0.2">
      <c r="B1058" s="7" t="s">
        <v>73</v>
      </c>
      <c r="C1058" s="8">
        <v>11773</v>
      </c>
      <c r="D1058" s="9" t="s">
        <v>980</v>
      </c>
      <c r="E1058" s="10" t="s">
        <v>981</v>
      </c>
      <c r="F1058" s="10" t="s">
        <v>982</v>
      </c>
      <c r="G1058" s="8">
        <v>1</v>
      </c>
      <c r="H1058" s="11">
        <v>400</v>
      </c>
      <c r="I1058" s="12">
        <v>42526</v>
      </c>
      <c r="J1058" s="13">
        <f t="shared" si="37"/>
        <v>0</v>
      </c>
      <c r="K1058" s="14"/>
      <c r="L1058" s="14"/>
      <c r="M1058" s="14"/>
      <c r="N1058" s="14"/>
      <c r="O1058" s="14"/>
      <c r="P1058" s="14">
        <v>400</v>
      </c>
      <c r="Q1058" s="14"/>
      <c r="R1058" s="14"/>
      <c r="S1058" s="14"/>
      <c r="T1058" s="14"/>
      <c r="U1058" s="14"/>
      <c r="V1058" s="14"/>
      <c r="W1058" s="15">
        <f t="shared" si="38"/>
        <v>400</v>
      </c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5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5"/>
      <c r="AX1058" s="16"/>
    </row>
    <row r="1059" spans="2:50" x14ac:dyDescent="0.2">
      <c r="B1059" s="7" t="s">
        <v>37</v>
      </c>
      <c r="C1059" s="8">
        <v>11774</v>
      </c>
      <c r="D1059" s="9" t="s">
        <v>180</v>
      </c>
      <c r="E1059" s="10" t="s">
        <v>181</v>
      </c>
      <c r="F1059" s="10" t="s">
        <v>182</v>
      </c>
      <c r="G1059" s="8">
        <v>1</v>
      </c>
      <c r="H1059" s="11">
        <v>400</v>
      </c>
      <c r="I1059" s="12">
        <v>42526</v>
      </c>
      <c r="J1059" s="13">
        <f t="shared" si="37"/>
        <v>0</v>
      </c>
      <c r="K1059" s="14"/>
      <c r="L1059" s="14"/>
      <c r="M1059" s="14"/>
      <c r="N1059" s="14"/>
      <c r="O1059" s="14"/>
      <c r="P1059" s="14">
        <v>400</v>
      </c>
      <c r="Q1059" s="14"/>
      <c r="R1059" s="14"/>
      <c r="S1059" s="14"/>
      <c r="T1059" s="14"/>
      <c r="U1059" s="14"/>
      <c r="V1059" s="14"/>
      <c r="W1059" s="15">
        <f t="shared" si="38"/>
        <v>400</v>
      </c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5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5"/>
      <c r="AX1059" s="16"/>
    </row>
    <row r="1060" spans="2:50" x14ac:dyDescent="0.2">
      <c r="B1060" s="7" t="s">
        <v>69</v>
      </c>
      <c r="C1060" s="8">
        <v>11775</v>
      </c>
      <c r="D1060" s="9" t="s">
        <v>174</v>
      </c>
      <c r="E1060" s="10" t="s">
        <v>175</v>
      </c>
      <c r="F1060" s="10" t="s">
        <v>176</v>
      </c>
      <c r="G1060" s="8">
        <v>1</v>
      </c>
      <c r="H1060" s="11">
        <v>300</v>
      </c>
      <c r="I1060" s="12">
        <v>42526</v>
      </c>
      <c r="J1060" s="13">
        <f t="shared" si="37"/>
        <v>0</v>
      </c>
      <c r="K1060" s="14"/>
      <c r="L1060" s="14"/>
      <c r="M1060" s="14"/>
      <c r="N1060" s="14"/>
      <c r="O1060" s="14"/>
      <c r="P1060" s="14">
        <v>300</v>
      </c>
      <c r="Q1060" s="14"/>
      <c r="R1060" s="14"/>
      <c r="S1060" s="14"/>
      <c r="T1060" s="14"/>
      <c r="U1060" s="14"/>
      <c r="V1060" s="14"/>
      <c r="W1060" s="15">
        <f t="shared" si="38"/>
        <v>300</v>
      </c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5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5"/>
      <c r="AX1060" s="16"/>
    </row>
    <row r="1061" spans="2:50" x14ac:dyDescent="0.2">
      <c r="B1061" s="7" t="s">
        <v>37</v>
      </c>
      <c r="C1061" s="8">
        <v>11776</v>
      </c>
      <c r="D1061" s="9" t="s">
        <v>177</v>
      </c>
      <c r="E1061" s="10" t="s">
        <v>178</v>
      </c>
      <c r="F1061" s="10" t="s">
        <v>179</v>
      </c>
      <c r="G1061" s="8">
        <v>1</v>
      </c>
      <c r="H1061" s="11">
        <v>400</v>
      </c>
      <c r="I1061" s="12">
        <v>42526</v>
      </c>
      <c r="J1061" s="13">
        <f t="shared" si="37"/>
        <v>0</v>
      </c>
      <c r="K1061" s="14"/>
      <c r="L1061" s="14"/>
      <c r="M1061" s="14"/>
      <c r="N1061" s="14"/>
      <c r="O1061" s="14"/>
      <c r="P1061" s="14">
        <v>400</v>
      </c>
      <c r="Q1061" s="14"/>
      <c r="R1061" s="14"/>
      <c r="S1061" s="14"/>
      <c r="T1061" s="14"/>
      <c r="U1061" s="14"/>
      <c r="V1061" s="14"/>
      <c r="W1061" s="15">
        <f t="shared" si="38"/>
        <v>400</v>
      </c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5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5"/>
      <c r="AX1061" s="16"/>
    </row>
    <row r="1062" spans="2:50" x14ac:dyDescent="0.2">
      <c r="B1062" s="7" t="s">
        <v>73</v>
      </c>
      <c r="C1062" s="8">
        <v>11777</v>
      </c>
      <c r="D1062" s="9" t="s">
        <v>544</v>
      </c>
      <c r="E1062" s="10" t="s">
        <v>545</v>
      </c>
      <c r="F1062" s="10" t="s">
        <v>546</v>
      </c>
      <c r="G1062" s="8">
        <v>1</v>
      </c>
      <c r="H1062" s="11">
        <v>400</v>
      </c>
      <c r="I1062" s="12">
        <v>42526</v>
      </c>
      <c r="J1062" s="13">
        <f t="shared" si="37"/>
        <v>0</v>
      </c>
      <c r="K1062" s="14"/>
      <c r="L1062" s="14"/>
      <c r="M1062" s="14"/>
      <c r="N1062" s="14"/>
      <c r="O1062" s="14"/>
      <c r="P1062" s="14">
        <v>400</v>
      </c>
      <c r="Q1062" s="14"/>
      <c r="R1062" s="14"/>
      <c r="S1062" s="14"/>
      <c r="T1062" s="14"/>
      <c r="U1062" s="14"/>
      <c r="V1062" s="14"/>
      <c r="W1062" s="15">
        <f t="shared" si="38"/>
        <v>400</v>
      </c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5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5"/>
      <c r="AX1062" s="16"/>
    </row>
    <row r="1063" spans="2:50" x14ac:dyDescent="0.2">
      <c r="B1063" s="7" t="s">
        <v>69</v>
      </c>
      <c r="C1063" s="8">
        <v>11778</v>
      </c>
      <c r="D1063" s="9" t="s">
        <v>292</v>
      </c>
      <c r="E1063" s="10" t="s">
        <v>293</v>
      </c>
      <c r="F1063" s="10" t="s">
        <v>294</v>
      </c>
      <c r="G1063" s="8">
        <v>1</v>
      </c>
      <c r="H1063" s="11">
        <v>400</v>
      </c>
      <c r="I1063" s="12">
        <v>42526</v>
      </c>
      <c r="J1063" s="13">
        <f t="shared" si="37"/>
        <v>0</v>
      </c>
      <c r="K1063" s="14"/>
      <c r="L1063" s="14"/>
      <c r="M1063" s="14"/>
      <c r="N1063" s="14"/>
      <c r="O1063" s="14"/>
      <c r="P1063" s="14">
        <v>400</v>
      </c>
      <c r="Q1063" s="14"/>
      <c r="R1063" s="14"/>
      <c r="S1063" s="14"/>
      <c r="T1063" s="14"/>
      <c r="U1063" s="14"/>
      <c r="V1063" s="14"/>
      <c r="W1063" s="15">
        <f t="shared" si="38"/>
        <v>400</v>
      </c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5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5"/>
      <c r="AX1063" s="16"/>
    </row>
    <row r="1064" spans="2:50" x14ac:dyDescent="0.2">
      <c r="B1064" s="7" t="s">
        <v>77</v>
      </c>
      <c r="C1064" s="8">
        <v>11779</v>
      </c>
      <c r="D1064" s="9" t="s">
        <v>565</v>
      </c>
      <c r="E1064" s="10" t="s">
        <v>566</v>
      </c>
      <c r="F1064" s="10" t="s">
        <v>567</v>
      </c>
      <c r="G1064" s="8">
        <v>1</v>
      </c>
      <c r="H1064" s="11">
        <v>500</v>
      </c>
      <c r="I1064" s="12">
        <v>42526</v>
      </c>
      <c r="J1064" s="13">
        <f t="shared" si="37"/>
        <v>0</v>
      </c>
      <c r="K1064" s="14"/>
      <c r="L1064" s="14"/>
      <c r="M1064" s="14"/>
      <c r="N1064" s="14"/>
      <c r="O1064" s="14">
        <v>250</v>
      </c>
      <c r="P1064" s="14">
        <v>250</v>
      </c>
      <c r="Q1064" s="14"/>
      <c r="R1064" s="14"/>
      <c r="S1064" s="14"/>
      <c r="T1064" s="14"/>
      <c r="U1064" s="14"/>
      <c r="V1064" s="14"/>
      <c r="W1064" s="15">
        <f t="shared" si="38"/>
        <v>500</v>
      </c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5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5"/>
      <c r="AX1064" s="16"/>
    </row>
    <row r="1065" spans="2:50" x14ac:dyDescent="0.2">
      <c r="B1065" s="7" t="s">
        <v>69</v>
      </c>
      <c r="C1065" s="8">
        <v>11780</v>
      </c>
      <c r="D1065" s="9" t="s">
        <v>828</v>
      </c>
      <c r="E1065" s="10" t="s">
        <v>829</v>
      </c>
      <c r="F1065" s="10" t="s">
        <v>830</v>
      </c>
      <c r="G1065" s="8">
        <v>1</v>
      </c>
      <c r="H1065" s="11">
        <v>600</v>
      </c>
      <c r="I1065" s="12">
        <v>42526</v>
      </c>
      <c r="J1065" s="13">
        <f t="shared" si="37"/>
        <v>0</v>
      </c>
      <c r="K1065" s="14"/>
      <c r="L1065" s="14"/>
      <c r="M1065" s="14"/>
      <c r="N1065" s="14">
        <v>200</v>
      </c>
      <c r="O1065" s="14">
        <v>200</v>
      </c>
      <c r="P1065" s="14">
        <v>200</v>
      </c>
      <c r="Q1065" s="14"/>
      <c r="R1065" s="14"/>
      <c r="S1065" s="14"/>
      <c r="T1065" s="14"/>
      <c r="U1065" s="14"/>
      <c r="V1065" s="14"/>
      <c r="W1065" s="15">
        <f t="shared" si="38"/>
        <v>600</v>
      </c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5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5"/>
      <c r="AX1065" s="16"/>
    </row>
    <row r="1066" spans="2:50" x14ac:dyDescent="0.2">
      <c r="B1066" s="7" t="s">
        <v>73</v>
      </c>
      <c r="C1066" s="8">
        <v>11781</v>
      </c>
      <c r="D1066" s="9" t="s">
        <v>672</v>
      </c>
      <c r="E1066" s="10" t="s">
        <v>673</v>
      </c>
      <c r="F1066" s="10" t="s">
        <v>674</v>
      </c>
      <c r="G1066" s="8">
        <v>1</v>
      </c>
      <c r="H1066" s="11">
        <v>200</v>
      </c>
      <c r="I1066" s="12">
        <v>42526</v>
      </c>
      <c r="J1066" s="13">
        <f t="shared" si="37"/>
        <v>0</v>
      </c>
      <c r="K1066" s="14"/>
      <c r="L1066" s="14"/>
      <c r="M1066" s="14"/>
      <c r="N1066" s="14"/>
      <c r="O1066" s="14"/>
      <c r="P1066" s="14">
        <v>200</v>
      </c>
      <c r="Q1066" s="14"/>
      <c r="R1066" s="14"/>
      <c r="S1066" s="14"/>
      <c r="T1066" s="14"/>
      <c r="U1066" s="14"/>
      <c r="V1066" s="14"/>
      <c r="W1066" s="15">
        <f t="shared" si="38"/>
        <v>200</v>
      </c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5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5"/>
      <c r="AX1066" s="16"/>
    </row>
    <row r="1067" spans="2:50" x14ac:dyDescent="0.2">
      <c r="B1067" s="7" t="s">
        <v>37</v>
      </c>
      <c r="C1067" s="8">
        <v>11782</v>
      </c>
      <c r="D1067" s="9" t="s">
        <v>983</v>
      </c>
      <c r="E1067" s="10" t="s">
        <v>984</v>
      </c>
      <c r="F1067" s="10" t="s">
        <v>985</v>
      </c>
      <c r="G1067" s="8">
        <v>1</v>
      </c>
      <c r="H1067" s="11">
        <v>2400</v>
      </c>
      <c r="I1067" s="12">
        <v>42526</v>
      </c>
      <c r="J1067" s="13">
        <f t="shared" si="37"/>
        <v>0</v>
      </c>
      <c r="K1067" s="14">
        <v>400</v>
      </c>
      <c r="L1067" s="14">
        <v>400</v>
      </c>
      <c r="M1067" s="14">
        <v>400</v>
      </c>
      <c r="N1067" s="14">
        <v>400</v>
      </c>
      <c r="O1067" s="14">
        <v>400</v>
      </c>
      <c r="P1067" s="14">
        <v>400</v>
      </c>
      <c r="Q1067" s="14"/>
      <c r="R1067" s="14"/>
      <c r="S1067" s="14"/>
      <c r="T1067" s="14"/>
      <c r="U1067" s="14"/>
      <c r="V1067" s="14"/>
      <c r="W1067" s="15">
        <f t="shared" si="38"/>
        <v>2400</v>
      </c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5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5"/>
      <c r="AX1067" s="16"/>
    </row>
    <row r="1068" spans="2:50" x14ac:dyDescent="0.2">
      <c r="B1068" s="7" t="s">
        <v>47</v>
      </c>
      <c r="C1068" s="8">
        <v>11783</v>
      </c>
      <c r="D1068" s="9" t="s">
        <v>823</v>
      </c>
      <c r="E1068" s="10" t="s">
        <v>824</v>
      </c>
      <c r="F1068" s="10" t="s">
        <v>765</v>
      </c>
      <c r="G1068" s="8">
        <v>1</v>
      </c>
      <c r="H1068" s="11">
        <v>200</v>
      </c>
      <c r="I1068" s="12">
        <v>42526</v>
      </c>
      <c r="J1068" s="13">
        <f t="shared" si="37"/>
        <v>0</v>
      </c>
      <c r="K1068" s="14"/>
      <c r="L1068" s="14"/>
      <c r="M1068" s="14"/>
      <c r="N1068" s="14"/>
      <c r="O1068" s="14"/>
      <c r="P1068" s="14">
        <v>200</v>
      </c>
      <c r="Q1068" s="14"/>
      <c r="R1068" s="14"/>
      <c r="S1068" s="14"/>
      <c r="T1068" s="14"/>
      <c r="U1068" s="14"/>
      <c r="V1068" s="14"/>
      <c r="W1068" s="15">
        <f t="shared" si="38"/>
        <v>200</v>
      </c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5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5"/>
      <c r="AX1068" s="16"/>
    </row>
    <row r="1069" spans="2:50" x14ac:dyDescent="0.2">
      <c r="B1069" s="7" t="s">
        <v>77</v>
      </c>
      <c r="C1069" s="8">
        <v>11784</v>
      </c>
      <c r="D1069" s="9" t="s">
        <v>87</v>
      </c>
      <c r="E1069" s="10" t="s">
        <v>88</v>
      </c>
      <c r="F1069" s="10" t="s">
        <v>89</v>
      </c>
      <c r="G1069" s="8">
        <v>1</v>
      </c>
      <c r="H1069" s="11">
        <v>400</v>
      </c>
      <c r="I1069" s="12">
        <v>42526</v>
      </c>
      <c r="J1069" s="13">
        <f t="shared" si="37"/>
        <v>0</v>
      </c>
      <c r="K1069" s="14"/>
      <c r="L1069" s="14"/>
      <c r="M1069" s="14"/>
      <c r="N1069" s="14"/>
      <c r="O1069" s="14"/>
      <c r="P1069" s="14">
        <v>400</v>
      </c>
      <c r="Q1069" s="14"/>
      <c r="R1069" s="14"/>
      <c r="S1069" s="14"/>
      <c r="T1069" s="14"/>
      <c r="U1069" s="14"/>
      <c r="V1069" s="14"/>
      <c r="W1069" s="15">
        <f t="shared" si="38"/>
        <v>400</v>
      </c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5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5"/>
      <c r="AX1069" s="16"/>
    </row>
    <row r="1070" spans="2:50" x14ac:dyDescent="0.2">
      <c r="B1070" s="7" t="s">
        <v>73</v>
      </c>
      <c r="C1070" s="8">
        <v>11785</v>
      </c>
      <c r="D1070" s="9" t="s">
        <v>598</v>
      </c>
      <c r="E1070" s="10" t="s">
        <v>599</v>
      </c>
      <c r="F1070" s="10" t="s">
        <v>886</v>
      </c>
      <c r="G1070" s="8">
        <v>1</v>
      </c>
      <c r="H1070" s="11">
        <v>400</v>
      </c>
      <c r="I1070" s="12">
        <v>42526</v>
      </c>
      <c r="J1070" s="13">
        <f t="shared" si="37"/>
        <v>0</v>
      </c>
      <c r="K1070" s="14"/>
      <c r="L1070" s="14"/>
      <c r="M1070" s="14"/>
      <c r="N1070" s="14"/>
      <c r="O1070" s="14"/>
      <c r="P1070" s="14">
        <v>400</v>
      </c>
      <c r="Q1070" s="14"/>
      <c r="R1070" s="14"/>
      <c r="S1070" s="14"/>
      <c r="T1070" s="14"/>
      <c r="U1070" s="14"/>
      <c r="V1070" s="14"/>
      <c r="W1070" s="15">
        <f t="shared" si="38"/>
        <v>400</v>
      </c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5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5"/>
      <c r="AX1070" s="16"/>
    </row>
    <row r="1071" spans="2:50" x14ac:dyDescent="0.2">
      <c r="B1071" s="7" t="s">
        <v>73</v>
      </c>
      <c r="C1071" s="8">
        <v>11786</v>
      </c>
      <c r="D1071" s="9" t="s">
        <v>598</v>
      </c>
      <c r="E1071" s="10" t="s">
        <v>599</v>
      </c>
      <c r="F1071" s="10" t="s">
        <v>886</v>
      </c>
      <c r="G1071" s="8">
        <v>3</v>
      </c>
      <c r="H1071" s="11">
        <v>160</v>
      </c>
      <c r="I1071" s="12">
        <v>42526</v>
      </c>
      <c r="J1071" s="13">
        <f t="shared" si="37"/>
        <v>0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5">
        <f t="shared" si="38"/>
        <v>0</v>
      </c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5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5"/>
      <c r="AX1071" s="16"/>
    </row>
    <row r="1072" spans="2:50" x14ac:dyDescent="0.2">
      <c r="B1072" s="7" t="s">
        <v>77</v>
      </c>
      <c r="C1072" s="8">
        <v>11787</v>
      </c>
      <c r="D1072" s="9" t="s">
        <v>129</v>
      </c>
      <c r="E1072" s="10" t="s">
        <v>130</v>
      </c>
      <c r="F1072" s="10" t="s">
        <v>131</v>
      </c>
      <c r="G1072" s="8">
        <v>1</v>
      </c>
      <c r="H1072" s="11">
        <v>400</v>
      </c>
      <c r="I1072" s="12">
        <v>42526</v>
      </c>
      <c r="J1072" s="13">
        <f t="shared" si="37"/>
        <v>0</v>
      </c>
      <c r="K1072" s="14"/>
      <c r="L1072" s="14"/>
      <c r="M1072" s="14"/>
      <c r="N1072" s="14"/>
      <c r="O1072" s="14"/>
      <c r="P1072" s="14">
        <v>400</v>
      </c>
      <c r="Q1072" s="14"/>
      <c r="R1072" s="14"/>
      <c r="S1072" s="14"/>
      <c r="T1072" s="14"/>
      <c r="U1072" s="14"/>
      <c r="V1072" s="14"/>
      <c r="W1072" s="15">
        <f t="shared" si="38"/>
        <v>400</v>
      </c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5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5"/>
      <c r="AX1072" s="16"/>
    </row>
    <row r="1073" spans="2:50" x14ac:dyDescent="0.2">
      <c r="B1073" s="7" t="s">
        <v>47</v>
      </c>
      <c r="C1073" s="8">
        <v>11788</v>
      </c>
      <c r="D1073" s="9" t="s">
        <v>328</v>
      </c>
      <c r="E1073" s="10" t="s">
        <v>329</v>
      </c>
      <c r="F1073" s="10" t="s">
        <v>330</v>
      </c>
      <c r="G1073" s="8">
        <v>1</v>
      </c>
      <c r="H1073" s="11">
        <v>400</v>
      </c>
      <c r="I1073" s="12">
        <v>42526</v>
      </c>
      <c r="J1073" s="13">
        <f t="shared" si="37"/>
        <v>0</v>
      </c>
      <c r="K1073" s="14"/>
      <c r="L1073" s="14"/>
      <c r="M1073" s="14"/>
      <c r="N1073" s="14"/>
      <c r="O1073" s="14"/>
      <c r="P1073" s="14">
        <v>400</v>
      </c>
      <c r="Q1073" s="14"/>
      <c r="R1073" s="14"/>
      <c r="S1073" s="14"/>
      <c r="T1073" s="14"/>
      <c r="U1073" s="14"/>
      <c r="V1073" s="14"/>
      <c r="W1073" s="15">
        <f t="shared" si="38"/>
        <v>400</v>
      </c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5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5"/>
      <c r="AX1073" s="16"/>
    </row>
    <row r="1074" spans="2:50" x14ac:dyDescent="0.2">
      <c r="B1074" s="7" t="s">
        <v>47</v>
      </c>
      <c r="C1074" s="8">
        <v>11789</v>
      </c>
      <c r="D1074" s="9" t="s">
        <v>171</v>
      </c>
      <c r="E1074" s="10" t="s">
        <v>172</v>
      </c>
      <c r="F1074" s="10" t="s">
        <v>173</v>
      </c>
      <c r="G1074" s="8">
        <v>1</v>
      </c>
      <c r="H1074" s="11">
        <v>400</v>
      </c>
      <c r="I1074" s="12">
        <v>42526</v>
      </c>
      <c r="J1074" s="13">
        <f t="shared" si="37"/>
        <v>0</v>
      </c>
      <c r="K1074" s="14"/>
      <c r="L1074" s="14"/>
      <c r="M1074" s="14"/>
      <c r="N1074" s="14"/>
      <c r="O1074" s="14"/>
      <c r="P1074" s="14">
        <v>400</v>
      </c>
      <c r="Q1074" s="14"/>
      <c r="R1074" s="14"/>
      <c r="S1074" s="14"/>
      <c r="T1074" s="14"/>
      <c r="U1074" s="14"/>
      <c r="V1074" s="14"/>
      <c r="W1074" s="15">
        <f t="shared" si="38"/>
        <v>400</v>
      </c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5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5"/>
      <c r="AX1074" s="16"/>
    </row>
    <row r="1075" spans="2:50" x14ac:dyDescent="0.2">
      <c r="B1075" s="7" t="s">
        <v>47</v>
      </c>
      <c r="C1075" s="8">
        <v>11790</v>
      </c>
      <c r="D1075" s="9" t="s">
        <v>769</v>
      </c>
      <c r="E1075" s="10" t="s">
        <v>770</v>
      </c>
      <c r="F1075" s="10" t="s">
        <v>771</v>
      </c>
      <c r="G1075" s="8">
        <v>1</v>
      </c>
      <c r="H1075" s="11">
        <v>400</v>
      </c>
      <c r="I1075" s="12">
        <v>42526</v>
      </c>
      <c r="J1075" s="13">
        <f t="shared" si="37"/>
        <v>0</v>
      </c>
      <c r="K1075" s="14"/>
      <c r="L1075" s="14"/>
      <c r="M1075" s="14"/>
      <c r="N1075" s="14"/>
      <c r="O1075" s="14">
        <v>400</v>
      </c>
      <c r="P1075" s="14"/>
      <c r="Q1075" s="14"/>
      <c r="R1075" s="14"/>
      <c r="S1075" s="14"/>
      <c r="T1075" s="14"/>
      <c r="U1075" s="14"/>
      <c r="V1075" s="14"/>
      <c r="W1075" s="15">
        <f t="shared" si="38"/>
        <v>400</v>
      </c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5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5"/>
      <c r="AX1075" s="16"/>
    </row>
    <row r="1076" spans="2:50" x14ac:dyDescent="0.2">
      <c r="B1076" s="7" t="s">
        <v>47</v>
      </c>
      <c r="C1076" s="8">
        <v>11791</v>
      </c>
      <c r="D1076" s="9" t="s">
        <v>583</v>
      </c>
      <c r="E1076" s="10" t="s">
        <v>584</v>
      </c>
      <c r="F1076" s="10" t="s">
        <v>585</v>
      </c>
      <c r="G1076" s="8">
        <v>1</v>
      </c>
      <c r="H1076" s="11">
        <v>200</v>
      </c>
      <c r="I1076" s="12">
        <v>42526</v>
      </c>
      <c r="J1076" s="13">
        <f t="shared" si="37"/>
        <v>0</v>
      </c>
      <c r="K1076" s="14"/>
      <c r="L1076" s="14"/>
      <c r="M1076" s="14"/>
      <c r="N1076" s="14"/>
      <c r="O1076" s="14"/>
      <c r="P1076" s="14">
        <v>200</v>
      </c>
      <c r="Q1076" s="14"/>
      <c r="R1076" s="14"/>
      <c r="S1076" s="14"/>
      <c r="T1076" s="14"/>
      <c r="U1076" s="14"/>
      <c r="V1076" s="14"/>
      <c r="W1076" s="15">
        <f t="shared" si="38"/>
        <v>200</v>
      </c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5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5"/>
      <c r="AX1076" s="16"/>
    </row>
    <row r="1077" spans="2:50" x14ac:dyDescent="0.2">
      <c r="B1077" s="7" t="s">
        <v>122</v>
      </c>
      <c r="C1077" s="8">
        <v>11792</v>
      </c>
      <c r="D1077" s="9" t="s">
        <v>262</v>
      </c>
      <c r="E1077" s="10" t="s">
        <v>263</v>
      </c>
      <c r="F1077" s="10" t="s">
        <v>264</v>
      </c>
      <c r="G1077" s="8">
        <v>1</v>
      </c>
      <c r="H1077" s="11">
        <v>300</v>
      </c>
      <c r="I1077" s="12">
        <v>42526</v>
      </c>
      <c r="J1077" s="13">
        <f t="shared" si="37"/>
        <v>0</v>
      </c>
      <c r="K1077" s="14"/>
      <c r="L1077" s="14"/>
      <c r="M1077" s="14"/>
      <c r="N1077" s="14"/>
      <c r="O1077" s="14"/>
      <c r="P1077" s="14">
        <v>300</v>
      </c>
      <c r="Q1077" s="14"/>
      <c r="R1077" s="14"/>
      <c r="S1077" s="14"/>
      <c r="T1077" s="14"/>
      <c r="U1077" s="14"/>
      <c r="V1077" s="14"/>
      <c r="W1077" s="15">
        <f t="shared" si="38"/>
        <v>300</v>
      </c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5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5"/>
      <c r="AX1077" s="16"/>
    </row>
    <row r="1078" spans="2:50" x14ac:dyDescent="0.2">
      <c r="B1078" s="7" t="s">
        <v>73</v>
      </c>
      <c r="C1078" s="8">
        <v>11793</v>
      </c>
      <c r="D1078" s="9" t="s">
        <v>458</v>
      </c>
      <c r="E1078" s="10" t="s">
        <v>459</v>
      </c>
      <c r="F1078" s="10" t="s">
        <v>460</v>
      </c>
      <c r="G1078" s="8">
        <v>1</v>
      </c>
      <c r="H1078" s="11">
        <v>400</v>
      </c>
      <c r="I1078" s="12">
        <v>42526</v>
      </c>
      <c r="J1078" s="13">
        <f t="shared" si="37"/>
        <v>0</v>
      </c>
      <c r="K1078" s="14"/>
      <c r="L1078" s="14"/>
      <c r="M1078" s="14"/>
      <c r="N1078" s="14"/>
      <c r="O1078" s="14"/>
      <c r="P1078" s="14">
        <v>400</v>
      </c>
      <c r="Q1078" s="14"/>
      <c r="R1078" s="14"/>
      <c r="S1078" s="14"/>
      <c r="T1078" s="14"/>
      <c r="U1078" s="14"/>
      <c r="V1078" s="14"/>
      <c r="W1078" s="15">
        <f t="shared" si="38"/>
        <v>400</v>
      </c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5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5"/>
      <c r="AX1078" s="16"/>
    </row>
    <row r="1079" spans="2:50" x14ac:dyDescent="0.2">
      <c r="B1079" s="7" t="s">
        <v>37</v>
      </c>
      <c r="C1079" s="8">
        <v>11794</v>
      </c>
      <c r="D1079" s="9" t="s">
        <v>395</v>
      </c>
      <c r="E1079" s="10" t="s">
        <v>396</v>
      </c>
      <c r="F1079" s="10" t="s">
        <v>397</v>
      </c>
      <c r="G1079" s="8">
        <v>1</v>
      </c>
      <c r="H1079" s="11">
        <v>150</v>
      </c>
      <c r="I1079" s="12">
        <v>42526</v>
      </c>
      <c r="J1079" s="13">
        <f t="shared" si="37"/>
        <v>0</v>
      </c>
      <c r="K1079" s="14"/>
      <c r="L1079" s="14"/>
      <c r="M1079" s="14"/>
      <c r="N1079" s="14"/>
      <c r="O1079" s="14"/>
      <c r="P1079" s="14">
        <v>150</v>
      </c>
      <c r="Q1079" s="14"/>
      <c r="R1079" s="14"/>
      <c r="S1079" s="14"/>
      <c r="T1079" s="14"/>
      <c r="U1079" s="14"/>
      <c r="V1079" s="14"/>
      <c r="W1079" s="15">
        <f t="shared" si="38"/>
        <v>150</v>
      </c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5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5"/>
      <c r="AX1079" s="16"/>
    </row>
    <row r="1080" spans="2:50" x14ac:dyDescent="0.2">
      <c r="B1080" s="7" t="s">
        <v>69</v>
      </c>
      <c r="C1080" s="8">
        <v>11795</v>
      </c>
      <c r="D1080" s="9" t="s">
        <v>574</v>
      </c>
      <c r="E1080" s="10" t="s">
        <v>575</v>
      </c>
      <c r="F1080" s="10" t="s">
        <v>576</v>
      </c>
      <c r="G1080" s="8">
        <v>1</v>
      </c>
      <c r="H1080" s="11">
        <v>400</v>
      </c>
      <c r="I1080" s="12">
        <v>42526</v>
      </c>
      <c r="J1080" s="13">
        <f t="shared" si="37"/>
        <v>0</v>
      </c>
      <c r="K1080" s="14"/>
      <c r="L1080" s="14"/>
      <c r="M1080" s="14"/>
      <c r="N1080" s="14"/>
      <c r="O1080" s="14">
        <v>400</v>
      </c>
      <c r="P1080" s="14"/>
      <c r="Q1080" s="14"/>
      <c r="R1080" s="14"/>
      <c r="S1080" s="14"/>
      <c r="T1080" s="14"/>
      <c r="U1080" s="14"/>
      <c r="V1080" s="14"/>
      <c r="W1080" s="15">
        <f t="shared" si="38"/>
        <v>400</v>
      </c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5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5"/>
      <c r="AX1080" s="16"/>
    </row>
    <row r="1081" spans="2:50" x14ac:dyDescent="0.2">
      <c r="B1081" s="7" t="s">
        <v>69</v>
      </c>
      <c r="C1081" s="8">
        <v>11796</v>
      </c>
      <c r="D1081" s="9" t="s">
        <v>476</v>
      </c>
      <c r="E1081" s="10" t="s">
        <v>477</v>
      </c>
      <c r="F1081" s="10" t="s">
        <v>478</v>
      </c>
      <c r="G1081" s="8">
        <v>1</v>
      </c>
      <c r="H1081" s="11">
        <v>400</v>
      </c>
      <c r="I1081" s="12">
        <v>42526</v>
      </c>
      <c r="J1081" s="13">
        <f t="shared" si="37"/>
        <v>0</v>
      </c>
      <c r="K1081" s="14"/>
      <c r="L1081" s="14"/>
      <c r="M1081" s="14"/>
      <c r="N1081" s="14"/>
      <c r="O1081" s="14"/>
      <c r="P1081" s="14">
        <v>400</v>
      </c>
      <c r="Q1081" s="14"/>
      <c r="R1081" s="14"/>
      <c r="S1081" s="14"/>
      <c r="T1081" s="14"/>
      <c r="U1081" s="14"/>
      <c r="V1081" s="14"/>
      <c r="W1081" s="15">
        <f t="shared" si="38"/>
        <v>400</v>
      </c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5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5"/>
      <c r="AX1081" s="16"/>
    </row>
    <row r="1082" spans="2:50" x14ac:dyDescent="0.2">
      <c r="B1082" s="7" t="s">
        <v>37</v>
      </c>
      <c r="C1082" s="8">
        <v>11797</v>
      </c>
      <c r="D1082" s="9" t="s">
        <v>51</v>
      </c>
      <c r="E1082" s="10" t="s">
        <v>52</v>
      </c>
      <c r="F1082" s="10" t="s">
        <v>53</v>
      </c>
      <c r="G1082" s="8">
        <v>1</v>
      </c>
      <c r="H1082" s="11">
        <v>500</v>
      </c>
      <c r="I1082" s="12">
        <v>42526</v>
      </c>
      <c r="J1082" s="13">
        <f t="shared" si="37"/>
        <v>0</v>
      </c>
      <c r="K1082" s="14"/>
      <c r="L1082" s="14"/>
      <c r="M1082" s="14"/>
      <c r="N1082" s="14"/>
      <c r="O1082" s="14"/>
      <c r="P1082" s="14">
        <v>250</v>
      </c>
      <c r="Q1082" s="14">
        <v>250</v>
      </c>
      <c r="R1082" s="14"/>
      <c r="S1082" s="14"/>
      <c r="T1082" s="14"/>
      <c r="U1082" s="14"/>
      <c r="V1082" s="14"/>
      <c r="W1082" s="15">
        <f t="shared" si="38"/>
        <v>500</v>
      </c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5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5"/>
      <c r="AX1082" s="16"/>
    </row>
    <row r="1083" spans="2:50" x14ac:dyDescent="0.2">
      <c r="B1083" s="7" t="s">
        <v>37</v>
      </c>
      <c r="C1083" s="8">
        <v>11797</v>
      </c>
      <c r="D1083" s="9" t="s">
        <v>51</v>
      </c>
      <c r="E1083" s="10" t="s">
        <v>52</v>
      </c>
      <c r="F1083" s="10" t="s">
        <v>53</v>
      </c>
      <c r="G1083" s="8">
        <v>3</v>
      </c>
      <c r="H1083" s="11">
        <v>160</v>
      </c>
      <c r="I1083" s="12">
        <v>42526</v>
      </c>
      <c r="J1083" s="13">
        <f t="shared" si="37"/>
        <v>0</v>
      </c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5">
        <f t="shared" si="38"/>
        <v>0</v>
      </c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5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5"/>
      <c r="AX1083" s="16"/>
    </row>
    <row r="1084" spans="2:50" x14ac:dyDescent="0.2">
      <c r="B1084" s="7" t="s">
        <v>37</v>
      </c>
      <c r="C1084" s="8">
        <v>11798</v>
      </c>
      <c r="D1084" s="9" t="s">
        <v>716</v>
      </c>
      <c r="E1084" s="10" t="s">
        <v>717</v>
      </c>
      <c r="F1084" s="10" t="s">
        <v>718</v>
      </c>
      <c r="G1084" s="8">
        <v>1</v>
      </c>
      <c r="H1084" s="11">
        <v>300</v>
      </c>
      <c r="I1084" s="12">
        <v>42526</v>
      </c>
      <c r="J1084" s="13">
        <f t="shared" ref="J1084:J1147" si="39">IF(G1084=1,SUM(W1084,-H1084),0)</f>
        <v>0</v>
      </c>
      <c r="K1084" s="14"/>
      <c r="L1084" s="14"/>
      <c r="M1084" s="14"/>
      <c r="N1084" s="14"/>
      <c r="O1084" s="14"/>
      <c r="P1084" s="14">
        <v>300</v>
      </c>
      <c r="Q1084" s="14"/>
      <c r="R1084" s="14"/>
      <c r="S1084" s="14"/>
      <c r="T1084" s="14"/>
      <c r="U1084" s="14"/>
      <c r="V1084" s="14"/>
      <c r="W1084" s="15">
        <f t="shared" ref="W1084:W1147" si="40">SUM(K1084:V1084)</f>
        <v>300</v>
      </c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5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5"/>
      <c r="AX1084" s="16"/>
    </row>
    <row r="1085" spans="2:50" x14ac:dyDescent="0.2">
      <c r="B1085" s="7" t="s">
        <v>69</v>
      </c>
      <c r="C1085" s="8">
        <v>11799</v>
      </c>
      <c r="D1085" s="9" t="s">
        <v>714</v>
      </c>
      <c r="E1085" s="10" t="s">
        <v>715</v>
      </c>
      <c r="F1085" s="10" t="s">
        <v>487</v>
      </c>
      <c r="G1085" s="8">
        <v>1</v>
      </c>
      <c r="H1085" s="11">
        <v>400</v>
      </c>
      <c r="I1085" s="12">
        <v>42526</v>
      </c>
      <c r="J1085" s="13">
        <f t="shared" si="39"/>
        <v>0</v>
      </c>
      <c r="K1085" s="14"/>
      <c r="L1085" s="14"/>
      <c r="M1085" s="14"/>
      <c r="N1085" s="14"/>
      <c r="O1085" s="14">
        <v>400</v>
      </c>
      <c r="P1085" s="14"/>
      <c r="Q1085" s="14"/>
      <c r="R1085" s="14"/>
      <c r="S1085" s="14"/>
      <c r="T1085" s="14"/>
      <c r="U1085" s="14"/>
      <c r="V1085" s="14"/>
      <c r="W1085" s="15">
        <f t="shared" si="40"/>
        <v>400</v>
      </c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5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5"/>
      <c r="AX1085" s="16"/>
    </row>
    <row r="1086" spans="2:50" x14ac:dyDescent="0.2">
      <c r="B1086" s="7" t="s">
        <v>37</v>
      </c>
      <c r="C1086" s="8">
        <v>11800</v>
      </c>
      <c r="D1086" s="9" t="s">
        <v>899</v>
      </c>
      <c r="E1086" s="10" t="s">
        <v>900</v>
      </c>
      <c r="F1086" s="10" t="s">
        <v>901</v>
      </c>
      <c r="G1086" s="8">
        <v>1</v>
      </c>
      <c r="H1086" s="11">
        <v>500</v>
      </c>
      <c r="I1086" s="12">
        <v>42526</v>
      </c>
      <c r="J1086" s="13">
        <f t="shared" si="39"/>
        <v>0</v>
      </c>
      <c r="K1086" s="14"/>
      <c r="L1086" s="14"/>
      <c r="M1086" s="14"/>
      <c r="N1086" s="14"/>
      <c r="O1086" s="14">
        <v>250</v>
      </c>
      <c r="P1086" s="14">
        <v>250</v>
      </c>
      <c r="Q1086" s="14"/>
      <c r="R1086" s="14"/>
      <c r="S1086" s="14"/>
      <c r="T1086" s="14"/>
      <c r="U1086" s="14"/>
      <c r="V1086" s="14"/>
      <c r="W1086" s="15">
        <f t="shared" si="40"/>
        <v>500</v>
      </c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5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5"/>
      <c r="AX1086" s="16"/>
    </row>
    <row r="1087" spans="2:50" x14ac:dyDescent="0.2">
      <c r="B1087" s="7" t="s">
        <v>47</v>
      </c>
      <c r="C1087" s="8">
        <v>11801</v>
      </c>
      <c r="D1087" s="9" t="s">
        <v>971</v>
      </c>
      <c r="E1087" s="10" t="s">
        <v>972</v>
      </c>
      <c r="F1087" s="10" t="s">
        <v>973</v>
      </c>
      <c r="G1087" s="8">
        <v>3</v>
      </c>
      <c r="H1087" s="11">
        <v>160</v>
      </c>
      <c r="I1087" s="12">
        <v>42526</v>
      </c>
      <c r="J1087" s="13">
        <f t="shared" si="39"/>
        <v>0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5">
        <f t="shared" si="40"/>
        <v>0</v>
      </c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5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5"/>
      <c r="AX1087" s="16"/>
    </row>
    <row r="1088" spans="2:50" x14ac:dyDescent="0.2">
      <c r="B1088" s="7" t="s">
        <v>69</v>
      </c>
      <c r="C1088" s="8">
        <v>11802</v>
      </c>
      <c r="D1088" s="9" t="s">
        <v>562</v>
      </c>
      <c r="E1088" s="10" t="s">
        <v>563</v>
      </c>
      <c r="F1088" s="10" t="s">
        <v>564</v>
      </c>
      <c r="G1088" s="8">
        <v>1</v>
      </c>
      <c r="H1088" s="11">
        <v>400</v>
      </c>
      <c r="I1088" s="12">
        <v>42526</v>
      </c>
      <c r="J1088" s="13">
        <f t="shared" si="39"/>
        <v>0</v>
      </c>
      <c r="K1088" s="14"/>
      <c r="L1088" s="14"/>
      <c r="M1088" s="14"/>
      <c r="N1088" s="14"/>
      <c r="O1088" s="14"/>
      <c r="P1088" s="14">
        <v>400</v>
      </c>
      <c r="Q1088" s="14"/>
      <c r="R1088" s="14"/>
      <c r="S1088" s="14"/>
      <c r="T1088" s="14"/>
      <c r="U1088" s="14"/>
      <c r="V1088" s="14"/>
      <c r="W1088" s="15">
        <f t="shared" si="40"/>
        <v>400</v>
      </c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5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5"/>
      <c r="AX1088" s="16"/>
    </row>
    <row r="1089" spans="2:50" x14ac:dyDescent="0.2">
      <c r="B1089" s="7" t="s">
        <v>77</v>
      </c>
      <c r="C1089" s="8">
        <v>11803</v>
      </c>
      <c r="D1089" s="9" t="s">
        <v>820</v>
      </c>
      <c r="E1089" s="10" t="s">
        <v>821</v>
      </c>
      <c r="F1089" s="10" t="s">
        <v>822</v>
      </c>
      <c r="G1089" s="8">
        <v>1</v>
      </c>
      <c r="H1089" s="11">
        <v>300</v>
      </c>
      <c r="I1089" s="12">
        <v>42526</v>
      </c>
      <c r="J1089" s="13">
        <f t="shared" si="39"/>
        <v>0</v>
      </c>
      <c r="K1089" s="14"/>
      <c r="L1089" s="14"/>
      <c r="M1089" s="14"/>
      <c r="N1089" s="14"/>
      <c r="O1089" s="14">
        <v>300</v>
      </c>
      <c r="P1089" s="14"/>
      <c r="Q1089" s="14"/>
      <c r="R1089" s="14"/>
      <c r="S1089" s="14"/>
      <c r="T1089" s="14"/>
      <c r="U1089" s="14"/>
      <c r="V1089" s="14"/>
      <c r="W1089" s="15">
        <f t="shared" si="40"/>
        <v>300</v>
      </c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5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5"/>
      <c r="AX1089" s="16"/>
    </row>
    <row r="1090" spans="2:50" x14ac:dyDescent="0.2">
      <c r="B1090" s="7" t="s">
        <v>122</v>
      </c>
      <c r="C1090" s="8">
        <v>11804</v>
      </c>
      <c r="D1090" s="9" t="s">
        <v>217</v>
      </c>
      <c r="E1090" s="10" t="s">
        <v>218</v>
      </c>
      <c r="F1090" s="10" t="s">
        <v>219</v>
      </c>
      <c r="G1090" s="8">
        <v>1</v>
      </c>
      <c r="H1090" s="11">
        <v>600</v>
      </c>
      <c r="I1090" s="12">
        <v>42527</v>
      </c>
      <c r="J1090" s="13">
        <f t="shared" si="39"/>
        <v>0</v>
      </c>
      <c r="K1090" s="14"/>
      <c r="L1090" s="14"/>
      <c r="M1090" s="14"/>
      <c r="N1090" s="14"/>
      <c r="O1090" s="14"/>
      <c r="P1090" s="14">
        <v>300</v>
      </c>
      <c r="Q1090" s="14">
        <v>300</v>
      </c>
      <c r="R1090" s="14"/>
      <c r="S1090" s="14"/>
      <c r="T1090" s="14"/>
      <c r="U1090" s="14"/>
      <c r="V1090" s="14"/>
      <c r="W1090" s="15">
        <f t="shared" si="40"/>
        <v>600</v>
      </c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5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5"/>
      <c r="AX1090" s="16"/>
    </row>
    <row r="1091" spans="2:50" x14ac:dyDescent="0.2">
      <c r="B1091" s="7" t="s">
        <v>37</v>
      </c>
      <c r="C1091" s="8">
        <v>11805</v>
      </c>
      <c r="D1091" s="9" t="s">
        <v>899</v>
      </c>
      <c r="E1091" s="10" t="s">
        <v>900</v>
      </c>
      <c r="F1091" s="10" t="s">
        <v>901</v>
      </c>
      <c r="G1091" s="8">
        <v>1</v>
      </c>
      <c r="H1091" s="11">
        <v>400</v>
      </c>
      <c r="I1091" s="12">
        <v>42530</v>
      </c>
      <c r="J1091" s="13">
        <f t="shared" si="39"/>
        <v>0</v>
      </c>
      <c r="K1091" s="14"/>
      <c r="L1091" s="14"/>
      <c r="M1091" s="14"/>
      <c r="N1091" s="14"/>
      <c r="O1091" s="14"/>
      <c r="P1091" s="14"/>
      <c r="Q1091" s="14">
        <v>400</v>
      </c>
      <c r="R1091" s="14"/>
      <c r="S1091" s="14"/>
      <c r="T1091" s="14"/>
      <c r="U1091" s="14"/>
      <c r="V1091" s="14"/>
      <c r="W1091" s="15">
        <f t="shared" si="40"/>
        <v>400</v>
      </c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5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5"/>
      <c r="AX1091" s="16"/>
    </row>
    <row r="1092" spans="2:50" x14ac:dyDescent="0.2">
      <c r="B1092" s="7" t="s">
        <v>37</v>
      </c>
      <c r="C1092" s="8">
        <v>11805</v>
      </c>
      <c r="D1092" s="9" t="s">
        <v>899</v>
      </c>
      <c r="E1092" s="10" t="s">
        <v>900</v>
      </c>
      <c r="F1092" s="10" t="s">
        <v>901</v>
      </c>
      <c r="G1092" s="8">
        <v>3</v>
      </c>
      <c r="H1092" s="11">
        <v>320</v>
      </c>
      <c r="I1092" s="12">
        <v>42530</v>
      </c>
      <c r="J1092" s="13">
        <f t="shared" si="39"/>
        <v>0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5">
        <f t="shared" si="40"/>
        <v>0</v>
      </c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5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5"/>
      <c r="AX1092" s="16"/>
    </row>
    <row r="1093" spans="2:50" x14ac:dyDescent="0.2">
      <c r="B1093" s="7" t="s">
        <v>37</v>
      </c>
      <c r="C1093" s="8">
        <v>11805</v>
      </c>
      <c r="D1093" s="9" t="s">
        <v>899</v>
      </c>
      <c r="E1093" s="10" t="s">
        <v>900</v>
      </c>
      <c r="F1093" s="10" t="s">
        <v>901</v>
      </c>
      <c r="G1093" s="8">
        <v>4</v>
      </c>
      <c r="H1093" s="11">
        <v>400</v>
      </c>
      <c r="I1093" s="12">
        <v>42530</v>
      </c>
      <c r="J1093" s="13">
        <f t="shared" si="39"/>
        <v>0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5">
        <f t="shared" si="40"/>
        <v>0</v>
      </c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5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5"/>
      <c r="AX1093" s="7">
        <v>10422903</v>
      </c>
    </row>
    <row r="1094" spans="2:50" x14ac:dyDescent="0.2">
      <c r="B1094" s="7" t="s">
        <v>73</v>
      </c>
      <c r="C1094" s="8">
        <v>11806</v>
      </c>
      <c r="D1094" s="9" t="s">
        <v>458</v>
      </c>
      <c r="E1094" s="10" t="s">
        <v>459</v>
      </c>
      <c r="F1094" s="10" t="s">
        <v>460</v>
      </c>
      <c r="G1094" s="8">
        <v>4</v>
      </c>
      <c r="H1094" s="11">
        <v>400</v>
      </c>
      <c r="I1094" s="12">
        <v>42531</v>
      </c>
      <c r="J1094" s="13">
        <f t="shared" si="39"/>
        <v>0</v>
      </c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5">
        <f t="shared" si="40"/>
        <v>0</v>
      </c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5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5"/>
      <c r="AX1094" s="7" t="s">
        <v>986</v>
      </c>
    </row>
    <row r="1095" spans="2:50" x14ac:dyDescent="0.2">
      <c r="B1095" s="7" t="s">
        <v>47</v>
      </c>
      <c r="C1095" s="8">
        <v>11807</v>
      </c>
      <c r="D1095" s="9" t="s">
        <v>97</v>
      </c>
      <c r="E1095" s="10" t="s">
        <v>98</v>
      </c>
      <c r="F1095" s="10" t="s">
        <v>99</v>
      </c>
      <c r="G1095" s="8">
        <v>1</v>
      </c>
      <c r="H1095" s="11">
        <v>400</v>
      </c>
      <c r="I1095" s="12">
        <v>42533</v>
      </c>
      <c r="J1095" s="13">
        <f t="shared" si="39"/>
        <v>0</v>
      </c>
      <c r="K1095" s="14"/>
      <c r="L1095" s="14"/>
      <c r="M1095" s="14"/>
      <c r="N1095" s="14"/>
      <c r="O1095" s="14"/>
      <c r="P1095" s="14">
        <v>400</v>
      </c>
      <c r="Q1095" s="14"/>
      <c r="R1095" s="14"/>
      <c r="S1095" s="14"/>
      <c r="T1095" s="14"/>
      <c r="U1095" s="14"/>
      <c r="V1095" s="14"/>
      <c r="W1095" s="15">
        <f t="shared" si="40"/>
        <v>400</v>
      </c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5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5"/>
      <c r="AX1095" s="16"/>
    </row>
    <row r="1096" spans="2:50" x14ac:dyDescent="0.2">
      <c r="B1096" s="7" t="s">
        <v>69</v>
      </c>
      <c r="C1096" s="8">
        <v>11808</v>
      </c>
      <c r="D1096" s="9" t="s">
        <v>625</v>
      </c>
      <c r="E1096" s="10" t="s">
        <v>626</v>
      </c>
      <c r="F1096" s="10" t="s">
        <v>627</v>
      </c>
      <c r="G1096" s="8">
        <v>1</v>
      </c>
      <c r="H1096" s="11">
        <v>400</v>
      </c>
      <c r="I1096" s="12">
        <v>42533</v>
      </c>
      <c r="J1096" s="13">
        <f t="shared" si="39"/>
        <v>0</v>
      </c>
      <c r="K1096" s="14"/>
      <c r="L1096" s="14"/>
      <c r="M1096" s="14"/>
      <c r="N1096" s="14"/>
      <c r="O1096" s="14"/>
      <c r="P1096" s="14">
        <v>400</v>
      </c>
      <c r="Q1096" s="14"/>
      <c r="R1096" s="14"/>
      <c r="S1096" s="14"/>
      <c r="T1096" s="14"/>
      <c r="U1096" s="14"/>
      <c r="V1096" s="14"/>
      <c r="W1096" s="15">
        <f t="shared" si="40"/>
        <v>400</v>
      </c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5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5"/>
      <c r="AX1096" s="16"/>
    </row>
    <row r="1097" spans="2:50" x14ac:dyDescent="0.2">
      <c r="B1097" s="7" t="s">
        <v>93</v>
      </c>
      <c r="C1097" s="8">
        <v>11809</v>
      </c>
      <c r="D1097" s="9"/>
      <c r="E1097" s="10" t="s">
        <v>93</v>
      </c>
      <c r="F1097" s="10" t="s">
        <v>93</v>
      </c>
      <c r="G1097" s="8">
        <v>8</v>
      </c>
      <c r="H1097" s="11"/>
      <c r="I1097" s="12"/>
      <c r="J1097" s="13">
        <f t="shared" si="39"/>
        <v>0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5">
        <f t="shared" si="40"/>
        <v>0</v>
      </c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5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5"/>
      <c r="AX1097" s="16"/>
    </row>
    <row r="1098" spans="2:50" x14ac:dyDescent="0.2">
      <c r="B1098" s="7" t="s">
        <v>69</v>
      </c>
      <c r="C1098" s="8">
        <v>11810</v>
      </c>
      <c r="D1098" s="9" t="s">
        <v>696</v>
      </c>
      <c r="E1098" s="10" t="s">
        <v>697</v>
      </c>
      <c r="F1098" s="10" t="s">
        <v>698</v>
      </c>
      <c r="G1098" s="8">
        <v>1</v>
      </c>
      <c r="H1098" s="11">
        <v>300</v>
      </c>
      <c r="I1098" s="12">
        <v>42533</v>
      </c>
      <c r="J1098" s="13">
        <f t="shared" si="39"/>
        <v>0</v>
      </c>
      <c r="K1098" s="14"/>
      <c r="L1098" s="14"/>
      <c r="M1098" s="14"/>
      <c r="N1098" s="14"/>
      <c r="O1098" s="14"/>
      <c r="P1098" s="14">
        <v>300</v>
      </c>
      <c r="Q1098" s="14"/>
      <c r="R1098" s="14"/>
      <c r="S1098" s="14"/>
      <c r="T1098" s="14"/>
      <c r="U1098" s="14"/>
      <c r="V1098" s="14"/>
      <c r="W1098" s="15">
        <f t="shared" si="40"/>
        <v>300</v>
      </c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5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5"/>
      <c r="AX1098" s="16"/>
    </row>
    <row r="1099" spans="2:50" x14ac:dyDescent="0.2">
      <c r="B1099" s="7" t="s">
        <v>391</v>
      </c>
      <c r="C1099" s="8">
        <v>11811</v>
      </c>
      <c r="D1099" s="9" t="s">
        <v>887</v>
      </c>
      <c r="E1099" s="10" t="s">
        <v>888</v>
      </c>
      <c r="F1099" s="10" t="s">
        <v>889</v>
      </c>
      <c r="G1099" s="8">
        <v>1</v>
      </c>
      <c r="H1099" s="11">
        <v>1600</v>
      </c>
      <c r="I1099" s="12">
        <v>42533</v>
      </c>
      <c r="J1099" s="13">
        <f t="shared" si="39"/>
        <v>0</v>
      </c>
      <c r="K1099" s="14"/>
      <c r="L1099" s="14"/>
      <c r="M1099" s="14"/>
      <c r="N1099" s="14"/>
      <c r="O1099" s="14">
        <v>200</v>
      </c>
      <c r="P1099" s="14">
        <v>200</v>
      </c>
      <c r="Q1099" s="14">
        <v>200</v>
      </c>
      <c r="R1099" s="14">
        <v>200</v>
      </c>
      <c r="S1099" s="14">
        <v>200</v>
      </c>
      <c r="T1099" s="14">
        <v>200</v>
      </c>
      <c r="U1099" s="14">
        <v>200</v>
      </c>
      <c r="V1099" s="14">
        <v>200</v>
      </c>
      <c r="W1099" s="15">
        <f t="shared" si="40"/>
        <v>1600</v>
      </c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5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5"/>
      <c r="AX1099" s="16"/>
    </row>
    <row r="1100" spans="2:50" x14ac:dyDescent="0.2">
      <c r="B1100" s="7" t="s">
        <v>61</v>
      </c>
      <c r="C1100" s="8">
        <v>11812</v>
      </c>
      <c r="D1100" s="9" t="s">
        <v>631</v>
      </c>
      <c r="E1100" s="10" t="s">
        <v>632</v>
      </c>
      <c r="F1100" s="10" t="s">
        <v>633</v>
      </c>
      <c r="G1100" s="8">
        <v>1</v>
      </c>
      <c r="H1100" s="11">
        <v>600</v>
      </c>
      <c r="I1100" s="12">
        <v>42533</v>
      </c>
      <c r="J1100" s="13">
        <f t="shared" si="39"/>
        <v>0</v>
      </c>
      <c r="K1100" s="14"/>
      <c r="L1100" s="14"/>
      <c r="M1100" s="14"/>
      <c r="N1100" s="14"/>
      <c r="O1100" s="14">
        <v>300</v>
      </c>
      <c r="P1100" s="14">
        <v>300</v>
      </c>
      <c r="Q1100" s="14"/>
      <c r="R1100" s="14"/>
      <c r="S1100" s="14"/>
      <c r="T1100" s="14"/>
      <c r="U1100" s="14"/>
      <c r="V1100" s="14"/>
      <c r="W1100" s="15">
        <f t="shared" si="40"/>
        <v>600</v>
      </c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5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5"/>
      <c r="AX1100" s="16"/>
    </row>
    <row r="1101" spans="2:50" x14ac:dyDescent="0.2">
      <c r="B1101" s="7" t="s">
        <v>47</v>
      </c>
      <c r="C1101" s="8">
        <v>11813</v>
      </c>
      <c r="D1101" s="9" t="s">
        <v>241</v>
      </c>
      <c r="E1101" s="10" t="s">
        <v>242</v>
      </c>
      <c r="F1101" s="10" t="s">
        <v>243</v>
      </c>
      <c r="G1101" s="8">
        <v>1</v>
      </c>
      <c r="H1101" s="11">
        <v>400</v>
      </c>
      <c r="I1101" s="12">
        <v>42533</v>
      </c>
      <c r="J1101" s="13">
        <f t="shared" si="39"/>
        <v>0</v>
      </c>
      <c r="K1101" s="14"/>
      <c r="L1101" s="14"/>
      <c r="M1101" s="14"/>
      <c r="N1101" s="14"/>
      <c r="O1101" s="14"/>
      <c r="P1101" s="14">
        <v>400</v>
      </c>
      <c r="Q1101" s="14"/>
      <c r="R1101" s="14"/>
      <c r="S1101" s="14"/>
      <c r="T1101" s="14"/>
      <c r="U1101" s="14"/>
      <c r="V1101" s="14"/>
      <c r="W1101" s="15">
        <f t="shared" si="40"/>
        <v>400</v>
      </c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5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5"/>
      <c r="AX1101" s="16"/>
    </row>
    <row r="1102" spans="2:50" x14ac:dyDescent="0.2">
      <c r="B1102" s="7" t="s">
        <v>73</v>
      </c>
      <c r="C1102" s="8">
        <v>11814</v>
      </c>
      <c r="D1102" s="9" t="s">
        <v>115</v>
      </c>
      <c r="E1102" s="10" t="s">
        <v>116</v>
      </c>
      <c r="F1102" s="10" t="s">
        <v>117</v>
      </c>
      <c r="G1102" s="8">
        <v>1</v>
      </c>
      <c r="H1102" s="11">
        <v>150</v>
      </c>
      <c r="I1102" s="12">
        <v>42533</v>
      </c>
      <c r="J1102" s="13">
        <f t="shared" si="39"/>
        <v>0</v>
      </c>
      <c r="K1102" s="14"/>
      <c r="L1102" s="14"/>
      <c r="M1102" s="14"/>
      <c r="N1102" s="14"/>
      <c r="O1102" s="14"/>
      <c r="P1102" s="14">
        <v>150</v>
      </c>
      <c r="Q1102" s="14"/>
      <c r="R1102" s="14"/>
      <c r="S1102" s="14"/>
      <c r="T1102" s="14"/>
      <c r="U1102" s="14"/>
      <c r="V1102" s="14"/>
      <c r="W1102" s="15">
        <f t="shared" si="40"/>
        <v>150</v>
      </c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5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5"/>
      <c r="AX1102" s="16"/>
    </row>
    <row r="1103" spans="2:50" x14ac:dyDescent="0.2">
      <c r="B1103" s="7" t="s">
        <v>69</v>
      </c>
      <c r="C1103" s="8">
        <v>11815</v>
      </c>
      <c r="D1103" s="9" t="s">
        <v>265</v>
      </c>
      <c r="E1103" s="10" t="s">
        <v>266</v>
      </c>
      <c r="F1103" s="10" t="s">
        <v>267</v>
      </c>
      <c r="G1103" s="8">
        <v>1</v>
      </c>
      <c r="H1103" s="11">
        <v>400</v>
      </c>
      <c r="I1103" s="12">
        <v>42533</v>
      </c>
      <c r="J1103" s="13">
        <f t="shared" si="39"/>
        <v>0</v>
      </c>
      <c r="K1103" s="14"/>
      <c r="L1103" s="14"/>
      <c r="M1103" s="14"/>
      <c r="N1103" s="14"/>
      <c r="O1103" s="14"/>
      <c r="P1103" s="14">
        <v>400</v>
      </c>
      <c r="Q1103" s="14"/>
      <c r="R1103" s="14"/>
      <c r="S1103" s="14"/>
      <c r="T1103" s="14"/>
      <c r="U1103" s="14"/>
      <c r="V1103" s="14"/>
      <c r="W1103" s="15">
        <f t="shared" si="40"/>
        <v>400</v>
      </c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5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5"/>
      <c r="AX1103" s="16"/>
    </row>
    <row r="1104" spans="2:50" x14ac:dyDescent="0.2">
      <c r="B1104" s="7" t="s">
        <v>47</v>
      </c>
      <c r="C1104" s="8">
        <v>11816</v>
      </c>
      <c r="D1104" s="9" t="s">
        <v>957</v>
      </c>
      <c r="E1104" s="10" t="s">
        <v>958</v>
      </c>
      <c r="F1104" s="10" t="s">
        <v>959</v>
      </c>
      <c r="G1104" s="8">
        <v>1</v>
      </c>
      <c r="H1104" s="11">
        <v>400</v>
      </c>
      <c r="I1104" s="12">
        <v>42533</v>
      </c>
      <c r="J1104" s="13">
        <f t="shared" si="39"/>
        <v>0</v>
      </c>
      <c r="K1104" s="14"/>
      <c r="L1104" s="14"/>
      <c r="M1104" s="14"/>
      <c r="N1104" s="14"/>
      <c r="O1104" s="14"/>
      <c r="P1104" s="14">
        <v>400</v>
      </c>
      <c r="Q1104" s="14"/>
      <c r="R1104" s="14"/>
      <c r="S1104" s="14"/>
      <c r="T1104" s="14"/>
      <c r="U1104" s="14"/>
      <c r="V1104" s="14"/>
      <c r="W1104" s="15">
        <f t="shared" si="40"/>
        <v>400</v>
      </c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5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5"/>
      <c r="AX1104" s="16"/>
    </row>
    <row r="1105" spans="2:50" x14ac:dyDescent="0.2">
      <c r="B1105" s="7" t="s">
        <v>77</v>
      </c>
      <c r="C1105" s="8">
        <v>11817</v>
      </c>
      <c r="D1105" s="9" t="s">
        <v>987</v>
      </c>
      <c r="E1105" s="10" t="s">
        <v>988</v>
      </c>
      <c r="F1105" s="10" t="s">
        <v>989</v>
      </c>
      <c r="G1105" s="8">
        <v>1</v>
      </c>
      <c r="H1105" s="11">
        <v>800</v>
      </c>
      <c r="I1105" s="12">
        <v>42533</v>
      </c>
      <c r="J1105" s="13">
        <f t="shared" si="39"/>
        <v>0</v>
      </c>
      <c r="K1105" s="14">
        <v>200</v>
      </c>
      <c r="L1105" s="14">
        <v>200</v>
      </c>
      <c r="M1105" s="14">
        <v>200</v>
      </c>
      <c r="N1105" s="14">
        <v>200</v>
      </c>
      <c r="O1105" s="14"/>
      <c r="P1105" s="14"/>
      <c r="Q1105" s="14"/>
      <c r="R1105" s="14"/>
      <c r="S1105" s="14"/>
      <c r="T1105" s="14"/>
      <c r="U1105" s="14"/>
      <c r="V1105" s="14"/>
      <c r="W1105" s="15">
        <f t="shared" si="40"/>
        <v>800</v>
      </c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5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5"/>
      <c r="AX1105" s="16"/>
    </row>
    <row r="1106" spans="2:50" x14ac:dyDescent="0.2">
      <c r="B1106" s="7" t="s">
        <v>73</v>
      </c>
      <c r="C1106" s="8">
        <v>11818</v>
      </c>
      <c r="D1106" s="9" t="s">
        <v>407</v>
      </c>
      <c r="E1106" s="10" t="s">
        <v>408</v>
      </c>
      <c r="F1106" s="10" t="s">
        <v>409</v>
      </c>
      <c r="G1106" s="8">
        <v>1</v>
      </c>
      <c r="H1106" s="11">
        <v>400</v>
      </c>
      <c r="I1106" s="12">
        <v>42533</v>
      </c>
      <c r="J1106" s="13">
        <f t="shared" si="39"/>
        <v>0</v>
      </c>
      <c r="K1106" s="14"/>
      <c r="L1106" s="14"/>
      <c r="M1106" s="14"/>
      <c r="N1106" s="14"/>
      <c r="O1106" s="14"/>
      <c r="P1106" s="14">
        <v>400</v>
      </c>
      <c r="Q1106" s="14"/>
      <c r="R1106" s="14"/>
      <c r="S1106" s="14"/>
      <c r="T1106" s="14"/>
      <c r="U1106" s="14"/>
      <c r="V1106" s="14"/>
      <c r="W1106" s="15">
        <f t="shared" si="40"/>
        <v>400</v>
      </c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5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5"/>
      <c r="AX1106" s="16"/>
    </row>
    <row r="1107" spans="2:50" x14ac:dyDescent="0.2">
      <c r="B1107" s="7" t="s">
        <v>37</v>
      </c>
      <c r="C1107" s="8">
        <v>11819</v>
      </c>
      <c r="D1107" s="9" t="s">
        <v>295</v>
      </c>
      <c r="E1107" s="10" t="s">
        <v>296</v>
      </c>
      <c r="F1107" s="10" t="s">
        <v>297</v>
      </c>
      <c r="G1107" s="8">
        <v>1</v>
      </c>
      <c r="H1107" s="11">
        <v>300</v>
      </c>
      <c r="I1107" s="12">
        <v>42533</v>
      </c>
      <c r="J1107" s="13">
        <f t="shared" si="39"/>
        <v>0</v>
      </c>
      <c r="K1107" s="14"/>
      <c r="L1107" s="14"/>
      <c r="M1107" s="14"/>
      <c r="N1107" s="14"/>
      <c r="O1107" s="14"/>
      <c r="P1107" s="14">
        <v>300</v>
      </c>
      <c r="Q1107" s="14"/>
      <c r="R1107" s="14"/>
      <c r="S1107" s="14"/>
      <c r="T1107" s="14"/>
      <c r="U1107" s="14"/>
      <c r="V1107" s="14"/>
      <c r="W1107" s="15">
        <f t="shared" si="40"/>
        <v>300</v>
      </c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5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5"/>
      <c r="AX1107" s="16"/>
    </row>
    <row r="1108" spans="2:50" x14ac:dyDescent="0.2">
      <c r="B1108" s="7" t="s">
        <v>47</v>
      </c>
      <c r="C1108" s="8">
        <v>11820</v>
      </c>
      <c r="D1108" s="9" t="s">
        <v>425</v>
      </c>
      <c r="E1108" s="10" t="s">
        <v>426</v>
      </c>
      <c r="F1108" s="10" t="s">
        <v>427</v>
      </c>
      <c r="G1108" s="8">
        <v>1</v>
      </c>
      <c r="H1108" s="11">
        <v>400</v>
      </c>
      <c r="I1108" s="12">
        <v>42533</v>
      </c>
      <c r="J1108" s="13">
        <f t="shared" si="39"/>
        <v>0</v>
      </c>
      <c r="K1108" s="14"/>
      <c r="L1108" s="14"/>
      <c r="M1108" s="14"/>
      <c r="N1108" s="14"/>
      <c r="O1108" s="14"/>
      <c r="P1108" s="14">
        <v>400</v>
      </c>
      <c r="Q1108" s="14"/>
      <c r="R1108" s="14"/>
      <c r="S1108" s="14"/>
      <c r="T1108" s="14"/>
      <c r="U1108" s="14"/>
      <c r="V1108" s="14"/>
      <c r="W1108" s="15">
        <f t="shared" si="40"/>
        <v>400</v>
      </c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5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5"/>
      <c r="AX1108" s="16"/>
    </row>
    <row r="1109" spans="2:50" x14ac:dyDescent="0.2">
      <c r="B1109" s="7" t="s">
        <v>73</v>
      </c>
      <c r="C1109" s="8">
        <v>11821</v>
      </c>
      <c r="D1109" s="9" t="s">
        <v>649</v>
      </c>
      <c r="E1109" s="10" t="s">
        <v>650</v>
      </c>
      <c r="F1109" s="10" t="s">
        <v>651</v>
      </c>
      <c r="G1109" s="8">
        <v>1</v>
      </c>
      <c r="H1109" s="11">
        <v>300</v>
      </c>
      <c r="I1109" s="12">
        <v>42533</v>
      </c>
      <c r="J1109" s="13">
        <f t="shared" si="39"/>
        <v>0</v>
      </c>
      <c r="K1109" s="14"/>
      <c r="L1109" s="14"/>
      <c r="M1109" s="14"/>
      <c r="N1109" s="14"/>
      <c r="O1109" s="14"/>
      <c r="P1109" s="14">
        <v>300</v>
      </c>
      <c r="Q1109" s="14"/>
      <c r="R1109" s="14"/>
      <c r="S1109" s="14"/>
      <c r="T1109" s="14"/>
      <c r="U1109" s="14"/>
      <c r="V1109" s="14"/>
      <c r="W1109" s="15">
        <f t="shared" si="40"/>
        <v>300</v>
      </c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5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5"/>
      <c r="AX1109" s="16"/>
    </row>
    <row r="1110" spans="2:50" x14ac:dyDescent="0.2">
      <c r="B1110" s="7" t="s">
        <v>122</v>
      </c>
      <c r="C1110" s="8">
        <v>11822</v>
      </c>
      <c r="D1110" s="9" t="s">
        <v>256</v>
      </c>
      <c r="E1110" s="10" t="s">
        <v>257</v>
      </c>
      <c r="F1110" s="10" t="s">
        <v>258</v>
      </c>
      <c r="G1110" s="8">
        <v>1</v>
      </c>
      <c r="H1110" s="11">
        <v>300</v>
      </c>
      <c r="I1110" s="12">
        <v>42533</v>
      </c>
      <c r="J1110" s="13">
        <f t="shared" si="39"/>
        <v>0</v>
      </c>
      <c r="K1110" s="14"/>
      <c r="L1110" s="14"/>
      <c r="M1110" s="14"/>
      <c r="N1110" s="14"/>
      <c r="O1110" s="14"/>
      <c r="P1110" s="14">
        <v>300</v>
      </c>
      <c r="Q1110" s="14"/>
      <c r="R1110" s="14"/>
      <c r="S1110" s="14"/>
      <c r="T1110" s="14"/>
      <c r="U1110" s="14"/>
      <c r="V1110" s="14"/>
      <c r="W1110" s="15">
        <f t="shared" si="40"/>
        <v>300</v>
      </c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5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5"/>
      <c r="AX1110" s="16"/>
    </row>
    <row r="1111" spans="2:50" x14ac:dyDescent="0.2">
      <c r="B1111" s="7" t="s">
        <v>122</v>
      </c>
      <c r="C1111" s="8">
        <v>11823</v>
      </c>
      <c r="D1111" s="9" t="s">
        <v>331</v>
      </c>
      <c r="E1111" s="10" t="s">
        <v>332</v>
      </c>
      <c r="F1111" s="10" t="s">
        <v>333</v>
      </c>
      <c r="G1111" s="8">
        <v>1</v>
      </c>
      <c r="H1111" s="11">
        <v>400</v>
      </c>
      <c r="I1111" s="12">
        <v>42533</v>
      </c>
      <c r="J1111" s="13">
        <f t="shared" si="39"/>
        <v>0</v>
      </c>
      <c r="K1111" s="14"/>
      <c r="L1111" s="14"/>
      <c r="M1111" s="14"/>
      <c r="N1111" s="14"/>
      <c r="O1111" s="14"/>
      <c r="P1111" s="14">
        <v>400</v>
      </c>
      <c r="Q1111" s="14"/>
      <c r="R1111" s="14"/>
      <c r="S1111" s="14"/>
      <c r="T1111" s="14"/>
      <c r="U1111" s="14"/>
      <c r="V1111" s="14"/>
      <c r="W1111" s="15">
        <f t="shared" si="40"/>
        <v>400</v>
      </c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5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5"/>
      <c r="AX1111" s="16"/>
    </row>
    <row r="1112" spans="2:50" x14ac:dyDescent="0.2">
      <c r="B1112" s="7" t="s">
        <v>73</v>
      </c>
      <c r="C1112" s="8">
        <v>11824</v>
      </c>
      <c r="D1112" s="9" t="s">
        <v>846</v>
      </c>
      <c r="E1112" s="10" t="s">
        <v>847</v>
      </c>
      <c r="F1112" s="10" t="s">
        <v>848</v>
      </c>
      <c r="G1112" s="8">
        <v>1</v>
      </c>
      <c r="H1112" s="11">
        <v>800</v>
      </c>
      <c r="I1112" s="12">
        <v>42533</v>
      </c>
      <c r="J1112" s="13">
        <f t="shared" si="39"/>
        <v>0</v>
      </c>
      <c r="K1112" s="14"/>
      <c r="L1112" s="14"/>
      <c r="M1112" s="14"/>
      <c r="N1112" s="14"/>
      <c r="O1112" s="14"/>
      <c r="P1112" s="14">
        <v>400</v>
      </c>
      <c r="Q1112" s="14">
        <v>400</v>
      </c>
      <c r="R1112" s="14"/>
      <c r="S1112" s="14"/>
      <c r="T1112" s="14"/>
      <c r="U1112" s="14"/>
      <c r="V1112" s="14"/>
      <c r="W1112" s="15">
        <f t="shared" si="40"/>
        <v>800</v>
      </c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5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5"/>
      <c r="AX1112" s="16"/>
    </row>
    <row r="1113" spans="2:50" x14ac:dyDescent="0.2">
      <c r="B1113" s="7" t="s">
        <v>47</v>
      </c>
      <c r="C1113" s="8">
        <v>11825</v>
      </c>
      <c r="D1113" s="9" t="s">
        <v>990</v>
      </c>
      <c r="E1113" s="10" t="s">
        <v>991</v>
      </c>
      <c r="F1113" s="10" t="s">
        <v>992</v>
      </c>
      <c r="G1113" s="8">
        <v>1</v>
      </c>
      <c r="H1113" s="11">
        <v>400</v>
      </c>
      <c r="I1113" s="12">
        <v>42533</v>
      </c>
      <c r="J1113" s="13">
        <f t="shared" si="39"/>
        <v>0</v>
      </c>
      <c r="K1113" s="14"/>
      <c r="L1113" s="14"/>
      <c r="M1113" s="14"/>
      <c r="N1113" s="14"/>
      <c r="O1113" s="14"/>
      <c r="P1113" s="14">
        <v>200</v>
      </c>
      <c r="Q1113" s="14">
        <v>200</v>
      </c>
      <c r="R1113" s="14"/>
      <c r="S1113" s="14"/>
      <c r="T1113" s="14"/>
      <c r="U1113" s="14"/>
      <c r="V1113" s="14"/>
      <c r="W1113" s="15">
        <f t="shared" si="40"/>
        <v>400</v>
      </c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5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5"/>
      <c r="AX1113" s="16"/>
    </row>
    <row r="1114" spans="2:50" x14ac:dyDescent="0.2">
      <c r="B1114" s="7" t="s">
        <v>77</v>
      </c>
      <c r="C1114" s="8">
        <v>11826</v>
      </c>
      <c r="D1114" s="9" t="s">
        <v>556</v>
      </c>
      <c r="E1114" s="10" t="s">
        <v>557</v>
      </c>
      <c r="F1114" s="10" t="s">
        <v>558</v>
      </c>
      <c r="G1114" s="8">
        <v>1</v>
      </c>
      <c r="H1114" s="11">
        <v>1200</v>
      </c>
      <c r="I1114" s="12">
        <v>42533</v>
      </c>
      <c r="J1114" s="13">
        <f t="shared" si="39"/>
        <v>0</v>
      </c>
      <c r="K1114" s="14"/>
      <c r="L1114" s="14">
        <v>400</v>
      </c>
      <c r="M1114" s="14">
        <v>400</v>
      </c>
      <c r="N1114" s="14">
        <v>400</v>
      </c>
      <c r="O1114" s="14"/>
      <c r="P1114" s="14"/>
      <c r="Q1114" s="14"/>
      <c r="R1114" s="14"/>
      <c r="S1114" s="14"/>
      <c r="T1114" s="14"/>
      <c r="U1114" s="14"/>
      <c r="V1114" s="14"/>
      <c r="W1114" s="15">
        <f t="shared" si="40"/>
        <v>1200</v>
      </c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5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5"/>
      <c r="AX1114" s="16"/>
    </row>
    <row r="1115" spans="2:50" x14ac:dyDescent="0.2">
      <c r="B1115" s="7" t="s">
        <v>73</v>
      </c>
      <c r="C1115" s="8">
        <v>11827</v>
      </c>
      <c r="D1115" s="9" t="s">
        <v>785</v>
      </c>
      <c r="E1115" s="10" t="s">
        <v>786</v>
      </c>
      <c r="F1115" s="10" t="s">
        <v>787</v>
      </c>
      <c r="G1115" s="8">
        <v>1</v>
      </c>
      <c r="H1115" s="11">
        <v>200</v>
      </c>
      <c r="I1115" s="12">
        <v>42533</v>
      </c>
      <c r="J1115" s="13">
        <f t="shared" si="39"/>
        <v>0</v>
      </c>
      <c r="K1115" s="14"/>
      <c r="L1115" s="14"/>
      <c r="M1115" s="14"/>
      <c r="N1115" s="14"/>
      <c r="O1115" s="14"/>
      <c r="P1115" s="14">
        <v>200</v>
      </c>
      <c r="Q1115" s="14"/>
      <c r="R1115" s="14"/>
      <c r="S1115" s="14"/>
      <c r="T1115" s="14"/>
      <c r="U1115" s="14"/>
      <c r="V1115" s="14"/>
      <c r="W1115" s="15">
        <f t="shared" si="40"/>
        <v>200</v>
      </c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5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5"/>
      <c r="AX1115" s="16"/>
    </row>
    <row r="1116" spans="2:50" x14ac:dyDescent="0.2">
      <c r="B1116" s="7" t="s">
        <v>37</v>
      </c>
      <c r="C1116" s="8">
        <v>11828</v>
      </c>
      <c r="D1116" s="9" t="s">
        <v>307</v>
      </c>
      <c r="E1116" s="10" t="s">
        <v>308</v>
      </c>
      <c r="F1116" s="10" t="s">
        <v>309</v>
      </c>
      <c r="G1116" s="8">
        <v>1</v>
      </c>
      <c r="H1116" s="11">
        <v>350</v>
      </c>
      <c r="I1116" s="12">
        <v>42533</v>
      </c>
      <c r="J1116" s="13">
        <f t="shared" si="39"/>
        <v>0</v>
      </c>
      <c r="K1116" s="14"/>
      <c r="L1116" s="14"/>
      <c r="M1116" s="14"/>
      <c r="N1116" s="14"/>
      <c r="O1116" s="14"/>
      <c r="P1116" s="14">
        <v>350</v>
      </c>
      <c r="Q1116" s="14"/>
      <c r="R1116" s="14"/>
      <c r="S1116" s="14"/>
      <c r="T1116" s="14"/>
      <c r="U1116" s="14"/>
      <c r="V1116" s="14"/>
      <c r="W1116" s="15">
        <f t="shared" si="40"/>
        <v>350</v>
      </c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5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5"/>
      <c r="AX1116" s="16"/>
    </row>
    <row r="1117" spans="2:50" x14ac:dyDescent="0.2">
      <c r="B1117" s="7" t="s">
        <v>37</v>
      </c>
      <c r="C1117" s="8">
        <v>11829</v>
      </c>
      <c r="D1117" s="9" t="s">
        <v>38</v>
      </c>
      <c r="E1117" s="10" t="s">
        <v>993</v>
      </c>
      <c r="F1117" s="10" t="s">
        <v>994</v>
      </c>
      <c r="G1117" s="8">
        <v>1</v>
      </c>
      <c r="H1117" s="11">
        <v>900</v>
      </c>
      <c r="I1117" s="12">
        <v>42533</v>
      </c>
      <c r="J1117" s="13">
        <f t="shared" si="39"/>
        <v>0</v>
      </c>
      <c r="K1117" s="14"/>
      <c r="L1117" s="14"/>
      <c r="M1117" s="14"/>
      <c r="N1117" s="14"/>
      <c r="O1117" s="14"/>
      <c r="P1117" s="14"/>
      <c r="Q1117" s="14">
        <v>150</v>
      </c>
      <c r="R1117" s="14">
        <v>150</v>
      </c>
      <c r="S1117" s="14">
        <v>150</v>
      </c>
      <c r="T1117" s="14">
        <v>150</v>
      </c>
      <c r="U1117" s="14">
        <v>150</v>
      </c>
      <c r="V1117" s="14">
        <v>150</v>
      </c>
      <c r="W1117" s="15">
        <f t="shared" si="40"/>
        <v>900</v>
      </c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5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5"/>
      <c r="AX1117" s="16"/>
    </row>
    <row r="1118" spans="2:50" x14ac:dyDescent="0.2">
      <c r="B1118" s="7" t="s">
        <v>47</v>
      </c>
      <c r="C1118" s="8">
        <v>11830</v>
      </c>
      <c r="D1118" s="9" t="s">
        <v>313</v>
      </c>
      <c r="E1118" s="10" t="s">
        <v>314</v>
      </c>
      <c r="F1118" s="10" t="s">
        <v>315</v>
      </c>
      <c r="G1118" s="8">
        <v>1</v>
      </c>
      <c r="H1118" s="11">
        <v>400</v>
      </c>
      <c r="I1118" s="12">
        <v>42533</v>
      </c>
      <c r="J1118" s="13">
        <f t="shared" si="39"/>
        <v>0</v>
      </c>
      <c r="K1118" s="14"/>
      <c r="L1118" s="14"/>
      <c r="M1118" s="14"/>
      <c r="N1118" s="14"/>
      <c r="O1118" s="14"/>
      <c r="P1118" s="14">
        <v>400</v>
      </c>
      <c r="Q1118" s="14"/>
      <c r="R1118" s="14"/>
      <c r="S1118" s="14"/>
      <c r="T1118" s="14"/>
      <c r="U1118" s="14"/>
      <c r="V1118" s="14"/>
      <c r="W1118" s="15">
        <f t="shared" si="40"/>
        <v>400</v>
      </c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5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5"/>
      <c r="AX1118" s="16"/>
    </row>
    <row r="1119" spans="2:50" x14ac:dyDescent="0.2">
      <c r="B1119" s="7" t="s">
        <v>77</v>
      </c>
      <c r="C1119" s="8">
        <v>11831</v>
      </c>
      <c r="D1119" s="9" t="s">
        <v>725</v>
      </c>
      <c r="E1119" s="10" t="s">
        <v>726</v>
      </c>
      <c r="F1119" s="10" t="s">
        <v>727</v>
      </c>
      <c r="G1119" s="8">
        <v>1</v>
      </c>
      <c r="H1119" s="11">
        <v>800</v>
      </c>
      <c r="I1119" s="12">
        <v>42533</v>
      </c>
      <c r="J1119" s="13">
        <f t="shared" si="39"/>
        <v>0</v>
      </c>
      <c r="K1119" s="14"/>
      <c r="L1119" s="14"/>
      <c r="M1119" s="14"/>
      <c r="N1119" s="14"/>
      <c r="O1119" s="14">
        <v>400</v>
      </c>
      <c r="P1119" s="14">
        <v>400</v>
      </c>
      <c r="Q1119" s="14"/>
      <c r="R1119" s="14"/>
      <c r="S1119" s="14"/>
      <c r="T1119" s="14"/>
      <c r="U1119" s="14"/>
      <c r="V1119" s="14"/>
      <c r="W1119" s="15">
        <f t="shared" si="40"/>
        <v>800</v>
      </c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5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5"/>
      <c r="AX1119" s="16"/>
    </row>
    <row r="1120" spans="2:50" x14ac:dyDescent="0.2">
      <c r="B1120" s="7" t="s">
        <v>69</v>
      </c>
      <c r="C1120" s="8">
        <v>11832</v>
      </c>
      <c r="D1120" s="9" t="s">
        <v>370</v>
      </c>
      <c r="E1120" s="10" t="s">
        <v>371</v>
      </c>
      <c r="F1120" s="10" t="s">
        <v>372</v>
      </c>
      <c r="G1120" s="8">
        <v>1</v>
      </c>
      <c r="H1120" s="11">
        <v>450</v>
      </c>
      <c r="I1120" s="12">
        <v>42533</v>
      </c>
      <c r="J1120" s="13">
        <f t="shared" si="39"/>
        <v>0</v>
      </c>
      <c r="K1120" s="14"/>
      <c r="L1120" s="14"/>
      <c r="M1120" s="14"/>
      <c r="N1120" s="14"/>
      <c r="O1120" s="14"/>
      <c r="P1120" s="14">
        <v>150</v>
      </c>
      <c r="Q1120" s="14">
        <v>150</v>
      </c>
      <c r="R1120" s="14">
        <v>150</v>
      </c>
      <c r="S1120" s="14"/>
      <c r="T1120" s="14"/>
      <c r="U1120" s="14"/>
      <c r="V1120" s="14"/>
      <c r="W1120" s="15">
        <f t="shared" si="40"/>
        <v>450</v>
      </c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5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5"/>
      <c r="AX1120" s="16"/>
    </row>
    <row r="1121" spans="2:50" x14ac:dyDescent="0.2">
      <c r="B1121" s="7" t="s">
        <v>47</v>
      </c>
      <c r="C1121" s="8">
        <v>11833</v>
      </c>
      <c r="D1121" s="9" t="s">
        <v>990</v>
      </c>
      <c r="E1121" s="10" t="s">
        <v>991</v>
      </c>
      <c r="F1121" s="10" t="s">
        <v>992</v>
      </c>
      <c r="G1121" s="8">
        <v>3</v>
      </c>
      <c r="H1121" s="11">
        <v>160</v>
      </c>
      <c r="I1121" s="12">
        <v>42533</v>
      </c>
      <c r="J1121" s="13">
        <f t="shared" si="39"/>
        <v>0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5">
        <f t="shared" si="40"/>
        <v>0</v>
      </c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5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5"/>
      <c r="AX1121" s="16"/>
    </row>
    <row r="1122" spans="2:50" x14ac:dyDescent="0.2">
      <c r="B1122" s="7" t="s">
        <v>47</v>
      </c>
      <c r="C1122" s="8">
        <v>11833</v>
      </c>
      <c r="D1122" s="9" t="s">
        <v>990</v>
      </c>
      <c r="E1122" s="10" t="s">
        <v>991</v>
      </c>
      <c r="F1122" s="10" t="s">
        <v>992</v>
      </c>
      <c r="G1122" s="8">
        <v>4</v>
      </c>
      <c r="H1122" s="11">
        <v>160</v>
      </c>
      <c r="I1122" s="12">
        <v>42533</v>
      </c>
      <c r="J1122" s="13">
        <f t="shared" si="39"/>
        <v>0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5">
        <f t="shared" si="40"/>
        <v>0</v>
      </c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5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5"/>
      <c r="AX1122" s="7">
        <v>883</v>
      </c>
    </row>
    <row r="1123" spans="2:50" x14ac:dyDescent="0.2">
      <c r="B1123" s="7" t="s">
        <v>77</v>
      </c>
      <c r="C1123" s="8">
        <v>11834</v>
      </c>
      <c r="D1123" s="9" t="s">
        <v>725</v>
      </c>
      <c r="E1123" s="10" t="s">
        <v>726</v>
      </c>
      <c r="F1123" s="10" t="s">
        <v>727</v>
      </c>
      <c r="G1123" s="8">
        <v>3</v>
      </c>
      <c r="H1123" s="11">
        <v>160</v>
      </c>
      <c r="I1123" s="12">
        <v>42533</v>
      </c>
      <c r="J1123" s="13">
        <f t="shared" si="39"/>
        <v>0</v>
      </c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5">
        <f t="shared" si="40"/>
        <v>0</v>
      </c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5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5"/>
      <c r="AX1123" s="16"/>
    </row>
    <row r="1124" spans="2:50" x14ac:dyDescent="0.2">
      <c r="B1124" s="7" t="s">
        <v>93</v>
      </c>
      <c r="C1124" s="8">
        <v>11835</v>
      </c>
      <c r="D1124" s="9"/>
      <c r="E1124" s="10" t="s">
        <v>93</v>
      </c>
      <c r="F1124" s="10" t="s">
        <v>93</v>
      </c>
      <c r="G1124" s="8">
        <v>8</v>
      </c>
      <c r="H1124" s="11"/>
      <c r="I1124" s="12"/>
      <c r="J1124" s="13">
        <f t="shared" si="39"/>
        <v>0</v>
      </c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5">
        <f t="shared" si="40"/>
        <v>0</v>
      </c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5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5"/>
      <c r="AX1124" s="16"/>
    </row>
    <row r="1125" spans="2:50" x14ac:dyDescent="0.2">
      <c r="B1125" s="7" t="s">
        <v>69</v>
      </c>
      <c r="C1125" s="8">
        <v>11836</v>
      </c>
      <c r="D1125" s="9" t="s">
        <v>740</v>
      </c>
      <c r="E1125" s="10" t="s">
        <v>741</v>
      </c>
      <c r="F1125" s="10" t="s">
        <v>742</v>
      </c>
      <c r="G1125" s="8">
        <v>1</v>
      </c>
      <c r="H1125" s="11">
        <v>800</v>
      </c>
      <c r="I1125" s="12">
        <v>42533</v>
      </c>
      <c r="J1125" s="13">
        <f t="shared" si="39"/>
        <v>0</v>
      </c>
      <c r="K1125" s="14"/>
      <c r="L1125" s="14"/>
      <c r="M1125" s="14"/>
      <c r="N1125" s="14"/>
      <c r="O1125" s="14">
        <v>400</v>
      </c>
      <c r="P1125" s="14">
        <v>400</v>
      </c>
      <c r="Q1125" s="14"/>
      <c r="R1125" s="14"/>
      <c r="S1125" s="14"/>
      <c r="T1125" s="14"/>
      <c r="U1125" s="14"/>
      <c r="V1125" s="14"/>
      <c r="W1125" s="15">
        <f t="shared" si="40"/>
        <v>800</v>
      </c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5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5"/>
      <c r="AX1125" s="16"/>
    </row>
    <row r="1126" spans="2:50" x14ac:dyDescent="0.2">
      <c r="B1126" s="7" t="s">
        <v>37</v>
      </c>
      <c r="C1126" s="8">
        <v>11837</v>
      </c>
      <c r="D1126" s="9" t="s">
        <v>431</v>
      </c>
      <c r="E1126" s="10" t="s">
        <v>432</v>
      </c>
      <c r="F1126" s="10" t="s">
        <v>433</v>
      </c>
      <c r="G1126" s="8">
        <v>1</v>
      </c>
      <c r="H1126" s="11">
        <v>400</v>
      </c>
      <c r="I1126" s="12">
        <v>42533</v>
      </c>
      <c r="J1126" s="13">
        <f t="shared" si="39"/>
        <v>0</v>
      </c>
      <c r="K1126" s="14"/>
      <c r="L1126" s="14"/>
      <c r="M1126" s="14"/>
      <c r="N1126" s="14"/>
      <c r="O1126" s="14">
        <v>400</v>
      </c>
      <c r="P1126" s="14"/>
      <c r="Q1126" s="14"/>
      <c r="R1126" s="14"/>
      <c r="S1126" s="14"/>
      <c r="T1126" s="14"/>
      <c r="U1126" s="14"/>
      <c r="V1126" s="14"/>
      <c r="W1126" s="15">
        <f t="shared" si="40"/>
        <v>400</v>
      </c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5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5"/>
      <c r="AX1126" s="16"/>
    </row>
    <row r="1127" spans="2:50" x14ac:dyDescent="0.2">
      <c r="B1127" s="7" t="s">
        <v>73</v>
      </c>
      <c r="C1127" s="8">
        <v>11838</v>
      </c>
      <c r="D1127" s="9" t="s">
        <v>571</v>
      </c>
      <c r="E1127" s="10" t="s">
        <v>572</v>
      </c>
      <c r="F1127" s="10" t="s">
        <v>573</v>
      </c>
      <c r="G1127" s="8">
        <v>1</v>
      </c>
      <c r="H1127" s="11">
        <v>600</v>
      </c>
      <c r="I1127" s="12">
        <v>42533</v>
      </c>
      <c r="J1127" s="13">
        <f t="shared" si="39"/>
        <v>0</v>
      </c>
      <c r="K1127" s="14">
        <v>200</v>
      </c>
      <c r="L1127" s="14">
        <v>200</v>
      </c>
      <c r="M1127" s="14"/>
      <c r="N1127" s="14"/>
      <c r="O1127" s="14"/>
      <c r="P1127" s="14">
        <v>200</v>
      </c>
      <c r="Q1127" s="14"/>
      <c r="R1127" s="14"/>
      <c r="S1127" s="14"/>
      <c r="T1127" s="14"/>
      <c r="U1127" s="14"/>
      <c r="V1127" s="14"/>
      <c r="W1127" s="15">
        <f t="shared" si="40"/>
        <v>600</v>
      </c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5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5"/>
      <c r="AX1127" s="16"/>
    </row>
    <row r="1128" spans="2:50" x14ac:dyDescent="0.2">
      <c r="B1128" s="7" t="s">
        <v>73</v>
      </c>
      <c r="C1128" s="8">
        <v>11839</v>
      </c>
      <c r="D1128" s="9" t="s">
        <v>259</v>
      </c>
      <c r="E1128" s="10" t="s">
        <v>260</v>
      </c>
      <c r="F1128" s="10" t="s">
        <v>261</v>
      </c>
      <c r="G1128" s="8">
        <v>1</v>
      </c>
      <c r="H1128" s="11">
        <v>400</v>
      </c>
      <c r="I1128" s="12">
        <v>42533</v>
      </c>
      <c r="J1128" s="13">
        <f t="shared" si="39"/>
        <v>0</v>
      </c>
      <c r="K1128" s="14"/>
      <c r="L1128" s="14"/>
      <c r="M1128" s="14"/>
      <c r="N1128" s="14"/>
      <c r="O1128" s="14"/>
      <c r="P1128" s="14">
        <v>400</v>
      </c>
      <c r="Q1128" s="14"/>
      <c r="R1128" s="14"/>
      <c r="S1128" s="14"/>
      <c r="T1128" s="14"/>
      <c r="U1128" s="14"/>
      <c r="V1128" s="14"/>
      <c r="W1128" s="15">
        <f t="shared" si="40"/>
        <v>400</v>
      </c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5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5"/>
      <c r="AX1128" s="16"/>
    </row>
    <row r="1129" spans="2:50" x14ac:dyDescent="0.2">
      <c r="B1129" s="7" t="s">
        <v>47</v>
      </c>
      <c r="C1129" s="8">
        <v>11840</v>
      </c>
      <c r="D1129" s="9" t="s">
        <v>153</v>
      </c>
      <c r="E1129" s="10" t="s">
        <v>154</v>
      </c>
      <c r="F1129" s="10" t="s">
        <v>155</v>
      </c>
      <c r="G1129" s="8">
        <v>1</v>
      </c>
      <c r="H1129" s="11">
        <v>400</v>
      </c>
      <c r="I1129" s="12">
        <v>42533</v>
      </c>
      <c r="J1129" s="13">
        <f t="shared" si="39"/>
        <v>0</v>
      </c>
      <c r="K1129" s="14"/>
      <c r="L1129" s="14"/>
      <c r="M1129" s="14"/>
      <c r="N1129" s="14"/>
      <c r="O1129" s="14"/>
      <c r="P1129" s="14">
        <v>400</v>
      </c>
      <c r="Q1129" s="14"/>
      <c r="R1129" s="14"/>
      <c r="S1129" s="14"/>
      <c r="T1129" s="14"/>
      <c r="U1129" s="14"/>
      <c r="V1129" s="14"/>
      <c r="W1129" s="15">
        <f t="shared" si="40"/>
        <v>400</v>
      </c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5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5"/>
      <c r="AX1129" s="16"/>
    </row>
    <row r="1130" spans="2:50" x14ac:dyDescent="0.2">
      <c r="B1130" s="7" t="s">
        <v>47</v>
      </c>
      <c r="C1130" s="8">
        <v>11841</v>
      </c>
      <c r="D1130" s="9" t="s">
        <v>189</v>
      </c>
      <c r="E1130" s="10" t="s">
        <v>190</v>
      </c>
      <c r="F1130" s="10" t="s">
        <v>191</v>
      </c>
      <c r="G1130" s="8">
        <v>1</v>
      </c>
      <c r="H1130" s="11">
        <v>400</v>
      </c>
      <c r="I1130" s="12">
        <v>42533</v>
      </c>
      <c r="J1130" s="13">
        <f t="shared" si="39"/>
        <v>0</v>
      </c>
      <c r="K1130" s="14"/>
      <c r="L1130" s="14"/>
      <c r="M1130" s="14"/>
      <c r="N1130" s="14"/>
      <c r="O1130" s="14">
        <v>400</v>
      </c>
      <c r="P1130" s="14"/>
      <c r="Q1130" s="14"/>
      <c r="R1130" s="14"/>
      <c r="S1130" s="14"/>
      <c r="T1130" s="14"/>
      <c r="U1130" s="14"/>
      <c r="V1130" s="14"/>
      <c r="W1130" s="15">
        <f t="shared" si="40"/>
        <v>400</v>
      </c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5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5"/>
      <c r="AX1130" s="16"/>
    </row>
    <row r="1131" spans="2:50" x14ac:dyDescent="0.2">
      <c r="B1131" s="7" t="s">
        <v>73</v>
      </c>
      <c r="C1131" s="8">
        <v>11842</v>
      </c>
      <c r="D1131" s="9" t="s">
        <v>929</v>
      </c>
      <c r="E1131" s="10" t="s">
        <v>930</v>
      </c>
      <c r="F1131" s="10" t="s">
        <v>931</v>
      </c>
      <c r="G1131" s="8">
        <v>1</v>
      </c>
      <c r="H1131" s="11">
        <v>750</v>
      </c>
      <c r="I1131" s="12">
        <v>42533</v>
      </c>
      <c r="J1131" s="13">
        <f t="shared" si="39"/>
        <v>0</v>
      </c>
      <c r="K1131" s="14"/>
      <c r="L1131" s="14">
        <v>150</v>
      </c>
      <c r="M1131" s="14">
        <v>150</v>
      </c>
      <c r="N1131" s="14">
        <v>150</v>
      </c>
      <c r="O1131" s="14">
        <v>150</v>
      </c>
      <c r="P1131" s="14">
        <v>150</v>
      </c>
      <c r="Q1131" s="14"/>
      <c r="R1131" s="14"/>
      <c r="S1131" s="14"/>
      <c r="T1131" s="14"/>
      <c r="U1131" s="14"/>
      <c r="V1131" s="14"/>
      <c r="W1131" s="15">
        <f t="shared" si="40"/>
        <v>750</v>
      </c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5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5"/>
      <c r="AX1131" s="16"/>
    </row>
    <row r="1132" spans="2:50" x14ac:dyDescent="0.2">
      <c r="B1132" s="7" t="s">
        <v>73</v>
      </c>
      <c r="C1132" s="8">
        <v>11843</v>
      </c>
      <c r="D1132" s="9" t="s">
        <v>926</v>
      </c>
      <c r="E1132" s="10" t="s">
        <v>927</v>
      </c>
      <c r="F1132" s="10" t="s">
        <v>928</v>
      </c>
      <c r="G1132" s="8">
        <v>1</v>
      </c>
      <c r="H1132" s="11">
        <v>750</v>
      </c>
      <c r="I1132" s="12">
        <v>42533</v>
      </c>
      <c r="J1132" s="13">
        <f t="shared" si="39"/>
        <v>0</v>
      </c>
      <c r="K1132" s="14"/>
      <c r="L1132" s="14">
        <v>150</v>
      </c>
      <c r="M1132" s="14">
        <v>150</v>
      </c>
      <c r="N1132" s="14">
        <v>150</v>
      </c>
      <c r="O1132" s="14">
        <v>150</v>
      </c>
      <c r="P1132" s="14">
        <v>150</v>
      </c>
      <c r="Q1132" s="14"/>
      <c r="R1132" s="14"/>
      <c r="S1132" s="14"/>
      <c r="T1132" s="14"/>
      <c r="U1132" s="14"/>
      <c r="V1132" s="14"/>
      <c r="W1132" s="15">
        <f t="shared" si="40"/>
        <v>750</v>
      </c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5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5"/>
      <c r="AX1132" s="16"/>
    </row>
    <row r="1133" spans="2:50" x14ac:dyDescent="0.2">
      <c r="B1133" s="7" t="s">
        <v>73</v>
      </c>
      <c r="C1133" s="8">
        <v>11844</v>
      </c>
      <c r="D1133" s="9" t="s">
        <v>355</v>
      </c>
      <c r="E1133" s="10" t="s">
        <v>356</v>
      </c>
      <c r="F1133" s="10" t="s">
        <v>357</v>
      </c>
      <c r="G1133" s="8">
        <v>1</v>
      </c>
      <c r="H1133" s="11">
        <v>1200</v>
      </c>
      <c r="I1133" s="12">
        <v>42533</v>
      </c>
      <c r="J1133" s="13">
        <f t="shared" si="39"/>
        <v>0</v>
      </c>
      <c r="K1133" s="14"/>
      <c r="L1133" s="14"/>
      <c r="M1133" s="14"/>
      <c r="N1133" s="14">
        <v>300</v>
      </c>
      <c r="O1133" s="14">
        <v>300</v>
      </c>
      <c r="P1133" s="14">
        <v>300</v>
      </c>
      <c r="Q1133" s="14">
        <v>300</v>
      </c>
      <c r="R1133" s="14"/>
      <c r="S1133" s="14"/>
      <c r="T1133" s="14"/>
      <c r="U1133" s="14"/>
      <c r="V1133" s="14"/>
      <c r="W1133" s="15">
        <f t="shared" si="40"/>
        <v>1200</v>
      </c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5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5"/>
      <c r="AX1133" s="16"/>
    </row>
    <row r="1134" spans="2:50" x14ac:dyDescent="0.2">
      <c r="B1134" s="7" t="s">
        <v>47</v>
      </c>
      <c r="C1134" s="8">
        <v>11845</v>
      </c>
      <c r="D1134" s="9" t="s">
        <v>54</v>
      </c>
      <c r="E1134" s="10" t="s">
        <v>55</v>
      </c>
      <c r="F1134" s="10" t="s">
        <v>56</v>
      </c>
      <c r="G1134" s="8">
        <v>3</v>
      </c>
      <c r="H1134" s="11">
        <v>160</v>
      </c>
      <c r="I1134" s="12">
        <v>42533</v>
      </c>
      <c r="J1134" s="13">
        <f t="shared" si="39"/>
        <v>0</v>
      </c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5">
        <f t="shared" si="40"/>
        <v>0</v>
      </c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5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5"/>
      <c r="AX1134" s="16"/>
    </row>
    <row r="1135" spans="2:50" x14ac:dyDescent="0.2">
      <c r="B1135" s="7" t="s">
        <v>47</v>
      </c>
      <c r="C1135" s="8">
        <v>11845</v>
      </c>
      <c r="D1135" s="9" t="s">
        <v>54</v>
      </c>
      <c r="E1135" s="10" t="s">
        <v>55</v>
      </c>
      <c r="F1135" s="10" t="s">
        <v>56</v>
      </c>
      <c r="G1135" s="8">
        <v>4</v>
      </c>
      <c r="H1135" s="11">
        <v>160</v>
      </c>
      <c r="I1135" s="12">
        <v>42533</v>
      </c>
      <c r="J1135" s="13">
        <f t="shared" si="39"/>
        <v>0</v>
      </c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5">
        <f t="shared" si="40"/>
        <v>0</v>
      </c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5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5"/>
      <c r="AX1135" s="7">
        <v>884</v>
      </c>
    </row>
    <row r="1136" spans="2:50" x14ac:dyDescent="0.2">
      <c r="B1136" s="7" t="s">
        <v>47</v>
      </c>
      <c r="C1136" s="8">
        <v>11846</v>
      </c>
      <c r="D1136" s="9" t="s">
        <v>132</v>
      </c>
      <c r="E1136" s="10" t="s">
        <v>133</v>
      </c>
      <c r="F1136" s="10" t="s">
        <v>134</v>
      </c>
      <c r="G1136" s="8">
        <v>1</v>
      </c>
      <c r="H1136" s="11">
        <v>300</v>
      </c>
      <c r="I1136" s="12">
        <v>42533</v>
      </c>
      <c r="J1136" s="13">
        <f t="shared" si="39"/>
        <v>0</v>
      </c>
      <c r="K1136" s="14"/>
      <c r="L1136" s="14"/>
      <c r="M1136" s="14"/>
      <c r="N1136" s="14"/>
      <c r="O1136" s="14"/>
      <c r="P1136" s="14">
        <v>300</v>
      </c>
      <c r="Q1136" s="14"/>
      <c r="R1136" s="14"/>
      <c r="S1136" s="14"/>
      <c r="T1136" s="14"/>
      <c r="U1136" s="14"/>
      <c r="V1136" s="14"/>
      <c r="W1136" s="15">
        <f t="shared" si="40"/>
        <v>300</v>
      </c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5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5"/>
      <c r="AX1136" s="16"/>
    </row>
    <row r="1137" spans="2:50" x14ac:dyDescent="0.2">
      <c r="B1137" s="7" t="s">
        <v>69</v>
      </c>
      <c r="C1137" s="8">
        <v>11847</v>
      </c>
      <c r="D1137" s="9" t="s">
        <v>915</v>
      </c>
      <c r="E1137" s="10" t="s">
        <v>916</v>
      </c>
      <c r="F1137" s="10" t="s">
        <v>917</v>
      </c>
      <c r="G1137" s="8">
        <v>1</v>
      </c>
      <c r="H1137" s="11">
        <v>200</v>
      </c>
      <c r="I1137" s="12">
        <v>42533</v>
      </c>
      <c r="J1137" s="13">
        <f t="shared" si="39"/>
        <v>0</v>
      </c>
      <c r="K1137" s="14"/>
      <c r="L1137" s="14"/>
      <c r="M1137" s="14"/>
      <c r="N1137" s="14"/>
      <c r="O1137" s="14"/>
      <c r="P1137" s="14">
        <v>200</v>
      </c>
      <c r="Q1137" s="14"/>
      <c r="R1137" s="14"/>
      <c r="S1137" s="14"/>
      <c r="T1137" s="14"/>
      <c r="U1137" s="14"/>
      <c r="V1137" s="14"/>
      <c r="W1137" s="15">
        <f t="shared" si="40"/>
        <v>200</v>
      </c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5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5"/>
      <c r="AX1137" s="16"/>
    </row>
    <row r="1138" spans="2:50" x14ac:dyDescent="0.2">
      <c r="B1138" s="7" t="s">
        <v>69</v>
      </c>
      <c r="C1138" s="8">
        <v>11848</v>
      </c>
      <c r="D1138" s="9" t="s">
        <v>634</v>
      </c>
      <c r="E1138" s="10" t="s">
        <v>635</v>
      </c>
      <c r="F1138" s="10" t="s">
        <v>636</v>
      </c>
      <c r="G1138" s="8">
        <v>1</v>
      </c>
      <c r="H1138" s="11">
        <v>300</v>
      </c>
      <c r="I1138" s="12">
        <v>42533</v>
      </c>
      <c r="J1138" s="13">
        <f t="shared" si="39"/>
        <v>0</v>
      </c>
      <c r="K1138" s="14"/>
      <c r="L1138" s="14"/>
      <c r="M1138" s="14"/>
      <c r="N1138" s="14"/>
      <c r="O1138" s="14"/>
      <c r="P1138" s="14">
        <v>300</v>
      </c>
      <c r="Q1138" s="14"/>
      <c r="R1138" s="14"/>
      <c r="S1138" s="14"/>
      <c r="T1138" s="14"/>
      <c r="U1138" s="14"/>
      <c r="V1138" s="14"/>
      <c r="W1138" s="15">
        <f t="shared" si="40"/>
        <v>300</v>
      </c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5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5"/>
      <c r="AX1138" s="16"/>
    </row>
    <row r="1139" spans="2:50" x14ac:dyDescent="0.2">
      <c r="B1139" s="7" t="s">
        <v>73</v>
      </c>
      <c r="C1139" s="8">
        <v>11849</v>
      </c>
      <c r="D1139" s="9" t="s">
        <v>926</v>
      </c>
      <c r="E1139" s="10" t="s">
        <v>927</v>
      </c>
      <c r="F1139" s="10" t="s">
        <v>928</v>
      </c>
      <c r="G1139" s="8">
        <v>4</v>
      </c>
      <c r="H1139" s="11">
        <v>160</v>
      </c>
      <c r="I1139" s="12">
        <v>42533</v>
      </c>
      <c r="J1139" s="13">
        <f t="shared" si="39"/>
        <v>0</v>
      </c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5">
        <f t="shared" si="40"/>
        <v>0</v>
      </c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5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5"/>
      <c r="AX1139" s="7">
        <v>900</v>
      </c>
    </row>
    <row r="1140" spans="2:50" x14ac:dyDescent="0.2">
      <c r="B1140" s="7" t="s">
        <v>47</v>
      </c>
      <c r="C1140" s="8">
        <v>11850</v>
      </c>
      <c r="D1140" s="9" t="s">
        <v>705</v>
      </c>
      <c r="E1140" s="10" t="s">
        <v>706</v>
      </c>
      <c r="F1140" s="10" t="s">
        <v>707</v>
      </c>
      <c r="G1140" s="8">
        <v>1</v>
      </c>
      <c r="H1140" s="11">
        <v>600</v>
      </c>
      <c r="I1140" s="12">
        <v>42533</v>
      </c>
      <c r="J1140" s="13">
        <f t="shared" si="39"/>
        <v>0</v>
      </c>
      <c r="K1140" s="14"/>
      <c r="L1140" s="14"/>
      <c r="M1140" s="14"/>
      <c r="N1140" s="14"/>
      <c r="O1140" s="14">
        <v>300</v>
      </c>
      <c r="P1140" s="14">
        <v>300</v>
      </c>
      <c r="Q1140" s="14"/>
      <c r="R1140" s="14"/>
      <c r="S1140" s="14"/>
      <c r="T1140" s="14"/>
      <c r="U1140" s="14"/>
      <c r="V1140" s="14"/>
      <c r="W1140" s="15">
        <f t="shared" si="40"/>
        <v>600</v>
      </c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5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5"/>
      <c r="AX1140" s="16"/>
    </row>
    <row r="1141" spans="2:50" x14ac:dyDescent="0.2">
      <c r="B1141" s="7" t="s">
        <v>47</v>
      </c>
      <c r="C1141" s="8">
        <v>11851</v>
      </c>
      <c r="D1141" s="9" t="s">
        <v>614</v>
      </c>
      <c r="E1141" s="10" t="s">
        <v>615</v>
      </c>
      <c r="F1141" s="10" t="s">
        <v>616</v>
      </c>
      <c r="G1141" s="8">
        <v>4</v>
      </c>
      <c r="H1141" s="11">
        <v>160</v>
      </c>
      <c r="I1141" s="12">
        <v>42533</v>
      </c>
      <c r="J1141" s="13">
        <f t="shared" si="39"/>
        <v>0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5">
        <f t="shared" si="40"/>
        <v>0</v>
      </c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5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5"/>
      <c r="AX1141" s="7">
        <v>901</v>
      </c>
    </row>
    <row r="1142" spans="2:50" x14ac:dyDescent="0.2">
      <c r="B1142" s="7" t="s">
        <v>69</v>
      </c>
      <c r="C1142" s="8">
        <v>11852</v>
      </c>
      <c r="D1142" s="9" t="s">
        <v>343</v>
      </c>
      <c r="E1142" s="10" t="s">
        <v>344</v>
      </c>
      <c r="F1142" s="10" t="s">
        <v>345</v>
      </c>
      <c r="G1142" s="8">
        <v>1</v>
      </c>
      <c r="H1142" s="11">
        <v>400</v>
      </c>
      <c r="I1142" s="12">
        <v>42533</v>
      </c>
      <c r="J1142" s="13">
        <f t="shared" si="39"/>
        <v>0</v>
      </c>
      <c r="K1142" s="14"/>
      <c r="L1142" s="14"/>
      <c r="M1142" s="14"/>
      <c r="N1142" s="14"/>
      <c r="O1142" s="14"/>
      <c r="P1142" s="14">
        <v>400</v>
      </c>
      <c r="Q1142" s="14"/>
      <c r="R1142" s="14"/>
      <c r="S1142" s="14"/>
      <c r="T1142" s="14"/>
      <c r="U1142" s="14"/>
      <c r="V1142" s="14"/>
      <c r="W1142" s="15">
        <f t="shared" si="40"/>
        <v>400</v>
      </c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5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5"/>
      <c r="AX1142" s="16"/>
    </row>
    <row r="1143" spans="2:50" x14ac:dyDescent="0.2">
      <c r="B1143" s="7" t="s">
        <v>73</v>
      </c>
      <c r="C1143" s="8">
        <v>11868</v>
      </c>
      <c r="D1143" s="9" t="s">
        <v>559</v>
      </c>
      <c r="E1143" s="10" t="s">
        <v>560</v>
      </c>
      <c r="F1143" s="10" t="s">
        <v>561</v>
      </c>
      <c r="G1143" s="8">
        <v>5</v>
      </c>
      <c r="H1143" s="11">
        <v>100</v>
      </c>
      <c r="I1143" s="12">
        <v>42533</v>
      </c>
      <c r="J1143" s="13">
        <f t="shared" si="39"/>
        <v>0</v>
      </c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5">
        <f t="shared" si="40"/>
        <v>0</v>
      </c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5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5"/>
      <c r="AX1143" s="16" t="s">
        <v>995</v>
      </c>
    </row>
    <row r="1144" spans="2:50" x14ac:dyDescent="0.2">
      <c r="B1144" s="7" t="s">
        <v>37</v>
      </c>
      <c r="C1144" s="8">
        <v>11869</v>
      </c>
      <c r="D1144" s="9" t="s">
        <v>669</v>
      </c>
      <c r="E1144" s="10" t="s">
        <v>670</v>
      </c>
      <c r="F1144" s="10" t="s">
        <v>671</v>
      </c>
      <c r="G1144" s="8">
        <v>5</v>
      </c>
      <c r="H1144" s="11">
        <v>100</v>
      </c>
      <c r="I1144" s="12">
        <v>42533</v>
      </c>
      <c r="J1144" s="13">
        <f t="shared" si="39"/>
        <v>0</v>
      </c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5">
        <f t="shared" si="40"/>
        <v>0</v>
      </c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5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5"/>
      <c r="AX1144" s="16"/>
    </row>
    <row r="1145" spans="2:50" x14ac:dyDescent="0.2">
      <c r="B1145" s="7" t="s">
        <v>61</v>
      </c>
      <c r="C1145" s="8">
        <v>11870</v>
      </c>
      <c r="D1145" s="9" t="s">
        <v>663</v>
      </c>
      <c r="E1145" s="10" t="s">
        <v>664</v>
      </c>
      <c r="F1145" s="10" t="s">
        <v>665</v>
      </c>
      <c r="G1145" s="8">
        <v>5</v>
      </c>
      <c r="H1145" s="11">
        <v>100</v>
      </c>
      <c r="I1145" s="12">
        <v>42533</v>
      </c>
      <c r="J1145" s="13">
        <f t="shared" si="39"/>
        <v>0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5">
        <f t="shared" si="40"/>
        <v>0</v>
      </c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5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5"/>
      <c r="AX1145" s="16"/>
    </row>
    <row r="1146" spans="2:50" x14ac:dyDescent="0.2">
      <c r="B1146" s="7" t="s">
        <v>37</v>
      </c>
      <c r="C1146" s="8">
        <v>11871</v>
      </c>
      <c r="D1146" s="9" t="s">
        <v>553</v>
      </c>
      <c r="E1146" s="10" t="s">
        <v>554</v>
      </c>
      <c r="F1146" s="10" t="s">
        <v>555</v>
      </c>
      <c r="G1146" s="8">
        <v>1</v>
      </c>
      <c r="H1146" s="11">
        <v>400</v>
      </c>
      <c r="I1146" s="12">
        <v>42533</v>
      </c>
      <c r="J1146" s="13">
        <f t="shared" si="39"/>
        <v>0</v>
      </c>
      <c r="K1146" s="14"/>
      <c r="L1146" s="14"/>
      <c r="M1146" s="14"/>
      <c r="N1146" s="14"/>
      <c r="O1146" s="14"/>
      <c r="P1146" s="14">
        <v>400</v>
      </c>
      <c r="Q1146" s="14"/>
      <c r="R1146" s="14"/>
      <c r="S1146" s="14"/>
      <c r="T1146" s="14"/>
      <c r="U1146" s="14"/>
      <c r="V1146" s="14"/>
      <c r="W1146" s="15">
        <f t="shared" si="40"/>
        <v>400</v>
      </c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5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5"/>
      <c r="AX1146" s="16"/>
    </row>
    <row r="1147" spans="2:50" x14ac:dyDescent="0.2">
      <c r="B1147" s="7" t="s">
        <v>37</v>
      </c>
      <c r="C1147" s="8">
        <v>11872</v>
      </c>
      <c r="D1147" s="9" t="s">
        <v>553</v>
      </c>
      <c r="E1147" s="10" t="s">
        <v>554</v>
      </c>
      <c r="F1147" s="10" t="s">
        <v>555</v>
      </c>
      <c r="G1147" s="8">
        <v>5</v>
      </c>
      <c r="H1147" s="11">
        <v>150</v>
      </c>
      <c r="I1147" s="12">
        <v>42533</v>
      </c>
      <c r="J1147" s="13">
        <f t="shared" si="39"/>
        <v>0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5">
        <f t="shared" si="40"/>
        <v>0</v>
      </c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5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5"/>
      <c r="AX1147" s="16"/>
    </row>
    <row r="1148" spans="2:50" x14ac:dyDescent="0.2">
      <c r="B1148" s="7" t="s">
        <v>37</v>
      </c>
      <c r="C1148" s="8">
        <v>11873</v>
      </c>
      <c r="D1148" s="9" t="s">
        <v>247</v>
      </c>
      <c r="E1148" s="10" t="s">
        <v>248</v>
      </c>
      <c r="F1148" s="10" t="s">
        <v>249</v>
      </c>
      <c r="G1148" s="8">
        <v>5</v>
      </c>
      <c r="H1148" s="11">
        <v>100</v>
      </c>
      <c r="I1148" s="12">
        <v>42533</v>
      </c>
      <c r="J1148" s="13">
        <f t="shared" ref="J1148:J1211" si="41">IF(G1148=1,SUM(W1148,-H1148),0)</f>
        <v>0</v>
      </c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5">
        <f t="shared" ref="W1148:W1211" si="42">SUM(K1148:V1148)</f>
        <v>0</v>
      </c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5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5"/>
      <c r="AX1148" s="16"/>
    </row>
    <row r="1149" spans="2:50" x14ac:dyDescent="0.2">
      <c r="B1149" s="7" t="s">
        <v>47</v>
      </c>
      <c r="C1149" s="8">
        <v>11874</v>
      </c>
      <c r="D1149" s="9" t="s">
        <v>84</v>
      </c>
      <c r="E1149" s="10" t="s">
        <v>85</v>
      </c>
      <c r="F1149" s="10" t="s">
        <v>86</v>
      </c>
      <c r="G1149" s="8">
        <v>5</v>
      </c>
      <c r="H1149" s="11">
        <v>200</v>
      </c>
      <c r="I1149" s="12">
        <v>42533</v>
      </c>
      <c r="J1149" s="13">
        <f t="shared" si="41"/>
        <v>0</v>
      </c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5">
        <f t="shared" si="42"/>
        <v>0</v>
      </c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5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5"/>
      <c r="AX1149" s="16"/>
    </row>
    <row r="1150" spans="2:50" x14ac:dyDescent="0.2">
      <c r="B1150" s="7" t="s">
        <v>69</v>
      </c>
      <c r="C1150" s="8">
        <v>11875</v>
      </c>
      <c r="D1150" s="9" t="s">
        <v>100</v>
      </c>
      <c r="E1150" s="10" t="s">
        <v>101</v>
      </c>
      <c r="F1150" s="10" t="s">
        <v>102</v>
      </c>
      <c r="G1150" s="8">
        <v>5</v>
      </c>
      <c r="H1150" s="11">
        <v>100</v>
      </c>
      <c r="I1150" s="12">
        <v>42533</v>
      </c>
      <c r="J1150" s="13">
        <f t="shared" si="41"/>
        <v>0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5">
        <f t="shared" si="42"/>
        <v>0</v>
      </c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5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5"/>
      <c r="AX1150" s="16"/>
    </row>
    <row r="1151" spans="2:50" x14ac:dyDescent="0.2">
      <c r="B1151" s="7" t="s">
        <v>69</v>
      </c>
      <c r="C1151" s="8">
        <v>11876</v>
      </c>
      <c r="D1151" s="9" t="s">
        <v>625</v>
      </c>
      <c r="E1151" s="10" t="s">
        <v>626</v>
      </c>
      <c r="F1151" s="10" t="s">
        <v>627</v>
      </c>
      <c r="G1151" s="8">
        <v>5</v>
      </c>
      <c r="H1151" s="11">
        <v>200</v>
      </c>
      <c r="I1151" s="12">
        <v>42533</v>
      </c>
      <c r="J1151" s="13">
        <f t="shared" si="41"/>
        <v>0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5">
        <f t="shared" si="42"/>
        <v>0</v>
      </c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5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5"/>
      <c r="AX1151" s="16"/>
    </row>
    <row r="1152" spans="2:50" x14ac:dyDescent="0.2">
      <c r="B1152" s="7" t="s">
        <v>73</v>
      </c>
      <c r="C1152" s="8">
        <v>11877</v>
      </c>
      <c r="D1152" s="9" t="s">
        <v>837</v>
      </c>
      <c r="E1152" s="10" t="s">
        <v>838</v>
      </c>
      <c r="F1152" s="10" t="s">
        <v>839</v>
      </c>
      <c r="G1152" s="8">
        <v>5</v>
      </c>
      <c r="H1152" s="11">
        <v>250</v>
      </c>
      <c r="I1152" s="12">
        <v>42533</v>
      </c>
      <c r="J1152" s="13">
        <f t="shared" si="41"/>
        <v>0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5">
        <f t="shared" si="42"/>
        <v>0</v>
      </c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5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5"/>
      <c r="AX1152" s="16"/>
    </row>
    <row r="1153" spans="2:50" x14ac:dyDescent="0.2">
      <c r="B1153" s="7" t="s">
        <v>69</v>
      </c>
      <c r="C1153" s="8">
        <v>11878</v>
      </c>
      <c r="D1153" s="9" t="s">
        <v>996</v>
      </c>
      <c r="E1153" s="10" t="s">
        <v>997</v>
      </c>
      <c r="F1153" s="10" t="s">
        <v>998</v>
      </c>
      <c r="G1153" s="8">
        <v>5</v>
      </c>
      <c r="H1153" s="11">
        <v>150</v>
      </c>
      <c r="I1153" s="12">
        <v>42533</v>
      </c>
      <c r="J1153" s="13">
        <f t="shared" si="41"/>
        <v>0</v>
      </c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5">
        <f t="shared" si="42"/>
        <v>0</v>
      </c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5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5"/>
      <c r="AX1153" s="16"/>
    </row>
    <row r="1154" spans="2:50" x14ac:dyDescent="0.2">
      <c r="B1154" s="7" t="s">
        <v>69</v>
      </c>
      <c r="C1154" s="8">
        <v>11879</v>
      </c>
      <c r="D1154" s="9" t="s">
        <v>211</v>
      </c>
      <c r="E1154" s="10" t="s">
        <v>212</v>
      </c>
      <c r="F1154" s="10" t="s">
        <v>213</v>
      </c>
      <c r="G1154" s="8">
        <v>5</v>
      </c>
      <c r="H1154" s="11">
        <v>150</v>
      </c>
      <c r="I1154" s="12">
        <v>42533</v>
      </c>
      <c r="J1154" s="13">
        <f t="shared" si="41"/>
        <v>0</v>
      </c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5">
        <f t="shared" si="42"/>
        <v>0</v>
      </c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5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5"/>
      <c r="AX1154" s="16"/>
    </row>
    <row r="1155" spans="2:50" x14ac:dyDescent="0.2">
      <c r="B1155" s="7" t="s">
        <v>47</v>
      </c>
      <c r="C1155" s="8">
        <v>11880</v>
      </c>
      <c r="D1155" s="9" t="s">
        <v>349</v>
      </c>
      <c r="E1155" s="10" t="s">
        <v>350</v>
      </c>
      <c r="F1155" s="10" t="s">
        <v>351</v>
      </c>
      <c r="G1155" s="8">
        <v>5</v>
      </c>
      <c r="H1155" s="11">
        <v>200</v>
      </c>
      <c r="I1155" s="12">
        <v>42533</v>
      </c>
      <c r="J1155" s="13">
        <f t="shared" si="41"/>
        <v>0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5">
        <f t="shared" si="42"/>
        <v>0</v>
      </c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5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5"/>
      <c r="AX1155" s="16"/>
    </row>
    <row r="1156" spans="2:50" x14ac:dyDescent="0.2">
      <c r="B1156" s="7" t="s">
        <v>77</v>
      </c>
      <c r="C1156" s="8">
        <v>11881</v>
      </c>
      <c r="D1156" s="9" t="s">
        <v>156</v>
      </c>
      <c r="E1156" s="10" t="s">
        <v>157</v>
      </c>
      <c r="F1156" s="10" t="s">
        <v>158</v>
      </c>
      <c r="G1156" s="8">
        <v>5</v>
      </c>
      <c r="H1156" s="11">
        <v>150</v>
      </c>
      <c r="I1156" s="12">
        <v>42533</v>
      </c>
      <c r="J1156" s="13">
        <f t="shared" si="41"/>
        <v>0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5">
        <f t="shared" si="42"/>
        <v>0</v>
      </c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5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5"/>
      <c r="AX1156" s="16"/>
    </row>
    <row r="1157" spans="2:50" x14ac:dyDescent="0.2">
      <c r="B1157" s="7" t="s">
        <v>391</v>
      </c>
      <c r="C1157" s="8">
        <v>11882</v>
      </c>
      <c r="D1157" s="9" t="s">
        <v>887</v>
      </c>
      <c r="E1157" s="10" t="s">
        <v>888</v>
      </c>
      <c r="F1157" s="10" t="s">
        <v>889</v>
      </c>
      <c r="G1157" s="8">
        <v>5</v>
      </c>
      <c r="H1157" s="11">
        <v>100</v>
      </c>
      <c r="I1157" s="12">
        <v>42533</v>
      </c>
      <c r="J1157" s="13">
        <f t="shared" si="41"/>
        <v>0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5">
        <f t="shared" si="42"/>
        <v>0</v>
      </c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5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5"/>
      <c r="AX1157" s="16"/>
    </row>
    <row r="1158" spans="2:50" x14ac:dyDescent="0.2">
      <c r="B1158" s="7" t="s">
        <v>61</v>
      </c>
      <c r="C1158" s="8">
        <v>11883</v>
      </c>
      <c r="D1158" s="9" t="s">
        <v>631</v>
      </c>
      <c r="E1158" s="10" t="s">
        <v>632</v>
      </c>
      <c r="F1158" s="10" t="s">
        <v>633</v>
      </c>
      <c r="G1158" s="8">
        <v>5</v>
      </c>
      <c r="H1158" s="11">
        <v>50</v>
      </c>
      <c r="I1158" s="12">
        <v>42533</v>
      </c>
      <c r="J1158" s="13">
        <f t="shared" si="41"/>
        <v>0</v>
      </c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5">
        <f t="shared" si="42"/>
        <v>0</v>
      </c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5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5"/>
      <c r="AX1158" s="16"/>
    </row>
    <row r="1159" spans="2:50" x14ac:dyDescent="0.2">
      <c r="B1159" s="7" t="s">
        <v>47</v>
      </c>
      <c r="C1159" s="8">
        <v>11884</v>
      </c>
      <c r="D1159" s="9" t="s">
        <v>241</v>
      </c>
      <c r="E1159" s="10" t="s">
        <v>242</v>
      </c>
      <c r="F1159" s="10" t="s">
        <v>243</v>
      </c>
      <c r="G1159" s="8">
        <v>5</v>
      </c>
      <c r="H1159" s="11">
        <v>50</v>
      </c>
      <c r="I1159" s="12">
        <v>42533</v>
      </c>
      <c r="J1159" s="13">
        <f t="shared" si="41"/>
        <v>0</v>
      </c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5">
        <f t="shared" si="42"/>
        <v>0</v>
      </c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5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5"/>
      <c r="AX1159" s="16"/>
    </row>
    <row r="1160" spans="2:50" x14ac:dyDescent="0.2">
      <c r="B1160" s="7" t="s">
        <v>73</v>
      </c>
      <c r="C1160" s="8">
        <v>11885</v>
      </c>
      <c r="D1160" s="9" t="s">
        <v>115</v>
      </c>
      <c r="E1160" s="10" t="s">
        <v>116</v>
      </c>
      <c r="F1160" s="10" t="s">
        <v>117</v>
      </c>
      <c r="G1160" s="8">
        <v>5</v>
      </c>
      <c r="H1160" s="11">
        <v>100</v>
      </c>
      <c r="I1160" s="12">
        <v>42533</v>
      </c>
      <c r="J1160" s="13">
        <f t="shared" si="41"/>
        <v>0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5">
        <f t="shared" si="42"/>
        <v>0</v>
      </c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5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5"/>
      <c r="AX1160" s="16"/>
    </row>
    <row r="1161" spans="2:50" x14ac:dyDescent="0.2">
      <c r="B1161" s="7" t="s">
        <v>69</v>
      </c>
      <c r="C1161" s="8">
        <v>11886</v>
      </c>
      <c r="D1161" s="9" t="s">
        <v>265</v>
      </c>
      <c r="E1161" s="10" t="s">
        <v>266</v>
      </c>
      <c r="F1161" s="10" t="s">
        <v>267</v>
      </c>
      <c r="G1161" s="8">
        <v>5</v>
      </c>
      <c r="H1161" s="11">
        <v>100</v>
      </c>
      <c r="I1161" s="12">
        <v>42533</v>
      </c>
      <c r="J1161" s="13">
        <f t="shared" si="41"/>
        <v>0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5">
        <f t="shared" si="42"/>
        <v>0</v>
      </c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5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5"/>
      <c r="AX1161" s="16"/>
    </row>
    <row r="1162" spans="2:50" x14ac:dyDescent="0.2">
      <c r="B1162" s="7" t="s">
        <v>73</v>
      </c>
      <c r="C1162" s="8">
        <v>11887</v>
      </c>
      <c r="D1162" s="9" t="s">
        <v>115</v>
      </c>
      <c r="E1162" s="10" t="s">
        <v>116</v>
      </c>
      <c r="F1162" s="10" t="s">
        <v>117</v>
      </c>
      <c r="G1162" s="8">
        <v>5</v>
      </c>
      <c r="H1162" s="11">
        <v>100</v>
      </c>
      <c r="I1162" s="12">
        <v>42533</v>
      </c>
      <c r="J1162" s="13">
        <f t="shared" si="41"/>
        <v>0</v>
      </c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5">
        <f t="shared" si="42"/>
        <v>0</v>
      </c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5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5"/>
      <c r="AX1162" s="16"/>
    </row>
    <row r="1163" spans="2:50" x14ac:dyDescent="0.2">
      <c r="B1163" s="7" t="s">
        <v>47</v>
      </c>
      <c r="C1163" s="8">
        <v>11888</v>
      </c>
      <c r="D1163" s="9" t="s">
        <v>957</v>
      </c>
      <c r="E1163" s="10" t="s">
        <v>958</v>
      </c>
      <c r="F1163" s="10" t="s">
        <v>959</v>
      </c>
      <c r="G1163" s="8">
        <v>5</v>
      </c>
      <c r="H1163" s="11">
        <v>200</v>
      </c>
      <c r="I1163" s="12">
        <v>42533</v>
      </c>
      <c r="J1163" s="13">
        <f t="shared" si="41"/>
        <v>0</v>
      </c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5">
        <f t="shared" si="42"/>
        <v>0</v>
      </c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5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5"/>
      <c r="AX1163" s="16"/>
    </row>
    <row r="1164" spans="2:50" x14ac:dyDescent="0.2">
      <c r="B1164" s="7" t="s">
        <v>61</v>
      </c>
      <c r="C1164" s="8">
        <v>11889</v>
      </c>
      <c r="D1164" s="9" t="s">
        <v>631</v>
      </c>
      <c r="E1164" s="10" t="s">
        <v>632</v>
      </c>
      <c r="F1164" s="10" t="s">
        <v>633</v>
      </c>
      <c r="G1164" s="8">
        <v>5</v>
      </c>
      <c r="H1164" s="11">
        <v>50</v>
      </c>
      <c r="I1164" s="12">
        <v>42533</v>
      </c>
      <c r="J1164" s="13">
        <f t="shared" si="41"/>
        <v>0</v>
      </c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5">
        <f t="shared" si="42"/>
        <v>0</v>
      </c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5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5"/>
      <c r="AX1164" s="16"/>
    </row>
    <row r="1165" spans="2:50" x14ac:dyDescent="0.2">
      <c r="B1165" s="7" t="s">
        <v>37</v>
      </c>
      <c r="C1165" s="8">
        <v>11890</v>
      </c>
      <c r="D1165" s="9" t="s">
        <v>794</v>
      </c>
      <c r="E1165" s="10" t="s">
        <v>795</v>
      </c>
      <c r="F1165" s="10" t="s">
        <v>796</v>
      </c>
      <c r="G1165" s="8">
        <v>5</v>
      </c>
      <c r="H1165" s="11">
        <v>50</v>
      </c>
      <c r="I1165" s="12">
        <v>42533</v>
      </c>
      <c r="J1165" s="13">
        <f t="shared" si="41"/>
        <v>0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5">
        <f t="shared" si="42"/>
        <v>0</v>
      </c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5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5"/>
      <c r="AX1165" s="16"/>
    </row>
    <row r="1166" spans="2:50" x14ac:dyDescent="0.2">
      <c r="B1166" s="7" t="s">
        <v>77</v>
      </c>
      <c r="C1166" s="8">
        <v>11891</v>
      </c>
      <c r="D1166" s="9" t="s">
        <v>987</v>
      </c>
      <c r="E1166" s="10" t="s">
        <v>988</v>
      </c>
      <c r="F1166" s="10" t="s">
        <v>989</v>
      </c>
      <c r="G1166" s="8">
        <v>5</v>
      </c>
      <c r="H1166" s="11">
        <v>100</v>
      </c>
      <c r="I1166" s="12">
        <v>42533</v>
      </c>
      <c r="J1166" s="13">
        <f t="shared" si="41"/>
        <v>0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5">
        <f t="shared" si="42"/>
        <v>0</v>
      </c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5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5"/>
      <c r="AX1166" s="16"/>
    </row>
    <row r="1167" spans="2:50" x14ac:dyDescent="0.2">
      <c r="B1167" s="7" t="s">
        <v>73</v>
      </c>
      <c r="C1167" s="8">
        <v>11892</v>
      </c>
      <c r="D1167" s="9" t="s">
        <v>407</v>
      </c>
      <c r="E1167" s="10" t="s">
        <v>408</v>
      </c>
      <c r="F1167" s="10" t="s">
        <v>409</v>
      </c>
      <c r="G1167" s="8">
        <v>5</v>
      </c>
      <c r="H1167" s="11">
        <v>200</v>
      </c>
      <c r="I1167" s="12">
        <v>42533</v>
      </c>
      <c r="J1167" s="13">
        <f t="shared" si="41"/>
        <v>0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5">
        <f t="shared" si="42"/>
        <v>0</v>
      </c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5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5"/>
      <c r="AX1167" s="16"/>
    </row>
    <row r="1168" spans="2:50" x14ac:dyDescent="0.2">
      <c r="B1168" s="7" t="s">
        <v>47</v>
      </c>
      <c r="C1168" s="8">
        <v>11893</v>
      </c>
      <c r="D1168" s="9" t="s">
        <v>425</v>
      </c>
      <c r="E1168" s="10" t="s">
        <v>426</v>
      </c>
      <c r="F1168" s="10" t="s">
        <v>427</v>
      </c>
      <c r="G1168" s="8">
        <v>5</v>
      </c>
      <c r="H1168" s="11">
        <v>150</v>
      </c>
      <c r="I1168" s="12">
        <v>42533</v>
      </c>
      <c r="J1168" s="13">
        <f t="shared" si="41"/>
        <v>0</v>
      </c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5">
        <f t="shared" si="42"/>
        <v>0</v>
      </c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5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5"/>
      <c r="AX1168" s="16"/>
    </row>
    <row r="1169" spans="2:50" x14ac:dyDescent="0.2">
      <c r="B1169" s="7" t="s">
        <v>77</v>
      </c>
      <c r="C1169" s="8">
        <v>11894</v>
      </c>
      <c r="D1169" s="9" t="s">
        <v>129</v>
      </c>
      <c r="E1169" s="10" t="s">
        <v>130</v>
      </c>
      <c r="F1169" s="10" t="s">
        <v>131</v>
      </c>
      <c r="G1169" s="8">
        <v>5</v>
      </c>
      <c r="H1169" s="11">
        <v>250</v>
      </c>
      <c r="I1169" s="12">
        <v>42533</v>
      </c>
      <c r="J1169" s="13">
        <f t="shared" si="41"/>
        <v>0</v>
      </c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5">
        <f t="shared" si="42"/>
        <v>0</v>
      </c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5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5"/>
      <c r="AX1169" s="16"/>
    </row>
    <row r="1170" spans="2:50" x14ac:dyDescent="0.2">
      <c r="B1170" s="7" t="s">
        <v>73</v>
      </c>
      <c r="C1170" s="8">
        <v>11895</v>
      </c>
      <c r="D1170" s="9" t="s">
        <v>649</v>
      </c>
      <c r="E1170" s="10" t="s">
        <v>650</v>
      </c>
      <c r="F1170" s="10" t="s">
        <v>651</v>
      </c>
      <c r="G1170" s="8">
        <v>5</v>
      </c>
      <c r="H1170" s="11">
        <v>50</v>
      </c>
      <c r="I1170" s="12">
        <v>42533</v>
      </c>
      <c r="J1170" s="13">
        <f t="shared" si="41"/>
        <v>0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5">
        <f t="shared" si="42"/>
        <v>0</v>
      </c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5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5"/>
      <c r="AX1170" s="16"/>
    </row>
    <row r="1171" spans="2:50" x14ac:dyDescent="0.2">
      <c r="B1171" s="7" t="s">
        <v>93</v>
      </c>
      <c r="C1171" s="8">
        <v>11896</v>
      </c>
      <c r="D1171" s="9"/>
      <c r="E1171" s="10" t="s">
        <v>93</v>
      </c>
      <c r="F1171" s="10" t="s">
        <v>93</v>
      </c>
      <c r="G1171" s="8">
        <v>8</v>
      </c>
      <c r="H1171" s="11"/>
      <c r="I1171" s="12"/>
      <c r="J1171" s="13">
        <f t="shared" si="41"/>
        <v>0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5">
        <f t="shared" si="42"/>
        <v>0</v>
      </c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5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5"/>
      <c r="AX1171" s="16"/>
    </row>
    <row r="1172" spans="2:50" x14ac:dyDescent="0.2">
      <c r="B1172" s="7" t="s">
        <v>122</v>
      </c>
      <c r="C1172" s="8">
        <v>11897</v>
      </c>
      <c r="D1172" s="9" t="s">
        <v>256</v>
      </c>
      <c r="E1172" s="10" t="s">
        <v>257</v>
      </c>
      <c r="F1172" s="10" t="s">
        <v>258</v>
      </c>
      <c r="G1172" s="8">
        <v>5</v>
      </c>
      <c r="H1172" s="11">
        <v>100</v>
      </c>
      <c r="I1172" s="12">
        <v>42533</v>
      </c>
      <c r="J1172" s="13">
        <f t="shared" si="41"/>
        <v>0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5">
        <f t="shared" si="42"/>
        <v>0</v>
      </c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5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5"/>
      <c r="AX1172" s="16"/>
    </row>
    <row r="1173" spans="2:50" x14ac:dyDescent="0.2">
      <c r="B1173" s="7" t="s">
        <v>73</v>
      </c>
      <c r="C1173" s="8">
        <v>11898</v>
      </c>
      <c r="D1173" s="9" t="s">
        <v>846</v>
      </c>
      <c r="E1173" s="10" t="s">
        <v>847</v>
      </c>
      <c r="F1173" s="10" t="s">
        <v>848</v>
      </c>
      <c r="G1173" s="8">
        <v>5</v>
      </c>
      <c r="H1173" s="11">
        <v>150</v>
      </c>
      <c r="I1173" s="12">
        <v>42533</v>
      </c>
      <c r="J1173" s="13">
        <f t="shared" si="41"/>
        <v>0</v>
      </c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5">
        <f t="shared" si="42"/>
        <v>0</v>
      </c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5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5"/>
      <c r="AX1173" s="16"/>
    </row>
    <row r="1174" spans="2:50" x14ac:dyDescent="0.2">
      <c r="B1174" s="7" t="s">
        <v>61</v>
      </c>
      <c r="C1174" s="8">
        <v>11899</v>
      </c>
      <c r="D1174" s="9" t="s">
        <v>62</v>
      </c>
      <c r="E1174" s="10" t="s">
        <v>63</v>
      </c>
      <c r="F1174" s="10" t="s">
        <v>64</v>
      </c>
      <c r="G1174" s="8">
        <v>5</v>
      </c>
      <c r="H1174" s="11">
        <v>50</v>
      </c>
      <c r="I1174" s="12">
        <v>42533</v>
      </c>
      <c r="J1174" s="13">
        <f t="shared" si="41"/>
        <v>0</v>
      </c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5">
        <f t="shared" si="42"/>
        <v>0</v>
      </c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5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5"/>
      <c r="AX1174" s="16"/>
    </row>
    <row r="1175" spans="2:50" x14ac:dyDescent="0.2">
      <c r="B1175" s="7" t="s">
        <v>73</v>
      </c>
      <c r="C1175" s="8">
        <v>11900</v>
      </c>
      <c r="D1175" s="9" t="s">
        <v>785</v>
      </c>
      <c r="E1175" s="10" t="s">
        <v>786</v>
      </c>
      <c r="F1175" s="10" t="s">
        <v>787</v>
      </c>
      <c r="G1175" s="8">
        <v>5</v>
      </c>
      <c r="H1175" s="11">
        <v>150</v>
      </c>
      <c r="I1175" s="12">
        <v>42533</v>
      </c>
      <c r="J1175" s="13">
        <f t="shared" si="41"/>
        <v>0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5">
        <f t="shared" si="42"/>
        <v>0</v>
      </c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5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5"/>
      <c r="AX1175" s="16"/>
    </row>
    <row r="1176" spans="2:50" x14ac:dyDescent="0.2">
      <c r="B1176" s="7" t="s">
        <v>47</v>
      </c>
      <c r="C1176" s="8">
        <v>11901</v>
      </c>
      <c r="D1176" s="9" t="s">
        <v>990</v>
      </c>
      <c r="E1176" s="10" t="s">
        <v>991</v>
      </c>
      <c r="F1176" s="10" t="s">
        <v>992</v>
      </c>
      <c r="G1176" s="8">
        <v>5</v>
      </c>
      <c r="H1176" s="11">
        <v>150</v>
      </c>
      <c r="I1176" s="12">
        <v>42533</v>
      </c>
      <c r="J1176" s="13">
        <f t="shared" si="41"/>
        <v>0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5">
        <f t="shared" si="42"/>
        <v>0</v>
      </c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5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5"/>
      <c r="AX1176" s="16"/>
    </row>
    <row r="1177" spans="2:50" x14ac:dyDescent="0.2">
      <c r="B1177" s="7" t="s">
        <v>93</v>
      </c>
      <c r="C1177" s="8">
        <v>11902</v>
      </c>
      <c r="D1177" s="9"/>
      <c r="E1177" s="10" t="s">
        <v>93</v>
      </c>
      <c r="F1177" s="10" t="s">
        <v>93</v>
      </c>
      <c r="G1177" s="8">
        <v>8</v>
      </c>
      <c r="H1177" s="11"/>
      <c r="I1177" s="12"/>
      <c r="J1177" s="13">
        <f t="shared" si="41"/>
        <v>0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5">
        <f t="shared" si="42"/>
        <v>0</v>
      </c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5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5"/>
      <c r="AX1177" s="16"/>
    </row>
    <row r="1178" spans="2:50" x14ac:dyDescent="0.2">
      <c r="B1178" s="7" t="s">
        <v>37</v>
      </c>
      <c r="C1178" s="8">
        <v>11903</v>
      </c>
      <c r="D1178" s="9" t="s">
        <v>520</v>
      </c>
      <c r="E1178" s="10" t="s">
        <v>521</v>
      </c>
      <c r="F1178" s="10" t="s">
        <v>522</v>
      </c>
      <c r="G1178" s="8">
        <v>5</v>
      </c>
      <c r="H1178" s="11">
        <v>150</v>
      </c>
      <c r="I1178" s="12">
        <v>42533</v>
      </c>
      <c r="J1178" s="13">
        <f t="shared" si="41"/>
        <v>0</v>
      </c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5">
        <f t="shared" si="42"/>
        <v>0</v>
      </c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5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5"/>
      <c r="AX1178" s="16"/>
    </row>
    <row r="1179" spans="2:50" x14ac:dyDescent="0.2">
      <c r="B1179" s="7" t="s">
        <v>77</v>
      </c>
      <c r="C1179" s="8">
        <v>11904</v>
      </c>
      <c r="D1179" s="9" t="s">
        <v>556</v>
      </c>
      <c r="E1179" s="10" t="s">
        <v>557</v>
      </c>
      <c r="F1179" s="10" t="s">
        <v>558</v>
      </c>
      <c r="G1179" s="8">
        <v>5</v>
      </c>
      <c r="H1179" s="11">
        <v>150</v>
      </c>
      <c r="I1179" s="12">
        <v>42533</v>
      </c>
      <c r="J1179" s="13">
        <f t="shared" si="41"/>
        <v>0</v>
      </c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5">
        <f t="shared" si="42"/>
        <v>0</v>
      </c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5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5"/>
      <c r="AX1179" s="16"/>
    </row>
    <row r="1180" spans="2:50" x14ac:dyDescent="0.2">
      <c r="B1180" s="7" t="s">
        <v>47</v>
      </c>
      <c r="C1180" s="8">
        <v>11905</v>
      </c>
      <c r="D1180" s="9" t="s">
        <v>999</v>
      </c>
      <c r="E1180" s="10" t="s">
        <v>1000</v>
      </c>
      <c r="F1180" s="10" t="s">
        <v>1001</v>
      </c>
      <c r="G1180" s="8">
        <v>5</v>
      </c>
      <c r="H1180" s="11">
        <v>100</v>
      </c>
      <c r="I1180" s="12">
        <v>42533</v>
      </c>
      <c r="J1180" s="13">
        <f t="shared" si="41"/>
        <v>0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5">
        <f t="shared" si="42"/>
        <v>0</v>
      </c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5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5"/>
      <c r="AX1180" s="16"/>
    </row>
    <row r="1181" spans="2:50" x14ac:dyDescent="0.2">
      <c r="B1181" s="7" t="s">
        <v>69</v>
      </c>
      <c r="C1181" s="8">
        <v>11906</v>
      </c>
      <c r="D1181" s="9" t="s">
        <v>211</v>
      </c>
      <c r="E1181" s="10" t="s">
        <v>212</v>
      </c>
      <c r="F1181" s="10" t="s">
        <v>213</v>
      </c>
      <c r="G1181" s="8">
        <v>5</v>
      </c>
      <c r="H1181" s="11">
        <v>150</v>
      </c>
      <c r="I1181" s="12">
        <v>42533</v>
      </c>
      <c r="J1181" s="13">
        <f t="shared" si="41"/>
        <v>0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5">
        <f t="shared" si="42"/>
        <v>0</v>
      </c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5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5"/>
      <c r="AX1181" s="16"/>
    </row>
    <row r="1182" spans="2:50" x14ac:dyDescent="0.2">
      <c r="B1182" s="7" t="s">
        <v>37</v>
      </c>
      <c r="C1182" s="8">
        <v>11907</v>
      </c>
      <c r="D1182" s="9" t="s">
        <v>307</v>
      </c>
      <c r="E1182" s="10" t="s">
        <v>308</v>
      </c>
      <c r="F1182" s="10" t="s">
        <v>309</v>
      </c>
      <c r="G1182" s="8">
        <v>5</v>
      </c>
      <c r="H1182" s="11">
        <v>100</v>
      </c>
      <c r="I1182" s="12">
        <v>42533</v>
      </c>
      <c r="J1182" s="13">
        <f t="shared" si="41"/>
        <v>0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5">
        <f t="shared" si="42"/>
        <v>0</v>
      </c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5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5"/>
      <c r="AX1182" s="16"/>
    </row>
    <row r="1183" spans="2:50" x14ac:dyDescent="0.2">
      <c r="B1183" s="7" t="s">
        <v>69</v>
      </c>
      <c r="C1183" s="8">
        <v>11908</v>
      </c>
      <c r="D1183" s="9" t="s">
        <v>370</v>
      </c>
      <c r="E1183" s="10" t="s">
        <v>371</v>
      </c>
      <c r="F1183" s="10" t="s">
        <v>372</v>
      </c>
      <c r="G1183" s="8">
        <v>5</v>
      </c>
      <c r="H1183" s="11">
        <v>50</v>
      </c>
      <c r="I1183" s="12">
        <v>42533</v>
      </c>
      <c r="J1183" s="13">
        <f t="shared" si="41"/>
        <v>0</v>
      </c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5">
        <f t="shared" si="42"/>
        <v>0</v>
      </c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5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5"/>
      <c r="AX1183" s="16"/>
    </row>
    <row r="1184" spans="2:50" x14ac:dyDescent="0.2">
      <c r="B1184" s="7" t="s">
        <v>47</v>
      </c>
      <c r="C1184" s="8">
        <v>11909</v>
      </c>
      <c r="D1184" s="9" t="s">
        <v>313</v>
      </c>
      <c r="E1184" s="10" t="s">
        <v>314</v>
      </c>
      <c r="F1184" s="10" t="s">
        <v>315</v>
      </c>
      <c r="G1184" s="8">
        <v>5</v>
      </c>
      <c r="H1184" s="11">
        <v>50</v>
      </c>
      <c r="I1184" s="12">
        <v>42533</v>
      </c>
      <c r="J1184" s="13">
        <f t="shared" si="41"/>
        <v>0</v>
      </c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5">
        <f t="shared" si="42"/>
        <v>0</v>
      </c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5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5"/>
      <c r="AX1184" s="16"/>
    </row>
    <row r="1185" spans="2:50" x14ac:dyDescent="0.2">
      <c r="B1185" s="7" t="s">
        <v>77</v>
      </c>
      <c r="C1185" s="8">
        <v>11910</v>
      </c>
      <c r="D1185" s="9" t="s">
        <v>725</v>
      </c>
      <c r="E1185" s="10" t="s">
        <v>726</v>
      </c>
      <c r="F1185" s="10" t="s">
        <v>727</v>
      </c>
      <c r="G1185" s="8">
        <v>5</v>
      </c>
      <c r="H1185" s="11">
        <v>50</v>
      </c>
      <c r="I1185" s="12">
        <v>42533</v>
      </c>
      <c r="J1185" s="13">
        <f t="shared" si="41"/>
        <v>0</v>
      </c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5">
        <f t="shared" si="42"/>
        <v>0</v>
      </c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5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5"/>
      <c r="AX1185" s="16"/>
    </row>
    <row r="1186" spans="2:50" x14ac:dyDescent="0.2">
      <c r="B1186" s="7" t="s">
        <v>47</v>
      </c>
      <c r="C1186" s="8">
        <v>11911</v>
      </c>
      <c r="D1186" s="9" t="s">
        <v>235</v>
      </c>
      <c r="E1186" s="10" t="s">
        <v>236</v>
      </c>
      <c r="F1186" s="10" t="s">
        <v>237</v>
      </c>
      <c r="G1186" s="8">
        <v>5</v>
      </c>
      <c r="H1186" s="11">
        <v>100</v>
      </c>
      <c r="I1186" s="12">
        <v>42533</v>
      </c>
      <c r="J1186" s="13">
        <f t="shared" si="41"/>
        <v>0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5">
        <f t="shared" si="42"/>
        <v>0</v>
      </c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5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5"/>
      <c r="AX1186" s="16"/>
    </row>
    <row r="1187" spans="2:50" x14ac:dyDescent="0.2">
      <c r="B1187" s="7" t="s">
        <v>69</v>
      </c>
      <c r="C1187" s="8">
        <v>11912</v>
      </c>
      <c r="D1187" s="9" t="s">
        <v>740</v>
      </c>
      <c r="E1187" s="10" t="s">
        <v>741</v>
      </c>
      <c r="F1187" s="10" t="s">
        <v>742</v>
      </c>
      <c r="G1187" s="8">
        <v>5</v>
      </c>
      <c r="H1187" s="11">
        <v>50</v>
      </c>
      <c r="I1187" s="12">
        <v>42533</v>
      </c>
      <c r="J1187" s="13">
        <f t="shared" si="41"/>
        <v>0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5">
        <f t="shared" si="42"/>
        <v>0</v>
      </c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5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5"/>
      <c r="AX1187" s="16"/>
    </row>
    <row r="1188" spans="2:50" x14ac:dyDescent="0.2">
      <c r="B1188" s="7" t="s">
        <v>47</v>
      </c>
      <c r="C1188" s="8">
        <v>11913</v>
      </c>
      <c r="D1188" s="9" t="s">
        <v>280</v>
      </c>
      <c r="E1188" s="10" t="s">
        <v>281</v>
      </c>
      <c r="F1188" s="10" t="s">
        <v>282</v>
      </c>
      <c r="G1188" s="8">
        <v>5</v>
      </c>
      <c r="H1188" s="11">
        <v>200</v>
      </c>
      <c r="I1188" s="12">
        <v>42533</v>
      </c>
      <c r="J1188" s="13">
        <f t="shared" si="41"/>
        <v>0</v>
      </c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5">
        <f t="shared" si="42"/>
        <v>0</v>
      </c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5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5"/>
      <c r="AX1188" s="16"/>
    </row>
    <row r="1189" spans="2:50" x14ac:dyDescent="0.2">
      <c r="B1189" s="7" t="s">
        <v>47</v>
      </c>
      <c r="C1189" s="8">
        <v>11914</v>
      </c>
      <c r="D1189" s="9" t="s">
        <v>150</v>
      </c>
      <c r="E1189" s="10" t="s">
        <v>151</v>
      </c>
      <c r="F1189" s="10" t="s">
        <v>152</v>
      </c>
      <c r="G1189" s="8">
        <v>5</v>
      </c>
      <c r="H1189" s="11">
        <v>150</v>
      </c>
      <c r="I1189" s="12">
        <v>42533</v>
      </c>
      <c r="J1189" s="13">
        <f t="shared" si="41"/>
        <v>0</v>
      </c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5">
        <f t="shared" si="42"/>
        <v>0</v>
      </c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5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5"/>
      <c r="AX1189" s="16"/>
    </row>
    <row r="1190" spans="2:50" x14ac:dyDescent="0.2">
      <c r="B1190" s="7" t="s">
        <v>69</v>
      </c>
      <c r="C1190" s="8">
        <v>11915</v>
      </c>
      <c r="D1190" s="9" t="s">
        <v>1002</v>
      </c>
      <c r="E1190" s="10" t="s">
        <v>1003</v>
      </c>
      <c r="F1190" s="10" t="s">
        <v>931</v>
      </c>
      <c r="G1190" s="8">
        <v>5</v>
      </c>
      <c r="H1190" s="11">
        <v>50</v>
      </c>
      <c r="I1190" s="12">
        <v>42533</v>
      </c>
      <c r="J1190" s="13">
        <f t="shared" si="41"/>
        <v>0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5">
        <f t="shared" si="42"/>
        <v>0</v>
      </c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5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5"/>
      <c r="AX1190" s="16"/>
    </row>
    <row r="1191" spans="2:50" x14ac:dyDescent="0.2">
      <c r="B1191" s="7" t="s">
        <v>69</v>
      </c>
      <c r="C1191" s="8">
        <v>11916</v>
      </c>
      <c r="D1191" s="9" t="s">
        <v>1002</v>
      </c>
      <c r="E1191" s="10" t="s">
        <v>1003</v>
      </c>
      <c r="F1191" s="10" t="s">
        <v>931</v>
      </c>
      <c r="G1191" s="8">
        <v>5</v>
      </c>
      <c r="H1191" s="11">
        <v>50</v>
      </c>
      <c r="I1191" s="12">
        <v>42533</v>
      </c>
      <c r="J1191" s="13">
        <f t="shared" si="41"/>
        <v>0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5">
        <f t="shared" si="42"/>
        <v>0</v>
      </c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5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5"/>
      <c r="AX1191" s="16"/>
    </row>
    <row r="1192" spans="2:50" x14ac:dyDescent="0.2">
      <c r="B1192" s="7" t="s">
        <v>69</v>
      </c>
      <c r="C1192" s="8">
        <v>11917</v>
      </c>
      <c r="D1192" s="9" t="s">
        <v>1002</v>
      </c>
      <c r="E1192" s="10" t="s">
        <v>1003</v>
      </c>
      <c r="F1192" s="10" t="s">
        <v>931</v>
      </c>
      <c r="G1192" s="8">
        <v>5</v>
      </c>
      <c r="H1192" s="11">
        <v>50</v>
      </c>
      <c r="I1192" s="12">
        <v>42533</v>
      </c>
      <c r="J1192" s="13">
        <f t="shared" si="41"/>
        <v>0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5">
        <f t="shared" si="42"/>
        <v>0</v>
      </c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5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5"/>
      <c r="AX1192" s="16"/>
    </row>
    <row r="1193" spans="2:50" x14ac:dyDescent="0.2">
      <c r="B1193" s="7" t="s">
        <v>73</v>
      </c>
      <c r="C1193" s="8">
        <v>11918</v>
      </c>
      <c r="D1193" s="9" t="s">
        <v>672</v>
      </c>
      <c r="E1193" s="10" t="s">
        <v>673</v>
      </c>
      <c r="F1193" s="10" t="s">
        <v>674</v>
      </c>
      <c r="G1193" s="8">
        <v>5</v>
      </c>
      <c r="H1193" s="11">
        <v>100</v>
      </c>
      <c r="I1193" s="12">
        <v>42533</v>
      </c>
      <c r="J1193" s="13">
        <f t="shared" si="41"/>
        <v>0</v>
      </c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5">
        <f t="shared" si="42"/>
        <v>0</v>
      </c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5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5"/>
      <c r="AX1193" s="16"/>
    </row>
    <row r="1194" spans="2:50" x14ac:dyDescent="0.2">
      <c r="B1194" s="7" t="s">
        <v>73</v>
      </c>
      <c r="C1194" s="8">
        <v>11919</v>
      </c>
      <c r="D1194" s="9" t="s">
        <v>109</v>
      </c>
      <c r="E1194" s="10" t="s">
        <v>110</v>
      </c>
      <c r="F1194" s="10" t="s">
        <v>111</v>
      </c>
      <c r="G1194" s="8">
        <v>5</v>
      </c>
      <c r="H1194" s="11">
        <v>200</v>
      </c>
      <c r="I1194" s="12">
        <v>42533</v>
      </c>
      <c r="J1194" s="13">
        <f t="shared" si="41"/>
        <v>0</v>
      </c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5">
        <f t="shared" si="42"/>
        <v>0</v>
      </c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5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5"/>
      <c r="AX1194" s="16"/>
    </row>
    <row r="1195" spans="2:50" x14ac:dyDescent="0.2">
      <c r="B1195" s="7" t="s">
        <v>37</v>
      </c>
      <c r="C1195" s="8">
        <v>11920</v>
      </c>
      <c r="D1195" s="9" t="s">
        <v>431</v>
      </c>
      <c r="E1195" s="10" t="s">
        <v>432</v>
      </c>
      <c r="F1195" s="10" t="s">
        <v>433</v>
      </c>
      <c r="G1195" s="8">
        <v>5</v>
      </c>
      <c r="H1195" s="11">
        <v>100</v>
      </c>
      <c r="I1195" s="12">
        <v>42533</v>
      </c>
      <c r="J1195" s="13">
        <f t="shared" si="41"/>
        <v>0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5">
        <f t="shared" si="42"/>
        <v>0</v>
      </c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5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5"/>
      <c r="AX1195" s="16"/>
    </row>
    <row r="1196" spans="2:50" x14ac:dyDescent="0.2">
      <c r="B1196" s="7" t="s">
        <v>37</v>
      </c>
      <c r="C1196" s="8">
        <v>11921</v>
      </c>
      <c r="D1196" s="9" t="s">
        <v>38</v>
      </c>
      <c r="E1196" s="10" t="s">
        <v>993</v>
      </c>
      <c r="F1196" s="10" t="s">
        <v>994</v>
      </c>
      <c r="G1196" s="8">
        <v>5</v>
      </c>
      <c r="H1196" s="11">
        <v>100</v>
      </c>
      <c r="I1196" s="12">
        <v>42533</v>
      </c>
      <c r="J1196" s="13">
        <f t="shared" si="41"/>
        <v>0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5">
        <f t="shared" si="42"/>
        <v>0</v>
      </c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5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5"/>
      <c r="AX1196" s="16"/>
    </row>
    <row r="1197" spans="2:50" x14ac:dyDescent="0.2">
      <c r="B1197" s="7" t="s">
        <v>73</v>
      </c>
      <c r="C1197" s="8">
        <v>11922</v>
      </c>
      <c r="D1197" s="9" t="s">
        <v>74</v>
      </c>
      <c r="E1197" s="10" t="s">
        <v>75</v>
      </c>
      <c r="F1197" s="10" t="s">
        <v>76</v>
      </c>
      <c r="G1197" s="8">
        <v>5</v>
      </c>
      <c r="H1197" s="11">
        <v>100</v>
      </c>
      <c r="I1197" s="12">
        <v>42533</v>
      </c>
      <c r="J1197" s="13">
        <f t="shared" si="41"/>
        <v>0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5">
        <f t="shared" si="42"/>
        <v>0</v>
      </c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5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5"/>
      <c r="AX1197" s="16"/>
    </row>
    <row r="1198" spans="2:50" x14ac:dyDescent="0.2">
      <c r="B1198" s="7" t="s">
        <v>73</v>
      </c>
      <c r="C1198" s="8">
        <v>11923</v>
      </c>
      <c r="D1198" s="9" t="s">
        <v>259</v>
      </c>
      <c r="E1198" s="10" t="s">
        <v>260</v>
      </c>
      <c r="F1198" s="10" t="s">
        <v>261</v>
      </c>
      <c r="G1198" s="8">
        <v>5</v>
      </c>
      <c r="H1198" s="11">
        <v>100</v>
      </c>
      <c r="I1198" s="12">
        <v>42533</v>
      </c>
      <c r="J1198" s="13">
        <f t="shared" si="41"/>
        <v>0</v>
      </c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5">
        <f t="shared" si="42"/>
        <v>0</v>
      </c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5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5"/>
      <c r="AX1198" s="16"/>
    </row>
    <row r="1199" spans="2:50" x14ac:dyDescent="0.2">
      <c r="B1199" s="7" t="s">
        <v>73</v>
      </c>
      <c r="C1199" s="8">
        <v>11924</v>
      </c>
      <c r="D1199" s="9" t="s">
        <v>675</v>
      </c>
      <c r="E1199" s="10" t="s">
        <v>676</v>
      </c>
      <c r="F1199" s="10" t="s">
        <v>677</v>
      </c>
      <c r="G1199" s="8">
        <v>5</v>
      </c>
      <c r="H1199" s="11">
        <v>150</v>
      </c>
      <c r="I1199" s="12">
        <v>42533</v>
      </c>
      <c r="J1199" s="13">
        <f t="shared" si="41"/>
        <v>0</v>
      </c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5">
        <f t="shared" si="42"/>
        <v>0</v>
      </c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5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5"/>
      <c r="AX1199" s="16"/>
    </row>
    <row r="1200" spans="2:50" x14ac:dyDescent="0.2">
      <c r="B1200" s="7" t="s">
        <v>69</v>
      </c>
      <c r="C1200" s="8">
        <v>11925</v>
      </c>
      <c r="D1200" s="9" t="s">
        <v>562</v>
      </c>
      <c r="E1200" s="10" t="s">
        <v>563</v>
      </c>
      <c r="F1200" s="10" t="s">
        <v>564</v>
      </c>
      <c r="G1200" s="8">
        <v>5</v>
      </c>
      <c r="H1200" s="11">
        <v>100</v>
      </c>
      <c r="I1200" s="12">
        <v>42533</v>
      </c>
      <c r="J1200" s="13">
        <f t="shared" si="41"/>
        <v>0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5">
        <f t="shared" si="42"/>
        <v>0</v>
      </c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5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5"/>
      <c r="AX1200" s="16"/>
    </row>
    <row r="1201" spans="2:50" x14ac:dyDescent="0.2">
      <c r="B1201" s="7" t="s">
        <v>47</v>
      </c>
      <c r="C1201" s="8">
        <v>11926</v>
      </c>
      <c r="D1201" s="9" t="s">
        <v>153</v>
      </c>
      <c r="E1201" s="10" t="s">
        <v>154</v>
      </c>
      <c r="F1201" s="10" t="s">
        <v>155</v>
      </c>
      <c r="G1201" s="8">
        <v>5</v>
      </c>
      <c r="H1201" s="11">
        <v>250</v>
      </c>
      <c r="I1201" s="12">
        <v>42533</v>
      </c>
      <c r="J1201" s="13">
        <f t="shared" si="41"/>
        <v>0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5">
        <f t="shared" si="42"/>
        <v>0</v>
      </c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5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5"/>
      <c r="AX1201" s="16"/>
    </row>
    <row r="1202" spans="2:50" x14ac:dyDescent="0.2">
      <c r="B1202" s="7" t="s">
        <v>77</v>
      </c>
      <c r="C1202" s="8">
        <v>11927</v>
      </c>
      <c r="D1202" s="9" t="s">
        <v>479</v>
      </c>
      <c r="E1202" s="10" t="s">
        <v>480</v>
      </c>
      <c r="F1202" s="10" t="s">
        <v>481</v>
      </c>
      <c r="G1202" s="8">
        <v>5</v>
      </c>
      <c r="H1202" s="11">
        <v>150</v>
      </c>
      <c r="I1202" s="12">
        <v>42533</v>
      </c>
      <c r="J1202" s="13">
        <f t="shared" si="41"/>
        <v>0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5">
        <f t="shared" si="42"/>
        <v>0</v>
      </c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5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5"/>
      <c r="AX1202" s="16"/>
    </row>
    <row r="1203" spans="2:50" x14ac:dyDescent="0.2">
      <c r="B1203" s="7" t="s">
        <v>73</v>
      </c>
      <c r="C1203" s="8">
        <v>11928</v>
      </c>
      <c r="D1203" s="9" t="s">
        <v>571</v>
      </c>
      <c r="E1203" s="10" t="s">
        <v>572</v>
      </c>
      <c r="F1203" s="10" t="s">
        <v>573</v>
      </c>
      <c r="G1203" s="8">
        <v>5</v>
      </c>
      <c r="H1203" s="11">
        <v>200</v>
      </c>
      <c r="I1203" s="12">
        <v>42533</v>
      </c>
      <c r="J1203" s="13">
        <f t="shared" si="41"/>
        <v>0</v>
      </c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5">
        <f t="shared" si="42"/>
        <v>0</v>
      </c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5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5"/>
      <c r="AX1203" s="16"/>
    </row>
    <row r="1204" spans="2:50" x14ac:dyDescent="0.2">
      <c r="B1204" s="7" t="s">
        <v>69</v>
      </c>
      <c r="C1204" s="8">
        <v>11929</v>
      </c>
      <c r="D1204" s="9" t="s">
        <v>174</v>
      </c>
      <c r="E1204" s="10" t="s">
        <v>175</v>
      </c>
      <c r="F1204" s="10" t="s">
        <v>176</v>
      </c>
      <c r="G1204" s="8">
        <v>5</v>
      </c>
      <c r="H1204" s="11">
        <v>100</v>
      </c>
      <c r="I1204" s="12">
        <v>42533</v>
      </c>
      <c r="J1204" s="13">
        <f t="shared" si="41"/>
        <v>0</v>
      </c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5">
        <f t="shared" si="42"/>
        <v>0</v>
      </c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5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5"/>
      <c r="AX1204" s="16"/>
    </row>
    <row r="1205" spans="2:50" x14ac:dyDescent="0.2">
      <c r="B1205" s="7" t="s">
        <v>47</v>
      </c>
      <c r="C1205" s="8">
        <v>11930</v>
      </c>
      <c r="D1205" s="9" t="s">
        <v>132</v>
      </c>
      <c r="E1205" s="10" t="s">
        <v>133</v>
      </c>
      <c r="F1205" s="10" t="s">
        <v>134</v>
      </c>
      <c r="G1205" s="8">
        <v>5</v>
      </c>
      <c r="H1205" s="11">
        <v>150</v>
      </c>
      <c r="I1205" s="12">
        <v>42533</v>
      </c>
      <c r="J1205" s="13">
        <f t="shared" si="41"/>
        <v>0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5">
        <f t="shared" si="42"/>
        <v>0</v>
      </c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5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5"/>
      <c r="AX1205" s="16"/>
    </row>
    <row r="1206" spans="2:50" x14ac:dyDescent="0.2">
      <c r="B1206" s="7" t="s">
        <v>47</v>
      </c>
      <c r="C1206" s="8">
        <v>11931</v>
      </c>
      <c r="D1206" s="9" t="s">
        <v>162</v>
      </c>
      <c r="E1206" s="10" t="s">
        <v>163</v>
      </c>
      <c r="F1206" s="10" t="s">
        <v>164</v>
      </c>
      <c r="G1206" s="8">
        <v>5</v>
      </c>
      <c r="H1206" s="11">
        <v>150</v>
      </c>
      <c r="I1206" s="12">
        <v>42533</v>
      </c>
      <c r="J1206" s="13">
        <f t="shared" si="41"/>
        <v>0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5">
        <f t="shared" si="42"/>
        <v>0</v>
      </c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5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5"/>
      <c r="AX1206" s="16"/>
    </row>
    <row r="1207" spans="2:50" x14ac:dyDescent="0.2">
      <c r="B1207" s="7" t="s">
        <v>47</v>
      </c>
      <c r="C1207" s="8">
        <v>11932</v>
      </c>
      <c r="D1207" s="9" t="s">
        <v>54</v>
      </c>
      <c r="E1207" s="10" t="s">
        <v>55</v>
      </c>
      <c r="F1207" s="10" t="s">
        <v>56</v>
      </c>
      <c r="G1207" s="8">
        <v>5</v>
      </c>
      <c r="H1207" s="11">
        <v>150</v>
      </c>
      <c r="I1207" s="12">
        <v>42533</v>
      </c>
      <c r="J1207" s="13">
        <f t="shared" si="41"/>
        <v>0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5">
        <f t="shared" si="42"/>
        <v>0</v>
      </c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5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5"/>
      <c r="AX1207" s="16"/>
    </row>
    <row r="1208" spans="2:50" x14ac:dyDescent="0.2">
      <c r="B1208" s="7" t="s">
        <v>73</v>
      </c>
      <c r="C1208" s="8">
        <v>11933</v>
      </c>
      <c r="D1208" s="9" t="s">
        <v>926</v>
      </c>
      <c r="E1208" s="10" t="s">
        <v>927</v>
      </c>
      <c r="F1208" s="10" t="s">
        <v>928</v>
      </c>
      <c r="G1208" s="8">
        <v>5</v>
      </c>
      <c r="H1208" s="11">
        <v>100</v>
      </c>
      <c r="I1208" s="12">
        <v>42533</v>
      </c>
      <c r="J1208" s="13">
        <f t="shared" si="41"/>
        <v>0</v>
      </c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5">
        <f t="shared" si="42"/>
        <v>0</v>
      </c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5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5"/>
      <c r="AX1208" s="16"/>
    </row>
    <row r="1209" spans="2:50" x14ac:dyDescent="0.2">
      <c r="B1209" s="7" t="s">
        <v>73</v>
      </c>
      <c r="C1209" s="8">
        <v>11934</v>
      </c>
      <c r="D1209" s="9" t="s">
        <v>355</v>
      </c>
      <c r="E1209" s="10" t="s">
        <v>356</v>
      </c>
      <c r="F1209" s="10" t="s">
        <v>357</v>
      </c>
      <c r="G1209" s="8">
        <v>5</v>
      </c>
      <c r="H1209" s="11">
        <v>150</v>
      </c>
      <c r="I1209" s="12">
        <v>42533</v>
      </c>
      <c r="J1209" s="13">
        <f t="shared" si="41"/>
        <v>0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5">
        <f t="shared" si="42"/>
        <v>0</v>
      </c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5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5"/>
      <c r="AX1209" s="16"/>
    </row>
    <row r="1210" spans="2:50" x14ac:dyDescent="0.2">
      <c r="B1210" s="7" t="s">
        <v>69</v>
      </c>
      <c r="C1210" s="8">
        <v>11935</v>
      </c>
      <c r="D1210" s="9" t="s">
        <v>634</v>
      </c>
      <c r="E1210" s="10" t="s">
        <v>635</v>
      </c>
      <c r="F1210" s="10" t="s">
        <v>636</v>
      </c>
      <c r="G1210" s="8">
        <v>5</v>
      </c>
      <c r="H1210" s="11">
        <v>200</v>
      </c>
      <c r="I1210" s="12">
        <v>42533</v>
      </c>
      <c r="J1210" s="13">
        <f t="shared" si="41"/>
        <v>0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5">
        <f t="shared" si="42"/>
        <v>0</v>
      </c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5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5"/>
      <c r="AX1210" s="16"/>
    </row>
    <row r="1211" spans="2:50" x14ac:dyDescent="0.2">
      <c r="B1211" s="7" t="s">
        <v>69</v>
      </c>
      <c r="C1211" s="8">
        <v>11936</v>
      </c>
      <c r="D1211" s="9" t="s">
        <v>882</v>
      </c>
      <c r="E1211" s="10" t="s">
        <v>883</v>
      </c>
      <c r="F1211" s="10" t="s">
        <v>884</v>
      </c>
      <c r="G1211" s="8">
        <v>5</v>
      </c>
      <c r="H1211" s="11">
        <v>100</v>
      </c>
      <c r="I1211" s="12">
        <v>42533</v>
      </c>
      <c r="J1211" s="13">
        <f t="shared" si="41"/>
        <v>0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5">
        <f t="shared" si="42"/>
        <v>0</v>
      </c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5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5"/>
      <c r="AX1211" s="16"/>
    </row>
    <row r="1212" spans="2:50" x14ac:dyDescent="0.2">
      <c r="B1212" s="7" t="s">
        <v>69</v>
      </c>
      <c r="C1212" s="8">
        <v>11937</v>
      </c>
      <c r="D1212" s="9" t="s">
        <v>868</v>
      </c>
      <c r="E1212" s="10" t="s">
        <v>869</v>
      </c>
      <c r="F1212" s="10" t="s">
        <v>870</v>
      </c>
      <c r="G1212" s="8">
        <v>5</v>
      </c>
      <c r="H1212" s="11">
        <v>150</v>
      </c>
      <c r="I1212" s="12">
        <v>42533</v>
      </c>
      <c r="J1212" s="13">
        <f t="shared" ref="J1212:J1275" si="43">IF(G1212=1,SUM(W1212,-H1212),0)</f>
        <v>0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5">
        <f t="shared" ref="W1212:W1275" si="44">SUM(K1212:V1212)</f>
        <v>0</v>
      </c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5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5"/>
      <c r="AX1212" s="16"/>
    </row>
    <row r="1213" spans="2:50" x14ac:dyDescent="0.2">
      <c r="B1213" s="7" t="s">
        <v>47</v>
      </c>
      <c r="C1213" s="8">
        <v>11938</v>
      </c>
      <c r="D1213" s="9" t="s">
        <v>702</v>
      </c>
      <c r="E1213" s="10" t="s">
        <v>703</v>
      </c>
      <c r="F1213" s="10" t="s">
        <v>704</v>
      </c>
      <c r="G1213" s="8">
        <v>5</v>
      </c>
      <c r="H1213" s="11">
        <v>200</v>
      </c>
      <c r="I1213" s="12">
        <v>42533</v>
      </c>
      <c r="J1213" s="13">
        <f t="shared" si="43"/>
        <v>0</v>
      </c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5">
        <f t="shared" si="44"/>
        <v>0</v>
      </c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5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5"/>
      <c r="AX1213" s="16"/>
    </row>
    <row r="1214" spans="2:50" x14ac:dyDescent="0.2">
      <c r="B1214" s="7" t="s">
        <v>69</v>
      </c>
      <c r="C1214" s="8">
        <v>11939</v>
      </c>
      <c r="D1214" s="9" t="s">
        <v>343</v>
      </c>
      <c r="E1214" s="10" t="s">
        <v>344</v>
      </c>
      <c r="F1214" s="10" t="s">
        <v>345</v>
      </c>
      <c r="G1214" s="8">
        <v>5</v>
      </c>
      <c r="H1214" s="11">
        <v>50</v>
      </c>
      <c r="I1214" s="12">
        <v>42533</v>
      </c>
      <c r="J1214" s="13">
        <f t="shared" si="43"/>
        <v>0</v>
      </c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5">
        <f t="shared" si="44"/>
        <v>0</v>
      </c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5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5"/>
      <c r="AX1214" s="16"/>
    </row>
    <row r="1215" spans="2:50" x14ac:dyDescent="0.2">
      <c r="B1215" s="7" t="s">
        <v>37</v>
      </c>
      <c r="C1215" s="8">
        <v>11940</v>
      </c>
      <c r="D1215" s="9" t="s">
        <v>899</v>
      </c>
      <c r="E1215" s="10" t="s">
        <v>900</v>
      </c>
      <c r="F1215" s="10" t="s">
        <v>901</v>
      </c>
      <c r="G1215" s="8">
        <v>5</v>
      </c>
      <c r="H1215" s="11">
        <v>100</v>
      </c>
      <c r="I1215" s="12">
        <v>42533</v>
      </c>
      <c r="J1215" s="13">
        <f t="shared" si="43"/>
        <v>0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5">
        <f t="shared" si="44"/>
        <v>0</v>
      </c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5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5"/>
      <c r="AX1215" s="16"/>
    </row>
    <row r="1216" spans="2:50" x14ac:dyDescent="0.2">
      <c r="B1216" s="7" t="s">
        <v>77</v>
      </c>
      <c r="C1216" s="8">
        <v>11941</v>
      </c>
      <c r="D1216" s="9" t="s">
        <v>777</v>
      </c>
      <c r="E1216" s="10" t="s">
        <v>778</v>
      </c>
      <c r="F1216" s="10" t="s">
        <v>779</v>
      </c>
      <c r="G1216" s="8">
        <v>5</v>
      </c>
      <c r="H1216" s="11">
        <v>300</v>
      </c>
      <c r="I1216" s="12">
        <v>42533</v>
      </c>
      <c r="J1216" s="13">
        <f t="shared" si="43"/>
        <v>0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5">
        <f t="shared" si="44"/>
        <v>0</v>
      </c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5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5"/>
      <c r="AX1216" s="16"/>
    </row>
    <row r="1217" spans="2:50" x14ac:dyDescent="0.2">
      <c r="B1217" s="7" t="s">
        <v>47</v>
      </c>
      <c r="C1217" s="8">
        <v>11942</v>
      </c>
      <c r="D1217" s="9" t="s">
        <v>705</v>
      </c>
      <c r="E1217" s="10" t="s">
        <v>706</v>
      </c>
      <c r="F1217" s="10" t="s">
        <v>707</v>
      </c>
      <c r="G1217" s="8">
        <v>5</v>
      </c>
      <c r="H1217" s="11">
        <v>300</v>
      </c>
      <c r="I1217" s="12">
        <v>42533</v>
      </c>
      <c r="J1217" s="13">
        <f t="shared" si="43"/>
        <v>0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5">
        <f t="shared" si="44"/>
        <v>0</v>
      </c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5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5"/>
      <c r="AX1217" s="16"/>
    </row>
    <row r="1218" spans="2:50" x14ac:dyDescent="0.2">
      <c r="B1218" s="7" t="s">
        <v>37</v>
      </c>
      <c r="C1218" s="8">
        <v>11943</v>
      </c>
      <c r="D1218" s="9" t="s">
        <v>395</v>
      </c>
      <c r="E1218" s="10" t="s">
        <v>396</v>
      </c>
      <c r="F1218" s="10" t="s">
        <v>397</v>
      </c>
      <c r="G1218" s="8">
        <v>5</v>
      </c>
      <c r="H1218" s="11">
        <v>50</v>
      </c>
      <c r="I1218" s="12">
        <v>42533</v>
      </c>
      <c r="J1218" s="13">
        <f t="shared" si="43"/>
        <v>0</v>
      </c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5">
        <f t="shared" si="44"/>
        <v>0</v>
      </c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5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5"/>
      <c r="AX1218" s="16"/>
    </row>
    <row r="1219" spans="2:50" x14ac:dyDescent="0.2">
      <c r="B1219" s="7" t="s">
        <v>47</v>
      </c>
      <c r="C1219" s="8">
        <v>11944</v>
      </c>
      <c r="D1219" s="9" t="s">
        <v>425</v>
      </c>
      <c r="E1219" s="10" t="s">
        <v>426</v>
      </c>
      <c r="F1219" s="10" t="s">
        <v>427</v>
      </c>
      <c r="G1219" s="8">
        <v>5</v>
      </c>
      <c r="H1219" s="11">
        <v>100</v>
      </c>
      <c r="I1219" s="12">
        <v>42533</v>
      </c>
      <c r="J1219" s="13">
        <f t="shared" si="43"/>
        <v>0</v>
      </c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5">
        <f t="shared" si="44"/>
        <v>0</v>
      </c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5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5"/>
      <c r="AX1219" s="16"/>
    </row>
    <row r="1220" spans="2:50" x14ac:dyDescent="0.2">
      <c r="B1220" s="7" t="s">
        <v>47</v>
      </c>
      <c r="C1220" s="8">
        <v>11945</v>
      </c>
      <c r="D1220" s="9" t="s">
        <v>171</v>
      </c>
      <c r="E1220" s="10" t="s">
        <v>172</v>
      </c>
      <c r="F1220" s="10" t="s">
        <v>173</v>
      </c>
      <c r="G1220" s="8">
        <v>5</v>
      </c>
      <c r="H1220" s="11">
        <v>150</v>
      </c>
      <c r="I1220" s="12">
        <v>42533</v>
      </c>
      <c r="J1220" s="13">
        <f t="shared" si="43"/>
        <v>0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5">
        <f t="shared" si="44"/>
        <v>0</v>
      </c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5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5"/>
      <c r="AX1220" s="16"/>
    </row>
    <row r="1221" spans="2:50" x14ac:dyDescent="0.2">
      <c r="B1221" s="7" t="s">
        <v>77</v>
      </c>
      <c r="C1221" s="8">
        <v>11946</v>
      </c>
      <c r="D1221" s="9" t="s">
        <v>470</v>
      </c>
      <c r="E1221" s="10" t="s">
        <v>471</v>
      </c>
      <c r="F1221" s="10" t="s">
        <v>472</v>
      </c>
      <c r="G1221" s="8">
        <v>1</v>
      </c>
      <c r="H1221" s="11">
        <v>900</v>
      </c>
      <c r="I1221" s="12">
        <v>42533</v>
      </c>
      <c r="J1221" s="13">
        <f t="shared" si="43"/>
        <v>0</v>
      </c>
      <c r="K1221" s="14"/>
      <c r="L1221" s="14"/>
      <c r="M1221" s="14"/>
      <c r="N1221" s="14">
        <v>300</v>
      </c>
      <c r="O1221" s="14">
        <v>300</v>
      </c>
      <c r="P1221" s="14">
        <v>300</v>
      </c>
      <c r="Q1221" s="14"/>
      <c r="R1221" s="14"/>
      <c r="S1221" s="14"/>
      <c r="T1221" s="14"/>
      <c r="U1221" s="14"/>
      <c r="V1221" s="14"/>
      <c r="W1221" s="15">
        <f t="shared" si="44"/>
        <v>900</v>
      </c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5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5"/>
      <c r="AX1221" s="16"/>
    </row>
    <row r="1222" spans="2:50" x14ac:dyDescent="0.2">
      <c r="B1222" s="7" t="s">
        <v>77</v>
      </c>
      <c r="C1222" s="8">
        <v>11946</v>
      </c>
      <c r="D1222" s="9" t="s">
        <v>470</v>
      </c>
      <c r="E1222" s="10" t="s">
        <v>471</v>
      </c>
      <c r="F1222" s="10" t="s">
        <v>472</v>
      </c>
      <c r="G1222" s="8">
        <v>5</v>
      </c>
      <c r="H1222" s="11">
        <v>100</v>
      </c>
      <c r="I1222" s="12">
        <v>42533</v>
      </c>
      <c r="J1222" s="13">
        <f t="shared" si="43"/>
        <v>0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5">
        <f t="shared" si="44"/>
        <v>0</v>
      </c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5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5"/>
      <c r="AX1222" s="16"/>
    </row>
    <row r="1223" spans="2:50" x14ac:dyDescent="0.2">
      <c r="B1223" s="7" t="s">
        <v>47</v>
      </c>
      <c r="C1223" s="8">
        <v>11947</v>
      </c>
      <c r="D1223" s="9" t="s">
        <v>337</v>
      </c>
      <c r="E1223" s="10" t="s">
        <v>338</v>
      </c>
      <c r="F1223" s="10" t="s">
        <v>339</v>
      </c>
      <c r="G1223" s="8">
        <v>5</v>
      </c>
      <c r="H1223" s="11">
        <v>100</v>
      </c>
      <c r="I1223" s="12">
        <v>42533</v>
      </c>
      <c r="J1223" s="13">
        <f t="shared" si="43"/>
        <v>0</v>
      </c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5">
        <f t="shared" si="44"/>
        <v>0</v>
      </c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5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5"/>
      <c r="AX1223" s="16">
        <v>160</v>
      </c>
    </row>
    <row r="1224" spans="2:50" x14ac:dyDescent="0.2">
      <c r="B1224" s="7" t="s">
        <v>37</v>
      </c>
      <c r="C1224" s="8">
        <v>11853</v>
      </c>
      <c r="D1224" s="9" t="s">
        <v>205</v>
      </c>
      <c r="E1224" s="10" t="s">
        <v>206</v>
      </c>
      <c r="F1224" s="10" t="s">
        <v>207</v>
      </c>
      <c r="G1224" s="8">
        <v>1</v>
      </c>
      <c r="H1224" s="11">
        <v>600</v>
      </c>
      <c r="I1224" s="12">
        <v>42534</v>
      </c>
      <c r="J1224" s="13">
        <f t="shared" si="43"/>
        <v>0</v>
      </c>
      <c r="K1224" s="14"/>
      <c r="L1224" s="14"/>
      <c r="M1224" s="14"/>
      <c r="N1224" s="14"/>
      <c r="O1224" s="14">
        <v>600</v>
      </c>
      <c r="P1224" s="14"/>
      <c r="Q1224" s="14"/>
      <c r="R1224" s="14"/>
      <c r="S1224" s="14"/>
      <c r="T1224" s="14"/>
      <c r="U1224" s="14"/>
      <c r="V1224" s="14"/>
      <c r="W1224" s="15">
        <f t="shared" si="44"/>
        <v>600</v>
      </c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5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5"/>
      <c r="AX1224" s="16" t="s">
        <v>1004</v>
      </c>
    </row>
    <row r="1225" spans="2:50" x14ac:dyDescent="0.2">
      <c r="B1225" s="7" t="s">
        <v>47</v>
      </c>
      <c r="C1225" s="8">
        <v>11854</v>
      </c>
      <c r="D1225" s="9" t="s">
        <v>971</v>
      </c>
      <c r="E1225" s="10" t="s">
        <v>972</v>
      </c>
      <c r="F1225" s="10" t="s">
        <v>973</v>
      </c>
      <c r="G1225" s="8">
        <v>7</v>
      </c>
      <c r="H1225" s="11"/>
      <c r="I1225" s="12">
        <v>42535</v>
      </c>
      <c r="J1225" s="13">
        <f t="shared" si="43"/>
        <v>0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5">
        <f t="shared" si="44"/>
        <v>0</v>
      </c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5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5"/>
      <c r="AX1225" s="16" t="s">
        <v>1005</v>
      </c>
    </row>
    <row r="1226" spans="2:50" x14ac:dyDescent="0.2">
      <c r="B1226" s="7" t="s">
        <v>73</v>
      </c>
      <c r="C1226" s="8">
        <v>11855</v>
      </c>
      <c r="D1226" s="9" t="s">
        <v>1006</v>
      </c>
      <c r="E1226" s="10" t="s">
        <v>1007</v>
      </c>
      <c r="F1226" s="10" t="s">
        <v>1008</v>
      </c>
      <c r="G1226" s="8">
        <v>5</v>
      </c>
      <c r="H1226" s="11">
        <v>300</v>
      </c>
      <c r="I1226" s="12">
        <v>42535</v>
      </c>
      <c r="J1226" s="13">
        <f t="shared" si="43"/>
        <v>0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5">
        <f t="shared" si="44"/>
        <v>0</v>
      </c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5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5"/>
      <c r="AX1226" s="16"/>
    </row>
    <row r="1227" spans="2:50" x14ac:dyDescent="0.2">
      <c r="B1227" s="7" t="s">
        <v>47</v>
      </c>
      <c r="C1227" s="8">
        <v>11856</v>
      </c>
      <c r="D1227" s="9" t="s">
        <v>620</v>
      </c>
      <c r="E1227" s="10" t="s">
        <v>621</v>
      </c>
      <c r="F1227" s="10" t="s">
        <v>366</v>
      </c>
      <c r="G1227" s="8">
        <v>1</v>
      </c>
      <c r="H1227" s="11"/>
      <c r="I1227" s="12">
        <v>42535</v>
      </c>
      <c r="J1227" s="13">
        <f t="shared" si="43"/>
        <v>0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5">
        <f t="shared" si="44"/>
        <v>0</v>
      </c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5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5"/>
      <c r="AX1227" s="16" t="s">
        <v>1009</v>
      </c>
    </row>
    <row r="1228" spans="2:50" x14ac:dyDescent="0.2">
      <c r="B1228" s="7" t="s">
        <v>69</v>
      </c>
      <c r="C1228" s="8">
        <v>11857</v>
      </c>
      <c r="D1228" s="9" t="s">
        <v>373</v>
      </c>
      <c r="E1228" s="10" t="s">
        <v>374</v>
      </c>
      <c r="F1228" s="10" t="s">
        <v>375</v>
      </c>
      <c r="G1228" s="8">
        <v>1</v>
      </c>
      <c r="H1228" s="11">
        <v>1200</v>
      </c>
      <c r="I1228" s="12">
        <v>42536</v>
      </c>
      <c r="J1228" s="13">
        <f t="shared" si="43"/>
        <v>0</v>
      </c>
      <c r="K1228" s="14"/>
      <c r="L1228" s="14"/>
      <c r="M1228" s="14"/>
      <c r="N1228" s="14">
        <v>400</v>
      </c>
      <c r="O1228" s="14">
        <v>400</v>
      </c>
      <c r="P1228" s="14">
        <v>400</v>
      </c>
      <c r="Q1228" s="14"/>
      <c r="R1228" s="14"/>
      <c r="S1228" s="14"/>
      <c r="T1228" s="14"/>
      <c r="U1228" s="14"/>
      <c r="V1228" s="14"/>
      <c r="W1228" s="15">
        <f t="shared" si="44"/>
        <v>1200</v>
      </c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5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5"/>
      <c r="AX1228" s="16"/>
    </row>
    <row r="1229" spans="2:50" x14ac:dyDescent="0.2">
      <c r="B1229" s="7" t="s">
        <v>69</v>
      </c>
      <c r="C1229" s="8">
        <v>11857</v>
      </c>
      <c r="D1229" s="9" t="s">
        <v>373</v>
      </c>
      <c r="E1229" s="10" t="s">
        <v>374</v>
      </c>
      <c r="F1229" s="10" t="s">
        <v>375</v>
      </c>
      <c r="G1229" s="8">
        <v>5</v>
      </c>
      <c r="H1229" s="11">
        <v>300</v>
      </c>
      <c r="I1229" s="12">
        <v>42536</v>
      </c>
      <c r="J1229" s="13">
        <f t="shared" si="43"/>
        <v>0</v>
      </c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5">
        <f t="shared" si="44"/>
        <v>0</v>
      </c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5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5"/>
      <c r="AX1229" s="16" t="s">
        <v>1010</v>
      </c>
    </row>
    <row r="1230" spans="2:50" x14ac:dyDescent="0.2">
      <c r="B1230" s="7" t="s">
        <v>69</v>
      </c>
      <c r="C1230" s="8">
        <v>11858</v>
      </c>
      <c r="D1230" s="9" t="s">
        <v>373</v>
      </c>
      <c r="E1230" s="10" t="s">
        <v>374</v>
      </c>
      <c r="F1230" s="10" t="s">
        <v>375</v>
      </c>
      <c r="G1230" s="8">
        <v>5</v>
      </c>
      <c r="H1230" s="11">
        <v>50</v>
      </c>
      <c r="I1230" s="12">
        <v>42536</v>
      </c>
      <c r="J1230" s="13">
        <f t="shared" si="43"/>
        <v>0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5">
        <f t="shared" si="44"/>
        <v>0</v>
      </c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5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5"/>
      <c r="AX1230" s="16"/>
    </row>
    <row r="1231" spans="2:50" x14ac:dyDescent="0.2">
      <c r="B1231" s="7" t="s">
        <v>69</v>
      </c>
      <c r="C1231" s="8">
        <v>11859</v>
      </c>
      <c r="D1231" s="9" t="s">
        <v>346</v>
      </c>
      <c r="E1231" s="10" t="s">
        <v>347</v>
      </c>
      <c r="F1231" s="10" t="s">
        <v>348</v>
      </c>
      <c r="G1231" s="8">
        <v>1</v>
      </c>
      <c r="H1231" s="11">
        <v>300</v>
      </c>
      <c r="I1231" s="12">
        <v>42536</v>
      </c>
      <c r="J1231" s="13">
        <f t="shared" si="43"/>
        <v>0</v>
      </c>
      <c r="K1231" s="14"/>
      <c r="L1231" s="14"/>
      <c r="M1231" s="14"/>
      <c r="N1231" s="14"/>
      <c r="O1231" s="14">
        <v>300</v>
      </c>
      <c r="P1231" s="14"/>
      <c r="Q1231" s="14"/>
      <c r="R1231" s="14"/>
      <c r="S1231" s="14"/>
      <c r="T1231" s="14"/>
      <c r="U1231" s="14"/>
      <c r="V1231" s="14"/>
      <c r="W1231" s="15">
        <f t="shared" si="44"/>
        <v>300</v>
      </c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5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5"/>
      <c r="AX1231" s="16"/>
    </row>
    <row r="1232" spans="2:50" x14ac:dyDescent="0.2">
      <c r="B1232" s="7" t="s">
        <v>37</v>
      </c>
      <c r="C1232" s="8">
        <v>11860</v>
      </c>
      <c r="D1232" s="9" t="s">
        <v>226</v>
      </c>
      <c r="E1232" s="10" t="s">
        <v>227</v>
      </c>
      <c r="F1232" s="10" t="s">
        <v>228</v>
      </c>
      <c r="G1232" s="8">
        <v>1</v>
      </c>
      <c r="H1232" s="11">
        <v>200</v>
      </c>
      <c r="I1232" s="12">
        <v>42537</v>
      </c>
      <c r="J1232" s="13">
        <f t="shared" si="43"/>
        <v>0</v>
      </c>
      <c r="K1232" s="14"/>
      <c r="L1232" s="14"/>
      <c r="M1232" s="14"/>
      <c r="N1232" s="14"/>
      <c r="O1232" s="14"/>
      <c r="P1232" s="14">
        <v>200</v>
      </c>
      <c r="Q1232" s="14"/>
      <c r="R1232" s="14"/>
      <c r="S1232" s="14"/>
      <c r="T1232" s="14"/>
      <c r="U1232" s="14"/>
      <c r="V1232" s="14"/>
      <c r="W1232" s="15">
        <f t="shared" si="44"/>
        <v>200</v>
      </c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5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5"/>
      <c r="AX1232" s="16"/>
    </row>
    <row r="1233" spans="2:50" x14ac:dyDescent="0.2">
      <c r="B1233" s="7" t="s">
        <v>77</v>
      </c>
      <c r="C1233" s="8">
        <v>11861</v>
      </c>
      <c r="D1233" s="9" t="s">
        <v>78</v>
      </c>
      <c r="E1233" s="10" t="s">
        <v>79</v>
      </c>
      <c r="F1233" s="10" t="s">
        <v>80</v>
      </c>
      <c r="G1233" s="8">
        <v>7</v>
      </c>
      <c r="H1233" s="11">
        <v>300</v>
      </c>
      <c r="I1233" s="12">
        <v>42537</v>
      </c>
      <c r="J1233" s="13">
        <f t="shared" si="43"/>
        <v>0</v>
      </c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5">
        <f t="shared" si="44"/>
        <v>0</v>
      </c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5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5"/>
      <c r="AX1233" s="16" t="s">
        <v>1011</v>
      </c>
    </row>
    <row r="1234" spans="2:50" x14ac:dyDescent="0.2">
      <c r="B1234" s="7" t="s">
        <v>47</v>
      </c>
      <c r="C1234" s="8">
        <v>11862</v>
      </c>
      <c r="D1234" s="9" t="s">
        <v>517</v>
      </c>
      <c r="E1234" s="10" t="s">
        <v>518</v>
      </c>
      <c r="F1234" s="10" t="s">
        <v>519</v>
      </c>
      <c r="G1234" s="8">
        <v>5</v>
      </c>
      <c r="H1234" s="11">
        <v>100</v>
      </c>
      <c r="I1234" s="12">
        <v>42537</v>
      </c>
      <c r="J1234" s="13">
        <f t="shared" si="43"/>
        <v>0</v>
      </c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5">
        <f t="shared" si="44"/>
        <v>0</v>
      </c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5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5"/>
      <c r="AX1234" s="16"/>
    </row>
    <row r="1235" spans="2:50" x14ac:dyDescent="0.2">
      <c r="B1235" s="7" t="s">
        <v>391</v>
      </c>
      <c r="C1235" s="8">
        <v>11863</v>
      </c>
      <c r="D1235" s="9" t="s">
        <v>392</v>
      </c>
      <c r="E1235" s="10" t="s">
        <v>393</v>
      </c>
      <c r="F1235" s="10" t="s">
        <v>394</v>
      </c>
      <c r="G1235" s="8">
        <v>5</v>
      </c>
      <c r="H1235" s="11">
        <v>150</v>
      </c>
      <c r="I1235" s="12">
        <v>42537</v>
      </c>
      <c r="J1235" s="13">
        <f t="shared" si="43"/>
        <v>0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5">
        <f t="shared" si="44"/>
        <v>0</v>
      </c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5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5"/>
      <c r="AX1235" s="16"/>
    </row>
    <row r="1236" spans="2:50" x14ac:dyDescent="0.2">
      <c r="B1236" s="7" t="s">
        <v>73</v>
      </c>
      <c r="C1236" s="8">
        <v>11864</v>
      </c>
      <c r="D1236" s="9" t="s">
        <v>559</v>
      </c>
      <c r="E1236" s="10" t="s">
        <v>560</v>
      </c>
      <c r="F1236" s="10" t="s">
        <v>561</v>
      </c>
      <c r="G1236" s="8">
        <v>3</v>
      </c>
      <c r="H1236" s="11">
        <v>160</v>
      </c>
      <c r="I1236" s="12">
        <v>42537</v>
      </c>
      <c r="J1236" s="13">
        <f t="shared" si="43"/>
        <v>0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5">
        <f t="shared" si="44"/>
        <v>0</v>
      </c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5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5"/>
      <c r="AX1236" s="16"/>
    </row>
    <row r="1237" spans="2:50" x14ac:dyDescent="0.2">
      <c r="B1237" s="7" t="s">
        <v>37</v>
      </c>
      <c r="C1237" s="8">
        <v>11865</v>
      </c>
      <c r="D1237" s="9" t="s">
        <v>119</v>
      </c>
      <c r="E1237" s="10" t="s">
        <v>120</v>
      </c>
      <c r="F1237" s="10" t="s">
        <v>121</v>
      </c>
      <c r="G1237" s="8">
        <v>1</v>
      </c>
      <c r="H1237" s="11"/>
      <c r="I1237" s="12">
        <v>42538</v>
      </c>
      <c r="J1237" s="13">
        <f t="shared" si="43"/>
        <v>0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5">
        <f t="shared" si="44"/>
        <v>0</v>
      </c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5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5"/>
      <c r="AX1237" s="16" t="s">
        <v>1012</v>
      </c>
    </row>
    <row r="1238" spans="2:50" x14ac:dyDescent="0.2">
      <c r="B1238" s="7" t="s">
        <v>73</v>
      </c>
      <c r="C1238" s="8">
        <v>11866</v>
      </c>
      <c r="D1238" s="9" t="s">
        <v>938</v>
      </c>
      <c r="E1238" s="10" t="s">
        <v>939</v>
      </c>
      <c r="F1238" s="10" t="s">
        <v>940</v>
      </c>
      <c r="G1238" s="8">
        <v>1</v>
      </c>
      <c r="H1238" s="11">
        <v>400</v>
      </c>
      <c r="I1238" s="12">
        <v>42538</v>
      </c>
      <c r="J1238" s="13">
        <f t="shared" si="43"/>
        <v>0</v>
      </c>
      <c r="K1238" s="14"/>
      <c r="L1238" s="14"/>
      <c r="M1238" s="14"/>
      <c r="N1238" s="14"/>
      <c r="O1238" s="14"/>
      <c r="P1238" s="14">
        <v>400</v>
      </c>
      <c r="Q1238" s="14"/>
      <c r="R1238" s="14"/>
      <c r="S1238" s="14"/>
      <c r="T1238" s="14"/>
      <c r="U1238" s="14"/>
      <c r="V1238" s="14"/>
      <c r="W1238" s="15">
        <f t="shared" si="44"/>
        <v>400</v>
      </c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5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5"/>
      <c r="AX1238" s="16"/>
    </row>
    <row r="1239" spans="2:50" x14ac:dyDescent="0.2">
      <c r="B1239" s="7" t="s">
        <v>73</v>
      </c>
      <c r="C1239" s="8">
        <v>11866</v>
      </c>
      <c r="D1239" s="9" t="s">
        <v>938</v>
      </c>
      <c r="E1239" s="10" t="s">
        <v>939</v>
      </c>
      <c r="F1239" s="10" t="s">
        <v>940</v>
      </c>
      <c r="G1239" s="8">
        <v>3</v>
      </c>
      <c r="H1239" s="11">
        <v>160</v>
      </c>
      <c r="I1239" s="12">
        <v>42538</v>
      </c>
      <c r="J1239" s="13">
        <f t="shared" si="43"/>
        <v>0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5">
        <f t="shared" si="44"/>
        <v>0</v>
      </c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5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5"/>
      <c r="AX1239" s="16"/>
    </row>
    <row r="1240" spans="2:50" x14ac:dyDescent="0.2">
      <c r="B1240" s="7" t="s">
        <v>73</v>
      </c>
      <c r="C1240" s="8">
        <v>11866</v>
      </c>
      <c r="D1240" s="9" t="s">
        <v>938</v>
      </c>
      <c r="E1240" s="10" t="s">
        <v>939</v>
      </c>
      <c r="F1240" s="10" t="s">
        <v>940</v>
      </c>
      <c r="G1240" s="8">
        <v>5</v>
      </c>
      <c r="H1240" s="11">
        <v>50</v>
      </c>
      <c r="I1240" s="12">
        <v>42538</v>
      </c>
      <c r="J1240" s="13">
        <f t="shared" si="43"/>
        <v>0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5">
        <f t="shared" si="44"/>
        <v>0</v>
      </c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5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5"/>
      <c r="AX1240" s="16"/>
    </row>
    <row r="1241" spans="2:50" x14ac:dyDescent="0.2">
      <c r="B1241" s="7" t="s">
        <v>37</v>
      </c>
      <c r="C1241" s="8">
        <v>11867</v>
      </c>
      <c r="D1241" s="9" t="s">
        <v>119</v>
      </c>
      <c r="E1241" s="10" t="s">
        <v>120</v>
      </c>
      <c r="F1241" s="10" t="s">
        <v>121</v>
      </c>
      <c r="G1241" s="8">
        <v>1</v>
      </c>
      <c r="H1241" s="11"/>
      <c r="I1241" s="12">
        <v>42538</v>
      </c>
      <c r="J1241" s="13">
        <f t="shared" si="43"/>
        <v>0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5">
        <f t="shared" si="44"/>
        <v>0</v>
      </c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5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5"/>
      <c r="AX1241" s="16" t="s">
        <v>1013</v>
      </c>
    </row>
    <row r="1242" spans="2:50" x14ac:dyDescent="0.2">
      <c r="B1242" s="7" t="s">
        <v>122</v>
      </c>
      <c r="C1242" s="8">
        <v>11948</v>
      </c>
      <c r="D1242" s="9" t="s">
        <v>797</v>
      </c>
      <c r="E1242" s="10" t="s">
        <v>798</v>
      </c>
      <c r="F1242" s="10" t="s">
        <v>799</v>
      </c>
      <c r="G1242" s="8">
        <v>5</v>
      </c>
      <c r="H1242" s="11">
        <v>100</v>
      </c>
      <c r="I1242" s="12">
        <v>42540</v>
      </c>
      <c r="J1242" s="13">
        <f t="shared" si="43"/>
        <v>0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5">
        <f t="shared" si="44"/>
        <v>0</v>
      </c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5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5"/>
      <c r="AX1242" s="16"/>
    </row>
    <row r="1243" spans="2:50" x14ac:dyDescent="0.2">
      <c r="B1243" s="7" t="s">
        <v>69</v>
      </c>
      <c r="C1243" s="8">
        <v>11949</v>
      </c>
      <c r="D1243" s="9" t="s">
        <v>855</v>
      </c>
      <c r="E1243" s="10" t="s">
        <v>856</v>
      </c>
      <c r="F1243" s="10" t="s">
        <v>857</v>
      </c>
      <c r="G1243" s="8">
        <v>5</v>
      </c>
      <c r="H1243" s="11">
        <v>100</v>
      </c>
      <c r="I1243" s="12">
        <v>42540</v>
      </c>
      <c r="J1243" s="13">
        <f t="shared" si="43"/>
        <v>0</v>
      </c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5">
        <f t="shared" si="44"/>
        <v>0</v>
      </c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5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5"/>
      <c r="AX1243" s="16"/>
    </row>
    <row r="1244" spans="2:50" x14ac:dyDescent="0.2">
      <c r="B1244" s="7" t="s">
        <v>69</v>
      </c>
      <c r="C1244" s="8">
        <v>11950</v>
      </c>
      <c r="D1244" s="9" t="s">
        <v>265</v>
      </c>
      <c r="E1244" s="10" t="s">
        <v>266</v>
      </c>
      <c r="F1244" s="10" t="s">
        <v>267</v>
      </c>
      <c r="G1244" s="8">
        <v>5</v>
      </c>
      <c r="H1244" s="11">
        <v>50</v>
      </c>
      <c r="I1244" s="12">
        <v>42540</v>
      </c>
      <c r="J1244" s="13">
        <f t="shared" si="43"/>
        <v>0</v>
      </c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5">
        <f t="shared" si="44"/>
        <v>0</v>
      </c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5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5"/>
      <c r="AX1244" s="16"/>
    </row>
    <row r="1245" spans="2:50" x14ac:dyDescent="0.2">
      <c r="B1245" s="7" t="s">
        <v>47</v>
      </c>
      <c r="C1245" s="8">
        <v>11951</v>
      </c>
      <c r="D1245" s="9" t="s">
        <v>702</v>
      </c>
      <c r="E1245" s="10" t="s">
        <v>703</v>
      </c>
      <c r="F1245" s="10" t="s">
        <v>704</v>
      </c>
      <c r="G1245" s="8">
        <v>5</v>
      </c>
      <c r="H1245" s="11">
        <v>150</v>
      </c>
      <c r="I1245" s="12">
        <v>42540</v>
      </c>
      <c r="J1245" s="13">
        <f t="shared" si="43"/>
        <v>0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5">
        <f t="shared" si="44"/>
        <v>0</v>
      </c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5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5"/>
      <c r="AX1245" s="16"/>
    </row>
    <row r="1246" spans="2:50" x14ac:dyDescent="0.2">
      <c r="B1246" s="7" t="s">
        <v>47</v>
      </c>
      <c r="C1246" s="8">
        <v>11952</v>
      </c>
      <c r="D1246" s="9" t="s">
        <v>702</v>
      </c>
      <c r="E1246" s="10" t="s">
        <v>703</v>
      </c>
      <c r="F1246" s="10" t="s">
        <v>704</v>
      </c>
      <c r="G1246" s="8">
        <v>5</v>
      </c>
      <c r="H1246" s="11">
        <v>50</v>
      </c>
      <c r="I1246" s="12">
        <v>42540</v>
      </c>
      <c r="J1246" s="13">
        <f t="shared" si="43"/>
        <v>0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5">
        <f t="shared" si="44"/>
        <v>0</v>
      </c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5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5"/>
      <c r="AX1246" s="16"/>
    </row>
    <row r="1247" spans="2:50" x14ac:dyDescent="0.2">
      <c r="B1247" s="7" t="s">
        <v>73</v>
      </c>
      <c r="C1247" s="8">
        <v>11953</v>
      </c>
      <c r="D1247" s="9" t="s">
        <v>523</v>
      </c>
      <c r="E1247" s="10" t="s">
        <v>524</v>
      </c>
      <c r="F1247" s="10" t="s">
        <v>525</v>
      </c>
      <c r="G1247" s="8">
        <v>5</v>
      </c>
      <c r="H1247" s="11">
        <v>50</v>
      </c>
      <c r="I1247" s="12">
        <v>42540</v>
      </c>
      <c r="J1247" s="13">
        <f t="shared" si="43"/>
        <v>0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5">
        <f t="shared" si="44"/>
        <v>0</v>
      </c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5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5"/>
      <c r="AX1247" s="16"/>
    </row>
    <row r="1248" spans="2:50" x14ac:dyDescent="0.2">
      <c r="B1248" s="7" t="s">
        <v>47</v>
      </c>
      <c r="C1248" s="8">
        <v>11954</v>
      </c>
      <c r="D1248" s="9" t="s">
        <v>699</v>
      </c>
      <c r="E1248" s="10" t="s">
        <v>700</v>
      </c>
      <c r="F1248" s="10" t="s">
        <v>701</v>
      </c>
      <c r="G1248" s="8">
        <v>5</v>
      </c>
      <c r="H1248" s="11">
        <v>100</v>
      </c>
      <c r="I1248" s="12">
        <v>42540</v>
      </c>
      <c r="J1248" s="13">
        <f t="shared" si="43"/>
        <v>0</v>
      </c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5">
        <f t="shared" si="44"/>
        <v>0</v>
      </c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5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5"/>
      <c r="AX1248" s="16"/>
    </row>
    <row r="1249" spans="2:50" x14ac:dyDescent="0.2">
      <c r="B1249" s="7" t="s">
        <v>73</v>
      </c>
      <c r="C1249" s="8">
        <v>11955</v>
      </c>
      <c r="D1249" s="9" t="s">
        <v>458</v>
      </c>
      <c r="E1249" s="10" t="s">
        <v>459</v>
      </c>
      <c r="F1249" s="10" t="s">
        <v>460</v>
      </c>
      <c r="G1249" s="8">
        <v>5</v>
      </c>
      <c r="H1249" s="11">
        <v>150</v>
      </c>
      <c r="I1249" s="12">
        <v>42540</v>
      </c>
      <c r="J1249" s="13">
        <f t="shared" si="43"/>
        <v>0</v>
      </c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5">
        <f t="shared" si="44"/>
        <v>0</v>
      </c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5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5"/>
      <c r="AX1249" s="16"/>
    </row>
    <row r="1250" spans="2:50" x14ac:dyDescent="0.2">
      <c r="B1250" s="7" t="s">
        <v>47</v>
      </c>
      <c r="C1250" s="8">
        <v>11956</v>
      </c>
      <c r="D1250" s="9" t="s">
        <v>208</v>
      </c>
      <c r="E1250" s="10" t="s">
        <v>209</v>
      </c>
      <c r="F1250" s="10" t="s">
        <v>210</v>
      </c>
      <c r="G1250" s="8">
        <v>5</v>
      </c>
      <c r="H1250" s="11">
        <v>300</v>
      </c>
      <c r="I1250" s="12">
        <v>42540</v>
      </c>
      <c r="J1250" s="13">
        <f t="shared" si="43"/>
        <v>0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5">
        <f t="shared" si="44"/>
        <v>0</v>
      </c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5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5"/>
      <c r="AX1250" s="16"/>
    </row>
    <row r="1251" spans="2:50" x14ac:dyDescent="0.2">
      <c r="B1251" s="7" t="s">
        <v>47</v>
      </c>
      <c r="C1251" s="8">
        <v>11957</v>
      </c>
      <c r="D1251" s="9" t="s">
        <v>416</v>
      </c>
      <c r="E1251" s="10" t="s">
        <v>417</v>
      </c>
      <c r="F1251" s="10" t="s">
        <v>418</v>
      </c>
      <c r="G1251" s="8">
        <v>5</v>
      </c>
      <c r="H1251" s="11">
        <v>100</v>
      </c>
      <c r="I1251" s="12">
        <v>42540</v>
      </c>
      <c r="J1251" s="13">
        <f t="shared" si="43"/>
        <v>0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5">
        <f t="shared" si="44"/>
        <v>0</v>
      </c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5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5"/>
      <c r="AX1251" s="16"/>
    </row>
    <row r="1252" spans="2:50" x14ac:dyDescent="0.2">
      <c r="B1252" s="7" t="s">
        <v>47</v>
      </c>
      <c r="C1252" s="8">
        <v>11958</v>
      </c>
      <c r="D1252" s="9" t="s">
        <v>769</v>
      </c>
      <c r="E1252" s="10" t="s">
        <v>770</v>
      </c>
      <c r="F1252" s="10" t="s">
        <v>771</v>
      </c>
      <c r="G1252" s="8">
        <v>5</v>
      </c>
      <c r="H1252" s="11">
        <v>200</v>
      </c>
      <c r="I1252" s="12">
        <v>42540</v>
      </c>
      <c r="J1252" s="13">
        <f t="shared" si="43"/>
        <v>0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5">
        <f t="shared" si="44"/>
        <v>0</v>
      </c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5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5"/>
      <c r="AX1252" s="16"/>
    </row>
    <row r="1253" spans="2:50" x14ac:dyDescent="0.2">
      <c r="B1253" s="7" t="s">
        <v>77</v>
      </c>
      <c r="C1253" s="8">
        <v>11959</v>
      </c>
      <c r="D1253" s="9" t="s">
        <v>322</v>
      </c>
      <c r="E1253" s="10" t="s">
        <v>323</v>
      </c>
      <c r="F1253" s="10" t="s">
        <v>324</v>
      </c>
      <c r="G1253" s="8">
        <v>5</v>
      </c>
      <c r="H1253" s="11">
        <v>100</v>
      </c>
      <c r="I1253" s="12">
        <v>42540</v>
      </c>
      <c r="J1253" s="13">
        <f t="shared" si="43"/>
        <v>0</v>
      </c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5">
        <f t="shared" si="44"/>
        <v>0</v>
      </c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5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5"/>
      <c r="AX1253" s="16"/>
    </row>
    <row r="1254" spans="2:50" x14ac:dyDescent="0.2">
      <c r="B1254" s="7" t="s">
        <v>47</v>
      </c>
      <c r="C1254" s="8">
        <v>11960</v>
      </c>
      <c r="D1254" s="9" t="s">
        <v>509</v>
      </c>
      <c r="E1254" s="10" t="s">
        <v>510</v>
      </c>
      <c r="F1254" s="10" t="s">
        <v>511</v>
      </c>
      <c r="G1254" s="8">
        <v>5</v>
      </c>
      <c r="H1254" s="11">
        <v>50</v>
      </c>
      <c r="I1254" s="12">
        <v>42540</v>
      </c>
      <c r="J1254" s="13">
        <f t="shared" si="43"/>
        <v>0</v>
      </c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5">
        <f t="shared" si="44"/>
        <v>0</v>
      </c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5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5"/>
      <c r="AX1254" s="16"/>
    </row>
    <row r="1255" spans="2:50" x14ac:dyDescent="0.2">
      <c r="B1255" s="7" t="s">
        <v>37</v>
      </c>
      <c r="C1255" s="8">
        <v>11961</v>
      </c>
      <c r="D1255" s="9" t="s">
        <v>271</v>
      </c>
      <c r="E1255" s="10" t="s">
        <v>272</v>
      </c>
      <c r="F1255" s="10" t="s">
        <v>273</v>
      </c>
      <c r="G1255" s="8">
        <v>5</v>
      </c>
      <c r="H1255" s="11">
        <v>150</v>
      </c>
      <c r="I1255" s="12">
        <v>42540</v>
      </c>
      <c r="J1255" s="13">
        <f t="shared" si="43"/>
        <v>0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5">
        <f t="shared" si="44"/>
        <v>0</v>
      </c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5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5"/>
      <c r="AX1255" s="16"/>
    </row>
    <row r="1256" spans="2:50" x14ac:dyDescent="0.2">
      <c r="B1256" s="7" t="s">
        <v>73</v>
      </c>
      <c r="C1256" s="8">
        <v>11962</v>
      </c>
      <c r="D1256" s="9" t="s">
        <v>485</v>
      </c>
      <c r="E1256" s="10" t="s">
        <v>486</v>
      </c>
      <c r="F1256" s="10" t="s">
        <v>487</v>
      </c>
      <c r="G1256" s="8">
        <v>5</v>
      </c>
      <c r="H1256" s="11">
        <v>200</v>
      </c>
      <c r="I1256" s="12">
        <v>42540</v>
      </c>
      <c r="J1256" s="13">
        <f t="shared" si="43"/>
        <v>0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5">
        <f t="shared" si="44"/>
        <v>0</v>
      </c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5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5"/>
      <c r="AX1256" s="16"/>
    </row>
    <row r="1257" spans="2:50" x14ac:dyDescent="0.2">
      <c r="B1257" s="7" t="s">
        <v>69</v>
      </c>
      <c r="C1257" s="8">
        <v>11963</v>
      </c>
      <c r="D1257" s="9" t="s">
        <v>461</v>
      </c>
      <c r="E1257" s="10" t="s">
        <v>462</v>
      </c>
      <c r="F1257" s="10" t="s">
        <v>463</v>
      </c>
      <c r="G1257" s="8">
        <v>5</v>
      </c>
      <c r="H1257" s="11">
        <v>200</v>
      </c>
      <c r="I1257" s="12">
        <v>42540</v>
      </c>
      <c r="J1257" s="13">
        <f t="shared" si="43"/>
        <v>0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5">
        <f t="shared" si="44"/>
        <v>0</v>
      </c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5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5"/>
      <c r="AX1257" s="16"/>
    </row>
    <row r="1258" spans="2:50" x14ac:dyDescent="0.2">
      <c r="B1258" s="7" t="s">
        <v>69</v>
      </c>
      <c r="C1258" s="8">
        <v>11964</v>
      </c>
      <c r="D1258" s="9" t="s">
        <v>410</v>
      </c>
      <c r="E1258" s="10" t="s">
        <v>411</v>
      </c>
      <c r="F1258" s="10" t="s">
        <v>412</v>
      </c>
      <c r="G1258" s="8">
        <v>5</v>
      </c>
      <c r="H1258" s="11">
        <v>150</v>
      </c>
      <c r="I1258" s="12">
        <v>42540</v>
      </c>
      <c r="J1258" s="13">
        <f t="shared" si="43"/>
        <v>0</v>
      </c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5">
        <f t="shared" si="44"/>
        <v>0</v>
      </c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5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5"/>
      <c r="AX1258" s="16"/>
    </row>
    <row r="1259" spans="2:50" x14ac:dyDescent="0.2">
      <c r="B1259" s="7" t="s">
        <v>47</v>
      </c>
      <c r="C1259" s="8">
        <v>11965</v>
      </c>
      <c r="D1259" s="9" t="s">
        <v>352</v>
      </c>
      <c r="E1259" s="10" t="s">
        <v>353</v>
      </c>
      <c r="F1259" s="10" t="s">
        <v>354</v>
      </c>
      <c r="G1259" s="8">
        <v>5</v>
      </c>
      <c r="H1259" s="11">
        <v>150</v>
      </c>
      <c r="I1259" s="12">
        <v>42540</v>
      </c>
      <c r="J1259" s="13">
        <f t="shared" si="43"/>
        <v>0</v>
      </c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5">
        <f t="shared" si="44"/>
        <v>0</v>
      </c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5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5"/>
      <c r="AX1259" s="16"/>
    </row>
    <row r="1260" spans="2:50" x14ac:dyDescent="0.2">
      <c r="B1260" s="7" t="s">
        <v>47</v>
      </c>
      <c r="C1260" s="8">
        <v>11966</v>
      </c>
      <c r="D1260" s="9" t="s">
        <v>235</v>
      </c>
      <c r="E1260" s="10" t="s">
        <v>236</v>
      </c>
      <c r="F1260" s="10" t="s">
        <v>237</v>
      </c>
      <c r="G1260" s="8">
        <v>5</v>
      </c>
      <c r="H1260" s="11">
        <v>50</v>
      </c>
      <c r="I1260" s="12">
        <v>42540</v>
      </c>
      <c r="J1260" s="13">
        <f t="shared" si="43"/>
        <v>0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5">
        <f t="shared" si="44"/>
        <v>0</v>
      </c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5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5"/>
      <c r="AX1260" s="16"/>
    </row>
    <row r="1261" spans="2:50" x14ac:dyDescent="0.2">
      <c r="B1261" s="7" t="s">
        <v>37</v>
      </c>
      <c r="C1261" s="8">
        <v>11967</v>
      </c>
      <c r="D1261" s="9" t="s">
        <v>268</v>
      </c>
      <c r="E1261" s="10" t="s">
        <v>269</v>
      </c>
      <c r="F1261" s="10" t="s">
        <v>270</v>
      </c>
      <c r="G1261" s="8">
        <v>5</v>
      </c>
      <c r="H1261" s="11">
        <v>100</v>
      </c>
      <c r="I1261" s="12">
        <v>42540</v>
      </c>
      <c r="J1261" s="13">
        <f t="shared" si="43"/>
        <v>0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5">
        <f t="shared" si="44"/>
        <v>0</v>
      </c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5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5"/>
      <c r="AX1261" s="16"/>
    </row>
    <row r="1262" spans="2:50" x14ac:dyDescent="0.2">
      <c r="B1262" s="7" t="s">
        <v>47</v>
      </c>
      <c r="C1262" s="8">
        <v>11968</v>
      </c>
      <c r="D1262" s="9" t="s">
        <v>404</v>
      </c>
      <c r="E1262" s="10" t="s">
        <v>405</v>
      </c>
      <c r="F1262" s="10" t="s">
        <v>406</v>
      </c>
      <c r="G1262" s="8">
        <v>5</v>
      </c>
      <c r="H1262" s="11">
        <v>100</v>
      </c>
      <c r="I1262" s="12">
        <v>42540</v>
      </c>
      <c r="J1262" s="13">
        <f t="shared" si="43"/>
        <v>0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5">
        <f t="shared" si="44"/>
        <v>0</v>
      </c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5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5"/>
      <c r="AX1262" s="16"/>
    </row>
    <row r="1263" spans="2:50" x14ac:dyDescent="0.2">
      <c r="B1263" s="7" t="s">
        <v>37</v>
      </c>
      <c r="C1263" s="8">
        <v>11969</v>
      </c>
      <c r="D1263" s="9" t="s">
        <v>681</v>
      </c>
      <c r="E1263" s="10" t="s">
        <v>682</v>
      </c>
      <c r="F1263" s="10" t="s">
        <v>683</v>
      </c>
      <c r="G1263" s="8">
        <v>5</v>
      </c>
      <c r="H1263" s="11">
        <v>100</v>
      </c>
      <c r="I1263" s="12">
        <v>42540</v>
      </c>
      <c r="J1263" s="13">
        <f t="shared" si="43"/>
        <v>0</v>
      </c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5">
        <f t="shared" si="44"/>
        <v>0</v>
      </c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5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5"/>
      <c r="AX1263" s="16"/>
    </row>
    <row r="1264" spans="2:50" x14ac:dyDescent="0.2">
      <c r="B1264" s="7" t="s">
        <v>77</v>
      </c>
      <c r="C1264" s="8">
        <v>11970</v>
      </c>
      <c r="D1264" s="9" t="s">
        <v>565</v>
      </c>
      <c r="E1264" s="10" t="s">
        <v>566</v>
      </c>
      <c r="F1264" s="10" t="s">
        <v>567</v>
      </c>
      <c r="G1264" s="8">
        <v>5</v>
      </c>
      <c r="H1264" s="11">
        <v>200</v>
      </c>
      <c r="I1264" s="12">
        <v>42540</v>
      </c>
      <c r="J1264" s="13">
        <f t="shared" si="43"/>
        <v>0</v>
      </c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5">
        <f t="shared" si="44"/>
        <v>0</v>
      </c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5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5"/>
      <c r="AX1264" s="16"/>
    </row>
    <row r="1265" spans="2:50" x14ac:dyDescent="0.2">
      <c r="B1265" s="7" t="s">
        <v>73</v>
      </c>
      <c r="C1265" s="8">
        <v>11971</v>
      </c>
      <c r="D1265" s="9" t="s">
        <v>112</v>
      </c>
      <c r="E1265" s="10" t="s">
        <v>113</v>
      </c>
      <c r="F1265" s="10" t="s">
        <v>114</v>
      </c>
      <c r="G1265" s="8">
        <v>5</v>
      </c>
      <c r="H1265" s="11">
        <v>300</v>
      </c>
      <c r="I1265" s="12">
        <v>42540</v>
      </c>
      <c r="J1265" s="13">
        <f t="shared" si="43"/>
        <v>0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5">
        <f t="shared" si="44"/>
        <v>0</v>
      </c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5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5"/>
      <c r="AX1265" s="16"/>
    </row>
    <row r="1266" spans="2:50" x14ac:dyDescent="0.2">
      <c r="B1266" s="7" t="s">
        <v>47</v>
      </c>
      <c r="C1266" s="8">
        <v>11972</v>
      </c>
      <c r="D1266" s="9" t="s">
        <v>1014</v>
      </c>
      <c r="E1266" s="10" t="s">
        <v>1015</v>
      </c>
      <c r="F1266" s="10" t="s">
        <v>1016</v>
      </c>
      <c r="G1266" s="8">
        <v>5</v>
      </c>
      <c r="H1266" s="11">
        <v>50</v>
      </c>
      <c r="I1266" s="12">
        <v>42540</v>
      </c>
      <c r="J1266" s="13">
        <f t="shared" si="43"/>
        <v>0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5">
        <f t="shared" si="44"/>
        <v>0</v>
      </c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5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5"/>
      <c r="AX1266" s="16"/>
    </row>
    <row r="1267" spans="2:50" x14ac:dyDescent="0.2">
      <c r="B1267" s="7" t="s">
        <v>69</v>
      </c>
      <c r="C1267" s="8">
        <v>11973</v>
      </c>
      <c r="D1267" s="9" t="s">
        <v>165</v>
      </c>
      <c r="E1267" s="10" t="s">
        <v>166</v>
      </c>
      <c r="F1267" s="10" t="s">
        <v>167</v>
      </c>
      <c r="G1267" s="8">
        <v>5</v>
      </c>
      <c r="H1267" s="11">
        <v>150</v>
      </c>
      <c r="I1267" s="12">
        <v>42540</v>
      </c>
      <c r="J1267" s="13">
        <f t="shared" si="43"/>
        <v>0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5">
        <f t="shared" si="44"/>
        <v>0</v>
      </c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5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5"/>
      <c r="AX1267" s="16"/>
    </row>
    <row r="1268" spans="2:50" x14ac:dyDescent="0.2">
      <c r="B1268" s="7" t="s">
        <v>73</v>
      </c>
      <c r="C1268" s="8">
        <v>11974</v>
      </c>
      <c r="D1268" s="9" t="s">
        <v>277</v>
      </c>
      <c r="E1268" s="10" t="s">
        <v>278</v>
      </c>
      <c r="F1268" s="10" t="s">
        <v>279</v>
      </c>
      <c r="G1268" s="8">
        <v>5</v>
      </c>
      <c r="H1268" s="11">
        <v>100</v>
      </c>
      <c r="I1268" s="12">
        <v>42540</v>
      </c>
      <c r="J1268" s="13">
        <f t="shared" si="43"/>
        <v>0</v>
      </c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5">
        <f t="shared" si="44"/>
        <v>0</v>
      </c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5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5"/>
      <c r="AX1268" s="16"/>
    </row>
    <row r="1269" spans="2:50" x14ac:dyDescent="0.2">
      <c r="B1269" s="7" t="s">
        <v>37</v>
      </c>
      <c r="C1269" s="8">
        <v>11975</v>
      </c>
      <c r="D1269" s="9" t="s">
        <v>180</v>
      </c>
      <c r="E1269" s="10" t="s">
        <v>181</v>
      </c>
      <c r="F1269" s="10" t="s">
        <v>182</v>
      </c>
      <c r="G1269" s="8">
        <v>5</v>
      </c>
      <c r="H1269" s="11">
        <v>200</v>
      </c>
      <c r="I1269" s="12">
        <v>42540</v>
      </c>
      <c r="J1269" s="13">
        <f t="shared" si="43"/>
        <v>0</v>
      </c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5">
        <f t="shared" si="44"/>
        <v>0</v>
      </c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5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5"/>
      <c r="AX1269" s="16"/>
    </row>
    <row r="1270" spans="2:50" x14ac:dyDescent="0.2">
      <c r="B1270" s="7" t="s">
        <v>69</v>
      </c>
      <c r="C1270" s="8">
        <v>11976</v>
      </c>
      <c r="D1270" s="9" t="s">
        <v>413</v>
      </c>
      <c r="E1270" s="10" t="s">
        <v>414</v>
      </c>
      <c r="F1270" s="10" t="s">
        <v>415</v>
      </c>
      <c r="G1270" s="8">
        <v>5</v>
      </c>
      <c r="H1270" s="11">
        <v>250</v>
      </c>
      <c r="I1270" s="12">
        <v>42540</v>
      </c>
      <c r="J1270" s="13">
        <f t="shared" si="43"/>
        <v>0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5">
        <f t="shared" si="44"/>
        <v>0</v>
      </c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5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5"/>
      <c r="AX1270" s="16"/>
    </row>
    <row r="1271" spans="2:50" x14ac:dyDescent="0.2">
      <c r="B1271" s="7" t="s">
        <v>73</v>
      </c>
      <c r="C1271" s="8">
        <v>11977</v>
      </c>
      <c r="D1271" s="9" t="s">
        <v>90</v>
      </c>
      <c r="E1271" s="10" t="s">
        <v>91</v>
      </c>
      <c r="F1271" s="10" t="s">
        <v>92</v>
      </c>
      <c r="G1271" s="8">
        <v>5</v>
      </c>
      <c r="H1271" s="11">
        <v>200</v>
      </c>
      <c r="I1271" s="12">
        <v>42540</v>
      </c>
      <c r="J1271" s="13">
        <f t="shared" si="43"/>
        <v>0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5">
        <f t="shared" si="44"/>
        <v>0</v>
      </c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5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5"/>
      <c r="AX1271" s="16"/>
    </row>
    <row r="1272" spans="2:50" x14ac:dyDescent="0.2">
      <c r="B1272" s="7" t="s">
        <v>37</v>
      </c>
      <c r="C1272" s="8">
        <v>11978</v>
      </c>
      <c r="D1272" s="9" t="s">
        <v>840</v>
      </c>
      <c r="E1272" s="10" t="s">
        <v>841</v>
      </c>
      <c r="F1272" s="10" t="s">
        <v>842</v>
      </c>
      <c r="G1272" s="8">
        <v>5</v>
      </c>
      <c r="H1272" s="11">
        <v>300</v>
      </c>
      <c r="I1272" s="12">
        <v>42540</v>
      </c>
      <c r="J1272" s="13">
        <f t="shared" si="43"/>
        <v>0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5">
        <f t="shared" si="44"/>
        <v>0</v>
      </c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5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5"/>
      <c r="AX1272" s="16"/>
    </row>
    <row r="1273" spans="2:50" x14ac:dyDescent="0.2">
      <c r="B1273" s="7" t="s">
        <v>73</v>
      </c>
      <c r="C1273" s="8">
        <v>11979</v>
      </c>
      <c r="D1273" s="9" t="s">
        <v>541</v>
      </c>
      <c r="E1273" s="10" t="s">
        <v>542</v>
      </c>
      <c r="F1273" s="10" t="s">
        <v>543</v>
      </c>
      <c r="G1273" s="8">
        <v>5</v>
      </c>
      <c r="H1273" s="11">
        <v>150</v>
      </c>
      <c r="I1273" s="12">
        <v>42540</v>
      </c>
      <c r="J1273" s="13">
        <f t="shared" si="43"/>
        <v>0</v>
      </c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5">
        <f t="shared" si="44"/>
        <v>0</v>
      </c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5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5"/>
      <c r="AX1273" s="16"/>
    </row>
    <row r="1274" spans="2:50" x14ac:dyDescent="0.2">
      <c r="B1274" s="7" t="s">
        <v>37</v>
      </c>
      <c r="C1274" s="8">
        <v>11980</v>
      </c>
      <c r="D1274" s="9" t="s">
        <v>491</v>
      </c>
      <c r="E1274" s="10" t="s">
        <v>492</v>
      </c>
      <c r="F1274" s="10" t="s">
        <v>493</v>
      </c>
      <c r="G1274" s="8">
        <v>5</v>
      </c>
      <c r="H1274" s="11">
        <v>100</v>
      </c>
      <c r="I1274" s="12">
        <v>42540</v>
      </c>
      <c r="J1274" s="13">
        <f t="shared" si="43"/>
        <v>0</v>
      </c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5">
        <f t="shared" si="44"/>
        <v>0</v>
      </c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5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5"/>
      <c r="AX1274" s="16"/>
    </row>
    <row r="1275" spans="2:50" x14ac:dyDescent="0.2">
      <c r="B1275" s="7" t="s">
        <v>73</v>
      </c>
      <c r="C1275" s="8">
        <v>11981</v>
      </c>
      <c r="D1275" s="9" t="s">
        <v>728</v>
      </c>
      <c r="E1275" s="10" t="s">
        <v>729</v>
      </c>
      <c r="F1275" s="10" t="s">
        <v>730</v>
      </c>
      <c r="G1275" s="8">
        <v>5</v>
      </c>
      <c r="H1275" s="11">
        <v>200</v>
      </c>
      <c r="I1275" s="12">
        <v>42540</v>
      </c>
      <c r="J1275" s="13">
        <f t="shared" si="43"/>
        <v>0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5">
        <f t="shared" si="44"/>
        <v>0</v>
      </c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5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5"/>
      <c r="AX1275" s="16"/>
    </row>
    <row r="1276" spans="2:50" x14ac:dyDescent="0.2">
      <c r="B1276" s="7" t="s">
        <v>47</v>
      </c>
      <c r="C1276" s="8">
        <v>11982</v>
      </c>
      <c r="D1276" s="9" t="s">
        <v>132</v>
      </c>
      <c r="E1276" s="10" t="s">
        <v>133</v>
      </c>
      <c r="F1276" s="10" t="s">
        <v>134</v>
      </c>
      <c r="G1276" s="8">
        <v>5</v>
      </c>
      <c r="H1276" s="11">
        <v>50</v>
      </c>
      <c r="I1276" s="12">
        <v>42540</v>
      </c>
      <c r="J1276" s="13">
        <f t="shared" ref="J1276:J1339" si="45">IF(G1276=1,SUM(W1276,-H1276),0)</f>
        <v>0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5">
        <f t="shared" ref="W1276:W1339" si="46">SUM(K1276:V1276)</f>
        <v>0</v>
      </c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5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5"/>
      <c r="AX1276" s="16"/>
    </row>
    <row r="1277" spans="2:50" x14ac:dyDescent="0.2">
      <c r="B1277" s="7" t="s">
        <v>47</v>
      </c>
      <c r="C1277" s="8">
        <v>11983</v>
      </c>
      <c r="D1277" s="9" t="s">
        <v>337</v>
      </c>
      <c r="E1277" s="10" t="s">
        <v>338</v>
      </c>
      <c r="F1277" s="10" t="s">
        <v>339</v>
      </c>
      <c r="G1277" s="8">
        <v>5</v>
      </c>
      <c r="H1277" s="11">
        <v>200</v>
      </c>
      <c r="I1277" s="12">
        <v>42540</v>
      </c>
      <c r="J1277" s="13">
        <f t="shared" si="45"/>
        <v>0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5">
        <f t="shared" si="46"/>
        <v>0</v>
      </c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5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5"/>
      <c r="AX1277" s="16"/>
    </row>
    <row r="1278" spans="2:50" x14ac:dyDescent="0.2">
      <c r="B1278" s="7" t="s">
        <v>73</v>
      </c>
      <c r="C1278" s="8">
        <v>11984</v>
      </c>
      <c r="D1278" s="9" t="s">
        <v>532</v>
      </c>
      <c r="E1278" s="10" t="s">
        <v>533</v>
      </c>
      <c r="F1278" s="10" t="s">
        <v>534</v>
      </c>
      <c r="G1278" s="8">
        <v>3</v>
      </c>
      <c r="H1278" s="11">
        <v>160</v>
      </c>
      <c r="I1278" s="12">
        <v>42540</v>
      </c>
      <c r="J1278" s="13">
        <f t="shared" si="45"/>
        <v>0</v>
      </c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5">
        <f t="shared" si="46"/>
        <v>0</v>
      </c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5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5"/>
      <c r="AX1278" s="16"/>
    </row>
    <row r="1279" spans="2:50" x14ac:dyDescent="0.2">
      <c r="B1279" s="7" t="s">
        <v>77</v>
      </c>
      <c r="C1279" s="8">
        <v>11985</v>
      </c>
      <c r="D1279" s="9" t="s">
        <v>286</v>
      </c>
      <c r="E1279" s="10" t="s">
        <v>287</v>
      </c>
      <c r="F1279" s="10" t="s">
        <v>288</v>
      </c>
      <c r="G1279" s="8">
        <v>1</v>
      </c>
      <c r="H1279" s="11">
        <v>800</v>
      </c>
      <c r="I1279" s="12">
        <v>42540</v>
      </c>
      <c r="J1279" s="13">
        <f t="shared" si="45"/>
        <v>0</v>
      </c>
      <c r="K1279" s="14"/>
      <c r="L1279" s="14"/>
      <c r="M1279" s="14"/>
      <c r="N1279" s="14"/>
      <c r="O1279" s="14">
        <v>400</v>
      </c>
      <c r="P1279" s="14">
        <v>400</v>
      </c>
      <c r="Q1279" s="14"/>
      <c r="R1279" s="14"/>
      <c r="S1279" s="14"/>
      <c r="T1279" s="14"/>
      <c r="U1279" s="14"/>
      <c r="V1279" s="14"/>
      <c r="W1279" s="15">
        <f t="shared" si="46"/>
        <v>800</v>
      </c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5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5"/>
      <c r="AX1279" s="16"/>
    </row>
    <row r="1280" spans="2:50" x14ac:dyDescent="0.2">
      <c r="B1280" s="7" t="s">
        <v>73</v>
      </c>
      <c r="C1280" s="8">
        <v>11986</v>
      </c>
      <c r="D1280" s="9" t="s">
        <v>523</v>
      </c>
      <c r="E1280" s="10" t="s">
        <v>524</v>
      </c>
      <c r="F1280" s="10" t="s">
        <v>525</v>
      </c>
      <c r="G1280" s="8">
        <v>1</v>
      </c>
      <c r="H1280" s="11">
        <v>400</v>
      </c>
      <c r="I1280" s="12">
        <v>42540</v>
      </c>
      <c r="J1280" s="13">
        <f t="shared" si="45"/>
        <v>0</v>
      </c>
      <c r="K1280" s="14"/>
      <c r="L1280" s="14"/>
      <c r="M1280" s="14"/>
      <c r="N1280" s="14"/>
      <c r="O1280" s="14">
        <v>400</v>
      </c>
      <c r="P1280" s="14"/>
      <c r="Q1280" s="14"/>
      <c r="R1280" s="14"/>
      <c r="S1280" s="14"/>
      <c r="T1280" s="14"/>
      <c r="U1280" s="14"/>
      <c r="V1280" s="14"/>
      <c r="W1280" s="15">
        <f t="shared" si="46"/>
        <v>400</v>
      </c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5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5"/>
      <c r="AX1280" s="16"/>
    </row>
    <row r="1281" spans="2:50" x14ac:dyDescent="0.2">
      <c r="B1281" s="7" t="s">
        <v>47</v>
      </c>
      <c r="C1281" s="8">
        <v>11987</v>
      </c>
      <c r="D1281" s="9" t="s">
        <v>699</v>
      </c>
      <c r="E1281" s="10" t="s">
        <v>700</v>
      </c>
      <c r="F1281" s="10" t="s">
        <v>701</v>
      </c>
      <c r="G1281" s="8">
        <v>1</v>
      </c>
      <c r="H1281" s="11">
        <v>400</v>
      </c>
      <c r="I1281" s="12">
        <v>42540</v>
      </c>
      <c r="J1281" s="13">
        <f t="shared" si="45"/>
        <v>0</v>
      </c>
      <c r="K1281" s="14"/>
      <c r="L1281" s="14"/>
      <c r="M1281" s="14"/>
      <c r="N1281" s="14"/>
      <c r="O1281" s="14"/>
      <c r="P1281" s="14">
        <v>400</v>
      </c>
      <c r="Q1281" s="14"/>
      <c r="R1281" s="14"/>
      <c r="S1281" s="14"/>
      <c r="T1281" s="14"/>
      <c r="U1281" s="14"/>
      <c r="V1281" s="14"/>
      <c r="W1281" s="15">
        <f t="shared" si="46"/>
        <v>400</v>
      </c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5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5"/>
      <c r="AX1281" s="16"/>
    </row>
    <row r="1282" spans="2:50" x14ac:dyDescent="0.2">
      <c r="B1282" s="7" t="s">
        <v>73</v>
      </c>
      <c r="C1282" s="8">
        <v>11988</v>
      </c>
      <c r="D1282" s="9" t="s">
        <v>611</v>
      </c>
      <c r="E1282" s="10" t="s">
        <v>612</v>
      </c>
      <c r="F1282" s="10" t="s">
        <v>613</v>
      </c>
      <c r="G1282" s="8">
        <v>1</v>
      </c>
      <c r="H1282" s="11">
        <v>400</v>
      </c>
      <c r="I1282" s="12">
        <v>42540</v>
      </c>
      <c r="J1282" s="13">
        <f t="shared" si="45"/>
        <v>0</v>
      </c>
      <c r="K1282" s="14"/>
      <c r="L1282" s="14"/>
      <c r="M1282" s="14"/>
      <c r="N1282" s="14"/>
      <c r="O1282" s="14"/>
      <c r="P1282" s="14">
        <v>400</v>
      </c>
      <c r="Q1282" s="14"/>
      <c r="R1282" s="14"/>
      <c r="S1282" s="14"/>
      <c r="T1282" s="14"/>
      <c r="U1282" s="14"/>
      <c r="V1282" s="14"/>
      <c r="W1282" s="15">
        <f t="shared" si="46"/>
        <v>400</v>
      </c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5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5"/>
      <c r="AX1282" s="16"/>
    </row>
    <row r="1283" spans="2:50" x14ac:dyDescent="0.2">
      <c r="B1283" s="7" t="s">
        <v>47</v>
      </c>
      <c r="C1283" s="8">
        <v>11989</v>
      </c>
      <c r="D1283" s="9" t="s">
        <v>416</v>
      </c>
      <c r="E1283" s="10" t="s">
        <v>417</v>
      </c>
      <c r="F1283" s="10" t="s">
        <v>418</v>
      </c>
      <c r="G1283" s="8">
        <v>1</v>
      </c>
      <c r="H1283" s="11">
        <v>200</v>
      </c>
      <c r="I1283" s="12">
        <v>42540</v>
      </c>
      <c r="J1283" s="13">
        <f t="shared" si="45"/>
        <v>0</v>
      </c>
      <c r="K1283" s="14"/>
      <c r="L1283" s="14"/>
      <c r="M1283" s="14"/>
      <c r="N1283" s="14"/>
      <c r="O1283" s="14"/>
      <c r="P1283" s="14">
        <v>200</v>
      </c>
      <c r="Q1283" s="14"/>
      <c r="R1283" s="14"/>
      <c r="S1283" s="14"/>
      <c r="T1283" s="14"/>
      <c r="U1283" s="14"/>
      <c r="V1283" s="14"/>
      <c r="W1283" s="15">
        <f t="shared" si="46"/>
        <v>200</v>
      </c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5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5"/>
      <c r="AX1283" s="16"/>
    </row>
    <row r="1284" spans="2:50" x14ac:dyDescent="0.2">
      <c r="B1284" s="7" t="s">
        <v>47</v>
      </c>
      <c r="C1284" s="8">
        <v>11990</v>
      </c>
      <c r="D1284" s="9" t="s">
        <v>208</v>
      </c>
      <c r="E1284" s="10" t="s">
        <v>209</v>
      </c>
      <c r="F1284" s="10" t="s">
        <v>210</v>
      </c>
      <c r="G1284" s="8">
        <v>3</v>
      </c>
      <c r="H1284" s="11">
        <v>160</v>
      </c>
      <c r="I1284" s="12">
        <v>42540</v>
      </c>
      <c r="J1284" s="13">
        <f t="shared" si="45"/>
        <v>0</v>
      </c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5">
        <f t="shared" si="46"/>
        <v>0</v>
      </c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5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5"/>
      <c r="AX1284" s="16"/>
    </row>
    <row r="1285" spans="2:50" x14ac:dyDescent="0.2">
      <c r="B1285" s="7" t="s">
        <v>47</v>
      </c>
      <c r="C1285" s="8">
        <v>11991</v>
      </c>
      <c r="D1285" s="9" t="s">
        <v>769</v>
      </c>
      <c r="E1285" s="10" t="s">
        <v>770</v>
      </c>
      <c r="F1285" s="10" t="s">
        <v>771</v>
      </c>
      <c r="G1285" s="8">
        <v>1</v>
      </c>
      <c r="H1285" s="11">
        <v>400</v>
      </c>
      <c r="I1285" s="12">
        <v>42540</v>
      </c>
      <c r="J1285" s="13">
        <f t="shared" si="45"/>
        <v>0</v>
      </c>
      <c r="K1285" s="14"/>
      <c r="L1285" s="14"/>
      <c r="M1285" s="14"/>
      <c r="N1285" s="14"/>
      <c r="O1285" s="14"/>
      <c r="P1285" s="14">
        <v>400</v>
      </c>
      <c r="Q1285" s="14"/>
      <c r="R1285" s="14"/>
      <c r="S1285" s="14"/>
      <c r="T1285" s="14"/>
      <c r="U1285" s="14"/>
      <c r="V1285" s="14"/>
      <c r="W1285" s="15">
        <f t="shared" si="46"/>
        <v>400</v>
      </c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5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5"/>
      <c r="AX1285" s="16"/>
    </row>
    <row r="1286" spans="2:50" x14ac:dyDescent="0.2">
      <c r="B1286" s="7" t="s">
        <v>47</v>
      </c>
      <c r="C1286" s="8">
        <v>11992</v>
      </c>
      <c r="D1286" s="9" t="s">
        <v>509</v>
      </c>
      <c r="E1286" s="10" t="s">
        <v>510</v>
      </c>
      <c r="F1286" s="10" t="s">
        <v>511</v>
      </c>
      <c r="G1286" s="8">
        <v>1</v>
      </c>
      <c r="H1286" s="11">
        <v>900</v>
      </c>
      <c r="I1286" s="12">
        <v>42540</v>
      </c>
      <c r="J1286" s="13">
        <f t="shared" si="45"/>
        <v>0</v>
      </c>
      <c r="K1286" s="14"/>
      <c r="L1286" s="14">
        <v>300</v>
      </c>
      <c r="M1286" s="14">
        <v>300</v>
      </c>
      <c r="N1286" s="14">
        <v>300</v>
      </c>
      <c r="O1286" s="14"/>
      <c r="P1286" s="14"/>
      <c r="Q1286" s="14"/>
      <c r="R1286" s="14"/>
      <c r="S1286" s="14"/>
      <c r="T1286" s="14"/>
      <c r="U1286" s="14"/>
      <c r="V1286" s="14"/>
      <c r="W1286" s="15">
        <f t="shared" si="46"/>
        <v>900</v>
      </c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5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5"/>
      <c r="AX1286" s="16"/>
    </row>
    <row r="1287" spans="2:50" x14ac:dyDescent="0.2">
      <c r="B1287" s="7" t="s">
        <v>77</v>
      </c>
      <c r="C1287" s="8">
        <v>11993</v>
      </c>
      <c r="D1287" s="9" t="s">
        <v>322</v>
      </c>
      <c r="E1287" s="10" t="s">
        <v>323</v>
      </c>
      <c r="F1287" s="10" t="s">
        <v>324</v>
      </c>
      <c r="G1287" s="8">
        <v>1</v>
      </c>
      <c r="H1287" s="11">
        <v>400</v>
      </c>
      <c r="I1287" s="12">
        <v>42540</v>
      </c>
      <c r="J1287" s="13">
        <f t="shared" si="45"/>
        <v>0</v>
      </c>
      <c r="K1287" s="14"/>
      <c r="L1287" s="14"/>
      <c r="M1287" s="14"/>
      <c r="N1287" s="14"/>
      <c r="O1287" s="14"/>
      <c r="P1287" s="14">
        <v>400</v>
      </c>
      <c r="Q1287" s="14"/>
      <c r="R1287" s="14"/>
      <c r="S1287" s="14"/>
      <c r="T1287" s="14"/>
      <c r="U1287" s="14"/>
      <c r="V1287" s="14"/>
      <c r="W1287" s="15">
        <f t="shared" si="46"/>
        <v>400</v>
      </c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5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5"/>
      <c r="AX1287" s="16"/>
    </row>
    <row r="1288" spans="2:50" x14ac:dyDescent="0.2">
      <c r="B1288" s="7" t="s">
        <v>69</v>
      </c>
      <c r="C1288" s="8">
        <v>11994</v>
      </c>
      <c r="D1288" s="9" t="s">
        <v>461</v>
      </c>
      <c r="E1288" s="10" t="s">
        <v>462</v>
      </c>
      <c r="F1288" s="10" t="s">
        <v>463</v>
      </c>
      <c r="G1288" s="8">
        <v>1</v>
      </c>
      <c r="H1288" s="11">
        <v>800</v>
      </c>
      <c r="I1288" s="12">
        <v>42540</v>
      </c>
      <c r="J1288" s="13">
        <f t="shared" si="45"/>
        <v>0</v>
      </c>
      <c r="K1288" s="14"/>
      <c r="L1288" s="14"/>
      <c r="M1288" s="14"/>
      <c r="N1288" s="14"/>
      <c r="O1288" s="14">
        <v>400</v>
      </c>
      <c r="P1288" s="14">
        <v>400</v>
      </c>
      <c r="Q1288" s="14"/>
      <c r="R1288" s="14"/>
      <c r="S1288" s="14"/>
      <c r="T1288" s="14"/>
      <c r="U1288" s="14"/>
      <c r="V1288" s="14"/>
      <c r="W1288" s="15">
        <f t="shared" si="46"/>
        <v>800</v>
      </c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5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5"/>
      <c r="AX1288" s="16"/>
    </row>
    <row r="1289" spans="2:50" x14ac:dyDescent="0.2">
      <c r="B1289" s="7" t="s">
        <v>73</v>
      </c>
      <c r="C1289" s="8">
        <v>11995</v>
      </c>
      <c r="D1289" s="9" t="s">
        <v>763</v>
      </c>
      <c r="E1289" s="10" t="s">
        <v>764</v>
      </c>
      <c r="F1289" s="10" t="s">
        <v>765</v>
      </c>
      <c r="G1289" s="8">
        <v>1</v>
      </c>
      <c r="H1289" s="11">
        <v>800</v>
      </c>
      <c r="I1289" s="12">
        <v>42540</v>
      </c>
      <c r="J1289" s="13">
        <f t="shared" si="45"/>
        <v>0</v>
      </c>
      <c r="K1289" s="14"/>
      <c r="L1289" s="14"/>
      <c r="M1289" s="14"/>
      <c r="N1289" s="14"/>
      <c r="O1289" s="14">
        <v>400</v>
      </c>
      <c r="P1289" s="14">
        <v>400</v>
      </c>
      <c r="Q1289" s="14"/>
      <c r="R1289" s="14"/>
      <c r="S1289" s="14"/>
      <c r="T1289" s="14"/>
      <c r="U1289" s="14"/>
      <c r="V1289" s="14"/>
      <c r="W1289" s="15">
        <f t="shared" si="46"/>
        <v>800</v>
      </c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5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5"/>
      <c r="AX1289" s="16"/>
    </row>
    <row r="1290" spans="2:50" x14ac:dyDescent="0.2">
      <c r="B1290" s="7" t="s">
        <v>69</v>
      </c>
      <c r="C1290" s="8">
        <v>11996</v>
      </c>
      <c r="D1290" s="9" t="s">
        <v>608</v>
      </c>
      <c r="E1290" s="10" t="s">
        <v>609</v>
      </c>
      <c r="F1290" s="10" t="s">
        <v>610</v>
      </c>
      <c r="G1290" s="8">
        <v>1</v>
      </c>
      <c r="H1290" s="11">
        <v>1600</v>
      </c>
      <c r="I1290" s="12">
        <v>42540</v>
      </c>
      <c r="J1290" s="13">
        <f t="shared" si="45"/>
        <v>0</v>
      </c>
      <c r="K1290" s="14"/>
      <c r="L1290" s="14"/>
      <c r="M1290" s="14">
        <v>400</v>
      </c>
      <c r="N1290" s="14">
        <v>400</v>
      </c>
      <c r="O1290" s="14">
        <v>400</v>
      </c>
      <c r="P1290" s="14">
        <v>400</v>
      </c>
      <c r="Q1290" s="14"/>
      <c r="R1290" s="14"/>
      <c r="S1290" s="14"/>
      <c r="T1290" s="14"/>
      <c r="U1290" s="14"/>
      <c r="V1290" s="14"/>
      <c r="W1290" s="15">
        <f t="shared" si="46"/>
        <v>1600</v>
      </c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5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5"/>
      <c r="AX1290" s="16"/>
    </row>
    <row r="1291" spans="2:50" x14ac:dyDescent="0.2">
      <c r="B1291" s="7" t="s">
        <v>73</v>
      </c>
      <c r="C1291" s="8">
        <v>11997</v>
      </c>
      <c r="D1291" s="9" t="s">
        <v>485</v>
      </c>
      <c r="E1291" s="10" t="s">
        <v>486</v>
      </c>
      <c r="F1291" s="10" t="s">
        <v>487</v>
      </c>
      <c r="G1291" s="8">
        <v>1</v>
      </c>
      <c r="H1291" s="11">
        <v>400</v>
      </c>
      <c r="I1291" s="12">
        <v>42540</v>
      </c>
      <c r="J1291" s="13">
        <f t="shared" si="45"/>
        <v>0</v>
      </c>
      <c r="K1291" s="14"/>
      <c r="L1291" s="14"/>
      <c r="M1291" s="14"/>
      <c r="N1291" s="14"/>
      <c r="O1291" s="14">
        <v>400</v>
      </c>
      <c r="P1291" s="14"/>
      <c r="Q1291" s="14"/>
      <c r="R1291" s="14"/>
      <c r="S1291" s="14"/>
      <c r="T1291" s="14"/>
      <c r="U1291" s="14"/>
      <c r="V1291" s="14"/>
      <c r="W1291" s="15">
        <f t="shared" si="46"/>
        <v>400</v>
      </c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5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5"/>
      <c r="AX1291" s="16"/>
    </row>
    <row r="1292" spans="2:50" x14ac:dyDescent="0.2">
      <c r="B1292" s="7" t="s">
        <v>69</v>
      </c>
      <c r="C1292" s="8">
        <v>11998</v>
      </c>
      <c r="D1292" s="9" t="s">
        <v>346</v>
      </c>
      <c r="E1292" s="10" t="s">
        <v>347</v>
      </c>
      <c r="F1292" s="10" t="s">
        <v>348</v>
      </c>
      <c r="G1292" s="8">
        <v>1</v>
      </c>
      <c r="H1292" s="11">
        <v>300</v>
      </c>
      <c r="I1292" s="12">
        <v>42540</v>
      </c>
      <c r="J1292" s="13">
        <f t="shared" si="45"/>
        <v>0</v>
      </c>
      <c r="K1292" s="14"/>
      <c r="L1292" s="14"/>
      <c r="M1292" s="14"/>
      <c r="N1292" s="14"/>
      <c r="O1292" s="14"/>
      <c r="P1292" s="14">
        <v>300</v>
      </c>
      <c r="Q1292" s="14"/>
      <c r="R1292" s="14"/>
      <c r="S1292" s="14"/>
      <c r="T1292" s="14"/>
      <c r="U1292" s="14"/>
      <c r="V1292" s="14"/>
      <c r="W1292" s="15">
        <f t="shared" si="46"/>
        <v>300</v>
      </c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5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5"/>
      <c r="AX1292" s="16"/>
    </row>
    <row r="1293" spans="2:50" x14ac:dyDescent="0.2">
      <c r="B1293" s="7" t="s">
        <v>69</v>
      </c>
      <c r="C1293" s="8">
        <v>11999</v>
      </c>
      <c r="D1293" s="9" t="s">
        <v>410</v>
      </c>
      <c r="E1293" s="10" t="s">
        <v>411</v>
      </c>
      <c r="F1293" s="10" t="s">
        <v>412</v>
      </c>
      <c r="G1293" s="8">
        <v>3</v>
      </c>
      <c r="H1293" s="11">
        <v>160</v>
      </c>
      <c r="I1293" s="12">
        <v>42540</v>
      </c>
      <c r="J1293" s="13">
        <f t="shared" si="45"/>
        <v>0</v>
      </c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5">
        <f t="shared" si="46"/>
        <v>0</v>
      </c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5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5"/>
      <c r="AX1293" s="16"/>
    </row>
    <row r="1294" spans="2:50" x14ac:dyDescent="0.2">
      <c r="B1294" s="7" t="s">
        <v>47</v>
      </c>
      <c r="C1294" s="8">
        <v>12000</v>
      </c>
      <c r="D1294" s="9" t="s">
        <v>235</v>
      </c>
      <c r="E1294" s="10" t="s">
        <v>236</v>
      </c>
      <c r="F1294" s="10" t="s">
        <v>237</v>
      </c>
      <c r="G1294" s="8">
        <v>1</v>
      </c>
      <c r="H1294" s="11">
        <v>400</v>
      </c>
      <c r="I1294" s="12">
        <v>42540</v>
      </c>
      <c r="J1294" s="13">
        <f t="shared" si="45"/>
        <v>0</v>
      </c>
      <c r="K1294" s="14"/>
      <c r="L1294" s="14"/>
      <c r="M1294" s="14"/>
      <c r="N1294" s="14"/>
      <c r="O1294" s="14"/>
      <c r="P1294" s="14">
        <v>400</v>
      </c>
      <c r="Q1294" s="14"/>
      <c r="R1294" s="14"/>
      <c r="S1294" s="14"/>
      <c r="T1294" s="14"/>
      <c r="U1294" s="14"/>
      <c r="V1294" s="14"/>
      <c r="W1294" s="15">
        <f t="shared" si="46"/>
        <v>400</v>
      </c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5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5"/>
      <c r="AX1294" s="16"/>
    </row>
    <row r="1295" spans="2:50" x14ac:dyDescent="0.2">
      <c r="B1295" s="7" t="s">
        <v>77</v>
      </c>
      <c r="C1295" s="8">
        <v>12001</v>
      </c>
      <c r="D1295" s="9" t="s">
        <v>384</v>
      </c>
      <c r="E1295" s="10" t="s">
        <v>385</v>
      </c>
      <c r="F1295" s="10" t="s">
        <v>386</v>
      </c>
      <c r="G1295" s="8">
        <v>1</v>
      </c>
      <c r="H1295" s="11">
        <v>700</v>
      </c>
      <c r="I1295" s="12">
        <v>42540</v>
      </c>
      <c r="J1295" s="13">
        <f t="shared" si="45"/>
        <v>0</v>
      </c>
      <c r="K1295" s="14"/>
      <c r="L1295" s="14"/>
      <c r="M1295" s="14"/>
      <c r="N1295" s="14"/>
      <c r="O1295" s="14">
        <v>350</v>
      </c>
      <c r="P1295" s="14">
        <v>350</v>
      </c>
      <c r="Q1295" s="14"/>
      <c r="R1295" s="14"/>
      <c r="S1295" s="14"/>
      <c r="T1295" s="14"/>
      <c r="U1295" s="14"/>
      <c r="V1295" s="14"/>
      <c r="W1295" s="15">
        <f t="shared" si="46"/>
        <v>700</v>
      </c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5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5"/>
      <c r="AX1295" s="16"/>
    </row>
    <row r="1296" spans="2:50" x14ac:dyDescent="0.2">
      <c r="B1296" s="7" t="s">
        <v>37</v>
      </c>
      <c r="C1296" s="8">
        <v>12002</v>
      </c>
      <c r="D1296" s="9" t="s">
        <v>681</v>
      </c>
      <c r="E1296" s="10" t="s">
        <v>682</v>
      </c>
      <c r="F1296" s="10" t="s">
        <v>683</v>
      </c>
      <c r="G1296" s="8">
        <v>1</v>
      </c>
      <c r="H1296" s="11">
        <v>300</v>
      </c>
      <c r="I1296" s="12">
        <v>42540</v>
      </c>
      <c r="J1296" s="13">
        <f t="shared" si="45"/>
        <v>0</v>
      </c>
      <c r="K1296" s="14"/>
      <c r="L1296" s="14"/>
      <c r="M1296" s="14"/>
      <c r="N1296" s="14"/>
      <c r="O1296" s="14"/>
      <c r="P1296" s="14">
        <v>300</v>
      </c>
      <c r="Q1296" s="14"/>
      <c r="R1296" s="14"/>
      <c r="S1296" s="14"/>
      <c r="T1296" s="14"/>
      <c r="U1296" s="14"/>
      <c r="V1296" s="14"/>
      <c r="W1296" s="15">
        <f t="shared" si="46"/>
        <v>300</v>
      </c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5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5"/>
      <c r="AX1296" s="16"/>
    </row>
    <row r="1297" spans="2:50" x14ac:dyDescent="0.2">
      <c r="B1297" s="7" t="s">
        <v>73</v>
      </c>
      <c r="C1297" s="8">
        <v>12003</v>
      </c>
      <c r="D1297" s="9" t="s">
        <v>112</v>
      </c>
      <c r="E1297" s="10" t="s">
        <v>113</v>
      </c>
      <c r="F1297" s="10" t="s">
        <v>114</v>
      </c>
      <c r="G1297" s="8">
        <v>1</v>
      </c>
      <c r="H1297" s="11">
        <v>250</v>
      </c>
      <c r="I1297" s="12">
        <v>42540</v>
      </c>
      <c r="J1297" s="13">
        <f t="shared" si="45"/>
        <v>0</v>
      </c>
      <c r="K1297" s="14"/>
      <c r="L1297" s="14"/>
      <c r="M1297" s="14"/>
      <c r="N1297" s="14"/>
      <c r="O1297" s="14"/>
      <c r="P1297" s="14">
        <v>250</v>
      </c>
      <c r="Q1297" s="14"/>
      <c r="R1297" s="14"/>
      <c r="S1297" s="14"/>
      <c r="T1297" s="14"/>
      <c r="U1297" s="14"/>
      <c r="V1297" s="14"/>
      <c r="W1297" s="15">
        <f t="shared" si="46"/>
        <v>250</v>
      </c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5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5"/>
      <c r="AX1297" s="16"/>
    </row>
    <row r="1298" spans="2:50" x14ac:dyDescent="0.2">
      <c r="B1298" s="7" t="s">
        <v>47</v>
      </c>
      <c r="C1298" s="8">
        <v>12004</v>
      </c>
      <c r="D1298" s="9" t="s">
        <v>1014</v>
      </c>
      <c r="E1298" s="10" t="s">
        <v>1015</v>
      </c>
      <c r="F1298" s="10" t="s">
        <v>1016</v>
      </c>
      <c r="G1298" s="8">
        <v>1</v>
      </c>
      <c r="H1298" s="11">
        <v>3600</v>
      </c>
      <c r="I1298" s="12">
        <v>42540</v>
      </c>
      <c r="J1298" s="13">
        <f t="shared" si="45"/>
        <v>0</v>
      </c>
      <c r="K1298" s="14">
        <v>300</v>
      </c>
      <c r="L1298" s="14">
        <v>300</v>
      </c>
      <c r="M1298" s="14">
        <v>300</v>
      </c>
      <c r="N1298" s="14">
        <v>300</v>
      </c>
      <c r="O1298" s="14">
        <v>300</v>
      </c>
      <c r="P1298" s="14">
        <v>300</v>
      </c>
      <c r="Q1298" s="14">
        <v>300</v>
      </c>
      <c r="R1298" s="14">
        <v>300</v>
      </c>
      <c r="S1298" s="14">
        <v>300</v>
      </c>
      <c r="T1298" s="14">
        <v>300</v>
      </c>
      <c r="U1298" s="14">
        <v>300</v>
      </c>
      <c r="V1298" s="14">
        <v>300</v>
      </c>
      <c r="W1298" s="15">
        <f t="shared" si="46"/>
        <v>3600</v>
      </c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5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5"/>
      <c r="AX1298" s="16"/>
    </row>
    <row r="1299" spans="2:50" x14ac:dyDescent="0.2">
      <c r="B1299" s="7" t="s">
        <v>69</v>
      </c>
      <c r="C1299" s="8">
        <v>12005</v>
      </c>
      <c r="D1299" s="9" t="s">
        <v>467</v>
      </c>
      <c r="E1299" s="10" t="s">
        <v>468</v>
      </c>
      <c r="F1299" s="10" t="s">
        <v>469</v>
      </c>
      <c r="G1299" s="8">
        <v>1</v>
      </c>
      <c r="H1299" s="11">
        <v>800</v>
      </c>
      <c r="I1299" s="12">
        <v>42540</v>
      </c>
      <c r="J1299" s="13">
        <f t="shared" si="45"/>
        <v>0</v>
      </c>
      <c r="K1299" s="14"/>
      <c r="L1299" s="14"/>
      <c r="M1299" s="14"/>
      <c r="N1299" s="14"/>
      <c r="O1299" s="14">
        <v>400</v>
      </c>
      <c r="P1299" s="14">
        <v>400</v>
      </c>
      <c r="Q1299" s="14"/>
      <c r="R1299" s="14"/>
      <c r="S1299" s="14"/>
      <c r="T1299" s="14"/>
      <c r="U1299" s="14"/>
      <c r="V1299" s="14"/>
      <c r="W1299" s="15">
        <f t="shared" si="46"/>
        <v>800</v>
      </c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5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5"/>
      <c r="AX1299" s="16"/>
    </row>
    <row r="1300" spans="2:50" x14ac:dyDescent="0.2">
      <c r="B1300" s="7" t="s">
        <v>73</v>
      </c>
      <c r="C1300" s="8">
        <v>12006</v>
      </c>
      <c r="D1300" s="9" t="s">
        <v>277</v>
      </c>
      <c r="E1300" s="10" t="s">
        <v>278</v>
      </c>
      <c r="F1300" s="10" t="s">
        <v>279</v>
      </c>
      <c r="G1300" s="8">
        <v>1</v>
      </c>
      <c r="H1300" s="11">
        <v>200</v>
      </c>
      <c r="I1300" s="12">
        <v>42540</v>
      </c>
      <c r="J1300" s="13">
        <f t="shared" si="45"/>
        <v>0</v>
      </c>
      <c r="K1300" s="14"/>
      <c r="L1300" s="14"/>
      <c r="M1300" s="14"/>
      <c r="N1300" s="14"/>
      <c r="O1300" s="14"/>
      <c r="P1300" s="14">
        <v>200</v>
      </c>
      <c r="Q1300" s="14"/>
      <c r="R1300" s="14"/>
      <c r="S1300" s="14"/>
      <c r="T1300" s="14"/>
      <c r="U1300" s="14"/>
      <c r="V1300" s="14"/>
      <c r="W1300" s="15">
        <f t="shared" si="46"/>
        <v>200</v>
      </c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5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5"/>
      <c r="AX1300" s="16"/>
    </row>
    <row r="1301" spans="2:50" x14ac:dyDescent="0.2">
      <c r="B1301" s="7" t="s">
        <v>47</v>
      </c>
      <c r="C1301" s="8">
        <v>12007</v>
      </c>
      <c r="D1301" s="9" t="s">
        <v>183</v>
      </c>
      <c r="E1301" s="10" t="s">
        <v>184</v>
      </c>
      <c r="F1301" s="10" t="s">
        <v>185</v>
      </c>
      <c r="G1301" s="8">
        <v>1</v>
      </c>
      <c r="H1301" s="11">
        <v>400</v>
      </c>
      <c r="I1301" s="12">
        <v>42540</v>
      </c>
      <c r="J1301" s="13">
        <f t="shared" si="45"/>
        <v>0</v>
      </c>
      <c r="K1301" s="14"/>
      <c r="L1301" s="14"/>
      <c r="M1301" s="14"/>
      <c r="N1301" s="14"/>
      <c r="O1301" s="14"/>
      <c r="P1301" s="14">
        <v>400</v>
      </c>
      <c r="Q1301" s="14"/>
      <c r="R1301" s="14"/>
      <c r="S1301" s="14"/>
      <c r="T1301" s="14"/>
      <c r="U1301" s="14"/>
      <c r="V1301" s="14"/>
      <c r="W1301" s="15">
        <f t="shared" si="46"/>
        <v>400</v>
      </c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5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5"/>
      <c r="AX1301" s="16"/>
    </row>
    <row r="1302" spans="2:50" x14ac:dyDescent="0.2">
      <c r="B1302" s="7" t="s">
        <v>69</v>
      </c>
      <c r="C1302" s="8">
        <v>12008</v>
      </c>
      <c r="D1302" s="9" t="s">
        <v>413</v>
      </c>
      <c r="E1302" s="10" t="s">
        <v>414</v>
      </c>
      <c r="F1302" s="10" t="s">
        <v>415</v>
      </c>
      <c r="G1302" s="8">
        <v>1</v>
      </c>
      <c r="H1302" s="11">
        <v>1200</v>
      </c>
      <c r="I1302" s="12">
        <v>42540</v>
      </c>
      <c r="J1302" s="13">
        <f t="shared" si="45"/>
        <v>0</v>
      </c>
      <c r="K1302" s="14"/>
      <c r="L1302" s="14"/>
      <c r="M1302" s="14"/>
      <c r="N1302" s="14"/>
      <c r="O1302" s="14"/>
      <c r="P1302" s="14"/>
      <c r="Q1302" s="14">
        <v>400</v>
      </c>
      <c r="R1302" s="14">
        <v>400</v>
      </c>
      <c r="S1302" s="14">
        <v>400</v>
      </c>
      <c r="T1302" s="14"/>
      <c r="U1302" s="14"/>
      <c r="V1302" s="14"/>
      <c r="W1302" s="15">
        <f t="shared" si="46"/>
        <v>1200</v>
      </c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5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5"/>
      <c r="AX1302" s="16"/>
    </row>
    <row r="1303" spans="2:50" x14ac:dyDescent="0.2">
      <c r="B1303" s="7" t="s">
        <v>391</v>
      </c>
      <c r="C1303" s="8">
        <v>12009</v>
      </c>
      <c r="D1303" s="9" t="s">
        <v>876</v>
      </c>
      <c r="E1303" s="10" t="s">
        <v>877</v>
      </c>
      <c r="F1303" s="10" t="s">
        <v>878</v>
      </c>
      <c r="G1303" s="8">
        <v>1</v>
      </c>
      <c r="H1303" s="11">
        <v>200</v>
      </c>
      <c r="I1303" s="12">
        <v>42540</v>
      </c>
      <c r="J1303" s="13">
        <f t="shared" si="45"/>
        <v>0</v>
      </c>
      <c r="K1303" s="14"/>
      <c r="L1303" s="14"/>
      <c r="M1303" s="14"/>
      <c r="N1303" s="14"/>
      <c r="O1303" s="14"/>
      <c r="P1303" s="14">
        <v>200</v>
      </c>
      <c r="Q1303" s="14"/>
      <c r="R1303" s="14"/>
      <c r="S1303" s="14"/>
      <c r="T1303" s="14"/>
      <c r="U1303" s="14"/>
      <c r="V1303" s="14"/>
      <c r="W1303" s="15">
        <f t="shared" si="46"/>
        <v>200</v>
      </c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5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5"/>
      <c r="AX1303" s="16"/>
    </row>
    <row r="1304" spans="2:50" x14ac:dyDescent="0.2">
      <c r="B1304" s="7" t="s">
        <v>69</v>
      </c>
      <c r="C1304" s="8">
        <v>12010</v>
      </c>
      <c r="D1304" s="9" t="s">
        <v>437</v>
      </c>
      <c r="E1304" s="10" t="s">
        <v>438</v>
      </c>
      <c r="F1304" s="10" t="s">
        <v>439</v>
      </c>
      <c r="G1304" s="8">
        <v>1</v>
      </c>
      <c r="H1304" s="11">
        <v>400</v>
      </c>
      <c r="I1304" s="12">
        <v>42540</v>
      </c>
      <c r="J1304" s="13">
        <f t="shared" si="45"/>
        <v>0</v>
      </c>
      <c r="K1304" s="14"/>
      <c r="L1304" s="14"/>
      <c r="M1304" s="14"/>
      <c r="N1304" s="14"/>
      <c r="O1304" s="14"/>
      <c r="P1304" s="14">
        <v>400</v>
      </c>
      <c r="Q1304" s="14"/>
      <c r="R1304" s="14"/>
      <c r="S1304" s="14"/>
      <c r="T1304" s="14"/>
      <c r="U1304" s="14"/>
      <c r="V1304" s="14"/>
      <c r="W1304" s="15">
        <f t="shared" si="46"/>
        <v>400</v>
      </c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5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5"/>
      <c r="AX1304" s="16"/>
    </row>
    <row r="1305" spans="2:50" x14ac:dyDescent="0.2">
      <c r="B1305" s="7" t="s">
        <v>37</v>
      </c>
      <c r="C1305" s="8">
        <v>12011</v>
      </c>
      <c r="D1305" s="9" t="s">
        <v>840</v>
      </c>
      <c r="E1305" s="10" t="s">
        <v>841</v>
      </c>
      <c r="F1305" s="10" t="s">
        <v>842</v>
      </c>
      <c r="G1305" s="8">
        <v>1</v>
      </c>
      <c r="H1305" s="11">
        <v>400</v>
      </c>
      <c r="I1305" s="12">
        <v>42540</v>
      </c>
      <c r="J1305" s="13">
        <f t="shared" si="45"/>
        <v>0</v>
      </c>
      <c r="K1305" s="14"/>
      <c r="L1305" s="14"/>
      <c r="M1305" s="14"/>
      <c r="N1305" s="14"/>
      <c r="O1305" s="14"/>
      <c r="P1305" s="14">
        <v>400</v>
      </c>
      <c r="Q1305" s="14"/>
      <c r="R1305" s="14"/>
      <c r="S1305" s="14"/>
      <c r="T1305" s="14"/>
      <c r="U1305" s="14"/>
      <c r="V1305" s="14"/>
      <c r="W1305" s="15">
        <f t="shared" si="46"/>
        <v>400</v>
      </c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5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5"/>
      <c r="AX1305" s="16"/>
    </row>
    <row r="1306" spans="2:50" x14ac:dyDescent="0.2">
      <c r="B1306" s="7" t="s">
        <v>37</v>
      </c>
      <c r="C1306" s="8">
        <v>12012</v>
      </c>
      <c r="D1306" s="9" t="s">
        <v>491</v>
      </c>
      <c r="E1306" s="10" t="s">
        <v>492</v>
      </c>
      <c r="F1306" s="10" t="s">
        <v>493</v>
      </c>
      <c r="G1306" s="8">
        <v>1</v>
      </c>
      <c r="H1306" s="11">
        <v>600</v>
      </c>
      <c r="I1306" s="12">
        <v>42540</v>
      </c>
      <c r="J1306" s="13">
        <f t="shared" si="45"/>
        <v>0</v>
      </c>
      <c r="K1306" s="14"/>
      <c r="L1306" s="14"/>
      <c r="M1306" s="14"/>
      <c r="N1306" s="14"/>
      <c r="O1306" s="14"/>
      <c r="P1306" s="14"/>
      <c r="Q1306" s="14">
        <v>100</v>
      </c>
      <c r="R1306" s="14">
        <v>100</v>
      </c>
      <c r="S1306" s="14">
        <v>100</v>
      </c>
      <c r="T1306" s="14">
        <v>100</v>
      </c>
      <c r="U1306" s="14">
        <v>100</v>
      </c>
      <c r="V1306" s="14">
        <v>100</v>
      </c>
      <c r="W1306" s="15">
        <f t="shared" si="46"/>
        <v>600</v>
      </c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5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5"/>
      <c r="AX1306" s="16"/>
    </row>
    <row r="1307" spans="2:50" x14ac:dyDescent="0.2">
      <c r="B1307" s="7" t="s">
        <v>47</v>
      </c>
      <c r="C1307" s="8">
        <v>12013</v>
      </c>
      <c r="D1307" s="9" t="s">
        <v>103</v>
      </c>
      <c r="E1307" s="10" t="s">
        <v>104</v>
      </c>
      <c r="F1307" s="10" t="s">
        <v>105</v>
      </c>
      <c r="G1307" s="8">
        <v>1</v>
      </c>
      <c r="H1307" s="11">
        <v>400</v>
      </c>
      <c r="I1307" s="12">
        <v>42540</v>
      </c>
      <c r="J1307" s="13">
        <f t="shared" si="45"/>
        <v>0</v>
      </c>
      <c r="K1307" s="14"/>
      <c r="L1307" s="14"/>
      <c r="M1307" s="14"/>
      <c r="N1307" s="14"/>
      <c r="O1307" s="14"/>
      <c r="P1307" s="14">
        <v>400</v>
      </c>
      <c r="Q1307" s="14"/>
      <c r="R1307" s="14"/>
      <c r="S1307" s="14"/>
      <c r="T1307" s="14"/>
      <c r="U1307" s="14"/>
      <c r="V1307" s="14"/>
      <c r="W1307" s="15">
        <f t="shared" si="46"/>
        <v>400</v>
      </c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5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5"/>
      <c r="AX1307" s="16"/>
    </row>
    <row r="1308" spans="2:50" x14ac:dyDescent="0.2">
      <c r="B1308" s="7" t="s">
        <v>73</v>
      </c>
      <c r="C1308" s="8">
        <v>12014</v>
      </c>
      <c r="D1308" s="9" t="s">
        <v>728</v>
      </c>
      <c r="E1308" s="10" t="s">
        <v>729</v>
      </c>
      <c r="F1308" s="10" t="s">
        <v>730</v>
      </c>
      <c r="G1308" s="8">
        <v>1</v>
      </c>
      <c r="H1308" s="11">
        <v>800</v>
      </c>
      <c r="I1308" s="12">
        <v>42540</v>
      </c>
      <c r="J1308" s="13">
        <f t="shared" si="45"/>
        <v>0</v>
      </c>
      <c r="K1308" s="14"/>
      <c r="L1308" s="14"/>
      <c r="M1308" s="14"/>
      <c r="N1308" s="14"/>
      <c r="O1308" s="14">
        <v>400</v>
      </c>
      <c r="P1308" s="14">
        <v>400</v>
      </c>
      <c r="Q1308" s="14"/>
      <c r="R1308" s="14"/>
      <c r="S1308" s="14"/>
      <c r="T1308" s="14"/>
      <c r="U1308" s="14"/>
      <c r="V1308" s="14"/>
      <c r="W1308" s="15">
        <f t="shared" si="46"/>
        <v>800</v>
      </c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5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5"/>
      <c r="AX1308" s="16"/>
    </row>
    <row r="1309" spans="2:50" x14ac:dyDescent="0.2">
      <c r="B1309" s="7" t="s">
        <v>47</v>
      </c>
      <c r="C1309" s="8">
        <v>12015</v>
      </c>
      <c r="D1309" s="9" t="s">
        <v>963</v>
      </c>
      <c r="E1309" s="10" t="s">
        <v>964</v>
      </c>
      <c r="F1309" s="10" t="s">
        <v>460</v>
      </c>
      <c r="G1309" s="8">
        <v>1</v>
      </c>
      <c r="H1309" s="11">
        <v>1000</v>
      </c>
      <c r="I1309" s="12">
        <v>42540</v>
      </c>
      <c r="J1309" s="13">
        <f t="shared" si="45"/>
        <v>0</v>
      </c>
      <c r="K1309" s="14">
        <v>400</v>
      </c>
      <c r="L1309" s="14">
        <v>400</v>
      </c>
      <c r="M1309" s="14">
        <v>200</v>
      </c>
      <c r="N1309" s="14"/>
      <c r="O1309" s="14"/>
      <c r="P1309" s="14"/>
      <c r="Q1309" s="14"/>
      <c r="R1309" s="14"/>
      <c r="S1309" s="14"/>
      <c r="T1309" s="14"/>
      <c r="U1309" s="14"/>
      <c r="V1309" s="14"/>
      <c r="W1309" s="15">
        <f t="shared" si="46"/>
        <v>1000</v>
      </c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5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5"/>
      <c r="AX1309" s="16"/>
    </row>
    <row r="1310" spans="2:50" x14ac:dyDescent="0.2">
      <c r="B1310" s="7" t="s">
        <v>37</v>
      </c>
      <c r="C1310" s="8">
        <v>12016</v>
      </c>
      <c r="D1310" s="9" t="s">
        <v>814</v>
      </c>
      <c r="E1310" s="10" t="s">
        <v>815</v>
      </c>
      <c r="F1310" s="10" t="s">
        <v>816</v>
      </c>
      <c r="G1310" s="8">
        <v>1</v>
      </c>
      <c r="H1310" s="11">
        <v>800</v>
      </c>
      <c r="I1310" s="12">
        <v>42540</v>
      </c>
      <c r="J1310" s="13">
        <f t="shared" si="45"/>
        <v>0</v>
      </c>
      <c r="K1310" s="14"/>
      <c r="L1310" s="14"/>
      <c r="M1310" s="14"/>
      <c r="N1310" s="14"/>
      <c r="O1310" s="14"/>
      <c r="P1310" s="14"/>
      <c r="Q1310" s="14">
        <v>400</v>
      </c>
      <c r="R1310" s="14">
        <v>400</v>
      </c>
      <c r="S1310" s="14"/>
      <c r="T1310" s="14"/>
      <c r="U1310" s="14"/>
      <c r="V1310" s="14"/>
      <c r="W1310" s="15">
        <f t="shared" si="46"/>
        <v>800</v>
      </c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5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5"/>
      <c r="AX1310" s="16"/>
    </row>
    <row r="1311" spans="2:50" x14ac:dyDescent="0.2">
      <c r="B1311" s="7" t="s">
        <v>47</v>
      </c>
      <c r="C1311" s="8">
        <v>12017</v>
      </c>
      <c r="D1311" s="9" t="s">
        <v>963</v>
      </c>
      <c r="E1311" s="10" t="s">
        <v>964</v>
      </c>
      <c r="F1311" s="10" t="s">
        <v>460</v>
      </c>
      <c r="G1311" s="8">
        <v>1</v>
      </c>
      <c r="H1311" s="11">
        <v>150</v>
      </c>
      <c r="I1311" s="12">
        <v>42540</v>
      </c>
      <c r="J1311" s="13">
        <f t="shared" si="45"/>
        <v>0</v>
      </c>
      <c r="K1311" s="14"/>
      <c r="L1311" s="14"/>
      <c r="M1311" s="14"/>
      <c r="N1311" s="14"/>
      <c r="O1311" s="14"/>
      <c r="P1311" s="14">
        <v>150</v>
      </c>
      <c r="Q1311" s="14"/>
      <c r="R1311" s="14"/>
      <c r="S1311" s="14"/>
      <c r="T1311" s="14"/>
      <c r="U1311" s="14"/>
      <c r="V1311" s="14"/>
      <c r="W1311" s="15">
        <f t="shared" si="46"/>
        <v>150</v>
      </c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5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5"/>
      <c r="AX1311" s="16"/>
    </row>
    <row r="1312" spans="2:50" x14ac:dyDescent="0.2">
      <c r="B1312" s="7" t="s">
        <v>73</v>
      </c>
      <c r="C1312" s="8">
        <v>12018</v>
      </c>
      <c r="D1312" s="9" t="s">
        <v>195</v>
      </c>
      <c r="E1312" s="10" t="s">
        <v>196</v>
      </c>
      <c r="F1312" s="10" t="s">
        <v>197</v>
      </c>
      <c r="G1312" s="8">
        <v>1</v>
      </c>
      <c r="H1312" s="11">
        <v>1600</v>
      </c>
      <c r="I1312" s="12">
        <v>42540</v>
      </c>
      <c r="J1312" s="13">
        <f t="shared" si="45"/>
        <v>0</v>
      </c>
      <c r="K1312" s="14"/>
      <c r="L1312" s="14"/>
      <c r="M1312" s="14"/>
      <c r="N1312" s="14">
        <v>400</v>
      </c>
      <c r="O1312" s="14">
        <v>400</v>
      </c>
      <c r="P1312" s="14">
        <v>400</v>
      </c>
      <c r="Q1312" s="14">
        <v>400</v>
      </c>
      <c r="R1312" s="14"/>
      <c r="S1312" s="14"/>
      <c r="T1312" s="14"/>
      <c r="U1312" s="14"/>
      <c r="V1312" s="14"/>
      <c r="W1312" s="15">
        <f t="shared" si="46"/>
        <v>1600</v>
      </c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5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5"/>
      <c r="AX1312" s="16"/>
    </row>
    <row r="1313" spans="2:50" x14ac:dyDescent="0.2">
      <c r="B1313" s="7" t="s">
        <v>73</v>
      </c>
      <c r="C1313" s="8">
        <v>12019</v>
      </c>
      <c r="D1313" s="9" t="s">
        <v>195</v>
      </c>
      <c r="E1313" s="10" t="s">
        <v>196</v>
      </c>
      <c r="F1313" s="10" t="s">
        <v>197</v>
      </c>
      <c r="G1313" s="8">
        <v>3</v>
      </c>
      <c r="H1313" s="11">
        <v>160</v>
      </c>
      <c r="I1313" s="12">
        <v>42540</v>
      </c>
      <c r="J1313" s="13">
        <f t="shared" si="45"/>
        <v>0</v>
      </c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5">
        <f t="shared" si="46"/>
        <v>0</v>
      </c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5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5"/>
      <c r="AX1313" s="16"/>
    </row>
    <row r="1314" spans="2:50" x14ac:dyDescent="0.2">
      <c r="B1314" s="7" t="s">
        <v>77</v>
      </c>
      <c r="C1314" s="8">
        <v>12020</v>
      </c>
      <c r="D1314" s="9" t="s">
        <v>617</v>
      </c>
      <c r="E1314" s="10" t="s">
        <v>618</v>
      </c>
      <c r="F1314" s="10" t="s">
        <v>619</v>
      </c>
      <c r="G1314" s="8">
        <v>1</v>
      </c>
      <c r="H1314" s="11">
        <v>400</v>
      </c>
      <c r="I1314" s="12">
        <v>42540</v>
      </c>
      <c r="J1314" s="13">
        <f t="shared" si="45"/>
        <v>0</v>
      </c>
      <c r="K1314" s="14"/>
      <c r="L1314" s="14"/>
      <c r="M1314" s="14"/>
      <c r="N1314" s="14"/>
      <c r="O1314" s="14"/>
      <c r="P1314" s="14">
        <v>400</v>
      </c>
      <c r="Q1314" s="14"/>
      <c r="R1314" s="14"/>
      <c r="S1314" s="14"/>
      <c r="T1314" s="14"/>
      <c r="U1314" s="14"/>
      <c r="V1314" s="14"/>
      <c r="W1314" s="15">
        <f t="shared" si="46"/>
        <v>400</v>
      </c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5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5"/>
      <c r="AX1314" s="16"/>
    </row>
    <row r="1315" spans="2:50" x14ac:dyDescent="0.2">
      <c r="B1315" s="7" t="s">
        <v>69</v>
      </c>
      <c r="C1315" s="8">
        <v>12021</v>
      </c>
      <c r="D1315" s="9" t="s">
        <v>893</v>
      </c>
      <c r="E1315" s="10" t="s">
        <v>894</v>
      </c>
      <c r="F1315" s="10" t="s">
        <v>895</v>
      </c>
      <c r="G1315" s="8">
        <v>1</v>
      </c>
      <c r="H1315" s="11">
        <v>800</v>
      </c>
      <c r="I1315" s="12">
        <v>42540</v>
      </c>
      <c r="J1315" s="13">
        <f t="shared" si="45"/>
        <v>0</v>
      </c>
      <c r="K1315" s="14"/>
      <c r="L1315" s="14"/>
      <c r="M1315" s="14"/>
      <c r="N1315" s="14"/>
      <c r="O1315" s="14">
        <v>400</v>
      </c>
      <c r="P1315" s="14">
        <v>400</v>
      </c>
      <c r="Q1315" s="14"/>
      <c r="R1315" s="14"/>
      <c r="S1315" s="14"/>
      <c r="T1315" s="14"/>
      <c r="U1315" s="14"/>
      <c r="V1315" s="14"/>
      <c r="W1315" s="15">
        <f t="shared" si="46"/>
        <v>800</v>
      </c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5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5"/>
      <c r="AX1315" s="16"/>
    </row>
    <row r="1316" spans="2:50" x14ac:dyDescent="0.2">
      <c r="B1316" s="7" t="s">
        <v>37</v>
      </c>
      <c r="C1316" s="8">
        <v>12022</v>
      </c>
      <c r="D1316" s="9" t="s">
        <v>192</v>
      </c>
      <c r="E1316" s="10" t="s">
        <v>193</v>
      </c>
      <c r="F1316" s="10" t="s">
        <v>194</v>
      </c>
      <c r="G1316" s="8">
        <v>1</v>
      </c>
      <c r="H1316" s="11">
        <v>400</v>
      </c>
      <c r="I1316" s="12">
        <v>42540</v>
      </c>
      <c r="J1316" s="13">
        <f t="shared" si="45"/>
        <v>0</v>
      </c>
      <c r="K1316" s="14"/>
      <c r="L1316" s="14"/>
      <c r="M1316" s="14"/>
      <c r="N1316" s="14"/>
      <c r="O1316" s="14"/>
      <c r="P1316" s="14">
        <v>400</v>
      </c>
      <c r="Q1316" s="14"/>
      <c r="R1316" s="14"/>
      <c r="S1316" s="14"/>
      <c r="T1316" s="14"/>
      <c r="U1316" s="14"/>
      <c r="V1316" s="14"/>
      <c r="W1316" s="15">
        <f t="shared" si="46"/>
        <v>400</v>
      </c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5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5"/>
      <c r="AX1316" s="16"/>
    </row>
    <row r="1317" spans="2:50" x14ac:dyDescent="0.2">
      <c r="B1317" s="7" t="s">
        <v>69</v>
      </c>
      <c r="C1317" s="8">
        <v>12023</v>
      </c>
      <c r="D1317" s="9" t="s">
        <v>687</v>
      </c>
      <c r="E1317" s="10" t="s">
        <v>688</v>
      </c>
      <c r="F1317" s="10" t="s">
        <v>689</v>
      </c>
      <c r="G1317" s="8">
        <v>1</v>
      </c>
      <c r="H1317" s="11">
        <v>600</v>
      </c>
      <c r="I1317" s="12">
        <v>42540</v>
      </c>
      <c r="J1317" s="13">
        <f t="shared" si="45"/>
        <v>0</v>
      </c>
      <c r="K1317" s="14"/>
      <c r="L1317" s="14"/>
      <c r="M1317" s="14"/>
      <c r="N1317" s="14">
        <v>200</v>
      </c>
      <c r="O1317" s="14">
        <v>200</v>
      </c>
      <c r="P1317" s="14">
        <v>200</v>
      </c>
      <c r="Q1317" s="14"/>
      <c r="R1317" s="14"/>
      <c r="S1317" s="14"/>
      <c r="T1317" s="14"/>
      <c r="U1317" s="14"/>
      <c r="V1317" s="14"/>
      <c r="W1317" s="15">
        <f t="shared" si="46"/>
        <v>600</v>
      </c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5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5"/>
      <c r="AX1317" s="16"/>
    </row>
    <row r="1318" spans="2:50" x14ac:dyDescent="0.2">
      <c r="B1318" s="7" t="s">
        <v>37</v>
      </c>
      <c r="C1318" s="8">
        <v>12024</v>
      </c>
      <c r="D1318" s="9" t="s">
        <v>192</v>
      </c>
      <c r="E1318" s="10" t="s">
        <v>193</v>
      </c>
      <c r="F1318" s="10" t="s">
        <v>194</v>
      </c>
      <c r="G1318" s="8">
        <v>4</v>
      </c>
      <c r="H1318" s="11">
        <v>200</v>
      </c>
      <c r="I1318" s="12">
        <v>42540</v>
      </c>
      <c r="J1318" s="13">
        <f t="shared" si="45"/>
        <v>0</v>
      </c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5">
        <f t="shared" si="46"/>
        <v>0</v>
      </c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5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5"/>
      <c r="AX1318" s="16"/>
    </row>
    <row r="1319" spans="2:50" x14ac:dyDescent="0.2">
      <c r="B1319" s="7" t="s">
        <v>69</v>
      </c>
      <c r="C1319" s="8">
        <v>12025</v>
      </c>
      <c r="D1319" s="9" t="s">
        <v>687</v>
      </c>
      <c r="E1319" s="10" t="s">
        <v>688</v>
      </c>
      <c r="F1319" s="10" t="s">
        <v>689</v>
      </c>
      <c r="G1319" s="8">
        <v>1</v>
      </c>
      <c r="H1319" s="11">
        <v>400</v>
      </c>
      <c r="I1319" s="12">
        <v>42540</v>
      </c>
      <c r="J1319" s="13">
        <f t="shared" si="45"/>
        <v>0</v>
      </c>
      <c r="K1319" s="14"/>
      <c r="L1319" s="14"/>
      <c r="M1319" s="14"/>
      <c r="N1319" s="14"/>
      <c r="O1319" s="14"/>
      <c r="P1319" s="14"/>
      <c r="Q1319" s="14">
        <v>200</v>
      </c>
      <c r="R1319" s="14">
        <v>200</v>
      </c>
      <c r="S1319" s="14"/>
      <c r="T1319" s="14"/>
      <c r="U1319" s="14"/>
      <c r="V1319" s="14"/>
      <c r="W1319" s="15">
        <f t="shared" si="46"/>
        <v>400</v>
      </c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5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5"/>
      <c r="AX1319" s="16"/>
    </row>
    <row r="1320" spans="2:50" x14ac:dyDescent="0.2">
      <c r="B1320" s="7" t="s">
        <v>69</v>
      </c>
      <c r="C1320" s="8">
        <v>12026</v>
      </c>
      <c r="D1320" s="9" t="s">
        <v>687</v>
      </c>
      <c r="E1320" s="10" t="s">
        <v>688</v>
      </c>
      <c r="F1320" s="10" t="s">
        <v>689</v>
      </c>
      <c r="G1320" s="8">
        <v>5</v>
      </c>
      <c r="H1320" s="11">
        <v>100</v>
      </c>
      <c r="I1320" s="12">
        <v>42540</v>
      </c>
      <c r="J1320" s="13">
        <f t="shared" si="45"/>
        <v>0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5">
        <f t="shared" si="46"/>
        <v>0</v>
      </c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5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5"/>
      <c r="AX1320" s="16"/>
    </row>
    <row r="1321" spans="2:50" x14ac:dyDescent="0.2">
      <c r="B1321" s="7" t="s">
        <v>37</v>
      </c>
      <c r="C1321" s="8">
        <v>12027</v>
      </c>
      <c r="D1321" s="9" t="s">
        <v>295</v>
      </c>
      <c r="E1321" s="10" t="s">
        <v>296</v>
      </c>
      <c r="F1321" s="10" t="s">
        <v>297</v>
      </c>
      <c r="G1321" s="8">
        <v>5</v>
      </c>
      <c r="H1321" s="11">
        <v>50</v>
      </c>
      <c r="I1321" s="12">
        <v>42540</v>
      </c>
      <c r="J1321" s="13">
        <f t="shared" si="45"/>
        <v>0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5">
        <f t="shared" si="46"/>
        <v>0</v>
      </c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5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5"/>
      <c r="AX1321" s="16"/>
    </row>
    <row r="1322" spans="2:50" x14ac:dyDescent="0.2">
      <c r="B1322" s="7" t="s">
        <v>69</v>
      </c>
      <c r="C1322" s="8">
        <v>12028</v>
      </c>
      <c r="D1322" s="9" t="s">
        <v>893</v>
      </c>
      <c r="E1322" s="10" t="s">
        <v>894</v>
      </c>
      <c r="F1322" s="10" t="s">
        <v>895</v>
      </c>
      <c r="G1322" s="8">
        <v>5</v>
      </c>
      <c r="H1322" s="11">
        <v>50</v>
      </c>
      <c r="I1322" s="12">
        <v>42540</v>
      </c>
      <c r="J1322" s="13">
        <f t="shared" si="45"/>
        <v>0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5">
        <f t="shared" si="46"/>
        <v>0</v>
      </c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5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5"/>
      <c r="AX1322" s="16"/>
    </row>
    <row r="1323" spans="2:50" x14ac:dyDescent="0.2">
      <c r="B1323" s="7" t="s">
        <v>69</v>
      </c>
      <c r="C1323" s="8">
        <v>12029</v>
      </c>
      <c r="D1323" s="9" t="s">
        <v>828</v>
      </c>
      <c r="E1323" s="10" t="s">
        <v>829</v>
      </c>
      <c r="F1323" s="10" t="s">
        <v>830</v>
      </c>
      <c r="G1323" s="8">
        <v>5</v>
      </c>
      <c r="H1323" s="11">
        <v>150</v>
      </c>
      <c r="I1323" s="12">
        <v>42540</v>
      </c>
      <c r="J1323" s="13">
        <f t="shared" si="45"/>
        <v>0</v>
      </c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5">
        <f t="shared" si="46"/>
        <v>0</v>
      </c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5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5"/>
      <c r="AX1323" s="16"/>
    </row>
    <row r="1324" spans="2:50" x14ac:dyDescent="0.2">
      <c r="B1324" s="7" t="s">
        <v>47</v>
      </c>
      <c r="C1324" s="8">
        <v>12030</v>
      </c>
      <c r="D1324" s="9" t="s">
        <v>963</v>
      </c>
      <c r="E1324" s="10" t="s">
        <v>964</v>
      </c>
      <c r="F1324" s="10" t="s">
        <v>460</v>
      </c>
      <c r="G1324" s="8">
        <v>5</v>
      </c>
      <c r="H1324" s="11">
        <v>150</v>
      </c>
      <c r="I1324" s="12">
        <v>42540</v>
      </c>
      <c r="J1324" s="13">
        <f t="shared" si="45"/>
        <v>0</v>
      </c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5">
        <f t="shared" si="46"/>
        <v>0</v>
      </c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5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5"/>
      <c r="AX1324" s="16"/>
    </row>
    <row r="1325" spans="2:50" x14ac:dyDescent="0.2">
      <c r="B1325" s="7" t="s">
        <v>37</v>
      </c>
      <c r="C1325" s="8">
        <v>12031</v>
      </c>
      <c r="D1325" s="9" t="s">
        <v>814</v>
      </c>
      <c r="E1325" s="10" t="s">
        <v>815</v>
      </c>
      <c r="F1325" s="10" t="s">
        <v>816</v>
      </c>
      <c r="G1325" s="8">
        <v>5</v>
      </c>
      <c r="H1325" s="11">
        <v>150</v>
      </c>
      <c r="I1325" s="12">
        <v>42540</v>
      </c>
      <c r="J1325" s="13">
        <f t="shared" si="45"/>
        <v>0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5">
        <f t="shared" si="46"/>
        <v>0</v>
      </c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5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5"/>
      <c r="AX1325" s="16"/>
    </row>
    <row r="1326" spans="2:50" x14ac:dyDescent="0.2">
      <c r="B1326" s="7" t="s">
        <v>69</v>
      </c>
      <c r="C1326" s="8">
        <v>12032</v>
      </c>
      <c r="D1326" s="9" t="s">
        <v>476</v>
      </c>
      <c r="E1326" s="10" t="s">
        <v>477</v>
      </c>
      <c r="F1326" s="10" t="s">
        <v>478</v>
      </c>
      <c r="G1326" s="8">
        <v>5</v>
      </c>
      <c r="H1326" s="11">
        <v>200</v>
      </c>
      <c r="I1326" s="12">
        <v>42540</v>
      </c>
      <c r="J1326" s="13">
        <f t="shared" si="45"/>
        <v>0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5">
        <f t="shared" si="46"/>
        <v>0</v>
      </c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5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5"/>
      <c r="AX1326" s="16"/>
    </row>
    <row r="1327" spans="2:50" x14ac:dyDescent="0.2">
      <c r="B1327" s="7" t="s">
        <v>73</v>
      </c>
      <c r="C1327" s="8">
        <v>12033</v>
      </c>
      <c r="D1327" s="9" t="s">
        <v>541</v>
      </c>
      <c r="E1327" s="10" t="s">
        <v>542</v>
      </c>
      <c r="F1327" s="10" t="s">
        <v>543</v>
      </c>
      <c r="G1327" s="8">
        <v>5</v>
      </c>
      <c r="H1327" s="11">
        <v>50</v>
      </c>
      <c r="I1327" s="12">
        <v>42540</v>
      </c>
      <c r="J1327" s="13">
        <f t="shared" si="45"/>
        <v>0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5">
        <f t="shared" si="46"/>
        <v>0</v>
      </c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5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5"/>
      <c r="AX1327" s="16"/>
    </row>
    <row r="1328" spans="2:50" x14ac:dyDescent="0.2">
      <c r="B1328" s="7" t="s">
        <v>77</v>
      </c>
      <c r="C1328" s="8">
        <v>12034</v>
      </c>
      <c r="D1328" s="9" t="s">
        <v>617</v>
      </c>
      <c r="E1328" s="10" t="s">
        <v>618</v>
      </c>
      <c r="F1328" s="10" t="s">
        <v>619</v>
      </c>
      <c r="G1328" s="8">
        <v>5</v>
      </c>
      <c r="H1328" s="11">
        <v>100</v>
      </c>
      <c r="I1328" s="12">
        <v>42540</v>
      </c>
      <c r="J1328" s="13">
        <f t="shared" si="45"/>
        <v>0</v>
      </c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5">
        <f t="shared" si="46"/>
        <v>0</v>
      </c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5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5"/>
      <c r="AX1328" s="16"/>
    </row>
    <row r="1329" spans="2:50" x14ac:dyDescent="0.2">
      <c r="B1329" s="7" t="s">
        <v>37</v>
      </c>
      <c r="C1329" s="8">
        <v>12035</v>
      </c>
      <c r="D1329" s="9" t="s">
        <v>661</v>
      </c>
      <c r="E1329" s="10" t="s">
        <v>662</v>
      </c>
      <c r="F1329" s="10" t="s">
        <v>624</v>
      </c>
      <c r="G1329" s="8">
        <v>1</v>
      </c>
      <c r="H1329" s="11">
        <v>1200</v>
      </c>
      <c r="I1329" s="12">
        <v>42540</v>
      </c>
      <c r="J1329" s="13">
        <f t="shared" si="45"/>
        <v>0</v>
      </c>
      <c r="K1329" s="14"/>
      <c r="L1329" s="14"/>
      <c r="M1329" s="14"/>
      <c r="N1329" s="14"/>
      <c r="O1329" s="14">
        <v>400</v>
      </c>
      <c r="P1329" s="14">
        <v>400</v>
      </c>
      <c r="Q1329" s="14">
        <v>400</v>
      </c>
      <c r="R1329" s="14"/>
      <c r="S1329" s="14"/>
      <c r="T1329" s="14"/>
      <c r="U1329" s="14"/>
      <c r="V1329" s="14"/>
      <c r="W1329" s="15">
        <f t="shared" si="46"/>
        <v>1200</v>
      </c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5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5"/>
      <c r="AX1329" s="16"/>
    </row>
    <row r="1330" spans="2:50" x14ac:dyDescent="0.2">
      <c r="B1330" s="7" t="s">
        <v>37</v>
      </c>
      <c r="C1330" s="8">
        <v>12036</v>
      </c>
      <c r="D1330" s="9" t="s">
        <v>298</v>
      </c>
      <c r="E1330" s="10" t="s">
        <v>299</v>
      </c>
      <c r="F1330" s="10" t="s">
        <v>300</v>
      </c>
      <c r="G1330" s="8">
        <v>1</v>
      </c>
      <c r="H1330" s="11">
        <v>150</v>
      </c>
      <c r="I1330" s="12">
        <v>42540</v>
      </c>
      <c r="J1330" s="13">
        <f t="shared" si="45"/>
        <v>0</v>
      </c>
      <c r="K1330" s="14"/>
      <c r="L1330" s="14"/>
      <c r="M1330" s="14"/>
      <c r="N1330" s="14"/>
      <c r="O1330" s="14"/>
      <c r="P1330" s="14"/>
      <c r="Q1330" s="14">
        <v>150</v>
      </c>
      <c r="R1330" s="14"/>
      <c r="S1330" s="14"/>
      <c r="T1330" s="14"/>
      <c r="U1330" s="14"/>
      <c r="V1330" s="14"/>
      <c r="W1330" s="15">
        <f t="shared" si="46"/>
        <v>150</v>
      </c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5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5"/>
      <c r="AX1330" s="16"/>
    </row>
    <row r="1331" spans="2:50" x14ac:dyDescent="0.2">
      <c r="B1331" s="7" t="s">
        <v>73</v>
      </c>
      <c r="C1331" s="8">
        <v>12037</v>
      </c>
      <c r="D1331" s="9" t="s">
        <v>1017</v>
      </c>
      <c r="E1331" s="10" t="s">
        <v>1018</v>
      </c>
      <c r="F1331" s="10" t="s">
        <v>1019</v>
      </c>
      <c r="G1331" s="8">
        <v>1</v>
      </c>
      <c r="H1331" s="11">
        <v>400</v>
      </c>
      <c r="I1331" s="12">
        <v>42540</v>
      </c>
      <c r="J1331" s="13">
        <f t="shared" si="45"/>
        <v>0</v>
      </c>
      <c r="K1331" s="14"/>
      <c r="L1331" s="14"/>
      <c r="M1331" s="14"/>
      <c r="N1331" s="14"/>
      <c r="O1331" s="14">
        <v>200</v>
      </c>
      <c r="P1331" s="14">
        <v>200</v>
      </c>
      <c r="Q1331" s="14"/>
      <c r="R1331" s="14"/>
      <c r="S1331" s="14"/>
      <c r="T1331" s="14"/>
      <c r="U1331" s="14"/>
      <c r="V1331" s="14"/>
      <c r="W1331" s="15">
        <f t="shared" si="46"/>
        <v>400</v>
      </c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5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5"/>
      <c r="AX1331" s="16"/>
    </row>
    <row r="1332" spans="2:50" x14ac:dyDescent="0.2">
      <c r="B1332" s="7" t="s">
        <v>69</v>
      </c>
      <c r="C1332" s="8">
        <v>12038</v>
      </c>
      <c r="D1332" s="9" t="s">
        <v>864</v>
      </c>
      <c r="E1332" s="10" t="s">
        <v>865</v>
      </c>
      <c r="F1332" s="10" t="s">
        <v>866</v>
      </c>
      <c r="G1332" s="8">
        <v>1</v>
      </c>
      <c r="H1332" s="11">
        <v>900</v>
      </c>
      <c r="I1332" s="12">
        <v>42540</v>
      </c>
      <c r="J1332" s="13">
        <f t="shared" si="45"/>
        <v>0</v>
      </c>
      <c r="K1332" s="14"/>
      <c r="L1332" s="14"/>
      <c r="M1332" s="14">
        <v>300</v>
      </c>
      <c r="N1332" s="14">
        <v>300</v>
      </c>
      <c r="O1332" s="14">
        <v>300</v>
      </c>
      <c r="P1332" s="14"/>
      <c r="Q1332" s="14"/>
      <c r="R1332" s="14"/>
      <c r="S1332" s="14"/>
      <c r="T1332" s="14"/>
      <c r="U1332" s="14"/>
      <c r="V1332" s="14"/>
      <c r="W1332" s="15">
        <f t="shared" si="46"/>
        <v>900</v>
      </c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5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5"/>
      <c r="AX1332" s="16"/>
    </row>
    <row r="1333" spans="2:50" x14ac:dyDescent="0.2">
      <c r="B1333" s="7" t="s">
        <v>37</v>
      </c>
      <c r="C1333" s="8">
        <v>12069</v>
      </c>
      <c r="D1333" s="9" t="s">
        <v>661</v>
      </c>
      <c r="E1333" s="10" t="s">
        <v>662</v>
      </c>
      <c r="F1333" s="10" t="s">
        <v>624</v>
      </c>
      <c r="G1333" s="8">
        <v>5</v>
      </c>
      <c r="H1333" s="11">
        <v>150</v>
      </c>
      <c r="I1333" s="12">
        <v>42540</v>
      </c>
      <c r="J1333" s="13">
        <f t="shared" si="45"/>
        <v>0</v>
      </c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5">
        <f t="shared" si="46"/>
        <v>0</v>
      </c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5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5"/>
      <c r="AX1333" s="16"/>
    </row>
    <row r="1334" spans="2:50" x14ac:dyDescent="0.2">
      <c r="B1334" s="7" t="s">
        <v>37</v>
      </c>
      <c r="C1334" s="8">
        <v>12070</v>
      </c>
      <c r="D1334" s="9" t="s">
        <v>298</v>
      </c>
      <c r="E1334" s="10" t="s">
        <v>299</v>
      </c>
      <c r="F1334" s="10" t="s">
        <v>300</v>
      </c>
      <c r="G1334" s="8">
        <v>5</v>
      </c>
      <c r="H1334" s="11">
        <v>50</v>
      </c>
      <c r="I1334" s="12">
        <v>42540</v>
      </c>
      <c r="J1334" s="13">
        <f t="shared" si="45"/>
        <v>0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5">
        <f t="shared" si="46"/>
        <v>0</v>
      </c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5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5"/>
      <c r="AX1334" s="16"/>
    </row>
    <row r="1335" spans="2:50" x14ac:dyDescent="0.2">
      <c r="B1335" s="7" t="s">
        <v>122</v>
      </c>
      <c r="C1335" s="8">
        <v>12071</v>
      </c>
      <c r="D1335" s="9" t="s">
        <v>262</v>
      </c>
      <c r="E1335" s="10" t="s">
        <v>263</v>
      </c>
      <c r="F1335" s="10" t="s">
        <v>264</v>
      </c>
      <c r="G1335" s="8">
        <v>5</v>
      </c>
      <c r="H1335" s="11">
        <v>50</v>
      </c>
      <c r="I1335" s="12">
        <v>42540</v>
      </c>
      <c r="J1335" s="13">
        <f t="shared" si="45"/>
        <v>0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5">
        <f t="shared" si="46"/>
        <v>0</v>
      </c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5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5"/>
      <c r="AX1335" s="16"/>
    </row>
    <row r="1336" spans="2:50" x14ac:dyDescent="0.2">
      <c r="B1336" s="7" t="s">
        <v>69</v>
      </c>
      <c r="C1336" s="8">
        <v>12072</v>
      </c>
      <c r="D1336" s="9" t="s">
        <v>864</v>
      </c>
      <c r="E1336" s="10" t="s">
        <v>865</v>
      </c>
      <c r="F1336" s="10" t="s">
        <v>866</v>
      </c>
      <c r="G1336" s="8">
        <v>5</v>
      </c>
      <c r="H1336" s="11">
        <v>50</v>
      </c>
      <c r="I1336" s="12">
        <v>42540</v>
      </c>
      <c r="J1336" s="13">
        <f t="shared" si="45"/>
        <v>0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5">
        <f t="shared" si="46"/>
        <v>0</v>
      </c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5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5"/>
      <c r="AX1336" s="16"/>
    </row>
    <row r="1337" spans="2:50" x14ac:dyDescent="0.2">
      <c r="B1337" s="7" t="s">
        <v>47</v>
      </c>
      <c r="C1337" s="8">
        <v>12073</v>
      </c>
      <c r="D1337" s="9" t="s">
        <v>580</v>
      </c>
      <c r="E1337" s="10" t="s">
        <v>581</v>
      </c>
      <c r="F1337" s="10" t="s">
        <v>582</v>
      </c>
      <c r="G1337" s="8">
        <v>5</v>
      </c>
      <c r="H1337" s="11">
        <v>200</v>
      </c>
      <c r="I1337" s="12">
        <v>42540</v>
      </c>
      <c r="J1337" s="13">
        <f t="shared" si="45"/>
        <v>0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5">
        <f t="shared" si="46"/>
        <v>0</v>
      </c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5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5"/>
      <c r="AX1337" s="16"/>
    </row>
    <row r="1338" spans="2:50" x14ac:dyDescent="0.2">
      <c r="B1338" s="7" t="s">
        <v>69</v>
      </c>
      <c r="C1338" s="8">
        <v>12074</v>
      </c>
      <c r="D1338" s="9" t="s">
        <v>828</v>
      </c>
      <c r="E1338" s="10" t="s">
        <v>829</v>
      </c>
      <c r="F1338" s="10" t="s">
        <v>830</v>
      </c>
      <c r="G1338" s="8">
        <v>5</v>
      </c>
      <c r="H1338" s="11">
        <v>50</v>
      </c>
      <c r="I1338" s="12">
        <v>42540</v>
      </c>
      <c r="J1338" s="13">
        <f t="shared" si="45"/>
        <v>0</v>
      </c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5">
        <f t="shared" si="46"/>
        <v>0</v>
      </c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5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5"/>
      <c r="AX1338" s="16">
        <v>100</v>
      </c>
    </row>
    <row r="1339" spans="2:50" x14ac:dyDescent="0.2">
      <c r="B1339" s="7" t="s">
        <v>73</v>
      </c>
      <c r="C1339" s="8">
        <v>12039</v>
      </c>
      <c r="D1339" s="9" t="s">
        <v>598</v>
      </c>
      <c r="E1339" s="10" t="s">
        <v>599</v>
      </c>
      <c r="F1339" s="10" t="s">
        <v>886</v>
      </c>
      <c r="G1339" s="8">
        <v>4</v>
      </c>
      <c r="H1339" s="11">
        <v>200</v>
      </c>
      <c r="I1339" s="12">
        <v>42542</v>
      </c>
      <c r="J1339" s="13">
        <f t="shared" si="45"/>
        <v>0</v>
      </c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5">
        <f t="shared" si="46"/>
        <v>0</v>
      </c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5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5"/>
      <c r="AX1339" s="7">
        <v>10422899</v>
      </c>
    </row>
    <row r="1340" spans="2:50" x14ac:dyDescent="0.2">
      <c r="B1340" s="7" t="s">
        <v>37</v>
      </c>
      <c r="C1340" s="8">
        <v>12040</v>
      </c>
      <c r="D1340" s="9" t="s">
        <v>1020</v>
      </c>
      <c r="E1340" s="10" t="s">
        <v>1021</v>
      </c>
      <c r="F1340" s="10" t="s">
        <v>1022</v>
      </c>
      <c r="G1340" s="8">
        <v>1</v>
      </c>
      <c r="H1340" s="11">
        <v>1200</v>
      </c>
      <c r="I1340" s="12">
        <v>42544</v>
      </c>
      <c r="J1340" s="13">
        <f t="shared" ref="J1340:J1403" si="47">IF(G1340=1,SUM(W1340,-H1340),0)</f>
        <v>0</v>
      </c>
      <c r="K1340" s="14"/>
      <c r="L1340" s="14"/>
      <c r="M1340" s="14"/>
      <c r="N1340" s="14">
        <v>400</v>
      </c>
      <c r="O1340" s="14">
        <v>400</v>
      </c>
      <c r="P1340" s="14">
        <v>400</v>
      </c>
      <c r="Q1340" s="14"/>
      <c r="R1340" s="14"/>
      <c r="S1340" s="14"/>
      <c r="T1340" s="14"/>
      <c r="U1340" s="14"/>
      <c r="V1340" s="14"/>
      <c r="W1340" s="15">
        <f t="shared" ref="W1340:W1403" si="48">SUM(K1340:V1340)</f>
        <v>1200</v>
      </c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5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5"/>
      <c r="AX1340" s="16"/>
    </row>
    <row r="1341" spans="2:50" x14ac:dyDescent="0.2">
      <c r="B1341" s="7" t="s">
        <v>69</v>
      </c>
      <c r="C1341" s="8">
        <v>12041</v>
      </c>
      <c r="D1341" s="9" t="s">
        <v>506</v>
      </c>
      <c r="E1341" s="10" t="s">
        <v>507</v>
      </c>
      <c r="F1341" s="10" t="s">
        <v>508</v>
      </c>
      <c r="G1341" s="8">
        <v>3</v>
      </c>
      <c r="H1341" s="11">
        <v>160</v>
      </c>
      <c r="I1341" s="12">
        <v>42547</v>
      </c>
      <c r="J1341" s="13">
        <f t="shared" si="47"/>
        <v>0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5">
        <f t="shared" si="48"/>
        <v>0</v>
      </c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5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5"/>
      <c r="AX1341" s="16"/>
    </row>
    <row r="1342" spans="2:50" x14ac:dyDescent="0.2">
      <c r="B1342" s="7" t="s">
        <v>37</v>
      </c>
      <c r="C1342" s="8">
        <v>12042</v>
      </c>
      <c r="D1342" s="9" t="s">
        <v>568</v>
      </c>
      <c r="E1342" s="10" t="s">
        <v>569</v>
      </c>
      <c r="F1342" s="10" t="s">
        <v>570</v>
      </c>
      <c r="G1342" s="8">
        <v>1</v>
      </c>
      <c r="H1342" s="11">
        <v>400</v>
      </c>
      <c r="I1342" s="12">
        <v>42547</v>
      </c>
      <c r="J1342" s="13">
        <f t="shared" si="47"/>
        <v>0</v>
      </c>
      <c r="K1342" s="14"/>
      <c r="L1342" s="14"/>
      <c r="M1342" s="14"/>
      <c r="N1342" s="14"/>
      <c r="O1342" s="14"/>
      <c r="P1342" s="14">
        <v>400</v>
      </c>
      <c r="Q1342" s="14"/>
      <c r="R1342" s="14"/>
      <c r="S1342" s="14"/>
      <c r="T1342" s="14"/>
      <c r="U1342" s="14"/>
      <c r="V1342" s="14"/>
      <c r="W1342" s="15">
        <f t="shared" si="48"/>
        <v>400</v>
      </c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5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5"/>
      <c r="AX1342" s="16"/>
    </row>
    <row r="1343" spans="2:50" x14ac:dyDescent="0.2">
      <c r="B1343" s="7" t="s">
        <v>47</v>
      </c>
      <c r="C1343" s="8">
        <v>12043</v>
      </c>
      <c r="D1343" s="9" t="s">
        <v>589</v>
      </c>
      <c r="E1343" s="10" t="s">
        <v>590</v>
      </c>
      <c r="F1343" s="10" t="s">
        <v>591</v>
      </c>
      <c r="G1343" s="8">
        <v>1</v>
      </c>
      <c r="H1343" s="11">
        <v>1200</v>
      </c>
      <c r="I1343" s="12">
        <v>42547</v>
      </c>
      <c r="J1343" s="13">
        <f t="shared" si="47"/>
        <v>0</v>
      </c>
      <c r="K1343" s="14"/>
      <c r="L1343" s="14"/>
      <c r="M1343" s="14"/>
      <c r="N1343" s="14"/>
      <c r="O1343" s="14">
        <v>400</v>
      </c>
      <c r="P1343" s="14">
        <v>400</v>
      </c>
      <c r="Q1343" s="14">
        <v>400</v>
      </c>
      <c r="R1343" s="14"/>
      <c r="S1343" s="14"/>
      <c r="T1343" s="14"/>
      <c r="U1343" s="14"/>
      <c r="V1343" s="14"/>
      <c r="W1343" s="15">
        <f t="shared" si="48"/>
        <v>1200</v>
      </c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5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5"/>
      <c r="AX1343" s="16"/>
    </row>
    <row r="1344" spans="2:50" x14ac:dyDescent="0.2">
      <c r="B1344" s="7" t="s">
        <v>37</v>
      </c>
      <c r="C1344" s="8">
        <v>12044</v>
      </c>
      <c r="D1344" s="9" t="s">
        <v>628</v>
      </c>
      <c r="E1344" s="10" t="s">
        <v>629</v>
      </c>
      <c r="F1344" s="10" t="s">
        <v>630</v>
      </c>
      <c r="G1344" s="8">
        <v>1</v>
      </c>
      <c r="H1344" s="11">
        <v>1200</v>
      </c>
      <c r="I1344" s="12">
        <v>42547</v>
      </c>
      <c r="J1344" s="13">
        <f t="shared" si="47"/>
        <v>0</v>
      </c>
      <c r="K1344" s="14"/>
      <c r="L1344" s="14"/>
      <c r="M1344" s="14"/>
      <c r="N1344" s="14">
        <v>400</v>
      </c>
      <c r="O1344" s="14">
        <v>400</v>
      </c>
      <c r="P1344" s="14">
        <v>400</v>
      </c>
      <c r="Q1344" s="14"/>
      <c r="R1344" s="14"/>
      <c r="S1344" s="14"/>
      <c r="T1344" s="14"/>
      <c r="U1344" s="14"/>
      <c r="V1344" s="14"/>
      <c r="W1344" s="15">
        <f t="shared" si="48"/>
        <v>1200</v>
      </c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5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5"/>
      <c r="AX1344" s="16"/>
    </row>
    <row r="1345" spans="2:50" x14ac:dyDescent="0.2">
      <c r="B1345" s="7" t="s">
        <v>69</v>
      </c>
      <c r="C1345" s="8">
        <v>12045</v>
      </c>
      <c r="D1345" s="9" t="s">
        <v>602</v>
      </c>
      <c r="E1345" s="10" t="s">
        <v>603</v>
      </c>
      <c r="F1345" s="10" t="s">
        <v>604</v>
      </c>
      <c r="G1345" s="8">
        <v>1</v>
      </c>
      <c r="H1345" s="11">
        <v>200</v>
      </c>
      <c r="I1345" s="12">
        <v>42547</v>
      </c>
      <c r="J1345" s="13">
        <f t="shared" si="47"/>
        <v>0</v>
      </c>
      <c r="K1345" s="14"/>
      <c r="L1345" s="14"/>
      <c r="M1345" s="14"/>
      <c r="N1345" s="14"/>
      <c r="O1345" s="14"/>
      <c r="P1345" s="14">
        <v>200</v>
      </c>
      <c r="Q1345" s="14"/>
      <c r="R1345" s="14"/>
      <c r="S1345" s="14"/>
      <c r="T1345" s="14"/>
      <c r="U1345" s="14"/>
      <c r="V1345" s="14"/>
      <c r="W1345" s="15">
        <f t="shared" si="48"/>
        <v>200</v>
      </c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5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5"/>
      <c r="AX1345" s="16"/>
    </row>
    <row r="1346" spans="2:50" x14ac:dyDescent="0.2">
      <c r="B1346" s="7" t="s">
        <v>47</v>
      </c>
      <c r="C1346" s="8">
        <v>12046</v>
      </c>
      <c r="D1346" s="9" t="s">
        <v>138</v>
      </c>
      <c r="E1346" s="10" t="s">
        <v>139</v>
      </c>
      <c r="F1346" s="10" t="s">
        <v>140</v>
      </c>
      <c r="G1346" s="8">
        <v>1</v>
      </c>
      <c r="H1346" s="11">
        <v>400</v>
      </c>
      <c r="I1346" s="12">
        <v>42547</v>
      </c>
      <c r="J1346" s="13">
        <f t="shared" si="47"/>
        <v>0</v>
      </c>
      <c r="K1346" s="14"/>
      <c r="L1346" s="14"/>
      <c r="M1346" s="14"/>
      <c r="N1346" s="14"/>
      <c r="O1346" s="14"/>
      <c r="P1346" s="14">
        <v>400</v>
      </c>
      <c r="Q1346" s="14"/>
      <c r="R1346" s="14"/>
      <c r="S1346" s="14"/>
      <c r="T1346" s="14"/>
      <c r="U1346" s="14"/>
      <c r="V1346" s="14"/>
      <c r="W1346" s="15">
        <f t="shared" si="48"/>
        <v>400</v>
      </c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5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5"/>
      <c r="AX1346" s="16"/>
    </row>
    <row r="1347" spans="2:50" x14ac:dyDescent="0.2">
      <c r="B1347" s="7" t="s">
        <v>47</v>
      </c>
      <c r="C1347" s="8">
        <v>12047</v>
      </c>
      <c r="D1347" s="9" t="s">
        <v>84</v>
      </c>
      <c r="E1347" s="10" t="s">
        <v>85</v>
      </c>
      <c r="F1347" s="10" t="s">
        <v>86</v>
      </c>
      <c r="G1347" s="8">
        <v>4</v>
      </c>
      <c r="H1347" s="11">
        <v>200</v>
      </c>
      <c r="I1347" s="12">
        <v>42547</v>
      </c>
      <c r="J1347" s="13">
        <f t="shared" si="47"/>
        <v>0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5">
        <f t="shared" si="48"/>
        <v>0</v>
      </c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5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5"/>
      <c r="AX1347" s="16"/>
    </row>
    <row r="1348" spans="2:50" x14ac:dyDescent="0.2">
      <c r="B1348" s="7" t="s">
        <v>73</v>
      </c>
      <c r="C1348" s="8">
        <v>12048</v>
      </c>
      <c r="D1348" s="9" t="s">
        <v>1023</v>
      </c>
      <c r="E1348" s="10" t="s">
        <v>1024</v>
      </c>
      <c r="F1348" s="10" t="s">
        <v>1025</v>
      </c>
      <c r="G1348" s="8">
        <v>1</v>
      </c>
      <c r="H1348" s="11">
        <v>3600</v>
      </c>
      <c r="I1348" s="12">
        <v>42547</v>
      </c>
      <c r="J1348" s="13">
        <f t="shared" si="47"/>
        <v>0</v>
      </c>
      <c r="K1348" s="14">
        <v>300</v>
      </c>
      <c r="L1348" s="14">
        <v>300</v>
      </c>
      <c r="M1348" s="14">
        <v>300</v>
      </c>
      <c r="N1348" s="14">
        <v>300</v>
      </c>
      <c r="O1348" s="14">
        <v>300</v>
      </c>
      <c r="P1348" s="14">
        <v>300</v>
      </c>
      <c r="Q1348" s="14">
        <v>300</v>
      </c>
      <c r="R1348" s="14">
        <v>300</v>
      </c>
      <c r="S1348" s="14">
        <v>300</v>
      </c>
      <c r="T1348" s="14">
        <v>300</v>
      </c>
      <c r="U1348" s="14">
        <v>300</v>
      </c>
      <c r="V1348" s="14">
        <v>300</v>
      </c>
      <c r="W1348" s="15">
        <f t="shared" si="48"/>
        <v>3600</v>
      </c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5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5"/>
      <c r="AX1348" s="16"/>
    </row>
    <row r="1349" spans="2:50" x14ac:dyDescent="0.2">
      <c r="B1349" s="7" t="s">
        <v>73</v>
      </c>
      <c r="C1349" s="8">
        <v>12049</v>
      </c>
      <c r="D1349" s="9" t="s">
        <v>1026</v>
      </c>
      <c r="E1349" s="10" t="s">
        <v>1027</v>
      </c>
      <c r="F1349" s="10" t="s">
        <v>1028</v>
      </c>
      <c r="G1349" s="8">
        <v>1</v>
      </c>
      <c r="H1349" s="11">
        <v>400</v>
      </c>
      <c r="I1349" s="12">
        <v>42547</v>
      </c>
      <c r="J1349" s="13">
        <f t="shared" si="47"/>
        <v>0</v>
      </c>
      <c r="K1349" s="14"/>
      <c r="L1349" s="14"/>
      <c r="M1349" s="14"/>
      <c r="N1349" s="14"/>
      <c r="O1349" s="14">
        <v>200</v>
      </c>
      <c r="P1349" s="14">
        <v>200</v>
      </c>
      <c r="Q1349" s="14"/>
      <c r="R1349" s="14"/>
      <c r="S1349" s="14"/>
      <c r="T1349" s="14"/>
      <c r="U1349" s="14"/>
      <c r="V1349" s="14"/>
      <c r="W1349" s="15">
        <f t="shared" si="48"/>
        <v>400</v>
      </c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5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5"/>
      <c r="AX1349" s="16"/>
    </row>
    <row r="1350" spans="2:50" x14ac:dyDescent="0.2">
      <c r="B1350" s="7" t="s">
        <v>69</v>
      </c>
      <c r="C1350" s="8">
        <v>12050</v>
      </c>
      <c r="D1350" s="9" t="s">
        <v>514</v>
      </c>
      <c r="E1350" s="10" t="s">
        <v>515</v>
      </c>
      <c r="F1350" s="10" t="s">
        <v>516</v>
      </c>
      <c r="G1350" s="8">
        <v>1</v>
      </c>
      <c r="H1350" s="11">
        <v>400</v>
      </c>
      <c r="I1350" s="12">
        <v>42547</v>
      </c>
      <c r="J1350" s="13">
        <f t="shared" si="47"/>
        <v>0</v>
      </c>
      <c r="K1350" s="14"/>
      <c r="L1350" s="14"/>
      <c r="M1350" s="14"/>
      <c r="N1350" s="14"/>
      <c r="O1350" s="14"/>
      <c r="P1350" s="14">
        <v>400</v>
      </c>
      <c r="Q1350" s="14"/>
      <c r="R1350" s="14"/>
      <c r="S1350" s="14"/>
      <c r="T1350" s="14"/>
      <c r="U1350" s="14"/>
      <c r="V1350" s="14"/>
      <c r="W1350" s="15">
        <f t="shared" si="48"/>
        <v>400</v>
      </c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5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5"/>
      <c r="AX1350" s="16"/>
    </row>
    <row r="1351" spans="2:50" x14ac:dyDescent="0.2">
      <c r="B1351" s="7" t="s">
        <v>69</v>
      </c>
      <c r="C1351" s="8">
        <v>12050</v>
      </c>
      <c r="D1351" s="9" t="s">
        <v>514</v>
      </c>
      <c r="E1351" s="10" t="s">
        <v>515</v>
      </c>
      <c r="F1351" s="10" t="s">
        <v>516</v>
      </c>
      <c r="G1351" s="8">
        <v>3</v>
      </c>
      <c r="H1351" s="11">
        <v>200</v>
      </c>
      <c r="I1351" s="12">
        <v>42547</v>
      </c>
      <c r="J1351" s="13">
        <f t="shared" si="47"/>
        <v>0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5">
        <f t="shared" si="48"/>
        <v>0</v>
      </c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5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5"/>
      <c r="AX1351" s="16"/>
    </row>
    <row r="1352" spans="2:50" x14ac:dyDescent="0.2">
      <c r="B1352" s="7" t="s">
        <v>47</v>
      </c>
      <c r="C1352" s="8">
        <v>12051</v>
      </c>
      <c r="D1352" s="9" t="s">
        <v>162</v>
      </c>
      <c r="E1352" s="10" t="s">
        <v>163</v>
      </c>
      <c r="F1352" s="10" t="s">
        <v>164</v>
      </c>
      <c r="G1352" s="8">
        <v>1</v>
      </c>
      <c r="H1352" s="11">
        <v>800</v>
      </c>
      <c r="I1352" s="12">
        <v>42547</v>
      </c>
      <c r="J1352" s="13">
        <f t="shared" si="47"/>
        <v>0</v>
      </c>
      <c r="K1352" s="14"/>
      <c r="L1352" s="14"/>
      <c r="M1352" s="14"/>
      <c r="N1352" s="14"/>
      <c r="O1352" s="14"/>
      <c r="P1352" s="14"/>
      <c r="Q1352" s="14">
        <v>400</v>
      </c>
      <c r="R1352" s="14">
        <v>400</v>
      </c>
      <c r="S1352" s="14"/>
      <c r="T1352" s="14"/>
      <c r="U1352" s="14"/>
      <c r="V1352" s="14"/>
      <c r="W1352" s="15">
        <f t="shared" si="48"/>
        <v>800</v>
      </c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5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5"/>
      <c r="AX1352" s="16"/>
    </row>
    <row r="1353" spans="2:50" x14ac:dyDescent="0.2">
      <c r="B1353" s="7" t="s">
        <v>47</v>
      </c>
      <c r="C1353" s="8">
        <v>12052</v>
      </c>
      <c r="D1353" s="9" t="s">
        <v>1029</v>
      </c>
      <c r="E1353" s="10" t="s">
        <v>1030</v>
      </c>
      <c r="F1353" s="10" t="s">
        <v>1031</v>
      </c>
      <c r="G1353" s="8">
        <v>1</v>
      </c>
      <c r="H1353" s="11">
        <v>800</v>
      </c>
      <c r="I1353" s="12">
        <v>42547</v>
      </c>
      <c r="J1353" s="13">
        <f t="shared" si="47"/>
        <v>0</v>
      </c>
      <c r="K1353" s="14">
        <v>400</v>
      </c>
      <c r="L1353" s="14">
        <v>400</v>
      </c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5">
        <f t="shared" si="48"/>
        <v>800</v>
      </c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5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5"/>
      <c r="AX1353" s="16"/>
    </row>
    <row r="1354" spans="2:50" x14ac:dyDescent="0.2">
      <c r="B1354" s="7" t="s">
        <v>47</v>
      </c>
      <c r="C1354" s="8">
        <v>12053</v>
      </c>
      <c r="D1354" s="9" t="s">
        <v>449</v>
      </c>
      <c r="E1354" s="10" t="s">
        <v>450</v>
      </c>
      <c r="F1354" s="10" t="s">
        <v>451</v>
      </c>
      <c r="G1354" s="8">
        <v>1</v>
      </c>
      <c r="H1354" s="11">
        <v>600</v>
      </c>
      <c r="I1354" s="12">
        <v>42547</v>
      </c>
      <c r="J1354" s="13">
        <f t="shared" si="47"/>
        <v>0</v>
      </c>
      <c r="K1354" s="14"/>
      <c r="L1354" s="14"/>
      <c r="M1354" s="14"/>
      <c r="N1354" s="14"/>
      <c r="O1354" s="14">
        <v>300</v>
      </c>
      <c r="P1354" s="14">
        <v>300</v>
      </c>
      <c r="Q1354" s="14"/>
      <c r="R1354" s="14"/>
      <c r="S1354" s="14"/>
      <c r="T1354" s="14"/>
      <c r="U1354" s="14"/>
      <c r="V1354" s="14"/>
      <c r="W1354" s="15">
        <f t="shared" si="48"/>
        <v>600</v>
      </c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5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5"/>
      <c r="AX1354" s="16"/>
    </row>
    <row r="1355" spans="2:50" x14ac:dyDescent="0.2">
      <c r="B1355" s="7" t="s">
        <v>73</v>
      </c>
      <c r="C1355" s="8">
        <v>12054</v>
      </c>
      <c r="D1355" s="9" t="s">
        <v>571</v>
      </c>
      <c r="E1355" s="10" t="s">
        <v>572</v>
      </c>
      <c r="F1355" s="10" t="s">
        <v>573</v>
      </c>
      <c r="G1355" s="8">
        <v>5</v>
      </c>
      <c r="H1355" s="11">
        <v>200</v>
      </c>
      <c r="I1355" s="12">
        <v>42547</v>
      </c>
      <c r="J1355" s="13">
        <f t="shared" si="47"/>
        <v>0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5">
        <f t="shared" si="48"/>
        <v>0</v>
      </c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5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5"/>
      <c r="AX1355" s="16"/>
    </row>
    <row r="1356" spans="2:50" x14ac:dyDescent="0.2">
      <c r="B1356" s="7" t="s">
        <v>122</v>
      </c>
      <c r="C1356" s="8">
        <v>12055</v>
      </c>
      <c r="D1356" s="9" t="s">
        <v>637</v>
      </c>
      <c r="E1356" s="10" t="s">
        <v>638</v>
      </c>
      <c r="F1356" s="10" t="s">
        <v>639</v>
      </c>
      <c r="G1356" s="8">
        <v>1</v>
      </c>
      <c r="H1356" s="11">
        <v>400</v>
      </c>
      <c r="I1356" s="12">
        <v>42547</v>
      </c>
      <c r="J1356" s="13">
        <f t="shared" si="47"/>
        <v>0</v>
      </c>
      <c r="K1356" s="14"/>
      <c r="L1356" s="14"/>
      <c r="M1356" s="14"/>
      <c r="N1356" s="14"/>
      <c r="O1356" s="14"/>
      <c r="P1356" s="14">
        <v>400</v>
      </c>
      <c r="Q1356" s="14"/>
      <c r="R1356" s="14"/>
      <c r="S1356" s="14"/>
      <c r="T1356" s="14"/>
      <c r="U1356" s="14"/>
      <c r="V1356" s="14"/>
      <c r="W1356" s="15">
        <f t="shared" si="48"/>
        <v>400</v>
      </c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5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5"/>
      <c r="AX1356" s="16"/>
    </row>
    <row r="1357" spans="2:50" x14ac:dyDescent="0.2">
      <c r="B1357" s="7" t="s">
        <v>47</v>
      </c>
      <c r="C1357" s="8">
        <v>12056</v>
      </c>
      <c r="D1357" s="9" t="s">
        <v>48</v>
      </c>
      <c r="E1357" s="10" t="s">
        <v>49</v>
      </c>
      <c r="F1357" s="10" t="s">
        <v>50</v>
      </c>
      <c r="G1357" s="8">
        <v>1</v>
      </c>
      <c r="H1357" s="11">
        <v>400</v>
      </c>
      <c r="I1357" s="12">
        <v>42547</v>
      </c>
      <c r="J1357" s="13">
        <f t="shared" si="47"/>
        <v>0</v>
      </c>
      <c r="K1357" s="14"/>
      <c r="L1357" s="14"/>
      <c r="M1357" s="14"/>
      <c r="N1357" s="14"/>
      <c r="O1357" s="14"/>
      <c r="P1357" s="14">
        <v>400</v>
      </c>
      <c r="Q1357" s="14"/>
      <c r="R1357" s="14"/>
      <c r="S1357" s="14"/>
      <c r="T1357" s="14"/>
      <c r="U1357" s="14"/>
      <c r="V1357" s="14"/>
      <c r="W1357" s="15">
        <f t="shared" si="48"/>
        <v>400</v>
      </c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5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5"/>
      <c r="AX1357" s="16"/>
    </row>
    <row r="1358" spans="2:50" x14ac:dyDescent="0.2">
      <c r="B1358" s="7" t="s">
        <v>77</v>
      </c>
      <c r="C1358" s="8">
        <v>12057</v>
      </c>
      <c r="D1358" s="9" t="s">
        <v>455</v>
      </c>
      <c r="E1358" s="10" t="s">
        <v>456</v>
      </c>
      <c r="F1358" s="10" t="s">
        <v>457</v>
      </c>
      <c r="G1358" s="8">
        <v>1</v>
      </c>
      <c r="H1358" s="11">
        <v>800</v>
      </c>
      <c r="I1358" s="12">
        <v>42547</v>
      </c>
      <c r="J1358" s="13">
        <f t="shared" si="47"/>
        <v>0</v>
      </c>
      <c r="K1358" s="14"/>
      <c r="L1358" s="14"/>
      <c r="M1358" s="14"/>
      <c r="N1358" s="14"/>
      <c r="O1358" s="14"/>
      <c r="P1358" s="14">
        <v>400</v>
      </c>
      <c r="Q1358" s="14">
        <v>400</v>
      </c>
      <c r="R1358" s="14"/>
      <c r="S1358" s="14"/>
      <c r="T1358" s="14"/>
      <c r="U1358" s="14"/>
      <c r="V1358" s="14"/>
      <c r="W1358" s="15">
        <f t="shared" si="48"/>
        <v>800</v>
      </c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5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5"/>
      <c r="AX1358" s="16"/>
    </row>
    <row r="1359" spans="2:50" x14ac:dyDescent="0.2">
      <c r="B1359" s="7" t="s">
        <v>47</v>
      </c>
      <c r="C1359" s="8">
        <v>12058</v>
      </c>
      <c r="D1359" s="9" t="s">
        <v>746</v>
      </c>
      <c r="E1359" s="10" t="s">
        <v>747</v>
      </c>
      <c r="F1359" s="10" t="s">
        <v>748</v>
      </c>
      <c r="G1359" s="8">
        <v>1</v>
      </c>
      <c r="H1359" s="11">
        <v>900</v>
      </c>
      <c r="I1359" s="12">
        <v>42547</v>
      </c>
      <c r="J1359" s="13">
        <f t="shared" si="47"/>
        <v>0</v>
      </c>
      <c r="K1359" s="14"/>
      <c r="L1359" s="14"/>
      <c r="M1359" s="14"/>
      <c r="N1359" s="14"/>
      <c r="O1359" s="14">
        <v>300</v>
      </c>
      <c r="P1359" s="14">
        <v>300</v>
      </c>
      <c r="Q1359" s="14">
        <v>300</v>
      </c>
      <c r="R1359" s="14"/>
      <c r="S1359" s="14"/>
      <c r="T1359" s="14"/>
      <c r="U1359" s="14"/>
      <c r="V1359" s="14"/>
      <c r="W1359" s="15">
        <f t="shared" si="48"/>
        <v>900</v>
      </c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5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5"/>
      <c r="AX1359" s="16"/>
    </row>
    <row r="1360" spans="2:50" x14ac:dyDescent="0.2">
      <c r="B1360" s="7" t="s">
        <v>77</v>
      </c>
      <c r="C1360" s="8">
        <v>12059</v>
      </c>
      <c r="D1360" s="9" t="s">
        <v>547</v>
      </c>
      <c r="E1360" s="10" t="s">
        <v>548</v>
      </c>
      <c r="F1360" s="10" t="s">
        <v>549</v>
      </c>
      <c r="G1360" s="8">
        <v>1</v>
      </c>
      <c r="H1360" s="11">
        <v>400</v>
      </c>
      <c r="I1360" s="12">
        <v>42547</v>
      </c>
      <c r="J1360" s="13">
        <f t="shared" si="47"/>
        <v>0</v>
      </c>
      <c r="K1360" s="14"/>
      <c r="L1360" s="14"/>
      <c r="M1360" s="14"/>
      <c r="N1360" s="14"/>
      <c r="O1360" s="14">
        <v>200</v>
      </c>
      <c r="P1360" s="14">
        <v>200</v>
      </c>
      <c r="Q1360" s="14"/>
      <c r="R1360" s="14"/>
      <c r="S1360" s="14"/>
      <c r="T1360" s="14"/>
      <c r="U1360" s="14"/>
      <c r="V1360" s="14"/>
      <c r="W1360" s="15">
        <f t="shared" si="48"/>
        <v>400</v>
      </c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5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5"/>
      <c r="AX1360" s="16"/>
    </row>
    <row r="1361" spans="2:50" x14ac:dyDescent="0.2">
      <c r="B1361" s="7" t="s">
        <v>73</v>
      </c>
      <c r="C1361" s="8">
        <v>12060</v>
      </c>
      <c r="D1361" s="9" t="s">
        <v>440</v>
      </c>
      <c r="E1361" s="10" t="s">
        <v>441</v>
      </c>
      <c r="F1361" s="10" t="s">
        <v>442</v>
      </c>
      <c r="G1361" s="8">
        <v>1</v>
      </c>
      <c r="H1361" s="11">
        <v>300</v>
      </c>
      <c r="I1361" s="12">
        <v>42547</v>
      </c>
      <c r="J1361" s="13">
        <f t="shared" si="47"/>
        <v>0</v>
      </c>
      <c r="K1361" s="14"/>
      <c r="L1361" s="14"/>
      <c r="M1361" s="14"/>
      <c r="N1361" s="14"/>
      <c r="O1361" s="14"/>
      <c r="P1361" s="14">
        <v>300</v>
      </c>
      <c r="Q1361" s="14"/>
      <c r="R1361" s="14"/>
      <c r="S1361" s="14"/>
      <c r="T1361" s="14"/>
      <c r="U1361" s="14"/>
      <c r="V1361" s="14"/>
      <c r="W1361" s="15">
        <f t="shared" si="48"/>
        <v>300</v>
      </c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5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5"/>
      <c r="AX1361" s="16"/>
    </row>
    <row r="1362" spans="2:50" x14ac:dyDescent="0.2">
      <c r="B1362" s="7" t="s">
        <v>73</v>
      </c>
      <c r="C1362" s="8">
        <v>12060</v>
      </c>
      <c r="D1362" s="9" t="s">
        <v>440</v>
      </c>
      <c r="E1362" s="10" t="s">
        <v>441</v>
      </c>
      <c r="F1362" s="10" t="s">
        <v>442</v>
      </c>
      <c r="G1362" s="8">
        <v>3</v>
      </c>
      <c r="H1362" s="11">
        <v>200</v>
      </c>
      <c r="I1362" s="12">
        <v>42547</v>
      </c>
      <c r="J1362" s="13">
        <f t="shared" si="47"/>
        <v>0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5">
        <f t="shared" si="48"/>
        <v>0</v>
      </c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5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5"/>
      <c r="AX1362" s="16"/>
    </row>
    <row r="1363" spans="2:50" x14ac:dyDescent="0.2">
      <c r="B1363" s="7" t="s">
        <v>122</v>
      </c>
      <c r="C1363" s="8">
        <v>12061</v>
      </c>
      <c r="D1363" s="9" t="s">
        <v>622</v>
      </c>
      <c r="E1363" s="10" t="s">
        <v>623</v>
      </c>
      <c r="F1363" s="10" t="s">
        <v>624</v>
      </c>
      <c r="G1363" s="8">
        <v>1</v>
      </c>
      <c r="H1363" s="11">
        <v>1200</v>
      </c>
      <c r="I1363" s="12">
        <v>42547</v>
      </c>
      <c r="J1363" s="13">
        <f t="shared" si="47"/>
        <v>0</v>
      </c>
      <c r="K1363" s="14"/>
      <c r="L1363" s="14"/>
      <c r="M1363" s="14"/>
      <c r="N1363" s="14"/>
      <c r="O1363" s="14">
        <v>400</v>
      </c>
      <c r="P1363" s="14">
        <v>400</v>
      </c>
      <c r="Q1363" s="14">
        <v>400</v>
      </c>
      <c r="R1363" s="14"/>
      <c r="S1363" s="14"/>
      <c r="T1363" s="14"/>
      <c r="U1363" s="14"/>
      <c r="V1363" s="14"/>
      <c r="W1363" s="15">
        <f t="shared" si="48"/>
        <v>1200</v>
      </c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5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5"/>
      <c r="AX1363" s="16"/>
    </row>
    <row r="1364" spans="2:50" x14ac:dyDescent="0.2">
      <c r="B1364" s="7" t="s">
        <v>73</v>
      </c>
      <c r="C1364" s="8">
        <v>12062</v>
      </c>
      <c r="D1364" s="9" t="s">
        <v>719</v>
      </c>
      <c r="E1364" s="10" t="s">
        <v>720</v>
      </c>
      <c r="F1364" s="10" t="s">
        <v>867</v>
      </c>
      <c r="G1364" s="8">
        <v>1</v>
      </c>
      <c r="H1364" s="11">
        <v>400</v>
      </c>
      <c r="I1364" s="12">
        <v>42547</v>
      </c>
      <c r="J1364" s="13">
        <f t="shared" si="47"/>
        <v>0</v>
      </c>
      <c r="K1364" s="14"/>
      <c r="L1364" s="14"/>
      <c r="M1364" s="14"/>
      <c r="N1364" s="14"/>
      <c r="O1364" s="14">
        <v>200</v>
      </c>
      <c r="P1364" s="14">
        <v>200</v>
      </c>
      <c r="Q1364" s="14"/>
      <c r="R1364" s="14"/>
      <c r="S1364" s="14"/>
      <c r="T1364" s="14"/>
      <c r="U1364" s="14"/>
      <c r="V1364" s="14"/>
      <c r="W1364" s="15">
        <f t="shared" si="48"/>
        <v>400</v>
      </c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5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5"/>
      <c r="AX1364" s="16"/>
    </row>
    <row r="1365" spans="2:50" x14ac:dyDescent="0.2">
      <c r="B1365" s="7" t="s">
        <v>73</v>
      </c>
      <c r="C1365" s="8">
        <v>12063</v>
      </c>
      <c r="D1365" s="9" t="s">
        <v>1032</v>
      </c>
      <c r="E1365" s="10" t="s">
        <v>1033</v>
      </c>
      <c r="F1365" s="10" t="s">
        <v>1034</v>
      </c>
      <c r="G1365" s="8">
        <v>1</v>
      </c>
      <c r="H1365" s="11">
        <v>900</v>
      </c>
      <c r="I1365" s="12">
        <v>42547</v>
      </c>
      <c r="J1365" s="13">
        <f t="shared" si="47"/>
        <v>0</v>
      </c>
      <c r="K1365" s="14">
        <v>150</v>
      </c>
      <c r="L1365" s="14">
        <v>150</v>
      </c>
      <c r="M1365" s="14">
        <v>150</v>
      </c>
      <c r="N1365" s="14">
        <v>150</v>
      </c>
      <c r="O1365" s="14">
        <v>150</v>
      </c>
      <c r="P1365" s="14">
        <v>150</v>
      </c>
      <c r="Q1365" s="14"/>
      <c r="R1365" s="14"/>
      <c r="S1365" s="14"/>
      <c r="T1365" s="14"/>
      <c r="U1365" s="14"/>
      <c r="V1365" s="14"/>
      <c r="W1365" s="15">
        <f t="shared" si="48"/>
        <v>900</v>
      </c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5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5"/>
      <c r="AX1365" s="16"/>
    </row>
    <row r="1366" spans="2:50" x14ac:dyDescent="0.2">
      <c r="B1366" s="7" t="s">
        <v>37</v>
      </c>
      <c r="C1366" s="8">
        <v>12064</v>
      </c>
      <c r="D1366" s="9" t="s">
        <v>749</v>
      </c>
      <c r="E1366" s="10" t="s">
        <v>750</v>
      </c>
      <c r="F1366" s="10" t="s">
        <v>751</v>
      </c>
      <c r="G1366" s="8">
        <v>1</v>
      </c>
      <c r="H1366" s="11">
        <v>800</v>
      </c>
      <c r="I1366" s="12">
        <v>42547</v>
      </c>
      <c r="J1366" s="13">
        <f t="shared" si="47"/>
        <v>0</v>
      </c>
      <c r="K1366" s="14"/>
      <c r="L1366" s="14"/>
      <c r="M1366" s="14"/>
      <c r="N1366" s="14"/>
      <c r="O1366" s="14">
        <v>400</v>
      </c>
      <c r="P1366" s="14">
        <v>400</v>
      </c>
      <c r="Q1366" s="14"/>
      <c r="R1366" s="14"/>
      <c r="S1366" s="14"/>
      <c r="T1366" s="14"/>
      <c r="U1366" s="14"/>
      <c r="V1366" s="14"/>
      <c r="W1366" s="15">
        <f t="shared" si="48"/>
        <v>800</v>
      </c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5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5"/>
      <c r="AX1366" s="16"/>
    </row>
    <row r="1367" spans="2:50" x14ac:dyDescent="0.2">
      <c r="B1367" s="7" t="s">
        <v>37</v>
      </c>
      <c r="C1367" s="8">
        <v>12065</v>
      </c>
      <c r="D1367" s="9" t="s">
        <v>646</v>
      </c>
      <c r="E1367" s="10" t="s">
        <v>647</v>
      </c>
      <c r="F1367" s="10" t="s">
        <v>648</v>
      </c>
      <c r="G1367" s="8">
        <v>1</v>
      </c>
      <c r="H1367" s="11">
        <v>800</v>
      </c>
      <c r="I1367" s="12">
        <v>42547</v>
      </c>
      <c r="J1367" s="13">
        <f t="shared" si="47"/>
        <v>0</v>
      </c>
      <c r="K1367" s="14"/>
      <c r="L1367" s="14"/>
      <c r="M1367" s="14"/>
      <c r="N1367" s="14">
        <v>400</v>
      </c>
      <c r="O1367" s="14">
        <v>400</v>
      </c>
      <c r="P1367" s="14"/>
      <c r="Q1367" s="14"/>
      <c r="R1367" s="14"/>
      <c r="S1367" s="14"/>
      <c r="T1367" s="14"/>
      <c r="U1367" s="14"/>
      <c r="V1367" s="14"/>
      <c r="W1367" s="15">
        <f t="shared" si="48"/>
        <v>800</v>
      </c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5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5"/>
      <c r="AX1367" s="16"/>
    </row>
    <row r="1368" spans="2:50" x14ac:dyDescent="0.2">
      <c r="B1368" s="7" t="s">
        <v>73</v>
      </c>
      <c r="C1368" s="8">
        <v>12066</v>
      </c>
      <c r="D1368" s="9" t="s">
        <v>911</v>
      </c>
      <c r="E1368" s="10" t="s">
        <v>912</v>
      </c>
      <c r="F1368" s="10" t="s">
        <v>397</v>
      </c>
      <c r="G1368" s="8">
        <v>1</v>
      </c>
      <c r="H1368" s="11">
        <v>800</v>
      </c>
      <c r="I1368" s="12">
        <v>42547</v>
      </c>
      <c r="J1368" s="13">
        <f t="shared" si="47"/>
        <v>0</v>
      </c>
      <c r="K1368" s="14"/>
      <c r="L1368" s="14"/>
      <c r="M1368" s="14"/>
      <c r="N1368" s="14">
        <v>400</v>
      </c>
      <c r="O1368" s="14">
        <v>400</v>
      </c>
      <c r="P1368" s="14"/>
      <c r="Q1368" s="14"/>
      <c r="R1368" s="14"/>
      <c r="S1368" s="14"/>
      <c r="T1368" s="14"/>
      <c r="U1368" s="14"/>
      <c r="V1368" s="14"/>
      <c r="W1368" s="15">
        <f t="shared" si="48"/>
        <v>800</v>
      </c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5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5"/>
      <c r="AX1368" s="16"/>
    </row>
    <row r="1369" spans="2:50" x14ac:dyDescent="0.2">
      <c r="B1369" s="7" t="s">
        <v>122</v>
      </c>
      <c r="C1369" s="8">
        <v>12067</v>
      </c>
      <c r="D1369" s="9" t="s">
        <v>1035</v>
      </c>
      <c r="E1369" s="10" t="s">
        <v>789</v>
      </c>
      <c r="F1369" s="10" t="s">
        <v>790</v>
      </c>
      <c r="G1369" s="8">
        <v>1</v>
      </c>
      <c r="H1369" s="11">
        <v>400</v>
      </c>
      <c r="I1369" s="12">
        <v>42547</v>
      </c>
      <c r="J1369" s="13">
        <f t="shared" si="47"/>
        <v>0</v>
      </c>
      <c r="K1369" s="14"/>
      <c r="L1369" s="14"/>
      <c r="M1369" s="14"/>
      <c r="N1369" s="14"/>
      <c r="O1369" s="14"/>
      <c r="P1369" s="14">
        <v>400</v>
      </c>
      <c r="Q1369" s="14"/>
      <c r="R1369" s="14"/>
      <c r="S1369" s="14"/>
      <c r="T1369" s="14"/>
      <c r="U1369" s="14"/>
      <c r="V1369" s="14"/>
      <c r="W1369" s="15">
        <f t="shared" si="48"/>
        <v>400</v>
      </c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5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5"/>
      <c r="AX1369" s="16"/>
    </row>
    <row r="1370" spans="2:50" x14ac:dyDescent="0.2">
      <c r="B1370" s="7" t="s">
        <v>73</v>
      </c>
      <c r="C1370" s="8">
        <v>12068</v>
      </c>
      <c r="D1370" s="9" t="s">
        <v>731</v>
      </c>
      <c r="E1370" s="10" t="s">
        <v>732</v>
      </c>
      <c r="F1370" s="10" t="s">
        <v>733</v>
      </c>
      <c r="G1370" s="8">
        <v>1</v>
      </c>
      <c r="H1370" s="11">
        <v>600</v>
      </c>
      <c r="I1370" s="12">
        <v>42547</v>
      </c>
      <c r="J1370" s="13">
        <f t="shared" si="47"/>
        <v>0</v>
      </c>
      <c r="K1370" s="14"/>
      <c r="L1370" s="14"/>
      <c r="M1370" s="14"/>
      <c r="N1370" s="14"/>
      <c r="O1370" s="14"/>
      <c r="P1370" s="14">
        <v>300</v>
      </c>
      <c r="Q1370" s="14">
        <v>300</v>
      </c>
      <c r="R1370" s="14"/>
      <c r="S1370" s="14"/>
      <c r="T1370" s="14"/>
      <c r="U1370" s="14"/>
      <c r="V1370" s="14"/>
      <c r="W1370" s="15">
        <f t="shared" si="48"/>
        <v>600</v>
      </c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5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5"/>
      <c r="AX1370" s="16"/>
    </row>
    <row r="1371" spans="2:50" x14ac:dyDescent="0.2">
      <c r="B1371" s="7" t="s">
        <v>37</v>
      </c>
      <c r="C1371" s="8">
        <v>12075</v>
      </c>
      <c r="D1371" s="9" t="s">
        <v>983</v>
      </c>
      <c r="E1371" s="10" t="s">
        <v>984</v>
      </c>
      <c r="F1371" s="10" t="s">
        <v>985</v>
      </c>
      <c r="G1371" s="8">
        <v>5</v>
      </c>
      <c r="H1371" s="11">
        <v>150</v>
      </c>
      <c r="I1371" s="12">
        <v>42543</v>
      </c>
      <c r="J1371" s="13">
        <f t="shared" si="47"/>
        <v>0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5">
        <f t="shared" si="48"/>
        <v>0</v>
      </c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5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5"/>
      <c r="AX1371" s="16"/>
    </row>
    <row r="1372" spans="2:50" x14ac:dyDescent="0.2">
      <c r="B1372" s="7" t="s">
        <v>47</v>
      </c>
      <c r="C1372" s="8">
        <v>12076</v>
      </c>
      <c r="D1372" s="9" t="s">
        <v>150</v>
      </c>
      <c r="E1372" s="10" t="s">
        <v>151</v>
      </c>
      <c r="F1372" s="10" t="s">
        <v>152</v>
      </c>
      <c r="G1372" s="8">
        <v>5</v>
      </c>
      <c r="H1372" s="11">
        <v>100</v>
      </c>
      <c r="I1372" s="12">
        <v>42543</v>
      </c>
      <c r="J1372" s="13">
        <f t="shared" si="47"/>
        <v>0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5">
        <f t="shared" si="48"/>
        <v>0</v>
      </c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5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5"/>
      <c r="AX1372" s="16"/>
    </row>
    <row r="1373" spans="2:50" x14ac:dyDescent="0.2">
      <c r="B1373" s="7" t="s">
        <v>37</v>
      </c>
      <c r="C1373" s="8">
        <v>12077</v>
      </c>
      <c r="D1373" s="9" t="s">
        <v>443</v>
      </c>
      <c r="E1373" s="10" t="s">
        <v>444</v>
      </c>
      <c r="F1373" s="10" t="s">
        <v>445</v>
      </c>
      <c r="G1373" s="8">
        <v>5</v>
      </c>
      <c r="H1373" s="11">
        <v>300</v>
      </c>
      <c r="I1373" s="12">
        <v>42544</v>
      </c>
      <c r="J1373" s="13">
        <f t="shared" si="47"/>
        <v>0</v>
      </c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5">
        <f t="shared" si="48"/>
        <v>0</v>
      </c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5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5"/>
      <c r="AX1373" s="16"/>
    </row>
    <row r="1374" spans="2:50" x14ac:dyDescent="0.2">
      <c r="B1374" s="7" t="s">
        <v>122</v>
      </c>
      <c r="C1374" s="8">
        <v>12078</v>
      </c>
      <c r="D1374" s="9" t="s">
        <v>220</v>
      </c>
      <c r="E1374" s="10" t="s">
        <v>221</v>
      </c>
      <c r="F1374" s="10" t="s">
        <v>222</v>
      </c>
      <c r="G1374" s="8">
        <v>1</v>
      </c>
      <c r="H1374" s="11">
        <v>300</v>
      </c>
      <c r="I1374" s="12">
        <v>42544</v>
      </c>
      <c r="J1374" s="13">
        <f t="shared" si="47"/>
        <v>0</v>
      </c>
      <c r="K1374" s="14"/>
      <c r="L1374" s="14"/>
      <c r="M1374" s="14"/>
      <c r="N1374" s="14"/>
      <c r="O1374" s="14"/>
      <c r="P1374" s="14">
        <v>300</v>
      </c>
      <c r="Q1374" s="14"/>
      <c r="R1374" s="14"/>
      <c r="S1374" s="14"/>
      <c r="T1374" s="14"/>
      <c r="U1374" s="14"/>
      <c r="V1374" s="14"/>
      <c r="W1374" s="15">
        <f t="shared" si="48"/>
        <v>300</v>
      </c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5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5"/>
      <c r="AX1374" s="16"/>
    </row>
    <row r="1375" spans="2:50" x14ac:dyDescent="0.2">
      <c r="B1375" s="7" t="s">
        <v>122</v>
      </c>
      <c r="C1375" s="8">
        <v>12078</v>
      </c>
      <c r="D1375" s="9" t="s">
        <v>220</v>
      </c>
      <c r="E1375" s="10" t="s">
        <v>221</v>
      </c>
      <c r="F1375" s="10" t="s">
        <v>222</v>
      </c>
      <c r="G1375" s="8">
        <v>5</v>
      </c>
      <c r="H1375" s="11">
        <v>100</v>
      </c>
      <c r="I1375" s="12">
        <v>42544</v>
      </c>
      <c r="J1375" s="13">
        <f t="shared" si="47"/>
        <v>0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5">
        <f t="shared" si="48"/>
        <v>0</v>
      </c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5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5"/>
      <c r="AX1375" s="16"/>
    </row>
    <row r="1376" spans="2:50" x14ac:dyDescent="0.2">
      <c r="B1376" s="7" t="s">
        <v>122</v>
      </c>
      <c r="C1376" s="8">
        <v>12079</v>
      </c>
      <c r="D1376" s="9" t="s">
        <v>217</v>
      </c>
      <c r="E1376" s="10" t="s">
        <v>218</v>
      </c>
      <c r="F1376" s="10" t="s">
        <v>219</v>
      </c>
      <c r="G1376" s="8">
        <v>5</v>
      </c>
      <c r="H1376" s="11">
        <v>200</v>
      </c>
      <c r="I1376" s="12">
        <v>42545</v>
      </c>
      <c r="J1376" s="13">
        <f t="shared" si="47"/>
        <v>0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5">
        <f t="shared" si="48"/>
        <v>0</v>
      </c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5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5"/>
      <c r="AX1376" s="16"/>
    </row>
    <row r="1377" spans="2:50" x14ac:dyDescent="0.2">
      <c r="B1377" s="7" t="s">
        <v>73</v>
      </c>
      <c r="C1377" s="8">
        <v>12080</v>
      </c>
      <c r="D1377" s="9" t="s">
        <v>458</v>
      </c>
      <c r="E1377" s="10" t="s">
        <v>459</v>
      </c>
      <c r="F1377" s="10" t="s">
        <v>460</v>
      </c>
      <c r="G1377" s="8">
        <v>5</v>
      </c>
      <c r="H1377" s="11">
        <v>100</v>
      </c>
      <c r="I1377" s="12">
        <v>42547</v>
      </c>
      <c r="J1377" s="13">
        <f t="shared" si="47"/>
        <v>0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5">
        <f t="shared" si="48"/>
        <v>0</v>
      </c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5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5"/>
      <c r="AX1377" s="16"/>
    </row>
    <row r="1378" spans="2:50" x14ac:dyDescent="0.2">
      <c r="B1378" s="7" t="s">
        <v>37</v>
      </c>
      <c r="C1378" s="8">
        <v>12081</v>
      </c>
      <c r="D1378" s="9" t="s">
        <v>568</v>
      </c>
      <c r="E1378" s="10" t="s">
        <v>569</v>
      </c>
      <c r="F1378" s="10" t="s">
        <v>570</v>
      </c>
      <c r="G1378" s="8">
        <v>5</v>
      </c>
      <c r="H1378" s="11">
        <v>350</v>
      </c>
      <c r="I1378" s="12">
        <v>42547</v>
      </c>
      <c r="J1378" s="13">
        <f t="shared" si="47"/>
        <v>0</v>
      </c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5">
        <f t="shared" si="48"/>
        <v>0</v>
      </c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5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5"/>
      <c r="AX1378" s="16"/>
    </row>
    <row r="1379" spans="2:50" x14ac:dyDescent="0.2">
      <c r="B1379" s="7" t="s">
        <v>47</v>
      </c>
      <c r="C1379" s="8">
        <v>12082</v>
      </c>
      <c r="D1379" s="9" t="s">
        <v>589</v>
      </c>
      <c r="E1379" s="10" t="s">
        <v>590</v>
      </c>
      <c r="F1379" s="10" t="s">
        <v>591</v>
      </c>
      <c r="G1379" s="8">
        <v>5</v>
      </c>
      <c r="H1379" s="11">
        <v>150</v>
      </c>
      <c r="I1379" s="12">
        <v>42547</v>
      </c>
      <c r="J1379" s="13">
        <f t="shared" si="47"/>
        <v>0</v>
      </c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5">
        <f t="shared" si="48"/>
        <v>0</v>
      </c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5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5"/>
      <c r="AX1379" s="16"/>
    </row>
    <row r="1380" spans="2:50" x14ac:dyDescent="0.2">
      <c r="B1380" s="7" t="s">
        <v>69</v>
      </c>
      <c r="C1380" s="8">
        <v>12083</v>
      </c>
      <c r="D1380" s="9" t="s">
        <v>602</v>
      </c>
      <c r="E1380" s="10" t="s">
        <v>603</v>
      </c>
      <c r="F1380" s="10" t="s">
        <v>604</v>
      </c>
      <c r="G1380" s="8">
        <v>5</v>
      </c>
      <c r="H1380" s="11">
        <v>50</v>
      </c>
      <c r="I1380" s="12">
        <v>42547</v>
      </c>
      <c r="J1380" s="13">
        <f t="shared" si="47"/>
        <v>0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5">
        <f t="shared" si="48"/>
        <v>0</v>
      </c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5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5"/>
      <c r="AX1380" s="16"/>
    </row>
    <row r="1381" spans="2:50" x14ac:dyDescent="0.2">
      <c r="B1381" s="7" t="s">
        <v>47</v>
      </c>
      <c r="C1381" s="8">
        <v>12084</v>
      </c>
      <c r="D1381" s="9" t="s">
        <v>138</v>
      </c>
      <c r="E1381" s="10" t="s">
        <v>139</v>
      </c>
      <c r="F1381" s="10" t="s">
        <v>140</v>
      </c>
      <c r="G1381" s="8">
        <v>5</v>
      </c>
      <c r="H1381" s="11">
        <v>50</v>
      </c>
      <c r="I1381" s="12">
        <v>42547</v>
      </c>
      <c r="J1381" s="13">
        <f t="shared" si="47"/>
        <v>0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5">
        <f t="shared" si="48"/>
        <v>0</v>
      </c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5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5"/>
      <c r="AX1381" s="16"/>
    </row>
    <row r="1382" spans="2:50" x14ac:dyDescent="0.2">
      <c r="B1382" s="7" t="s">
        <v>37</v>
      </c>
      <c r="C1382" s="8">
        <v>12085</v>
      </c>
      <c r="D1382" s="9" t="s">
        <v>247</v>
      </c>
      <c r="E1382" s="10" t="s">
        <v>248</v>
      </c>
      <c r="F1382" s="10" t="s">
        <v>249</v>
      </c>
      <c r="G1382" s="8">
        <v>5</v>
      </c>
      <c r="H1382" s="11">
        <v>50</v>
      </c>
      <c r="I1382" s="12">
        <v>42547</v>
      </c>
      <c r="J1382" s="13">
        <f t="shared" si="47"/>
        <v>0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5">
        <f t="shared" si="48"/>
        <v>0</v>
      </c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5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5"/>
      <c r="AX1382" s="16"/>
    </row>
    <row r="1383" spans="2:50" x14ac:dyDescent="0.2">
      <c r="B1383" s="7" t="s">
        <v>47</v>
      </c>
      <c r="C1383" s="8">
        <v>12086</v>
      </c>
      <c r="D1383" s="9" t="s">
        <v>84</v>
      </c>
      <c r="E1383" s="10" t="s">
        <v>85</v>
      </c>
      <c r="F1383" s="10" t="s">
        <v>86</v>
      </c>
      <c r="G1383" s="8">
        <v>5</v>
      </c>
      <c r="H1383" s="11">
        <v>100</v>
      </c>
      <c r="I1383" s="12">
        <v>42547</v>
      </c>
      <c r="J1383" s="13">
        <f t="shared" si="47"/>
        <v>0</v>
      </c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5">
        <f t="shared" si="48"/>
        <v>0</v>
      </c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5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5"/>
      <c r="AX1383" s="16"/>
    </row>
    <row r="1384" spans="2:50" x14ac:dyDescent="0.2">
      <c r="B1384" s="7" t="s">
        <v>47</v>
      </c>
      <c r="C1384" s="8">
        <v>12087</v>
      </c>
      <c r="D1384" s="9" t="s">
        <v>138</v>
      </c>
      <c r="E1384" s="10" t="s">
        <v>139</v>
      </c>
      <c r="F1384" s="10" t="s">
        <v>140</v>
      </c>
      <c r="G1384" s="8">
        <v>5</v>
      </c>
      <c r="H1384" s="11">
        <v>50</v>
      </c>
      <c r="I1384" s="12">
        <v>42547</v>
      </c>
      <c r="J1384" s="13">
        <f t="shared" si="47"/>
        <v>0</v>
      </c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5">
        <f t="shared" si="48"/>
        <v>0</v>
      </c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5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5"/>
      <c r="AX1384" s="16"/>
    </row>
    <row r="1385" spans="2:50" x14ac:dyDescent="0.2">
      <c r="B1385" s="7" t="s">
        <v>61</v>
      </c>
      <c r="C1385" s="8">
        <v>12088</v>
      </c>
      <c r="D1385" s="9" t="s">
        <v>693</v>
      </c>
      <c r="E1385" s="10" t="s">
        <v>694</v>
      </c>
      <c r="F1385" s="10" t="s">
        <v>695</v>
      </c>
      <c r="G1385" s="8">
        <v>5</v>
      </c>
      <c r="H1385" s="11">
        <v>100</v>
      </c>
      <c r="I1385" s="12">
        <v>42547</v>
      </c>
      <c r="J1385" s="13">
        <f t="shared" si="47"/>
        <v>0</v>
      </c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5">
        <f t="shared" si="48"/>
        <v>0</v>
      </c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5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5"/>
      <c r="AX1385" s="16"/>
    </row>
    <row r="1386" spans="2:50" x14ac:dyDescent="0.2">
      <c r="B1386" s="7" t="s">
        <v>69</v>
      </c>
      <c r="C1386" s="8">
        <v>12089</v>
      </c>
      <c r="D1386" s="9" t="s">
        <v>343</v>
      </c>
      <c r="E1386" s="10" t="s">
        <v>344</v>
      </c>
      <c r="F1386" s="10" t="s">
        <v>345</v>
      </c>
      <c r="G1386" s="8">
        <v>5</v>
      </c>
      <c r="H1386" s="11">
        <v>150</v>
      </c>
      <c r="I1386" s="12">
        <v>42547</v>
      </c>
      <c r="J1386" s="13">
        <f t="shared" si="47"/>
        <v>0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5">
        <f t="shared" si="48"/>
        <v>0</v>
      </c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5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5"/>
      <c r="AX1386" s="16"/>
    </row>
    <row r="1387" spans="2:50" x14ac:dyDescent="0.2">
      <c r="B1387" s="7" t="s">
        <v>69</v>
      </c>
      <c r="C1387" s="8">
        <v>12090</v>
      </c>
      <c r="D1387" s="9" t="s">
        <v>292</v>
      </c>
      <c r="E1387" s="10" t="s">
        <v>293</v>
      </c>
      <c r="F1387" s="10" t="s">
        <v>294</v>
      </c>
      <c r="G1387" s="8">
        <v>5</v>
      </c>
      <c r="H1387" s="11">
        <v>150</v>
      </c>
      <c r="I1387" s="12">
        <v>42547</v>
      </c>
      <c r="J1387" s="13">
        <f t="shared" si="47"/>
        <v>0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5">
        <f t="shared" si="48"/>
        <v>0</v>
      </c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5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5"/>
      <c r="AX1387" s="16"/>
    </row>
    <row r="1388" spans="2:50" x14ac:dyDescent="0.2">
      <c r="B1388" s="7" t="s">
        <v>69</v>
      </c>
      <c r="C1388" s="8">
        <v>12091</v>
      </c>
      <c r="D1388" s="9" t="s">
        <v>828</v>
      </c>
      <c r="E1388" s="10" t="s">
        <v>829</v>
      </c>
      <c r="F1388" s="10" t="s">
        <v>830</v>
      </c>
      <c r="G1388" s="8">
        <v>5</v>
      </c>
      <c r="H1388" s="11">
        <v>100</v>
      </c>
      <c r="I1388" s="12">
        <v>42547</v>
      </c>
      <c r="J1388" s="13">
        <f t="shared" si="47"/>
        <v>0</v>
      </c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5">
        <f t="shared" si="48"/>
        <v>0</v>
      </c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5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5"/>
      <c r="AX1388" s="16"/>
    </row>
    <row r="1389" spans="2:50" x14ac:dyDescent="0.2">
      <c r="B1389" s="7" t="s">
        <v>77</v>
      </c>
      <c r="C1389" s="8">
        <v>12092</v>
      </c>
      <c r="D1389" s="9" t="s">
        <v>470</v>
      </c>
      <c r="E1389" s="10" t="s">
        <v>471</v>
      </c>
      <c r="F1389" s="10" t="s">
        <v>472</v>
      </c>
      <c r="G1389" s="8">
        <v>5</v>
      </c>
      <c r="H1389" s="11">
        <v>100</v>
      </c>
      <c r="I1389" s="12">
        <v>42547</v>
      </c>
      <c r="J1389" s="13">
        <f t="shared" si="47"/>
        <v>0</v>
      </c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5">
        <f t="shared" si="48"/>
        <v>0</v>
      </c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5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5"/>
      <c r="AX1389" s="16"/>
    </row>
    <row r="1390" spans="2:50" x14ac:dyDescent="0.2">
      <c r="B1390" s="7" t="s">
        <v>47</v>
      </c>
      <c r="C1390" s="8">
        <v>12093</v>
      </c>
      <c r="D1390" s="9" t="s">
        <v>449</v>
      </c>
      <c r="E1390" s="10" t="s">
        <v>450</v>
      </c>
      <c r="F1390" s="10" t="s">
        <v>451</v>
      </c>
      <c r="G1390" s="8">
        <v>5</v>
      </c>
      <c r="H1390" s="11">
        <v>150</v>
      </c>
      <c r="I1390" s="12">
        <v>42547</v>
      </c>
      <c r="J1390" s="13">
        <f t="shared" si="47"/>
        <v>0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5">
        <f t="shared" si="48"/>
        <v>0</v>
      </c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5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5"/>
      <c r="AX1390" s="16"/>
    </row>
    <row r="1391" spans="2:50" x14ac:dyDescent="0.2">
      <c r="B1391" s="7" t="s">
        <v>73</v>
      </c>
      <c r="C1391" s="8">
        <v>12094</v>
      </c>
      <c r="D1391" s="9" t="s">
        <v>1023</v>
      </c>
      <c r="E1391" s="10" t="s">
        <v>1024</v>
      </c>
      <c r="F1391" s="10" t="s">
        <v>1025</v>
      </c>
      <c r="G1391" s="8">
        <v>5</v>
      </c>
      <c r="H1391" s="11">
        <v>150</v>
      </c>
      <c r="I1391" s="12">
        <v>42547</v>
      </c>
      <c r="J1391" s="13">
        <f t="shared" si="47"/>
        <v>0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5">
        <f t="shared" si="48"/>
        <v>0</v>
      </c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5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5"/>
      <c r="AX1391" s="16"/>
    </row>
    <row r="1392" spans="2:50" x14ac:dyDescent="0.2">
      <c r="B1392" s="7" t="s">
        <v>47</v>
      </c>
      <c r="C1392" s="8">
        <v>12095</v>
      </c>
      <c r="D1392" s="9" t="s">
        <v>106</v>
      </c>
      <c r="E1392" s="10" t="s">
        <v>107</v>
      </c>
      <c r="F1392" s="10" t="s">
        <v>108</v>
      </c>
      <c r="G1392" s="8">
        <v>5</v>
      </c>
      <c r="H1392" s="11">
        <v>100</v>
      </c>
      <c r="I1392" s="12">
        <v>42547</v>
      </c>
      <c r="J1392" s="13">
        <f t="shared" si="47"/>
        <v>0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5">
        <f t="shared" si="48"/>
        <v>0</v>
      </c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5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5"/>
      <c r="AX1392" s="16"/>
    </row>
    <row r="1393" spans="2:50" x14ac:dyDescent="0.2">
      <c r="B1393" s="7" t="s">
        <v>47</v>
      </c>
      <c r="C1393" s="8">
        <v>12096</v>
      </c>
      <c r="D1393" s="9" t="s">
        <v>238</v>
      </c>
      <c r="E1393" s="10" t="s">
        <v>239</v>
      </c>
      <c r="F1393" s="10" t="s">
        <v>240</v>
      </c>
      <c r="G1393" s="8">
        <v>5</v>
      </c>
      <c r="H1393" s="11">
        <v>50</v>
      </c>
      <c r="I1393" s="12">
        <v>42547</v>
      </c>
      <c r="J1393" s="13">
        <f t="shared" si="47"/>
        <v>0</v>
      </c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5">
        <f t="shared" si="48"/>
        <v>0</v>
      </c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5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5"/>
      <c r="AX1393" s="16"/>
    </row>
    <row r="1394" spans="2:50" x14ac:dyDescent="0.2">
      <c r="B1394" s="7" t="s">
        <v>69</v>
      </c>
      <c r="C1394" s="8">
        <v>12097</v>
      </c>
      <c r="D1394" s="9" t="s">
        <v>304</v>
      </c>
      <c r="E1394" s="10" t="s">
        <v>305</v>
      </c>
      <c r="F1394" s="10" t="s">
        <v>306</v>
      </c>
      <c r="G1394" s="8">
        <v>5</v>
      </c>
      <c r="H1394" s="11">
        <v>100</v>
      </c>
      <c r="I1394" s="12">
        <v>42547</v>
      </c>
      <c r="J1394" s="13">
        <f t="shared" si="47"/>
        <v>0</v>
      </c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5">
        <f t="shared" si="48"/>
        <v>0</v>
      </c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5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5"/>
      <c r="AX1394" s="16"/>
    </row>
    <row r="1395" spans="2:50" x14ac:dyDescent="0.2">
      <c r="B1395" s="7" t="s">
        <v>69</v>
      </c>
      <c r="C1395" s="8">
        <v>12098</v>
      </c>
      <c r="D1395" s="9" t="s">
        <v>301</v>
      </c>
      <c r="E1395" s="10" t="s">
        <v>302</v>
      </c>
      <c r="F1395" s="10" t="s">
        <v>303</v>
      </c>
      <c r="G1395" s="8">
        <v>5</v>
      </c>
      <c r="H1395" s="11">
        <v>100</v>
      </c>
      <c r="I1395" s="12">
        <v>42547</v>
      </c>
      <c r="J1395" s="13">
        <f t="shared" si="47"/>
        <v>0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5">
        <f t="shared" si="48"/>
        <v>0</v>
      </c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5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5"/>
      <c r="AX1395" s="16"/>
    </row>
    <row r="1396" spans="2:50" x14ac:dyDescent="0.2">
      <c r="B1396" s="7" t="s">
        <v>122</v>
      </c>
      <c r="C1396" s="8">
        <v>12099</v>
      </c>
      <c r="D1396" s="9" t="s">
        <v>637</v>
      </c>
      <c r="E1396" s="10" t="s">
        <v>638</v>
      </c>
      <c r="F1396" s="10" t="s">
        <v>639</v>
      </c>
      <c r="G1396" s="8">
        <v>5</v>
      </c>
      <c r="H1396" s="11">
        <v>300</v>
      </c>
      <c r="I1396" s="12">
        <v>42547</v>
      </c>
      <c r="J1396" s="13">
        <f t="shared" si="47"/>
        <v>0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5">
        <f t="shared" si="48"/>
        <v>0</v>
      </c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5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5"/>
      <c r="AX1396" s="16"/>
    </row>
    <row r="1397" spans="2:50" x14ac:dyDescent="0.2">
      <c r="B1397" s="7" t="s">
        <v>122</v>
      </c>
      <c r="C1397" s="8">
        <v>12100</v>
      </c>
      <c r="D1397" s="9" t="s">
        <v>123</v>
      </c>
      <c r="E1397" s="10" t="s">
        <v>124</v>
      </c>
      <c r="F1397" s="10" t="s">
        <v>125</v>
      </c>
      <c r="G1397" s="8">
        <v>5</v>
      </c>
      <c r="H1397" s="11">
        <v>150</v>
      </c>
      <c r="I1397" s="12">
        <v>42547</v>
      </c>
      <c r="J1397" s="13">
        <f t="shared" si="47"/>
        <v>0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5">
        <f t="shared" si="48"/>
        <v>0</v>
      </c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5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5"/>
      <c r="AX1397" s="16"/>
    </row>
    <row r="1398" spans="2:50" x14ac:dyDescent="0.2">
      <c r="B1398" s="7" t="s">
        <v>73</v>
      </c>
      <c r="C1398" s="8">
        <v>12101</v>
      </c>
      <c r="D1398" s="9" t="s">
        <v>458</v>
      </c>
      <c r="E1398" s="10" t="s">
        <v>459</v>
      </c>
      <c r="F1398" s="10" t="s">
        <v>460</v>
      </c>
      <c r="G1398" s="8">
        <v>5</v>
      </c>
      <c r="H1398" s="11">
        <v>250</v>
      </c>
      <c r="I1398" s="12">
        <v>42547</v>
      </c>
      <c r="J1398" s="13">
        <f t="shared" si="47"/>
        <v>0</v>
      </c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5">
        <f t="shared" si="48"/>
        <v>0</v>
      </c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5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5"/>
      <c r="AX1398" s="16"/>
    </row>
    <row r="1399" spans="2:50" x14ac:dyDescent="0.2">
      <c r="B1399" s="7" t="s">
        <v>77</v>
      </c>
      <c r="C1399" s="8">
        <v>12102</v>
      </c>
      <c r="D1399" s="9" t="s">
        <v>455</v>
      </c>
      <c r="E1399" s="10" t="s">
        <v>456</v>
      </c>
      <c r="F1399" s="10" t="s">
        <v>457</v>
      </c>
      <c r="G1399" s="8">
        <v>5</v>
      </c>
      <c r="H1399" s="11">
        <v>450</v>
      </c>
      <c r="I1399" s="12">
        <v>42547</v>
      </c>
      <c r="J1399" s="13">
        <f t="shared" si="47"/>
        <v>0</v>
      </c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5">
        <f t="shared" si="48"/>
        <v>0</v>
      </c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5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5"/>
      <c r="AX1399" s="16"/>
    </row>
    <row r="1400" spans="2:50" x14ac:dyDescent="0.2">
      <c r="B1400" s="7" t="s">
        <v>47</v>
      </c>
      <c r="C1400" s="8">
        <v>12103</v>
      </c>
      <c r="D1400" s="9" t="s">
        <v>746</v>
      </c>
      <c r="E1400" s="10" t="s">
        <v>747</v>
      </c>
      <c r="F1400" s="10" t="s">
        <v>748</v>
      </c>
      <c r="G1400" s="8">
        <v>5</v>
      </c>
      <c r="H1400" s="11">
        <v>150</v>
      </c>
      <c r="I1400" s="12">
        <v>42547</v>
      </c>
      <c r="J1400" s="13">
        <f t="shared" si="47"/>
        <v>0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5">
        <f t="shared" si="48"/>
        <v>0</v>
      </c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5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5"/>
      <c r="AX1400" s="16"/>
    </row>
    <row r="1401" spans="2:50" x14ac:dyDescent="0.2">
      <c r="B1401" s="7" t="s">
        <v>77</v>
      </c>
      <c r="C1401" s="8">
        <v>12104</v>
      </c>
      <c r="D1401" s="9" t="s">
        <v>547</v>
      </c>
      <c r="E1401" s="10" t="s">
        <v>548</v>
      </c>
      <c r="F1401" s="10" t="s">
        <v>549</v>
      </c>
      <c r="G1401" s="8">
        <v>5</v>
      </c>
      <c r="H1401" s="11">
        <v>100</v>
      </c>
      <c r="I1401" s="12">
        <v>42547</v>
      </c>
      <c r="J1401" s="13">
        <f t="shared" si="47"/>
        <v>0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5">
        <f t="shared" si="48"/>
        <v>0</v>
      </c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5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5"/>
      <c r="AX1401" s="16"/>
    </row>
    <row r="1402" spans="2:50" x14ac:dyDescent="0.2">
      <c r="B1402" s="7" t="s">
        <v>47</v>
      </c>
      <c r="C1402" s="8">
        <v>12105</v>
      </c>
      <c r="D1402" s="9" t="s">
        <v>367</v>
      </c>
      <c r="E1402" s="10" t="s">
        <v>368</v>
      </c>
      <c r="F1402" s="10" t="s">
        <v>369</v>
      </c>
      <c r="G1402" s="8">
        <v>5</v>
      </c>
      <c r="H1402" s="11">
        <v>200</v>
      </c>
      <c r="I1402" s="12">
        <v>42547</v>
      </c>
      <c r="J1402" s="13">
        <f t="shared" si="47"/>
        <v>0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5">
        <f t="shared" si="48"/>
        <v>0</v>
      </c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5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5"/>
      <c r="AX1402" s="16"/>
    </row>
    <row r="1403" spans="2:50" x14ac:dyDescent="0.2">
      <c r="B1403" s="7" t="s">
        <v>47</v>
      </c>
      <c r="C1403" s="8">
        <v>12106</v>
      </c>
      <c r="D1403" s="9" t="s">
        <v>97</v>
      </c>
      <c r="E1403" s="10" t="s">
        <v>98</v>
      </c>
      <c r="F1403" s="10" t="s">
        <v>99</v>
      </c>
      <c r="G1403" s="8">
        <v>5</v>
      </c>
      <c r="H1403" s="11">
        <v>150</v>
      </c>
      <c r="I1403" s="12">
        <v>42547</v>
      </c>
      <c r="J1403" s="13">
        <f t="shared" si="47"/>
        <v>0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5">
        <f t="shared" si="48"/>
        <v>0</v>
      </c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5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5"/>
      <c r="AX1403" s="16"/>
    </row>
    <row r="1404" spans="2:50" x14ac:dyDescent="0.2">
      <c r="B1404" s="7" t="s">
        <v>73</v>
      </c>
      <c r="C1404" s="8">
        <v>12107</v>
      </c>
      <c r="D1404" s="9" t="s">
        <v>398</v>
      </c>
      <c r="E1404" s="10" t="s">
        <v>399</v>
      </c>
      <c r="F1404" s="10" t="s">
        <v>400</v>
      </c>
      <c r="G1404" s="8">
        <v>5</v>
      </c>
      <c r="H1404" s="11">
        <v>250</v>
      </c>
      <c r="I1404" s="12">
        <v>42547</v>
      </c>
      <c r="J1404" s="13">
        <f t="shared" ref="J1404:J1422" si="49">IF(G1404=1,SUM(W1404,-H1404),0)</f>
        <v>0</v>
      </c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5">
        <f t="shared" ref="W1404:W1422" si="50">SUM(K1404:V1404)</f>
        <v>0</v>
      </c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5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5"/>
      <c r="AX1404" s="16"/>
    </row>
    <row r="1405" spans="2:50" x14ac:dyDescent="0.2">
      <c r="B1405" s="7" t="s">
        <v>77</v>
      </c>
      <c r="C1405" s="8">
        <v>12108</v>
      </c>
      <c r="D1405" s="9" t="s">
        <v>419</v>
      </c>
      <c r="E1405" s="10" t="s">
        <v>420</v>
      </c>
      <c r="F1405" s="10" t="s">
        <v>421</v>
      </c>
      <c r="G1405" s="8">
        <v>5</v>
      </c>
      <c r="H1405" s="11">
        <v>100</v>
      </c>
      <c r="I1405" s="12">
        <v>42547</v>
      </c>
      <c r="J1405" s="13">
        <f t="shared" si="49"/>
        <v>0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5">
        <f t="shared" si="50"/>
        <v>0</v>
      </c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5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5"/>
      <c r="AX1405" s="16"/>
    </row>
    <row r="1406" spans="2:50" x14ac:dyDescent="0.2">
      <c r="B1406" s="7" t="s">
        <v>73</v>
      </c>
      <c r="C1406" s="8">
        <v>12109</v>
      </c>
      <c r="D1406" s="9" t="s">
        <v>719</v>
      </c>
      <c r="E1406" s="10" t="s">
        <v>720</v>
      </c>
      <c r="F1406" s="10" t="s">
        <v>867</v>
      </c>
      <c r="G1406" s="8">
        <v>5</v>
      </c>
      <c r="H1406" s="11">
        <v>100</v>
      </c>
      <c r="I1406" s="12">
        <v>42547</v>
      </c>
      <c r="J1406" s="13">
        <f t="shared" si="49"/>
        <v>0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5">
        <f t="shared" si="50"/>
        <v>0</v>
      </c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5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5"/>
      <c r="AX1406" s="16"/>
    </row>
    <row r="1407" spans="2:50" x14ac:dyDescent="0.2">
      <c r="B1407" s="7" t="s">
        <v>47</v>
      </c>
      <c r="C1407" s="8">
        <v>12110</v>
      </c>
      <c r="D1407" s="9" t="s">
        <v>968</v>
      </c>
      <c r="E1407" s="10" t="s">
        <v>969</v>
      </c>
      <c r="F1407" s="10" t="s">
        <v>970</v>
      </c>
      <c r="G1407" s="8">
        <v>5</v>
      </c>
      <c r="H1407" s="11">
        <v>150</v>
      </c>
      <c r="I1407" s="12">
        <v>42547</v>
      </c>
      <c r="J1407" s="13">
        <f t="shared" si="49"/>
        <v>0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5">
        <f t="shared" si="50"/>
        <v>0</v>
      </c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5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5"/>
      <c r="AX1407" s="16"/>
    </row>
    <row r="1408" spans="2:50" x14ac:dyDescent="0.2">
      <c r="B1408" s="7" t="s">
        <v>37</v>
      </c>
      <c r="C1408" s="8">
        <v>12111</v>
      </c>
      <c r="D1408" s="9" t="s">
        <v>749</v>
      </c>
      <c r="E1408" s="10" t="s">
        <v>750</v>
      </c>
      <c r="F1408" s="10" t="s">
        <v>751</v>
      </c>
      <c r="G1408" s="8">
        <v>5</v>
      </c>
      <c r="H1408" s="11">
        <v>150</v>
      </c>
      <c r="I1408" s="12">
        <v>42547</v>
      </c>
      <c r="J1408" s="13">
        <f t="shared" si="49"/>
        <v>0</v>
      </c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5">
        <f t="shared" si="50"/>
        <v>0</v>
      </c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5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5"/>
      <c r="AX1408" s="16"/>
    </row>
    <row r="1409" spans="1:50" x14ac:dyDescent="0.2">
      <c r="B1409" s="7" t="s">
        <v>37</v>
      </c>
      <c r="C1409" s="8">
        <v>12112</v>
      </c>
      <c r="D1409" s="9" t="s">
        <v>646</v>
      </c>
      <c r="E1409" s="10" t="s">
        <v>647</v>
      </c>
      <c r="F1409" s="10" t="s">
        <v>648</v>
      </c>
      <c r="G1409" s="8">
        <v>5</v>
      </c>
      <c r="H1409" s="11">
        <v>200</v>
      </c>
      <c r="I1409" s="12">
        <v>42547</v>
      </c>
      <c r="J1409" s="13">
        <f t="shared" si="49"/>
        <v>0</v>
      </c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5">
        <f t="shared" si="50"/>
        <v>0</v>
      </c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5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5"/>
      <c r="AX1409" s="16"/>
    </row>
    <row r="1410" spans="1:50" x14ac:dyDescent="0.2">
      <c r="B1410" s="7" t="s">
        <v>69</v>
      </c>
      <c r="C1410" s="8">
        <v>12113</v>
      </c>
      <c r="D1410" s="9" t="s">
        <v>452</v>
      </c>
      <c r="E1410" s="10" t="s">
        <v>453</v>
      </c>
      <c r="F1410" s="10" t="s">
        <v>454</v>
      </c>
      <c r="G1410" s="8">
        <v>5</v>
      </c>
      <c r="H1410" s="11">
        <v>250</v>
      </c>
      <c r="I1410" s="12">
        <v>42547</v>
      </c>
      <c r="J1410" s="13">
        <f t="shared" si="49"/>
        <v>0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5">
        <f t="shared" si="50"/>
        <v>0</v>
      </c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5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5"/>
      <c r="AX1410" s="16"/>
    </row>
    <row r="1411" spans="1:50" x14ac:dyDescent="0.2">
      <c r="B1411" s="7" t="s">
        <v>47</v>
      </c>
      <c r="C1411" s="8">
        <v>12114</v>
      </c>
      <c r="D1411" s="9" t="s">
        <v>734</v>
      </c>
      <c r="E1411" s="10" t="s">
        <v>735</v>
      </c>
      <c r="F1411" s="10" t="s">
        <v>736</v>
      </c>
      <c r="G1411" s="8">
        <v>5</v>
      </c>
      <c r="H1411" s="11">
        <v>100</v>
      </c>
      <c r="I1411" s="12">
        <v>42547</v>
      </c>
      <c r="J1411" s="13">
        <f t="shared" si="49"/>
        <v>0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5">
        <f t="shared" si="50"/>
        <v>0</v>
      </c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5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5"/>
      <c r="AX1411" s="16"/>
    </row>
    <row r="1412" spans="1:50" x14ac:dyDescent="0.2">
      <c r="B1412" s="7" t="s">
        <v>69</v>
      </c>
      <c r="C1412" s="8">
        <v>12115</v>
      </c>
      <c r="D1412" s="9" t="s">
        <v>452</v>
      </c>
      <c r="E1412" s="10" t="s">
        <v>453</v>
      </c>
      <c r="F1412" s="10" t="s">
        <v>454</v>
      </c>
      <c r="G1412" s="8">
        <v>5</v>
      </c>
      <c r="H1412" s="11">
        <v>50</v>
      </c>
      <c r="I1412" s="12">
        <v>42547</v>
      </c>
      <c r="J1412" s="13">
        <f t="shared" si="49"/>
        <v>0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5">
        <f t="shared" si="50"/>
        <v>0</v>
      </c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5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5"/>
      <c r="AX1412" s="16"/>
    </row>
    <row r="1413" spans="1:50" x14ac:dyDescent="0.2">
      <c r="B1413" s="7" t="s">
        <v>69</v>
      </c>
      <c r="C1413" s="8">
        <v>12116</v>
      </c>
      <c r="D1413" s="9" t="s">
        <v>535</v>
      </c>
      <c r="E1413" s="10" t="s">
        <v>536</v>
      </c>
      <c r="F1413" s="10" t="s">
        <v>537</v>
      </c>
      <c r="G1413" s="8">
        <v>5</v>
      </c>
      <c r="H1413" s="11">
        <v>50</v>
      </c>
      <c r="I1413" s="12">
        <v>42547</v>
      </c>
      <c r="J1413" s="13">
        <f t="shared" si="49"/>
        <v>0</v>
      </c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5">
        <f t="shared" si="50"/>
        <v>0</v>
      </c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5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5"/>
      <c r="AX1413" s="16"/>
    </row>
    <row r="1414" spans="1:50" x14ac:dyDescent="0.2">
      <c r="B1414" s="7" t="s">
        <v>47</v>
      </c>
      <c r="C1414" s="8">
        <v>12117</v>
      </c>
      <c r="D1414" s="9" t="s">
        <v>144</v>
      </c>
      <c r="E1414" s="10" t="s">
        <v>145</v>
      </c>
      <c r="F1414" s="10" t="s">
        <v>146</v>
      </c>
      <c r="G1414" s="8">
        <v>5</v>
      </c>
      <c r="H1414" s="11">
        <v>50</v>
      </c>
      <c r="I1414" s="12">
        <v>42547</v>
      </c>
      <c r="J1414" s="13">
        <f t="shared" si="49"/>
        <v>0</v>
      </c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5">
        <f t="shared" si="50"/>
        <v>0</v>
      </c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5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5"/>
      <c r="AX1414" s="16"/>
    </row>
    <row r="1415" spans="1:50" x14ac:dyDescent="0.2">
      <c r="B1415" s="7" t="s">
        <v>122</v>
      </c>
      <c r="C1415" s="8">
        <v>12118</v>
      </c>
      <c r="D1415" s="9" t="s">
        <v>788</v>
      </c>
      <c r="E1415" s="10" t="s">
        <v>789</v>
      </c>
      <c r="F1415" s="10" t="s">
        <v>790</v>
      </c>
      <c r="G1415" s="8">
        <v>5</v>
      </c>
      <c r="H1415" s="11">
        <v>100</v>
      </c>
      <c r="I1415" s="12">
        <v>42547</v>
      </c>
      <c r="J1415" s="13">
        <f t="shared" si="49"/>
        <v>0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5">
        <f t="shared" si="50"/>
        <v>0</v>
      </c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5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5"/>
      <c r="AX1415" s="16"/>
    </row>
    <row r="1416" spans="1:50" x14ac:dyDescent="0.2">
      <c r="B1416" s="7" t="s">
        <v>73</v>
      </c>
      <c r="C1416" s="8">
        <v>12119</v>
      </c>
      <c r="D1416" s="9" t="s">
        <v>731</v>
      </c>
      <c r="E1416" s="10" t="s">
        <v>732</v>
      </c>
      <c r="F1416" s="10" t="s">
        <v>733</v>
      </c>
      <c r="G1416" s="8">
        <v>5</v>
      </c>
      <c r="H1416" s="11">
        <v>150</v>
      </c>
      <c r="I1416" s="12">
        <v>42547</v>
      </c>
      <c r="J1416" s="13">
        <f t="shared" si="49"/>
        <v>0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5">
        <f t="shared" si="50"/>
        <v>0</v>
      </c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5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5"/>
      <c r="AX1416" s="16"/>
    </row>
    <row r="1417" spans="1:50" x14ac:dyDescent="0.2">
      <c r="B1417" s="7" t="s">
        <v>47</v>
      </c>
      <c r="C1417" s="8">
        <v>12120</v>
      </c>
      <c r="D1417" s="9" t="s">
        <v>250</v>
      </c>
      <c r="E1417" s="10" t="s">
        <v>251</v>
      </c>
      <c r="F1417" s="10" t="s">
        <v>252</v>
      </c>
      <c r="G1417" s="8">
        <v>1</v>
      </c>
      <c r="H1417" s="11">
        <v>800</v>
      </c>
      <c r="I1417" s="12">
        <v>42547</v>
      </c>
      <c r="J1417" s="13">
        <f t="shared" si="49"/>
        <v>0</v>
      </c>
      <c r="K1417" s="14"/>
      <c r="L1417" s="14"/>
      <c r="M1417" s="14"/>
      <c r="N1417" s="14">
        <v>400</v>
      </c>
      <c r="O1417" s="14">
        <v>400</v>
      </c>
      <c r="P1417" s="14"/>
      <c r="Q1417" s="14"/>
      <c r="R1417" s="14"/>
      <c r="S1417" s="14"/>
      <c r="T1417" s="14"/>
      <c r="U1417" s="14"/>
      <c r="V1417" s="14"/>
      <c r="W1417" s="15">
        <f t="shared" si="50"/>
        <v>800</v>
      </c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5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5"/>
      <c r="AX1417" s="16"/>
    </row>
    <row r="1418" spans="1:50" x14ac:dyDescent="0.2">
      <c r="B1418" s="7" t="s">
        <v>37</v>
      </c>
      <c r="C1418" s="8">
        <v>12121</v>
      </c>
      <c r="D1418" s="9" t="s">
        <v>1036</v>
      </c>
      <c r="E1418" s="10" t="s">
        <v>1037</v>
      </c>
      <c r="F1418" s="10" t="s">
        <v>1038</v>
      </c>
      <c r="G1418" s="8">
        <v>1</v>
      </c>
      <c r="H1418" s="11">
        <v>2400</v>
      </c>
      <c r="I1418" s="12">
        <v>42547</v>
      </c>
      <c r="J1418" s="13">
        <f t="shared" si="49"/>
        <v>0</v>
      </c>
      <c r="K1418" s="14"/>
      <c r="L1418" s="14"/>
      <c r="M1418" s="14"/>
      <c r="N1418" s="14"/>
      <c r="O1418" s="14"/>
      <c r="P1418" s="14"/>
      <c r="Q1418" s="14">
        <v>400</v>
      </c>
      <c r="R1418" s="14">
        <v>400</v>
      </c>
      <c r="S1418" s="14">
        <v>400</v>
      </c>
      <c r="T1418" s="14">
        <v>400</v>
      </c>
      <c r="U1418" s="14">
        <v>400</v>
      </c>
      <c r="V1418" s="14">
        <v>400</v>
      </c>
      <c r="W1418" s="15">
        <f t="shared" si="50"/>
        <v>2400</v>
      </c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5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5"/>
      <c r="AX1418" s="16"/>
    </row>
    <row r="1419" spans="1:50" x14ac:dyDescent="0.2">
      <c r="B1419" s="7" t="s">
        <v>69</v>
      </c>
      <c r="C1419" s="8">
        <v>12124</v>
      </c>
      <c r="D1419" s="9" t="s">
        <v>211</v>
      </c>
      <c r="E1419" s="10" t="s">
        <v>212</v>
      </c>
      <c r="F1419" s="10" t="s">
        <v>213</v>
      </c>
      <c r="G1419" s="8">
        <v>1</v>
      </c>
      <c r="H1419" s="11">
        <v>300</v>
      </c>
      <c r="I1419" s="12">
        <v>42528</v>
      </c>
      <c r="J1419" s="13">
        <f t="shared" si="49"/>
        <v>0</v>
      </c>
      <c r="K1419" s="14"/>
      <c r="L1419" s="14"/>
      <c r="M1419" s="14"/>
      <c r="N1419" s="14"/>
      <c r="O1419" s="14"/>
      <c r="P1419" s="14">
        <v>300</v>
      </c>
      <c r="Q1419" s="14"/>
      <c r="R1419" s="14"/>
      <c r="S1419" s="14"/>
      <c r="T1419" s="14"/>
      <c r="U1419" s="14"/>
      <c r="V1419" s="14"/>
      <c r="W1419" s="15">
        <f t="shared" si="50"/>
        <v>300</v>
      </c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5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5"/>
      <c r="AX1419" s="16"/>
    </row>
    <row r="1420" spans="1:50" x14ac:dyDescent="0.2">
      <c r="B1420" s="7" t="s">
        <v>73</v>
      </c>
      <c r="C1420" s="8"/>
      <c r="D1420" s="9" t="s">
        <v>806</v>
      </c>
      <c r="E1420" s="10" t="s">
        <v>885</v>
      </c>
      <c r="F1420" s="10" t="s">
        <v>805</v>
      </c>
      <c r="G1420" s="8">
        <v>1</v>
      </c>
      <c r="H1420" s="11">
        <v>11000</v>
      </c>
      <c r="I1420" s="12">
        <v>42549</v>
      </c>
      <c r="J1420" s="13">
        <f t="shared" si="49"/>
        <v>0</v>
      </c>
      <c r="K1420" s="14"/>
      <c r="L1420" s="14"/>
      <c r="M1420" s="14"/>
      <c r="N1420" s="14"/>
      <c r="O1420" s="14"/>
      <c r="P1420" s="14">
        <v>11000</v>
      </c>
      <c r="Q1420" s="14"/>
      <c r="R1420" s="14"/>
      <c r="S1420" s="14"/>
      <c r="T1420" s="14"/>
      <c r="U1420" s="14"/>
      <c r="V1420" s="14"/>
      <c r="W1420" s="15">
        <f t="shared" si="50"/>
        <v>11000</v>
      </c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5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5"/>
      <c r="AX1420" s="16"/>
    </row>
    <row r="1421" spans="1:50" x14ac:dyDescent="0.2">
      <c r="B1421" s="7" t="s">
        <v>93</v>
      </c>
      <c r="C1421" s="8"/>
      <c r="D1421" s="9"/>
      <c r="E1421" s="10" t="s">
        <v>93</v>
      </c>
      <c r="F1421" s="10" t="s">
        <v>93</v>
      </c>
      <c r="G1421" s="8"/>
      <c r="H1421" s="11"/>
      <c r="I1421" s="12"/>
      <c r="J1421" s="13">
        <f t="shared" si="49"/>
        <v>0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5">
        <f t="shared" si="50"/>
        <v>0</v>
      </c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5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5"/>
      <c r="AX1421" s="16"/>
    </row>
    <row r="1422" spans="1:50" x14ac:dyDescent="0.2">
      <c r="B1422" s="7" t="s">
        <v>93</v>
      </c>
      <c r="C1422" s="8"/>
      <c r="D1422" s="9"/>
      <c r="E1422" s="10" t="s">
        <v>93</v>
      </c>
      <c r="F1422" s="10" t="s">
        <v>93</v>
      </c>
      <c r="G1422" s="8"/>
      <c r="H1422" s="11"/>
      <c r="I1422" s="12"/>
      <c r="J1422" s="13">
        <f t="shared" si="49"/>
        <v>0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5">
        <f t="shared" si="50"/>
        <v>0</v>
      </c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5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5"/>
      <c r="AX1422" s="16"/>
    </row>
    <row r="1423" spans="1:50" x14ac:dyDescent="0.2">
      <c r="B1423" s="48"/>
      <c r="C1423" s="48"/>
      <c r="D1423" s="48"/>
      <c r="E1423" s="48"/>
      <c r="F1423" s="48"/>
      <c r="G1423" s="19">
        <v>1</v>
      </c>
      <c r="H1423" s="21">
        <v>2550</v>
      </c>
      <c r="I1423" s="26"/>
      <c r="J1423" s="27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9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9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9"/>
      <c r="AX1423" s="25"/>
    </row>
    <row r="1424" spans="1:50" ht="22.5" x14ac:dyDescent="0.2">
      <c r="A1424" s="2" t="s">
        <v>0</v>
      </c>
      <c r="B1424" s="3" t="s">
        <v>1</v>
      </c>
      <c r="C1424" s="3" t="s">
        <v>2</v>
      </c>
      <c r="D1424" s="3" t="s">
        <v>3</v>
      </c>
      <c r="E1424" s="3" t="s">
        <v>4</v>
      </c>
      <c r="F1424" s="3" t="s">
        <v>5</v>
      </c>
      <c r="G1424" s="3" t="s">
        <v>6</v>
      </c>
      <c r="H1424" s="3" t="s">
        <v>7</v>
      </c>
      <c r="I1424" s="3" t="s">
        <v>8</v>
      </c>
      <c r="J1424" s="3" t="s">
        <v>9</v>
      </c>
      <c r="K1424" s="4" t="s">
        <v>10</v>
      </c>
      <c r="L1424" s="4" t="s">
        <v>11</v>
      </c>
      <c r="M1424" s="4" t="s">
        <v>12</v>
      </c>
      <c r="N1424" s="4" t="s">
        <v>13</v>
      </c>
      <c r="O1424" s="4" t="s">
        <v>14</v>
      </c>
      <c r="P1424" s="4" t="s">
        <v>15</v>
      </c>
      <c r="Q1424" s="4" t="s">
        <v>16</v>
      </c>
      <c r="R1424" s="4" t="s">
        <v>17</v>
      </c>
      <c r="S1424" s="4" t="s">
        <v>18</v>
      </c>
      <c r="T1424" s="4" t="s">
        <v>19</v>
      </c>
      <c r="U1424" s="4" t="s">
        <v>20</v>
      </c>
      <c r="V1424" s="4" t="s">
        <v>21</v>
      </c>
      <c r="W1424" s="5" t="s">
        <v>22</v>
      </c>
      <c r="X1424" s="4" t="s">
        <v>23</v>
      </c>
      <c r="Y1424" s="4" t="s">
        <v>24</v>
      </c>
      <c r="Z1424" s="4" t="s">
        <v>25</v>
      </c>
      <c r="AA1424" s="4" t="s">
        <v>26</v>
      </c>
      <c r="AB1424" s="4" t="s">
        <v>27</v>
      </c>
      <c r="AC1424" s="4" t="s">
        <v>28</v>
      </c>
      <c r="AD1424" s="4" t="s">
        <v>29</v>
      </c>
      <c r="AE1424" s="4" t="s">
        <v>30</v>
      </c>
      <c r="AF1424" s="4" t="s">
        <v>31</v>
      </c>
      <c r="AG1424" s="4" t="s">
        <v>32</v>
      </c>
      <c r="AH1424" s="4" t="s">
        <v>33</v>
      </c>
      <c r="AI1424" s="4" t="s">
        <v>34</v>
      </c>
      <c r="AJ1424" s="5" t="s">
        <v>35</v>
      </c>
      <c r="AK1424" s="4" t="s">
        <v>4607</v>
      </c>
      <c r="AL1424" s="4" t="s">
        <v>4608</v>
      </c>
      <c r="AM1424" s="4" t="s">
        <v>4609</v>
      </c>
      <c r="AN1424" s="4" t="s">
        <v>4610</v>
      </c>
      <c r="AO1424" s="4" t="s">
        <v>4611</v>
      </c>
      <c r="AP1424" s="4" t="s">
        <v>4612</v>
      </c>
      <c r="AQ1424" s="4" t="s">
        <v>4613</v>
      </c>
      <c r="AR1424" s="4" t="s">
        <v>4614</v>
      </c>
      <c r="AS1424" s="4" t="s">
        <v>4615</v>
      </c>
      <c r="AT1424" s="4" t="s">
        <v>4616</v>
      </c>
      <c r="AU1424" s="4" t="s">
        <v>4617</v>
      </c>
      <c r="AV1424" s="4" t="s">
        <v>4618</v>
      </c>
      <c r="AW1424" s="338" t="s">
        <v>4619</v>
      </c>
      <c r="AX1424" s="6" t="s">
        <v>36</v>
      </c>
    </row>
    <row r="1425" spans="2:50" x14ac:dyDescent="0.2">
      <c r="B1425" s="7" t="s">
        <v>47</v>
      </c>
      <c r="C1425" s="8">
        <v>12122</v>
      </c>
      <c r="D1425" s="9" t="s">
        <v>852</v>
      </c>
      <c r="E1425" s="10" t="s">
        <v>853</v>
      </c>
      <c r="F1425" s="10" t="s">
        <v>854</v>
      </c>
      <c r="G1425" s="8">
        <v>1</v>
      </c>
      <c r="H1425" s="11">
        <v>900</v>
      </c>
      <c r="I1425" s="12">
        <v>42548</v>
      </c>
      <c r="J1425" s="13">
        <f t="shared" ref="J1425:J1488" si="51">IF(G1425=1,SUM(W1425,-H1425),0)</f>
        <v>0</v>
      </c>
      <c r="K1425" s="14"/>
      <c r="L1425" s="14"/>
      <c r="M1425" s="14"/>
      <c r="N1425" s="14">
        <v>300</v>
      </c>
      <c r="O1425" s="14">
        <v>300</v>
      </c>
      <c r="P1425" s="14">
        <v>300</v>
      </c>
      <c r="Q1425" s="14"/>
      <c r="R1425" s="14"/>
      <c r="S1425" s="14"/>
      <c r="T1425" s="14"/>
      <c r="U1425" s="14"/>
      <c r="V1425" s="14"/>
      <c r="W1425" s="15">
        <f t="shared" ref="W1425:W1488" si="52">SUM(K1425:V1425)</f>
        <v>900</v>
      </c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5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5"/>
      <c r="AX1425" s="16"/>
    </row>
    <row r="1426" spans="2:50" x14ac:dyDescent="0.2">
      <c r="B1426" s="7" t="s">
        <v>47</v>
      </c>
      <c r="C1426" s="8">
        <v>12123</v>
      </c>
      <c r="D1426" s="9" t="s">
        <v>852</v>
      </c>
      <c r="E1426" s="10" t="s">
        <v>853</v>
      </c>
      <c r="F1426" s="10" t="s">
        <v>854</v>
      </c>
      <c r="G1426" s="8">
        <v>1</v>
      </c>
      <c r="H1426" s="11">
        <v>300</v>
      </c>
      <c r="I1426" s="12">
        <v>42548</v>
      </c>
      <c r="J1426" s="13">
        <f t="shared" si="51"/>
        <v>0</v>
      </c>
      <c r="K1426" s="14"/>
      <c r="L1426" s="14"/>
      <c r="M1426" s="14">
        <v>300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5">
        <f t="shared" si="52"/>
        <v>300</v>
      </c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5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5"/>
      <c r="AX1426" s="16"/>
    </row>
    <row r="1427" spans="2:50" x14ac:dyDescent="0.2">
      <c r="B1427" s="7" t="s">
        <v>69</v>
      </c>
      <c r="C1427" s="8">
        <v>12124</v>
      </c>
      <c r="D1427" s="9" t="s">
        <v>211</v>
      </c>
      <c r="E1427" s="10" t="s">
        <v>212</v>
      </c>
      <c r="F1427" s="10" t="s">
        <v>213</v>
      </c>
      <c r="G1427" s="8"/>
      <c r="H1427" s="11"/>
      <c r="I1427" s="12"/>
      <c r="J1427" s="13">
        <f t="shared" si="51"/>
        <v>0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5">
        <f t="shared" si="52"/>
        <v>0</v>
      </c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5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5"/>
      <c r="AX1427" s="16"/>
    </row>
    <row r="1428" spans="2:50" x14ac:dyDescent="0.2">
      <c r="B1428" s="7" t="s">
        <v>47</v>
      </c>
      <c r="C1428" s="8">
        <v>12125</v>
      </c>
      <c r="D1428" s="9" t="s">
        <v>950</v>
      </c>
      <c r="E1428" s="10" t="s">
        <v>951</v>
      </c>
      <c r="F1428" s="10" t="s">
        <v>952</v>
      </c>
      <c r="G1428" s="8">
        <v>1</v>
      </c>
      <c r="H1428" s="11">
        <v>2800</v>
      </c>
      <c r="I1428" s="12">
        <v>42549</v>
      </c>
      <c r="J1428" s="13">
        <f t="shared" si="51"/>
        <v>0</v>
      </c>
      <c r="K1428" s="14">
        <v>400</v>
      </c>
      <c r="L1428" s="14">
        <v>400</v>
      </c>
      <c r="M1428" s="14">
        <v>400</v>
      </c>
      <c r="N1428" s="14">
        <v>400</v>
      </c>
      <c r="O1428" s="14">
        <v>400</v>
      </c>
      <c r="P1428" s="14">
        <v>400</v>
      </c>
      <c r="Q1428" s="14">
        <v>400</v>
      </c>
      <c r="R1428" s="14"/>
      <c r="S1428" s="14"/>
      <c r="T1428" s="14"/>
      <c r="U1428" s="14"/>
      <c r="V1428" s="14"/>
      <c r="W1428" s="15">
        <f t="shared" si="52"/>
        <v>2800</v>
      </c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5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5"/>
      <c r="AX1428" s="16"/>
    </row>
    <row r="1429" spans="2:50" x14ac:dyDescent="0.2">
      <c r="B1429" s="7" t="s">
        <v>73</v>
      </c>
      <c r="C1429" s="8">
        <v>12126</v>
      </c>
      <c r="D1429" s="9" t="s">
        <v>126</v>
      </c>
      <c r="E1429" s="10" t="s">
        <v>127</v>
      </c>
      <c r="F1429" s="10" t="s">
        <v>128</v>
      </c>
      <c r="G1429" s="8">
        <v>5</v>
      </c>
      <c r="H1429" s="11">
        <v>150</v>
      </c>
      <c r="I1429" s="12">
        <v>42552</v>
      </c>
      <c r="J1429" s="13">
        <f t="shared" si="51"/>
        <v>0</v>
      </c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5">
        <f t="shared" si="52"/>
        <v>0</v>
      </c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5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5"/>
      <c r="AX1429" s="16"/>
    </row>
    <row r="1430" spans="2:50" x14ac:dyDescent="0.2">
      <c r="B1430" s="7" t="s">
        <v>37</v>
      </c>
      <c r="C1430" s="8">
        <v>12127</v>
      </c>
      <c r="D1430" s="9" t="s">
        <v>494</v>
      </c>
      <c r="E1430" s="10" t="s">
        <v>495</v>
      </c>
      <c r="F1430" s="10" t="s">
        <v>496</v>
      </c>
      <c r="G1430" s="8">
        <v>1</v>
      </c>
      <c r="H1430" s="11">
        <v>150</v>
      </c>
      <c r="I1430" s="12">
        <v>42552</v>
      </c>
      <c r="J1430" s="13">
        <f t="shared" si="51"/>
        <v>0</v>
      </c>
      <c r="K1430" s="14"/>
      <c r="L1430" s="14"/>
      <c r="M1430" s="14"/>
      <c r="N1430" s="14"/>
      <c r="O1430" s="14"/>
      <c r="P1430" s="14"/>
      <c r="Q1430" s="14">
        <v>150</v>
      </c>
      <c r="R1430" s="14"/>
      <c r="S1430" s="14"/>
      <c r="T1430" s="14"/>
      <c r="U1430" s="14"/>
      <c r="V1430" s="14"/>
      <c r="W1430" s="15">
        <f t="shared" si="52"/>
        <v>150</v>
      </c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5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5"/>
      <c r="AX1430" s="16"/>
    </row>
    <row r="1431" spans="2:50" x14ac:dyDescent="0.2">
      <c r="B1431" s="7" t="s">
        <v>37</v>
      </c>
      <c r="C1431" s="8">
        <v>12127</v>
      </c>
      <c r="D1431" s="9" t="s">
        <v>494</v>
      </c>
      <c r="E1431" s="10" t="s">
        <v>495</v>
      </c>
      <c r="F1431" s="10" t="s">
        <v>496</v>
      </c>
      <c r="G1431" s="8">
        <v>5</v>
      </c>
      <c r="H1431" s="11">
        <v>100</v>
      </c>
      <c r="I1431" s="12">
        <v>42552</v>
      </c>
      <c r="J1431" s="13">
        <f t="shared" si="51"/>
        <v>0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5">
        <f t="shared" si="52"/>
        <v>0</v>
      </c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5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5"/>
      <c r="AX1431" s="16"/>
    </row>
    <row r="1432" spans="2:50" x14ac:dyDescent="0.2">
      <c r="B1432" s="7" t="s">
        <v>37</v>
      </c>
      <c r="C1432" s="8">
        <v>12128</v>
      </c>
      <c r="D1432" s="9" t="s">
        <v>205</v>
      </c>
      <c r="E1432" s="10" t="s">
        <v>206</v>
      </c>
      <c r="F1432" s="10" t="s">
        <v>207</v>
      </c>
      <c r="G1432" s="8">
        <v>5</v>
      </c>
      <c r="H1432" s="11">
        <v>150</v>
      </c>
      <c r="I1432" s="12">
        <v>42552</v>
      </c>
      <c r="J1432" s="13">
        <f t="shared" si="51"/>
        <v>0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5">
        <f t="shared" si="52"/>
        <v>0</v>
      </c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5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5"/>
      <c r="AX1432" s="16"/>
    </row>
    <row r="1433" spans="2:50" x14ac:dyDescent="0.2">
      <c r="B1433" s="7" t="s">
        <v>37</v>
      </c>
      <c r="C1433" s="8">
        <v>12129</v>
      </c>
      <c r="D1433" s="9" t="s">
        <v>488</v>
      </c>
      <c r="E1433" s="10" t="s">
        <v>489</v>
      </c>
      <c r="F1433" s="10" t="s">
        <v>490</v>
      </c>
      <c r="G1433" s="8">
        <v>1</v>
      </c>
      <c r="H1433" s="11">
        <v>400</v>
      </c>
      <c r="I1433" s="12">
        <v>42552</v>
      </c>
      <c r="J1433" s="13">
        <f t="shared" si="51"/>
        <v>0</v>
      </c>
      <c r="K1433" s="14"/>
      <c r="L1433" s="14"/>
      <c r="M1433" s="14"/>
      <c r="N1433" s="14"/>
      <c r="O1433" s="14"/>
      <c r="P1433" s="14">
        <v>400</v>
      </c>
      <c r="Q1433" s="14"/>
      <c r="R1433" s="14"/>
      <c r="S1433" s="14"/>
      <c r="T1433" s="14"/>
      <c r="U1433" s="14"/>
      <c r="V1433" s="14"/>
      <c r="W1433" s="15">
        <f t="shared" si="52"/>
        <v>400</v>
      </c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5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5"/>
      <c r="AX1433" s="16"/>
    </row>
    <row r="1434" spans="2:50" x14ac:dyDescent="0.2">
      <c r="B1434" s="7" t="s">
        <v>37</v>
      </c>
      <c r="C1434" s="8">
        <v>12129</v>
      </c>
      <c r="D1434" s="9" t="s">
        <v>488</v>
      </c>
      <c r="E1434" s="10" t="s">
        <v>489</v>
      </c>
      <c r="F1434" s="10" t="s">
        <v>490</v>
      </c>
      <c r="G1434" s="8">
        <v>5</v>
      </c>
      <c r="H1434" s="11">
        <v>100</v>
      </c>
      <c r="I1434" s="12">
        <v>42552</v>
      </c>
      <c r="J1434" s="13">
        <f t="shared" si="51"/>
        <v>0</v>
      </c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5">
        <f t="shared" si="52"/>
        <v>0</v>
      </c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5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5"/>
      <c r="AX1434" s="16"/>
    </row>
    <row r="1435" spans="2:50" x14ac:dyDescent="0.2">
      <c r="B1435" s="7" t="s">
        <v>47</v>
      </c>
      <c r="C1435" s="8">
        <v>12130</v>
      </c>
      <c r="D1435" s="9" t="s">
        <v>852</v>
      </c>
      <c r="E1435" s="10" t="s">
        <v>853</v>
      </c>
      <c r="F1435" s="10" t="s">
        <v>854</v>
      </c>
      <c r="G1435" s="8">
        <v>5</v>
      </c>
      <c r="H1435" s="11">
        <v>150</v>
      </c>
      <c r="I1435" s="12">
        <v>42554</v>
      </c>
      <c r="J1435" s="13">
        <f t="shared" si="51"/>
        <v>0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5">
        <f t="shared" si="52"/>
        <v>0</v>
      </c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5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5"/>
      <c r="AX1435" s="16"/>
    </row>
    <row r="1436" spans="2:50" x14ac:dyDescent="0.2">
      <c r="B1436" s="7" t="s">
        <v>69</v>
      </c>
      <c r="C1436" s="8">
        <v>12131</v>
      </c>
      <c r="D1436" s="9" t="s">
        <v>890</v>
      </c>
      <c r="E1436" s="10" t="s">
        <v>891</v>
      </c>
      <c r="F1436" s="10" t="s">
        <v>892</v>
      </c>
      <c r="G1436" s="8">
        <v>5</v>
      </c>
      <c r="H1436" s="11">
        <v>50</v>
      </c>
      <c r="I1436" s="12">
        <v>42554</v>
      </c>
      <c r="J1436" s="13">
        <f t="shared" si="51"/>
        <v>0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5">
        <f t="shared" si="52"/>
        <v>0</v>
      </c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5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5"/>
      <c r="AX1436" s="16"/>
    </row>
    <row r="1437" spans="2:50" x14ac:dyDescent="0.2">
      <c r="B1437" s="7" t="s">
        <v>69</v>
      </c>
      <c r="C1437" s="8">
        <v>12132</v>
      </c>
      <c r="D1437" s="9" t="s">
        <v>361</v>
      </c>
      <c r="E1437" s="10" t="s">
        <v>362</v>
      </c>
      <c r="F1437" s="10" t="s">
        <v>363</v>
      </c>
      <c r="G1437" s="8">
        <v>5</v>
      </c>
      <c r="H1437" s="11">
        <v>250</v>
      </c>
      <c r="I1437" s="12">
        <v>42554</v>
      </c>
      <c r="J1437" s="13">
        <f t="shared" si="51"/>
        <v>0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5">
        <f t="shared" si="52"/>
        <v>0</v>
      </c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5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5"/>
      <c r="AX1437" s="16"/>
    </row>
    <row r="1438" spans="2:50" x14ac:dyDescent="0.2">
      <c r="B1438" s="7" t="s">
        <v>391</v>
      </c>
      <c r="C1438" s="8">
        <v>12133</v>
      </c>
      <c r="D1438" s="9" t="s">
        <v>876</v>
      </c>
      <c r="E1438" s="10" t="s">
        <v>877</v>
      </c>
      <c r="F1438" s="10" t="s">
        <v>878</v>
      </c>
      <c r="G1438" s="8">
        <v>5</v>
      </c>
      <c r="H1438" s="11">
        <v>50</v>
      </c>
      <c r="I1438" s="12">
        <v>42554</v>
      </c>
      <c r="J1438" s="13">
        <f t="shared" si="51"/>
        <v>0</v>
      </c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5">
        <f t="shared" si="52"/>
        <v>0</v>
      </c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5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5"/>
      <c r="AX1438" s="16"/>
    </row>
    <row r="1439" spans="2:50" x14ac:dyDescent="0.2">
      <c r="B1439" s="7" t="s">
        <v>73</v>
      </c>
      <c r="C1439" s="8">
        <v>12134</v>
      </c>
      <c r="D1439" s="9" t="s">
        <v>782</v>
      </c>
      <c r="E1439" s="10" t="s">
        <v>783</v>
      </c>
      <c r="F1439" s="10" t="s">
        <v>784</v>
      </c>
      <c r="G1439" s="8">
        <v>5</v>
      </c>
      <c r="H1439" s="11">
        <v>250</v>
      </c>
      <c r="I1439" s="12">
        <v>42554</v>
      </c>
      <c r="J1439" s="13">
        <f t="shared" si="51"/>
        <v>0</v>
      </c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5">
        <f t="shared" si="52"/>
        <v>0</v>
      </c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5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5"/>
      <c r="AX1439" s="16"/>
    </row>
    <row r="1440" spans="2:50" x14ac:dyDescent="0.2">
      <c r="B1440" s="7" t="s">
        <v>77</v>
      </c>
      <c r="C1440" s="8">
        <v>12135</v>
      </c>
      <c r="D1440" s="9" t="s">
        <v>874</v>
      </c>
      <c r="E1440" s="10" t="s">
        <v>875</v>
      </c>
      <c r="F1440" s="10" t="s">
        <v>493</v>
      </c>
      <c r="G1440" s="8">
        <v>5</v>
      </c>
      <c r="H1440" s="11">
        <v>50</v>
      </c>
      <c r="I1440" s="12">
        <v>42554</v>
      </c>
      <c r="J1440" s="13">
        <f t="shared" si="51"/>
        <v>0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5">
        <f t="shared" si="52"/>
        <v>0</v>
      </c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5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5"/>
      <c r="AX1440" s="16"/>
    </row>
    <row r="1441" spans="2:50" x14ac:dyDescent="0.2">
      <c r="B1441" s="7" t="s">
        <v>47</v>
      </c>
      <c r="C1441" s="8">
        <v>12136</v>
      </c>
      <c r="D1441" s="9" t="s">
        <v>352</v>
      </c>
      <c r="E1441" s="10" t="s">
        <v>353</v>
      </c>
      <c r="F1441" s="10" t="s">
        <v>354</v>
      </c>
      <c r="G1441" s="8">
        <v>5</v>
      </c>
      <c r="H1441" s="11">
        <v>100</v>
      </c>
      <c r="I1441" s="12">
        <v>42554</v>
      </c>
      <c r="J1441" s="13">
        <f t="shared" si="51"/>
        <v>0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5">
        <f t="shared" si="52"/>
        <v>0</v>
      </c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5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5"/>
      <c r="AX1441" s="16"/>
    </row>
    <row r="1442" spans="2:50" x14ac:dyDescent="0.2">
      <c r="B1442" s="7" t="s">
        <v>37</v>
      </c>
      <c r="C1442" s="8">
        <v>12137</v>
      </c>
      <c r="D1442" s="9" t="s">
        <v>488</v>
      </c>
      <c r="E1442" s="10" t="s">
        <v>489</v>
      </c>
      <c r="F1442" s="10" t="s">
        <v>490</v>
      </c>
      <c r="G1442" s="8">
        <v>5</v>
      </c>
      <c r="H1442" s="11">
        <v>50</v>
      </c>
      <c r="I1442" s="12">
        <v>42554</v>
      </c>
      <c r="J1442" s="13">
        <f t="shared" si="51"/>
        <v>0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5">
        <f t="shared" si="52"/>
        <v>0</v>
      </c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5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5"/>
      <c r="AX1442" s="16"/>
    </row>
    <row r="1443" spans="2:50" x14ac:dyDescent="0.2">
      <c r="B1443" s="7" t="s">
        <v>69</v>
      </c>
      <c r="C1443" s="8">
        <v>12138</v>
      </c>
      <c r="D1443" s="9" t="s">
        <v>325</v>
      </c>
      <c r="E1443" s="10" t="s">
        <v>326</v>
      </c>
      <c r="F1443" s="10" t="s">
        <v>327</v>
      </c>
      <c r="G1443" s="8">
        <v>5</v>
      </c>
      <c r="H1443" s="11">
        <v>100</v>
      </c>
      <c r="I1443" s="12">
        <v>42554</v>
      </c>
      <c r="J1443" s="13">
        <f t="shared" si="51"/>
        <v>0</v>
      </c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5">
        <f t="shared" si="52"/>
        <v>0</v>
      </c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5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5"/>
      <c r="AX1443" s="16"/>
    </row>
    <row r="1444" spans="2:50" x14ac:dyDescent="0.2">
      <c r="B1444" s="7" t="s">
        <v>61</v>
      </c>
      <c r="C1444" s="8">
        <v>12139</v>
      </c>
      <c r="D1444" s="9" t="s">
        <v>902</v>
      </c>
      <c r="E1444" s="10" t="s">
        <v>903</v>
      </c>
      <c r="F1444" s="10" t="s">
        <v>904</v>
      </c>
      <c r="G1444" s="8">
        <v>5</v>
      </c>
      <c r="H1444" s="11">
        <v>100</v>
      </c>
      <c r="I1444" s="12">
        <v>42554</v>
      </c>
      <c r="J1444" s="13">
        <f t="shared" si="51"/>
        <v>0</v>
      </c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5">
        <f t="shared" si="52"/>
        <v>0</v>
      </c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5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5"/>
      <c r="AX1444" s="16"/>
    </row>
    <row r="1445" spans="2:50" x14ac:dyDescent="0.2">
      <c r="B1445" s="7" t="s">
        <v>93</v>
      </c>
      <c r="C1445" s="8">
        <v>12140</v>
      </c>
      <c r="D1445" s="9"/>
      <c r="E1445" s="10" t="s">
        <v>93</v>
      </c>
      <c r="F1445" s="10" t="s">
        <v>93</v>
      </c>
      <c r="G1445" s="8">
        <v>8</v>
      </c>
      <c r="H1445" s="11"/>
      <c r="I1445" s="12"/>
      <c r="J1445" s="13">
        <f t="shared" si="51"/>
        <v>0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5">
        <f t="shared" si="52"/>
        <v>0</v>
      </c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5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5"/>
      <c r="AX1445" s="16"/>
    </row>
    <row r="1446" spans="2:50" x14ac:dyDescent="0.2">
      <c r="B1446" s="7" t="s">
        <v>73</v>
      </c>
      <c r="C1446" s="8">
        <v>12141</v>
      </c>
      <c r="D1446" s="9" t="s">
        <v>929</v>
      </c>
      <c r="E1446" s="10" t="s">
        <v>930</v>
      </c>
      <c r="F1446" s="10" t="s">
        <v>931</v>
      </c>
      <c r="G1446" s="8">
        <v>5</v>
      </c>
      <c r="H1446" s="11">
        <v>50</v>
      </c>
      <c r="I1446" s="12">
        <v>42554</v>
      </c>
      <c r="J1446" s="13">
        <f t="shared" si="51"/>
        <v>0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5">
        <f t="shared" si="52"/>
        <v>0</v>
      </c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5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5"/>
      <c r="AX1446" s="16"/>
    </row>
    <row r="1447" spans="2:50" x14ac:dyDescent="0.2">
      <c r="B1447" s="7" t="s">
        <v>93</v>
      </c>
      <c r="C1447" s="8">
        <v>12142</v>
      </c>
      <c r="D1447" s="9"/>
      <c r="E1447" s="10" t="s">
        <v>93</v>
      </c>
      <c r="F1447" s="10" t="s">
        <v>93</v>
      </c>
      <c r="G1447" s="8">
        <v>8</v>
      </c>
      <c r="H1447" s="11"/>
      <c r="I1447" s="12"/>
      <c r="J1447" s="13">
        <f t="shared" si="51"/>
        <v>0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5">
        <f t="shared" si="52"/>
        <v>0</v>
      </c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5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5"/>
      <c r="AX1447" s="16"/>
    </row>
    <row r="1448" spans="2:50" x14ac:dyDescent="0.2">
      <c r="B1448" s="7" t="s">
        <v>47</v>
      </c>
      <c r="C1448" s="8">
        <v>12143</v>
      </c>
      <c r="D1448" s="9" t="s">
        <v>103</v>
      </c>
      <c r="E1448" s="10" t="s">
        <v>104</v>
      </c>
      <c r="F1448" s="10" t="s">
        <v>105</v>
      </c>
      <c r="G1448" s="8">
        <v>5</v>
      </c>
      <c r="H1448" s="11">
        <v>250</v>
      </c>
      <c r="I1448" s="12">
        <v>42554</v>
      </c>
      <c r="J1448" s="13">
        <f t="shared" si="51"/>
        <v>0</v>
      </c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5">
        <f t="shared" si="52"/>
        <v>0</v>
      </c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5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5"/>
      <c r="AX1448" s="16"/>
    </row>
    <row r="1449" spans="2:50" x14ac:dyDescent="0.2">
      <c r="B1449" s="7" t="s">
        <v>61</v>
      </c>
      <c r="C1449" s="8">
        <v>12144</v>
      </c>
      <c r="D1449" s="9" t="s">
        <v>663</v>
      </c>
      <c r="E1449" s="10" t="s">
        <v>664</v>
      </c>
      <c r="F1449" s="10" t="s">
        <v>665</v>
      </c>
      <c r="G1449" s="8">
        <v>5</v>
      </c>
      <c r="H1449" s="11">
        <v>50</v>
      </c>
      <c r="I1449" s="12">
        <v>42554</v>
      </c>
      <c r="J1449" s="13">
        <f t="shared" si="51"/>
        <v>0</v>
      </c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5">
        <f t="shared" si="52"/>
        <v>0</v>
      </c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5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5"/>
      <c r="AX1449" s="16"/>
    </row>
    <row r="1450" spans="2:50" x14ac:dyDescent="0.2">
      <c r="B1450" s="7" t="s">
        <v>69</v>
      </c>
      <c r="C1450" s="8">
        <v>12145</v>
      </c>
      <c r="D1450" s="9" t="s">
        <v>743</v>
      </c>
      <c r="E1450" s="10" t="s">
        <v>744</v>
      </c>
      <c r="F1450" s="10" t="s">
        <v>745</v>
      </c>
      <c r="G1450" s="8">
        <v>5</v>
      </c>
      <c r="H1450" s="11">
        <v>100</v>
      </c>
      <c r="I1450" s="12">
        <v>42554</v>
      </c>
      <c r="J1450" s="13">
        <f t="shared" si="51"/>
        <v>0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5">
        <f t="shared" si="52"/>
        <v>0</v>
      </c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5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5"/>
      <c r="AX1450" s="16"/>
    </row>
    <row r="1451" spans="2:50" x14ac:dyDescent="0.2">
      <c r="B1451" s="7" t="s">
        <v>47</v>
      </c>
      <c r="C1451" s="8">
        <v>12146</v>
      </c>
      <c r="D1451" s="9" t="s">
        <v>144</v>
      </c>
      <c r="E1451" s="10" t="s">
        <v>145</v>
      </c>
      <c r="F1451" s="10" t="s">
        <v>146</v>
      </c>
      <c r="G1451" s="8">
        <v>5</v>
      </c>
      <c r="H1451" s="11">
        <v>150</v>
      </c>
      <c r="I1451" s="12">
        <v>42554</v>
      </c>
      <c r="J1451" s="13">
        <f t="shared" si="51"/>
        <v>0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5">
        <f t="shared" si="52"/>
        <v>0</v>
      </c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5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5"/>
      <c r="AX1451" s="16"/>
    </row>
    <row r="1452" spans="2:50" x14ac:dyDescent="0.2">
      <c r="B1452" s="7" t="s">
        <v>69</v>
      </c>
      <c r="C1452" s="8">
        <v>12147</v>
      </c>
      <c r="D1452" s="9" t="s">
        <v>1039</v>
      </c>
      <c r="E1452" s="10" t="s">
        <v>1040</v>
      </c>
      <c r="F1452" s="10" t="s">
        <v>1041</v>
      </c>
      <c r="G1452" s="8">
        <v>5</v>
      </c>
      <c r="H1452" s="11">
        <v>50</v>
      </c>
      <c r="I1452" s="12">
        <v>42554</v>
      </c>
      <c r="J1452" s="13">
        <f t="shared" si="51"/>
        <v>0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5">
        <f t="shared" si="52"/>
        <v>0</v>
      </c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5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5"/>
      <c r="AX1452" s="16"/>
    </row>
    <row r="1453" spans="2:50" x14ac:dyDescent="0.2">
      <c r="B1453" s="7" t="s">
        <v>73</v>
      </c>
      <c r="C1453" s="8">
        <v>12148</v>
      </c>
      <c r="D1453" s="9" t="s">
        <v>458</v>
      </c>
      <c r="E1453" s="10" t="s">
        <v>459</v>
      </c>
      <c r="F1453" s="10" t="s">
        <v>460</v>
      </c>
      <c r="G1453" s="8">
        <v>5</v>
      </c>
      <c r="H1453" s="11">
        <v>200</v>
      </c>
      <c r="I1453" s="12">
        <v>42554</v>
      </c>
      <c r="J1453" s="13">
        <f t="shared" si="51"/>
        <v>0</v>
      </c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5">
        <f t="shared" si="52"/>
        <v>0</v>
      </c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5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5"/>
      <c r="AX1453" s="16"/>
    </row>
    <row r="1454" spans="2:50" x14ac:dyDescent="0.2">
      <c r="B1454" s="7" t="s">
        <v>47</v>
      </c>
      <c r="C1454" s="8">
        <v>12149</v>
      </c>
      <c r="D1454" s="9" t="s">
        <v>425</v>
      </c>
      <c r="E1454" s="10" t="s">
        <v>426</v>
      </c>
      <c r="F1454" s="10" t="s">
        <v>427</v>
      </c>
      <c r="G1454" s="8">
        <v>5</v>
      </c>
      <c r="H1454" s="11">
        <v>50</v>
      </c>
      <c r="I1454" s="12">
        <v>42554</v>
      </c>
      <c r="J1454" s="13">
        <f t="shared" si="51"/>
        <v>0</v>
      </c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5">
        <f t="shared" si="52"/>
        <v>0</v>
      </c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5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5"/>
      <c r="AX1454" s="16"/>
    </row>
    <row r="1455" spans="2:50" x14ac:dyDescent="0.2">
      <c r="B1455" s="7" t="s">
        <v>37</v>
      </c>
      <c r="C1455" s="8">
        <v>12150</v>
      </c>
      <c r="D1455" s="9" t="s">
        <v>932</v>
      </c>
      <c r="E1455" s="10" t="s">
        <v>933</v>
      </c>
      <c r="F1455" s="10" t="s">
        <v>934</v>
      </c>
      <c r="G1455" s="8">
        <v>5</v>
      </c>
      <c r="H1455" s="11">
        <v>150</v>
      </c>
      <c r="I1455" s="12">
        <v>42554</v>
      </c>
      <c r="J1455" s="13">
        <f t="shared" si="51"/>
        <v>0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5">
        <f t="shared" si="52"/>
        <v>0</v>
      </c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5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5"/>
      <c r="AX1455" s="16"/>
    </row>
    <row r="1456" spans="2:50" x14ac:dyDescent="0.2">
      <c r="B1456" s="7" t="s">
        <v>47</v>
      </c>
      <c r="C1456" s="8">
        <v>12151</v>
      </c>
      <c r="D1456" s="9" t="s">
        <v>580</v>
      </c>
      <c r="E1456" s="10" t="s">
        <v>581</v>
      </c>
      <c r="F1456" s="10" t="s">
        <v>582</v>
      </c>
      <c r="G1456" s="8">
        <v>5</v>
      </c>
      <c r="H1456" s="11">
        <v>100</v>
      </c>
      <c r="I1456" s="12">
        <v>42554</v>
      </c>
      <c r="J1456" s="13">
        <f t="shared" si="51"/>
        <v>0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5">
        <f t="shared" si="52"/>
        <v>0</v>
      </c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5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5"/>
      <c r="AX1456" s="16"/>
    </row>
    <row r="1457" spans="2:50" x14ac:dyDescent="0.2">
      <c r="B1457" s="7" t="s">
        <v>73</v>
      </c>
      <c r="C1457" s="8">
        <v>12152</v>
      </c>
      <c r="D1457" s="9" t="s">
        <v>458</v>
      </c>
      <c r="E1457" s="10" t="s">
        <v>459</v>
      </c>
      <c r="F1457" s="10" t="s">
        <v>460</v>
      </c>
      <c r="G1457" s="8">
        <v>3</v>
      </c>
      <c r="H1457" s="11">
        <v>200</v>
      </c>
      <c r="I1457" s="12">
        <v>42554</v>
      </c>
      <c r="J1457" s="13">
        <f t="shared" si="51"/>
        <v>0</v>
      </c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5">
        <f t="shared" si="52"/>
        <v>0</v>
      </c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5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5"/>
      <c r="AX1457" s="16"/>
    </row>
    <row r="1458" spans="2:50" x14ac:dyDescent="0.2">
      <c r="B1458" s="7" t="s">
        <v>69</v>
      </c>
      <c r="C1458" s="8">
        <v>12153</v>
      </c>
      <c r="D1458" s="9" t="s">
        <v>361</v>
      </c>
      <c r="E1458" s="10" t="s">
        <v>362</v>
      </c>
      <c r="F1458" s="10" t="s">
        <v>363</v>
      </c>
      <c r="G1458" s="8">
        <v>1</v>
      </c>
      <c r="H1458" s="11">
        <v>400</v>
      </c>
      <c r="I1458" s="12">
        <v>42554</v>
      </c>
      <c r="J1458" s="13">
        <f t="shared" si="51"/>
        <v>0</v>
      </c>
      <c r="K1458" s="14"/>
      <c r="L1458" s="14"/>
      <c r="M1458" s="14"/>
      <c r="N1458" s="14"/>
      <c r="O1458" s="14"/>
      <c r="P1458" s="14"/>
      <c r="Q1458" s="14">
        <v>400</v>
      </c>
      <c r="R1458" s="14"/>
      <c r="S1458" s="14"/>
      <c r="T1458" s="14"/>
      <c r="U1458" s="14"/>
      <c r="V1458" s="14"/>
      <c r="W1458" s="15">
        <f t="shared" si="52"/>
        <v>400</v>
      </c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5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5"/>
      <c r="AX1458" s="16"/>
    </row>
    <row r="1459" spans="2:50" x14ac:dyDescent="0.2">
      <c r="B1459" s="7" t="s">
        <v>37</v>
      </c>
      <c r="C1459" s="8">
        <v>12154</v>
      </c>
      <c r="D1459" s="9" t="s">
        <v>794</v>
      </c>
      <c r="E1459" s="10" t="s">
        <v>795</v>
      </c>
      <c r="F1459" s="10" t="s">
        <v>796</v>
      </c>
      <c r="G1459" s="8">
        <v>1</v>
      </c>
      <c r="H1459" s="11">
        <v>300</v>
      </c>
      <c r="I1459" s="12">
        <v>42554</v>
      </c>
      <c r="J1459" s="13">
        <f t="shared" si="51"/>
        <v>0</v>
      </c>
      <c r="K1459" s="14"/>
      <c r="L1459" s="14"/>
      <c r="M1459" s="14"/>
      <c r="N1459" s="14"/>
      <c r="O1459" s="14"/>
      <c r="P1459" s="14"/>
      <c r="Q1459" s="14">
        <v>300</v>
      </c>
      <c r="R1459" s="14"/>
      <c r="S1459" s="14"/>
      <c r="T1459" s="14"/>
      <c r="U1459" s="14"/>
      <c r="V1459" s="14"/>
      <c r="W1459" s="15">
        <f t="shared" si="52"/>
        <v>300</v>
      </c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5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5"/>
      <c r="AX1459" s="16"/>
    </row>
    <row r="1460" spans="2:50" x14ac:dyDescent="0.2">
      <c r="B1460" s="7" t="s">
        <v>73</v>
      </c>
      <c r="C1460" s="8">
        <v>12155</v>
      </c>
      <c r="D1460" s="9" t="s">
        <v>782</v>
      </c>
      <c r="E1460" s="10" t="s">
        <v>783</v>
      </c>
      <c r="F1460" s="10" t="s">
        <v>784</v>
      </c>
      <c r="G1460" s="8">
        <v>1</v>
      </c>
      <c r="H1460" s="11">
        <v>600</v>
      </c>
      <c r="I1460" s="12">
        <v>42554</v>
      </c>
      <c r="J1460" s="13">
        <f t="shared" si="51"/>
        <v>0</v>
      </c>
      <c r="K1460" s="14"/>
      <c r="L1460" s="14"/>
      <c r="M1460" s="14"/>
      <c r="N1460" s="14"/>
      <c r="O1460" s="14"/>
      <c r="P1460" s="14"/>
      <c r="Q1460" s="14">
        <v>200</v>
      </c>
      <c r="R1460" s="14">
        <v>200</v>
      </c>
      <c r="S1460" s="14">
        <v>200</v>
      </c>
      <c r="T1460" s="14"/>
      <c r="U1460" s="14"/>
      <c r="V1460" s="14"/>
      <c r="W1460" s="15">
        <f t="shared" si="52"/>
        <v>600</v>
      </c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5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5"/>
      <c r="AX1460" s="16"/>
    </row>
    <row r="1461" spans="2:50" x14ac:dyDescent="0.2">
      <c r="B1461" s="7" t="s">
        <v>77</v>
      </c>
      <c r="C1461" s="8">
        <v>12156</v>
      </c>
      <c r="D1461" s="9" t="s">
        <v>874</v>
      </c>
      <c r="E1461" s="10" t="s">
        <v>875</v>
      </c>
      <c r="F1461" s="10" t="s">
        <v>493</v>
      </c>
      <c r="G1461" s="8">
        <v>1</v>
      </c>
      <c r="H1461" s="11">
        <v>400</v>
      </c>
      <c r="I1461" s="12">
        <v>42554</v>
      </c>
      <c r="J1461" s="13">
        <f t="shared" si="51"/>
        <v>0</v>
      </c>
      <c r="K1461" s="14"/>
      <c r="L1461" s="14"/>
      <c r="M1461" s="14"/>
      <c r="N1461" s="14"/>
      <c r="O1461" s="14"/>
      <c r="P1461" s="14">
        <v>200</v>
      </c>
      <c r="Q1461" s="14">
        <v>200</v>
      </c>
      <c r="R1461" s="14"/>
      <c r="S1461" s="14"/>
      <c r="T1461" s="14"/>
      <c r="U1461" s="14"/>
      <c r="V1461" s="14"/>
      <c r="W1461" s="15">
        <f t="shared" si="52"/>
        <v>400</v>
      </c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5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5"/>
      <c r="AX1461" s="16"/>
    </row>
    <row r="1462" spans="2:50" x14ac:dyDescent="0.2">
      <c r="B1462" s="7" t="s">
        <v>37</v>
      </c>
      <c r="C1462" s="8">
        <v>12157</v>
      </c>
      <c r="D1462" s="9" t="s">
        <v>307</v>
      </c>
      <c r="E1462" s="10" t="s">
        <v>308</v>
      </c>
      <c r="F1462" s="10" t="s">
        <v>309</v>
      </c>
      <c r="G1462" s="8">
        <v>1</v>
      </c>
      <c r="H1462" s="11">
        <v>350</v>
      </c>
      <c r="I1462" s="12">
        <v>42554</v>
      </c>
      <c r="J1462" s="13">
        <f t="shared" si="51"/>
        <v>0</v>
      </c>
      <c r="K1462" s="14"/>
      <c r="L1462" s="14"/>
      <c r="M1462" s="14"/>
      <c r="N1462" s="14"/>
      <c r="O1462" s="14"/>
      <c r="P1462" s="14"/>
      <c r="Q1462" s="14">
        <v>350</v>
      </c>
      <c r="R1462" s="14"/>
      <c r="S1462" s="14"/>
      <c r="T1462" s="14"/>
      <c r="U1462" s="14"/>
      <c r="V1462" s="14"/>
      <c r="W1462" s="15">
        <f t="shared" si="52"/>
        <v>350</v>
      </c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5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5"/>
      <c r="AX1462" s="16"/>
    </row>
    <row r="1463" spans="2:50" x14ac:dyDescent="0.2">
      <c r="B1463" s="7" t="s">
        <v>69</v>
      </c>
      <c r="C1463" s="8">
        <v>12158</v>
      </c>
      <c r="D1463" s="9" t="s">
        <v>325</v>
      </c>
      <c r="E1463" s="10" t="s">
        <v>326</v>
      </c>
      <c r="F1463" s="10" t="s">
        <v>327</v>
      </c>
      <c r="G1463" s="8">
        <v>1</v>
      </c>
      <c r="H1463" s="11">
        <v>400</v>
      </c>
      <c r="I1463" s="12">
        <v>42554</v>
      </c>
      <c r="J1463" s="13">
        <f t="shared" si="51"/>
        <v>0</v>
      </c>
      <c r="K1463" s="14"/>
      <c r="L1463" s="14"/>
      <c r="M1463" s="14"/>
      <c r="N1463" s="14"/>
      <c r="O1463" s="14"/>
      <c r="P1463" s="14"/>
      <c r="Q1463" s="14">
        <v>400</v>
      </c>
      <c r="R1463" s="14"/>
      <c r="S1463" s="14"/>
      <c r="T1463" s="14"/>
      <c r="U1463" s="14"/>
      <c r="V1463" s="14"/>
      <c r="W1463" s="15">
        <f t="shared" si="52"/>
        <v>400</v>
      </c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5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5"/>
      <c r="AX1463" s="16"/>
    </row>
    <row r="1464" spans="2:50" x14ac:dyDescent="0.2">
      <c r="B1464" s="7" t="s">
        <v>61</v>
      </c>
      <c r="C1464" s="8">
        <v>12159</v>
      </c>
      <c r="D1464" s="9" t="s">
        <v>902</v>
      </c>
      <c r="E1464" s="10" t="s">
        <v>903</v>
      </c>
      <c r="F1464" s="10" t="s">
        <v>904</v>
      </c>
      <c r="G1464" s="8">
        <v>3</v>
      </c>
      <c r="H1464" s="11">
        <v>200</v>
      </c>
      <c r="I1464" s="12">
        <v>42554</v>
      </c>
      <c r="J1464" s="13">
        <f t="shared" si="51"/>
        <v>0</v>
      </c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5">
        <f t="shared" si="52"/>
        <v>0</v>
      </c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5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5"/>
      <c r="AX1464" s="16"/>
    </row>
    <row r="1465" spans="2:50" x14ac:dyDescent="0.2">
      <c r="B1465" s="7" t="s">
        <v>73</v>
      </c>
      <c r="C1465" s="8">
        <v>12160</v>
      </c>
      <c r="D1465" s="9" t="s">
        <v>115</v>
      </c>
      <c r="E1465" s="10" t="s">
        <v>116</v>
      </c>
      <c r="F1465" s="10" t="s">
        <v>117</v>
      </c>
      <c r="G1465" s="8">
        <v>1</v>
      </c>
      <c r="H1465" s="11">
        <v>150</v>
      </c>
      <c r="I1465" s="12">
        <v>42554</v>
      </c>
      <c r="J1465" s="13">
        <f t="shared" si="51"/>
        <v>0</v>
      </c>
      <c r="K1465" s="14"/>
      <c r="L1465" s="14"/>
      <c r="M1465" s="14"/>
      <c r="N1465" s="14"/>
      <c r="O1465" s="14"/>
      <c r="P1465" s="14"/>
      <c r="Q1465" s="14">
        <v>150</v>
      </c>
      <c r="R1465" s="14"/>
      <c r="S1465" s="14"/>
      <c r="T1465" s="14"/>
      <c r="U1465" s="14"/>
      <c r="V1465" s="14"/>
      <c r="W1465" s="15">
        <f t="shared" si="52"/>
        <v>150</v>
      </c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5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5"/>
      <c r="AX1465" s="16"/>
    </row>
    <row r="1466" spans="2:50" x14ac:dyDescent="0.2">
      <c r="B1466" s="7" t="s">
        <v>69</v>
      </c>
      <c r="C1466" s="8">
        <v>12161</v>
      </c>
      <c r="D1466" s="9" t="s">
        <v>135</v>
      </c>
      <c r="E1466" s="10" t="s">
        <v>136</v>
      </c>
      <c r="F1466" s="10" t="s">
        <v>137</v>
      </c>
      <c r="G1466" s="8">
        <v>1</v>
      </c>
      <c r="H1466" s="11">
        <v>300</v>
      </c>
      <c r="I1466" s="12">
        <v>42554</v>
      </c>
      <c r="J1466" s="13">
        <f t="shared" si="51"/>
        <v>0</v>
      </c>
      <c r="K1466" s="14"/>
      <c r="L1466" s="14"/>
      <c r="M1466" s="14"/>
      <c r="N1466" s="14"/>
      <c r="O1466" s="14"/>
      <c r="P1466" s="14"/>
      <c r="Q1466" s="14">
        <v>300</v>
      </c>
      <c r="R1466" s="14"/>
      <c r="S1466" s="14"/>
      <c r="T1466" s="14"/>
      <c r="U1466" s="14"/>
      <c r="V1466" s="14"/>
      <c r="W1466" s="15">
        <f t="shared" si="52"/>
        <v>300</v>
      </c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5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5"/>
      <c r="AX1466" s="16"/>
    </row>
    <row r="1467" spans="2:50" x14ac:dyDescent="0.2">
      <c r="B1467" s="7" t="s">
        <v>37</v>
      </c>
      <c r="C1467" s="8">
        <v>12162</v>
      </c>
      <c r="D1467" s="9" t="s">
        <v>94</v>
      </c>
      <c r="E1467" s="10" t="s">
        <v>95</v>
      </c>
      <c r="F1467" s="10" t="s">
        <v>96</v>
      </c>
      <c r="G1467" s="8">
        <v>1</v>
      </c>
      <c r="H1467" s="11">
        <v>400</v>
      </c>
      <c r="I1467" s="12">
        <v>42554</v>
      </c>
      <c r="J1467" s="13">
        <f t="shared" si="51"/>
        <v>0</v>
      </c>
      <c r="K1467" s="14"/>
      <c r="L1467" s="14"/>
      <c r="M1467" s="14"/>
      <c r="N1467" s="14"/>
      <c r="O1467" s="14"/>
      <c r="P1467" s="14"/>
      <c r="Q1467" s="14">
        <v>400</v>
      </c>
      <c r="R1467" s="14"/>
      <c r="S1467" s="14"/>
      <c r="T1467" s="14"/>
      <c r="U1467" s="14"/>
      <c r="V1467" s="14"/>
      <c r="W1467" s="15">
        <f t="shared" si="52"/>
        <v>400</v>
      </c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5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5"/>
      <c r="AX1467" s="16"/>
    </row>
    <row r="1468" spans="2:50" x14ac:dyDescent="0.2">
      <c r="B1468" s="7" t="s">
        <v>77</v>
      </c>
      <c r="C1468" s="8">
        <v>12163</v>
      </c>
      <c r="D1468" s="9" t="s">
        <v>479</v>
      </c>
      <c r="E1468" s="10" t="s">
        <v>480</v>
      </c>
      <c r="F1468" s="10" t="s">
        <v>481</v>
      </c>
      <c r="G1468" s="8">
        <v>1</v>
      </c>
      <c r="H1468" s="11">
        <v>300</v>
      </c>
      <c r="I1468" s="12">
        <v>42554</v>
      </c>
      <c r="J1468" s="13">
        <f t="shared" si="51"/>
        <v>0</v>
      </c>
      <c r="K1468" s="14"/>
      <c r="L1468" s="14"/>
      <c r="M1468" s="14"/>
      <c r="N1468" s="14"/>
      <c r="O1468" s="14"/>
      <c r="P1468" s="14"/>
      <c r="Q1468" s="14">
        <v>300</v>
      </c>
      <c r="R1468" s="14"/>
      <c r="S1468" s="14"/>
      <c r="T1468" s="14"/>
      <c r="U1468" s="14"/>
      <c r="V1468" s="14"/>
      <c r="W1468" s="15">
        <f t="shared" si="52"/>
        <v>300</v>
      </c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5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5"/>
      <c r="AX1468" s="16"/>
    </row>
    <row r="1469" spans="2:50" x14ac:dyDescent="0.2">
      <c r="B1469" s="7" t="s">
        <v>61</v>
      </c>
      <c r="C1469" s="8">
        <v>12164</v>
      </c>
      <c r="D1469" s="9" t="s">
        <v>663</v>
      </c>
      <c r="E1469" s="10" t="s">
        <v>664</v>
      </c>
      <c r="F1469" s="10" t="s">
        <v>665</v>
      </c>
      <c r="G1469" s="8">
        <v>1</v>
      </c>
      <c r="H1469" s="11">
        <v>800</v>
      </c>
      <c r="I1469" s="12">
        <v>42554</v>
      </c>
      <c r="J1469" s="13">
        <f t="shared" si="51"/>
        <v>0</v>
      </c>
      <c r="K1469" s="14"/>
      <c r="L1469" s="14"/>
      <c r="M1469" s="14"/>
      <c r="N1469" s="14"/>
      <c r="O1469" s="14">
        <v>400</v>
      </c>
      <c r="P1469" s="14">
        <v>400</v>
      </c>
      <c r="Q1469" s="14"/>
      <c r="R1469" s="14"/>
      <c r="S1469" s="14"/>
      <c r="T1469" s="14"/>
      <c r="U1469" s="14"/>
      <c r="V1469" s="14"/>
      <c r="W1469" s="15">
        <f t="shared" si="52"/>
        <v>800</v>
      </c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5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5"/>
      <c r="AX1469" s="16"/>
    </row>
    <row r="1470" spans="2:50" x14ac:dyDescent="0.2">
      <c r="B1470" s="7" t="s">
        <v>37</v>
      </c>
      <c r="C1470" s="8">
        <v>12165</v>
      </c>
      <c r="D1470" s="9" t="s">
        <v>247</v>
      </c>
      <c r="E1470" s="10" t="s">
        <v>248</v>
      </c>
      <c r="F1470" s="10" t="s">
        <v>249</v>
      </c>
      <c r="G1470" s="8">
        <v>1</v>
      </c>
      <c r="H1470" s="11">
        <v>800</v>
      </c>
      <c r="I1470" s="12">
        <v>42554</v>
      </c>
      <c r="J1470" s="13">
        <f t="shared" si="51"/>
        <v>0</v>
      </c>
      <c r="K1470" s="14"/>
      <c r="L1470" s="14"/>
      <c r="M1470" s="14"/>
      <c r="N1470" s="14"/>
      <c r="O1470" s="14"/>
      <c r="P1470" s="14"/>
      <c r="Q1470" s="14">
        <v>400</v>
      </c>
      <c r="R1470" s="14">
        <v>400</v>
      </c>
      <c r="S1470" s="14"/>
      <c r="T1470" s="14"/>
      <c r="U1470" s="14"/>
      <c r="V1470" s="14"/>
      <c r="W1470" s="15">
        <f t="shared" si="52"/>
        <v>800</v>
      </c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5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5"/>
      <c r="AX1470" s="16"/>
    </row>
    <row r="1471" spans="2:50" x14ac:dyDescent="0.2">
      <c r="B1471" s="7" t="s">
        <v>69</v>
      </c>
      <c r="C1471" s="8">
        <v>12166</v>
      </c>
      <c r="D1471" s="9" t="s">
        <v>100</v>
      </c>
      <c r="E1471" s="10" t="s">
        <v>101</v>
      </c>
      <c r="F1471" s="10" t="s">
        <v>102</v>
      </c>
      <c r="G1471" s="8">
        <v>1</v>
      </c>
      <c r="H1471" s="11">
        <v>400</v>
      </c>
      <c r="I1471" s="12">
        <v>42554</v>
      </c>
      <c r="J1471" s="13">
        <f t="shared" si="51"/>
        <v>0</v>
      </c>
      <c r="K1471" s="14"/>
      <c r="L1471" s="14"/>
      <c r="M1471" s="14"/>
      <c r="N1471" s="14"/>
      <c r="O1471" s="14"/>
      <c r="P1471" s="14"/>
      <c r="Q1471" s="14">
        <v>400</v>
      </c>
      <c r="R1471" s="14"/>
      <c r="S1471" s="14"/>
      <c r="T1471" s="14"/>
      <c r="U1471" s="14"/>
      <c r="V1471" s="14"/>
      <c r="W1471" s="15">
        <f t="shared" si="52"/>
        <v>400</v>
      </c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5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5"/>
      <c r="AX1471" s="16"/>
    </row>
    <row r="1472" spans="2:50" x14ac:dyDescent="0.2">
      <c r="B1472" s="7" t="s">
        <v>69</v>
      </c>
      <c r="C1472" s="8">
        <v>12167</v>
      </c>
      <c r="D1472" s="9" t="s">
        <v>562</v>
      </c>
      <c r="E1472" s="10" t="s">
        <v>563</v>
      </c>
      <c r="F1472" s="10" t="s">
        <v>564</v>
      </c>
      <c r="G1472" s="8">
        <v>1</v>
      </c>
      <c r="H1472" s="11">
        <v>400</v>
      </c>
      <c r="I1472" s="12">
        <v>42554</v>
      </c>
      <c r="J1472" s="13">
        <f t="shared" si="51"/>
        <v>0</v>
      </c>
      <c r="K1472" s="14"/>
      <c r="L1472" s="14"/>
      <c r="M1472" s="14"/>
      <c r="N1472" s="14"/>
      <c r="O1472" s="14"/>
      <c r="P1472" s="14"/>
      <c r="Q1472" s="14">
        <v>400</v>
      </c>
      <c r="R1472" s="14"/>
      <c r="S1472" s="14"/>
      <c r="T1472" s="14"/>
      <c r="U1472" s="14"/>
      <c r="V1472" s="14"/>
      <c r="W1472" s="15">
        <f t="shared" si="52"/>
        <v>400</v>
      </c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5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5"/>
      <c r="AX1472" s="16"/>
    </row>
    <row r="1473" spans="2:50" x14ac:dyDescent="0.2">
      <c r="B1473" s="7" t="s">
        <v>69</v>
      </c>
      <c r="C1473" s="8">
        <v>12168</v>
      </c>
      <c r="D1473" s="9" t="s">
        <v>743</v>
      </c>
      <c r="E1473" s="10" t="s">
        <v>744</v>
      </c>
      <c r="F1473" s="10" t="s">
        <v>745</v>
      </c>
      <c r="G1473" s="8">
        <v>1</v>
      </c>
      <c r="H1473" s="11">
        <v>1600</v>
      </c>
      <c r="I1473" s="12">
        <v>42554</v>
      </c>
      <c r="J1473" s="13">
        <f t="shared" si="51"/>
        <v>0</v>
      </c>
      <c r="K1473" s="14"/>
      <c r="L1473" s="14"/>
      <c r="M1473" s="14">
        <v>400</v>
      </c>
      <c r="N1473" s="14">
        <v>400</v>
      </c>
      <c r="O1473" s="14">
        <v>400</v>
      </c>
      <c r="P1473" s="14">
        <v>400</v>
      </c>
      <c r="Q1473" s="14"/>
      <c r="R1473" s="14"/>
      <c r="S1473" s="14"/>
      <c r="T1473" s="14"/>
      <c r="U1473" s="14"/>
      <c r="V1473" s="14"/>
      <c r="W1473" s="15">
        <f t="shared" si="52"/>
        <v>1600</v>
      </c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5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5"/>
      <c r="AX1473" s="16"/>
    </row>
    <row r="1474" spans="2:50" x14ac:dyDescent="0.2">
      <c r="B1474" s="7" t="s">
        <v>122</v>
      </c>
      <c r="C1474" s="8">
        <v>12169</v>
      </c>
      <c r="D1474" s="9" t="s">
        <v>123</v>
      </c>
      <c r="E1474" s="10" t="s">
        <v>124</v>
      </c>
      <c r="F1474" s="10" t="s">
        <v>125</v>
      </c>
      <c r="G1474" s="8">
        <v>1</v>
      </c>
      <c r="H1474" s="11">
        <v>250</v>
      </c>
      <c r="I1474" s="12">
        <v>42554</v>
      </c>
      <c r="J1474" s="13">
        <f t="shared" si="51"/>
        <v>0</v>
      </c>
      <c r="K1474" s="14"/>
      <c r="L1474" s="14"/>
      <c r="M1474" s="14"/>
      <c r="N1474" s="14"/>
      <c r="O1474" s="14"/>
      <c r="P1474" s="14"/>
      <c r="Q1474" s="14">
        <v>250</v>
      </c>
      <c r="R1474" s="14"/>
      <c r="S1474" s="14"/>
      <c r="T1474" s="14"/>
      <c r="U1474" s="14"/>
      <c r="V1474" s="14"/>
      <c r="W1474" s="15">
        <f t="shared" si="52"/>
        <v>250</v>
      </c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5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5"/>
      <c r="AX1474" s="16"/>
    </row>
    <row r="1475" spans="2:50" x14ac:dyDescent="0.2">
      <c r="B1475" s="7" t="s">
        <v>69</v>
      </c>
      <c r="C1475" s="8">
        <v>12170</v>
      </c>
      <c r="D1475" s="9" t="s">
        <v>1039</v>
      </c>
      <c r="E1475" s="10" t="s">
        <v>1040</v>
      </c>
      <c r="F1475" s="10" t="s">
        <v>1041</v>
      </c>
      <c r="G1475" s="8">
        <v>1</v>
      </c>
      <c r="H1475" s="11">
        <v>400</v>
      </c>
      <c r="I1475" s="12">
        <v>42554</v>
      </c>
      <c r="J1475" s="13">
        <f t="shared" si="51"/>
        <v>0</v>
      </c>
      <c r="K1475" s="14"/>
      <c r="L1475" s="14"/>
      <c r="M1475" s="14"/>
      <c r="N1475" s="14"/>
      <c r="O1475" s="14"/>
      <c r="P1475" s="14"/>
      <c r="Q1475" s="14">
        <v>400</v>
      </c>
      <c r="R1475" s="14"/>
      <c r="S1475" s="14"/>
      <c r="T1475" s="14"/>
      <c r="U1475" s="14"/>
      <c r="V1475" s="14"/>
      <c r="W1475" s="15">
        <f t="shared" si="52"/>
        <v>400</v>
      </c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5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5"/>
      <c r="AX1475" s="16"/>
    </row>
    <row r="1476" spans="2:50" x14ac:dyDescent="0.2">
      <c r="B1476" s="7" t="s">
        <v>37</v>
      </c>
      <c r="C1476" s="8">
        <v>12171</v>
      </c>
      <c r="D1476" s="9" t="s">
        <v>1042</v>
      </c>
      <c r="E1476" s="10" t="s">
        <v>1043</v>
      </c>
      <c r="F1476" s="10" t="s">
        <v>1044</v>
      </c>
      <c r="G1476" s="8">
        <v>1</v>
      </c>
      <c r="H1476" s="11">
        <v>200</v>
      </c>
      <c r="I1476" s="12">
        <v>42554</v>
      </c>
      <c r="J1476" s="13">
        <f t="shared" si="51"/>
        <v>0</v>
      </c>
      <c r="K1476" s="14"/>
      <c r="L1476" s="14"/>
      <c r="M1476" s="14"/>
      <c r="N1476" s="14"/>
      <c r="O1476" s="14"/>
      <c r="P1476" s="14">
        <v>100</v>
      </c>
      <c r="Q1476" s="14">
        <v>100</v>
      </c>
      <c r="R1476" s="14"/>
      <c r="S1476" s="14"/>
      <c r="T1476" s="14"/>
      <c r="U1476" s="14"/>
      <c r="V1476" s="14"/>
      <c r="W1476" s="15">
        <f t="shared" si="52"/>
        <v>200</v>
      </c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5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5"/>
      <c r="AX1476" s="16"/>
    </row>
    <row r="1477" spans="2:50" x14ac:dyDescent="0.2">
      <c r="B1477" s="7" t="s">
        <v>37</v>
      </c>
      <c r="C1477" s="8">
        <v>12171</v>
      </c>
      <c r="D1477" s="9" t="s">
        <v>1042</v>
      </c>
      <c r="E1477" s="10" t="s">
        <v>1043</v>
      </c>
      <c r="F1477" s="10" t="s">
        <v>1044</v>
      </c>
      <c r="G1477" s="8">
        <v>4</v>
      </c>
      <c r="H1477" s="11">
        <v>400</v>
      </c>
      <c r="I1477" s="12">
        <v>42554</v>
      </c>
      <c r="J1477" s="13">
        <f t="shared" si="51"/>
        <v>0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5">
        <f t="shared" si="52"/>
        <v>0</v>
      </c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5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5"/>
      <c r="AX1477" s="7" t="s">
        <v>1045</v>
      </c>
    </row>
    <row r="1478" spans="2:50" x14ac:dyDescent="0.2">
      <c r="B1478" s="7" t="s">
        <v>61</v>
      </c>
      <c r="C1478" s="8">
        <v>12172</v>
      </c>
      <c r="D1478" s="9" t="s">
        <v>214</v>
      </c>
      <c r="E1478" s="10" t="s">
        <v>215</v>
      </c>
      <c r="F1478" s="10" t="s">
        <v>216</v>
      </c>
      <c r="G1478" s="8">
        <v>1</v>
      </c>
      <c r="H1478" s="11">
        <v>400</v>
      </c>
      <c r="I1478" s="12">
        <v>42554</v>
      </c>
      <c r="J1478" s="13">
        <f t="shared" si="51"/>
        <v>0</v>
      </c>
      <c r="K1478" s="14"/>
      <c r="L1478" s="14"/>
      <c r="M1478" s="14">
        <v>200</v>
      </c>
      <c r="N1478" s="14">
        <v>200</v>
      </c>
      <c r="O1478" s="14"/>
      <c r="P1478" s="14"/>
      <c r="Q1478" s="14"/>
      <c r="R1478" s="14"/>
      <c r="S1478" s="14"/>
      <c r="T1478" s="14"/>
      <c r="U1478" s="14"/>
      <c r="V1478" s="14"/>
      <c r="W1478" s="15">
        <f t="shared" si="52"/>
        <v>400</v>
      </c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5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5"/>
      <c r="AX1478" s="16"/>
    </row>
    <row r="1479" spans="2:50" x14ac:dyDescent="0.2">
      <c r="B1479" s="7" t="s">
        <v>73</v>
      </c>
      <c r="C1479" s="8">
        <v>12173</v>
      </c>
      <c r="D1479" s="9" t="s">
        <v>458</v>
      </c>
      <c r="E1479" s="10" t="s">
        <v>459</v>
      </c>
      <c r="F1479" s="10" t="s">
        <v>460</v>
      </c>
      <c r="G1479" s="8">
        <v>4</v>
      </c>
      <c r="H1479" s="11">
        <v>200</v>
      </c>
      <c r="I1479" s="12">
        <v>42554</v>
      </c>
      <c r="J1479" s="13">
        <f t="shared" si="51"/>
        <v>0</v>
      </c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5">
        <f t="shared" si="52"/>
        <v>0</v>
      </c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5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5"/>
      <c r="AX1479" s="7">
        <v>10422906</v>
      </c>
    </row>
    <row r="1480" spans="2:50" x14ac:dyDescent="0.2">
      <c r="B1480" s="7" t="s">
        <v>73</v>
      </c>
      <c r="C1480" s="8">
        <v>12173</v>
      </c>
      <c r="D1480" s="9" t="s">
        <v>458</v>
      </c>
      <c r="E1480" s="10" t="s">
        <v>459</v>
      </c>
      <c r="F1480" s="10" t="s">
        <v>460</v>
      </c>
      <c r="G1480" s="8">
        <v>3</v>
      </c>
      <c r="H1480" s="11">
        <v>200</v>
      </c>
      <c r="I1480" s="12">
        <v>42554</v>
      </c>
      <c r="J1480" s="13">
        <f t="shared" si="51"/>
        <v>0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5">
        <f t="shared" si="52"/>
        <v>0</v>
      </c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5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5"/>
      <c r="AX1480" s="16"/>
    </row>
    <row r="1481" spans="2:50" x14ac:dyDescent="0.2">
      <c r="B1481" s="7" t="s">
        <v>47</v>
      </c>
      <c r="C1481" s="8">
        <v>12174</v>
      </c>
      <c r="D1481" s="9" t="s">
        <v>238</v>
      </c>
      <c r="E1481" s="10" t="s">
        <v>239</v>
      </c>
      <c r="F1481" s="10" t="s">
        <v>240</v>
      </c>
      <c r="G1481" s="8">
        <v>1</v>
      </c>
      <c r="H1481" s="11">
        <v>125</v>
      </c>
      <c r="I1481" s="12">
        <v>42554</v>
      </c>
      <c r="J1481" s="13">
        <f t="shared" si="51"/>
        <v>0</v>
      </c>
      <c r="K1481" s="14"/>
      <c r="L1481" s="14"/>
      <c r="M1481" s="14"/>
      <c r="N1481" s="14"/>
      <c r="O1481" s="14"/>
      <c r="P1481" s="14"/>
      <c r="Q1481" s="14">
        <v>125</v>
      </c>
      <c r="R1481" s="14"/>
      <c r="S1481" s="14"/>
      <c r="T1481" s="14"/>
      <c r="U1481" s="14"/>
      <c r="V1481" s="14"/>
      <c r="W1481" s="15">
        <f t="shared" si="52"/>
        <v>125</v>
      </c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5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5"/>
      <c r="AX1481" s="16"/>
    </row>
    <row r="1482" spans="2:50" x14ac:dyDescent="0.2">
      <c r="B1482" s="7" t="s">
        <v>47</v>
      </c>
      <c r="C1482" s="8">
        <v>12175</v>
      </c>
      <c r="D1482" s="9" t="s">
        <v>425</v>
      </c>
      <c r="E1482" s="10" t="s">
        <v>426</v>
      </c>
      <c r="F1482" s="10" t="s">
        <v>427</v>
      </c>
      <c r="G1482" s="8">
        <v>1</v>
      </c>
      <c r="H1482" s="11">
        <v>400</v>
      </c>
      <c r="I1482" s="12">
        <v>42554</v>
      </c>
      <c r="J1482" s="13">
        <f t="shared" si="51"/>
        <v>0</v>
      </c>
      <c r="K1482" s="14"/>
      <c r="L1482" s="14"/>
      <c r="M1482" s="14"/>
      <c r="N1482" s="14"/>
      <c r="O1482" s="14"/>
      <c r="P1482" s="14"/>
      <c r="Q1482" s="14">
        <v>400</v>
      </c>
      <c r="R1482" s="14"/>
      <c r="S1482" s="14"/>
      <c r="T1482" s="14"/>
      <c r="U1482" s="14"/>
      <c r="V1482" s="14"/>
      <c r="W1482" s="15">
        <f t="shared" si="52"/>
        <v>400</v>
      </c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5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5"/>
      <c r="AX1482" s="16"/>
    </row>
    <row r="1483" spans="2:50" x14ac:dyDescent="0.2">
      <c r="B1483" s="7" t="s">
        <v>37</v>
      </c>
      <c r="C1483" s="8">
        <v>12176</v>
      </c>
      <c r="D1483" s="9" t="s">
        <v>932</v>
      </c>
      <c r="E1483" s="10" t="s">
        <v>933</v>
      </c>
      <c r="F1483" s="10" t="s">
        <v>934</v>
      </c>
      <c r="G1483" s="8">
        <v>1</v>
      </c>
      <c r="H1483" s="11">
        <v>800</v>
      </c>
      <c r="I1483" s="12">
        <v>42554</v>
      </c>
      <c r="J1483" s="13">
        <f t="shared" si="51"/>
        <v>0</v>
      </c>
      <c r="K1483" s="14"/>
      <c r="L1483" s="14"/>
      <c r="M1483" s="14"/>
      <c r="N1483" s="14"/>
      <c r="O1483" s="14"/>
      <c r="P1483" s="14">
        <v>400</v>
      </c>
      <c r="Q1483" s="14">
        <v>400</v>
      </c>
      <c r="R1483" s="14"/>
      <c r="S1483" s="14"/>
      <c r="T1483" s="14"/>
      <c r="U1483" s="14"/>
      <c r="V1483" s="14"/>
      <c r="W1483" s="15">
        <f t="shared" si="52"/>
        <v>800</v>
      </c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5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5"/>
      <c r="AX1483" s="16"/>
    </row>
    <row r="1484" spans="2:50" x14ac:dyDescent="0.2">
      <c r="B1484" s="7" t="s">
        <v>69</v>
      </c>
      <c r="C1484" s="8">
        <v>12177</v>
      </c>
      <c r="D1484" s="9" t="s">
        <v>292</v>
      </c>
      <c r="E1484" s="10" t="s">
        <v>293</v>
      </c>
      <c r="F1484" s="10" t="s">
        <v>294</v>
      </c>
      <c r="G1484" s="8">
        <v>1</v>
      </c>
      <c r="H1484" s="11">
        <v>400</v>
      </c>
      <c r="I1484" s="12">
        <v>42554</v>
      </c>
      <c r="J1484" s="13">
        <f t="shared" si="51"/>
        <v>0</v>
      </c>
      <c r="K1484" s="14"/>
      <c r="L1484" s="14"/>
      <c r="M1484" s="14"/>
      <c r="N1484" s="14"/>
      <c r="O1484" s="14"/>
      <c r="P1484" s="14"/>
      <c r="Q1484" s="14">
        <v>400</v>
      </c>
      <c r="R1484" s="14"/>
      <c r="S1484" s="14"/>
      <c r="T1484" s="14"/>
      <c r="U1484" s="14"/>
      <c r="V1484" s="14"/>
      <c r="W1484" s="15">
        <f t="shared" si="52"/>
        <v>400</v>
      </c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5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5"/>
      <c r="AX1484" s="16"/>
    </row>
    <row r="1485" spans="2:50" x14ac:dyDescent="0.2">
      <c r="B1485" s="7" t="s">
        <v>69</v>
      </c>
      <c r="C1485" s="8">
        <v>12178</v>
      </c>
      <c r="D1485" s="9" t="s">
        <v>831</v>
      </c>
      <c r="E1485" s="10" t="s">
        <v>832</v>
      </c>
      <c r="F1485" s="10" t="s">
        <v>833</v>
      </c>
      <c r="G1485" s="8">
        <v>1</v>
      </c>
      <c r="H1485" s="11">
        <v>800</v>
      </c>
      <c r="I1485" s="12">
        <v>42554</v>
      </c>
      <c r="J1485" s="13">
        <f t="shared" si="51"/>
        <v>0</v>
      </c>
      <c r="K1485" s="14"/>
      <c r="L1485" s="14"/>
      <c r="M1485" s="14"/>
      <c r="N1485" s="14"/>
      <c r="O1485" s="14"/>
      <c r="P1485" s="14">
        <v>400</v>
      </c>
      <c r="Q1485" s="14">
        <v>400</v>
      </c>
      <c r="R1485" s="14"/>
      <c r="S1485" s="14"/>
      <c r="T1485" s="14"/>
      <c r="U1485" s="14"/>
      <c r="V1485" s="14"/>
      <c r="W1485" s="15">
        <f t="shared" si="52"/>
        <v>800</v>
      </c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5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5"/>
      <c r="AX1485" s="16"/>
    </row>
    <row r="1486" spans="2:50" x14ac:dyDescent="0.2">
      <c r="B1486" s="7" t="s">
        <v>37</v>
      </c>
      <c r="C1486" s="8">
        <v>12179</v>
      </c>
      <c r="D1486" s="9" t="s">
        <v>268</v>
      </c>
      <c r="E1486" s="10" t="s">
        <v>269</v>
      </c>
      <c r="F1486" s="10" t="s">
        <v>270</v>
      </c>
      <c r="G1486" s="8">
        <v>1</v>
      </c>
      <c r="H1486" s="11">
        <v>300</v>
      </c>
      <c r="I1486" s="12">
        <v>42554</v>
      </c>
      <c r="J1486" s="13">
        <f t="shared" si="51"/>
        <v>0</v>
      </c>
      <c r="K1486" s="14"/>
      <c r="L1486" s="14"/>
      <c r="M1486" s="14"/>
      <c r="N1486" s="14"/>
      <c r="O1486" s="14"/>
      <c r="P1486" s="14"/>
      <c r="Q1486" s="14">
        <v>300</v>
      </c>
      <c r="R1486" s="14"/>
      <c r="S1486" s="14"/>
      <c r="T1486" s="14"/>
      <c r="U1486" s="14"/>
      <c r="V1486" s="14"/>
      <c r="W1486" s="15">
        <f t="shared" si="52"/>
        <v>300</v>
      </c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5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5"/>
      <c r="AX1486" s="16"/>
    </row>
    <row r="1487" spans="2:50" x14ac:dyDescent="0.2">
      <c r="B1487" s="7" t="s">
        <v>77</v>
      </c>
      <c r="C1487" s="8">
        <v>12180</v>
      </c>
      <c r="D1487" s="9" t="s">
        <v>1046</v>
      </c>
      <c r="E1487" s="10" t="s">
        <v>1047</v>
      </c>
      <c r="F1487" s="10" t="s">
        <v>1048</v>
      </c>
      <c r="G1487" s="8">
        <v>1</v>
      </c>
      <c r="H1487" s="11">
        <v>100</v>
      </c>
      <c r="I1487" s="12">
        <v>42554</v>
      </c>
      <c r="J1487" s="13">
        <f t="shared" si="51"/>
        <v>0</v>
      </c>
      <c r="K1487" s="14"/>
      <c r="L1487" s="14"/>
      <c r="M1487" s="14"/>
      <c r="N1487" s="14"/>
      <c r="O1487" s="14"/>
      <c r="P1487" s="14"/>
      <c r="Q1487" s="14">
        <v>100</v>
      </c>
      <c r="R1487" s="14"/>
      <c r="S1487" s="14"/>
      <c r="T1487" s="14"/>
      <c r="U1487" s="14"/>
      <c r="V1487" s="14"/>
      <c r="W1487" s="15">
        <f t="shared" si="52"/>
        <v>100</v>
      </c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5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5"/>
      <c r="AX1487" s="16"/>
    </row>
    <row r="1488" spans="2:50" x14ac:dyDescent="0.2">
      <c r="B1488" s="7" t="s">
        <v>37</v>
      </c>
      <c r="C1488" s="8">
        <v>12181</v>
      </c>
      <c r="D1488" s="9" t="s">
        <v>177</v>
      </c>
      <c r="E1488" s="10" t="s">
        <v>178</v>
      </c>
      <c r="F1488" s="10" t="s">
        <v>179</v>
      </c>
      <c r="G1488" s="8">
        <v>1</v>
      </c>
      <c r="H1488" s="11">
        <v>400</v>
      </c>
      <c r="I1488" s="12">
        <v>42554</v>
      </c>
      <c r="J1488" s="13">
        <f t="shared" si="51"/>
        <v>0</v>
      </c>
      <c r="K1488" s="14"/>
      <c r="L1488" s="14"/>
      <c r="M1488" s="14"/>
      <c r="N1488" s="14"/>
      <c r="O1488" s="14"/>
      <c r="P1488" s="14"/>
      <c r="Q1488" s="14">
        <v>400</v>
      </c>
      <c r="R1488" s="14"/>
      <c r="S1488" s="14"/>
      <c r="T1488" s="14"/>
      <c r="U1488" s="14"/>
      <c r="V1488" s="14"/>
      <c r="W1488" s="15">
        <f t="shared" si="52"/>
        <v>400</v>
      </c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5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5"/>
      <c r="AX1488" s="16"/>
    </row>
    <row r="1489" spans="2:50" x14ac:dyDescent="0.2">
      <c r="B1489" s="7" t="s">
        <v>73</v>
      </c>
      <c r="C1489" s="8">
        <v>12182</v>
      </c>
      <c r="D1489" s="9" t="s">
        <v>202</v>
      </c>
      <c r="E1489" s="10" t="s">
        <v>203</v>
      </c>
      <c r="F1489" s="10" t="s">
        <v>204</v>
      </c>
      <c r="G1489" s="8">
        <v>1</v>
      </c>
      <c r="H1489" s="11">
        <v>1200</v>
      </c>
      <c r="I1489" s="12">
        <v>42554</v>
      </c>
      <c r="J1489" s="13">
        <f t="shared" ref="J1489:J1552" si="53">IF(G1489=1,SUM(W1489,-H1489),0)</f>
        <v>0</v>
      </c>
      <c r="K1489" s="14"/>
      <c r="L1489" s="14"/>
      <c r="M1489" s="14"/>
      <c r="N1489" s="14"/>
      <c r="O1489" s="14">
        <v>400</v>
      </c>
      <c r="P1489" s="14">
        <v>400</v>
      </c>
      <c r="Q1489" s="14">
        <v>400</v>
      </c>
      <c r="R1489" s="14"/>
      <c r="S1489" s="14"/>
      <c r="T1489" s="14"/>
      <c r="U1489" s="14"/>
      <c r="V1489" s="14"/>
      <c r="W1489" s="15">
        <f t="shared" ref="W1489:W1552" si="54">SUM(K1489:V1489)</f>
        <v>1200</v>
      </c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5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5"/>
      <c r="AX1489" s="16"/>
    </row>
    <row r="1490" spans="2:50" x14ac:dyDescent="0.2">
      <c r="B1490" s="7" t="s">
        <v>391</v>
      </c>
      <c r="C1490" s="8">
        <v>12183</v>
      </c>
      <c r="D1490" s="9" t="s">
        <v>640</v>
      </c>
      <c r="E1490" s="10" t="s">
        <v>641</v>
      </c>
      <c r="F1490" s="10" t="s">
        <v>642</v>
      </c>
      <c r="G1490" s="8">
        <v>1</v>
      </c>
      <c r="H1490" s="11">
        <v>200</v>
      </c>
      <c r="I1490" s="12">
        <v>42554</v>
      </c>
      <c r="J1490" s="13">
        <f t="shared" si="53"/>
        <v>0</v>
      </c>
      <c r="K1490" s="14"/>
      <c r="L1490" s="14"/>
      <c r="M1490" s="14"/>
      <c r="N1490" s="14"/>
      <c r="O1490" s="14"/>
      <c r="P1490" s="14">
        <v>200</v>
      </c>
      <c r="Q1490" s="14"/>
      <c r="R1490" s="14"/>
      <c r="S1490" s="14"/>
      <c r="T1490" s="14"/>
      <c r="U1490" s="14"/>
      <c r="V1490" s="14"/>
      <c r="W1490" s="15">
        <f t="shared" si="54"/>
        <v>200</v>
      </c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5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5"/>
      <c r="AX1490" s="16"/>
    </row>
    <row r="1491" spans="2:50" x14ac:dyDescent="0.2">
      <c r="B1491" s="7" t="s">
        <v>77</v>
      </c>
      <c r="C1491" s="8">
        <v>12184</v>
      </c>
      <c r="D1491" s="9" t="s">
        <v>159</v>
      </c>
      <c r="E1491" s="10" t="s">
        <v>160</v>
      </c>
      <c r="F1491" s="10" t="s">
        <v>161</v>
      </c>
      <c r="G1491" s="8">
        <v>1</v>
      </c>
      <c r="H1491" s="11">
        <v>400</v>
      </c>
      <c r="I1491" s="12">
        <v>42554</v>
      </c>
      <c r="J1491" s="13">
        <f t="shared" si="53"/>
        <v>0</v>
      </c>
      <c r="K1491" s="14"/>
      <c r="L1491" s="14"/>
      <c r="M1491" s="14"/>
      <c r="N1491" s="14"/>
      <c r="O1491" s="14"/>
      <c r="P1491" s="14">
        <v>400</v>
      </c>
      <c r="Q1491" s="14"/>
      <c r="R1491" s="14"/>
      <c r="S1491" s="14"/>
      <c r="T1491" s="14"/>
      <c r="U1491" s="14"/>
      <c r="V1491" s="14"/>
      <c r="W1491" s="15">
        <f t="shared" si="54"/>
        <v>400</v>
      </c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5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5"/>
      <c r="AX1491" s="16"/>
    </row>
    <row r="1492" spans="2:50" x14ac:dyDescent="0.2">
      <c r="B1492" s="7" t="s">
        <v>69</v>
      </c>
      <c r="C1492" s="8">
        <v>12185</v>
      </c>
      <c r="D1492" s="9" t="s">
        <v>186</v>
      </c>
      <c r="E1492" s="10" t="s">
        <v>187</v>
      </c>
      <c r="F1492" s="10" t="s">
        <v>188</v>
      </c>
      <c r="G1492" s="8">
        <v>1</v>
      </c>
      <c r="H1492" s="11">
        <v>400</v>
      </c>
      <c r="I1492" s="12">
        <v>42554</v>
      </c>
      <c r="J1492" s="13">
        <f t="shared" si="53"/>
        <v>0</v>
      </c>
      <c r="K1492" s="14"/>
      <c r="L1492" s="14"/>
      <c r="M1492" s="14"/>
      <c r="N1492" s="14"/>
      <c r="O1492" s="14"/>
      <c r="P1492" s="14"/>
      <c r="Q1492" s="14">
        <v>400</v>
      </c>
      <c r="R1492" s="14"/>
      <c r="S1492" s="14"/>
      <c r="T1492" s="14"/>
      <c r="U1492" s="14"/>
      <c r="V1492" s="14"/>
      <c r="W1492" s="15">
        <f t="shared" si="54"/>
        <v>400</v>
      </c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5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5"/>
      <c r="AX1492" s="16"/>
    </row>
    <row r="1493" spans="2:50" x14ac:dyDescent="0.2">
      <c r="B1493" s="7" t="s">
        <v>47</v>
      </c>
      <c r="C1493" s="8">
        <v>12186</v>
      </c>
      <c r="D1493" s="9" t="s">
        <v>861</v>
      </c>
      <c r="E1493" s="10" t="s">
        <v>862</v>
      </c>
      <c r="F1493" s="10" t="s">
        <v>863</v>
      </c>
      <c r="G1493" s="8">
        <v>1</v>
      </c>
      <c r="H1493" s="11">
        <v>100</v>
      </c>
      <c r="I1493" s="12">
        <v>42554</v>
      </c>
      <c r="J1493" s="13">
        <f t="shared" si="53"/>
        <v>0</v>
      </c>
      <c r="K1493" s="14"/>
      <c r="L1493" s="14"/>
      <c r="M1493" s="14"/>
      <c r="N1493" s="14"/>
      <c r="O1493" s="14"/>
      <c r="P1493" s="14"/>
      <c r="Q1493" s="14">
        <v>100</v>
      </c>
      <c r="R1493" s="14"/>
      <c r="S1493" s="14"/>
      <c r="T1493" s="14"/>
      <c r="U1493" s="14"/>
      <c r="V1493" s="14"/>
      <c r="W1493" s="15">
        <f t="shared" si="54"/>
        <v>100</v>
      </c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5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5"/>
      <c r="AX1493" s="16"/>
    </row>
    <row r="1494" spans="2:50" x14ac:dyDescent="0.2">
      <c r="B1494" s="7" t="s">
        <v>69</v>
      </c>
      <c r="C1494" s="8">
        <v>12187</v>
      </c>
      <c r="D1494" s="9" t="s">
        <v>1049</v>
      </c>
      <c r="E1494" s="10" t="s">
        <v>1050</v>
      </c>
      <c r="F1494" s="10" t="s">
        <v>1051</v>
      </c>
      <c r="G1494" s="8">
        <v>1</v>
      </c>
      <c r="H1494" s="11">
        <v>400</v>
      </c>
      <c r="I1494" s="12">
        <v>42554</v>
      </c>
      <c r="J1494" s="13">
        <f t="shared" si="53"/>
        <v>0</v>
      </c>
      <c r="K1494" s="14"/>
      <c r="L1494" s="14"/>
      <c r="M1494" s="14"/>
      <c r="N1494" s="14"/>
      <c r="O1494" s="14"/>
      <c r="P1494" s="14"/>
      <c r="Q1494" s="14">
        <v>400</v>
      </c>
      <c r="R1494" s="14"/>
      <c r="S1494" s="14"/>
      <c r="T1494" s="14"/>
      <c r="U1494" s="14"/>
      <c r="V1494" s="14"/>
      <c r="W1494" s="15">
        <f t="shared" si="54"/>
        <v>400</v>
      </c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5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5"/>
      <c r="AX1494" s="16"/>
    </row>
    <row r="1495" spans="2:50" x14ac:dyDescent="0.2">
      <c r="B1495" s="7" t="s">
        <v>77</v>
      </c>
      <c r="C1495" s="8">
        <v>12188</v>
      </c>
      <c r="D1495" s="9" t="s">
        <v>1046</v>
      </c>
      <c r="E1495" s="10" t="s">
        <v>1047</v>
      </c>
      <c r="F1495" s="10" t="s">
        <v>1048</v>
      </c>
      <c r="G1495" s="8">
        <v>5</v>
      </c>
      <c r="H1495" s="11">
        <v>150</v>
      </c>
      <c r="I1495" s="12">
        <v>42554</v>
      </c>
      <c r="J1495" s="13">
        <f t="shared" si="53"/>
        <v>0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5">
        <f t="shared" si="54"/>
        <v>0</v>
      </c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5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5"/>
      <c r="AX1495" s="16"/>
    </row>
    <row r="1496" spans="2:50" x14ac:dyDescent="0.2">
      <c r="B1496" s="7" t="s">
        <v>391</v>
      </c>
      <c r="C1496" s="8">
        <v>12189</v>
      </c>
      <c r="D1496" s="9" t="s">
        <v>876</v>
      </c>
      <c r="E1496" s="10" t="s">
        <v>877</v>
      </c>
      <c r="F1496" s="10" t="s">
        <v>878</v>
      </c>
      <c r="G1496" s="8">
        <v>5</v>
      </c>
      <c r="H1496" s="11">
        <v>50</v>
      </c>
      <c r="I1496" s="12">
        <v>42554</v>
      </c>
      <c r="J1496" s="13">
        <f t="shared" si="53"/>
        <v>0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5">
        <f t="shared" si="54"/>
        <v>0</v>
      </c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5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5"/>
      <c r="AX1496" s="16"/>
    </row>
    <row r="1497" spans="2:50" x14ac:dyDescent="0.2">
      <c r="B1497" s="7" t="s">
        <v>73</v>
      </c>
      <c r="C1497" s="8">
        <v>12190</v>
      </c>
      <c r="D1497" s="9" t="s">
        <v>202</v>
      </c>
      <c r="E1497" s="10" t="s">
        <v>203</v>
      </c>
      <c r="F1497" s="10" t="s">
        <v>204</v>
      </c>
      <c r="G1497" s="8">
        <v>5</v>
      </c>
      <c r="H1497" s="11">
        <v>150</v>
      </c>
      <c r="I1497" s="12">
        <v>42554</v>
      </c>
      <c r="J1497" s="13">
        <f t="shared" si="53"/>
        <v>0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5">
        <f t="shared" si="54"/>
        <v>0</v>
      </c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5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5"/>
      <c r="AX1497" s="16"/>
    </row>
    <row r="1498" spans="2:50" x14ac:dyDescent="0.2">
      <c r="B1498" s="7" t="s">
        <v>391</v>
      </c>
      <c r="C1498" s="8">
        <v>12191</v>
      </c>
      <c r="D1498" s="9" t="s">
        <v>640</v>
      </c>
      <c r="E1498" s="10" t="s">
        <v>641</v>
      </c>
      <c r="F1498" s="10" t="s">
        <v>642</v>
      </c>
      <c r="G1498" s="8">
        <v>5</v>
      </c>
      <c r="H1498" s="11">
        <v>50</v>
      </c>
      <c r="I1498" s="12">
        <v>42554</v>
      </c>
      <c r="J1498" s="13">
        <f t="shared" si="53"/>
        <v>0</v>
      </c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5">
        <f t="shared" si="54"/>
        <v>0</v>
      </c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5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5"/>
      <c r="AX1498" s="16"/>
    </row>
    <row r="1499" spans="2:50" x14ac:dyDescent="0.2">
      <c r="B1499" s="7" t="s">
        <v>77</v>
      </c>
      <c r="C1499" s="8">
        <v>12192</v>
      </c>
      <c r="D1499" s="9" t="s">
        <v>159</v>
      </c>
      <c r="E1499" s="10" t="s">
        <v>160</v>
      </c>
      <c r="F1499" s="10" t="s">
        <v>161</v>
      </c>
      <c r="G1499" s="8">
        <v>5</v>
      </c>
      <c r="H1499" s="11">
        <v>250</v>
      </c>
      <c r="I1499" s="12">
        <v>42554</v>
      </c>
      <c r="J1499" s="13">
        <f t="shared" si="53"/>
        <v>0</v>
      </c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5">
        <f t="shared" si="54"/>
        <v>0</v>
      </c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5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5"/>
      <c r="AX1499" s="16"/>
    </row>
    <row r="1500" spans="2:50" x14ac:dyDescent="0.2">
      <c r="B1500" s="7" t="s">
        <v>47</v>
      </c>
      <c r="C1500" s="8">
        <v>12193</v>
      </c>
      <c r="D1500" s="9" t="s">
        <v>861</v>
      </c>
      <c r="E1500" s="10" t="s">
        <v>862</v>
      </c>
      <c r="F1500" s="10" t="s">
        <v>863</v>
      </c>
      <c r="G1500" s="8">
        <v>5</v>
      </c>
      <c r="H1500" s="11">
        <v>100</v>
      </c>
      <c r="I1500" s="12">
        <v>42554</v>
      </c>
      <c r="J1500" s="13">
        <f t="shared" si="53"/>
        <v>0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5">
        <f t="shared" si="54"/>
        <v>0</v>
      </c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5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5"/>
      <c r="AX1500" s="16"/>
    </row>
    <row r="1501" spans="2:50" x14ac:dyDescent="0.2">
      <c r="B1501" s="7" t="s">
        <v>73</v>
      </c>
      <c r="C1501" s="8">
        <v>12194</v>
      </c>
      <c r="D1501" s="9" t="s">
        <v>1052</v>
      </c>
      <c r="E1501" s="10" t="s">
        <v>1053</v>
      </c>
      <c r="F1501" s="10" t="s">
        <v>1054</v>
      </c>
      <c r="G1501" s="8">
        <v>5</v>
      </c>
      <c r="H1501" s="11">
        <v>200</v>
      </c>
      <c r="I1501" s="12">
        <v>42554</v>
      </c>
      <c r="J1501" s="13">
        <f t="shared" si="53"/>
        <v>0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5">
        <f t="shared" si="54"/>
        <v>0</v>
      </c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5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5"/>
      <c r="AX1501" s="16"/>
    </row>
    <row r="1502" spans="2:50" x14ac:dyDescent="0.2">
      <c r="B1502" s="7" t="s">
        <v>37</v>
      </c>
      <c r="C1502" s="8">
        <v>12195</v>
      </c>
      <c r="D1502" s="9" t="s">
        <v>488</v>
      </c>
      <c r="E1502" s="10" t="s">
        <v>489</v>
      </c>
      <c r="F1502" s="10" t="s">
        <v>490</v>
      </c>
      <c r="G1502" s="8">
        <v>5</v>
      </c>
      <c r="H1502" s="11">
        <v>50</v>
      </c>
      <c r="I1502" s="12">
        <v>42554</v>
      </c>
      <c r="J1502" s="13">
        <f t="shared" si="53"/>
        <v>0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5">
        <f t="shared" si="54"/>
        <v>0</v>
      </c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5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5"/>
      <c r="AX1502" s="16"/>
    </row>
    <row r="1503" spans="2:50" x14ac:dyDescent="0.2">
      <c r="B1503" s="7" t="s">
        <v>47</v>
      </c>
      <c r="C1503" s="8">
        <v>12196</v>
      </c>
      <c r="D1503" s="9" t="s">
        <v>183</v>
      </c>
      <c r="E1503" s="10" t="s">
        <v>184</v>
      </c>
      <c r="F1503" s="10" t="s">
        <v>185</v>
      </c>
      <c r="G1503" s="8">
        <v>5</v>
      </c>
      <c r="H1503" s="11">
        <v>150</v>
      </c>
      <c r="I1503" s="12">
        <v>42554</v>
      </c>
      <c r="J1503" s="13">
        <f t="shared" si="53"/>
        <v>0</v>
      </c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5">
        <f t="shared" si="54"/>
        <v>0</v>
      </c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5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5"/>
      <c r="AX1503" s="16"/>
    </row>
    <row r="1504" spans="2:50" x14ac:dyDescent="0.2">
      <c r="B1504" s="7" t="s">
        <v>47</v>
      </c>
      <c r="C1504" s="8">
        <v>12197</v>
      </c>
      <c r="D1504" s="9" t="s">
        <v>65</v>
      </c>
      <c r="E1504" s="10" t="s">
        <v>66</v>
      </c>
      <c r="F1504" s="10" t="s">
        <v>67</v>
      </c>
      <c r="G1504" s="8">
        <v>5</v>
      </c>
      <c r="H1504" s="11">
        <v>150</v>
      </c>
      <c r="I1504" s="12">
        <v>42554</v>
      </c>
      <c r="J1504" s="13">
        <f t="shared" si="53"/>
        <v>0</v>
      </c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5">
        <f t="shared" si="54"/>
        <v>0</v>
      </c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5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5"/>
      <c r="AX1504" s="16"/>
    </row>
    <row r="1505" spans="2:50" x14ac:dyDescent="0.2">
      <c r="B1505" s="7" t="s">
        <v>73</v>
      </c>
      <c r="C1505" s="8">
        <v>12198</v>
      </c>
      <c r="D1505" s="9" t="s">
        <v>1055</v>
      </c>
      <c r="E1505" s="10" t="s">
        <v>1056</v>
      </c>
      <c r="F1505" s="10" t="s">
        <v>1057</v>
      </c>
      <c r="G1505" s="8">
        <v>5</v>
      </c>
      <c r="H1505" s="11">
        <v>100</v>
      </c>
      <c r="I1505" s="12">
        <v>42554</v>
      </c>
      <c r="J1505" s="13">
        <f t="shared" si="53"/>
        <v>0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5">
        <f t="shared" si="54"/>
        <v>0</v>
      </c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5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5"/>
      <c r="AX1505" s="16"/>
    </row>
    <row r="1506" spans="2:50" x14ac:dyDescent="0.2">
      <c r="B1506" s="7" t="s">
        <v>69</v>
      </c>
      <c r="C1506" s="8">
        <v>12199</v>
      </c>
      <c r="D1506" s="9" t="s">
        <v>678</v>
      </c>
      <c r="E1506" s="10" t="s">
        <v>679</v>
      </c>
      <c r="F1506" s="10" t="s">
        <v>680</v>
      </c>
      <c r="G1506" s="8">
        <v>5</v>
      </c>
      <c r="H1506" s="11">
        <v>100</v>
      </c>
      <c r="I1506" s="12">
        <v>42554</v>
      </c>
      <c r="J1506" s="13">
        <f t="shared" si="53"/>
        <v>0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5">
        <f t="shared" si="54"/>
        <v>0</v>
      </c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5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5"/>
      <c r="AX1506" s="16"/>
    </row>
    <row r="1507" spans="2:50" x14ac:dyDescent="0.2">
      <c r="B1507" s="7" t="s">
        <v>47</v>
      </c>
      <c r="C1507" s="8">
        <v>12200</v>
      </c>
      <c r="D1507" s="9" t="s">
        <v>48</v>
      </c>
      <c r="E1507" s="10" t="s">
        <v>49</v>
      </c>
      <c r="F1507" s="10" t="s">
        <v>50</v>
      </c>
      <c r="G1507" s="8">
        <v>5</v>
      </c>
      <c r="H1507" s="11">
        <v>200</v>
      </c>
      <c r="I1507" s="12">
        <v>42554</v>
      </c>
      <c r="J1507" s="13">
        <f t="shared" si="53"/>
        <v>0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5">
        <f t="shared" si="54"/>
        <v>0</v>
      </c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5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5"/>
      <c r="AX1507" s="16"/>
    </row>
    <row r="1508" spans="2:50" x14ac:dyDescent="0.2">
      <c r="B1508" s="7" t="s">
        <v>69</v>
      </c>
      <c r="C1508" s="8">
        <v>12201</v>
      </c>
      <c r="D1508" s="9" t="s">
        <v>437</v>
      </c>
      <c r="E1508" s="10" t="s">
        <v>438</v>
      </c>
      <c r="F1508" s="10" t="s">
        <v>439</v>
      </c>
      <c r="G1508" s="8">
        <v>5</v>
      </c>
      <c r="H1508" s="11">
        <v>50</v>
      </c>
      <c r="I1508" s="12">
        <v>42554</v>
      </c>
      <c r="J1508" s="13">
        <f t="shared" si="53"/>
        <v>0</v>
      </c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5">
        <f t="shared" si="54"/>
        <v>0</v>
      </c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5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5"/>
      <c r="AX1508" s="16"/>
    </row>
    <row r="1509" spans="2:50" x14ac:dyDescent="0.2">
      <c r="B1509" s="7" t="s">
        <v>47</v>
      </c>
      <c r="C1509" s="8">
        <v>12202</v>
      </c>
      <c r="D1509" s="9" t="s">
        <v>328</v>
      </c>
      <c r="E1509" s="10" t="s">
        <v>329</v>
      </c>
      <c r="F1509" s="10" t="s">
        <v>330</v>
      </c>
      <c r="G1509" s="8">
        <v>5</v>
      </c>
      <c r="H1509" s="11">
        <v>400</v>
      </c>
      <c r="I1509" s="12">
        <v>42554</v>
      </c>
      <c r="J1509" s="13">
        <f t="shared" si="53"/>
        <v>0</v>
      </c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5">
        <f t="shared" si="54"/>
        <v>0</v>
      </c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5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5"/>
      <c r="AX1509" s="16"/>
    </row>
    <row r="1510" spans="2:50" x14ac:dyDescent="0.2">
      <c r="B1510" s="7" t="s">
        <v>69</v>
      </c>
      <c r="C1510" s="8">
        <v>12201</v>
      </c>
      <c r="D1510" s="9" t="s">
        <v>147</v>
      </c>
      <c r="E1510" s="10" t="s">
        <v>148</v>
      </c>
      <c r="F1510" s="10" t="s">
        <v>149</v>
      </c>
      <c r="G1510" s="8">
        <v>5</v>
      </c>
      <c r="H1510" s="11">
        <v>200</v>
      </c>
      <c r="I1510" s="12">
        <v>42554</v>
      </c>
      <c r="J1510" s="13">
        <f t="shared" si="53"/>
        <v>0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5">
        <f t="shared" si="54"/>
        <v>0</v>
      </c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5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5"/>
      <c r="AX1510" s="16"/>
    </row>
    <row r="1511" spans="2:50" x14ac:dyDescent="0.2">
      <c r="B1511" s="7" t="s">
        <v>47</v>
      </c>
      <c r="C1511" s="8">
        <v>12204</v>
      </c>
      <c r="D1511" s="9" t="s">
        <v>1058</v>
      </c>
      <c r="E1511" s="10" t="s">
        <v>1059</v>
      </c>
      <c r="F1511" s="10" t="s">
        <v>1060</v>
      </c>
      <c r="G1511" s="8">
        <v>5</v>
      </c>
      <c r="H1511" s="11">
        <v>100</v>
      </c>
      <c r="I1511" s="12">
        <v>42554</v>
      </c>
      <c r="J1511" s="13">
        <f t="shared" si="53"/>
        <v>0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5">
        <f t="shared" si="54"/>
        <v>0</v>
      </c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5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5"/>
      <c r="AX1511" s="16"/>
    </row>
    <row r="1512" spans="2:50" x14ac:dyDescent="0.2">
      <c r="B1512" s="7" t="s">
        <v>37</v>
      </c>
      <c r="C1512" s="8">
        <v>12205</v>
      </c>
      <c r="D1512" s="9" t="s">
        <v>935</v>
      </c>
      <c r="E1512" s="10" t="s">
        <v>936</v>
      </c>
      <c r="F1512" s="10" t="s">
        <v>937</v>
      </c>
      <c r="G1512" s="8">
        <v>5</v>
      </c>
      <c r="H1512" s="11">
        <v>50</v>
      </c>
      <c r="I1512" s="12">
        <v>42554</v>
      </c>
      <c r="J1512" s="13">
        <f t="shared" si="53"/>
        <v>0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5">
        <f t="shared" si="54"/>
        <v>0</v>
      </c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5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5"/>
      <c r="AX1512" s="16"/>
    </row>
    <row r="1513" spans="2:50" x14ac:dyDescent="0.2">
      <c r="B1513" s="7" t="s">
        <v>69</v>
      </c>
      <c r="C1513" s="8">
        <v>12206</v>
      </c>
      <c r="D1513" s="9" t="s">
        <v>791</v>
      </c>
      <c r="E1513" s="10" t="s">
        <v>792</v>
      </c>
      <c r="F1513" s="10" t="s">
        <v>793</v>
      </c>
      <c r="G1513" s="8">
        <v>5</v>
      </c>
      <c r="H1513" s="11">
        <v>150</v>
      </c>
      <c r="I1513" s="12">
        <v>42554</v>
      </c>
      <c r="J1513" s="13">
        <f t="shared" si="53"/>
        <v>0</v>
      </c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5">
        <f t="shared" si="54"/>
        <v>0</v>
      </c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5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5"/>
      <c r="AX1513" s="16"/>
    </row>
    <row r="1514" spans="2:50" x14ac:dyDescent="0.2">
      <c r="B1514" s="7" t="s">
        <v>69</v>
      </c>
      <c r="C1514" s="8">
        <v>12221</v>
      </c>
      <c r="D1514" s="9" t="s">
        <v>301</v>
      </c>
      <c r="E1514" s="10" t="s">
        <v>302</v>
      </c>
      <c r="F1514" s="10" t="s">
        <v>303</v>
      </c>
      <c r="G1514" s="8">
        <v>1</v>
      </c>
      <c r="H1514" s="11">
        <v>200</v>
      </c>
      <c r="I1514" s="12">
        <v>42554</v>
      </c>
      <c r="J1514" s="13">
        <f t="shared" si="53"/>
        <v>0</v>
      </c>
      <c r="K1514" s="14"/>
      <c r="L1514" s="14"/>
      <c r="M1514" s="14"/>
      <c r="N1514" s="14"/>
      <c r="O1514" s="14"/>
      <c r="P1514" s="14"/>
      <c r="Q1514" s="14">
        <v>200</v>
      </c>
      <c r="R1514" s="14"/>
      <c r="S1514" s="14"/>
      <c r="T1514" s="14"/>
      <c r="U1514" s="14"/>
      <c r="V1514" s="14"/>
      <c r="W1514" s="15">
        <f t="shared" si="54"/>
        <v>200</v>
      </c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5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5"/>
      <c r="AX1514" s="16"/>
    </row>
    <row r="1515" spans="2:50" x14ac:dyDescent="0.2">
      <c r="B1515" s="7" t="s">
        <v>69</v>
      </c>
      <c r="C1515" s="8">
        <v>12222</v>
      </c>
      <c r="D1515" s="9" t="s">
        <v>165</v>
      </c>
      <c r="E1515" s="10" t="s">
        <v>166</v>
      </c>
      <c r="F1515" s="10" t="s">
        <v>167</v>
      </c>
      <c r="G1515" s="8">
        <v>1</v>
      </c>
      <c r="H1515" s="11">
        <v>350</v>
      </c>
      <c r="I1515" s="12">
        <v>42554</v>
      </c>
      <c r="J1515" s="13">
        <f t="shared" si="53"/>
        <v>0</v>
      </c>
      <c r="K1515" s="14"/>
      <c r="L1515" s="14"/>
      <c r="M1515" s="14"/>
      <c r="N1515" s="14"/>
      <c r="O1515" s="14"/>
      <c r="P1515" s="14"/>
      <c r="Q1515" s="14">
        <v>350</v>
      </c>
      <c r="R1515" s="14"/>
      <c r="S1515" s="14"/>
      <c r="T1515" s="14"/>
      <c r="U1515" s="14"/>
      <c r="V1515" s="14"/>
      <c r="W1515" s="15">
        <f t="shared" si="54"/>
        <v>350</v>
      </c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5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5"/>
      <c r="AX1515" s="16"/>
    </row>
    <row r="1516" spans="2:50" x14ac:dyDescent="0.2">
      <c r="B1516" s="7" t="s">
        <v>73</v>
      </c>
      <c r="C1516" s="8">
        <v>12223</v>
      </c>
      <c r="D1516" s="9" t="s">
        <v>1055</v>
      </c>
      <c r="E1516" s="10" t="s">
        <v>1056</v>
      </c>
      <c r="F1516" s="10" t="s">
        <v>1057</v>
      </c>
      <c r="G1516" s="8">
        <v>1</v>
      </c>
      <c r="H1516" s="11">
        <v>600</v>
      </c>
      <c r="I1516" s="12">
        <v>42554</v>
      </c>
      <c r="J1516" s="13">
        <f t="shared" si="53"/>
        <v>0</v>
      </c>
      <c r="K1516" s="14"/>
      <c r="L1516" s="14"/>
      <c r="M1516" s="14"/>
      <c r="N1516" s="14"/>
      <c r="O1516" s="14">
        <v>200</v>
      </c>
      <c r="P1516" s="14">
        <v>200</v>
      </c>
      <c r="Q1516" s="14">
        <v>200</v>
      </c>
      <c r="R1516" s="14"/>
      <c r="S1516" s="14"/>
      <c r="T1516" s="14"/>
      <c r="U1516" s="14"/>
      <c r="V1516" s="14"/>
      <c r="W1516" s="15">
        <f t="shared" si="54"/>
        <v>600</v>
      </c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5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5"/>
      <c r="AX1516" s="16"/>
    </row>
    <row r="1517" spans="2:50" x14ac:dyDescent="0.2">
      <c r="B1517" s="7" t="s">
        <v>37</v>
      </c>
      <c r="C1517" s="8">
        <v>12224</v>
      </c>
      <c r="D1517" s="9" t="s">
        <v>395</v>
      </c>
      <c r="E1517" s="10" t="s">
        <v>396</v>
      </c>
      <c r="F1517" s="10" t="s">
        <v>397</v>
      </c>
      <c r="G1517" s="8">
        <v>1</v>
      </c>
      <c r="H1517" s="11">
        <v>150</v>
      </c>
      <c r="I1517" s="12">
        <v>42554</v>
      </c>
      <c r="J1517" s="13">
        <f t="shared" si="53"/>
        <v>0</v>
      </c>
      <c r="K1517" s="14"/>
      <c r="L1517" s="14"/>
      <c r="M1517" s="14"/>
      <c r="N1517" s="14"/>
      <c r="O1517" s="14"/>
      <c r="P1517" s="14"/>
      <c r="Q1517" s="14">
        <v>150</v>
      </c>
      <c r="R1517" s="14"/>
      <c r="S1517" s="14"/>
      <c r="T1517" s="14"/>
      <c r="U1517" s="14"/>
      <c r="V1517" s="14"/>
      <c r="W1517" s="15">
        <f t="shared" si="54"/>
        <v>150</v>
      </c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5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5"/>
      <c r="AX1517" s="16"/>
    </row>
    <row r="1518" spans="2:50" x14ac:dyDescent="0.2">
      <c r="B1518" s="7" t="s">
        <v>69</v>
      </c>
      <c r="C1518" s="8">
        <v>12225</v>
      </c>
      <c r="D1518" s="9" t="s">
        <v>678</v>
      </c>
      <c r="E1518" s="10" t="s">
        <v>679</v>
      </c>
      <c r="F1518" s="10" t="s">
        <v>680</v>
      </c>
      <c r="G1518" s="8">
        <v>1</v>
      </c>
      <c r="H1518" s="11">
        <v>400</v>
      </c>
      <c r="I1518" s="12">
        <v>42554</v>
      </c>
      <c r="J1518" s="13">
        <f t="shared" si="53"/>
        <v>0</v>
      </c>
      <c r="K1518" s="14"/>
      <c r="L1518" s="14"/>
      <c r="M1518" s="14"/>
      <c r="N1518" s="14"/>
      <c r="O1518" s="14"/>
      <c r="P1518" s="14"/>
      <c r="Q1518" s="14">
        <v>400</v>
      </c>
      <c r="R1518" s="14"/>
      <c r="S1518" s="14"/>
      <c r="T1518" s="14"/>
      <c r="U1518" s="14"/>
      <c r="V1518" s="14"/>
      <c r="W1518" s="15">
        <f t="shared" si="54"/>
        <v>400</v>
      </c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5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5"/>
      <c r="AX1518" s="16"/>
    </row>
    <row r="1519" spans="2:50" x14ac:dyDescent="0.2">
      <c r="B1519" s="7" t="s">
        <v>47</v>
      </c>
      <c r="C1519" s="8">
        <v>12226</v>
      </c>
      <c r="D1519" s="9" t="s">
        <v>171</v>
      </c>
      <c r="E1519" s="10" t="s">
        <v>172</v>
      </c>
      <c r="F1519" s="10" t="s">
        <v>173</v>
      </c>
      <c r="G1519" s="8">
        <v>1</v>
      </c>
      <c r="H1519" s="11">
        <v>400</v>
      </c>
      <c r="I1519" s="12">
        <v>42554</v>
      </c>
      <c r="J1519" s="13">
        <f t="shared" si="53"/>
        <v>0</v>
      </c>
      <c r="K1519" s="14"/>
      <c r="L1519" s="14"/>
      <c r="M1519" s="14"/>
      <c r="N1519" s="14"/>
      <c r="O1519" s="14"/>
      <c r="P1519" s="14"/>
      <c r="Q1519" s="14">
        <v>400</v>
      </c>
      <c r="R1519" s="14"/>
      <c r="S1519" s="14"/>
      <c r="T1519" s="14"/>
      <c r="U1519" s="14"/>
      <c r="V1519" s="14"/>
      <c r="W1519" s="15">
        <f t="shared" si="54"/>
        <v>400</v>
      </c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5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5"/>
      <c r="AX1519" s="16"/>
    </row>
    <row r="1520" spans="2:50" x14ac:dyDescent="0.2">
      <c r="B1520" s="7" t="s">
        <v>47</v>
      </c>
      <c r="C1520" s="8">
        <v>12227</v>
      </c>
      <c r="D1520" s="9" t="s">
        <v>48</v>
      </c>
      <c r="E1520" s="10" t="s">
        <v>49</v>
      </c>
      <c r="F1520" s="10" t="s">
        <v>50</v>
      </c>
      <c r="G1520" s="8">
        <v>1</v>
      </c>
      <c r="H1520" s="11">
        <v>400</v>
      </c>
      <c r="I1520" s="12">
        <v>42554</v>
      </c>
      <c r="J1520" s="13">
        <f t="shared" si="53"/>
        <v>0</v>
      </c>
      <c r="K1520" s="14"/>
      <c r="L1520" s="14"/>
      <c r="M1520" s="14"/>
      <c r="N1520" s="14"/>
      <c r="O1520" s="14"/>
      <c r="P1520" s="14"/>
      <c r="Q1520" s="14">
        <v>400</v>
      </c>
      <c r="R1520" s="14"/>
      <c r="S1520" s="14"/>
      <c r="T1520" s="14"/>
      <c r="U1520" s="14"/>
      <c r="V1520" s="14"/>
      <c r="W1520" s="15">
        <f t="shared" si="54"/>
        <v>400</v>
      </c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5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5"/>
      <c r="AX1520" s="16"/>
    </row>
    <row r="1521" spans="2:50" x14ac:dyDescent="0.2">
      <c r="B1521" s="7" t="s">
        <v>47</v>
      </c>
      <c r="C1521" s="8">
        <v>12228</v>
      </c>
      <c r="D1521" s="9" t="s">
        <v>183</v>
      </c>
      <c r="E1521" s="10" t="s">
        <v>184</v>
      </c>
      <c r="F1521" s="10" t="s">
        <v>185</v>
      </c>
      <c r="G1521" s="8">
        <v>3</v>
      </c>
      <c r="H1521" s="11">
        <v>200</v>
      </c>
      <c r="I1521" s="12">
        <v>42554</v>
      </c>
      <c r="J1521" s="13">
        <f t="shared" si="53"/>
        <v>0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5">
        <f t="shared" si="54"/>
        <v>0</v>
      </c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5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5"/>
      <c r="AX1521" s="16"/>
    </row>
    <row r="1522" spans="2:50" x14ac:dyDescent="0.2">
      <c r="B1522" s="7" t="s">
        <v>69</v>
      </c>
      <c r="C1522" s="8">
        <v>12229</v>
      </c>
      <c r="D1522" s="9" t="s">
        <v>437</v>
      </c>
      <c r="E1522" s="10" t="s">
        <v>438</v>
      </c>
      <c r="F1522" s="10" t="s">
        <v>439</v>
      </c>
      <c r="G1522" s="8">
        <v>1</v>
      </c>
      <c r="H1522" s="11">
        <v>400</v>
      </c>
      <c r="I1522" s="12">
        <v>42554</v>
      </c>
      <c r="J1522" s="13">
        <f t="shared" si="53"/>
        <v>0</v>
      </c>
      <c r="K1522" s="14"/>
      <c r="L1522" s="14"/>
      <c r="M1522" s="14"/>
      <c r="N1522" s="14"/>
      <c r="O1522" s="14"/>
      <c r="P1522" s="14"/>
      <c r="Q1522" s="14">
        <v>400</v>
      </c>
      <c r="R1522" s="14"/>
      <c r="S1522" s="14"/>
      <c r="T1522" s="14"/>
      <c r="U1522" s="14"/>
      <c r="V1522" s="14"/>
      <c r="W1522" s="15">
        <f t="shared" si="54"/>
        <v>400</v>
      </c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5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5"/>
      <c r="AX1522" s="16"/>
    </row>
    <row r="1523" spans="2:50" x14ac:dyDescent="0.2">
      <c r="B1523" s="7" t="s">
        <v>37</v>
      </c>
      <c r="C1523" s="8">
        <v>12230</v>
      </c>
      <c r="D1523" s="9" t="s">
        <v>905</v>
      </c>
      <c r="E1523" s="10" t="s">
        <v>906</v>
      </c>
      <c r="F1523" s="10" t="s">
        <v>907</v>
      </c>
      <c r="G1523" s="8">
        <v>1</v>
      </c>
      <c r="H1523" s="11">
        <v>200</v>
      </c>
      <c r="I1523" s="12">
        <v>42554</v>
      </c>
      <c r="J1523" s="13">
        <f t="shared" si="53"/>
        <v>0</v>
      </c>
      <c r="K1523" s="14"/>
      <c r="L1523" s="14"/>
      <c r="M1523" s="14"/>
      <c r="N1523" s="14"/>
      <c r="O1523" s="14"/>
      <c r="P1523" s="14">
        <v>200</v>
      </c>
      <c r="Q1523" s="14"/>
      <c r="R1523" s="14"/>
      <c r="S1523" s="14"/>
      <c r="T1523" s="14"/>
      <c r="U1523" s="14"/>
      <c r="V1523" s="14"/>
      <c r="W1523" s="15">
        <f t="shared" si="54"/>
        <v>200</v>
      </c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5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5"/>
      <c r="AX1523" s="16"/>
    </row>
    <row r="1524" spans="2:50" x14ac:dyDescent="0.2">
      <c r="B1524" s="7" t="s">
        <v>37</v>
      </c>
      <c r="C1524" s="8">
        <v>12231</v>
      </c>
      <c r="D1524" s="9" t="s">
        <v>526</v>
      </c>
      <c r="E1524" s="10" t="s">
        <v>527</v>
      </c>
      <c r="F1524" s="10" t="s">
        <v>528</v>
      </c>
      <c r="G1524" s="8">
        <v>1</v>
      </c>
      <c r="H1524" s="11">
        <v>400</v>
      </c>
      <c r="I1524" s="12">
        <v>42554</v>
      </c>
      <c r="J1524" s="13">
        <f t="shared" si="53"/>
        <v>0</v>
      </c>
      <c r="K1524" s="14"/>
      <c r="L1524" s="14"/>
      <c r="M1524" s="14"/>
      <c r="N1524" s="14"/>
      <c r="O1524" s="14"/>
      <c r="P1524" s="14">
        <v>400</v>
      </c>
      <c r="Q1524" s="14"/>
      <c r="R1524" s="14"/>
      <c r="S1524" s="14"/>
      <c r="T1524" s="14"/>
      <c r="U1524" s="14"/>
      <c r="V1524" s="14"/>
      <c r="W1524" s="15">
        <f t="shared" si="54"/>
        <v>400</v>
      </c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5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5"/>
      <c r="AX1524" s="16"/>
    </row>
    <row r="1525" spans="2:50" x14ac:dyDescent="0.2">
      <c r="B1525" s="7" t="s">
        <v>47</v>
      </c>
      <c r="C1525" s="8">
        <v>12232</v>
      </c>
      <c r="D1525" s="9" t="s">
        <v>328</v>
      </c>
      <c r="E1525" s="10" t="s">
        <v>329</v>
      </c>
      <c r="F1525" s="10" t="s">
        <v>330</v>
      </c>
      <c r="G1525" s="8">
        <v>1</v>
      </c>
      <c r="H1525" s="11">
        <v>400</v>
      </c>
      <c r="I1525" s="12">
        <v>42554</v>
      </c>
      <c r="J1525" s="13">
        <f t="shared" si="53"/>
        <v>0</v>
      </c>
      <c r="K1525" s="14"/>
      <c r="L1525" s="14"/>
      <c r="M1525" s="14"/>
      <c r="N1525" s="14"/>
      <c r="O1525" s="14"/>
      <c r="P1525" s="14"/>
      <c r="Q1525" s="14">
        <v>400</v>
      </c>
      <c r="R1525" s="14"/>
      <c r="S1525" s="14"/>
      <c r="T1525" s="14"/>
      <c r="U1525" s="14"/>
      <c r="V1525" s="14"/>
      <c r="W1525" s="15">
        <f t="shared" si="54"/>
        <v>400</v>
      </c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5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5"/>
      <c r="AX1525" s="16"/>
    </row>
    <row r="1526" spans="2:50" x14ac:dyDescent="0.2">
      <c r="B1526" s="7" t="s">
        <v>73</v>
      </c>
      <c r="C1526" s="8">
        <v>12233</v>
      </c>
      <c r="D1526" s="9" t="s">
        <v>611</v>
      </c>
      <c r="E1526" s="10" t="s">
        <v>612</v>
      </c>
      <c r="F1526" s="10" t="s">
        <v>613</v>
      </c>
      <c r="G1526" s="8">
        <v>1</v>
      </c>
      <c r="H1526" s="11">
        <v>400</v>
      </c>
      <c r="I1526" s="12">
        <v>42554</v>
      </c>
      <c r="J1526" s="13">
        <f t="shared" si="53"/>
        <v>0</v>
      </c>
      <c r="K1526" s="14"/>
      <c r="L1526" s="14"/>
      <c r="M1526" s="14"/>
      <c r="N1526" s="14"/>
      <c r="O1526" s="14"/>
      <c r="P1526" s="14"/>
      <c r="Q1526" s="14">
        <v>400</v>
      </c>
      <c r="R1526" s="14"/>
      <c r="S1526" s="14"/>
      <c r="T1526" s="14"/>
      <c r="U1526" s="14"/>
      <c r="V1526" s="14"/>
      <c r="W1526" s="15">
        <f t="shared" si="54"/>
        <v>400</v>
      </c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5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5"/>
      <c r="AX1526" s="16"/>
    </row>
    <row r="1527" spans="2:50" x14ac:dyDescent="0.2">
      <c r="B1527" s="7" t="s">
        <v>47</v>
      </c>
      <c r="C1527" s="8">
        <v>12234</v>
      </c>
      <c r="D1527" s="9" t="s">
        <v>153</v>
      </c>
      <c r="E1527" s="10" t="s">
        <v>154</v>
      </c>
      <c r="F1527" s="10" t="s">
        <v>155</v>
      </c>
      <c r="G1527" s="8">
        <v>1</v>
      </c>
      <c r="H1527" s="11">
        <v>400</v>
      </c>
      <c r="I1527" s="12">
        <v>42554</v>
      </c>
      <c r="J1527" s="13">
        <f t="shared" si="53"/>
        <v>0</v>
      </c>
      <c r="K1527" s="14"/>
      <c r="L1527" s="14"/>
      <c r="M1527" s="14"/>
      <c r="N1527" s="14"/>
      <c r="O1527" s="14"/>
      <c r="P1527" s="14"/>
      <c r="Q1527" s="14">
        <v>400</v>
      </c>
      <c r="R1527" s="14"/>
      <c r="S1527" s="14"/>
      <c r="T1527" s="14"/>
      <c r="U1527" s="14"/>
      <c r="V1527" s="14"/>
      <c r="W1527" s="15">
        <f t="shared" si="54"/>
        <v>400</v>
      </c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5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5"/>
      <c r="AX1527" s="16"/>
    </row>
    <row r="1528" spans="2:50" x14ac:dyDescent="0.2">
      <c r="B1528" s="7" t="s">
        <v>69</v>
      </c>
      <c r="C1528" s="8">
        <v>12235</v>
      </c>
      <c r="D1528" s="9" t="s">
        <v>147</v>
      </c>
      <c r="E1528" s="10" t="s">
        <v>148</v>
      </c>
      <c r="F1528" s="10" t="s">
        <v>149</v>
      </c>
      <c r="G1528" s="8">
        <v>3</v>
      </c>
      <c r="H1528" s="11">
        <v>200</v>
      </c>
      <c r="I1528" s="12">
        <v>42554</v>
      </c>
      <c r="J1528" s="13">
        <f t="shared" si="53"/>
        <v>0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5">
        <f t="shared" si="54"/>
        <v>0</v>
      </c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5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5"/>
      <c r="AX1528" s="16"/>
    </row>
    <row r="1529" spans="2:50" x14ac:dyDescent="0.2">
      <c r="B1529" s="7" t="s">
        <v>73</v>
      </c>
      <c r="C1529" s="8">
        <v>12236</v>
      </c>
      <c r="D1529" s="9" t="s">
        <v>523</v>
      </c>
      <c r="E1529" s="10" t="s">
        <v>524</v>
      </c>
      <c r="F1529" s="10" t="s">
        <v>525</v>
      </c>
      <c r="G1529" s="8">
        <v>1</v>
      </c>
      <c r="H1529" s="11">
        <v>400</v>
      </c>
      <c r="I1529" s="12">
        <v>42554</v>
      </c>
      <c r="J1529" s="13">
        <f t="shared" si="53"/>
        <v>0</v>
      </c>
      <c r="K1529" s="14"/>
      <c r="L1529" s="14"/>
      <c r="M1529" s="14"/>
      <c r="N1529" s="14"/>
      <c r="O1529" s="14"/>
      <c r="P1529" s="14">
        <v>400</v>
      </c>
      <c r="Q1529" s="14"/>
      <c r="R1529" s="14"/>
      <c r="S1529" s="14"/>
      <c r="T1529" s="14"/>
      <c r="U1529" s="14"/>
      <c r="V1529" s="14"/>
      <c r="W1529" s="15">
        <f t="shared" si="54"/>
        <v>400</v>
      </c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5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5"/>
      <c r="AX1529" s="16"/>
    </row>
    <row r="1530" spans="2:50" x14ac:dyDescent="0.2">
      <c r="B1530" s="7" t="s">
        <v>37</v>
      </c>
      <c r="C1530" s="8">
        <v>12237</v>
      </c>
      <c r="D1530" s="9" t="s">
        <v>935</v>
      </c>
      <c r="E1530" s="10" t="s">
        <v>936</v>
      </c>
      <c r="F1530" s="10" t="s">
        <v>937</v>
      </c>
      <c r="G1530" s="8">
        <v>1</v>
      </c>
      <c r="H1530" s="11">
        <v>500</v>
      </c>
      <c r="I1530" s="12">
        <v>42554</v>
      </c>
      <c r="J1530" s="13">
        <f t="shared" si="53"/>
        <v>0</v>
      </c>
      <c r="K1530" s="14"/>
      <c r="L1530" s="14"/>
      <c r="M1530" s="14"/>
      <c r="N1530" s="14"/>
      <c r="O1530" s="14">
        <v>250</v>
      </c>
      <c r="P1530" s="14">
        <v>250</v>
      </c>
      <c r="Q1530" s="14"/>
      <c r="R1530" s="14"/>
      <c r="S1530" s="14"/>
      <c r="T1530" s="14"/>
      <c r="U1530" s="14"/>
      <c r="V1530" s="14"/>
      <c r="W1530" s="15">
        <f t="shared" si="54"/>
        <v>500</v>
      </c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5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5"/>
      <c r="AX1530" s="16"/>
    </row>
    <row r="1531" spans="2:50" x14ac:dyDescent="0.2">
      <c r="B1531" s="7" t="s">
        <v>47</v>
      </c>
      <c r="C1531" s="8">
        <v>12238</v>
      </c>
      <c r="D1531" s="9" t="s">
        <v>313</v>
      </c>
      <c r="E1531" s="10" t="s">
        <v>314</v>
      </c>
      <c r="F1531" s="10" t="s">
        <v>315</v>
      </c>
      <c r="G1531" s="8">
        <v>1</v>
      </c>
      <c r="H1531" s="11">
        <v>400</v>
      </c>
      <c r="I1531" s="12">
        <v>42554</v>
      </c>
      <c r="J1531" s="13">
        <f t="shared" si="53"/>
        <v>0</v>
      </c>
      <c r="K1531" s="14"/>
      <c r="L1531" s="14"/>
      <c r="M1531" s="14"/>
      <c r="N1531" s="14"/>
      <c r="O1531" s="14"/>
      <c r="P1531" s="14"/>
      <c r="Q1531" s="14">
        <v>400</v>
      </c>
      <c r="R1531" s="14"/>
      <c r="S1531" s="14"/>
      <c r="T1531" s="14"/>
      <c r="U1531" s="14"/>
      <c r="V1531" s="14"/>
      <c r="W1531" s="15">
        <f t="shared" si="54"/>
        <v>400</v>
      </c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5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5"/>
      <c r="AX1531" s="16"/>
    </row>
    <row r="1532" spans="2:50" x14ac:dyDescent="0.2">
      <c r="B1532" s="7" t="s">
        <v>37</v>
      </c>
      <c r="C1532" s="8">
        <v>12239</v>
      </c>
      <c r="D1532" s="9" t="s">
        <v>520</v>
      </c>
      <c r="E1532" s="10" t="s">
        <v>521</v>
      </c>
      <c r="F1532" s="10" t="s">
        <v>522</v>
      </c>
      <c r="G1532" s="8">
        <v>1</v>
      </c>
      <c r="H1532" s="11">
        <v>800</v>
      </c>
      <c r="I1532" s="12">
        <v>42554</v>
      </c>
      <c r="J1532" s="13">
        <f t="shared" si="53"/>
        <v>0</v>
      </c>
      <c r="K1532" s="14"/>
      <c r="L1532" s="14"/>
      <c r="M1532" s="14"/>
      <c r="N1532" s="14"/>
      <c r="O1532" s="14"/>
      <c r="P1532" s="14"/>
      <c r="Q1532" s="14">
        <v>400</v>
      </c>
      <c r="R1532" s="14">
        <v>400</v>
      </c>
      <c r="S1532" s="14"/>
      <c r="T1532" s="14"/>
      <c r="U1532" s="14"/>
      <c r="V1532" s="14"/>
      <c r="W1532" s="15">
        <f t="shared" si="54"/>
        <v>800</v>
      </c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5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5"/>
      <c r="AX1532" s="16"/>
    </row>
    <row r="1533" spans="2:50" x14ac:dyDescent="0.2">
      <c r="B1533" s="7" t="s">
        <v>77</v>
      </c>
      <c r="C1533" s="8">
        <v>12240</v>
      </c>
      <c r="D1533" s="9" t="s">
        <v>652</v>
      </c>
      <c r="E1533" s="10" t="s">
        <v>653</v>
      </c>
      <c r="F1533" s="10" t="s">
        <v>654</v>
      </c>
      <c r="G1533" s="8">
        <v>1</v>
      </c>
      <c r="H1533" s="11">
        <v>800</v>
      </c>
      <c r="I1533" s="12">
        <v>42554</v>
      </c>
      <c r="J1533" s="13">
        <f t="shared" si="53"/>
        <v>0</v>
      </c>
      <c r="K1533" s="14"/>
      <c r="L1533" s="14"/>
      <c r="M1533" s="14"/>
      <c r="N1533" s="14">
        <v>400</v>
      </c>
      <c r="O1533" s="14">
        <v>400</v>
      </c>
      <c r="P1533" s="14"/>
      <c r="Q1533" s="14"/>
      <c r="R1533" s="14"/>
      <c r="S1533" s="14"/>
      <c r="T1533" s="14"/>
      <c r="U1533" s="14"/>
      <c r="V1533" s="14"/>
      <c r="W1533" s="15">
        <f t="shared" si="54"/>
        <v>800</v>
      </c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5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5"/>
      <c r="AX1533" s="16"/>
    </row>
    <row r="1534" spans="2:50" x14ac:dyDescent="0.2">
      <c r="B1534" s="7" t="s">
        <v>69</v>
      </c>
      <c r="C1534" s="8">
        <v>12241</v>
      </c>
      <c r="D1534" s="9" t="s">
        <v>791</v>
      </c>
      <c r="E1534" s="10" t="s">
        <v>792</v>
      </c>
      <c r="F1534" s="10" t="s">
        <v>793</v>
      </c>
      <c r="G1534" s="8">
        <v>1</v>
      </c>
      <c r="H1534" s="11">
        <v>1200</v>
      </c>
      <c r="I1534" s="12">
        <v>42554</v>
      </c>
      <c r="J1534" s="13">
        <f t="shared" si="53"/>
        <v>0</v>
      </c>
      <c r="K1534" s="14"/>
      <c r="L1534" s="14"/>
      <c r="M1534" s="14">
        <v>400</v>
      </c>
      <c r="N1534" s="14">
        <v>400</v>
      </c>
      <c r="O1534" s="14">
        <v>400</v>
      </c>
      <c r="P1534" s="14"/>
      <c r="Q1534" s="14"/>
      <c r="R1534" s="14"/>
      <c r="S1534" s="14"/>
      <c r="T1534" s="14"/>
      <c r="U1534" s="14"/>
      <c r="V1534" s="14"/>
      <c r="W1534" s="15">
        <f t="shared" si="54"/>
        <v>1200</v>
      </c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5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5"/>
      <c r="AX1534" s="16"/>
    </row>
    <row r="1535" spans="2:50" x14ac:dyDescent="0.2">
      <c r="B1535" s="7" t="s">
        <v>37</v>
      </c>
      <c r="C1535" s="8">
        <v>12207</v>
      </c>
      <c r="D1535" s="9" t="s">
        <v>205</v>
      </c>
      <c r="E1535" s="10" t="s">
        <v>206</v>
      </c>
      <c r="F1535" s="10" t="s">
        <v>207</v>
      </c>
      <c r="G1535" s="8">
        <v>1</v>
      </c>
      <c r="H1535" s="11">
        <v>600</v>
      </c>
      <c r="I1535" s="12">
        <v>42554</v>
      </c>
      <c r="J1535" s="13">
        <f t="shared" si="53"/>
        <v>0</v>
      </c>
      <c r="K1535" s="14"/>
      <c r="L1535" s="14"/>
      <c r="M1535" s="14"/>
      <c r="N1535" s="14"/>
      <c r="O1535" s="14"/>
      <c r="P1535" s="14">
        <v>600</v>
      </c>
      <c r="Q1535" s="14"/>
      <c r="R1535" s="14"/>
      <c r="S1535" s="14"/>
      <c r="T1535" s="14"/>
      <c r="U1535" s="14"/>
      <c r="V1535" s="14"/>
      <c r="W1535" s="15">
        <f t="shared" si="54"/>
        <v>600</v>
      </c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5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5"/>
      <c r="AX1535" s="16"/>
    </row>
    <row r="1536" spans="2:50" x14ac:dyDescent="0.2">
      <c r="B1536" s="7" t="s">
        <v>37</v>
      </c>
      <c r="C1536" s="8">
        <v>12207</v>
      </c>
      <c r="D1536" s="9" t="s">
        <v>205</v>
      </c>
      <c r="E1536" s="10" t="s">
        <v>206</v>
      </c>
      <c r="F1536" s="10" t="s">
        <v>207</v>
      </c>
      <c r="G1536" s="8">
        <v>5</v>
      </c>
      <c r="H1536" s="11">
        <v>250</v>
      </c>
      <c r="I1536" s="12">
        <v>42554</v>
      </c>
      <c r="J1536" s="13">
        <f t="shared" si="53"/>
        <v>0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5">
        <f t="shared" si="54"/>
        <v>0</v>
      </c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5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5"/>
      <c r="AX1536" s="16"/>
    </row>
    <row r="1537" spans="2:50" x14ac:dyDescent="0.2">
      <c r="B1537" s="7" t="s">
        <v>77</v>
      </c>
      <c r="C1537" s="8">
        <v>12208</v>
      </c>
      <c r="D1537" s="9" t="s">
        <v>78</v>
      </c>
      <c r="E1537" s="10" t="s">
        <v>79</v>
      </c>
      <c r="F1537" s="10" t="s">
        <v>80</v>
      </c>
      <c r="G1537" s="8">
        <v>3</v>
      </c>
      <c r="H1537" s="11">
        <v>400</v>
      </c>
      <c r="I1537" s="12">
        <v>42555</v>
      </c>
      <c r="J1537" s="13">
        <f t="shared" si="53"/>
        <v>0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5">
        <f t="shared" si="54"/>
        <v>0</v>
      </c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5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5"/>
      <c r="AX1537" s="16"/>
    </row>
    <row r="1538" spans="2:50" x14ac:dyDescent="0.2">
      <c r="B1538" s="7" t="s">
        <v>77</v>
      </c>
      <c r="C1538" s="8">
        <v>12208</v>
      </c>
      <c r="D1538" s="9" t="s">
        <v>78</v>
      </c>
      <c r="E1538" s="10" t="s">
        <v>79</v>
      </c>
      <c r="F1538" s="10" t="s">
        <v>80</v>
      </c>
      <c r="G1538" s="8">
        <v>4</v>
      </c>
      <c r="H1538" s="11">
        <v>200</v>
      </c>
      <c r="I1538" s="12">
        <v>42555</v>
      </c>
      <c r="J1538" s="13">
        <f t="shared" si="53"/>
        <v>0</v>
      </c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5">
        <f t="shared" si="54"/>
        <v>0</v>
      </c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5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5"/>
      <c r="AX1538" s="7">
        <v>10422916</v>
      </c>
    </row>
    <row r="1539" spans="2:50" x14ac:dyDescent="0.2">
      <c r="B1539" s="7" t="s">
        <v>77</v>
      </c>
      <c r="C1539" s="8">
        <v>12208</v>
      </c>
      <c r="D1539" s="9" t="s">
        <v>78</v>
      </c>
      <c r="E1539" s="10" t="s">
        <v>79</v>
      </c>
      <c r="F1539" s="10" t="s">
        <v>80</v>
      </c>
      <c r="G1539" s="8">
        <v>5</v>
      </c>
      <c r="H1539" s="11">
        <v>450</v>
      </c>
      <c r="I1539" s="12">
        <v>42555</v>
      </c>
      <c r="J1539" s="13">
        <f t="shared" si="53"/>
        <v>0</v>
      </c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5">
        <f t="shared" si="54"/>
        <v>0</v>
      </c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5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5"/>
      <c r="AX1539" s="16"/>
    </row>
    <row r="1540" spans="2:50" x14ac:dyDescent="0.2">
      <c r="B1540" s="7" t="s">
        <v>47</v>
      </c>
      <c r="C1540" s="8">
        <v>12209</v>
      </c>
      <c r="D1540" s="9" t="s">
        <v>464</v>
      </c>
      <c r="E1540" s="10" t="s">
        <v>465</v>
      </c>
      <c r="F1540" s="10" t="s">
        <v>466</v>
      </c>
      <c r="G1540" s="8">
        <v>1</v>
      </c>
      <c r="H1540" s="11">
        <v>600</v>
      </c>
      <c r="I1540" s="12">
        <v>42555</v>
      </c>
      <c r="J1540" s="13">
        <f t="shared" si="53"/>
        <v>0</v>
      </c>
      <c r="K1540" s="14"/>
      <c r="L1540" s="14"/>
      <c r="M1540" s="14"/>
      <c r="N1540" s="14"/>
      <c r="O1540" s="14">
        <v>200</v>
      </c>
      <c r="P1540" s="14">
        <v>200</v>
      </c>
      <c r="Q1540" s="14">
        <v>200</v>
      </c>
      <c r="R1540" s="14"/>
      <c r="S1540" s="14"/>
      <c r="T1540" s="14"/>
      <c r="U1540" s="14"/>
      <c r="V1540" s="14"/>
      <c r="W1540" s="15">
        <f t="shared" si="54"/>
        <v>600</v>
      </c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5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5"/>
      <c r="AX1540" s="16"/>
    </row>
    <row r="1541" spans="2:50" x14ac:dyDescent="0.2">
      <c r="B1541" s="7" t="s">
        <v>47</v>
      </c>
      <c r="C1541" s="8">
        <v>12209</v>
      </c>
      <c r="D1541" s="9" t="s">
        <v>464</v>
      </c>
      <c r="E1541" s="10" t="s">
        <v>465</v>
      </c>
      <c r="F1541" s="10" t="s">
        <v>466</v>
      </c>
      <c r="G1541" s="8">
        <v>5</v>
      </c>
      <c r="H1541" s="11">
        <v>250</v>
      </c>
      <c r="I1541" s="12">
        <v>42555</v>
      </c>
      <c r="J1541" s="13">
        <f t="shared" si="53"/>
        <v>0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5">
        <f t="shared" si="54"/>
        <v>0</v>
      </c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5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5"/>
      <c r="AX1541" s="16"/>
    </row>
    <row r="1542" spans="2:50" x14ac:dyDescent="0.2">
      <c r="B1542" s="7" t="s">
        <v>47</v>
      </c>
      <c r="C1542" s="8">
        <v>12210</v>
      </c>
      <c r="D1542" s="9" t="s">
        <v>464</v>
      </c>
      <c r="E1542" s="10" t="s">
        <v>465</v>
      </c>
      <c r="F1542" s="10" t="s">
        <v>466</v>
      </c>
      <c r="G1542" s="8">
        <v>3</v>
      </c>
      <c r="H1542" s="11">
        <v>200</v>
      </c>
      <c r="I1542" s="12">
        <v>42558</v>
      </c>
      <c r="J1542" s="13">
        <f t="shared" si="53"/>
        <v>0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5">
        <f t="shared" si="54"/>
        <v>0</v>
      </c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5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5"/>
      <c r="AX1542" s="16"/>
    </row>
    <row r="1543" spans="2:50" x14ac:dyDescent="0.2">
      <c r="B1543" s="7" t="s">
        <v>73</v>
      </c>
      <c r="C1543" s="8">
        <v>12211</v>
      </c>
      <c r="D1543" s="9" t="s">
        <v>1061</v>
      </c>
      <c r="E1543" s="10" t="s">
        <v>1062</v>
      </c>
      <c r="F1543" s="10" t="s">
        <v>1063</v>
      </c>
      <c r="G1543" s="8">
        <v>1</v>
      </c>
      <c r="H1543" s="11">
        <v>200</v>
      </c>
      <c r="I1543" s="12">
        <v>42555</v>
      </c>
      <c r="J1543" s="13">
        <f t="shared" si="53"/>
        <v>0</v>
      </c>
      <c r="K1543" s="14"/>
      <c r="L1543" s="14"/>
      <c r="M1543" s="14"/>
      <c r="N1543" s="14"/>
      <c r="O1543" s="14"/>
      <c r="P1543" s="14"/>
      <c r="Q1543" s="14">
        <v>200</v>
      </c>
      <c r="R1543" s="14"/>
      <c r="S1543" s="14"/>
      <c r="T1543" s="14"/>
      <c r="U1543" s="14"/>
      <c r="V1543" s="14"/>
      <c r="W1543" s="15">
        <f t="shared" si="54"/>
        <v>200</v>
      </c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5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5"/>
      <c r="AX1543" s="16"/>
    </row>
    <row r="1544" spans="2:50" x14ac:dyDescent="0.2">
      <c r="B1544" s="7" t="s">
        <v>73</v>
      </c>
      <c r="C1544" s="8">
        <v>12212</v>
      </c>
      <c r="D1544" s="9" t="s">
        <v>1064</v>
      </c>
      <c r="E1544" s="10" t="s">
        <v>1065</v>
      </c>
      <c r="F1544" s="10" t="s">
        <v>1066</v>
      </c>
      <c r="G1544" s="8">
        <v>1</v>
      </c>
      <c r="H1544" s="11">
        <v>100</v>
      </c>
      <c r="I1544" s="12">
        <v>42555</v>
      </c>
      <c r="J1544" s="13">
        <f t="shared" si="53"/>
        <v>0</v>
      </c>
      <c r="K1544" s="14"/>
      <c r="L1544" s="14"/>
      <c r="M1544" s="14"/>
      <c r="N1544" s="14"/>
      <c r="O1544" s="14"/>
      <c r="P1544" s="14"/>
      <c r="Q1544" s="14">
        <v>100</v>
      </c>
      <c r="R1544" s="14"/>
      <c r="S1544" s="14"/>
      <c r="T1544" s="14"/>
      <c r="U1544" s="14"/>
      <c r="V1544" s="14"/>
      <c r="W1544" s="15">
        <f t="shared" si="54"/>
        <v>100</v>
      </c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5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5"/>
      <c r="AX1544" s="16"/>
    </row>
    <row r="1545" spans="2:50" x14ac:dyDescent="0.2">
      <c r="B1545" s="7" t="s">
        <v>73</v>
      </c>
      <c r="C1545" s="8">
        <v>12213</v>
      </c>
      <c r="D1545" s="9" t="s">
        <v>1064</v>
      </c>
      <c r="E1545" s="10" t="s">
        <v>1065</v>
      </c>
      <c r="F1545" s="10" t="s">
        <v>1066</v>
      </c>
      <c r="G1545" s="8">
        <v>5</v>
      </c>
      <c r="H1545" s="11">
        <v>100</v>
      </c>
      <c r="I1545" s="12">
        <v>42555</v>
      </c>
      <c r="J1545" s="13">
        <f t="shared" si="53"/>
        <v>0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5">
        <f t="shared" si="54"/>
        <v>0</v>
      </c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5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5"/>
      <c r="AX1545" s="16"/>
    </row>
    <row r="1546" spans="2:50" x14ac:dyDescent="0.2">
      <c r="B1546" s="7" t="s">
        <v>47</v>
      </c>
      <c r="C1546" s="8">
        <v>12214</v>
      </c>
      <c r="D1546" s="9" t="s">
        <v>807</v>
      </c>
      <c r="E1546" s="10" t="s">
        <v>808</v>
      </c>
      <c r="F1546" s="10" t="s">
        <v>809</v>
      </c>
      <c r="G1546" s="8">
        <v>1</v>
      </c>
      <c r="H1546" s="11">
        <v>400</v>
      </c>
      <c r="I1546" s="12">
        <v>42559</v>
      </c>
      <c r="J1546" s="13">
        <f t="shared" si="53"/>
        <v>0</v>
      </c>
      <c r="K1546" s="14"/>
      <c r="L1546" s="14"/>
      <c r="M1546" s="14"/>
      <c r="N1546" s="14"/>
      <c r="O1546" s="14">
        <v>200</v>
      </c>
      <c r="P1546" s="14">
        <v>200</v>
      </c>
      <c r="Q1546" s="14"/>
      <c r="R1546" s="14"/>
      <c r="S1546" s="14"/>
      <c r="T1546" s="14"/>
      <c r="U1546" s="14"/>
      <c r="V1546" s="14"/>
      <c r="W1546" s="15">
        <f t="shared" si="54"/>
        <v>400</v>
      </c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5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5"/>
      <c r="AX1546" s="16"/>
    </row>
    <row r="1547" spans="2:50" x14ac:dyDescent="0.2">
      <c r="B1547" s="7" t="s">
        <v>37</v>
      </c>
      <c r="C1547" s="8">
        <v>12215</v>
      </c>
      <c r="D1547" s="9" t="s">
        <v>669</v>
      </c>
      <c r="E1547" s="10" t="s">
        <v>670</v>
      </c>
      <c r="F1547" s="10" t="s">
        <v>671</v>
      </c>
      <c r="G1547" s="8">
        <v>1</v>
      </c>
      <c r="H1547" s="11">
        <v>400</v>
      </c>
      <c r="I1547" s="12">
        <v>42559</v>
      </c>
      <c r="J1547" s="13">
        <f t="shared" si="53"/>
        <v>0</v>
      </c>
      <c r="K1547" s="14"/>
      <c r="L1547" s="14"/>
      <c r="M1547" s="14"/>
      <c r="N1547" s="14"/>
      <c r="O1547" s="14">
        <v>400</v>
      </c>
      <c r="P1547" s="14"/>
      <c r="Q1547" s="14"/>
      <c r="R1547" s="14"/>
      <c r="S1547" s="14"/>
      <c r="T1547" s="14"/>
      <c r="U1547" s="14"/>
      <c r="V1547" s="14"/>
      <c r="W1547" s="15">
        <f t="shared" si="54"/>
        <v>400</v>
      </c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5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5"/>
      <c r="AX1547" s="16"/>
    </row>
    <row r="1548" spans="2:50" x14ac:dyDescent="0.2">
      <c r="B1548" s="7" t="s">
        <v>69</v>
      </c>
      <c r="C1548" s="8">
        <v>12216</v>
      </c>
      <c r="D1548" s="9" t="s">
        <v>1067</v>
      </c>
      <c r="E1548" s="10" t="s">
        <v>1068</v>
      </c>
      <c r="F1548" s="10" t="s">
        <v>1069</v>
      </c>
      <c r="G1548" s="8">
        <v>1</v>
      </c>
      <c r="H1548" s="11">
        <v>200</v>
      </c>
      <c r="I1548" s="12">
        <v>42559</v>
      </c>
      <c r="J1548" s="13">
        <f t="shared" si="53"/>
        <v>0</v>
      </c>
      <c r="K1548" s="14"/>
      <c r="L1548" s="14"/>
      <c r="M1548" s="14"/>
      <c r="N1548" s="14"/>
      <c r="O1548" s="14"/>
      <c r="P1548" s="14"/>
      <c r="Q1548" s="14">
        <v>200</v>
      </c>
      <c r="R1548" s="14"/>
      <c r="S1548" s="14"/>
      <c r="T1548" s="14"/>
      <c r="U1548" s="14"/>
      <c r="V1548" s="14"/>
      <c r="W1548" s="15">
        <f t="shared" si="54"/>
        <v>200</v>
      </c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5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5"/>
      <c r="AX1548" s="16"/>
    </row>
    <row r="1549" spans="2:50" x14ac:dyDescent="0.2">
      <c r="B1549" s="7" t="s">
        <v>69</v>
      </c>
      <c r="C1549" s="8">
        <v>12216</v>
      </c>
      <c r="D1549" s="9" t="s">
        <v>1067</v>
      </c>
      <c r="E1549" s="10" t="s">
        <v>1068</v>
      </c>
      <c r="F1549" s="10" t="s">
        <v>1069</v>
      </c>
      <c r="G1549" s="8">
        <v>5</v>
      </c>
      <c r="H1549" s="11">
        <v>150</v>
      </c>
      <c r="I1549" s="12">
        <v>42559</v>
      </c>
      <c r="J1549" s="13">
        <f t="shared" si="53"/>
        <v>0</v>
      </c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5">
        <f t="shared" si="54"/>
        <v>0</v>
      </c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5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5"/>
      <c r="AX1549" s="16"/>
    </row>
    <row r="1550" spans="2:50" x14ac:dyDescent="0.2">
      <c r="B1550" s="7" t="s">
        <v>47</v>
      </c>
      <c r="C1550" s="8">
        <v>12217</v>
      </c>
      <c r="D1550" s="9" t="s">
        <v>810</v>
      </c>
      <c r="E1550" s="10" t="s">
        <v>811</v>
      </c>
      <c r="F1550" s="10" t="s">
        <v>812</v>
      </c>
      <c r="G1550" s="8">
        <v>1</v>
      </c>
      <c r="H1550" s="11">
        <v>800</v>
      </c>
      <c r="I1550" s="12">
        <v>42559</v>
      </c>
      <c r="J1550" s="13">
        <f t="shared" si="53"/>
        <v>0</v>
      </c>
      <c r="K1550" s="14"/>
      <c r="L1550" s="14"/>
      <c r="M1550" s="14">
        <v>200</v>
      </c>
      <c r="N1550" s="14">
        <v>200</v>
      </c>
      <c r="O1550" s="14">
        <v>200</v>
      </c>
      <c r="P1550" s="14">
        <v>200</v>
      </c>
      <c r="Q1550" s="14"/>
      <c r="R1550" s="14"/>
      <c r="S1550" s="14"/>
      <c r="T1550" s="14"/>
      <c r="U1550" s="14"/>
      <c r="V1550" s="14"/>
      <c r="W1550" s="15">
        <f t="shared" si="54"/>
        <v>800</v>
      </c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5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5"/>
      <c r="AX1550" s="16"/>
    </row>
    <row r="1551" spans="2:50" x14ac:dyDescent="0.2">
      <c r="B1551" s="7" t="s">
        <v>47</v>
      </c>
      <c r="C1551" s="8">
        <v>12218</v>
      </c>
      <c r="D1551" s="9" t="s">
        <v>1070</v>
      </c>
      <c r="E1551" s="10" t="s">
        <v>1071</v>
      </c>
      <c r="F1551" s="10" t="s">
        <v>1072</v>
      </c>
      <c r="G1551" s="8">
        <v>5</v>
      </c>
      <c r="H1551" s="11">
        <v>200</v>
      </c>
      <c r="I1551" s="12">
        <v>42559</v>
      </c>
      <c r="J1551" s="13">
        <f t="shared" si="53"/>
        <v>0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5">
        <f t="shared" si="54"/>
        <v>0</v>
      </c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5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5"/>
      <c r="AX1551" s="16"/>
    </row>
    <row r="1552" spans="2:50" x14ac:dyDescent="0.2">
      <c r="B1552" s="7" t="s">
        <v>37</v>
      </c>
      <c r="C1552" s="8">
        <v>12219</v>
      </c>
      <c r="D1552" s="9" t="s">
        <v>192</v>
      </c>
      <c r="E1552" s="10" t="s">
        <v>193</v>
      </c>
      <c r="F1552" s="10" t="s">
        <v>194</v>
      </c>
      <c r="G1552" s="8">
        <v>5</v>
      </c>
      <c r="H1552" s="11">
        <v>50</v>
      </c>
      <c r="I1552" s="12">
        <v>42559</v>
      </c>
      <c r="J1552" s="13">
        <f t="shared" si="53"/>
        <v>0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5">
        <f t="shared" si="54"/>
        <v>0</v>
      </c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5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5"/>
      <c r="AX1552" s="16"/>
    </row>
    <row r="1553" spans="2:50" x14ac:dyDescent="0.2">
      <c r="B1553" s="7" t="s">
        <v>47</v>
      </c>
      <c r="C1553" s="8">
        <v>12220</v>
      </c>
      <c r="D1553" s="9" t="s">
        <v>434</v>
      </c>
      <c r="E1553" s="10" t="s">
        <v>435</v>
      </c>
      <c r="F1553" s="10" t="s">
        <v>436</v>
      </c>
      <c r="G1553" s="8">
        <v>5</v>
      </c>
      <c r="H1553" s="11">
        <v>100</v>
      </c>
      <c r="I1553" s="12">
        <v>42561</v>
      </c>
      <c r="J1553" s="13">
        <f t="shared" ref="J1553:J1616" si="55">IF(G1553=1,SUM(W1553,-H1553),0)</f>
        <v>0</v>
      </c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5">
        <f t="shared" ref="W1553:W1616" si="56">SUM(K1553:V1553)</f>
        <v>0</v>
      </c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5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5"/>
      <c r="AX1553" s="16"/>
    </row>
    <row r="1554" spans="2:50" x14ac:dyDescent="0.2">
      <c r="B1554" s="7" t="s">
        <v>37</v>
      </c>
      <c r="C1554" s="8">
        <v>12242</v>
      </c>
      <c r="D1554" s="9" t="s">
        <v>446</v>
      </c>
      <c r="E1554" s="10" t="s">
        <v>447</v>
      </c>
      <c r="F1554" s="10" t="s">
        <v>448</v>
      </c>
      <c r="G1554" s="8">
        <v>5</v>
      </c>
      <c r="H1554" s="11">
        <v>150</v>
      </c>
      <c r="I1554" s="12">
        <v>42561</v>
      </c>
      <c r="J1554" s="13">
        <f t="shared" si="55"/>
        <v>0</v>
      </c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5">
        <f t="shared" si="56"/>
        <v>0</v>
      </c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5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5"/>
      <c r="AX1554" s="16"/>
    </row>
    <row r="1555" spans="2:50" x14ac:dyDescent="0.2">
      <c r="B1555" s="7" t="s">
        <v>47</v>
      </c>
      <c r="C1555" s="8">
        <v>12243</v>
      </c>
      <c r="D1555" s="9" t="s">
        <v>823</v>
      </c>
      <c r="E1555" s="10" t="s">
        <v>824</v>
      </c>
      <c r="F1555" s="10" t="s">
        <v>765</v>
      </c>
      <c r="G1555" s="8">
        <v>5</v>
      </c>
      <c r="H1555" s="11">
        <v>200</v>
      </c>
      <c r="I1555" s="12">
        <v>42561</v>
      </c>
      <c r="J1555" s="13">
        <f t="shared" si="55"/>
        <v>0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5">
        <f t="shared" si="56"/>
        <v>0</v>
      </c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5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5"/>
      <c r="AX1555" s="16"/>
    </row>
    <row r="1556" spans="2:50" x14ac:dyDescent="0.2">
      <c r="B1556" s="7" t="s">
        <v>73</v>
      </c>
      <c r="C1556" s="8">
        <v>12244</v>
      </c>
      <c r="D1556" s="9" t="s">
        <v>532</v>
      </c>
      <c r="E1556" s="10" t="s">
        <v>533</v>
      </c>
      <c r="F1556" s="10" t="s">
        <v>534</v>
      </c>
      <c r="G1556" s="8">
        <v>5</v>
      </c>
      <c r="H1556" s="11">
        <v>150</v>
      </c>
      <c r="I1556" s="12">
        <v>42561</v>
      </c>
      <c r="J1556" s="13">
        <f t="shared" si="55"/>
        <v>0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5">
        <f t="shared" si="56"/>
        <v>0</v>
      </c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5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5"/>
      <c r="AX1556" s="16"/>
    </row>
    <row r="1557" spans="2:50" x14ac:dyDescent="0.2">
      <c r="B1557" s="7" t="s">
        <v>391</v>
      </c>
      <c r="C1557" s="8">
        <v>12245</v>
      </c>
      <c r="D1557" s="9" t="s">
        <v>482</v>
      </c>
      <c r="E1557" s="10" t="s">
        <v>483</v>
      </c>
      <c r="F1557" s="10" t="s">
        <v>484</v>
      </c>
      <c r="G1557" s="8">
        <v>5</v>
      </c>
      <c r="H1557" s="11">
        <v>100</v>
      </c>
      <c r="I1557" s="12">
        <v>42561</v>
      </c>
      <c r="J1557" s="13">
        <f t="shared" si="55"/>
        <v>0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5">
        <f t="shared" si="56"/>
        <v>0</v>
      </c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5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5"/>
      <c r="AX1557" s="16"/>
    </row>
    <row r="1558" spans="2:50" x14ac:dyDescent="0.2">
      <c r="B1558" s="7" t="s">
        <v>73</v>
      </c>
      <c r="C1558" s="8">
        <v>12246</v>
      </c>
      <c r="D1558" s="9" t="s">
        <v>316</v>
      </c>
      <c r="E1558" s="10" t="s">
        <v>317</v>
      </c>
      <c r="F1558" s="10" t="s">
        <v>318</v>
      </c>
      <c r="G1558" s="8">
        <v>5</v>
      </c>
      <c r="H1558" s="11">
        <v>50</v>
      </c>
      <c r="I1558" s="12">
        <v>42561</v>
      </c>
      <c r="J1558" s="13">
        <f t="shared" si="55"/>
        <v>0</v>
      </c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5">
        <f t="shared" si="56"/>
        <v>0</v>
      </c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5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5"/>
      <c r="AX1558" s="16"/>
    </row>
    <row r="1559" spans="2:50" x14ac:dyDescent="0.2">
      <c r="B1559" s="7" t="s">
        <v>37</v>
      </c>
      <c r="C1559" s="8">
        <v>12247</v>
      </c>
      <c r="D1559" s="9" t="s">
        <v>708</v>
      </c>
      <c r="E1559" s="10" t="s">
        <v>709</v>
      </c>
      <c r="F1559" s="10" t="s">
        <v>710</v>
      </c>
      <c r="G1559" s="8">
        <v>5</v>
      </c>
      <c r="H1559" s="11">
        <v>200</v>
      </c>
      <c r="I1559" s="12">
        <v>42561</v>
      </c>
      <c r="J1559" s="13">
        <f t="shared" si="55"/>
        <v>0</v>
      </c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5">
        <f t="shared" si="56"/>
        <v>0</v>
      </c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5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5"/>
      <c r="AX1559" s="16"/>
    </row>
    <row r="1560" spans="2:50" x14ac:dyDescent="0.2">
      <c r="B1560" s="7" t="s">
        <v>69</v>
      </c>
      <c r="C1560" s="8">
        <v>12248</v>
      </c>
      <c r="D1560" s="9" t="s">
        <v>834</v>
      </c>
      <c r="E1560" s="10" t="s">
        <v>835</v>
      </c>
      <c r="F1560" s="10" t="s">
        <v>836</v>
      </c>
      <c r="G1560" s="8">
        <v>5</v>
      </c>
      <c r="H1560" s="11">
        <v>100</v>
      </c>
      <c r="I1560" s="12">
        <v>42561</v>
      </c>
      <c r="J1560" s="13">
        <f t="shared" si="55"/>
        <v>0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5">
        <f t="shared" si="56"/>
        <v>0</v>
      </c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5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5"/>
      <c r="AX1560" s="16"/>
    </row>
    <row r="1561" spans="2:50" x14ac:dyDescent="0.2">
      <c r="B1561" s="7" t="s">
        <v>47</v>
      </c>
      <c r="C1561" s="8">
        <v>12249</v>
      </c>
      <c r="D1561" s="9" t="s">
        <v>48</v>
      </c>
      <c r="E1561" s="10" t="s">
        <v>49</v>
      </c>
      <c r="F1561" s="10" t="s">
        <v>50</v>
      </c>
      <c r="G1561" s="8">
        <v>5</v>
      </c>
      <c r="H1561" s="11">
        <v>50</v>
      </c>
      <c r="I1561" s="12">
        <v>42561</v>
      </c>
      <c r="J1561" s="13">
        <f t="shared" si="55"/>
        <v>0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5">
        <f t="shared" si="56"/>
        <v>0</v>
      </c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5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5"/>
      <c r="AX1561" s="16"/>
    </row>
    <row r="1562" spans="2:50" x14ac:dyDescent="0.2">
      <c r="B1562" s="7" t="s">
        <v>93</v>
      </c>
      <c r="C1562" s="8">
        <v>12250</v>
      </c>
      <c r="D1562" s="9"/>
      <c r="E1562" s="10" t="s">
        <v>93</v>
      </c>
      <c r="F1562" s="10" t="s">
        <v>93</v>
      </c>
      <c r="G1562" s="8">
        <v>8</v>
      </c>
      <c r="H1562" s="11"/>
      <c r="I1562" s="12"/>
      <c r="J1562" s="13">
        <f t="shared" si="55"/>
        <v>0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5">
        <f t="shared" si="56"/>
        <v>0</v>
      </c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5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5"/>
      <c r="AX1562" s="16"/>
    </row>
    <row r="1563" spans="2:50" x14ac:dyDescent="0.2">
      <c r="B1563" s="7" t="s">
        <v>37</v>
      </c>
      <c r="C1563" s="8">
        <v>12251</v>
      </c>
      <c r="D1563" s="9" t="s">
        <v>1036</v>
      </c>
      <c r="E1563" s="10" t="s">
        <v>1037</v>
      </c>
      <c r="F1563" s="10" t="s">
        <v>1038</v>
      </c>
      <c r="G1563" s="8">
        <v>5</v>
      </c>
      <c r="H1563" s="11">
        <v>50</v>
      </c>
      <c r="I1563" s="12">
        <v>42561</v>
      </c>
      <c r="J1563" s="13">
        <f t="shared" si="55"/>
        <v>0</v>
      </c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5">
        <f t="shared" si="56"/>
        <v>0</v>
      </c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5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5"/>
      <c r="AX1563" s="16"/>
    </row>
    <row r="1564" spans="2:50" x14ac:dyDescent="0.2">
      <c r="B1564" s="7" t="s">
        <v>69</v>
      </c>
      <c r="C1564" s="8">
        <v>12252</v>
      </c>
      <c r="D1564" s="9" t="s">
        <v>428</v>
      </c>
      <c r="E1564" s="10" t="s">
        <v>429</v>
      </c>
      <c r="F1564" s="10" t="s">
        <v>430</v>
      </c>
      <c r="G1564" s="8">
        <v>5</v>
      </c>
      <c r="H1564" s="11">
        <v>100</v>
      </c>
      <c r="I1564" s="12">
        <v>42561</v>
      </c>
      <c r="J1564" s="13">
        <f t="shared" si="55"/>
        <v>0</v>
      </c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5">
        <f t="shared" si="56"/>
        <v>0</v>
      </c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5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5"/>
      <c r="AX1564" s="16"/>
    </row>
    <row r="1565" spans="2:50" x14ac:dyDescent="0.2">
      <c r="B1565" s="7" t="s">
        <v>37</v>
      </c>
      <c r="C1565" s="8">
        <v>12253</v>
      </c>
      <c r="D1565" s="9" t="s">
        <v>232</v>
      </c>
      <c r="E1565" s="10" t="s">
        <v>233</v>
      </c>
      <c r="F1565" s="10" t="s">
        <v>234</v>
      </c>
      <c r="G1565" s="8">
        <v>5</v>
      </c>
      <c r="H1565" s="11">
        <v>100</v>
      </c>
      <c r="I1565" s="12">
        <v>42561</v>
      </c>
      <c r="J1565" s="13">
        <f t="shared" si="55"/>
        <v>0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5">
        <f t="shared" si="56"/>
        <v>0</v>
      </c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5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5"/>
      <c r="AX1565" s="16"/>
    </row>
    <row r="1566" spans="2:50" x14ac:dyDescent="0.2">
      <c r="B1566" s="7" t="s">
        <v>69</v>
      </c>
      <c r="C1566" s="8">
        <v>12254</v>
      </c>
      <c r="D1566" s="9" t="s">
        <v>437</v>
      </c>
      <c r="E1566" s="10" t="s">
        <v>438</v>
      </c>
      <c r="F1566" s="10" t="s">
        <v>439</v>
      </c>
      <c r="G1566" s="8">
        <v>5</v>
      </c>
      <c r="H1566" s="11">
        <v>250</v>
      </c>
      <c r="I1566" s="12">
        <v>42561</v>
      </c>
      <c r="J1566" s="13">
        <f t="shared" si="55"/>
        <v>0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5">
        <f t="shared" si="56"/>
        <v>0</v>
      </c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5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5"/>
      <c r="AX1566" s="16"/>
    </row>
    <row r="1567" spans="2:50" x14ac:dyDescent="0.2">
      <c r="B1567" s="7" t="s">
        <v>37</v>
      </c>
      <c r="C1567" s="8">
        <v>12255</v>
      </c>
      <c r="D1567" s="9" t="s">
        <v>780</v>
      </c>
      <c r="E1567" s="10" t="s">
        <v>781</v>
      </c>
      <c r="F1567" s="10" t="s">
        <v>493</v>
      </c>
      <c r="G1567" s="8">
        <v>5</v>
      </c>
      <c r="H1567" s="11">
        <v>50</v>
      </c>
      <c r="I1567" s="12">
        <v>42561</v>
      </c>
      <c r="J1567" s="13">
        <f t="shared" si="55"/>
        <v>0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5">
        <f t="shared" si="56"/>
        <v>0</v>
      </c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5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5"/>
      <c r="AX1567" s="16"/>
    </row>
    <row r="1568" spans="2:50" x14ac:dyDescent="0.2">
      <c r="B1568" s="7" t="s">
        <v>77</v>
      </c>
      <c r="C1568" s="8">
        <v>12256</v>
      </c>
      <c r="D1568" s="9" t="s">
        <v>820</v>
      </c>
      <c r="E1568" s="10" t="s">
        <v>821</v>
      </c>
      <c r="F1568" s="10" t="s">
        <v>822</v>
      </c>
      <c r="G1568" s="8">
        <v>5</v>
      </c>
      <c r="H1568" s="11">
        <v>50</v>
      </c>
      <c r="I1568" s="12">
        <v>42561</v>
      </c>
      <c r="J1568" s="13">
        <f t="shared" si="55"/>
        <v>0</v>
      </c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5">
        <f t="shared" si="56"/>
        <v>0</v>
      </c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5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5"/>
      <c r="AX1568" s="16"/>
    </row>
    <row r="1569" spans="2:50" x14ac:dyDescent="0.2">
      <c r="B1569" s="7" t="s">
        <v>37</v>
      </c>
      <c r="C1569" s="8">
        <v>12257</v>
      </c>
      <c r="D1569" s="9" t="s">
        <v>180</v>
      </c>
      <c r="E1569" s="10" t="s">
        <v>181</v>
      </c>
      <c r="F1569" s="10" t="s">
        <v>182</v>
      </c>
      <c r="G1569" s="8">
        <v>5</v>
      </c>
      <c r="H1569" s="11">
        <v>50</v>
      </c>
      <c r="I1569" s="12">
        <v>42561</v>
      </c>
      <c r="J1569" s="13">
        <f t="shared" si="55"/>
        <v>0</v>
      </c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5">
        <f t="shared" si="56"/>
        <v>0</v>
      </c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5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5"/>
      <c r="AX1569" s="16"/>
    </row>
    <row r="1570" spans="2:50" x14ac:dyDescent="0.2">
      <c r="B1570" s="7" t="s">
        <v>47</v>
      </c>
      <c r="C1570" s="8">
        <v>12268</v>
      </c>
      <c r="D1570" s="9" t="s">
        <v>497</v>
      </c>
      <c r="E1570" s="10" t="s">
        <v>498</v>
      </c>
      <c r="F1570" s="10" t="s">
        <v>499</v>
      </c>
      <c r="G1570" s="8">
        <v>1</v>
      </c>
      <c r="H1570" s="11">
        <v>400</v>
      </c>
      <c r="I1570" s="12">
        <v>42561</v>
      </c>
      <c r="J1570" s="13">
        <f t="shared" si="55"/>
        <v>0</v>
      </c>
      <c r="K1570" s="14"/>
      <c r="L1570" s="14"/>
      <c r="M1570" s="14"/>
      <c r="N1570" s="14"/>
      <c r="O1570" s="14"/>
      <c r="P1570" s="14"/>
      <c r="Q1570" s="14">
        <v>400</v>
      </c>
      <c r="R1570" s="14"/>
      <c r="S1570" s="14"/>
      <c r="T1570" s="14"/>
      <c r="U1570" s="14"/>
      <c r="V1570" s="14"/>
      <c r="W1570" s="15">
        <f t="shared" si="56"/>
        <v>400</v>
      </c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5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5"/>
      <c r="AX1570" s="16"/>
    </row>
    <row r="1571" spans="2:50" x14ac:dyDescent="0.2">
      <c r="B1571" s="7" t="s">
        <v>69</v>
      </c>
      <c r="C1571" s="8">
        <v>12269</v>
      </c>
      <c r="D1571" s="9" t="s">
        <v>265</v>
      </c>
      <c r="E1571" s="10" t="s">
        <v>266</v>
      </c>
      <c r="F1571" s="10" t="s">
        <v>267</v>
      </c>
      <c r="G1571" s="8">
        <v>1</v>
      </c>
      <c r="H1571" s="11">
        <v>400</v>
      </c>
      <c r="I1571" s="12">
        <v>42561</v>
      </c>
      <c r="J1571" s="13">
        <f t="shared" si="55"/>
        <v>0</v>
      </c>
      <c r="K1571" s="14"/>
      <c r="L1571" s="14"/>
      <c r="M1571" s="14"/>
      <c r="N1571" s="14"/>
      <c r="O1571" s="14"/>
      <c r="P1571" s="14"/>
      <c r="Q1571" s="14">
        <v>400</v>
      </c>
      <c r="R1571" s="14"/>
      <c r="S1571" s="14"/>
      <c r="T1571" s="14"/>
      <c r="U1571" s="14"/>
      <c r="V1571" s="14"/>
      <c r="W1571" s="15">
        <f t="shared" si="56"/>
        <v>400</v>
      </c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5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5"/>
      <c r="AX1571" s="16"/>
    </row>
    <row r="1572" spans="2:50" x14ac:dyDescent="0.2">
      <c r="B1572" s="7" t="s">
        <v>47</v>
      </c>
      <c r="C1572" s="8">
        <v>12270</v>
      </c>
      <c r="D1572" s="9" t="s">
        <v>1070</v>
      </c>
      <c r="E1572" s="10" t="s">
        <v>1071</v>
      </c>
      <c r="F1572" s="10" t="s">
        <v>1072</v>
      </c>
      <c r="G1572" s="8">
        <v>1</v>
      </c>
      <c r="H1572" s="11">
        <v>1000</v>
      </c>
      <c r="I1572" s="12">
        <v>42561</v>
      </c>
      <c r="J1572" s="13">
        <f t="shared" si="55"/>
        <v>0</v>
      </c>
      <c r="K1572" s="14"/>
      <c r="L1572" s="14"/>
      <c r="M1572" s="14"/>
      <c r="N1572" s="14"/>
      <c r="O1572" s="14"/>
      <c r="P1572" s="14"/>
      <c r="Q1572" s="14"/>
      <c r="R1572" s="14">
        <v>200</v>
      </c>
      <c r="S1572" s="14">
        <v>200</v>
      </c>
      <c r="T1572" s="14">
        <v>200</v>
      </c>
      <c r="U1572" s="14">
        <v>200</v>
      </c>
      <c r="V1572" s="14">
        <v>200</v>
      </c>
      <c r="W1572" s="15">
        <f t="shared" si="56"/>
        <v>1000</v>
      </c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5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5"/>
      <c r="AX1572" s="16"/>
    </row>
    <row r="1573" spans="2:50" x14ac:dyDescent="0.2">
      <c r="B1573" s="7" t="s">
        <v>77</v>
      </c>
      <c r="C1573" s="8">
        <v>12271</v>
      </c>
      <c r="D1573" s="9" t="s">
        <v>384</v>
      </c>
      <c r="E1573" s="10" t="s">
        <v>385</v>
      </c>
      <c r="F1573" s="10" t="s">
        <v>386</v>
      </c>
      <c r="G1573" s="8">
        <v>1</v>
      </c>
      <c r="H1573" s="11">
        <v>350</v>
      </c>
      <c r="I1573" s="12">
        <v>42561</v>
      </c>
      <c r="J1573" s="13">
        <f t="shared" si="55"/>
        <v>0</v>
      </c>
      <c r="K1573" s="14"/>
      <c r="L1573" s="14"/>
      <c r="M1573" s="14"/>
      <c r="N1573" s="14"/>
      <c r="O1573" s="14"/>
      <c r="P1573" s="14"/>
      <c r="Q1573" s="14">
        <v>350</v>
      </c>
      <c r="R1573" s="14"/>
      <c r="S1573" s="14"/>
      <c r="T1573" s="14"/>
      <c r="U1573" s="14"/>
      <c r="V1573" s="14"/>
      <c r="W1573" s="15">
        <f t="shared" si="56"/>
        <v>350</v>
      </c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5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5"/>
      <c r="AX1573" s="16"/>
    </row>
    <row r="1574" spans="2:50" x14ac:dyDescent="0.2">
      <c r="B1574" s="7" t="s">
        <v>47</v>
      </c>
      <c r="C1574" s="8">
        <v>12272</v>
      </c>
      <c r="D1574" s="9" t="s">
        <v>434</v>
      </c>
      <c r="E1574" s="10" t="s">
        <v>435</v>
      </c>
      <c r="F1574" s="10" t="s">
        <v>436</v>
      </c>
      <c r="G1574" s="8">
        <v>1</v>
      </c>
      <c r="H1574" s="11">
        <v>200</v>
      </c>
      <c r="I1574" s="12">
        <v>42561</v>
      </c>
      <c r="J1574" s="13">
        <f t="shared" si="55"/>
        <v>0</v>
      </c>
      <c r="K1574" s="14"/>
      <c r="L1574" s="14"/>
      <c r="M1574" s="14"/>
      <c r="N1574" s="14"/>
      <c r="O1574" s="14"/>
      <c r="P1574" s="14"/>
      <c r="Q1574" s="14">
        <v>200</v>
      </c>
      <c r="R1574" s="14"/>
      <c r="S1574" s="14"/>
      <c r="T1574" s="14"/>
      <c r="U1574" s="14"/>
      <c r="V1574" s="14"/>
      <c r="W1574" s="15">
        <f t="shared" si="56"/>
        <v>200</v>
      </c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5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5"/>
      <c r="AX1574" s="16"/>
    </row>
    <row r="1575" spans="2:50" x14ac:dyDescent="0.2">
      <c r="B1575" s="7" t="s">
        <v>69</v>
      </c>
      <c r="C1575" s="8">
        <v>12273</v>
      </c>
      <c r="D1575" s="9" t="s">
        <v>476</v>
      </c>
      <c r="E1575" s="10" t="s">
        <v>477</v>
      </c>
      <c r="F1575" s="10" t="s">
        <v>478</v>
      </c>
      <c r="G1575" s="8">
        <v>1</v>
      </c>
      <c r="H1575" s="11">
        <v>400</v>
      </c>
      <c r="I1575" s="12">
        <v>42561</v>
      </c>
      <c r="J1575" s="13">
        <f t="shared" si="55"/>
        <v>0</v>
      </c>
      <c r="K1575" s="14"/>
      <c r="L1575" s="14"/>
      <c r="M1575" s="14"/>
      <c r="N1575" s="14"/>
      <c r="O1575" s="14"/>
      <c r="P1575" s="14"/>
      <c r="Q1575" s="14">
        <v>400</v>
      </c>
      <c r="R1575" s="14"/>
      <c r="S1575" s="14"/>
      <c r="T1575" s="14"/>
      <c r="U1575" s="14"/>
      <c r="V1575" s="14"/>
      <c r="W1575" s="15">
        <f t="shared" si="56"/>
        <v>400</v>
      </c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5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5"/>
      <c r="AX1575" s="16"/>
    </row>
    <row r="1576" spans="2:50" x14ac:dyDescent="0.2">
      <c r="B1576" s="7" t="s">
        <v>69</v>
      </c>
      <c r="C1576" s="8">
        <v>12273</v>
      </c>
      <c r="D1576" s="9" t="s">
        <v>476</v>
      </c>
      <c r="E1576" s="10" t="s">
        <v>477</v>
      </c>
      <c r="F1576" s="10" t="s">
        <v>478</v>
      </c>
      <c r="G1576" s="8">
        <v>4</v>
      </c>
      <c r="H1576" s="11">
        <v>200</v>
      </c>
      <c r="I1576" s="12">
        <v>42561</v>
      </c>
      <c r="J1576" s="13">
        <f t="shared" si="55"/>
        <v>0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5">
        <f t="shared" si="56"/>
        <v>0</v>
      </c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5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5"/>
      <c r="AX1576" s="16"/>
    </row>
    <row r="1577" spans="2:50" x14ac:dyDescent="0.2">
      <c r="B1577" s="7" t="s">
        <v>47</v>
      </c>
      <c r="C1577" s="8">
        <v>12274</v>
      </c>
      <c r="D1577" s="9" t="s">
        <v>823</v>
      </c>
      <c r="E1577" s="10" t="s">
        <v>824</v>
      </c>
      <c r="F1577" s="10" t="s">
        <v>765</v>
      </c>
      <c r="G1577" s="8">
        <v>1</v>
      </c>
      <c r="H1577" s="11">
        <v>200</v>
      </c>
      <c r="I1577" s="12">
        <v>42561</v>
      </c>
      <c r="J1577" s="13">
        <f t="shared" si="55"/>
        <v>0</v>
      </c>
      <c r="K1577" s="14"/>
      <c r="L1577" s="14"/>
      <c r="M1577" s="14"/>
      <c r="N1577" s="14"/>
      <c r="O1577" s="14"/>
      <c r="P1577" s="14"/>
      <c r="Q1577" s="14">
        <v>200</v>
      </c>
      <c r="R1577" s="14"/>
      <c r="S1577" s="14"/>
      <c r="T1577" s="14"/>
      <c r="U1577" s="14"/>
      <c r="V1577" s="14"/>
      <c r="W1577" s="15">
        <f t="shared" si="56"/>
        <v>200</v>
      </c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5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5"/>
      <c r="AX1577" s="16"/>
    </row>
    <row r="1578" spans="2:50" x14ac:dyDescent="0.2">
      <c r="B1578" s="7" t="s">
        <v>69</v>
      </c>
      <c r="C1578" s="8">
        <v>12275</v>
      </c>
      <c r="D1578" s="9" t="s">
        <v>834</v>
      </c>
      <c r="E1578" s="10" t="s">
        <v>835</v>
      </c>
      <c r="F1578" s="10" t="s">
        <v>836</v>
      </c>
      <c r="G1578" s="8">
        <v>1</v>
      </c>
      <c r="H1578" s="11">
        <v>1200</v>
      </c>
      <c r="I1578" s="12">
        <v>42561</v>
      </c>
      <c r="J1578" s="13">
        <f t="shared" si="55"/>
        <v>0</v>
      </c>
      <c r="K1578" s="14"/>
      <c r="L1578" s="14"/>
      <c r="M1578" s="14"/>
      <c r="N1578" s="14">
        <v>300</v>
      </c>
      <c r="O1578" s="14">
        <v>300</v>
      </c>
      <c r="P1578" s="14">
        <v>300</v>
      </c>
      <c r="Q1578" s="14">
        <v>300</v>
      </c>
      <c r="R1578" s="14"/>
      <c r="S1578" s="14"/>
      <c r="T1578" s="14"/>
      <c r="U1578" s="14"/>
      <c r="V1578" s="14"/>
      <c r="W1578" s="15">
        <f t="shared" si="56"/>
        <v>1200</v>
      </c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5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5"/>
      <c r="AX1578" s="16"/>
    </row>
    <row r="1579" spans="2:50" x14ac:dyDescent="0.2">
      <c r="B1579" s="7" t="s">
        <v>69</v>
      </c>
      <c r="C1579" s="8">
        <v>12275</v>
      </c>
      <c r="D1579" s="9" t="s">
        <v>834</v>
      </c>
      <c r="E1579" s="10" t="s">
        <v>835</v>
      </c>
      <c r="F1579" s="10" t="s">
        <v>836</v>
      </c>
      <c r="G1579" s="8">
        <v>4</v>
      </c>
      <c r="H1579" s="11">
        <v>200</v>
      </c>
      <c r="I1579" s="12">
        <v>42561</v>
      </c>
      <c r="J1579" s="13">
        <f t="shared" si="55"/>
        <v>0</v>
      </c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5">
        <f t="shared" si="56"/>
        <v>0</v>
      </c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5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5"/>
      <c r="AX1579" s="16"/>
    </row>
    <row r="1580" spans="2:50" x14ac:dyDescent="0.2">
      <c r="B1580" s="7" t="s">
        <v>47</v>
      </c>
      <c r="C1580" s="8">
        <v>12276</v>
      </c>
      <c r="D1580" s="9" t="s">
        <v>416</v>
      </c>
      <c r="E1580" s="10" t="s">
        <v>417</v>
      </c>
      <c r="F1580" s="10" t="s">
        <v>418</v>
      </c>
      <c r="G1580" s="8">
        <v>1</v>
      </c>
      <c r="H1580" s="11">
        <v>200</v>
      </c>
      <c r="I1580" s="12">
        <v>42561</v>
      </c>
      <c r="J1580" s="13">
        <f t="shared" si="55"/>
        <v>0</v>
      </c>
      <c r="K1580" s="14"/>
      <c r="L1580" s="14"/>
      <c r="M1580" s="14"/>
      <c r="N1580" s="14"/>
      <c r="O1580" s="14"/>
      <c r="P1580" s="14"/>
      <c r="Q1580" s="14">
        <v>200</v>
      </c>
      <c r="R1580" s="14"/>
      <c r="S1580" s="14"/>
      <c r="T1580" s="14"/>
      <c r="U1580" s="14"/>
      <c r="V1580" s="14"/>
      <c r="W1580" s="15">
        <f t="shared" si="56"/>
        <v>200</v>
      </c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5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5"/>
      <c r="AX1580" s="16"/>
    </row>
    <row r="1581" spans="2:50" x14ac:dyDescent="0.2">
      <c r="B1581" s="7" t="s">
        <v>73</v>
      </c>
      <c r="C1581" s="8">
        <v>12277</v>
      </c>
      <c r="D1581" s="9" t="s">
        <v>407</v>
      </c>
      <c r="E1581" s="10" t="s">
        <v>408</v>
      </c>
      <c r="F1581" s="10" t="s">
        <v>409</v>
      </c>
      <c r="G1581" s="8">
        <v>1</v>
      </c>
      <c r="H1581" s="11">
        <v>400</v>
      </c>
      <c r="I1581" s="12">
        <v>42561</v>
      </c>
      <c r="J1581" s="13">
        <f t="shared" si="55"/>
        <v>0</v>
      </c>
      <c r="K1581" s="14"/>
      <c r="L1581" s="14"/>
      <c r="M1581" s="14"/>
      <c r="N1581" s="14"/>
      <c r="O1581" s="14"/>
      <c r="P1581" s="14"/>
      <c r="Q1581" s="14">
        <v>400</v>
      </c>
      <c r="R1581" s="14"/>
      <c r="S1581" s="14"/>
      <c r="T1581" s="14"/>
      <c r="U1581" s="14"/>
      <c r="V1581" s="14"/>
      <c r="W1581" s="15">
        <f t="shared" si="56"/>
        <v>400</v>
      </c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5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5"/>
      <c r="AX1581" s="16"/>
    </row>
    <row r="1582" spans="2:50" x14ac:dyDescent="0.2">
      <c r="B1582" s="7" t="s">
        <v>73</v>
      </c>
      <c r="C1582" s="8">
        <v>12278</v>
      </c>
      <c r="D1582" s="9" t="s">
        <v>532</v>
      </c>
      <c r="E1582" s="10" t="s">
        <v>533</v>
      </c>
      <c r="F1582" s="10" t="s">
        <v>534</v>
      </c>
      <c r="G1582" s="8">
        <v>1</v>
      </c>
      <c r="H1582" s="11">
        <v>800</v>
      </c>
      <c r="I1582" s="12">
        <v>42561</v>
      </c>
      <c r="J1582" s="13">
        <f t="shared" si="55"/>
        <v>0</v>
      </c>
      <c r="K1582" s="14"/>
      <c r="L1582" s="14"/>
      <c r="M1582" s="14"/>
      <c r="N1582" s="14"/>
      <c r="O1582" s="14">
        <v>400</v>
      </c>
      <c r="P1582" s="14">
        <v>400</v>
      </c>
      <c r="Q1582" s="14"/>
      <c r="R1582" s="14"/>
      <c r="S1582" s="14"/>
      <c r="T1582" s="14"/>
      <c r="U1582" s="14"/>
      <c r="V1582" s="14"/>
      <c r="W1582" s="15">
        <f t="shared" si="56"/>
        <v>800</v>
      </c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5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5"/>
      <c r="AX1582" s="16"/>
    </row>
    <row r="1583" spans="2:50" x14ac:dyDescent="0.2">
      <c r="B1583" s="7" t="s">
        <v>391</v>
      </c>
      <c r="C1583" s="8">
        <v>12279</v>
      </c>
      <c r="D1583" s="9" t="s">
        <v>482</v>
      </c>
      <c r="E1583" s="10" t="s">
        <v>483</v>
      </c>
      <c r="F1583" s="10" t="s">
        <v>484</v>
      </c>
      <c r="G1583" s="8">
        <v>1</v>
      </c>
      <c r="H1583" s="11">
        <v>400</v>
      </c>
      <c r="I1583" s="12">
        <v>42561</v>
      </c>
      <c r="J1583" s="13">
        <f t="shared" si="55"/>
        <v>0</v>
      </c>
      <c r="K1583" s="14"/>
      <c r="L1583" s="14"/>
      <c r="M1583" s="14"/>
      <c r="N1583" s="14"/>
      <c r="O1583" s="14"/>
      <c r="P1583" s="14">
        <v>200</v>
      </c>
      <c r="Q1583" s="14">
        <v>200</v>
      </c>
      <c r="R1583" s="14"/>
      <c r="S1583" s="14"/>
      <c r="T1583" s="14"/>
      <c r="U1583" s="14"/>
      <c r="V1583" s="14"/>
      <c r="W1583" s="15">
        <f t="shared" si="56"/>
        <v>400</v>
      </c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5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5"/>
      <c r="AX1583" s="16"/>
    </row>
    <row r="1584" spans="2:50" x14ac:dyDescent="0.2">
      <c r="B1584" s="7" t="s">
        <v>73</v>
      </c>
      <c r="C1584" s="8">
        <v>12280</v>
      </c>
      <c r="D1584" s="9" t="s">
        <v>316</v>
      </c>
      <c r="E1584" s="10" t="s">
        <v>317</v>
      </c>
      <c r="F1584" s="10" t="s">
        <v>318</v>
      </c>
      <c r="G1584" s="8">
        <v>1</v>
      </c>
      <c r="H1584" s="11">
        <v>300</v>
      </c>
      <c r="I1584" s="12">
        <v>42561</v>
      </c>
      <c r="J1584" s="13">
        <f t="shared" si="55"/>
        <v>0</v>
      </c>
      <c r="K1584" s="14"/>
      <c r="L1584" s="14"/>
      <c r="M1584" s="14"/>
      <c r="N1584" s="14">
        <v>100</v>
      </c>
      <c r="O1584" s="14">
        <v>100</v>
      </c>
      <c r="P1584" s="14">
        <v>100</v>
      </c>
      <c r="Q1584" s="14"/>
      <c r="R1584" s="14"/>
      <c r="S1584" s="14"/>
      <c r="T1584" s="14"/>
      <c r="U1584" s="14"/>
      <c r="V1584" s="14"/>
      <c r="W1584" s="15">
        <f t="shared" si="56"/>
        <v>300</v>
      </c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5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5"/>
      <c r="AX1584" s="16"/>
    </row>
    <row r="1585" spans="2:50" x14ac:dyDescent="0.2">
      <c r="B1585" s="7" t="s">
        <v>73</v>
      </c>
      <c r="C1585" s="8">
        <v>12281</v>
      </c>
      <c r="D1585" s="9" t="s">
        <v>319</v>
      </c>
      <c r="E1585" s="10" t="s">
        <v>320</v>
      </c>
      <c r="F1585" s="10" t="s">
        <v>321</v>
      </c>
      <c r="G1585" s="8">
        <v>1</v>
      </c>
      <c r="H1585" s="11">
        <v>300</v>
      </c>
      <c r="I1585" s="12">
        <v>42561</v>
      </c>
      <c r="J1585" s="13">
        <f t="shared" si="55"/>
        <v>0</v>
      </c>
      <c r="K1585" s="14"/>
      <c r="L1585" s="14"/>
      <c r="M1585" s="14"/>
      <c r="N1585" s="14">
        <v>100</v>
      </c>
      <c r="O1585" s="14">
        <v>100</v>
      </c>
      <c r="P1585" s="14">
        <v>100</v>
      </c>
      <c r="Q1585" s="14"/>
      <c r="R1585" s="14"/>
      <c r="S1585" s="14"/>
      <c r="T1585" s="14"/>
      <c r="U1585" s="14"/>
      <c r="V1585" s="14"/>
      <c r="W1585" s="15">
        <f t="shared" si="56"/>
        <v>300</v>
      </c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5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5"/>
      <c r="AX1585" s="16"/>
    </row>
    <row r="1586" spans="2:50" x14ac:dyDescent="0.2">
      <c r="B1586" s="7" t="s">
        <v>122</v>
      </c>
      <c r="C1586" s="8">
        <v>12282</v>
      </c>
      <c r="D1586" s="9" t="s">
        <v>256</v>
      </c>
      <c r="E1586" s="10" t="s">
        <v>257</v>
      </c>
      <c r="F1586" s="10" t="s">
        <v>258</v>
      </c>
      <c r="G1586" s="8">
        <v>1</v>
      </c>
      <c r="H1586" s="11">
        <v>300</v>
      </c>
      <c r="I1586" s="12">
        <v>42561</v>
      </c>
      <c r="J1586" s="13">
        <f t="shared" si="55"/>
        <v>0</v>
      </c>
      <c r="K1586" s="14"/>
      <c r="L1586" s="14"/>
      <c r="M1586" s="14"/>
      <c r="N1586" s="14"/>
      <c r="O1586" s="14"/>
      <c r="P1586" s="14"/>
      <c r="Q1586" s="14">
        <v>300</v>
      </c>
      <c r="R1586" s="14"/>
      <c r="S1586" s="14"/>
      <c r="T1586" s="14"/>
      <c r="U1586" s="14"/>
      <c r="V1586" s="14"/>
      <c r="W1586" s="15">
        <f t="shared" si="56"/>
        <v>300</v>
      </c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5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5"/>
      <c r="AX1586" s="16"/>
    </row>
    <row r="1587" spans="2:50" x14ac:dyDescent="0.2">
      <c r="B1587" s="7" t="s">
        <v>37</v>
      </c>
      <c r="C1587" s="8">
        <v>12283</v>
      </c>
      <c r="D1587" s="9" t="s">
        <v>708</v>
      </c>
      <c r="E1587" s="10" t="s">
        <v>709</v>
      </c>
      <c r="F1587" s="10" t="s">
        <v>710</v>
      </c>
      <c r="G1587" s="8">
        <v>1</v>
      </c>
      <c r="H1587" s="11">
        <v>800</v>
      </c>
      <c r="I1587" s="12">
        <v>42561</v>
      </c>
      <c r="J1587" s="13">
        <f t="shared" si="55"/>
        <v>0</v>
      </c>
      <c r="K1587" s="14"/>
      <c r="L1587" s="14"/>
      <c r="M1587" s="14"/>
      <c r="N1587" s="14"/>
      <c r="O1587" s="14"/>
      <c r="P1587" s="14"/>
      <c r="Q1587" s="14">
        <v>400</v>
      </c>
      <c r="R1587" s="14">
        <v>400</v>
      </c>
      <c r="S1587" s="14"/>
      <c r="T1587" s="14"/>
      <c r="U1587" s="14"/>
      <c r="V1587" s="14"/>
      <c r="W1587" s="15">
        <f t="shared" si="56"/>
        <v>800</v>
      </c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5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5"/>
      <c r="AX1587" s="16"/>
    </row>
    <row r="1588" spans="2:50" x14ac:dyDescent="0.2">
      <c r="B1588" s="7" t="s">
        <v>37</v>
      </c>
      <c r="C1588" s="8">
        <v>12284</v>
      </c>
      <c r="D1588" s="9" t="s">
        <v>684</v>
      </c>
      <c r="E1588" s="10" t="s">
        <v>685</v>
      </c>
      <c r="F1588" s="10" t="s">
        <v>686</v>
      </c>
      <c r="G1588" s="8">
        <v>1</v>
      </c>
      <c r="H1588" s="11">
        <v>800</v>
      </c>
      <c r="I1588" s="12">
        <v>42561</v>
      </c>
      <c r="J1588" s="13">
        <f t="shared" si="55"/>
        <v>0</v>
      </c>
      <c r="K1588" s="14"/>
      <c r="L1588" s="14"/>
      <c r="M1588" s="14"/>
      <c r="N1588" s="14"/>
      <c r="O1588" s="14"/>
      <c r="P1588" s="14"/>
      <c r="Q1588" s="14">
        <v>400</v>
      </c>
      <c r="R1588" s="14">
        <v>400</v>
      </c>
      <c r="S1588" s="14"/>
      <c r="T1588" s="14"/>
      <c r="U1588" s="14"/>
      <c r="V1588" s="14"/>
      <c r="W1588" s="15">
        <f t="shared" si="56"/>
        <v>800</v>
      </c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5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5"/>
      <c r="AX1588" s="16"/>
    </row>
    <row r="1589" spans="2:50" x14ac:dyDescent="0.2">
      <c r="B1589" s="7" t="s">
        <v>122</v>
      </c>
      <c r="C1589" s="8">
        <v>12285</v>
      </c>
      <c r="D1589" s="9" t="s">
        <v>331</v>
      </c>
      <c r="E1589" s="10" t="s">
        <v>332</v>
      </c>
      <c r="F1589" s="10" t="s">
        <v>333</v>
      </c>
      <c r="G1589" s="8">
        <v>1</v>
      </c>
      <c r="H1589" s="11">
        <v>400</v>
      </c>
      <c r="I1589" s="12">
        <v>42561</v>
      </c>
      <c r="J1589" s="13">
        <f t="shared" si="55"/>
        <v>0</v>
      </c>
      <c r="K1589" s="14"/>
      <c r="L1589" s="14"/>
      <c r="M1589" s="14"/>
      <c r="N1589" s="14"/>
      <c r="O1589" s="14"/>
      <c r="P1589" s="14"/>
      <c r="Q1589" s="14">
        <v>400</v>
      </c>
      <c r="R1589" s="14"/>
      <c r="S1589" s="14"/>
      <c r="T1589" s="14"/>
      <c r="U1589" s="14"/>
      <c r="V1589" s="14"/>
      <c r="W1589" s="15">
        <f t="shared" si="56"/>
        <v>400</v>
      </c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5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5"/>
      <c r="AX1589" s="16"/>
    </row>
    <row r="1590" spans="2:50" x14ac:dyDescent="0.2">
      <c r="B1590" s="7" t="s">
        <v>47</v>
      </c>
      <c r="C1590" s="8">
        <v>12286</v>
      </c>
      <c r="D1590" s="9" t="s">
        <v>655</v>
      </c>
      <c r="E1590" s="10" t="s">
        <v>656</v>
      </c>
      <c r="F1590" s="10" t="s">
        <v>657</v>
      </c>
      <c r="G1590" s="8">
        <v>1</v>
      </c>
      <c r="H1590" s="11">
        <v>400</v>
      </c>
      <c r="I1590" s="12">
        <v>42561</v>
      </c>
      <c r="J1590" s="13">
        <f t="shared" si="55"/>
        <v>0</v>
      </c>
      <c r="K1590" s="14"/>
      <c r="L1590" s="14"/>
      <c r="M1590" s="14">
        <v>400</v>
      </c>
      <c r="N1590" s="14"/>
      <c r="O1590" s="14"/>
      <c r="P1590" s="14"/>
      <c r="Q1590" s="14"/>
      <c r="R1590" s="14"/>
      <c r="S1590" s="14"/>
      <c r="T1590" s="14"/>
      <c r="U1590" s="14"/>
      <c r="V1590" s="14"/>
      <c r="W1590" s="15">
        <f t="shared" si="56"/>
        <v>400</v>
      </c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5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5"/>
      <c r="AX1590" s="16"/>
    </row>
    <row r="1591" spans="2:50" x14ac:dyDescent="0.2">
      <c r="B1591" s="7" t="s">
        <v>61</v>
      </c>
      <c r="C1591" s="8">
        <v>12287</v>
      </c>
      <c r="D1591" s="9" t="s">
        <v>737</v>
      </c>
      <c r="E1591" s="10" t="s">
        <v>738</v>
      </c>
      <c r="F1591" s="10" t="s">
        <v>739</v>
      </c>
      <c r="G1591" s="8">
        <v>1</v>
      </c>
      <c r="H1591" s="11">
        <v>800</v>
      </c>
      <c r="I1591" s="12">
        <v>42561</v>
      </c>
      <c r="J1591" s="13">
        <f t="shared" si="55"/>
        <v>0</v>
      </c>
      <c r="K1591" s="14"/>
      <c r="L1591" s="14"/>
      <c r="M1591" s="14"/>
      <c r="N1591" s="14"/>
      <c r="O1591" s="14"/>
      <c r="P1591" s="14">
        <v>400</v>
      </c>
      <c r="Q1591" s="14">
        <v>400</v>
      </c>
      <c r="R1591" s="14"/>
      <c r="S1591" s="14"/>
      <c r="T1591" s="14"/>
      <c r="U1591" s="14"/>
      <c r="V1591" s="14"/>
      <c r="W1591" s="15">
        <f t="shared" si="56"/>
        <v>800</v>
      </c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5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5"/>
      <c r="AX1591" s="16"/>
    </row>
    <row r="1592" spans="2:50" x14ac:dyDescent="0.2">
      <c r="B1592" s="7" t="s">
        <v>47</v>
      </c>
      <c r="C1592" s="8">
        <v>12288</v>
      </c>
      <c r="D1592" s="9" t="s">
        <v>150</v>
      </c>
      <c r="E1592" s="10" t="s">
        <v>151</v>
      </c>
      <c r="F1592" s="10" t="s">
        <v>152</v>
      </c>
      <c r="G1592" s="8">
        <v>1</v>
      </c>
      <c r="H1592" s="11">
        <v>400</v>
      </c>
      <c r="I1592" s="12">
        <v>42561</v>
      </c>
      <c r="J1592" s="13">
        <f t="shared" si="55"/>
        <v>0</v>
      </c>
      <c r="K1592" s="14"/>
      <c r="L1592" s="14"/>
      <c r="M1592" s="14"/>
      <c r="N1592" s="14"/>
      <c r="O1592" s="14"/>
      <c r="P1592" s="14"/>
      <c r="Q1592" s="14">
        <v>400</v>
      </c>
      <c r="R1592" s="14"/>
      <c r="S1592" s="14"/>
      <c r="T1592" s="14"/>
      <c r="U1592" s="14"/>
      <c r="V1592" s="14"/>
      <c r="W1592" s="15">
        <f t="shared" si="56"/>
        <v>400</v>
      </c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5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5"/>
      <c r="AX1592" s="16"/>
    </row>
    <row r="1593" spans="2:50" x14ac:dyDescent="0.2">
      <c r="B1593" s="7" t="s">
        <v>77</v>
      </c>
      <c r="C1593" s="8">
        <v>12289</v>
      </c>
      <c r="D1593" s="9" t="s">
        <v>473</v>
      </c>
      <c r="E1593" s="10" t="s">
        <v>474</v>
      </c>
      <c r="F1593" s="10" t="s">
        <v>475</v>
      </c>
      <c r="G1593" s="8">
        <v>1</v>
      </c>
      <c r="H1593" s="11">
        <v>800</v>
      </c>
      <c r="I1593" s="12">
        <v>42561</v>
      </c>
      <c r="J1593" s="13">
        <f t="shared" si="55"/>
        <v>0</v>
      </c>
      <c r="K1593" s="14"/>
      <c r="L1593" s="14"/>
      <c r="M1593" s="14">
        <v>400</v>
      </c>
      <c r="N1593" s="14"/>
      <c r="O1593" s="14"/>
      <c r="P1593" s="14">
        <v>400</v>
      </c>
      <c r="Q1593" s="14"/>
      <c r="R1593" s="14"/>
      <c r="S1593" s="14"/>
      <c r="T1593" s="14"/>
      <c r="U1593" s="14"/>
      <c r="V1593" s="14"/>
      <c r="W1593" s="15">
        <f t="shared" si="56"/>
        <v>800</v>
      </c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5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5"/>
      <c r="AX1593" s="16"/>
    </row>
    <row r="1594" spans="2:50" x14ac:dyDescent="0.2">
      <c r="B1594" s="7" t="s">
        <v>73</v>
      </c>
      <c r="C1594" s="8">
        <v>12290</v>
      </c>
      <c r="D1594" s="9" t="s">
        <v>109</v>
      </c>
      <c r="E1594" s="10" t="s">
        <v>110</v>
      </c>
      <c r="F1594" s="10" t="s">
        <v>111</v>
      </c>
      <c r="G1594" s="8">
        <v>1</v>
      </c>
      <c r="H1594" s="11">
        <v>400</v>
      </c>
      <c r="I1594" s="12">
        <v>42561</v>
      </c>
      <c r="J1594" s="13">
        <f t="shared" si="55"/>
        <v>0</v>
      </c>
      <c r="K1594" s="14"/>
      <c r="L1594" s="14"/>
      <c r="M1594" s="14"/>
      <c r="N1594" s="14"/>
      <c r="O1594" s="14"/>
      <c r="P1594" s="14">
        <v>400</v>
      </c>
      <c r="Q1594" s="14"/>
      <c r="R1594" s="14"/>
      <c r="S1594" s="14"/>
      <c r="T1594" s="14"/>
      <c r="U1594" s="14"/>
      <c r="V1594" s="14"/>
      <c r="W1594" s="15">
        <f t="shared" si="56"/>
        <v>400</v>
      </c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5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5"/>
      <c r="AX1594" s="16"/>
    </row>
    <row r="1595" spans="2:50" x14ac:dyDescent="0.2">
      <c r="B1595" s="7" t="s">
        <v>69</v>
      </c>
      <c r="C1595" s="8">
        <v>12291</v>
      </c>
      <c r="D1595" s="9" t="s">
        <v>696</v>
      </c>
      <c r="E1595" s="10" t="s">
        <v>697</v>
      </c>
      <c r="F1595" s="10" t="s">
        <v>698</v>
      </c>
      <c r="G1595" s="8">
        <v>1</v>
      </c>
      <c r="H1595" s="11">
        <v>300</v>
      </c>
      <c r="I1595" s="12">
        <v>42561</v>
      </c>
      <c r="J1595" s="13">
        <f t="shared" si="55"/>
        <v>0</v>
      </c>
      <c r="K1595" s="14"/>
      <c r="L1595" s="14"/>
      <c r="M1595" s="14"/>
      <c r="N1595" s="14"/>
      <c r="O1595" s="14"/>
      <c r="P1595" s="14"/>
      <c r="Q1595" s="14">
        <v>300</v>
      </c>
      <c r="R1595" s="14"/>
      <c r="S1595" s="14"/>
      <c r="T1595" s="14"/>
      <c r="U1595" s="14"/>
      <c r="V1595" s="14"/>
      <c r="W1595" s="15">
        <f t="shared" si="56"/>
        <v>300</v>
      </c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5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5"/>
      <c r="AX1595" s="16"/>
    </row>
    <row r="1596" spans="2:50" x14ac:dyDescent="0.2">
      <c r="B1596" s="7" t="s">
        <v>122</v>
      </c>
      <c r="C1596" s="8">
        <v>12292</v>
      </c>
      <c r="D1596" s="9" t="s">
        <v>797</v>
      </c>
      <c r="E1596" s="10" t="s">
        <v>798</v>
      </c>
      <c r="F1596" s="10" t="s">
        <v>799</v>
      </c>
      <c r="G1596" s="8">
        <v>1</v>
      </c>
      <c r="H1596" s="11">
        <v>400</v>
      </c>
      <c r="I1596" s="12">
        <v>42561</v>
      </c>
      <c r="J1596" s="13">
        <f t="shared" si="55"/>
        <v>0</v>
      </c>
      <c r="K1596" s="14"/>
      <c r="L1596" s="14"/>
      <c r="M1596" s="14"/>
      <c r="N1596" s="14"/>
      <c r="O1596" s="14"/>
      <c r="P1596" s="14"/>
      <c r="Q1596" s="14">
        <v>400</v>
      </c>
      <c r="R1596" s="14"/>
      <c r="S1596" s="14"/>
      <c r="T1596" s="14"/>
      <c r="U1596" s="14"/>
      <c r="V1596" s="14"/>
      <c r="W1596" s="15">
        <f t="shared" si="56"/>
        <v>400</v>
      </c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5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5"/>
      <c r="AX1596" s="16"/>
    </row>
    <row r="1597" spans="2:50" x14ac:dyDescent="0.2">
      <c r="B1597" s="7" t="s">
        <v>37</v>
      </c>
      <c r="C1597" s="8">
        <v>12293</v>
      </c>
      <c r="D1597" s="9" t="s">
        <v>899</v>
      </c>
      <c r="E1597" s="10" t="s">
        <v>900</v>
      </c>
      <c r="F1597" s="10" t="s">
        <v>901</v>
      </c>
      <c r="G1597" s="8">
        <v>1</v>
      </c>
      <c r="H1597" s="11">
        <v>400</v>
      </c>
      <c r="I1597" s="12">
        <v>42561</v>
      </c>
      <c r="J1597" s="13">
        <f t="shared" si="55"/>
        <v>0</v>
      </c>
      <c r="K1597" s="14"/>
      <c r="L1597" s="14"/>
      <c r="M1597" s="14"/>
      <c r="N1597" s="14"/>
      <c r="O1597" s="14"/>
      <c r="P1597" s="14"/>
      <c r="Q1597" s="14"/>
      <c r="R1597" s="14">
        <v>400</v>
      </c>
      <c r="S1597" s="14"/>
      <c r="T1597" s="14"/>
      <c r="U1597" s="14"/>
      <c r="V1597" s="14"/>
      <c r="W1597" s="15">
        <f t="shared" si="56"/>
        <v>400</v>
      </c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5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5"/>
      <c r="AX1597" s="16"/>
    </row>
    <row r="1598" spans="2:50" x14ac:dyDescent="0.2">
      <c r="B1598" s="7" t="s">
        <v>73</v>
      </c>
      <c r="C1598" s="8">
        <v>12294</v>
      </c>
      <c r="D1598" s="9" t="s">
        <v>277</v>
      </c>
      <c r="E1598" s="10" t="s">
        <v>278</v>
      </c>
      <c r="F1598" s="10" t="s">
        <v>279</v>
      </c>
      <c r="G1598" s="8">
        <v>1</v>
      </c>
      <c r="H1598" s="11">
        <v>200</v>
      </c>
      <c r="I1598" s="12">
        <v>42561</v>
      </c>
      <c r="J1598" s="13">
        <f t="shared" si="55"/>
        <v>0</v>
      </c>
      <c r="K1598" s="14"/>
      <c r="L1598" s="14"/>
      <c r="M1598" s="14"/>
      <c r="N1598" s="14"/>
      <c r="O1598" s="14"/>
      <c r="P1598" s="14"/>
      <c r="Q1598" s="14">
        <v>200</v>
      </c>
      <c r="R1598" s="14"/>
      <c r="S1598" s="14"/>
      <c r="T1598" s="14"/>
      <c r="U1598" s="14"/>
      <c r="V1598" s="14"/>
      <c r="W1598" s="15">
        <f t="shared" si="56"/>
        <v>200</v>
      </c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5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5"/>
      <c r="AX1598" s="16"/>
    </row>
    <row r="1599" spans="2:50" x14ac:dyDescent="0.2">
      <c r="B1599" s="7" t="s">
        <v>73</v>
      </c>
      <c r="C1599" s="8">
        <v>12295</v>
      </c>
      <c r="D1599" s="9" t="s">
        <v>259</v>
      </c>
      <c r="E1599" s="10" t="s">
        <v>260</v>
      </c>
      <c r="F1599" s="10" t="s">
        <v>261</v>
      </c>
      <c r="G1599" s="8">
        <v>1</v>
      </c>
      <c r="H1599" s="11">
        <v>400</v>
      </c>
      <c r="I1599" s="12">
        <v>42561</v>
      </c>
      <c r="J1599" s="13">
        <f t="shared" si="55"/>
        <v>0</v>
      </c>
      <c r="K1599" s="14"/>
      <c r="L1599" s="14"/>
      <c r="M1599" s="14"/>
      <c r="N1599" s="14"/>
      <c r="O1599" s="14"/>
      <c r="P1599" s="14"/>
      <c r="Q1599" s="14">
        <v>400</v>
      </c>
      <c r="R1599" s="14"/>
      <c r="S1599" s="14"/>
      <c r="T1599" s="14"/>
      <c r="U1599" s="14"/>
      <c r="V1599" s="14"/>
      <c r="W1599" s="15">
        <f t="shared" si="56"/>
        <v>400</v>
      </c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5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5"/>
      <c r="AX1599" s="16"/>
    </row>
    <row r="1600" spans="2:50" x14ac:dyDescent="0.2">
      <c r="B1600" s="7" t="s">
        <v>47</v>
      </c>
      <c r="C1600" s="8">
        <v>12296</v>
      </c>
      <c r="D1600" s="9" t="s">
        <v>280</v>
      </c>
      <c r="E1600" s="10" t="s">
        <v>281</v>
      </c>
      <c r="F1600" s="10" t="s">
        <v>282</v>
      </c>
      <c r="G1600" s="8">
        <v>1</v>
      </c>
      <c r="H1600" s="11">
        <v>400</v>
      </c>
      <c r="I1600" s="12">
        <v>42561</v>
      </c>
      <c r="J1600" s="13">
        <f t="shared" si="55"/>
        <v>0</v>
      </c>
      <c r="K1600" s="14"/>
      <c r="L1600" s="14"/>
      <c r="M1600" s="14"/>
      <c r="N1600" s="14"/>
      <c r="O1600" s="14"/>
      <c r="P1600" s="14"/>
      <c r="Q1600" s="14">
        <v>400</v>
      </c>
      <c r="R1600" s="14"/>
      <c r="S1600" s="14"/>
      <c r="T1600" s="14"/>
      <c r="U1600" s="14"/>
      <c r="V1600" s="14"/>
      <c r="W1600" s="15">
        <f t="shared" si="56"/>
        <v>400</v>
      </c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5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5"/>
      <c r="AX1600" s="16"/>
    </row>
    <row r="1601" spans="2:50" x14ac:dyDescent="0.2">
      <c r="B1601" s="7" t="s">
        <v>47</v>
      </c>
      <c r="C1601" s="8">
        <v>12297</v>
      </c>
      <c r="D1601" s="9" t="s">
        <v>97</v>
      </c>
      <c r="E1601" s="10" t="s">
        <v>98</v>
      </c>
      <c r="F1601" s="10" t="s">
        <v>99</v>
      </c>
      <c r="G1601" s="8">
        <v>1</v>
      </c>
      <c r="H1601" s="11">
        <v>400</v>
      </c>
      <c r="I1601" s="12">
        <v>42561</v>
      </c>
      <c r="J1601" s="13">
        <f t="shared" si="55"/>
        <v>0</v>
      </c>
      <c r="K1601" s="14"/>
      <c r="L1601" s="14"/>
      <c r="M1601" s="14"/>
      <c r="N1601" s="14"/>
      <c r="O1601" s="14"/>
      <c r="P1601" s="14"/>
      <c r="Q1601" s="14">
        <v>400</v>
      </c>
      <c r="R1601" s="14"/>
      <c r="S1601" s="14"/>
      <c r="T1601" s="14"/>
      <c r="U1601" s="14"/>
      <c r="V1601" s="14"/>
      <c r="W1601" s="15">
        <f t="shared" si="56"/>
        <v>400</v>
      </c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5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5"/>
      <c r="AX1601" s="16"/>
    </row>
    <row r="1602" spans="2:50" x14ac:dyDescent="0.2">
      <c r="B1602" s="7" t="s">
        <v>37</v>
      </c>
      <c r="C1602" s="8">
        <v>12298</v>
      </c>
      <c r="D1602" s="9" t="s">
        <v>780</v>
      </c>
      <c r="E1602" s="10" t="s">
        <v>781</v>
      </c>
      <c r="F1602" s="10" t="s">
        <v>493</v>
      </c>
      <c r="G1602" s="8">
        <v>1</v>
      </c>
      <c r="H1602" s="11">
        <v>600</v>
      </c>
      <c r="I1602" s="12">
        <v>42561</v>
      </c>
      <c r="J1602" s="13">
        <f t="shared" si="55"/>
        <v>0</v>
      </c>
      <c r="K1602" s="14"/>
      <c r="L1602" s="14"/>
      <c r="M1602" s="14"/>
      <c r="N1602" s="14"/>
      <c r="O1602" s="14"/>
      <c r="P1602" s="14"/>
      <c r="Q1602" s="14">
        <v>100</v>
      </c>
      <c r="R1602" s="14">
        <v>100</v>
      </c>
      <c r="S1602" s="14">
        <v>100</v>
      </c>
      <c r="T1602" s="14">
        <v>100</v>
      </c>
      <c r="U1602" s="14">
        <v>100</v>
      </c>
      <c r="V1602" s="14">
        <v>100</v>
      </c>
      <c r="W1602" s="15">
        <f t="shared" si="56"/>
        <v>600</v>
      </c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5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5"/>
      <c r="AX1602" s="16"/>
    </row>
    <row r="1603" spans="2:50" x14ac:dyDescent="0.2">
      <c r="B1603" s="7" t="s">
        <v>69</v>
      </c>
      <c r="C1603" s="8">
        <v>12299</v>
      </c>
      <c r="D1603" s="9" t="s">
        <v>174</v>
      </c>
      <c r="E1603" s="10" t="s">
        <v>175</v>
      </c>
      <c r="F1603" s="10" t="s">
        <v>176</v>
      </c>
      <c r="G1603" s="8">
        <v>1</v>
      </c>
      <c r="H1603" s="11">
        <v>300</v>
      </c>
      <c r="I1603" s="12">
        <v>42561</v>
      </c>
      <c r="J1603" s="13">
        <f t="shared" si="55"/>
        <v>0</v>
      </c>
      <c r="K1603" s="14"/>
      <c r="L1603" s="14"/>
      <c r="M1603" s="14"/>
      <c r="N1603" s="14"/>
      <c r="O1603" s="14"/>
      <c r="P1603" s="14"/>
      <c r="Q1603" s="14">
        <v>300</v>
      </c>
      <c r="R1603" s="14"/>
      <c r="S1603" s="14"/>
      <c r="T1603" s="14"/>
      <c r="U1603" s="14"/>
      <c r="V1603" s="14"/>
      <c r="W1603" s="15">
        <f t="shared" si="56"/>
        <v>300</v>
      </c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5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5"/>
      <c r="AX1603" s="16"/>
    </row>
    <row r="1604" spans="2:50" x14ac:dyDescent="0.2">
      <c r="B1604" s="7" t="s">
        <v>77</v>
      </c>
      <c r="C1604" s="8">
        <v>12300</v>
      </c>
      <c r="D1604" s="9" t="s">
        <v>820</v>
      </c>
      <c r="E1604" s="10" t="s">
        <v>821</v>
      </c>
      <c r="F1604" s="10" t="s">
        <v>822</v>
      </c>
      <c r="G1604" s="8">
        <v>1</v>
      </c>
      <c r="H1604" s="11">
        <v>300</v>
      </c>
      <c r="I1604" s="12">
        <v>42561</v>
      </c>
      <c r="J1604" s="13">
        <f t="shared" si="55"/>
        <v>0</v>
      </c>
      <c r="K1604" s="14"/>
      <c r="L1604" s="14"/>
      <c r="M1604" s="14"/>
      <c r="N1604" s="14"/>
      <c r="O1604" s="14"/>
      <c r="P1604" s="14">
        <v>300</v>
      </c>
      <c r="Q1604" s="14"/>
      <c r="R1604" s="14"/>
      <c r="S1604" s="14"/>
      <c r="T1604" s="14"/>
      <c r="U1604" s="14"/>
      <c r="V1604" s="14"/>
      <c r="W1604" s="15">
        <f t="shared" si="56"/>
        <v>300</v>
      </c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5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5"/>
      <c r="AX1604" s="16"/>
    </row>
    <row r="1605" spans="2:50" x14ac:dyDescent="0.2">
      <c r="B1605" s="7" t="s">
        <v>37</v>
      </c>
      <c r="C1605" s="8">
        <v>12301</v>
      </c>
      <c r="D1605" s="9" t="s">
        <v>180</v>
      </c>
      <c r="E1605" s="10" t="s">
        <v>181</v>
      </c>
      <c r="F1605" s="10" t="s">
        <v>182</v>
      </c>
      <c r="G1605" s="8">
        <v>1</v>
      </c>
      <c r="H1605" s="11">
        <v>400</v>
      </c>
      <c r="I1605" s="12">
        <v>42561</v>
      </c>
      <c r="J1605" s="13">
        <f t="shared" si="55"/>
        <v>0</v>
      </c>
      <c r="K1605" s="14"/>
      <c r="L1605" s="14"/>
      <c r="M1605" s="14"/>
      <c r="N1605" s="14"/>
      <c r="O1605" s="14"/>
      <c r="P1605" s="14"/>
      <c r="Q1605" s="14">
        <v>400</v>
      </c>
      <c r="R1605" s="14"/>
      <c r="S1605" s="14"/>
      <c r="T1605" s="14"/>
      <c r="U1605" s="14"/>
      <c r="V1605" s="14"/>
      <c r="W1605" s="15">
        <f t="shared" si="56"/>
        <v>400</v>
      </c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5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5"/>
      <c r="AX1605" s="16"/>
    </row>
    <row r="1606" spans="2:50" x14ac:dyDescent="0.2">
      <c r="B1606" s="7" t="s">
        <v>77</v>
      </c>
      <c r="C1606" s="8">
        <v>12258</v>
      </c>
      <c r="D1606" s="9" t="s">
        <v>380</v>
      </c>
      <c r="E1606" s="10" t="s">
        <v>381</v>
      </c>
      <c r="F1606" s="10" t="s">
        <v>382</v>
      </c>
      <c r="G1606" s="8">
        <v>5</v>
      </c>
      <c r="H1606" s="11">
        <v>100</v>
      </c>
      <c r="I1606" s="12">
        <v>42563</v>
      </c>
      <c r="J1606" s="13">
        <f t="shared" si="55"/>
        <v>0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5">
        <f t="shared" si="56"/>
        <v>0</v>
      </c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5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5"/>
      <c r="AX1606" s="16"/>
    </row>
    <row r="1607" spans="2:50" x14ac:dyDescent="0.2">
      <c r="B1607" s="7" t="s">
        <v>73</v>
      </c>
      <c r="C1607" s="8">
        <v>12259</v>
      </c>
      <c r="D1607" s="9" t="s">
        <v>611</v>
      </c>
      <c r="E1607" s="10" t="s">
        <v>612</v>
      </c>
      <c r="F1607" s="10" t="s">
        <v>613</v>
      </c>
      <c r="G1607" s="8">
        <v>5</v>
      </c>
      <c r="H1607" s="11">
        <v>200</v>
      </c>
      <c r="I1607" s="12">
        <v>42563</v>
      </c>
      <c r="J1607" s="13">
        <f t="shared" si="55"/>
        <v>0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5">
        <f t="shared" si="56"/>
        <v>0</v>
      </c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5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5"/>
      <c r="AX1607" s="16"/>
    </row>
    <row r="1608" spans="2:50" x14ac:dyDescent="0.2">
      <c r="B1608" s="7" t="s">
        <v>37</v>
      </c>
      <c r="C1608" s="8">
        <v>12260</v>
      </c>
      <c r="D1608" s="9" t="s">
        <v>960</v>
      </c>
      <c r="E1608" s="10" t="s">
        <v>961</v>
      </c>
      <c r="F1608" s="10" t="s">
        <v>962</v>
      </c>
      <c r="G1608" s="8">
        <v>1</v>
      </c>
      <c r="H1608" s="11">
        <v>800</v>
      </c>
      <c r="I1608" s="12">
        <v>42563</v>
      </c>
      <c r="J1608" s="13">
        <f t="shared" si="55"/>
        <v>0</v>
      </c>
      <c r="K1608" s="14"/>
      <c r="L1608" s="14"/>
      <c r="M1608" s="14"/>
      <c r="N1608" s="14"/>
      <c r="O1608" s="14"/>
      <c r="P1608" s="14">
        <v>400</v>
      </c>
      <c r="Q1608" s="14">
        <v>400</v>
      </c>
      <c r="R1608" s="14"/>
      <c r="S1608" s="14"/>
      <c r="T1608" s="14"/>
      <c r="U1608" s="14"/>
      <c r="V1608" s="14"/>
      <c r="W1608" s="15">
        <f t="shared" si="56"/>
        <v>800</v>
      </c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5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5"/>
      <c r="AX1608" s="16"/>
    </row>
    <row r="1609" spans="2:50" x14ac:dyDescent="0.2">
      <c r="B1609" s="7" t="s">
        <v>37</v>
      </c>
      <c r="C1609" s="8">
        <v>12260</v>
      </c>
      <c r="D1609" s="9" t="s">
        <v>960</v>
      </c>
      <c r="E1609" s="10" t="s">
        <v>961</v>
      </c>
      <c r="F1609" s="10" t="s">
        <v>962</v>
      </c>
      <c r="G1609" s="8">
        <v>5</v>
      </c>
      <c r="H1609" s="11">
        <v>50</v>
      </c>
      <c r="I1609" s="12">
        <v>42563</v>
      </c>
      <c r="J1609" s="13">
        <f t="shared" si="55"/>
        <v>0</v>
      </c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5">
        <f t="shared" si="56"/>
        <v>0</v>
      </c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5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5"/>
      <c r="AX1609" s="16"/>
    </row>
    <row r="1610" spans="2:50" x14ac:dyDescent="0.2">
      <c r="B1610" s="7" t="s">
        <v>37</v>
      </c>
      <c r="C1610" s="8">
        <v>12261</v>
      </c>
      <c r="D1610" s="9" t="s">
        <v>960</v>
      </c>
      <c r="E1610" s="10" t="s">
        <v>961</v>
      </c>
      <c r="F1610" s="10" t="s">
        <v>962</v>
      </c>
      <c r="G1610" s="8">
        <v>4</v>
      </c>
      <c r="H1610" s="11">
        <v>200</v>
      </c>
      <c r="I1610" s="12">
        <v>42563</v>
      </c>
      <c r="J1610" s="13">
        <f t="shared" si="55"/>
        <v>0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5">
        <f t="shared" si="56"/>
        <v>0</v>
      </c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5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5"/>
      <c r="AX1610" s="7">
        <v>1042289</v>
      </c>
    </row>
    <row r="1611" spans="2:50" x14ac:dyDescent="0.2">
      <c r="B1611" s="7" t="s">
        <v>69</v>
      </c>
      <c r="C1611" s="8">
        <v>12262</v>
      </c>
      <c r="D1611" s="9" t="s">
        <v>168</v>
      </c>
      <c r="E1611" s="10" t="s">
        <v>169</v>
      </c>
      <c r="F1611" s="10" t="s">
        <v>170</v>
      </c>
      <c r="G1611" s="8">
        <v>1</v>
      </c>
      <c r="H1611" s="11">
        <v>200</v>
      </c>
      <c r="I1611" s="12">
        <v>42565</v>
      </c>
      <c r="J1611" s="13">
        <f t="shared" si="55"/>
        <v>0</v>
      </c>
      <c r="K1611" s="14"/>
      <c r="L1611" s="14"/>
      <c r="M1611" s="14"/>
      <c r="N1611" s="14"/>
      <c r="O1611" s="14"/>
      <c r="P1611" s="14">
        <v>200</v>
      </c>
      <c r="Q1611" s="14"/>
      <c r="R1611" s="14"/>
      <c r="S1611" s="14"/>
      <c r="T1611" s="14"/>
      <c r="U1611" s="14"/>
      <c r="V1611" s="14"/>
      <c r="W1611" s="15">
        <f t="shared" si="56"/>
        <v>200</v>
      </c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5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5"/>
      <c r="AX1611" s="16"/>
    </row>
    <row r="1612" spans="2:50" x14ac:dyDescent="0.2">
      <c r="B1612" s="7" t="s">
        <v>69</v>
      </c>
      <c r="C1612" s="8">
        <v>12262</v>
      </c>
      <c r="D1612" s="9" t="s">
        <v>168</v>
      </c>
      <c r="E1612" s="10" t="s">
        <v>169</v>
      </c>
      <c r="F1612" s="10" t="s">
        <v>170</v>
      </c>
      <c r="G1612" s="8">
        <v>5</v>
      </c>
      <c r="H1612" s="11">
        <v>300</v>
      </c>
      <c r="I1612" s="12">
        <v>42565</v>
      </c>
      <c r="J1612" s="13">
        <f t="shared" si="55"/>
        <v>0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5">
        <f t="shared" si="56"/>
        <v>0</v>
      </c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5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5"/>
      <c r="AX1612" s="16"/>
    </row>
    <row r="1613" spans="2:50" x14ac:dyDescent="0.2">
      <c r="B1613" s="7" t="s">
        <v>73</v>
      </c>
      <c r="C1613" s="8">
        <v>12263</v>
      </c>
      <c r="D1613" s="9" t="s">
        <v>199</v>
      </c>
      <c r="E1613" s="10" t="s">
        <v>200</v>
      </c>
      <c r="F1613" s="10" t="s">
        <v>201</v>
      </c>
      <c r="G1613" s="8">
        <v>1</v>
      </c>
      <c r="H1613" s="11">
        <v>400</v>
      </c>
      <c r="I1613" s="12">
        <v>42565</v>
      </c>
      <c r="J1613" s="13">
        <f t="shared" si="55"/>
        <v>0</v>
      </c>
      <c r="K1613" s="14"/>
      <c r="L1613" s="14"/>
      <c r="M1613" s="14"/>
      <c r="N1613" s="14"/>
      <c r="O1613" s="14">
        <v>400</v>
      </c>
      <c r="P1613" s="14"/>
      <c r="Q1613" s="14"/>
      <c r="R1613" s="14"/>
      <c r="S1613" s="14"/>
      <c r="T1613" s="14"/>
      <c r="U1613" s="14"/>
      <c r="V1613" s="14"/>
      <c r="W1613" s="15">
        <f t="shared" si="56"/>
        <v>400</v>
      </c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5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5"/>
      <c r="AX1613" s="16"/>
    </row>
    <row r="1614" spans="2:50" x14ac:dyDescent="0.2">
      <c r="B1614" s="7" t="s">
        <v>37</v>
      </c>
      <c r="C1614" s="8">
        <v>12264</v>
      </c>
      <c r="D1614" s="9" t="s">
        <v>364</v>
      </c>
      <c r="E1614" s="10" t="s">
        <v>365</v>
      </c>
      <c r="F1614" s="10" t="s">
        <v>366</v>
      </c>
      <c r="G1614" s="8">
        <v>1</v>
      </c>
      <c r="H1614" s="11">
        <v>900</v>
      </c>
      <c r="I1614" s="12">
        <v>42565</v>
      </c>
      <c r="J1614" s="13">
        <f t="shared" si="55"/>
        <v>0</v>
      </c>
      <c r="K1614" s="14"/>
      <c r="L1614" s="14"/>
      <c r="M1614" s="14"/>
      <c r="N1614" s="14"/>
      <c r="O1614" s="14">
        <v>300</v>
      </c>
      <c r="P1614" s="14">
        <v>300</v>
      </c>
      <c r="Q1614" s="14">
        <v>300</v>
      </c>
      <c r="R1614" s="14"/>
      <c r="S1614" s="14"/>
      <c r="T1614" s="14"/>
      <c r="U1614" s="14"/>
      <c r="V1614" s="14"/>
      <c r="W1614" s="15">
        <f t="shared" si="56"/>
        <v>900</v>
      </c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5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5"/>
      <c r="AX1614" s="16"/>
    </row>
    <row r="1615" spans="2:50" x14ac:dyDescent="0.2">
      <c r="B1615" s="7" t="s">
        <v>37</v>
      </c>
      <c r="C1615" s="8">
        <v>12264</v>
      </c>
      <c r="D1615" s="9" t="s">
        <v>364</v>
      </c>
      <c r="E1615" s="10" t="s">
        <v>365</v>
      </c>
      <c r="F1615" s="10" t="s">
        <v>366</v>
      </c>
      <c r="G1615" s="8">
        <v>5</v>
      </c>
      <c r="H1615" s="11">
        <v>150</v>
      </c>
      <c r="I1615" s="12">
        <v>42565</v>
      </c>
      <c r="J1615" s="13">
        <f t="shared" si="55"/>
        <v>0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5">
        <f t="shared" si="56"/>
        <v>0</v>
      </c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5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5"/>
      <c r="AX1615" s="16"/>
    </row>
    <row r="1616" spans="2:50" x14ac:dyDescent="0.2">
      <c r="B1616" s="7" t="s">
        <v>37</v>
      </c>
      <c r="C1616" s="8">
        <v>12265</v>
      </c>
      <c r="D1616" s="9" t="s">
        <v>364</v>
      </c>
      <c r="E1616" s="10" t="s">
        <v>365</v>
      </c>
      <c r="F1616" s="10" t="s">
        <v>366</v>
      </c>
      <c r="G1616" s="8">
        <v>1</v>
      </c>
      <c r="H1616" s="11">
        <v>300</v>
      </c>
      <c r="I1616" s="12">
        <v>42565</v>
      </c>
      <c r="J1616" s="13">
        <f t="shared" si="55"/>
        <v>0</v>
      </c>
      <c r="K1616" s="14"/>
      <c r="L1616" s="14"/>
      <c r="M1616" s="14"/>
      <c r="N1616" s="14">
        <v>300</v>
      </c>
      <c r="O1616" s="14"/>
      <c r="P1616" s="14"/>
      <c r="Q1616" s="14"/>
      <c r="R1616" s="14"/>
      <c r="S1616" s="14"/>
      <c r="T1616" s="14"/>
      <c r="U1616" s="14"/>
      <c r="V1616" s="14"/>
      <c r="W1616" s="15">
        <f t="shared" si="56"/>
        <v>300</v>
      </c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5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5"/>
      <c r="AX1616" s="16"/>
    </row>
    <row r="1617" spans="2:50" x14ac:dyDescent="0.2">
      <c r="B1617" s="7" t="s">
        <v>61</v>
      </c>
      <c r="C1617" s="8">
        <v>12266</v>
      </c>
      <c r="D1617" s="9" t="s">
        <v>631</v>
      </c>
      <c r="E1617" s="10" t="s">
        <v>632</v>
      </c>
      <c r="F1617" s="10" t="s">
        <v>633</v>
      </c>
      <c r="G1617" s="8">
        <v>1</v>
      </c>
      <c r="H1617" s="11">
        <v>300</v>
      </c>
      <c r="I1617" s="12">
        <v>42568</v>
      </c>
      <c r="J1617" s="13">
        <f t="shared" ref="J1617:J1680" si="57">IF(G1617=1,SUM(W1617,-H1617),0)</f>
        <v>0</v>
      </c>
      <c r="K1617" s="14"/>
      <c r="L1617" s="14"/>
      <c r="M1617" s="14"/>
      <c r="N1617" s="14"/>
      <c r="O1617" s="14"/>
      <c r="P1617" s="14"/>
      <c r="Q1617" s="14">
        <v>300</v>
      </c>
      <c r="R1617" s="14"/>
      <c r="S1617" s="14"/>
      <c r="T1617" s="14"/>
      <c r="U1617" s="14"/>
      <c r="V1617" s="14"/>
      <c r="W1617" s="15">
        <f t="shared" ref="W1617:W1680" si="58">SUM(K1617:V1617)</f>
        <v>300</v>
      </c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5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5"/>
      <c r="AX1617" s="16"/>
    </row>
    <row r="1618" spans="2:50" x14ac:dyDescent="0.2">
      <c r="B1618" s="7" t="s">
        <v>37</v>
      </c>
      <c r="C1618" s="8">
        <v>12267</v>
      </c>
      <c r="D1618" s="9" t="s">
        <v>538</v>
      </c>
      <c r="E1618" s="10" t="s">
        <v>539</v>
      </c>
      <c r="F1618" s="10" t="s">
        <v>540</v>
      </c>
      <c r="G1618" s="8">
        <v>1</v>
      </c>
      <c r="H1618" s="11">
        <v>800</v>
      </c>
      <c r="I1618" s="12">
        <v>42568</v>
      </c>
      <c r="J1618" s="13">
        <f t="shared" si="57"/>
        <v>0</v>
      </c>
      <c r="K1618" s="14"/>
      <c r="L1618" s="14"/>
      <c r="M1618" s="14"/>
      <c r="N1618" s="14"/>
      <c r="O1618" s="14"/>
      <c r="P1618" s="14">
        <v>400</v>
      </c>
      <c r="Q1618" s="14">
        <v>400</v>
      </c>
      <c r="R1618" s="14"/>
      <c r="S1618" s="14"/>
      <c r="T1618" s="14"/>
      <c r="U1618" s="14"/>
      <c r="V1618" s="14"/>
      <c r="W1618" s="15">
        <f t="shared" si="58"/>
        <v>800</v>
      </c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5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5"/>
      <c r="AX1618" s="16"/>
    </row>
    <row r="1619" spans="2:50" x14ac:dyDescent="0.2">
      <c r="B1619" s="7" t="s">
        <v>37</v>
      </c>
      <c r="C1619" s="8">
        <v>12302</v>
      </c>
      <c r="D1619" s="9" t="s">
        <v>488</v>
      </c>
      <c r="E1619" s="10" t="s">
        <v>489</v>
      </c>
      <c r="F1619" s="10" t="s">
        <v>490</v>
      </c>
      <c r="G1619" s="8">
        <v>1</v>
      </c>
      <c r="H1619" s="11">
        <v>400</v>
      </c>
      <c r="I1619" s="12">
        <v>42568</v>
      </c>
      <c r="J1619" s="13">
        <f t="shared" si="57"/>
        <v>0</v>
      </c>
      <c r="K1619" s="14"/>
      <c r="L1619" s="14"/>
      <c r="M1619" s="14"/>
      <c r="N1619" s="14"/>
      <c r="O1619" s="14"/>
      <c r="P1619" s="14"/>
      <c r="Q1619" s="14">
        <v>400</v>
      </c>
      <c r="R1619" s="14"/>
      <c r="S1619" s="14"/>
      <c r="T1619" s="14"/>
      <c r="U1619" s="14"/>
      <c r="V1619" s="14"/>
      <c r="W1619" s="15">
        <f t="shared" si="58"/>
        <v>400</v>
      </c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5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5"/>
      <c r="AX1619" s="16"/>
    </row>
    <row r="1620" spans="2:50" x14ac:dyDescent="0.2">
      <c r="B1620" s="7" t="s">
        <v>37</v>
      </c>
      <c r="C1620" s="8">
        <v>12303</v>
      </c>
      <c r="D1620" s="9" t="s">
        <v>538</v>
      </c>
      <c r="E1620" s="10" t="s">
        <v>539</v>
      </c>
      <c r="F1620" s="10" t="s">
        <v>540</v>
      </c>
      <c r="G1620" s="8">
        <v>5</v>
      </c>
      <c r="H1620" s="11">
        <v>200</v>
      </c>
      <c r="I1620" s="12">
        <v>42568</v>
      </c>
      <c r="J1620" s="13">
        <f t="shared" si="57"/>
        <v>0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5">
        <f t="shared" si="58"/>
        <v>0</v>
      </c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5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5"/>
      <c r="AX1620" s="16"/>
    </row>
    <row r="1621" spans="2:50" x14ac:dyDescent="0.2">
      <c r="B1621" s="7" t="s">
        <v>73</v>
      </c>
      <c r="C1621" s="8">
        <v>12304</v>
      </c>
      <c r="D1621" s="9" t="s">
        <v>81</v>
      </c>
      <c r="E1621" s="10" t="s">
        <v>82</v>
      </c>
      <c r="F1621" s="10" t="s">
        <v>83</v>
      </c>
      <c r="G1621" s="8">
        <v>5</v>
      </c>
      <c r="H1621" s="11">
        <v>250</v>
      </c>
      <c r="I1621" s="12">
        <v>42568</v>
      </c>
      <c r="J1621" s="13">
        <f t="shared" si="57"/>
        <v>0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5">
        <f t="shared" si="58"/>
        <v>0</v>
      </c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5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5"/>
      <c r="AX1621" s="16"/>
    </row>
    <row r="1622" spans="2:50" x14ac:dyDescent="0.2">
      <c r="B1622" s="7" t="s">
        <v>37</v>
      </c>
      <c r="C1622" s="8">
        <v>12305</v>
      </c>
      <c r="D1622" s="9" t="s">
        <v>553</v>
      </c>
      <c r="E1622" s="10" t="s">
        <v>554</v>
      </c>
      <c r="F1622" s="10" t="s">
        <v>555</v>
      </c>
      <c r="G1622" s="8">
        <v>1</v>
      </c>
      <c r="H1622" s="11">
        <v>400</v>
      </c>
      <c r="I1622" s="12">
        <v>42568</v>
      </c>
      <c r="J1622" s="13">
        <f t="shared" si="57"/>
        <v>0</v>
      </c>
      <c r="K1622" s="14"/>
      <c r="L1622" s="14"/>
      <c r="M1622" s="14"/>
      <c r="N1622" s="14"/>
      <c r="O1622" s="14"/>
      <c r="P1622" s="14"/>
      <c r="Q1622" s="14">
        <v>400</v>
      </c>
      <c r="R1622" s="14"/>
      <c r="S1622" s="14"/>
      <c r="T1622" s="14"/>
      <c r="U1622" s="14"/>
      <c r="V1622" s="14"/>
      <c r="W1622" s="15">
        <f t="shared" si="58"/>
        <v>400</v>
      </c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5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5"/>
      <c r="AX1622" s="16"/>
    </row>
    <row r="1623" spans="2:50" x14ac:dyDescent="0.2">
      <c r="B1623" s="7" t="s">
        <v>77</v>
      </c>
      <c r="C1623" s="8">
        <v>12306</v>
      </c>
      <c r="D1623" s="9" t="s">
        <v>384</v>
      </c>
      <c r="E1623" s="10" t="s">
        <v>385</v>
      </c>
      <c r="F1623" s="10" t="s">
        <v>386</v>
      </c>
      <c r="G1623" s="8">
        <v>3</v>
      </c>
      <c r="H1623" s="11">
        <v>200</v>
      </c>
      <c r="I1623" s="12">
        <v>42568</v>
      </c>
      <c r="J1623" s="13">
        <f t="shared" si="57"/>
        <v>0</v>
      </c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5">
        <f t="shared" si="58"/>
        <v>0</v>
      </c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5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5"/>
      <c r="AX1623" s="16"/>
    </row>
    <row r="1624" spans="2:50" x14ac:dyDescent="0.2">
      <c r="B1624" s="7" t="s">
        <v>77</v>
      </c>
      <c r="C1624" s="8">
        <v>12306</v>
      </c>
      <c r="D1624" s="9" t="s">
        <v>384</v>
      </c>
      <c r="E1624" s="10" t="s">
        <v>385</v>
      </c>
      <c r="F1624" s="10" t="s">
        <v>386</v>
      </c>
      <c r="G1624" s="8">
        <v>5</v>
      </c>
      <c r="H1624" s="11">
        <v>100</v>
      </c>
      <c r="I1624" s="12">
        <v>42568</v>
      </c>
      <c r="J1624" s="13">
        <f t="shared" si="57"/>
        <v>0</v>
      </c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5">
        <f t="shared" si="58"/>
        <v>0</v>
      </c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5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5"/>
      <c r="AX1624" s="16"/>
    </row>
    <row r="1625" spans="2:50" x14ac:dyDescent="0.2">
      <c r="B1625" s="7" t="s">
        <v>37</v>
      </c>
      <c r="C1625" s="8">
        <v>12307</v>
      </c>
      <c r="D1625" s="9" t="s">
        <v>295</v>
      </c>
      <c r="E1625" s="10" t="s">
        <v>296</v>
      </c>
      <c r="F1625" s="10" t="s">
        <v>297</v>
      </c>
      <c r="G1625" s="8">
        <v>1</v>
      </c>
      <c r="H1625" s="11">
        <v>300</v>
      </c>
      <c r="I1625" s="12">
        <v>42568</v>
      </c>
      <c r="J1625" s="13">
        <f t="shared" si="57"/>
        <v>0</v>
      </c>
      <c r="K1625" s="14"/>
      <c r="L1625" s="14"/>
      <c r="M1625" s="14"/>
      <c r="N1625" s="14"/>
      <c r="O1625" s="14"/>
      <c r="P1625" s="14"/>
      <c r="Q1625" s="14">
        <v>300</v>
      </c>
      <c r="R1625" s="14"/>
      <c r="S1625" s="14"/>
      <c r="T1625" s="14"/>
      <c r="U1625" s="14"/>
      <c r="V1625" s="14"/>
      <c r="W1625" s="15">
        <f t="shared" si="58"/>
        <v>300</v>
      </c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5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5"/>
      <c r="AX1625" s="16"/>
    </row>
    <row r="1626" spans="2:50" x14ac:dyDescent="0.2">
      <c r="B1626" s="7" t="s">
        <v>47</v>
      </c>
      <c r="C1626" s="8">
        <v>12308</v>
      </c>
      <c r="D1626" s="9" t="s">
        <v>583</v>
      </c>
      <c r="E1626" s="10" t="s">
        <v>584</v>
      </c>
      <c r="F1626" s="10" t="s">
        <v>585</v>
      </c>
      <c r="G1626" s="8">
        <v>1</v>
      </c>
      <c r="H1626" s="11">
        <v>200</v>
      </c>
      <c r="I1626" s="12">
        <v>42568</v>
      </c>
      <c r="J1626" s="13">
        <f t="shared" si="57"/>
        <v>0</v>
      </c>
      <c r="K1626" s="14"/>
      <c r="L1626" s="14"/>
      <c r="M1626" s="14"/>
      <c r="N1626" s="14"/>
      <c r="O1626" s="14"/>
      <c r="P1626" s="14"/>
      <c r="Q1626" s="14">
        <v>200</v>
      </c>
      <c r="R1626" s="14"/>
      <c r="S1626" s="14"/>
      <c r="T1626" s="14"/>
      <c r="U1626" s="14"/>
      <c r="V1626" s="14"/>
      <c r="W1626" s="15">
        <f t="shared" si="58"/>
        <v>200</v>
      </c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5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5"/>
      <c r="AX1626" s="16"/>
    </row>
    <row r="1627" spans="2:50" x14ac:dyDescent="0.2">
      <c r="B1627" s="7" t="s">
        <v>73</v>
      </c>
      <c r="C1627" s="8">
        <v>12309</v>
      </c>
      <c r="D1627" s="9" t="s">
        <v>398</v>
      </c>
      <c r="E1627" s="10" t="s">
        <v>399</v>
      </c>
      <c r="F1627" s="10" t="s">
        <v>400</v>
      </c>
      <c r="G1627" s="8">
        <v>1</v>
      </c>
      <c r="H1627" s="11">
        <v>400</v>
      </c>
      <c r="I1627" s="12">
        <v>42568</v>
      </c>
      <c r="J1627" s="13">
        <f t="shared" si="57"/>
        <v>0</v>
      </c>
      <c r="K1627" s="14"/>
      <c r="L1627" s="14"/>
      <c r="M1627" s="14"/>
      <c r="N1627" s="14"/>
      <c r="O1627" s="14"/>
      <c r="P1627" s="14"/>
      <c r="Q1627" s="14">
        <v>400</v>
      </c>
      <c r="R1627" s="14"/>
      <c r="S1627" s="14"/>
      <c r="T1627" s="14"/>
      <c r="U1627" s="14"/>
      <c r="V1627" s="14"/>
      <c r="W1627" s="15">
        <f t="shared" si="58"/>
        <v>400</v>
      </c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5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5"/>
      <c r="AX1627" s="16"/>
    </row>
    <row r="1628" spans="2:50" x14ac:dyDescent="0.2">
      <c r="B1628" s="7" t="s">
        <v>37</v>
      </c>
      <c r="C1628" s="8">
        <v>12310</v>
      </c>
      <c r="D1628" s="9" t="s">
        <v>503</v>
      </c>
      <c r="E1628" s="10" t="s">
        <v>504</v>
      </c>
      <c r="F1628" s="10" t="s">
        <v>505</v>
      </c>
      <c r="G1628" s="8">
        <v>1</v>
      </c>
      <c r="H1628" s="11">
        <v>450</v>
      </c>
      <c r="I1628" s="12">
        <v>42568</v>
      </c>
      <c r="J1628" s="13">
        <f t="shared" si="57"/>
        <v>0</v>
      </c>
      <c r="K1628" s="14"/>
      <c r="L1628" s="14"/>
      <c r="M1628" s="14"/>
      <c r="N1628" s="14"/>
      <c r="O1628" s="14">
        <v>150</v>
      </c>
      <c r="P1628" s="14">
        <v>150</v>
      </c>
      <c r="Q1628" s="14">
        <v>150</v>
      </c>
      <c r="R1628" s="14"/>
      <c r="S1628" s="14"/>
      <c r="T1628" s="14"/>
      <c r="U1628" s="14"/>
      <c r="V1628" s="14"/>
      <c r="W1628" s="15">
        <f t="shared" si="58"/>
        <v>450</v>
      </c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5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5"/>
      <c r="AX1628" s="16"/>
    </row>
    <row r="1629" spans="2:50" x14ac:dyDescent="0.2">
      <c r="B1629" s="7" t="s">
        <v>37</v>
      </c>
      <c r="C1629" s="8">
        <v>12311</v>
      </c>
      <c r="D1629" s="9" t="s">
        <v>766</v>
      </c>
      <c r="E1629" s="10" t="s">
        <v>767</v>
      </c>
      <c r="F1629" s="10" t="s">
        <v>768</v>
      </c>
      <c r="G1629" s="8">
        <v>1</v>
      </c>
      <c r="H1629" s="11">
        <v>1200</v>
      </c>
      <c r="I1629" s="12">
        <v>42568</v>
      </c>
      <c r="J1629" s="13">
        <f t="shared" si="57"/>
        <v>0</v>
      </c>
      <c r="K1629" s="14"/>
      <c r="L1629" s="14"/>
      <c r="M1629" s="14"/>
      <c r="N1629" s="14"/>
      <c r="O1629" s="14"/>
      <c r="P1629" s="14"/>
      <c r="Q1629" s="14">
        <v>400</v>
      </c>
      <c r="R1629" s="14">
        <v>400</v>
      </c>
      <c r="S1629" s="14">
        <v>400</v>
      </c>
      <c r="T1629" s="14"/>
      <c r="U1629" s="14"/>
      <c r="V1629" s="14"/>
      <c r="W1629" s="15">
        <f t="shared" si="58"/>
        <v>1200</v>
      </c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5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5"/>
      <c r="AX1629" s="16"/>
    </row>
    <row r="1630" spans="2:50" x14ac:dyDescent="0.2">
      <c r="B1630" s="7" t="s">
        <v>69</v>
      </c>
      <c r="C1630" s="8">
        <v>12312</v>
      </c>
      <c r="D1630" s="9" t="s">
        <v>1073</v>
      </c>
      <c r="E1630" s="10" t="s">
        <v>1074</v>
      </c>
      <c r="F1630" s="10" t="s">
        <v>1075</v>
      </c>
      <c r="G1630" s="8">
        <v>1</v>
      </c>
      <c r="H1630" s="11">
        <v>2800</v>
      </c>
      <c r="I1630" s="12">
        <v>42568</v>
      </c>
      <c r="J1630" s="13">
        <f t="shared" si="57"/>
        <v>0</v>
      </c>
      <c r="K1630" s="14">
        <v>400</v>
      </c>
      <c r="L1630" s="14">
        <v>400</v>
      </c>
      <c r="M1630" s="14">
        <v>400</v>
      </c>
      <c r="N1630" s="14">
        <v>400</v>
      </c>
      <c r="O1630" s="14">
        <v>400</v>
      </c>
      <c r="P1630" s="14">
        <v>400</v>
      </c>
      <c r="Q1630" s="14">
        <v>400</v>
      </c>
      <c r="R1630" s="14"/>
      <c r="S1630" s="14"/>
      <c r="T1630" s="14"/>
      <c r="U1630" s="14"/>
      <c r="V1630" s="14"/>
      <c r="W1630" s="15">
        <f t="shared" si="58"/>
        <v>2800</v>
      </c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5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5"/>
      <c r="AX1630" s="16"/>
    </row>
    <row r="1631" spans="2:50" x14ac:dyDescent="0.2">
      <c r="B1631" s="7"/>
      <c r="C1631" s="8">
        <v>12312</v>
      </c>
      <c r="D1631" s="9" t="s">
        <v>1073</v>
      </c>
      <c r="E1631" s="10" t="str">
        <f>IF(D1631=0,"",VLOOKUP(D1631,BASE,2,FALSE))</f>
        <v>Rancho Upácuaro No. 96</v>
      </c>
      <c r="F1631" s="10" t="str">
        <f>IF(D1631=0,"",VLOOKUP(D1631,BASE,3,FALSE))</f>
        <v>Daza Gutiérrez</v>
      </c>
      <c r="G1631" s="8">
        <v>5</v>
      </c>
      <c r="H1631" s="11">
        <v>100</v>
      </c>
      <c r="I1631" s="12">
        <v>42568</v>
      </c>
      <c r="J1631" s="13">
        <f t="shared" si="57"/>
        <v>0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5">
        <f t="shared" si="58"/>
        <v>0</v>
      </c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5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5"/>
      <c r="AX1631" s="16"/>
    </row>
    <row r="1632" spans="2:50" x14ac:dyDescent="0.2">
      <c r="B1632" s="7" t="s">
        <v>391</v>
      </c>
      <c r="C1632" s="8">
        <v>12313</v>
      </c>
      <c r="D1632" s="9" t="s">
        <v>879</v>
      </c>
      <c r="E1632" s="10" t="s">
        <v>880</v>
      </c>
      <c r="F1632" s="10" t="s">
        <v>881</v>
      </c>
      <c r="G1632" s="8">
        <v>1</v>
      </c>
      <c r="H1632" s="11">
        <v>200</v>
      </c>
      <c r="I1632" s="12">
        <v>42568</v>
      </c>
      <c r="J1632" s="13">
        <f t="shared" si="57"/>
        <v>0</v>
      </c>
      <c r="K1632" s="14"/>
      <c r="L1632" s="14"/>
      <c r="M1632" s="14"/>
      <c r="N1632" s="14"/>
      <c r="O1632" s="14"/>
      <c r="P1632" s="14"/>
      <c r="Q1632" s="14">
        <v>200</v>
      </c>
      <c r="R1632" s="14"/>
      <c r="S1632" s="14"/>
      <c r="T1632" s="14"/>
      <c r="U1632" s="14"/>
      <c r="V1632" s="14"/>
      <c r="W1632" s="15">
        <f t="shared" si="58"/>
        <v>200</v>
      </c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5"/>
      <c r="AX1632" s="16"/>
    </row>
    <row r="1633" spans="2:50" x14ac:dyDescent="0.2">
      <c r="B1633" s="7" t="s">
        <v>391</v>
      </c>
      <c r="C1633" s="8">
        <v>12313</v>
      </c>
      <c r="D1633" s="9" t="s">
        <v>879</v>
      </c>
      <c r="E1633" s="10" t="s">
        <v>880</v>
      </c>
      <c r="F1633" s="10" t="s">
        <v>881</v>
      </c>
      <c r="G1633" s="8">
        <v>5</v>
      </c>
      <c r="H1633" s="11">
        <v>50</v>
      </c>
      <c r="I1633" s="12">
        <v>42568</v>
      </c>
      <c r="J1633" s="13">
        <f t="shared" si="57"/>
        <v>0</v>
      </c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5">
        <f t="shared" si="58"/>
        <v>0</v>
      </c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5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5"/>
      <c r="AX1633" s="16"/>
    </row>
    <row r="1634" spans="2:50" x14ac:dyDescent="0.2">
      <c r="B1634" s="7" t="s">
        <v>47</v>
      </c>
      <c r="C1634" s="8">
        <v>12314</v>
      </c>
      <c r="D1634" s="9" t="s">
        <v>823</v>
      </c>
      <c r="E1634" s="10" t="s">
        <v>824</v>
      </c>
      <c r="F1634" s="10" t="s">
        <v>765</v>
      </c>
      <c r="G1634" s="8">
        <v>5</v>
      </c>
      <c r="H1634" s="11">
        <v>50</v>
      </c>
      <c r="I1634" s="12">
        <v>42568</v>
      </c>
      <c r="J1634" s="13">
        <f t="shared" si="57"/>
        <v>0</v>
      </c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5">
        <f t="shared" si="58"/>
        <v>0</v>
      </c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5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5"/>
      <c r="AX1634" s="16"/>
    </row>
    <row r="1635" spans="2:50" x14ac:dyDescent="0.2">
      <c r="B1635" s="7" t="s">
        <v>47</v>
      </c>
      <c r="C1635" s="8">
        <v>12315</v>
      </c>
      <c r="D1635" s="9" t="s">
        <v>241</v>
      </c>
      <c r="E1635" s="10" t="s">
        <v>242</v>
      </c>
      <c r="F1635" s="10" t="s">
        <v>243</v>
      </c>
      <c r="G1635" s="8">
        <v>1</v>
      </c>
      <c r="H1635" s="11">
        <v>400</v>
      </c>
      <c r="I1635" s="12">
        <v>42568</v>
      </c>
      <c r="J1635" s="13">
        <f t="shared" si="57"/>
        <v>0</v>
      </c>
      <c r="K1635" s="14"/>
      <c r="L1635" s="14"/>
      <c r="M1635" s="14"/>
      <c r="N1635" s="14"/>
      <c r="O1635" s="14"/>
      <c r="P1635" s="14"/>
      <c r="Q1635" s="14">
        <v>400</v>
      </c>
      <c r="R1635" s="14"/>
      <c r="S1635" s="14"/>
      <c r="T1635" s="14"/>
      <c r="U1635" s="14"/>
      <c r="V1635" s="14"/>
      <c r="W1635" s="15">
        <f t="shared" si="58"/>
        <v>400</v>
      </c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5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5"/>
      <c r="AX1635" s="16"/>
    </row>
    <row r="1636" spans="2:50" x14ac:dyDescent="0.2">
      <c r="B1636" s="7" t="s">
        <v>37</v>
      </c>
      <c r="C1636" s="8">
        <v>12316</v>
      </c>
      <c r="D1636" s="9" t="s">
        <v>271</v>
      </c>
      <c r="E1636" s="10" t="s">
        <v>272</v>
      </c>
      <c r="F1636" s="10" t="s">
        <v>273</v>
      </c>
      <c r="G1636" s="8">
        <v>1</v>
      </c>
      <c r="H1636" s="11">
        <v>400</v>
      </c>
      <c r="I1636" s="12">
        <v>42568</v>
      </c>
      <c r="J1636" s="13">
        <f t="shared" si="57"/>
        <v>0</v>
      </c>
      <c r="K1636" s="14"/>
      <c r="L1636" s="14"/>
      <c r="M1636" s="14"/>
      <c r="N1636" s="14"/>
      <c r="O1636" s="14"/>
      <c r="P1636" s="14"/>
      <c r="Q1636" s="14">
        <v>400</v>
      </c>
      <c r="R1636" s="14"/>
      <c r="S1636" s="14"/>
      <c r="T1636" s="14"/>
      <c r="U1636" s="14"/>
      <c r="V1636" s="14"/>
      <c r="W1636" s="15">
        <f t="shared" si="58"/>
        <v>400</v>
      </c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5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5"/>
      <c r="AX1636" s="16"/>
    </row>
    <row r="1637" spans="2:50" x14ac:dyDescent="0.2">
      <c r="B1637" s="7" t="s">
        <v>73</v>
      </c>
      <c r="C1637" s="8">
        <v>12317</v>
      </c>
      <c r="D1637" s="9" t="s">
        <v>532</v>
      </c>
      <c r="E1637" s="10" t="s">
        <v>533</v>
      </c>
      <c r="F1637" s="10" t="s">
        <v>534</v>
      </c>
      <c r="G1637" s="8">
        <v>4</v>
      </c>
      <c r="H1637" s="11">
        <v>200</v>
      </c>
      <c r="I1637" s="12">
        <v>42568</v>
      </c>
      <c r="J1637" s="13">
        <f t="shared" si="57"/>
        <v>0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5">
        <f t="shared" si="58"/>
        <v>0</v>
      </c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5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5"/>
      <c r="AX1637" s="7">
        <v>10422895</v>
      </c>
    </row>
    <row r="1638" spans="2:50" x14ac:dyDescent="0.2">
      <c r="B1638" s="7" t="s">
        <v>122</v>
      </c>
      <c r="C1638" s="8">
        <v>12318</v>
      </c>
      <c r="D1638" s="9" t="s">
        <v>262</v>
      </c>
      <c r="E1638" s="10" t="s">
        <v>263</v>
      </c>
      <c r="F1638" s="10" t="s">
        <v>264</v>
      </c>
      <c r="G1638" s="8">
        <v>1</v>
      </c>
      <c r="H1638" s="11">
        <v>300</v>
      </c>
      <c r="I1638" s="12">
        <v>42568</v>
      </c>
      <c r="J1638" s="13">
        <f t="shared" si="57"/>
        <v>0</v>
      </c>
      <c r="K1638" s="14"/>
      <c r="L1638" s="14"/>
      <c r="M1638" s="14"/>
      <c r="N1638" s="14"/>
      <c r="O1638" s="14"/>
      <c r="P1638" s="14"/>
      <c r="Q1638" s="14">
        <v>300</v>
      </c>
      <c r="R1638" s="14"/>
      <c r="S1638" s="14"/>
      <c r="T1638" s="14"/>
      <c r="U1638" s="14"/>
      <c r="V1638" s="14"/>
      <c r="W1638" s="15">
        <f t="shared" si="58"/>
        <v>300</v>
      </c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5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5"/>
      <c r="AX1638" s="16"/>
    </row>
    <row r="1639" spans="2:50" x14ac:dyDescent="0.2">
      <c r="B1639" s="7" t="s">
        <v>122</v>
      </c>
      <c r="C1639" s="8">
        <v>12319</v>
      </c>
      <c r="D1639" s="9" t="s">
        <v>622</v>
      </c>
      <c r="E1639" s="10" t="s">
        <v>623</v>
      </c>
      <c r="F1639" s="10" t="s">
        <v>624</v>
      </c>
      <c r="G1639" s="8">
        <v>5</v>
      </c>
      <c r="H1639" s="11">
        <v>50</v>
      </c>
      <c r="I1639" s="12">
        <v>42568</v>
      </c>
      <c r="J1639" s="13">
        <f t="shared" si="57"/>
        <v>0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5">
        <f t="shared" si="58"/>
        <v>0</v>
      </c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5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5"/>
      <c r="AX1639" s="16"/>
    </row>
    <row r="1640" spans="2:50" x14ac:dyDescent="0.2">
      <c r="B1640" s="7" t="s">
        <v>47</v>
      </c>
      <c r="C1640" s="8">
        <v>12320</v>
      </c>
      <c r="D1640" s="9" t="s">
        <v>404</v>
      </c>
      <c r="E1640" s="10" t="s">
        <v>405</v>
      </c>
      <c r="F1640" s="10" t="s">
        <v>406</v>
      </c>
      <c r="G1640" s="8">
        <v>1</v>
      </c>
      <c r="H1640" s="11">
        <v>400</v>
      </c>
      <c r="I1640" s="12">
        <v>42568</v>
      </c>
      <c r="J1640" s="13">
        <f t="shared" si="57"/>
        <v>0</v>
      </c>
      <c r="K1640" s="14"/>
      <c r="L1640" s="14"/>
      <c r="M1640" s="14"/>
      <c r="N1640" s="14"/>
      <c r="O1640" s="14"/>
      <c r="P1640" s="14"/>
      <c r="Q1640" s="14">
        <v>400</v>
      </c>
      <c r="R1640" s="14"/>
      <c r="S1640" s="14"/>
      <c r="T1640" s="14"/>
      <c r="U1640" s="14"/>
      <c r="V1640" s="14"/>
      <c r="W1640" s="15">
        <f t="shared" si="58"/>
        <v>400</v>
      </c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5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5"/>
      <c r="AX1640" s="16"/>
    </row>
    <row r="1641" spans="2:50" x14ac:dyDescent="0.2">
      <c r="B1641" s="7" t="s">
        <v>47</v>
      </c>
      <c r="C1641" s="8">
        <v>12321</v>
      </c>
      <c r="D1641" s="9" t="s">
        <v>132</v>
      </c>
      <c r="E1641" s="10" t="s">
        <v>133</v>
      </c>
      <c r="F1641" s="10" t="s">
        <v>134</v>
      </c>
      <c r="G1641" s="8">
        <v>1</v>
      </c>
      <c r="H1641" s="11">
        <v>300</v>
      </c>
      <c r="I1641" s="12">
        <v>42568</v>
      </c>
      <c r="J1641" s="13">
        <f t="shared" si="57"/>
        <v>0</v>
      </c>
      <c r="K1641" s="14"/>
      <c r="L1641" s="14"/>
      <c r="M1641" s="14"/>
      <c r="N1641" s="14"/>
      <c r="O1641" s="14"/>
      <c r="P1641" s="14"/>
      <c r="Q1641" s="14">
        <v>300</v>
      </c>
      <c r="R1641" s="14"/>
      <c r="S1641" s="14"/>
      <c r="T1641" s="14"/>
      <c r="U1641" s="14"/>
      <c r="V1641" s="14"/>
      <c r="W1641" s="15">
        <f t="shared" si="58"/>
        <v>300</v>
      </c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5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5"/>
      <c r="AX1641" s="16"/>
    </row>
    <row r="1642" spans="2:50" x14ac:dyDescent="0.2">
      <c r="B1642" s="7" t="s">
        <v>69</v>
      </c>
      <c r="C1642" s="8">
        <v>12322</v>
      </c>
      <c r="D1642" s="9" t="s">
        <v>343</v>
      </c>
      <c r="E1642" s="10" t="s">
        <v>344</v>
      </c>
      <c r="F1642" s="10" t="s">
        <v>345</v>
      </c>
      <c r="G1642" s="8">
        <v>1</v>
      </c>
      <c r="H1642" s="11">
        <v>400</v>
      </c>
      <c r="I1642" s="12">
        <v>42568</v>
      </c>
      <c r="J1642" s="13">
        <f t="shared" si="57"/>
        <v>0</v>
      </c>
      <c r="K1642" s="14"/>
      <c r="L1642" s="14"/>
      <c r="M1642" s="14"/>
      <c r="N1642" s="14"/>
      <c r="O1642" s="14"/>
      <c r="P1642" s="14"/>
      <c r="Q1642" s="14">
        <v>400</v>
      </c>
      <c r="R1642" s="14"/>
      <c r="S1642" s="14"/>
      <c r="T1642" s="14"/>
      <c r="U1642" s="14"/>
      <c r="V1642" s="14"/>
      <c r="W1642" s="15">
        <f t="shared" si="58"/>
        <v>400</v>
      </c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5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5"/>
      <c r="AX1642" s="16"/>
    </row>
    <row r="1643" spans="2:50" x14ac:dyDescent="0.2">
      <c r="B1643" s="7" t="s">
        <v>122</v>
      </c>
      <c r="C1643" s="8">
        <v>12323</v>
      </c>
      <c r="D1643" s="9" t="s">
        <v>622</v>
      </c>
      <c r="E1643" s="10" t="s">
        <v>623</v>
      </c>
      <c r="F1643" s="10" t="s">
        <v>624</v>
      </c>
      <c r="G1643" s="8">
        <v>5</v>
      </c>
      <c r="H1643" s="11">
        <v>250</v>
      </c>
      <c r="I1643" s="12">
        <v>42568</v>
      </c>
      <c r="J1643" s="13">
        <f t="shared" si="57"/>
        <v>0</v>
      </c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5">
        <f t="shared" si="58"/>
        <v>0</v>
      </c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5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5"/>
      <c r="AX1643" s="16"/>
    </row>
    <row r="1644" spans="2:50" x14ac:dyDescent="0.2">
      <c r="B1644" s="7" t="s">
        <v>37</v>
      </c>
      <c r="C1644" s="8">
        <v>12324</v>
      </c>
      <c r="D1644" s="9" t="s">
        <v>766</v>
      </c>
      <c r="E1644" s="10" t="s">
        <v>767</v>
      </c>
      <c r="F1644" s="10" t="s">
        <v>768</v>
      </c>
      <c r="G1644" s="8">
        <v>5</v>
      </c>
      <c r="H1644" s="11">
        <v>200</v>
      </c>
      <c r="I1644" s="12">
        <v>42568</v>
      </c>
      <c r="J1644" s="13">
        <f t="shared" si="57"/>
        <v>0</v>
      </c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5">
        <f t="shared" si="58"/>
        <v>0</v>
      </c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5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5"/>
      <c r="AX1644" s="16"/>
    </row>
    <row r="1645" spans="2:50" x14ac:dyDescent="0.2">
      <c r="B1645" s="7" t="s">
        <v>69</v>
      </c>
      <c r="C1645" s="8">
        <v>12325</v>
      </c>
      <c r="D1645" s="9" t="s">
        <v>714</v>
      </c>
      <c r="E1645" s="10" t="s">
        <v>715</v>
      </c>
      <c r="F1645" s="10" t="s">
        <v>487</v>
      </c>
      <c r="G1645" s="8">
        <v>1</v>
      </c>
      <c r="H1645" s="11">
        <v>400</v>
      </c>
      <c r="I1645" s="12">
        <v>42568</v>
      </c>
      <c r="J1645" s="13">
        <f t="shared" si="57"/>
        <v>0</v>
      </c>
      <c r="K1645" s="14"/>
      <c r="L1645" s="14"/>
      <c r="M1645" s="14"/>
      <c r="N1645" s="14"/>
      <c r="O1645" s="14"/>
      <c r="P1645" s="14">
        <v>400</v>
      </c>
      <c r="Q1645" s="14"/>
      <c r="R1645" s="14"/>
      <c r="S1645" s="14"/>
      <c r="T1645" s="14"/>
      <c r="U1645" s="14"/>
      <c r="V1645" s="14"/>
      <c r="W1645" s="15">
        <f t="shared" si="58"/>
        <v>400</v>
      </c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5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5"/>
      <c r="AX1645" s="16"/>
    </row>
    <row r="1646" spans="2:50" x14ac:dyDescent="0.2">
      <c r="B1646" s="7" t="s">
        <v>69</v>
      </c>
      <c r="C1646" s="8">
        <v>12326</v>
      </c>
      <c r="D1646" s="9" t="s">
        <v>893</v>
      </c>
      <c r="E1646" s="10" t="s">
        <v>894</v>
      </c>
      <c r="F1646" s="10" t="s">
        <v>895</v>
      </c>
      <c r="G1646" s="8">
        <v>1</v>
      </c>
      <c r="H1646" s="11">
        <v>400</v>
      </c>
      <c r="I1646" s="12">
        <v>42568</v>
      </c>
      <c r="J1646" s="13">
        <f t="shared" si="57"/>
        <v>0</v>
      </c>
      <c r="K1646" s="14"/>
      <c r="L1646" s="14"/>
      <c r="M1646" s="14"/>
      <c r="N1646" s="14"/>
      <c r="O1646" s="14"/>
      <c r="P1646" s="14"/>
      <c r="Q1646" s="14">
        <v>400</v>
      </c>
      <c r="R1646" s="14"/>
      <c r="S1646" s="14"/>
      <c r="T1646" s="14"/>
      <c r="U1646" s="14"/>
      <c r="V1646" s="14"/>
      <c r="W1646" s="15">
        <f t="shared" si="58"/>
        <v>400</v>
      </c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5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5"/>
      <c r="AX1646" s="16"/>
    </row>
    <row r="1647" spans="2:50" x14ac:dyDescent="0.2">
      <c r="B1647" s="7" t="s">
        <v>73</v>
      </c>
      <c r="C1647" s="8">
        <v>12327</v>
      </c>
      <c r="D1647" s="9" t="s">
        <v>817</v>
      </c>
      <c r="E1647" s="10" t="s">
        <v>818</v>
      </c>
      <c r="F1647" s="10" t="s">
        <v>819</v>
      </c>
      <c r="G1647" s="8">
        <v>5</v>
      </c>
      <c r="H1647" s="11">
        <v>100</v>
      </c>
      <c r="I1647" s="12">
        <v>42568</v>
      </c>
      <c r="J1647" s="13">
        <f t="shared" si="57"/>
        <v>0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5">
        <f t="shared" si="58"/>
        <v>0</v>
      </c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5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5"/>
      <c r="AX1647" s="16"/>
    </row>
    <row r="1648" spans="2:50" x14ac:dyDescent="0.2">
      <c r="B1648" s="7" t="s">
        <v>73</v>
      </c>
      <c r="C1648" s="8">
        <v>12328</v>
      </c>
      <c r="D1648" s="9" t="s">
        <v>817</v>
      </c>
      <c r="E1648" s="10" t="s">
        <v>818</v>
      </c>
      <c r="F1648" s="10" t="s">
        <v>819</v>
      </c>
      <c r="G1648" s="8">
        <v>4</v>
      </c>
      <c r="H1648" s="11">
        <v>200</v>
      </c>
      <c r="I1648" s="12">
        <v>42568</v>
      </c>
      <c r="J1648" s="13">
        <f t="shared" si="57"/>
        <v>0</v>
      </c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5">
        <f t="shared" si="58"/>
        <v>0</v>
      </c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5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5"/>
      <c r="AX1648" s="7">
        <v>10422896</v>
      </c>
    </row>
    <row r="1649" spans="2:50" x14ac:dyDescent="0.2">
      <c r="B1649" s="7" t="s">
        <v>47</v>
      </c>
      <c r="C1649" s="8">
        <v>12329</v>
      </c>
      <c r="D1649" s="9" t="s">
        <v>705</v>
      </c>
      <c r="E1649" s="10" t="s">
        <v>706</v>
      </c>
      <c r="F1649" s="10" t="s">
        <v>707</v>
      </c>
      <c r="G1649" s="8">
        <v>1</v>
      </c>
      <c r="H1649" s="11">
        <v>300</v>
      </c>
      <c r="I1649" s="12">
        <v>42568</v>
      </c>
      <c r="J1649" s="13">
        <f t="shared" si="57"/>
        <v>0</v>
      </c>
      <c r="K1649" s="14"/>
      <c r="L1649" s="14"/>
      <c r="M1649" s="14"/>
      <c r="N1649" s="14"/>
      <c r="O1649" s="14"/>
      <c r="P1649" s="14"/>
      <c r="Q1649" s="14">
        <v>300</v>
      </c>
      <c r="R1649" s="14"/>
      <c r="S1649" s="14"/>
      <c r="T1649" s="14"/>
      <c r="U1649" s="14"/>
      <c r="V1649" s="14"/>
      <c r="W1649" s="15">
        <f t="shared" si="58"/>
        <v>300</v>
      </c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5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5"/>
      <c r="AX1649" s="16"/>
    </row>
    <row r="1650" spans="2:50" x14ac:dyDescent="0.2">
      <c r="B1650" s="7" t="s">
        <v>69</v>
      </c>
      <c r="C1650" s="8">
        <v>12330</v>
      </c>
      <c r="D1650" s="9" t="s">
        <v>915</v>
      </c>
      <c r="E1650" s="10" t="s">
        <v>916</v>
      </c>
      <c r="F1650" s="10" t="s">
        <v>917</v>
      </c>
      <c r="G1650" s="8">
        <v>1</v>
      </c>
      <c r="H1650" s="11">
        <v>200</v>
      </c>
      <c r="I1650" s="12">
        <v>42568</v>
      </c>
      <c r="J1650" s="13">
        <f t="shared" si="57"/>
        <v>0</v>
      </c>
      <c r="K1650" s="14"/>
      <c r="L1650" s="14"/>
      <c r="M1650" s="14"/>
      <c r="N1650" s="14"/>
      <c r="O1650" s="14"/>
      <c r="P1650" s="14"/>
      <c r="Q1650" s="14">
        <v>200</v>
      </c>
      <c r="R1650" s="14"/>
      <c r="S1650" s="14"/>
      <c r="T1650" s="14"/>
      <c r="U1650" s="14"/>
      <c r="V1650" s="14"/>
      <c r="W1650" s="15">
        <f t="shared" si="58"/>
        <v>200</v>
      </c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5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5"/>
      <c r="AX1650" s="16"/>
    </row>
    <row r="1651" spans="2:50" x14ac:dyDescent="0.2">
      <c r="B1651" s="7" t="s">
        <v>69</v>
      </c>
      <c r="C1651" s="8">
        <v>12330</v>
      </c>
      <c r="D1651" s="9" t="s">
        <v>915</v>
      </c>
      <c r="E1651" s="10" t="s">
        <v>916</v>
      </c>
      <c r="F1651" s="10" t="s">
        <v>917</v>
      </c>
      <c r="G1651" s="8">
        <v>5</v>
      </c>
      <c r="H1651" s="11">
        <v>150</v>
      </c>
      <c r="I1651" s="12">
        <v>42568</v>
      </c>
      <c r="J1651" s="13">
        <f t="shared" si="57"/>
        <v>0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5">
        <f t="shared" si="58"/>
        <v>0</v>
      </c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5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5"/>
      <c r="AX1651" s="16"/>
    </row>
    <row r="1652" spans="2:50" x14ac:dyDescent="0.2">
      <c r="B1652" s="7" t="s">
        <v>122</v>
      </c>
      <c r="C1652" s="8">
        <v>12331</v>
      </c>
      <c r="D1652" s="9" t="s">
        <v>761</v>
      </c>
      <c r="E1652" s="10" t="s">
        <v>762</v>
      </c>
      <c r="F1652" s="10" t="s">
        <v>403</v>
      </c>
      <c r="G1652" s="8">
        <v>1</v>
      </c>
      <c r="H1652" s="11">
        <v>800</v>
      </c>
      <c r="I1652" s="12">
        <v>42568</v>
      </c>
      <c r="J1652" s="13">
        <f t="shared" si="57"/>
        <v>0</v>
      </c>
      <c r="K1652" s="14"/>
      <c r="L1652" s="14"/>
      <c r="M1652" s="14"/>
      <c r="N1652" s="14"/>
      <c r="O1652" s="14">
        <v>400</v>
      </c>
      <c r="P1652" s="14">
        <v>400</v>
      </c>
      <c r="Q1652" s="14"/>
      <c r="R1652" s="14"/>
      <c r="S1652" s="14"/>
      <c r="T1652" s="14"/>
      <c r="U1652" s="14"/>
      <c r="V1652" s="14"/>
      <c r="W1652" s="15">
        <f t="shared" si="58"/>
        <v>800</v>
      </c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5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5"/>
      <c r="AX1652" s="16"/>
    </row>
    <row r="1653" spans="2:50" x14ac:dyDescent="0.2">
      <c r="B1653" s="7" t="s">
        <v>47</v>
      </c>
      <c r="C1653" s="8">
        <v>12332</v>
      </c>
      <c r="D1653" s="9" t="s">
        <v>655</v>
      </c>
      <c r="E1653" s="10" t="s">
        <v>656</v>
      </c>
      <c r="F1653" s="10" t="s">
        <v>657</v>
      </c>
      <c r="G1653" s="8">
        <v>1</v>
      </c>
      <c r="H1653" s="11">
        <v>400</v>
      </c>
      <c r="I1653" s="12">
        <v>42568</v>
      </c>
      <c r="J1653" s="13">
        <f t="shared" si="57"/>
        <v>0</v>
      </c>
      <c r="K1653" s="14"/>
      <c r="L1653" s="14"/>
      <c r="M1653" s="14"/>
      <c r="N1653" s="14">
        <v>400</v>
      </c>
      <c r="O1653" s="14"/>
      <c r="P1653" s="14"/>
      <c r="Q1653" s="14"/>
      <c r="R1653" s="14"/>
      <c r="S1653" s="14"/>
      <c r="T1653" s="14"/>
      <c r="U1653" s="14"/>
      <c r="V1653" s="14"/>
      <c r="W1653" s="15">
        <f t="shared" si="58"/>
        <v>400</v>
      </c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5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5"/>
      <c r="AX1653" s="16"/>
    </row>
    <row r="1654" spans="2:50" x14ac:dyDescent="0.2">
      <c r="B1654" s="7" t="s">
        <v>73</v>
      </c>
      <c r="C1654" s="8">
        <v>12333</v>
      </c>
      <c r="D1654" s="9" t="s">
        <v>911</v>
      </c>
      <c r="E1654" s="10" t="s">
        <v>912</v>
      </c>
      <c r="F1654" s="10" t="s">
        <v>397</v>
      </c>
      <c r="G1654" s="8">
        <v>1</v>
      </c>
      <c r="H1654" s="11">
        <v>800</v>
      </c>
      <c r="I1654" s="12">
        <v>42568</v>
      </c>
      <c r="J1654" s="13">
        <f t="shared" si="57"/>
        <v>0</v>
      </c>
      <c r="K1654" s="14"/>
      <c r="L1654" s="14"/>
      <c r="M1654" s="14"/>
      <c r="N1654" s="14"/>
      <c r="O1654" s="14"/>
      <c r="P1654" s="14">
        <v>400</v>
      </c>
      <c r="Q1654" s="14">
        <v>400</v>
      </c>
      <c r="R1654" s="14"/>
      <c r="S1654" s="14"/>
      <c r="T1654" s="14"/>
      <c r="U1654" s="14"/>
      <c r="V1654" s="14"/>
      <c r="W1654" s="15">
        <f t="shared" si="58"/>
        <v>800</v>
      </c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5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5"/>
      <c r="AX1654" s="16"/>
    </row>
    <row r="1655" spans="2:50" x14ac:dyDescent="0.2">
      <c r="B1655" s="7" t="s">
        <v>37</v>
      </c>
      <c r="C1655" s="8">
        <v>12334</v>
      </c>
      <c r="D1655" s="9" t="s">
        <v>843</v>
      </c>
      <c r="E1655" s="10" t="s">
        <v>844</v>
      </c>
      <c r="F1655" s="10" t="s">
        <v>845</v>
      </c>
      <c r="G1655" s="8">
        <v>1</v>
      </c>
      <c r="H1655" s="11">
        <v>800</v>
      </c>
      <c r="I1655" s="12">
        <v>42568</v>
      </c>
      <c r="J1655" s="13">
        <f t="shared" si="57"/>
        <v>0</v>
      </c>
      <c r="K1655" s="14"/>
      <c r="L1655" s="14"/>
      <c r="M1655" s="14"/>
      <c r="N1655" s="14">
        <v>200</v>
      </c>
      <c r="O1655" s="14">
        <v>200</v>
      </c>
      <c r="P1655" s="14">
        <v>200</v>
      </c>
      <c r="Q1655" s="14">
        <v>200</v>
      </c>
      <c r="R1655" s="14"/>
      <c r="S1655" s="14"/>
      <c r="T1655" s="14"/>
      <c r="U1655" s="14"/>
      <c r="V1655" s="14"/>
      <c r="W1655" s="15">
        <f t="shared" si="58"/>
        <v>800</v>
      </c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5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5"/>
      <c r="AX1655" s="16"/>
    </row>
    <row r="1656" spans="2:50" x14ac:dyDescent="0.2">
      <c r="B1656" s="7" t="s">
        <v>37</v>
      </c>
      <c r="C1656" s="8">
        <v>12334</v>
      </c>
      <c r="D1656" s="9" t="s">
        <v>843</v>
      </c>
      <c r="E1656" s="10" t="s">
        <v>844</v>
      </c>
      <c r="F1656" s="10" t="s">
        <v>845</v>
      </c>
      <c r="G1656" s="8">
        <v>5</v>
      </c>
      <c r="H1656" s="11">
        <v>150</v>
      </c>
      <c r="I1656" s="12">
        <v>42568</v>
      </c>
      <c r="J1656" s="13">
        <f t="shared" si="57"/>
        <v>0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5">
        <f t="shared" si="58"/>
        <v>0</v>
      </c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5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5"/>
      <c r="AX1656" s="16"/>
    </row>
    <row r="1657" spans="2:50" x14ac:dyDescent="0.2">
      <c r="B1657" s="7" t="s">
        <v>37</v>
      </c>
      <c r="C1657" s="8">
        <v>12335</v>
      </c>
      <c r="D1657" s="9" t="s">
        <v>1020</v>
      </c>
      <c r="E1657" s="10" t="s">
        <v>1021</v>
      </c>
      <c r="F1657" s="10" t="s">
        <v>1022</v>
      </c>
      <c r="G1657" s="8">
        <v>1</v>
      </c>
      <c r="H1657" s="11">
        <v>400</v>
      </c>
      <c r="I1657" s="12">
        <v>42568</v>
      </c>
      <c r="J1657" s="13">
        <f t="shared" si="57"/>
        <v>0</v>
      </c>
      <c r="K1657" s="14"/>
      <c r="L1657" s="14"/>
      <c r="M1657" s="14"/>
      <c r="N1657" s="14"/>
      <c r="O1657" s="14"/>
      <c r="P1657" s="14"/>
      <c r="Q1657" s="14">
        <v>400</v>
      </c>
      <c r="R1657" s="14"/>
      <c r="S1657" s="14"/>
      <c r="T1657" s="14"/>
      <c r="U1657" s="14"/>
      <c r="V1657" s="14"/>
      <c r="W1657" s="15">
        <f t="shared" si="58"/>
        <v>400</v>
      </c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5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5"/>
      <c r="AX1657" s="16"/>
    </row>
    <row r="1658" spans="2:50" x14ac:dyDescent="0.2">
      <c r="B1658" s="7" t="s">
        <v>37</v>
      </c>
      <c r="C1658" s="8">
        <v>12335</v>
      </c>
      <c r="D1658" s="9" t="s">
        <v>1020</v>
      </c>
      <c r="E1658" s="10" t="s">
        <v>1021</v>
      </c>
      <c r="F1658" s="10" t="s">
        <v>1022</v>
      </c>
      <c r="G1658" s="8">
        <v>3</v>
      </c>
      <c r="H1658" s="11">
        <v>200</v>
      </c>
      <c r="I1658" s="12">
        <v>42568</v>
      </c>
      <c r="J1658" s="13">
        <f t="shared" si="57"/>
        <v>0</v>
      </c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5">
        <f t="shared" si="58"/>
        <v>0</v>
      </c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5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5"/>
      <c r="AX1658" s="16"/>
    </row>
    <row r="1659" spans="2:50" x14ac:dyDescent="0.2">
      <c r="B1659" s="7" t="s">
        <v>37</v>
      </c>
      <c r="C1659" s="8">
        <v>12335</v>
      </c>
      <c r="D1659" s="9" t="s">
        <v>1020</v>
      </c>
      <c r="E1659" s="10" t="s">
        <v>1021</v>
      </c>
      <c r="F1659" s="10" t="s">
        <v>1022</v>
      </c>
      <c r="G1659" s="8">
        <v>4</v>
      </c>
      <c r="H1659" s="11">
        <v>200</v>
      </c>
      <c r="I1659" s="12">
        <v>42568</v>
      </c>
      <c r="J1659" s="13">
        <f t="shared" si="57"/>
        <v>0</v>
      </c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5">
        <f t="shared" si="58"/>
        <v>0</v>
      </c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5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5"/>
      <c r="AX1659" s="16"/>
    </row>
    <row r="1660" spans="2:50" x14ac:dyDescent="0.2">
      <c r="B1660" s="7" t="s">
        <v>37</v>
      </c>
      <c r="C1660" s="8">
        <v>12335</v>
      </c>
      <c r="D1660" s="9" t="s">
        <v>1020</v>
      </c>
      <c r="E1660" s="10" t="s">
        <v>1021</v>
      </c>
      <c r="F1660" s="10" t="s">
        <v>1022</v>
      </c>
      <c r="G1660" s="8">
        <v>5</v>
      </c>
      <c r="H1660" s="11">
        <v>50</v>
      </c>
      <c r="I1660" s="12">
        <v>42568</v>
      </c>
      <c r="J1660" s="13">
        <f t="shared" si="57"/>
        <v>0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5">
        <f t="shared" si="58"/>
        <v>0</v>
      </c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5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5"/>
      <c r="AX1660" s="16"/>
    </row>
    <row r="1661" spans="2:50" x14ac:dyDescent="0.2">
      <c r="B1661" s="7" t="s">
        <v>37</v>
      </c>
      <c r="C1661" s="8">
        <v>12336</v>
      </c>
      <c r="D1661" s="9" t="s">
        <v>401</v>
      </c>
      <c r="E1661" s="10" t="s">
        <v>402</v>
      </c>
      <c r="F1661" s="10" t="s">
        <v>403</v>
      </c>
      <c r="G1661" s="8">
        <v>1</v>
      </c>
      <c r="H1661" s="11">
        <v>800</v>
      </c>
      <c r="I1661" s="12">
        <v>42568</v>
      </c>
      <c r="J1661" s="13">
        <f t="shared" si="57"/>
        <v>0</v>
      </c>
      <c r="K1661" s="14"/>
      <c r="L1661" s="14"/>
      <c r="M1661" s="14"/>
      <c r="N1661" s="14"/>
      <c r="O1661" s="14">
        <v>400</v>
      </c>
      <c r="P1661" s="14">
        <v>400</v>
      </c>
      <c r="Q1661" s="14"/>
      <c r="R1661" s="14"/>
      <c r="S1661" s="14"/>
      <c r="T1661" s="14"/>
      <c r="U1661" s="14"/>
      <c r="V1661" s="14"/>
      <c r="W1661" s="15">
        <f t="shared" si="58"/>
        <v>800</v>
      </c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5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5"/>
      <c r="AX1661" s="16"/>
    </row>
    <row r="1662" spans="2:50" x14ac:dyDescent="0.2">
      <c r="B1662" s="7" t="s">
        <v>73</v>
      </c>
      <c r="C1662" s="8">
        <v>12337</v>
      </c>
      <c r="D1662" s="9" t="s">
        <v>922</v>
      </c>
      <c r="E1662" s="10" t="s">
        <v>923</v>
      </c>
      <c r="F1662" s="10" t="s">
        <v>924</v>
      </c>
      <c r="G1662" s="8">
        <v>1</v>
      </c>
      <c r="H1662" s="11">
        <v>500</v>
      </c>
      <c r="I1662" s="12">
        <v>42568</v>
      </c>
      <c r="J1662" s="13">
        <f t="shared" si="57"/>
        <v>0</v>
      </c>
      <c r="K1662" s="14"/>
      <c r="L1662" s="14"/>
      <c r="M1662" s="14"/>
      <c r="N1662" s="14"/>
      <c r="O1662" s="14">
        <v>250</v>
      </c>
      <c r="P1662" s="14">
        <v>250</v>
      </c>
      <c r="Q1662" s="14"/>
      <c r="R1662" s="14"/>
      <c r="S1662" s="14"/>
      <c r="T1662" s="14"/>
      <c r="U1662" s="14"/>
      <c r="V1662" s="14"/>
      <c r="W1662" s="15">
        <f t="shared" si="58"/>
        <v>500</v>
      </c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5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5"/>
      <c r="AX1662" s="16"/>
    </row>
    <row r="1663" spans="2:50" x14ac:dyDescent="0.2">
      <c r="B1663" s="7" t="s">
        <v>73</v>
      </c>
      <c r="C1663" s="8">
        <v>12337</v>
      </c>
      <c r="D1663" s="9" t="s">
        <v>922</v>
      </c>
      <c r="E1663" s="10" t="s">
        <v>923</v>
      </c>
      <c r="F1663" s="10" t="s">
        <v>924</v>
      </c>
      <c r="G1663" s="8">
        <v>5</v>
      </c>
      <c r="H1663" s="11">
        <v>100</v>
      </c>
      <c r="I1663" s="12">
        <v>42568</v>
      </c>
      <c r="J1663" s="13">
        <f t="shared" si="57"/>
        <v>0</v>
      </c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5">
        <f t="shared" si="58"/>
        <v>0</v>
      </c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5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5"/>
      <c r="AX1663" s="16"/>
    </row>
    <row r="1664" spans="2:50" x14ac:dyDescent="0.2">
      <c r="B1664" s="7" t="s">
        <v>69</v>
      </c>
      <c r="C1664" s="8">
        <v>12338</v>
      </c>
      <c r="D1664" s="9" t="s">
        <v>410</v>
      </c>
      <c r="E1664" s="10" t="s">
        <v>411</v>
      </c>
      <c r="F1664" s="10" t="s">
        <v>412</v>
      </c>
      <c r="G1664" s="8">
        <v>3</v>
      </c>
      <c r="H1664" s="11">
        <v>200</v>
      </c>
      <c r="I1664" s="12">
        <v>42568</v>
      </c>
      <c r="J1664" s="13">
        <f t="shared" si="57"/>
        <v>0</v>
      </c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5">
        <f t="shared" si="58"/>
        <v>0</v>
      </c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5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5"/>
      <c r="AX1664" s="16"/>
    </row>
    <row r="1665" spans="2:50" x14ac:dyDescent="0.2">
      <c r="B1665" s="7" t="s">
        <v>37</v>
      </c>
      <c r="C1665" s="8">
        <v>12339</v>
      </c>
      <c r="D1665" s="9" t="s">
        <v>716</v>
      </c>
      <c r="E1665" s="10" t="s">
        <v>717</v>
      </c>
      <c r="F1665" s="10" t="s">
        <v>718</v>
      </c>
      <c r="G1665" s="8">
        <v>1</v>
      </c>
      <c r="H1665" s="11">
        <v>600</v>
      </c>
      <c r="I1665" s="12">
        <v>42568</v>
      </c>
      <c r="J1665" s="13">
        <f t="shared" si="57"/>
        <v>0</v>
      </c>
      <c r="K1665" s="14"/>
      <c r="L1665" s="14"/>
      <c r="M1665" s="14"/>
      <c r="N1665" s="14"/>
      <c r="O1665" s="14"/>
      <c r="P1665" s="14"/>
      <c r="Q1665" s="14">
        <v>300</v>
      </c>
      <c r="R1665" s="14">
        <v>300</v>
      </c>
      <c r="S1665" s="14"/>
      <c r="T1665" s="14"/>
      <c r="U1665" s="14"/>
      <c r="V1665" s="14"/>
      <c r="W1665" s="15">
        <f t="shared" si="58"/>
        <v>600</v>
      </c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5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5"/>
      <c r="AX1665" s="16"/>
    </row>
    <row r="1666" spans="2:50" x14ac:dyDescent="0.2">
      <c r="B1666" s="7" t="s">
        <v>37</v>
      </c>
      <c r="C1666" s="8">
        <v>12340</v>
      </c>
      <c r="D1666" s="9" t="s">
        <v>716</v>
      </c>
      <c r="E1666" s="10" t="s">
        <v>717</v>
      </c>
      <c r="F1666" s="10" t="s">
        <v>718</v>
      </c>
      <c r="G1666" s="8">
        <v>5</v>
      </c>
      <c r="H1666" s="11">
        <v>50</v>
      </c>
      <c r="I1666" s="12">
        <v>42568</v>
      </c>
      <c r="J1666" s="13">
        <f t="shared" si="57"/>
        <v>0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5">
        <f t="shared" si="58"/>
        <v>0</v>
      </c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5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5"/>
      <c r="AX1666" s="16"/>
    </row>
    <row r="1667" spans="2:50" x14ac:dyDescent="0.2">
      <c r="B1667" s="7" t="s">
        <v>77</v>
      </c>
      <c r="C1667" s="8">
        <v>12341</v>
      </c>
      <c r="D1667" s="9" t="s">
        <v>156</v>
      </c>
      <c r="E1667" s="10" t="s">
        <v>157</v>
      </c>
      <c r="F1667" s="10" t="s">
        <v>158</v>
      </c>
      <c r="G1667" s="8">
        <v>1</v>
      </c>
      <c r="H1667" s="11">
        <v>300</v>
      </c>
      <c r="I1667" s="12">
        <v>42568</v>
      </c>
      <c r="J1667" s="13">
        <f t="shared" si="57"/>
        <v>0</v>
      </c>
      <c r="K1667" s="14"/>
      <c r="L1667" s="14"/>
      <c r="M1667" s="14"/>
      <c r="N1667" s="14"/>
      <c r="O1667" s="14"/>
      <c r="P1667" s="14"/>
      <c r="Q1667" s="14">
        <v>300</v>
      </c>
      <c r="R1667" s="14"/>
      <c r="S1667" s="14"/>
      <c r="T1667" s="14"/>
      <c r="U1667" s="14"/>
      <c r="V1667" s="14"/>
      <c r="W1667" s="15">
        <f t="shared" si="58"/>
        <v>300</v>
      </c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5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5"/>
      <c r="AX1667" s="16"/>
    </row>
    <row r="1668" spans="2:50" x14ac:dyDescent="0.2">
      <c r="B1668" s="7" t="s">
        <v>61</v>
      </c>
      <c r="C1668" s="8">
        <v>12342</v>
      </c>
      <c r="D1668" s="9" t="s">
        <v>214</v>
      </c>
      <c r="E1668" s="10" t="s">
        <v>215</v>
      </c>
      <c r="F1668" s="10" t="s">
        <v>216</v>
      </c>
      <c r="G1668" s="8">
        <v>1</v>
      </c>
      <c r="H1668" s="11">
        <v>600</v>
      </c>
      <c r="I1668" s="12">
        <v>42568</v>
      </c>
      <c r="J1668" s="13">
        <f t="shared" si="57"/>
        <v>0</v>
      </c>
      <c r="K1668" s="14"/>
      <c r="L1668" s="14"/>
      <c r="M1668" s="14"/>
      <c r="N1668" s="14"/>
      <c r="O1668" s="14">
        <v>200</v>
      </c>
      <c r="P1668" s="14">
        <v>200</v>
      </c>
      <c r="Q1668" s="14">
        <v>200</v>
      </c>
      <c r="R1668" s="14"/>
      <c r="S1668" s="14"/>
      <c r="T1668" s="14"/>
      <c r="U1668" s="14"/>
      <c r="V1668" s="14"/>
      <c r="W1668" s="15">
        <f t="shared" si="58"/>
        <v>600</v>
      </c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5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5"/>
      <c r="AX1668" s="16"/>
    </row>
    <row r="1669" spans="2:50" x14ac:dyDescent="0.2">
      <c r="B1669" s="7" t="s">
        <v>69</v>
      </c>
      <c r="C1669" s="8">
        <v>12343</v>
      </c>
      <c r="D1669" s="9" t="s">
        <v>643</v>
      </c>
      <c r="E1669" s="10" t="s">
        <v>644</v>
      </c>
      <c r="F1669" s="10" t="s">
        <v>645</v>
      </c>
      <c r="G1669" s="8">
        <v>1</v>
      </c>
      <c r="H1669" s="11">
        <v>1000</v>
      </c>
      <c r="I1669" s="12">
        <v>42570</v>
      </c>
      <c r="J1669" s="13">
        <f t="shared" si="57"/>
        <v>0</v>
      </c>
      <c r="K1669" s="14"/>
      <c r="L1669" s="14"/>
      <c r="M1669" s="14">
        <v>200</v>
      </c>
      <c r="N1669" s="14">
        <v>200</v>
      </c>
      <c r="O1669" s="14">
        <v>200</v>
      </c>
      <c r="P1669" s="14">
        <v>200</v>
      </c>
      <c r="Q1669" s="14">
        <v>200</v>
      </c>
      <c r="R1669" s="14"/>
      <c r="S1669" s="14"/>
      <c r="T1669" s="14"/>
      <c r="U1669" s="14"/>
      <c r="V1669" s="14"/>
      <c r="W1669" s="15">
        <f t="shared" si="58"/>
        <v>1000</v>
      </c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5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5"/>
      <c r="AX1669" s="16"/>
    </row>
    <row r="1670" spans="2:50" x14ac:dyDescent="0.2">
      <c r="B1670" s="7" t="s">
        <v>69</v>
      </c>
      <c r="C1670" s="8">
        <v>12344</v>
      </c>
      <c r="D1670" s="9" t="s">
        <v>643</v>
      </c>
      <c r="E1670" s="10" t="s">
        <v>644</v>
      </c>
      <c r="F1670" s="10" t="s">
        <v>645</v>
      </c>
      <c r="G1670" s="8">
        <v>5</v>
      </c>
      <c r="H1670" s="11">
        <v>50</v>
      </c>
      <c r="I1670" s="12">
        <v>42570</v>
      </c>
      <c r="J1670" s="13">
        <f t="shared" si="57"/>
        <v>0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5">
        <f t="shared" si="58"/>
        <v>0</v>
      </c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5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5"/>
      <c r="AX1670" s="16"/>
    </row>
    <row r="1671" spans="2:50" x14ac:dyDescent="0.2">
      <c r="B1671" s="7" t="s">
        <v>47</v>
      </c>
      <c r="C1671" s="8">
        <v>12345</v>
      </c>
      <c r="D1671" s="9" t="s">
        <v>971</v>
      </c>
      <c r="E1671" s="10" t="s">
        <v>972</v>
      </c>
      <c r="F1671" s="10" t="s">
        <v>973</v>
      </c>
      <c r="G1671" s="8">
        <v>1</v>
      </c>
      <c r="H1671" s="11">
        <v>4400</v>
      </c>
      <c r="I1671" s="12">
        <v>42570</v>
      </c>
      <c r="J1671" s="13">
        <f t="shared" si="57"/>
        <v>0</v>
      </c>
      <c r="K1671" s="14">
        <v>400</v>
      </c>
      <c r="L1671" s="14">
        <v>400</v>
      </c>
      <c r="M1671" s="14">
        <v>400</v>
      </c>
      <c r="N1671" s="14">
        <v>400</v>
      </c>
      <c r="O1671" s="14">
        <v>400</v>
      </c>
      <c r="P1671" s="14">
        <v>400</v>
      </c>
      <c r="Q1671" s="14">
        <v>400</v>
      </c>
      <c r="R1671" s="14">
        <v>400</v>
      </c>
      <c r="S1671" s="14">
        <v>400</v>
      </c>
      <c r="T1671" s="14">
        <v>400</v>
      </c>
      <c r="U1671" s="14">
        <v>400</v>
      </c>
      <c r="V1671" s="14"/>
      <c r="W1671" s="15">
        <f t="shared" si="58"/>
        <v>4400</v>
      </c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5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5"/>
      <c r="AX1671" s="16"/>
    </row>
    <row r="1672" spans="2:50" x14ac:dyDescent="0.2">
      <c r="B1672" s="7" t="s">
        <v>47</v>
      </c>
      <c r="C1672" s="8">
        <v>12345</v>
      </c>
      <c r="D1672" s="9" t="s">
        <v>971</v>
      </c>
      <c r="E1672" s="10" t="s">
        <v>972</v>
      </c>
      <c r="F1672" s="10" t="s">
        <v>973</v>
      </c>
      <c r="G1672" s="8">
        <v>5</v>
      </c>
      <c r="H1672" s="11">
        <v>100</v>
      </c>
      <c r="I1672" s="12">
        <v>42570</v>
      </c>
      <c r="J1672" s="13">
        <f t="shared" si="57"/>
        <v>0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5">
        <f t="shared" si="58"/>
        <v>0</v>
      </c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5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5"/>
      <c r="AX1672" s="16"/>
    </row>
    <row r="1673" spans="2:50" x14ac:dyDescent="0.2">
      <c r="B1673" s="7" t="s">
        <v>69</v>
      </c>
      <c r="C1673" s="8">
        <v>12346</v>
      </c>
      <c r="D1673" s="9" t="s">
        <v>373</v>
      </c>
      <c r="E1673" s="10" t="s">
        <v>374</v>
      </c>
      <c r="F1673" s="10" t="s">
        <v>375</v>
      </c>
      <c r="G1673" s="8">
        <v>1</v>
      </c>
      <c r="H1673" s="11">
        <v>400</v>
      </c>
      <c r="I1673" s="12">
        <v>42573</v>
      </c>
      <c r="J1673" s="13">
        <f t="shared" si="57"/>
        <v>0</v>
      </c>
      <c r="K1673" s="14"/>
      <c r="L1673" s="14"/>
      <c r="M1673" s="14"/>
      <c r="N1673" s="14"/>
      <c r="O1673" s="14"/>
      <c r="P1673" s="14"/>
      <c r="Q1673" s="14">
        <v>400</v>
      </c>
      <c r="R1673" s="14"/>
      <c r="S1673" s="14"/>
      <c r="T1673" s="14"/>
      <c r="U1673" s="14"/>
      <c r="V1673" s="14"/>
      <c r="W1673" s="15">
        <f t="shared" si="58"/>
        <v>400</v>
      </c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5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5"/>
      <c r="AX1673" s="16"/>
    </row>
    <row r="1674" spans="2:50" x14ac:dyDescent="0.2">
      <c r="B1674" s="7" t="s">
        <v>37</v>
      </c>
      <c r="C1674" s="8">
        <v>12347</v>
      </c>
      <c r="D1674" s="9" t="s">
        <v>503</v>
      </c>
      <c r="E1674" s="10" t="s">
        <v>504</v>
      </c>
      <c r="F1674" s="10" t="s">
        <v>505</v>
      </c>
      <c r="G1674" s="8">
        <v>7</v>
      </c>
      <c r="H1674" s="11">
        <v>350</v>
      </c>
      <c r="I1674" s="12">
        <v>42573</v>
      </c>
      <c r="J1674" s="13">
        <f t="shared" si="57"/>
        <v>0</v>
      </c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5">
        <f t="shared" si="58"/>
        <v>0</v>
      </c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5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5"/>
      <c r="AX1674" s="16"/>
    </row>
    <row r="1675" spans="2:50" x14ac:dyDescent="0.2">
      <c r="B1675" s="7" t="s">
        <v>47</v>
      </c>
      <c r="C1675" s="8">
        <v>12348</v>
      </c>
      <c r="D1675" s="9" t="s">
        <v>971</v>
      </c>
      <c r="E1675" s="10" t="s">
        <v>972</v>
      </c>
      <c r="F1675" s="10" t="s">
        <v>973</v>
      </c>
      <c r="G1675" s="8">
        <v>5</v>
      </c>
      <c r="H1675" s="11">
        <v>100</v>
      </c>
      <c r="I1675" s="12">
        <v>42573</v>
      </c>
      <c r="J1675" s="13">
        <f t="shared" si="57"/>
        <v>0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5">
        <f t="shared" si="58"/>
        <v>0</v>
      </c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5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5"/>
      <c r="AX1675" s="16"/>
    </row>
    <row r="1676" spans="2:50" x14ac:dyDescent="0.2">
      <c r="B1676" s="7" t="s">
        <v>47</v>
      </c>
      <c r="C1676" s="8">
        <v>12349</v>
      </c>
      <c r="D1676" s="9" t="s">
        <v>1076</v>
      </c>
      <c r="E1676" s="10" t="s">
        <v>1077</v>
      </c>
      <c r="F1676" s="10" t="s">
        <v>1078</v>
      </c>
      <c r="G1676" s="8">
        <v>1</v>
      </c>
      <c r="H1676" s="11">
        <v>400</v>
      </c>
      <c r="I1676" s="12">
        <v>42575</v>
      </c>
      <c r="J1676" s="13">
        <f t="shared" si="57"/>
        <v>0</v>
      </c>
      <c r="K1676" s="14"/>
      <c r="L1676" s="14"/>
      <c r="M1676" s="14"/>
      <c r="N1676" s="14"/>
      <c r="O1676" s="14"/>
      <c r="P1676" s="14"/>
      <c r="Q1676" s="14">
        <v>400</v>
      </c>
      <c r="R1676" s="14"/>
      <c r="S1676" s="14"/>
      <c r="T1676" s="14"/>
      <c r="U1676" s="14"/>
      <c r="V1676" s="14"/>
      <c r="W1676" s="15">
        <f t="shared" si="58"/>
        <v>400</v>
      </c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5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5"/>
      <c r="AX1676" s="16"/>
    </row>
    <row r="1677" spans="2:50" x14ac:dyDescent="0.2">
      <c r="B1677" s="7" t="s">
        <v>47</v>
      </c>
      <c r="C1677" s="8">
        <v>12350</v>
      </c>
      <c r="D1677" s="9" t="s">
        <v>1076</v>
      </c>
      <c r="E1677" s="10" t="s">
        <v>1077</v>
      </c>
      <c r="F1677" s="10" t="s">
        <v>1078</v>
      </c>
      <c r="G1677" s="8">
        <v>5</v>
      </c>
      <c r="H1677" s="11">
        <v>150</v>
      </c>
      <c r="I1677" s="12">
        <v>42575</v>
      </c>
      <c r="J1677" s="13">
        <f t="shared" si="57"/>
        <v>0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5">
        <f t="shared" si="58"/>
        <v>0</v>
      </c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5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5"/>
      <c r="AX1677" s="16"/>
    </row>
    <row r="1678" spans="2:50" x14ac:dyDescent="0.2">
      <c r="B1678" s="7" t="s">
        <v>37</v>
      </c>
      <c r="C1678" s="8">
        <v>12351</v>
      </c>
      <c r="D1678" s="9" t="s">
        <v>681</v>
      </c>
      <c r="E1678" s="10" t="s">
        <v>682</v>
      </c>
      <c r="F1678" s="10" t="s">
        <v>683</v>
      </c>
      <c r="G1678" s="8">
        <v>1</v>
      </c>
      <c r="H1678" s="11">
        <v>300</v>
      </c>
      <c r="I1678" s="12">
        <v>42575</v>
      </c>
      <c r="J1678" s="13">
        <f t="shared" si="57"/>
        <v>0</v>
      </c>
      <c r="K1678" s="14"/>
      <c r="L1678" s="14"/>
      <c r="M1678" s="14"/>
      <c r="N1678" s="14"/>
      <c r="O1678" s="14"/>
      <c r="P1678" s="14"/>
      <c r="Q1678" s="14">
        <v>300</v>
      </c>
      <c r="R1678" s="14"/>
      <c r="S1678" s="14"/>
      <c r="T1678" s="14"/>
      <c r="U1678" s="14"/>
      <c r="V1678" s="14"/>
      <c r="W1678" s="15">
        <f t="shared" si="58"/>
        <v>300</v>
      </c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5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5"/>
      <c r="AX1678" s="16"/>
    </row>
    <row r="1679" spans="2:50" x14ac:dyDescent="0.2">
      <c r="B1679" s="7" t="s">
        <v>37</v>
      </c>
      <c r="C1679" s="8">
        <v>12352</v>
      </c>
      <c r="D1679" s="9" t="s">
        <v>119</v>
      </c>
      <c r="E1679" s="10" t="s">
        <v>120</v>
      </c>
      <c r="F1679" s="10" t="s">
        <v>121</v>
      </c>
      <c r="G1679" s="8">
        <v>1</v>
      </c>
      <c r="H1679" s="11">
        <v>800</v>
      </c>
      <c r="I1679" s="12">
        <v>42575</v>
      </c>
      <c r="J1679" s="13">
        <f t="shared" si="57"/>
        <v>0</v>
      </c>
      <c r="K1679" s="14"/>
      <c r="L1679" s="14"/>
      <c r="M1679" s="14"/>
      <c r="N1679" s="14"/>
      <c r="O1679" s="14"/>
      <c r="P1679" s="14">
        <v>400</v>
      </c>
      <c r="Q1679" s="14">
        <v>400</v>
      </c>
      <c r="R1679" s="14"/>
      <c r="S1679" s="14"/>
      <c r="T1679" s="14"/>
      <c r="U1679" s="14"/>
      <c r="V1679" s="14"/>
      <c r="W1679" s="15">
        <f t="shared" si="58"/>
        <v>800</v>
      </c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5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5"/>
      <c r="AX1679" s="16"/>
    </row>
    <row r="1680" spans="2:50" x14ac:dyDescent="0.2">
      <c r="B1680" s="7" t="s">
        <v>37</v>
      </c>
      <c r="C1680" s="8">
        <v>12353</v>
      </c>
      <c r="D1680" s="9" t="s">
        <v>119</v>
      </c>
      <c r="E1680" s="10" t="s">
        <v>120</v>
      </c>
      <c r="F1680" s="10" t="s">
        <v>121</v>
      </c>
      <c r="G1680" s="8">
        <v>5</v>
      </c>
      <c r="H1680" s="11">
        <v>200</v>
      </c>
      <c r="I1680" s="12">
        <v>42575</v>
      </c>
      <c r="J1680" s="13">
        <f t="shared" si="57"/>
        <v>0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5">
        <f t="shared" si="58"/>
        <v>0</v>
      </c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5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5"/>
      <c r="AX1680" s="16"/>
    </row>
    <row r="1681" spans="2:50" x14ac:dyDescent="0.2">
      <c r="B1681" s="7" t="s">
        <v>47</v>
      </c>
      <c r="C1681" s="8">
        <v>12354</v>
      </c>
      <c r="D1681" s="9" t="s">
        <v>803</v>
      </c>
      <c r="E1681" s="10" t="s">
        <v>804</v>
      </c>
      <c r="F1681" s="10" t="s">
        <v>312</v>
      </c>
      <c r="G1681" s="8">
        <v>1</v>
      </c>
      <c r="H1681" s="11">
        <v>800</v>
      </c>
      <c r="I1681" s="12">
        <v>42575</v>
      </c>
      <c r="J1681" s="13">
        <f t="shared" ref="J1681:J1744" si="59">IF(G1681=1,SUM(W1681,-H1681),0)</f>
        <v>0</v>
      </c>
      <c r="K1681" s="14"/>
      <c r="L1681" s="14"/>
      <c r="M1681" s="14"/>
      <c r="N1681" s="14"/>
      <c r="O1681" s="14"/>
      <c r="P1681" s="14">
        <v>400</v>
      </c>
      <c r="Q1681" s="14">
        <v>400</v>
      </c>
      <c r="R1681" s="14"/>
      <c r="S1681" s="14"/>
      <c r="T1681" s="14"/>
      <c r="U1681" s="14"/>
      <c r="V1681" s="14"/>
      <c r="W1681" s="15">
        <f t="shared" ref="W1681:W1744" si="60">SUM(K1681:V1681)</f>
        <v>800</v>
      </c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5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5"/>
      <c r="AX1681" s="16"/>
    </row>
    <row r="1682" spans="2:50" x14ac:dyDescent="0.2">
      <c r="B1682" s="7" t="s">
        <v>47</v>
      </c>
      <c r="C1682" s="8">
        <v>12354</v>
      </c>
      <c r="D1682" s="9" t="s">
        <v>803</v>
      </c>
      <c r="E1682" s="10" t="s">
        <v>804</v>
      </c>
      <c r="F1682" s="10" t="s">
        <v>312</v>
      </c>
      <c r="G1682" s="8">
        <v>4</v>
      </c>
      <c r="H1682" s="11">
        <v>200</v>
      </c>
      <c r="I1682" s="12">
        <v>42575</v>
      </c>
      <c r="J1682" s="13">
        <f t="shared" si="59"/>
        <v>0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5">
        <f t="shared" si="60"/>
        <v>0</v>
      </c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5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5"/>
      <c r="AX1682" s="16"/>
    </row>
    <row r="1683" spans="2:50" x14ac:dyDescent="0.2">
      <c r="B1683" s="7" t="s">
        <v>47</v>
      </c>
      <c r="C1683" s="8">
        <v>12355</v>
      </c>
      <c r="D1683" s="9" t="s">
        <v>189</v>
      </c>
      <c r="E1683" s="10" t="s">
        <v>190</v>
      </c>
      <c r="F1683" s="10" t="s">
        <v>191</v>
      </c>
      <c r="G1683" s="8">
        <v>1</v>
      </c>
      <c r="H1683" s="11">
        <v>800</v>
      </c>
      <c r="I1683" s="12">
        <v>42575</v>
      </c>
      <c r="J1683" s="13">
        <f t="shared" si="59"/>
        <v>0</v>
      </c>
      <c r="K1683" s="14"/>
      <c r="L1683" s="14"/>
      <c r="M1683" s="14"/>
      <c r="N1683" s="14"/>
      <c r="O1683" s="14"/>
      <c r="P1683" s="14">
        <v>400</v>
      </c>
      <c r="Q1683" s="14">
        <v>400</v>
      </c>
      <c r="R1683" s="14"/>
      <c r="S1683" s="14"/>
      <c r="T1683" s="14"/>
      <c r="U1683" s="14"/>
      <c r="V1683" s="14"/>
      <c r="W1683" s="15">
        <f t="shared" si="60"/>
        <v>800</v>
      </c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5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5"/>
      <c r="AX1683" s="16"/>
    </row>
    <row r="1684" spans="2:50" x14ac:dyDescent="0.2">
      <c r="B1684" s="7" t="s">
        <v>37</v>
      </c>
      <c r="C1684" s="8">
        <v>12356</v>
      </c>
      <c r="D1684" s="9" t="s">
        <v>94</v>
      </c>
      <c r="E1684" s="10" t="s">
        <v>95</v>
      </c>
      <c r="F1684" s="10" t="s">
        <v>96</v>
      </c>
      <c r="G1684" s="8">
        <v>5</v>
      </c>
      <c r="H1684" s="11">
        <v>50</v>
      </c>
      <c r="I1684" s="12">
        <v>42575</v>
      </c>
      <c r="J1684" s="13">
        <f t="shared" si="59"/>
        <v>0</v>
      </c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5">
        <f t="shared" si="60"/>
        <v>0</v>
      </c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5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5"/>
      <c r="AX1684" s="16"/>
    </row>
    <row r="1685" spans="2:50" x14ac:dyDescent="0.2">
      <c r="B1685" s="7" t="s">
        <v>47</v>
      </c>
      <c r="C1685" s="8">
        <v>12357</v>
      </c>
      <c r="D1685" s="9" t="s">
        <v>803</v>
      </c>
      <c r="E1685" s="10" t="s">
        <v>804</v>
      </c>
      <c r="F1685" s="10" t="s">
        <v>312</v>
      </c>
      <c r="G1685" s="8">
        <v>3</v>
      </c>
      <c r="H1685" s="11">
        <v>200</v>
      </c>
      <c r="I1685" s="12">
        <v>42575</v>
      </c>
      <c r="J1685" s="13">
        <f t="shared" si="59"/>
        <v>0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5">
        <f t="shared" si="60"/>
        <v>0</v>
      </c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5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5"/>
      <c r="AX1685" s="16"/>
    </row>
    <row r="1686" spans="2:50" x14ac:dyDescent="0.2">
      <c r="B1686" s="7" t="s">
        <v>122</v>
      </c>
      <c r="C1686" s="8">
        <v>12358</v>
      </c>
      <c r="D1686" s="9" t="s">
        <v>310</v>
      </c>
      <c r="E1686" s="10" t="s">
        <v>311</v>
      </c>
      <c r="F1686" s="10" t="s">
        <v>312</v>
      </c>
      <c r="G1686" s="8">
        <v>1</v>
      </c>
      <c r="H1686" s="11">
        <v>800</v>
      </c>
      <c r="I1686" s="12">
        <v>42575</v>
      </c>
      <c r="J1686" s="13">
        <f t="shared" si="59"/>
        <v>0</v>
      </c>
      <c r="K1686" s="14"/>
      <c r="L1686" s="14"/>
      <c r="M1686" s="14"/>
      <c r="N1686" s="14"/>
      <c r="O1686" s="14"/>
      <c r="P1686" s="14">
        <v>400</v>
      </c>
      <c r="Q1686" s="14">
        <v>400</v>
      </c>
      <c r="R1686" s="14"/>
      <c r="S1686" s="14"/>
      <c r="T1686" s="14"/>
      <c r="U1686" s="14"/>
      <c r="V1686" s="14"/>
      <c r="W1686" s="15">
        <f t="shared" si="60"/>
        <v>800</v>
      </c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5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5"/>
      <c r="AX1686" s="16"/>
    </row>
    <row r="1687" spans="2:50" x14ac:dyDescent="0.2">
      <c r="B1687" s="7" t="s">
        <v>47</v>
      </c>
      <c r="C1687" s="8">
        <v>12359</v>
      </c>
      <c r="D1687" s="9" t="s">
        <v>658</v>
      </c>
      <c r="E1687" s="10" t="s">
        <v>659</v>
      </c>
      <c r="F1687" s="10" t="s">
        <v>921</v>
      </c>
      <c r="G1687" s="8">
        <v>1</v>
      </c>
      <c r="H1687" s="11">
        <v>1200</v>
      </c>
      <c r="I1687" s="12">
        <v>42575</v>
      </c>
      <c r="J1687" s="13">
        <f t="shared" si="59"/>
        <v>0</v>
      </c>
      <c r="K1687" s="14"/>
      <c r="L1687" s="14"/>
      <c r="M1687" s="14"/>
      <c r="N1687" s="14"/>
      <c r="O1687" s="14">
        <v>400</v>
      </c>
      <c r="P1687" s="14">
        <v>400</v>
      </c>
      <c r="Q1687" s="14">
        <v>400</v>
      </c>
      <c r="R1687" s="14"/>
      <c r="S1687" s="14"/>
      <c r="T1687" s="14"/>
      <c r="U1687" s="14"/>
      <c r="V1687" s="14"/>
      <c r="W1687" s="15">
        <f t="shared" si="60"/>
        <v>1200</v>
      </c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5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5"/>
      <c r="AX1687" s="16"/>
    </row>
    <row r="1688" spans="2:50" x14ac:dyDescent="0.2">
      <c r="B1688" s="7" t="s">
        <v>47</v>
      </c>
      <c r="C1688" s="8">
        <v>12360</v>
      </c>
      <c r="D1688" s="9" t="s">
        <v>658</v>
      </c>
      <c r="E1688" s="10" t="s">
        <v>659</v>
      </c>
      <c r="F1688" s="10" t="s">
        <v>921</v>
      </c>
      <c r="G1688" s="8">
        <v>5</v>
      </c>
      <c r="H1688" s="11">
        <v>150</v>
      </c>
      <c r="I1688" s="12">
        <v>42575</v>
      </c>
      <c r="J1688" s="13">
        <f t="shared" si="59"/>
        <v>0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5">
        <f t="shared" si="60"/>
        <v>0</v>
      </c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5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5"/>
      <c r="AX1688" s="16"/>
    </row>
    <row r="1689" spans="2:50" x14ac:dyDescent="0.2">
      <c r="B1689" s="7" t="s">
        <v>37</v>
      </c>
      <c r="C1689" s="8">
        <v>12361</v>
      </c>
      <c r="D1689" s="9" t="s">
        <v>192</v>
      </c>
      <c r="E1689" s="10" t="s">
        <v>193</v>
      </c>
      <c r="F1689" s="10" t="s">
        <v>194</v>
      </c>
      <c r="G1689" s="8">
        <v>1</v>
      </c>
      <c r="H1689" s="11">
        <v>400</v>
      </c>
      <c r="I1689" s="12">
        <v>42575</v>
      </c>
      <c r="J1689" s="13">
        <f t="shared" si="59"/>
        <v>0</v>
      </c>
      <c r="K1689" s="14"/>
      <c r="L1689" s="14"/>
      <c r="M1689" s="14"/>
      <c r="N1689" s="14"/>
      <c r="O1689" s="14"/>
      <c r="P1689" s="14"/>
      <c r="Q1689" s="14">
        <v>400</v>
      </c>
      <c r="R1689" s="14"/>
      <c r="S1689" s="14"/>
      <c r="T1689" s="14"/>
      <c r="U1689" s="14"/>
      <c r="V1689" s="14"/>
      <c r="W1689" s="15">
        <f t="shared" si="60"/>
        <v>400</v>
      </c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5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5"/>
      <c r="AX1689" s="16"/>
    </row>
    <row r="1690" spans="2:50" x14ac:dyDescent="0.2">
      <c r="B1690" s="7" t="s">
        <v>37</v>
      </c>
      <c r="C1690" s="8">
        <v>12362</v>
      </c>
      <c r="D1690" s="9" t="s">
        <v>192</v>
      </c>
      <c r="E1690" s="10" t="s">
        <v>193</v>
      </c>
      <c r="F1690" s="10" t="s">
        <v>194</v>
      </c>
      <c r="G1690" s="8">
        <v>5</v>
      </c>
      <c r="H1690" s="11">
        <v>100</v>
      </c>
      <c r="I1690" s="12">
        <v>42575</v>
      </c>
      <c r="J1690" s="13">
        <f t="shared" si="59"/>
        <v>0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5">
        <f t="shared" si="60"/>
        <v>0</v>
      </c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5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5"/>
      <c r="AX1690" s="16"/>
    </row>
    <row r="1691" spans="2:50" x14ac:dyDescent="0.2">
      <c r="B1691" s="7" t="s">
        <v>122</v>
      </c>
      <c r="C1691" s="8">
        <v>12363</v>
      </c>
      <c r="D1691" s="9" t="s">
        <v>310</v>
      </c>
      <c r="E1691" s="10" t="s">
        <v>311</v>
      </c>
      <c r="F1691" s="10" t="s">
        <v>312</v>
      </c>
      <c r="G1691" s="8">
        <v>5</v>
      </c>
      <c r="H1691" s="11">
        <v>50</v>
      </c>
      <c r="I1691" s="12">
        <v>42575</v>
      </c>
      <c r="J1691" s="13">
        <f t="shared" si="59"/>
        <v>0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5">
        <f t="shared" si="60"/>
        <v>0</v>
      </c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5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5"/>
      <c r="AX1691" s="16"/>
    </row>
    <row r="1692" spans="2:50" x14ac:dyDescent="0.2">
      <c r="B1692" s="7" t="s">
        <v>37</v>
      </c>
      <c r="C1692" s="8">
        <v>12364</v>
      </c>
      <c r="D1692" s="9" t="s">
        <v>684</v>
      </c>
      <c r="E1692" s="10" t="s">
        <v>685</v>
      </c>
      <c r="F1692" s="10" t="s">
        <v>686</v>
      </c>
      <c r="G1692" s="8">
        <v>5</v>
      </c>
      <c r="H1692" s="11">
        <v>100</v>
      </c>
      <c r="I1692" s="12">
        <v>42575</v>
      </c>
      <c r="J1692" s="13">
        <f t="shared" si="59"/>
        <v>0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5">
        <f t="shared" si="60"/>
        <v>0</v>
      </c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5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5"/>
      <c r="AX1692" s="16"/>
    </row>
    <row r="1693" spans="2:50" x14ac:dyDescent="0.2">
      <c r="B1693" s="7" t="s">
        <v>122</v>
      </c>
      <c r="C1693" s="8">
        <v>12365</v>
      </c>
      <c r="D1693" s="9" t="s">
        <v>788</v>
      </c>
      <c r="E1693" s="10" t="s">
        <v>789</v>
      </c>
      <c r="F1693" s="10" t="s">
        <v>790</v>
      </c>
      <c r="G1693" s="8">
        <v>1</v>
      </c>
      <c r="H1693" s="11">
        <v>400</v>
      </c>
      <c r="I1693" s="12">
        <v>42575</v>
      </c>
      <c r="J1693" s="13">
        <f t="shared" si="59"/>
        <v>0</v>
      </c>
      <c r="K1693" s="14"/>
      <c r="L1693" s="14"/>
      <c r="M1693" s="14"/>
      <c r="N1693" s="14"/>
      <c r="O1693" s="14"/>
      <c r="P1693" s="14"/>
      <c r="Q1693" s="14">
        <v>400</v>
      </c>
      <c r="R1693" s="14"/>
      <c r="S1693" s="14"/>
      <c r="T1693" s="14"/>
      <c r="U1693" s="14"/>
      <c r="V1693" s="14"/>
      <c r="W1693" s="15">
        <f t="shared" si="60"/>
        <v>400</v>
      </c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5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5"/>
      <c r="AX1693" s="16"/>
    </row>
    <row r="1694" spans="2:50" x14ac:dyDescent="0.2">
      <c r="B1694" s="7" t="s">
        <v>47</v>
      </c>
      <c r="C1694" s="8">
        <v>12366</v>
      </c>
      <c r="D1694" s="9" t="s">
        <v>404</v>
      </c>
      <c r="E1694" s="10" t="s">
        <v>405</v>
      </c>
      <c r="F1694" s="10" t="s">
        <v>406</v>
      </c>
      <c r="G1694" s="8">
        <v>5</v>
      </c>
      <c r="H1694" s="11">
        <v>50</v>
      </c>
      <c r="I1694" s="12">
        <v>42575</v>
      </c>
      <c r="J1694" s="13">
        <f t="shared" si="59"/>
        <v>0</v>
      </c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5">
        <f t="shared" si="60"/>
        <v>0</v>
      </c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5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5"/>
      <c r="AX1694" s="16"/>
    </row>
    <row r="1695" spans="2:50" x14ac:dyDescent="0.2">
      <c r="B1695" s="7" t="s">
        <v>47</v>
      </c>
      <c r="C1695" s="8">
        <v>12367</v>
      </c>
      <c r="D1695" s="9" t="s">
        <v>153</v>
      </c>
      <c r="E1695" s="10" t="s">
        <v>154</v>
      </c>
      <c r="F1695" s="10" t="s">
        <v>155</v>
      </c>
      <c r="G1695" s="8">
        <v>5</v>
      </c>
      <c r="H1695" s="11">
        <v>50</v>
      </c>
      <c r="I1695" s="12">
        <v>42575</v>
      </c>
      <c r="J1695" s="13">
        <f t="shared" si="59"/>
        <v>0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5">
        <f t="shared" si="60"/>
        <v>0</v>
      </c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5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5"/>
      <c r="AX1695" s="16"/>
    </row>
    <row r="1696" spans="2:50" x14ac:dyDescent="0.2">
      <c r="B1696" s="7" t="s">
        <v>69</v>
      </c>
      <c r="C1696" s="8">
        <v>12368</v>
      </c>
      <c r="D1696" s="9" t="s">
        <v>514</v>
      </c>
      <c r="E1696" s="10" t="s">
        <v>515</v>
      </c>
      <c r="F1696" s="10" t="s">
        <v>516</v>
      </c>
      <c r="G1696" s="8">
        <v>1</v>
      </c>
      <c r="H1696" s="11">
        <v>400</v>
      </c>
      <c r="I1696" s="12">
        <v>42575</v>
      </c>
      <c r="J1696" s="13">
        <f t="shared" si="59"/>
        <v>0</v>
      </c>
      <c r="K1696" s="14"/>
      <c r="L1696" s="14"/>
      <c r="M1696" s="14"/>
      <c r="N1696" s="14"/>
      <c r="O1696" s="14"/>
      <c r="P1696" s="14"/>
      <c r="Q1696" s="14">
        <v>400</v>
      </c>
      <c r="R1696" s="14"/>
      <c r="S1696" s="14"/>
      <c r="T1696" s="14"/>
      <c r="U1696" s="14"/>
      <c r="V1696" s="14"/>
      <c r="W1696" s="15">
        <f t="shared" si="60"/>
        <v>400</v>
      </c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5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5"/>
      <c r="AX1696" s="16"/>
    </row>
    <row r="1697" spans="2:50" x14ac:dyDescent="0.2">
      <c r="B1697" s="7" t="s">
        <v>69</v>
      </c>
      <c r="C1697" s="8">
        <v>12369</v>
      </c>
      <c r="D1697" s="9" t="s">
        <v>514</v>
      </c>
      <c r="E1697" s="10" t="s">
        <v>515</v>
      </c>
      <c r="F1697" s="10" t="s">
        <v>516</v>
      </c>
      <c r="G1697" s="8">
        <v>5</v>
      </c>
      <c r="H1697" s="11">
        <v>250</v>
      </c>
      <c r="I1697" s="12">
        <v>42575</v>
      </c>
      <c r="J1697" s="13">
        <f t="shared" si="59"/>
        <v>0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5">
        <f t="shared" si="60"/>
        <v>0</v>
      </c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5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5"/>
      <c r="AX1697" s="16"/>
    </row>
    <row r="1698" spans="2:50" x14ac:dyDescent="0.2">
      <c r="B1698" s="7" t="s">
        <v>69</v>
      </c>
      <c r="C1698" s="8">
        <v>12370</v>
      </c>
      <c r="D1698" s="9" t="s">
        <v>1049</v>
      </c>
      <c r="E1698" s="10" t="s">
        <v>1050</v>
      </c>
      <c r="F1698" s="10" t="s">
        <v>1051</v>
      </c>
      <c r="G1698" s="8">
        <v>5</v>
      </c>
      <c r="H1698" s="11">
        <v>50</v>
      </c>
      <c r="I1698" s="12">
        <v>42575</v>
      </c>
      <c r="J1698" s="13">
        <f t="shared" si="59"/>
        <v>0</v>
      </c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5">
        <f t="shared" si="60"/>
        <v>0</v>
      </c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5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5"/>
      <c r="AX1698" s="16"/>
    </row>
    <row r="1699" spans="2:50" x14ac:dyDescent="0.2">
      <c r="B1699" s="7" t="s">
        <v>73</v>
      </c>
      <c r="C1699" s="8">
        <v>12371</v>
      </c>
      <c r="D1699" s="9" t="s">
        <v>722</v>
      </c>
      <c r="E1699" s="10" t="s">
        <v>723</v>
      </c>
      <c r="F1699" s="10" t="s">
        <v>724</v>
      </c>
      <c r="G1699" s="8">
        <v>5</v>
      </c>
      <c r="H1699" s="11">
        <v>200</v>
      </c>
      <c r="I1699" s="12">
        <v>42575</v>
      </c>
      <c r="J1699" s="13">
        <f t="shared" si="59"/>
        <v>0</v>
      </c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5">
        <f t="shared" si="60"/>
        <v>0</v>
      </c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5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5"/>
      <c r="AX1699" s="16"/>
    </row>
    <row r="1700" spans="2:50" x14ac:dyDescent="0.2">
      <c r="B1700" s="7" t="s">
        <v>37</v>
      </c>
      <c r="C1700" s="8">
        <v>12372</v>
      </c>
      <c r="D1700" s="9" t="s">
        <v>814</v>
      </c>
      <c r="E1700" s="10" t="s">
        <v>815</v>
      </c>
      <c r="F1700" s="10" t="s">
        <v>816</v>
      </c>
      <c r="G1700" s="8">
        <v>5</v>
      </c>
      <c r="H1700" s="11">
        <v>50</v>
      </c>
      <c r="I1700" s="12">
        <v>42575</v>
      </c>
      <c r="J1700" s="13">
        <f t="shared" si="59"/>
        <v>0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5">
        <f t="shared" si="60"/>
        <v>0</v>
      </c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5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5"/>
      <c r="AX1700" s="16"/>
    </row>
    <row r="1701" spans="2:50" x14ac:dyDescent="0.2">
      <c r="B1701" s="7" t="s">
        <v>122</v>
      </c>
      <c r="C1701" s="8">
        <v>12373</v>
      </c>
      <c r="D1701" s="9" t="s">
        <v>331</v>
      </c>
      <c r="E1701" s="10" t="s">
        <v>332</v>
      </c>
      <c r="F1701" s="10" t="s">
        <v>333</v>
      </c>
      <c r="G1701" s="8">
        <v>5</v>
      </c>
      <c r="H1701" s="11">
        <v>150</v>
      </c>
      <c r="I1701" s="12">
        <v>42575</v>
      </c>
      <c r="J1701" s="13">
        <f t="shared" si="59"/>
        <v>0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5">
        <f t="shared" si="60"/>
        <v>0</v>
      </c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5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5"/>
      <c r="AX1701" s="16"/>
    </row>
    <row r="1702" spans="2:50" x14ac:dyDescent="0.2">
      <c r="B1702" s="7" t="s">
        <v>69</v>
      </c>
      <c r="C1702" s="8">
        <v>12374</v>
      </c>
      <c r="D1702" s="9" t="s">
        <v>871</v>
      </c>
      <c r="E1702" s="10" t="s">
        <v>872</v>
      </c>
      <c r="F1702" s="10" t="s">
        <v>873</v>
      </c>
      <c r="G1702" s="8">
        <v>1</v>
      </c>
      <c r="H1702" s="11">
        <v>400</v>
      </c>
      <c r="I1702" s="12">
        <v>42575</v>
      </c>
      <c r="J1702" s="13">
        <f t="shared" si="59"/>
        <v>0</v>
      </c>
      <c r="K1702" s="14"/>
      <c r="L1702" s="14">
        <v>200</v>
      </c>
      <c r="M1702" s="14"/>
      <c r="N1702" s="14"/>
      <c r="O1702" s="14"/>
      <c r="P1702" s="14">
        <v>200</v>
      </c>
      <c r="Q1702" s="14"/>
      <c r="R1702" s="14"/>
      <c r="S1702" s="14"/>
      <c r="T1702" s="14"/>
      <c r="U1702" s="14"/>
      <c r="V1702" s="14"/>
      <c r="W1702" s="15">
        <f t="shared" si="60"/>
        <v>400</v>
      </c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5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5"/>
      <c r="AX1702" s="16"/>
    </row>
    <row r="1703" spans="2:50" x14ac:dyDescent="0.2">
      <c r="B1703" s="7" t="s">
        <v>122</v>
      </c>
      <c r="C1703" s="8">
        <v>12375</v>
      </c>
      <c r="D1703" s="9" t="s">
        <v>637</v>
      </c>
      <c r="E1703" s="10" t="s">
        <v>638</v>
      </c>
      <c r="F1703" s="10" t="s">
        <v>639</v>
      </c>
      <c r="G1703" s="8">
        <v>1</v>
      </c>
      <c r="H1703" s="11">
        <v>400</v>
      </c>
      <c r="I1703" s="12">
        <v>42575</v>
      </c>
      <c r="J1703" s="13">
        <f t="shared" si="59"/>
        <v>0</v>
      </c>
      <c r="K1703" s="14"/>
      <c r="L1703" s="14"/>
      <c r="M1703" s="14"/>
      <c r="N1703" s="14"/>
      <c r="O1703" s="14"/>
      <c r="P1703" s="14"/>
      <c r="Q1703" s="14">
        <v>400</v>
      </c>
      <c r="R1703" s="14"/>
      <c r="S1703" s="14"/>
      <c r="T1703" s="14"/>
      <c r="U1703" s="14"/>
      <c r="V1703" s="14"/>
      <c r="W1703" s="15">
        <f t="shared" si="60"/>
        <v>400</v>
      </c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5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5"/>
      <c r="AX1703" s="16"/>
    </row>
    <row r="1704" spans="2:50" x14ac:dyDescent="0.2">
      <c r="B1704" s="7" t="s">
        <v>77</v>
      </c>
      <c r="C1704" s="8">
        <v>12376</v>
      </c>
      <c r="D1704" s="9" t="s">
        <v>274</v>
      </c>
      <c r="E1704" s="10" t="s">
        <v>275</v>
      </c>
      <c r="F1704" s="10" t="s">
        <v>276</v>
      </c>
      <c r="G1704" s="8">
        <v>1</v>
      </c>
      <c r="H1704" s="11">
        <v>600</v>
      </c>
      <c r="I1704" s="12">
        <v>42575</v>
      </c>
      <c r="J1704" s="13">
        <f t="shared" si="59"/>
        <v>0</v>
      </c>
      <c r="K1704" s="14"/>
      <c r="L1704" s="14"/>
      <c r="M1704" s="14"/>
      <c r="N1704" s="14"/>
      <c r="O1704" s="14"/>
      <c r="P1704" s="14"/>
      <c r="Q1704" s="14">
        <v>200</v>
      </c>
      <c r="R1704" s="14">
        <v>200</v>
      </c>
      <c r="S1704" s="14">
        <v>200</v>
      </c>
      <c r="T1704" s="14"/>
      <c r="U1704" s="14"/>
      <c r="V1704" s="14"/>
      <c r="W1704" s="15">
        <f t="shared" si="60"/>
        <v>600</v>
      </c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5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5"/>
      <c r="AX1704" s="16"/>
    </row>
    <row r="1705" spans="2:50" x14ac:dyDescent="0.2">
      <c r="B1705" s="7" t="s">
        <v>69</v>
      </c>
      <c r="C1705" s="8">
        <v>12377</v>
      </c>
      <c r="D1705" s="9" t="s">
        <v>871</v>
      </c>
      <c r="E1705" s="10" t="s">
        <v>872</v>
      </c>
      <c r="F1705" s="10" t="s">
        <v>873</v>
      </c>
      <c r="G1705" s="8">
        <v>4</v>
      </c>
      <c r="H1705" s="11">
        <v>200</v>
      </c>
      <c r="I1705" s="12">
        <v>42575</v>
      </c>
      <c r="J1705" s="13">
        <f t="shared" si="59"/>
        <v>0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5">
        <f t="shared" si="60"/>
        <v>0</v>
      </c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5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5"/>
      <c r="AX1705" s="7">
        <v>10457880</v>
      </c>
    </row>
    <row r="1706" spans="2:50" x14ac:dyDescent="0.2">
      <c r="B1706" s="7" t="s">
        <v>69</v>
      </c>
      <c r="C1706" s="8">
        <v>12378</v>
      </c>
      <c r="D1706" s="9" t="s">
        <v>871</v>
      </c>
      <c r="E1706" s="10" t="s">
        <v>872</v>
      </c>
      <c r="F1706" s="10" t="s">
        <v>873</v>
      </c>
      <c r="G1706" s="8">
        <v>5</v>
      </c>
      <c r="H1706" s="11">
        <v>150</v>
      </c>
      <c r="I1706" s="12">
        <v>42575</v>
      </c>
      <c r="J1706" s="13">
        <f t="shared" si="59"/>
        <v>0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5">
        <f t="shared" si="60"/>
        <v>0</v>
      </c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5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5"/>
      <c r="AX1706" s="16"/>
    </row>
    <row r="1707" spans="2:50" x14ac:dyDescent="0.2">
      <c r="B1707" s="7" t="s">
        <v>69</v>
      </c>
      <c r="C1707" s="8">
        <v>12379</v>
      </c>
      <c r="D1707" s="9" t="s">
        <v>831</v>
      </c>
      <c r="E1707" s="10" t="s">
        <v>832</v>
      </c>
      <c r="F1707" s="10" t="s">
        <v>833</v>
      </c>
      <c r="G1707" s="8">
        <v>5</v>
      </c>
      <c r="H1707" s="11">
        <v>350</v>
      </c>
      <c r="I1707" s="12">
        <v>42575</v>
      </c>
      <c r="J1707" s="13">
        <f t="shared" si="59"/>
        <v>0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5">
        <f t="shared" si="60"/>
        <v>0</v>
      </c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5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5"/>
      <c r="AX1707" s="16"/>
    </row>
    <row r="1708" spans="2:50" x14ac:dyDescent="0.2">
      <c r="B1708" s="7" t="s">
        <v>73</v>
      </c>
      <c r="C1708" s="8">
        <v>12380</v>
      </c>
      <c r="D1708" s="9" t="s">
        <v>649</v>
      </c>
      <c r="E1708" s="10" t="s">
        <v>650</v>
      </c>
      <c r="F1708" s="10" t="s">
        <v>651</v>
      </c>
      <c r="G1708" s="8">
        <v>5</v>
      </c>
      <c r="H1708" s="11">
        <v>100</v>
      </c>
      <c r="I1708" s="12">
        <v>42575</v>
      </c>
      <c r="J1708" s="13">
        <f t="shared" si="59"/>
        <v>0</v>
      </c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5">
        <f t="shared" si="60"/>
        <v>0</v>
      </c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5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5"/>
      <c r="AX1708" s="16"/>
    </row>
    <row r="1709" spans="2:50" x14ac:dyDescent="0.2">
      <c r="B1709" s="7" t="s">
        <v>37</v>
      </c>
      <c r="C1709" s="8">
        <v>12381</v>
      </c>
      <c r="D1709" s="9" t="s">
        <v>681</v>
      </c>
      <c r="E1709" s="10" t="s">
        <v>682</v>
      </c>
      <c r="F1709" s="10" t="s">
        <v>683</v>
      </c>
      <c r="G1709" s="8">
        <v>5</v>
      </c>
      <c r="H1709" s="11">
        <v>50</v>
      </c>
      <c r="I1709" s="12">
        <v>42575</v>
      </c>
      <c r="J1709" s="13">
        <f t="shared" si="59"/>
        <v>0</v>
      </c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5">
        <f t="shared" si="60"/>
        <v>0</v>
      </c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5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5"/>
      <c r="AX1709" s="16"/>
    </row>
    <row r="1710" spans="2:50" x14ac:dyDescent="0.2">
      <c r="B1710" s="7" t="s">
        <v>122</v>
      </c>
      <c r="C1710" s="8">
        <v>12382</v>
      </c>
      <c r="D1710" s="9" t="s">
        <v>331</v>
      </c>
      <c r="E1710" s="10" t="s">
        <v>332</v>
      </c>
      <c r="F1710" s="10" t="s">
        <v>333</v>
      </c>
      <c r="G1710" s="8">
        <v>5</v>
      </c>
      <c r="H1710" s="11">
        <v>50</v>
      </c>
      <c r="I1710" s="12">
        <v>42575</v>
      </c>
      <c r="J1710" s="13">
        <f t="shared" si="59"/>
        <v>0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5">
        <f t="shared" si="60"/>
        <v>0</v>
      </c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5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5"/>
      <c r="AX1710" s="16"/>
    </row>
    <row r="1711" spans="2:50" x14ac:dyDescent="0.2">
      <c r="B1711" s="7" t="s">
        <v>47</v>
      </c>
      <c r="C1711" s="8">
        <v>12383</v>
      </c>
      <c r="D1711" s="9" t="s">
        <v>580</v>
      </c>
      <c r="E1711" s="10" t="s">
        <v>581</v>
      </c>
      <c r="F1711" s="10" t="s">
        <v>582</v>
      </c>
      <c r="G1711" s="8">
        <v>5</v>
      </c>
      <c r="H1711" s="11">
        <v>50</v>
      </c>
      <c r="I1711" s="12">
        <v>42575</v>
      </c>
      <c r="J1711" s="13">
        <f t="shared" si="59"/>
        <v>0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5">
        <f t="shared" si="60"/>
        <v>0</v>
      </c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5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5"/>
      <c r="AX1711" s="16"/>
    </row>
    <row r="1712" spans="2:50" x14ac:dyDescent="0.2">
      <c r="B1712" s="7" t="s">
        <v>47</v>
      </c>
      <c r="C1712" s="8">
        <v>12384</v>
      </c>
      <c r="D1712" s="9" t="s">
        <v>189</v>
      </c>
      <c r="E1712" s="10" t="s">
        <v>190</v>
      </c>
      <c r="F1712" s="10" t="s">
        <v>191</v>
      </c>
      <c r="G1712" s="8">
        <v>5</v>
      </c>
      <c r="H1712" s="11">
        <v>200</v>
      </c>
      <c r="I1712" s="12">
        <v>42575</v>
      </c>
      <c r="J1712" s="13">
        <f t="shared" si="59"/>
        <v>0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5">
        <f t="shared" si="60"/>
        <v>0</v>
      </c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5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5"/>
      <c r="AX1712" s="16"/>
    </row>
    <row r="1713" spans="2:50" x14ac:dyDescent="0.2">
      <c r="B1713" s="7" t="s">
        <v>47</v>
      </c>
      <c r="C1713" s="8">
        <v>12385</v>
      </c>
      <c r="D1713" s="9" t="s">
        <v>1079</v>
      </c>
      <c r="E1713" s="10" t="s">
        <v>1080</v>
      </c>
      <c r="F1713" s="10" t="s">
        <v>1081</v>
      </c>
      <c r="G1713" s="8">
        <v>5</v>
      </c>
      <c r="H1713" s="11">
        <v>50</v>
      </c>
      <c r="I1713" s="12">
        <v>42575</v>
      </c>
      <c r="J1713" s="13">
        <f t="shared" si="59"/>
        <v>0</v>
      </c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5">
        <f t="shared" si="60"/>
        <v>0</v>
      </c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5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5"/>
      <c r="AX1713" s="16"/>
    </row>
    <row r="1714" spans="2:50" x14ac:dyDescent="0.2">
      <c r="B1714" s="7" t="s">
        <v>47</v>
      </c>
      <c r="C1714" s="8">
        <v>12386</v>
      </c>
      <c r="D1714" s="9" t="s">
        <v>352</v>
      </c>
      <c r="E1714" s="10" t="s">
        <v>353</v>
      </c>
      <c r="F1714" s="10" t="s">
        <v>354</v>
      </c>
      <c r="G1714" s="8">
        <v>5</v>
      </c>
      <c r="H1714" s="11">
        <v>50</v>
      </c>
      <c r="I1714" s="12">
        <v>42575</v>
      </c>
      <c r="J1714" s="13">
        <f t="shared" si="59"/>
        <v>0</v>
      </c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5">
        <f t="shared" si="60"/>
        <v>0</v>
      </c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5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5"/>
      <c r="AX1714" s="16"/>
    </row>
    <row r="1715" spans="2:50" x14ac:dyDescent="0.2">
      <c r="B1715" s="7" t="s">
        <v>69</v>
      </c>
      <c r="C1715" s="8">
        <v>12387</v>
      </c>
      <c r="D1715" s="9" t="s">
        <v>1082</v>
      </c>
      <c r="E1715" s="10" t="s">
        <v>1083</v>
      </c>
      <c r="F1715" s="10" t="s">
        <v>1084</v>
      </c>
      <c r="G1715" s="8">
        <v>5</v>
      </c>
      <c r="H1715" s="11">
        <v>50</v>
      </c>
      <c r="I1715" s="12">
        <v>42575</v>
      </c>
      <c r="J1715" s="13">
        <f t="shared" si="59"/>
        <v>0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5">
        <f t="shared" si="60"/>
        <v>0</v>
      </c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5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5"/>
      <c r="AX1715" s="16"/>
    </row>
    <row r="1716" spans="2:50" x14ac:dyDescent="0.2">
      <c r="B1716" s="7" t="s">
        <v>122</v>
      </c>
      <c r="C1716" s="8">
        <v>12388</v>
      </c>
      <c r="D1716" s="9" t="s">
        <v>310</v>
      </c>
      <c r="E1716" s="10" t="s">
        <v>311</v>
      </c>
      <c r="F1716" s="10" t="s">
        <v>312</v>
      </c>
      <c r="G1716" s="8">
        <v>5</v>
      </c>
      <c r="H1716" s="11">
        <v>50</v>
      </c>
      <c r="I1716" s="12">
        <v>42575</v>
      </c>
      <c r="J1716" s="13">
        <f t="shared" si="59"/>
        <v>0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5">
        <f t="shared" si="60"/>
        <v>0</v>
      </c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5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5"/>
      <c r="AX1716" s="16"/>
    </row>
    <row r="1717" spans="2:50" x14ac:dyDescent="0.2">
      <c r="B1717" s="7" t="s">
        <v>37</v>
      </c>
      <c r="C1717" s="8">
        <v>12389</v>
      </c>
      <c r="D1717" s="9" t="s">
        <v>1085</v>
      </c>
      <c r="E1717" s="10" t="s">
        <v>1086</v>
      </c>
      <c r="F1717" s="10" t="s">
        <v>1087</v>
      </c>
      <c r="G1717" s="8">
        <v>5</v>
      </c>
      <c r="H1717" s="11">
        <v>100</v>
      </c>
      <c r="I1717" s="12">
        <v>42575</v>
      </c>
      <c r="J1717" s="13">
        <f t="shared" si="59"/>
        <v>0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5">
        <f t="shared" si="60"/>
        <v>0</v>
      </c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5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5"/>
      <c r="AX1717" s="16"/>
    </row>
    <row r="1718" spans="2:50" x14ac:dyDescent="0.2">
      <c r="B1718" s="7" t="s">
        <v>69</v>
      </c>
      <c r="C1718" s="8">
        <v>12390</v>
      </c>
      <c r="D1718" s="9" t="s">
        <v>864</v>
      </c>
      <c r="E1718" s="10" t="s">
        <v>865</v>
      </c>
      <c r="F1718" s="10" t="s">
        <v>866</v>
      </c>
      <c r="G1718" s="8">
        <v>1</v>
      </c>
      <c r="H1718" s="11">
        <v>300</v>
      </c>
      <c r="I1718" s="12">
        <v>42575</v>
      </c>
      <c r="J1718" s="13">
        <f t="shared" si="59"/>
        <v>0</v>
      </c>
      <c r="K1718" s="14"/>
      <c r="L1718" s="14"/>
      <c r="M1718" s="14"/>
      <c r="N1718" s="14"/>
      <c r="O1718" s="14"/>
      <c r="P1718" s="14">
        <v>300</v>
      </c>
      <c r="Q1718" s="14"/>
      <c r="R1718" s="14"/>
      <c r="S1718" s="14"/>
      <c r="T1718" s="14"/>
      <c r="U1718" s="14"/>
      <c r="V1718" s="14"/>
      <c r="W1718" s="15">
        <f t="shared" si="60"/>
        <v>300</v>
      </c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5"/>
      <c r="AX1718" s="16"/>
    </row>
    <row r="1719" spans="2:50" x14ac:dyDescent="0.2">
      <c r="B1719" s="7" t="s">
        <v>69</v>
      </c>
      <c r="C1719" s="8">
        <v>12391</v>
      </c>
      <c r="D1719" s="9" t="s">
        <v>864</v>
      </c>
      <c r="E1719" s="10" t="s">
        <v>865</v>
      </c>
      <c r="F1719" s="10" t="s">
        <v>866</v>
      </c>
      <c r="G1719" s="8">
        <v>5</v>
      </c>
      <c r="H1719" s="11">
        <v>150</v>
      </c>
      <c r="I1719" s="12">
        <v>42575</v>
      </c>
      <c r="J1719" s="13">
        <f t="shared" si="59"/>
        <v>0</v>
      </c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5">
        <f t="shared" si="60"/>
        <v>0</v>
      </c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5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5"/>
      <c r="AX1719" s="16"/>
    </row>
    <row r="1720" spans="2:50" x14ac:dyDescent="0.2">
      <c r="B1720" s="7" t="s">
        <v>47</v>
      </c>
      <c r="C1720" s="8">
        <v>12392</v>
      </c>
      <c r="D1720" s="9" t="s">
        <v>577</v>
      </c>
      <c r="E1720" s="10" t="s">
        <v>578</v>
      </c>
      <c r="F1720" s="10" t="s">
        <v>579</v>
      </c>
      <c r="G1720" s="8">
        <v>1</v>
      </c>
      <c r="H1720" s="11">
        <v>1200</v>
      </c>
      <c r="I1720" s="12">
        <v>42575</v>
      </c>
      <c r="J1720" s="13">
        <f t="shared" si="59"/>
        <v>0</v>
      </c>
      <c r="K1720" s="14"/>
      <c r="L1720" s="14"/>
      <c r="M1720" s="14"/>
      <c r="N1720" s="14"/>
      <c r="O1720" s="14"/>
      <c r="P1720" s="14"/>
      <c r="Q1720" s="14">
        <v>400</v>
      </c>
      <c r="R1720" s="14">
        <v>400</v>
      </c>
      <c r="S1720" s="14">
        <v>400</v>
      </c>
      <c r="T1720" s="14"/>
      <c r="U1720" s="14"/>
      <c r="V1720" s="14"/>
      <c r="W1720" s="15">
        <f t="shared" si="60"/>
        <v>1200</v>
      </c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5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5"/>
      <c r="AX1720" s="16"/>
    </row>
    <row r="1721" spans="2:50" x14ac:dyDescent="0.2">
      <c r="B1721" s="7" t="s">
        <v>37</v>
      </c>
      <c r="C1721" s="8">
        <v>12393</v>
      </c>
      <c r="D1721" s="9" t="s">
        <v>774</v>
      </c>
      <c r="E1721" s="10" t="s">
        <v>775</v>
      </c>
      <c r="F1721" s="10" t="s">
        <v>776</v>
      </c>
      <c r="G1721" s="8">
        <v>1</v>
      </c>
      <c r="H1721" s="11">
        <v>1200</v>
      </c>
      <c r="I1721" s="12">
        <v>42575</v>
      </c>
      <c r="J1721" s="13">
        <f t="shared" si="59"/>
        <v>0</v>
      </c>
      <c r="K1721" s="14"/>
      <c r="L1721" s="14"/>
      <c r="M1721" s="14">
        <v>400</v>
      </c>
      <c r="N1721" s="14">
        <v>400</v>
      </c>
      <c r="O1721" s="14">
        <v>400</v>
      </c>
      <c r="P1721" s="14"/>
      <c r="Q1721" s="14"/>
      <c r="R1721" s="14"/>
      <c r="S1721" s="14"/>
      <c r="T1721" s="14"/>
      <c r="U1721" s="14"/>
      <c r="V1721" s="14"/>
      <c r="W1721" s="15">
        <f t="shared" si="60"/>
        <v>1200</v>
      </c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5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5"/>
      <c r="AX1721" s="16"/>
    </row>
    <row r="1722" spans="2:50" x14ac:dyDescent="0.2">
      <c r="B1722" s="7" t="s">
        <v>37</v>
      </c>
      <c r="C1722" s="8">
        <v>12394</v>
      </c>
      <c r="D1722" s="9" t="s">
        <v>774</v>
      </c>
      <c r="E1722" s="10" t="s">
        <v>775</v>
      </c>
      <c r="F1722" s="10" t="s">
        <v>776</v>
      </c>
      <c r="G1722" s="8">
        <v>5</v>
      </c>
      <c r="H1722" s="11">
        <v>100</v>
      </c>
      <c r="I1722" s="12">
        <v>42575</v>
      </c>
      <c r="J1722" s="13">
        <f t="shared" si="59"/>
        <v>0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5">
        <f t="shared" si="60"/>
        <v>0</v>
      </c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5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5"/>
      <c r="AX1722" s="16"/>
    </row>
    <row r="1723" spans="2:50" x14ac:dyDescent="0.2">
      <c r="B1723" s="7" t="s">
        <v>47</v>
      </c>
      <c r="C1723" s="8">
        <v>12395</v>
      </c>
      <c r="D1723" s="9" t="s">
        <v>1029</v>
      </c>
      <c r="E1723" s="10" t="s">
        <v>1030</v>
      </c>
      <c r="F1723" s="10" t="s">
        <v>1031</v>
      </c>
      <c r="G1723" s="8">
        <v>1</v>
      </c>
      <c r="H1723" s="11">
        <v>1600</v>
      </c>
      <c r="I1723" s="12">
        <v>42575</v>
      </c>
      <c r="J1723" s="13">
        <f t="shared" si="59"/>
        <v>0</v>
      </c>
      <c r="K1723" s="14"/>
      <c r="L1723" s="14"/>
      <c r="M1723" s="14">
        <v>400</v>
      </c>
      <c r="N1723" s="14">
        <v>400</v>
      </c>
      <c r="O1723" s="14">
        <v>400</v>
      </c>
      <c r="P1723" s="14">
        <v>400</v>
      </c>
      <c r="Q1723" s="14"/>
      <c r="R1723" s="14"/>
      <c r="S1723" s="14"/>
      <c r="T1723" s="14"/>
      <c r="U1723" s="14"/>
      <c r="V1723" s="14"/>
      <c r="W1723" s="15">
        <f t="shared" si="60"/>
        <v>1600</v>
      </c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5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5"/>
      <c r="AX1723" s="16" t="s">
        <v>1088</v>
      </c>
    </row>
    <row r="1724" spans="2:50" x14ac:dyDescent="0.2">
      <c r="B1724" s="7" t="s">
        <v>69</v>
      </c>
      <c r="C1724" s="8">
        <v>12396</v>
      </c>
      <c r="D1724" s="9" t="s">
        <v>1089</v>
      </c>
      <c r="E1724" s="10" t="s">
        <v>1090</v>
      </c>
      <c r="F1724" s="10" t="s">
        <v>1091</v>
      </c>
      <c r="G1724" s="8">
        <v>5</v>
      </c>
      <c r="H1724" s="11">
        <v>100</v>
      </c>
      <c r="I1724" s="12">
        <v>42575</v>
      </c>
      <c r="J1724" s="13">
        <f t="shared" si="59"/>
        <v>0</v>
      </c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5">
        <f t="shared" si="60"/>
        <v>0</v>
      </c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5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5"/>
      <c r="AX1724" s="16"/>
    </row>
    <row r="1725" spans="2:50" x14ac:dyDescent="0.2">
      <c r="B1725" s="7" t="s">
        <v>47</v>
      </c>
      <c r="C1725" s="8">
        <v>12397</v>
      </c>
      <c r="D1725" s="9" t="s">
        <v>1029</v>
      </c>
      <c r="E1725" s="10" t="s">
        <v>1030</v>
      </c>
      <c r="F1725" s="10" t="s">
        <v>1031</v>
      </c>
      <c r="G1725" s="8">
        <v>5</v>
      </c>
      <c r="H1725" s="11">
        <v>150</v>
      </c>
      <c r="I1725" s="12">
        <v>42575</v>
      </c>
      <c r="J1725" s="13">
        <f t="shared" si="59"/>
        <v>0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5">
        <f t="shared" si="60"/>
        <v>0</v>
      </c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5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5"/>
      <c r="AX1725" s="16"/>
    </row>
    <row r="1726" spans="2:50" x14ac:dyDescent="0.2">
      <c r="B1726" s="7" t="s">
        <v>77</v>
      </c>
      <c r="C1726" s="8">
        <v>12398</v>
      </c>
      <c r="D1726" s="9" t="s">
        <v>286</v>
      </c>
      <c r="E1726" s="10" t="s">
        <v>287</v>
      </c>
      <c r="F1726" s="10" t="s">
        <v>288</v>
      </c>
      <c r="G1726" s="8">
        <v>5</v>
      </c>
      <c r="H1726" s="11">
        <v>100</v>
      </c>
      <c r="I1726" s="12">
        <v>42575</v>
      </c>
      <c r="J1726" s="13">
        <f t="shared" si="59"/>
        <v>0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5">
        <f t="shared" si="60"/>
        <v>0</v>
      </c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5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5"/>
      <c r="AX1726" s="16"/>
    </row>
    <row r="1727" spans="2:50" x14ac:dyDescent="0.2">
      <c r="B1727" s="7" t="s">
        <v>37</v>
      </c>
      <c r="C1727" s="8">
        <v>12399</v>
      </c>
      <c r="D1727" s="9" t="s">
        <v>975</v>
      </c>
      <c r="E1727" s="10" t="s">
        <v>976</v>
      </c>
      <c r="F1727" s="10" t="s">
        <v>573</v>
      </c>
      <c r="G1727" s="8">
        <v>1</v>
      </c>
      <c r="H1727" s="11">
        <v>400</v>
      </c>
      <c r="I1727" s="12">
        <v>42575</v>
      </c>
      <c r="J1727" s="13">
        <f t="shared" si="59"/>
        <v>0</v>
      </c>
      <c r="K1727" s="14"/>
      <c r="L1727" s="14"/>
      <c r="M1727" s="14"/>
      <c r="N1727" s="14"/>
      <c r="O1727" s="14"/>
      <c r="P1727" s="14"/>
      <c r="Q1727" s="14">
        <v>400</v>
      </c>
      <c r="R1727" s="14"/>
      <c r="S1727" s="14"/>
      <c r="T1727" s="14"/>
      <c r="U1727" s="14"/>
      <c r="V1727" s="14"/>
      <c r="W1727" s="15">
        <f t="shared" si="60"/>
        <v>400</v>
      </c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5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5"/>
      <c r="AX1727" s="16"/>
    </row>
    <row r="1728" spans="2:50" x14ac:dyDescent="0.2">
      <c r="B1728" s="7" t="s">
        <v>37</v>
      </c>
      <c r="C1728" s="8">
        <v>12400</v>
      </c>
      <c r="D1728" s="9" t="s">
        <v>975</v>
      </c>
      <c r="E1728" s="10" t="s">
        <v>976</v>
      </c>
      <c r="F1728" s="10" t="s">
        <v>573</v>
      </c>
      <c r="G1728" s="8">
        <v>5</v>
      </c>
      <c r="H1728" s="11">
        <v>150</v>
      </c>
      <c r="I1728" s="12">
        <v>42575</v>
      </c>
      <c r="J1728" s="13">
        <f t="shared" si="59"/>
        <v>0</v>
      </c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5">
        <f t="shared" si="60"/>
        <v>0</v>
      </c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5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5"/>
      <c r="AX1728" s="16"/>
    </row>
    <row r="1729" spans="2:50" x14ac:dyDescent="0.2">
      <c r="B1729" s="7" t="s">
        <v>69</v>
      </c>
      <c r="C1729" s="8">
        <v>12401</v>
      </c>
      <c r="D1729" s="9" t="s">
        <v>1082</v>
      </c>
      <c r="E1729" s="10" t="s">
        <v>1083</v>
      </c>
      <c r="F1729" s="10" t="s">
        <v>1084</v>
      </c>
      <c r="G1729" s="8">
        <v>5</v>
      </c>
      <c r="H1729" s="11">
        <v>50</v>
      </c>
      <c r="I1729" s="12">
        <v>42575</v>
      </c>
      <c r="J1729" s="13">
        <f t="shared" si="59"/>
        <v>0</v>
      </c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5">
        <f t="shared" si="60"/>
        <v>0</v>
      </c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5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5"/>
      <c r="AX1729" s="16"/>
    </row>
    <row r="1730" spans="2:50" x14ac:dyDescent="0.2">
      <c r="B1730" s="7" t="s">
        <v>73</v>
      </c>
      <c r="C1730" s="8">
        <v>12402</v>
      </c>
      <c r="D1730" s="9" t="s">
        <v>1092</v>
      </c>
      <c r="E1730" s="10" t="s">
        <v>1093</v>
      </c>
      <c r="F1730" s="10" t="s">
        <v>1094</v>
      </c>
      <c r="G1730" s="8">
        <v>1</v>
      </c>
      <c r="H1730" s="11">
        <v>200</v>
      </c>
      <c r="I1730" s="12">
        <v>42575</v>
      </c>
      <c r="J1730" s="13">
        <f t="shared" si="59"/>
        <v>0</v>
      </c>
      <c r="K1730" s="14"/>
      <c r="L1730" s="14"/>
      <c r="M1730" s="14"/>
      <c r="N1730" s="14"/>
      <c r="O1730" s="14"/>
      <c r="P1730" s="14"/>
      <c r="Q1730" s="14">
        <v>200</v>
      </c>
      <c r="R1730" s="14"/>
      <c r="S1730" s="14"/>
      <c r="T1730" s="14"/>
      <c r="U1730" s="14"/>
      <c r="V1730" s="14"/>
      <c r="W1730" s="15">
        <f t="shared" si="60"/>
        <v>200</v>
      </c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5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5"/>
      <c r="AX1730" s="16"/>
    </row>
    <row r="1731" spans="2:50" x14ac:dyDescent="0.2">
      <c r="B1731" s="7" t="s">
        <v>37</v>
      </c>
      <c r="C1731" s="8">
        <v>12403</v>
      </c>
      <c r="D1731" s="9" t="s">
        <v>935</v>
      </c>
      <c r="E1731" s="10" t="s">
        <v>936</v>
      </c>
      <c r="F1731" s="10" t="s">
        <v>937</v>
      </c>
      <c r="G1731" s="8">
        <v>1</v>
      </c>
      <c r="H1731" s="11">
        <v>250</v>
      </c>
      <c r="I1731" s="12">
        <v>42575</v>
      </c>
      <c r="J1731" s="13">
        <f t="shared" si="59"/>
        <v>0</v>
      </c>
      <c r="K1731" s="14"/>
      <c r="L1731" s="14"/>
      <c r="M1731" s="14"/>
      <c r="N1731" s="14"/>
      <c r="O1731" s="14"/>
      <c r="P1731" s="14"/>
      <c r="Q1731" s="14">
        <v>250</v>
      </c>
      <c r="R1731" s="14"/>
      <c r="S1731" s="14"/>
      <c r="T1731" s="14"/>
      <c r="U1731" s="14"/>
      <c r="V1731" s="14"/>
      <c r="W1731" s="15">
        <f t="shared" si="60"/>
        <v>250</v>
      </c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5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5"/>
      <c r="AX1731" s="16"/>
    </row>
    <row r="1732" spans="2:50" x14ac:dyDescent="0.2">
      <c r="B1732" s="7" t="s">
        <v>37</v>
      </c>
      <c r="C1732" s="8">
        <v>12404</v>
      </c>
      <c r="D1732" s="9" t="s">
        <v>935</v>
      </c>
      <c r="E1732" s="10" t="s">
        <v>936</v>
      </c>
      <c r="F1732" s="10" t="s">
        <v>937</v>
      </c>
      <c r="G1732" s="8">
        <v>5</v>
      </c>
      <c r="H1732" s="11">
        <v>50</v>
      </c>
      <c r="I1732" s="12">
        <v>42575</v>
      </c>
      <c r="J1732" s="13">
        <f t="shared" si="59"/>
        <v>0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5">
        <f t="shared" si="60"/>
        <v>0</v>
      </c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5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5"/>
      <c r="AX1732" s="16"/>
    </row>
    <row r="1733" spans="2:50" x14ac:dyDescent="0.2">
      <c r="B1733" s="7" t="s">
        <v>47</v>
      </c>
      <c r="C1733" s="8">
        <v>12405</v>
      </c>
      <c r="D1733" s="9" t="s">
        <v>658</v>
      </c>
      <c r="E1733" s="10" t="s">
        <v>659</v>
      </c>
      <c r="F1733" s="10" t="s">
        <v>921</v>
      </c>
      <c r="G1733" s="8">
        <v>3</v>
      </c>
      <c r="H1733" s="11">
        <v>200</v>
      </c>
      <c r="I1733" s="12">
        <v>42575</v>
      </c>
      <c r="J1733" s="13">
        <f t="shared" si="59"/>
        <v>0</v>
      </c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5">
        <f t="shared" si="60"/>
        <v>0</v>
      </c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5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5"/>
      <c r="AX1733" s="16"/>
    </row>
    <row r="1734" spans="2:50" x14ac:dyDescent="0.2">
      <c r="B1734" s="7" t="s">
        <v>37</v>
      </c>
      <c r="C1734" s="8">
        <v>12406</v>
      </c>
      <c r="D1734" s="9" t="s">
        <v>794</v>
      </c>
      <c r="E1734" s="10" t="s">
        <v>795</v>
      </c>
      <c r="F1734" s="10" t="s">
        <v>796</v>
      </c>
      <c r="G1734" s="8">
        <v>1</v>
      </c>
      <c r="H1734" s="11">
        <v>300</v>
      </c>
      <c r="I1734" s="12">
        <v>42575</v>
      </c>
      <c r="J1734" s="13">
        <f t="shared" si="59"/>
        <v>0</v>
      </c>
      <c r="K1734" s="14"/>
      <c r="L1734" s="14"/>
      <c r="M1734" s="14"/>
      <c r="N1734" s="14"/>
      <c r="O1734" s="14"/>
      <c r="P1734" s="14"/>
      <c r="Q1734" s="14">
        <v>300</v>
      </c>
      <c r="R1734" s="14"/>
      <c r="S1734" s="14"/>
      <c r="T1734" s="14"/>
      <c r="U1734" s="14"/>
      <c r="V1734" s="14"/>
      <c r="W1734" s="15">
        <f t="shared" si="60"/>
        <v>300</v>
      </c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5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5"/>
      <c r="AX1734" s="16"/>
    </row>
    <row r="1735" spans="2:50" x14ac:dyDescent="0.2">
      <c r="B1735" s="7" t="s">
        <v>73</v>
      </c>
      <c r="C1735" s="8">
        <v>12407</v>
      </c>
      <c r="D1735" s="9" t="s">
        <v>1092</v>
      </c>
      <c r="E1735" s="10" t="s">
        <v>1093</v>
      </c>
      <c r="F1735" s="10" t="s">
        <v>1094</v>
      </c>
      <c r="G1735" s="8">
        <v>5</v>
      </c>
      <c r="H1735" s="11">
        <v>100</v>
      </c>
      <c r="I1735" s="12">
        <v>42575</v>
      </c>
      <c r="J1735" s="13">
        <f t="shared" si="59"/>
        <v>0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5">
        <f t="shared" si="60"/>
        <v>0</v>
      </c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5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5"/>
      <c r="AX1735" s="16"/>
    </row>
    <row r="1736" spans="2:50" x14ac:dyDescent="0.2">
      <c r="B1736" s="7" t="s">
        <v>37</v>
      </c>
      <c r="C1736" s="8">
        <v>12408</v>
      </c>
      <c r="D1736" s="9" t="s">
        <v>1036</v>
      </c>
      <c r="E1736" s="10" t="s">
        <v>1037</v>
      </c>
      <c r="F1736" s="10" t="s">
        <v>1038</v>
      </c>
      <c r="G1736" s="8">
        <v>5</v>
      </c>
      <c r="H1736" s="11">
        <v>100</v>
      </c>
      <c r="I1736" s="12">
        <v>42575</v>
      </c>
      <c r="J1736" s="13">
        <f t="shared" si="59"/>
        <v>0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5">
        <f t="shared" si="60"/>
        <v>0</v>
      </c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5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5"/>
      <c r="AX1736" s="16"/>
    </row>
    <row r="1737" spans="2:50" x14ac:dyDescent="0.2">
      <c r="B1737" s="7" t="s">
        <v>69</v>
      </c>
      <c r="C1737" s="8">
        <v>12409</v>
      </c>
      <c r="D1737" s="9" t="s">
        <v>343</v>
      </c>
      <c r="E1737" s="10" t="s">
        <v>344</v>
      </c>
      <c r="F1737" s="10" t="s">
        <v>345</v>
      </c>
      <c r="G1737" s="8">
        <v>5</v>
      </c>
      <c r="H1737" s="11">
        <v>50</v>
      </c>
      <c r="I1737" s="12">
        <v>42575</v>
      </c>
      <c r="J1737" s="13">
        <f t="shared" si="59"/>
        <v>0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5">
        <f t="shared" si="60"/>
        <v>0</v>
      </c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5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5"/>
      <c r="AX1737" s="16"/>
    </row>
    <row r="1738" spans="2:50" x14ac:dyDescent="0.2">
      <c r="B1738" s="7" t="s">
        <v>47</v>
      </c>
      <c r="C1738" s="8">
        <v>12410</v>
      </c>
      <c r="D1738" s="9" t="s">
        <v>614</v>
      </c>
      <c r="E1738" s="10" t="s">
        <v>615</v>
      </c>
      <c r="F1738" s="10" t="s">
        <v>616</v>
      </c>
      <c r="G1738" s="8">
        <v>5</v>
      </c>
      <c r="H1738" s="11">
        <v>100</v>
      </c>
      <c r="I1738" s="12">
        <v>42575</v>
      </c>
      <c r="J1738" s="13">
        <f t="shared" si="59"/>
        <v>0</v>
      </c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5">
        <f t="shared" si="60"/>
        <v>0</v>
      </c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5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5"/>
      <c r="AX1738" s="16"/>
    </row>
    <row r="1739" spans="2:50" x14ac:dyDescent="0.2">
      <c r="B1739" s="7" t="s">
        <v>37</v>
      </c>
      <c r="C1739" s="8">
        <v>12411</v>
      </c>
      <c r="D1739" s="9" t="s">
        <v>840</v>
      </c>
      <c r="E1739" s="10" t="s">
        <v>841</v>
      </c>
      <c r="F1739" s="10" t="s">
        <v>842</v>
      </c>
      <c r="G1739" s="8">
        <v>5</v>
      </c>
      <c r="H1739" s="11">
        <v>50</v>
      </c>
      <c r="I1739" s="12">
        <v>42575</v>
      </c>
      <c r="J1739" s="13">
        <f t="shared" si="59"/>
        <v>0</v>
      </c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5">
        <f t="shared" si="60"/>
        <v>0</v>
      </c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5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5"/>
      <c r="AX1739" s="16"/>
    </row>
    <row r="1740" spans="2:50" x14ac:dyDescent="0.2">
      <c r="B1740" s="7" t="s">
        <v>77</v>
      </c>
      <c r="C1740" s="8">
        <v>12412</v>
      </c>
      <c r="D1740" s="9" t="s">
        <v>556</v>
      </c>
      <c r="E1740" s="10" t="s">
        <v>557</v>
      </c>
      <c r="F1740" s="10" t="s">
        <v>558</v>
      </c>
      <c r="G1740" s="8">
        <v>1</v>
      </c>
      <c r="H1740" s="11">
        <v>400</v>
      </c>
      <c r="I1740" s="12">
        <v>42575</v>
      </c>
      <c r="J1740" s="13">
        <f t="shared" si="59"/>
        <v>0</v>
      </c>
      <c r="K1740" s="14"/>
      <c r="L1740" s="14"/>
      <c r="M1740" s="14"/>
      <c r="N1740" s="14"/>
      <c r="O1740" s="14">
        <v>400</v>
      </c>
      <c r="P1740" s="14"/>
      <c r="Q1740" s="14"/>
      <c r="R1740" s="14"/>
      <c r="S1740" s="14"/>
      <c r="T1740" s="14"/>
      <c r="U1740" s="14"/>
      <c r="V1740" s="14"/>
      <c r="W1740" s="15">
        <f t="shared" si="60"/>
        <v>400</v>
      </c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5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5"/>
      <c r="AX1740" s="16"/>
    </row>
    <row r="1741" spans="2:50" x14ac:dyDescent="0.2">
      <c r="B1741" s="7" t="s">
        <v>77</v>
      </c>
      <c r="C1741" s="8">
        <v>12413</v>
      </c>
      <c r="D1741" s="9" t="s">
        <v>617</v>
      </c>
      <c r="E1741" s="10" t="s">
        <v>618</v>
      </c>
      <c r="F1741" s="10" t="s">
        <v>619</v>
      </c>
      <c r="G1741" s="8">
        <v>1</v>
      </c>
      <c r="H1741" s="11">
        <v>400</v>
      </c>
      <c r="I1741" s="12">
        <v>42575</v>
      </c>
      <c r="J1741" s="13">
        <f t="shared" si="59"/>
        <v>0</v>
      </c>
      <c r="K1741" s="14"/>
      <c r="L1741" s="14"/>
      <c r="M1741" s="14"/>
      <c r="N1741" s="14"/>
      <c r="O1741" s="14"/>
      <c r="P1741" s="14"/>
      <c r="Q1741" s="14">
        <v>400</v>
      </c>
      <c r="R1741" s="14"/>
      <c r="S1741" s="14"/>
      <c r="T1741" s="14"/>
      <c r="U1741" s="14"/>
      <c r="V1741" s="14"/>
      <c r="W1741" s="15">
        <f t="shared" si="60"/>
        <v>400</v>
      </c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5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5"/>
      <c r="AX1741" s="16"/>
    </row>
    <row r="1742" spans="2:50" x14ac:dyDescent="0.2">
      <c r="B1742" s="7" t="s">
        <v>37</v>
      </c>
      <c r="C1742" s="8">
        <v>12414</v>
      </c>
      <c r="D1742" s="9" t="s">
        <v>177</v>
      </c>
      <c r="E1742" s="10" t="s">
        <v>178</v>
      </c>
      <c r="F1742" s="10" t="s">
        <v>179</v>
      </c>
      <c r="G1742" s="8">
        <v>5</v>
      </c>
      <c r="H1742" s="11">
        <v>50</v>
      </c>
      <c r="I1742" s="12">
        <v>42575</v>
      </c>
      <c r="J1742" s="13">
        <f t="shared" si="59"/>
        <v>0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5">
        <f t="shared" si="60"/>
        <v>0</v>
      </c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5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5"/>
      <c r="AX1742" s="16"/>
    </row>
    <row r="1743" spans="2:50" x14ac:dyDescent="0.2">
      <c r="B1743" s="7" t="s">
        <v>47</v>
      </c>
      <c r="C1743" s="8">
        <v>12415</v>
      </c>
      <c r="D1743" s="9" t="s">
        <v>171</v>
      </c>
      <c r="E1743" s="10" t="s">
        <v>172</v>
      </c>
      <c r="F1743" s="10" t="s">
        <v>173</v>
      </c>
      <c r="G1743" s="8">
        <v>5</v>
      </c>
      <c r="H1743" s="11">
        <v>50</v>
      </c>
      <c r="I1743" s="12">
        <v>42575</v>
      </c>
      <c r="J1743" s="13">
        <f t="shared" si="59"/>
        <v>0</v>
      </c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5">
        <f t="shared" si="60"/>
        <v>0</v>
      </c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5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5"/>
      <c r="AX1743" s="16"/>
    </row>
    <row r="1744" spans="2:50" x14ac:dyDescent="0.2">
      <c r="B1744" s="7" t="s">
        <v>47</v>
      </c>
      <c r="C1744" s="8">
        <v>12416</v>
      </c>
      <c r="D1744" s="9" t="s">
        <v>1095</v>
      </c>
      <c r="E1744" s="10" t="s">
        <v>1096</v>
      </c>
      <c r="F1744" s="10" t="s">
        <v>765</v>
      </c>
      <c r="G1744" s="8">
        <v>1</v>
      </c>
      <c r="H1744" s="11">
        <v>250</v>
      </c>
      <c r="I1744" s="12">
        <v>42575</v>
      </c>
      <c r="J1744" s="13">
        <f t="shared" si="59"/>
        <v>0</v>
      </c>
      <c r="K1744" s="14"/>
      <c r="L1744" s="14"/>
      <c r="M1744" s="14"/>
      <c r="N1744" s="14"/>
      <c r="O1744" s="14"/>
      <c r="P1744" s="14"/>
      <c r="Q1744" s="14"/>
      <c r="R1744" s="14">
        <v>250</v>
      </c>
      <c r="S1744" s="14"/>
      <c r="T1744" s="14"/>
      <c r="U1744" s="14"/>
      <c r="V1744" s="14"/>
      <c r="W1744" s="15">
        <f t="shared" si="60"/>
        <v>250</v>
      </c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5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5"/>
      <c r="AX1744" s="16"/>
    </row>
    <row r="1745" spans="2:50" x14ac:dyDescent="0.2">
      <c r="B1745" s="7" t="s">
        <v>47</v>
      </c>
      <c r="C1745" s="8">
        <v>12417</v>
      </c>
      <c r="D1745" s="9" t="s">
        <v>1095</v>
      </c>
      <c r="E1745" s="10" t="s">
        <v>1096</v>
      </c>
      <c r="F1745" s="10" t="s">
        <v>765</v>
      </c>
      <c r="G1745" s="8">
        <v>5</v>
      </c>
      <c r="H1745" s="11">
        <v>100</v>
      </c>
      <c r="I1745" s="12">
        <v>42575</v>
      </c>
      <c r="J1745" s="13">
        <f t="shared" ref="J1745:J1805" si="61">IF(G1745=1,SUM(W1745,-H1745),0)</f>
        <v>0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5">
        <f t="shared" ref="W1745:W1805" si="62">SUM(K1745:V1745)</f>
        <v>0</v>
      </c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5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5"/>
      <c r="AX1745" s="16"/>
    </row>
    <row r="1746" spans="2:50" x14ac:dyDescent="0.2">
      <c r="B1746" s="7" t="s">
        <v>47</v>
      </c>
      <c r="C1746" s="8">
        <v>12418</v>
      </c>
      <c r="D1746" s="9" t="s">
        <v>183</v>
      </c>
      <c r="E1746" s="10" t="s">
        <v>184</v>
      </c>
      <c r="F1746" s="10" t="s">
        <v>185</v>
      </c>
      <c r="G1746" s="8">
        <v>1</v>
      </c>
      <c r="H1746" s="11">
        <v>400</v>
      </c>
      <c r="I1746" s="12">
        <v>42575</v>
      </c>
      <c r="J1746" s="13">
        <f t="shared" si="61"/>
        <v>0</v>
      </c>
      <c r="K1746" s="14"/>
      <c r="L1746" s="14"/>
      <c r="M1746" s="14"/>
      <c r="N1746" s="14"/>
      <c r="O1746" s="14"/>
      <c r="P1746" s="14"/>
      <c r="Q1746" s="14">
        <v>400</v>
      </c>
      <c r="R1746" s="14"/>
      <c r="S1746" s="14"/>
      <c r="T1746" s="14"/>
      <c r="U1746" s="14"/>
      <c r="V1746" s="14"/>
      <c r="W1746" s="15">
        <f t="shared" si="62"/>
        <v>400</v>
      </c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5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5"/>
      <c r="AX1746" s="16"/>
    </row>
    <row r="1747" spans="2:50" x14ac:dyDescent="0.2">
      <c r="B1747" s="7" t="s">
        <v>37</v>
      </c>
      <c r="C1747" s="8">
        <v>12419</v>
      </c>
      <c r="D1747" s="9" t="s">
        <v>669</v>
      </c>
      <c r="E1747" s="10" t="s">
        <v>670</v>
      </c>
      <c r="F1747" s="10" t="s">
        <v>671</v>
      </c>
      <c r="G1747" s="8">
        <v>3</v>
      </c>
      <c r="H1747" s="11">
        <v>200</v>
      </c>
      <c r="I1747" s="12">
        <v>42575</v>
      </c>
      <c r="J1747" s="13">
        <f t="shared" si="61"/>
        <v>0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5">
        <f t="shared" si="62"/>
        <v>0</v>
      </c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5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5"/>
      <c r="AX1747" s="16"/>
    </row>
    <row r="1748" spans="2:50" x14ac:dyDescent="0.2">
      <c r="B1748" s="7" t="s">
        <v>69</v>
      </c>
      <c r="C1748" s="8">
        <v>12420</v>
      </c>
      <c r="D1748" s="9" t="s">
        <v>1097</v>
      </c>
      <c r="E1748" s="10" t="s">
        <v>1098</v>
      </c>
      <c r="F1748" s="10" t="s">
        <v>1099</v>
      </c>
      <c r="G1748" s="8">
        <v>1</v>
      </c>
      <c r="H1748" s="11">
        <v>200</v>
      </c>
      <c r="I1748" s="12">
        <v>42575</v>
      </c>
      <c r="J1748" s="13">
        <f t="shared" si="61"/>
        <v>0</v>
      </c>
      <c r="K1748" s="14"/>
      <c r="L1748" s="14"/>
      <c r="M1748" s="14"/>
      <c r="N1748" s="14"/>
      <c r="O1748" s="14"/>
      <c r="P1748" s="14"/>
      <c r="Q1748" s="14"/>
      <c r="R1748" s="14">
        <v>200</v>
      </c>
      <c r="S1748" s="14"/>
      <c r="T1748" s="14"/>
      <c r="U1748" s="14"/>
      <c r="V1748" s="14"/>
      <c r="W1748" s="15">
        <f t="shared" si="62"/>
        <v>200</v>
      </c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5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5"/>
      <c r="AX1748" s="16"/>
    </row>
    <row r="1749" spans="2:50" x14ac:dyDescent="0.2">
      <c r="B1749" s="7" t="s">
        <v>69</v>
      </c>
      <c r="C1749" s="8">
        <v>12420</v>
      </c>
      <c r="D1749" s="9" t="s">
        <v>1097</v>
      </c>
      <c r="E1749" s="10" t="s">
        <v>1098</v>
      </c>
      <c r="F1749" s="10" t="s">
        <v>1099</v>
      </c>
      <c r="G1749" s="8">
        <v>5</v>
      </c>
      <c r="H1749" s="11">
        <v>50</v>
      </c>
      <c r="I1749" s="12">
        <v>42575</v>
      </c>
      <c r="J1749" s="13">
        <f t="shared" si="61"/>
        <v>0</v>
      </c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5">
        <f t="shared" si="62"/>
        <v>0</v>
      </c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5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5"/>
      <c r="AX1749" s="16"/>
    </row>
    <row r="1750" spans="2:50" x14ac:dyDescent="0.2">
      <c r="B1750" s="7" t="s">
        <v>69</v>
      </c>
      <c r="C1750" s="8">
        <v>12421</v>
      </c>
      <c r="D1750" s="9" t="s">
        <v>1100</v>
      </c>
      <c r="E1750" s="10" t="s">
        <v>1101</v>
      </c>
      <c r="F1750" s="10" t="s">
        <v>1102</v>
      </c>
      <c r="G1750" s="8">
        <v>1</v>
      </c>
      <c r="H1750" s="11">
        <v>500</v>
      </c>
      <c r="I1750" s="12">
        <v>42577</v>
      </c>
      <c r="J1750" s="13">
        <f t="shared" si="61"/>
        <v>0</v>
      </c>
      <c r="K1750" s="14"/>
      <c r="L1750" s="14"/>
      <c r="M1750" s="14">
        <v>100</v>
      </c>
      <c r="N1750" s="14">
        <v>100</v>
      </c>
      <c r="O1750" s="14">
        <v>100</v>
      </c>
      <c r="P1750" s="14">
        <v>100</v>
      </c>
      <c r="Q1750" s="14">
        <v>100</v>
      </c>
      <c r="R1750" s="14"/>
      <c r="S1750" s="14"/>
      <c r="T1750" s="14"/>
      <c r="U1750" s="14"/>
      <c r="V1750" s="14"/>
      <c r="W1750" s="15">
        <f t="shared" si="62"/>
        <v>500</v>
      </c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5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5"/>
      <c r="AX1750" s="16"/>
    </row>
    <row r="1751" spans="2:50" x14ac:dyDescent="0.2">
      <c r="B1751" s="7" t="s">
        <v>69</v>
      </c>
      <c r="C1751" s="8">
        <v>12422</v>
      </c>
      <c r="D1751" s="9" t="s">
        <v>1089</v>
      </c>
      <c r="E1751" s="10" t="s">
        <v>1090</v>
      </c>
      <c r="F1751" s="10" t="s">
        <v>1091</v>
      </c>
      <c r="G1751" s="8">
        <v>1</v>
      </c>
      <c r="H1751" s="11">
        <v>250</v>
      </c>
      <c r="I1751" s="12">
        <v>42578</v>
      </c>
      <c r="J1751" s="13">
        <f t="shared" si="61"/>
        <v>0</v>
      </c>
      <c r="K1751" s="14"/>
      <c r="L1751" s="14"/>
      <c r="M1751" s="14"/>
      <c r="N1751" s="14"/>
      <c r="O1751" s="14"/>
      <c r="P1751" s="14"/>
      <c r="Q1751" s="14">
        <v>250</v>
      </c>
      <c r="R1751" s="14"/>
      <c r="S1751" s="14"/>
      <c r="T1751" s="14"/>
      <c r="U1751" s="14"/>
      <c r="V1751" s="14"/>
      <c r="W1751" s="15">
        <f t="shared" si="62"/>
        <v>250</v>
      </c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5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5"/>
      <c r="AX1751" s="16"/>
    </row>
    <row r="1752" spans="2:50" x14ac:dyDescent="0.2">
      <c r="B1752" s="7" t="s">
        <v>122</v>
      </c>
      <c r="C1752" s="8">
        <v>12423</v>
      </c>
      <c r="D1752" s="9" t="s">
        <v>220</v>
      </c>
      <c r="E1752" s="10" t="s">
        <v>221</v>
      </c>
      <c r="F1752" s="10" t="s">
        <v>222</v>
      </c>
      <c r="G1752" s="8">
        <v>1</v>
      </c>
      <c r="H1752" s="11">
        <v>300</v>
      </c>
      <c r="I1752" s="12">
        <v>42578</v>
      </c>
      <c r="J1752" s="13">
        <f t="shared" si="61"/>
        <v>0</v>
      </c>
      <c r="K1752" s="14"/>
      <c r="L1752" s="14"/>
      <c r="M1752" s="14"/>
      <c r="N1752" s="14"/>
      <c r="O1752" s="14"/>
      <c r="P1752" s="14"/>
      <c r="Q1752" s="14">
        <v>300</v>
      </c>
      <c r="R1752" s="14"/>
      <c r="S1752" s="14"/>
      <c r="T1752" s="14"/>
      <c r="U1752" s="14"/>
      <c r="V1752" s="14"/>
      <c r="W1752" s="15">
        <f t="shared" si="62"/>
        <v>300</v>
      </c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5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5"/>
      <c r="AX1752" s="16"/>
    </row>
    <row r="1753" spans="2:50" x14ac:dyDescent="0.2">
      <c r="B1753" s="7" t="s">
        <v>73</v>
      </c>
      <c r="C1753" s="8">
        <v>12424</v>
      </c>
      <c r="D1753" s="9" t="s">
        <v>485</v>
      </c>
      <c r="E1753" s="10" t="s">
        <v>486</v>
      </c>
      <c r="F1753" s="10" t="s">
        <v>487</v>
      </c>
      <c r="G1753" s="8">
        <v>1</v>
      </c>
      <c r="H1753" s="11">
        <v>800</v>
      </c>
      <c r="I1753" s="12">
        <v>42579</v>
      </c>
      <c r="J1753" s="13">
        <f t="shared" si="61"/>
        <v>0</v>
      </c>
      <c r="K1753" s="14"/>
      <c r="L1753" s="14"/>
      <c r="M1753" s="14"/>
      <c r="N1753" s="14"/>
      <c r="O1753" s="14"/>
      <c r="P1753" s="14">
        <v>400</v>
      </c>
      <c r="Q1753" s="14">
        <v>400</v>
      </c>
      <c r="R1753" s="14"/>
      <c r="S1753" s="14"/>
      <c r="T1753" s="14"/>
      <c r="U1753" s="14"/>
      <c r="V1753" s="14"/>
      <c r="W1753" s="15">
        <f t="shared" si="62"/>
        <v>800</v>
      </c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5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5"/>
      <c r="AX1753" s="16"/>
    </row>
    <row r="1754" spans="2:50" x14ac:dyDescent="0.2">
      <c r="B1754" s="7" t="s">
        <v>77</v>
      </c>
      <c r="C1754" s="8">
        <v>12425</v>
      </c>
      <c r="D1754" s="9" t="s">
        <v>479</v>
      </c>
      <c r="E1754" s="10" t="s">
        <v>480</v>
      </c>
      <c r="F1754" s="10" t="s">
        <v>481</v>
      </c>
      <c r="G1754" s="8">
        <v>1</v>
      </c>
      <c r="H1754" s="11">
        <v>300</v>
      </c>
      <c r="I1754" s="12">
        <v>42579</v>
      </c>
      <c r="J1754" s="13">
        <f t="shared" si="61"/>
        <v>0</v>
      </c>
      <c r="K1754" s="14"/>
      <c r="L1754" s="14"/>
      <c r="M1754" s="14"/>
      <c r="N1754" s="14"/>
      <c r="O1754" s="14"/>
      <c r="P1754" s="14"/>
      <c r="Q1754" s="14"/>
      <c r="R1754" s="14">
        <v>300</v>
      </c>
      <c r="S1754" s="14"/>
      <c r="T1754" s="14"/>
      <c r="U1754" s="14"/>
      <c r="V1754" s="14"/>
      <c r="W1754" s="15">
        <f t="shared" si="62"/>
        <v>300</v>
      </c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5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5"/>
      <c r="AX1754" s="16"/>
    </row>
    <row r="1755" spans="2:50" x14ac:dyDescent="0.2">
      <c r="B1755" s="7" t="s">
        <v>69</v>
      </c>
      <c r="C1755" s="8">
        <v>12426</v>
      </c>
      <c r="D1755" s="9" t="s">
        <v>346</v>
      </c>
      <c r="E1755" s="10" t="s">
        <v>347</v>
      </c>
      <c r="F1755" s="10" t="s">
        <v>348</v>
      </c>
      <c r="G1755" s="8">
        <v>1</v>
      </c>
      <c r="H1755" s="11">
        <v>300</v>
      </c>
      <c r="I1755" s="12">
        <v>42582</v>
      </c>
      <c r="J1755" s="13">
        <f t="shared" si="61"/>
        <v>0</v>
      </c>
      <c r="K1755" s="14"/>
      <c r="L1755" s="14"/>
      <c r="M1755" s="14"/>
      <c r="N1755" s="14"/>
      <c r="O1755" s="14"/>
      <c r="P1755" s="14"/>
      <c r="Q1755" s="14">
        <v>300</v>
      </c>
      <c r="R1755" s="14"/>
      <c r="S1755" s="14"/>
      <c r="T1755" s="14"/>
      <c r="U1755" s="14"/>
      <c r="V1755" s="14"/>
      <c r="W1755" s="15">
        <f t="shared" si="62"/>
        <v>300</v>
      </c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5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5"/>
      <c r="AX1755" s="16"/>
    </row>
    <row r="1756" spans="2:50" x14ac:dyDescent="0.2">
      <c r="B1756" s="7" t="s">
        <v>73</v>
      </c>
      <c r="C1756" s="8">
        <v>12427</v>
      </c>
      <c r="D1756" s="9" t="s">
        <v>672</v>
      </c>
      <c r="E1756" s="10" t="s">
        <v>673</v>
      </c>
      <c r="F1756" s="10" t="s">
        <v>674</v>
      </c>
      <c r="G1756" s="8">
        <v>1</v>
      </c>
      <c r="H1756" s="11">
        <v>200</v>
      </c>
      <c r="I1756" s="12">
        <v>42582</v>
      </c>
      <c r="J1756" s="13">
        <f t="shared" si="61"/>
        <v>0</v>
      </c>
      <c r="K1756" s="14"/>
      <c r="L1756" s="14"/>
      <c r="M1756" s="14"/>
      <c r="N1756" s="14"/>
      <c r="O1756" s="14"/>
      <c r="P1756" s="14"/>
      <c r="Q1756" s="14">
        <v>200</v>
      </c>
      <c r="R1756" s="14"/>
      <c r="S1756" s="14"/>
      <c r="T1756" s="14"/>
      <c r="U1756" s="14"/>
      <c r="V1756" s="14"/>
      <c r="W1756" s="15">
        <f t="shared" si="62"/>
        <v>200</v>
      </c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5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5"/>
      <c r="AX1756" s="16"/>
    </row>
    <row r="1757" spans="2:50" x14ac:dyDescent="0.2">
      <c r="B1757" s="7" t="s">
        <v>93</v>
      </c>
      <c r="C1757" s="8">
        <v>12428</v>
      </c>
      <c r="D1757" s="9"/>
      <c r="E1757" s="10" t="s">
        <v>93</v>
      </c>
      <c r="F1757" s="10" t="s">
        <v>93</v>
      </c>
      <c r="G1757" s="8">
        <v>8</v>
      </c>
      <c r="H1757" s="11"/>
      <c r="I1757" s="12"/>
      <c r="J1757" s="13">
        <f t="shared" si="61"/>
        <v>0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5">
        <f t="shared" si="62"/>
        <v>0</v>
      </c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5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5"/>
      <c r="AX1757" s="16"/>
    </row>
    <row r="1758" spans="2:50" x14ac:dyDescent="0.2">
      <c r="B1758" s="7" t="s">
        <v>391</v>
      </c>
      <c r="C1758" s="8">
        <v>12429</v>
      </c>
      <c r="D1758" s="9" t="s">
        <v>876</v>
      </c>
      <c r="E1758" s="10" t="s">
        <v>877</v>
      </c>
      <c r="F1758" s="10" t="s">
        <v>878</v>
      </c>
      <c r="G1758" s="8">
        <v>1</v>
      </c>
      <c r="H1758" s="11">
        <v>600</v>
      </c>
      <c r="I1758" s="12">
        <v>42582</v>
      </c>
      <c r="J1758" s="13">
        <f t="shared" si="61"/>
        <v>0</v>
      </c>
      <c r="K1758" s="14"/>
      <c r="L1758" s="14"/>
      <c r="M1758" s="14"/>
      <c r="N1758" s="14"/>
      <c r="O1758" s="14"/>
      <c r="P1758" s="14"/>
      <c r="Q1758" s="14">
        <v>200</v>
      </c>
      <c r="R1758" s="14">
        <v>200</v>
      </c>
      <c r="S1758" s="14">
        <v>200</v>
      </c>
      <c r="T1758" s="14"/>
      <c r="U1758" s="14"/>
      <c r="V1758" s="14"/>
      <c r="W1758" s="15">
        <f t="shared" si="62"/>
        <v>600</v>
      </c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5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5"/>
      <c r="AX1758" s="16"/>
    </row>
    <row r="1759" spans="2:50" x14ac:dyDescent="0.2">
      <c r="B1759" s="7" t="s">
        <v>37</v>
      </c>
      <c r="C1759" s="8">
        <v>12430</v>
      </c>
      <c r="D1759" s="9" t="s">
        <v>1103</v>
      </c>
      <c r="E1759" s="10" t="s">
        <v>1104</v>
      </c>
      <c r="F1759" s="10" t="s">
        <v>1105</v>
      </c>
      <c r="G1759" s="8">
        <v>1</v>
      </c>
      <c r="H1759" s="11">
        <v>3000</v>
      </c>
      <c r="I1759" s="12">
        <v>42582</v>
      </c>
      <c r="J1759" s="13">
        <f t="shared" si="61"/>
        <v>0</v>
      </c>
      <c r="K1759" s="14">
        <v>400</v>
      </c>
      <c r="L1759" s="14">
        <v>400</v>
      </c>
      <c r="M1759" s="14">
        <v>400</v>
      </c>
      <c r="N1759" s="14">
        <v>400</v>
      </c>
      <c r="O1759" s="14">
        <v>400</v>
      </c>
      <c r="P1759" s="14">
        <v>400</v>
      </c>
      <c r="Q1759" s="14">
        <v>400</v>
      </c>
      <c r="R1759" s="14">
        <v>200</v>
      </c>
      <c r="S1759" s="14"/>
      <c r="T1759" s="14"/>
      <c r="U1759" s="14"/>
      <c r="V1759" s="14"/>
      <c r="W1759" s="15">
        <f t="shared" si="62"/>
        <v>3000</v>
      </c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5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5"/>
      <c r="AX1759" s="16"/>
    </row>
    <row r="1760" spans="2:50" x14ac:dyDescent="0.2">
      <c r="B1760" s="7" t="s">
        <v>37</v>
      </c>
      <c r="C1760" s="8">
        <v>12431</v>
      </c>
      <c r="D1760" s="9" t="s">
        <v>1103</v>
      </c>
      <c r="E1760" s="10" t="s">
        <v>1104</v>
      </c>
      <c r="F1760" s="10" t="s">
        <v>1105</v>
      </c>
      <c r="G1760" s="8">
        <v>5</v>
      </c>
      <c r="H1760" s="11">
        <v>100</v>
      </c>
      <c r="I1760" s="12">
        <v>42582</v>
      </c>
      <c r="J1760" s="13">
        <f t="shared" si="61"/>
        <v>0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5">
        <f t="shared" si="62"/>
        <v>0</v>
      </c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5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5"/>
      <c r="AX1760" s="16"/>
    </row>
    <row r="1761" spans="2:50" x14ac:dyDescent="0.2">
      <c r="B1761" s="7" t="s">
        <v>47</v>
      </c>
      <c r="C1761" s="8">
        <v>12432</v>
      </c>
      <c r="D1761" s="9" t="s">
        <v>229</v>
      </c>
      <c r="E1761" s="10" t="s">
        <v>230</v>
      </c>
      <c r="F1761" s="10" t="s">
        <v>231</v>
      </c>
      <c r="G1761" s="8">
        <v>5</v>
      </c>
      <c r="H1761" s="11">
        <v>200</v>
      </c>
      <c r="I1761" s="12">
        <v>42582</v>
      </c>
      <c r="J1761" s="13">
        <f t="shared" si="61"/>
        <v>0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5">
        <f t="shared" si="62"/>
        <v>0</v>
      </c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5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5"/>
      <c r="AX1761" s="16"/>
    </row>
    <row r="1762" spans="2:50" x14ac:dyDescent="0.2">
      <c r="B1762" s="7" t="s">
        <v>69</v>
      </c>
      <c r="C1762" s="8">
        <v>12433</v>
      </c>
      <c r="D1762" s="9" t="s">
        <v>100</v>
      </c>
      <c r="E1762" s="10" t="s">
        <v>101</v>
      </c>
      <c r="F1762" s="10" t="s">
        <v>102</v>
      </c>
      <c r="G1762" s="8">
        <v>1</v>
      </c>
      <c r="H1762" s="11">
        <v>400</v>
      </c>
      <c r="I1762" s="12">
        <v>42582</v>
      </c>
      <c r="J1762" s="13">
        <f t="shared" si="61"/>
        <v>0</v>
      </c>
      <c r="K1762" s="14"/>
      <c r="L1762" s="14"/>
      <c r="M1762" s="14"/>
      <c r="N1762" s="14"/>
      <c r="O1762" s="14"/>
      <c r="P1762" s="14"/>
      <c r="Q1762" s="14"/>
      <c r="R1762" s="14">
        <v>400</v>
      </c>
      <c r="S1762" s="14"/>
      <c r="T1762" s="14"/>
      <c r="U1762" s="14"/>
      <c r="V1762" s="14"/>
      <c r="W1762" s="15">
        <f t="shared" si="62"/>
        <v>400</v>
      </c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5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5"/>
      <c r="AX1762" s="16"/>
    </row>
    <row r="1763" spans="2:50" x14ac:dyDescent="0.2">
      <c r="B1763" s="7" t="s">
        <v>47</v>
      </c>
      <c r="C1763" s="8">
        <v>12434</v>
      </c>
      <c r="D1763" s="9" t="s">
        <v>84</v>
      </c>
      <c r="E1763" s="10" t="s">
        <v>85</v>
      </c>
      <c r="F1763" s="10" t="s">
        <v>86</v>
      </c>
      <c r="G1763" s="8">
        <v>1</v>
      </c>
      <c r="H1763" s="11">
        <v>200</v>
      </c>
      <c r="I1763" s="12">
        <v>42582</v>
      </c>
      <c r="J1763" s="13">
        <f t="shared" si="61"/>
        <v>0</v>
      </c>
      <c r="K1763" s="14"/>
      <c r="L1763" s="14"/>
      <c r="M1763" s="14"/>
      <c r="N1763" s="14"/>
      <c r="O1763" s="14"/>
      <c r="P1763" s="14"/>
      <c r="Q1763" s="14"/>
      <c r="R1763" s="14">
        <v>200</v>
      </c>
      <c r="S1763" s="14"/>
      <c r="T1763" s="14"/>
      <c r="U1763" s="14"/>
      <c r="V1763" s="14"/>
      <c r="W1763" s="15">
        <f t="shared" si="62"/>
        <v>200</v>
      </c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5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5"/>
      <c r="AX1763" s="16"/>
    </row>
    <row r="1764" spans="2:50" x14ac:dyDescent="0.2">
      <c r="B1764" s="7" t="s">
        <v>122</v>
      </c>
      <c r="C1764" s="8">
        <v>12435</v>
      </c>
      <c r="D1764" s="9" t="s">
        <v>331</v>
      </c>
      <c r="E1764" s="10" t="s">
        <v>332</v>
      </c>
      <c r="F1764" s="10" t="s">
        <v>333</v>
      </c>
      <c r="G1764" s="8">
        <v>5</v>
      </c>
      <c r="H1764" s="11">
        <v>50</v>
      </c>
      <c r="I1764" s="12">
        <v>42582</v>
      </c>
      <c r="J1764" s="13">
        <f t="shared" si="61"/>
        <v>0</v>
      </c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5">
        <f t="shared" si="62"/>
        <v>0</v>
      </c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5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5"/>
      <c r="AX1764" s="16"/>
    </row>
    <row r="1765" spans="2:50" x14ac:dyDescent="0.2">
      <c r="B1765" s="7" t="s">
        <v>47</v>
      </c>
      <c r="C1765" s="8">
        <v>12436</v>
      </c>
      <c r="D1765" s="9" t="s">
        <v>106</v>
      </c>
      <c r="E1765" s="10" t="s">
        <v>107</v>
      </c>
      <c r="F1765" s="10" t="s">
        <v>108</v>
      </c>
      <c r="G1765" s="8">
        <v>5</v>
      </c>
      <c r="H1765" s="11">
        <v>50</v>
      </c>
      <c r="I1765" s="12">
        <v>42582</v>
      </c>
      <c r="J1765" s="13">
        <f t="shared" si="61"/>
        <v>0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5">
        <f t="shared" si="62"/>
        <v>0</v>
      </c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5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5"/>
      <c r="AX1765" s="16"/>
    </row>
    <row r="1766" spans="2:50" x14ac:dyDescent="0.2">
      <c r="B1766" s="7" t="s">
        <v>73</v>
      </c>
      <c r="C1766" s="8">
        <v>12437</v>
      </c>
      <c r="D1766" s="9" t="s">
        <v>109</v>
      </c>
      <c r="E1766" s="10" t="s">
        <v>110</v>
      </c>
      <c r="F1766" s="10" t="s">
        <v>111</v>
      </c>
      <c r="G1766" s="8">
        <v>1</v>
      </c>
      <c r="H1766" s="11">
        <v>400</v>
      </c>
      <c r="I1766" s="12">
        <v>42582</v>
      </c>
      <c r="J1766" s="13">
        <f t="shared" si="61"/>
        <v>0</v>
      </c>
      <c r="K1766" s="14"/>
      <c r="L1766" s="14"/>
      <c r="M1766" s="14"/>
      <c r="N1766" s="14"/>
      <c r="O1766" s="14"/>
      <c r="P1766" s="14"/>
      <c r="Q1766" s="14">
        <v>400</v>
      </c>
      <c r="R1766" s="14"/>
      <c r="S1766" s="14"/>
      <c r="T1766" s="14"/>
      <c r="U1766" s="14"/>
      <c r="V1766" s="14"/>
      <c r="W1766" s="15">
        <f t="shared" si="62"/>
        <v>400</v>
      </c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5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5"/>
      <c r="AX1766" s="16"/>
    </row>
    <row r="1767" spans="2:50" x14ac:dyDescent="0.2">
      <c r="B1767" s="7" t="s">
        <v>69</v>
      </c>
      <c r="C1767" s="8">
        <v>12438</v>
      </c>
      <c r="D1767" s="9" t="s">
        <v>678</v>
      </c>
      <c r="E1767" s="10" t="s">
        <v>679</v>
      </c>
      <c r="F1767" s="10" t="s">
        <v>680</v>
      </c>
      <c r="G1767" s="8">
        <v>3</v>
      </c>
      <c r="H1767" s="11">
        <v>200</v>
      </c>
      <c r="I1767" s="12">
        <v>42582</v>
      </c>
      <c r="J1767" s="13">
        <f t="shared" si="61"/>
        <v>0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5">
        <f t="shared" si="62"/>
        <v>0</v>
      </c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5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5"/>
      <c r="AX1767" s="16"/>
    </row>
    <row r="1768" spans="2:50" x14ac:dyDescent="0.2">
      <c r="B1768" s="7" t="s">
        <v>69</v>
      </c>
      <c r="C1768" s="8">
        <v>12438</v>
      </c>
      <c r="D1768" s="9" t="s">
        <v>678</v>
      </c>
      <c r="E1768" s="10" t="s">
        <v>679</v>
      </c>
      <c r="F1768" s="10" t="s">
        <v>680</v>
      </c>
      <c r="G1768" s="8">
        <v>5</v>
      </c>
      <c r="H1768" s="11">
        <v>150</v>
      </c>
      <c r="I1768" s="12">
        <v>42582</v>
      </c>
      <c r="J1768" s="13">
        <f t="shared" si="61"/>
        <v>0</v>
      </c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5">
        <f t="shared" si="62"/>
        <v>0</v>
      </c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5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5"/>
      <c r="AX1768" s="16"/>
    </row>
    <row r="1769" spans="2:50" x14ac:dyDescent="0.2">
      <c r="B1769" s="7" t="s">
        <v>69</v>
      </c>
      <c r="C1769" s="8">
        <v>12439</v>
      </c>
      <c r="D1769" s="9" t="s">
        <v>678</v>
      </c>
      <c r="E1769" s="10" t="s">
        <v>679</v>
      </c>
      <c r="F1769" s="10" t="s">
        <v>680</v>
      </c>
      <c r="G1769" s="8">
        <v>1</v>
      </c>
      <c r="H1769" s="11">
        <v>400</v>
      </c>
      <c r="I1769" s="12">
        <v>42582</v>
      </c>
      <c r="J1769" s="13">
        <f t="shared" si="61"/>
        <v>0</v>
      </c>
      <c r="K1769" s="14"/>
      <c r="L1769" s="14"/>
      <c r="M1769" s="14"/>
      <c r="N1769" s="14"/>
      <c r="O1769" s="14"/>
      <c r="P1769" s="14"/>
      <c r="Q1769" s="14"/>
      <c r="R1769" s="14">
        <v>400</v>
      </c>
      <c r="S1769" s="14"/>
      <c r="T1769" s="14"/>
      <c r="U1769" s="14"/>
      <c r="V1769" s="14"/>
      <c r="W1769" s="15">
        <f t="shared" si="62"/>
        <v>400</v>
      </c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5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5"/>
      <c r="AX1769" s="16"/>
    </row>
    <row r="1770" spans="2:50" x14ac:dyDescent="0.2">
      <c r="B1770" s="7" t="s">
        <v>77</v>
      </c>
      <c r="C1770" s="8">
        <v>12440</v>
      </c>
      <c r="D1770" s="9" t="s">
        <v>87</v>
      </c>
      <c r="E1770" s="10" t="s">
        <v>88</v>
      </c>
      <c r="F1770" s="10" t="s">
        <v>89</v>
      </c>
      <c r="G1770" s="8">
        <v>1</v>
      </c>
      <c r="H1770" s="11">
        <v>800</v>
      </c>
      <c r="I1770" s="12">
        <v>42582</v>
      </c>
      <c r="J1770" s="13">
        <f t="shared" si="61"/>
        <v>0</v>
      </c>
      <c r="K1770" s="14"/>
      <c r="L1770" s="14"/>
      <c r="M1770" s="14"/>
      <c r="N1770" s="14"/>
      <c r="O1770" s="14"/>
      <c r="P1770" s="14"/>
      <c r="Q1770" s="14">
        <v>400</v>
      </c>
      <c r="R1770" s="14">
        <v>400</v>
      </c>
      <c r="S1770" s="14"/>
      <c r="T1770" s="14"/>
      <c r="U1770" s="14"/>
      <c r="V1770" s="14"/>
      <c r="W1770" s="15">
        <f t="shared" si="62"/>
        <v>800</v>
      </c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5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5"/>
      <c r="AX1770" s="16"/>
    </row>
    <row r="1771" spans="2:50" x14ac:dyDescent="0.2">
      <c r="B1771" s="7" t="s">
        <v>77</v>
      </c>
      <c r="C1771" s="8">
        <v>12441</v>
      </c>
      <c r="D1771" s="9" t="s">
        <v>87</v>
      </c>
      <c r="E1771" s="10" t="s">
        <v>88</v>
      </c>
      <c r="F1771" s="10" t="s">
        <v>89</v>
      </c>
      <c r="G1771" s="8">
        <v>4</v>
      </c>
      <c r="H1771" s="11">
        <v>200</v>
      </c>
      <c r="I1771" s="12">
        <v>42582</v>
      </c>
      <c r="J1771" s="13">
        <f t="shared" si="61"/>
        <v>0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5">
        <f t="shared" si="62"/>
        <v>0</v>
      </c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5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5"/>
      <c r="AX1771" s="7">
        <v>10451879</v>
      </c>
    </row>
    <row r="1772" spans="2:50" x14ac:dyDescent="0.2">
      <c r="B1772" s="7" t="s">
        <v>73</v>
      </c>
      <c r="C1772" s="8">
        <v>12442</v>
      </c>
      <c r="D1772" s="9" t="s">
        <v>649</v>
      </c>
      <c r="E1772" s="10" t="s">
        <v>650</v>
      </c>
      <c r="F1772" s="10" t="s">
        <v>651</v>
      </c>
      <c r="G1772" s="8">
        <v>1</v>
      </c>
      <c r="H1772" s="11">
        <v>600</v>
      </c>
      <c r="I1772" s="12">
        <v>42582</v>
      </c>
      <c r="J1772" s="13">
        <f t="shared" si="61"/>
        <v>0</v>
      </c>
      <c r="K1772" s="14"/>
      <c r="L1772" s="14"/>
      <c r="M1772" s="14"/>
      <c r="N1772" s="14"/>
      <c r="O1772" s="14"/>
      <c r="P1772" s="14"/>
      <c r="Q1772" s="14">
        <v>300</v>
      </c>
      <c r="R1772" s="14">
        <v>300</v>
      </c>
      <c r="S1772" s="14"/>
      <c r="T1772" s="14"/>
      <c r="U1772" s="14"/>
      <c r="V1772" s="14"/>
      <c r="W1772" s="15">
        <f t="shared" si="62"/>
        <v>600</v>
      </c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5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5"/>
      <c r="AX1772" s="16"/>
    </row>
    <row r="1773" spans="2:50" x14ac:dyDescent="0.2">
      <c r="B1773" s="7" t="s">
        <v>69</v>
      </c>
      <c r="C1773" s="8">
        <v>12443</v>
      </c>
      <c r="D1773" s="9" t="s">
        <v>634</v>
      </c>
      <c r="E1773" s="10" t="s">
        <v>635</v>
      </c>
      <c r="F1773" s="10" t="s">
        <v>636</v>
      </c>
      <c r="G1773" s="8">
        <v>1</v>
      </c>
      <c r="H1773" s="11">
        <v>300</v>
      </c>
      <c r="I1773" s="12">
        <v>42582</v>
      </c>
      <c r="J1773" s="13">
        <f t="shared" si="61"/>
        <v>0</v>
      </c>
      <c r="K1773" s="14"/>
      <c r="L1773" s="14"/>
      <c r="M1773" s="14"/>
      <c r="N1773" s="14"/>
      <c r="O1773" s="14"/>
      <c r="P1773" s="14"/>
      <c r="Q1773" s="14">
        <v>300</v>
      </c>
      <c r="R1773" s="14"/>
      <c r="S1773" s="14"/>
      <c r="T1773" s="14"/>
      <c r="U1773" s="14"/>
      <c r="V1773" s="14"/>
      <c r="W1773" s="15">
        <f t="shared" si="62"/>
        <v>300</v>
      </c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5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5"/>
      <c r="AX1773" s="16"/>
    </row>
    <row r="1774" spans="2:50" x14ac:dyDescent="0.2">
      <c r="B1774" s="7" t="s">
        <v>69</v>
      </c>
      <c r="C1774" s="8">
        <v>12444</v>
      </c>
      <c r="D1774" s="9" t="s">
        <v>1106</v>
      </c>
      <c r="E1774" s="10" t="s">
        <v>1107</v>
      </c>
      <c r="F1774" s="10" t="s">
        <v>1108</v>
      </c>
      <c r="G1774" s="8">
        <v>5</v>
      </c>
      <c r="H1774" s="11">
        <v>100</v>
      </c>
      <c r="I1774" s="12">
        <v>42582</v>
      </c>
      <c r="J1774" s="13">
        <f t="shared" si="61"/>
        <v>0</v>
      </c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5">
        <f t="shared" si="62"/>
        <v>0</v>
      </c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5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5"/>
      <c r="AX1774" s="16"/>
    </row>
    <row r="1775" spans="2:50" x14ac:dyDescent="0.2">
      <c r="B1775" s="7" t="s">
        <v>69</v>
      </c>
      <c r="C1775" s="8">
        <v>12445</v>
      </c>
      <c r="D1775" s="9" t="s">
        <v>678</v>
      </c>
      <c r="E1775" s="10" t="s">
        <v>679</v>
      </c>
      <c r="F1775" s="10" t="s">
        <v>680</v>
      </c>
      <c r="G1775" s="8">
        <v>5</v>
      </c>
      <c r="H1775" s="11">
        <v>50</v>
      </c>
      <c r="I1775" s="12">
        <v>42582</v>
      </c>
      <c r="J1775" s="13">
        <f t="shared" si="61"/>
        <v>0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5">
        <f t="shared" si="62"/>
        <v>0</v>
      </c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5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5"/>
      <c r="AX1775" s="16"/>
    </row>
    <row r="1776" spans="2:50" x14ac:dyDescent="0.2">
      <c r="B1776" s="7" t="s">
        <v>122</v>
      </c>
      <c r="C1776" s="8">
        <v>12446</v>
      </c>
      <c r="D1776" s="9" t="s">
        <v>761</v>
      </c>
      <c r="E1776" s="10" t="s">
        <v>762</v>
      </c>
      <c r="F1776" s="10" t="s">
        <v>403</v>
      </c>
      <c r="G1776" s="8">
        <v>1</v>
      </c>
      <c r="H1776" s="11">
        <v>400</v>
      </c>
      <c r="I1776" s="12">
        <v>42582</v>
      </c>
      <c r="J1776" s="13">
        <f t="shared" si="61"/>
        <v>0</v>
      </c>
      <c r="K1776" s="14"/>
      <c r="L1776" s="14"/>
      <c r="M1776" s="14"/>
      <c r="N1776" s="14"/>
      <c r="O1776" s="14"/>
      <c r="P1776" s="14"/>
      <c r="Q1776" s="14">
        <v>400</v>
      </c>
      <c r="R1776" s="14"/>
      <c r="S1776" s="14"/>
      <c r="T1776" s="14"/>
      <c r="U1776" s="14"/>
      <c r="V1776" s="14"/>
      <c r="W1776" s="15">
        <f t="shared" si="62"/>
        <v>400</v>
      </c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5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5"/>
      <c r="AX1776" s="16"/>
    </row>
    <row r="1777" spans="2:50" x14ac:dyDescent="0.2">
      <c r="B1777" s="7" t="s">
        <v>122</v>
      </c>
      <c r="C1777" s="8">
        <v>12447</v>
      </c>
      <c r="D1777" s="9" t="s">
        <v>761</v>
      </c>
      <c r="E1777" s="10" t="s">
        <v>762</v>
      </c>
      <c r="F1777" s="10" t="s">
        <v>403</v>
      </c>
      <c r="G1777" s="8">
        <v>3</v>
      </c>
      <c r="H1777" s="11">
        <v>200</v>
      </c>
      <c r="I1777" s="12">
        <v>42582</v>
      </c>
      <c r="J1777" s="13">
        <f t="shared" si="61"/>
        <v>0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5">
        <f t="shared" si="62"/>
        <v>0</v>
      </c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5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5"/>
      <c r="AX1777" s="16"/>
    </row>
    <row r="1778" spans="2:50" x14ac:dyDescent="0.2">
      <c r="B1778" s="7" t="s">
        <v>122</v>
      </c>
      <c r="C1778" s="8">
        <v>12447</v>
      </c>
      <c r="D1778" s="9" t="s">
        <v>761</v>
      </c>
      <c r="E1778" s="10" t="s">
        <v>762</v>
      </c>
      <c r="F1778" s="10" t="s">
        <v>403</v>
      </c>
      <c r="G1778" s="8">
        <v>5</v>
      </c>
      <c r="H1778" s="11">
        <v>100</v>
      </c>
      <c r="I1778" s="12">
        <v>42582</v>
      </c>
      <c r="J1778" s="13">
        <f t="shared" si="61"/>
        <v>0</v>
      </c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5">
        <f t="shared" si="62"/>
        <v>0</v>
      </c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5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5"/>
      <c r="AX1778" s="16"/>
    </row>
    <row r="1779" spans="2:50" x14ac:dyDescent="0.2">
      <c r="B1779" s="7" t="s">
        <v>77</v>
      </c>
      <c r="C1779" s="8">
        <v>12448</v>
      </c>
      <c r="D1779" s="9" t="s">
        <v>322</v>
      </c>
      <c r="E1779" s="10" t="s">
        <v>323</v>
      </c>
      <c r="F1779" s="10" t="s">
        <v>324</v>
      </c>
      <c r="G1779" s="8">
        <v>1</v>
      </c>
      <c r="H1779" s="11">
        <v>400</v>
      </c>
      <c r="I1779" s="12">
        <v>42582</v>
      </c>
      <c r="J1779" s="13">
        <f t="shared" si="61"/>
        <v>0</v>
      </c>
      <c r="K1779" s="14"/>
      <c r="L1779" s="14"/>
      <c r="M1779" s="14"/>
      <c r="N1779" s="14"/>
      <c r="O1779" s="14"/>
      <c r="P1779" s="14"/>
      <c r="Q1779" s="14">
        <v>400</v>
      </c>
      <c r="R1779" s="14"/>
      <c r="S1779" s="14"/>
      <c r="T1779" s="14"/>
      <c r="U1779" s="14"/>
      <c r="V1779" s="14"/>
      <c r="W1779" s="15">
        <f t="shared" si="62"/>
        <v>400</v>
      </c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5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5"/>
      <c r="AX1779" s="16"/>
    </row>
    <row r="1780" spans="2:50" x14ac:dyDescent="0.2">
      <c r="B1780" s="7" t="s">
        <v>73</v>
      </c>
      <c r="C1780" s="8">
        <v>12449</v>
      </c>
      <c r="D1780" s="9" t="s">
        <v>440</v>
      </c>
      <c r="E1780" s="10" t="s">
        <v>441</v>
      </c>
      <c r="F1780" s="10" t="s">
        <v>442</v>
      </c>
      <c r="G1780" s="8">
        <v>5</v>
      </c>
      <c r="H1780" s="11">
        <v>200</v>
      </c>
      <c r="I1780" s="12">
        <v>42582</v>
      </c>
      <c r="J1780" s="13">
        <f t="shared" si="61"/>
        <v>0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5">
        <f t="shared" si="62"/>
        <v>0</v>
      </c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5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5"/>
      <c r="AX1780" s="16"/>
    </row>
    <row r="1781" spans="2:50" x14ac:dyDescent="0.2">
      <c r="B1781" s="7" t="s">
        <v>47</v>
      </c>
      <c r="C1781" s="8">
        <v>12450</v>
      </c>
      <c r="D1781" s="9" t="s">
        <v>103</v>
      </c>
      <c r="E1781" s="10" t="s">
        <v>104</v>
      </c>
      <c r="F1781" s="10" t="s">
        <v>105</v>
      </c>
      <c r="G1781" s="8">
        <v>1</v>
      </c>
      <c r="H1781" s="11">
        <v>400</v>
      </c>
      <c r="I1781" s="12">
        <v>42582</v>
      </c>
      <c r="J1781" s="13">
        <f t="shared" si="61"/>
        <v>0</v>
      </c>
      <c r="K1781" s="14"/>
      <c r="L1781" s="14"/>
      <c r="M1781" s="14"/>
      <c r="N1781" s="14"/>
      <c r="O1781" s="14"/>
      <c r="P1781" s="14"/>
      <c r="Q1781" s="14">
        <v>400</v>
      </c>
      <c r="R1781" s="14"/>
      <c r="S1781" s="14"/>
      <c r="T1781" s="14"/>
      <c r="U1781" s="14"/>
      <c r="V1781" s="14"/>
      <c r="W1781" s="15">
        <f t="shared" si="62"/>
        <v>400</v>
      </c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5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5"/>
      <c r="AX1781" s="16"/>
    </row>
    <row r="1782" spans="2:50" x14ac:dyDescent="0.2">
      <c r="B1782" s="7" t="s">
        <v>37</v>
      </c>
      <c r="C1782" s="8">
        <v>12451</v>
      </c>
      <c r="D1782" s="9" t="s">
        <v>858</v>
      </c>
      <c r="E1782" s="10" t="s">
        <v>859</v>
      </c>
      <c r="F1782" s="10" t="s">
        <v>860</v>
      </c>
      <c r="G1782" s="8">
        <v>1</v>
      </c>
      <c r="H1782" s="11">
        <v>1200</v>
      </c>
      <c r="I1782" s="12">
        <v>42582</v>
      </c>
      <c r="J1782" s="13">
        <f t="shared" si="61"/>
        <v>0</v>
      </c>
      <c r="K1782" s="14"/>
      <c r="L1782" s="14"/>
      <c r="M1782" s="14"/>
      <c r="N1782" s="14"/>
      <c r="O1782" s="14"/>
      <c r="P1782" s="14"/>
      <c r="Q1782" s="14">
        <v>400</v>
      </c>
      <c r="R1782" s="14">
        <v>400</v>
      </c>
      <c r="S1782" s="14">
        <v>400</v>
      </c>
      <c r="T1782" s="14"/>
      <c r="U1782" s="14"/>
      <c r="V1782" s="14"/>
      <c r="W1782" s="15">
        <f t="shared" si="62"/>
        <v>1200</v>
      </c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5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5"/>
      <c r="AX1782" s="16"/>
    </row>
    <row r="1783" spans="2:50" x14ac:dyDescent="0.2">
      <c r="B1783" s="7" t="s">
        <v>37</v>
      </c>
      <c r="C1783" s="8">
        <v>12452</v>
      </c>
      <c r="D1783" s="9" t="s">
        <v>858</v>
      </c>
      <c r="E1783" s="10" t="s">
        <v>859</v>
      </c>
      <c r="F1783" s="10" t="s">
        <v>860</v>
      </c>
      <c r="G1783" s="8">
        <v>5</v>
      </c>
      <c r="H1783" s="11">
        <v>50</v>
      </c>
      <c r="I1783" s="12">
        <v>42582</v>
      </c>
      <c r="J1783" s="13">
        <f t="shared" si="61"/>
        <v>0</v>
      </c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5">
        <f t="shared" si="62"/>
        <v>0</v>
      </c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5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5"/>
      <c r="AX1783" s="16"/>
    </row>
    <row r="1784" spans="2:50" x14ac:dyDescent="0.2">
      <c r="B1784" s="7" t="s">
        <v>69</v>
      </c>
      <c r="C1784" s="8">
        <v>12453</v>
      </c>
      <c r="D1784" s="9" t="s">
        <v>135</v>
      </c>
      <c r="E1784" s="10" t="s">
        <v>136</v>
      </c>
      <c r="F1784" s="10" t="s">
        <v>137</v>
      </c>
      <c r="G1784" s="8">
        <v>1</v>
      </c>
      <c r="H1784" s="11">
        <v>300</v>
      </c>
      <c r="I1784" s="12">
        <v>42582</v>
      </c>
      <c r="J1784" s="13">
        <f t="shared" si="61"/>
        <v>0</v>
      </c>
      <c r="K1784" s="14"/>
      <c r="L1784" s="14"/>
      <c r="M1784" s="14"/>
      <c r="N1784" s="14"/>
      <c r="O1784" s="14"/>
      <c r="P1784" s="14"/>
      <c r="Q1784" s="14"/>
      <c r="R1784" s="14">
        <v>300</v>
      </c>
      <c r="S1784" s="14"/>
      <c r="T1784" s="14"/>
      <c r="U1784" s="14"/>
      <c r="V1784" s="14"/>
      <c r="W1784" s="15">
        <f t="shared" si="62"/>
        <v>300</v>
      </c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5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5"/>
      <c r="AX1784" s="16"/>
    </row>
    <row r="1785" spans="2:50" x14ac:dyDescent="0.2">
      <c r="B1785" s="7" t="s">
        <v>47</v>
      </c>
      <c r="C1785" s="8">
        <v>12454</v>
      </c>
      <c r="D1785" s="9" t="s">
        <v>965</v>
      </c>
      <c r="E1785" s="10" t="s">
        <v>966</v>
      </c>
      <c r="F1785" s="10" t="s">
        <v>967</v>
      </c>
      <c r="G1785" s="8">
        <v>1</v>
      </c>
      <c r="H1785" s="11">
        <v>800</v>
      </c>
      <c r="I1785" s="12">
        <v>42582</v>
      </c>
      <c r="J1785" s="13">
        <f t="shared" si="61"/>
        <v>0</v>
      </c>
      <c r="K1785" s="14"/>
      <c r="L1785" s="14"/>
      <c r="M1785" s="14"/>
      <c r="N1785" s="14"/>
      <c r="O1785" s="14"/>
      <c r="P1785" s="14">
        <v>400</v>
      </c>
      <c r="Q1785" s="14">
        <v>400</v>
      </c>
      <c r="R1785" s="14"/>
      <c r="S1785" s="14"/>
      <c r="T1785" s="14"/>
      <c r="U1785" s="14"/>
      <c r="V1785" s="14"/>
      <c r="W1785" s="15">
        <f t="shared" si="62"/>
        <v>800</v>
      </c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5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5"/>
      <c r="AX1785" s="16"/>
    </row>
    <row r="1786" spans="2:50" x14ac:dyDescent="0.2">
      <c r="B1786" s="7" t="s">
        <v>47</v>
      </c>
      <c r="C1786" s="8">
        <v>12455</v>
      </c>
      <c r="D1786" s="9" t="s">
        <v>313</v>
      </c>
      <c r="E1786" s="10" t="s">
        <v>314</v>
      </c>
      <c r="F1786" s="10" t="s">
        <v>315</v>
      </c>
      <c r="G1786" s="8">
        <v>1</v>
      </c>
      <c r="H1786" s="11">
        <v>400</v>
      </c>
      <c r="I1786" s="12">
        <v>42582</v>
      </c>
      <c r="J1786" s="13">
        <f t="shared" si="61"/>
        <v>0</v>
      </c>
      <c r="K1786" s="14"/>
      <c r="L1786" s="14"/>
      <c r="M1786" s="14"/>
      <c r="N1786" s="14"/>
      <c r="O1786" s="14"/>
      <c r="P1786" s="14"/>
      <c r="Q1786" s="14"/>
      <c r="R1786" s="14">
        <v>400</v>
      </c>
      <c r="S1786" s="14"/>
      <c r="T1786" s="14"/>
      <c r="U1786" s="14"/>
      <c r="V1786" s="14"/>
      <c r="W1786" s="15">
        <f t="shared" si="62"/>
        <v>400</v>
      </c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5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5"/>
      <c r="AX1786" s="16"/>
    </row>
    <row r="1787" spans="2:50" x14ac:dyDescent="0.2">
      <c r="B1787" s="7" t="s">
        <v>69</v>
      </c>
      <c r="C1787" s="8">
        <v>12456</v>
      </c>
      <c r="D1787" s="9" t="s">
        <v>1100</v>
      </c>
      <c r="E1787" s="10" t="s">
        <v>1101</v>
      </c>
      <c r="F1787" s="10" t="s">
        <v>1102</v>
      </c>
      <c r="G1787" s="8">
        <v>5</v>
      </c>
      <c r="H1787" s="11">
        <v>300</v>
      </c>
      <c r="I1787" s="12">
        <v>42582</v>
      </c>
      <c r="J1787" s="13">
        <f t="shared" si="61"/>
        <v>0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5">
        <f t="shared" si="62"/>
        <v>0</v>
      </c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5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5"/>
      <c r="AX1787" s="16"/>
    </row>
    <row r="1788" spans="2:50" x14ac:dyDescent="0.2">
      <c r="B1788" s="7" t="s">
        <v>47</v>
      </c>
      <c r="C1788" s="8">
        <v>12457</v>
      </c>
      <c r="D1788" s="9" t="s">
        <v>965</v>
      </c>
      <c r="E1788" s="10" t="s">
        <v>966</v>
      </c>
      <c r="F1788" s="10" t="s">
        <v>967</v>
      </c>
      <c r="G1788" s="8">
        <v>4</v>
      </c>
      <c r="H1788" s="11">
        <v>200</v>
      </c>
      <c r="I1788" s="12">
        <v>42582</v>
      </c>
      <c r="J1788" s="13">
        <f t="shared" si="61"/>
        <v>0</v>
      </c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5">
        <f t="shared" si="62"/>
        <v>0</v>
      </c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5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5"/>
      <c r="AX1788" s="16"/>
    </row>
    <row r="1789" spans="2:50" x14ac:dyDescent="0.2">
      <c r="B1789" s="7" t="s">
        <v>47</v>
      </c>
      <c r="C1789" s="8">
        <v>12457</v>
      </c>
      <c r="D1789" s="9" t="s">
        <v>965</v>
      </c>
      <c r="E1789" s="10" t="s">
        <v>966</v>
      </c>
      <c r="F1789" s="10" t="s">
        <v>967</v>
      </c>
      <c r="G1789" s="8">
        <v>5</v>
      </c>
      <c r="H1789" s="11">
        <v>50</v>
      </c>
      <c r="I1789" s="12">
        <v>42582</v>
      </c>
      <c r="J1789" s="13">
        <f t="shared" si="61"/>
        <v>0</v>
      </c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5">
        <f t="shared" si="62"/>
        <v>0</v>
      </c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5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5"/>
      <c r="AX1789" s="16"/>
    </row>
    <row r="1790" spans="2:50" x14ac:dyDescent="0.2">
      <c r="B1790" s="7" t="s">
        <v>69</v>
      </c>
      <c r="C1790" s="8">
        <v>12458</v>
      </c>
      <c r="D1790" s="9" t="s">
        <v>714</v>
      </c>
      <c r="E1790" s="10" t="s">
        <v>715</v>
      </c>
      <c r="F1790" s="10" t="s">
        <v>487</v>
      </c>
      <c r="G1790" s="8">
        <v>5</v>
      </c>
      <c r="H1790" s="11">
        <v>100</v>
      </c>
      <c r="I1790" s="12">
        <v>42582</v>
      </c>
      <c r="J1790" s="13">
        <f t="shared" si="61"/>
        <v>0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5">
        <f t="shared" si="62"/>
        <v>0</v>
      </c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5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5"/>
      <c r="AX1790" s="16"/>
    </row>
    <row r="1791" spans="2:50" x14ac:dyDescent="0.2">
      <c r="B1791" s="7" t="s">
        <v>37</v>
      </c>
      <c r="C1791" s="8">
        <v>12459</v>
      </c>
      <c r="D1791" s="9" t="s">
        <v>58</v>
      </c>
      <c r="E1791" s="10" t="s">
        <v>59</v>
      </c>
      <c r="F1791" s="10" t="s">
        <v>60</v>
      </c>
      <c r="G1791" s="8">
        <v>1</v>
      </c>
      <c r="H1791" s="11">
        <v>600</v>
      </c>
      <c r="I1791" s="12">
        <v>42582</v>
      </c>
      <c r="J1791" s="13">
        <f t="shared" si="61"/>
        <v>0</v>
      </c>
      <c r="K1791" s="14"/>
      <c r="L1791" s="14"/>
      <c r="M1791" s="14"/>
      <c r="N1791" s="14"/>
      <c r="O1791" s="14"/>
      <c r="P1791" s="14">
        <v>300</v>
      </c>
      <c r="Q1791" s="14">
        <v>300</v>
      </c>
      <c r="R1791" s="14"/>
      <c r="S1791" s="14"/>
      <c r="T1791" s="14"/>
      <c r="U1791" s="14"/>
      <c r="V1791" s="14"/>
      <c r="W1791" s="15">
        <f t="shared" si="62"/>
        <v>600</v>
      </c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5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5"/>
      <c r="AX1791" s="16"/>
    </row>
    <row r="1792" spans="2:50" x14ac:dyDescent="0.2">
      <c r="B1792" s="7" t="s">
        <v>37</v>
      </c>
      <c r="C1792" s="8">
        <v>12460</v>
      </c>
      <c r="D1792" s="9" t="s">
        <v>58</v>
      </c>
      <c r="E1792" s="10" t="s">
        <v>59</v>
      </c>
      <c r="F1792" s="10" t="s">
        <v>60</v>
      </c>
      <c r="G1792" s="8">
        <v>5</v>
      </c>
      <c r="H1792" s="11">
        <v>100</v>
      </c>
      <c r="I1792" s="12">
        <v>42582</v>
      </c>
      <c r="J1792" s="13">
        <f t="shared" si="61"/>
        <v>0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5">
        <f t="shared" si="62"/>
        <v>0</v>
      </c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5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5"/>
      <c r="AX1792" s="16"/>
    </row>
    <row r="1793" spans="1:50" x14ac:dyDescent="0.2">
      <c r="B1793" s="7" t="s">
        <v>122</v>
      </c>
      <c r="C1793" s="8">
        <v>12461</v>
      </c>
      <c r="D1793" s="9" t="s">
        <v>123</v>
      </c>
      <c r="E1793" s="10" t="s">
        <v>124</v>
      </c>
      <c r="F1793" s="10" t="s">
        <v>125</v>
      </c>
      <c r="G1793" s="8">
        <v>1</v>
      </c>
      <c r="H1793" s="11">
        <v>250</v>
      </c>
      <c r="I1793" s="12">
        <v>42582</v>
      </c>
      <c r="J1793" s="13">
        <f t="shared" si="61"/>
        <v>0</v>
      </c>
      <c r="K1793" s="14"/>
      <c r="L1793" s="14"/>
      <c r="M1793" s="14"/>
      <c r="N1793" s="14"/>
      <c r="O1793" s="14"/>
      <c r="P1793" s="14"/>
      <c r="Q1793" s="14"/>
      <c r="R1793" s="14">
        <v>250</v>
      </c>
      <c r="S1793" s="14"/>
      <c r="T1793" s="14"/>
      <c r="U1793" s="14"/>
      <c r="V1793" s="14"/>
      <c r="W1793" s="15">
        <f t="shared" si="62"/>
        <v>250</v>
      </c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5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5"/>
      <c r="AX1793" s="16"/>
    </row>
    <row r="1794" spans="1:50" x14ac:dyDescent="0.2">
      <c r="B1794" s="7" t="s">
        <v>1109</v>
      </c>
      <c r="C1794" s="8">
        <v>12462</v>
      </c>
      <c r="D1794" s="9" t="s">
        <v>646</v>
      </c>
      <c r="E1794" s="10" t="s">
        <v>647</v>
      </c>
      <c r="F1794" s="10" t="s">
        <v>648</v>
      </c>
      <c r="G1794" s="8">
        <v>1</v>
      </c>
      <c r="H1794" s="11">
        <v>800</v>
      </c>
      <c r="I1794" s="12">
        <v>42582</v>
      </c>
      <c r="J1794" s="13">
        <f t="shared" si="61"/>
        <v>0</v>
      </c>
      <c r="K1794" s="14"/>
      <c r="L1794" s="14"/>
      <c r="M1794" s="14"/>
      <c r="N1794" s="14"/>
      <c r="O1794" s="14"/>
      <c r="P1794" s="14">
        <v>400</v>
      </c>
      <c r="Q1794" s="14">
        <v>400</v>
      </c>
      <c r="R1794" s="14"/>
      <c r="S1794" s="14"/>
      <c r="T1794" s="14"/>
      <c r="U1794" s="14"/>
      <c r="V1794" s="14"/>
      <c r="W1794" s="15">
        <f t="shared" si="62"/>
        <v>800</v>
      </c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5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5"/>
      <c r="AX1794" s="16"/>
    </row>
    <row r="1795" spans="1:50" x14ac:dyDescent="0.2">
      <c r="B1795" s="7" t="s">
        <v>69</v>
      </c>
      <c r="C1795" s="8">
        <v>12463</v>
      </c>
      <c r="D1795" s="9" t="s">
        <v>165</v>
      </c>
      <c r="E1795" s="10" t="s">
        <v>166</v>
      </c>
      <c r="F1795" s="10" t="s">
        <v>167</v>
      </c>
      <c r="G1795" s="8">
        <v>1</v>
      </c>
      <c r="H1795" s="11">
        <v>350</v>
      </c>
      <c r="I1795" s="12">
        <v>42582</v>
      </c>
      <c r="J1795" s="13">
        <f t="shared" si="61"/>
        <v>0</v>
      </c>
      <c r="K1795" s="14"/>
      <c r="L1795" s="14"/>
      <c r="M1795" s="14"/>
      <c r="N1795" s="14"/>
      <c r="O1795" s="14"/>
      <c r="P1795" s="14"/>
      <c r="Q1795" s="14"/>
      <c r="R1795" s="14">
        <v>350</v>
      </c>
      <c r="S1795" s="14"/>
      <c r="T1795" s="14"/>
      <c r="U1795" s="14"/>
      <c r="V1795" s="14"/>
      <c r="W1795" s="15">
        <f t="shared" si="62"/>
        <v>350</v>
      </c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5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5"/>
      <c r="AX1795" s="16"/>
    </row>
    <row r="1796" spans="1:50" x14ac:dyDescent="0.2">
      <c r="B1796" s="7" t="s">
        <v>69</v>
      </c>
      <c r="C1796" s="8">
        <v>12464</v>
      </c>
      <c r="D1796" s="9" t="s">
        <v>1110</v>
      </c>
      <c r="E1796" s="10" t="s">
        <v>1111</v>
      </c>
      <c r="F1796" s="10" t="s">
        <v>657</v>
      </c>
      <c r="G1796" s="8">
        <v>1</v>
      </c>
      <c r="H1796" s="11">
        <v>400</v>
      </c>
      <c r="I1796" s="12">
        <v>42582</v>
      </c>
      <c r="J1796" s="13">
        <f t="shared" si="61"/>
        <v>0</v>
      </c>
      <c r="K1796" s="14"/>
      <c r="L1796" s="14"/>
      <c r="M1796" s="14"/>
      <c r="N1796" s="14"/>
      <c r="O1796" s="14"/>
      <c r="P1796" s="14"/>
      <c r="Q1796" s="14">
        <v>400</v>
      </c>
      <c r="R1796" s="14"/>
      <c r="S1796" s="14"/>
      <c r="T1796" s="14"/>
      <c r="U1796" s="14"/>
      <c r="V1796" s="14"/>
      <c r="W1796" s="15">
        <f t="shared" si="62"/>
        <v>400</v>
      </c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5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5"/>
      <c r="AX1796" s="16"/>
    </row>
    <row r="1797" spans="1:50" x14ac:dyDescent="0.2">
      <c r="B1797" s="7" t="s">
        <v>69</v>
      </c>
      <c r="C1797" s="8">
        <v>12465</v>
      </c>
      <c r="D1797" s="9" t="s">
        <v>1110</v>
      </c>
      <c r="E1797" s="10" t="s">
        <v>1111</v>
      </c>
      <c r="F1797" s="10" t="s">
        <v>657</v>
      </c>
      <c r="G1797" s="8">
        <v>5</v>
      </c>
      <c r="H1797" s="11">
        <v>150</v>
      </c>
      <c r="I1797" s="12">
        <v>42582</v>
      </c>
      <c r="J1797" s="13">
        <f t="shared" si="61"/>
        <v>0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5">
        <f t="shared" si="62"/>
        <v>0</v>
      </c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5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5"/>
      <c r="AX1797" s="16"/>
    </row>
    <row r="1798" spans="1:50" x14ac:dyDescent="0.2">
      <c r="B1798" s="7" t="s">
        <v>47</v>
      </c>
      <c r="C1798" s="8">
        <v>12466</v>
      </c>
      <c r="D1798" s="9" t="s">
        <v>1112</v>
      </c>
      <c r="E1798" s="10" t="s">
        <v>1113</v>
      </c>
      <c r="F1798" s="10" t="s">
        <v>1114</v>
      </c>
      <c r="G1798" s="8">
        <v>5</v>
      </c>
      <c r="H1798" s="11">
        <v>250</v>
      </c>
      <c r="I1798" s="12">
        <v>42582</v>
      </c>
      <c r="J1798" s="13">
        <f t="shared" si="61"/>
        <v>0</v>
      </c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5">
        <f t="shared" si="62"/>
        <v>0</v>
      </c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5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5"/>
      <c r="AX1798" s="16"/>
    </row>
    <row r="1799" spans="1:50" x14ac:dyDescent="0.2">
      <c r="B1799" s="7" t="s">
        <v>37</v>
      </c>
      <c r="C1799" s="8">
        <v>12467</v>
      </c>
      <c r="D1799" s="9" t="s">
        <v>526</v>
      </c>
      <c r="E1799" s="10" t="s">
        <v>527</v>
      </c>
      <c r="F1799" s="10" t="s">
        <v>528</v>
      </c>
      <c r="G1799" s="8">
        <v>5</v>
      </c>
      <c r="H1799" s="11">
        <v>200</v>
      </c>
      <c r="I1799" s="12">
        <v>42582</v>
      </c>
      <c r="J1799" s="13">
        <f t="shared" si="61"/>
        <v>0</v>
      </c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5">
        <f t="shared" si="62"/>
        <v>0</v>
      </c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5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5"/>
      <c r="AX1799" s="16"/>
    </row>
    <row r="1800" spans="1:50" x14ac:dyDescent="0.2">
      <c r="B1800" s="7" t="s">
        <v>122</v>
      </c>
      <c r="C1800" s="8">
        <v>12468</v>
      </c>
      <c r="D1800" s="9" t="s">
        <v>422</v>
      </c>
      <c r="E1800" s="10" t="s">
        <v>423</v>
      </c>
      <c r="F1800" s="10" t="s">
        <v>424</v>
      </c>
      <c r="G1800" s="8">
        <v>1</v>
      </c>
      <c r="H1800" s="11">
        <v>1200</v>
      </c>
      <c r="I1800" s="12">
        <v>42582</v>
      </c>
      <c r="J1800" s="13">
        <f t="shared" si="61"/>
        <v>0</v>
      </c>
      <c r="K1800" s="14"/>
      <c r="L1800" s="14"/>
      <c r="M1800" s="14"/>
      <c r="N1800" s="14"/>
      <c r="O1800" s="14"/>
      <c r="P1800" s="14"/>
      <c r="Q1800" s="14">
        <v>400</v>
      </c>
      <c r="R1800" s="14">
        <v>400</v>
      </c>
      <c r="S1800" s="14">
        <v>400</v>
      </c>
      <c r="T1800" s="14"/>
      <c r="U1800" s="14"/>
      <c r="V1800" s="14"/>
      <c r="W1800" s="15">
        <f t="shared" si="62"/>
        <v>1200</v>
      </c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5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5"/>
      <c r="AX1800" s="16" t="s">
        <v>1115</v>
      </c>
    </row>
    <row r="1801" spans="1:50" x14ac:dyDescent="0.2">
      <c r="B1801" s="7" t="s">
        <v>73</v>
      </c>
      <c r="C1801" s="8">
        <v>12469</v>
      </c>
      <c r="D1801" s="9" t="s">
        <v>289</v>
      </c>
      <c r="E1801" s="10" t="s">
        <v>290</v>
      </c>
      <c r="F1801" s="10" t="s">
        <v>291</v>
      </c>
      <c r="G1801" s="8">
        <v>5</v>
      </c>
      <c r="H1801" s="11">
        <v>200</v>
      </c>
      <c r="I1801" s="12">
        <v>42582</v>
      </c>
      <c r="J1801" s="13">
        <f t="shared" si="61"/>
        <v>0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5">
        <f t="shared" si="62"/>
        <v>0</v>
      </c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5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5"/>
      <c r="AX1801" s="16"/>
    </row>
    <row r="1802" spans="1:50" x14ac:dyDescent="0.2">
      <c r="B1802" s="7" t="s">
        <v>69</v>
      </c>
      <c r="C1802" s="8">
        <v>12478</v>
      </c>
      <c r="D1802" s="9" t="s">
        <v>211</v>
      </c>
      <c r="E1802" s="10" t="s">
        <v>212</v>
      </c>
      <c r="F1802" s="10" t="s">
        <v>213</v>
      </c>
      <c r="G1802" s="8">
        <v>1</v>
      </c>
      <c r="H1802" s="11">
        <v>300</v>
      </c>
      <c r="I1802" s="12">
        <v>42559</v>
      </c>
      <c r="J1802" s="13">
        <f t="shared" si="61"/>
        <v>0</v>
      </c>
      <c r="K1802" s="14"/>
      <c r="L1802" s="14"/>
      <c r="M1802" s="14"/>
      <c r="N1802" s="14"/>
      <c r="O1802" s="14"/>
      <c r="P1802" s="14"/>
      <c r="Q1802" s="14">
        <v>300</v>
      </c>
      <c r="R1802" s="14"/>
      <c r="S1802" s="14"/>
      <c r="T1802" s="14"/>
      <c r="U1802" s="14"/>
      <c r="V1802" s="14"/>
      <c r="W1802" s="15">
        <f t="shared" si="62"/>
        <v>300</v>
      </c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5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5"/>
      <c r="AX1802" s="16" t="s">
        <v>1116</v>
      </c>
    </row>
    <row r="1803" spans="1:50" x14ac:dyDescent="0.2">
      <c r="B1803" s="7" t="s">
        <v>93</v>
      </c>
      <c r="C1803" s="8"/>
      <c r="D1803" s="9"/>
      <c r="E1803" s="10" t="s">
        <v>93</v>
      </c>
      <c r="F1803" s="10" t="s">
        <v>93</v>
      </c>
      <c r="G1803" s="8"/>
      <c r="H1803" s="11"/>
      <c r="I1803" s="12"/>
      <c r="J1803" s="13">
        <f t="shared" si="61"/>
        <v>0</v>
      </c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5">
        <f t="shared" si="62"/>
        <v>0</v>
      </c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5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5"/>
      <c r="AX1803" s="16"/>
    </row>
    <row r="1804" spans="1:50" x14ac:dyDescent="0.2">
      <c r="B1804" s="7" t="s">
        <v>93</v>
      </c>
      <c r="C1804" s="8"/>
      <c r="D1804" s="9"/>
      <c r="E1804" s="10" t="s">
        <v>93</v>
      </c>
      <c r="F1804" s="10" t="s">
        <v>93</v>
      </c>
      <c r="G1804" s="8"/>
      <c r="H1804" s="11"/>
      <c r="I1804" s="12"/>
      <c r="J1804" s="13">
        <f t="shared" si="61"/>
        <v>0</v>
      </c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5">
        <f t="shared" si="62"/>
        <v>0</v>
      </c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5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5"/>
      <c r="AX1804" s="16"/>
    </row>
    <row r="1805" spans="1:50" x14ac:dyDescent="0.2">
      <c r="B1805" s="7" t="s">
        <v>93</v>
      </c>
      <c r="C1805" s="8"/>
      <c r="D1805" s="9"/>
      <c r="E1805" s="10" t="s">
        <v>93</v>
      </c>
      <c r="F1805" s="10" t="s">
        <v>93</v>
      </c>
      <c r="G1805" s="8"/>
      <c r="H1805" s="11"/>
      <c r="I1805" s="12"/>
      <c r="J1805" s="13">
        <f t="shared" si="61"/>
        <v>0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5">
        <f t="shared" si="62"/>
        <v>0</v>
      </c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5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5"/>
      <c r="AX1805" s="16"/>
    </row>
    <row r="1806" spans="1:50" ht="22.5" x14ac:dyDescent="0.2">
      <c r="A1806" s="2" t="s">
        <v>0</v>
      </c>
      <c r="B1806" s="3" t="s">
        <v>1</v>
      </c>
      <c r="C1806" s="3" t="s">
        <v>2</v>
      </c>
      <c r="D1806" s="3" t="s">
        <v>3</v>
      </c>
      <c r="E1806" s="3" t="s">
        <v>4</v>
      </c>
      <c r="F1806" s="3" t="s">
        <v>5</v>
      </c>
      <c r="G1806" s="3" t="s">
        <v>6</v>
      </c>
      <c r="H1806" s="3" t="s">
        <v>7</v>
      </c>
      <c r="I1806" s="3" t="s">
        <v>8</v>
      </c>
      <c r="J1806" s="3" t="s">
        <v>9</v>
      </c>
      <c r="K1806" s="4" t="s">
        <v>10</v>
      </c>
      <c r="L1806" s="4" t="s">
        <v>11</v>
      </c>
      <c r="M1806" s="4" t="s">
        <v>12</v>
      </c>
      <c r="N1806" s="4" t="s">
        <v>13</v>
      </c>
      <c r="O1806" s="4" t="s">
        <v>14</v>
      </c>
      <c r="P1806" s="4" t="s">
        <v>15</v>
      </c>
      <c r="Q1806" s="4" t="s">
        <v>16</v>
      </c>
      <c r="R1806" s="4" t="s">
        <v>17</v>
      </c>
      <c r="S1806" s="4" t="s">
        <v>18</v>
      </c>
      <c r="T1806" s="4" t="s">
        <v>19</v>
      </c>
      <c r="U1806" s="4" t="s">
        <v>20</v>
      </c>
      <c r="V1806" s="4" t="s">
        <v>21</v>
      </c>
      <c r="W1806" s="5" t="s">
        <v>22</v>
      </c>
      <c r="X1806" s="4" t="s">
        <v>23</v>
      </c>
      <c r="Y1806" s="4" t="s">
        <v>24</v>
      </c>
      <c r="Z1806" s="4" t="s">
        <v>25</v>
      </c>
      <c r="AA1806" s="4" t="s">
        <v>26</v>
      </c>
      <c r="AB1806" s="4" t="s">
        <v>27</v>
      </c>
      <c r="AC1806" s="4" t="s">
        <v>28</v>
      </c>
      <c r="AD1806" s="4" t="s">
        <v>29</v>
      </c>
      <c r="AE1806" s="4" t="s">
        <v>30</v>
      </c>
      <c r="AF1806" s="4" t="s">
        <v>31</v>
      </c>
      <c r="AG1806" s="4" t="s">
        <v>32</v>
      </c>
      <c r="AH1806" s="4" t="s">
        <v>33</v>
      </c>
      <c r="AI1806" s="4" t="s">
        <v>34</v>
      </c>
      <c r="AJ1806" s="5" t="s">
        <v>35</v>
      </c>
      <c r="AK1806" s="4" t="s">
        <v>4607</v>
      </c>
      <c r="AL1806" s="4" t="s">
        <v>4608</v>
      </c>
      <c r="AM1806" s="4" t="s">
        <v>4609</v>
      </c>
      <c r="AN1806" s="4" t="s">
        <v>4610</v>
      </c>
      <c r="AO1806" s="4" t="s">
        <v>4611</v>
      </c>
      <c r="AP1806" s="4" t="s">
        <v>4612</v>
      </c>
      <c r="AQ1806" s="4" t="s">
        <v>4613</v>
      </c>
      <c r="AR1806" s="4" t="s">
        <v>4614</v>
      </c>
      <c r="AS1806" s="4" t="s">
        <v>4615</v>
      </c>
      <c r="AT1806" s="4" t="s">
        <v>4616</v>
      </c>
      <c r="AU1806" s="4" t="s">
        <v>4617</v>
      </c>
      <c r="AV1806" s="4" t="s">
        <v>4618</v>
      </c>
      <c r="AW1806" s="338" t="s">
        <v>4619</v>
      </c>
      <c r="AX1806" s="6" t="s">
        <v>36</v>
      </c>
    </row>
    <row r="1807" spans="1:50" x14ac:dyDescent="0.2">
      <c r="B1807" s="7" t="s">
        <v>37</v>
      </c>
      <c r="C1807" s="8">
        <v>12470</v>
      </c>
      <c r="D1807" s="9" t="s">
        <v>592</v>
      </c>
      <c r="E1807" s="10" t="s">
        <v>593</v>
      </c>
      <c r="F1807" s="10" t="s">
        <v>594</v>
      </c>
      <c r="G1807" s="8">
        <v>1</v>
      </c>
      <c r="H1807" s="11">
        <v>1200</v>
      </c>
      <c r="I1807" s="12">
        <v>42584</v>
      </c>
      <c r="J1807" s="13">
        <f t="shared" ref="J1807:J1870" si="63">IF(G1807=1,SUM(W1807,-H1807),0)</f>
        <v>0</v>
      </c>
      <c r="K1807" s="14"/>
      <c r="L1807" s="14"/>
      <c r="M1807" s="14"/>
      <c r="N1807" s="14"/>
      <c r="O1807" s="14"/>
      <c r="P1807" s="14"/>
      <c r="Q1807" s="14">
        <v>400</v>
      </c>
      <c r="R1807" s="14">
        <v>400</v>
      </c>
      <c r="S1807" s="14">
        <v>400</v>
      </c>
      <c r="T1807" s="14"/>
      <c r="U1807" s="14"/>
      <c r="V1807" s="14"/>
      <c r="W1807" s="15">
        <f t="shared" ref="W1807:W1870" si="64">SUM(K1807:V1807)</f>
        <v>1200</v>
      </c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5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5"/>
      <c r="AX1807" s="16"/>
    </row>
    <row r="1808" spans="1:50" x14ac:dyDescent="0.2">
      <c r="B1808" s="7" t="s">
        <v>37</v>
      </c>
      <c r="C1808" s="8">
        <v>12471</v>
      </c>
      <c r="D1808" s="9" t="s">
        <v>592</v>
      </c>
      <c r="E1808" s="10" t="s">
        <v>593</v>
      </c>
      <c r="F1808" s="10" t="s">
        <v>594</v>
      </c>
      <c r="G1808" s="8">
        <v>5</v>
      </c>
      <c r="H1808" s="11">
        <v>100</v>
      </c>
      <c r="I1808" s="12">
        <v>42584</v>
      </c>
      <c r="J1808" s="13">
        <f t="shared" si="63"/>
        <v>0</v>
      </c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5">
        <f t="shared" si="64"/>
        <v>0</v>
      </c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5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5"/>
      <c r="AX1808" s="16"/>
    </row>
    <row r="1809" spans="2:50" x14ac:dyDescent="0.2">
      <c r="B1809" s="7" t="s">
        <v>47</v>
      </c>
      <c r="C1809" s="8">
        <v>12472</v>
      </c>
      <c r="D1809" s="9" t="s">
        <v>580</v>
      </c>
      <c r="E1809" s="10" t="s">
        <v>581</v>
      </c>
      <c r="F1809" s="10" t="s">
        <v>582</v>
      </c>
      <c r="G1809" s="8">
        <v>7</v>
      </c>
      <c r="H1809" s="11">
        <v>350</v>
      </c>
      <c r="I1809" s="12">
        <v>42585</v>
      </c>
      <c r="J1809" s="13">
        <f t="shared" si="63"/>
        <v>0</v>
      </c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5">
        <f t="shared" si="64"/>
        <v>0</v>
      </c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5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5"/>
      <c r="AX1809" s="16" t="s">
        <v>1117</v>
      </c>
    </row>
    <row r="1810" spans="2:50" x14ac:dyDescent="0.2">
      <c r="B1810" s="7" t="s">
        <v>1118</v>
      </c>
      <c r="C1810" s="8">
        <v>12473</v>
      </c>
      <c r="D1810" s="9" t="s">
        <v>1119</v>
      </c>
      <c r="E1810" s="10" t="s">
        <v>1120</v>
      </c>
      <c r="F1810" s="10" t="s">
        <v>1121</v>
      </c>
      <c r="G1810" s="8">
        <v>1</v>
      </c>
      <c r="H1810" s="11">
        <v>150</v>
      </c>
      <c r="I1810" s="12">
        <v>42585</v>
      </c>
      <c r="J1810" s="13">
        <f t="shared" si="63"/>
        <v>0</v>
      </c>
      <c r="K1810" s="14"/>
      <c r="L1810" s="14"/>
      <c r="M1810" s="14"/>
      <c r="N1810" s="14"/>
      <c r="O1810" s="14"/>
      <c r="P1810" s="14"/>
      <c r="Q1810" s="14"/>
      <c r="R1810" s="14">
        <v>150</v>
      </c>
      <c r="S1810" s="14"/>
      <c r="T1810" s="14"/>
      <c r="U1810" s="14"/>
      <c r="V1810" s="14"/>
      <c r="W1810" s="15">
        <f t="shared" si="64"/>
        <v>150</v>
      </c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5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5"/>
      <c r="AX1810" s="16"/>
    </row>
    <row r="1811" spans="2:50" x14ac:dyDescent="0.2">
      <c r="B1811" s="7" t="s">
        <v>1118</v>
      </c>
      <c r="C1811" s="8">
        <v>12473</v>
      </c>
      <c r="D1811" s="9" t="s">
        <v>1119</v>
      </c>
      <c r="E1811" s="10" t="s">
        <v>1120</v>
      </c>
      <c r="F1811" s="10" t="s">
        <v>1121</v>
      </c>
      <c r="G1811" s="8">
        <v>5</v>
      </c>
      <c r="H1811" s="11">
        <v>150</v>
      </c>
      <c r="I1811" s="12">
        <v>42585</v>
      </c>
      <c r="J1811" s="13">
        <f t="shared" si="63"/>
        <v>0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5">
        <f t="shared" si="64"/>
        <v>0</v>
      </c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5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5"/>
      <c r="AX1811" s="16"/>
    </row>
    <row r="1812" spans="2:50" x14ac:dyDescent="0.2">
      <c r="B1812" s="7" t="s">
        <v>37</v>
      </c>
      <c r="C1812" s="8">
        <v>12474</v>
      </c>
      <c r="D1812" s="9" t="s">
        <v>941</v>
      </c>
      <c r="E1812" s="10" t="s">
        <v>942</v>
      </c>
      <c r="F1812" s="10" t="s">
        <v>943</v>
      </c>
      <c r="G1812" s="8">
        <v>1</v>
      </c>
      <c r="H1812" s="11">
        <v>200</v>
      </c>
      <c r="I1812" s="12">
        <v>42585</v>
      </c>
      <c r="J1812" s="13">
        <f t="shared" si="63"/>
        <v>0</v>
      </c>
      <c r="K1812" s="14"/>
      <c r="L1812" s="14"/>
      <c r="M1812" s="14"/>
      <c r="N1812" s="14"/>
      <c r="O1812" s="14"/>
      <c r="P1812" s="14"/>
      <c r="Q1812" s="14"/>
      <c r="R1812" s="14">
        <v>200</v>
      </c>
      <c r="S1812" s="14"/>
      <c r="T1812" s="14"/>
      <c r="U1812" s="14"/>
      <c r="V1812" s="14"/>
      <c r="W1812" s="15">
        <f t="shared" si="64"/>
        <v>200</v>
      </c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5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5"/>
      <c r="AX1812" s="16"/>
    </row>
    <row r="1813" spans="2:50" x14ac:dyDescent="0.2">
      <c r="B1813" s="7" t="s">
        <v>37</v>
      </c>
      <c r="C1813" s="8">
        <v>12475</v>
      </c>
      <c r="D1813" s="9" t="s">
        <v>226</v>
      </c>
      <c r="E1813" s="10" t="s">
        <v>227</v>
      </c>
      <c r="F1813" s="10" t="s">
        <v>228</v>
      </c>
      <c r="G1813" s="8">
        <v>1</v>
      </c>
      <c r="H1813" s="11">
        <v>400</v>
      </c>
      <c r="I1813" s="12">
        <v>42586</v>
      </c>
      <c r="J1813" s="13">
        <f t="shared" si="63"/>
        <v>0</v>
      </c>
      <c r="K1813" s="14"/>
      <c r="L1813" s="14"/>
      <c r="M1813" s="14"/>
      <c r="N1813" s="14"/>
      <c r="O1813" s="14"/>
      <c r="P1813" s="14"/>
      <c r="Q1813" s="14">
        <v>200</v>
      </c>
      <c r="R1813" s="14">
        <v>200</v>
      </c>
      <c r="S1813" s="14"/>
      <c r="T1813" s="14"/>
      <c r="U1813" s="14"/>
      <c r="V1813" s="14"/>
      <c r="W1813" s="15">
        <f t="shared" si="64"/>
        <v>400</v>
      </c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5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5"/>
      <c r="AX1813" s="16"/>
    </row>
    <row r="1814" spans="2:50" x14ac:dyDescent="0.2">
      <c r="B1814" s="7" t="s">
        <v>93</v>
      </c>
      <c r="C1814" s="8">
        <v>12476</v>
      </c>
      <c r="D1814" s="9"/>
      <c r="E1814" s="10" t="s">
        <v>93</v>
      </c>
      <c r="F1814" s="10" t="s">
        <v>93</v>
      </c>
      <c r="G1814" s="8">
        <v>8</v>
      </c>
      <c r="H1814" s="11"/>
      <c r="I1814" s="12"/>
      <c r="J1814" s="13">
        <f t="shared" si="63"/>
        <v>0</v>
      </c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5">
        <f t="shared" si="64"/>
        <v>0</v>
      </c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5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5"/>
      <c r="AX1814" s="16"/>
    </row>
    <row r="1815" spans="2:50" x14ac:dyDescent="0.2">
      <c r="B1815" s="7" t="s">
        <v>37</v>
      </c>
      <c r="C1815" s="8">
        <v>12477</v>
      </c>
      <c r="D1815" s="9" t="s">
        <v>494</v>
      </c>
      <c r="E1815" s="10" t="s">
        <v>495</v>
      </c>
      <c r="F1815" s="10" t="s">
        <v>496</v>
      </c>
      <c r="G1815" s="8">
        <v>1</v>
      </c>
      <c r="H1815" s="11">
        <v>300</v>
      </c>
      <c r="I1815" s="12">
        <v>42586</v>
      </c>
      <c r="J1815" s="13">
        <f t="shared" si="63"/>
        <v>0</v>
      </c>
      <c r="K1815" s="14"/>
      <c r="L1815" s="14"/>
      <c r="M1815" s="14"/>
      <c r="N1815" s="14"/>
      <c r="O1815" s="14"/>
      <c r="P1815" s="14"/>
      <c r="Q1815" s="14">
        <v>150</v>
      </c>
      <c r="R1815" s="14">
        <v>150</v>
      </c>
      <c r="S1815" s="14"/>
      <c r="T1815" s="14"/>
      <c r="U1815" s="14"/>
      <c r="V1815" s="14"/>
      <c r="W1815" s="15">
        <f t="shared" si="64"/>
        <v>300</v>
      </c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5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5"/>
      <c r="AX1815" s="16"/>
    </row>
    <row r="1816" spans="2:50" x14ac:dyDescent="0.2">
      <c r="B1816" s="7" t="s">
        <v>69</v>
      </c>
      <c r="C1816" s="8">
        <v>12478</v>
      </c>
      <c r="D1816" s="9" t="s">
        <v>211</v>
      </c>
      <c r="E1816" s="10" t="s">
        <v>212</v>
      </c>
      <c r="F1816" s="10" t="s">
        <v>213</v>
      </c>
      <c r="G1816" s="8">
        <v>1</v>
      </c>
      <c r="H1816" s="11"/>
      <c r="I1816" s="12">
        <v>42587</v>
      </c>
      <c r="J1816" s="13">
        <f t="shared" si="63"/>
        <v>0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5">
        <f t="shared" si="64"/>
        <v>0</v>
      </c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5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5"/>
      <c r="AX1816" s="16" t="s">
        <v>1116</v>
      </c>
    </row>
    <row r="1817" spans="2:50" x14ac:dyDescent="0.2">
      <c r="B1817" s="7" t="s">
        <v>77</v>
      </c>
      <c r="C1817" s="8">
        <v>12479</v>
      </c>
      <c r="D1817" s="9" t="s">
        <v>666</v>
      </c>
      <c r="E1817" s="10" t="s">
        <v>667</v>
      </c>
      <c r="F1817" s="10" t="s">
        <v>668</v>
      </c>
      <c r="G1817" s="8">
        <v>1</v>
      </c>
      <c r="H1817" s="11">
        <v>400</v>
      </c>
      <c r="I1817" s="12">
        <v>42587</v>
      </c>
      <c r="J1817" s="13">
        <f t="shared" si="63"/>
        <v>0</v>
      </c>
      <c r="K1817" s="14"/>
      <c r="L1817" s="14"/>
      <c r="M1817" s="14"/>
      <c r="N1817" s="14"/>
      <c r="O1817" s="14"/>
      <c r="P1817" s="14"/>
      <c r="Q1817" s="14">
        <v>200</v>
      </c>
      <c r="R1817" s="14">
        <v>200</v>
      </c>
      <c r="S1817" s="14"/>
      <c r="T1817" s="14"/>
      <c r="U1817" s="14"/>
      <c r="V1817" s="14"/>
      <c r="W1817" s="15">
        <f t="shared" si="64"/>
        <v>400</v>
      </c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5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5"/>
      <c r="AX1817" s="16"/>
    </row>
    <row r="1818" spans="2:50" x14ac:dyDescent="0.2">
      <c r="B1818" s="7" t="s">
        <v>69</v>
      </c>
      <c r="C1818" s="8">
        <v>12480</v>
      </c>
      <c r="D1818" s="9" t="s">
        <v>186</v>
      </c>
      <c r="E1818" s="10" t="s">
        <v>187</v>
      </c>
      <c r="F1818" s="10" t="s">
        <v>188</v>
      </c>
      <c r="G1818" s="8">
        <v>1</v>
      </c>
      <c r="H1818" s="11">
        <v>400</v>
      </c>
      <c r="I1818" s="12">
        <v>42587</v>
      </c>
      <c r="J1818" s="13">
        <f t="shared" si="63"/>
        <v>0</v>
      </c>
      <c r="K1818" s="14"/>
      <c r="L1818" s="14"/>
      <c r="M1818" s="14"/>
      <c r="N1818" s="14"/>
      <c r="O1818" s="14"/>
      <c r="P1818" s="14"/>
      <c r="Q1818" s="14"/>
      <c r="R1818" s="14">
        <v>400</v>
      </c>
      <c r="S1818" s="14"/>
      <c r="T1818" s="14"/>
      <c r="U1818" s="14"/>
      <c r="V1818" s="14"/>
      <c r="W1818" s="15">
        <f t="shared" si="64"/>
        <v>400</v>
      </c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5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5"/>
      <c r="AX1818" s="16"/>
    </row>
    <row r="1819" spans="2:50" x14ac:dyDescent="0.2">
      <c r="B1819" s="7" t="s">
        <v>69</v>
      </c>
      <c r="C1819" s="8">
        <v>12481</v>
      </c>
      <c r="D1819" s="9" t="s">
        <v>1122</v>
      </c>
      <c r="E1819" s="10" t="s">
        <v>1123</v>
      </c>
      <c r="F1819" s="10" t="s">
        <v>1124</v>
      </c>
      <c r="G1819" s="8">
        <v>1</v>
      </c>
      <c r="H1819" s="11">
        <v>100</v>
      </c>
      <c r="I1819" s="12">
        <v>42587</v>
      </c>
      <c r="J1819" s="13">
        <f t="shared" si="63"/>
        <v>0</v>
      </c>
      <c r="K1819" s="14"/>
      <c r="L1819" s="14"/>
      <c r="M1819" s="14"/>
      <c r="N1819" s="14"/>
      <c r="O1819" s="14"/>
      <c r="P1819" s="14"/>
      <c r="Q1819" s="14"/>
      <c r="R1819" s="14">
        <v>100</v>
      </c>
      <c r="S1819" s="14"/>
      <c r="T1819" s="14"/>
      <c r="U1819" s="14"/>
      <c r="V1819" s="14"/>
      <c r="W1819" s="15">
        <f t="shared" si="64"/>
        <v>100</v>
      </c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5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5"/>
      <c r="AX1819" s="16"/>
    </row>
    <row r="1820" spans="2:50" x14ac:dyDescent="0.2">
      <c r="B1820" s="7" t="s">
        <v>69</v>
      </c>
      <c r="C1820" s="8">
        <v>12481</v>
      </c>
      <c r="D1820" s="9" t="s">
        <v>1122</v>
      </c>
      <c r="E1820" s="10" t="s">
        <v>1123</v>
      </c>
      <c r="F1820" s="10" t="s">
        <v>1124</v>
      </c>
      <c r="G1820" s="8">
        <v>4</v>
      </c>
      <c r="H1820" s="11">
        <v>200</v>
      </c>
      <c r="I1820" s="12">
        <v>42587</v>
      </c>
      <c r="J1820" s="13">
        <f t="shared" si="63"/>
        <v>0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5">
        <f t="shared" si="64"/>
        <v>0</v>
      </c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5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5"/>
      <c r="AX1820" s="16" t="s">
        <v>1125</v>
      </c>
    </row>
    <row r="1821" spans="2:50" x14ac:dyDescent="0.2">
      <c r="B1821" s="7" t="s">
        <v>391</v>
      </c>
      <c r="C1821" s="8">
        <v>12482</v>
      </c>
      <c r="D1821" s="9" t="s">
        <v>640</v>
      </c>
      <c r="E1821" s="10" t="s">
        <v>641</v>
      </c>
      <c r="F1821" s="10" t="s">
        <v>642</v>
      </c>
      <c r="G1821" s="8">
        <v>1</v>
      </c>
      <c r="H1821" s="11">
        <v>400</v>
      </c>
      <c r="I1821" s="12">
        <v>42587</v>
      </c>
      <c r="J1821" s="13">
        <f t="shared" si="63"/>
        <v>0</v>
      </c>
      <c r="K1821" s="14"/>
      <c r="L1821" s="14"/>
      <c r="M1821" s="14"/>
      <c r="N1821" s="14"/>
      <c r="O1821" s="14"/>
      <c r="P1821" s="14"/>
      <c r="Q1821" s="14">
        <v>200</v>
      </c>
      <c r="R1821" s="14">
        <v>200</v>
      </c>
      <c r="S1821" s="14"/>
      <c r="T1821" s="14"/>
      <c r="U1821" s="14"/>
      <c r="V1821" s="14"/>
      <c r="W1821" s="15">
        <f t="shared" si="64"/>
        <v>400</v>
      </c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5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5"/>
      <c r="AX1821" s="16"/>
    </row>
    <row r="1822" spans="2:50" x14ac:dyDescent="0.2">
      <c r="B1822" s="7" t="s">
        <v>69</v>
      </c>
      <c r="C1822" s="8">
        <v>12483</v>
      </c>
      <c r="D1822" s="9" t="s">
        <v>1122</v>
      </c>
      <c r="E1822" s="10" t="s">
        <v>1123</v>
      </c>
      <c r="F1822" s="10" t="s">
        <v>1124</v>
      </c>
      <c r="G1822" s="8">
        <v>5</v>
      </c>
      <c r="H1822" s="11">
        <v>50</v>
      </c>
      <c r="I1822" s="12">
        <v>42587</v>
      </c>
      <c r="J1822" s="13">
        <f t="shared" si="63"/>
        <v>0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5">
        <f t="shared" si="64"/>
        <v>0</v>
      </c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5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5"/>
      <c r="AX1822" s="16"/>
    </row>
    <row r="1823" spans="2:50" x14ac:dyDescent="0.2">
      <c r="B1823" s="7" t="s">
        <v>69</v>
      </c>
      <c r="C1823" s="8">
        <v>12484</v>
      </c>
      <c r="D1823" s="9" t="s">
        <v>325</v>
      </c>
      <c r="E1823" s="10" t="s">
        <v>326</v>
      </c>
      <c r="F1823" s="10" t="s">
        <v>327</v>
      </c>
      <c r="G1823" s="8">
        <v>1</v>
      </c>
      <c r="H1823" s="11">
        <v>400</v>
      </c>
      <c r="I1823" s="12">
        <v>42587</v>
      </c>
      <c r="J1823" s="13">
        <f t="shared" si="63"/>
        <v>0</v>
      </c>
      <c r="K1823" s="14"/>
      <c r="L1823" s="14"/>
      <c r="M1823" s="14"/>
      <c r="N1823" s="14"/>
      <c r="O1823" s="14"/>
      <c r="P1823" s="14"/>
      <c r="Q1823" s="14"/>
      <c r="R1823" s="14">
        <v>400</v>
      </c>
      <c r="S1823" s="14"/>
      <c r="T1823" s="14"/>
      <c r="U1823" s="14"/>
      <c r="V1823" s="14"/>
      <c r="W1823" s="15">
        <f t="shared" si="64"/>
        <v>400</v>
      </c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5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5"/>
      <c r="AX1823" s="16"/>
    </row>
    <row r="1824" spans="2:50" x14ac:dyDescent="0.2">
      <c r="B1824" s="7" t="s">
        <v>69</v>
      </c>
      <c r="C1824" s="8">
        <v>12485</v>
      </c>
      <c r="D1824" s="9" t="s">
        <v>361</v>
      </c>
      <c r="E1824" s="10" t="s">
        <v>362</v>
      </c>
      <c r="F1824" s="10" t="s">
        <v>363</v>
      </c>
      <c r="G1824" s="8">
        <v>1</v>
      </c>
      <c r="H1824" s="11">
        <v>400</v>
      </c>
      <c r="I1824" s="12">
        <v>42587</v>
      </c>
      <c r="J1824" s="13">
        <f t="shared" si="63"/>
        <v>0</v>
      </c>
      <c r="K1824" s="14"/>
      <c r="L1824" s="14"/>
      <c r="M1824" s="14"/>
      <c r="N1824" s="14"/>
      <c r="O1824" s="14"/>
      <c r="P1824" s="14"/>
      <c r="Q1824" s="14"/>
      <c r="R1824" s="14">
        <v>400</v>
      </c>
      <c r="S1824" s="14"/>
      <c r="T1824" s="14"/>
      <c r="U1824" s="14"/>
      <c r="V1824" s="14"/>
      <c r="W1824" s="15">
        <f t="shared" si="64"/>
        <v>400</v>
      </c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5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5"/>
      <c r="AX1824" s="16"/>
    </row>
    <row r="1825" spans="2:50" x14ac:dyDescent="0.2">
      <c r="B1825" s="7" t="s">
        <v>73</v>
      </c>
      <c r="C1825" s="8">
        <v>12536</v>
      </c>
      <c r="D1825" s="9" t="s">
        <v>980</v>
      </c>
      <c r="E1825" s="10" t="s">
        <v>981</v>
      </c>
      <c r="F1825" s="10" t="s">
        <v>982</v>
      </c>
      <c r="G1825" s="8">
        <v>1</v>
      </c>
      <c r="H1825" s="11">
        <v>400</v>
      </c>
      <c r="I1825" s="12">
        <v>42589</v>
      </c>
      <c r="J1825" s="13">
        <f t="shared" si="63"/>
        <v>0</v>
      </c>
      <c r="K1825" s="14"/>
      <c r="L1825" s="14"/>
      <c r="M1825" s="14"/>
      <c r="N1825" s="14"/>
      <c r="O1825" s="14"/>
      <c r="P1825" s="14"/>
      <c r="Q1825" s="14">
        <v>400</v>
      </c>
      <c r="R1825" s="14"/>
      <c r="S1825" s="14"/>
      <c r="T1825" s="14"/>
      <c r="U1825" s="14"/>
      <c r="V1825" s="14"/>
      <c r="W1825" s="15">
        <f t="shared" si="64"/>
        <v>400</v>
      </c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5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5"/>
      <c r="AX1825" s="16"/>
    </row>
    <row r="1826" spans="2:50" x14ac:dyDescent="0.2">
      <c r="B1826" s="7" t="s">
        <v>73</v>
      </c>
      <c r="C1826" s="8">
        <v>12536</v>
      </c>
      <c r="D1826" s="9" t="s">
        <v>980</v>
      </c>
      <c r="E1826" s="10" t="s">
        <v>981</v>
      </c>
      <c r="F1826" s="10" t="s">
        <v>982</v>
      </c>
      <c r="G1826" s="8">
        <v>4</v>
      </c>
      <c r="H1826" s="11">
        <v>200</v>
      </c>
      <c r="I1826" s="12">
        <v>42589</v>
      </c>
      <c r="J1826" s="13">
        <f t="shared" si="63"/>
        <v>0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5">
        <f t="shared" si="64"/>
        <v>0</v>
      </c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5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5"/>
      <c r="AX1826" s="16" t="s">
        <v>1126</v>
      </c>
    </row>
    <row r="1827" spans="2:50" x14ac:dyDescent="0.2">
      <c r="B1827" s="7" t="s">
        <v>73</v>
      </c>
      <c r="C1827" s="8">
        <v>12537</v>
      </c>
      <c r="D1827" s="9" t="s">
        <v>1026</v>
      </c>
      <c r="E1827" s="10" t="s">
        <v>1027</v>
      </c>
      <c r="F1827" s="10" t="s">
        <v>1028</v>
      </c>
      <c r="G1827" s="8">
        <v>1</v>
      </c>
      <c r="H1827" s="11">
        <v>400</v>
      </c>
      <c r="I1827" s="12">
        <v>42589</v>
      </c>
      <c r="J1827" s="13">
        <f t="shared" si="63"/>
        <v>0</v>
      </c>
      <c r="K1827" s="14"/>
      <c r="L1827" s="14"/>
      <c r="M1827" s="14"/>
      <c r="N1827" s="14"/>
      <c r="O1827" s="14"/>
      <c r="P1827" s="14"/>
      <c r="Q1827" s="14">
        <v>200</v>
      </c>
      <c r="R1827" s="14">
        <v>200</v>
      </c>
      <c r="S1827" s="14"/>
      <c r="T1827" s="14"/>
      <c r="U1827" s="14"/>
      <c r="V1827" s="14"/>
      <c r="W1827" s="15">
        <f t="shared" si="64"/>
        <v>400</v>
      </c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5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5"/>
      <c r="AX1827" s="16"/>
    </row>
    <row r="1828" spans="2:50" x14ac:dyDescent="0.2">
      <c r="B1828" s="7" t="s">
        <v>73</v>
      </c>
      <c r="C1828" s="8">
        <v>12538</v>
      </c>
      <c r="D1828" s="9" t="s">
        <v>980</v>
      </c>
      <c r="E1828" s="10" t="s">
        <v>981</v>
      </c>
      <c r="F1828" s="10" t="s">
        <v>982</v>
      </c>
      <c r="G1828" s="8">
        <v>5</v>
      </c>
      <c r="H1828" s="11">
        <v>50</v>
      </c>
      <c r="I1828" s="12">
        <v>42589</v>
      </c>
      <c r="J1828" s="13">
        <f t="shared" si="63"/>
        <v>0</v>
      </c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5">
        <f t="shared" si="64"/>
        <v>0</v>
      </c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5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5"/>
      <c r="AX1828" s="16"/>
    </row>
    <row r="1829" spans="2:50" x14ac:dyDescent="0.2">
      <c r="B1829" s="7" t="s">
        <v>69</v>
      </c>
      <c r="C1829" s="8">
        <v>12539</v>
      </c>
      <c r="D1829" s="9" t="s">
        <v>265</v>
      </c>
      <c r="E1829" s="10" t="s">
        <v>266</v>
      </c>
      <c r="F1829" s="10" t="s">
        <v>267</v>
      </c>
      <c r="G1829" s="8">
        <v>1</v>
      </c>
      <c r="H1829" s="11">
        <v>400</v>
      </c>
      <c r="I1829" s="12">
        <v>42589</v>
      </c>
      <c r="J1829" s="13">
        <f t="shared" si="63"/>
        <v>0</v>
      </c>
      <c r="K1829" s="14"/>
      <c r="L1829" s="14"/>
      <c r="M1829" s="14"/>
      <c r="N1829" s="14"/>
      <c r="O1829" s="14"/>
      <c r="P1829" s="14"/>
      <c r="Q1829" s="14"/>
      <c r="R1829" s="14">
        <v>400</v>
      </c>
      <c r="S1829" s="14"/>
      <c r="T1829" s="14"/>
      <c r="U1829" s="14"/>
      <c r="V1829" s="14"/>
      <c r="W1829" s="15">
        <f t="shared" si="64"/>
        <v>400</v>
      </c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5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5"/>
      <c r="AX1829" s="16"/>
    </row>
    <row r="1830" spans="2:50" x14ac:dyDescent="0.2">
      <c r="B1830" s="7" t="s">
        <v>69</v>
      </c>
      <c r="C1830" s="8">
        <v>12540</v>
      </c>
      <c r="D1830" s="9" t="s">
        <v>467</v>
      </c>
      <c r="E1830" s="10" t="s">
        <v>468</v>
      </c>
      <c r="F1830" s="10" t="s">
        <v>469</v>
      </c>
      <c r="G1830" s="8">
        <v>1</v>
      </c>
      <c r="H1830" s="11">
        <v>800</v>
      </c>
      <c r="I1830" s="12">
        <v>42589</v>
      </c>
      <c r="J1830" s="13">
        <f t="shared" si="63"/>
        <v>0</v>
      </c>
      <c r="K1830" s="14"/>
      <c r="L1830" s="14"/>
      <c r="M1830" s="14"/>
      <c r="N1830" s="14"/>
      <c r="O1830" s="14"/>
      <c r="P1830" s="14"/>
      <c r="Q1830" s="14">
        <v>400</v>
      </c>
      <c r="R1830" s="14">
        <v>400</v>
      </c>
      <c r="S1830" s="14"/>
      <c r="T1830" s="14"/>
      <c r="U1830" s="14"/>
      <c r="V1830" s="14"/>
      <c r="W1830" s="15">
        <f t="shared" si="64"/>
        <v>800</v>
      </c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5"/>
      <c r="AX1830" s="16"/>
    </row>
    <row r="1831" spans="2:50" x14ac:dyDescent="0.2">
      <c r="B1831" s="7" t="s">
        <v>69</v>
      </c>
      <c r="C1831" s="8">
        <v>12541</v>
      </c>
      <c r="D1831" s="9" t="s">
        <v>467</v>
      </c>
      <c r="E1831" s="10" t="s">
        <v>468</v>
      </c>
      <c r="F1831" s="10" t="s">
        <v>469</v>
      </c>
      <c r="G1831" s="8">
        <v>5</v>
      </c>
      <c r="H1831" s="11">
        <v>200</v>
      </c>
      <c r="I1831" s="12">
        <v>42589</v>
      </c>
      <c r="J1831" s="13">
        <f t="shared" si="63"/>
        <v>0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5">
        <f t="shared" si="64"/>
        <v>0</v>
      </c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5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5"/>
      <c r="AX1831" s="16"/>
    </row>
    <row r="1832" spans="2:50" x14ac:dyDescent="0.2">
      <c r="B1832" s="7" t="s">
        <v>47</v>
      </c>
      <c r="C1832" s="8">
        <v>12542</v>
      </c>
      <c r="D1832" s="9" t="s">
        <v>280</v>
      </c>
      <c r="E1832" s="10" t="s">
        <v>281</v>
      </c>
      <c r="F1832" s="10" t="s">
        <v>282</v>
      </c>
      <c r="G1832" s="8">
        <v>5</v>
      </c>
      <c r="H1832" s="11">
        <v>400</v>
      </c>
      <c r="I1832" s="12">
        <v>42589</v>
      </c>
      <c r="J1832" s="13">
        <f t="shared" si="63"/>
        <v>0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5">
        <f t="shared" si="64"/>
        <v>0</v>
      </c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5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5"/>
      <c r="AX1832" s="16"/>
    </row>
    <row r="1833" spans="2:50" x14ac:dyDescent="0.2">
      <c r="B1833" s="7" t="s">
        <v>47</v>
      </c>
      <c r="C1833" s="8">
        <v>12543</v>
      </c>
      <c r="D1833" s="9" t="s">
        <v>823</v>
      </c>
      <c r="E1833" s="10" t="s">
        <v>824</v>
      </c>
      <c r="F1833" s="10" t="s">
        <v>765</v>
      </c>
      <c r="G1833" s="8">
        <v>1</v>
      </c>
      <c r="H1833" s="11">
        <v>200</v>
      </c>
      <c r="I1833" s="12">
        <v>42589</v>
      </c>
      <c r="J1833" s="13">
        <f t="shared" si="63"/>
        <v>0</v>
      </c>
      <c r="K1833" s="14"/>
      <c r="L1833" s="14"/>
      <c r="M1833" s="14"/>
      <c r="N1833" s="14"/>
      <c r="O1833" s="14"/>
      <c r="P1833" s="14"/>
      <c r="Q1833" s="14"/>
      <c r="R1833" s="14">
        <v>200</v>
      </c>
      <c r="S1833" s="14"/>
      <c r="T1833" s="14"/>
      <c r="U1833" s="14"/>
      <c r="V1833" s="14"/>
      <c r="W1833" s="15">
        <f t="shared" si="64"/>
        <v>200</v>
      </c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5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5"/>
      <c r="AX1833" s="16"/>
    </row>
    <row r="1834" spans="2:50" x14ac:dyDescent="0.2">
      <c r="B1834" s="7" t="s">
        <v>47</v>
      </c>
      <c r="C1834" s="8">
        <v>12544</v>
      </c>
      <c r="D1834" s="9" t="s">
        <v>241</v>
      </c>
      <c r="E1834" s="10" t="s">
        <v>242</v>
      </c>
      <c r="F1834" s="10" t="s">
        <v>243</v>
      </c>
      <c r="G1834" s="8">
        <v>1</v>
      </c>
      <c r="H1834" s="11">
        <v>400</v>
      </c>
      <c r="I1834" s="12">
        <v>42589</v>
      </c>
      <c r="J1834" s="13">
        <f t="shared" si="63"/>
        <v>0</v>
      </c>
      <c r="K1834" s="14"/>
      <c r="L1834" s="14"/>
      <c r="M1834" s="14"/>
      <c r="N1834" s="14"/>
      <c r="O1834" s="14"/>
      <c r="P1834" s="14"/>
      <c r="Q1834" s="14"/>
      <c r="R1834" s="14">
        <v>400</v>
      </c>
      <c r="S1834" s="14"/>
      <c r="T1834" s="14"/>
      <c r="U1834" s="14"/>
      <c r="V1834" s="14"/>
      <c r="W1834" s="15">
        <f t="shared" si="64"/>
        <v>400</v>
      </c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5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5"/>
      <c r="AX1834" s="16"/>
    </row>
    <row r="1835" spans="2:50" x14ac:dyDescent="0.2">
      <c r="B1835" s="7" t="s">
        <v>37</v>
      </c>
      <c r="C1835" s="8">
        <v>12545</v>
      </c>
      <c r="D1835" s="9" t="s">
        <v>94</v>
      </c>
      <c r="E1835" s="10" t="s">
        <v>95</v>
      </c>
      <c r="F1835" s="10" t="s">
        <v>96</v>
      </c>
      <c r="G1835" s="8">
        <v>1</v>
      </c>
      <c r="H1835" s="11">
        <v>400</v>
      </c>
      <c r="I1835" s="12">
        <v>42589</v>
      </c>
      <c r="J1835" s="13">
        <f t="shared" si="63"/>
        <v>0</v>
      </c>
      <c r="K1835" s="14"/>
      <c r="L1835" s="14"/>
      <c r="M1835" s="14"/>
      <c r="N1835" s="14"/>
      <c r="O1835" s="14"/>
      <c r="P1835" s="14"/>
      <c r="Q1835" s="14"/>
      <c r="R1835" s="14">
        <v>400</v>
      </c>
      <c r="S1835" s="14"/>
      <c r="T1835" s="14"/>
      <c r="U1835" s="14"/>
      <c r="V1835" s="14"/>
      <c r="W1835" s="15">
        <f t="shared" si="64"/>
        <v>400</v>
      </c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5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5"/>
      <c r="AX1835" s="16"/>
    </row>
    <row r="1836" spans="2:50" x14ac:dyDescent="0.2">
      <c r="B1836" s="7" t="s">
        <v>47</v>
      </c>
      <c r="C1836" s="8">
        <v>12546</v>
      </c>
      <c r="D1836" s="9" t="s">
        <v>425</v>
      </c>
      <c r="E1836" s="10" t="s">
        <v>426</v>
      </c>
      <c r="F1836" s="10" t="s">
        <v>427</v>
      </c>
      <c r="G1836" s="8">
        <v>1</v>
      </c>
      <c r="H1836" s="11">
        <v>400</v>
      </c>
      <c r="I1836" s="12">
        <v>42589</v>
      </c>
      <c r="J1836" s="13">
        <f t="shared" si="63"/>
        <v>0</v>
      </c>
      <c r="K1836" s="14"/>
      <c r="L1836" s="14"/>
      <c r="M1836" s="14"/>
      <c r="N1836" s="14"/>
      <c r="O1836" s="14"/>
      <c r="P1836" s="14"/>
      <c r="Q1836" s="14"/>
      <c r="R1836" s="14">
        <v>400</v>
      </c>
      <c r="S1836" s="14"/>
      <c r="T1836" s="14"/>
      <c r="U1836" s="14"/>
      <c r="V1836" s="14"/>
      <c r="W1836" s="15">
        <f t="shared" si="64"/>
        <v>400</v>
      </c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5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5"/>
      <c r="AX1836" s="16"/>
    </row>
    <row r="1837" spans="2:50" x14ac:dyDescent="0.2">
      <c r="B1837" s="7" t="s">
        <v>47</v>
      </c>
      <c r="C1837" s="8">
        <v>12547</v>
      </c>
      <c r="D1837" s="9" t="s">
        <v>238</v>
      </c>
      <c r="E1837" s="10" t="s">
        <v>239</v>
      </c>
      <c r="F1837" s="10" t="s">
        <v>240</v>
      </c>
      <c r="G1837" s="8">
        <v>1</v>
      </c>
      <c r="H1837" s="11">
        <v>125</v>
      </c>
      <c r="I1837" s="12">
        <v>42589</v>
      </c>
      <c r="J1837" s="13">
        <f t="shared" si="63"/>
        <v>0</v>
      </c>
      <c r="K1837" s="14"/>
      <c r="L1837" s="14"/>
      <c r="M1837" s="14"/>
      <c r="N1837" s="14"/>
      <c r="O1837" s="14"/>
      <c r="P1837" s="14"/>
      <c r="Q1837" s="14"/>
      <c r="R1837" s="14">
        <v>125</v>
      </c>
      <c r="S1837" s="14"/>
      <c r="T1837" s="14"/>
      <c r="U1837" s="14"/>
      <c r="V1837" s="14"/>
      <c r="W1837" s="15">
        <f t="shared" si="64"/>
        <v>125</v>
      </c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5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5"/>
      <c r="AX1837" s="16"/>
    </row>
    <row r="1838" spans="2:50" x14ac:dyDescent="0.2">
      <c r="B1838" s="7" t="s">
        <v>73</v>
      </c>
      <c r="C1838" s="8">
        <v>12548</v>
      </c>
      <c r="D1838" s="9" t="s">
        <v>109</v>
      </c>
      <c r="E1838" s="10" t="s">
        <v>110</v>
      </c>
      <c r="F1838" s="10" t="s">
        <v>111</v>
      </c>
      <c r="G1838" s="8">
        <v>4</v>
      </c>
      <c r="H1838" s="11">
        <v>200</v>
      </c>
      <c r="I1838" s="12">
        <v>42589</v>
      </c>
      <c r="J1838" s="13">
        <f t="shared" si="63"/>
        <v>0</v>
      </c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5">
        <f t="shared" si="64"/>
        <v>0</v>
      </c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5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5"/>
      <c r="AX1838" s="16" t="s">
        <v>1127</v>
      </c>
    </row>
    <row r="1839" spans="2:50" x14ac:dyDescent="0.2">
      <c r="B1839" s="7" t="s">
        <v>73</v>
      </c>
      <c r="C1839" s="8">
        <v>12549</v>
      </c>
      <c r="D1839" s="9" t="s">
        <v>141</v>
      </c>
      <c r="E1839" s="10" t="s">
        <v>142</v>
      </c>
      <c r="F1839" s="10" t="s">
        <v>143</v>
      </c>
      <c r="G1839" s="8">
        <v>1</v>
      </c>
      <c r="H1839" s="11">
        <v>1200</v>
      </c>
      <c r="I1839" s="12">
        <v>42589</v>
      </c>
      <c r="J1839" s="13">
        <f t="shared" si="63"/>
        <v>0</v>
      </c>
      <c r="K1839" s="14"/>
      <c r="L1839" s="14"/>
      <c r="M1839" s="14"/>
      <c r="N1839" s="14"/>
      <c r="O1839" s="14"/>
      <c r="P1839" s="14"/>
      <c r="Q1839" s="14">
        <v>400</v>
      </c>
      <c r="R1839" s="14">
        <v>400</v>
      </c>
      <c r="S1839" s="14">
        <v>400</v>
      </c>
      <c r="T1839" s="14"/>
      <c r="U1839" s="14"/>
      <c r="V1839" s="14"/>
      <c r="W1839" s="15">
        <f t="shared" si="64"/>
        <v>1200</v>
      </c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5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5"/>
      <c r="AX1839" s="16"/>
    </row>
    <row r="1840" spans="2:50" x14ac:dyDescent="0.2">
      <c r="B1840" s="7" t="s">
        <v>37</v>
      </c>
      <c r="C1840" s="8">
        <v>12550</v>
      </c>
      <c r="D1840" s="9" t="s">
        <v>268</v>
      </c>
      <c r="E1840" s="10" t="s">
        <v>269</v>
      </c>
      <c r="F1840" s="10" t="s">
        <v>270</v>
      </c>
      <c r="G1840" s="8">
        <v>1</v>
      </c>
      <c r="H1840" s="11">
        <v>300</v>
      </c>
      <c r="I1840" s="12">
        <v>42589</v>
      </c>
      <c r="J1840" s="13">
        <f t="shared" si="63"/>
        <v>0</v>
      </c>
      <c r="K1840" s="14"/>
      <c r="L1840" s="14"/>
      <c r="M1840" s="14"/>
      <c r="N1840" s="14"/>
      <c r="O1840" s="14"/>
      <c r="P1840" s="14"/>
      <c r="Q1840" s="14"/>
      <c r="R1840" s="14">
        <v>300</v>
      </c>
      <c r="S1840" s="14"/>
      <c r="T1840" s="14"/>
      <c r="U1840" s="14"/>
      <c r="V1840" s="14"/>
      <c r="W1840" s="15">
        <f t="shared" si="64"/>
        <v>300</v>
      </c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5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5"/>
      <c r="AX1840" s="16"/>
    </row>
    <row r="1841" spans="2:50" x14ac:dyDescent="0.2">
      <c r="B1841" s="7" t="s">
        <v>37</v>
      </c>
      <c r="C1841" s="8">
        <v>12550</v>
      </c>
      <c r="D1841" s="9" t="s">
        <v>268</v>
      </c>
      <c r="E1841" s="10" t="s">
        <v>269</v>
      </c>
      <c r="F1841" s="10" t="s">
        <v>270</v>
      </c>
      <c r="G1841" s="8">
        <v>5</v>
      </c>
      <c r="H1841" s="11">
        <v>100</v>
      </c>
      <c r="I1841" s="12">
        <v>42589</v>
      </c>
      <c r="J1841" s="13">
        <f t="shared" si="63"/>
        <v>0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5">
        <f t="shared" si="64"/>
        <v>0</v>
      </c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5"/>
      <c r="AX1841" s="16"/>
    </row>
    <row r="1842" spans="2:50" x14ac:dyDescent="0.2">
      <c r="B1842" s="7" t="s">
        <v>77</v>
      </c>
      <c r="C1842" s="8">
        <v>12551</v>
      </c>
      <c r="D1842" s="9" t="s">
        <v>556</v>
      </c>
      <c r="E1842" s="10" t="s">
        <v>557</v>
      </c>
      <c r="F1842" s="10" t="s">
        <v>558</v>
      </c>
      <c r="G1842" s="8">
        <v>1</v>
      </c>
      <c r="H1842" s="11">
        <v>400</v>
      </c>
      <c r="I1842" s="12">
        <v>42589</v>
      </c>
      <c r="J1842" s="13">
        <f t="shared" si="63"/>
        <v>0</v>
      </c>
      <c r="K1842" s="14"/>
      <c r="L1842" s="14"/>
      <c r="M1842" s="14"/>
      <c r="N1842" s="14"/>
      <c r="O1842" s="14"/>
      <c r="P1842" s="14">
        <v>400</v>
      </c>
      <c r="Q1842" s="14"/>
      <c r="R1842" s="14"/>
      <c r="S1842" s="14"/>
      <c r="T1842" s="14"/>
      <c r="U1842" s="14"/>
      <c r="V1842" s="14"/>
      <c r="W1842" s="15">
        <f t="shared" si="64"/>
        <v>400</v>
      </c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5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5"/>
      <c r="AX1842" s="16"/>
    </row>
    <row r="1843" spans="2:50" x14ac:dyDescent="0.2">
      <c r="B1843" s="7" t="s">
        <v>47</v>
      </c>
      <c r="C1843" s="8">
        <v>12552</v>
      </c>
      <c r="D1843" s="9" t="s">
        <v>150</v>
      </c>
      <c r="E1843" s="10" t="s">
        <v>151</v>
      </c>
      <c r="F1843" s="10" t="s">
        <v>152</v>
      </c>
      <c r="G1843" s="8">
        <v>1</v>
      </c>
      <c r="H1843" s="11">
        <v>400</v>
      </c>
      <c r="I1843" s="12">
        <v>42589</v>
      </c>
      <c r="J1843" s="13">
        <f t="shared" si="63"/>
        <v>0</v>
      </c>
      <c r="K1843" s="14"/>
      <c r="L1843" s="14"/>
      <c r="M1843" s="14"/>
      <c r="N1843" s="14"/>
      <c r="O1843" s="14"/>
      <c r="P1843" s="14"/>
      <c r="Q1843" s="14"/>
      <c r="R1843" s="14">
        <v>400</v>
      </c>
      <c r="S1843" s="14"/>
      <c r="T1843" s="14"/>
      <c r="U1843" s="14"/>
      <c r="V1843" s="14"/>
      <c r="W1843" s="15">
        <f t="shared" si="64"/>
        <v>400</v>
      </c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5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5"/>
      <c r="AX1843" s="16"/>
    </row>
    <row r="1844" spans="2:50" x14ac:dyDescent="0.2">
      <c r="B1844" s="7" t="s">
        <v>77</v>
      </c>
      <c r="C1844" s="8">
        <v>12553</v>
      </c>
      <c r="D1844" s="9" t="s">
        <v>820</v>
      </c>
      <c r="E1844" s="10" t="s">
        <v>821</v>
      </c>
      <c r="F1844" s="10" t="s">
        <v>822</v>
      </c>
      <c r="G1844" s="8">
        <v>1</v>
      </c>
      <c r="H1844" s="11">
        <v>300</v>
      </c>
      <c r="I1844" s="12">
        <v>42589</v>
      </c>
      <c r="J1844" s="13">
        <f t="shared" si="63"/>
        <v>0</v>
      </c>
      <c r="K1844" s="14"/>
      <c r="L1844" s="14"/>
      <c r="M1844" s="14"/>
      <c r="N1844" s="14"/>
      <c r="O1844" s="14"/>
      <c r="P1844" s="14"/>
      <c r="Q1844" s="14">
        <v>300</v>
      </c>
      <c r="R1844" s="14"/>
      <c r="S1844" s="14"/>
      <c r="T1844" s="14"/>
      <c r="U1844" s="14"/>
      <c r="V1844" s="14"/>
      <c r="W1844" s="15">
        <f t="shared" si="64"/>
        <v>300</v>
      </c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5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5"/>
      <c r="AX1844" s="16"/>
    </row>
    <row r="1845" spans="2:50" x14ac:dyDescent="0.2">
      <c r="B1845" s="7" t="s">
        <v>47</v>
      </c>
      <c r="C1845" s="8">
        <v>12554</v>
      </c>
      <c r="D1845" s="9" t="s">
        <v>138</v>
      </c>
      <c r="E1845" s="10" t="s">
        <v>139</v>
      </c>
      <c r="F1845" s="10" t="s">
        <v>140</v>
      </c>
      <c r="G1845" s="8">
        <v>1</v>
      </c>
      <c r="H1845" s="11">
        <v>400</v>
      </c>
      <c r="I1845" s="12">
        <v>42589</v>
      </c>
      <c r="J1845" s="13">
        <f t="shared" si="63"/>
        <v>0</v>
      </c>
      <c r="K1845" s="14"/>
      <c r="L1845" s="14"/>
      <c r="M1845" s="14"/>
      <c r="N1845" s="14"/>
      <c r="O1845" s="14"/>
      <c r="P1845" s="14"/>
      <c r="Q1845" s="14">
        <v>400</v>
      </c>
      <c r="R1845" s="14"/>
      <c r="S1845" s="14"/>
      <c r="T1845" s="14"/>
      <c r="U1845" s="14"/>
      <c r="V1845" s="14"/>
      <c r="W1845" s="15">
        <f t="shared" si="64"/>
        <v>400</v>
      </c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5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5"/>
      <c r="AX1845" s="16"/>
    </row>
    <row r="1846" spans="2:50" x14ac:dyDescent="0.2">
      <c r="B1846" s="7" t="s">
        <v>47</v>
      </c>
      <c r="C1846" s="8">
        <v>12555</v>
      </c>
      <c r="D1846" s="9" t="s">
        <v>97</v>
      </c>
      <c r="E1846" s="10" t="s">
        <v>98</v>
      </c>
      <c r="F1846" s="10" t="s">
        <v>99</v>
      </c>
      <c r="G1846" s="8">
        <v>1</v>
      </c>
      <c r="H1846" s="11">
        <v>400</v>
      </c>
      <c r="I1846" s="12">
        <v>42589</v>
      </c>
      <c r="J1846" s="13">
        <f t="shared" si="63"/>
        <v>0</v>
      </c>
      <c r="K1846" s="14"/>
      <c r="L1846" s="14"/>
      <c r="M1846" s="14"/>
      <c r="N1846" s="14"/>
      <c r="O1846" s="14"/>
      <c r="P1846" s="14"/>
      <c r="Q1846" s="14"/>
      <c r="R1846" s="14">
        <v>400</v>
      </c>
      <c r="S1846" s="14"/>
      <c r="T1846" s="14"/>
      <c r="U1846" s="14"/>
      <c r="V1846" s="14"/>
      <c r="W1846" s="15">
        <f t="shared" si="64"/>
        <v>400</v>
      </c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5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5"/>
      <c r="AX1846" s="16"/>
    </row>
    <row r="1847" spans="2:50" x14ac:dyDescent="0.2">
      <c r="B1847" s="7" t="s">
        <v>37</v>
      </c>
      <c r="C1847" s="8">
        <v>12556</v>
      </c>
      <c r="D1847" s="9" t="s">
        <v>307</v>
      </c>
      <c r="E1847" s="10" t="s">
        <v>308</v>
      </c>
      <c r="F1847" s="10" t="s">
        <v>309</v>
      </c>
      <c r="G1847" s="8">
        <v>1</v>
      </c>
      <c r="H1847" s="11">
        <v>350</v>
      </c>
      <c r="I1847" s="12">
        <v>42589</v>
      </c>
      <c r="J1847" s="13">
        <f t="shared" si="63"/>
        <v>0</v>
      </c>
      <c r="K1847" s="14"/>
      <c r="L1847" s="14"/>
      <c r="M1847" s="14"/>
      <c r="N1847" s="14"/>
      <c r="O1847" s="14"/>
      <c r="P1847" s="14"/>
      <c r="Q1847" s="14"/>
      <c r="R1847" s="14">
        <v>350</v>
      </c>
      <c r="S1847" s="14"/>
      <c r="T1847" s="14"/>
      <c r="U1847" s="14"/>
      <c r="V1847" s="14"/>
      <c r="W1847" s="15">
        <f t="shared" si="64"/>
        <v>350</v>
      </c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5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5"/>
      <c r="AX1847" s="16"/>
    </row>
    <row r="1848" spans="2:50" x14ac:dyDescent="0.2">
      <c r="B1848" s="7" t="s">
        <v>122</v>
      </c>
      <c r="C1848" s="8">
        <v>12557</v>
      </c>
      <c r="D1848" s="9" t="s">
        <v>310</v>
      </c>
      <c r="E1848" s="10" t="s">
        <v>311</v>
      </c>
      <c r="F1848" s="10" t="s">
        <v>312</v>
      </c>
      <c r="G1848" s="8">
        <v>5</v>
      </c>
      <c r="H1848" s="11">
        <v>50</v>
      </c>
      <c r="I1848" s="12">
        <v>42589</v>
      </c>
      <c r="J1848" s="13">
        <f t="shared" si="63"/>
        <v>0</v>
      </c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5">
        <f t="shared" si="64"/>
        <v>0</v>
      </c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5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5"/>
      <c r="AX1848" s="16"/>
    </row>
    <row r="1849" spans="2:50" x14ac:dyDescent="0.2">
      <c r="B1849" s="7" t="s">
        <v>69</v>
      </c>
      <c r="C1849" s="8">
        <v>12558</v>
      </c>
      <c r="D1849" s="9" t="s">
        <v>292</v>
      </c>
      <c r="E1849" s="10" t="s">
        <v>293</v>
      </c>
      <c r="F1849" s="10" t="s">
        <v>294</v>
      </c>
      <c r="G1849" s="8">
        <v>1</v>
      </c>
      <c r="H1849" s="11">
        <v>400</v>
      </c>
      <c r="I1849" s="12">
        <v>42589</v>
      </c>
      <c r="J1849" s="13">
        <f t="shared" si="63"/>
        <v>0</v>
      </c>
      <c r="K1849" s="14"/>
      <c r="L1849" s="14"/>
      <c r="M1849" s="14"/>
      <c r="N1849" s="14"/>
      <c r="O1849" s="14"/>
      <c r="P1849" s="14"/>
      <c r="Q1849" s="14"/>
      <c r="R1849" s="14">
        <v>400</v>
      </c>
      <c r="S1849" s="14"/>
      <c r="T1849" s="14"/>
      <c r="U1849" s="14"/>
      <c r="V1849" s="14"/>
      <c r="W1849" s="15">
        <f t="shared" si="64"/>
        <v>400</v>
      </c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5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5"/>
      <c r="AX1849" s="16"/>
    </row>
    <row r="1850" spans="2:50" x14ac:dyDescent="0.2">
      <c r="B1850" s="7" t="s">
        <v>73</v>
      </c>
      <c r="C1850" s="8">
        <v>12559</v>
      </c>
      <c r="D1850" s="9" t="s">
        <v>541</v>
      </c>
      <c r="E1850" s="10" t="s">
        <v>542</v>
      </c>
      <c r="F1850" s="10" t="s">
        <v>543</v>
      </c>
      <c r="G1850" s="8">
        <v>1</v>
      </c>
      <c r="H1850" s="11">
        <v>800</v>
      </c>
      <c r="I1850" s="12">
        <v>42589</v>
      </c>
      <c r="J1850" s="13">
        <f t="shared" si="63"/>
        <v>0</v>
      </c>
      <c r="K1850" s="14"/>
      <c r="L1850" s="14"/>
      <c r="M1850" s="14"/>
      <c r="N1850" s="14"/>
      <c r="O1850" s="14"/>
      <c r="P1850" s="14"/>
      <c r="Q1850" s="14">
        <v>400</v>
      </c>
      <c r="R1850" s="14">
        <v>400</v>
      </c>
      <c r="S1850" s="14"/>
      <c r="T1850" s="14"/>
      <c r="U1850" s="14"/>
      <c r="V1850" s="14"/>
      <c r="W1850" s="15">
        <f t="shared" si="64"/>
        <v>800</v>
      </c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5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5"/>
      <c r="AX1850" s="16"/>
    </row>
    <row r="1851" spans="2:50" x14ac:dyDescent="0.2">
      <c r="B1851" s="7" t="s">
        <v>47</v>
      </c>
      <c r="C1851" s="8">
        <v>12560</v>
      </c>
      <c r="D1851" s="9" t="s">
        <v>183</v>
      </c>
      <c r="E1851" s="10" t="s">
        <v>184</v>
      </c>
      <c r="F1851" s="10" t="s">
        <v>185</v>
      </c>
      <c r="G1851" s="8">
        <v>1</v>
      </c>
      <c r="H1851" s="11">
        <v>400</v>
      </c>
      <c r="I1851" s="12">
        <v>42589</v>
      </c>
      <c r="J1851" s="13">
        <f t="shared" si="63"/>
        <v>0</v>
      </c>
      <c r="K1851" s="14"/>
      <c r="L1851" s="14"/>
      <c r="M1851" s="14"/>
      <c r="N1851" s="14"/>
      <c r="O1851" s="14"/>
      <c r="P1851" s="14"/>
      <c r="Q1851" s="14"/>
      <c r="R1851" s="14">
        <v>400</v>
      </c>
      <c r="S1851" s="14"/>
      <c r="T1851" s="14"/>
      <c r="U1851" s="14"/>
      <c r="V1851" s="14"/>
      <c r="W1851" s="15">
        <f t="shared" si="64"/>
        <v>400</v>
      </c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5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5"/>
      <c r="AX1851" s="16"/>
    </row>
    <row r="1852" spans="2:50" x14ac:dyDescent="0.2">
      <c r="B1852" s="7" t="s">
        <v>73</v>
      </c>
      <c r="C1852" s="8">
        <v>12561</v>
      </c>
      <c r="D1852" s="9" t="s">
        <v>458</v>
      </c>
      <c r="E1852" s="10" t="s">
        <v>459</v>
      </c>
      <c r="F1852" s="10" t="s">
        <v>460</v>
      </c>
      <c r="G1852" s="8">
        <v>1</v>
      </c>
      <c r="H1852" s="11">
        <v>800</v>
      </c>
      <c r="I1852" s="12">
        <v>42589</v>
      </c>
      <c r="J1852" s="13">
        <f t="shared" si="63"/>
        <v>0</v>
      </c>
      <c r="K1852" s="14"/>
      <c r="L1852" s="14"/>
      <c r="M1852" s="14"/>
      <c r="N1852" s="14"/>
      <c r="O1852" s="14"/>
      <c r="P1852" s="14"/>
      <c r="Q1852" s="14">
        <v>400</v>
      </c>
      <c r="R1852" s="14">
        <v>400</v>
      </c>
      <c r="S1852" s="14"/>
      <c r="T1852" s="14"/>
      <c r="U1852" s="14"/>
      <c r="V1852" s="14"/>
      <c r="W1852" s="15">
        <f t="shared" si="64"/>
        <v>800</v>
      </c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5"/>
      <c r="AX1852" s="16"/>
    </row>
    <row r="1853" spans="2:50" x14ac:dyDescent="0.2">
      <c r="B1853" s="7" t="s">
        <v>69</v>
      </c>
      <c r="C1853" s="8">
        <v>12562</v>
      </c>
      <c r="D1853" s="9" t="s">
        <v>687</v>
      </c>
      <c r="E1853" s="10" t="s">
        <v>688</v>
      </c>
      <c r="F1853" s="10" t="s">
        <v>689</v>
      </c>
      <c r="G1853" s="8">
        <v>1</v>
      </c>
      <c r="H1853" s="11">
        <v>400</v>
      </c>
      <c r="I1853" s="12">
        <v>42589</v>
      </c>
      <c r="J1853" s="13">
        <f t="shared" si="63"/>
        <v>0</v>
      </c>
      <c r="K1853" s="14"/>
      <c r="L1853" s="14"/>
      <c r="M1853" s="14"/>
      <c r="N1853" s="14"/>
      <c r="O1853" s="14"/>
      <c r="P1853" s="14"/>
      <c r="Q1853" s="14"/>
      <c r="R1853" s="14"/>
      <c r="S1853" s="14">
        <v>200</v>
      </c>
      <c r="T1853" s="14">
        <v>200</v>
      </c>
      <c r="U1853" s="14"/>
      <c r="V1853" s="14"/>
      <c r="W1853" s="15">
        <f t="shared" si="64"/>
        <v>400</v>
      </c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5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5"/>
      <c r="AX1853" s="16"/>
    </row>
    <row r="1854" spans="2:50" x14ac:dyDescent="0.2">
      <c r="B1854" s="7" t="s">
        <v>47</v>
      </c>
      <c r="C1854" s="8">
        <v>12563</v>
      </c>
      <c r="D1854" s="9" t="s">
        <v>235</v>
      </c>
      <c r="E1854" s="10" t="s">
        <v>236</v>
      </c>
      <c r="F1854" s="10" t="s">
        <v>237</v>
      </c>
      <c r="G1854" s="8">
        <v>1</v>
      </c>
      <c r="H1854" s="11">
        <v>400</v>
      </c>
      <c r="I1854" s="12">
        <v>42589</v>
      </c>
      <c r="J1854" s="13">
        <f t="shared" si="63"/>
        <v>0</v>
      </c>
      <c r="K1854" s="14"/>
      <c r="L1854" s="14"/>
      <c r="M1854" s="14"/>
      <c r="N1854" s="14"/>
      <c r="O1854" s="14"/>
      <c r="P1854" s="14"/>
      <c r="Q1854" s="14">
        <v>400</v>
      </c>
      <c r="R1854" s="14"/>
      <c r="S1854" s="14"/>
      <c r="T1854" s="14"/>
      <c r="U1854" s="14"/>
      <c r="V1854" s="14"/>
      <c r="W1854" s="15">
        <f t="shared" si="64"/>
        <v>400</v>
      </c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5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5"/>
      <c r="AX1854" s="16"/>
    </row>
    <row r="1855" spans="2:50" x14ac:dyDescent="0.2">
      <c r="B1855" s="7" t="s">
        <v>73</v>
      </c>
      <c r="C1855" s="8">
        <v>12564</v>
      </c>
      <c r="D1855" s="9" t="s">
        <v>763</v>
      </c>
      <c r="E1855" s="10" t="s">
        <v>764</v>
      </c>
      <c r="F1855" s="10" t="s">
        <v>765</v>
      </c>
      <c r="G1855" s="8">
        <v>1</v>
      </c>
      <c r="H1855" s="11">
        <v>800</v>
      </c>
      <c r="I1855" s="12">
        <v>42589</v>
      </c>
      <c r="J1855" s="13">
        <f t="shared" si="63"/>
        <v>0</v>
      </c>
      <c r="K1855" s="14"/>
      <c r="L1855" s="14"/>
      <c r="M1855" s="14"/>
      <c r="N1855" s="14"/>
      <c r="O1855" s="14"/>
      <c r="P1855" s="14"/>
      <c r="Q1855" s="14">
        <v>400</v>
      </c>
      <c r="R1855" s="14">
        <v>400</v>
      </c>
      <c r="S1855" s="14"/>
      <c r="T1855" s="14"/>
      <c r="U1855" s="14"/>
      <c r="V1855" s="14"/>
      <c r="W1855" s="15">
        <f t="shared" si="64"/>
        <v>800</v>
      </c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5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5"/>
      <c r="AX1855" s="16"/>
    </row>
    <row r="1856" spans="2:50" x14ac:dyDescent="0.2">
      <c r="B1856" s="7" t="s">
        <v>69</v>
      </c>
      <c r="C1856" s="8">
        <v>12565</v>
      </c>
      <c r="D1856" s="9" t="s">
        <v>871</v>
      </c>
      <c r="E1856" s="10" t="s">
        <v>872</v>
      </c>
      <c r="F1856" s="10" t="s">
        <v>873</v>
      </c>
      <c r="G1856" s="8">
        <v>1</v>
      </c>
      <c r="H1856" s="11">
        <v>200</v>
      </c>
      <c r="I1856" s="12">
        <v>42589</v>
      </c>
      <c r="J1856" s="13">
        <f t="shared" si="63"/>
        <v>0</v>
      </c>
      <c r="K1856" s="14"/>
      <c r="L1856" s="14"/>
      <c r="M1856" s="14"/>
      <c r="N1856" s="14"/>
      <c r="O1856" s="14"/>
      <c r="P1856" s="14"/>
      <c r="Q1856" s="14">
        <v>200</v>
      </c>
      <c r="R1856" s="14"/>
      <c r="S1856" s="14"/>
      <c r="T1856" s="14"/>
      <c r="U1856" s="14"/>
      <c r="V1856" s="14"/>
      <c r="W1856" s="15">
        <f t="shared" si="64"/>
        <v>200</v>
      </c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5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5"/>
      <c r="AX1856" s="16"/>
    </row>
    <row r="1857" spans="2:50" x14ac:dyDescent="0.2">
      <c r="B1857" s="7" t="s">
        <v>37</v>
      </c>
      <c r="C1857" s="8">
        <v>12566</v>
      </c>
      <c r="D1857" s="9" t="s">
        <v>1042</v>
      </c>
      <c r="E1857" s="10" t="s">
        <v>1043</v>
      </c>
      <c r="F1857" s="10" t="s">
        <v>1044</v>
      </c>
      <c r="G1857" s="8">
        <v>1</v>
      </c>
      <c r="H1857" s="11">
        <v>100</v>
      </c>
      <c r="I1857" s="12">
        <v>42589</v>
      </c>
      <c r="J1857" s="13">
        <f t="shared" si="63"/>
        <v>0</v>
      </c>
      <c r="K1857" s="14"/>
      <c r="L1857" s="14"/>
      <c r="M1857" s="14"/>
      <c r="N1857" s="14"/>
      <c r="O1857" s="14"/>
      <c r="P1857" s="14"/>
      <c r="Q1857" s="14"/>
      <c r="R1857" s="14">
        <v>100</v>
      </c>
      <c r="S1857" s="14"/>
      <c r="T1857" s="14"/>
      <c r="U1857" s="14"/>
      <c r="V1857" s="14"/>
      <c r="W1857" s="15">
        <f t="shared" si="64"/>
        <v>100</v>
      </c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5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5"/>
      <c r="AX1857" s="16"/>
    </row>
    <row r="1858" spans="2:50" x14ac:dyDescent="0.2">
      <c r="B1858" s="7" t="s">
        <v>37</v>
      </c>
      <c r="C1858" s="8">
        <v>12566</v>
      </c>
      <c r="D1858" s="9" t="s">
        <v>1042</v>
      </c>
      <c r="E1858" s="10" t="s">
        <v>1043</v>
      </c>
      <c r="F1858" s="10" t="s">
        <v>1044</v>
      </c>
      <c r="G1858" s="8">
        <v>5</v>
      </c>
      <c r="H1858" s="11">
        <v>50</v>
      </c>
      <c r="I1858" s="12">
        <v>42589</v>
      </c>
      <c r="J1858" s="13">
        <f t="shared" si="63"/>
        <v>0</v>
      </c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5">
        <f t="shared" si="64"/>
        <v>0</v>
      </c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5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5"/>
      <c r="AX1858" s="16"/>
    </row>
    <row r="1859" spans="2:50" x14ac:dyDescent="0.2">
      <c r="B1859" s="7" t="s">
        <v>69</v>
      </c>
      <c r="C1859" s="8">
        <v>12567</v>
      </c>
      <c r="D1859" s="9" t="s">
        <v>343</v>
      </c>
      <c r="E1859" s="10" t="s">
        <v>344</v>
      </c>
      <c r="F1859" s="10" t="s">
        <v>345</v>
      </c>
      <c r="G1859" s="8">
        <v>1</v>
      </c>
      <c r="H1859" s="11">
        <v>400</v>
      </c>
      <c r="I1859" s="12">
        <v>42589</v>
      </c>
      <c r="J1859" s="13">
        <f t="shared" si="63"/>
        <v>0</v>
      </c>
      <c r="K1859" s="14"/>
      <c r="L1859" s="14"/>
      <c r="M1859" s="14"/>
      <c r="N1859" s="14"/>
      <c r="O1859" s="14"/>
      <c r="P1859" s="14"/>
      <c r="Q1859" s="14"/>
      <c r="R1859" s="14">
        <v>400</v>
      </c>
      <c r="S1859" s="14"/>
      <c r="T1859" s="14"/>
      <c r="U1859" s="14"/>
      <c r="V1859" s="14"/>
      <c r="W1859" s="15">
        <f t="shared" si="64"/>
        <v>400</v>
      </c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5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5"/>
      <c r="AX1859" s="16"/>
    </row>
    <row r="1860" spans="2:50" x14ac:dyDescent="0.2">
      <c r="B1860" s="7" t="s">
        <v>69</v>
      </c>
      <c r="C1860" s="8">
        <v>12568</v>
      </c>
      <c r="D1860" s="9" t="s">
        <v>174</v>
      </c>
      <c r="E1860" s="10" t="s">
        <v>175</v>
      </c>
      <c r="F1860" s="10" t="s">
        <v>176</v>
      </c>
      <c r="G1860" s="8">
        <v>1</v>
      </c>
      <c r="H1860" s="11">
        <v>300</v>
      </c>
      <c r="I1860" s="12">
        <v>42589</v>
      </c>
      <c r="J1860" s="13">
        <f t="shared" si="63"/>
        <v>0</v>
      </c>
      <c r="K1860" s="14"/>
      <c r="L1860" s="14"/>
      <c r="M1860" s="14"/>
      <c r="N1860" s="14"/>
      <c r="O1860" s="14"/>
      <c r="P1860" s="14"/>
      <c r="Q1860" s="14"/>
      <c r="R1860" s="14">
        <v>300</v>
      </c>
      <c r="S1860" s="14"/>
      <c r="T1860" s="14"/>
      <c r="U1860" s="14"/>
      <c r="V1860" s="14"/>
      <c r="W1860" s="15">
        <f t="shared" si="64"/>
        <v>300</v>
      </c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5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5"/>
      <c r="AX1860" s="16"/>
    </row>
    <row r="1861" spans="2:50" x14ac:dyDescent="0.2">
      <c r="B1861" s="7" t="s">
        <v>69</v>
      </c>
      <c r="C1861" s="8">
        <v>12569</v>
      </c>
      <c r="D1861" s="9" t="s">
        <v>476</v>
      </c>
      <c r="E1861" s="10" t="s">
        <v>477</v>
      </c>
      <c r="F1861" s="10" t="s">
        <v>478</v>
      </c>
      <c r="G1861" s="8">
        <v>1</v>
      </c>
      <c r="H1861" s="11">
        <v>400</v>
      </c>
      <c r="I1861" s="12">
        <v>42589</v>
      </c>
      <c r="J1861" s="13">
        <f t="shared" si="63"/>
        <v>0</v>
      </c>
      <c r="K1861" s="14"/>
      <c r="L1861" s="14"/>
      <c r="M1861" s="14"/>
      <c r="N1861" s="14"/>
      <c r="O1861" s="14"/>
      <c r="P1861" s="14"/>
      <c r="Q1861" s="14"/>
      <c r="R1861" s="14">
        <v>400</v>
      </c>
      <c r="S1861" s="14"/>
      <c r="T1861" s="14"/>
      <c r="U1861" s="14"/>
      <c r="V1861" s="14"/>
      <c r="W1861" s="15">
        <f t="shared" si="64"/>
        <v>400</v>
      </c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5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5"/>
      <c r="AX1861" s="16"/>
    </row>
    <row r="1862" spans="2:50" x14ac:dyDescent="0.2">
      <c r="B1862" s="7" t="s">
        <v>47</v>
      </c>
      <c r="C1862" s="8">
        <v>12570</v>
      </c>
      <c r="D1862" s="9" t="s">
        <v>416</v>
      </c>
      <c r="E1862" s="10" t="s">
        <v>417</v>
      </c>
      <c r="F1862" s="10" t="s">
        <v>418</v>
      </c>
      <c r="G1862" s="8">
        <v>1</v>
      </c>
      <c r="H1862" s="11">
        <v>200</v>
      </c>
      <c r="I1862" s="12">
        <v>42589</v>
      </c>
      <c r="J1862" s="13">
        <f t="shared" si="63"/>
        <v>0</v>
      </c>
      <c r="K1862" s="14"/>
      <c r="L1862" s="14"/>
      <c r="M1862" s="14"/>
      <c r="N1862" s="14"/>
      <c r="O1862" s="14"/>
      <c r="P1862" s="14"/>
      <c r="Q1862" s="14"/>
      <c r="R1862" s="14">
        <v>200</v>
      </c>
      <c r="S1862" s="14"/>
      <c r="T1862" s="14"/>
      <c r="U1862" s="14"/>
      <c r="V1862" s="14"/>
      <c r="W1862" s="15">
        <f t="shared" si="64"/>
        <v>200</v>
      </c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5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5"/>
      <c r="AX1862" s="16"/>
    </row>
    <row r="1863" spans="2:50" x14ac:dyDescent="0.2">
      <c r="B1863" s="7" t="s">
        <v>47</v>
      </c>
      <c r="C1863" s="8">
        <v>12571</v>
      </c>
      <c r="D1863" s="9" t="s">
        <v>328</v>
      </c>
      <c r="E1863" s="10" t="s">
        <v>329</v>
      </c>
      <c r="F1863" s="10" t="s">
        <v>330</v>
      </c>
      <c r="G1863" s="8">
        <v>1</v>
      </c>
      <c r="H1863" s="11">
        <v>400</v>
      </c>
      <c r="I1863" s="12">
        <v>42589</v>
      </c>
      <c r="J1863" s="13">
        <f t="shared" si="63"/>
        <v>0</v>
      </c>
      <c r="K1863" s="14"/>
      <c r="L1863" s="14"/>
      <c r="M1863" s="14"/>
      <c r="N1863" s="14"/>
      <c r="O1863" s="14"/>
      <c r="P1863" s="14"/>
      <c r="Q1863" s="14"/>
      <c r="R1863" s="14">
        <v>400</v>
      </c>
      <c r="S1863" s="14"/>
      <c r="T1863" s="14"/>
      <c r="U1863" s="14"/>
      <c r="V1863" s="14"/>
      <c r="W1863" s="15">
        <f t="shared" si="64"/>
        <v>400</v>
      </c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5"/>
      <c r="AX1863" s="16"/>
    </row>
    <row r="1864" spans="2:50" x14ac:dyDescent="0.2">
      <c r="B1864" s="7" t="s">
        <v>47</v>
      </c>
      <c r="C1864" s="8">
        <v>12572</v>
      </c>
      <c r="D1864" s="9" t="s">
        <v>580</v>
      </c>
      <c r="E1864" s="10" t="s">
        <v>581</v>
      </c>
      <c r="F1864" s="10" t="s">
        <v>582</v>
      </c>
      <c r="G1864" s="8">
        <v>1</v>
      </c>
      <c r="H1864" s="11">
        <v>450</v>
      </c>
      <c r="I1864" s="12">
        <v>42589</v>
      </c>
      <c r="J1864" s="13">
        <f t="shared" si="63"/>
        <v>0</v>
      </c>
      <c r="K1864" s="14"/>
      <c r="L1864" s="14"/>
      <c r="M1864" s="14"/>
      <c r="N1864" s="14"/>
      <c r="O1864" s="14"/>
      <c r="P1864" s="14"/>
      <c r="Q1864" s="14">
        <v>150</v>
      </c>
      <c r="R1864" s="14">
        <v>150</v>
      </c>
      <c r="S1864" s="14">
        <v>150</v>
      </c>
      <c r="T1864" s="14"/>
      <c r="U1864" s="14"/>
      <c r="V1864" s="14"/>
      <c r="W1864" s="15">
        <f t="shared" si="64"/>
        <v>450</v>
      </c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5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5"/>
      <c r="AX1864" s="16"/>
    </row>
    <row r="1865" spans="2:50" x14ac:dyDescent="0.2">
      <c r="B1865" s="7" t="s">
        <v>69</v>
      </c>
      <c r="C1865" s="8">
        <v>12573</v>
      </c>
      <c r="D1865" s="9" t="s">
        <v>1128</v>
      </c>
      <c r="E1865" s="10" t="s">
        <v>1129</v>
      </c>
      <c r="F1865" s="10" t="s">
        <v>1130</v>
      </c>
      <c r="G1865" s="8">
        <v>5</v>
      </c>
      <c r="H1865" s="11">
        <v>200</v>
      </c>
      <c r="I1865" s="12">
        <v>42589</v>
      </c>
      <c r="J1865" s="13">
        <f t="shared" si="63"/>
        <v>0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5">
        <f t="shared" si="64"/>
        <v>0</v>
      </c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5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5"/>
      <c r="AX1865" s="16"/>
    </row>
    <row r="1866" spans="2:50" x14ac:dyDescent="0.2">
      <c r="B1866" s="7" t="s">
        <v>93</v>
      </c>
      <c r="C1866" s="8">
        <v>12574</v>
      </c>
      <c r="D1866" s="9"/>
      <c r="E1866" s="10" t="s">
        <v>93</v>
      </c>
      <c r="F1866" s="10" t="s">
        <v>93</v>
      </c>
      <c r="G1866" s="8">
        <v>8</v>
      </c>
      <c r="H1866" s="11"/>
      <c r="I1866" s="12"/>
      <c r="J1866" s="13">
        <f t="shared" si="63"/>
        <v>0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5">
        <f t="shared" si="64"/>
        <v>0</v>
      </c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5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5"/>
      <c r="AX1866" s="16"/>
    </row>
    <row r="1867" spans="2:50" x14ac:dyDescent="0.2">
      <c r="B1867" s="7" t="s">
        <v>73</v>
      </c>
      <c r="C1867" s="8">
        <v>12575</v>
      </c>
      <c r="D1867" s="9" t="s">
        <v>586</v>
      </c>
      <c r="E1867" s="10" t="s">
        <v>587</v>
      </c>
      <c r="F1867" s="10" t="s">
        <v>588</v>
      </c>
      <c r="G1867" s="8">
        <v>1</v>
      </c>
      <c r="H1867" s="11">
        <v>400</v>
      </c>
      <c r="I1867" s="12">
        <v>42589</v>
      </c>
      <c r="J1867" s="13">
        <f t="shared" si="63"/>
        <v>0</v>
      </c>
      <c r="K1867" s="14"/>
      <c r="L1867" s="14"/>
      <c r="M1867" s="14"/>
      <c r="N1867" s="14"/>
      <c r="O1867" s="14"/>
      <c r="P1867" s="14">
        <v>200</v>
      </c>
      <c r="Q1867" s="14">
        <v>200</v>
      </c>
      <c r="R1867" s="14"/>
      <c r="S1867" s="14"/>
      <c r="T1867" s="14"/>
      <c r="U1867" s="14"/>
      <c r="V1867" s="14"/>
      <c r="W1867" s="15">
        <f t="shared" si="64"/>
        <v>400</v>
      </c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5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5"/>
      <c r="AX1867" s="16"/>
    </row>
    <row r="1868" spans="2:50" x14ac:dyDescent="0.2">
      <c r="B1868" s="7" t="s">
        <v>73</v>
      </c>
      <c r="C1868" s="8">
        <v>12575</v>
      </c>
      <c r="D1868" s="9" t="s">
        <v>586</v>
      </c>
      <c r="E1868" s="10" t="s">
        <v>587</v>
      </c>
      <c r="F1868" s="10" t="s">
        <v>588</v>
      </c>
      <c r="G1868" s="8">
        <v>3</v>
      </c>
      <c r="H1868" s="11">
        <v>200</v>
      </c>
      <c r="I1868" s="12">
        <v>42589</v>
      </c>
      <c r="J1868" s="13">
        <f t="shared" si="63"/>
        <v>0</v>
      </c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5">
        <f t="shared" si="64"/>
        <v>0</v>
      </c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5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5"/>
      <c r="AX1868" s="16"/>
    </row>
    <row r="1869" spans="2:50" x14ac:dyDescent="0.2">
      <c r="B1869" s="7" t="s">
        <v>73</v>
      </c>
      <c r="C1869" s="8">
        <v>12575</v>
      </c>
      <c r="D1869" s="9" t="s">
        <v>586</v>
      </c>
      <c r="E1869" s="10" t="s">
        <v>587</v>
      </c>
      <c r="F1869" s="10" t="s">
        <v>588</v>
      </c>
      <c r="G1869" s="8">
        <v>5</v>
      </c>
      <c r="H1869" s="11">
        <v>100</v>
      </c>
      <c r="I1869" s="12">
        <v>42589</v>
      </c>
      <c r="J1869" s="13">
        <f t="shared" si="63"/>
        <v>0</v>
      </c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5">
        <f t="shared" si="64"/>
        <v>0</v>
      </c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5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5"/>
      <c r="AX1869" s="16"/>
    </row>
    <row r="1870" spans="2:50" x14ac:dyDescent="0.2">
      <c r="B1870" s="7" t="s">
        <v>37</v>
      </c>
      <c r="C1870" s="8">
        <v>12576</v>
      </c>
      <c r="D1870" s="9" t="s">
        <v>568</v>
      </c>
      <c r="E1870" s="10" t="s">
        <v>569</v>
      </c>
      <c r="F1870" s="10" t="s">
        <v>570</v>
      </c>
      <c r="G1870" s="8">
        <v>1</v>
      </c>
      <c r="H1870" s="11">
        <v>400</v>
      </c>
      <c r="I1870" s="12">
        <v>42589</v>
      </c>
      <c r="J1870" s="13">
        <f t="shared" si="63"/>
        <v>0</v>
      </c>
      <c r="K1870" s="14"/>
      <c r="L1870" s="14"/>
      <c r="M1870" s="14"/>
      <c r="N1870" s="14"/>
      <c r="O1870" s="14"/>
      <c r="P1870" s="14"/>
      <c r="Q1870" s="14"/>
      <c r="R1870" s="14">
        <v>400</v>
      </c>
      <c r="S1870" s="14"/>
      <c r="T1870" s="14"/>
      <c r="U1870" s="14"/>
      <c r="V1870" s="14"/>
      <c r="W1870" s="15">
        <f t="shared" si="64"/>
        <v>400</v>
      </c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5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5"/>
      <c r="AX1870" s="16"/>
    </row>
    <row r="1871" spans="2:50" x14ac:dyDescent="0.2">
      <c r="B1871" s="7" t="s">
        <v>37</v>
      </c>
      <c r="C1871" s="8">
        <v>12576</v>
      </c>
      <c r="D1871" s="9" t="s">
        <v>568</v>
      </c>
      <c r="E1871" s="10" t="s">
        <v>569</v>
      </c>
      <c r="F1871" s="10" t="s">
        <v>570</v>
      </c>
      <c r="G1871" s="8">
        <v>5</v>
      </c>
      <c r="H1871" s="11">
        <v>50</v>
      </c>
      <c r="I1871" s="12">
        <v>42589</v>
      </c>
      <c r="J1871" s="13">
        <f t="shared" ref="J1871:J1934" si="65">IF(G1871=1,SUM(W1871,-H1871),0)</f>
        <v>0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5">
        <f t="shared" ref="W1871:W1934" si="66">SUM(K1871:V1871)</f>
        <v>0</v>
      </c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5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5"/>
      <c r="AX1871" s="16"/>
    </row>
    <row r="1872" spans="2:50" x14ac:dyDescent="0.2">
      <c r="B1872" s="7" t="s">
        <v>73</v>
      </c>
      <c r="C1872" s="8">
        <v>12577</v>
      </c>
      <c r="D1872" s="9" t="s">
        <v>1131</v>
      </c>
      <c r="E1872" s="10" t="s">
        <v>1132</v>
      </c>
      <c r="F1872" s="10" t="s">
        <v>1133</v>
      </c>
      <c r="G1872" s="8">
        <v>1</v>
      </c>
      <c r="H1872" s="11">
        <v>300</v>
      </c>
      <c r="I1872" s="12">
        <v>42589</v>
      </c>
      <c r="J1872" s="13">
        <f t="shared" si="65"/>
        <v>0</v>
      </c>
      <c r="K1872" s="14"/>
      <c r="L1872" s="14"/>
      <c r="M1872" s="14"/>
      <c r="N1872" s="14"/>
      <c r="O1872" s="14"/>
      <c r="P1872" s="14"/>
      <c r="Q1872" s="14"/>
      <c r="R1872" s="14">
        <v>300</v>
      </c>
      <c r="S1872" s="14"/>
      <c r="T1872" s="14"/>
      <c r="U1872" s="14"/>
      <c r="V1872" s="14"/>
      <c r="W1872" s="15">
        <f t="shared" si="66"/>
        <v>300</v>
      </c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5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5"/>
      <c r="AX1872" s="16"/>
    </row>
    <row r="1873" spans="2:50" x14ac:dyDescent="0.2">
      <c r="B1873" s="7" t="s">
        <v>73</v>
      </c>
      <c r="C1873" s="8">
        <v>12577</v>
      </c>
      <c r="D1873" s="9" t="s">
        <v>1131</v>
      </c>
      <c r="E1873" s="10" t="s">
        <v>1132</v>
      </c>
      <c r="F1873" s="10" t="s">
        <v>1133</v>
      </c>
      <c r="G1873" s="8">
        <v>5</v>
      </c>
      <c r="H1873" s="11">
        <v>100</v>
      </c>
      <c r="I1873" s="12">
        <v>42589</v>
      </c>
      <c r="J1873" s="13">
        <f t="shared" si="65"/>
        <v>0</v>
      </c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5">
        <f t="shared" si="66"/>
        <v>0</v>
      </c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5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5"/>
      <c r="AX1873" s="16"/>
    </row>
    <row r="1874" spans="2:50" x14ac:dyDescent="0.2">
      <c r="B1874" s="7" t="s">
        <v>77</v>
      </c>
      <c r="C1874" s="8">
        <v>12578</v>
      </c>
      <c r="D1874" s="9" t="s">
        <v>159</v>
      </c>
      <c r="E1874" s="10" t="s">
        <v>160</v>
      </c>
      <c r="F1874" s="10" t="s">
        <v>161</v>
      </c>
      <c r="G1874" s="8">
        <v>1</v>
      </c>
      <c r="H1874" s="11">
        <v>400</v>
      </c>
      <c r="I1874" s="12">
        <v>42589</v>
      </c>
      <c r="J1874" s="13">
        <f t="shared" si="65"/>
        <v>0</v>
      </c>
      <c r="K1874" s="14"/>
      <c r="L1874" s="14"/>
      <c r="M1874" s="14"/>
      <c r="N1874" s="14"/>
      <c r="O1874" s="14"/>
      <c r="P1874" s="14"/>
      <c r="Q1874" s="14">
        <v>400</v>
      </c>
      <c r="R1874" s="14"/>
      <c r="S1874" s="14"/>
      <c r="T1874" s="14"/>
      <c r="U1874" s="14"/>
      <c r="V1874" s="14"/>
      <c r="W1874" s="15">
        <f t="shared" si="66"/>
        <v>400</v>
      </c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5"/>
      <c r="AX1874" s="16"/>
    </row>
    <row r="1875" spans="2:50" x14ac:dyDescent="0.2">
      <c r="B1875" s="7" t="s">
        <v>47</v>
      </c>
      <c r="C1875" s="8">
        <v>12486</v>
      </c>
      <c r="D1875" s="9" t="s">
        <v>1134</v>
      </c>
      <c r="E1875" s="10" t="s">
        <v>1135</v>
      </c>
      <c r="F1875" s="10" t="s">
        <v>1136</v>
      </c>
      <c r="G1875" s="8">
        <v>5</v>
      </c>
      <c r="H1875" s="11">
        <v>100</v>
      </c>
      <c r="I1875" s="12">
        <v>42585</v>
      </c>
      <c r="J1875" s="13">
        <f t="shared" si="65"/>
        <v>0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5">
        <f t="shared" si="66"/>
        <v>0</v>
      </c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5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5"/>
      <c r="AX1875" s="16"/>
    </row>
    <row r="1876" spans="2:50" x14ac:dyDescent="0.2">
      <c r="B1876" s="7" t="s">
        <v>47</v>
      </c>
      <c r="C1876" s="8">
        <v>12487</v>
      </c>
      <c r="D1876" s="9" t="s">
        <v>1134</v>
      </c>
      <c r="E1876" s="10" t="s">
        <v>1135</v>
      </c>
      <c r="F1876" s="10" t="s">
        <v>1136</v>
      </c>
      <c r="G1876" s="8">
        <v>5</v>
      </c>
      <c r="H1876" s="11">
        <v>50</v>
      </c>
      <c r="I1876" s="12">
        <v>42585</v>
      </c>
      <c r="J1876" s="13">
        <f t="shared" si="65"/>
        <v>0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5">
        <f t="shared" si="66"/>
        <v>0</v>
      </c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5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5"/>
      <c r="AX1876" s="16"/>
    </row>
    <row r="1877" spans="2:50" x14ac:dyDescent="0.2">
      <c r="B1877" s="7" t="s">
        <v>47</v>
      </c>
      <c r="C1877" s="8">
        <v>12488</v>
      </c>
      <c r="D1877" s="9" t="s">
        <v>1137</v>
      </c>
      <c r="E1877" s="10" t="s">
        <v>1138</v>
      </c>
      <c r="F1877" s="10" t="s">
        <v>651</v>
      </c>
      <c r="G1877" s="8">
        <v>1</v>
      </c>
      <c r="H1877" s="11">
        <v>100</v>
      </c>
      <c r="I1877" s="12">
        <v>42586</v>
      </c>
      <c r="J1877" s="13">
        <f t="shared" si="65"/>
        <v>0</v>
      </c>
      <c r="K1877" s="14"/>
      <c r="L1877" s="14"/>
      <c r="M1877" s="14"/>
      <c r="N1877" s="14"/>
      <c r="O1877" s="14"/>
      <c r="P1877" s="14"/>
      <c r="Q1877" s="14"/>
      <c r="R1877" s="14">
        <v>100</v>
      </c>
      <c r="S1877" s="14"/>
      <c r="T1877" s="14"/>
      <c r="U1877" s="14"/>
      <c r="V1877" s="14"/>
      <c r="W1877" s="15">
        <f t="shared" si="66"/>
        <v>100</v>
      </c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5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5"/>
      <c r="AX1877" s="16"/>
    </row>
    <row r="1878" spans="2:50" x14ac:dyDescent="0.2">
      <c r="B1878" s="7" t="s">
        <v>47</v>
      </c>
      <c r="C1878" s="8">
        <v>12488</v>
      </c>
      <c r="D1878" s="9" t="s">
        <v>1137</v>
      </c>
      <c r="E1878" s="10" t="s">
        <v>1138</v>
      </c>
      <c r="F1878" s="10" t="s">
        <v>651</v>
      </c>
      <c r="G1878" s="8">
        <v>5</v>
      </c>
      <c r="H1878" s="11">
        <v>100</v>
      </c>
      <c r="I1878" s="12">
        <v>42586</v>
      </c>
      <c r="J1878" s="13">
        <f t="shared" si="65"/>
        <v>0</v>
      </c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5">
        <f t="shared" si="66"/>
        <v>0</v>
      </c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5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5"/>
      <c r="AX1878" s="16"/>
    </row>
    <row r="1879" spans="2:50" x14ac:dyDescent="0.2">
      <c r="B1879" s="7" t="s">
        <v>47</v>
      </c>
      <c r="C1879" s="8">
        <v>12489</v>
      </c>
      <c r="D1879" s="9" t="s">
        <v>1139</v>
      </c>
      <c r="E1879" s="10" t="s">
        <v>1140</v>
      </c>
      <c r="F1879" s="10" t="s">
        <v>1141</v>
      </c>
      <c r="G1879" s="8">
        <v>1</v>
      </c>
      <c r="H1879" s="11">
        <v>100</v>
      </c>
      <c r="I1879" s="12">
        <v>42586</v>
      </c>
      <c r="J1879" s="13">
        <f t="shared" si="65"/>
        <v>0</v>
      </c>
      <c r="K1879" s="14"/>
      <c r="L1879" s="14"/>
      <c r="M1879" s="14"/>
      <c r="N1879" s="14"/>
      <c r="O1879" s="14"/>
      <c r="P1879" s="14"/>
      <c r="Q1879" s="14"/>
      <c r="R1879" s="14">
        <v>100</v>
      </c>
      <c r="S1879" s="14"/>
      <c r="T1879" s="14"/>
      <c r="U1879" s="14"/>
      <c r="V1879" s="14"/>
      <c r="W1879" s="15">
        <f t="shared" si="66"/>
        <v>100</v>
      </c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5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5"/>
      <c r="AX1879" s="16"/>
    </row>
    <row r="1880" spans="2:50" x14ac:dyDescent="0.2">
      <c r="B1880" s="7" t="s">
        <v>47</v>
      </c>
      <c r="C1880" s="8">
        <v>12489</v>
      </c>
      <c r="D1880" s="9" t="s">
        <v>1139</v>
      </c>
      <c r="E1880" s="10" t="s">
        <v>1140</v>
      </c>
      <c r="F1880" s="10" t="s">
        <v>1141</v>
      </c>
      <c r="G1880" s="8">
        <v>5</v>
      </c>
      <c r="H1880" s="11">
        <v>50</v>
      </c>
      <c r="I1880" s="12">
        <v>42586</v>
      </c>
      <c r="J1880" s="13">
        <f t="shared" si="65"/>
        <v>0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5">
        <f t="shared" si="66"/>
        <v>0</v>
      </c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5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5"/>
      <c r="AX1880" s="16"/>
    </row>
    <row r="1881" spans="2:50" x14ac:dyDescent="0.2">
      <c r="B1881" s="7" t="s">
        <v>47</v>
      </c>
      <c r="C1881" s="8">
        <v>12490</v>
      </c>
      <c r="D1881" s="9" t="s">
        <v>1142</v>
      </c>
      <c r="E1881" s="10" t="s">
        <v>1143</v>
      </c>
      <c r="F1881" s="10" t="s">
        <v>1144</v>
      </c>
      <c r="G1881" s="8">
        <v>1</v>
      </c>
      <c r="H1881" s="11">
        <v>400</v>
      </c>
      <c r="I1881" s="12">
        <v>42591</v>
      </c>
      <c r="J1881" s="13">
        <f t="shared" si="65"/>
        <v>0</v>
      </c>
      <c r="K1881" s="14"/>
      <c r="L1881" s="14"/>
      <c r="M1881" s="14"/>
      <c r="N1881" s="14"/>
      <c r="O1881" s="14"/>
      <c r="P1881" s="14"/>
      <c r="Q1881" s="14"/>
      <c r="R1881" s="14">
        <v>400</v>
      </c>
      <c r="S1881" s="14"/>
      <c r="T1881" s="14"/>
      <c r="U1881" s="14"/>
      <c r="V1881" s="14"/>
      <c r="W1881" s="15">
        <f t="shared" si="66"/>
        <v>400</v>
      </c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5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5"/>
      <c r="AX1881" s="16"/>
    </row>
    <row r="1882" spans="2:50" x14ac:dyDescent="0.2">
      <c r="B1882" s="7" t="s">
        <v>47</v>
      </c>
      <c r="C1882" s="8">
        <v>12490</v>
      </c>
      <c r="D1882" s="9" t="s">
        <v>1142</v>
      </c>
      <c r="E1882" s="10" t="s">
        <v>1143</v>
      </c>
      <c r="F1882" s="10" t="s">
        <v>1144</v>
      </c>
      <c r="G1882" s="8">
        <v>5</v>
      </c>
      <c r="H1882" s="11">
        <v>200</v>
      </c>
      <c r="I1882" s="12">
        <v>42591</v>
      </c>
      <c r="J1882" s="13">
        <f t="shared" si="65"/>
        <v>0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5">
        <f t="shared" si="66"/>
        <v>0</v>
      </c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5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5"/>
      <c r="AX1882" s="16"/>
    </row>
    <row r="1883" spans="2:50" x14ac:dyDescent="0.2">
      <c r="B1883" s="7" t="s">
        <v>47</v>
      </c>
      <c r="C1883" s="8">
        <v>12491</v>
      </c>
      <c r="D1883" s="9" t="s">
        <v>1142</v>
      </c>
      <c r="E1883" s="10" t="s">
        <v>1143</v>
      </c>
      <c r="F1883" s="10" t="s">
        <v>1144</v>
      </c>
      <c r="G1883" s="8">
        <v>5</v>
      </c>
      <c r="H1883" s="11">
        <v>50</v>
      </c>
      <c r="I1883" s="12">
        <v>42591</v>
      </c>
      <c r="J1883" s="13">
        <f t="shared" si="65"/>
        <v>0</v>
      </c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5">
        <f t="shared" si="66"/>
        <v>0</v>
      </c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5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5"/>
      <c r="AX1883" s="16"/>
    </row>
    <row r="1884" spans="2:50" x14ac:dyDescent="0.2">
      <c r="B1884" s="7" t="s">
        <v>47</v>
      </c>
      <c r="C1884" s="8">
        <v>12492</v>
      </c>
      <c r="D1884" s="9" t="s">
        <v>1145</v>
      </c>
      <c r="E1884" s="10" t="s">
        <v>1146</v>
      </c>
      <c r="F1884" s="10" t="s">
        <v>1147</v>
      </c>
      <c r="G1884" s="8">
        <v>1</v>
      </c>
      <c r="H1884" s="11">
        <v>200</v>
      </c>
      <c r="I1884" s="12">
        <v>42591</v>
      </c>
      <c r="J1884" s="13">
        <f t="shared" si="65"/>
        <v>0</v>
      </c>
      <c r="K1884" s="14"/>
      <c r="L1884" s="14"/>
      <c r="M1884" s="14"/>
      <c r="N1884" s="14"/>
      <c r="O1884" s="14"/>
      <c r="P1884" s="14"/>
      <c r="Q1884" s="14"/>
      <c r="R1884" s="14">
        <v>200</v>
      </c>
      <c r="S1884" s="14"/>
      <c r="T1884" s="14"/>
      <c r="U1884" s="14"/>
      <c r="V1884" s="14"/>
      <c r="W1884" s="15">
        <f t="shared" si="66"/>
        <v>200</v>
      </c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5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5"/>
      <c r="AX1884" s="16"/>
    </row>
    <row r="1885" spans="2:50" x14ac:dyDescent="0.2">
      <c r="B1885" s="7" t="s">
        <v>47</v>
      </c>
      <c r="C1885" s="8">
        <v>12492</v>
      </c>
      <c r="D1885" s="9" t="s">
        <v>1145</v>
      </c>
      <c r="E1885" s="10" t="s">
        <v>1146</v>
      </c>
      <c r="F1885" s="10" t="s">
        <v>1147</v>
      </c>
      <c r="G1885" s="8">
        <v>5</v>
      </c>
      <c r="H1885" s="11">
        <v>100</v>
      </c>
      <c r="I1885" s="12">
        <v>42591</v>
      </c>
      <c r="J1885" s="13">
        <f t="shared" si="65"/>
        <v>0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5">
        <f t="shared" si="66"/>
        <v>0</v>
      </c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5"/>
      <c r="AX1885" s="16"/>
    </row>
    <row r="1886" spans="2:50" x14ac:dyDescent="0.2">
      <c r="B1886" s="7" t="s">
        <v>47</v>
      </c>
      <c r="C1886" s="8">
        <v>12493</v>
      </c>
      <c r="D1886" s="9" t="s">
        <v>1148</v>
      </c>
      <c r="E1886" s="10" t="s">
        <v>1149</v>
      </c>
      <c r="F1886" s="10" t="s">
        <v>1150</v>
      </c>
      <c r="G1886" s="8">
        <v>1</v>
      </c>
      <c r="H1886" s="11">
        <v>400</v>
      </c>
      <c r="I1886" s="12">
        <v>42591</v>
      </c>
      <c r="J1886" s="13">
        <f t="shared" si="65"/>
        <v>0</v>
      </c>
      <c r="K1886" s="14"/>
      <c r="L1886" s="14"/>
      <c r="M1886" s="14"/>
      <c r="N1886" s="14"/>
      <c r="O1886" s="14"/>
      <c r="P1886" s="14"/>
      <c r="Q1886" s="14"/>
      <c r="R1886" s="14">
        <v>400</v>
      </c>
      <c r="S1886" s="14"/>
      <c r="T1886" s="14"/>
      <c r="U1886" s="14"/>
      <c r="V1886" s="14"/>
      <c r="W1886" s="15">
        <f t="shared" si="66"/>
        <v>400</v>
      </c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5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5"/>
      <c r="AX1886" s="16"/>
    </row>
    <row r="1887" spans="2:50" x14ac:dyDescent="0.2">
      <c r="B1887" s="7" t="s">
        <v>47</v>
      </c>
      <c r="C1887" s="8">
        <v>12493</v>
      </c>
      <c r="D1887" s="9" t="s">
        <v>1148</v>
      </c>
      <c r="E1887" s="10" t="s">
        <v>1149</v>
      </c>
      <c r="F1887" s="10" t="s">
        <v>1150</v>
      </c>
      <c r="G1887" s="8">
        <v>5</v>
      </c>
      <c r="H1887" s="11">
        <v>100</v>
      </c>
      <c r="I1887" s="12">
        <v>42591</v>
      </c>
      <c r="J1887" s="13">
        <f t="shared" si="65"/>
        <v>0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5">
        <f t="shared" si="66"/>
        <v>0</v>
      </c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5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5"/>
      <c r="AX1887" s="16"/>
    </row>
    <row r="1888" spans="2:50" x14ac:dyDescent="0.2">
      <c r="B1888" s="7" t="s">
        <v>37</v>
      </c>
      <c r="C1888" s="8">
        <v>12579</v>
      </c>
      <c r="D1888" s="9" t="s">
        <v>205</v>
      </c>
      <c r="E1888" s="10" t="s">
        <v>206</v>
      </c>
      <c r="F1888" s="10" t="s">
        <v>207</v>
      </c>
      <c r="G1888" s="8">
        <v>1</v>
      </c>
      <c r="H1888" s="11">
        <v>600</v>
      </c>
      <c r="I1888" s="12">
        <v>42590</v>
      </c>
      <c r="J1888" s="13">
        <f t="shared" si="65"/>
        <v>0</v>
      </c>
      <c r="K1888" s="14"/>
      <c r="L1888" s="14"/>
      <c r="M1888" s="14"/>
      <c r="N1888" s="14"/>
      <c r="O1888" s="14"/>
      <c r="P1888" s="14"/>
      <c r="Q1888" s="14">
        <v>600</v>
      </c>
      <c r="R1888" s="14"/>
      <c r="S1888" s="14"/>
      <c r="T1888" s="14"/>
      <c r="U1888" s="14"/>
      <c r="V1888" s="14"/>
      <c r="W1888" s="15">
        <f t="shared" si="66"/>
        <v>600</v>
      </c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5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5"/>
      <c r="AX1888" s="16"/>
    </row>
    <row r="1889" spans="2:50" x14ac:dyDescent="0.2">
      <c r="B1889" s="7" t="s">
        <v>37</v>
      </c>
      <c r="C1889" s="8">
        <v>12580</v>
      </c>
      <c r="D1889" s="9" t="s">
        <v>446</v>
      </c>
      <c r="E1889" s="10" t="s">
        <v>447</v>
      </c>
      <c r="F1889" s="10" t="s">
        <v>448</v>
      </c>
      <c r="G1889" s="8">
        <v>1</v>
      </c>
      <c r="H1889" s="11">
        <v>200</v>
      </c>
      <c r="I1889" s="12">
        <v>42591</v>
      </c>
      <c r="J1889" s="13">
        <f t="shared" si="65"/>
        <v>0</v>
      </c>
      <c r="K1889" s="14"/>
      <c r="L1889" s="14"/>
      <c r="M1889" s="14"/>
      <c r="N1889" s="14"/>
      <c r="O1889" s="14"/>
      <c r="P1889" s="14"/>
      <c r="Q1889" s="14"/>
      <c r="R1889" s="14">
        <v>200</v>
      </c>
      <c r="S1889" s="14"/>
      <c r="T1889" s="14"/>
      <c r="U1889" s="14"/>
      <c r="V1889" s="14"/>
      <c r="W1889" s="15">
        <f t="shared" si="66"/>
        <v>200</v>
      </c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5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5"/>
      <c r="AX1889" s="16"/>
    </row>
    <row r="1890" spans="2:50" x14ac:dyDescent="0.2">
      <c r="B1890" s="7" t="s">
        <v>73</v>
      </c>
      <c r="C1890" s="8">
        <v>12581</v>
      </c>
      <c r="D1890" s="9" t="s">
        <v>598</v>
      </c>
      <c r="E1890" s="10" t="s">
        <v>599</v>
      </c>
      <c r="F1890" s="10" t="s">
        <v>886</v>
      </c>
      <c r="G1890" s="8">
        <v>1</v>
      </c>
      <c r="H1890" s="11">
        <v>800</v>
      </c>
      <c r="I1890" s="12">
        <v>42592</v>
      </c>
      <c r="J1890" s="13">
        <f t="shared" si="65"/>
        <v>0</v>
      </c>
      <c r="K1890" s="14"/>
      <c r="L1890" s="14"/>
      <c r="M1890" s="14"/>
      <c r="N1890" s="14"/>
      <c r="O1890" s="14"/>
      <c r="P1890" s="14"/>
      <c r="Q1890" s="14">
        <v>400</v>
      </c>
      <c r="R1890" s="14">
        <v>400</v>
      </c>
      <c r="S1890" s="14"/>
      <c r="T1890" s="14"/>
      <c r="U1890" s="14"/>
      <c r="V1890" s="14"/>
      <c r="W1890" s="15">
        <f t="shared" si="66"/>
        <v>800</v>
      </c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5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5"/>
      <c r="AX1890" s="16"/>
    </row>
    <row r="1891" spans="2:50" x14ac:dyDescent="0.2">
      <c r="B1891" s="7" t="s">
        <v>73</v>
      </c>
      <c r="C1891" s="8">
        <v>12582</v>
      </c>
      <c r="D1891" s="9" t="s">
        <v>1151</v>
      </c>
      <c r="E1891" s="10" t="s">
        <v>1152</v>
      </c>
      <c r="F1891" s="10" t="s">
        <v>1153</v>
      </c>
      <c r="G1891" s="8">
        <v>1</v>
      </c>
      <c r="H1891" s="11">
        <v>100</v>
      </c>
      <c r="I1891" s="12">
        <v>42592</v>
      </c>
      <c r="J1891" s="13">
        <f t="shared" si="65"/>
        <v>0</v>
      </c>
      <c r="K1891" s="14"/>
      <c r="L1891" s="14"/>
      <c r="M1891" s="14"/>
      <c r="N1891" s="14"/>
      <c r="O1891" s="14"/>
      <c r="P1891" s="14"/>
      <c r="Q1891" s="14"/>
      <c r="R1891" s="14">
        <v>100</v>
      </c>
      <c r="S1891" s="14"/>
      <c r="T1891" s="14"/>
      <c r="U1891" s="14"/>
      <c r="V1891" s="14"/>
      <c r="W1891" s="15">
        <f t="shared" si="66"/>
        <v>100</v>
      </c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5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5"/>
      <c r="AX1891" s="16"/>
    </row>
    <row r="1892" spans="2:50" x14ac:dyDescent="0.2">
      <c r="B1892" s="7" t="s">
        <v>73</v>
      </c>
      <c r="C1892" s="8">
        <v>12583</v>
      </c>
      <c r="D1892" s="9" t="s">
        <v>202</v>
      </c>
      <c r="E1892" s="10" t="s">
        <v>203</v>
      </c>
      <c r="F1892" s="10" t="s">
        <v>204</v>
      </c>
      <c r="G1892" s="8">
        <v>1</v>
      </c>
      <c r="H1892" s="11">
        <v>400</v>
      </c>
      <c r="I1892" s="12">
        <v>42593</v>
      </c>
      <c r="J1892" s="13">
        <f t="shared" si="65"/>
        <v>0</v>
      </c>
      <c r="K1892" s="14"/>
      <c r="L1892" s="14"/>
      <c r="M1892" s="14"/>
      <c r="N1892" s="14"/>
      <c r="O1892" s="14"/>
      <c r="P1892" s="14"/>
      <c r="Q1892" s="14"/>
      <c r="R1892" s="14">
        <v>400</v>
      </c>
      <c r="S1892" s="14"/>
      <c r="T1892" s="14"/>
      <c r="U1892" s="14"/>
      <c r="V1892" s="14"/>
      <c r="W1892" s="15">
        <f t="shared" si="66"/>
        <v>400</v>
      </c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5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5"/>
      <c r="AX1892" s="16"/>
    </row>
    <row r="1893" spans="2:50" x14ac:dyDescent="0.2">
      <c r="B1893" s="7" t="s">
        <v>77</v>
      </c>
      <c r="C1893" s="8">
        <v>12584</v>
      </c>
      <c r="D1893" s="9" t="s">
        <v>156</v>
      </c>
      <c r="E1893" s="10" t="s">
        <v>157</v>
      </c>
      <c r="F1893" s="10" t="s">
        <v>158</v>
      </c>
      <c r="G1893" s="8">
        <v>1</v>
      </c>
      <c r="H1893" s="11">
        <v>300</v>
      </c>
      <c r="I1893" s="12">
        <v>42593</v>
      </c>
      <c r="J1893" s="13">
        <f t="shared" si="65"/>
        <v>0</v>
      </c>
      <c r="K1893" s="14"/>
      <c r="L1893" s="14"/>
      <c r="M1893" s="14"/>
      <c r="N1893" s="14"/>
      <c r="O1893" s="14"/>
      <c r="P1893" s="14"/>
      <c r="Q1893" s="14"/>
      <c r="R1893" s="14">
        <v>300</v>
      </c>
      <c r="S1893" s="14"/>
      <c r="T1893" s="14"/>
      <c r="U1893" s="14"/>
      <c r="V1893" s="14"/>
      <c r="W1893" s="15">
        <f t="shared" si="66"/>
        <v>300</v>
      </c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5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5"/>
      <c r="AX1893" s="16"/>
    </row>
    <row r="1894" spans="2:50" x14ac:dyDescent="0.2">
      <c r="B1894" s="7" t="s">
        <v>47</v>
      </c>
      <c r="C1894" s="8">
        <v>12585</v>
      </c>
      <c r="D1894" s="9" t="s">
        <v>153</v>
      </c>
      <c r="E1894" s="10" t="s">
        <v>154</v>
      </c>
      <c r="F1894" s="10" t="s">
        <v>155</v>
      </c>
      <c r="G1894" s="8">
        <v>1</v>
      </c>
      <c r="H1894" s="11">
        <v>400</v>
      </c>
      <c r="I1894" s="12">
        <v>42596</v>
      </c>
      <c r="J1894" s="13">
        <f t="shared" si="65"/>
        <v>0</v>
      </c>
      <c r="K1894" s="14"/>
      <c r="L1894" s="14"/>
      <c r="M1894" s="14"/>
      <c r="N1894" s="14"/>
      <c r="O1894" s="14"/>
      <c r="P1894" s="14"/>
      <c r="Q1894" s="14"/>
      <c r="R1894" s="14">
        <v>400</v>
      </c>
      <c r="S1894" s="14"/>
      <c r="T1894" s="14"/>
      <c r="U1894" s="14"/>
      <c r="V1894" s="14"/>
      <c r="W1894" s="15">
        <f t="shared" si="66"/>
        <v>400</v>
      </c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5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5"/>
      <c r="AX1894" s="16"/>
    </row>
    <row r="1895" spans="2:50" x14ac:dyDescent="0.2">
      <c r="B1895" s="7" t="s">
        <v>47</v>
      </c>
      <c r="C1895" s="8">
        <v>12586</v>
      </c>
      <c r="D1895" s="9" t="s">
        <v>153</v>
      </c>
      <c r="E1895" s="10" t="s">
        <v>154</v>
      </c>
      <c r="F1895" s="10" t="s">
        <v>155</v>
      </c>
      <c r="G1895" s="8">
        <v>4</v>
      </c>
      <c r="H1895" s="11">
        <v>200</v>
      </c>
      <c r="I1895" s="12">
        <v>42596</v>
      </c>
      <c r="J1895" s="13">
        <f t="shared" si="65"/>
        <v>0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5">
        <f t="shared" si="66"/>
        <v>0</v>
      </c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5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5"/>
      <c r="AX1895" s="16"/>
    </row>
    <row r="1896" spans="2:50" x14ac:dyDescent="0.2">
      <c r="B1896" s="7" t="s">
        <v>122</v>
      </c>
      <c r="C1896" s="8">
        <v>12587</v>
      </c>
      <c r="D1896" s="9" t="s">
        <v>262</v>
      </c>
      <c r="E1896" s="10" t="s">
        <v>263</v>
      </c>
      <c r="F1896" s="10" t="s">
        <v>264</v>
      </c>
      <c r="G1896" s="8">
        <v>1</v>
      </c>
      <c r="H1896" s="11">
        <v>300</v>
      </c>
      <c r="I1896" s="12">
        <v>42596</v>
      </c>
      <c r="J1896" s="13">
        <f t="shared" si="65"/>
        <v>0</v>
      </c>
      <c r="K1896" s="14"/>
      <c r="L1896" s="14"/>
      <c r="M1896" s="14"/>
      <c r="N1896" s="14"/>
      <c r="O1896" s="14"/>
      <c r="P1896" s="14"/>
      <c r="Q1896" s="14"/>
      <c r="R1896" s="14">
        <v>300</v>
      </c>
      <c r="S1896" s="14"/>
      <c r="T1896" s="14"/>
      <c r="U1896" s="14"/>
      <c r="V1896" s="14"/>
      <c r="W1896" s="15">
        <f t="shared" si="66"/>
        <v>300</v>
      </c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5"/>
      <c r="AX1896" s="16"/>
    </row>
    <row r="1897" spans="2:50" x14ac:dyDescent="0.2">
      <c r="B1897" s="7" t="s">
        <v>73</v>
      </c>
      <c r="C1897" s="8">
        <v>12588</v>
      </c>
      <c r="D1897" s="9" t="s">
        <v>440</v>
      </c>
      <c r="E1897" s="10" t="s">
        <v>441</v>
      </c>
      <c r="F1897" s="10" t="s">
        <v>442</v>
      </c>
      <c r="G1897" s="8">
        <v>1</v>
      </c>
      <c r="H1897" s="11">
        <v>600</v>
      </c>
      <c r="I1897" s="12">
        <v>42596</v>
      </c>
      <c r="J1897" s="13">
        <f t="shared" si="65"/>
        <v>0</v>
      </c>
      <c r="K1897" s="14"/>
      <c r="L1897" s="14"/>
      <c r="M1897" s="14"/>
      <c r="N1897" s="14"/>
      <c r="O1897" s="14"/>
      <c r="P1897" s="14"/>
      <c r="Q1897" s="14">
        <v>300</v>
      </c>
      <c r="R1897" s="14">
        <v>300</v>
      </c>
      <c r="S1897" s="14"/>
      <c r="T1897" s="14"/>
      <c r="U1897" s="14"/>
      <c r="V1897" s="14"/>
      <c r="W1897" s="15">
        <f t="shared" si="66"/>
        <v>600</v>
      </c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5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5"/>
      <c r="AX1897" s="16"/>
    </row>
    <row r="1898" spans="2:50" x14ac:dyDescent="0.2">
      <c r="B1898" s="7" t="s">
        <v>47</v>
      </c>
      <c r="C1898" s="8">
        <v>12589</v>
      </c>
      <c r="D1898" s="9" t="s">
        <v>1095</v>
      </c>
      <c r="E1898" s="10" t="s">
        <v>1096</v>
      </c>
      <c r="F1898" s="10" t="s">
        <v>765</v>
      </c>
      <c r="G1898" s="8">
        <v>8</v>
      </c>
      <c r="H1898" s="11"/>
      <c r="I1898" s="12"/>
      <c r="J1898" s="13">
        <f t="shared" si="65"/>
        <v>0</v>
      </c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5">
        <f t="shared" si="66"/>
        <v>0</v>
      </c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5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5"/>
      <c r="AX1898" s="16"/>
    </row>
    <row r="1899" spans="2:50" x14ac:dyDescent="0.2">
      <c r="B1899" s="7" t="s">
        <v>69</v>
      </c>
      <c r="C1899" s="8">
        <v>12590</v>
      </c>
      <c r="D1899" s="9" t="s">
        <v>301</v>
      </c>
      <c r="E1899" s="10" t="s">
        <v>302</v>
      </c>
      <c r="F1899" s="10" t="s">
        <v>303</v>
      </c>
      <c r="G1899" s="8">
        <v>1</v>
      </c>
      <c r="H1899" s="11">
        <v>200</v>
      </c>
      <c r="I1899" s="12">
        <v>42596</v>
      </c>
      <c r="J1899" s="13">
        <f t="shared" si="65"/>
        <v>0</v>
      </c>
      <c r="K1899" s="14"/>
      <c r="L1899" s="14"/>
      <c r="M1899" s="14"/>
      <c r="N1899" s="14"/>
      <c r="O1899" s="14"/>
      <c r="P1899" s="14"/>
      <c r="Q1899" s="14"/>
      <c r="R1899" s="14">
        <v>200</v>
      </c>
      <c r="S1899" s="14"/>
      <c r="T1899" s="14"/>
      <c r="U1899" s="14"/>
      <c r="V1899" s="14"/>
      <c r="W1899" s="15">
        <f t="shared" si="66"/>
        <v>200</v>
      </c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5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5"/>
      <c r="AX1899" s="16"/>
    </row>
    <row r="1900" spans="2:50" x14ac:dyDescent="0.2">
      <c r="B1900" s="7" t="s">
        <v>77</v>
      </c>
      <c r="C1900" s="8">
        <v>12591</v>
      </c>
      <c r="D1900" s="9" t="s">
        <v>874</v>
      </c>
      <c r="E1900" s="10" t="s">
        <v>875</v>
      </c>
      <c r="F1900" s="10" t="s">
        <v>493</v>
      </c>
      <c r="G1900" s="8">
        <v>1</v>
      </c>
      <c r="H1900" s="11">
        <v>200</v>
      </c>
      <c r="I1900" s="12">
        <v>42596</v>
      </c>
      <c r="J1900" s="13">
        <f t="shared" si="65"/>
        <v>0</v>
      </c>
      <c r="K1900" s="14"/>
      <c r="L1900" s="14"/>
      <c r="M1900" s="14"/>
      <c r="N1900" s="14"/>
      <c r="O1900" s="14"/>
      <c r="P1900" s="14"/>
      <c r="Q1900" s="14"/>
      <c r="R1900" s="14">
        <v>200</v>
      </c>
      <c r="S1900" s="14"/>
      <c r="T1900" s="14"/>
      <c r="U1900" s="14"/>
      <c r="V1900" s="14"/>
      <c r="W1900" s="15">
        <f t="shared" si="66"/>
        <v>200</v>
      </c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5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5"/>
      <c r="AX1900" s="16"/>
    </row>
    <row r="1901" spans="2:50" x14ac:dyDescent="0.2">
      <c r="B1901" s="7" t="s">
        <v>77</v>
      </c>
      <c r="C1901" s="8">
        <v>12591</v>
      </c>
      <c r="D1901" s="9" t="s">
        <v>874</v>
      </c>
      <c r="E1901" s="10" t="s">
        <v>875</v>
      </c>
      <c r="F1901" s="10" t="s">
        <v>493</v>
      </c>
      <c r="G1901" s="8">
        <v>5</v>
      </c>
      <c r="H1901" s="11">
        <v>150</v>
      </c>
      <c r="I1901" s="12">
        <v>42596</v>
      </c>
      <c r="J1901" s="13">
        <f t="shared" si="65"/>
        <v>0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5">
        <f t="shared" si="66"/>
        <v>0</v>
      </c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5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5"/>
      <c r="AX1901" s="16"/>
    </row>
    <row r="1902" spans="2:50" x14ac:dyDescent="0.2">
      <c r="B1902" s="7" t="s">
        <v>37</v>
      </c>
      <c r="C1902" s="8">
        <v>12592</v>
      </c>
      <c r="D1902" s="9" t="s">
        <v>177</v>
      </c>
      <c r="E1902" s="10" t="s">
        <v>178</v>
      </c>
      <c r="F1902" s="10" t="s">
        <v>179</v>
      </c>
      <c r="G1902" s="8">
        <v>1</v>
      </c>
      <c r="H1902" s="11">
        <v>400</v>
      </c>
      <c r="I1902" s="12">
        <v>42596</v>
      </c>
      <c r="J1902" s="13">
        <f t="shared" si="65"/>
        <v>0</v>
      </c>
      <c r="K1902" s="14"/>
      <c r="L1902" s="14"/>
      <c r="M1902" s="14"/>
      <c r="N1902" s="14"/>
      <c r="O1902" s="14"/>
      <c r="P1902" s="14"/>
      <c r="Q1902" s="14"/>
      <c r="R1902" s="14">
        <v>400</v>
      </c>
      <c r="S1902" s="14"/>
      <c r="T1902" s="14"/>
      <c r="U1902" s="14"/>
      <c r="V1902" s="14"/>
      <c r="W1902" s="15">
        <f t="shared" si="66"/>
        <v>400</v>
      </c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5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5"/>
      <c r="AX1902" s="16"/>
    </row>
    <row r="1903" spans="2:50" x14ac:dyDescent="0.2">
      <c r="B1903" s="7" t="s">
        <v>69</v>
      </c>
      <c r="C1903" s="8">
        <v>12593</v>
      </c>
      <c r="D1903" s="9" t="s">
        <v>574</v>
      </c>
      <c r="E1903" s="10" t="s">
        <v>575</v>
      </c>
      <c r="F1903" s="10" t="s">
        <v>576</v>
      </c>
      <c r="G1903" s="8">
        <v>1</v>
      </c>
      <c r="H1903" s="11">
        <v>800</v>
      </c>
      <c r="I1903" s="12">
        <v>42596</v>
      </c>
      <c r="J1903" s="13">
        <f t="shared" si="65"/>
        <v>0</v>
      </c>
      <c r="K1903" s="14"/>
      <c r="L1903" s="14"/>
      <c r="M1903" s="14"/>
      <c r="N1903" s="14"/>
      <c r="O1903" s="14"/>
      <c r="P1903" s="14">
        <v>400</v>
      </c>
      <c r="Q1903" s="14">
        <v>400</v>
      </c>
      <c r="R1903" s="14"/>
      <c r="S1903" s="14"/>
      <c r="T1903" s="14"/>
      <c r="U1903" s="14"/>
      <c r="V1903" s="14"/>
      <c r="W1903" s="15">
        <f t="shared" si="66"/>
        <v>800</v>
      </c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5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5"/>
      <c r="AX1903" s="16"/>
    </row>
    <row r="1904" spans="2:50" x14ac:dyDescent="0.2">
      <c r="B1904" s="7" t="s">
        <v>47</v>
      </c>
      <c r="C1904" s="8">
        <v>12594</v>
      </c>
      <c r="D1904" s="9" t="s">
        <v>583</v>
      </c>
      <c r="E1904" s="10" t="s">
        <v>584</v>
      </c>
      <c r="F1904" s="10" t="s">
        <v>585</v>
      </c>
      <c r="G1904" s="8">
        <v>1</v>
      </c>
      <c r="H1904" s="11">
        <v>200</v>
      </c>
      <c r="I1904" s="12">
        <v>42596</v>
      </c>
      <c r="J1904" s="13">
        <f t="shared" si="65"/>
        <v>0</v>
      </c>
      <c r="K1904" s="14"/>
      <c r="L1904" s="14"/>
      <c r="M1904" s="14"/>
      <c r="N1904" s="14"/>
      <c r="O1904" s="14"/>
      <c r="P1904" s="14"/>
      <c r="Q1904" s="14"/>
      <c r="R1904" s="14">
        <v>200</v>
      </c>
      <c r="S1904" s="14"/>
      <c r="T1904" s="14"/>
      <c r="U1904" s="14"/>
      <c r="V1904" s="14"/>
      <c r="W1904" s="15">
        <f t="shared" si="66"/>
        <v>200</v>
      </c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5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5"/>
      <c r="AX1904" s="16"/>
    </row>
    <row r="1905" spans="2:50" x14ac:dyDescent="0.2">
      <c r="B1905" s="7" t="s">
        <v>73</v>
      </c>
      <c r="C1905" s="8">
        <v>12595</v>
      </c>
      <c r="D1905" s="9" t="s">
        <v>115</v>
      </c>
      <c r="E1905" s="10" t="s">
        <v>116</v>
      </c>
      <c r="F1905" s="10" t="s">
        <v>117</v>
      </c>
      <c r="G1905" s="8">
        <v>1</v>
      </c>
      <c r="H1905" s="11">
        <v>150</v>
      </c>
      <c r="I1905" s="12">
        <v>42596</v>
      </c>
      <c r="J1905" s="13">
        <f t="shared" si="65"/>
        <v>0</v>
      </c>
      <c r="K1905" s="14"/>
      <c r="L1905" s="14"/>
      <c r="M1905" s="14"/>
      <c r="N1905" s="14"/>
      <c r="O1905" s="14"/>
      <c r="P1905" s="14"/>
      <c r="Q1905" s="14"/>
      <c r="R1905" s="14">
        <v>150</v>
      </c>
      <c r="S1905" s="14"/>
      <c r="T1905" s="14"/>
      <c r="U1905" s="14"/>
      <c r="V1905" s="14"/>
      <c r="W1905" s="15">
        <f t="shared" si="66"/>
        <v>150</v>
      </c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5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5"/>
      <c r="AX1905" s="16"/>
    </row>
    <row r="1906" spans="2:50" x14ac:dyDescent="0.2">
      <c r="B1906" s="7" t="s">
        <v>77</v>
      </c>
      <c r="C1906" s="8">
        <v>12596</v>
      </c>
      <c r="D1906" s="9" t="s">
        <v>725</v>
      </c>
      <c r="E1906" s="10" t="s">
        <v>726</v>
      </c>
      <c r="F1906" s="10" t="s">
        <v>727</v>
      </c>
      <c r="G1906" s="8">
        <v>1</v>
      </c>
      <c r="H1906" s="11">
        <v>800</v>
      </c>
      <c r="I1906" s="12">
        <v>42596</v>
      </c>
      <c r="J1906" s="13">
        <f t="shared" si="65"/>
        <v>0</v>
      </c>
      <c r="K1906" s="14"/>
      <c r="L1906" s="14"/>
      <c r="M1906" s="14"/>
      <c r="N1906" s="14"/>
      <c r="O1906" s="14"/>
      <c r="P1906" s="14"/>
      <c r="Q1906" s="14">
        <v>400</v>
      </c>
      <c r="R1906" s="14">
        <v>400</v>
      </c>
      <c r="S1906" s="14"/>
      <c r="T1906" s="14"/>
      <c r="U1906" s="14"/>
      <c r="V1906" s="14"/>
      <c r="W1906" s="15">
        <f t="shared" si="66"/>
        <v>800</v>
      </c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5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5"/>
      <c r="AX1906" s="16"/>
    </row>
    <row r="1907" spans="2:50" x14ac:dyDescent="0.2">
      <c r="B1907" s="7" t="s">
        <v>73</v>
      </c>
      <c r="C1907" s="8">
        <v>12597</v>
      </c>
      <c r="D1907" s="9" t="s">
        <v>719</v>
      </c>
      <c r="E1907" s="10" t="s">
        <v>720</v>
      </c>
      <c r="F1907" s="10" t="s">
        <v>867</v>
      </c>
      <c r="G1907" s="8">
        <v>1</v>
      </c>
      <c r="H1907" s="11">
        <v>400</v>
      </c>
      <c r="I1907" s="12">
        <v>42596</v>
      </c>
      <c r="J1907" s="13">
        <f t="shared" si="65"/>
        <v>0</v>
      </c>
      <c r="K1907" s="14"/>
      <c r="L1907" s="14"/>
      <c r="M1907" s="14"/>
      <c r="N1907" s="14"/>
      <c r="O1907" s="14"/>
      <c r="P1907" s="14"/>
      <c r="Q1907" s="14">
        <v>200</v>
      </c>
      <c r="R1907" s="14">
        <v>200</v>
      </c>
      <c r="S1907" s="14"/>
      <c r="T1907" s="14"/>
      <c r="U1907" s="14"/>
      <c r="V1907" s="14"/>
      <c r="W1907" s="15">
        <f t="shared" si="66"/>
        <v>400</v>
      </c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5"/>
      <c r="AX1907" s="16"/>
    </row>
    <row r="1908" spans="2:50" x14ac:dyDescent="0.2">
      <c r="B1908" s="7" t="s">
        <v>73</v>
      </c>
      <c r="C1908" s="8">
        <v>12598</v>
      </c>
      <c r="D1908" s="9" t="s">
        <v>112</v>
      </c>
      <c r="E1908" s="10" t="s">
        <v>113</v>
      </c>
      <c r="F1908" s="10" t="s">
        <v>114</v>
      </c>
      <c r="G1908" s="8">
        <v>1</v>
      </c>
      <c r="H1908" s="11">
        <v>500</v>
      </c>
      <c r="I1908" s="12">
        <v>42596</v>
      </c>
      <c r="J1908" s="13">
        <f t="shared" si="65"/>
        <v>0</v>
      </c>
      <c r="K1908" s="14"/>
      <c r="L1908" s="14"/>
      <c r="M1908" s="14"/>
      <c r="N1908" s="14"/>
      <c r="O1908" s="14"/>
      <c r="P1908" s="14"/>
      <c r="Q1908" s="14">
        <v>250</v>
      </c>
      <c r="R1908" s="14">
        <v>250</v>
      </c>
      <c r="S1908" s="14"/>
      <c r="T1908" s="14"/>
      <c r="U1908" s="14"/>
      <c r="V1908" s="14"/>
      <c r="W1908" s="15">
        <f t="shared" si="66"/>
        <v>500</v>
      </c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5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5"/>
      <c r="AX1908" s="16"/>
    </row>
    <row r="1909" spans="2:50" x14ac:dyDescent="0.2">
      <c r="B1909" s="7" t="s">
        <v>73</v>
      </c>
      <c r="C1909" s="8">
        <v>12598</v>
      </c>
      <c r="D1909" s="9" t="s">
        <v>112</v>
      </c>
      <c r="E1909" s="10" t="s">
        <v>113</v>
      </c>
      <c r="F1909" s="10" t="s">
        <v>114</v>
      </c>
      <c r="G1909" s="8">
        <v>5</v>
      </c>
      <c r="H1909" s="11">
        <v>50</v>
      </c>
      <c r="I1909" s="12">
        <v>42596</v>
      </c>
      <c r="J1909" s="13">
        <f t="shared" si="65"/>
        <v>0</v>
      </c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5">
        <f t="shared" si="66"/>
        <v>0</v>
      </c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5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5"/>
      <c r="AX1909" s="16"/>
    </row>
    <row r="1910" spans="2:50" x14ac:dyDescent="0.2">
      <c r="B1910" s="7" t="s">
        <v>73</v>
      </c>
      <c r="C1910" s="8">
        <v>12599</v>
      </c>
      <c r="D1910" s="9" t="s">
        <v>398</v>
      </c>
      <c r="E1910" s="10" t="s">
        <v>399</v>
      </c>
      <c r="F1910" s="10" t="s">
        <v>400</v>
      </c>
      <c r="G1910" s="8">
        <v>1</v>
      </c>
      <c r="H1910" s="11">
        <v>400</v>
      </c>
      <c r="I1910" s="12">
        <v>42596</v>
      </c>
      <c r="J1910" s="13">
        <f t="shared" si="65"/>
        <v>0</v>
      </c>
      <c r="K1910" s="14"/>
      <c r="L1910" s="14"/>
      <c r="M1910" s="14"/>
      <c r="N1910" s="14"/>
      <c r="O1910" s="14"/>
      <c r="P1910" s="14"/>
      <c r="Q1910" s="14"/>
      <c r="R1910" s="14">
        <v>400</v>
      </c>
      <c r="S1910" s="14"/>
      <c r="T1910" s="14"/>
      <c r="U1910" s="14"/>
      <c r="V1910" s="14"/>
      <c r="W1910" s="15">
        <f t="shared" si="66"/>
        <v>400</v>
      </c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5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5"/>
      <c r="AX1910" s="16"/>
    </row>
    <row r="1911" spans="2:50" x14ac:dyDescent="0.2">
      <c r="B1911" s="7" t="s">
        <v>47</v>
      </c>
      <c r="C1911" s="8">
        <v>12600</v>
      </c>
      <c r="D1911" s="9" t="s">
        <v>810</v>
      </c>
      <c r="E1911" s="10" t="s">
        <v>811</v>
      </c>
      <c r="F1911" s="10" t="s">
        <v>812</v>
      </c>
      <c r="G1911" s="8">
        <v>1</v>
      </c>
      <c r="H1911" s="11">
        <v>1000</v>
      </c>
      <c r="I1911" s="12">
        <v>42596</v>
      </c>
      <c r="J1911" s="13">
        <f t="shared" si="65"/>
        <v>0</v>
      </c>
      <c r="K1911" s="14"/>
      <c r="L1911" s="14"/>
      <c r="M1911" s="14"/>
      <c r="N1911" s="14"/>
      <c r="O1911" s="14"/>
      <c r="P1911" s="14"/>
      <c r="Q1911" s="14">
        <v>200</v>
      </c>
      <c r="R1911" s="14">
        <v>200</v>
      </c>
      <c r="S1911" s="14">
        <v>200</v>
      </c>
      <c r="T1911" s="14">
        <v>200</v>
      </c>
      <c r="U1911" s="14">
        <v>200</v>
      </c>
      <c r="V1911" s="14"/>
      <c r="W1911" s="15">
        <f t="shared" si="66"/>
        <v>1000</v>
      </c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5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5"/>
      <c r="AX1911" s="16"/>
    </row>
    <row r="1912" spans="2:50" x14ac:dyDescent="0.2">
      <c r="B1912" s="7" t="s">
        <v>37</v>
      </c>
      <c r="C1912" s="8">
        <v>12601</v>
      </c>
      <c r="D1912" s="9" t="s">
        <v>628</v>
      </c>
      <c r="E1912" s="10" t="s">
        <v>629</v>
      </c>
      <c r="F1912" s="10" t="s">
        <v>630</v>
      </c>
      <c r="G1912" s="8">
        <v>1</v>
      </c>
      <c r="H1912" s="11">
        <v>800</v>
      </c>
      <c r="I1912" s="12">
        <v>42596</v>
      </c>
      <c r="J1912" s="13">
        <f t="shared" si="65"/>
        <v>0</v>
      </c>
      <c r="K1912" s="14"/>
      <c r="L1912" s="14"/>
      <c r="M1912" s="14"/>
      <c r="N1912" s="14"/>
      <c r="O1912" s="14"/>
      <c r="P1912" s="14"/>
      <c r="Q1912" s="14">
        <v>400</v>
      </c>
      <c r="R1912" s="14">
        <v>400</v>
      </c>
      <c r="S1912" s="14"/>
      <c r="T1912" s="14"/>
      <c r="U1912" s="14"/>
      <c r="V1912" s="14"/>
      <c r="W1912" s="15">
        <f t="shared" si="66"/>
        <v>800</v>
      </c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5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5"/>
      <c r="AX1912" s="16"/>
    </row>
    <row r="1913" spans="2:50" x14ac:dyDescent="0.2">
      <c r="B1913" s="7" t="s">
        <v>37</v>
      </c>
      <c r="C1913" s="8">
        <v>12601</v>
      </c>
      <c r="D1913" s="9" t="s">
        <v>628</v>
      </c>
      <c r="E1913" s="10" t="s">
        <v>629</v>
      </c>
      <c r="F1913" s="10" t="s">
        <v>630</v>
      </c>
      <c r="G1913" s="8">
        <v>5</v>
      </c>
      <c r="H1913" s="11">
        <v>150</v>
      </c>
      <c r="I1913" s="12">
        <v>42596</v>
      </c>
      <c r="J1913" s="13">
        <f t="shared" si="65"/>
        <v>0</v>
      </c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5">
        <f t="shared" si="66"/>
        <v>0</v>
      </c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5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5"/>
      <c r="AX1913" s="16"/>
    </row>
    <row r="1914" spans="2:50" x14ac:dyDescent="0.2">
      <c r="B1914" s="7" t="s">
        <v>73</v>
      </c>
      <c r="C1914" s="8">
        <v>12602</v>
      </c>
      <c r="D1914" s="9" t="s">
        <v>523</v>
      </c>
      <c r="E1914" s="10" t="s">
        <v>524</v>
      </c>
      <c r="F1914" s="10" t="s">
        <v>525</v>
      </c>
      <c r="G1914" s="8">
        <v>1</v>
      </c>
      <c r="H1914" s="11">
        <v>400</v>
      </c>
      <c r="I1914" s="12">
        <v>42596</v>
      </c>
      <c r="J1914" s="13">
        <f t="shared" si="65"/>
        <v>0</v>
      </c>
      <c r="K1914" s="14"/>
      <c r="L1914" s="14"/>
      <c r="M1914" s="14"/>
      <c r="N1914" s="14"/>
      <c r="O1914" s="14"/>
      <c r="P1914" s="14"/>
      <c r="Q1914" s="14">
        <v>400</v>
      </c>
      <c r="R1914" s="14"/>
      <c r="S1914" s="14"/>
      <c r="T1914" s="14"/>
      <c r="U1914" s="14"/>
      <c r="V1914" s="14"/>
      <c r="W1914" s="15">
        <f t="shared" si="66"/>
        <v>400</v>
      </c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5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5"/>
      <c r="AX1914" s="16"/>
    </row>
    <row r="1915" spans="2:50" x14ac:dyDescent="0.2">
      <c r="B1915" s="7" t="s">
        <v>73</v>
      </c>
      <c r="C1915" s="8">
        <v>12602</v>
      </c>
      <c r="D1915" s="9" t="s">
        <v>523</v>
      </c>
      <c r="E1915" s="10" t="s">
        <v>524</v>
      </c>
      <c r="F1915" s="10" t="s">
        <v>525</v>
      </c>
      <c r="G1915" s="8">
        <v>5</v>
      </c>
      <c r="H1915" s="11">
        <v>50</v>
      </c>
      <c r="I1915" s="12">
        <v>42596</v>
      </c>
      <c r="J1915" s="13">
        <f t="shared" si="65"/>
        <v>0</v>
      </c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5">
        <f t="shared" si="66"/>
        <v>0</v>
      </c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5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5"/>
      <c r="AX1915" s="16"/>
    </row>
    <row r="1916" spans="2:50" x14ac:dyDescent="0.2">
      <c r="B1916" s="7" t="s">
        <v>69</v>
      </c>
      <c r="C1916" s="8">
        <v>12603</v>
      </c>
      <c r="D1916" s="9" t="s">
        <v>514</v>
      </c>
      <c r="E1916" s="10" t="s">
        <v>515</v>
      </c>
      <c r="F1916" s="10" t="s">
        <v>516</v>
      </c>
      <c r="G1916" s="8">
        <v>1</v>
      </c>
      <c r="H1916" s="11">
        <v>400</v>
      </c>
      <c r="I1916" s="12">
        <v>42596</v>
      </c>
      <c r="J1916" s="13">
        <f t="shared" si="65"/>
        <v>0</v>
      </c>
      <c r="K1916" s="14"/>
      <c r="L1916" s="14"/>
      <c r="M1916" s="14"/>
      <c r="N1916" s="14"/>
      <c r="O1916" s="14"/>
      <c r="P1916" s="14"/>
      <c r="Q1916" s="14"/>
      <c r="R1916" s="14">
        <v>400</v>
      </c>
      <c r="S1916" s="14"/>
      <c r="T1916" s="14"/>
      <c r="U1916" s="14"/>
      <c r="V1916" s="14"/>
      <c r="W1916" s="15">
        <f t="shared" si="66"/>
        <v>400</v>
      </c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5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5"/>
      <c r="AX1916" s="16"/>
    </row>
    <row r="1917" spans="2:50" x14ac:dyDescent="0.2">
      <c r="B1917" s="7" t="s">
        <v>73</v>
      </c>
      <c r="C1917" s="8">
        <v>12604</v>
      </c>
      <c r="D1917" s="9" t="s">
        <v>259</v>
      </c>
      <c r="E1917" s="10" t="s">
        <v>260</v>
      </c>
      <c r="F1917" s="10" t="s">
        <v>261</v>
      </c>
      <c r="G1917" s="8">
        <v>1</v>
      </c>
      <c r="H1917" s="11">
        <v>400</v>
      </c>
      <c r="I1917" s="12">
        <v>42596</v>
      </c>
      <c r="J1917" s="13">
        <f t="shared" si="65"/>
        <v>0</v>
      </c>
      <c r="K1917" s="14"/>
      <c r="L1917" s="14"/>
      <c r="M1917" s="14"/>
      <c r="N1917" s="14"/>
      <c r="O1917" s="14"/>
      <c r="P1917" s="14"/>
      <c r="Q1917" s="14"/>
      <c r="R1917" s="14">
        <v>400</v>
      </c>
      <c r="S1917" s="14"/>
      <c r="T1917" s="14"/>
      <c r="U1917" s="14"/>
      <c r="V1917" s="14"/>
      <c r="W1917" s="15">
        <f t="shared" si="66"/>
        <v>400</v>
      </c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5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5"/>
      <c r="AX1917" s="16"/>
    </row>
    <row r="1918" spans="2:50" x14ac:dyDescent="0.2">
      <c r="B1918" s="7" t="s">
        <v>77</v>
      </c>
      <c r="C1918" s="8">
        <v>12605</v>
      </c>
      <c r="D1918" s="9" t="s">
        <v>129</v>
      </c>
      <c r="E1918" s="10" t="s">
        <v>130</v>
      </c>
      <c r="F1918" s="10" t="s">
        <v>131</v>
      </c>
      <c r="G1918" s="8">
        <v>1</v>
      </c>
      <c r="H1918" s="11">
        <v>400</v>
      </c>
      <c r="I1918" s="12">
        <v>42596</v>
      </c>
      <c r="J1918" s="13">
        <f t="shared" si="65"/>
        <v>0</v>
      </c>
      <c r="K1918" s="14"/>
      <c r="L1918" s="14"/>
      <c r="M1918" s="14"/>
      <c r="N1918" s="14"/>
      <c r="O1918" s="14"/>
      <c r="P1918" s="14"/>
      <c r="Q1918" s="14"/>
      <c r="R1918" s="14">
        <v>400</v>
      </c>
      <c r="S1918" s="14"/>
      <c r="T1918" s="14"/>
      <c r="U1918" s="14"/>
      <c r="V1918" s="14"/>
      <c r="W1918" s="15">
        <f t="shared" si="66"/>
        <v>400</v>
      </c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5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5"/>
      <c r="AX1918" s="16"/>
    </row>
    <row r="1919" spans="2:50" x14ac:dyDescent="0.2">
      <c r="B1919" s="7" t="s">
        <v>77</v>
      </c>
      <c r="C1919" s="8">
        <v>12606</v>
      </c>
      <c r="D1919" s="9" t="s">
        <v>129</v>
      </c>
      <c r="E1919" s="10" t="s">
        <v>130</v>
      </c>
      <c r="F1919" s="10" t="s">
        <v>131</v>
      </c>
      <c r="G1919" s="8">
        <v>1</v>
      </c>
      <c r="H1919" s="11">
        <v>400</v>
      </c>
      <c r="I1919" s="12">
        <v>42596</v>
      </c>
      <c r="J1919" s="13">
        <f t="shared" si="65"/>
        <v>0</v>
      </c>
      <c r="K1919" s="14"/>
      <c r="L1919" s="14"/>
      <c r="M1919" s="14"/>
      <c r="N1919" s="14"/>
      <c r="O1919" s="14"/>
      <c r="P1919" s="14"/>
      <c r="Q1919" s="14">
        <v>400</v>
      </c>
      <c r="R1919" s="14"/>
      <c r="S1919" s="14"/>
      <c r="T1919" s="14"/>
      <c r="U1919" s="14"/>
      <c r="V1919" s="14"/>
      <c r="W1919" s="15">
        <f t="shared" si="66"/>
        <v>400</v>
      </c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5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5"/>
      <c r="AX1919" s="16"/>
    </row>
    <row r="1920" spans="2:50" x14ac:dyDescent="0.2">
      <c r="B1920" s="7" t="s">
        <v>37</v>
      </c>
      <c r="C1920" s="8">
        <v>12607</v>
      </c>
      <c r="D1920" s="9" t="s">
        <v>431</v>
      </c>
      <c r="E1920" s="10" t="s">
        <v>432</v>
      </c>
      <c r="F1920" s="10" t="s">
        <v>433</v>
      </c>
      <c r="G1920" s="8">
        <v>1</v>
      </c>
      <c r="H1920" s="11">
        <v>800</v>
      </c>
      <c r="I1920" s="12">
        <v>42596</v>
      </c>
      <c r="J1920" s="13">
        <f t="shared" si="65"/>
        <v>0</v>
      </c>
      <c r="K1920" s="14"/>
      <c r="L1920" s="14"/>
      <c r="M1920" s="14"/>
      <c r="N1920" s="14"/>
      <c r="O1920" s="14"/>
      <c r="P1920" s="14">
        <v>400</v>
      </c>
      <c r="Q1920" s="14">
        <v>400</v>
      </c>
      <c r="R1920" s="14"/>
      <c r="S1920" s="14"/>
      <c r="T1920" s="14"/>
      <c r="U1920" s="14"/>
      <c r="V1920" s="14"/>
      <c r="W1920" s="15">
        <f t="shared" si="66"/>
        <v>800</v>
      </c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5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5"/>
      <c r="AX1920" s="16"/>
    </row>
    <row r="1921" spans="2:50" x14ac:dyDescent="0.2">
      <c r="B1921" s="7" t="s">
        <v>47</v>
      </c>
      <c r="C1921" s="8">
        <v>12608</v>
      </c>
      <c r="D1921" s="9" t="s">
        <v>1154</v>
      </c>
      <c r="E1921" s="10" t="s">
        <v>1155</v>
      </c>
      <c r="F1921" s="10" t="s">
        <v>1156</v>
      </c>
      <c r="G1921" s="8">
        <v>1</v>
      </c>
      <c r="H1921" s="11">
        <v>200</v>
      </c>
      <c r="I1921" s="12">
        <v>42596</v>
      </c>
      <c r="J1921" s="13">
        <f t="shared" si="65"/>
        <v>0</v>
      </c>
      <c r="K1921" s="14"/>
      <c r="L1921" s="14"/>
      <c r="M1921" s="14"/>
      <c r="N1921" s="14"/>
      <c r="O1921" s="14"/>
      <c r="P1921" s="14"/>
      <c r="Q1921" s="14"/>
      <c r="R1921" s="14">
        <v>200</v>
      </c>
      <c r="S1921" s="14"/>
      <c r="T1921" s="14"/>
      <c r="U1921" s="14"/>
      <c r="V1921" s="14"/>
      <c r="W1921" s="15">
        <f t="shared" si="66"/>
        <v>200</v>
      </c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5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5"/>
      <c r="AX1921" s="16"/>
    </row>
    <row r="1922" spans="2:50" x14ac:dyDescent="0.2">
      <c r="B1922" s="7" t="s">
        <v>47</v>
      </c>
      <c r="C1922" s="8">
        <v>12608</v>
      </c>
      <c r="D1922" s="9" t="s">
        <v>1154</v>
      </c>
      <c r="E1922" s="10" t="s">
        <v>1155</v>
      </c>
      <c r="F1922" s="10" t="s">
        <v>1156</v>
      </c>
      <c r="G1922" s="8">
        <v>5</v>
      </c>
      <c r="H1922" s="11">
        <v>50</v>
      </c>
      <c r="I1922" s="12">
        <v>42596</v>
      </c>
      <c r="J1922" s="13">
        <f t="shared" si="65"/>
        <v>0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5">
        <f t="shared" si="66"/>
        <v>0</v>
      </c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5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5"/>
      <c r="AX1922" s="16"/>
    </row>
    <row r="1923" spans="2:50" x14ac:dyDescent="0.2">
      <c r="B1923" s="7" t="s">
        <v>77</v>
      </c>
      <c r="C1923" s="8">
        <v>12609</v>
      </c>
      <c r="D1923" s="9" t="s">
        <v>384</v>
      </c>
      <c r="E1923" s="10" t="s">
        <v>385</v>
      </c>
      <c r="F1923" s="10" t="s">
        <v>386</v>
      </c>
      <c r="G1923" s="8">
        <v>1</v>
      </c>
      <c r="H1923" s="11">
        <v>350</v>
      </c>
      <c r="I1923" s="12">
        <v>42596</v>
      </c>
      <c r="J1923" s="13">
        <f t="shared" si="65"/>
        <v>0</v>
      </c>
      <c r="K1923" s="14"/>
      <c r="L1923" s="14"/>
      <c r="M1923" s="14"/>
      <c r="N1923" s="14"/>
      <c r="O1923" s="14"/>
      <c r="P1923" s="14"/>
      <c r="Q1923" s="14"/>
      <c r="R1923" s="14">
        <v>350</v>
      </c>
      <c r="S1923" s="14"/>
      <c r="T1923" s="14"/>
      <c r="U1923" s="14"/>
      <c r="V1923" s="14"/>
      <c r="W1923" s="15">
        <f t="shared" si="66"/>
        <v>350</v>
      </c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5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5"/>
      <c r="AX1923" s="16"/>
    </row>
    <row r="1924" spans="2:50" x14ac:dyDescent="0.2">
      <c r="B1924" s="7" t="s">
        <v>37</v>
      </c>
      <c r="C1924" s="8">
        <v>12610</v>
      </c>
      <c r="D1924" s="9" t="s">
        <v>1042</v>
      </c>
      <c r="E1924" s="10" t="s">
        <v>1043</v>
      </c>
      <c r="F1924" s="10" t="s">
        <v>1044</v>
      </c>
      <c r="G1924" s="8">
        <v>5</v>
      </c>
      <c r="H1924" s="11">
        <v>100</v>
      </c>
      <c r="I1924" s="12">
        <v>42596</v>
      </c>
      <c r="J1924" s="13">
        <f t="shared" si="65"/>
        <v>0</v>
      </c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5">
        <f t="shared" si="66"/>
        <v>0</v>
      </c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5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5"/>
      <c r="AX1924" s="16"/>
    </row>
    <row r="1925" spans="2:50" x14ac:dyDescent="0.2">
      <c r="B1925" s="7" t="s">
        <v>47</v>
      </c>
      <c r="C1925" s="8">
        <v>12611</v>
      </c>
      <c r="D1925" s="9" t="s">
        <v>803</v>
      </c>
      <c r="E1925" s="10" t="s">
        <v>804</v>
      </c>
      <c r="F1925" s="10" t="s">
        <v>312</v>
      </c>
      <c r="G1925" s="8">
        <v>1</v>
      </c>
      <c r="H1925" s="11">
        <v>400</v>
      </c>
      <c r="I1925" s="12">
        <v>42596</v>
      </c>
      <c r="J1925" s="13">
        <f t="shared" si="65"/>
        <v>0</v>
      </c>
      <c r="K1925" s="14"/>
      <c r="L1925" s="14"/>
      <c r="M1925" s="14"/>
      <c r="N1925" s="14"/>
      <c r="O1925" s="14"/>
      <c r="P1925" s="14"/>
      <c r="Q1925" s="14"/>
      <c r="R1925" s="14">
        <v>400</v>
      </c>
      <c r="S1925" s="14"/>
      <c r="T1925" s="14"/>
      <c r="U1925" s="14"/>
      <c r="V1925" s="14"/>
      <c r="W1925" s="15">
        <f t="shared" si="66"/>
        <v>400</v>
      </c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5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5"/>
      <c r="AX1925" s="16"/>
    </row>
    <row r="1926" spans="2:50" x14ac:dyDescent="0.2">
      <c r="B1926" s="7" t="s">
        <v>77</v>
      </c>
      <c r="C1926" s="8">
        <v>12612</v>
      </c>
      <c r="D1926" s="9" t="s">
        <v>565</v>
      </c>
      <c r="E1926" s="10" t="s">
        <v>566</v>
      </c>
      <c r="F1926" s="10" t="s">
        <v>567</v>
      </c>
      <c r="G1926" s="8">
        <v>1</v>
      </c>
      <c r="H1926" s="11">
        <v>500</v>
      </c>
      <c r="I1926" s="12">
        <v>42596</v>
      </c>
      <c r="J1926" s="13">
        <f t="shared" si="65"/>
        <v>0</v>
      </c>
      <c r="K1926" s="14"/>
      <c r="L1926" s="14"/>
      <c r="M1926" s="14"/>
      <c r="N1926" s="14"/>
      <c r="O1926" s="14"/>
      <c r="P1926" s="14"/>
      <c r="Q1926" s="14">
        <v>250</v>
      </c>
      <c r="R1926" s="14">
        <v>250</v>
      </c>
      <c r="S1926" s="14"/>
      <c r="T1926" s="14"/>
      <c r="U1926" s="14"/>
      <c r="V1926" s="14"/>
      <c r="W1926" s="15">
        <f t="shared" si="66"/>
        <v>500</v>
      </c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5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5"/>
      <c r="AX1926" s="16"/>
    </row>
    <row r="1927" spans="2:50" x14ac:dyDescent="0.2">
      <c r="B1927" s="7" t="s">
        <v>122</v>
      </c>
      <c r="C1927" s="8">
        <v>12613</v>
      </c>
      <c r="D1927" s="9" t="s">
        <v>310</v>
      </c>
      <c r="E1927" s="10" t="s">
        <v>311</v>
      </c>
      <c r="F1927" s="10" t="s">
        <v>312</v>
      </c>
      <c r="G1927" s="8">
        <v>5</v>
      </c>
      <c r="H1927" s="11">
        <v>50</v>
      </c>
      <c r="I1927" s="12">
        <v>42596</v>
      </c>
      <c r="J1927" s="13">
        <f t="shared" si="65"/>
        <v>0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5">
        <f t="shared" si="66"/>
        <v>0</v>
      </c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5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5"/>
      <c r="AX1927" s="16"/>
    </row>
    <row r="1928" spans="2:50" x14ac:dyDescent="0.2">
      <c r="B1928" s="7" t="s">
        <v>37</v>
      </c>
      <c r="C1928" s="8">
        <v>12614</v>
      </c>
      <c r="D1928" s="9" t="s">
        <v>1020</v>
      </c>
      <c r="E1928" s="10" t="s">
        <v>1021</v>
      </c>
      <c r="F1928" s="10" t="s">
        <v>1022</v>
      </c>
      <c r="G1928" s="8">
        <v>1</v>
      </c>
      <c r="H1928" s="11">
        <v>400</v>
      </c>
      <c r="I1928" s="12">
        <v>42596</v>
      </c>
      <c r="J1928" s="13">
        <f t="shared" si="65"/>
        <v>0</v>
      </c>
      <c r="K1928" s="14"/>
      <c r="L1928" s="14"/>
      <c r="M1928" s="14"/>
      <c r="N1928" s="14"/>
      <c r="O1928" s="14"/>
      <c r="P1928" s="14"/>
      <c r="Q1928" s="14"/>
      <c r="R1928" s="14">
        <v>400</v>
      </c>
      <c r="S1928" s="14"/>
      <c r="T1928" s="14"/>
      <c r="U1928" s="14"/>
      <c r="V1928" s="14"/>
      <c r="W1928" s="15">
        <f t="shared" si="66"/>
        <v>400</v>
      </c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5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5"/>
      <c r="AX1928" s="16"/>
    </row>
    <row r="1929" spans="2:50" x14ac:dyDescent="0.2">
      <c r="B1929" s="7" t="s">
        <v>37</v>
      </c>
      <c r="C1929" s="8">
        <v>12614</v>
      </c>
      <c r="D1929" s="9" t="s">
        <v>1020</v>
      </c>
      <c r="E1929" s="10" t="s">
        <v>1021</v>
      </c>
      <c r="F1929" s="10" t="s">
        <v>1022</v>
      </c>
      <c r="G1929" s="8">
        <v>5</v>
      </c>
      <c r="H1929" s="11">
        <v>50</v>
      </c>
      <c r="I1929" s="12">
        <v>42596</v>
      </c>
      <c r="J1929" s="13">
        <f t="shared" si="65"/>
        <v>0</v>
      </c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5">
        <f t="shared" si="66"/>
        <v>0</v>
      </c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5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5"/>
      <c r="AX1929" s="16"/>
    </row>
    <row r="1930" spans="2:50" x14ac:dyDescent="0.2">
      <c r="B1930" s="7" t="s">
        <v>73</v>
      </c>
      <c r="C1930" s="8">
        <v>12615</v>
      </c>
      <c r="D1930" s="9" t="s">
        <v>611</v>
      </c>
      <c r="E1930" s="10" t="s">
        <v>612</v>
      </c>
      <c r="F1930" s="10" t="s">
        <v>613</v>
      </c>
      <c r="G1930" s="8">
        <v>1</v>
      </c>
      <c r="H1930" s="11">
        <v>400</v>
      </c>
      <c r="I1930" s="12">
        <v>42596</v>
      </c>
      <c r="J1930" s="13">
        <f t="shared" si="65"/>
        <v>0</v>
      </c>
      <c r="K1930" s="14"/>
      <c r="L1930" s="14"/>
      <c r="M1930" s="14"/>
      <c r="N1930" s="14"/>
      <c r="O1930" s="14"/>
      <c r="P1930" s="14"/>
      <c r="Q1930" s="14"/>
      <c r="R1930" s="14">
        <v>400</v>
      </c>
      <c r="S1930" s="14"/>
      <c r="T1930" s="14"/>
      <c r="U1930" s="14"/>
      <c r="V1930" s="14"/>
      <c r="W1930" s="15">
        <f t="shared" si="66"/>
        <v>400</v>
      </c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5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5"/>
      <c r="AX1930" s="16"/>
    </row>
    <row r="1931" spans="2:50" x14ac:dyDescent="0.2">
      <c r="B1931" s="7" t="s">
        <v>47</v>
      </c>
      <c r="C1931" s="8">
        <v>12616</v>
      </c>
      <c r="D1931" s="9" t="s">
        <v>509</v>
      </c>
      <c r="E1931" s="10" t="s">
        <v>510</v>
      </c>
      <c r="F1931" s="10" t="s">
        <v>511</v>
      </c>
      <c r="G1931" s="8">
        <v>1</v>
      </c>
      <c r="H1931" s="11">
        <v>900</v>
      </c>
      <c r="I1931" s="12">
        <v>42596</v>
      </c>
      <c r="J1931" s="13">
        <f t="shared" si="65"/>
        <v>0</v>
      </c>
      <c r="K1931" s="14"/>
      <c r="L1931" s="14"/>
      <c r="M1931" s="14"/>
      <c r="N1931" s="14"/>
      <c r="O1931" s="14">
        <v>300</v>
      </c>
      <c r="P1931" s="14">
        <v>300</v>
      </c>
      <c r="Q1931" s="14">
        <v>300</v>
      </c>
      <c r="R1931" s="14"/>
      <c r="S1931" s="14"/>
      <c r="T1931" s="14"/>
      <c r="U1931" s="14"/>
      <c r="V1931" s="14"/>
      <c r="W1931" s="15">
        <f t="shared" si="66"/>
        <v>900</v>
      </c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5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5"/>
      <c r="AX1931" s="16"/>
    </row>
    <row r="1932" spans="2:50" x14ac:dyDescent="0.2">
      <c r="B1932" s="7" t="s">
        <v>37</v>
      </c>
      <c r="C1932" s="8">
        <v>12617</v>
      </c>
      <c r="D1932" s="9" t="s">
        <v>512</v>
      </c>
      <c r="E1932" s="10" t="s">
        <v>513</v>
      </c>
      <c r="F1932" s="10" t="s">
        <v>511</v>
      </c>
      <c r="G1932" s="8">
        <v>1</v>
      </c>
      <c r="H1932" s="11">
        <v>2000</v>
      </c>
      <c r="I1932" s="12">
        <v>42596</v>
      </c>
      <c r="J1932" s="13">
        <f t="shared" si="65"/>
        <v>0</v>
      </c>
      <c r="K1932" s="14"/>
      <c r="L1932" s="14"/>
      <c r="M1932" s="14"/>
      <c r="N1932" s="14">
        <v>400</v>
      </c>
      <c r="O1932" s="14">
        <v>400</v>
      </c>
      <c r="P1932" s="14">
        <v>400</v>
      </c>
      <c r="Q1932" s="14">
        <v>400</v>
      </c>
      <c r="R1932" s="14">
        <v>400</v>
      </c>
      <c r="S1932" s="14"/>
      <c r="T1932" s="14"/>
      <c r="U1932" s="14"/>
      <c r="V1932" s="14"/>
      <c r="W1932" s="15">
        <f t="shared" si="66"/>
        <v>2000</v>
      </c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5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5"/>
      <c r="AX1932" s="16"/>
    </row>
    <row r="1933" spans="2:50" x14ac:dyDescent="0.2">
      <c r="B1933" s="7" t="s">
        <v>37</v>
      </c>
      <c r="C1933" s="8">
        <v>12618</v>
      </c>
      <c r="D1933" s="9" t="s">
        <v>395</v>
      </c>
      <c r="E1933" s="10" t="s">
        <v>396</v>
      </c>
      <c r="F1933" s="10" t="s">
        <v>397</v>
      </c>
      <c r="G1933" s="8">
        <v>1</v>
      </c>
      <c r="H1933" s="11">
        <v>200</v>
      </c>
      <c r="I1933" s="12">
        <v>42596</v>
      </c>
      <c r="J1933" s="13">
        <f t="shared" si="65"/>
        <v>0</v>
      </c>
      <c r="K1933" s="14"/>
      <c r="L1933" s="14"/>
      <c r="M1933" s="14"/>
      <c r="N1933" s="14"/>
      <c r="O1933" s="14"/>
      <c r="P1933" s="14"/>
      <c r="Q1933" s="14"/>
      <c r="R1933" s="14">
        <v>200</v>
      </c>
      <c r="S1933" s="14"/>
      <c r="T1933" s="14"/>
      <c r="U1933" s="14"/>
      <c r="V1933" s="14"/>
      <c r="W1933" s="15">
        <f t="shared" si="66"/>
        <v>200</v>
      </c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5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5"/>
      <c r="AX1933" s="16"/>
    </row>
    <row r="1934" spans="2:50" x14ac:dyDescent="0.2">
      <c r="B1934" s="7" t="s">
        <v>93</v>
      </c>
      <c r="C1934" s="8">
        <v>12619</v>
      </c>
      <c r="D1934" s="9"/>
      <c r="E1934" s="10" t="s">
        <v>93</v>
      </c>
      <c r="F1934" s="10" t="s">
        <v>93</v>
      </c>
      <c r="G1934" s="8">
        <v>8</v>
      </c>
      <c r="H1934" s="11"/>
      <c r="I1934" s="12"/>
      <c r="J1934" s="13">
        <f t="shared" si="65"/>
        <v>0</v>
      </c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5">
        <f t="shared" si="66"/>
        <v>0</v>
      </c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5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5"/>
      <c r="AX1934" s="16"/>
    </row>
    <row r="1935" spans="2:50" x14ac:dyDescent="0.2">
      <c r="B1935" s="7" t="s">
        <v>77</v>
      </c>
      <c r="C1935" s="8">
        <v>12620</v>
      </c>
      <c r="D1935" s="9" t="s">
        <v>286</v>
      </c>
      <c r="E1935" s="10" t="s">
        <v>287</v>
      </c>
      <c r="F1935" s="10" t="s">
        <v>288</v>
      </c>
      <c r="G1935" s="8">
        <v>1</v>
      </c>
      <c r="H1935" s="11">
        <v>800</v>
      </c>
      <c r="I1935" s="12">
        <v>42598</v>
      </c>
      <c r="J1935" s="13">
        <f t="shared" ref="J1935:J1998" si="67">IF(G1935=1,SUM(W1935,-H1935),0)</f>
        <v>0</v>
      </c>
      <c r="K1935" s="14"/>
      <c r="L1935" s="14"/>
      <c r="M1935" s="14"/>
      <c r="N1935" s="14"/>
      <c r="O1935" s="14"/>
      <c r="P1935" s="14"/>
      <c r="Q1935" s="14">
        <v>400</v>
      </c>
      <c r="R1935" s="14">
        <v>400</v>
      </c>
      <c r="S1935" s="14"/>
      <c r="T1935" s="14"/>
      <c r="U1935" s="14"/>
      <c r="V1935" s="14"/>
      <c r="W1935" s="15">
        <f t="shared" ref="W1935:W1998" si="68">SUM(K1935:V1935)</f>
        <v>800</v>
      </c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5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5"/>
      <c r="AX1935" s="16"/>
    </row>
    <row r="1936" spans="2:50" x14ac:dyDescent="0.2">
      <c r="B1936" s="7" t="s">
        <v>69</v>
      </c>
      <c r="C1936" s="8">
        <v>12621</v>
      </c>
      <c r="D1936" s="9" t="s">
        <v>1157</v>
      </c>
      <c r="E1936" s="10" t="s">
        <v>1158</v>
      </c>
      <c r="F1936" s="10" t="s">
        <v>1159</v>
      </c>
      <c r="G1936" s="8">
        <v>1</v>
      </c>
      <c r="H1936" s="11">
        <v>200</v>
      </c>
      <c r="I1936" s="12">
        <v>42595</v>
      </c>
      <c r="J1936" s="13">
        <f t="shared" si="67"/>
        <v>0</v>
      </c>
      <c r="K1936" s="14"/>
      <c r="L1936" s="14"/>
      <c r="M1936" s="14"/>
      <c r="N1936" s="14"/>
      <c r="O1936" s="14"/>
      <c r="P1936" s="14"/>
      <c r="Q1936" s="14"/>
      <c r="R1936" s="14">
        <v>200</v>
      </c>
      <c r="S1936" s="14"/>
      <c r="T1936" s="14"/>
      <c r="U1936" s="14"/>
      <c r="V1936" s="14"/>
      <c r="W1936" s="15">
        <f t="shared" si="68"/>
        <v>200</v>
      </c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5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5"/>
      <c r="AX1936" s="16"/>
    </row>
    <row r="1937" spans="2:50" x14ac:dyDescent="0.2">
      <c r="B1937" s="7" t="s">
        <v>1118</v>
      </c>
      <c r="C1937" s="8">
        <v>12622</v>
      </c>
      <c r="D1937" s="9" t="s">
        <v>1160</v>
      </c>
      <c r="E1937" s="10" t="s">
        <v>1161</v>
      </c>
      <c r="F1937" s="10" t="s">
        <v>1162</v>
      </c>
      <c r="G1937" s="8">
        <v>1</v>
      </c>
      <c r="H1937" s="11">
        <v>200</v>
      </c>
      <c r="I1937" s="12">
        <v>42595</v>
      </c>
      <c r="J1937" s="13">
        <f t="shared" si="67"/>
        <v>0</v>
      </c>
      <c r="K1937" s="14"/>
      <c r="L1937" s="14"/>
      <c r="M1937" s="14"/>
      <c r="N1937" s="14"/>
      <c r="O1937" s="14"/>
      <c r="P1937" s="14"/>
      <c r="Q1937" s="14"/>
      <c r="R1937" s="14">
        <v>200</v>
      </c>
      <c r="S1937" s="14"/>
      <c r="T1937" s="14"/>
      <c r="U1937" s="14"/>
      <c r="V1937" s="14"/>
      <c r="W1937" s="15">
        <f t="shared" si="68"/>
        <v>200</v>
      </c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5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5"/>
      <c r="AX1937" s="16"/>
    </row>
    <row r="1938" spans="2:50" x14ac:dyDescent="0.2">
      <c r="B1938" s="7" t="s">
        <v>69</v>
      </c>
      <c r="C1938" s="8">
        <v>12623</v>
      </c>
      <c r="D1938" s="9" t="s">
        <v>373</v>
      </c>
      <c r="E1938" s="10" t="s">
        <v>374</v>
      </c>
      <c r="F1938" s="10" t="s">
        <v>375</v>
      </c>
      <c r="G1938" s="8">
        <v>1</v>
      </c>
      <c r="H1938" s="11">
        <v>400</v>
      </c>
      <c r="I1938" s="12">
        <v>42595</v>
      </c>
      <c r="J1938" s="13">
        <f t="shared" si="67"/>
        <v>0</v>
      </c>
      <c r="K1938" s="14"/>
      <c r="L1938" s="14"/>
      <c r="M1938" s="14"/>
      <c r="N1938" s="14"/>
      <c r="O1938" s="14"/>
      <c r="P1938" s="14"/>
      <c r="Q1938" s="14"/>
      <c r="R1938" s="14">
        <v>400</v>
      </c>
      <c r="S1938" s="14"/>
      <c r="T1938" s="14"/>
      <c r="U1938" s="14"/>
      <c r="V1938" s="14"/>
      <c r="W1938" s="15">
        <f t="shared" si="68"/>
        <v>400</v>
      </c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5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5"/>
      <c r="AX1938" s="16"/>
    </row>
    <row r="1939" spans="2:50" x14ac:dyDescent="0.2">
      <c r="B1939" s="7" t="s">
        <v>37</v>
      </c>
      <c r="C1939" s="8">
        <v>12624</v>
      </c>
      <c r="D1939" s="9" t="s">
        <v>443</v>
      </c>
      <c r="E1939" s="10" t="s">
        <v>444</v>
      </c>
      <c r="F1939" s="10" t="s">
        <v>445</v>
      </c>
      <c r="G1939" s="8">
        <v>3</v>
      </c>
      <c r="H1939" s="11">
        <v>200</v>
      </c>
      <c r="I1939" s="12">
        <v>42599</v>
      </c>
      <c r="J1939" s="13">
        <f t="shared" si="67"/>
        <v>0</v>
      </c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5">
        <f t="shared" si="68"/>
        <v>0</v>
      </c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5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5"/>
      <c r="AX1939" s="16"/>
    </row>
    <row r="1940" spans="2:50" x14ac:dyDescent="0.2">
      <c r="B1940" s="7" t="s">
        <v>37</v>
      </c>
      <c r="C1940" s="8">
        <v>12624</v>
      </c>
      <c r="D1940" s="9" t="s">
        <v>443</v>
      </c>
      <c r="E1940" s="10" t="s">
        <v>444</v>
      </c>
      <c r="F1940" s="10" t="s">
        <v>445</v>
      </c>
      <c r="G1940" s="8">
        <v>4</v>
      </c>
      <c r="H1940" s="11">
        <v>200</v>
      </c>
      <c r="I1940" s="12">
        <v>42599</v>
      </c>
      <c r="J1940" s="13">
        <f t="shared" si="67"/>
        <v>0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5">
        <f t="shared" si="68"/>
        <v>0</v>
      </c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5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5"/>
      <c r="AX1940" s="16"/>
    </row>
    <row r="1941" spans="2:50" x14ac:dyDescent="0.2">
      <c r="B1941" s="7" t="s">
        <v>69</v>
      </c>
      <c r="C1941" s="8">
        <v>12625</v>
      </c>
      <c r="D1941" s="9" t="s">
        <v>304</v>
      </c>
      <c r="E1941" s="10" t="s">
        <v>305</v>
      </c>
      <c r="F1941" s="10" t="s">
        <v>306</v>
      </c>
      <c r="G1941" s="8">
        <v>5</v>
      </c>
      <c r="H1941" s="11">
        <v>100</v>
      </c>
      <c r="I1941" s="12">
        <v>42603</v>
      </c>
      <c r="J1941" s="13">
        <f t="shared" si="67"/>
        <v>0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5">
        <f t="shared" si="68"/>
        <v>0</v>
      </c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5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5"/>
      <c r="AX1941" s="16"/>
    </row>
    <row r="1942" spans="2:50" x14ac:dyDescent="0.2">
      <c r="B1942" s="7" t="s">
        <v>73</v>
      </c>
      <c r="C1942" s="8">
        <v>12626</v>
      </c>
      <c r="D1942" s="9" t="s">
        <v>1055</v>
      </c>
      <c r="E1942" s="10" t="s">
        <v>1056</v>
      </c>
      <c r="F1942" s="10" t="s">
        <v>1057</v>
      </c>
      <c r="G1942" s="8">
        <v>1</v>
      </c>
      <c r="H1942" s="11">
        <v>200</v>
      </c>
      <c r="I1942" s="12">
        <v>42603</v>
      </c>
      <c r="J1942" s="13">
        <f t="shared" si="67"/>
        <v>0</v>
      </c>
      <c r="K1942" s="14"/>
      <c r="L1942" s="14"/>
      <c r="M1942" s="14"/>
      <c r="N1942" s="14"/>
      <c r="O1942" s="14"/>
      <c r="P1942" s="14"/>
      <c r="Q1942" s="14"/>
      <c r="R1942" s="14">
        <v>200</v>
      </c>
      <c r="S1942" s="14"/>
      <c r="T1942" s="14"/>
      <c r="U1942" s="14"/>
      <c r="V1942" s="14"/>
      <c r="W1942" s="15">
        <f t="shared" si="68"/>
        <v>200</v>
      </c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5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5"/>
      <c r="AX1942" s="16"/>
    </row>
    <row r="1943" spans="2:50" x14ac:dyDescent="0.2">
      <c r="B1943" s="7" t="s">
        <v>37</v>
      </c>
      <c r="C1943" s="8">
        <v>12627</v>
      </c>
      <c r="D1943" s="9" t="s">
        <v>905</v>
      </c>
      <c r="E1943" s="10" t="s">
        <v>906</v>
      </c>
      <c r="F1943" s="10" t="s">
        <v>907</v>
      </c>
      <c r="G1943" s="8">
        <v>1</v>
      </c>
      <c r="H1943" s="11">
        <v>400</v>
      </c>
      <c r="I1943" s="12">
        <v>42603</v>
      </c>
      <c r="J1943" s="13">
        <f t="shared" si="67"/>
        <v>0</v>
      </c>
      <c r="K1943" s="14"/>
      <c r="L1943" s="14"/>
      <c r="M1943" s="14"/>
      <c r="N1943" s="14"/>
      <c r="O1943" s="14"/>
      <c r="P1943" s="14"/>
      <c r="Q1943" s="14">
        <v>200</v>
      </c>
      <c r="R1943" s="14">
        <v>200</v>
      </c>
      <c r="S1943" s="14"/>
      <c r="T1943" s="14"/>
      <c r="U1943" s="14"/>
      <c r="V1943" s="14"/>
      <c r="W1943" s="15">
        <f t="shared" si="68"/>
        <v>400</v>
      </c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5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5"/>
      <c r="AX1943" s="16"/>
    </row>
    <row r="1944" spans="2:50" x14ac:dyDescent="0.2">
      <c r="B1944" s="7" t="s">
        <v>47</v>
      </c>
      <c r="C1944" s="8">
        <v>12628</v>
      </c>
      <c r="D1944" s="9" t="s">
        <v>655</v>
      </c>
      <c r="E1944" s="10" t="s">
        <v>656</v>
      </c>
      <c r="F1944" s="10" t="s">
        <v>657</v>
      </c>
      <c r="G1944" s="8">
        <v>1</v>
      </c>
      <c r="H1944" s="11">
        <v>1200</v>
      </c>
      <c r="I1944" s="12">
        <v>42603</v>
      </c>
      <c r="J1944" s="13">
        <f t="shared" si="67"/>
        <v>0</v>
      </c>
      <c r="K1944" s="14"/>
      <c r="L1944" s="14"/>
      <c r="M1944" s="14"/>
      <c r="N1944" s="14"/>
      <c r="O1944" s="14">
        <v>400</v>
      </c>
      <c r="P1944" s="14">
        <v>400</v>
      </c>
      <c r="Q1944" s="14">
        <v>400</v>
      </c>
      <c r="R1944" s="14"/>
      <c r="S1944" s="14"/>
      <c r="T1944" s="14"/>
      <c r="U1944" s="14"/>
      <c r="V1944" s="14"/>
      <c r="W1944" s="15">
        <f t="shared" si="68"/>
        <v>1200</v>
      </c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5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5"/>
      <c r="AX1944" s="16"/>
    </row>
    <row r="1945" spans="2:50" x14ac:dyDescent="0.2">
      <c r="B1945" s="7" t="s">
        <v>47</v>
      </c>
      <c r="C1945" s="8">
        <v>12629</v>
      </c>
      <c r="D1945" s="9" t="s">
        <v>655</v>
      </c>
      <c r="E1945" s="10" t="s">
        <v>656</v>
      </c>
      <c r="F1945" s="10" t="s">
        <v>657</v>
      </c>
      <c r="G1945" s="8">
        <v>5</v>
      </c>
      <c r="H1945" s="11">
        <v>150</v>
      </c>
      <c r="I1945" s="12">
        <v>42603</v>
      </c>
      <c r="J1945" s="13">
        <f t="shared" si="67"/>
        <v>0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5">
        <f t="shared" si="68"/>
        <v>0</v>
      </c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5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5"/>
      <c r="AX1945" s="16"/>
    </row>
    <row r="1946" spans="2:50" x14ac:dyDescent="0.2">
      <c r="B1946" s="7" t="s">
        <v>37</v>
      </c>
      <c r="C1946" s="8">
        <v>12630</v>
      </c>
      <c r="D1946" s="9" t="s">
        <v>44</v>
      </c>
      <c r="E1946" s="10" t="s">
        <v>45</v>
      </c>
      <c r="F1946" s="10" t="s">
        <v>46</v>
      </c>
      <c r="G1946" s="8">
        <v>1</v>
      </c>
      <c r="H1946" s="11">
        <v>1200</v>
      </c>
      <c r="I1946" s="12">
        <v>42603</v>
      </c>
      <c r="J1946" s="13">
        <f t="shared" si="67"/>
        <v>0</v>
      </c>
      <c r="K1946" s="14"/>
      <c r="L1946" s="14"/>
      <c r="M1946" s="14"/>
      <c r="N1946" s="14"/>
      <c r="O1946" s="14"/>
      <c r="P1946" s="14"/>
      <c r="Q1946" s="14"/>
      <c r="R1946" s="14">
        <v>400</v>
      </c>
      <c r="S1946" s="14">
        <v>400</v>
      </c>
      <c r="T1946" s="14">
        <v>400</v>
      </c>
      <c r="U1946" s="14"/>
      <c r="V1946" s="14"/>
      <c r="W1946" s="15">
        <f t="shared" si="68"/>
        <v>1200</v>
      </c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5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5"/>
      <c r="AX1946" s="16"/>
    </row>
    <row r="1947" spans="2:50" x14ac:dyDescent="0.2">
      <c r="B1947" s="7" t="s">
        <v>37</v>
      </c>
      <c r="C1947" s="8">
        <v>12631</v>
      </c>
      <c r="D1947" s="9" t="s">
        <v>44</v>
      </c>
      <c r="E1947" s="10" t="s">
        <v>45</v>
      </c>
      <c r="F1947" s="10" t="s">
        <v>46</v>
      </c>
      <c r="G1947" s="8">
        <v>5</v>
      </c>
      <c r="H1947" s="11">
        <v>50</v>
      </c>
      <c r="I1947" s="12">
        <v>42603</v>
      </c>
      <c r="J1947" s="13">
        <f t="shared" si="67"/>
        <v>0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5">
        <f t="shared" si="68"/>
        <v>0</v>
      </c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5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5"/>
      <c r="AX1947" s="16"/>
    </row>
    <row r="1948" spans="2:50" x14ac:dyDescent="0.2">
      <c r="B1948" s="7" t="s">
        <v>37</v>
      </c>
      <c r="C1948" s="8">
        <v>12632</v>
      </c>
      <c r="D1948" s="9" t="s">
        <v>488</v>
      </c>
      <c r="E1948" s="10" t="s">
        <v>489</v>
      </c>
      <c r="F1948" s="10" t="s">
        <v>490</v>
      </c>
      <c r="G1948" s="8">
        <v>1</v>
      </c>
      <c r="H1948" s="11">
        <v>400</v>
      </c>
      <c r="I1948" s="12">
        <v>42603</v>
      </c>
      <c r="J1948" s="13">
        <f t="shared" si="67"/>
        <v>0</v>
      </c>
      <c r="K1948" s="14"/>
      <c r="L1948" s="14"/>
      <c r="M1948" s="14"/>
      <c r="N1948" s="14"/>
      <c r="O1948" s="14"/>
      <c r="P1948" s="14"/>
      <c r="Q1948" s="14"/>
      <c r="R1948" s="14">
        <v>400</v>
      </c>
      <c r="S1948" s="14"/>
      <c r="T1948" s="14"/>
      <c r="U1948" s="14"/>
      <c r="V1948" s="14"/>
      <c r="W1948" s="15">
        <f t="shared" si="68"/>
        <v>400</v>
      </c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5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5"/>
      <c r="AX1948" s="16"/>
    </row>
    <row r="1949" spans="2:50" x14ac:dyDescent="0.2">
      <c r="B1949" s="7" t="s">
        <v>47</v>
      </c>
      <c r="C1949" s="8">
        <v>12633</v>
      </c>
      <c r="D1949" s="9" t="s">
        <v>1029</v>
      </c>
      <c r="E1949" s="10" t="s">
        <v>1030</v>
      </c>
      <c r="F1949" s="10" t="s">
        <v>1031</v>
      </c>
      <c r="G1949" s="8">
        <v>1</v>
      </c>
      <c r="H1949" s="11">
        <v>1200</v>
      </c>
      <c r="I1949" s="12">
        <v>42603</v>
      </c>
      <c r="J1949" s="13">
        <f t="shared" si="67"/>
        <v>0</v>
      </c>
      <c r="K1949" s="14"/>
      <c r="L1949" s="14"/>
      <c r="M1949" s="14"/>
      <c r="N1949" s="14"/>
      <c r="O1949" s="14"/>
      <c r="P1949" s="14"/>
      <c r="Q1949" s="14">
        <v>400</v>
      </c>
      <c r="R1949" s="14">
        <v>400</v>
      </c>
      <c r="S1949" s="14">
        <v>400</v>
      </c>
      <c r="T1949" s="14"/>
      <c r="U1949" s="14"/>
      <c r="V1949" s="14"/>
      <c r="W1949" s="15">
        <f t="shared" si="68"/>
        <v>1200</v>
      </c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5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5"/>
      <c r="AX1949" s="16" t="s">
        <v>1163</v>
      </c>
    </row>
    <row r="1950" spans="2:50" x14ac:dyDescent="0.2">
      <c r="B1950" s="7" t="s">
        <v>93</v>
      </c>
      <c r="C1950" s="8">
        <v>12634</v>
      </c>
      <c r="D1950" s="9"/>
      <c r="E1950" s="10" t="s">
        <v>93</v>
      </c>
      <c r="F1950" s="10" t="s">
        <v>93</v>
      </c>
      <c r="G1950" s="8">
        <v>8</v>
      </c>
      <c r="H1950" s="11"/>
      <c r="I1950" s="12"/>
      <c r="J1950" s="13">
        <f t="shared" si="67"/>
        <v>0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5">
        <f t="shared" si="68"/>
        <v>0</v>
      </c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5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5"/>
      <c r="AX1950" s="16"/>
    </row>
    <row r="1951" spans="2:50" x14ac:dyDescent="0.2">
      <c r="B1951" s="7" t="s">
        <v>37</v>
      </c>
      <c r="C1951" s="8">
        <v>12635</v>
      </c>
      <c r="D1951" s="9" t="s">
        <v>247</v>
      </c>
      <c r="E1951" s="10" t="s">
        <v>248</v>
      </c>
      <c r="F1951" s="10" t="s">
        <v>249</v>
      </c>
      <c r="G1951" s="8">
        <v>5</v>
      </c>
      <c r="H1951" s="11">
        <v>50</v>
      </c>
      <c r="I1951" s="12">
        <v>42603</v>
      </c>
      <c r="J1951" s="13">
        <f t="shared" si="67"/>
        <v>0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5">
        <f t="shared" si="68"/>
        <v>0</v>
      </c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5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5"/>
      <c r="AX1951" s="16"/>
    </row>
    <row r="1952" spans="2:50" x14ac:dyDescent="0.2">
      <c r="B1952" s="7" t="s">
        <v>61</v>
      </c>
      <c r="C1952" s="8">
        <v>12636</v>
      </c>
      <c r="D1952" s="9" t="s">
        <v>631</v>
      </c>
      <c r="E1952" s="10" t="s">
        <v>632</v>
      </c>
      <c r="F1952" s="10" t="s">
        <v>633</v>
      </c>
      <c r="G1952" s="8">
        <v>1</v>
      </c>
      <c r="H1952" s="11">
        <v>300</v>
      </c>
      <c r="I1952" s="12">
        <v>42603</v>
      </c>
      <c r="J1952" s="13">
        <f t="shared" si="67"/>
        <v>0</v>
      </c>
      <c r="K1952" s="14"/>
      <c r="L1952" s="14"/>
      <c r="M1952" s="14"/>
      <c r="N1952" s="14"/>
      <c r="O1952" s="14"/>
      <c r="P1952" s="14"/>
      <c r="Q1952" s="14"/>
      <c r="R1952" s="14">
        <v>300</v>
      </c>
      <c r="S1952" s="14"/>
      <c r="T1952" s="14"/>
      <c r="U1952" s="14"/>
      <c r="V1952" s="14"/>
      <c r="W1952" s="15">
        <f t="shared" si="68"/>
        <v>300</v>
      </c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5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5"/>
      <c r="AX1952" s="16"/>
    </row>
    <row r="1953" spans="2:50" x14ac:dyDescent="0.2">
      <c r="B1953" s="7" t="s">
        <v>47</v>
      </c>
      <c r="C1953" s="8">
        <v>12637</v>
      </c>
      <c r="D1953" s="9" t="s">
        <v>1148</v>
      </c>
      <c r="E1953" s="10" t="s">
        <v>1149</v>
      </c>
      <c r="F1953" s="10" t="s">
        <v>1150</v>
      </c>
      <c r="G1953" s="8">
        <v>3</v>
      </c>
      <c r="H1953" s="11">
        <v>600</v>
      </c>
      <c r="I1953" s="12">
        <v>42603</v>
      </c>
      <c r="J1953" s="13">
        <f t="shared" si="67"/>
        <v>0</v>
      </c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5">
        <f t="shared" si="68"/>
        <v>0</v>
      </c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5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5"/>
      <c r="AX1953" s="16"/>
    </row>
    <row r="1954" spans="2:50" x14ac:dyDescent="0.2">
      <c r="B1954" s="7" t="s">
        <v>37</v>
      </c>
      <c r="C1954" s="8">
        <v>12638</v>
      </c>
      <c r="D1954" s="9" t="s">
        <v>550</v>
      </c>
      <c r="E1954" s="10" t="s">
        <v>551</v>
      </c>
      <c r="F1954" s="10" t="s">
        <v>552</v>
      </c>
      <c r="G1954" s="8">
        <v>1</v>
      </c>
      <c r="H1954" s="11">
        <v>300</v>
      </c>
      <c r="I1954" s="12">
        <v>42603</v>
      </c>
      <c r="J1954" s="13">
        <f t="shared" si="67"/>
        <v>0</v>
      </c>
      <c r="K1954" s="14"/>
      <c r="L1954" s="14"/>
      <c r="M1954" s="14"/>
      <c r="N1954" s="14"/>
      <c r="O1954" s="14"/>
      <c r="P1954" s="14">
        <v>300</v>
      </c>
      <c r="Q1954" s="14"/>
      <c r="R1954" s="14"/>
      <c r="S1954" s="14"/>
      <c r="T1954" s="14"/>
      <c r="U1954" s="14"/>
      <c r="V1954" s="14"/>
      <c r="W1954" s="15">
        <f t="shared" si="68"/>
        <v>300</v>
      </c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5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5"/>
      <c r="AX1954" s="16"/>
    </row>
    <row r="1955" spans="2:50" x14ac:dyDescent="0.2">
      <c r="B1955" s="7" t="s">
        <v>37</v>
      </c>
      <c r="C1955" s="8">
        <v>12638</v>
      </c>
      <c r="D1955" s="9" t="s">
        <v>941</v>
      </c>
      <c r="E1955" s="10" t="s">
        <v>942</v>
      </c>
      <c r="F1955" s="10" t="s">
        <v>943</v>
      </c>
      <c r="G1955" s="8">
        <v>3</v>
      </c>
      <c r="H1955" s="11">
        <v>200</v>
      </c>
      <c r="I1955" s="12">
        <v>42603</v>
      </c>
      <c r="J1955" s="13">
        <f t="shared" si="67"/>
        <v>0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5">
        <f t="shared" si="68"/>
        <v>0</v>
      </c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5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5"/>
      <c r="AX1955" s="16"/>
    </row>
    <row r="1956" spans="2:50" x14ac:dyDescent="0.2">
      <c r="B1956" s="7" t="s">
        <v>37</v>
      </c>
      <c r="C1956" s="8">
        <v>12639</v>
      </c>
      <c r="D1956" s="9" t="s">
        <v>550</v>
      </c>
      <c r="E1956" s="10" t="s">
        <v>551</v>
      </c>
      <c r="F1956" s="10" t="s">
        <v>552</v>
      </c>
      <c r="G1956" s="8">
        <v>5</v>
      </c>
      <c r="H1956" s="11">
        <v>50</v>
      </c>
      <c r="I1956" s="12">
        <v>42603</v>
      </c>
      <c r="J1956" s="13">
        <f t="shared" si="67"/>
        <v>0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5">
        <f t="shared" si="68"/>
        <v>0</v>
      </c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5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5"/>
      <c r="AX1956" s="16"/>
    </row>
    <row r="1957" spans="2:50" x14ac:dyDescent="0.2">
      <c r="B1957" s="7" t="s">
        <v>73</v>
      </c>
      <c r="C1957" s="8">
        <v>12640</v>
      </c>
      <c r="D1957" s="9" t="s">
        <v>1092</v>
      </c>
      <c r="E1957" s="10" t="s">
        <v>1093</v>
      </c>
      <c r="F1957" s="10" t="s">
        <v>1094</v>
      </c>
      <c r="G1957" s="8">
        <v>1</v>
      </c>
      <c r="H1957" s="11">
        <v>400</v>
      </c>
      <c r="I1957" s="12">
        <v>42603</v>
      </c>
      <c r="J1957" s="13">
        <f t="shared" si="67"/>
        <v>0</v>
      </c>
      <c r="K1957" s="14"/>
      <c r="L1957" s="14"/>
      <c r="M1957" s="14"/>
      <c r="N1957" s="14"/>
      <c r="O1957" s="14"/>
      <c r="P1957" s="14"/>
      <c r="Q1957" s="14"/>
      <c r="R1957" s="14">
        <v>200</v>
      </c>
      <c r="S1957" s="14">
        <v>200</v>
      </c>
      <c r="T1957" s="14"/>
      <c r="U1957" s="14"/>
      <c r="V1957" s="14"/>
      <c r="W1957" s="15">
        <f t="shared" si="68"/>
        <v>400</v>
      </c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5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5"/>
      <c r="AX1957" s="16"/>
    </row>
    <row r="1958" spans="2:50" x14ac:dyDescent="0.2">
      <c r="B1958" s="7" t="s">
        <v>37</v>
      </c>
      <c r="C1958" s="8">
        <v>12641</v>
      </c>
      <c r="D1958" s="9" t="s">
        <v>364</v>
      </c>
      <c r="E1958" s="10" t="s">
        <v>365</v>
      </c>
      <c r="F1958" s="10" t="s">
        <v>366</v>
      </c>
      <c r="G1958" s="8">
        <v>1</v>
      </c>
      <c r="H1958" s="11">
        <v>300</v>
      </c>
      <c r="I1958" s="12">
        <v>42603</v>
      </c>
      <c r="J1958" s="13">
        <f t="shared" si="67"/>
        <v>0</v>
      </c>
      <c r="K1958" s="14"/>
      <c r="L1958" s="14"/>
      <c r="M1958" s="14"/>
      <c r="N1958" s="14"/>
      <c r="O1958" s="14"/>
      <c r="P1958" s="14"/>
      <c r="Q1958" s="14"/>
      <c r="R1958" s="14">
        <v>300</v>
      </c>
      <c r="S1958" s="14"/>
      <c r="T1958" s="14"/>
      <c r="U1958" s="14"/>
      <c r="V1958" s="14"/>
      <c r="W1958" s="15">
        <f t="shared" si="68"/>
        <v>300</v>
      </c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5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5"/>
      <c r="AX1958" s="16"/>
    </row>
    <row r="1959" spans="2:50" x14ac:dyDescent="0.2">
      <c r="B1959" s="7" t="s">
        <v>37</v>
      </c>
      <c r="C1959" s="8">
        <v>12641</v>
      </c>
      <c r="D1959" s="9" t="s">
        <v>364</v>
      </c>
      <c r="E1959" s="10" t="s">
        <v>365</v>
      </c>
      <c r="F1959" s="10" t="s">
        <v>366</v>
      </c>
      <c r="G1959" s="8">
        <v>5</v>
      </c>
      <c r="H1959" s="11">
        <v>50</v>
      </c>
      <c r="I1959" s="12">
        <v>42603</v>
      </c>
      <c r="J1959" s="13">
        <f t="shared" si="67"/>
        <v>0</v>
      </c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5">
        <f t="shared" si="68"/>
        <v>0</v>
      </c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5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5"/>
      <c r="AX1959" s="16"/>
    </row>
    <row r="1960" spans="2:50" x14ac:dyDescent="0.2">
      <c r="B1960" s="7" t="s">
        <v>69</v>
      </c>
      <c r="C1960" s="8">
        <v>12642</v>
      </c>
      <c r="D1960" s="9" t="s">
        <v>740</v>
      </c>
      <c r="E1960" s="10" t="s">
        <v>741</v>
      </c>
      <c r="F1960" s="10" t="s">
        <v>742</v>
      </c>
      <c r="G1960" s="8">
        <v>1</v>
      </c>
      <c r="H1960" s="11">
        <v>800</v>
      </c>
      <c r="I1960" s="12">
        <v>42603</v>
      </c>
      <c r="J1960" s="13">
        <f t="shared" si="67"/>
        <v>0</v>
      </c>
      <c r="K1960" s="14"/>
      <c r="L1960" s="14"/>
      <c r="M1960" s="14"/>
      <c r="N1960" s="14"/>
      <c r="O1960" s="14"/>
      <c r="P1960" s="14"/>
      <c r="Q1960" s="14">
        <v>400</v>
      </c>
      <c r="R1960" s="14">
        <v>400</v>
      </c>
      <c r="S1960" s="14"/>
      <c r="T1960" s="14"/>
      <c r="U1960" s="14"/>
      <c r="V1960" s="14"/>
      <c r="W1960" s="15">
        <f t="shared" si="68"/>
        <v>800</v>
      </c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5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5"/>
      <c r="AX1960" s="16"/>
    </row>
    <row r="1961" spans="2:50" x14ac:dyDescent="0.2">
      <c r="B1961" s="7" t="s">
        <v>73</v>
      </c>
      <c r="C1961" s="8">
        <v>12643</v>
      </c>
      <c r="D1961" s="9" t="s">
        <v>728</v>
      </c>
      <c r="E1961" s="10" t="s">
        <v>729</v>
      </c>
      <c r="F1961" s="10" t="s">
        <v>730</v>
      </c>
      <c r="G1961" s="8">
        <v>1</v>
      </c>
      <c r="H1961" s="11">
        <v>800</v>
      </c>
      <c r="I1961" s="12">
        <v>42603</v>
      </c>
      <c r="J1961" s="13">
        <f t="shared" si="67"/>
        <v>0</v>
      </c>
      <c r="K1961" s="14"/>
      <c r="L1961" s="14"/>
      <c r="M1961" s="14"/>
      <c r="N1961" s="14"/>
      <c r="O1961" s="14"/>
      <c r="P1961" s="14"/>
      <c r="Q1961" s="14">
        <v>400</v>
      </c>
      <c r="R1961" s="14">
        <v>400</v>
      </c>
      <c r="S1961" s="14"/>
      <c r="T1961" s="14"/>
      <c r="U1961" s="14"/>
      <c r="V1961" s="14"/>
      <c r="W1961" s="15">
        <f t="shared" si="68"/>
        <v>800</v>
      </c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5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5"/>
      <c r="AX1961" s="16"/>
    </row>
    <row r="1962" spans="2:50" x14ac:dyDescent="0.2">
      <c r="B1962" s="7" t="s">
        <v>77</v>
      </c>
      <c r="C1962" s="8">
        <v>12644</v>
      </c>
      <c r="D1962" s="9" t="s">
        <v>617</v>
      </c>
      <c r="E1962" s="10" t="s">
        <v>618</v>
      </c>
      <c r="F1962" s="10" t="s">
        <v>619</v>
      </c>
      <c r="G1962" s="8">
        <v>1</v>
      </c>
      <c r="H1962" s="11">
        <v>400</v>
      </c>
      <c r="I1962" s="12">
        <v>42603</v>
      </c>
      <c r="J1962" s="13">
        <f t="shared" si="67"/>
        <v>0</v>
      </c>
      <c r="K1962" s="14"/>
      <c r="L1962" s="14"/>
      <c r="M1962" s="14"/>
      <c r="N1962" s="14"/>
      <c r="O1962" s="14"/>
      <c r="P1962" s="14"/>
      <c r="Q1962" s="14"/>
      <c r="R1962" s="14">
        <v>400</v>
      </c>
      <c r="S1962" s="14"/>
      <c r="T1962" s="14"/>
      <c r="U1962" s="14"/>
      <c r="V1962" s="14"/>
      <c r="W1962" s="15">
        <f t="shared" si="68"/>
        <v>400</v>
      </c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5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5"/>
      <c r="AX1962" s="16"/>
    </row>
    <row r="1963" spans="2:50" x14ac:dyDescent="0.2">
      <c r="B1963" s="7" t="s">
        <v>47</v>
      </c>
      <c r="C1963" s="8">
        <v>12645</v>
      </c>
      <c r="D1963" s="9" t="s">
        <v>280</v>
      </c>
      <c r="E1963" s="10" t="s">
        <v>281</v>
      </c>
      <c r="F1963" s="10" t="s">
        <v>282</v>
      </c>
      <c r="G1963" s="8">
        <v>5</v>
      </c>
      <c r="H1963" s="11">
        <v>50</v>
      </c>
      <c r="I1963" s="12">
        <v>42603</v>
      </c>
      <c r="J1963" s="13">
        <f t="shared" si="67"/>
        <v>0</v>
      </c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5">
        <f t="shared" si="68"/>
        <v>0</v>
      </c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5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5"/>
      <c r="AX1963" s="16"/>
    </row>
    <row r="1964" spans="2:50" x14ac:dyDescent="0.2">
      <c r="B1964" s="7" t="s">
        <v>37</v>
      </c>
      <c r="C1964" s="8">
        <v>12646</v>
      </c>
      <c r="D1964" s="9" t="s">
        <v>1164</v>
      </c>
      <c r="E1964" s="10" t="s">
        <v>1165</v>
      </c>
      <c r="F1964" s="10" t="s">
        <v>1166</v>
      </c>
      <c r="G1964" s="8">
        <v>1</v>
      </c>
      <c r="H1964" s="11">
        <v>400</v>
      </c>
      <c r="I1964" s="12">
        <v>42603</v>
      </c>
      <c r="J1964" s="13">
        <f t="shared" si="67"/>
        <v>0</v>
      </c>
      <c r="K1964" s="14"/>
      <c r="L1964" s="14"/>
      <c r="M1964" s="14"/>
      <c r="N1964" s="14"/>
      <c r="O1964" s="14"/>
      <c r="P1964" s="14"/>
      <c r="Q1964" s="14"/>
      <c r="R1964" s="14">
        <v>400</v>
      </c>
      <c r="S1964" s="14"/>
      <c r="T1964" s="14"/>
      <c r="U1964" s="14"/>
      <c r="V1964" s="14"/>
      <c r="W1964" s="15">
        <f t="shared" si="68"/>
        <v>400</v>
      </c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5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5"/>
      <c r="AX1964" s="16"/>
    </row>
    <row r="1965" spans="2:50" x14ac:dyDescent="0.2">
      <c r="B1965" s="7" t="s">
        <v>37</v>
      </c>
      <c r="C1965" s="8">
        <v>12647</v>
      </c>
      <c r="D1965" s="9" t="s">
        <v>1167</v>
      </c>
      <c r="E1965" s="10" t="s">
        <v>1168</v>
      </c>
      <c r="F1965" s="10" t="s">
        <v>1169</v>
      </c>
      <c r="G1965" s="8">
        <v>1</v>
      </c>
      <c r="H1965" s="11">
        <v>3000</v>
      </c>
      <c r="I1965" s="12">
        <v>42603</v>
      </c>
      <c r="J1965" s="13">
        <f t="shared" si="67"/>
        <v>0</v>
      </c>
      <c r="K1965" s="14">
        <v>400</v>
      </c>
      <c r="L1965" s="14">
        <v>400</v>
      </c>
      <c r="M1965" s="14">
        <v>400</v>
      </c>
      <c r="N1965" s="14">
        <v>400</v>
      </c>
      <c r="O1965" s="14">
        <v>400</v>
      </c>
      <c r="P1965" s="14">
        <v>400</v>
      </c>
      <c r="Q1965" s="14">
        <v>400</v>
      </c>
      <c r="R1965" s="14">
        <v>200</v>
      </c>
      <c r="S1965" s="14"/>
      <c r="T1965" s="14"/>
      <c r="U1965" s="14"/>
      <c r="V1965" s="14"/>
      <c r="W1965" s="15">
        <f t="shared" si="68"/>
        <v>3000</v>
      </c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5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5"/>
      <c r="AX1965" s="16"/>
    </row>
    <row r="1966" spans="2:50" x14ac:dyDescent="0.2">
      <c r="B1966" s="7" t="s">
        <v>47</v>
      </c>
      <c r="C1966" s="8">
        <v>12648</v>
      </c>
      <c r="D1966" s="9" t="s">
        <v>153</v>
      </c>
      <c r="E1966" s="10" t="s">
        <v>154</v>
      </c>
      <c r="F1966" s="10" t="s">
        <v>155</v>
      </c>
      <c r="G1966" s="8">
        <v>3</v>
      </c>
      <c r="H1966" s="11">
        <v>400</v>
      </c>
      <c r="I1966" s="12">
        <v>42603</v>
      </c>
      <c r="J1966" s="13">
        <f t="shared" si="67"/>
        <v>0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5">
        <f t="shared" si="68"/>
        <v>0</v>
      </c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5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5"/>
      <c r="AX1966" s="16"/>
    </row>
    <row r="1967" spans="2:50" x14ac:dyDescent="0.2">
      <c r="B1967" s="7" t="s">
        <v>37</v>
      </c>
      <c r="C1967" s="8">
        <v>12649</v>
      </c>
      <c r="D1967" s="9" t="s">
        <v>271</v>
      </c>
      <c r="E1967" s="10" t="s">
        <v>272</v>
      </c>
      <c r="F1967" s="10" t="s">
        <v>273</v>
      </c>
      <c r="G1967" s="8">
        <v>1</v>
      </c>
      <c r="H1967" s="11">
        <v>400</v>
      </c>
      <c r="I1967" s="12">
        <v>42603</v>
      </c>
      <c r="J1967" s="13">
        <f t="shared" si="67"/>
        <v>0</v>
      </c>
      <c r="K1967" s="14"/>
      <c r="L1967" s="14"/>
      <c r="M1967" s="14"/>
      <c r="N1967" s="14"/>
      <c r="O1967" s="14"/>
      <c r="P1967" s="14"/>
      <c r="Q1967" s="14"/>
      <c r="R1967" s="14">
        <v>400</v>
      </c>
      <c r="S1967" s="14"/>
      <c r="T1967" s="14"/>
      <c r="U1967" s="14"/>
      <c r="V1967" s="14"/>
      <c r="W1967" s="15">
        <f t="shared" si="68"/>
        <v>400</v>
      </c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5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5"/>
      <c r="AX1967" s="16"/>
    </row>
    <row r="1968" spans="2:50" x14ac:dyDescent="0.2">
      <c r="B1968" s="7" t="s">
        <v>61</v>
      </c>
      <c r="C1968" s="8">
        <v>12650</v>
      </c>
      <c r="D1968" s="9" t="s">
        <v>62</v>
      </c>
      <c r="E1968" s="10" t="s">
        <v>63</v>
      </c>
      <c r="F1968" s="10" t="s">
        <v>64</v>
      </c>
      <c r="G1968" s="8">
        <v>1</v>
      </c>
      <c r="H1968" s="11">
        <v>400</v>
      </c>
      <c r="I1968" s="12">
        <v>42603</v>
      </c>
      <c r="J1968" s="13">
        <f t="shared" si="67"/>
        <v>0</v>
      </c>
      <c r="K1968" s="14"/>
      <c r="L1968" s="14"/>
      <c r="M1968" s="14"/>
      <c r="N1968" s="14"/>
      <c r="O1968" s="14"/>
      <c r="P1968" s="14"/>
      <c r="Q1968" s="14"/>
      <c r="R1968" s="14"/>
      <c r="S1968" s="14">
        <v>200</v>
      </c>
      <c r="T1968" s="14">
        <v>200</v>
      </c>
      <c r="U1968" s="14"/>
      <c r="V1968" s="14"/>
      <c r="W1968" s="15">
        <f t="shared" si="68"/>
        <v>400</v>
      </c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5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5"/>
      <c r="AX1968" s="16"/>
    </row>
    <row r="1969" spans="2:50" x14ac:dyDescent="0.2">
      <c r="B1969" s="7" t="s">
        <v>122</v>
      </c>
      <c r="C1969" s="8">
        <v>12651</v>
      </c>
      <c r="D1969" s="9" t="s">
        <v>797</v>
      </c>
      <c r="E1969" s="10" t="s">
        <v>798</v>
      </c>
      <c r="F1969" s="10" t="s">
        <v>799</v>
      </c>
      <c r="G1969" s="8">
        <v>1</v>
      </c>
      <c r="H1969" s="11">
        <v>800</v>
      </c>
      <c r="I1969" s="12">
        <v>42603</v>
      </c>
      <c r="J1969" s="13">
        <f t="shared" si="67"/>
        <v>0</v>
      </c>
      <c r="K1969" s="14"/>
      <c r="L1969" s="14"/>
      <c r="M1969" s="14"/>
      <c r="N1969" s="14"/>
      <c r="O1969" s="14"/>
      <c r="P1969" s="14"/>
      <c r="Q1969" s="14"/>
      <c r="R1969" s="14">
        <v>400</v>
      </c>
      <c r="S1969" s="14">
        <v>400</v>
      </c>
      <c r="T1969" s="14"/>
      <c r="U1969" s="14"/>
      <c r="V1969" s="14"/>
      <c r="W1969" s="15">
        <f t="shared" si="68"/>
        <v>800</v>
      </c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5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5"/>
      <c r="AX1969" s="16"/>
    </row>
    <row r="1970" spans="2:50" x14ac:dyDescent="0.2">
      <c r="B1970" s="7" t="s">
        <v>47</v>
      </c>
      <c r="C1970" s="8">
        <v>12652</v>
      </c>
      <c r="D1970" s="9" t="s">
        <v>1137</v>
      </c>
      <c r="E1970" s="10" t="s">
        <v>1138</v>
      </c>
      <c r="F1970" s="10" t="s">
        <v>651</v>
      </c>
      <c r="G1970" s="8">
        <v>4</v>
      </c>
      <c r="H1970" s="11">
        <v>200</v>
      </c>
      <c r="I1970" s="12">
        <v>42603</v>
      </c>
      <c r="J1970" s="13">
        <f t="shared" si="67"/>
        <v>0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5">
        <f t="shared" si="68"/>
        <v>0</v>
      </c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5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5"/>
      <c r="AX1970" s="7">
        <v>10451905</v>
      </c>
    </row>
    <row r="1971" spans="2:50" x14ac:dyDescent="0.2">
      <c r="B1971" s="7" t="s">
        <v>47</v>
      </c>
      <c r="C1971" s="8">
        <v>12653</v>
      </c>
      <c r="D1971" s="9" t="s">
        <v>132</v>
      </c>
      <c r="E1971" s="10" t="s">
        <v>133</v>
      </c>
      <c r="F1971" s="10" t="s">
        <v>134</v>
      </c>
      <c r="G1971" s="8">
        <v>1</v>
      </c>
      <c r="H1971" s="11">
        <v>300</v>
      </c>
      <c r="I1971" s="12">
        <v>42603</v>
      </c>
      <c r="J1971" s="13">
        <f t="shared" si="67"/>
        <v>0</v>
      </c>
      <c r="K1971" s="14"/>
      <c r="L1971" s="14"/>
      <c r="M1971" s="14"/>
      <c r="N1971" s="14"/>
      <c r="O1971" s="14"/>
      <c r="P1971" s="14"/>
      <c r="Q1971" s="14"/>
      <c r="R1971" s="14">
        <v>300</v>
      </c>
      <c r="S1971" s="14"/>
      <c r="T1971" s="14"/>
      <c r="U1971" s="14"/>
      <c r="V1971" s="14"/>
      <c r="W1971" s="15">
        <f t="shared" si="68"/>
        <v>300</v>
      </c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5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5"/>
      <c r="AX1971" s="16"/>
    </row>
    <row r="1972" spans="2:50" x14ac:dyDescent="0.2">
      <c r="B1972" s="7" t="s">
        <v>47</v>
      </c>
      <c r="C1972" s="8">
        <v>12654</v>
      </c>
      <c r="D1972" s="9" t="s">
        <v>620</v>
      </c>
      <c r="E1972" s="10" t="s">
        <v>621</v>
      </c>
      <c r="F1972" s="10" t="s">
        <v>366</v>
      </c>
      <c r="G1972" s="8">
        <v>1</v>
      </c>
      <c r="H1972" s="11">
        <v>800</v>
      </c>
      <c r="I1972" s="12">
        <v>42603</v>
      </c>
      <c r="J1972" s="13">
        <f t="shared" si="67"/>
        <v>0</v>
      </c>
      <c r="K1972" s="14"/>
      <c r="L1972" s="14"/>
      <c r="M1972" s="14"/>
      <c r="N1972" s="14"/>
      <c r="O1972" s="14"/>
      <c r="P1972" s="14">
        <v>400</v>
      </c>
      <c r="Q1972" s="14">
        <v>400</v>
      </c>
      <c r="R1972" s="14"/>
      <c r="S1972" s="14"/>
      <c r="T1972" s="14"/>
      <c r="U1972" s="14"/>
      <c r="V1972" s="14"/>
      <c r="W1972" s="15">
        <f t="shared" si="68"/>
        <v>800</v>
      </c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5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5"/>
      <c r="AX1972" s="16"/>
    </row>
    <row r="1973" spans="2:50" x14ac:dyDescent="0.2">
      <c r="B1973" s="7" t="s">
        <v>47</v>
      </c>
      <c r="C1973" s="8">
        <v>12655</v>
      </c>
      <c r="D1973" s="9" t="s">
        <v>1170</v>
      </c>
      <c r="E1973" s="10" t="s">
        <v>1171</v>
      </c>
      <c r="F1973" s="10" t="s">
        <v>389</v>
      </c>
      <c r="G1973" s="8">
        <v>1</v>
      </c>
      <c r="H1973" s="11">
        <v>400</v>
      </c>
      <c r="I1973" s="12">
        <v>42603</v>
      </c>
      <c r="J1973" s="13">
        <f t="shared" si="67"/>
        <v>0</v>
      </c>
      <c r="K1973" s="14">
        <v>400</v>
      </c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5">
        <f t="shared" si="68"/>
        <v>400</v>
      </c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5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5"/>
      <c r="AX1973" s="16"/>
    </row>
    <row r="1974" spans="2:50" x14ac:dyDescent="0.2">
      <c r="B1974" s="7" t="s">
        <v>37</v>
      </c>
      <c r="C1974" s="8">
        <v>12656</v>
      </c>
      <c r="D1974" s="9" t="s">
        <v>960</v>
      </c>
      <c r="E1974" s="10" t="s">
        <v>961</v>
      </c>
      <c r="F1974" s="10" t="s">
        <v>962</v>
      </c>
      <c r="G1974" s="8">
        <v>1</v>
      </c>
      <c r="H1974" s="11">
        <v>800</v>
      </c>
      <c r="I1974" s="12">
        <v>42603</v>
      </c>
      <c r="J1974" s="13">
        <f t="shared" si="67"/>
        <v>0</v>
      </c>
      <c r="K1974" s="14"/>
      <c r="L1974" s="14"/>
      <c r="M1974" s="14"/>
      <c r="N1974" s="14"/>
      <c r="O1974" s="14"/>
      <c r="P1974" s="14"/>
      <c r="Q1974" s="14"/>
      <c r="R1974" s="14">
        <v>400</v>
      </c>
      <c r="S1974" s="14">
        <v>400</v>
      </c>
      <c r="T1974" s="14"/>
      <c r="U1974" s="14"/>
      <c r="V1974" s="14"/>
      <c r="W1974" s="15">
        <f t="shared" si="68"/>
        <v>800</v>
      </c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5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5"/>
      <c r="AX1974" s="16"/>
    </row>
    <row r="1975" spans="2:50" x14ac:dyDescent="0.2">
      <c r="B1975" s="7" t="s">
        <v>47</v>
      </c>
      <c r="C1975" s="8">
        <v>12657</v>
      </c>
      <c r="D1975" s="9" t="s">
        <v>769</v>
      </c>
      <c r="E1975" s="10" t="s">
        <v>770</v>
      </c>
      <c r="F1975" s="10" t="s">
        <v>771</v>
      </c>
      <c r="G1975" s="8">
        <v>1</v>
      </c>
      <c r="H1975" s="11">
        <v>400</v>
      </c>
      <c r="I1975" s="12">
        <v>42603</v>
      </c>
      <c r="J1975" s="13">
        <f t="shared" si="67"/>
        <v>0</v>
      </c>
      <c r="K1975" s="14"/>
      <c r="L1975" s="14"/>
      <c r="M1975" s="14"/>
      <c r="N1975" s="14"/>
      <c r="O1975" s="14"/>
      <c r="P1975" s="14"/>
      <c r="Q1975" s="14">
        <v>400</v>
      </c>
      <c r="R1975" s="14"/>
      <c r="S1975" s="14"/>
      <c r="T1975" s="14"/>
      <c r="U1975" s="14"/>
      <c r="V1975" s="14"/>
      <c r="W1975" s="15">
        <f t="shared" si="68"/>
        <v>400</v>
      </c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5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5"/>
      <c r="AX1975" s="16"/>
    </row>
    <row r="1976" spans="2:50" x14ac:dyDescent="0.2">
      <c r="B1976" s="7" t="s">
        <v>122</v>
      </c>
      <c r="C1976" s="8">
        <v>12658</v>
      </c>
      <c r="D1976" s="9" t="s">
        <v>797</v>
      </c>
      <c r="E1976" s="10" t="s">
        <v>798</v>
      </c>
      <c r="F1976" s="10" t="s">
        <v>799</v>
      </c>
      <c r="G1976" s="8">
        <v>5</v>
      </c>
      <c r="H1976" s="11">
        <v>100</v>
      </c>
      <c r="I1976" s="12">
        <v>42603</v>
      </c>
      <c r="J1976" s="13">
        <f t="shared" si="67"/>
        <v>0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5">
        <f t="shared" si="68"/>
        <v>0</v>
      </c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5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5"/>
      <c r="AX1976" s="16"/>
    </row>
    <row r="1977" spans="2:50" x14ac:dyDescent="0.2">
      <c r="B1977" s="7" t="s">
        <v>37</v>
      </c>
      <c r="C1977" s="8">
        <v>12659</v>
      </c>
      <c r="D1977" s="9" t="s">
        <v>935</v>
      </c>
      <c r="E1977" s="10" t="s">
        <v>936</v>
      </c>
      <c r="F1977" s="10" t="s">
        <v>937</v>
      </c>
      <c r="G1977" s="8">
        <v>1</v>
      </c>
      <c r="H1977" s="11">
        <v>500</v>
      </c>
      <c r="I1977" s="12">
        <v>42603</v>
      </c>
      <c r="J1977" s="13">
        <f t="shared" si="67"/>
        <v>0</v>
      </c>
      <c r="K1977" s="14"/>
      <c r="L1977" s="14"/>
      <c r="M1977" s="14"/>
      <c r="N1977" s="14"/>
      <c r="O1977" s="14"/>
      <c r="P1977" s="14"/>
      <c r="Q1977" s="14"/>
      <c r="R1977" s="14">
        <v>250</v>
      </c>
      <c r="S1977" s="14">
        <v>250</v>
      </c>
      <c r="T1977" s="14"/>
      <c r="U1977" s="14"/>
      <c r="V1977" s="14"/>
      <c r="W1977" s="15">
        <f t="shared" si="68"/>
        <v>500</v>
      </c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5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5"/>
      <c r="AX1977" s="16"/>
    </row>
    <row r="1978" spans="2:50" x14ac:dyDescent="0.2">
      <c r="B1978" s="7" t="s">
        <v>47</v>
      </c>
      <c r="C1978" s="8">
        <v>12660</v>
      </c>
      <c r="D1978" s="9" t="s">
        <v>896</v>
      </c>
      <c r="E1978" s="10" t="s">
        <v>897</v>
      </c>
      <c r="F1978" s="10" t="s">
        <v>898</v>
      </c>
      <c r="G1978" s="8">
        <v>1</v>
      </c>
      <c r="H1978" s="11">
        <v>400</v>
      </c>
      <c r="I1978" s="12">
        <v>42603</v>
      </c>
      <c r="J1978" s="13">
        <f t="shared" si="67"/>
        <v>0</v>
      </c>
      <c r="K1978" s="14"/>
      <c r="L1978" s="14"/>
      <c r="M1978" s="14"/>
      <c r="N1978" s="14"/>
      <c r="O1978" s="14">
        <v>100</v>
      </c>
      <c r="P1978" s="14">
        <v>100</v>
      </c>
      <c r="Q1978" s="14">
        <v>100</v>
      </c>
      <c r="R1978" s="14">
        <v>100</v>
      </c>
      <c r="S1978" s="14"/>
      <c r="T1978" s="14"/>
      <c r="U1978" s="14"/>
      <c r="V1978" s="14"/>
      <c r="W1978" s="15">
        <f t="shared" si="68"/>
        <v>400</v>
      </c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5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5"/>
      <c r="AX1978" s="16"/>
    </row>
    <row r="1979" spans="2:50" x14ac:dyDescent="0.2">
      <c r="B1979" s="7" t="s">
        <v>47</v>
      </c>
      <c r="C1979" s="8">
        <v>12661</v>
      </c>
      <c r="D1979" s="9" t="s">
        <v>896</v>
      </c>
      <c r="E1979" s="10" t="s">
        <v>897</v>
      </c>
      <c r="F1979" s="10" t="s">
        <v>898</v>
      </c>
      <c r="G1979" s="8">
        <v>4</v>
      </c>
      <c r="H1979" s="11">
        <v>200</v>
      </c>
      <c r="I1979" s="12">
        <v>42603</v>
      </c>
      <c r="J1979" s="13">
        <f t="shared" si="67"/>
        <v>0</v>
      </c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5">
        <f t="shared" si="68"/>
        <v>0</v>
      </c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5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5"/>
      <c r="AX1979" s="7">
        <v>10451904</v>
      </c>
    </row>
    <row r="1980" spans="2:50" x14ac:dyDescent="0.2">
      <c r="B1980" s="7" t="s">
        <v>47</v>
      </c>
      <c r="C1980" s="8">
        <v>12661</v>
      </c>
      <c r="D1980" s="9" t="s">
        <v>896</v>
      </c>
      <c r="E1980" s="10" t="s">
        <v>897</v>
      </c>
      <c r="F1980" s="10" t="s">
        <v>898</v>
      </c>
      <c r="G1980" s="8">
        <v>5</v>
      </c>
      <c r="H1980" s="11">
        <v>100</v>
      </c>
      <c r="I1980" s="12">
        <v>42603</v>
      </c>
      <c r="J1980" s="13">
        <f t="shared" si="67"/>
        <v>0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5">
        <f t="shared" si="68"/>
        <v>0</v>
      </c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5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5"/>
      <c r="AX1980" s="16"/>
    </row>
    <row r="1981" spans="2:50" x14ac:dyDescent="0.2">
      <c r="B1981" s="7" t="s">
        <v>122</v>
      </c>
      <c r="C1981" s="8">
        <v>12662</v>
      </c>
      <c r="D1981" s="9" t="s">
        <v>310</v>
      </c>
      <c r="E1981" s="10" t="s">
        <v>311</v>
      </c>
      <c r="F1981" s="10" t="s">
        <v>312</v>
      </c>
      <c r="G1981" s="8">
        <v>1</v>
      </c>
      <c r="H1981" s="11">
        <v>400</v>
      </c>
      <c r="I1981" s="12">
        <v>42603</v>
      </c>
      <c r="J1981" s="13">
        <f t="shared" si="67"/>
        <v>0</v>
      </c>
      <c r="K1981" s="14"/>
      <c r="L1981" s="14"/>
      <c r="M1981" s="14"/>
      <c r="N1981" s="14"/>
      <c r="O1981" s="14"/>
      <c r="P1981" s="14"/>
      <c r="Q1981" s="14"/>
      <c r="R1981" s="14">
        <v>400</v>
      </c>
      <c r="S1981" s="14"/>
      <c r="T1981" s="14"/>
      <c r="U1981" s="14"/>
      <c r="V1981" s="14"/>
      <c r="W1981" s="15">
        <f t="shared" si="68"/>
        <v>400</v>
      </c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5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5"/>
      <c r="AX1981" s="16"/>
    </row>
    <row r="1982" spans="2:50" x14ac:dyDescent="0.2">
      <c r="B1982" s="7" t="s">
        <v>122</v>
      </c>
      <c r="C1982" s="8">
        <v>12663</v>
      </c>
      <c r="D1982" s="9" t="s">
        <v>310</v>
      </c>
      <c r="E1982" s="10" t="s">
        <v>311</v>
      </c>
      <c r="F1982" s="10" t="s">
        <v>312</v>
      </c>
      <c r="G1982" s="8">
        <v>5</v>
      </c>
      <c r="H1982" s="11">
        <v>50</v>
      </c>
      <c r="I1982" s="12">
        <v>42603</v>
      </c>
      <c r="J1982" s="13">
        <f t="shared" si="67"/>
        <v>0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5">
        <f t="shared" si="68"/>
        <v>0</v>
      </c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5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5"/>
      <c r="AX1982" s="16"/>
    </row>
    <row r="1983" spans="2:50" x14ac:dyDescent="0.2">
      <c r="B1983" s="7" t="s">
        <v>47</v>
      </c>
      <c r="C1983" s="8">
        <v>12664</v>
      </c>
      <c r="D1983" s="9" t="s">
        <v>425</v>
      </c>
      <c r="E1983" s="10" t="s">
        <v>426</v>
      </c>
      <c r="F1983" s="10" t="s">
        <v>427</v>
      </c>
      <c r="G1983" s="8">
        <v>3</v>
      </c>
      <c r="H1983" s="11">
        <v>200</v>
      </c>
      <c r="I1983" s="12">
        <v>42603</v>
      </c>
      <c r="J1983" s="13">
        <f t="shared" si="67"/>
        <v>0</v>
      </c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5">
        <f t="shared" si="68"/>
        <v>0</v>
      </c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5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5"/>
      <c r="AX1983" s="16"/>
    </row>
    <row r="1984" spans="2:50" x14ac:dyDescent="0.2">
      <c r="B1984" s="7" t="s">
        <v>69</v>
      </c>
      <c r="C1984" s="8">
        <v>12665</v>
      </c>
      <c r="D1984" s="9" t="s">
        <v>437</v>
      </c>
      <c r="E1984" s="10" t="s">
        <v>438</v>
      </c>
      <c r="F1984" s="10" t="s">
        <v>439</v>
      </c>
      <c r="G1984" s="8">
        <v>1</v>
      </c>
      <c r="H1984" s="11">
        <v>400</v>
      </c>
      <c r="I1984" s="12">
        <v>42603</v>
      </c>
      <c r="J1984" s="13">
        <f t="shared" si="67"/>
        <v>0</v>
      </c>
      <c r="K1984" s="14"/>
      <c r="L1984" s="14"/>
      <c r="M1984" s="14"/>
      <c r="N1984" s="14"/>
      <c r="O1984" s="14"/>
      <c r="P1984" s="14"/>
      <c r="Q1984" s="14"/>
      <c r="R1984" s="14">
        <v>400</v>
      </c>
      <c r="S1984" s="14"/>
      <c r="T1984" s="14"/>
      <c r="U1984" s="14"/>
      <c r="V1984" s="14"/>
      <c r="W1984" s="15">
        <f t="shared" si="68"/>
        <v>400</v>
      </c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5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5"/>
      <c r="AX1984" s="16"/>
    </row>
    <row r="1985" spans="2:50" x14ac:dyDescent="0.2">
      <c r="B1985" s="7" t="s">
        <v>69</v>
      </c>
      <c r="C1985" s="8">
        <v>12666</v>
      </c>
      <c r="D1985" s="9" t="s">
        <v>696</v>
      </c>
      <c r="E1985" s="10" t="s">
        <v>697</v>
      </c>
      <c r="F1985" s="10" t="s">
        <v>698</v>
      </c>
      <c r="G1985" s="8">
        <v>1</v>
      </c>
      <c r="H1985" s="11">
        <v>300</v>
      </c>
      <c r="I1985" s="12">
        <v>42603</v>
      </c>
      <c r="J1985" s="13">
        <f t="shared" si="67"/>
        <v>0</v>
      </c>
      <c r="K1985" s="14"/>
      <c r="L1985" s="14"/>
      <c r="M1985" s="14"/>
      <c r="N1985" s="14"/>
      <c r="O1985" s="14"/>
      <c r="P1985" s="14"/>
      <c r="Q1985" s="14"/>
      <c r="R1985" s="14">
        <v>300</v>
      </c>
      <c r="S1985" s="14"/>
      <c r="T1985" s="14"/>
      <c r="U1985" s="14"/>
      <c r="V1985" s="14"/>
      <c r="W1985" s="15">
        <f t="shared" si="68"/>
        <v>300</v>
      </c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5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5"/>
      <c r="AX1985" s="16"/>
    </row>
    <row r="1986" spans="2:50" x14ac:dyDescent="0.2">
      <c r="B1986" s="7" t="s">
        <v>77</v>
      </c>
      <c r="C1986" s="8">
        <v>12667</v>
      </c>
      <c r="D1986" s="9" t="s">
        <v>652</v>
      </c>
      <c r="E1986" s="10" t="s">
        <v>653</v>
      </c>
      <c r="F1986" s="10" t="s">
        <v>654</v>
      </c>
      <c r="G1986" s="8">
        <v>1</v>
      </c>
      <c r="H1986" s="11">
        <v>400</v>
      </c>
      <c r="I1986" s="12">
        <v>42603</v>
      </c>
      <c r="J1986" s="13">
        <f t="shared" si="67"/>
        <v>0</v>
      </c>
      <c r="K1986" s="14"/>
      <c r="L1986" s="14"/>
      <c r="M1986" s="14"/>
      <c r="N1986" s="14"/>
      <c r="O1986" s="14"/>
      <c r="P1986" s="14">
        <v>400</v>
      </c>
      <c r="Q1986" s="14"/>
      <c r="R1986" s="14"/>
      <c r="S1986" s="14"/>
      <c r="T1986" s="14"/>
      <c r="U1986" s="14"/>
      <c r="V1986" s="14"/>
      <c r="W1986" s="15">
        <f t="shared" si="68"/>
        <v>400</v>
      </c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5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5"/>
      <c r="AX1986" s="16"/>
    </row>
    <row r="1987" spans="2:50" x14ac:dyDescent="0.2">
      <c r="B1987" s="7" t="s">
        <v>47</v>
      </c>
      <c r="C1987" s="8">
        <v>12668</v>
      </c>
      <c r="D1987" s="9" t="s">
        <v>1095</v>
      </c>
      <c r="E1987" s="10" t="s">
        <v>1096</v>
      </c>
      <c r="F1987" s="10" t="s">
        <v>765</v>
      </c>
      <c r="G1987" s="8">
        <v>5</v>
      </c>
      <c r="H1987" s="11">
        <v>50</v>
      </c>
      <c r="I1987" s="12">
        <v>42603</v>
      </c>
      <c r="J1987" s="13">
        <f t="shared" si="67"/>
        <v>0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5">
        <f t="shared" si="68"/>
        <v>0</v>
      </c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5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5"/>
      <c r="AX1987" s="16"/>
    </row>
    <row r="1988" spans="2:50" x14ac:dyDescent="0.2">
      <c r="B1988" s="7" t="s">
        <v>47</v>
      </c>
      <c r="C1988" s="8">
        <v>12669</v>
      </c>
      <c r="D1988" s="9" t="s">
        <v>1137</v>
      </c>
      <c r="E1988" s="10" t="s">
        <v>1138</v>
      </c>
      <c r="F1988" s="10" t="s">
        <v>651</v>
      </c>
      <c r="G1988" s="8">
        <v>3</v>
      </c>
      <c r="H1988" s="11">
        <v>200</v>
      </c>
      <c r="I1988" s="12">
        <v>42603</v>
      </c>
      <c r="J1988" s="13">
        <f t="shared" si="67"/>
        <v>0</v>
      </c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5">
        <f t="shared" si="68"/>
        <v>0</v>
      </c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5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5"/>
      <c r="AX1988" s="16"/>
    </row>
    <row r="1989" spans="2:50" x14ac:dyDescent="0.2">
      <c r="B1989" s="7" t="s">
        <v>37</v>
      </c>
      <c r="C1989" s="8">
        <v>12670</v>
      </c>
      <c r="D1989" s="9" t="s">
        <v>716</v>
      </c>
      <c r="E1989" s="10" t="s">
        <v>717</v>
      </c>
      <c r="F1989" s="10" t="s">
        <v>718</v>
      </c>
      <c r="G1989" s="8">
        <v>5</v>
      </c>
      <c r="H1989" s="11">
        <v>50</v>
      </c>
      <c r="I1989" s="12">
        <v>42603</v>
      </c>
      <c r="J1989" s="13">
        <f t="shared" si="67"/>
        <v>0</v>
      </c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5">
        <f t="shared" si="68"/>
        <v>0</v>
      </c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5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5"/>
      <c r="AX1989" s="16"/>
    </row>
    <row r="1990" spans="2:50" x14ac:dyDescent="0.2">
      <c r="B1990" s="7" t="s">
        <v>73</v>
      </c>
      <c r="C1990" s="8">
        <v>12671</v>
      </c>
      <c r="D1990" s="9" t="s">
        <v>1017</v>
      </c>
      <c r="E1990" s="10" t="s">
        <v>1018</v>
      </c>
      <c r="F1990" s="10" t="s">
        <v>1019</v>
      </c>
      <c r="G1990" s="8">
        <v>1</v>
      </c>
      <c r="H1990" s="11">
        <v>400</v>
      </c>
      <c r="I1990" s="12">
        <v>42603</v>
      </c>
      <c r="J1990" s="13">
        <f t="shared" si="67"/>
        <v>0</v>
      </c>
      <c r="K1990" s="14"/>
      <c r="L1990" s="14"/>
      <c r="M1990" s="14"/>
      <c r="N1990" s="14"/>
      <c r="O1990" s="14"/>
      <c r="P1990" s="14"/>
      <c r="Q1990" s="14">
        <v>200</v>
      </c>
      <c r="R1990" s="14">
        <v>200</v>
      </c>
      <c r="S1990" s="14"/>
      <c r="T1990" s="14"/>
      <c r="U1990" s="14"/>
      <c r="V1990" s="14"/>
      <c r="W1990" s="15">
        <f t="shared" si="68"/>
        <v>400</v>
      </c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5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5"/>
      <c r="AX1990" s="16"/>
    </row>
    <row r="1991" spans="2:50" x14ac:dyDescent="0.2">
      <c r="B1991" s="7" t="s">
        <v>73</v>
      </c>
      <c r="C1991" s="8">
        <v>12672</v>
      </c>
      <c r="D1991" s="9" t="s">
        <v>277</v>
      </c>
      <c r="E1991" s="10" t="s">
        <v>278</v>
      </c>
      <c r="F1991" s="10" t="s">
        <v>279</v>
      </c>
      <c r="G1991" s="8">
        <v>1</v>
      </c>
      <c r="H1991" s="11">
        <v>400</v>
      </c>
      <c r="I1991" s="12">
        <v>42603</v>
      </c>
      <c r="J1991" s="13">
        <f t="shared" si="67"/>
        <v>0</v>
      </c>
      <c r="K1991" s="14"/>
      <c r="L1991" s="14"/>
      <c r="M1991" s="14"/>
      <c r="N1991" s="14"/>
      <c r="O1991" s="14"/>
      <c r="P1991" s="14"/>
      <c r="Q1991" s="14"/>
      <c r="R1991" s="14">
        <v>200</v>
      </c>
      <c r="S1991" s="14">
        <v>200</v>
      </c>
      <c r="T1991" s="14"/>
      <c r="U1991" s="14"/>
      <c r="V1991" s="14"/>
      <c r="W1991" s="15">
        <f t="shared" si="68"/>
        <v>400</v>
      </c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5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5"/>
      <c r="AX1991" s="16"/>
    </row>
    <row r="1992" spans="2:50" x14ac:dyDescent="0.2">
      <c r="B1992" s="7" t="s">
        <v>69</v>
      </c>
      <c r="C1992" s="8">
        <v>12673</v>
      </c>
      <c r="D1992" s="9" t="s">
        <v>871</v>
      </c>
      <c r="E1992" s="10" t="s">
        <v>872</v>
      </c>
      <c r="F1992" s="10" t="s">
        <v>873</v>
      </c>
      <c r="G1992" s="8">
        <v>1</v>
      </c>
      <c r="H1992" s="11">
        <v>200</v>
      </c>
      <c r="I1992" s="12">
        <v>42603</v>
      </c>
      <c r="J1992" s="13">
        <f t="shared" si="67"/>
        <v>0</v>
      </c>
      <c r="K1992" s="14"/>
      <c r="L1992" s="14"/>
      <c r="M1992" s="14">
        <v>200</v>
      </c>
      <c r="N1992" s="14"/>
      <c r="O1992" s="14"/>
      <c r="P1992" s="14"/>
      <c r="Q1992" s="14"/>
      <c r="R1992" s="14"/>
      <c r="S1992" s="14"/>
      <c r="T1992" s="14"/>
      <c r="U1992" s="14"/>
      <c r="V1992" s="14"/>
      <c r="W1992" s="15">
        <f t="shared" si="68"/>
        <v>200</v>
      </c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5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5"/>
      <c r="AX1992" s="16"/>
    </row>
    <row r="1993" spans="2:50" x14ac:dyDescent="0.2">
      <c r="B1993" s="7" t="s">
        <v>69</v>
      </c>
      <c r="C1993" s="8">
        <v>12674</v>
      </c>
      <c r="D1993" s="9" t="s">
        <v>893</v>
      </c>
      <c r="E1993" s="10" t="s">
        <v>894</v>
      </c>
      <c r="F1993" s="10" t="s">
        <v>895</v>
      </c>
      <c r="G1993" s="8">
        <v>1</v>
      </c>
      <c r="H1993" s="11">
        <v>400</v>
      </c>
      <c r="I1993" s="12">
        <v>42603</v>
      </c>
      <c r="J1993" s="13">
        <f t="shared" si="67"/>
        <v>0</v>
      </c>
      <c r="K1993" s="14"/>
      <c r="L1993" s="14"/>
      <c r="M1993" s="14"/>
      <c r="N1993" s="14"/>
      <c r="O1993" s="14"/>
      <c r="P1993" s="14"/>
      <c r="Q1993" s="14"/>
      <c r="R1993" s="14">
        <v>400</v>
      </c>
      <c r="S1993" s="14"/>
      <c r="T1993" s="14"/>
      <c r="U1993" s="14"/>
      <c r="V1993" s="14"/>
      <c r="W1993" s="15">
        <f t="shared" si="68"/>
        <v>400</v>
      </c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5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5"/>
      <c r="AX1993" s="16"/>
    </row>
    <row r="1994" spans="2:50" x14ac:dyDescent="0.2">
      <c r="B1994" s="7" t="s">
        <v>37</v>
      </c>
      <c r="C1994" s="8">
        <v>12675</v>
      </c>
      <c r="D1994" s="9" t="s">
        <v>526</v>
      </c>
      <c r="E1994" s="10" t="s">
        <v>527</v>
      </c>
      <c r="F1994" s="10" t="s">
        <v>528</v>
      </c>
      <c r="G1994" s="8">
        <v>1</v>
      </c>
      <c r="H1994" s="11">
        <v>600</v>
      </c>
      <c r="I1994" s="12">
        <v>42603</v>
      </c>
      <c r="J1994" s="13">
        <f t="shared" si="67"/>
        <v>0</v>
      </c>
      <c r="K1994" s="14"/>
      <c r="L1994" s="14"/>
      <c r="M1994" s="14"/>
      <c r="N1994" s="14"/>
      <c r="O1994" s="14"/>
      <c r="P1994" s="14"/>
      <c r="Q1994" s="14">
        <v>300</v>
      </c>
      <c r="R1994" s="14">
        <v>300</v>
      </c>
      <c r="S1994" s="14"/>
      <c r="T1994" s="14"/>
      <c r="U1994" s="14"/>
      <c r="V1994" s="14"/>
      <c r="W1994" s="15">
        <f t="shared" si="68"/>
        <v>600</v>
      </c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5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5"/>
      <c r="AX1994" s="16"/>
    </row>
    <row r="1995" spans="2:50" x14ac:dyDescent="0.2">
      <c r="B1995" s="7" t="s">
        <v>73</v>
      </c>
      <c r="C1995" s="8">
        <v>12676</v>
      </c>
      <c r="D1995" s="9" t="s">
        <v>529</v>
      </c>
      <c r="E1995" s="10" t="s">
        <v>530</v>
      </c>
      <c r="F1995" s="10" t="s">
        <v>531</v>
      </c>
      <c r="G1995" s="8">
        <v>1</v>
      </c>
      <c r="H1995" s="11">
        <v>1200</v>
      </c>
      <c r="I1995" s="12">
        <v>42607</v>
      </c>
      <c r="J1995" s="13">
        <f t="shared" si="67"/>
        <v>0</v>
      </c>
      <c r="K1995" s="14"/>
      <c r="L1995" s="14"/>
      <c r="M1995" s="14"/>
      <c r="N1995" s="14"/>
      <c r="O1995" s="14"/>
      <c r="P1995" s="14"/>
      <c r="Q1995" s="14">
        <v>400</v>
      </c>
      <c r="R1995" s="14">
        <v>400</v>
      </c>
      <c r="S1995" s="14">
        <v>400</v>
      </c>
      <c r="T1995" s="14"/>
      <c r="U1995" s="14"/>
      <c r="V1995" s="14"/>
      <c r="W1995" s="15">
        <f t="shared" si="68"/>
        <v>1200</v>
      </c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5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5"/>
      <c r="AX1995" s="16"/>
    </row>
    <row r="1996" spans="2:50" x14ac:dyDescent="0.2">
      <c r="B1996" s="7" t="s">
        <v>122</v>
      </c>
      <c r="C1996" s="8">
        <v>12677</v>
      </c>
      <c r="D1996" s="9" t="s">
        <v>217</v>
      </c>
      <c r="E1996" s="10" t="s">
        <v>218</v>
      </c>
      <c r="F1996" s="10" t="s">
        <v>219</v>
      </c>
      <c r="G1996" s="8">
        <v>1</v>
      </c>
      <c r="H1996" s="11">
        <v>600</v>
      </c>
      <c r="I1996" s="12">
        <v>42607</v>
      </c>
      <c r="J1996" s="13">
        <f t="shared" si="67"/>
        <v>0</v>
      </c>
      <c r="K1996" s="14"/>
      <c r="L1996" s="14"/>
      <c r="M1996" s="14"/>
      <c r="N1996" s="14"/>
      <c r="O1996" s="14"/>
      <c r="P1996" s="14"/>
      <c r="Q1996" s="14"/>
      <c r="R1996" s="14">
        <v>300</v>
      </c>
      <c r="S1996" s="14">
        <v>300</v>
      </c>
      <c r="T1996" s="14"/>
      <c r="U1996" s="14"/>
      <c r="V1996" s="14"/>
      <c r="W1996" s="15">
        <f t="shared" si="68"/>
        <v>600</v>
      </c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5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5"/>
      <c r="AX1996" s="16"/>
    </row>
    <row r="1997" spans="2:50" x14ac:dyDescent="0.2">
      <c r="B1997" s="7" t="s">
        <v>77</v>
      </c>
      <c r="C1997" s="8">
        <v>12678</v>
      </c>
      <c r="D1997" s="9" t="s">
        <v>777</v>
      </c>
      <c r="E1997" s="10" t="s">
        <v>778</v>
      </c>
      <c r="F1997" s="10" t="s">
        <v>779</v>
      </c>
      <c r="G1997" s="8">
        <v>4</v>
      </c>
      <c r="H1997" s="11">
        <v>200</v>
      </c>
      <c r="I1997" s="12">
        <v>42607</v>
      </c>
      <c r="J1997" s="13">
        <f t="shared" si="67"/>
        <v>0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5">
        <f t="shared" si="68"/>
        <v>0</v>
      </c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5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5"/>
      <c r="AX1997" s="7">
        <v>10451884</v>
      </c>
    </row>
    <row r="1998" spans="2:50" x14ac:dyDescent="0.2">
      <c r="B1998" s="7" t="s">
        <v>69</v>
      </c>
      <c r="C1998" s="8">
        <v>12679</v>
      </c>
      <c r="D1998" s="9" t="s">
        <v>831</v>
      </c>
      <c r="E1998" s="10" t="s">
        <v>832</v>
      </c>
      <c r="F1998" s="10" t="s">
        <v>833</v>
      </c>
      <c r="G1998" s="8">
        <v>1</v>
      </c>
      <c r="H1998" s="11">
        <v>800</v>
      </c>
      <c r="I1998" s="12">
        <v>42607</v>
      </c>
      <c r="J1998" s="13">
        <f t="shared" si="67"/>
        <v>0</v>
      </c>
      <c r="K1998" s="14"/>
      <c r="L1998" s="14"/>
      <c r="M1998" s="14"/>
      <c r="N1998" s="14"/>
      <c r="O1998" s="14"/>
      <c r="P1998" s="14"/>
      <c r="Q1998" s="14"/>
      <c r="R1998" s="14">
        <v>400</v>
      </c>
      <c r="S1998" s="14">
        <v>400</v>
      </c>
      <c r="T1998" s="14"/>
      <c r="U1998" s="14"/>
      <c r="V1998" s="14"/>
      <c r="W1998" s="15">
        <f t="shared" si="68"/>
        <v>800</v>
      </c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5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5"/>
      <c r="AX1998" s="16"/>
    </row>
    <row r="1999" spans="2:50" x14ac:dyDescent="0.2">
      <c r="B1999" s="7" t="s">
        <v>122</v>
      </c>
      <c r="C1999" s="8">
        <v>12680</v>
      </c>
      <c r="D1999" s="9" t="s">
        <v>256</v>
      </c>
      <c r="E1999" s="10" t="s">
        <v>257</v>
      </c>
      <c r="F1999" s="10" t="s">
        <v>258</v>
      </c>
      <c r="G1999" s="8">
        <v>1</v>
      </c>
      <c r="H1999" s="11">
        <v>300</v>
      </c>
      <c r="I1999" s="12">
        <v>42610</v>
      </c>
      <c r="J1999" s="13">
        <f t="shared" ref="J1999:J2062" si="69">IF(G1999=1,SUM(W1999,-H1999),0)</f>
        <v>0</v>
      </c>
      <c r="K1999" s="14"/>
      <c r="L1999" s="14"/>
      <c r="M1999" s="14"/>
      <c r="N1999" s="14"/>
      <c r="O1999" s="14"/>
      <c r="P1999" s="14"/>
      <c r="Q1999" s="14"/>
      <c r="R1999" s="14">
        <v>300</v>
      </c>
      <c r="S1999" s="14"/>
      <c r="T1999" s="14"/>
      <c r="U1999" s="14"/>
      <c r="V1999" s="14"/>
      <c r="W1999" s="15">
        <f t="shared" ref="W1999:W2062" si="70">SUM(K1999:V1999)</f>
        <v>300</v>
      </c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5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5"/>
      <c r="AX1999" s="16"/>
    </row>
    <row r="2000" spans="2:50" x14ac:dyDescent="0.2">
      <c r="B2000" s="7" t="s">
        <v>69</v>
      </c>
      <c r="C2000" s="8">
        <v>12681</v>
      </c>
      <c r="D2000" s="9" t="s">
        <v>608</v>
      </c>
      <c r="E2000" s="10" t="s">
        <v>609</v>
      </c>
      <c r="F2000" s="10" t="s">
        <v>610</v>
      </c>
      <c r="G2000" s="8">
        <v>1</v>
      </c>
      <c r="H2000" s="11">
        <v>800</v>
      </c>
      <c r="I2000" s="12">
        <v>42610</v>
      </c>
      <c r="J2000" s="13">
        <f t="shared" si="69"/>
        <v>0</v>
      </c>
      <c r="K2000" s="14"/>
      <c r="L2000" s="14"/>
      <c r="M2000" s="14"/>
      <c r="N2000" s="14"/>
      <c r="O2000" s="14"/>
      <c r="P2000" s="14"/>
      <c r="Q2000" s="14">
        <v>400</v>
      </c>
      <c r="R2000" s="14">
        <v>400</v>
      </c>
      <c r="S2000" s="14"/>
      <c r="T2000" s="14"/>
      <c r="U2000" s="14"/>
      <c r="V2000" s="14"/>
      <c r="W2000" s="15">
        <f t="shared" si="70"/>
        <v>800</v>
      </c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5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5"/>
      <c r="AX2000" s="16"/>
    </row>
    <row r="2001" spans="2:50" x14ac:dyDescent="0.2">
      <c r="B2001" s="7" t="s">
        <v>69</v>
      </c>
      <c r="C2001" s="8">
        <v>12682</v>
      </c>
      <c r="D2001" s="9" t="s">
        <v>608</v>
      </c>
      <c r="E2001" s="10" t="s">
        <v>609</v>
      </c>
      <c r="F2001" s="10" t="s">
        <v>610</v>
      </c>
      <c r="G2001" s="8">
        <v>5</v>
      </c>
      <c r="H2001" s="11">
        <v>50</v>
      </c>
      <c r="I2001" s="12">
        <v>42610</v>
      </c>
      <c r="J2001" s="13">
        <f t="shared" si="69"/>
        <v>0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5">
        <f t="shared" si="70"/>
        <v>0</v>
      </c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5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5"/>
      <c r="AX2001" s="16"/>
    </row>
    <row r="2002" spans="2:50" x14ac:dyDescent="0.2">
      <c r="B2002" s="7" t="s">
        <v>69</v>
      </c>
      <c r="C2002" s="8">
        <v>12683</v>
      </c>
      <c r="D2002" s="9" t="s">
        <v>1172</v>
      </c>
      <c r="E2002" s="10" t="s">
        <v>1173</v>
      </c>
      <c r="F2002" s="10" t="s">
        <v>1147</v>
      </c>
      <c r="G2002" s="8">
        <v>5</v>
      </c>
      <c r="H2002" s="11">
        <v>50</v>
      </c>
      <c r="I2002" s="12">
        <v>42610</v>
      </c>
      <c r="J2002" s="13">
        <f t="shared" si="69"/>
        <v>0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5">
        <f t="shared" si="70"/>
        <v>0</v>
      </c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5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5"/>
      <c r="AX2002" s="16"/>
    </row>
    <row r="2003" spans="2:50" x14ac:dyDescent="0.2">
      <c r="B2003" s="7" t="s">
        <v>47</v>
      </c>
      <c r="C2003" s="8">
        <v>12684</v>
      </c>
      <c r="D2003" s="9" t="s">
        <v>48</v>
      </c>
      <c r="E2003" s="10" t="s">
        <v>49</v>
      </c>
      <c r="F2003" s="10" t="s">
        <v>50</v>
      </c>
      <c r="G2003" s="8">
        <v>1</v>
      </c>
      <c r="H2003" s="11">
        <v>800</v>
      </c>
      <c r="I2003" s="12">
        <v>42610</v>
      </c>
      <c r="J2003" s="13">
        <f t="shared" si="69"/>
        <v>0</v>
      </c>
      <c r="K2003" s="14"/>
      <c r="L2003" s="14"/>
      <c r="M2003" s="14"/>
      <c r="N2003" s="14"/>
      <c r="O2003" s="14"/>
      <c r="P2003" s="14"/>
      <c r="Q2003" s="14"/>
      <c r="R2003" s="14">
        <v>400</v>
      </c>
      <c r="S2003" s="14">
        <v>400</v>
      </c>
      <c r="T2003" s="14"/>
      <c r="U2003" s="14"/>
      <c r="V2003" s="14"/>
      <c r="W2003" s="15">
        <f t="shared" si="70"/>
        <v>800</v>
      </c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5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5"/>
      <c r="AX2003" s="16"/>
    </row>
    <row r="2004" spans="2:50" x14ac:dyDescent="0.2">
      <c r="B2004" s="7" t="s">
        <v>73</v>
      </c>
      <c r="C2004" s="8">
        <v>12685</v>
      </c>
      <c r="D2004" s="9" t="s">
        <v>544</v>
      </c>
      <c r="E2004" s="10" t="s">
        <v>545</v>
      </c>
      <c r="F2004" s="10" t="s">
        <v>546</v>
      </c>
      <c r="G2004" s="8">
        <v>1</v>
      </c>
      <c r="H2004" s="11">
        <v>800</v>
      </c>
      <c r="I2004" s="12">
        <v>42610</v>
      </c>
      <c r="J2004" s="13">
        <f t="shared" si="69"/>
        <v>0</v>
      </c>
      <c r="K2004" s="14"/>
      <c r="L2004" s="14"/>
      <c r="M2004" s="14"/>
      <c r="N2004" s="14"/>
      <c r="O2004" s="14"/>
      <c r="P2004" s="14"/>
      <c r="Q2004" s="14">
        <v>400</v>
      </c>
      <c r="R2004" s="14">
        <v>400</v>
      </c>
      <c r="S2004" s="14"/>
      <c r="T2004" s="14"/>
      <c r="U2004" s="14"/>
      <c r="V2004" s="14"/>
      <c r="W2004" s="15">
        <f t="shared" si="70"/>
        <v>800</v>
      </c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5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5"/>
      <c r="AX2004" s="16"/>
    </row>
    <row r="2005" spans="2:50" x14ac:dyDescent="0.2">
      <c r="B2005" s="7" t="s">
        <v>73</v>
      </c>
      <c r="C2005" s="8">
        <v>12685</v>
      </c>
      <c r="D2005" s="9" t="s">
        <v>544</v>
      </c>
      <c r="E2005" s="10" t="s">
        <v>545</v>
      </c>
      <c r="F2005" s="10" t="s">
        <v>546</v>
      </c>
      <c r="G2005" s="8">
        <v>5</v>
      </c>
      <c r="H2005" s="11">
        <v>100</v>
      </c>
      <c r="I2005" s="12">
        <v>42610</v>
      </c>
      <c r="J2005" s="13">
        <f t="shared" si="69"/>
        <v>0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5">
        <f t="shared" si="70"/>
        <v>0</v>
      </c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5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5"/>
      <c r="AX2005" s="16"/>
    </row>
    <row r="2006" spans="2:50" x14ac:dyDescent="0.2">
      <c r="B2006" s="7" t="s">
        <v>61</v>
      </c>
      <c r="C2006" s="8">
        <v>12686</v>
      </c>
      <c r="D2006" s="9" t="s">
        <v>663</v>
      </c>
      <c r="E2006" s="10" t="s">
        <v>664</v>
      </c>
      <c r="F2006" s="10" t="s">
        <v>665</v>
      </c>
      <c r="G2006" s="8">
        <v>1</v>
      </c>
      <c r="H2006" s="11">
        <v>800</v>
      </c>
      <c r="I2006" s="12">
        <v>42610</v>
      </c>
      <c r="J2006" s="13">
        <f t="shared" si="69"/>
        <v>0</v>
      </c>
      <c r="K2006" s="14"/>
      <c r="L2006" s="14"/>
      <c r="M2006" s="14"/>
      <c r="N2006" s="14"/>
      <c r="O2006" s="14"/>
      <c r="P2006" s="14"/>
      <c r="Q2006" s="14">
        <v>400</v>
      </c>
      <c r="R2006" s="14">
        <v>400</v>
      </c>
      <c r="S2006" s="14"/>
      <c r="T2006" s="14"/>
      <c r="U2006" s="14"/>
      <c r="V2006" s="14"/>
      <c r="W2006" s="15">
        <f t="shared" si="70"/>
        <v>800</v>
      </c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5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5"/>
      <c r="AX2006" s="16"/>
    </row>
    <row r="2007" spans="2:50" x14ac:dyDescent="0.2">
      <c r="B2007" s="7" t="s">
        <v>47</v>
      </c>
      <c r="C2007" s="8">
        <v>12687</v>
      </c>
      <c r="D2007" s="9" t="s">
        <v>464</v>
      </c>
      <c r="E2007" s="10" t="s">
        <v>465</v>
      </c>
      <c r="F2007" s="10" t="s">
        <v>466</v>
      </c>
      <c r="G2007" s="8">
        <v>1</v>
      </c>
      <c r="H2007" s="11">
        <v>400</v>
      </c>
      <c r="I2007" s="12">
        <v>42610</v>
      </c>
      <c r="J2007" s="13">
        <f t="shared" si="69"/>
        <v>0</v>
      </c>
      <c r="K2007" s="14"/>
      <c r="L2007" s="14"/>
      <c r="M2007" s="14"/>
      <c r="N2007" s="14"/>
      <c r="O2007" s="14"/>
      <c r="P2007" s="14"/>
      <c r="Q2007" s="14"/>
      <c r="R2007" s="14">
        <v>200</v>
      </c>
      <c r="S2007" s="14">
        <v>200</v>
      </c>
      <c r="T2007" s="14"/>
      <c r="U2007" s="14"/>
      <c r="V2007" s="14"/>
      <c r="W2007" s="15">
        <f t="shared" si="70"/>
        <v>400</v>
      </c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5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5"/>
      <c r="AX2007" s="16"/>
    </row>
    <row r="2008" spans="2:50" x14ac:dyDescent="0.2">
      <c r="B2008" s="7" t="s">
        <v>37</v>
      </c>
      <c r="C2008" s="8">
        <v>12688</v>
      </c>
      <c r="D2008" s="9" t="s">
        <v>1167</v>
      </c>
      <c r="E2008" s="10" t="s">
        <v>1168</v>
      </c>
      <c r="F2008" s="10" t="s">
        <v>1169</v>
      </c>
      <c r="G2008" s="8">
        <v>5</v>
      </c>
      <c r="H2008" s="11">
        <v>50</v>
      </c>
      <c r="I2008" s="12">
        <v>42610</v>
      </c>
      <c r="J2008" s="13">
        <f t="shared" si="69"/>
        <v>0</v>
      </c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5">
        <f t="shared" si="70"/>
        <v>0</v>
      </c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5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5"/>
      <c r="AX2008" s="16"/>
    </row>
    <row r="2009" spans="2:50" x14ac:dyDescent="0.2">
      <c r="B2009" s="7" t="s">
        <v>69</v>
      </c>
      <c r="C2009" s="8">
        <v>12689</v>
      </c>
      <c r="D2009" s="9" t="s">
        <v>1039</v>
      </c>
      <c r="E2009" s="10" t="s">
        <v>1040</v>
      </c>
      <c r="F2009" s="10" t="s">
        <v>1041</v>
      </c>
      <c r="G2009" s="8">
        <v>1</v>
      </c>
      <c r="H2009" s="11">
        <v>400</v>
      </c>
      <c r="I2009" s="12">
        <v>42610</v>
      </c>
      <c r="J2009" s="13">
        <f t="shared" si="69"/>
        <v>0</v>
      </c>
      <c r="K2009" s="14"/>
      <c r="L2009" s="14"/>
      <c r="M2009" s="14"/>
      <c r="N2009" s="14"/>
      <c r="O2009" s="14"/>
      <c r="P2009" s="14"/>
      <c r="Q2009" s="14"/>
      <c r="R2009" s="14">
        <v>400</v>
      </c>
      <c r="S2009" s="14"/>
      <c r="T2009" s="14"/>
      <c r="U2009" s="14"/>
      <c r="V2009" s="14"/>
      <c r="W2009" s="15">
        <f t="shared" si="70"/>
        <v>400</v>
      </c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5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5"/>
      <c r="AX2009" s="16"/>
    </row>
    <row r="2010" spans="2:50" x14ac:dyDescent="0.2">
      <c r="B2010" s="7" t="s">
        <v>37</v>
      </c>
      <c r="C2010" s="8">
        <v>12690</v>
      </c>
      <c r="D2010" s="9" t="s">
        <v>794</v>
      </c>
      <c r="E2010" s="10" t="s">
        <v>795</v>
      </c>
      <c r="F2010" s="10" t="s">
        <v>796</v>
      </c>
      <c r="G2010" s="8">
        <v>1</v>
      </c>
      <c r="H2010" s="11">
        <v>300</v>
      </c>
      <c r="I2010" s="12">
        <v>42610</v>
      </c>
      <c r="J2010" s="13">
        <f t="shared" si="69"/>
        <v>0</v>
      </c>
      <c r="K2010" s="14"/>
      <c r="L2010" s="14"/>
      <c r="M2010" s="14"/>
      <c r="N2010" s="14"/>
      <c r="O2010" s="14"/>
      <c r="P2010" s="14"/>
      <c r="Q2010" s="14"/>
      <c r="R2010" s="14">
        <v>300</v>
      </c>
      <c r="S2010" s="14"/>
      <c r="T2010" s="14"/>
      <c r="U2010" s="14"/>
      <c r="V2010" s="14"/>
      <c r="W2010" s="15">
        <f t="shared" si="70"/>
        <v>300</v>
      </c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5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5"/>
      <c r="AX2010" s="16"/>
    </row>
    <row r="2011" spans="2:50" x14ac:dyDescent="0.2">
      <c r="B2011" s="7" t="s">
        <v>37</v>
      </c>
      <c r="C2011" s="8">
        <v>12691</v>
      </c>
      <c r="D2011" s="9" t="s">
        <v>538</v>
      </c>
      <c r="E2011" s="10" t="s">
        <v>539</v>
      </c>
      <c r="F2011" s="10" t="s">
        <v>540</v>
      </c>
      <c r="G2011" s="8">
        <v>1</v>
      </c>
      <c r="H2011" s="11">
        <v>400</v>
      </c>
      <c r="I2011" s="12">
        <v>42610</v>
      </c>
      <c r="J2011" s="13">
        <f t="shared" si="69"/>
        <v>0</v>
      </c>
      <c r="K2011" s="14"/>
      <c r="L2011" s="14"/>
      <c r="M2011" s="14"/>
      <c r="N2011" s="14"/>
      <c r="O2011" s="14"/>
      <c r="P2011" s="14"/>
      <c r="Q2011" s="14"/>
      <c r="R2011" s="14">
        <v>400</v>
      </c>
      <c r="S2011" s="14"/>
      <c r="T2011" s="14"/>
      <c r="U2011" s="14"/>
      <c r="V2011" s="14"/>
      <c r="W2011" s="15">
        <f t="shared" si="70"/>
        <v>400</v>
      </c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5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5"/>
      <c r="AX2011" s="16"/>
    </row>
    <row r="2012" spans="2:50" x14ac:dyDescent="0.2">
      <c r="B2012" s="7" t="s">
        <v>47</v>
      </c>
      <c r="C2012" s="8">
        <v>12692</v>
      </c>
      <c r="D2012" s="9" t="s">
        <v>103</v>
      </c>
      <c r="E2012" s="10" t="s">
        <v>104</v>
      </c>
      <c r="F2012" s="10" t="s">
        <v>105</v>
      </c>
      <c r="G2012" s="8">
        <v>1</v>
      </c>
      <c r="H2012" s="11">
        <v>400</v>
      </c>
      <c r="I2012" s="12">
        <v>42610</v>
      </c>
      <c r="J2012" s="13">
        <f t="shared" si="69"/>
        <v>0</v>
      </c>
      <c r="K2012" s="14"/>
      <c r="L2012" s="14"/>
      <c r="M2012" s="14"/>
      <c r="N2012" s="14"/>
      <c r="O2012" s="14"/>
      <c r="P2012" s="14"/>
      <c r="Q2012" s="14"/>
      <c r="R2012" s="14">
        <v>400</v>
      </c>
      <c r="S2012" s="14"/>
      <c r="T2012" s="14"/>
      <c r="U2012" s="14"/>
      <c r="V2012" s="14"/>
      <c r="W2012" s="15">
        <f t="shared" si="70"/>
        <v>400</v>
      </c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5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5"/>
      <c r="AX2012" s="16"/>
    </row>
    <row r="2013" spans="2:50" x14ac:dyDescent="0.2">
      <c r="B2013" s="7" t="s">
        <v>47</v>
      </c>
      <c r="C2013" s="8">
        <v>12693</v>
      </c>
      <c r="D2013" s="9" t="s">
        <v>162</v>
      </c>
      <c r="E2013" s="10" t="s">
        <v>163</v>
      </c>
      <c r="F2013" s="10" t="s">
        <v>164</v>
      </c>
      <c r="G2013" s="8">
        <v>1</v>
      </c>
      <c r="H2013" s="11">
        <v>800</v>
      </c>
      <c r="I2013" s="12">
        <v>42610</v>
      </c>
      <c r="J2013" s="13">
        <f t="shared" si="69"/>
        <v>0</v>
      </c>
      <c r="K2013" s="14"/>
      <c r="L2013" s="14"/>
      <c r="M2013" s="14"/>
      <c r="N2013" s="14"/>
      <c r="O2013" s="14"/>
      <c r="P2013" s="14"/>
      <c r="Q2013" s="14"/>
      <c r="R2013" s="14"/>
      <c r="S2013" s="14">
        <v>400</v>
      </c>
      <c r="T2013" s="14">
        <v>400</v>
      </c>
      <c r="U2013" s="14"/>
      <c r="V2013" s="14"/>
      <c r="W2013" s="15">
        <f t="shared" si="70"/>
        <v>800</v>
      </c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5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5"/>
      <c r="AX2013" s="16"/>
    </row>
    <row r="2014" spans="2:50" x14ac:dyDescent="0.2">
      <c r="B2014" s="7" t="s">
        <v>122</v>
      </c>
      <c r="C2014" s="8">
        <v>12694</v>
      </c>
      <c r="D2014" s="9" t="s">
        <v>788</v>
      </c>
      <c r="E2014" s="10" t="s">
        <v>789</v>
      </c>
      <c r="F2014" s="10" t="s">
        <v>790</v>
      </c>
      <c r="G2014" s="8">
        <v>1</v>
      </c>
      <c r="H2014" s="11">
        <v>400</v>
      </c>
      <c r="I2014" s="12">
        <v>42610</v>
      </c>
      <c r="J2014" s="13">
        <f t="shared" si="69"/>
        <v>0</v>
      </c>
      <c r="K2014" s="14"/>
      <c r="L2014" s="14"/>
      <c r="M2014" s="14"/>
      <c r="N2014" s="14"/>
      <c r="O2014" s="14"/>
      <c r="P2014" s="14"/>
      <c r="Q2014" s="14"/>
      <c r="R2014" s="14">
        <v>400</v>
      </c>
      <c r="S2014" s="14"/>
      <c r="T2014" s="14"/>
      <c r="U2014" s="14"/>
      <c r="V2014" s="14"/>
      <c r="W2014" s="15">
        <f t="shared" si="70"/>
        <v>400</v>
      </c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5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5"/>
      <c r="AX2014" s="16"/>
    </row>
    <row r="2015" spans="2:50" x14ac:dyDescent="0.2">
      <c r="B2015" s="7" t="s">
        <v>69</v>
      </c>
      <c r="C2015" s="8">
        <v>12695</v>
      </c>
      <c r="D2015" s="9" t="s">
        <v>165</v>
      </c>
      <c r="E2015" s="10" t="s">
        <v>166</v>
      </c>
      <c r="F2015" s="10" t="s">
        <v>167</v>
      </c>
      <c r="G2015" s="8">
        <v>1</v>
      </c>
      <c r="H2015" s="11">
        <v>350</v>
      </c>
      <c r="I2015" s="12">
        <v>42610</v>
      </c>
      <c r="J2015" s="13">
        <f t="shared" si="69"/>
        <v>0</v>
      </c>
      <c r="K2015" s="14"/>
      <c r="L2015" s="14"/>
      <c r="M2015" s="14"/>
      <c r="N2015" s="14"/>
      <c r="O2015" s="14"/>
      <c r="P2015" s="14"/>
      <c r="Q2015" s="14"/>
      <c r="R2015" s="14"/>
      <c r="S2015" s="14">
        <v>350</v>
      </c>
      <c r="T2015" s="14"/>
      <c r="U2015" s="14"/>
      <c r="V2015" s="14"/>
      <c r="W2015" s="15">
        <f t="shared" si="70"/>
        <v>350</v>
      </c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5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5"/>
      <c r="AX2015" s="16"/>
    </row>
    <row r="2016" spans="2:50" x14ac:dyDescent="0.2">
      <c r="B2016" s="7" t="s">
        <v>37</v>
      </c>
      <c r="C2016" s="8">
        <v>12696</v>
      </c>
      <c r="D2016" s="9" t="s">
        <v>681</v>
      </c>
      <c r="E2016" s="10" t="s">
        <v>682</v>
      </c>
      <c r="F2016" s="10" t="s">
        <v>683</v>
      </c>
      <c r="G2016" s="8">
        <v>1</v>
      </c>
      <c r="H2016" s="11">
        <v>300</v>
      </c>
      <c r="I2016" s="12">
        <v>42610</v>
      </c>
      <c r="J2016" s="13">
        <f t="shared" si="69"/>
        <v>0</v>
      </c>
      <c r="K2016" s="14"/>
      <c r="L2016" s="14"/>
      <c r="M2016" s="14"/>
      <c r="N2016" s="14"/>
      <c r="O2016" s="14"/>
      <c r="P2016" s="14"/>
      <c r="Q2016" s="14"/>
      <c r="R2016" s="14">
        <v>300</v>
      </c>
      <c r="S2016" s="14"/>
      <c r="T2016" s="14"/>
      <c r="U2016" s="14"/>
      <c r="V2016" s="14"/>
      <c r="W2016" s="15">
        <f t="shared" si="70"/>
        <v>300</v>
      </c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5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5"/>
      <c r="AX2016" s="16"/>
    </row>
    <row r="2017" spans="2:50" x14ac:dyDescent="0.2">
      <c r="B2017" s="7" t="s">
        <v>69</v>
      </c>
      <c r="C2017" s="8">
        <v>12697</v>
      </c>
      <c r="D2017" s="9" t="s">
        <v>740</v>
      </c>
      <c r="E2017" s="10" t="s">
        <v>741</v>
      </c>
      <c r="F2017" s="10" t="s">
        <v>742</v>
      </c>
      <c r="G2017" s="8">
        <v>5</v>
      </c>
      <c r="H2017" s="11">
        <v>50</v>
      </c>
      <c r="I2017" s="12">
        <v>42610</v>
      </c>
      <c r="J2017" s="13">
        <f t="shared" si="69"/>
        <v>0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5">
        <f t="shared" si="70"/>
        <v>0</v>
      </c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5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5"/>
      <c r="AX2017" s="16"/>
    </row>
    <row r="2018" spans="2:50" x14ac:dyDescent="0.2">
      <c r="B2018" s="7" t="s">
        <v>47</v>
      </c>
      <c r="C2018" s="8">
        <v>12698</v>
      </c>
      <c r="D2018" s="9" t="s">
        <v>404</v>
      </c>
      <c r="E2018" s="10" t="s">
        <v>405</v>
      </c>
      <c r="F2018" s="10" t="s">
        <v>406</v>
      </c>
      <c r="G2018" s="8">
        <v>1</v>
      </c>
      <c r="H2018" s="11">
        <v>400</v>
      </c>
      <c r="I2018" s="12">
        <v>42610</v>
      </c>
      <c r="J2018" s="13">
        <f t="shared" si="69"/>
        <v>0</v>
      </c>
      <c r="K2018" s="14"/>
      <c r="L2018" s="14"/>
      <c r="M2018" s="14"/>
      <c r="N2018" s="14"/>
      <c r="O2018" s="14"/>
      <c r="P2018" s="14"/>
      <c r="Q2018" s="14"/>
      <c r="R2018" s="14">
        <v>400</v>
      </c>
      <c r="S2018" s="14"/>
      <c r="T2018" s="14"/>
      <c r="U2018" s="14"/>
      <c r="V2018" s="14"/>
      <c r="W2018" s="15">
        <f t="shared" si="70"/>
        <v>400</v>
      </c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5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5"/>
      <c r="AX2018" s="16"/>
    </row>
    <row r="2019" spans="2:50" x14ac:dyDescent="0.2">
      <c r="B2019" s="7" t="s">
        <v>73</v>
      </c>
      <c r="C2019" s="8">
        <v>12699</v>
      </c>
      <c r="D2019" s="9" t="s">
        <v>911</v>
      </c>
      <c r="E2019" s="10" t="s">
        <v>912</v>
      </c>
      <c r="F2019" s="10" t="s">
        <v>397</v>
      </c>
      <c r="G2019" s="8">
        <v>5</v>
      </c>
      <c r="H2019" s="11">
        <v>50</v>
      </c>
      <c r="I2019" s="12">
        <v>42610</v>
      </c>
      <c r="J2019" s="13">
        <f t="shared" si="69"/>
        <v>0</v>
      </c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5">
        <f t="shared" si="70"/>
        <v>0</v>
      </c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5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5"/>
      <c r="AX2019" s="16"/>
    </row>
    <row r="2020" spans="2:50" x14ac:dyDescent="0.2">
      <c r="B2020" s="7" t="s">
        <v>73</v>
      </c>
      <c r="C2020" s="8">
        <v>12700</v>
      </c>
      <c r="D2020" s="9" t="s">
        <v>911</v>
      </c>
      <c r="E2020" s="10" t="s">
        <v>912</v>
      </c>
      <c r="F2020" s="10" t="s">
        <v>397</v>
      </c>
      <c r="G2020" s="8">
        <v>5</v>
      </c>
      <c r="H2020" s="11">
        <v>50</v>
      </c>
      <c r="I2020" s="12">
        <v>42610</v>
      </c>
      <c r="J2020" s="13">
        <f t="shared" si="69"/>
        <v>0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5">
        <f t="shared" si="70"/>
        <v>0</v>
      </c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5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5"/>
      <c r="AX2020" s="16"/>
    </row>
    <row r="2021" spans="2:50" x14ac:dyDescent="0.2">
      <c r="B2021" s="7" t="s">
        <v>69</v>
      </c>
      <c r="C2021" s="8">
        <v>12701</v>
      </c>
      <c r="D2021" s="9" t="s">
        <v>70</v>
      </c>
      <c r="E2021" s="10" t="s">
        <v>71</v>
      </c>
      <c r="F2021" s="10" t="s">
        <v>72</v>
      </c>
      <c r="G2021" s="8">
        <v>5</v>
      </c>
      <c r="H2021" s="11">
        <v>150</v>
      </c>
      <c r="I2021" s="12">
        <v>42610</v>
      </c>
      <c r="J2021" s="13">
        <f t="shared" si="69"/>
        <v>0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5">
        <f t="shared" si="70"/>
        <v>0</v>
      </c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5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5"/>
      <c r="AX2021" s="16"/>
    </row>
    <row r="2022" spans="2:50" x14ac:dyDescent="0.2">
      <c r="B2022" s="7" t="s">
        <v>69</v>
      </c>
      <c r="C2022" s="8">
        <v>12702</v>
      </c>
      <c r="D2022" s="9" t="s">
        <v>743</v>
      </c>
      <c r="E2022" s="10" t="s">
        <v>744</v>
      </c>
      <c r="F2022" s="10" t="s">
        <v>745</v>
      </c>
      <c r="G2022" s="8">
        <v>1</v>
      </c>
      <c r="H2022" s="11">
        <v>400</v>
      </c>
      <c r="I2022" s="12">
        <v>42610</v>
      </c>
      <c r="J2022" s="13">
        <f t="shared" si="69"/>
        <v>0</v>
      </c>
      <c r="K2022" s="14"/>
      <c r="L2022" s="14"/>
      <c r="M2022" s="14"/>
      <c r="N2022" s="14"/>
      <c r="O2022" s="14"/>
      <c r="P2022" s="14"/>
      <c r="Q2022" s="14">
        <v>400</v>
      </c>
      <c r="R2022" s="14"/>
      <c r="S2022" s="14"/>
      <c r="T2022" s="14"/>
      <c r="U2022" s="14"/>
      <c r="V2022" s="14"/>
      <c r="W2022" s="15">
        <f t="shared" si="70"/>
        <v>400</v>
      </c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5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5"/>
      <c r="AX2022" s="16"/>
    </row>
    <row r="2023" spans="2:50" x14ac:dyDescent="0.2">
      <c r="B2023" s="7" t="s">
        <v>69</v>
      </c>
      <c r="C2023" s="8">
        <v>12702</v>
      </c>
      <c r="D2023" s="9" t="s">
        <v>743</v>
      </c>
      <c r="E2023" s="10" t="s">
        <v>744</v>
      </c>
      <c r="F2023" s="10" t="s">
        <v>745</v>
      </c>
      <c r="G2023" s="8">
        <v>3</v>
      </c>
      <c r="H2023" s="11">
        <v>100</v>
      </c>
      <c r="I2023" s="12">
        <v>42610</v>
      </c>
      <c r="J2023" s="13">
        <f t="shared" si="69"/>
        <v>0</v>
      </c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5">
        <f t="shared" si="70"/>
        <v>0</v>
      </c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5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5"/>
      <c r="AX2023" s="16"/>
    </row>
    <row r="2024" spans="2:50" x14ac:dyDescent="0.2">
      <c r="B2024" s="7" t="s">
        <v>69</v>
      </c>
      <c r="C2024" s="8">
        <v>12703</v>
      </c>
      <c r="D2024" s="9" t="s">
        <v>634</v>
      </c>
      <c r="E2024" s="10" t="s">
        <v>635</v>
      </c>
      <c r="F2024" s="10" t="s">
        <v>636</v>
      </c>
      <c r="G2024" s="8">
        <v>1</v>
      </c>
      <c r="H2024" s="11">
        <v>300</v>
      </c>
      <c r="I2024" s="12">
        <v>42610</v>
      </c>
      <c r="J2024" s="13">
        <f t="shared" si="69"/>
        <v>0</v>
      </c>
      <c r="K2024" s="14"/>
      <c r="L2024" s="14"/>
      <c r="M2024" s="14"/>
      <c r="N2024" s="14"/>
      <c r="O2024" s="14"/>
      <c r="P2024" s="14"/>
      <c r="Q2024" s="14"/>
      <c r="R2024" s="14">
        <v>300</v>
      </c>
      <c r="S2024" s="14"/>
      <c r="T2024" s="14"/>
      <c r="U2024" s="14"/>
      <c r="V2024" s="14"/>
      <c r="W2024" s="15">
        <f t="shared" si="70"/>
        <v>300</v>
      </c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5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5"/>
      <c r="AX2024" s="16"/>
    </row>
    <row r="2025" spans="2:50" x14ac:dyDescent="0.2">
      <c r="B2025" s="7" t="s">
        <v>47</v>
      </c>
      <c r="C2025" s="8">
        <v>12704</v>
      </c>
      <c r="D2025" s="9" t="s">
        <v>849</v>
      </c>
      <c r="E2025" s="10" t="s">
        <v>850</v>
      </c>
      <c r="F2025" s="10" t="s">
        <v>851</v>
      </c>
      <c r="G2025" s="8">
        <v>1</v>
      </c>
      <c r="H2025" s="11">
        <v>400</v>
      </c>
      <c r="I2025" s="12">
        <v>42610</v>
      </c>
      <c r="J2025" s="13">
        <f t="shared" si="69"/>
        <v>0</v>
      </c>
      <c r="K2025" s="14"/>
      <c r="L2025" s="14"/>
      <c r="M2025" s="14"/>
      <c r="N2025" s="14"/>
      <c r="O2025" s="14"/>
      <c r="P2025" s="14"/>
      <c r="Q2025" s="14">
        <v>400</v>
      </c>
      <c r="R2025" s="14"/>
      <c r="S2025" s="14"/>
      <c r="T2025" s="14"/>
      <c r="U2025" s="14"/>
      <c r="V2025" s="14"/>
      <c r="W2025" s="15">
        <f t="shared" si="70"/>
        <v>400</v>
      </c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5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5"/>
      <c r="AX2025" s="16"/>
    </row>
    <row r="2026" spans="2:50" x14ac:dyDescent="0.2">
      <c r="B2026" s="7" t="s">
        <v>47</v>
      </c>
      <c r="C2026" s="8">
        <v>12704</v>
      </c>
      <c r="D2026" s="9" t="s">
        <v>849</v>
      </c>
      <c r="E2026" s="10" t="s">
        <v>850</v>
      </c>
      <c r="F2026" s="10" t="s">
        <v>851</v>
      </c>
      <c r="G2026" s="8">
        <v>5</v>
      </c>
      <c r="H2026" s="11">
        <v>100</v>
      </c>
      <c r="I2026" s="12">
        <v>42610</v>
      </c>
      <c r="J2026" s="13">
        <f t="shared" si="69"/>
        <v>0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5">
        <f t="shared" si="70"/>
        <v>0</v>
      </c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5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5"/>
      <c r="AX2026" s="16"/>
    </row>
    <row r="2027" spans="2:50" x14ac:dyDescent="0.2">
      <c r="B2027" s="7" t="s">
        <v>37</v>
      </c>
      <c r="C2027" s="8">
        <v>12705</v>
      </c>
      <c r="D2027" s="9" t="s">
        <v>684</v>
      </c>
      <c r="E2027" s="10" t="s">
        <v>685</v>
      </c>
      <c r="F2027" s="10" t="s">
        <v>686</v>
      </c>
      <c r="G2027" s="8">
        <v>1</v>
      </c>
      <c r="H2027" s="11">
        <v>400</v>
      </c>
      <c r="I2027" s="12">
        <v>42610</v>
      </c>
      <c r="J2027" s="13">
        <f t="shared" si="69"/>
        <v>0</v>
      </c>
      <c r="K2027" s="14"/>
      <c r="L2027" s="14"/>
      <c r="M2027" s="14"/>
      <c r="N2027" s="14"/>
      <c r="O2027" s="14"/>
      <c r="P2027" s="14"/>
      <c r="Q2027" s="14"/>
      <c r="R2027" s="14">
        <v>400</v>
      </c>
      <c r="S2027" s="14"/>
      <c r="T2027" s="14"/>
      <c r="U2027" s="14"/>
      <c r="V2027" s="14"/>
      <c r="W2027" s="15">
        <f t="shared" si="70"/>
        <v>400</v>
      </c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5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5"/>
      <c r="AX2027" s="16"/>
    </row>
    <row r="2028" spans="2:50" x14ac:dyDescent="0.2">
      <c r="B2028" s="7" t="s">
        <v>69</v>
      </c>
      <c r="C2028" s="8">
        <v>12706</v>
      </c>
      <c r="D2028" s="9" t="s">
        <v>800</v>
      </c>
      <c r="E2028" s="10" t="s">
        <v>801</v>
      </c>
      <c r="F2028" s="10" t="s">
        <v>802</v>
      </c>
      <c r="G2028" s="8">
        <v>1</v>
      </c>
      <c r="H2028" s="11">
        <v>800</v>
      </c>
      <c r="I2028" s="12">
        <v>42610</v>
      </c>
      <c r="J2028" s="13">
        <f t="shared" si="69"/>
        <v>0</v>
      </c>
      <c r="K2028" s="14"/>
      <c r="L2028" s="14"/>
      <c r="M2028" s="14"/>
      <c r="N2028" s="14"/>
      <c r="O2028" s="14">
        <v>400</v>
      </c>
      <c r="P2028" s="14">
        <v>400</v>
      </c>
      <c r="Q2028" s="14"/>
      <c r="R2028" s="14"/>
      <c r="S2028" s="14"/>
      <c r="T2028" s="14"/>
      <c r="U2028" s="14"/>
      <c r="V2028" s="14"/>
      <c r="W2028" s="15">
        <f t="shared" si="70"/>
        <v>800</v>
      </c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5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5"/>
      <c r="AX2028" s="16"/>
    </row>
    <row r="2029" spans="2:50" x14ac:dyDescent="0.2">
      <c r="B2029" s="7" t="s">
        <v>69</v>
      </c>
      <c r="C2029" s="8">
        <v>12706</v>
      </c>
      <c r="D2029" s="9" t="s">
        <v>800</v>
      </c>
      <c r="E2029" s="10" t="s">
        <v>801</v>
      </c>
      <c r="F2029" s="10" t="s">
        <v>802</v>
      </c>
      <c r="G2029" s="8">
        <v>5</v>
      </c>
      <c r="H2029" s="11">
        <v>100</v>
      </c>
      <c r="I2029" s="12">
        <v>42610</v>
      </c>
      <c r="J2029" s="13">
        <f t="shared" si="69"/>
        <v>0</v>
      </c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5">
        <f t="shared" si="70"/>
        <v>0</v>
      </c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5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5"/>
      <c r="AX2029" s="16"/>
    </row>
    <row r="2030" spans="2:50" x14ac:dyDescent="0.2">
      <c r="B2030" s="7" t="s">
        <v>73</v>
      </c>
      <c r="C2030" s="8">
        <v>12707</v>
      </c>
      <c r="D2030" s="9" t="s">
        <v>1026</v>
      </c>
      <c r="E2030" s="10" t="s">
        <v>1027</v>
      </c>
      <c r="F2030" s="10" t="s">
        <v>1028</v>
      </c>
      <c r="G2030" s="8">
        <v>4</v>
      </c>
      <c r="H2030" s="11">
        <v>200</v>
      </c>
      <c r="I2030" s="12">
        <v>42610</v>
      </c>
      <c r="J2030" s="13">
        <f t="shared" si="69"/>
        <v>0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5">
        <f t="shared" si="70"/>
        <v>0</v>
      </c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5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5"/>
      <c r="AX2030" s="7">
        <v>10451902</v>
      </c>
    </row>
    <row r="2031" spans="2:50" x14ac:dyDescent="0.2">
      <c r="B2031" s="7" t="s">
        <v>47</v>
      </c>
      <c r="C2031" s="8">
        <v>12708</v>
      </c>
      <c r="D2031" s="9" t="s">
        <v>1170</v>
      </c>
      <c r="E2031" s="10" t="s">
        <v>1171</v>
      </c>
      <c r="F2031" s="10" t="s">
        <v>389</v>
      </c>
      <c r="G2031" s="8">
        <v>1</v>
      </c>
      <c r="H2031" s="11">
        <v>1200</v>
      </c>
      <c r="I2031" s="12">
        <v>42610</v>
      </c>
      <c r="J2031" s="13">
        <f t="shared" si="69"/>
        <v>0</v>
      </c>
      <c r="K2031" s="14"/>
      <c r="L2031" s="14">
        <v>400</v>
      </c>
      <c r="M2031" s="14">
        <v>400</v>
      </c>
      <c r="N2031" s="14">
        <v>400</v>
      </c>
      <c r="O2031" s="14"/>
      <c r="P2031" s="14"/>
      <c r="Q2031" s="14"/>
      <c r="R2031" s="14"/>
      <c r="S2031" s="14"/>
      <c r="T2031" s="14"/>
      <c r="U2031" s="14"/>
      <c r="V2031" s="14"/>
      <c r="W2031" s="15">
        <f t="shared" si="70"/>
        <v>1200</v>
      </c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5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5"/>
      <c r="AX2031" s="16"/>
    </row>
    <row r="2032" spans="2:50" x14ac:dyDescent="0.2">
      <c r="B2032" s="7" t="s">
        <v>69</v>
      </c>
      <c r="C2032" s="8">
        <v>12709</v>
      </c>
      <c r="D2032" s="9" t="s">
        <v>70</v>
      </c>
      <c r="E2032" s="10" t="s">
        <v>71</v>
      </c>
      <c r="F2032" s="10" t="s">
        <v>72</v>
      </c>
      <c r="G2032" s="8">
        <v>4</v>
      </c>
      <c r="H2032" s="11">
        <v>200</v>
      </c>
      <c r="I2032" s="12">
        <v>42610</v>
      </c>
      <c r="J2032" s="13">
        <f t="shared" si="69"/>
        <v>0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5">
        <f t="shared" si="70"/>
        <v>0</v>
      </c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5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5"/>
      <c r="AX2032" s="7">
        <v>10451903</v>
      </c>
    </row>
    <row r="2033" spans="2:50" x14ac:dyDescent="0.2">
      <c r="B2033" s="7" t="s">
        <v>47</v>
      </c>
      <c r="C2033" s="8">
        <v>12710</v>
      </c>
      <c r="D2033" s="9" t="s">
        <v>1170</v>
      </c>
      <c r="E2033" s="10" t="s">
        <v>1171</v>
      </c>
      <c r="F2033" s="10" t="s">
        <v>389</v>
      </c>
      <c r="G2033" s="8">
        <v>5</v>
      </c>
      <c r="H2033" s="11">
        <v>100</v>
      </c>
      <c r="I2033" s="12">
        <v>42610</v>
      </c>
      <c r="J2033" s="13">
        <f t="shared" si="69"/>
        <v>0</v>
      </c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5">
        <f t="shared" si="70"/>
        <v>0</v>
      </c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5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5"/>
      <c r="AX2033" s="16"/>
    </row>
    <row r="2034" spans="2:50" x14ac:dyDescent="0.2">
      <c r="B2034" s="7" t="s">
        <v>73</v>
      </c>
      <c r="C2034" s="8">
        <v>12711</v>
      </c>
      <c r="D2034" s="9" t="s">
        <v>141</v>
      </c>
      <c r="E2034" s="10" t="s">
        <v>142</v>
      </c>
      <c r="F2034" s="10" t="s">
        <v>143</v>
      </c>
      <c r="G2034" s="8">
        <v>5</v>
      </c>
      <c r="H2034" s="11">
        <v>200</v>
      </c>
      <c r="I2034" s="12">
        <v>42610</v>
      </c>
      <c r="J2034" s="13">
        <f t="shared" si="69"/>
        <v>0</v>
      </c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5">
        <f t="shared" si="70"/>
        <v>0</v>
      </c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5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5"/>
      <c r="AX2034" s="16"/>
    </row>
    <row r="2035" spans="2:50" x14ac:dyDescent="0.2">
      <c r="B2035" s="7" t="s">
        <v>93</v>
      </c>
      <c r="C2035" s="8">
        <v>12712</v>
      </c>
      <c r="D2035" s="9"/>
      <c r="E2035" s="10" t="s">
        <v>93</v>
      </c>
      <c r="F2035" s="10" t="s">
        <v>93</v>
      </c>
      <c r="G2035" s="8">
        <v>8</v>
      </c>
      <c r="H2035" s="11"/>
      <c r="I2035" s="12"/>
      <c r="J2035" s="13">
        <f t="shared" si="69"/>
        <v>0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5">
        <f t="shared" si="70"/>
        <v>0</v>
      </c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5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5"/>
      <c r="AX2035" s="16"/>
    </row>
    <row r="2036" spans="2:50" x14ac:dyDescent="0.2">
      <c r="B2036" s="7" t="s">
        <v>37</v>
      </c>
      <c r="C2036" s="8">
        <v>12713</v>
      </c>
      <c r="D2036" s="9" t="s">
        <v>840</v>
      </c>
      <c r="E2036" s="10" t="s">
        <v>841</v>
      </c>
      <c r="F2036" s="10" t="s">
        <v>842</v>
      </c>
      <c r="G2036" s="8">
        <v>1</v>
      </c>
      <c r="H2036" s="11">
        <v>400</v>
      </c>
      <c r="I2036" s="12">
        <v>42610</v>
      </c>
      <c r="J2036" s="13">
        <f t="shared" si="69"/>
        <v>0</v>
      </c>
      <c r="K2036" s="14"/>
      <c r="L2036" s="14"/>
      <c r="M2036" s="14"/>
      <c r="N2036" s="14"/>
      <c r="O2036" s="14"/>
      <c r="P2036" s="14"/>
      <c r="Q2036" s="14">
        <v>400</v>
      </c>
      <c r="R2036" s="14"/>
      <c r="S2036" s="14"/>
      <c r="T2036" s="14"/>
      <c r="U2036" s="14"/>
      <c r="V2036" s="14"/>
      <c r="W2036" s="15">
        <f t="shared" si="70"/>
        <v>400</v>
      </c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5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5"/>
      <c r="AX2036" s="16"/>
    </row>
    <row r="2037" spans="2:50" x14ac:dyDescent="0.2">
      <c r="B2037" s="7" t="s">
        <v>37</v>
      </c>
      <c r="C2037" s="8">
        <v>12714</v>
      </c>
      <c r="D2037" s="9" t="s">
        <v>58</v>
      </c>
      <c r="E2037" s="10" t="s">
        <v>59</v>
      </c>
      <c r="F2037" s="10" t="s">
        <v>60</v>
      </c>
      <c r="G2037" s="8">
        <v>1</v>
      </c>
      <c r="H2037" s="11">
        <v>300</v>
      </c>
      <c r="I2037" s="12">
        <v>42610</v>
      </c>
      <c r="J2037" s="13">
        <f t="shared" si="69"/>
        <v>0</v>
      </c>
      <c r="K2037" s="14"/>
      <c r="L2037" s="14"/>
      <c r="M2037" s="14"/>
      <c r="N2037" s="14"/>
      <c r="O2037" s="14"/>
      <c r="P2037" s="14"/>
      <c r="Q2037" s="14"/>
      <c r="R2037" s="14">
        <v>300</v>
      </c>
      <c r="S2037" s="14"/>
      <c r="T2037" s="14"/>
      <c r="U2037" s="14"/>
      <c r="V2037" s="14"/>
      <c r="W2037" s="15">
        <f t="shared" si="70"/>
        <v>300</v>
      </c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5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5"/>
      <c r="AX2037" s="16"/>
    </row>
    <row r="2038" spans="2:50" x14ac:dyDescent="0.2">
      <c r="B2038" s="7" t="s">
        <v>37</v>
      </c>
      <c r="C2038" s="8">
        <v>12714</v>
      </c>
      <c r="D2038" s="9" t="s">
        <v>58</v>
      </c>
      <c r="E2038" s="10" t="s">
        <v>59</v>
      </c>
      <c r="F2038" s="10" t="s">
        <v>60</v>
      </c>
      <c r="G2038" s="8">
        <v>5</v>
      </c>
      <c r="H2038" s="11">
        <v>50</v>
      </c>
      <c r="I2038" s="12">
        <v>42610</v>
      </c>
      <c r="J2038" s="13">
        <f t="shared" si="69"/>
        <v>0</v>
      </c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5">
        <f t="shared" si="70"/>
        <v>0</v>
      </c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5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5"/>
      <c r="AX2038" s="16"/>
    </row>
    <row r="2039" spans="2:50" x14ac:dyDescent="0.2">
      <c r="B2039" s="7" t="s">
        <v>69</v>
      </c>
      <c r="C2039" s="8">
        <v>12715</v>
      </c>
      <c r="D2039" s="9" t="s">
        <v>944</v>
      </c>
      <c r="E2039" s="10" t="s">
        <v>945</v>
      </c>
      <c r="F2039" s="10" t="s">
        <v>946</v>
      </c>
      <c r="G2039" s="8">
        <v>1</v>
      </c>
      <c r="H2039" s="11">
        <v>100</v>
      </c>
      <c r="I2039" s="12">
        <v>42610</v>
      </c>
      <c r="J2039" s="13">
        <f t="shared" si="69"/>
        <v>0</v>
      </c>
      <c r="K2039" s="14"/>
      <c r="L2039" s="14"/>
      <c r="M2039" s="14"/>
      <c r="N2039" s="14"/>
      <c r="O2039" s="14"/>
      <c r="P2039" s="14"/>
      <c r="Q2039" s="14"/>
      <c r="R2039" s="14">
        <v>100</v>
      </c>
      <c r="S2039" s="14"/>
      <c r="T2039" s="14"/>
      <c r="U2039" s="14"/>
      <c r="V2039" s="14"/>
      <c r="W2039" s="15">
        <f t="shared" si="70"/>
        <v>100</v>
      </c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5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5"/>
      <c r="AX2039" s="16"/>
    </row>
    <row r="2040" spans="2:50" x14ac:dyDescent="0.2">
      <c r="B2040" s="7" t="s">
        <v>69</v>
      </c>
      <c r="C2040" s="8">
        <v>12715</v>
      </c>
      <c r="D2040" s="9" t="s">
        <v>944</v>
      </c>
      <c r="E2040" s="10" t="s">
        <v>945</v>
      </c>
      <c r="F2040" s="10" t="s">
        <v>946</v>
      </c>
      <c r="G2040" s="8">
        <v>4</v>
      </c>
      <c r="H2040" s="11">
        <v>200</v>
      </c>
      <c r="I2040" s="12">
        <v>42610</v>
      </c>
      <c r="J2040" s="13">
        <f t="shared" si="69"/>
        <v>0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5">
        <f t="shared" si="70"/>
        <v>0</v>
      </c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5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5"/>
      <c r="AX2040" s="7">
        <v>10451900</v>
      </c>
    </row>
    <row r="2041" spans="2:50" x14ac:dyDescent="0.2">
      <c r="B2041" s="7" t="s">
        <v>69</v>
      </c>
      <c r="C2041" s="8">
        <v>12715</v>
      </c>
      <c r="D2041" s="9" t="s">
        <v>944</v>
      </c>
      <c r="E2041" s="10" t="s">
        <v>945</v>
      </c>
      <c r="F2041" s="10" t="s">
        <v>946</v>
      </c>
      <c r="G2041" s="8">
        <v>5</v>
      </c>
      <c r="H2041" s="11">
        <v>100</v>
      </c>
      <c r="I2041" s="12">
        <v>42610</v>
      </c>
      <c r="J2041" s="13">
        <f t="shared" si="69"/>
        <v>0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5">
        <f t="shared" si="70"/>
        <v>0</v>
      </c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5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5"/>
      <c r="AX2041" s="16"/>
    </row>
    <row r="2042" spans="2:50" x14ac:dyDescent="0.2">
      <c r="B2042" s="7" t="s">
        <v>69</v>
      </c>
      <c r="C2042" s="8">
        <v>12716</v>
      </c>
      <c r="D2042" s="9" t="s">
        <v>1174</v>
      </c>
      <c r="E2042" s="10" t="s">
        <v>1175</v>
      </c>
      <c r="F2042" s="10" t="s">
        <v>1176</v>
      </c>
      <c r="G2042" s="8">
        <v>1</v>
      </c>
      <c r="H2042" s="11">
        <v>300</v>
      </c>
      <c r="I2042" s="12">
        <v>42610</v>
      </c>
      <c r="J2042" s="13">
        <f t="shared" si="69"/>
        <v>0</v>
      </c>
      <c r="K2042" s="14"/>
      <c r="L2042" s="14"/>
      <c r="M2042" s="14"/>
      <c r="N2042" s="14"/>
      <c r="O2042" s="14"/>
      <c r="P2042" s="14"/>
      <c r="Q2042" s="14"/>
      <c r="R2042" s="14"/>
      <c r="S2042" s="14">
        <v>300</v>
      </c>
      <c r="T2042" s="14"/>
      <c r="U2042" s="14"/>
      <c r="V2042" s="14"/>
      <c r="W2042" s="15">
        <f t="shared" si="70"/>
        <v>300</v>
      </c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5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5"/>
      <c r="AX2042" s="16"/>
    </row>
    <row r="2043" spans="2:50" x14ac:dyDescent="0.2">
      <c r="B2043" s="7" t="s">
        <v>69</v>
      </c>
      <c r="C2043" s="8">
        <v>12716</v>
      </c>
      <c r="D2043" s="9" t="s">
        <v>1174</v>
      </c>
      <c r="E2043" s="10" t="s">
        <v>1175</v>
      </c>
      <c r="F2043" s="10" t="s">
        <v>1176</v>
      </c>
      <c r="G2043" s="8">
        <v>4</v>
      </c>
      <c r="H2043" s="11">
        <v>200</v>
      </c>
      <c r="I2043" s="12">
        <v>42610</v>
      </c>
      <c r="J2043" s="13">
        <f t="shared" si="69"/>
        <v>0</v>
      </c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5">
        <f t="shared" si="70"/>
        <v>0</v>
      </c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5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5"/>
      <c r="AX2043" s="7">
        <v>10451901</v>
      </c>
    </row>
    <row r="2044" spans="2:50" x14ac:dyDescent="0.2">
      <c r="B2044" s="7" t="s">
        <v>69</v>
      </c>
      <c r="C2044" s="8">
        <v>12716</v>
      </c>
      <c r="D2044" s="9" t="s">
        <v>1174</v>
      </c>
      <c r="E2044" s="10" t="s">
        <v>1175</v>
      </c>
      <c r="F2044" s="10" t="s">
        <v>1176</v>
      </c>
      <c r="G2044" s="8">
        <v>5</v>
      </c>
      <c r="H2044" s="11">
        <v>100</v>
      </c>
      <c r="I2044" s="12">
        <v>42610</v>
      </c>
      <c r="J2044" s="13">
        <f t="shared" si="69"/>
        <v>0</v>
      </c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5">
        <f t="shared" si="70"/>
        <v>0</v>
      </c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5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5"/>
      <c r="AX2044" s="16"/>
    </row>
    <row r="2045" spans="2:50" x14ac:dyDescent="0.2">
      <c r="B2045" s="7" t="s">
        <v>73</v>
      </c>
      <c r="C2045" s="8">
        <v>12717</v>
      </c>
      <c r="D2045" s="9" t="s">
        <v>1017</v>
      </c>
      <c r="E2045" s="10" t="s">
        <v>1018</v>
      </c>
      <c r="F2045" s="10" t="s">
        <v>1019</v>
      </c>
      <c r="G2045" s="8">
        <v>5</v>
      </c>
      <c r="H2045" s="11">
        <v>50</v>
      </c>
      <c r="I2045" s="12">
        <v>42610</v>
      </c>
      <c r="J2045" s="13">
        <f t="shared" si="69"/>
        <v>0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5">
        <f t="shared" si="70"/>
        <v>0</v>
      </c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5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5"/>
      <c r="AX2045" s="16"/>
    </row>
    <row r="2046" spans="2:50" x14ac:dyDescent="0.2">
      <c r="B2046" s="7" t="s">
        <v>37</v>
      </c>
      <c r="C2046" s="8">
        <v>12718</v>
      </c>
      <c r="D2046" s="9" t="s">
        <v>814</v>
      </c>
      <c r="E2046" s="10" t="s">
        <v>815</v>
      </c>
      <c r="F2046" s="10" t="s">
        <v>1177</v>
      </c>
      <c r="G2046" s="8">
        <v>5</v>
      </c>
      <c r="H2046" s="11">
        <v>50</v>
      </c>
      <c r="I2046" s="12">
        <v>42610</v>
      </c>
      <c r="J2046" s="13">
        <f t="shared" si="69"/>
        <v>0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5">
        <f t="shared" si="70"/>
        <v>0</v>
      </c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5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5"/>
      <c r="AX2046" s="16"/>
    </row>
    <row r="2047" spans="2:50" x14ac:dyDescent="0.2">
      <c r="B2047" s="7" t="s">
        <v>47</v>
      </c>
      <c r="C2047" s="8">
        <v>12719</v>
      </c>
      <c r="D2047" s="9" t="s">
        <v>434</v>
      </c>
      <c r="E2047" s="10" t="s">
        <v>435</v>
      </c>
      <c r="F2047" s="10" t="s">
        <v>436</v>
      </c>
      <c r="G2047" s="8">
        <v>1</v>
      </c>
      <c r="H2047" s="11">
        <v>400</v>
      </c>
      <c r="I2047" s="12">
        <v>42610</v>
      </c>
      <c r="J2047" s="13">
        <f t="shared" si="69"/>
        <v>0</v>
      </c>
      <c r="K2047" s="14"/>
      <c r="L2047" s="14"/>
      <c r="M2047" s="14"/>
      <c r="N2047" s="14"/>
      <c r="O2047" s="14"/>
      <c r="P2047" s="14"/>
      <c r="Q2047" s="14"/>
      <c r="R2047" s="14">
        <v>400</v>
      </c>
      <c r="S2047" s="14"/>
      <c r="T2047" s="14"/>
      <c r="U2047" s="14"/>
      <c r="V2047" s="14"/>
      <c r="W2047" s="15">
        <f t="shared" si="70"/>
        <v>400</v>
      </c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5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5"/>
      <c r="AX2047" s="16"/>
    </row>
    <row r="2048" spans="2:50" x14ac:dyDescent="0.2">
      <c r="B2048" s="7" t="s">
        <v>47</v>
      </c>
      <c r="C2048" s="8">
        <v>12720</v>
      </c>
      <c r="D2048" s="9" t="s">
        <v>583</v>
      </c>
      <c r="E2048" s="10" t="s">
        <v>584</v>
      </c>
      <c r="F2048" s="10" t="s">
        <v>585</v>
      </c>
      <c r="G2048" s="8">
        <v>5</v>
      </c>
      <c r="H2048" s="11">
        <v>50</v>
      </c>
      <c r="I2048" s="12">
        <v>42610</v>
      </c>
      <c r="J2048" s="13">
        <f t="shared" si="69"/>
        <v>0</v>
      </c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5">
        <f t="shared" si="70"/>
        <v>0</v>
      </c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5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5"/>
      <c r="AX2048" s="16"/>
    </row>
    <row r="2049" spans="2:50" x14ac:dyDescent="0.2">
      <c r="B2049" s="7" t="s">
        <v>69</v>
      </c>
      <c r="C2049" s="8">
        <v>12721</v>
      </c>
      <c r="D2049" s="9" t="s">
        <v>1089</v>
      </c>
      <c r="E2049" s="10" t="s">
        <v>1090</v>
      </c>
      <c r="F2049" s="10" t="s">
        <v>1091</v>
      </c>
      <c r="G2049" s="8">
        <v>1</v>
      </c>
      <c r="H2049" s="11">
        <v>500</v>
      </c>
      <c r="I2049" s="12">
        <v>42610</v>
      </c>
      <c r="J2049" s="13">
        <f t="shared" si="69"/>
        <v>0</v>
      </c>
      <c r="K2049" s="14"/>
      <c r="L2049" s="14"/>
      <c r="M2049" s="14"/>
      <c r="N2049" s="14"/>
      <c r="O2049" s="14"/>
      <c r="P2049" s="14"/>
      <c r="Q2049" s="14"/>
      <c r="R2049" s="14">
        <v>250</v>
      </c>
      <c r="S2049" s="14">
        <v>250</v>
      </c>
      <c r="T2049" s="14"/>
      <c r="U2049" s="14"/>
      <c r="V2049" s="14"/>
      <c r="W2049" s="15">
        <f t="shared" si="70"/>
        <v>500</v>
      </c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5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5"/>
      <c r="AX2049" s="16"/>
    </row>
    <row r="2050" spans="2:50" x14ac:dyDescent="0.2">
      <c r="B2050" s="7" t="s">
        <v>37</v>
      </c>
      <c r="C2050" s="8">
        <v>12722</v>
      </c>
      <c r="D2050" s="9" t="s">
        <v>774</v>
      </c>
      <c r="E2050" s="10" t="s">
        <v>775</v>
      </c>
      <c r="F2050" s="10" t="s">
        <v>776</v>
      </c>
      <c r="G2050" s="8">
        <v>5</v>
      </c>
      <c r="H2050" s="11">
        <v>50</v>
      </c>
      <c r="I2050" s="12">
        <v>42610</v>
      </c>
      <c r="J2050" s="13">
        <f t="shared" si="69"/>
        <v>0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5">
        <f t="shared" si="70"/>
        <v>0</v>
      </c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5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5"/>
      <c r="AX2050" s="16"/>
    </row>
    <row r="2051" spans="2:50" x14ac:dyDescent="0.2">
      <c r="B2051" s="7" t="s">
        <v>77</v>
      </c>
      <c r="C2051" s="8">
        <v>12723</v>
      </c>
      <c r="D2051" s="9" t="s">
        <v>725</v>
      </c>
      <c r="E2051" s="10" t="s">
        <v>726</v>
      </c>
      <c r="F2051" s="10" t="s">
        <v>727</v>
      </c>
      <c r="G2051" s="8">
        <v>5</v>
      </c>
      <c r="H2051" s="11">
        <v>50</v>
      </c>
      <c r="I2051" s="12">
        <v>42610</v>
      </c>
      <c r="J2051" s="13">
        <f t="shared" si="69"/>
        <v>0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5">
        <f t="shared" si="70"/>
        <v>0</v>
      </c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5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5"/>
      <c r="AX2051" s="16"/>
    </row>
    <row r="2052" spans="2:50" x14ac:dyDescent="0.2">
      <c r="B2052" s="7" t="s">
        <v>37</v>
      </c>
      <c r="C2052" s="8">
        <v>12724</v>
      </c>
      <c r="D2052" s="9" t="s">
        <v>295</v>
      </c>
      <c r="E2052" s="10" t="s">
        <v>296</v>
      </c>
      <c r="F2052" s="10" t="s">
        <v>297</v>
      </c>
      <c r="G2052" s="8">
        <v>1</v>
      </c>
      <c r="H2052" s="11">
        <v>300</v>
      </c>
      <c r="I2052" s="12">
        <v>42610</v>
      </c>
      <c r="J2052" s="13">
        <f t="shared" si="69"/>
        <v>0</v>
      </c>
      <c r="K2052" s="14"/>
      <c r="L2052" s="14"/>
      <c r="M2052" s="14"/>
      <c r="N2052" s="14"/>
      <c r="O2052" s="14"/>
      <c r="P2052" s="14"/>
      <c r="Q2052" s="14"/>
      <c r="R2052" s="14">
        <v>300</v>
      </c>
      <c r="S2052" s="14"/>
      <c r="T2052" s="14"/>
      <c r="U2052" s="14"/>
      <c r="V2052" s="14"/>
      <c r="W2052" s="15">
        <f t="shared" si="70"/>
        <v>300</v>
      </c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5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5"/>
      <c r="AX2052" s="16"/>
    </row>
    <row r="2053" spans="2:50" x14ac:dyDescent="0.2">
      <c r="B2053" s="7" t="s">
        <v>47</v>
      </c>
      <c r="C2053" s="8">
        <v>12725</v>
      </c>
      <c r="D2053" s="9" t="s">
        <v>235</v>
      </c>
      <c r="E2053" s="10" t="s">
        <v>236</v>
      </c>
      <c r="F2053" s="10" t="s">
        <v>237</v>
      </c>
      <c r="G2053" s="8">
        <v>1</v>
      </c>
      <c r="H2053" s="11">
        <v>400</v>
      </c>
      <c r="I2053" s="12">
        <v>42610</v>
      </c>
      <c r="J2053" s="13">
        <f t="shared" si="69"/>
        <v>0</v>
      </c>
      <c r="K2053" s="14"/>
      <c r="L2053" s="14"/>
      <c r="M2053" s="14"/>
      <c r="N2053" s="14"/>
      <c r="O2053" s="14"/>
      <c r="P2053" s="14"/>
      <c r="Q2053" s="14"/>
      <c r="R2053" s="14">
        <v>400</v>
      </c>
      <c r="S2053" s="14"/>
      <c r="T2053" s="14"/>
      <c r="U2053" s="14"/>
      <c r="V2053" s="14"/>
      <c r="W2053" s="15">
        <f t="shared" si="70"/>
        <v>400</v>
      </c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5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5"/>
      <c r="AX2053" s="16"/>
    </row>
    <row r="2054" spans="2:50" x14ac:dyDescent="0.2">
      <c r="B2054" s="7" t="s">
        <v>73</v>
      </c>
      <c r="C2054" s="8">
        <v>12726</v>
      </c>
      <c r="D2054" s="9" t="s">
        <v>458</v>
      </c>
      <c r="E2054" s="10" t="s">
        <v>459</v>
      </c>
      <c r="F2054" s="10" t="s">
        <v>460</v>
      </c>
      <c r="G2054" s="8">
        <v>5</v>
      </c>
      <c r="H2054" s="11">
        <v>50</v>
      </c>
      <c r="I2054" s="12">
        <v>42610</v>
      </c>
      <c r="J2054" s="13">
        <f t="shared" si="69"/>
        <v>0</v>
      </c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5">
        <f t="shared" si="70"/>
        <v>0</v>
      </c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5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5"/>
      <c r="AX2054" s="16"/>
    </row>
    <row r="2055" spans="2:50" x14ac:dyDescent="0.2">
      <c r="B2055" s="7" t="s">
        <v>37</v>
      </c>
      <c r="C2055" s="8">
        <v>12727</v>
      </c>
      <c r="D2055" s="9" t="s">
        <v>512</v>
      </c>
      <c r="E2055" s="10" t="s">
        <v>513</v>
      </c>
      <c r="F2055" s="10" t="s">
        <v>511</v>
      </c>
      <c r="G2055" s="8">
        <v>3</v>
      </c>
      <c r="H2055" s="11">
        <v>200</v>
      </c>
      <c r="I2055" s="12">
        <v>42610</v>
      </c>
      <c r="J2055" s="13">
        <f t="shared" si="69"/>
        <v>0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5">
        <f t="shared" si="70"/>
        <v>0</v>
      </c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5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5"/>
      <c r="AX2055" s="16"/>
    </row>
    <row r="2056" spans="2:50" x14ac:dyDescent="0.2">
      <c r="B2056" s="7" t="s">
        <v>47</v>
      </c>
      <c r="C2056" s="8">
        <v>12728</v>
      </c>
      <c r="D2056" s="9" t="s">
        <v>509</v>
      </c>
      <c r="E2056" s="10" t="s">
        <v>510</v>
      </c>
      <c r="F2056" s="10" t="s">
        <v>511</v>
      </c>
      <c r="G2056" s="8">
        <v>1</v>
      </c>
      <c r="H2056" s="11">
        <v>300</v>
      </c>
      <c r="I2056" s="12">
        <v>42610</v>
      </c>
      <c r="J2056" s="13">
        <f t="shared" si="69"/>
        <v>0</v>
      </c>
      <c r="K2056" s="14"/>
      <c r="L2056" s="14"/>
      <c r="M2056" s="14"/>
      <c r="N2056" s="14"/>
      <c r="O2056" s="14"/>
      <c r="P2056" s="14"/>
      <c r="Q2056" s="14"/>
      <c r="R2056" s="14">
        <v>300</v>
      </c>
      <c r="S2056" s="14"/>
      <c r="T2056" s="14"/>
      <c r="U2056" s="14"/>
      <c r="V2056" s="14"/>
      <c r="W2056" s="15">
        <f t="shared" si="70"/>
        <v>300</v>
      </c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5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5"/>
      <c r="AX2056" s="16"/>
    </row>
    <row r="2057" spans="2:50" x14ac:dyDescent="0.2">
      <c r="B2057" s="7" t="s">
        <v>47</v>
      </c>
      <c r="C2057" s="8">
        <v>12729</v>
      </c>
      <c r="D2057" s="9" t="s">
        <v>1154</v>
      </c>
      <c r="E2057" s="10" t="s">
        <v>1155</v>
      </c>
      <c r="F2057" s="10" t="s">
        <v>1156</v>
      </c>
      <c r="G2057" s="8">
        <v>1</v>
      </c>
      <c r="H2057" s="11">
        <v>200</v>
      </c>
      <c r="I2057" s="12">
        <v>42610</v>
      </c>
      <c r="J2057" s="13">
        <f t="shared" si="69"/>
        <v>0</v>
      </c>
      <c r="K2057" s="14">
        <v>200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5">
        <f t="shared" si="70"/>
        <v>200</v>
      </c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5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5"/>
      <c r="AX2057" s="16"/>
    </row>
    <row r="2058" spans="2:50" x14ac:dyDescent="0.2">
      <c r="B2058" s="7" t="s">
        <v>77</v>
      </c>
      <c r="C2058" s="8">
        <v>12730</v>
      </c>
      <c r="D2058" s="9" t="s">
        <v>473</v>
      </c>
      <c r="E2058" s="10" t="s">
        <v>474</v>
      </c>
      <c r="F2058" s="10" t="s">
        <v>475</v>
      </c>
      <c r="G2058" s="8">
        <v>1</v>
      </c>
      <c r="H2058" s="11">
        <v>800</v>
      </c>
      <c r="I2058" s="12">
        <v>42610</v>
      </c>
      <c r="J2058" s="13">
        <f t="shared" si="69"/>
        <v>0</v>
      </c>
      <c r="K2058" s="14"/>
      <c r="L2058" s="14"/>
      <c r="M2058" s="14"/>
      <c r="N2058" s="14"/>
      <c r="O2058" s="14"/>
      <c r="P2058" s="14"/>
      <c r="Q2058" s="14">
        <v>400</v>
      </c>
      <c r="R2058" s="14">
        <v>400</v>
      </c>
      <c r="S2058" s="14"/>
      <c r="T2058" s="14"/>
      <c r="U2058" s="14"/>
      <c r="V2058" s="14"/>
      <c r="W2058" s="15">
        <f t="shared" si="70"/>
        <v>800</v>
      </c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5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5"/>
      <c r="AX2058" s="16"/>
    </row>
    <row r="2059" spans="2:50" x14ac:dyDescent="0.2">
      <c r="B2059" s="7" t="s">
        <v>77</v>
      </c>
      <c r="C2059" s="8">
        <v>12731</v>
      </c>
      <c r="D2059" s="9" t="s">
        <v>473</v>
      </c>
      <c r="E2059" s="10" t="s">
        <v>474</v>
      </c>
      <c r="F2059" s="10" t="s">
        <v>475</v>
      </c>
      <c r="G2059" s="8">
        <v>5</v>
      </c>
      <c r="H2059" s="11">
        <v>50</v>
      </c>
      <c r="I2059" s="12">
        <v>42610</v>
      </c>
      <c r="J2059" s="13">
        <f t="shared" si="69"/>
        <v>0</v>
      </c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5">
        <f t="shared" si="70"/>
        <v>0</v>
      </c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5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5"/>
      <c r="AX2059" s="16"/>
    </row>
    <row r="2060" spans="2:50" x14ac:dyDescent="0.2">
      <c r="B2060" s="7" t="s">
        <v>77</v>
      </c>
      <c r="C2060" s="8">
        <v>12732</v>
      </c>
      <c r="D2060" s="9" t="s">
        <v>129</v>
      </c>
      <c r="E2060" s="10" t="s">
        <v>130</v>
      </c>
      <c r="F2060" s="10" t="s">
        <v>131</v>
      </c>
      <c r="G2060" s="8">
        <v>5</v>
      </c>
      <c r="H2060" s="11">
        <v>50</v>
      </c>
      <c r="I2060" s="12">
        <v>42610</v>
      </c>
      <c r="J2060" s="13">
        <f t="shared" si="69"/>
        <v>0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5">
        <f t="shared" si="70"/>
        <v>0</v>
      </c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5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5"/>
      <c r="AX2060" s="16"/>
    </row>
    <row r="2061" spans="2:50" x14ac:dyDescent="0.2">
      <c r="B2061" s="7" t="s">
        <v>47</v>
      </c>
      <c r="C2061" s="8">
        <v>12733</v>
      </c>
      <c r="D2061" s="9" t="s">
        <v>655</v>
      </c>
      <c r="E2061" s="10" t="s">
        <v>656</v>
      </c>
      <c r="F2061" s="10" t="s">
        <v>657</v>
      </c>
      <c r="G2061" s="8">
        <v>5</v>
      </c>
      <c r="H2061" s="11">
        <v>50</v>
      </c>
      <c r="I2061" s="12">
        <v>42610</v>
      </c>
      <c r="J2061" s="13">
        <f t="shared" si="69"/>
        <v>0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5">
        <f t="shared" si="70"/>
        <v>0</v>
      </c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5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5"/>
      <c r="AX2061" s="16"/>
    </row>
    <row r="2062" spans="2:50" x14ac:dyDescent="0.2">
      <c r="B2062" s="7" t="s">
        <v>47</v>
      </c>
      <c r="C2062" s="8">
        <v>12734</v>
      </c>
      <c r="D2062" s="9" t="s">
        <v>825</v>
      </c>
      <c r="E2062" s="10" t="s">
        <v>826</v>
      </c>
      <c r="F2062" s="10" t="s">
        <v>827</v>
      </c>
      <c r="G2062" s="8">
        <v>1</v>
      </c>
      <c r="H2062" s="11">
        <v>400</v>
      </c>
      <c r="I2062" s="12">
        <v>42610</v>
      </c>
      <c r="J2062" s="13">
        <f t="shared" si="69"/>
        <v>0</v>
      </c>
      <c r="K2062" s="14"/>
      <c r="L2062" s="14"/>
      <c r="M2062" s="14"/>
      <c r="N2062" s="14">
        <v>400</v>
      </c>
      <c r="O2062" s="14"/>
      <c r="P2062" s="14"/>
      <c r="Q2062" s="14"/>
      <c r="R2062" s="14"/>
      <c r="S2062" s="14"/>
      <c r="T2062" s="14"/>
      <c r="U2062" s="14"/>
      <c r="V2062" s="14"/>
      <c r="W2062" s="15">
        <f t="shared" si="70"/>
        <v>400</v>
      </c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5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5"/>
      <c r="AX2062" s="16"/>
    </row>
    <row r="2063" spans="2:50" x14ac:dyDescent="0.2">
      <c r="B2063" s="7" t="s">
        <v>47</v>
      </c>
      <c r="C2063" s="8">
        <v>12734</v>
      </c>
      <c r="D2063" s="9" t="s">
        <v>825</v>
      </c>
      <c r="E2063" s="10" t="s">
        <v>826</v>
      </c>
      <c r="F2063" s="10" t="s">
        <v>827</v>
      </c>
      <c r="G2063" s="8">
        <v>5</v>
      </c>
      <c r="H2063" s="11">
        <v>50</v>
      </c>
      <c r="I2063" s="12">
        <v>42610</v>
      </c>
      <c r="J2063" s="13">
        <f t="shared" ref="J2063:J2081" si="71">IF(G2063=1,SUM(W2063,-H2063),0)</f>
        <v>0</v>
      </c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5">
        <f t="shared" ref="W2063:W2081" si="72">SUM(K2063:V2063)</f>
        <v>0</v>
      </c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5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5"/>
      <c r="AX2063" s="16"/>
    </row>
    <row r="2064" spans="2:50" x14ac:dyDescent="0.2">
      <c r="B2064" s="7" t="s">
        <v>122</v>
      </c>
      <c r="C2064" s="8">
        <v>12735</v>
      </c>
      <c r="D2064" s="9" t="s">
        <v>123</v>
      </c>
      <c r="E2064" s="10" t="s">
        <v>124</v>
      </c>
      <c r="F2064" s="10" t="s">
        <v>125</v>
      </c>
      <c r="G2064" s="8">
        <v>1</v>
      </c>
      <c r="H2064" s="11">
        <v>250</v>
      </c>
      <c r="I2064" s="12">
        <v>42610</v>
      </c>
      <c r="J2064" s="13">
        <f t="shared" si="71"/>
        <v>0</v>
      </c>
      <c r="K2064" s="14"/>
      <c r="L2064" s="14"/>
      <c r="M2064" s="14"/>
      <c r="N2064" s="14"/>
      <c r="O2064" s="14"/>
      <c r="P2064" s="14"/>
      <c r="Q2064" s="14"/>
      <c r="R2064" s="14"/>
      <c r="S2064" s="14">
        <v>250</v>
      </c>
      <c r="T2064" s="14"/>
      <c r="U2064" s="14"/>
      <c r="V2064" s="14"/>
      <c r="W2064" s="15">
        <f t="shared" si="72"/>
        <v>250</v>
      </c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5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5"/>
      <c r="AX2064" s="16"/>
    </row>
    <row r="2065" spans="2:50" x14ac:dyDescent="0.2">
      <c r="B2065" s="7" t="s">
        <v>69</v>
      </c>
      <c r="C2065" s="8">
        <v>12736</v>
      </c>
      <c r="D2065" s="9" t="s">
        <v>1178</v>
      </c>
      <c r="E2065" s="10" t="s">
        <v>1179</v>
      </c>
      <c r="F2065" s="10" t="s">
        <v>1180</v>
      </c>
      <c r="G2065" s="8">
        <v>1</v>
      </c>
      <c r="H2065" s="11">
        <v>1000</v>
      </c>
      <c r="I2065" s="12">
        <v>42610</v>
      </c>
      <c r="J2065" s="13">
        <f t="shared" si="71"/>
        <v>0</v>
      </c>
      <c r="K2065" s="14"/>
      <c r="L2065" s="14"/>
      <c r="M2065" s="14"/>
      <c r="N2065" s="14">
        <v>200</v>
      </c>
      <c r="O2065" s="14">
        <v>200</v>
      </c>
      <c r="P2065" s="14">
        <v>200</v>
      </c>
      <c r="Q2065" s="14">
        <v>200</v>
      </c>
      <c r="R2065" s="14">
        <v>200</v>
      </c>
      <c r="S2065" s="14"/>
      <c r="T2065" s="14"/>
      <c r="U2065" s="14"/>
      <c r="V2065" s="14"/>
      <c r="W2065" s="15">
        <f t="shared" si="72"/>
        <v>1000</v>
      </c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5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5"/>
      <c r="AX2065" s="16"/>
    </row>
    <row r="2066" spans="2:50" x14ac:dyDescent="0.2">
      <c r="B2066" s="7" t="s">
        <v>69</v>
      </c>
      <c r="C2066" s="8">
        <v>12736</v>
      </c>
      <c r="D2066" s="9" t="s">
        <v>1178</v>
      </c>
      <c r="E2066" s="10" t="s">
        <v>1179</v>
      </c>
      <c r="F2066" s="10" t="s">
        <v>1180</v>
      </c>
      <c r="G2066" s="8">
        <v>5</v>
      </c>
      <c r="H2066" s="11">
        <v>100</v>
      </c>
      <c r="I2066" s="12">
        <v>42610</v>
      </c>
      <c r="J2066" s="13">
        <f t="shared" si="71"/>
        <v>0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5">
        <f t="shared" si="72"/>
        <v>0</v>
      </c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5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5"/>
      <c r="AX2066" s="16"/>
    </row>
    <row r="2067" spans="2:50" x14ac:dyDescent="0.2">
      <c r="B2067" s="7" t="s">
        <v>69</v>
      </c>
      <c r="C2067" s="8">
        <v>12737</v>
      </c>
      <c r="D2067" s="9" t="s">
        <v>1178</v>
      </c>
      <c r="E2067" s="10" t="s">
        <v>1179</v>
      </c>
      <c r="F2067" s="10" t="s">
        <v>1180</v>
      </c>
      <c r="G2067" s="8">
        <v>4</v>
      </c>
      <c r="H2067" s="11">
        <v>200</v>
      </c>
      <c r="I2067" s="12">
        <v>42610</v>
      </c>
      <c r="J2067" s="13">
        <f t="shared" si="71"/>
        <v>0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5">
        <f t="shared" si="72"/>
        <v>0</v>
      </c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5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5"/>
      <c r="AX2067" s="7">
        <v>10451899</v>
      </c>
    </row>
    <row r="2068" spans="2:50" x14ac:dyDescent="0.2">
      <c r="B2068" s="7" t="s">
        <v>47</v>
      </c>
      <c r="C2068" s="8">
        <v>12738</v>
      </c>
      <c r="D2068" s="9" t="s">
        <v>208</v>
      </c>
      <c r="E2068" s="10" t="s">
        <v>209</v>
      </c>
      <c r="F2068" s="10" t="s">
        <v>210</v>
      </c>
      <c r="G2068" s="8">
        <v>5</v>
      </c>
      <c r="H2068" s="11">
        <v>50</v>
      </c>
      <c r="I2068" s="12">
        <v>42610</v>
      </c>
      <c r="J2068" s="13">
        <f t="shared" si="71"/>
        <v>0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5">
        <f t="shared" si="72"/>
        <v>0</v>
      </c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5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5"/>
      <c r="AX2068" s="16"/>
    </row>
    <row r="2069" spans="2:50" x14ac:dyDescent="0.2">
      <c r="B2069" s="7" t="s">
        <v>69</v>
      </c>
      <c r="C2069" s="8">
        <v>12739</v>
      </c>
      <c r="D2069" s="9" t="s">
        <v>828</v>
      </c>
      <c r="E2069" s="10" t="s">
        <v>829</v>
      </c>
      <c r="F2069" s="10" t="s">
        <v>830</v>
      </c>
      <c r="G2069" s="8">
        <v>1</v>
      </c>
      <c r="H2069" s="11">
        <v>400</v>
      </c>
      <c r="I2069" s="12">
        <v>42610</v>
      </c>
      <c r="J2069" s="13">
        <f t="shared" si="71"/>
        <v>0</v>
      </c>
      <c r="K2069" s="14"/>
      <c r="L2069" s="14"/>
      <c r="M2069" s="14"/>
      <c r="N2069" s="14"/>
      <c r="O2069" s="14"/>
      <c r="P2069" s="14"/>
      <c r="Q2069" s="14">
        <v>200</v>
      </c>
      <c r="R2069" s="14">
        <v>200</v>
      </c>
      <c r="S2069" s="14"/>
      <c r="T2069" s="14"/>
      <c r="U2069" s="14"/>
      <c r="V2069" s="14"/>
      <c r="W2069" s="15">
        <f t="shared" si="72"/>
        <v>400</v>
      </c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5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5"/>
      <c r="AX2069" s="16"/>
    </row>
    <row r="2070" spans="2:50" x14ac:dyDescent="0.2">
      <c r="B2070" s="7" t="s">
        <v>37</v>
      </c>
      <c r="C2070" s="8">
        <v>12740</v>
      </c>
      <c r="D2070" s="9" t="s">
        <v>716</v>
      </c>
      <c r="E2070" s="10" t="s">
        <v>717</v>
      </c>
      <c r="F2070" s="10" t="s">
        <v>718</v>
      </c>
      <c r="G2070" s="8">
        <v>5</v>
      </c>
      <c r="H2070" s="11">
        <v>50</v>
      </c>
      <c r="I2070" s="12">
        <v>42610</v>
      </c>
      <c r="J2070" s="13">
        <f t="shared" si="71"/>
        <v>0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5">
        <f t="shared" si="72"/>
        <v>0</v>
      </c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5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5"/>
      <c r="AX2070" s="16"/>
    </row>
    <row r="2071" spans="2:50" x14ac:dyDescent="0.2">
      <c r="B2071" s="7" t="s">
        <v>37</v>
      </c>
      <c r="C2071" s="8">
        <v>12741</v>
      </c>
      <c r="D2071" s="9" t="s">
        <v>716</v>
      </c>
      <c r="E2071" s="10" t="s">
        <v>717</v>
      </c>
      <c r="F2071" s="10" t="s">
        <v>718</v>
      </c>
      <c r="G2071" s="8">
        <v>1</v>
      </c>
      <c r="H2071" s="11">
        <v>300</v>
      </c>
      <c r="I2071" s="12">
        <v>42610</v>
      </c>
      <c r="J2071" s="13">
        <f t="shared" si="71"/>
        <v>0</v>
      </c>
      <c r="K2071" s="14"/>
      <c r="L2071" s="14"/>
      <c r="M2071" s="14"/>
      <c r="N2071" s="14"/>
      <c r="O2071" s="14"/>
      <c r="P2071" s="14"/>
      <c r="Q2071" s="14"/>
      <c r="R2071" s="14"/>
      <c r="S2071" s="14">
        <v>300</v>
      </c>
      <c r="T2071" s="14"/>
      <c r="U2071" s="14"/>
      <c r="V2071" s="14"/>
      <c r="W2071" s="15">
        <f t="shared" si="72"/>
        <v>300</v>
      </c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5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5"/>
      <c r="AX2071" s="16"/>
    </row>
    <row r="2072" spans="2:50" x14ac:dyDescent="0.2">
      <c r="B2072" s="7" t="s">
        <v>69</v>
      </c>
      <c r="C2072" s="8">
        <v>12742</v>
      </c>
      <c r="D2072" s="9" t="s">
        <v>1181</v>
      </c>
      <c r="E2072" s="10" t="s">
        <v>1182</v>
      </c>
      <c r="F2072" s="10" t="s">
        <v>1183</v>
      </c>
      <c r="G2072" s="8">
        <v>1</v>
      </c>
      <c r="H2072" s="11">
        <v>600</v>
      </c>
      <c r="I2072" s="12">
        <v>42610</v>
      </c>
      <c r="J2072" s="13">
        <f t="shared" si="71"/>
        <v>0</v>
      </c>
      <c r="K2072" s="14"/>
      <c r="L2072" s="14"/>
      <c r="M2072" s="14"/>
      <c r="N2072" s="14"/>
      <c r="O2072" s="14"/>
      <c r="P2072" s="14">
        <v>200</v>
      </c>
      <c r="Q2072" s="14">
        <v>200</v>
      </c>
      <c r="R2072" s="14">
        <v>200</v>
      </c>
      <c r="S2072" s="14"/>
      <c r="T2072" s="14"/>
      <c r="U2072" s="14"/>
      <c r="V2072" s="14"/>
      <c r="W2072" s="15">
        <f t="shared" si="72"/>
        <v>600</v>
      </c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5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5"/>
      <c r="AX2072" s="16"/>
    </row>
    <row r="2073" spans="2:50" x14ac:dyDescent="0.2">
      <c r="B2073" s="7" t="s">
        <v>69</v>
      </c>
      <c r="C2073" s="8">
        <v>12742</v>
      </c>
      <c r="D2073" s="9" t="s">
        <v>1181</v>
      </c>
      <c r="E2073" s="10" t="s">
        <v>1182</v>
      </c>
      <c r="F2073" s="10" t="s">
        <v>1183</v>
      </c>
      <c r="G2073" s="8">
        <v>5</v>
      </c>
      <c r="H2073" s="11">
        <v>100</v>
      </c>
      <c r="I2073" s="12">
        <v>42610</v>
      </c>
      <c r="J2073" s="13">
        <f t="shared" si="71"/>
        <v>0</v>
      </c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5">
        <f t="shared" si="72"/>
        <v>0</v>
      </c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5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5"/>
      <c r="AX2073" s="16"/>
    </row>
    <row r="2074" spans="2:50" x14ac:dyDescent="0.2">
      <c r="B2074" s="7" t="s">
        <v>77</v>
      </c>
      <c r="C2074" s="8">
        <v>12743</v>
      </c>
      <c r="D2074" s="9" t="s">
        <v>473</v>
      </c>
      <c r="E2074" s="10" t="s">
        <v>474</v>
      </c>
      <c r="F2074" s="10" t="s">
        <v>475</v>
      </c>
      <c r="G2074" s="8">
        <v>5</v>
      </c>
      <c r="H2074" s="11">
        <v>50</v>
      </c>
      <c r="I2074" s="12">
        <v>42610</v>
      </c>
      <c r="J2074" s="13">
        <f t="shared" si="71"/>
        <v>0</v>
      </c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5">
        <f t="shared" si="72"/>
        <v>0</v>
      </c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5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5"/>
      <c r="AX2074" s="16"/>
    </row>
    <row r="2075" spans="2:50" x14ac:dyDescent="0.2">
      <c r="B2075" s="7" t="s">
        <v>69</v>
      </c>
      <c r="C2075" s="8">
        <v>12744</v>
      </c>
      <c r="D2075" s="9" t="s">
        <v>387</v>
      </c>
      <c r="E2075" s="10" t="s">
        <v>388</v>
      </c>
      <c r="F2075" s="10" t="s">
        <v>389</v>
      </c>
      <c r="G2075" s="8">
        <v>1</v>
      </c>
      <c r="H2075" s="11">
        <v>3200</v>
      </c>
      <c r="I2075" s="12">
        <v>42610</v>
      </c>
      <c r="J2075" s="13">
        <f t="shared" si="71"/>
        <v>0</v>
      </c>
      <c r="K2075" s="14">
        <v>400</v>
      </c>
      <c r="L2075" s="14">
        <v>400</v>
      </c>
      <c r="M2075" s="14">
        <v>400</v>
      </c>
      <c r="N2075" s="14">
        <v>400</v>
      </c>
      <c r="O2075" s="14">
        <v>400</v>
      </c>
      <c r="P2075" s="14">
        <v>400</v>
      </c>
      <c r="Q2075" s="14">
        <v>400</v>
      </c>
      <c r="R2075" s="14">
        <v>400</v>
      </c>
      <c r="S2075" s="14"/>
      <c r="T2075" s="14"/>
      <c r="U2075" s="14"/>
      <c r="V2075" s="14"/>
      <c r="W2075" s="15">
        <f t="shared" si="72"/>
        <v>3200</v>
      </c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5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5"/>
      <c r="AX2075" s="16"/>
    </row>
    <row r="2076" spans="2:50" x14ac:dyDescent="0.2">
      <c r="B2076" s="7" t="s">
        <v>69</v>
      </c>
      <c r="C2076" s="8">
        <v>12744</v>
      </c>
      <c r="D2076" s="9" t="s">
        <v>387</v>
      </c>
      <c r="E2076" s="10" t="s">
        <v>388</v>
      </c>
      <c r="F2076" s="10" t="s">
        <v>389</v>
      </c>
      <c r="G2076" s="8">
        <v>5</v>
      </c>
      <c r="H2076" s="11">
        <v>200</v>
      </c>
      <c r="I2076" s="12">
        <v>42610</v>
      </c>
      <c r="J2076" s="13">
        <f t="shared" si="71"/>
        <v>0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5">
        <f t="shared" si="72"/>
        <v>0</v>
      </c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5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5"/>
      <c r="AX2076" s="16"/>
    </row>
    <row r="2077" spans="2:50" x14ac:dyDescent="0.2">
      <c r="B2077" s="7" t="s">
        <v>69</v>
      </c>
      <c r="C2077" s="8">
        <v>12754</v>
      </c>
      <c r="D2077" s="9" t="s">
        <v>211</v>
      </c>
      <c r="E2077" s="10" t="s">
        <v>212</v>
      </c>
      <c r="F2077" s="10" t="s">
        <v>213</v>
      </c>
      <c r="G2077" s="8">
        <v>1</v>
      </c>
      <c r="H2077" s="11">
        <v>300</v>
      </c>
      <c r="I2077" s="12">
        <v>42588</v>
      </c>
      <c r="J2077" s="13">
        <f t="shared" si="71"/>
        <v>0</v>
      </c>
      <c r="K2077" s="14"/>
      <c r="L2077" s="14"/>
      <c r="M2077" s="14"/>
      <c r="N2077" s="14"/>
      <c r="O2077" s="14"/>
      <c r="P2077" s="14"/>
      <c r="Q2077" s="14"/>
      <c r="R2077" s="14">
        <v>300</v>
      </c>
      <c r="S2077" s="14"/>
      <c r="T2077" s="14"/>
      <c r="U2077" s="14"/>
      <c r="V2077" s="14"/>
      <c r="W2077" s="15">
        <f t="shared" si="72"/>
        <v>300</v>
      </c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5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5"/>
      <c r="AX2077" s="16"/>
    </row>
    <row r="2078" spans="2:50" x14ac:dyDescent="0.2">
      <c r="B2078" s="7" t="s">
        <v>73</v>
      </c>
      <c r="C2078" s="8"/>
      <c r="D2078" s="9" t="s">
        <v>806</v>
      </c>
      <c r="E2078" s="10" t="s">
        <v>885</v>
      </c>
      <c r="F2078" s="10" t="s">
        <v>805</v>
      </c>
      <c r="G2078" s="8">
        <v>1</v>
      </c>
      <c r="H2078" s="11">
        <v>11000</v>
      </c>
      <c r="I2078" s="12">
        <v>42592</v>
      </c>
      <c r="J2078" s="13">
        <f t="shared" si="71"/>
        <v>0</v>
      </c>
      <c r="K2078" s="14"/>
      <c r="L2078" s="14"/>
      <c r="M2078" s="14"/>
      <c r="N2078" s="14"/>
      <c r="O2078" s="14"/>
      <c r="P2078" s="14"/>
      <c r="Q2078" s="14">
        <v>11000</v>
      </c>
      <c r="R2078" s="14"/>
      <c r="S2078" s="14"/>
      <c r="T2078" s="14"/>
      <c r="U2078" s="14"/>
      <c r="V2078" s="14"/>
      <c r="W2078" s="15">
        <f t="shared" si="72"/>
        <v>11000</v>
      </c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5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5"/>
      <c r="AX2078" s="16"/>
    </row>
    <row r="2079" spans="2:50" x14ac:dyDescent="0.2">
      <c r="B2079" s="7" t="s">
        <v>73</v>
      </c>
      <c r="C2079" s="8"/>
      <c r="D2079" s="9" t="s">
        <v>806</v>
      </c>
      <c r="E2079" s="10" t="s">
        <v>885</v>
      </c>
      <c r="F2079" s="10" t="s">
        <v>805</v>
      </c>
      <c r="G2079" s="8">
        <v>1</v>
      </c>
      <c r="H2079" s="11">
        <v>11000</v>
      </c>
      <c r="I2079" s="12">
        <v>42604</v>
      </c>
      <c r="J2079" s="13">
        <f t="shared" si="71"/>
        <v>0</v>
      </c>
      <c r="K2079" s="14"/>
      <c r="L2079" s="14"/>
      <c r="M2079" s="14"/>
      <c r="N2079" s="14"/>
      <c r="O2079" s="14"/>
      <c r="P2079" s="14"/>
      <c r="Q2079" s="14"/>
      <c r="R2079" s="14">
        <v>11000</v>
      </c>
      <c r="S2079" s="14"/>
      <c r="T2079" s="14"/>
      <c r="U2079" s="14"/>
      <c r="V2079" s="14"/>
      <c r="W2079" s="15">
        <f t="shared" si="72"/>
        <v>11000</v>
      </c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5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5"/>
      <c r="AX2079" s="16"/>
    </row>
    <row r="2080" spans="2:50" x14ac:dyDescent="0.2">
      <c r="B2080" s="7" t="s">
        <v>93</v>
      </c>
      <c r="C2080" s="8"/>
      <c r="D2080" s="9"/>
      <c r="E2080" s="10" t="s">
        <v>93</v>
      </c>
      <c r="F2080" s="10" t="s">
        <v>93</v>
      </c>
      <c r="G2080" s="8"/>
      <c r="H2080" s="11"/>
      <c r="I2080" s="12"/>
      <c r="J2080" s="13">
        <f t="shared" si="71"/>
        <v>0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5">
        <f t="shared" si="72"/>
        <v>0</v>
      </c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5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5"/>
      <c r="AX2080" s="16"/>
    </row>
    <row r="2081" spans="1:50" x14ac:dyDescent="0.2">
      <c r="B2081" s="7" t="s">
        <v>93</v>
      </c>
      <c r="C2081" s="8"/>
      <c r="D2081" s="9"/>
      <c r="E2081" s="10" t="s">
        <v>93</v>
      </c>
      <c r="F2081" s="10" t="s">
        <v>93</v>
      </c>
      <c r="G2081" s="8"/>
      <c r="H2081" s="11"/>
      <c r="I2081" s="12"/>
      <c r="J2081" s="13">
        <f t="shared" si="71"/>
        <v>0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5">
        <f t="shared" si="72"/>
        <v>0</v>
      </c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5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5"/>
      <c r="AX2081" s="16"/>
    </row>
    <row r="2082" spans="1:50" ht="22.5" x14ac:dyDescent="0.2">
      <c r="A2082" s="2" t="s">
        <v>0</v>
      </c>
      <c r="B2082" s="3" t="s">
        <v>1</v>
      </c>
      <c r="C2082" s="3" t="s">
        <v>2</v>
      </c>
      <c r="D2082" s="3" t="s">
        <v>3</v>
      </c>
      <c r="E2082" s="3" t="s">
        <v>4</v>
      </c>
      <c r="F2082" s="3" t="s">
        <v>5</v>
      </c>
      <c r="G2082" s="3" t="s">
        <v>6</v>
      </c>
      <c r="H2082" s="3" t="s">
        <v>7</v>
      </c>
      <c r="I2082" s="3" t="s">
        <v>8</v>
      </c>
      <c r="J2082" s="3" t="s">
        <v>9</v>
      </c>
      <c r="K2082" s="4" t="s">
        <v>10</v>
      </c>
      <c r="L2082" s="4" t="s">
        <v>11</v>
      </c>
      <c r="M2082" s="4" t="s">
        <v>12</v>
      </c>
      <c r="N2082" s="4" t="s">
        <v>13</v>
      </c>
      <c r="O2082" s="4" t="s">
        <v>14</v>
      </c>
      <c r="P2082" s="4" t="s">
        <v>15</v>
      </c>
      <c r="Q2082" s="4" t="s">
        <v>16</v>
      </c>
      <c r="R2082" s="4" t="s">
        <v>17</v>
      </c>
      <c r="S2082" s="4" t="s">
        <v>18</v>
      </c>
      <c r="T2082" s="4" t="s">
        <v>19</v>
      </c>
      <c r="U2082" s="4" t="s">
        <v>20</v>
      </c>
      <c r="V2082" s="4" t="s">
        <v>21</v>
      </c>
      <c r="W2082" s="5" t="s">
        <v>22</v>
      </c>
      <c r="X2082" s="4" t="s">
        <v>23</v>
      </c>
      <c r="Y2082" s="4" t="s">
        <v>24</v>
      </c>
      <c r="Z2082" s="4" t="s">
        <v>25</v>
      </c>
      <c r="AA2082" s="4" t="s">
        <v>26</v>
      </c>
      <c r="AB2082" s="4" t="s">
        <v>27</v>
      </c>
      <c r="AC2082" s="4" t="s">
        <v>28</v>
      </c>
      <c r="AD2082" s="4" t="s">
        <v>29</v>
      </c>
      <c r="AE2082" s="4" t="s">
        <v>30</v>
      </c>
      <c r="AF2082" s="4" t="s">
        <v>31</v>
      </c>
      <c r="AG2082" s="4" t="s">
        <v>32</v>
      </c>
      <c r="AH2082" s="4" t="s">
        <v>33</v>
      </c>
      <c r="AI2082" s="4" t="s">
        <v>34</v>
      </c>
      <c r="AJ2082" s="5" t="s">
        <v>35</v>
      </c>
      <c r="AK2082" s="4" t="s">
        <v>4607</v>
      </c>
      <c r="AL2082" s="4" t="s">
        <v>4608</v>
      </c>
      <c r="AM2082" s="4" t="s">
        <v>4609</v>
      </c>
      <c r="AN2082" s="4" t="s">
        <v>4610</v>
      </c>
      <c r="AO2082" s="4" t="s">
        <v>4611</v>
      </c>
      <c r="AP2082" s="4" t="s">
        <v>4612</v>
      </c>
      <c r="AQ2082" s="4" t="s">
        <v>4613</v>
      </c>
      <c r="AR2082" s="4" t="s">
        <v>4614</v>
      </c>
      <c r="AS2082" s="4" t="s">
        <v>4615</v>
      </c>
      <c r="AT2082" s="4" t="s">
        <v>4616</v>
      </c>
      <c r="AU2082" s="4" t="s">
        <v>4617</v>
      </c>
      <c r="AV2082" s="4" t="s">
        <v>4618</v>
      </c>
      <c r="AW2082" s="338" t="s">
        <v>4619</v>
      </c>
      <c r="AX2082" s="6" t="s">
        <v>36</v>
      </c>
    </row>
    <row r="2083" spans="1:50" x14ac:dyDescent="0.2">
      <c r="B2083" s="7" t="s">
        <v>93</v>
      </c>
      <c r="C2083" s="8">
        <v>12745</v>
      </c>
      <c r="D2083" s="9"/>
      <c r="E2083" s="10" t="s">
        <v>93</v>
      </c>
      <c r="F2083" s="10" t="s">
        <v>93</v>
      </c>
      <c r="G2083" s="8">
        <v>8</v>
      </c>
      <c r="H2083" s="11"/>
      <c r="I2083" s="12"/>
      <c r="J2083" s="13">
        <f t="shared" ref="J2083:J2146" si="73">IF(G2083=1,SUM(W2083,-H2083),0)</f>
        <v>0</v>
      </c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5">
        <f t="shared" ref="W2083:W2146" si="74">SUM(K2083:V2083)</f>
        <v>0</v>
      </c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5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5"/>
      <c r="AX2083" s="16"/>
    </row>
    <row r="2084" spans="1:50" x14ac:dyDescent="0.2">
      <c r="B2084" s="7" t="s">
        <v>69</v>
      </c>
      <c r="C2084" s="8">
        <v>12746</v>
      </c>
      <c r="D2084" s="9" t="s">
        <v>461</v>
      </c>
      <c r="E2084" s="10" t="s">
        <v>462</v>
      </c>
      <c r="F2084" s="10" t="s">
        <v>463</v>
      </c>
      <c r="G2084" s="8">
        <v>5</v>
      </c>
      <c r="H2084" s="11">
        <v>150</v>
      </c>
      <c r="I2084" s="12">
        <v>42611</v>
      </c>
      <c r="J2084" s="13">
        <f t="shared" si="73"/>
        <v>0</v>
      </c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5">
        <f t="shared" si="74"/>
        <v>0</v>
      </c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5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5"/>
      <c r="AX2084" s="16"/>
    </row>
    <row r="2085" spans="1:50" x14ac:dyDescent="0.2">
      <c r="B2085" s="7" t="s">
        <v>122</v>
      </c>
      <c r="C2085" s="8">
        <v>12747</v>
      </c>
      <c r="D2085" s="9" t="s">
        <v>220</v>
      </c>
      <c r="E2085" s="10" t="s">
        <v>221</v>
      </c>
      <c r="F2085" s="10" t="s">
        <v>222</v>
      </c>
      <c r="G2085" s="8">
        <v>1</v>
      </c>
      <c r="H2085" s="11">
        <v>300</v>
      </c>
      <c r="I2085" s="12">
        <v>42612</v>
      </c>
      <c r="J2085" s="13">
        <f t="shared" si="73"/>
        <v>0</v>
      </c>
      <c r="K2085" s="14"/>
      <c r="L2085" s="14"/>
      <c r="M2085" s="14"/>
      <c r="N2085" s="14"/>
      <c r="O2085" s="14"/>
      <c r="P2085" s="14"/>
      <c r="Q2085" s="14"/>
      <c r="R2085" s="14">
        <v>300</v>
      </c>
      <c r="S2085" s="14"/>
      <c r="T2085" s="14"/>
      <c r="U2085" s="14"/>
      <c r="V2085" s="14"/>
      <c r="W2085" s="15">
        <f t="shared" si="74"/>
        <v>300</v>
      </c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5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5"/>
      <c r="AX2085" s="16"/>
    </row>
    <row r="2086" spans="1:50" x14ac:dyDescent="0.2">
      <c r="B2086" s="7" t="s">
        <v>47</v>
      </c>
      <c r="C2086" s="8">
        <v>12748</v>
      </c>
      <c r="D2086" s="9" t="s">
        <v>497</v>
      </c>
      <c r="E2086" s="10" t="s">
        <v>498</v>
      </c>
      <c r="F2086" s="10" t="s">
        <v>499</v>
      </c>
      <c r="G2086" s="8">
        <v>1</v>
      </c>
      <c r="H2086" s="11">
        <v>800</v>
      </c>
      <c r="I2086" s="12">
        <v>42612</v>
      </c>
      <c r="J2086" s="13">
        <f t="shared" si="73"/>
        <v>0</v>
      </c>
      <c r="K2086" s="14"/>
      <c r="L2086" s="14"/>
      <c r="M2086" s="14"/>
      <c r="N2086" s="14"/>
      <c r="O2086" s="14"/>
      <c r="P2086" s="14"/>
      <c r="Q2086" s="14"/>
      <c r="R2086" s="14">
        <v>400</v>
      </c>
      <c r="S2086" s="14">
        <v>400</v>
      </c>
      <c r="T2086" s="14"/>
      <c r="U2086" s="14"/>
      <c r="V2086" s="14"/>
      <c r="W2086" s="15">
        <f t="shared" si="74"/>
        <v>800</v>
      </c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5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5"/>
      <c r="AX2086" s="16"/>
    </row>
    <row r="2087" spans="1:50" x14ac:dyDescent="0.2">
      <c r="B2087" s="7" t="s">
        <v>73</v>
      </c>
      <c r="C2087" s="8">
        <v>12749</v>
      </c>
      <c r="D2087" s="9" t="s">
        <v>199</v>
      </c>
      <c r="E2087" s="10" t="s">
        <v>200</v>
      </c>
      <c r="F2087" s="10" t="s">
        <v>201</v>
      </c>
      <c r="G2087" s="8">
        <v>1</v>
      </c>
      <c r="H2087" s="11">
        <v>800</v>
      </c>
      <c r="I2087" s="12">
        <v>42613</v>
      </c>
      <c r="J2087" s="13">
        <f t="shared" si="73"/>
        <v>0</v>
      </c>
      <c r="K2087" s="14"/>
      <c r="L2087" s="14"/>
      <c r="M2087" s="14"/>
      <c r="N2087" s="14"/>
      <c r="O2087" s="14"/>
      <c r="P2087" s="14">
        <v>400</v>
      </c>
      <c r="Q2087" s="14">
        <v>400</v>
      </c>
      <c r="R2087" s="14"/>
      <c r="S2087" s="14"/>
      <c r="T2087" s="14"/>
      <c r="U2087" s="14"/>
      <c r="V2087" s="14"/>
      <c r="W2087" s="15">
        <f t="shared" si="74"/>
        <v>800</v>
      </c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5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5"/>
      <c r="AX2087" s="16"/>
    </row>
    <row r="2088" spans="1:50" x14ac:dyDescent="0.2">
      <c r="B2088" s="7" t="s">
        <v>73</v>
      </c>
      <c r="C2088" s="8">
        <v>12749</v>
      </c>
      <c r="D2088" s="9" t="s">
        <v>199</v>
      </c>
      <c r="E2088" s="10" t="s">
        <v>200</v>
      </c>
      <c r="F2088" s="10" t="s">
        <v>201</v>
      </c>
      <c r="G2088" s="8">
        <v>5</v>
      </c>
      <c r="H2088" s="11">
        <v>100</v>
      </c>
      <c r="I2088" s="12">
        <v>42613</v>
      </c>
      <c r="J2088" s="13">
        <f t="shared" si="73"/>
        <v>0</v>
      </c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5">
        <f t="shared" si="74"/>
        <v>0</v>
      </c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5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5"/>
      <c r="AX2088" s="16"/>
    </row>
    <row r="2089" spans="1:50" x14ac:dyDescent="0.2">
      <c r="B2089" s="7" t="s">
        <v>77</v>
      </c>
      <c r="C2089" s="8">
        <v>12750</v>
      </c>
      <c r="D2089" s="9" t="s">
        <v>1184</v>
      </c>
      <c r="E2089" s="10" t="s">
        <v>1185</v>
      </c>
      <c r="F2089" s="10" t="s">
        <v>1186</v>
      </c>
      <c r="G2089" s="8">
        <v>1</v>
      </c>
      <c r="H2089" s="11">
        <v>400</v>
      </c>
      <c r="I2089" s="12">
        <v>42614</v>
      </c>
      <c r="J2089" s="13">
        <f t="shared" si="73"/>
        <v>0</v>
      </c>
      <c r="K2089" s="14"/>
      <c r="L2089" s="14"/>
      <c r="M2089" s="14"/>
      <c r="N2089" s="14"/>
      <c r="O2089" s="14"/>
      <c r="P2089" s="14"/>
      <c r="Q2089" s="14"/>
      <c r="R2089" s="14"/>
      <c r="S2089" s="14">
        <v>400</v>
      </c>
      <c r="T2089" s="14"/>
      <c r="U2089" s="14"/>
      <c r="V2089" s="14"/>
      <c r="W2089" s="15">
        <f t="shared" si="74"/>
        <v>400</v>
      </c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5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5"/>
      <c r="AX2089" s="16"/>
    </row>
    <row r="2090" spans="1:50" x14ac:dyDescent="0.2">
      <c r="B2090" s="7" t="s">
        <v>77</v>
      </c>
      <c r="C2090" s="8">
        <v>12751</v>
      </c>
      <c r="D2090" s="9" t="s">
        <v>1184</v>
      </c>
      <c r="E2090" s="10" t="s">
        <v>1185</v>
      </c>
      <c r="F2090" s="10" t="s">
        <v>1186</v>
      </c>
      <c r="G2090" s="8">
        <v>4</v>
      </c>
      <c r="H2090" s="11">
        <v>200</v>
      </c>
      <c r="I2090" s="12">
        <v>42614</v>
      </c>
      <c r="J2090" s="13">
        <f t="shared" si="73"/>
        <v>0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5">
        <f t="shared" si="74"/>
        <v>0</v>
      </c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5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5"/>
      <c r="AX2090" s="7">
        <v>10451898</v>
      </c>
    </row>
    <row r="2091" spans="1:50" x14ac:dyDescent="0.2">
      <c r="B2091" s="7" t="s">
        <v>77</v>
      </c>
      <c r="C2091" s="8">
        <v>12751</v>
      </c>
      <c r="D2091" s="9" t="s">
        <v>1184</v>
      </c>
      <c r="E2091" s="10" t="s">
        <v>1185</v>
      </c>
      <c r="F2091" s="10" t="s">
        <v>1186</v>
      </c>
      <c r="G2091" s="8">
        <v>5</v>
      </c>
      <c r="H2091" s="11">
        <v>100</v>
      </c>
      <c r="I2091" s="12">
        <v>42614</v>
      </c>
      <c r="J2091" s="13">
        <f t="shared" si="73"/>
        <v>0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5">
        <f t="shared" si="74"/>
        <v>0</v>
      </c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5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5"/>
      <c r="AX2091" s="16"/>
    </row>
    <row r="2092" spans="1:50" x14ac:dyDescent="0.2">
      <c r="B2092" s="7" t="s">
        <v>69</v>
      </c>
      <c r="C2092" s="8">
        <v>12752</v>
      </c>
      <c r="D2092" s="9" t="s">
        <v>1181</v>
      </c>
      <c r="E2092" s="10" t="s">
        <v>1182</v>
      </c>
      <c r="F2092" s="10" t="s">
        <v>1183</v>
      </c>
      <c r="G2092" s="8">
        <v>1</v>
      </c>
      <c r="H2092" s="11">
        <v>1000</v>
      </c>
      <c r="I2092" s="12">
        <v>42614</v>
      </c>
      <c r="J2092" s="13">
        <f t="shared" si="73"/>
        <v>0</v>
      </c>
      <c r="K2092" s="14">
        <v>200</v>
      </c>
      <c r="L2092" s="14">
        <v>200</v>
      </c>
      <c r="M2092" s="14">
        <v>200</v>
      </c>
      <c r="N2092" s="14">
        <v>200</v>
      </c>
      <c r="O2092" s="14">
        <v>200</v>
      </c>
      <c r="P2092" s="14"/>
      <c r="Q2092" s="14"/>
      <c r="R2092" s="14"/>
      <c r="S2092" s="14"/>
      <c r="T2092" s="14"/>
      <c r="U2092" s="14"/>
      <c r="V2092" s="14"/>
      <c r="W2092" s="15">
        <f t="shared" si="74"/>
        <v>1000</v>
      </c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5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5"/>
      <c r="AX2092" s="16"/>
    </row>
    <row r="2093" spans="1:50" x14ac:dyDescent="0.2">
      <c r="B2093" s="7" t="s">
        <v>77</v>
      </c>
      <c r="C2093" s="8">
        <v>12753</v>
      </c>
      <c r="D2093" s="9" t="s">
        <v>380</v>
      </c>
      <c r="E2093" s="10" t="s">
        <v>381</v>
      </c>
      <c r="F2093" s="10" t="s">
        <v>382</v>
      </c>
      <c r="G2093" s="8">
        <v>1</v>
      </c>
      <c r="H2093" s="11">
        <v>1500</v>
      </c>
      <c r="I2093" s="12">
        <v>42614</v>
      </c>
      <c r="J2093" s="13">
        <f t="shared" si="73"/>
        <v>0</v>
      </c>
      <c r="K2093" s="14"/>
      <c r="L2093" s="14"/>
      <c r="M2093" s="14"/>
      <c r="N2093" s="14"/>
      <c r="O2093" s="14"/>
      <c r="P2093" s="14"/>
      <c r="Q2093" s="14"/>
      <c r="R2093" s="14">
        <v>300</v>
      </c>
      <c r="S2093" s="14">
        <v>300</v>
      </c>
      <c r="T2093" s="14">
        <v>300</v>
      </c>
      <c r="U2093" s="14">
        <v>300</v>
      </c>
      <c r="V2093" s="14">
        <v>300</v>
      </c>
      <c r="W2093" s="15">
        <f t="shared" si="74"/>
        <v>1500</v>
      </c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5"/>
      <c r="AX2093" s="16"/>
    </row>
    <row r="2094" spans="1:50" x14ac:dyDescent="0.2">
      <c r="B2094" s="7" t="s">
        <v>69</v>
      </c>
      <c r="C2094" s="8">
        <v>12754</v>
      </c>
      <c r="D2094" s="9" t="s">
        <v>211</v>
      </c>
      <c r="E2094" s="10" t="s">
        <v>212</v>
      </c>
      <c r="F2094" s="10" t="s">
        <v>213</v>
      </c>
      <c r="G2094" s="8"/>
      <c r="H2094" s="11"/>
      <c r="I2094" s="12"/>
      <c r="J2094" s="13">
        <f t="shared" si="73"/>
        <v>0</v>
      </c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5">
        <f t="shared" si="74"/>
        <v>0</v>
      </c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5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5"/>
      <c r="AX2094" s="16"/>
    </row>
    <row r="2095" spans="1:50" x14ac:dyDescent="0.2">
      <c r="B2095" s="7" t="s">
        <v>37</v>
      </c>
      <c r="C2095" s="8">
        <v>12755</v>
      </c>
      <c r="D2095" s="9" t="s">
        <v>94</v>
      </c>
      <c r="E2095" s="10" t="s">
        <v>95</v>
      </c>
      <c r="F2095" s="10" t="s">
        <v>96</v>
      </c>
      <c r="G2095" s="8">
        <v>1</v>
      </c>
      <c r="H2095" s="11">
        <v>400</v>
      </c>
      <c r="I2095" s="12">
        <v>42617</v>
      </c>
      <c r="J2095" s="13">
        <f t="shared" si="73"/>
        <v>0</v>
      </c>
      <c r="K2095" s="14"/>
      <c r="L2095" s="14"/>
      <c r="M2095" s="14"/>
      <c r="N2095" s="14"/>
      <c r="O2095" s="14"/>
      <c r="P2095" s="14"/>
      <c r="Q2095" s="14"/>
      <c r="R2095" s="14"/>
      <c r="S2095" s="14">
        <v>400</v>
      </c>
      <c r="T2095" s="14"/>
      <c r="U2095" s="14"/>
      <c r="V2095" s="14"/>
      <c r="W2095" s="15">
        <f t="shared" si="74"/>
        <v>400</v>
      </c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5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5"/>
      <c r="AX2095" s="16"/>
    </row>
    <row r="2096" spans="1:50" x14ac:dyDescent="0.2">
      <c r="B2096" s="7" t="s">
        <v>37</v>
      </c>
      <c r="C2096" s="8">
        <v>12756</v>
      </c>
      <c r="D2096" s="9" t="s">
        <v>669</v>
      </c>
      <c r="E2096" s="10" t="s">
        <v>670</v>
      </c>
      <c r="F2096" s="10" t="s">
        <v>671</v>
      </c>
      <c r="G2096" s="8">
        <v>1</v>
      </c>
      <c r="H2096" s="11">
        <v>800</v>
      </c>
      <c r="I2096" s="12">
        <v>42617</v>
      </c>
      <c r="J2096" s="13">
        <f t="shared" si="73"/>
        <v>0</v>
      </c>
      <c r="K2096" s="14"/>
      <c r="L2096" s="14"/>
      <c r="M2096" s="14"/>
      <c r="N2096" s="14"/>
      <c r="O2096" s="14"/>
      <c r="P2096" s="14">
        <v>400</v>
      </c>
      <c r="Q2096" s="14">
        <v>400</v>
      </c>
      <c r="R2096" s="14"/>
      <c r="S2096" s="14"/>
      <c r="T2096" s="14"/>
      <c r="U2096" s="14"/>
      <c r="V2096" s="14"/>
      <c r="W2096" s="15">
        <f t="shared" si="74"/>
        <v>800</v>
      </c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5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5"/>
      <c r="AX2096" s="16"/>
    </row>
    <row r="2097" spans="2:50" x14ac:dyDescent="0.2">
      <c r="B2097" s="7" t="s">
        <v>61</v>
      </c>
      <c r="C2097" s="8">
        <v>12757</v>
      </c>
      <c r="D2097" s="9" t="s">
        <v>693</v>
      </c>
      <c r="E2097" s="10" t="s">
        <v>694</v>
      </c>
      <c r="F2097" s="10" t="s">
        <v>695</v>
      </c>
      <c r="G2097" s="8">
        <v>1</v>
      </c>
      <c r="H2097" s="11">
        <v>450</v>
      </c>
      <c r="I2097" s="12">
        <v>42617</v>
      </c>
      <c r="J2097" s="13">
        <f t="shared" si="73"/>
        <v>0</v>
      </c>
      <c r="K2097" s="14"/>
      <c r="L2097" s="14"/>
      <c r="M2097" s="14"/>
      <c r="N2097" s="14"/>
      <c r="O2097" s="14"/>
      <c r="P2097" s="14"/>
      <c r="Q2097" s="14">
        <v>150</v>
      </c>
      <c r="R2097" s="14">
        <v>150</v>
      </c>
      <c r="S2097" s="14">
        <v>150</v>
      </c>
      <c r="T2097" s="14"/>
      <c r="U2097" s="14"/>
      <c r="V2097" s="14"/>
      <c r="W2097" s="15">
        <f t="shared" si="74"/>
        <v>450</v>
      </c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5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5"/>
      <c r="AX2097" s="16"/>
    </row>
    <row r="2098" spans="2:50" x14ac:dyDescent="0.2">
      <c r="B2098" s="7" t="s">
        <v>69</v>
      </c>
      <c r="C2098" s="8">
        <v>12758</v>
      </c>
      <c r="D2098" s="9" t="s">
        <v>1089</v>
      </c>
      <c r="E2098" s="10" t="s">
        <v>1090</v>
      </c>
      <c r="F2098" s="10" t="s">
        <v>1091</v>
      </c>
      <c r="G2098" s="8">
        <v>4</v>
      </c>
      <c r="H2098" s="11">
        <v>400</v>
      </c>
      <c r="I2098" s="12">
        <v>42617</v>
      </c>
      <c r="J2098" s="13">
        <f t="shared" si="73"/>
        <v>0</v>
      </c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5">
        <f t="shared" si="74"/>
        <v>0</v>
      </c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5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5"/>
      <c r="AX2098" s="7" t="s">
        <v>1187</v>
      </c>
    </row>
    <row r="2099" spans="2:50" x14ac:dyDescent="0.2">
      <c r="B2099" s="7" t="s">
        <v>47</v>
      </c>
      <c r="C2099" s="8">
        <v>12759</v>
      </c>
      <c r="D2099" s="9" t="s">
        <v>84</v>
      </c>
      <c r="E2099" s="10" t="s">
        <v>85</v>
      </c>
      <c r="F2099" s="10" t="s">
        <v>86</v>
      </c>
      <c r="G2099" s="8">
        <v>1</v>
      </c>
      <c r="H2099" s="11">
        <v>200</v>
      </c>
      <c r="I2099" s="12">
        <v>42617</v>
      </c>
      <c r="J2099" s="13">
        <f t="shared" si="73"/>
        <v>0</v>
      </c>
      <c r="K2099" s="14"/>
      <c r="L2099" s="14"/>
      <c r="M2099" s="14"/>
      <c r="N2099" s="14"/>
      <c r="O2099" s="14"/>
      <c r="P2099" s="14"/>
      <c r="Q2099" s="14"/>
      <c r="R2099" s="14"/>
      <c r="S2099" s="14">
        <v>200</v>
      </c>
      <c r="T2099" s="14"/>
      <c r="U2099" s="14"/>
      <c r="V2099" s="14"/>
      <c r="W2099" s="15">
        <f t="shared" si="74"/>
        <v>200</v>
      </c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5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5"/>
      <c r="AX2099" s="16"/>
    </row>
    <row r="2100" spans="2:50" x14ac:dyDescent="0.2">
      <c r="B2100" s="7" t="s">
        <v>37</v>
      </c>
      <c r="C2100" s="8">
        <v>12760</v>
      </c>
      <c r="D2100" s="9" t="s">
        <v>814</v>
      </c>
      <c r="E2100" s="10" t="s">
        <v>815</v>
      </c>
      <c r="F2100" s="10" t="s">
        <v>1177</v>
      </c>
      <c r="G2100" s="8">
        <v>1</v>
      </c>
      <c r="H2100" s="11">
        <v>400</v>
      </c>
      <c r="I2100" s="12">
        <v>42617</v>
      </c>
      <c r="J2100" s="13">
        <f t="shared" si="73"/>
        <v>0</v>
      </c>
      <c r="K2100" s="14"/>
      <c r="L2100" s="14"/>
      <c r="M2100" s="14"/>
      <c r="N2100" s="14"/>
      <c r="O2100" s="14"/>
      <c r="P2100" s="14"/>
      <c r="Q2100" s="14"/>
      <c r="R2100" s="14"/>
      <c r="S2100" s="14">
        <v>400</v>
      </c>
      <c r="T2100" s="14"/>
      <c r="U2100" s="14"/>
      <c r="V2100" s="14"/>
      <c r="W2100" s="15">
        <f t="shared" si="74"/>
        <v>400</v>
      </c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5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5"/>
      <c r="AX2100" s="16"/>
    </row>
    <row r="2101" spans="2:50" x14ac:dyDescent="0.2">
      <c r="B2101" s="7" t="s">
        <v>77</v>
      </c>
      <c r="C2101" s="8">
        <v>12761</v>
      </c>
      <c r="D2101" s="9" t="s">
        <v>820</v>
      </c>
      <c r="E2101" s="10" t="s">
        <v>821</v>
      </c>
      <c r="F2101" s="10" t="s">
        <v>822</v>
      </c>
      <c r="G2101" s="8">
        <v>1</v>
      </c>
      <c r="H2101" s="11">
        <v>300</v>
      </c>
      <c r="I2101" s="12">
        <v>42617</v>
      </c>
      <c r="J2101" s="13">
        <f t="shared" si="73"/>
        <v>0</v>
      </c>
      <c r="K2101" s="14"/>
      <c r="L2101" s="14"/>
      <c r="M2101" s="14"/>
      <c r="N2101" s="14"/>
      <c r="O2101" s="14"/>
      <c r="P2101" s="14"/>
      <c r="Q2101" s="14"/>
      <c r="R2101" s="14">
        <v>300</v>
      </c>
      <c r="S2101" s="14"/>
      <c r="T2101" s="14"/>
      <c r="U2101" s="14"/>
      <c r="V2101" s="14"/>
      <c r="W2101" s="15">
        <f t="shared" si="74"/>
        <v>300</v>
      </c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5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5"/>
      <c r="AX2101" s="16"/>
    </row>
    <row r="2102" spans="2:50" x14ac:dyDescent="0.2">
      <c r="B2102" s="7" t="s">
        <v>73</v>
      </c>
      <c r="C2102" s="8">
        <v>12762</v>
      </c>
      <c r="D2102" s="9" t="s">
        <v>283</v>
      </c>
      <c r="E2102" s="10" t="s">
        <v>284</v>
      </c>
      <c r="F2102" s="10" t="s">
        <v>285</v>
      </c>
      <c r="G2102" s="8">
        <v>3</v>
      </c>
      <c r="H2102" s="11">
        <v>200</v>
      </c>
      <c r="I2102" s="12">
        <v>42617</v>
      </c>
      <c r="J2102" s="13">
        <f t="shared" si="73"/>
        <v>0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5">
        <f t="shared" si="74"/>
        <v>0</v>
      </c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5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5"/>
      <c r="AX2102" s="16"/>
    </row>
    <row r="2103" spans="2:50" x14ac:dyDescent="0.2">
      <c r="B2103" s="7" t="s">
        <v>37</v>
      </c>
      <c r="C2103" s="8">
        <v>12763</v>
      </c>
      <c r="D2103" s="9" t="s">
        <v>646</v>
      </c>
      <c r="E2103" s="10" t="s">
        <v>647</v>
      </c>
      <c r="F2103" s="10" t="s">
        <v>648</v>
      </c>
      <c r="G2103" s="8">
        <v>1</v>
      </c>
      <c r="H2103" s="11">
        <v>400</v>
      </c>
      <c r="I2103" s="12">
        <v>42617</v>
      </c>
      <c r="J2103" s="13">
        <f t="shared" si="73"/>
        <v>0</v>
      </c>
      <c r="K2103" s="14"/>
      <c r="L2103" s="14"/>
      <c r="M2103" s="14"/>
      <c r="N2103" s="14"/>
      <c r="O2103" s="14"/>
      <c r="P2103" s="14"/>
      <c r="Q2103" s="14"/>
      <c r="R2103" s="14">
        <v>400</v>
      </c>
      <c r="S2103" s="14"/>
      <c r="T2103" s="14"/>
      <c r="U2103" s="14"/>
      <c r="V2103" s="14"/>
      <c r="W2103" s="15">
        <f t="shared" si="74"/>
        <v>400</v>
      </c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5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5"/>
      <c r="AX2103" s="16"/>
    </row>
    <row r="2104" spans="2:50" x14ac:dyDescent="0.2">
      <c r="B2104" s="7" t="s">
        <v>77</v>
      </c>
      <c r="C2104" s="8">
        <v>12764</v>
      </c>
      <c r="D2104" s="9" t="s">
        <v>479</v>
      </c>
      <c r="E2104" s="10" t="s">
        <v>480</v>
      </c>
      <c r="F2104" s="10" t="s">
        <v>481</v>
      </c>
      <c r="G2104" s="8">
        <v>1</v>
      </c>
      <c r="H2104" s="11">
        <v>300</v>
      </c>
      <c r="I2104" s="12">
        <v>42617</v>
      </c>
      <c r="J2104" s="13">
        <f t="shared" si="73"/>
        <v>0</v>
      </c>
      <c r="K2104" s="14"/>
      <c r="L2104" s="14"/>
      <c r="M2104" s="14"/>
      <c r="N2104" s="14"/>
      <c r="O2104" s="14"/>
      <c r="P2104" s="14"/>
      <c r="Q2104" s="14"/>
      <c r="R2104" s="14"/>
      <c r="S2104" s="14">
        <v>300</v>
      </c>
      <c r="T2104" s="14"/>
      <c r="U2104" s="14"/>
      <c r="V2104" s="14"/>
      <c r="W2104" s="15">
        <f t="shared" si="74"/>
        <v>300</v>
      </c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5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5"/>
      <c r="AX2104" s="16"/>
    </row>
    <row r="2105" spans="2:50" x14ac:dyDescent="0.2">
      <c r="B2105" s="7" t="s">
        <v>73</v>
      </c>
      <c r="C2105" s="8">
        <v>12765</v>
      </c>
      <c r="D2105" s="9" t="s">
        <v>407</v>
      </c>
      <c r="E2105" s="10" t="s">
        <v>408</v>
      </c>
      <c r="F2105" s="10" t="s">
        <v>409</v>
      </c>
      <c r="G2105" s="8">
        <v>1</v>
      </c>
      <c r="H2105" s="11">
        <v>800</v>
      </c>
      <c r="I2105" s="12">
        <v>42617</v>
      </c>
      <c r="J2105" s="13">
        <f t="shared" si="73"/>
        <v>0</v>
      </c>
      <c r="K2105" s="14"/>
      <c r="L2105" s="14"/>
      <c r="M2105" s="14"/>
      <c r="N2105" s="14"/>
      <c r="O2105" s="14"/>
      <c r="P2105" s="14"/>
      <c r="Q2105" s="14"/>
      <c r="R2105" s="14">
        <v>400</v>
      </c>
      <c r="S2105" s="14">
        <v>400</v>
      </c>
      <c r="T2105" s="14"/>
      <c r="U2105" s="14"/>
      <c r="V2105" s="14"/>
      <c r="W2105" s="15">
        <f t="shared" si="74"/>
        <v>800</v>
      </c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5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5"/>
      <c r="AX2105" s="16"/>
    </row>
    <row r="2106" spans="2:50" x14ac:dyDescent="0.2">
      <c r="B2106" s="7" t="s">
        <v>77</v>
      </c>
      <c r="C2106" s="8">
        <v>12766</v>
      </c>
      <c r="D2106" s="9" t="s">
        <v>159</v>
      </c>
      <c r="E2106" s="10" t="s">
        <v>160</v>
      </c>
      <c r="F2106" s="10" t="s">
        <v>161</v>
      </c>
      <c r="G2106" s="8">
        <v>1</v>
      </c>
      <c r="H2106" s="11">
        <v>400</v>
      </c>
      <c r="I2106" s="12">
        <v>42617</v>
      </c>
      <c r="J2106" s="13">
        <f t="shared" si="73"/>
        <v>0</v>
      </c>
      <c r="K2106" s="14"/>
      <c r="L2106" s="14"/>
      <c r="M2106" s="14"/>
      <c r="N2106" s="14"/>
      <c r="O2106" s="14"/>
      <c r="P2106" s="14"/>
      <c r="Q2106" s="14"/>
      <c r="R2106" s="14">
        <v>400</v>
      </c>
      <c r="S2106" s="14"/>
      <c r="T2106" s="14"/>
      <c r="U2106" s="14"/>
      <c r="V2106" s="14"/>
      <c r="W2106" s="15">
        <f t="shared" si="74"/>
        <v>400</v>
      </c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5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5"/>
      <c r="AX2106" s="16"/>
    </row>
    <row r="2107" spans="2:50" x14ac:dyDescent="0.2">
      <c r="B2107" s="7" t="s">
        <v>69</v>
      </c>
      <c r="C2107" s="8">
        <v>12767</v>
      </c>
      <c r="D2107" s="9" t="s">
        <v>625</v>
      </c>
      <c r="E2107" s="10" t="s">
        <v>626</v>
      </c>
      <c r="F2107" s="10" t="s">
        <v>627</v>
      </c>
      <c r="G2107" s="8">
        <v>1</v>
      </c>
      <c r="H2107" s="11">
        <v>800</v>
      </c>
      <c r="I2107" s="12">
        <v>42617</v>
      </c>
      <c r="J2107" s="13">
        <f t="shared" si="73"/>
        <v>0</v>
      </c>
      <c r="K2107" s="14"/>
      <c r="L2107" s="14"/>
      <c r="M2107" s="14"/>
      <c r="N2107" s="14"/>
      <c r="O2107" s="14"/>
      <c r="P2107" s="14"/>
      <c r="Q2107" s="14">
        <v>400</v>
      </c>
      <c r="R2107" s="14">
        <v>400</v>
      </c>
      <c r="S2107" s="14"/>
      <c r="T2107" s="14"/>
      <c r="U2107" s="14"/>
      <c r="V2107" s="14"/>
      <c r="W2107" s="15">
        <f t="shared" si="74"/>
        <v>800</v>
      </c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5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5"/>
      <c r="AX2107" s="16"/>
    </row>
    <row r="2108" spans="2:50" x14ac:dyDescent="0.2">
      <c r="B2108" s="7" t="s">
        <v>69</v>
      </c>
      <c r="C2108" s="8">
        <v>12768</v>
      </c>
      <c r="D2108" s="9" t="s">
        <v>602</v>
      </c>
      <c r="E2108" s="10" t="s">
        <v>603</v>
      </c>
      <c r="F2108" s="10" t="s">
        <v>604</v>
      </c>
      <c r="G2108" s="8">
        <v>1</v>
      </c>
      <c r="H2108" s="11">
        <v>400</v>
      </c>
      <c r="I2108" s="12">
        <v>42617</v>
      </c>
      <c r="J2108" s="13">
        <f t="shared" si="73"/>
        <v>0</v>
      </c>
      <c r="K2108" s="14"/>
      <c r="L2108" s="14"/>
      <c r="M2108" s="14"/>
      <c r="N2108" s="14"/>
      <c r="O2108" s="14"/>
      <c r="P2108" s="14"/>
      <c r="Q2108" s="14">
        <v>200</v>
      </c>
      <c r="R2108" s="14">
        <v>200</v>
      </c>
      <c r="S2108" s="14"/>
      <c r="T2108" s="14"/>
      <c r="U2108" s="14"/>
      <c r="V2108" s="14"/>
      <c r="W2108" s="15">
        <f t="shared" si="74"/>
        <v>400</v>
      </c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5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5"/>
      <c r="AX2108" s="16"/>
    </row>
    <row r="2109" spans="2:50" x14ac:dyDescent="0.2">
      <c r="B2109" s="7" t="s">
        <v>69</v>
      </c>
      <c r="C2109" s="8">
        <v>12769</v>
      </c>
      <c r="D2109" s="9" t="s">
        <v>535</v>
      </c>
      <c r="E2109" s="10" t="s">
        <v>536</v>
      </c>
      <c r="F2109" s="10" t="s">
        <v>537</v>
      </c>
      <c r="G2109" s="8">
        <v>5</v>
      </c>
      <c r="H2109" s="11">
        <v>50</v>
      </c>
      <c r="I2109" s="12">
        <v>42617</v>
      </c>
      <c r="J2109" s="13">
        <f t="shared" si="73"/>
        <v>0</v>
      </c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5">
        <f t="shared" si="74"/>
        <v>0</v>
      </c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5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5"/>
      <c r="AX2109" s="16"/>
    </row>
    <row r="2110" spans="2:50" x14ac:dyDescent="0.2">
      <c r="B2110" s="7" t="s">
        <v>73</v>
      </c>
      <c r="C2110" s="8">
        <v>12770</v>
      </c>
      <c r="D2110" s="9" t="s">
        <v>202</v>
      </c>
      <c r="E2110" s="10" t="s">
        <v>203</v>
      </c>
      <c r="F2110" s="10" t="s">
        <v>204</v>
      </c>
      <c r="G2110" s="8">
        <v>1</v>
      </c>
      <c r="H2110" s="11">
        <v>400</v>
      </c>
      <c r="I2110" s="12">
        <v>42617</v>
      </c>
      <c r="J2110" s="13">
        <f t="shared" si="73"/>
        <v>0</v>
      </c>
      <c r="K2110" s="14"/>
      <c r="L2110" s="14"/>
      <c r="M2110" s="14"/>
      <c r="N2110" s="14"/>
      <c r="O2110" s="14"/>
      <c r="P2110" s="14"/>
      <c r="Q2110" s="14"/>
      <c r="R2110" s="14"/>
      <c r="S2110" s="14">
        <v>400</v>
      </c>
      <c r="T2110" s="14"/>
      <c r="U2110" s="14"/>
      <c r="V2110" s="14"/>
      <c r="W2110" s="15">
        <f t="shared" si="74"/>
        <v>400</v>
      </c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5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5"/>
      <c r="AX2110" s="16"/>
    </row>
    <row r="2111" spans="2:50" x14ac:dyDescent="0.2">
      <c r="B2111" s="7" t="s">
        <v>37</v>
      </c>
      <c r="C2111" s="8">
        <v>12771</v>
      </c>
      <c r="D2111" s="9" t="s">
        <v>180</v>
      </c>
      <c r="E2111" s="10" t="s">
        <v>181</v>
      </c>
      <c r="F2111" s="10" t="s">
        <v>182</v>
      </c>
      <c r="G2111" s="8">
        <v>1</v>
      </c>
      <c r="H2111" s="11">
        <v>800</v>
      </c>
      <c r="I2111" s="12">
        <v>42617</v>
      </c>
      <c r="J2111" s="13">
        <f t="shared" si="73"/>
        <v>0</v>
      </c>
      <c r="K2111" s="14"/>
      <c r="L2111" s="14"/>
      <c r="M2111" s="14"/>
      <c r="N2111" s="14"/>
      <c r="O2111" s="14"/>
      <c r="P2111" s="14"/>
      <c r="Q2111" s="14"/>
      <c r="R2111" s="14">
        <v>400</v>
      </c>
      <c r="S2111" s="14">
        <v>400</v>
      </c>
      <c r="T2111" s="14"/>
      <c r="U2111" s="14"/>
      <c r="V2111" s="14"/>
      <c r="W2111" s="15">
        <f t="shared" si="74"/>
        <v>800</v>
      </c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5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5"/>
      <c r="AX2111" s="16"/>
    </row>
    <row r="2112" spans="2:50" x14ac:dyDescent="0.2">
      <c r="B2112" s="7" t="s">
        <v>69</v>
      </c>
      <c r="C2112" s="8">
        <v>12772</v>
      </c>
      <c r="D2112" s="9" t="s">
        <v>301</v>
      </c>
      <c r="E2112" s="10" t="s">
        <v>302</v>
      </c>
      <c r="F2112" s="10" t="s">
        <v>303</v>
      </c>
      <c r="G2112" s="8">
        <v>1</v>
      </c>
      <c r="H2112" s="11">
        <v>200</v>
      </c>
      <c r="I2112" s="12">
        <v>42617</v>
      </c>
      <c r="J2112" s="13">
        <f t="shared" si="73"/>
        <v>0</v>
      </c>
      <c r="K2112" s="14"/>
      <c r="L2112" s="14"/>
      <c r="M2112" s="14"/>
      <c r="N2112" s="14"/>
      <c r="O2112" s="14"/>
      <c r="P2112" s="14"/>
      <c r="Q2112" s="14"/>
      <c r="R2112" s="14"/>
      <c r="S2112" s="14">
        <v>200</v>
      </c>
      <c r="T2112" s="14"/>
      <c r="U2112" s="14"/>
      <c r="V2112" s="14"/>
      <c r="W2112" s="15">
        <f t="shared" si="74"/>
        <v>200</v>
      </c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5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5"/>
      <c r="AX2112" s="16"/>
    </row>
    <row r="2113" spans="2:50" x14ac:dyDescent="0.2">
      <c r="B2113" s="7" t="s">
        <v>69</v>
      </c>
      <c r="C2113" s="8">
        <v>12773</v>
      </c>
      <c r="D2113" s="9" t="s">
        <v>135</v>
      </c>
      <c r="E2113" s="10" t="s">
        <v>136</v>
      </c>
      <c r="F2113" s="10" t="s">
        <v>137</v>
      </c>
      <c r="G2113" s="8">
        <v>1</v>
      </c>
      <c r="H2113" s="11">
        <v>300</v>
      </c>
      <c r="I2113" s="12">
        <v>42617</v>
      </c>
      <c r="J2113" s="13">
        <f t="shared" si="73"/>
        <v>0</v>
      </c>
      <c r="K2113" s="14"/>
      <c r="L2113" s="14"/>
      <c r="M2113" s="14"/>
      <c r="N2113" s="14"/>
      <c r="O2113" s="14"/>
      <c r="P2113" s="14"/>
      <c r="Q2113" s="14"/>
      <c r="R2113" s="14"/>
      <c r="S2113" s="14">
        <v>300</v>
      </c>
      <c r="T2113" s="14"/>
      <c r="U2113" s="14"/>
      <c r="V2113" s="14"/>
      <c r="W2113" s="15">
        <f t="shared" si="74"/>
        <v>300</v>
      </c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5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5"/>
      <c r="AX2113" s="16"/>
    </row>
    <row r="2114" spans="2:50" x14ac:dyDescent="0.2">
      <c r="B2114" s="7" t="s">
        <v>73</v>
      </c>
      <c r="C2114" s="8">
        <v>12774</v>
      </c>
      <c r="D2114" s="9" t="s">
        <v>911</v>
      </c>
      <c r="E2114" s="10" t="s">
        <v>912</v>
      </c>
      <c r="F2114" s="10" t="s">
        <v>397</v>
      </c>
      <c r="G2114" s="8">
        <v>1</v>
      </c>
      <c r="H2114" s="11">
        <v>800</v>
      </c>
      <c r="I2114" s="12">
        <v>42617</v>
      </c>
      <c r="J2114" s="13">
        <f t="shared" si="73"/>
        <v>0</v>
      </c>
      <c r="K2114" s="14"/>
      <c r="L2114" s="14"/>
      <c r="M2114" s="14"/>
      <c r="N2114" s="14"/>
      <c r="O2114" s="14"/>
      <c r="P2114" s="14"/>
      <c r="Q2114" s="14"/>
      <c r="R2114" s="14">
        <v>400</v>
      </c>
      <c r="S2114" s="14">
        <v>400</v>
      </c>
      <c r="T2114" s="14"/>
      <c r="U2114" s="14"/>
      <c r="V2114" s="14"/>
      <c r="W2114" s="15">
        <f t="shared" si="74"/>
        <v>800</v>
      </c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5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5"/>
      <c r="AX2114" s="16"/>
    </row>
    <row r="2115" spans="2:50" x14ac:dyDescent="0.2">
      <c r="B2115" s="7" t="s">
        <v>73</v>
      </c>
      <c r="C2115" s="8">
        <v>12775</v>
      </c>
      <c r="D2115" s="9" t="s">
        <v>911</v>
      </c>
      <c r="E2115" s="10" t="s">
        <v>912</v>
      </c>
      <c r="F2115" s="10" t="s">
        <v>397</v>
      </c>
      <c r="G2115" s="8">
        <v>5</v>
      </c>
      <c r="H2115" s="11">
        <v>100</v>
      </c>
      <c r="I2115" s="12">
        <v>42617</v>
      </c>
      <c r="J2115" s="13">
        <f t="shared" si="73"/>
        <v>0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5">
        <f t="shared" si="74"/>
        <v>0</v>
      </c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5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5"/>
      <c r="AX2115" s="16"/>
    </row>
    <row r="2116" spans="2:50" x14ac:dyDescent="0.2">
      <c r="B2116" s="7" t="s">
        <v>47</v>
      </c>
      <c r="C2116" s="8">
        <v>12776</v>
      </c>
      <c r="D2116" s="9" t="s">
        <v>238</v>
      </c>
      <c r="E2116" s="10" t="s">
        <v>239</v>
      </c>
      <c r="F2116" s="10" t="s">
        <v>240</v>
      </c>
      <c r="G2116" s="8">
        <v>1</v>
      </c>
      <c r="H2116" s="11">
        <v>125</v>
      </c>
      <c r="I2116" s="12">
        <v>42617</v>
      </c>
      <c r="J2116" s="13">
        <f t="shared" si="73"/>
        <v>0</v>
      </c>
      <c r="K2116" s="14"/>
      <c r="L2116" s="14"/>
      <c r="M2116" s="14"/>
      <c r="N2116" s="14"/>
      <c r="O2116" s="14"/>
      <c r="P2116" s="14"/>
      <c r="Q2116" s="14"/>
      <c r="R2116" s="14"/>
      <c r="S2116" s="14">
        <v>125</v>
      </c>
      <c r="T2116" s="14"/>
      <c r="U2116" s="14"/>
      <c r="V2116" s="14"/>
      <c r="W2116" s="15">
        <f t="shared" si="74"/>
        <v>125</v>
      </c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5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5"/>
      <c r="AX2116" s="16"/>
    </row>
    <row r="2117" spans="2:50" x14ac:dyDescent="0.2">
      <c r="B2117" s="7" t="s">
        <v>73</v>
      </c>
      <c r="C2117" s="8">
        <v>12777</v>
      </c>
      <c r="D2117" s="9" t="s">
        <v>837</v>
      </c>
      <c r="E2117" s="10" t="s">
        <v>838</v>
      </c>
      <c r="F2117" s="10" t="s">
        <v>839</v>
      </c>
      <c r="G2117" s="8">
        <v>1</v>
      </c>
      <c r="H2117" s="11">
        <v>1200</v>
      </c>
      <c r="I2117" s="12">
        <v>42617</v>
      </c>
      <c r="J2117" s="13">
        <f t="shared" si="73"/>
        <v>0</v>
      </c>
      <c r="K2117" s="14"/>
      <c r="L2117" s="14"/>
      <c r="M2117" s="14"/>
      <c r="N2117" s="14"/>
      <c r="O2117" s="14"/>
      <c r="P2117" s="14"/>
      <c r="Q2117" s="14">
        <v>400</v>
      </c>
      <c r="R2117" s="14">
        <v>400</v>
      </c>
      <c r="S2117" s="14">
        <v>400</v>
      </c>
      <c r="T2117" s="14"/>
      <c r="U2117" s="14"/>
      <c r="V2117" s="14"/>
      <c r="W2117" s="15">
        <f t="shared" si="74"/>
        <v>1200</v>
      </c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5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5"/>
      <c r="AX2117" s="16"/>
    </row>
    <row r="2118" spans="2:50" x14ac:dyDescent="0.2">
      <c r="B2118" s="7" t="s">
        <v>69</v>
      </c>
      <c r="C2118" s="8">
        <v>12778</v>
      </c>
      <c r="D2118" s="9" t="s">
        <v>370</v>
      </c>
      <c r="E2118" s="10" t="s">
        <v>371</v>
      </c>
      <c r="F2118" s="10" t="s">
        <v>372</v>
      </c>
      <c r="G2118" s="8">
        <v>1</v>
      </c>
      <c r="H2118" s="11">
        <v>600</v>
      </c>
      <c r="I2118" s="12">
        <v>42617</v>
      </c>
      <c r="J2118" s="13">
        <f t="shared" si="73"/>
        <v>0</v>
      </c>
      <c r="K2118" s="14"/>
      <c r="L2118" s="14"/>
      <c r="M2118" s="14"/>
      <c r="N2118" s="14"/>
      <c r="O2118" s="14"/>
      <c r="P2118" s="14"/>
      <c r="Q2118" s="14"/>
      <c r="R2118" s="14"/>
      <c r="S2118" s="14">
        <v>150</v>
      </c>
      <c r="T2118" s="14">
        <v>150</v>
      </c>
      <c r="U2118" s="14">
        <v>150</v>
      </c>
      <c r="V2118" s="14">
        <v>150</v>
      </c>
      <c r="W2118" s="15">
        <f t="shared" si="74"/>
        <v>600</v>
      </c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5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5"/>
      <c r="AX2118" s="16"/>
    </row>
    <row r="2119" spans="2:50" x14ac:dyDescent="0.2">
      <c r="B2119" s="7" t="s">
        <v>37</v>
      </c>
      <c r="C2119" s="8">
        <v>12779</v>
      </c>
      <c r="D2119" s="9" t="s">
        <v>51</v>
      </c>
      <c r="E2119" s="10" t="s">
        <v>52</v>
      </c>
      <c r="F2119" s="10" t="s">
        <v>53</v>
      </c>
      <c r="G2119" s="8">
        <v>1</v>
      </c>
      <c r="H2119" s="11">
        <v>500</v>
      </c>
      <c r="I2119" s="12">
        <v>42617</v>
      </c>
      <c r="J2119" s="13">
        <f t="shared" si="73"/>
        <v>0</v>
      </c>
      <c r="K2119" s="14"/>
      <c r="L2119" s="14"/>
      <c r="M2119" s="14"/>
      <c r="N2119" s="14"/>
      <c r="O2119" s="14"/>
      <c r="P2119" s="14"/>
      <c r="Q2119" s="14"/>
      <c r="R2119" s="14">
        <v>250</v>
      </c>
      <c r="S2119" s="14">
        <v>250</v>
      </c>
      <c r="T2119" s="14"/>
      <c r="U2119" s="14"/>
      <c r="V2119" s="14"/>
      <c r="W2119" s="15">
        <f t="shared" si="74"/>
        <v>500</v>
      </c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5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5"/>
      <c r="AX2119" s="16"/>
    </row>
    <row r="2120" spans="2:50" x14ac:dyDescent="0.2">
      <c r="B2120" s="7" t="s">
        <v>37</v>
      </c>
      <c r="C2120" s="8">
        <v>12779</v>
      </c>
      <c r="D2120" s="9" t="s">
        <v>51</v>
      </c>
      <c r="E2120" s="10" t="s">
        <v>52</v>
      </c>
      <c r="F2120" s="10" t="s">
        <v>53</v>
      </c>
      <c r="G2120" s="8">
        <v>3</v>
      </c>
      <c r="H2120" s="11">
        <v>200</v>
      </c>
      <c r="I2120" s="12">
        <v>42617</v>
      </c>
      <c r="J2120" s="13">
        <f t="shared" si="73"/>
        <v>0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5">
        <f t="shared" si="74"/>
        <v>0</v>
      </c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5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5"/>
      <c r="AX2120" s="16"/>
    </row>
    <row r="2121" spans="2:50" x14ac:dyDescent="0.2">
      <c r="B2121" s="7" t="s">
        <v>37</v>
      </c>
      <c r="C2121" s="8">
        <v>12780</v>
      </c>
      <c r="D2121" s="9" t="s">
        <v>307</v>
      </c>
      <c r="E2121" s="10" t="s">
        <v>308</v>
      </c>
      <c r="F2121" s="10" t="s">
        <v>309</v>
      </c>
      <c r="G2121" s="8">
        <v>1</v>
      </c>
      <c r="H2121" s="11">
        <v>350</v>
      </c>
      <c r="I2121" s="12">
        <v>42617</v>
      </c>
      <c r="J2121" s="13">
        <f t="shared" si="73"/>
        <v>0</v>
      </c>
      <c r="K2121" s="14"/>
      <c r="L2121" s="14"/>
      <c r="M2121" s="14"/>
      <c r="N2121" s="14"/>
      <c r="O2121" s="14"/>
      <c r="P2121" s="14"/>
      <c r="Q2121" s="14"/>
      <c r="R2121" s="14"/>
      <c r="S2121" s="14">
        <v>350</v>
      </c>
      <c r="T2121" s="14"/>
      <c r="U2121" s="14"/>
      <c r="V2121" s="14"/>
      <c r="W2121" s="15">
        <f t="shared" si="74"/>
        <v>350</v>
      </c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5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5"/>
      <c r="AX2121" s="16"/>
    </row>
    <row r="2122" spans="2:50" x14ac:dyDescent="0.2">
      <c r="B2122" s="7" t="s">
        <v>69</v>
      </c>
      <c r="C2122" s="8">
        <v>12781</v>
      </c>
      <c r="D2122" s="9" t="s">
        <v>265</v>
      </c>
      <c r="E2122" s="10" t="s">
        <v>266</v>
      </c>
      <c r="F2122" s="10" t="s">
        <v>267</v>
      </c>
      <c r="G2122" s="8">
        <v>1</v>
      </c>
      <c r="H2122" s="11">
        <v>400</v>
      </c>
      <c r="I2122" s="12">
        <v>42617</v>
      </c>
      <c r="J2122" s="13">
        <f t="shared" si="73"/>
        <v>0</v>
      </c>
      <c r="K2122" s="14"/>
      <c r="L2122" s="14"/>
      <c r="M2122" s="14"/>
      <c r="N2122" s="14"/>
      <c r="O2122" s="14"/>
      <c r="P2122" s="14"/>
      <c r="Q2122" s="14"/>
      <c r="R2122" s="14"/>
      <c r="S2122" s="14">
        <v>400</v>
      </c>
      <c r="T2122" s="14"/>
      <c r="U2122" s="14"/>
      <c r="V2122" s="14"/>
      <c r="W2122" s="15">
        <f t="shared" si="74"/>
        <v>400</v>
      </c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5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5"/>
      <c r="AX2122" s="16"/>
    </row>
    <row r="2123" spans="2:50" x14ac:dyDescent="0.2">
      <c r="B2123" s="7" t="s">
        <v>77</v>
      </c>
      <c r="C2123" s="8">
        <v>12782</v>
      </c>
      <c r="D2123" s="9" t="s">
        <v>129</v>
      </c>
      <c r="E2123" s="10" t="s">
        <v>130</v>
      </c>
      <c r="F2123" s="10" t="s">
        <v>131</v>
      </c>
      <c r="G2123" s="8">
        <v>1</v>
      </c>
      <c r="H2123" s="11">
        <v>400</v>
      </c>
      <c r="I2123" s="12">
        <v>42617</v>
      </c>
      <c r="J2123" s="13">
        <f t="shared" si="73"/>
        <v>0</v>
      </c>
      <c r="K2123" s="14"/>
      <c r="L2123" s="14"/>
      <c r="M2123" s="14"/>
      <c r="N2123" s="14"/>
      <c r="O2123" s="14"/>
      <c r="P2123" s="14"/>
      <c r="Q2123" s="14"/>
      <c r="R2123" s="14"/>
      <c r="S2123" s="14">
        <v>400</v>
      </c>
      <c r="T2123" s="14"/>
      <c r="U2123" s="14"/>
      <c r="V2123" s="14"/>
      <c r="W2123" s="15">
        <f t="shared" si="74"/>
        <v>400</v>
      </c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5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5"/>
      <c r="AX2123" s="16"/>
    </row>
    <row r="2124" spans="2:50" x14ac:dyDescent="0.2">
      <c r="B2124" s="7" t="s">
        <v>77</v>
      </c>
      <c r="C2124" s="8">
        <v>12782</v>
      </c>
      <c r="D2124" s="9" t="s">
        <v>129</v>
      </c>
      <c r="E2124" s="10" t="s">
        <v>130</v>
      </c>
      <c r="F2124" s="10" t="s">
        <v>131</v>
      </c>
      <c r="G2124" s="8">
        <v>5</v>
      </c>
      <c r="H2124" s="11">
        <v>200</v>
      </c>
      <c r="I2124" s="12">
        <v>42617</v>
      </c>
      <c r="J2124" s="13">
        <f t="shared" si="73"/>
        <v>0</v>
      </c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5">
        <f t="shared" si="74"/>
        <v>0</v>
      </c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5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5"/>
      <c r="AX2124" s="16"/>
    </row>
    <row r="2125" spans="2:50" x14ac:dyDescent="0.2">
      <c r="B2125" s="7" t="s">
        <v>69</v>
      </c>
      <c r="C2125" s="8">
        <v>12783</v>
      </c>
      <c r="D2125" s="9" t="s">
        <v>292</v>
      </c>
      <c r="E2125" s="10" t="s">
        <v>293</v>
      </c>
      <c r="F2125" s="10" t="s">
        <v>294</v>
      </c>
      <c r="G2125" s="8">
        <v>1</v>
      </c>
      <c r="H2125" s="11">
        <v>400</v>
      </c>
      <c r="I2125" s="12">
        <v>42617</v>
      </c>
      <c r="J2125" s="13">
        <f t="shared" si="73"/>
        <v>0</v>
      </c>
      <c r="K2125" s="14"/>
      <c r="L2125" s="14"/>
      <c r="M2125" s="14"/>
      <c r="N2125" s="14"/>
      <c r="O2125" s="14"/>
      <c r="P2125" s="14"/>
      <c r="Q2125" s="14"/>
      <c r="R2125" s="14"/>
      <c r="S2125" s="14">
        <v>400</v>
      </c>
      <c r="T2125" s="14"/>
      <c r="U2125" s="14"/>
      <c r="V2125" s="14"/>
      <c r="W2125" s="15">
        <f t="shared" si="74"/>
        <v>400</v>
      </c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5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5"/>
      <c r="AX2125" s="16"/>
    </row>
    <row r="2126" spans="2:50" x14ac:dyDescent="0.2">
      <c r="B2126" s="7" t="s">
        <v>122</v>
      </c>
      <c r="C2126" s="8">
        <v>12784</v>
      </c>
      <c r="D2126" s="9" t="s">
        <v>310</v>
      </c>
      <c r="E2126" s="10" t="s">
        <v>311</v>
      </c>
      <c r="F2126" s="10" t="s">
        <v>312</v>
      </c>
      <c r="G2126" s="8">
        <v>5</v>
      </c>
      <c r="H2126" s="11">
        <v>50</v>
      </c>
      <c r="I2126" s="12">
        <v>42617</v>
      </c>
      <c r="J2126" s="13">
        <f t="shared" si="73"/>
        <v>0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5">
        <f t="shared" si="74"/>
        <v>0</v>
      </c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5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5"/>
      <c r="AX2126" s="16"/>
    </row>
    <row r="2127" spans="2:50" x14ac:dyDescent="0.2">
      <c r="B2127" s="7" t="s">
        <v>69</v>
      </c>
      <c r="C2127" s="8">
        <v>12785</v>
      </c>
      <c r="D2127" s="9" t="s">
        <v>574</v>
      </c>
      <c r="E2127" s="10" t="s">
        <v>575</v>
      </c>
      <c r="F2127" s="10" t="s">
        <v>576</v>
      </c>
      <c r="G2127" s="8">
        <v>5</v>
      </c>
      <c r="H2127" s="11">
        <v>50</v>
      </c>
      <c r="I2127" s="12">
        <v>42617</v>
      </c>
      <c r="J2127" s="13">
        <f t="shared" si="73"/>
        <v>0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5">
        <f t="shared" si="74"/>
        <v>0</v>
      </c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5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5"/>
      <c r="AX2127" s="16"/>
    </row>
    <row r="2128" spans="2:50" x14ac:dyDescent="0.2">
      <c r="B2128" s="7" t="s">
        <v>47</v>
      </c>
      <c r="C2128" s="8">
        <v>12786</v>
      </c>
      <c r="D2128" s="9" t="s">
        <v>769</v>
      </c>
      <c r="E2128" s="10" t="s">
        <v>770</v>
      </c>
      <c r="F2128" s="10" t="s">
        <v>771</v>
      </c>
      <c r="G2128" s="8">
        <v>1</v>
      </c>
      <c r="H2128" s="11">
        <v>400</v>
      </c>
      <c r="I2128" s="12">
        <v>42617</v>
      </c>
      <c r="J2128" s="13">
        <f t="shared" si="73"/>
        <v>0</v>
      </c>
      <c r="K2128" s="14"/>
      <c r="L2128" s="14"/>
      <c r="M2128" s="14"/>
      <c r="N2128" s="14"/>
      <c r="O2128" s="14"/>
      <c r="P2128" s="14"/>
      <c r="Q2128" s="14"/>
      <c r="R2128" s="14">
        <v>400</v>
      </c>
      <c r="S2128" s="14"/>
      <c r="T2128" s="14"/>
      <c r="U2128" s="14"/>
      <c r="V2128" s="14"/>
      <c r="W2128" s="15">
        <f t="shared" si="74"/>
        <v>400</v>
      </c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5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5"/>
      <c r="AX2128" s="16"/>
    </row>
    <row r="2129" spans="2:50" x14ac:dyDescent="0.2">
      <c r="B2129" s="7" t="s">
        <v>73</v>
      </c>
      <c r="C2129" s="8">
        <v>12787</v>
      </c>
      <c r="D2129" s="9" t="s">
        <v>544</v>
      </c>
      <c r="E2129" s="10" t="s">
        <v>545</v>
      </c>
      <c r="F2129" s="10" t="s">
        <v>546</v>
      </c>
      <c r="G2129" s="8">
        <v>1</v>
      </c>
      <c r="H2129" s="11">
        <v>400</v>
      </c>
      <c r="I2129" s="12">
        <v>42617</v>
      </c>
      <c r="J2129" s="13">
        <f t="shared" si="73"/>
        <v>0</v>
      </c>
      <c r="K2129" s="14"/>
      <c r="L2129" s="14"/>
      <c r="M2129" s="14"/>
      <c r="N2129" s="14"/>
      <c r="O2129" s="14"/>
      <c r="P2129" s="14"/>
      <c r="Q2129" s="14"/>
      <c r="R2129" s="14"/>
      <c r="S2129" s="14">
        <v>400</v>
      </c>
      <c r="T2129" s="14"/>
      <c r="U2129" s="14"/>
      <c r="V2129" s="14"/>
      <c r="W2129" s="15">
        <f t="shared" si="74"/>
        <v>400</v>
      </c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5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5"/>
      <c r="AX2129" s="16"/>
    </row>
    <row r="2130" spans="2:50" x14ac:dyDescent="0.2">
      <c r="B2130" s="7" t="s">
        <v>73</v>
      </c>
      <c r="C2130" s="8">
        <v>12787</v>
      </c>
      <c r="D2130" s="9" t="s">
        <v>544</v>
      </c>
      <c r="E2130" s="10" t="s">
        <v>545</v>
      </c>
      <c r="F2130" s="10" t="s">
        <v>546</v>
      </c>
      <c r="G2130" s="8">
        <v>5</v>
      </c>
      <c r="H2130" s="11">
        <v>50</v>
      </c>
      <c r="I2130" s="12">
        <v>42617</v>
      </c>
      <c r="J2130" s="13">
        <f t="shared" si="73"/>
        <v>0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5">
        <f t="shared" si="74"/>
        <v>0</v>
      </c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5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5"/>
      <c r="AX2130" s="16"/>
    </row>
    <row r="2131" spans="2:50" x14ac:dyDescent="0.2">
      <c r="B2131" s="7" t="s">
        <v>47</v>
      </c>
      <c r="C2131" s="8">
        <v>12788</v>
      </c>
      <c r="D2131" s="9" t="s">
        <v>425</v>
      </c>
      <c r="E2131" s="10" t="s">
        <v>426</v>
      </c>
      <c r="F2131" s="10" t="s">
        <v>427</v>
      </c>
      <c r="G2131" s="8">
        <v>5</v>
      </c>
      <c r="H2131" s="11">
        <v>50</v>
      </c>
      <c r="I2131" s="12">
        <v>42617</v>
      </c>
      <c r="J2131" s="13">
        <f t="shared" si="73"/>
        <v>0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5">
        <f t="shared" si="74"/>
        <v>0</v>
      </c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5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5"/>
      <c r="AX2131" s="16"/>
    </row>
    <row r="2132" spans="2:50" x14ac:dyDescent="0.2">
      <c r="B2132" s="7" t="s">
        <v>73</v>
      </c>
      <c r="C2132" s="8">
        <v>12789</v>
      </c>
      <c r="D2132" s="9" t="s">
        <v>109</v>
      </c>
      <c r="E2132" s="10" t="s">
        <v>110</v>
      </c>
      <c r="F2132" s="10" t="s">
        <v>111</v>
      </c>
      <c r="G2132" s="8">
        <v>1</v>
      </c>
      <c r="H2132" s="11">
        <v>400</v>
      </c>
      <c r="I2132" s="12">
        <v>42617</v>
      </c>
      <c r="J2132" s="13">
        <f t="shared" si="73"/>
        <v>0</v>
      </c>
      <c r="K2132" s="14"/>
      <c r="L2132" s="14"/>
      <c r="M2132" s="14"/>
      <c r="N2132" s="14"/>
      <c r="O2132" s="14"/>
      <c r="P2132" s="14"/>
      <c r="Q2132" s="14"/>
      <c r="R2132" s="14">
        <v>400</v>
      </c>
      <c r="S2132" s="14"/>
      <c r="T2132" s="14"/>
      <c r="U2132" s="14"/>
      <c r="V2132" s="14"/>
      <c r="W2132" s="15">
        <f t="shared" si="74"/>
        <v>400</v>
      </c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5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5"/>
      <c r="AX2132" s="16"/>
    </row>
    <row r="2133" spans="2:50" x14ac:dyDescent="0.2">
      <c r="B2133" s="7" t="s">
        <v>47</v>
      </c>
      <c r="C2133" s="8">
        <v>12790</v>
      </c>
      <c r="D2133" s="9" t="s">
        <v>150</v>
      </c>
      <c r="E2133" s="10" t="s">
        <v>151</v>
      </c>
      <c r="F2133" s="10" t="s">
        <v>152</v>
      </c>
      <c r="G2133" s="8">
        <v>1</v>
      </c>
      <c r="H2133" s="11">
        <v>400</v>
      </c>
      <c r="I2133" s="12">
        <v>42617</v>
      </c>
      <c r="J2133" s="13">
        <f t="shared" si="73"/>
        <v>0</v>
      </c>
      <c r="K2133" s="14"/>
      <c r="L2133" s="14"/>
      <c r="M2133" s="14"/>
      <c r="N2133" s="14"/>
      <c r="O2133" s="14"/>
      <c r="P2133" s="14"/>
      <c r="Q2133" s="14"/>
      <c r="R2133" s="14"/>
      <c r="S2133" s="14">
        <v>400</v>
      </c>
      <c r="T2133" s="14"/>
      <c r="U2133" s="14"/>
      <c r="V2133" s="14"/>
      <c r="W2133" s="15">
        <f t="shared" si="74"/>
        <v>400</v>
      </c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5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5"/>
      <c r="AX2133" s="16"/>
    </row>
    <row r="2134" spans="2:50" x14ac:dyDescent="0.2">
      <c r="B2134" s="7" t="s">
        <v>47</v>
      </c>
      <c r="C2134" s="8">
        <v>12791</v>
      </c>
      <c r="D2134" s="9" t="s">
        <v>280</v>
      </c>
      <c r="E2134" s="10" t="s">
        <v>281</v>
      </c>
      <c r="F2134" s="10" t="s">
        <v>282</v>
      </c>
      <c r="G2134" s="8">
        <v>1</v>
      </c>
      <c r="H2134" s="11">
        <v>400</v>
      </c>
      <c r="I2134" s="12">
        <v>42617</v>
      </c>
      <c r="J2134" s="13">
        <f t="shared" si="73"/>
        <v>0</v>
      </c>
      <c r="K2134" s="14"/>
      <c r="L2134" s="14"/>
      <c r="M2134" s="14"/>
      <c r="N2134" s="14"/>
      <c r="O2134" s="14"/>
      <c r="P2134" s="14"/>
      <c r="Q2134" s="14"/>
      <c r="R2134" s="14">
        <v>400</v>
      </c>
      <c r="S2134" s="14"/>
      <c r="T2134" s="14"/>
      <c r="U2134" s="14"/>
      <c r="V2134" s="14"/>
      <c r="W2134" s="15">
        <f t="shared" si="74"/>
        <v>400</v>
      </c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5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5"/>
      <c r="AX2134" s="16"/>
    </row>
    <row r="2135" spans="2:50" x14ac:dyDescent="0.2">
      <c r="B2135" s="7" t="s">
        <v>47</v>
      </c>
      <c r="C2135" s="8">
        <v>12791</v>
      </c>
      <c r="D2135" s="9" t="s">
        <v>280</v>
      </c>
      <c r="E2135" s="10" t="s">
        <v>281</v>
      </c>
      <c r="F2135" s="10" t="s">
        <v>282</v>
      </c>
      <c r="G2135" s="8">
        <v>3</v>
      </c>
      <c r="H2135" s="11">
        <v>200</v>
      </c>
      <c r="I2135" s="12">
        <v>42617</v>
      </c>
      <c r="J2135" s="13">
        <f t="shared" si="73"/>
        <v>0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5">
        <f t="shared" si="74"/>
        <v>0</v>
      </c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5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5"/>
      <c r="AX2135" s="16"/>
    </row>
    <row r="2136" spans="2:50" x14ac:dyDescent="0.2">
      <c r="B2136" s="7" t="s">
        <v>47</v>
      </c>
      <c r="C2136" s="8">
        <v>12791</v>
      </c>
      <c r="D2136" s="9" t="s">
        <v>280</v>
      </c>
      <c r="E2136" s="10" t="s">
        <v>281</v>
      </c>
      <c r="F2136" s="10" t="s">
        <v>282</v>
      </c>
      <c r="G2136" s="8">
        <v>4</v>
      </c>
      <c r="H2136" s="11">
        <v>200</v>
      </c>
      <c r="I2136" s="12">
        <v>42617</v>
      </c>
      <c r="J2136" s="13">
        <f t="shared" si="73"/>
        <v>0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5">
        <f t="shared" si="74"/>
        <v>0</v>
      </c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5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5"/>
      <c r="AX2136" s="7">
        <v>10451895</v>
      </c>
    </row>
    <row r="2137" spans="2:50" x14ac:dyDescent="0.2">
      <c r="B2137" s="7" t="s">
        <v>73</v>
      </c>
      <c r="C2137" s="8">
        <v>12792</v>
      </c>
      <c r="D2137" s="9" t="s">
        <v>112</v>
      </c>
      <c r="E2137" s="10" t="s">
        <v>113</v>
      </c>
      <c r="F2137" s="10" t="s">
        <v>114</v>
      </c>
      <c r="G2137" s="8">
        <v>1</v>
      </c>
      <c r="H2137" s="11">
        <v>250</v>
      </c>
      <c r="I2137" s="12">
        <v>42617</v>
      </c>
      <c r="J2137" s="13">
        <f t="shared" si="73"/>
        <v>0</v>
      </c>
      <c r="K2137" s="14"/>
      <c r="L2137" s="14"/>
      <c r="M2137" s="14"/>
      <c r="N2137" s="14"/>
      <c r="O2137" s="14"/>
      <c r="P2137" s="14"/>
      <c r="Q2137" s="14"/>
      <c r="R2137" s="14"/>
      <c r="S2137" s="14">
        <v>250</v>
      </c>
      <c r="T2137" s="14"/>
      <c r="U2137" s="14"/>
      <c r="V2137" s="14"/>
      <c r="W2137" s="15">
        <f t="shared" si="74"/>
        <v>250</v>
      </c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5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5"/>
      <c r="AX2137" s="16"/>
    </row>
    <row r="2138" spans="2:50" x14ac:dyDescent="0.2">
      <c r="B2138" s="7" t="s">
        <v>69</v>
      </c>
      <c r="C2138" s="8">
        <v>12793</v>
      </c>
      <c r="D2138" s="9" t="s">
        <v>343</v>
      </c>
      <c r="E2138" s="10" t="s">
        <v>344</v>
      </c>
      <c r="F2138" s="10" t="s">
        <v>345</v>
      </c>
      <c r="G2138" s="8">
        <v>1</v>
      </c>
      <c r="H2138" s="11">
        <v>400</v>
      </c>
      <c r="I2138" s="12">
        <v>42617</v>
      </c>
      <c r="J2138" s="13">
        <f t="shared" si="73"/>
        <v>0</v>
      </c>
      <c r="K2138" s="14"/>
      <c r="L2138" s="14"/>
      <c r="M2138" s="14"/>
      <c r="N2138" s="14"/>
      <c r="O2138" s="14"/>
      <c r="P2138" s="14"/>
      <c r="Q2138" s="14"/>
      <c r="R2138" s="14"/>
      <c r="S2138" s="14">
        <v>400</v>
      </c>
      <c r="T2138" s="14"/>
      <c r="U2138" s="14"/>
      <c r="V2138" s="14"/>
      <c r="W2138" s="15">
        <f t="shared" si="74"/>
        <v>400</v>
      </c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5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5"/>
      <c r="AX2138" s="16"/>
    </row>
    <row r="2139" spans="2:50" x14ac:dyDescent="0.2">
      <c r="B2139" s="7" t="s">
        <v>77</v>
      </c>
      <c r="C2139" s="8">
        <v>12794</v>
      </c>
      <c r="D2139" s="9" t="s">
        <v>87</v>
      </c>
      <c r="E2139" s="10" t="s">
        <v>88</v>
      </c>
      <c r="F2139" s="10" t="s">
        <v>89</v>
      </c>
      <c r="G2139" s="8">
        <v>1</v>
      </c>
      <c r="H2139" s="11">
        <v>400</v>
      </c>
      <c r="I2139" s="12">
        <v>42617</v>
      </c>
      <c r="J2139" s="13">
        <f t="shared" si="73"/>
        <v>0</v>
      </c>
      <c r="K2139" s="14"/>
      <c r="L2139" s="14"/>
      <c r="M2139" s="14"/>
      <c r="N2139" s="14"/>
      <c r="O2139" s="14"/>
      <c r="P2139" s="14"/>
      <c r="Q2139" s="14"/>
      <c r="R2139" s="14"/>
      <c r="S2139" s="14">
        <v>400</v>
      </c>
      <c r="T2139" s="14"/>
      <c r="U2139" s="14"/>
      <c r="V2139" s="14"/>
      <c r="W2139" s="15">
        <f t="shared" si="74"/>
        <v>400</v>
      </c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5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5"/>
      <c r="AX2139" s="16"/>
    </row>
    <row r="2140" spans="2:50" x14ac:dyDescent="0.2">
      <c r="B2140" s="7" t="s">
        <v>73</v>
      </c>
      <c r="C2140" s="8">
        <v>12795</v>
      </c>
      <c r="D2140" s="9" t="s">
        <v>846</v>
      </c>
      <c r="E2140" s="10" t="s">
        <v>847</v>
      </c>
      <c r="F2140" s="10" t="s">
        <v>848</v>
      </c>
      <c r="G2140" s="8">
        <v>1</v>
      </c>
      <c r="H2140" s="11">
        <v>1200</v>
      </c>
      <c r="I2140" s="12">
        <v>42617</v>
      </c>
      <c r="J2140" s="13">
        <f t="shared" si="73"/>
        <v>0</v>
      </c>
      <c r="K2140" s="14"/>
      <c r="L2140" s="14"/>
      <c r="M2140" s="14"/>
      <c r="N2140" s="14"/>
      <c r="O2140" s="14"/>
      <c r="P2140" s="14"/>
      <c r="Q2140" s="14"/>
      <c r="R2140" s="14">
        <v>400</v>
      </c>
      <c r="S2140" s="14">
        <v>400</v>
      </c>
      <c r="T2140" s="14">
        <v>400</v>
      </c>
      <c r="U2140" s="14"/>
      <c r="V2140" s="14"/>
      <c r="W2140" s="15">
        <f t="shared" si="74"/>
        <v>1200</v>
      </c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5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5"/>
      <c r="AX2140" s="16"/>
    </row>
    <row r="2141" spans="2:50" x14ac:dyDescent="0.2">
      <c r="B2141" s="7" t="s">
        <v>69</v>
      </c>
      <c r="C2141" s="8">
        <v>12796</v>
      </c>
      <c r="D2141" s="9" t="s">
        <v>168</v>
      </c>
      <c r="E2141" s="10" t="s">
        <v>169</v>
      </c>
      <c r="F2141" s="10" t="s">
        <v>170</v>
      </c>
      <c r="G2141" s="8">
        <v>1</v>
      </c>
      <c r="H2141" s="11">
        <v>200</v>
      </c>
      <c r="I2141" s="12">
        <v>42617</v>
      </c>
      <c r="J2141" s="13">
        <f t="shared" si="73"/>
        <v>0</v>
      </c>
      <c r="K2141" s="14"/>
      <c r="L2141" s="14"/>
      <c r="M2141" s="14"/>
      <c r="N2141" s="14"/>
      <c r="O2141" s="14"/>
      <c r="P2141" s="14"/>
      <c r="Q2141" s="14">
        <v>200</v>
      </c>
      <c r="R2141" s="14"/>
      <c r="S2141" s="14"/>
      <c r="T2141" s="14"/>
      <c r="U2141" s="14"/>
      <c r="V2141" s="14"/>
      <c r="W2141" s="15">
        <f t="shared" si="74"/>
        <v>200</v>
      </c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5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5"/>
      <c r="AX2141" s="16"/>
    </row>
    <row r="2142" spans="2:50" x14ac:dyDescent="0.2">
      <c r="B2142" s="7" t="s">
        <v>47</v>
      </c>
      <c r="C2142" s="8">
        <v>12797</v>
      </c>
      <c r="D2142" s="9" t="s">
        <v>497</v>
      </c>
      <c r="E2142" s="10" t="s">
        <v>498</v>
      </c>
      <c r="F2142" s="10" t="s">
        <v>499</v>
      </c>
      <c r="G2142" s="8">
        <v>5</v>
      </c>
      <c r="H2142" s="11">
        <v>100</v>
      </c>
      <c r="I2142" s="12">
        <v>42617</v>
      </c>
      <c r="J2142" s="13">
        <f t="shared" si="73"/>
        <v>0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5">
        <f t="shared" si="74"/>
        <v>0</v>
      </c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5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5"/>
      <c r="AX2142" s="16"/>
    </row>
    <row r="2143" spans="2:50" x14ac:dyDescent="0.2">
      <c r="B2143" s="7" t="s">
        <v>47</v>
      </c>
      <c r="C2143" s="8">
        <v>12798</v>
      </c>
      <c r="D2143" s="9" t="s">
        <v>328</v>
      </c>
      <c r="E2143" s="10" t="s">
        <v>329</v>
      </c>
      <c r="F2143" s="10" t="s">
        <v>330</v>
      </c>
      <c r="G2143" s="8">
        <v>1</v>
      </c>
      <c r="H2143" s="11">
        <v>400</v>
      </c>
      <c r="I2143" s="12">
        <v>42617</v>
      </c>
      <c r="J2143" s="13">
        <f t="shared" si="73"/>
        <v>0</v>
      </c>
      <c r="K2143" s="14"/>
      <c r="L2143" s="14"/>
      <c r="M2143" s="14"/>
      <c r="N2143" s="14"/>
      <c r="O2143" s="14"/>
      <c r="P2143" s="14"/>
      <c r="Q2143" s="14"/>
      <c r="R2143" s="14"/>
      <c r="S2143" s="14">
        <v>400</v>
      </c>
      <c r="T2143" s="14"/>
      <c r="U2143" s="14"/>
      <c r="V2143" s="14"/>
      <c r="W2143" s="15">
        <f t="shared" si="74"/>
        <v>400</v>
      </c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5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5"/>
      <c r="AX2143" s="16"/>
    </row>
    <row r="2144" spans="2:50" x14ac:dyDescent="0.2">
      <c r="B2144" s="7" t="s">
        <v>69</v>
      </c>
      <c r="C2144" s="8">
        <v>12799</v>
      </c>
      <c r="D2144" s="9" t="s">
        <v>562</v>
      </c>
      <c r="E2144" s="10" t="s">
        <v>563</v>
      </c>
      <c r="F2144" s="10" t="s">
        <v>564</v>
      </c>
      <c r="G2144" s="8">
        <v>1</v>
      </c>
      <c r="H2144" s="11">
        <v>800</v>
      </c>
      <c r="I2144" s="12">
        <v>42617</v>
      </c>
      <c r="J2144" s="13">
        <f t="shared" si="73"/>
        <v>0</v>
      </c>
      <c r="K2144" s="14"/>
      <c r="L2144" s="14"/>
      <c r="M2144" s="14"/>
      <c r="N2144" s="14"/>
      <c r="O2144" s="14"/>
      <c r="P2144" s="14"/>
      <c r="Q2144" s="14"/>
      <c r="R2144" s="14">
        <v>400</v>
      </c>
      <c r="S2144" s="14">
        <v>400</v>
      </c>
      <c r="T2144" s="14"/>
      <c r="U2144" s="14"/>
      <c r="V2144" s="14"/>
      <c r="W2144" s="15">
        <f t="shared" si="74"/>
        <v>800</v>
      </c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5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5"/>
      <c r="AX2144" s="16"/>
    </row>
    <row r="2145" spans="2:50" x14ac:dyDescent="0.2">
      <c r="B2145" s="7" t="s">
        <v>37</v>
      </c>
      <c r="C2145" s="8">
        <v>12800</v>
      </c>
      <c r="D2145" s="9" t="s">
        <v>512</v>
      </c>
      <c r="E2145" s="10" t="s">
        <v>513</v>
      </c>
      <c r="F2145" s="10" t="s">
        <v>511</v>
      </c>
      <c r="G2145" s="8">
        <v>4</v>
      </c>
      <c r="H2145" s="11">
        <v>200</v>
      </c>
      <c r="I2145" s="12" t="s">
        <v>1188</v>
      </c>
      <c r="J2145" s="13">
        <f t="shared" si="73"/>
        <v>0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5">
        <f t="shared" si="74"/>
        <v>0</v>
      </c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5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5"/>
      <c r="AX2145" s="7">
        <v>10451896</v>
      </c>
    </row>
    <row r="2146" spans="2:50" x14ac:dyDescent="0.2">
      <c r="B2146" s="7" t="s">
        <v>37</v>
      </c>
      <c r="C2146" s="8">
        <v>12800</v>
      </c>
      <c r="D2146" s="9" t="s">
        <v>512</v>
      </c>
      <c r="E2146" s="10" t="s">
        <v>513</v>
      </c>
      <c r="F2146" s="10" t="s">
        <v>511</v>
      </c>
      <c r="G2146" s="8">
        <v>5</v>
      </c>
      <c r="H2146" s="11">
        <v>100</v>
      </c>
      <c r="I2146" s="12">
        <v>42617</v>
      </c>
      <c r="J2146" s="13">
        <f t="shared" si="73"/>
        <v>0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5">
        <f t="shared" si="74"/>
        <v>0</v>
      </c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5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5"/>
      <c r="AX2146" s="16"/>
    </row>
    <row r="2147" spans="2:50" x14ac:dyDescent="0.2">
      <c r="B2147" s="7" t="s">
        <v>37</v>
      </c>
      <c r="C2147" s="8">
        <v>12851</v>
      </c>
      <c r="D2147" s="9" t="s">
        <v>774</v>
      </c>
      <c r="E2147" s="10" t="s">
        <v>775</v>
      </c>
      <c r="F2147" s="10" t="s">
        <v>776</v>
      </c>
      <c r="G2147" s="8">
        <v>1</v>
      </c>
      <c r="H2147" s="11">
        <v>800</v>
      </c>
      <c r="I2147" s="12">
        <v>42617</v>
      </c>
      <c r="J2147" s="13">
        <f t="shared" ref="J2147:J2210" si="75">IF(G2147=1,SUM(W2147,-H2147),0)</f>
        <v>0</v>
      </c>
      <c r="K2147" s="14"/>
      <c r="L2147" s="14"/>
      <c r="M2147" s="14"/>
      <c r="N2147" s="14"/>
      <c r="O2147" s="14"/>
      <c r="P2147" s="14">
        <v>400</v>
      </c>
      <c r="Q2147" s="14">
        <v>400</v>
      </c>
      <c r="R2147" s="14"/>
      <c r="S2147" s="14"/>
      <c r="T2147" s="14"/>
      <c r="U2147" s="14"/>
      <c r="V2147" s="14"/>
      <c r="W2147" s="15">
        <f t="shared" ref="W2147:W2210" si="76">SUM(K2147:V2147)</f>
        <v>800</v>
      </c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5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5"/>
      <c r="AX2147" s="16"/>
    </row>
    <row r="2148" spans="2:50" x14ac:dyDescent="0.2">
      <c r="B2148" s="7" t="s">
        <v>37</v>
      </c>
      <c r="C2148" s="8">
        <v>12851</v>
      </c>
      <c r="D2148" s="9" t="s">
        <v>774</v>
      </c>
      <c r="E2148" s="10" t="s">
        <v>775</v>
      </c>
      <c r="F2148" s="10" t="s">
        <v>776</v>
      </c>
      <c r="G2148" s="8">
        <v>3</v>
      </c>
      <c r="H2148" s="11">
        <v>200</v>
      </c>
      <c r="I2148" s="12">
        <v>42617</v>
      </c>
      <c r="J2148" s="13">
        <f t="shared" si="75"/>
        <v>0</v>
      </c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5">
        <f t="shared" si="76"/>
        <v>0</v>
      </c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5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5"/>
      <c r="AX2148" s="16"/>
    </row>
    <row r="2149" spans="2:50" x14ac:dyDescent="0.2">
      <c r="B2149" s="7" t="s">
        <v>122</v>
      </c>
      <c r="C2149" s="8">
        <v>12852</v>
      </c>
      <c r="D2149" s="9" t="s">
        <v>622</v>
      </c>
      <c r="E2149" s="10" t="s">
        <v>623</v>
      </c>
      <c r="F2149" s="10" t="s">
        <v>624</v>
      </c>
      <c r="G2149" s="8">
        <v>3</v>
      </c>
      <c r="H2149" s="11">
        <v>200</v>
      </c>
      <c r="I2149" s="12">
        <v>42617</v>
      </c>
      <c r="J2149" s="13">
        <f t="shared" si="75"/>
        <v>0</v>
      </c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5">
        <f t="shared" si="76"/>
        <v>0</v>
      </c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5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5"/>
      <c r="AX2149" s="16"/>
    </row>
    <row r="2150" spans="2:50" x14ac:dyDescent="0.2">
      <c r="B2150" s="7" t="s">
        <v>73</v>
      </c>
      <c r="C2150" s="8">
        <v>12853</v>
      </c>
      <c r="D2150" s="9" t="s">
        <v>611</v>
      </c>
      <c r="E2150" s="10" t="s">
        <v>612</v>
      </c>
      <c r="F2150" s="10" t="s">
        <v>613</v>
      </c>
      <c r="G2150" s="8">
        <v>1</v>
      </c>
      <c r="H2150" s="11">
        <v>400</v>
      </c>
      <c r="I2150" s="12">
        <v>42617</v>
      </c>
      <c r="J2150" s="13">
        <f t="shared" si="75"/>
        <v>0</v>
      </c>
      <c r="K2150" s="14"/>
      <c r="L2150" s="14"/>
      <c r="M2150" s="14"/>
      <c r="N2150" s="14"/>
      <c r="O2150" s="14"/>
      <c r="P2150" s="14"/>
      <c r="Q2150" s="14"/>
      <c r="R2150" s="14"/>
      <c r="S2150" s="14">
        <v>400</v>
      </c>
      <c r="T2150" s="14"/>
      <c r="U2150" s="14"/>
      <c r="V2150" s="14"/>
      <c r="W2150" s="15">
        <f t="shared" si="76"/>
        <v>400</v>
      </c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5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5"/>
      <c r="AX2150" s="16"/>
    </row>
    <row r="2151" spans="2:50" x14ac:dyDescent="0.2">
      <c r="B2151" s="7" t="s">
        <v>73</v>
      </c>
      <c r="C2151" s="8">
        <v>12854</v>
      </c>
      <c r="D2151" s="9" t="s">
        <v>458</v>
      </c>
      <c r="E2151" s="10" t="s">
        <v>459</v>
      </c>
      <c r="F2151" s="10" t="s">
        <v>460</v>
      </c>
      <c r="G2151" s="8">
        <v>5</v>
      </c>
      <c r="H2151" s="11">
        <v>100</v>
      </c>
      <c r="I2151" s="12">
        <v>42617</v>
      </c>
      <c r="J2151" s="13">
        <f t="shared" si="75"/>
        <v>0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5">
        <f t="shared" si="76"/>
        <v>0</v>
      </c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5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5"/>
      <c r="AX2151" s="16"/>
    </row>
    <row r="2152" spans="2:50" x14ac:dyDescent="0.2">
      <c r="B2152" s="7" t="s">
        <v>47</v>
      </c>
      <c r="C2152" s="8">
        <v>12855</v>
      </c>
      <c r="D2152" s="9" t="s">
        <v>313</v>
      </c>
      <c r="E2152" s="10" t="s">
        <v>314</v>
      </c>
      <c r="F2152" s="10" t="s">
        <v>315</v>
      </c>
      <c r="G2152" s="8">
        <v>1</v>
      </c>
      <c r="H2152" s="11">
        <v>400</v>
      </c>
      <c r="I2152" s="12">
        <v>42617</v>
      </c>
      <c r="J2152" s="13">
        <f t="shared" si="75"/>
        <v>0</v>
      </c>
      <c r="K2152" s="14"/>
      <c r="L2152" s="14"/>
      <c r="M2152" s="14"/>
      <c r="N2152" s="14"/>
      <c r="O2152" s="14"/>
      <c r="P2152" s="14"/>
      <c r="Q2152" s="14"/>
      <c r="R2152" s="14"/>
      <c r="S2152" s="14">
        <v>400</v>
      </c>
      <c r="T2152" s="14"/>
      <c r="U2152" s="14"/>
      <c r="V2152" s="14"/>
      <c r="W2152" s="15">
        <f t="shared" si="76"/>
        <v>400</v>
      </c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5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5"/>
      <c r="AX2152" s="16"/>
    </row>
    <row r="2153" spans="2:50" x14ac:dyDescent="0.2">
      <c r="B2153" s="7" t="s">
        <v>122</v>
      </c>
      <c r="C2153" s="8">
        <v>12856</v>
      </c>
      <c r="D2153" s="9" t="s">
        <v>310</v>
      </c>
      <c r="E2153" s="10" t="s">
        <v>311</v>
      </c>
      <c r="F2153" s="10" t="s">
        <v>312</v>
      </c>
      <c r="G2153" s="8">
        <v>5</v>
      </c>
      <c r="H2153" s="11">
        <v>50</v>
      </c>
      <c r="I2153" s="12">
        <v>42617</v>
      </c>
      <c r="J2153" s="13">
        <f t="shared" si="75"/>
        <v>0</v>
      </c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5">
        <f t="shared" si="76"/>
        <v>0</v>
      </c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5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5"/>
      <c r="AX2153" s="16"/>
    </row>
    <row r="2154" spans="2:50" x14ac:dyDescent="0.2">
      <c r="B2154" s="7" t="s">
        <v>37</v>
      </c>
      <c r="C2154" s="8">
        <v>12857</v>
      </c>
      <c r="D2154" s="9" t="s">
        <v>491</v>
      </c>
      <c r="E2154" s="10" t="s">
        <v>492</v>
      </c>
      <c r="F2154" s="10" t="s">
        <v>493</v>
      </c>
      <c r="G2154" s="8">
        <v>5</v>
      </c>
      <c r="H2154" s="11">
        <v>50</v>
      </c>
      <c r="I2154" s="12">
        <v>42617</v>
      </c>
      <c r="J2154" s="13">
        <f t="shared" si="75"/>
        <v>0</v>
      </c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5">
        <f t="shared" si="76"/>
        <v>0</v>
      </c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5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5"/>
      <c r="AX2154" s="16"/>
    </row>
    <row r="2155" spans="2:50" x14ac:dyDescent="0.2">
      <c r="B2155" s="7" t="s">
        <v>47</v>
      </c>
      <c r="C2155" s="8">
        <v>12858</v>
      </c>
      <c r="D2155" s="9" t="s">
        <v>153</v>
      </c>
      <c r="E2155" s="10" t="s">
        <v>154</v>
      </c>
      <c r="F2155" s="10" t="s">
        <v>155</v>
      </c>
      <c r="G2155" s="8">
        <v>1</v>
      </c>
      <c r="H2155" s="11">
        <v>400</v>
      </c>
      <c r="I2155" s="12">
        <v>42617</v>
      </c>
      <c r="J2155" s="13">
        <f t="shared" si="75"/>
        <v>0</v>
      </c>
      <c r="K2155" s="14"/>
      <c r="L2155" s="14"/>
      <c r="M2155" s="14"/>
      <c r="N2155" s="14"/>
      <c r="O2155" s="14"/>
      <c r="P2155" s="14"/>
      <c r="Q2155" s="14"/>
      <c r="R2155" s="14"/>
      <c r="S2155" s="14">
        <v>400</v>
      </c>
      <c r="T2155" s="14"/>
      <c r="U2155" s="14"/>
      <c r="V2155" s="14"/>
      <c r="W2155" s="15">
        <f t="shared" si="76"/>
        <v>400</v>
      </c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5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5"/>
      <c r="AX2155" s="16"/>
    </row>
    <row r="2156" spans="2:50" x14ac:dyDescent="0.2">
      <c r="B2156" s="7" t="s">
        <v>37</v>
      </c>
      <c r="C2156" s="8">
        <v>12859</v>
      </c>
      <c r="D2156" s="9" t="s">
        <v>1167</v>
      </c>
      <c r="E2156" s="10" t="s">
        <v>1168</v>
      </c>
      <c r="F2156" s="10" t="s">
        <v>1169</v>
      </c>
      <c r="G2156" s="8">
        <v>5</v>
      </c>
      <c r="H2156" s="11">
        <v>50</v>
      </c>
      <c r="I2156" s="12">
        <v>42617</v>
      </c>
      <c r="J2156" s="13">
        <f t="shared" si="75"/>
        <v>0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5">
        <f t="shared" si="76"/>
        <v>0</v>
      </c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5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5"/>
      <c r="AX2156" s="16"/>
    </row>
    <row r="2157" spans="2:50" x14ac:dyDescent="0.2">
      <c r="B2157" s="7" t="s">
        <v>77</v>
      </c>
      <c r="C2157" s="8">
        <v>12860</v>
      </c>
      <c r="D2157" s="9" t="s">
        <v>322</v>
      </c>
      <c r="E2157" s="10" t="s">
        <v>323</v>
      </c>
      <c r="F2157" s="10" t="s">
        <v>324</v>
      </c>
      <c r="G2157" s="8">
        <v>1</v>
      </c>
      <c r="H2157" s="11">
        <v>400</v>
      </c>
      <c r="I2157" s="12">
        <v>42617</v>
      </c>
      <c r="J2157" s="13">
        <f t="shared" si="75"/>
        <v>0</v>
      </c>
      <c r="K2157" s="14"/>
      <c r="L2157" s="14"/>
      <c r="M2157" s="14"/>
      <c r="N2157" s="14"/>
      <c r="O2157" s="14"/>
      <c r="P2157" s="14"/>
      <c r="Q2157" s="14"/>
      <c r="R2157" s="14">
        <v>400</v>
      </c>
      <c r="S2157" s="14"/>
      <c r="T2157" s="14"/>
      <c r="U2157" s="14"/>
      <c r="V2157" s="14"/>
      <c r="W2157" s="15">
        <f t="shared" si="76"/>
        <v>400</v>
      </c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5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5"/>
      <c r="AX2157" s="16"/>
    </row>
    <row r="2158" spans="2:50" x14ac:dyDescent="0.2">
      <c r="B2158" s="7" t="s">
        <v>47</v>
      </c>
      <c r="C2158" s="8">
        <v>12861</v>
      </c>
      <c r="D2158" s="9" t="s">
        <v>803</v>
      </c>
      <c r="E2158" s="10" t="s">
        <v>804</v>
      </c>
      <c r="F2158" s="10" t="s">
        <v>312</v>
      </c>
      <c r="G2158" s="8">
        <v>5</v>
      </c>
      <c r="H2158" s="11">
        <v>250</v>
      </c>
      <c r="I2158" s="12">
        <v>42617</v>
      </c>
      <c r="J2158" s="13">
        <f t="shared" si="75"/>
        <v>0</v>
      </c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5">
        <f t="shared" si="76"/>
        <v>0</v>
      </c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5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5"/>
      <c r="AX2158" s="16"/>
    </row>
    <row r="2159" spans="2:50" x14ac:dyDescent="0.2">
      <c r="B2159" s="7" t="s">
        <v>37</v>
      </c>
      <c r="C2159" s="8">
        <v>12801</v>
      </c>
      <c r="D2159" s="9" t="s">
        <v>941</v>
      </c>
      <c r="E2159" s="10" t="s">
        <v>942</v>
      </c>
      <c r="F2159" s="10" t="s">
        <v>943</v>
      </c>
      <c r="G2159" s="8">
        <v>1</v>
      </c>
      <c r="H2159" s="11">
        <v>200</v>
      </c>
      <c r="I2159" s="12">
        <v>42620</v>
      </c>
      <c r="J2159" s="13">
        <f t="shared" si="75"/>
        <v>0</v>
      </c>
      <c r="K2159" s="14"/>
      <c r="L2159" s="14"/>
      <c r="M2159" s="14"/>
      <c r="N2159" s="14"/>
      <c r="O2159" s="14"/>
      <c r="P2159" s="14"/>
      <c r="Q2159" s="14"/>
      <c r="R2159" s="14"/>
      <c r="S2159" s="14">
        <v>200</v>
      </c>
      <c r="T2159" s="14"/>
      <c r="U2159" s="14"/>
      <c r="V2159" s="14"/>
      <c r="W2159" s="15">
        <f t="shared" si="76"/>
        <v>200</v>
      </c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5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5"/>
      <c r="AX2159" s="16"/>
    </row>
    <row r="2160" spans="2:50" x14ac:dyDescent="0.2">
      <c r="B2160" s="7" t="s">
        <v>37</v>
      </c>
      <c r="C2160" s="8">
        <v>12802</v>
      </c>
      <c r="D2160" s="9" t="s">
        <v>205</v>
      </c>
      <c r="E2160" s="10" t="s">
        <v>206</v>
      </c>
      <c r="F2160" s="10" t="s">
        <v>207</v>
      </c>
      <c r="G2160" s="8">
        <v>1</v>
      </c>
      <c r="H2160" s="11">
        <v>600</v>
      </c>
      <c r="I2160" s="12">
        <v>42621</v>
      </c>
      <c r="J2160" s="13">
        <f t="shared" si="75"/>
        <v>0</v>
      </c>
      <c r="K2160" s="14"/>
      <c r="L2160" s="14"/>
      <c r="M2160" s="14"/>
      <c r="N2160" s="14"/>
      <c r="O2160" s="14"/>
      <c r="P2160" s="14"/>
      <c r="Q2160" s="14"/>
      <c r="R2160" s="14">
        <v>600</v>
      </c>
      <c r="S2160" s="14"/>
      <c r="T2160" s="14"/>
      <c r="U2160" s="14"/>
      <c r="V2160" s="14"/>
      <c r="W2160" s="15">
        <f t="shared" si="76"/>
        <v>600</v>
      </c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5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5"/>
      <c r="AX2160" s="16"/>
    </row>
    <row r="2161" spans="2:50" x14ac:dyDescent="0.2">
      <c r="B2161" s="7" t="s">
        <v>69</v>
      </c>
      <c r="C2161" s="8">
        <v>12803</v>
      </c>
      <c r="D2161" s="9" t="s">
        <v>828</v>
      </c>
      <c r="E2161" s="10" t="s">
        <v>829</v>
      </c>
      <c r="F2161" s="10" t="s">
        <v>830</v>
      </c>
      <c r="G2161" s="8">
        <v>3</v>
      </c>
      <c r="H2161" s="11">
        <v>200</v>
      </c>
      <c r="I2161" s="12">
        <v>42621</v>
      </c>
      <c r="J2161" s="13">
        <f t="shared" si="75"/>
        <v>0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5">
        <f t="shared" si="76"/>
        <v>0</v>
      </c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5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5"/>
      <c r="AX2161" s="16"/>
    </row>
    <row r="2162" spans="2:50" x14ac:dyDescent="0.2">
      <c r="B2162" s="7" t="s">
        <v>47</v>
      </c>
      <c r="C2162" s="8">
        <v>12804</v>
      </c>
      <c r="D2162" s="9" t="s">
        <v>138</v>
      </c>
      <c r="E2162" s="10" t="s">
        <v>139</v>
      </c>
      <c r="F2162" s="10" t="s">
        <v>140</v>
      </c>
      <c r="G2162" s="8">
        <v>1</v>
      </c>
      <c r="H2162" s="11">
        <v>800</v>
      </c>
      <c r="I2162" s="12">
        <v>42624</v>
      </c>
      <c r="J2162" s="13">
        <f t="shared" si="75"/>
        <v>0</v>
      </c>
      <c r="K2162" s="14"/>
      <c r="L2162" s="14"/>
      <c r="M2162" s="14"/>
      <c r="N2162" s="14"/>
      <c r="O2162" s="14"/>
      <c r="P2162" s="14"/>
      <c r="Q2162" s="14"/>
      <c r="R2162" s="14">
        <v>400</v>
      </c>
      <c r="S2162" s="14">
        <v>400</v>
      </c>
      <c r="T2162" s="14"/>
      <c r="U2162" s="14"/>
      <c r="V2162" s="14"/>
      <c r="W2162" s="15">
        <f t="shared" si="76"/>
        <v>800</v>
      </c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5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5"/>
      <c r="AX2162" s="16"/>
    </row>
    <row r="2163" spans="2:50" x14ac:dyDescent="0.2">
      <c r="B2163" s="7" t="s">
        <v>61</v>
      </c>
      <c r="C2163" s="8">
        <v>12805</v>
      </c>
      <c r="D2163" s="9" t="s">
        <v>631</v>
      </c>
      <c r="E2163" s="10" t="s">
        <v>632</v>
      </c>
      <c r="F2163" s="10" t="s">
        <v>633</v>
      </c>
      <c r="G2163" s="8">
        <v>1</v>
      </c>
      <c r="H2163" s="11">
        <v>300</v>
      </c>
      <c r="I2163" s="12">
        <v>42624</v>
      </c>
      <c r="J2163" s="13">
        <f t="shared" si="75"/>
        <v>0</v>
      </c>
      <c r="K2163" s="14"/>
      <c r="L2163" s="14"/>
      <c r="M2163" s="14"/>
      <c r="N2163" s="14"/>
      <c r="O2163" s="14"/>
      <c r="P2163" s="14"/>
      <c r="Q2163" s="14"/>
      <c r="R2163" s="14"/>
      <c r="S2163" s="14">
        <v>300</v>
      </c>
      <c r="T2163" s="14"/>
      <c r="U2163" s="14"/>
      <c r="V2163" s="14"/>
      <c r="W2163" s="15">
        <f t="shared" si="76"/>
        <v>300</v>
      </c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5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5"/>
      <c r="AX2163" s="16"/>
    </row>
    <row r="2164" spans="2:50" x14ac:dyDescent="0.2">
      <c r="B2164" s="7" t="s">
        <v>47</v>
      </c>
      <c r="C2164" s="8">
        <v>12806</v>
      </c>
      <c r="D2164" s="9" t="s">
        <v>658</v>
      </c>
      <c r="E2164" s="10" t="s">
        <v>659</v>
      </c>
      <c r="F2164" s="10" t="s">
        <v>1189</v>
      </c>
      <c r="G2164" s="8">
        <v>1</v>
      </c>
      <c r="H2164" s="11">
        <v>800</v>
      </c>
      <c r="I2164" s="12">
        <v>42624</v>
      </c>
      <c r="J2164" s="13">
        <f t="shared" si="75"/>
        <v>0</v>
      </c>
      <c r="K2164" s="14"/>
      <c r="L2164" s="14"/>
      <c r="M2164" s="14"/>
      <c r="N2164" s="14"/>
      <c r="O2164" s="14"/>
      <c r="P2164" s="14"/>
      <c r="Q2164" s="14"/>
      <c r="R2164" s="14">
        <v>400</v>
      </c>
      <c r="S2164" s="14">
        <v>400</v>
      </c>
      <c r="T2164" s="14"/>
      <c r="U2164" s="14"/>
      <c r="V2164" s="14"/>
      <c r="W2164" s="15">
        <f t="shared" si="76"/>
        <v>800</v>
      </c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5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5"/>
      <c r="AX2164" s="16"/>
    </row>
    <row r="2165" spans="2:50" x14ac:dyDescent="0.2">
      <c r="B2165" s="7" t="s">
        <v>47</v>
      </c>
      <c r="C2165" s="8">
        <v>12807</v>
      </c>
      <c r="D2165" s="9" t="s">
        <v>658</v>
      </c>
      <c r="E2165" s="10" t="s">
        <v>659</v>
      </c>
      <c r="F2165" s="10" t="s">
        <v>1189</v>
      </c>
      <c r="G2165" s="8">
        <v>3</v>
      </c>
      <c r="H2165" s="11">
        <v>200</v>
      </c>
      <c r="I2165" s="12">
        <v>42624</v>
      </c>
      <c r="J2165" s="13">
        <f t="shared" si="75"/>
        <v>0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5">
        <f t="shared" si="76"/>
        <v>0</v>
      </c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5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5"/>
      <c r="AX2165" s="16"/>
    </row>
    <row r="2166" spans="2:50" x14ac:dyDescent="0.2">
      <c r="B2166" s="7" t="s">
        <v>47</v>
      </c>
      <c r="C2166" s="8">
        <v>12807</v>
      </c>
      <c r="D2166" s="9" t="s">
        <v>658</v>
      </c>
      <c r="E2166" s="10" t="s">
        <v>659</v>
      </c>
      <c r="F2166" s="10" t="s">
        <v>1189</v>
      </c>
      <c r="G2166" s="8">
        <v>5</v>
      </c>
      <c r="H2166" s="11">
        <v>100</v>
      </c>
      <c r="I2166" s="12">
        <v>42624</v>
      </c>
      <c r="J2166" s="13">
        <f t="shared" si="75"/>
        <v>0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5">
        <f t="shared" si="76"/>
        <v>0</v>
      </c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5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5"/>
      <c r="AX2166" s="16"/>
    </row>
    <row r="2167" spans="2:50" x14ac:dyDescent="0.2">
      <c r="B2167" s="7" t="s">
        <v>73</v>
      </c>
      <c r="C2167" s="8">
        <v>12808</v>
      </c>
      <c r="D2167" s="9" t="s">
        <v>785</v>
      </c>
      <c r="E2167" s="10" t="s">
        <v>786</v>
      </c>
      <c r="F2167" s="10" t="s">
        <v>787</v>
      </c>
      <c r="G2167" s="8">
        <v>1</v>
      </c>
      <c r="H2167" s="11">
        <v>600</v>
      </c>
      <c r="I2167" s="12">
        <v>42624</v>
      </c>
      <c r="J2167" s="13">
        <f t="shared" si="75"/>
        <v>0</v>
      </c>
      <c r="K2167" s="14"/>
      <c r="L2167" s="14"/>
      <c r="M2167" s="14"/>
      <c r="N2167" s="14"/>
      <c r="O2167" s="14"/>
      <c r="P2167" s="14"/>
      <c r="Q2167" s="14">
        <v>200</v>
      </c>
      <c r="R2167" s="14">
        <v>200</v>
      </c>
      <c r="S2167" s="14">
        <v>200</v>
      </c>
      <c r="T2167" s="14"/>
      <c r="U2167" s="14"/>
      <c r="V2167" s="14"/>
      <c r="W2167" s="15">
        <f t="shared" si="76"/>
        <v>600</v>
      </c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5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5"/>
      <c r="AX2167" s="16"/>
    </row>
    <row r="2168" spans="2:50" x14ac:dyDescent="0.2">
      <c r="B2168" s="7" t="s">
        <v>37</v>
      </c>
      <c r="C2168" s="8">
        <v>12809</v>
      </c>
      <c r="D2168" s="9" t="s">
        <v>899</v>
      </c>
      <c r="E2168" s="10" t="s">
        <v>900</v>
      </c>
      <c r="F2168" s="10" t="s">
        <v>901</v>
      </c>
      <c r="G2168" s="8">
        <v>1</v>
      </c>
      <c r="H2168" s="11">
        <v>400</v>
      </c>
      <c r="I2168" s="12">
        <v>42624</v>
      </c>
      <c r="J2168" s="13">
        <f t="shared" si="75"/>
        <v>0</v>
      </c>
      <c r="K2168" s="14"/>
      <c r="L2168" s="14"/>
      <c r="M2168" s="14"/>
      <c r="N2168" s="14"/>
      <c r="O2168" s="14"/>
      <c r="P2168" s="14"/>
      <c r="Q2168" s="14"/>
      <c r="R2168" s="14"/>
      <c r="S2168" s="14">
        <v>400</v>
      </c>
      <c r="T2168" s="14"/>
      <c r="U2168" s="14"/>
      <c r="V2168" s="14"/>
      <c r="W2168" s="15">
        <f t="shared" si="76"/>
        <v>400</v>
      </c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5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5"/>
      <c r="AX2168" s="16"/>
    </row>
    <row r="2169" spans="2:50" x14ac:dyDescent="0.2">
      <c r="B2169" s="7" t="s">
        <v>69</v>
      </c>
      <c r="C2169" s="8">
        <v>12810</v>
      </c>
      <c r="D2169" s="9" t="s">
        <v>100</v>
      </c>
      <c r="E2169" s="10" t="s">
        <v>101</v>
      </c>
      <c r="F2169" s="10" t="s">
        <v>102</v>
      </c>
      <c r="G2169" s="8">
        <v>1</v>
      </c>
      <c r="H2169" s="11">
        <v>400</v>
      </c>
      <c r="I2169" s="12">
        <v>42624</v>
      </c>
      <c r="J2169" s="13">
        <f t="shared" si="75"/>
        <v>0</v>
      </c>
      <c r="K2169" s="14"/>
      <c r="L2169" s="14"/>
      <c r="M2169" s="14"/>
      <c r="N2169" s="14"/>
      <c r="O2169" s="14"/>
      <c r="P2169" s="14"/>
      <c r="Q2169" s="14"/>
      <c r="R2169" s="14"/>
      <c r="S2169" s="14">
        <v>400</v>
      </c>
      <c r="T2169" s="14"/>
      <c r="U2169" s="14"/>
      <c r="V2169" s="14"/>
      <c r="W2169" s="15">
        <f t="shared" si="76"/>
        <v>400</v>
      </c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5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5"/>
      <c r="AX2169" s="16"/>
    </row>
    <row r="2170" spans="2:50" x14ac:dyDescent="0.2">
      <c r="B2170" s="7" t="s">
        <v>73</v>
      </c>
      <c r="C2170" s="8">
        <v>12811</v>
      </c>
      <c r="D2170" s="9" t="s">
        <v>586</v>
      </c>
      <c r="E2170" s="10" t="s">
        <v>587</v>
      </c>
      <c r="F2170" s="10" t="s">
        <v>588</v>
      </c>
      <c r="G2170" s="8">
        <v>1</v>
      </c>
      <c r="H2170" s="11">
        <v>400</v>
      </c>
      <c r="I2170" s="12">
        <v>42624</v>
      </c>
      <c r="J2170" s="13">
        <f t="shared" si="75"/>
        <v>0</v>
      </c>
      <c r="K2170" s="14"/>
      <c r="L2170" s="14"/>
      <c r="M2170" s="14"/>
      <c r="N2170" s="14"/>
      <c r="O2170" s="14"/>
      <c r="P2170" s="14"/>
      <c r="Q2170" s="14"/>
      <c r="R2170" s="14">
        <v>200</v>
      </c>
      <c r="S2170" s="14">
        <v>200</v>
      </c>
      <c r="T2170" s="14"/>
      <c r="U2170" s="14"/>
      <c r="V2170" s="14"/>
      <c r="W2170" s="15">
        <f t="shared" si="76"/>
        <v>400</v>
      </c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5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5"/>
      <c r="AX2170" s="16"/>
    </row>
    <row r="2171" spans="2:50" x14ac:dyDescent="0.2">
      <c r="B2171" s="7" t="s">
        <v>122</v>
      </c>
      <c r="C2171" s="8">
        <v>12812</v>
      </c>
      <c r="D2171" s="9" t="s">
        <v>637</v>
      </c>
      <c r="E2171" s="10" t="s">
        <v>638</v>
      </c>
      <c r="F2171" s="10" t="s">
        <v>639</v>
      </c>
      <c r="G2171" s="8">
        <v>1</v>
      </c>
      <c r="H2171" s="11">
        <v>800</v>
      </c>
      <c r="I2171" s="12">
        <v>42624</v>
      </c>
      <c r="J2171" s="13">
        <f t="shared" si="75"/>
        <v>0</v>
      </c>
      <c r="K2171" s="14"/>
      <c r="L2171" s="14"/>
      <c r="M2171" s="14"/>
      <c r="N2171" s="14"/>
      <c r="O2171" s="14"/>
      <c r="P2171" s="14"/>
      <c r="Q2171" s="14"/>
      <c r="R2171" s="14">
        <v>400</v>
      </c>
      <c r="S2171" s="14">
        <v>400</v>
      </c>
      <c r="T2171" s="14"/>
      <c r="U2171" s="14"/>
      <c r="V2171" s="14"/>
      <c r="W2171" s="15">
        <f t="shared" si="76"/>
        <v>800</v>
      </c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5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5"/>
      <c r="AX2171" s="16"/>
    </row>
    <row r="2172" spans="2:50" x14ac:dyDescent="0.2">
      <c r="B2172" s="7" t="s">
        <v>73</v>
      </c>
      <c r="C2172" s="8">
        <v>12813</v>
      </c>
      <c r="D2172" s="9" t="s">
        <v>1092</v>
      </c>
      <c r="E2172" s="10" t="s">
        <v>1093</v>
      </c>
      <c r="F2172" s="10" t="s">
        <v>1094</v>
      </c>
      <c r="G2172" s="8">
        <v>5</v>
      </c>
      <c r="H2172" s="11">
        <v>50</v>
      </c>
      <c r="I2172" s="12">
        <v>42624</v>
      </c>
      <c r="J2172" s="13">
        <f t="shared" si="75"/>
        <v>0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5">
        <f t="shared" si="76"/>
        <v>0</v>
      </c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5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5"/>
      <c r="AX2172" s="16"/>
    </row>
    <row r="2173" spans="2:50" x14ac:dyDescent="0.2">
      <c r="B2173" s="7" t="s">
        <v>47</v>
      </c>
      <c r="C2173" s="8">
        <v>12814</v>
      </c>
      <c r="D2173" s="9" t="s">
        <v>171</v>
      </c>
      <c r="E2173" s="10" t="s">
        <v>172</v>
      </c>
      <c r="F2173" s="10" t="s">
        <v>173</v>
      </c>
      <c r="G2173" s="8">
        <v>1</v>
      </c>
      <c r="H2173" s="11">
        <v>800</v>
      </c>
      <c r="I2173" s="12">
        <v>42624</v>
      </c>
      <c r="J2173" s="13">
        <f t="shared" si="75"/>
        <v>0</v>
      </c>
      <c r="K2173" s="14"/>
      <c r="L2173" s="14"/>
      <c r="M2173" s="14"/>
      <c r="N2173" s="14"/>
      <c r="O2173" s="14"/>
      <c r="P2173" s="14"/>
      <c r="Q2173" s="14"/>
      <c r="R2173" s="14">
        <v>400</v>
      </c>
      <c r="S2173" s="14">
        <v>400</v>
      </c>
      <c r="T2173" s="14"/>
      <c r="U2173" s="14"/>
      <c r="V2173" s="14"/>
      <c r="W2173" s="15">
        <f t="shared" si="76"/>
        <v>800</v>
      </c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5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5"/>
      <c r="AX2173" s="16"/>
    </row>
    <row r="2174" spans="2:50" x14ac:dyDescent="0.2">
      <c r="B2174" s="7" t="s">
        <v>47</v>
      </c>
      <c r="C2174" s="8">
        <v>12815</v>
      </c>
      <c r="D2174" s="9" t="s">
        <v>241</v>
      </c>
      <c r="E2174" s="10" t="s">
        <v>242</v>
      </c>
      <c r="F2174" s="10" t="s">
        <v>243</v>
      </c>
      <c r="G2174" s="8">
        <v>1</v>
      </c>
      <c r="H2174" s="11">
        <v>400</v>
      </c>
      <c r="I2174" s="12">
        <v>42624</v>
      </c>
      <c r="J2174" s="13">
        <f t="shared" si="75"/>
        <v>0</v>
      </c>
      <c r="K2174" s="14"/>
      <c r="L2174" s="14"/>
      <c r="M2174" s="14"/>
      <c r="N2174" s="14"/>
      <c r="O2174" s="14"/>
      <c r="P2174" s="14"/>
      <c r="Q2174" s="14"/>
      <c r="R2174" s="14"/>
      <c r="S2174" s="14">
        <v>400</v>
      </c>
      <c r="T2174" s="14"/>
      <c r="U2174" s="14"/>
      <c r="V2174" s="14"/>
      <c r="W2174" s="15">
        <f t="shared" si="76"/>
        <v>400</v>
      </c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5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5"/>
      <c r="AX2174" s="16"/>
    </row>
    <row r="2175" spans="2:50" x14ac:dyDescent="0.2">
      <c r="B2175" s="7" t="s">
        <v>73</v>
      </c>
      <c r="C2175" s="8">
        <v>12816</v>
      </c>
      <c r="D2175" s="9" t="s">
        <v>283</v>
      </c>
      <c r="E2175" s="10" t="s">
        <v>284</v>
      </c>
      <c r="F2175" s="10" t="s">
        <v>285</v>
      </c>
      <c r="G2175" s="8">
        <v>5</v>
      </c>
      <c r="H2175" s="11">
        <v>100</v>
      </c>
      <c r="I2175" s="12">
        <v>42624</v>
      </c>
      <c r="J2175" s="13">
        <f t="shared" si="75"/>
        <v>0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5">
        <f t="shared" si="76"/>
        <v>0</v>
      </c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5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5"/>
      <c r="AX2175" s="16"/>
    </row>
    <row r="2176" spans="2:50" x14ac:dyDescent="0.2">
      <c r="B2176" s="7" t="s">
        <v>69</v>
      </c>
      <c r="C2176" s="8">
        <v>12817</v>
      </c>
      <c r="D2176" s="9" t="s">
        <v>186</v>
      </c>
      <c r="E2176" s="10" t="s">
        <v>187</v>
      </c>
      <c r="F2176" s="10" t="s">
        <v>188</v>
      </c>
      <c r="G2176" s="8">
        <v>1</v>
      </c>
      <c r="H2176" s="11">
        <v>400</v>
      </c>
      <c r="I2176" s="12">
        <v>42624</v>
      </c>
      <c r="J2176" s="13">
        <f t="shared" si="75"/>
        <v>0</v>
      </c>
      <c r="K2176" s="14"/>
      <c r="L2176" s="14"/>
      <c r="M2176" s="14"/>
      <c r="N2176" s="14"/>
      <c r="O2176" s="14"/>
      <c r="P2176" s="14"/>
      <c r="Q2176" s="14"/>
      <c r="R2176" s="14"/>
      <c r="S2176" s="14">
        <v>400</v>
      </c>
      <c r="T2176" s="14"/>
      <c r="U2176" s="14"/>
      <c r="V2176" s="14"/>
      <c r="W2176" s="15">
        <f t="shared" si="76"/>
        <v>400</v>
      </c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5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5"/>
      <c r="AX2176" s="16"/>
    </row>
    <row r="2177" spans="2:50" x14ac:dyDescent="0.2">
      <c r="B2177" s="7" t="s">
        <v>47</v>
      </c>
      <c r="C2177" s="8">
        <v>12818</v>
      </c>
      <c r="D2177" s="9" t="s">
        <v>1148</v>
      </c>
      <c r="E2177" s="10" t="s">
        <v>1149</v>
      </c>
      <c r="F2177" s="10" t="s">
        <v>1150</v>
      </c>
      <c r="G2177" s="8">
        <v>1</v>
      </c>
      <c r="H2177" s="11">
        <v>400</v>
      </c>
      <c r="I2177" s="12">
        <v>42624</v>
      </c>
      <c r="J2177" s="13">
        <f t="shared" si="75"/>
        <v>0</v>
      </c>
      <c r="K2177" s="14"/>
      <c r="L2177" s="14"/>
      <c r="M2177" s="14"/>
      <c r="N2177" s="14"/>
      <c r="O2177" s="14"/>
      <c r="P2177" s="14"/>
      <c r="Q2177" s="14"/>
      <c r="R2177" s="14"/>
      <c r="S2177" s="14">
        <v>400</v>
      </c>
      <c r="T2177" s="14"/>
      <c r="U2177" s="14"/>
      <c r="V2177" s="14"/>
      <c r="W2177" s="15">
        <f t="shared" si="76"/>
        <v>400</v>
      </c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5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5"/>
      <c r="AX2177" s="16"/>
    </row>
    <row r="2178" spans="2:50" x14ac:dyDescent="0.2">
      <c r="B2178" s="7" t="s">
        <v>69</v>
      </c>
      <c r="C2178" s="8">
        <v>12819</v>
      </c>
      <c r="D2178" s="9" t="s">
        <v>253</v>
      </c>
      <c r="E2178" s="10" t="s">
        <v>254</v>
      </c>
      <c r="F2178" s="10" t="s">
        <v>255</v>
      </c>
      <c r="G2178" s="8">
        <v>5</v>
      </c>
      <c r="H2178" s="11">
        <v>100</v>
      </c>
      <c r="I2178" s="12">
        <v>42624</v>
      </c>
      <c r="J2178" s="13">
        <f t="shared" si="75"/>
        <v>0</v>
      </c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5">
        <f t="shared" si="76"/>
        <v>0</v>
      </c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5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5"/>
      <c r="AX2178" s="16"/>
    </row>
    <row r="2179" spans="2:50" x14ac:dyDescent="0.2">
      <c r="B2179" s="7" t="s">
        <v>77</v>
      </c>
      <c r="C2179" s="8">
        <v>12820</v>
      </c>
      <c r="D2179" s="9" t="s">
        <v>419</v>
      </c>
      <c r="E2179" s="10" t="s">
        <v>420</v>
      </c>
      <c r="F2179" s="10" t="s">
        <v>421</v>
      </c>
      <c r="G2179" s="8">
        <v>5</v>
      </c>
      <c r="H2179" s="11">
        <v>50</v>
      </c>
      <c r="I2179" s="12">
        <v>42624</v>
      </c>
      <c r="J2179" s="13">
        <f t="shared" si="75"/>
        <v>0</v>
      </c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5">
        <f t="shared" si="76"/>
        <v>0</v>
      </c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5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5"/>
      <c r="AX2179" s="16"/>
    </row>
    <row r="2180" spans="2:50" x14ac:dyDescent="0.2">
      <c r="B2180" s="7" t="s">
        <v>37</v>
      </c>
      <c r="C2180" s="8">
        <v>12821</v>
      </c>
      <c r="D2180" s="9" t="s">
        <v>708</v>
      </c>
      <c r="E2180" s="10" t="s">
        <v>709</v>
      </c>
      <c r="F2180" s="10" t="s">
        <v>710</v>
      </c>
      <c r="G2180" s="8">
        <v>1</v>
      </c>
      <c r="H2180" s="11">
        <v>800</v>
      </c>
      <c r="I2180" s="12">
        <v>42624</v>
      </c>
      <c r="J2180" s="13">
        <f t="shared" si="75"/>
        <v>0</v>
      </c>
      <c r="K2180" s="14"/>
      <c r="L2180" s="14"/>
      <c r="M2180" s="14"/>
      <c r="N2180" s="14"/>
      <c r="O2180" s="14"/>
      <c r="P2180" s="14"/>
      <c r="Q2180" s="14"/>
      <c r="R2180" s="14">
        <v>400</v>
      </c>
      <c r="S2180" s="14">
        <v>400</v>
      </c>
      <c r="T2180" s="14"/>
      <c r="U2180" s="14"/>
      <c r="V2180" s="14"/>
      <c r="W2180" s="15">
        <f t="shared" si="76"/>
        <v>800</v>
      </c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5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5"/>
      <c r="AX2180" s="16"/>
    </row>
    <row r="2181" spans="2:50" x14ac:dyDescent="0.2">
      <c r="B2181" s="7" t="s">
        <v>37</v>
      </c>
      <c r="C2181" s="8">
        <v>12822</v>
      </c>
      <c r="D2181" s="9" t="s">
        <v>749</v>
      </c>
      <c r="E2181" s="10" t="s">
        <v>750</v>
      </c>
      <c r="F2181" s="10" t="s">
        <v>751</v>
      </c>
      <c r="G2181" s="8">
        <v>1</v>
      </c>
      <c r="H2181" s="11">
        <v>1200</v>
      </c>
      <c r="I2181" s="12">
        <v>42624</v>
      </c>
      <c r="J2181" s="13">
        <f t="shared" si="75"/>
        <v>0</v>
      </c>
      <c r="K2181" s="14"/>
      <c r="L2181" s="14"/>
      <c r="M2181" s="14"/>
      <c r="N2181" s="14"/>
      <c r="O2181" s="14"/>
      <c r="P2181" s="14"/>
      <c r="Q2181" s="14">
        <v>400</v>
      </c>
      <c r="R2181" s="14">
        <v>400</v>
      </c>
      <c r="S2181" s="14">
        <v>400</v>
      </c>
      <c r="T2181" s="14"/>
      <c r="U2181" s="14"/>
      <c r="V2181" s="14"/>
      <c r="W2181" s="15">
        <f t="shared" si="76"/>
        <v>1200</v>
      </c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5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14"/>
      <c r="AW2181" s="15"/>
      <c r="AX2181" s="16"/>
    </row>
    <row r="2182" spans="2:50" x14ac:dyDescent="0.2">
      <c r="B2182" s="7" t="s">
        <v>37</v>
      </c>
      <c r="C2182" s="8">
        <v>12822</v>
      </c>
      <c r="D2182" s="9" t="s">
        <v>749</v>
      </c>
      <c r="E2182" s="10" t="s">
        <v>750</v>
      </c>
      <c r="F2182" s="10" t="s">
        <v>751</v>
      </c>
      <c r="G2182" s="8">
        <v>5</v>
      </c>
      <c r="H2182" s="11">
        <v>50</v>
      </c>
      <c r="I2182" s="12">
        <v>42624</v>
      </c>
      <c r="J2182" s="13">
        <f t="shared" si="75"/>
        <v>0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5">
        <f t="shared" si="76"/>
        <v>0</v>
      </c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5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5"/>
      <c r="AX2182" s="16"/>
    </row>
    <row r="2183" spans="2:50" x14ac:dyDescent="0.2">
      <c r="B2183" s="7" t="s">
        <v>37</v>
      </c>
      <c r="C2183" s="8">
        <v>12823</v>
      </c>
      <c r="D2183" s="9" t="s">
        <v>298</v>
      </c>
      <c r="E2183" s="10" t="s">
        <v>299</v>
      </c>
      <c r="F2183" s="10" t="s">
        <v>300</v>
      </c>
      <c r="G2183" s="8">
        <v>1</v>
      </c>
      <c r="H2183" s="11">
        <v>300</v>
      </c>
      <c r="I2183" s="12">
        <v>42624</v>
      </c>
      <c r="J2183" s="13">
        <f t="shared" si="75"/>
        <v>0</v>
      </c>
      <c r="K2183" s="14"/>
      <c r="L2183" s="14"/>
      <c r="M2183" s="14"/>
      <c r="N2183" s="14"/>
      <c r="O2183" s="14"/>
      <c r="P2183" s="14"/>
      <c r="Q2183" s="14"/>
      <c r="R2183" s="14">
        <v>150</v>
      </c>
      <c r="S2183" s="14">
        <v>150</v>
      </c>
      <c r="T2183" s="14"/>
      <c r="U2183" s="14"/>
      <c r="V2183" s="14"/>
      <c r="W2183" s="15">
        <f t="shared" si="76"/>
        <v>300</v>
      </c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5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5"/>
      <c r="AX2183" s="16"/>
    </row>
    <row r="2184" spans="2:50" x14ac:dyDescent="0.2">
      <c r="B2184" s="7" t="s">
        <v>69</v>
      </c>
      <c r="C2184" s="8">
        <v>12824</v>
      </c>
      <c r="D2184" s="9" t="s">
        <v>696</v>
      </c>
      <c r="E2184" s="10" t="s">
        <v>697</v>
      </c>
      <c r="F2184" s="10" t="s">
        <v>698</v>
      </c>
      <c r="G2184" s="8">
        <v>1</v>
      </c>
      <c r="H2184" s="11">
        <v>300</v>
      </c>
      <c r="I2184" s="12">
        <v>42624</v>
      </c>
      <c r="J2184" s="13">
        <f t="shared" si="75"/>
        <v>0</v>
      </c>
      <c r="K2184" s="14"/>
      <c r="L2184" s="14"/>
      <c r="M2184" s="14"/>
      <c r="N2184" s="14"/>
      <c r="O2184" s="14"/>
      <c r="P2184" s="14"/>
      <c r="Q2184" s="14"/>
      <c r="R2184" s="14"/>
      <c r="S2184" s="14">
        <v>300</v>
      </c>
      <c r="T2184" s="14"/>
      <c r="U2184" s="14"/>
      <c r="V2184" s="14"/>
      <c r="W2184" s="15">
        <f t="shared" si="76"/>
        <v>300</v>
      </c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5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5"/>
      <c r="AX2184" s="16"/>
    </row>
    <row r="2185" spans="2:50" x14ac:dyDescent="0.2">
      <c r="B2185" s="7" t="s">
        <v>47</v>
      </c>
      <c r="C2185" s="8">
        <v>12825</v>
      </c>
      <c r="D2185" s="9" t="s">
        <v>1137</v>
      </c>
      <c r="E2185" s="10" t="s">
        <v>1138</v>
      </c>
      <c r="F2185" s="10" t="s">
        <v>651</v>
      </c>
      <c r="G2185" s="8">
        <v>5</v>
      </c>
      <c r="H2185" s="11">
        <v>50</v>
      </c>
      <c r="I2185" s="12">
        <v>42624</v>
      </c>
      <c r="J2185" s="13">
        <f t="shared" si="75"/>
        <v>0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5">
        <f t="shared" si="76"/>
        <v>0</v>
      </c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5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5"/>
      <c r="AX2185" s="16"/>
    </row>
    <row r="2186" spans="2:50" x14ac:dyDescent="0.2">
      <c r="B2186" s="7" t="s">
        <v>47</v>
      </c>
      <c r="C2186" s="8">
        <v>12826</v>
      </c>
      <c r="D2186" s="9" t="s">
        <v>1137</v>
      </c>
      <c r="E2186" s="10" t="s">
        <v>1138</v>
      </c>
      <c r="F2186" s="10" t="s">
        <v>651</v>
      </c>
      <c r="G2186" s="8">
        <v>1</v>
      </c>
      <c r="H2186" s="11">
        <v>100</v>
      </c>
      <c r="I2186" s="12">
        <v>42624</v>
      </c>
      <c r="J2186" s="13">
        <f t="shared" si="75"/>
        <v>0</v>
      </c>
      <c r="K2186" s="14"/>
      <c r="L2186" s="14"/>
      <c r="M2186" s="14"/>
      <c r="N2186" s="14"/>
      <c r="O2186" s="14"/>
      <c r="P2186" s="14"/>
      <c r="Q2186" s="14"/>
      <c r="R2186" s="14"/>
      <c r="S2186" s="14">
        <v>100</v>
      </c>
      <c r="T2186" s="14"/>
      <c r="U2186" s="14"/>
      <c r="V2186" s="14"/>
      <c r="W2186" s="15">
        <f t="shared" si="76"/>
        <v>100</v>
      </c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5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5"/>
      <c r="AX2186" s="16"/>
    </row>
    <row r="2187" spans="2:50" x14ac:dyDescent="0.2">
      <c r="B2187" s="7" t="s">
        <v>73</v>
      </c>
      <c r="C2187" s="8">
        <v>12827</v>
      </c>
      <c r="D2187" s="9" t="s">
        <v>283</v>
      </c>
      <c r="E2187" s="10" t="s">
        <v>284</v>
      </c>
      <c r="F2187" s="10" t="s">
        <v>285</v>
      </c>
      <c r="G2187" s="8">
        <v>5</v>
      </c>
      <c r="H2187" s="11">
        <v>150</v>
      </c>
      <c r="I2187" s="12">
        <v>42624</v>
      </c>
      <c r="J2187" s="13">
        <f t="shared" si="75"/>
        <v>0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5">
        <f t="shared" si="76"/>
        <v>0</v>
      </c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5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5"/>
      <c r="AX2187" s="16"/>
    </row>
    <row r="2188" spans="2:50" x14ac:dyDescent="0.2">
      <c r="B2188" s="7" t="s">
        <v>47</v>
      </c>
      <c r="C2188" s="8">
        <v>12828</v>
      </c>
      <c r="D2188" s="9" t="s">
        <v>769</v>
      </c>
      <c r="E2188" s="10" t="s">
        <v>770</v>
      </c>
      <c r="F2188" s="10" t="s">
        <v>771</v>
      </c>
      <c r="G2188" s="8">
        <v>1</v>
      </c>
      <c r="H2188" s="11">
        <v>400</v>
      </c>
      <c r="I2188" s="12">
        <v>42624</v>
      </c>
      <c r="J2188" s="13">
        <f t="shared" si="75"/>
        <v>0</v>
      </c>
      <c r="K2188" s="14"/>
      <c r="L2188" s="14"/>
      <c r="M2188" s="14"/>
      <c r="N2188" s="14"/>
      <c r="O2188" s="14"/>
      <c r="P2188" s="14"/>
      <c r="Q2188" s="14"/>
      <c r="R2188" s="14"/>
      <c r="S2188" s="14">
        <v>400</v>
      </c>
      <c r="T2188" s="14"/>
      <c r="U2188" s="14"/>
      <c r="V2188" s="14"/>
      <c r="W2188" s="15">
        <f t="shared" si="76"/>
        <v>400</v>
      </c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5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5"/>
      <c r="AX2188" s="16"/>
    </row>
    <row r="2189" spans="2:50" x14ac:dyDescent="0.2">
      <c r="B2189" s="7" t="s">
        <v>73</v>
      </c>
      <c r="C2189" s="8">
        <v>12829</v>
      </c>
      <c r="D2189" s="9" t="s">
        <v>407</v>
      </c>
      <c r="E2189" s="10" t="s">
        <v>408</v>
      </c>
      <c r="F2189" s="10" t="s">
        <v>409</v>
      </c>
      <c r="G2189" s="8">
        <v>7</v>
      </c>
      <c r="H2189" s="11">
        <v>500</v>
      </c>
      <c r="I2189" s="12">
        <v>42624</v>
      </c>
      <c r="J2189" s="13">
        <f t="shared" si="75"/>
        <v>0</v>
      </c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5">
        <f t="shared" si="76"/>
        <v>0</v>
      </c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5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5"/>
      <c r="AX2189" s="16" t="s">
        <v>1190</v>
      </c>
    </row>
    <row r="2190" spans="2:50" x14ac:dyDescent="0.2">
      <c r="B2190" s="7" t="s">
        <v>69</v>
      </c>
      <c r="C2190" s="8">
        <v>12830</v>
      </c>
      <c r="D2190" s="9" t="s">
        <v>574</v>
      </c>
      <c r="E2190" s="10" t="s">
        <v>575</v>
      </c>
      <c r="F2190" s="10" t="s">
        <v>576</v>
      </c>
      <c r="G2190" s="8">
        <v>1</v>
      </c>
      <c r="H2190" s="11">
        <v>400</v>
      </c>
      <c r="I2190" s="12">
        <v>42624</v>
      </c>
      <c r="J2190" s="13">
        <f t="shared" si="75"/>
        <v>0</v>
      </c>
      <c r="K2190" s="14"/>
      <c r="L2190" s="14"/>
      <c r="M2190" s="14"/>
      <c r="N2190" s="14"/>
      <c r="O2190" s="14"/>
      <c r="P2190" s="14"/>
      <c r="Q2190" s="14"/>
      <c r="R2190" s="14">
        <v>400</v>
      </c>
      <c r="S2190" s="14"/>
      <c r="T2190" s="14"/>
      <c r="U2190" s="14"/>
      <c r="V2190" s="14"/>
      <c r="W2190" s="15">
        <f t="shared" si="76"/>
        <v>400</v>
      </c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5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5"/>
      <c r="AX2190" s="16"/>
    </row>
    <row r="2191" spans="2:50" x14ac:dyDescent="0.2">
      <c r="B2191" s="7" t="s">
        <v>69</v>
      </c>
      <c r="C2191" s="8">
        <v>12830</v>
      </c>
      <c r="D2191" s="9" t="s">
        <v>574</v>
      </c>
      <c r="E2191" s="10" t="s">
        <v>575</v>
      </c>
      <c r="F2191" s="10" t="s">
        <v>576</v>
      </c>
      <c r="G2191" s="8">
        <v>5</v>
      </c>
      <c r="H2191" s="11">
        <v>150</v>
      </c>
      <c r="I2191" s="12">
        <v>42624</v>
      </c>
      <c r="J2191" s="13">
        <f t="shared" si="75"/>
        <v>0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5">
        <f t="shared" si="76"/>
        <v>0</v>
      </c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5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5"/>
      <c r="AX2191" s="16"/>
    </row>
    <row r="2192" spans="2:50" x14ac:dyDescent="0.2">
      <c r="B2192" s="7" t="s">
        <v>37</v>
      </c>
      <c r="C2192" s="8">
        <v>12831</v>
      </c>
      <c r="D2192" s="9" t="s">
        <v>268</v>
      </c>
      <c r="E2192" s="10" t="s">
        <v>269</v>
      </c>
      <c r="F2192" s="10" t="s">
        <v>270</v>
      </c>
      <c r="G2192" s="8">
        <v>1</v>
      </c>
      <c r="H2192" s="11">
        <v>300</v>
      </c>
      <c r="I2192" s="12">
        <v>42624</v>
      </c>
      <c r="J2192" s="13">
        <f t="shared" si="75"/>
        <v>0</v>
      </c>
      <c r="K2192" s="14"/>
      <c r="L2192" s="14"/>
      <c r="M2192" s="14"/>
      <c r="N2192" s="14"/>
      <c r="O2192" s="14"/>
      <c r="P2192" s="14"/>
      <c r="Q2192" s="14"/>
      <c r="R2192" s="14"/>
      <c r="S2192" s="14">
        <v>300</v>
      </c>
      <c r="T2192" s="14"/>
      <c r="U2192" s="14"/>
      <c r="V2192" s="14"/>
      <c r="W2192" s="15">
        <f t="shared" si="76"/>
        <v>300</v>
      </c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5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5"/>
      <c r="AX2192" s="16"/>
    </row>
    <row r="2193" spans="2:50" x14ac:dyDescent="0.2">
      <c r="B2193" s="7" t="s">
        <v>37</v>
      </c>
      <c r="C2193" s="8">
        <v>12831</v>
      </c>
      <c r="D2193" s="9" t="s">
        <v>268</v>
      </c>
      <c r="E2193" s="10" t="s">
        <v>269</v>
      </c>
      <c r="F2193" s="10" t="s">
        <v>270</v>
      </c>
      <c r="G2193" s="8">
        <v>4</v>
      </c>
      <c r="H2193" s="11">
        <v>200</v>
      </c>
      <c r="I2193" s="12">
        <v>42624</v>
      </c>
      <c r="J2193" s="13">
        <f t="shared" si="75"/>
        <v>0</v>
      </c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5">
        <f t="shared" si="76"/>
        <v>0</v>
      </c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5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5"/>
      <c r="AX2193" s="16" t="s">
        <v>1191</v>
      </c>
    </row>
    <row r="2194" spans="2:50" x14ac:dyDescent="0.2">
      <c r="B2194" s="7" t="s">
        <v>93</v>
      </c>
      <c r="C2194" s="8">
        <v>12832</v>
      </c>
      <c r="D2194" s="9"/>
      <c r="E2194" s="10" t="s">
        <v>93</v>
      </c>
      <c r="F2194" s="10" t="s">
        <v>93</v>
      </c>
      <c r="G2194" s="8">
        <v>8</v>
      </c>
      <c r="H2194" s="11"/>
      <c r="I2194" s="12"/>
      <c r="J2194" s="13">
        <f t="shared" si="75"/>
        <v>0</v>
      </c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5">
        <f t="shared" si="76"/>
        <v>0</v>
      </c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5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5"/>
      <c r="AX2194" s="16"/>
    </row>
    <row r="2195" spans="2:50" x14ac:dyDescent="0.2">
      <c r="B2195" s="7" t="s">
        <v>69</v>
      </c>
      <c r="C2195" s="8">
        <v>12833</v>
      </c>
      <c r="D2195" s="9" t="s">
        <v>325</v>
      </c>
      <c r="E2195" s="10" t="s">
        <v>326</v>
      </c>
      <c r="F2195" s="10" t="s">
        <v>327</v>
      </c>
      <c r="G2195" s="8">
        <v>1</v>
      </c>
      <c r="H2195" s="11">
        <v>400</v>
      </c>
      <c r="I2195" s="12">
        <v>42624</v>
      </c>
      <c r="J2195" s="13">
        <f t="shared" si="75"/>
        <v>0</v>
      </c>
      <c r="K2195" s="14"/>
      <c r="L2195" s="14"/>
      <c r="M2195" s="14"/>
      <c r="N2195" s="14"/>
      <c r="O2195" s="14"/>
      <c r="P2195" s="14"/>
      <c r="Q2195" s="14"/>
      <c r="R2195" s="14"/>
      <c r="S2195" s="14">
        <v>400</v>
      </c>
      <c r="T2195" s="14"/>
      <c r="U2195" s="14"/>
      <c r="V2195" s="14"/>
      <c r="W2195" s="15">
        <f t="shared" si="76"/>
        <v>400</v>
      </c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5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5"/>
      <c r="AX2195" s="16"/>
    </row>
    <row r="2196" spans="2:50" x14ac:dyDescent="0.2">
      <c r="B2196" s="7" t="s">
        <v>37</v>
      </c>
      <c r="C2196" s="8">
        <v>12834</v>
      </c>
      <c r="D2196" s="9" t="s">
        <v>395</v>
      </c>
      <c r="E2196" s="10" t="s">
        <v>396</v>
      </c>
      <c r="F2196" s="10" t="s">
        <v>397</v>
      </c>
      <c r="G2196" s="8">
        <v>1</v>
      </c>
      <c r="H2196" s="11">
        <v>200</v>
      </c>
      <c r="I2196" s="12">
        <v>42624</v>
      </c>
      <c r="J2196" s="13">
        <f t="shared" si="75"/>
        <v>0</v>
      </c>
      <c r="K2196" s="14"/>
      <c r="L2196" s="14"/>
      <c r="M2196" s="14"/>
      <c r="N2196" s="14"/>
      <c r="O2196" s="14"/>
      <c r="P2196" s="14"/>
      <c r="Q2196" s="14"/>
      <c r="R2196" s="14"/>
      <c r="S2196" s="14">
        <v>200</v>
      </c>
      <c r="T2196" s="14"/>
      <c r="U2196" s="14"/>
      <c r="V2196" s="14"/>
      <c r="W2196" s="15">
        <f t="shared" si="76"/>
        <v>200</v>
      </c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5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5"/>
      <c r="AX2196" s="16"/>
    </row>
    <row r="2197" spans="2:50" x14ac:dyDescent="0.2">
      <c r="B2197" s="7" t="s">
        <v>37</v>
      </c>
      <c r="C2197" s="8">
        <v>12835</v>
      </c>
      <c r="D2197" s="9" t="s">
        <v>1164</v>
      </c>
      <c r="E2197" s="10" t="s">
        <v>1165</v>
      </c>
      <c r="F2197" s="10" t="s">
        <v>1166</v>
      </c>
      <c r="G2197" s="8">
        <v>1</v>
      </c>
      <c r="H2197" s="11">
        <v>400</v>
      </c>
      <c r="I2197" s="12">
        <v>42624</v>
      </c>
      <c r="J2197" s="13">
        <f t="shared" si="75"/>
        <v>0</v>
      </c>
      <c r="K2197" s="14"/>
      <c r="L2197" s="14"/>
      <c r="M2197" s="14"/>
      <c r="N2197" s="14"/>
      <c r="O2197" s="14"/>
      <c r="P2197" s="14"/>
      <c r="Q2197" s="14"/>
      <c r="R2197" s="14"/>
      <c r="S2197" s="14">
        <v>400</v>
      </c>
      <c r="T2197" s="14"/>
      <c r="U2197" s="14"/>
      <c r="V2197" s="14"/>
      <c r="W2197" s="15">
        <f t="shared" si="76"/>
        <v>400</v>
      </c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5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5"/>
      <c r="AX2197" s="16"/>
    </row>
    <row r="2198" spans="2:50" x14ac:dyDescent="0.2">
      <c r="B2198" s="7" t="s">
        <v>47</v>
      </c>
      <c r="C2198" s="8">
        <v>12836</v>
      </c>
      <c r="D2198" s="9" t="s">
        <v>957</v>
      </c>
      <c r="E2198" s="10" t="s">
        <v>958</v>
      </c>
      <c r="F2198" s="10" t="s">
        <v>959</v>
      </c>
      <c r="G2198" s="8">
        <v>1</v>
      </c>
      <c r="H2198" s="11">
        <v>800</v>
      </c>
      <c r="I2198" s="12">
        <v>42624</v>
      </c>
      <c r="J2198" s="13">
        <f t="shared" si="75"/>
        <v>0</v>
      </c>
      <c r="K2198" s="14"/>
      <c r="L2198" s="14"/>
      <c r="M2198" s="14"/>
      <c r="N2198" s="14"/>
      <c r="O2198" s="14"/>
      <c r="P2198" s="14"/>
      <c r="Q2198" s="14">
        <v>400</v>
      </c>
      <c r="R2198" s="14">
        <v>400</v>
      </c>
      <c r="S2198" s="14"/>
      <c r="T2198" s="14"/>
      <c r="U2198" s="14"/>
      <c r="V2198" s="14"/>
      <c r="W2198" s="15">
        <f t="shared" si="76"/>
        <v>800</v>
      </c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5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5"/>
      <c r="AX2198" s="16"/>
    </row>
    <row r="2199" spans="2:50" x14ac:dyDescent="0.2">
      <c r="B2199" s="7" t="s">
        <v>37</v>
      </c>
      <c r="C2199" s="8">
        <v>12837</v>
      </c>
      <c r="D2199" s="9" t="s">
        <v>774</v>
      </c>
      <c r="E2199" s="10" t="s">
        <v>775</v>
      </c>
      <c r="F2199" s="10" t="s">
        <v>776</v>
      </c>
      <c r="G2199" s="8">
        <v>3</v>
      </c>
      <c r="H2199" s="11">
        <v>200</v>
      </c>
      <c r="I2199" s="12">
        <v>42624</v>
      </c>
      <c r="J2199" s="13">
        <f t="shared" si="75"/>
        <v>0</v>
      </c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5">
        <f t="shared" si="76"/>
        <v>0</v>
      </c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5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5"/>
      <c r="AX2199" s="16"/>
    </row>
    <row r="2200" spans="2:50" x14ac:dyDescent="0.2">
      <c r="B2200" s="7" t="s">
        <v>61</v>
      </c>
      <c r="C2200" s="8">
        <v>12838</v>
      </c>
      <c r="D2200" s="9" t="s">
        <v>340</v>
      </c>
      <c r="E2200" s="10" t="s">
        <v>341</v>
      </c>
      <c r="F2200" s="10" t="s">
        <v>342</v>
      </c>
      <c r="G2200" s="8">
        <v>1</v>
      </c>
      <c r="H2200" s="11">
        <v>800</v>
      </c>
      <c r="I2200" s="12">
        <v>42624</v>
      </c>
      <c r="J2200" s="13">
        <f t="shared" si="75"/>
        <v>0</v>
      </c>
      <c r="K2200" s="14"/>
      <c r="L2200" s="14">
        <v>400</v>
      </c>
      <c r="M2200" s="14">
        <v>400</v>
      </c>
      <c r="N2200" s="14"/>
      <c r="O2200" s="14"/>
      <c r="P2200" s="14"/>
      <c r="Q2200" s="14"/>
      <c r="R2200" s="14"/>
      <c r="S2200" s="14"/>
      <c r="T2200" s="14"/>
      <c r="U2200" s="14"/>
      <c r="V2200" s="14"/>
      <c r="W2200" s="15">
        <f t="shared" si="76"/>
        <v>800</v>
      </c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5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14"/>
      <c r="AW2200" s="15"/>
      <c r="AX2200" s="16"/>
    </row>
    <row r="2201" spans="2:50" x14ac:dyDescent="0.2">
      <c r="B2201" s="7" t="s">
        <v>37</v>
      </c>
      <c r="C2201" s="8">
        <v>12839</v>
      </c>
      <c r="D2201" s="9" t="s">
        <v>51</v>
      </c>
      <c r="E2201" s="10" t="s">
        <v>52</v>
      </c>
      <c r="F2201" s="10" t="s">
        <v>53</v>
      </c>
      <c r="G2201" s="8">
        <v>5</v>
      </c>
      <c r="H2201" s="11">
        <v>50</v>
      </c>
      <c r="I2201" s="12">
        <v>42624</v>
      </c>
      <c r="J2201" s="13">
        <f t="shared" si="75"/>
        <v>0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5">
        <f t="shared" si="76"/>
        <v>0</v>
      </c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5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5"/>
      <c r="AX2201" s="16"/>
    </row>
    <row r="2202" spans="2:50" x14ac:dyDescent="0.2">
      <c r="B2202" s="7" t="s">
        <v>47</v>
      </c>
      <c r="C2202" s="8">
        <v>12840</v>
      </c>
      <c r="D2202" s="9" t="s">
        <v>97</v>
      </c>
      <c r="E2202" s="10" t="s">
        <v>98</v>
      </c>
      <c r="F2202" s="10" t="s">
        <v>99</v>
      </c>
      <c r="G2202" s="8">
        <v>1</v>
      </c>
      <c r="H2202" s="11">
        <v>400</v>
      </c>
      <c r="I2202" s="12">
        <v>42624</v>
      </c>
      <c r="J2202" s="13">
        <f t="shared" si="75"/>
        <v>0</v>
      </c>
      <c r="K2202" s="14"/>
      <c r="L2202" s="14"/>
      <c r="M2202" s="14"/>
      <c r="N2202" s="14"/>
      <c r="O2202" s="14"/>
      <c r="P2202" s="14"/>
      <c r="Q2202" s="14"/>
      <c r="R2202" s="14"/>
      <c r="S2202" s="14">
        <v>400</v>
      </c>
      <c r="T2202" s="14"/>
      <c r="U2202" s="14"/>
      <c r="V2202" s="14"/>
      <c r="W2202" s="15">
        <f t="shared" si="76"/>
        <v>400</v>
      </c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5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5"/>
      <c r="AX2202" s="16"/>
    </row>
    <row r="2203" spans="2:50" x14ac:dyDescent="0.2">
      <c r="B2203" s="7" t="s">
        <v>37</v>
      </c>
      <c r="C2203" s="8">
        <v>12841</v>
      </c>
      <c r="D2203" s="9" t="s">
        <v>1192</v>
      </c>
      <c r="E2203" s="10" t="s">
        <v>1193</v>
      </c>
      <c r="F2203" s="10" t="s">
        <v>1194</v>
      </c>
      <c r="G2203" s="8">
        <v>5</v>
      </c>
      <c r="H2203" s="11">
        <v>50</v>
      </c>
      <c r="I2203" s="12">
        <v>42624</v>
      </c>
      <c r="J2203" s="13">
        <f t="shared" si="75"/>
        <v>0</v>
      </c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5">
        <f t="shared" si="76"/>
        <v>0</v>
      </c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5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5"/>
      <c r="AX2203" s="16"/>
    </row>
    <row r="2204" spans="2:50" x14ac:dyDescent="0.2">
      <c r="B2204" s="7" t="s">
        <v>47</v>
      </c>
      <c r="C2204" s="8">
        <v>12842</v>
      </c>
      <c r="D2204" s="9" t="s">
        <v>583</v>
      </c>
      <c r="E2204" s="10" t="s">
        <v>584</v>
      </c>
      <c r="F2204" s="10" t="s">
        <v>585</v>
      </c>
      <c r="G2204" s="8">
        <v>1</v>
      </c>
      <c r="H2204" s="11">
        <v>200</v>
      </c>
      <c r="I2204" s="12">
        <v>42624</v>
      </c>
      <c r="J2204" s="13">
        <f t="shared" si="75"/>
        <v>0</v>
      </c>
      <c r="K2204" s="14"/>
      <c r="L2204" s="14"/>
      <c r="M2204" s="14"/>
      <c r="N2204" s="14"/>
      <c r="O2204" s="14"/>
      <c r="P2204" s="14"/>
      <c r="Q2204" s="14"/>
      <c r="R2204" s="14"/>
      <c r="S2204" s="14">
        <v>200</v>
      </c>
      <c r="T2204" s="14"/>
      <c r="U2204" s="14"/>
      <c r="V2204" s="14"/>
      <c r="W2204" s="15">
        <f t="shared" si="76"/>
        <v>200</v>
      </c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5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5"/>
      <c r="AX2204" s="16"/>
    </row>
    <row r="2205" spans="2:50" x14ac:dyDescent="0.2">
      <c r="B2205" s="7" t="s">
        <v>73</v>
      </c>
      <c r="C2205" s="8">
        <v>12843</v>
      </c>
      <c r="D2205" s="9" t="s">
        <v>259</v>
      </c>
      <c r="E2205" s="10" t="s">
        <v>260</v>
      </c>
      <c r="F2205" s="10" t="s">
        <v>261</v>
      </c>
      <c r="G2205" s="8">
        <v>1</v>
      </c>
      <c r="H2205" s="11">
        <v>400</v>
      </c>
      <c r="I2205" s="12">
        <v>42624</v>
      </c>
      <c r="J2205" s="13">
        <f t="shared" si="75"/>
        <v>0</v>
      </c>
      <c r="K2205" s="14"/>
      <c r="L2205" s="14"/>
      <c r="M2205" s="14"/>
      <c r="N2205" s="14"/>
      <c r="O2205" s="14"/>
      <c r="P2205" s="14"/>
      <c r="Q2205" s="14"/>
      <c r="R2205" s="14"/>
      <c r="S2205" s="14">
        <v>400</v>
      </c>
      <c r="T2205" s="14"/>
      <c r="U2205" s="14"/>
      <c r="V2205" s="14"/>
      <c r="W2205" s="15">
        <f t="shared" si="76"/>
        <v>400</v>
      </c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5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5"/>
      <c r="AX2205" s="16"/>
    </row>
    <row r="2206" spans="2:50" x14ac:dyDescent="0.2">
      <c r="B2206" s="7" t="s">
        <v>122</v>
      </c>
      <c r="C2206" s="8">
        <v>12844</v>
      </c>
      <c r="D2206" s="9" t="s">
        <v>262</v>
      </c>
      <c r="E2206" s="10" t="s">
        <v>263</v>
      </c>
      <c r="F2206" s="10" t="s">
        <v>264</v>
      </c>
      <c r="G2206" s="8">
        <v>1</v>
      </c>
      <c r="H2206" s="11">
        <v>300</v>
      </c>
      <c r="I2206" s="12">
        <v>42624</v>
      </c>
      <c r="J2206" s="13">
        <f t="shared" si="75"/>
        <v>0</v>
      </c>
      <c r="K2206" s="14"/>
      <c r="L2206" s="14"/>
      <c r="M2206" s="14"/>
      <c r="N2206" s="14"/>
      <c r="O2206" s="14"/>
      <c r="P2206" s="14"/>
      <c r="Q2206" s="14"/>
      <c r="R2206" s="14"/>
      <c r="S2206" s="14">
        <v>300</v>
      </c>
      <c r="T2206" s="14"/>
      <c r="U2206" s="14"/>
      <c r="V2206" s="14"/>
      <c r="W2206" s="15">
        <f t="shared" si="76"/>
        <v>300</v>
      </c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5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5"/>
      <c r="AX2206" s="16"/>
    </row>
    <row r="2207" spans="2:50" x14ac:dyDescent="0.2">
      <c r="B2207" s="7" t="s">
        <v>69</v>
      </c>
      <c r="C2207" s="8">
        <v>12845</v>
      </c>
      <c r="D2207" s="9" t="s">
        <v>437</v>
      </c>
      <c r="E2207" s="10" t="s">
        <v>438</v>
      </c>
      <c r="F2207" s="10" t="s">
        <v>439</v>
      </c>
      <c r="G2207" s="8">
        <v>1</v>
      </c>
      <c r="H2207" s="11">
        <v>400</v>
      </c>
      <c r="I2207" s="12">
        <v>42624</v>
      </c>
      <c r="J2207" s="13">
        <f t="shared" si="75"/>
        <v>0</v>
      </c>
      <c r="K2207" s="14"/>
      <c r="L2207" s="14"/>
      <c r="M2207" s="14"/>
      <c r="N2207" s="14"/>
      <c r="O2207" s="14"/>
      <c r="P2207" s="14"/>
      <c r="Q2207" s="14"/>
      <c r="R2207" s="14"/>
      <c r="S2207" s="14">
        <v>400</v>
      </c>
      <c r="T2207" s="14"/>
      <c r="U2207" s="14"/>
      <c r="V2207" s="14"/>
      <c r="W2207" s="15">
        <f t="shared" si="76"/>
        <v>400</v>
      </c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5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5"/>
      <c r="AX2207" s="16"/>
    </row>
    <row r="2208" spans="2:50" x14ac:dyDescent="0.2">
      <c r="B2208" s="7" t="s">
        <v>47</v>
      </c>
      <c r="C2208" s="8">
        <v>12846</v>
      </c>
      <c r="D2208" s="9" t="s">
        <v>823</v>
      </c>
      <c r="E2208" s="10" t="s">
        <v>824</v>
      </c>
      <c r="F2208" s="10" t="s">
        <v>765</v>
      </c>
      <c r="G2208" s="8">
        <v>1</v>
      </c>
      <c r="H2208" s="11">
        <v>200</v>
      </c>
      <c r="I2208" s="12">
        <v>42624</v>
      </c>
      <c r="J2208" s="13">
        <f t="shared" si="75"/>
        <v>0</v>
      </c>
      <c r="K2208" s="14"/>
      <c r="L2208" s="14"/>
      <c r="M2208" s="14"/>
      <c r="N2208" s="14"/>
      <c r="O2208" s="14"/>
      <c r="P2208" s="14"/>
      <c r="Q2208" s="14"/>
      <c r="R2208" s="14"/>
      <c r="S2208" s="14">
        <v>200</v>
      </c>
      <c r="T2208" s="14"/>
      <c r="U2208" s="14"/>
      <c r="V2208" s="14"/>
      <c r="W2208" s="15">
        <f t="shared" si="76"/>
        <v>200</v>
      </c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5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5"/>
      <c r="AX2208" s="16"/>
    </row>
    <row r="2209" spans="2:50" x14ac:dyDescent="0.2">
      <c r="B2209" s="7" t="s">
        <v>122</v>
      </c>
      <c r="C2209" s="8">
        <v>12847</v>
      </c>
      <c r="D2209" s="9" t="s">
        <v>1195</v>
      </c>
      <c r="E2209" s="10" t="s">
        <v>1196</v>
      </c>
      <c r="F2209" s="10" t="s">
        <v>1197</v>
      </c>
      <c r="G2209" s="8">
        <v>1</v>
      </c>
      <c r="H2209" s="11">
        <v>400</v>
      </c>
      <c r="I2209" s="12">
        <v>42624</v>
      </c>
      <c r="J2209" s="13">
        <f t="shared" si="75"/>
        <v>0</v>
      </c>
      <c r="K2209" s="14"/>
      <c r="L2209" s="14"/>
      <c r="M2209" s="14"/>
      <c r="N2209" s="14"/>
      <c r="O2209" s="14"/>
      <c r="P2209" s="14"/>
      <c r="Q2209" s="14"/>
      <c r="R2209" s="14"/>
      <c r="S2209" s="14">
        <v>400</v>
      </c>
      <c r="T2209" s="14"/>
      <c r="U2209" s="14"/>
      <c r="V2209" s="14"/>
      <c r="W2209" s="15">
        <f t="shared" si="76"/>
        <v>400</v>
      </c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5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5"/>
      <c r="AX2209" s="16"/>
    </row>
    <row r="2210" spans="2:50" x14ac:dyDescent="0.2">
      <c r="B2210" s="7" t="s">
        <v>122</v>
      </c>
      <c r="C2210" s="8">
        <v>12847</v>
      </c>
      <c r="D2210" s="9" t="s">
        <v>1195</v>
      </c>
      <c r="E2210" s="10" t="s">
        <v>1196</v>
      </c>
      <c r="F2210" s="10" t="s">
        <v>1197</v>
      </c>
      <c r="G2210" s="8">
        <v>5</v>
      </c>
      <c r="H2210" s="11">
        <v>50</v>
      </c>
      <c r="I2210" s="12">
        <v>42624</v>
      </c>
      <c r="J2210" s="13">
        <f t="shared" si="75"/>
        <v>0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5">
        <f t="shared" si="76"/>
        <v>0</v>
      </c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5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5"/>
      <c r="AX2210" s="16"/>
    </row>
    <row r="2211" spans="2:50" x14ac:dyDescent="0.2">
      <c r="B2211" s="7" t="s">
        <v>47</v>
      </c>
      <c r="C2211" s="8">
        <v>12848</v>
      </c>
      <c r="D2211" s="9" t="s">
        <v>132</v>
      </c>
      <c r="E2211" s="10" t="s">
        <v>133</v>
      </c>
      <c r="F2211" s="10" t="s">
        <v>134</v>
      </c>
      <c r="G2211" s="8">
        <v>5</v>
      </c>
      <c r="H2211" s="11">
        <v>50</v>
      </c>
      <c r="I2211" s="12">
        <v>42624</v>
      </c>
      <c r="J2211" s="13">
        <f t="shared" ref="J2211:J2274" si="77">IF(G2211=1,SUM(W2211,-H2211),0)</f>
        <v>0</v>
      </c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5">
        <f t="shared" ref="W2211:W2274" si="78">SUM(K2211:V2211)</f>
        <v>0</v>
      </c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5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5"/>
      <c r="AX2211" s="16"/>
    </row>
    <row r="2212" spans="2:50" x14ac:dyDescent="0.2">
      <c r="B2212" s="7" t="s">
        <v>69</v>
      </c>
      <c r="C2212" s="8">
        <v>12849</v>
      </c>
      <c r="D2212" s="9" t="s">
        <v>174</v>
      </c>
      <c r="E2212" s="10" t="s">
        <v>175</v>
      </c>
      <c r="F2212" s="10" t="s">
        <v>176</v>
      </c>
      <c r="G2212" s="8">
        <v>1</v>
      </c>
      <c r="H2212" s="11">
        <v>300</v>
      </c>
      <c r="I2212" s="12">
        <v>42624</v>
      </c>
      <c r="J2212" s="13">
        <f t="shared" si="77"/>
        <v>0</v>
      </c>
      <c r="K2212" s="14"/>
      <c r="L2212" s="14"/>
      <c r="M2212" s="14"/>
      <c r="N2212" s="14"/>
      <c r="O2212" s="14"/>
      <c r="P2212" s="14"/>
      <c r="Q2212" s="14"/>
      <c r="R2212" s="14"/>
      <c r="S2212" s="14">
        <v>300</v>
      </c>
      <c r="T2212" s="14"/>
      <c r="U2212" s="14"/>
      <c r="V2212" s="14"/>
      <c r="W2212" s="15">
        <f t="shared" si="78"/>
        <v>300</v>
      </c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5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5"/>
      <c r="AX2212" s="16"/>
    </row>
    <row r="2213" spans="2:50" x14ac:dyDescent="0.2">
      <c r="B2213" s="7" t="s">
        <v>37</v>
      </c>
      <c r="C2213" s="8">
        <v>12850</v>
      </c>
      <c r="D2213" s="9" t="s">
        <v>550</v>
      </c>
      <c r="E2213" s="10" t="s">
        <v>551</v>
      </c>
      <c r="F2213" s="10" t="s">
        <v>552</v>
      </c>
      <c r="G2213" s="8">
        <v>5</v>
      </c>
      <c r="H2213" s="11">
        <v>100</v>
      </c>
      <c r="I2213" s="12">
        <v>42624</v>
      </c>
      <c r="J2213" s="13">
        <f t="shared" si="77"/>
        <v>0</v>
      </c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5">
        <f t="shared" si="78"/>
        <v>0</v>
      </c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5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5"/>
      <c r="AX2213" s="16"/>
    </row>
    <row r="2214" spans="2:50" x14ac:dyDescent="0.2">
      <c r="B2214" s="7" t="s">
        <v>69</v>
      </c>
      <c r="C2214" s="8">
        <v>12862</v>
      </c>
      <c r="D2214" s="9" t="s">
        <v>476</v>
      </c>
      <c r="E2214" s="10" t="s">
        <v>477</v>
      </c>
      <c r="F2214" s="10" t="s">
        <v>478</v>
      </c>
      <c r="G2214" s="8">
        <v>1</v>
      </c>
      <c r="H2214" s="11">
        <v>400</v>
      </c>
      <c r="I2214" s="12">
        <v>42624</v>
      </c>
      <c r="J2214" s="13">
        <f t="shared" si="77"/>
        <v>0</v>
      </c>
      <c r="K2214" s="14"/>
      <c r="L2214" s="14"/>
      <c r="M2214" s="14"/>
      <c r="N2214" s="14"/>
      <c r="O2214" s="14"/>
      <c r="P2214" s="14"/>
      <c r="Q2214" s="14"/>
      <c r="R2214" s="14"/>
      <c r="S2214" s="14">
        <v>400</v>
      </c>
      <c r="T2214" s="14"/>
      <c r="U2214" s="14"/>
      <c r="V2214" s="14"/>
      <c r="W2214" s="15">
        <f t="shared" si="78"/>
        <v>400</v>
      </c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5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5"/>
      <c r="AX2214" s="16"/>
    </row>
    <row r="2215" spans="2:50" x14ac:dyDescent="0.2">
      <c r="B2215" s="7" t="s">
        <v>77</v>
      </c>
      <c r="C2215" s="8">
        <v>12863</v>
      </c>
      <c r="D2215" s="9" t="s">
        <v>725</v>
      </c>
      <c r="E2215" s="10" t="s">
        <v>726</v>
      </c>
      <c r="F2215" s="10" t="s">
        <v>727</v>
      </c>
      <c r="G2215" s="8">
        <v>1</v>
      </c>
      <c r="H2215" s="11">
        <v>400</v>
      </c>
      <c r="I2215" s="12">
        <v>42624</v>
      </c>
      <c r="J2215" s="13">
        <f t="shared" si="77"/>
        <v>0</v>
      </c>
      <c r="K2215" s="14"/>
      <c r="L2215" s="14"/>
      <c r="M2215" s="14"/>
      <c r="N2215" s="14"/>
      <c r="O2215" s="14"/>
      <c r="P2215" s="14"/>
      <c r="Q2215" s="14"/>
      <c r="R2215" s="14"/>
      <c r="S2215" s="14">
        <v>400</v>
      </c>
      <c r="T2215" s="14"/>
      <c r="U2215" s="14"/>
      <c r="V2215" s="14"/>
      <c r="W2215" s="15">
        <f t="shared" si="78"/>
        <v>400</v>
      </c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5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5"/>
      <c r="AX2215" s="16"/>
    </row>
    <row r="2216" spans="2:50" x14ac:dyDescent="0.2">
      <c r="B2216" s="7" t="s">
        <v>77</v>
      </c>
      <c r="C2216" s="8">
        <v>12864</v>
      </c>
      <c r="D2216" s="9" t="s">
        <v>725</v>
      </c>
      <c r="E2216" s="10" t="s">
        <v>726</v>
      </c>
      <c r="F2216" s="10" t="s">
        <v>727</v>
      </c>
      <c r="G2216" s="8">
        <v>5</v>
      </c>
      <c r="H2216" s="11">
        <v>50</v>
      </c>
      <c r="I2216" s="12">
        <v>42624</v>
      </c>
      <c r="J2216" s="13">
        <f t="shared" si="77"/>
        <v>0</v>
      </c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5">
        <f t="shared" si="78"/>
        <v>0</v>
      </c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5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5"/>
      <c r="AX2216" s="16"/>
    </row>
    <row r="2217" spans="2:50" x14ac:dyDescent="0.2">
      <c r="B2217" s="7" t="s">
        <v>69</v>
      </c>
      <c r="C2217" s="8">
        <v>12865</v>
      </c>
      <c r="D2217" s="9" t="s">
        <v>346</v>
      </c>
      <c r="E2217" s="10" t="s">
        <v>347</v>
      </c>
      <c r="F2217" s="10" t="s">
        <v>348</v>
      </c>
      <c r="G2217" s="8">
        <v>1</v>
      </c>
      <c r="H2217" s="11">
        <v>300</v>
      </c>
      <c r="I2217" s="12">
        <v>42624</v>
      </c>
      <c r="J2217" s="13">
        <f t="shared" si="77"/>
        <v>0</v>
      </c>
      <c r="K2217" s="14"/>
      <c r="L2217" s="14"/>
      <c r="M2217" s="14"/>
      <c r="N2217" s="14"/>
      <c r="O2217" s="14"/>
      <c r="P2217" s="14"/>
      <c r="Q2217" s="14"/>
      <c r="R2217" s="14">
        <v>300</v>
      </c>
      <c r="S2217" s="14"/>
      <c r="T2217" s="14"/>
      <c r="U2217" s="14"/>
      <c r="V2217" s="14"/>
      <c r="W2217" s="15">
        <f t="shared" si="78"/>
        <v>300</v>
      </c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5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5"/>
      <c r="AX2217" s="16"/>
    </row>
    <row r="2218" spans="2:50" x14ac:dyDescent="0.2">
      <c r="B2218" s="7" t="s">
        <v>69</v>
      </c>
      <c r="C2218" s="8">
        <v>12866</v>
      </c>
      <c r="D2218" s="9" t="s">
        <v>758</v>
      </c>
      <c r="E2218" s="10" t="s">
        <v>759</v>
      </c>
      <c r="F2218" s="10" t="s">
        <v>760</v>
      </c>
      <c r="G2218" s="8">
        <v>5</v>
      </c>
      <c r="H2218" s="11">
        <v>100</v>
      </c>
      <c r="I2218" s="12">
        <v>42624</v>
      </c>
      <c r="J2218" s="13">
        <f t="shared" si="77"/>
        <v>0</v>
      </c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5">
        <f t="shared" si="78"/>
        <v>0</v>
      </c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5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5"/>
      <c r="AX2218" s="16"/>
    </row>
    <row r="2219" spans="2:50" x14ac:dyDescent="0.2">
      <c r="B2219" s="7" t="s">
        <v>73</v>
      </c>
      <c r="C2219" s="8">
        <v>12867</v>
      </c>
      <c r="D2219" s="9" t="s">
        <v>523</v>
      </c>
      <c r="E2219" s="10" t="s">
        <v>524</v>
      </c>
      <c r="F2219" s="10" t="s">
        <v>525</v>
      </c>
      <c r="G2219" s="8">
        <v>1</v>
      </c>
      <c r="H2219" s="11">
        <v>400</v>
      </c>
      <c r="I2219" s="12">
        <v>42624</v>
      </c>
      <c r="J2219" s="13">
        <f t="shared" si="77"/>
        <v>0</v>
      </c>
      <c r="K2219" s="14"/>
      <c r="L2219" s="14"/>
      <c r="M2219" s="14"/>
      <c r="N2219" s="14"/>
      <c r="O2219" s="14"/>
      <c r="P2219" s="14"/>
      <c r="Q2219" s="14"/>
      <c r="R2219" s="14">
        <v>400</v>
      </c>
      <c r="S2219" s="14"/>
      <c r="T2219" s="14"/>
      <c r="U2219" s="14"/>
      <c r="V2219" s="14"/>
      <c r="W2219" s="15">
        <f t="shared" si="78"/>
        <v>400</v>
      </c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5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5"/>
      <c r="AX2219" s="16"/>
    </row>
    <row r="2220" spans="2:50" x14ac:dyDescent="0.2">
      <c r="B2220" s="7" t="s">
        <v>77</v>
      </c>
      <c r="C2220" s="8">
        <v>12868</v>
      </c>
      <c r="D2220" s="9" t="s">
        <v>473</v>
      </c>
      <c r="E2220" s="10" t="s">
        <v>474</v>
      </c>
      <c r="F2220" s="10" t="s">
        <v>475</v>
      </c>
      <c r="G2220" s="8">
        <v>5</v>
      </c>
      <c r="H2220" s="11">
        <v>50</v>
      </c>
      <c r="I2220" s="12">
        <v>42624</v>
      </c>
      <c r="J2220" s="13">
        <f t="shared" si="77"/>
        <v>0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5">
        <f t="shared" si="78"/>
        <v>0</v>
      </c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5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5"/>
      <c r="AX2220" s="16"/>
    </row>
    <row r="2221" spans="2:50" x14ac:dyDescent="0.2">
      <c r="B2221" s="7" t="s">
        <v>47</v>
      </c>
      <c r="C2221" s="8">
        <v>12869</v>
      </c>
      <c r="D2221" s="9" t="s">
        <v>752</v>
      </c>
      <c r="E2221" s="10" t="s">
        <v>753</v>
      </c>
      <c r="F2221" s="10" t="s">
        <v>754</v>
      </c>
      <c r="G2221" s="8">
        <v>1</v>
      </c>
      <c r="H2221" s="11">
        <v>2000</v>
      </c>
      <c r="I2221" s="12">
        <v>42625</v>
      </c>
      <c r="J2221" s="13">
        <f t="shared" si="77"/>
        <v>0</v>
      </c>
      <c r="K2221" s="14"/>
      <c r="L2221" s="14"/>
      <c r="M2221" s="14"/>
      <c r="N2221" s="14">
        <v>400</v>
      </c>
      <c r="O2221" s="14">
        <v>400</v>
      </c>
      <c r="P2221" s="14">
        <v>400</v>
      </c>
      <c r="Q2221" s="14">
        <v>400</v>
      </c>
      <c r="R2221" s="14">
        <v>400</v>
      </c>
      <c r="S2221" s="14"/>
      <c r="T2221" s="14"/>
      <c r="U2221" s="14"/>
      <c r="V2221" s="14"/>
      <c r="W2221" s="15">
        <f t="shared" si="78"/>
        <v>2000</v>
      </c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5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5"/>
      <c r="AX2221" s="16"/>
    </row>
    <row r="2222" spans="2:50" x14ac:dyDescent="0.2">
      <c r="B2222" s="7" t="s">
        <v>93</v>
      </c>
      <c r="C2222" s="8">
        <v>12870</v>
      </c>
      <c r="D2222" s="9"/>
      <c r="E2222" s="10" t="s">
        <v>93</v>
      </c>
      <c r="F2222" s="10" t="s">
        <v>93</v>
      </c>
      <c r="G2222" s="8">
        <v>8</v>
      </c>
      <c r="H2222" s="11"/>
      <c r="I2222" s="12"/>
      <c r="J2222" s="13">
        <f t="shared" si="77"/>
        <v>0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5">
        <f t="shared" si="78"/>
        <v>0</v>
      </c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5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5"/>
      <c r="AX2222" s="16"/>
    </row>
    <row r="2223" spans="2:50" x14ac:dyDescent="0.2">
      <c r="B2223" s="7" t="s">
        <v>37</v>
      </c>
      <c r="C2223" s="8">
        <v>12871</v>
      </c>
      <c r="D2223" s="9" t="s">
        <v>550</v>
      </c>
      <c r="E2223" s="10" t="s">
        <v>551</v>
      </c>
      <c r="F2223" s="10" t="s">
        <v>552</v>
      </c>
      <c r="G2223" s="8">
        <v>5</v>
      </c>
      <c r="H2223" s="11">
        <v>50</v>
      </c>
      <c r="I2223" s="12">
        <v>42625</v>
      </c>
      <c r="J2223" s="13">
        <f t="shared" si="77"/>
        <v>0</v>
      </c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5">
        <f t="shared" si="78"/>
        <v>0</v>
      </c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5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5"/>
      <c r="AX2223" s="16"/>
    </row>
    <row r="2224" spans="2:50" x14ac:dyDescent="0.2">
      <c r="B2224" s="7" t="s">
        <v>47</v>
      </c>
      <c r="C2224" s="8">
        <v>12872</v>
      </c>
      <c r="D2224" s="9" t="s">
        <v>852</v>
      </c>
      <c r="E2224" s="10" t="s">
        <v>853</v>
      </c>
      <c r="F2224" s="10" t="s">
        <v>854</v>
      </c>
      <c r="G2224" s="8">
        <v>1</v>
      </c>
      <c r="H2224" s="11">
        <v>900</v>
      </c>
      <c r="I2224" s="12">
        <v>42627</v>
      </c>
      <c r="J2224" s="13">
        <f t="shared" si="77"/>
        <v>0</v>
      </c>
      <c r="K2224" s="14"/>
      <c r="L2224" s="14"/>
      <c r="M2224" s="14"/>
      <c r="N2224" s="14"/>
      <c r="O2224" s="14"/>
      <c r="P2224" s="14"/>
      <c r="Q2224" s="14">
        <v>300</v>
      </c>
      <c r="R2224" s="14">
        <v>300</v>
      </c>
      <c r="S2224" s="14">
        <v>300</v>
      </c>
      <c r="T2224" s="14"/>
      <c r="U2224" s="14"/>
      <c r="V2224" s="14"/>
      <c r="W2224" s="15">
        <f t="shared" si="78"/>
        <v>900</v>
      </c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5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5"/>
      <c r="AX2224" s="16"/>
    </row>
    <row r="2225" spans="2:50" x14ac:dyDescent="0.2">
      <c r="B2225" s="7" t="s">
        <v>47</v>
      </c>
      <c r="C2225" s="8">
        <v>12873</v>
      </c>
      <c r="D2225" s="9" t="s">
        <v>620</v>
      </c>
      <c r="E2225" s="10" t="s">
        <v>621</v>
      </c>
      <c r="F2225" s="10" t="s">
        <v>366</v>
      </c>
      <c r="G2225" s="8">
        <v>5</v>
      </c>
      <c r="H2225" s="11">
        <v>100</v>
      </c>
      <c r="I2225" s="12">
        <v>42627</v>
      </c>
      <c r="J2225" s="13">
        <f t="shared" si="77"/>
        <v>0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5">
        <f t="shared" si="78"/>
        <v>0</v>
      </c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5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5"/>
      <c r="AX2225" s="16"/>
    </row>
    <row r="2226" spans="2:50" x14ac:dyDescent="0.2">
      <c r="B2226" s="7" t="s">
        <v>69</v>
      </c>
      <c r="C2226" s="8">
        <v>12874</v>
      </c>
      <c r="D2226" s="9" t="s">
        <v>602</v>
      </c>
      <c r="E2226" s="10" t="s">
        <v>603</v>
      </c>
      <c r="F2226" s="10" t="s">
        <v>604</v>
      </c>
      <c r="G2226" s="8">
        <v>1</v>
      </c>
      <c r="H2226" s="11">
        <v>200</v>
      </c>
      <c r="I2226" s="12">
        <v>42631</v>
      </c>
      <c r="J2226" s="13">
        <f t="shared" si="77"/>
        <v>0</v>
      </c>
      <c r="K2226" s="14"/>
      <c r="L2226" s="14"/>
      <c r="M2226" s="14"/>
      <c r="N2226" s="14"/>
      <c r="O2226" s="14"/>
      <c r="P2226" s="14"/>
      <c r="Q2226" s="14"/>
      <c r="R2226" s="14"/>
      <c r="S2226" s="14">
        <v>200</v>
      </c>
      <c r="T2226" s="14"/>
      <c r="U2226" s="14"/>
      <c r="V2226" s="14"/>
      <c r="W2226" s="15">
        <f t="shared" si="78"/>
        <v>200</v>
      </c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5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5"/>
      <c r="AX2226" s="16"/>
    </row>
    <row r="2227" spans="2:50" x14ac:dyDescent="0.2">
      <c r="B2227" s="7" t="s">
        <v>69</v>
      </c>
      <c r="C2227" s="8">
        <v>12874</v>
      </c>
      <c r="D2227" s="9" t="s">
        <v>602</v>
      </c>
      <c r="E2227" s="10" t="s">
        <v>603</v>
      </c>
      <c r="F2227" s="10" t="s">
        <v>604</v>
      </c>
      <c r="G2227" s="8">
        <v>3</v>
      </c>
      <c r="H2227" s="11">
        <v>400</v>
      </c>
      <c r="I2227" s="12">
        <v>42631</v>
      </c>
      <c r="J2227" s="13">
        <f t="shared" si="77"/>
        <v>0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5">
        <f t="shared" si="78"/>
        <v>0</v>
      </c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5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5"/>
      <c r="AX2227" s="16"/>
    </row>
    <row r="2228" spans="2:50" x14ac:dyDescent="0.2">
      <c r="B2228" s="7" t="s">
        <v>77</v>
      </c>
      <c r="C2228" s="8">
        <v>12875</v>
      </c>
      <c r="D2228" s="9" t="s">
        <v>156</v>
      </c>
      <c r="E2228" s="10" t="s">
        <v>157</v>
      </c>
      <c r="F2228" s="10" t="s">
        <v>158</v>
      </c>
      <c r="G2228" s="8">
        <v>1</v>
      </c>
      <c r="H2228" s="11">
        <v>300</v>
      </c>
      <c r="I2228" s="12">
        <v>42631</v>
      </c>
      <c r="J2228" s="13">
        <f t="shared" si="77"/>
        <v>0</v>
      </c>
      <c r="K2228" s="14"/>
      <c r="L2228" s="14"/>
      <c r="M2228" s="14"/>
      <c r="N2228" s="14"/>
      <c r="O2228" s="14"/>
      <c r="P2228" s="14"/>
      <c r="Q2228" s="14"/>
      <c r="R2228" s="14"/>
      <c r="S2228" s="14">
        <v>300</v>
      </c>
      <c r="T2228" s="14"/>
      <c r="U2228" s="14"/>
      <c r="V2228" s="14"/>
      <c r="W2228" s="15">
        <f t="shared" si="78"/>
        <v>300</v>
      </c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5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14"/>
      <c r="AW2228" s="15"/>
      <c r="AX2228" s="16"/>
    </row>
    <row r="2229" spans="2:50" x14ac:dyDescent="0.2">
      <c r="B2229" s="7" t="s">
        <v>37</v>
      </c>
      <c r="C2229" s="8">
        <v>12876</v>
      </c>
      <c r="D2229" s="9" t="s">
        <v>716</v>
      </c>
      <c r="E2229" s="10" t="s">
        <v>717</v>
      </c>
      <c r="F2229" s="10" t="s">
        <v>718</v>
      </c>
      <c r="G2229" s="8">
        <v>1</v>
      </c>
      <c r="H2229" s="11">
        <v>300</v>
      </c>
      <c r="I2229" s="12">
        <v>42631</v>
      </c>
      <c r="J2229" s="13">
        <f t="shared" si="77"/>
        <v>0</v>
      </c>
      <c r="K2229" s="14"/>
      <c r="L2229" s="14"/>
      <c r="M2229" s="14"/>
      <c r="N2229" s="14"/>
      <c r="O2229" s="14"/>
      <c r="P2229" s="14"/>
      <c r="Q2229" s="14"/>
      <c r="R2229" s="14"/>
      <c r="S2229" s="14"/>
      <c r="T2229" s="14">
        <v>300</v>
      </c>
      <c r="U2229" s="14"/>
      <c r="V2229" s="14"/>
      <c r="W2229" s="15">
        <f t="shared" si="78"/>
        <v>300</v>
      </c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5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5"/>
      <c r="AX2229" s="16"/>
    </row>
    <row r="2230" spans="2:50" x14ac:dyDescent="0.2">
      <c r="B2230" s="7" t="s">
        <v>47</v>
      </c>
      <c r="C2230" s="8">
        <v>12877</v>
      </c>
      <c r="D2230" s="9" t="s">
        <v>509</v>
      </c>
      <c r="E2230" s="10" t="s">
        <v>510</v>
      </c>
      <c r="F2230" s="10" t="s">
        <v>511</v>
      </c>
      <c r="G2230" s="8">
        <v>5</v>
      </c>
      <c r="H2230" s="11">
        <v>50</v>
      </c>
      <c r="I2230" s="12">
        <v>42631</v>
      </c>
      <c r="J2230" s="13">
        <f t="shared" si="77"/>
        <v>0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5">
        <f t="shared" si="78"/>
        <v>0</v>
      </c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5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14"/>
      <c r="AW2230" s="15"/>
      <c r="AX2230" s="16"/>
    </row>
    <row r="2231" spans="2:50" x14ac:dyDescent="0.2">
      <c r="B2231" s="7" t="s">
        <v>73</v>
      </c>
      <c r="C2231" s="8">
        <v>12878</v>
      </c>
      <c r="D2231" s="9" t="s">
        <v>376</v>
      </c>
      <c r="E2231" s="10" t="s">
        <v>377</v>
      </c>
      <c r="F2231" s="10" t="s">
        <v>378</v>
      </c>
      <c r="G2231" s="8">
        <v>5</v>
      </c>
      <c r="H2231" s="11">
        <v>100</v>
      </c>
      <c r="I2231" s="12">
        <v>42631</v>
      </c>
      <c r="J2231" s="13">
        <f t="shared" si="77"/>
        <v>0</v>
      </c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5">
        <f t="shared" si="78"/>
        <v>0</v>
      </c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5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5"/>
      <c r="AX2231" s="16"/>
    </row>
    <row r="2232" spans="2:50" x14ac:dyDescent="0.2">
      <c r="B2232" s="7" t="s">
        <v>69</v>
      </c>
      <c r="C2232" s="8">
        <v>12879</v>
      </c>
      <c r="D2232" s="9" t="s">
        <v>467</v>
      </c>
      <c r="E2232" s="10" t="s">
        <v>468</v>
      </c>
      <c r="F2232" s="10" t="s">
        <v>469</v>
      </c>
      <c r="G2232" s="8">
        <v>1</v>
      </c>
      <c r="H2232" s="11">
        <v>400</v>
      </c>
      <c r="I2232" s="12">
        <v>42631</v>
      </c>
      <c r="J2232" s="13">
        <f t="shared" si="77"/>
        <v>0</v>
      </c>
      <c r="K2232" s="14"/>
      <c r="L2232" s="14"/>
      <c r="M2232" s="14"/>
      <c r="N2232" s="14"/>
      <c r="O2232" s="14"/>
      <c r="P2232" s="14"/>
      <c r="Q2232" s="14"/>
      <c r="R2232" s="14"/>
      <c r="S2232" s="14">
        <v>400</v>
      </c>
      <c r="T2232" s="14"/>
      <c r="U2232" s="14"/>
      <c r="V2232" s="14"/>
      <c r="W2232" s="15">
        <f t="shared" si="78"/>
        <v>400</v>
      </c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5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14"/>
      <c r="AW2232" s="15"/>
      <c r="AX2232" s="16"/>
    </row>
    <row r="2233" spans="2:50" x14ac:dyDescent="0.2">
      <c r="B2233" s="7" t="s">
        <v>37</v>
      </c>
      <c r="C2233" s="8">
        <v>12880</v>
      </c>
      <c r="D2233" s="9" t="s">
        <v>247</v>
      </c>
      <c r="E2233" s="10" t="s">
        <v>248</v>
      </c>
      <c r="F2233" s="10" t="s">
        <v>249</v>
      </c>
      <c r="G2233" s="8">
        <v>1</v>
      </c>
      <c r="H2233" s="11">
        <v>800</v>
      </c>
      <c r="I2233" s="12">
        <v>42631</v>
      </c>
      <c r="J2233" s="13">
        <f t="shared" si="77"/>
        <v>0</v>
      </c>
      <c r="K2233" s="14"/>
      <c r="L2233" s="14"/>
      <c r="M2233" s="14"/>
      <c r="N2233" s="14"/>
      <c r="O2233" s="14"/>
      <c r="P2233" s="14"/>
      <c r="Q2233" s="14"/>
      <c r="R2233" s="14"/>
      <c r="S2233" s="14">
        <v>400</v>
      </c>
      <c r="T2233" s="14">
        <v>400</v>
      </c>
      <c r="U2233" s="14"/>
      <c r="V2233" s="14"/>
      <c r="W2233" s="15">
        <f t="shared" si="78"/>
        <v>800</v>
      </c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5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14"/>
      <c r="AW2233" s="15"/>
      <c r="AX2233" s="16"/>
    </row>
    <row r="2234" spans="2:50" x14ac:dyDescent="0.2">
      <c r="B2234" s="7" t="s">
        <v>73</v>
      </c>
      <c r="C2234" s="8">
        <v>12881</v>
      </c>
      <c r="D2234" s="9" t="s">
        <v>782</v>
      </c>
      <c r="E2234" s="10" t="s">
        <v>783</v>
      </c>
      <c r="F2234" s="10" t="s">
        <v>784</v>
      </c>
      <c r="G2234" s="8">
        <v>1</v>
      </c>
      <c r="H2234" s="11">
        <v>600</v>
      </c>
      <c r="I2234" s="12">
        <v>42631</v>
      </c>
      <c r="J2234" s="13">
        <f t="shared" si="77"/>
        <v>0</v>
      </c>
      <c r="K2234" s="14"/>
      <c r="L2234" s="14"/>
      <c r="M2234" s="14"/>
      <c r="N2234" s="14"/>
      <c r="O2234" s="14"/>
      <c r="P2234" s="14"/>
      <c r="Q2234" s="14"/>
      <c r="R2234" s="14"/>
      <c r="S2234" s="14"/>
      <c r="T2234" s="14">
        <v>200</v>
      </c>
      <c r="U2234" s="14">
        <v>200</v>
      </c>
      <c r="V2234" s="14">
        <v>200</v>
      </c>
      <c r="W2234" s="15">
        <f t="shared" si="78"/>
        <v>600</v>
      </c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5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14"/>
      <c r="AW2234" s="15"/>
      <c r="AX2234" s="16"/>
    </row>
    <row r="2235" spans="2:50" x14ac:dyDescent="0.2">
      <c r="B2235" s="7" t="s">
        <v>69</v>
      </c>
      <c r="C2235" s="8">
        <v>12882</v>
      </c>
      <c r="D2235" s="9" t="s">
        <v>1198</v>
      </c>
      <c r="E2235" s="10" t="s">
        <v>1199</v>
      </c>
      <c r="F2235" s="10" t="s">
        <v>892</v>
      </c>
      <c r="G2235" s="8">
        <v>1</v>
      </c>
      <c r="H2235" s="11">
        <v>2000</v>
      </c>
      <c r="I2235" s="12">
        <v>42631</v>
      </c>
      <c r="J2235" s="13">
        <f t="shared" si="77"/>
        <v>0</v>
      </c>
      <c r="K2235" s="14"/>
      <c r="L2235" s="14"/>
      <c r="M2235" s="14"/>
      <c r="N2235" s="14"/>
      <c r="O2235" s="14">
        <v>400</v>
      </c>
      <c r="P2235" s="14">
        <v>400</v>
      </c>
      <c r="Q2235" s="14">
        <v>400</v>
      </c>
      <c r="R2235" s="14">
        <v>400</v>
      </c>
      <c r="S2235" s="14">
        <v>400</v>
      </c>
      <c r="T2235" s="14"/>
      <c r="U2235" s="14"/>
      <c r="V2235" s="14"/>
      <c r="W2235" s="15">
        <f t="shared" si="78"/>
        <v>2000</v>
      </c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5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5"/>
      <c r="AX2235" s="16"/>
    </row>
    <row r="2236" spans="2:50" x14ac:dyDescent="0.2">
      <c r="B2236" s="7" t="s">
        <v>47</v>
      </c>
      <c r="C2236" s="8">
        <v>12883</v>
      </c>
      <c r="D2236" s="9" t="s">
        <v>425</v>
      </c>
      <c r="E2236" s="10" t="s">
        <v>426</v>
      </c>
      <c r="F2236" s="10" t="s">
        <v>427</v>
      </c>
      <c r="G2236" s="8">
        <v>1</v>
      </c>
      <c r="H2236" s="11">
        <v>400</v>
      </c>
      <c r="I2236" s="12">
        <v>42631</v>
      </c>
      <c r="J2236" s="13">
        <f t="shared" si="77"/>
        <v>0</v>
      </c>
      <c r="K2236" s="14"/>
      <c r="L2236" s="14"/>
      <c r="M2236" s="14"/>
      <c r="N2236" s="14"/>
      <c r="O2236" s="14"/>
      <c r="P2236" s="14"/>
      <c r="Q2236" s="14"/>
      <c r="R2236" s="14"/>
      <c r="S2236" s="14">
        <v>400</v>
      </c>
      <c r="T2236" s="14"/>
      <c r="U2236" s="14"/>
      <c r="V2236" s="14"/>
      <c r="W2236" s="15">
        <f t="shared" si="78"/>
        <v>400</v>
      </c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5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5"/>
      <c r="AX2236" s="16"/>
    </row>
    <row r="2237" spans="2:50" x14ac:dyDescent="0.2">
      <c r="B2237" s="7" t="s">
        <v>391</v>
      </c>
      <c r="C2237" s="8">
        <v>12884</v>
      </c>
      <c r="D2237" s="9" t="s">
        <v>879</v>
      </c>
      <c r="E2237" s="10" t="s">
        <v>880</v>
      </c>
      <c r="F2237" s="10" t="s">
        <v>881</v>
      </c>
      <c r="G2237" s="8">
        <v>1</v>
      </c>
      <c r="H2237" s="11">
        <v>600</v>
      </c>
      <c r="I2237" s="12">
        <v>42631</v>
      </c>
      <c r="J2237" s="13">
        <f t="shared" si="77"/>
        <v>0</v>
      </c>
      <c r="K2237" s="14"/>
      <c r="L2237" s="14"/>
      <c r="M2237" s="14"/>
      <c r="N2237" s="14"/>
      <c r="O2237" s="14"/>
      <c r="P2237" s="14">
        <v>200</v>
      </c>
      <c r="Q2237" s="14"/>
      <c r="R2237" s="14">
        <v>200</v>
      </c>
      <c r="S2237" s="14">
        <v>200</v>
      </c>
      <c r="T2237" s="14"/>
      <c r="U2237" s="14"/>
      <c r="V2237" s="14"/>
      <c r="W2237" s="15">
        <f t="shared" si="78"/>
        <v>600</v>
      </c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5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5"/>
      <c r="AX2237" s="16"/>
    </row>
    <row r="2238" spans="2:50" x14ac:dyDescent="0.2">
      <c r="B2238" s="7" t="s">
        <v>69</v>
      </c>
      <c r="C2238" s="8">
        <v>12885</v>
      </c>
      <c r="D2238" s="9" t="s">
        <v>1198</v>
      </c>
      <c r="E2238" s="10" t="s">
        <v>1199</v>
      </c>
      <c r="F2238" s="10" t="s">
        <v>892</v>
      </c>
      <c r="G2238" s="8">
        <v>5</v>
      </c>
      <c r="H2238" s="11">
        <v>100</v>
      </c>
      <c r="I2238" s="12">
        <v>42631</v>
      </c>
      <c r="J2238" s="13">
        <f t="shared" si="77"/>
        <v>0</v>
      </c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5">
        <f t="shared" si="78"/>
        <v>0</v>
      </c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5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5"/>
      <c r="AX2238" s="16"/>
    </row>
    <row r="2239" spans="2:50" x14ac:dyDescent="0.2">
      <c r="B2239" s="7" t="s">
        <v>391</v>
      </c>
      <c r="C2239" s="8">
        <v>12886</v>
      </c>
      <c r="D2239" s="9" t="s">
        <v>879</v>
      </c>
      <c r="E2239" s="10" t="s">
        <v>880</v>
      </c>
      <c r="F2239" s="10" t="s">
        <v>881</v>
      </c>
      <c r="G2239" s="8">
        <v>5</v>
      </c>
      <c r="H2239" s="11">
        <v>50</v>
      </c>
      <c r="I2239" s="12">
        <v>42631</v>
      </c>
      <c r="J2239" s="13">
        <f t="shared" si="77"/>
        <v>0</v>
      </c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5">
        <f t="shared" si="78"/>
        <v>0</v>
      </c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5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5"/>
      <c r="AX2239" s="16"/>
    </row>
    <row r="2240" spans="2:50" x14ac:dyDescent="0.2">
      <c r="B2240" s="7" t="s">
        <v>69</v>
      </c>
      <c r="C2240" s="8">
        <v>12887</v>
      </c>
      <c r="D2240" s="9" t="s">
        <v>855</v>
      </c>
      <c r="E2240" s="10" t="s">
        <v>856</v>
      </c>
      <c r="F2240" s="10" t="s">
        <v>857</v>
      </c>
      <c r="G2240" s="8">
        <v>1</v>
      </c>
      <c r="H2240" s="11">
        <v>800</v>
      </c>
      <c r="I2240" s="12">
        <v>42631</v>
      </c>
      <c r="J2240" s="13">
        <f t="shared" si="77"/>
        <v>0</v>
      </c>
      <c r="K2240" s="14"/>
      <c r="L2240" s="14"/>
      <c r="M2240" s="14"/>
      <c r="N2240" s="14"/>
      <c r="O2240" s="14"/>
      <c r="P2240" s="14"/>
      <c r="Q2240" s="14"/>
      <c r="R2240" s="14"/>
      <c r="S2240" s="14">
        <v>200</v>
      </c>
      <c r="T2240" s="14">
        <v>200</v>
      </c>
      <c r="U2240" s="14">
        <v>200</v>
      </c>
      <c r="V2240" s="14">
        <v>200</v>
      </c>
      <c r="W2240" s="15">
        <f t="shared" si="78"/>
        <v>800</v>
      </c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5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5"/>
      <c r="AX2240" s="16"/>
    </row>
    <row r="2241" spans="2:50" x14ac:dyDescent="0.2">
      <c r="B2241" s="7" t="s">
        <v>37</v>
      </c>
      <c r="C2241" s="8">
        <v>12888</v>
      </c>
      <c r="D2241" s="9" t="s">
        <v>271</v>
      </c>
      <c r="E2241" s="10" t="s">
        <v>272</v>
      </c>
      <c r="F2241" s="10" t="s">
        <v>273</v>
      </c>
      <c r="G2241" s="8">
        <v>1</v>
      </c>
      <c r="H2241" s="11">
        <v>400</v>
      </c>
      <c r="I2241" s="12">
        <v>42631</v>
      </c>
      <c r="J2241" s="13">
        <f t="shared" si="77"/>
        <v>0</v>
      </c>
      <c r="K2241" s="14"/>
      <c r="L2241" s="14"/>
      <c r="M2241" s="14"/>
      <c r="N2241" s="14"/>
      <c r="O2241" s="14"/>
      <c r="P2241" s="14"/>
      <c r="Q2241" s="14"/>
      <c r="R2241" s="14"/>
      <c r="S2241" s="14">
        <v>400</v>
      </c>
      <c r="T2241" s="14"/>
      <c r="U2241" s="14"/>
      <c r="V2241" s="14"/>
      <c r="W2241" s="15">
        <f t="shared" si="78"/>
        <v>400</v>
      </c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5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/>
      <c r="AW2241" s="15"/>
      <c r="AX2241" s="16"/>
    </row>
    <row r="2242" spans="2:50" x14ac:dyDescent="0.2">
      <c r="B2242" s="7" t="s">
        <v>69</v>
      </c>
      <c r="C2242" s="8">
        <v>12889</v>
      </c>
      <c r="D2242" s="9" t="s">
        <v>1110</v>
      </c>
      <c r="E2242" s="10" t="s">
        <v>1111</v>
      </c>
      <c r="F2242" s="10" t="s">
        <v>657</v>
      </c>
      <c r="G2242" s="8">
        <v>1</v>
      </c>
      <c r="H2242" s="11">
        <v>400</v>
      </c>
      <c r="I2242" s="12">
        <v>42631</v>
      </c>
      <c r="J2242" s="13">
        <f t="shared" si="77"/>
        <v>0</v>
      </c>
      <c r="K2242" s="14"/>
      <c r="L2242" s="14"/>
      <c r="M2242" s="14"/>
      <c r="N2242" s="14"/>
      <c r="O2242" s="14"/>
      <c r="P2242" s="14"/>
      <c r="Q2242" s="14"/>
      <c r="R2242" s="14">
        <v>400</v>
      </c>
      <c r="S2242" s="14"/>
      <c r="T2242" s="14"/>
      <c r="U2242" s="14"/>
      <c r="V2242" s="14"/>
      <c r="W2242" s="15">
        <f t="shared" si="78"/>
        <v>400</v>
      </c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5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5"/>
      <c r="AX2242" s="16"/>
    </row>
    <row r="2243" spans="2:50" x14ac:dyDescent="0.2">
      <c r="B2243" s="7" t="s">
        <v>122</v>
      </c>
      <c r="C2243" s="8">
        <v>12890</v>
      </c>
      <c r="D2243" s="9" t="s">
        <v>256</v>
      </c>
      <c r="E2243" s="10" t="s">
        <v>257</v>
      </c>
      <c r="F2243" s="10" t="s">
        <v>258</v>
      </c>
      <c r="G2243" s="8">
        <v>1</v>
      </c>
      <c r="H2243" s="11">
        <v>300</v>
      </c>
      <c r="I2243" s="12">
        <v>42631</v>
      </c>
      <c r="J2243" s="13">
        <f t="shared" si="77"/>
        <v>0</v>
      </c>
      <c r="K2243" s="14"/>
      <c r="L2243" s="14"/>
      <c r="M2243" s="14"/>
      <c r="N2243" s="14"/>
      <c r="O2243" s="14"/>
      <c r="P2243" s="14"/>
      <c r="Q2243" s="14"/>
      <c r="R2243" s="14"/>
      <c r="S2243" s="14">
        <v>300</v>
      </c>
      <c r="T2243" s="14"/>
      <c r="U2243" s="14"/>
      <c r="V2243" s="14"/>
      <c r="W2243" s="15">
        <f t="shared" si="78"/>
        <v>300</v>
      </c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5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5"/>
      <c r="AX2243" s="16"/>
    </row>
    <row r="2244" spans="2:50" x14ac:dyDescent="0.2">
      <c r="B2244" s="7" t="s">
        <v>73</v>
      </c>
      <c r="C2244" s="8">
        <v>12891</v>
      </c>
      <c r="D2244" s="9" t="s">
        <v>649</v>
      </c>
      <c r="E2244" s="10" t="s">
        <v>650</v>
      </c>
      <c r="F2244" s="10" t="s">
        <v>651</v>
      </c>
      <c r="G2244" s="8">
        <v>1</v>
      </c>
      <c r="H2244" s="11">
        <v>600</v>
      </c>
      <c r="I2244" s="12">
        <v>42631</v>
      </c>
      <c r="J2244" s="13">
        <f t="shared" si="77"/>
        <v>0</v>
      </c>
      <c r="K2244" s="14"/>
      <c r="L2244" s="14"/>
      <c r="M2244" s="14"/>
      <c r="N2244" s="14"/>
      <c r="O2244" s="14"/>
      <c r="P2244" s="14"/>
      <c r="Q2244" s="14"/>
      <c r="R2244" s="14"/>
      <c r="S2244" s="14">
        <v>300</v>
      </c>
      <c r="T2244" s="14">
        <v>300</v>
      </c>
      <c r="U2244" s="14"/>
      <c r="V2244" s="14"/>
      <c r="W2244" s="15">
        <f t="shared" si="78"/>
        <v>600</v>
      </c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5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5"/>
      <c r="AX2244" s="16"/>
    </row>
    <row r="2245" spans="2:50" x14ac:dyDescent="0.2">
      <c r="B2245" s="7" t="s">
        <v>37</v>
      </c>
      <c r="C2245" s="8">
        <v>12892</v>
      </c>
      <c r="D2245" s="9" t="s">
        <v>520</v>
      </c>
      <c r="E2245" s="10" t="s">
        <v>521</v>
      </c>
      <c r="F2245" s="10" t="s">
        <v>522</v>
      </c>
      <c r="G2245" s="8">
        <v>1</v>
      </c>
      <c r="H2245" s="11">
        <v>800</v>
      </c>
      <c r="I2245" s="12">
        <v>42631</v>
      </c>
      <c r="J2245" s="13">
        <f t="shared" si="77"/>
        <v>0</v>
      </c>
      <c r="K2245" s="14"/>
      <c r="L2245" s="14"/>
      <c r="M2245" s="14"/>
      <c r="N2245" s="14"/>
      <c r="O2245" s="14"/>
      <c r="P2245" s="14"/>
      <c r="Q2245" s="14"/>
      <c r="R2245" s="14"/>
      <c r="S2245" s="14">
        <v>400</v>
      </c>
      <c r="T2245" s="14">
        <v>400</v>
      </c>
      <c r="U2245" s="14"/>
      <c r="V2245" s="14"/>
      <c r="W2245" s="15">
        <f t="shared" si="78"/>
        <v>800</v>
      </c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5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5"/>
      <c r="AX2245" s="16"/>
    </row>
    <row r="2246" spans="2:50" x14ac:dyDescent="0.2">
      <c r="B2246" s="7" t="s">
        <v>69</v>
      </c>
      <c r="C2246" s="8">
        <v>12893</v>
      </c>
      <c r="D2246" s="9" t="s">
        <v>678</v>
      </c>
      <c r="E2246" s="10" t="s">
        <v>679</v>
      </c>
      <c r="F2246" s="10" t="s">
        <v>680</v>
      </c>
      <c r="G2246" s="8">
        <v>1</v>
      </c>
      <c r="H2246" s="11">
        <v>400</v>
      </c>
      <c r="I2246" s="12">
        <v>42631</v>
      </c>
      <c r="J2246" s="13">
        <f t="shared" si="77"/>
        <v>0</v>
      </c>
      <c r="K2246" s="14"/>
      <c r="L2246" s="14"/>
      <c r="M2246" s="14"/>
      <c r="N2246" s="14"/>
      <c r="O2246" s="14"/>
      <c r="P2246" s="14"/>
      <c r="Q2246" s="14"/>
      <c r="R2246" s="14"/>
      <c r="S2246" s="14">
        <v>400</v>
      </c>
      <c r="T2246" s="14"/>
      <c r="U2246" s="14"/>
      <c r="V2246" s="14"/>
      <c r="W2246" s="15">
        <f t="shared" si="78"/>
        <v>400</v>
      </c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5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5"/>
      <c r="AX2246" s="16"/>
    </row>
    <row r="2247" spans="2:50" x14ac:dyDescent="0.2">
      <c r="B2247" s="7" t="s">
        <v>69</v>
      </c>
      <c r="C2247" s="8">
        <v>12894</v>
      </c>
      <c r="D2247" s="9" t="s">
        <v>334</v>
      </c>
      <c r="E2247" s="10" t="s">
        <v>335</v>
      </c>
      <c r="F2247" s="10" t="s">
        <v>336</v>
      </c>
      <c r="G2247" s="8">
        <v>1</v>
      </c>
      <c r="H2247" s="11">
        <v>1200</v>
      </c>
      <c r="I2247" s="12">
        <v>42631</v>
      </c>
      <c r="J2247" s="13">
        <f t="shared" si="77"/>
        <v>0</v>
      </c>
      <c r="K2247" s="14"/>
      <c r="L2247" s="14"/>
      <c r="M2247" s="14"/>
      <c r="N2247" s="14">
        <v>400</v>
      </c>
      <c r="O2247" s="14">
        <v>400</v>
      </c>
      <c r="P2247" s="14">
        <v>400</v>
      </c>
      <c r="Q2247" s="14"/>
      <c r="R2247" s="14"/>
      <c r="S2247" s="14"/>
      <c r="T2247" s="14"/>
      <c r="U2247" s="14"/>
      <c r="V2247" s="14"/>
      <c r="W2247" s="15">
        <f t="shared" si="78"/>
        <v>1200</v>
      </c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5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5"/>
      <c r="AX2247" s="16"/>
    </row>
    <row r="2248" spans="2:50" x14ac:dyDescent="0.2">
      <c r="B2248" s="7" t="s">
        <v>69</v>
      </c>
      <c r="C2248" s="8">
        <v>12894</v>
      </c>
      <c r="D2248" s="9" t="s">
        <v>334</v>
      </c>
      <c r="E2248" s="10" t="s">
        <v>335</v>
      </c>
      <c r="F2248" s="10" t="s">
        <v>336</v>
      </c>
      <c r="G2248" s="8">
        <v>5</v>
      </c>
      <c r="H2248" s="11">
        <v>50</v>
      </c>
      <c r="I2248" s="12">
        <v>42631</v>
      </c>
      <c r="J2248" s="13">
        <f t="shared" si="77"/>
        <v>0</v>
      </c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5">
        <f t="shared" si="78"/>
        <v>0</v>
      </c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5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5"/>
      <c r="AX2248" s="16"/>
    </row>
    <row r="2249" spans="2:50" x14ac:dyDescent="0.2">
      <c r="B2249" s="7" t="s">
        <v>73</v>
      </c>
      <c r="C2249" s="8">
        <v>12895</v>
      </c>
      <c r="D2249" s="9" t="s">
        <v>398</v>
      </c>
      <c r="E2249" s="10" t="s">
        <v>399</v>
      </c>
      <c r="F2249" s="10" t="s">
        <v>400</v>
      </c>
      <c r="G2249" s="8">
        <v>1</v>
      </c>
      <c r="H2249" s="11">
        <v>400</v>
      </c>
      <c r="I2249" s="12">
        <v>42631</v>
      </c>
      <c r="J2249" s="13">
        <f t="shared" si="77"/>
        <v>0</v>
      </c>
      <c r="K2249" s="14"/>
      <c r="L2249" s="14"/>
      <c r="M2249" s="14"/>
      <c r="N2249" s="14"/>
      <c r="O2249" s="14"/>
      <c r="P2249" s="14"/>
      <c r="Q2249" s="14"/>
      <c r="R2249" s="14"/>
      <c r="S2249" s="14">
        <v>400</v>
      </c>
      <c r="T2249" s="14"/>
      <c r="U2249" s="14"/>
      <c r="V2249" s="14"/>
      <c r="W2249" s="15">
        <f t="shared" si="78"/>
        <v>400</v>
      </c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5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5"/>
      <c r="AX2249" s="16"/>
    </row>
    <row r="2250" spans="2:50" x14ac:dyDescent="0.2">
      <c r="B2250" s="7" t="s">
        <v>122</v>
      </c>
      <c r="C2250" s="8">
        <v>12896</v>
      </c>
      <c r="D2250" s="9" t="s">
        <v>622</v>
      </c>
      <c r="E2250" s="10" t="s">
        <v>623</v>
      </c>
      <c r="F2250" s="10" t="s">
        <v>624</v>
      </c>
      <c r="G2250" s="8">
        <v>1</v>
      </c>
      <c r="H2250" s="11">
        <v>1200</v>
      </c>
      <c r="I2250" s="12">
        <v>42631</v>
      </c>
      <c r="J2250" s="13">
        <f t="shared" si="77"/>
        <v>0</v>
      </c>
      <c r="K2250" s="14"/>
      <c r="L2250" s="14"/>
      <c r="M2250" s="14"/>
      <c r="N2250" s="14"/>
      <c r="O2250" s="14"/>
      <c r="P2250" s="14"/>
      <c r="Q2250" s="14"/>
      <c r="R2250" s="14">
        <v>400</v>
      </c>
      <c r="S2250" s="14">
        <v>400</v>
      </c>
      <c r="T2250" s="14">
        <v>400</v>
      </c>
      <c r="U2250" s="14"/>
      <c r="V2250" s="14"/>
      <c r="W2250" s="15">
        <f t="shared" si="78"/>
        <v>1200</v>
      </c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5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5"/>
      <c r="AX2250" s="16"/>
    </row>
    <row r="2251" spans="2:50" x14ac:dyDescent="0.2">
      <c r="B2251" s="7" t="s">
        <v>47</v>
      </c>
      <c r="C2251" s="8">
        <v>12897</v>
      </c>
      <c r="D2251" s="9" t="s">
        <v>705</v>
      </c>
      <c r="E2251" s="10" t="s">
        <v>706</v>
      </c>
      <c r="F2251" s="10" t="s">
        <v>707</v>
      </c>
      <c r="G2251" s="8">
        <v>1</v>
      </c>
      <c r="H2251" s="11">
        <v>600</v>
      </c>
      <c r="I2251" s="12">
        <v>42631</v>
      </c>
      <c r="J2251" s="13">
        <f t="shared" si="77"/>
        <v>0</v>
      </c>
      <c r="K2251" s="14"/>
      <c r="L2251" s="14"/>
      <c r="M2251" s="14"/>
      <c r="N2251" s="14"/>
      <c r="O2251" s="14"/>
      <c r="P2251" s="14"/>
      <c r="Q2251" s="14"/>
      <c r="R2251" s="14">
        <v>300</v>
      </c>
      <c r="S2251" s="14">
        <v>300</v>
      </c>
      <c r="T2251" s="14"/>
      <c r="U2251" s="14"/>
      <c r="V2251" s="14"/>
      <c r="W2251" s="15">
        <f t="shared" si="78"/>
        <v>600</v>
      </c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5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5"/>
      <c r="AX2251" s="16"/>
    </row>
    <row r="2252" spans="2:50" x14ac:dyDescent="0.2">
      <c r="B2252" s="7" t="s">
        <v>69</v>
      </c>
      <c r="C2252" s="8">
        <v>12898</v>
      </c>
      <c r="D2252" s="9" t="s">
        <v>361</v>
      </c>
      <c r="E2252" s="10" t="s">
        <v>362</v>
      </c>
      <c r="F2252" s="10" t="s">
        <v>363</v>
      </c>
      <c r="G2252" s="8">
        <v>1</v>
      </c>
      <c r="H2252" s="11">
        <v>400</v>
      </c>
      <c r="I2252" s="12">
        <v>42631</v>
      </c>
      <c r="J2252" s="13">
        <f t="shared" si="77"/>
        <v>0</v>
      </c>
      <c r="K2252" s="14"/>
      <c r="L2252" s="14"/>
      <c r="M2252" s="14"/>
      <c r="N2252" s="14"/>
      <c r="O2252" s="14"/>
      <c r="P2252" s="14"/>
      <c r="Q2252" s="14"/>
      <c r="R2252" s="14"/>
      <c r="S2252" s="14">
        <v>400</v>
      </c>
      <c r="T2252" s="14"/>
      <c r="U2252" s="14"/>
      <c r="V2252" s="14"/>
      <c r="W2252" s="15">
        <f t="shared" si="78"/>
        <v>400</v>
      </c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5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5"/>
      <c r="AX2252" s="16"/>
    </row>
    <row r="2253" spans="2:50" x14ac:dyDescent="0.2">
      <c r="B2253" s="7" t="s">
        <v>69</v>
      </c>
      <c r="C2253" s="8">
        <v>12899</v>
      </c>
      <c r="D2253" s="9" t="s">
        <v>361</v>
      </c>
      <c r="E2253" s="10" t="s">
        <v>362</v>
      </c>
      <c r="F2253" s="10" t="s">
        <v>363</v>
      </c>
      <c r="G2253" s="8">
        <v>3</v>
      </c>
      <c r="H2253" s="11">
        <v>200</v>
      </c>
      <c r="I2253" s="12">
        <v>42631</v>
      </c>
      <c r="J2253" s="13">
        <f t="shared" si="77"/>
        <v>0</v>
      </c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5">
        <f t="shared" si="78"/>
        <v>0</v>
      </c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5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5"/>
      <c r="AX2253" s="16"/>
    </row>
    <row r="2254" spans="2:50" x14ac:dyDescent="0.2">
      <c r="B2254" s="7" t="s">
        <v>73</v>
      </c>
      <c r="C2254" s="8">
        <v>12900</v>
      </c>
      <c r="D2254" s="9" t="s">
        <v>115</v>
      </c>
      <c r="E2254" s="10" t="s">
        <v>116</v>
      </c>
      <c r="F2254" s="10" t="s">
        <v>117</v>
      </c>
      <c r="G2254" s="8">
        <v>1</v>
      </c>
      <c r="H2254" s="11">
        <v>150</v>
      </c>
      <c r="I2254" s="12">
        <v>42631</v>
      </c>
      <c r="J2254" s="13">
        <f t="shared" si="77"/>
        <v>0</v>
      </c>
      <c r="K2254" s="14"/>
      <c r="L2254" s="14"/>
      <c r="M2254" s="14"/>
      <c r="N2254" s="14"/>
      <c r="O2254" s="14"/>
      <c r="P2254" s="14"/>
      <c r="Q2254" s="14"/>
      <c r="R2254" s="14"/>
      <c r="S2254" s="14">
        <v>150</v>
      </c>
      <c r="T2254" s="14"/>
      <c r="U2254" s="14"/>
      <c r="V2254" s="14"/>
      <c r="W2254" s="15">
        <f t="shared" si="78"/>
        <v>150</v>
      </c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5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5"/>
      <c r="AX2254" s="16"/>
    </row>
    <row r="2255" spans="2:50" x14ac:dyDescent="0.2">
      <c r="B2255" s="7" t="s">
        <v>37</v>
      </c>
      <c r="C2255" s="8">
        <v>12901</v>
      </c>
      <c r="D2255" s="9" t="s">
        <v>840</v>
      </c>
      <c r="E2255" s="10" t="s">
        <v>841</v>
      </c>
      <c r="F2255" s="10" t="s">
        <v>842</v>
      </c>
      <c r="G2255" s="8">
        <v>1</v>
      </c>
      <c r="H2255" s="11">
        <v>800</v>
      </c>
      <c r="I2255" s="12">
        <v>42631</v>
      </c>
      <c r="J2255" s="13">
        <f t="shared" si="77"/>
        <v>0</v>
      </c>
      <c r="K2255" s="14"/>
      <c r="L2255" s="14"/>
      <c r="M2255" s="14"/>
      <c r="N2255" s="14"/>
      <c r="O2255" s="14"/>
      <c r="P2255" s="14"/>
      <c r="Q2255" s="14"/>
      <c r="R2255" s="14">
        <v>400</v>
      </c>
      <c r="S2255" s="14">
        <v>400</v>
      </c>
      <c r="T2255" s="14"/>
      <c r="U2255" s="14"/>
      <c r="V2255" s="14"/>
      <c r="W2255" s="15">
        <f t="shared" si="78"/>
        <v>800</v>
      </c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5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5"/>
      <c r="AX2255" s="16"/>
    </row>
    <row r="2256" spans="2:50" x14ac:dyDescent="0.2">
      <c r="B2256" s="7" t="s">
        <v>122</v>
      </c>
      <c r="C2256" s="8">
        <v>12902</v>
      </c>
      <c r="D2256" s="9" t="s">
        <v>310</v>
      </c>
      <c r="E2256" s="10" t="s">
        <v>311</v>
      </c>
      <c r="F2256" s="10" t="s">
        <v>312</v>
      </c>
      <c r="G2256" s="8">
        <v>5</v>
      </c>
      <c r="H2256" s="11">
        <v>50</v>
      </c>
      <c r="I2256" s="12">
        <v>42631</v>
      </c>
      <c r="J2256" s="13">
        <f t="shared" si="77"/>
        <v>0</v>
      </c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5">
        <f t="shared" si="78"/>
        <v>0</v>
      </c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5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5"/>
      <c r="AX2256" s="16"/>
    </row>
    <row r="2257" spans="2:50" x14ac:dyDescent="0.2">
      <c r="B2257" s="7" t="s">
        <v>37</v>
      </c>
      <c r="C2257" s="8">
        <v>12903</v>
      </c>
      <c r="D2257" s="9" t="s">
        <v>431</v>
      </c>
      <c r="E2257" s="10" t="s">
        <v>432</v>
      </c>
      <c r="F2257" s="10" t="s">
        <v>433</v>
      </c>
      <c r="G2257" s="8">
        <v>1</v>
      </c>
      <c r="H2257" s="11">
        <v>400</v>
      </c>
      <c r="I2257" s="12">
        <v>42631</v>
      </c>
      <c r="J2257" s="13">
        <f t="shared" si="77"/>
        <v>0</v>
      </c>
      <c r="K2257" s="14"/>
      <c r="L2257" s="14"/>
      <c r="M2257" s="14"/>
      <c r="N2257" s="14"/>
      <c r="O2257" s="14"/>
      <c r="P2257" s="14"/>
      <c r="Q2257" s="14"/>
      <c r="R2257" s="14">
        <v>400</v>
      </c>
      <c r="S2257" s="14"/>
      <c r="T2257" s="14"/>
      <c r="U2257" s="14"/>
      <c r="V2257" s="14"/>
      <c r="W2257" s="15">
        <f t="shared" si="78"/>
        <v>400</v>
      </c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5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5"/>
      <c r="AX2257" s="16"/>
    </row>
    <row r="2258" spans="2:50" x14ac:dyDescent="0.2">
      <c r="B2258" s="7" t="s">
        <v>37</v>
      </c>
      <c r="C2258" s="8">
        <v>12904</v>
      </c>
      <c r="D2258" s="9" t="s">
        <v>119</v>
      </c>
      <c r="E2258" s="10" t="s">
        <v>120</v>
      </c>
      <c r="F2258" s="10" t="s">
        <v>121</v>
      </c>
      <c r="G2258" s="8">
        <v>1</v>
      </c>
      <c r="H2258" s="11">
        <v>400</v>
      </c>
      <c r="I2258" s="12">
        <v>42631</v>
      </c>
      <c r="J2258" s="13">
        <f t="shared" si="77"/>
        <v>0</v>
      </c>
      <c r="K2258" s="14"/>
      <c r="L2258" s="14"/>
      <c r="M2258" s="14"/>
      <c r="N2258" s="14"/>
      <c r="O2258" s="14"/>
      <c r="P2258" s="14"/>
      <c r="Q2258" s="14"/>
      <c r="R2258" s="14">
        <v>400</v>
      </c>
      <c r="S2258" s="14"/>
      <c r="T2258" s="14"/>
      <c r="U2258" s="14"/>
      <c r="V2258" s="14"/>
      <c r="W2258" s="15">
        <f t="shared" si="78"/>
        <v>400</v>
      </c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5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5"/>
      <c r="AX2258" s="16"/>
    </row>
    <row r="2259" spans="2:50" x14ac:dyDescent="0.2">
      <c r="B2259" s="7" t="s">
        <v>391</v>
      </c>
      <c r="C2259" s="8">
        <v>12905</v>
      </c>
      <c r="D2259" s="9" t="s">
        <v>876</v>
      </c>
      <c r="E2259" s="10" t="s">
        <v>877</v>
      </c>
      <c r="F2259" s="10" t="s">
        <v>878</v>
      </c>
      <c r="G2259" s="8">
        <v>5</v>
      </c>
      <c r="H2259" s="11">
        <v>50</v>
      </c>
      <c r="I2259" s="12">
        <v>42631</v>
      </c>
      <c r="J2259" s="13">
        <f t="shared" si="77"/>
        <v>0</v>
      </c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5">
        <f t="shared" si="78"/>
        <v>0</v>
      </c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5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14"/>
      <c r="AW2259" s="15"/>
      <c r="AX2259" s="16"/>
    </row>
    <row r="2260" spans="2:50" x14ac:dyDescent="0.2">
      <c r="B2260" s="7" t="s">
        <v>37</v>
      </c>
      <c r="C2260" s="8">
        <v>12906</v>
      </c>
      <c r="D2260" s="9" t="s">
        <v>177</v>
      </c>
      <c r="E2260" s="10" t="s">
        <v>178</v>
      </c>
      <c r="F2260" s="10" t="s">
        <v>179</v>
      </c>
      <c r="G2260" s="8">
        <v>1</v>
      </c>
      <c r="H2260" s="11">
        <v>400</v>
      </c>
      <c r="I2260" s="12">
        <v>42631</v>
      </c>
      <c r="J2260" s="13">
        <f t="shared" si="77"/>
        <v>0</v>
      </c>
      <c r="K2260" s="14"/>
      <c r="L2260" s="14"/>
      <c r="M2260" s="14"/>
      <c r="N2260" s="14"/>
      <c r="O2260" s="14"/>
      <c r="P2260" s="14"/>
      <c r="Q2260" s="14"/>
      <c r="R2260" s="14"/>
      <c r="S2260" s="14">
        <v>400</v>
      </c>
      <c r="T2260" s="14"/>
      <c r="U2260" s="14"/>
      <c r="V2260" s="14"/>
      <c r="W2260" s="15">
        <f t="shared" si="78"/>
        <v>400</v>
      </c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5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5"/>
      <c r="AX2260" s="16"/>
    </row>
    <row r="2261" spans="2:50" x14ac:dyDescent="0.2">
      <c r="B2261" s="7" t="s">
        <v>37</v>
      </c>
      <c r="C2261" s="8">
        <v>12907</v>
      </c>
      <c r="D2261" s="9" t="s">
        <v>1020</v>
      </c>
      <c r="E2261" s="10" t="s">
        <v>1021</v>
      </c>
      <c r="F2261" s="10" t="s">
        <v>1022</v>
      </c>
      <c r="G2261" s="8">
        <v>1</v>
      </c>
      <c r="H2261" s="11">
        <v>400</v>
      </c>
      <c r="I2261" s="12">
        <v>42631</v>
      </c>
      <c r="J2261" s="13">
        <f t="shared" si="77"/>
        <v>0</v>
      </c>
      <c r="K2261" s="14"/>
      <c r="L2261" s="14"/>
      <c r="M2261" s="14"/>
      <c r="N2261" s="14"/>
      <c r="O2261" s="14"/>
      <c r="P2261" s="14"/>
      <c r="Q2261" s="14"/>
      <c r="R2261" s="14"/>
      <c r="S2261" s="14">
        <v>400</v>
      </c>
      <c r="T2261" s="14"/>
      <c r="U2261" s="14"/>
      <c r="V2261" s="14"/>
      <c r="W2261" s="15">
        <f t="shared" si="78"/>
        <v>400</v>
      </c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5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5"/>
      <c r="AX2261" s="16"/>
    </row>
    <row r="2262" spans="2:50" x14ac:dyDescent="0.2">
      <c r="B2262" s="7" t="s">
        <v>47</v>
      </c>
      <c r="C2262" s="8">
        <v>12908</v>
      </c>
      <c r="D2262" s="9" t="s">
        <v>968</v>
      </c>
      <c r="E2262" s="10" t="s">
        <v>969</v>
      </c>
      <c r="F2262" s="10" t="s">
        <v>970</v>
      </c>
      <c r="G2262" s="8">
        <v>1</v>
      </c>
      <c r="H2262" s="11">
        <v>1200</v>
      </c>
      <c r="I2262" s="12">
        <v>42631</v>
      </c>
      <c r="J2262" s="13">
        <f t="shared" si="77"/>
        <v>0</v>
      </c>
      <c r="K2262" s="14"/>
      <c r="L2262" s="14"/>
      <c r="M2262" s="14"/>
      <c r="N2262" s="14"/>
      <c r="O2262" s="14"/>
      <c r="P2262" s="14"/>
      <c r="Q2262" s="14">
        <v>400</v>
      </c>
      <c r="R2262" s="14">
        <v>400</v>
      </c>
      <c r="S2262" s="14">
        <v>400</v>
      </c>
      <c r="T2262" s="14"/>
      <c r="U2262" s="14"/>
      <c r="V2262" s="14"/>
      <c r="W2262" s="15">
        <f t="shared" si="78"/>
        <v>1200</v>
      </c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5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5"/>
      <c r="AX2262" s="16"/>
    </row>
    <row r="2263" spans="2:50" x14ac:dyDescent="0.2">
      <c r="B2263" s="7" t="s">
        <v>73</v>
      </c>
      <c r="C2263" s="8">
        <v>12909</v>
      </c>
      <c r="D2263" s="9" t="s">
        <v>1017</v>
      </c>
      <c r="E2263" s="10" t="s">
        <v>1018</v>
      </c>
      <c r="F2263" s="10" t="s">
        <v>1019</v>
      </c>
      <c r="G2263" s="8">
        <v>1</v>
      </c>
      <c r="H2263" s="11">
        <v>200</v>
      </c>
      <c r="I2263" s="12">
        <v>42631</v>
      </c>
      <c r="J2263" s="13">
        <f t="shared" si="77"/>
        <v>0</v>
      </c>
      <c r="K2263" s="14"/>
      <c r="L2263" s="14"/>
      <c r="M2263" s="14"/>
      <c r="N2263" s="14"/>
      <c r="O2263" s="14"/>
      <c r="P2263" s="14"/>
      <c r="Q2263" s="14"/>
      <c r="R2263" s="14"/>
      <c r="S2263" s="14">
        <v>200</v>
      </c>
      <c r="T2263" s="14"/>
      <c r="U2263" s="14"/>
      <c r="V2263" s="14"/>
      <c r="W2263" s="15">
        <f t="shared" si="78"/>
        <v>200</v>
      </c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5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5"/>
      <c r="AX2263" s="16"/>
    </row>
    <row r="2264" spans="2:50" x14ac:dyDescent="0.2">
      <c r="B2264" s="7" t="s">
        <v>73</v>
      </c>
      <c r="C2264" s="8">
        <v>12910</v>
      </c>
      <c r="D2264" s="9" t="s">
        <v>485</v>
      </c>
      <c r="E2264" s="10" t="s">
        <v>486</v>
      </c>
      <c r="F2264" s="10" t="s">
        <v>487</v>
      </c>
      <c r="G2264" s="8">
        <v>1</v>
      </c>
      <c r="H2264" s="11">
        <v>400</v>
      </c>
      <c r="I2264" s="12">
        <v>42631</v>
      </c>
      <c r="J2264" s="13">
        <f t="shared" si="77"/>
        <v>0</v>
      </c>
      <c r="K2264" s="14"/>
      <c r="L2264" s="14"/>
      <c r="M2264" s="14"/>
      <c r="N2264" s="14"/>
      <c r="O2264" s="14"/>
      <c r="P2264" s="14"/>
      <c r="Q2264" s="14"/>
      <c r="R2264" s="14">
        <v>400</v>
      </c>
      <c r="S2264" s="14"/>
      <c r="T2264" s="14"/>
      <c r="U2264" s="14"/>
      <c r="V2264" s="14"/>
      <c r="W2264" s="15">
        <f t="shared" si="78"/>
        <v>400</v>
      </c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5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5"/>
      <c r="AX2264" s="16"/>
    </row>
    <row r="2265" spans="2:50" x14ac:dyDescent="0.2">
      <c r="B2265" s="7" t="s">
        <v>47</v>
      </c>
      <c r="C2265" s="8">
        <v>12911</v>
      </c>
      <c r="D2265" s="9" t="s">
        <v>699</v>
      </c>
      <c r="E2265" s="10" t="s">
        <v>700</v>
      </c>
      <c r="F2265" s="10" t="s">
        <v>701</v>
      </c>
      <c r="G2265" s="8">
        <v>1</v>
      </c>
      <c r="H2265" s="11">
        <v>1200</v>
      </c>
      <c r="I2265" s="12">
        <v>42631</v>
      </c>
      <c r="J2265" s="13">
        <f t="shared" si="77"/>
        <v>0</v>
      </c>
      <c r="K2265" s="14"/>
      <c r="L2265" s="14"/>
      <c r="M2265" s="14"/>
      <c r="N2265" s="14"/>
      <c r="O2265" s="14"/>
      <c r="P2265" s="14"/>
      <c r="Q2265" s="14">
        <v>400</v>
      </c>
      <c r="R2265" s="14">
        <v>400</v>
      </c>
      <c r="S2265" s="14">
        <v>400</v>
      </c>
      <c r="T2265" s="14"/>
      <c r="U2265" s="14"/>
      <c r="V2265" s="14"/>
      <c r="W2265" s="15">
        <f t="shared" si="78"/>
        <v>1200</v>
      </c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5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5"/>
      <c r="AX2265" s="16"/>
    </row>
    <row r="2266" spans="2:50" x14ac:dyDescent="0.2">
      <c r="B2266" s="7" t="s">
        <v>47</v>
      </c>
      <c r="C2266" s="8">
        <v>12912</v>
      </c>
      <c r="D2266" s="9" t="s">
        <v>699</v>
      </c>
      <c r="E2266" s="10" t="s">
        <v>700</v>
      </c>
      <c r="F2266" s="10" t="s">
        <v>701</v>
      </c>
      <c r="G2266" s="8">
        <v>5</v>
      </c>
      <c r="H2266" s="11">
        <v>50</v>
      </c>
      <c r="I2266" s="12">
        <v>42631</v>
      </c>
      <c r="J2266" s="13">
        <f t="shared" si="77"/>
        <v>0</v>
      </c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5">
        <f t="shared" si="78"/>
        <v>0</v>
      </c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5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5"/>
      <c r="AX2266" s="16"/>
    </row>
    <row r="2267" spans="2:50" x14ac:dyDescent="0.2">
      <c r="B2267" s="7" t="s">
        <v>47</v>
      </c>
      <c r="C2267" s="8">
        <v>12913</v>
      </c>
      <c r="D2267" s="9" t="s">
        <v>404</v>
      </c>
      <c r="E2267" s="10" t="s">
        <v>405</v>
      </c>
      <c r="F2267" s="10" t="s">
        <v>406</v>
      </c>
      <c r="G2267" s="8">
        <v>1</v>
      </c>
      <c r="H2267" s="11">
        <v>400</v>
      </c>
      <c r="I2267" s="12">
        <v>42631</v>
      </c>
      <c r="J2267" s="13">
        <f t="shared" si="77"/>
        <v>0</v>
      </c>
      <c r="K2267" s="14"/>
      <c r="L2267" s="14"/>
      <c r="M2267" s="14"/>
      <c r="N2267" s="14"/>
      <c r="O2267" s="14"/>
      <c r="P2267" s="14"/>
      <c r="Q2267" s="14"/>
      <c r="R2267" s="14"/>
      <c r="S2267" s="14">
        <v>400</v>
      </c>
      <c r="T2267" s="14"/>
      <c r="U2267" s="14"/>
      <c r="V2267" s="14"/>
      <c r="W2267" s="15">
        <f t="shared" si="78"/>
        <v>400</v>
      </c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5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5"/>
      <c r="AX2267" s="16"/>
    </row>
    <row r="2268" spans="2:50" x14ac:dyDescent="0.2">
      <c r="B2268" s="7" t="s">
        <v>73</v>
      </c>
      <c r="C2268" s="8">
        <v>12914</v>
      </c>
      <c r="D2268" s="9" t="s">
        <v>1200</v>
      </c>
      <c r="E2268" s="10" t="s">
        <v>1201</v>
      </c>
      <c r="F2268" s="10" t="s">
        <v>1202</v>
      </c>
      <c r="G2268" s="8">
        <v>1</v>
      </c>
      <c r="H2268" s="11">
        <v>500</v>
      </c>
      <c r="I2268" s="12">
        <v>42631</v>
      </c>
      <c r="J2268" s="13">
        <f t="shared" si="77"/>
        <v>0</v>
      </c>
      <c r="K2268" s="14">
        <v>250</v>
      </c>
      <c r="L2268" s="14">
        <v>250</v>
      </c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5">
        <f t="shared" si="78"/>
        <v>500</v>
      </c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5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5"/>
      <c r="AX2268" s="16"/>
    </row>
    <row r="2269" spans="2:50" x14ac:dyDescent="0.2">
      <c r="B2269" s="7" t="s">
        <v>77</v>
      </c>
      <c r="C2269" s="8">
        <v>12915</v>
      </c>
      <c r="D2269" s="9" t="s">
        <v>455</v>
      </c>
      <c r="E2269" s="10" t="s">
        <v>456</v>
      </c>
      <c r="F2269" s="10" t="s">
        <v>457</v>
      </c>
      <c r="G2269" s="8">
        <v>1</v>
      </c>
      <c r="H2269" s="11">
        <v>800</v>
      </c>
      <c r="I2269" s="12">
        <v>42631</v>
      </c>
      <c r="J2269" s="13">
        <f t="shared" si="77"/>
        <v>0</v>
      </c>
      <c r="K2269" s="14"/>
      <c r="L2269" s="14"/>
      <c r="M2269" s="14"/>
      <c r="N2269" s="14"/>
      <c r="O2269" s="14"/>
      <c r="P2269" s="14"/>
      <c r="Q2269" s="14"/>
      <c r="R2269" s="14">
        <v>400</v>
      </c>
      <c r="S2269" s="14">
        <v>400</v>
      </c>
      <c r="T2269" s="14"/>
      <c r="U2269" s="14"/>
      <c r="V2269" s="14"/>
      <c r="W2269" s="15">
        <f t="shared" si="78"/>
        <v>800</v>
      </c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5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5"/>
      <c r="AX2269" s="16"/>
    </row>
    <row r="2270" spans="2:50" x14ac:dyDescent="0.2">
      <c r="B2270" s="7" t="s">
        <v>77</v>
      </c>
      <c r="C2270" s="8">
        <v>12915</v>
      </c>
      <c r="D2270" s="9" t="s">
        <v>455</v>
      </c>
      <c r="E2270" s="10" t="s">
        <v>456</v>
      </c>
      <c r="F2270" s="10" t="s">
        <v>457</v>
      </c>
      <c r="G2270" s="8">
        <v>5</v>
      </c>
      <c r="H2270" s="11">
        <v>50</v>
      </c>
      <c r="I2270" s="12">
        <v>42631</v>
      </c>
      <c r="J2270" s="13">
        <f t="shared" si="77"/>
        <v>0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5">
        <f t="shared" si="78"/>
        <v>0</v>
      </c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5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5"/>
      <c r="AX2270" s="16"/>
    </row>
    <row r="2271" spans="2:50" x14ac:dyDescent="0.2">
      <c r="B2271" s="7" t="s">
        <v>73</v>
      </c>
      <c r="C2271" s="8">
        <v>12916</v>
      </c>
      <c r="D2271" s="9" t="s">
        <v>1200</v>
      </c>
      <c r="E2271" s="10" t="s">
        <v>1201</v>
      </c>
      <c r="F2271" s="10" t="s">
        <v>1202</v>
      </c>
      <c r="G2271" s="8">
        <v>5</v>
      </c>
      <c r="H2271" s="11">
        <v>50</v>
      </c>
      <c r="I2271" s="12">
        <v>42631</v>
      </c>
      <c r="J2271" s="13">
        <f t="shared" si="77"/>
        <v>0</v>
      </c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5">
        <f t="shared" si="78"/>
        <v>0</v>
      </c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5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5"/>
      <c r="AX2271" s="16"/>
    </row>
    <row r="2272" spans="2:50" x14ac:dyDescent="0.2">
      <c r="B2272" s="7" t="s">
        <v>69</v>
      </c>
      <c r="C2272" s="8">
        <v>12917</v>
      </c>
      <c r="D2272" s="9" t="s">
        <v>1122</v>
      </c>
      <c r="E2272" s="10" t="s">
        <v>1123</v>
      </c>
      <c r="F2272" s="10" t="s">
        <v>1124</v>
      </c>
      <c r="G2272" s="8">
        <v>1</v>
      </c>
      <c r="H2272" s="11">
        <v>100</v>
      </c>
      <c r="I2272" s="12">
        <v>42631</v>
      </c>
      <c r="J2272" s="13">
        <f t="shared" si="77"/>
        <v>0</v>
      </c>
      <c r="K2272" s="14"/>
      <c r="L2272" s="14"/>
      <c r="M2272" s="14"/>
      <c r="N2272" s="14"/>
      <c r="O2272" s="14"/>
      <c r="P2272" s="14"/>
      <c r="Q2272" s="14"/>
      <c r="R2272" s="14"/>
      <c r="S2272" s="14">
        <v>100</v>
      </c>
      <c r="T2272" s="14"/>
      <c r="U2272" s="14"/>
      <c r="V2272" s="14"/>
      <c r="W2272" s="15">
        <f t="shared" si="78"/>
        <v>100</v>
      </c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5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5"/>
      <c r="AX2272" s="16"/>
    </row>
    <row r="2273" spans="2:50" x14ac:dyDescent="0.2">
      <c r="B2273" s="7" t="s">
        <v>69</v>
      </c>
      <c r="C2273" s="8">
        <v>12918</v>
      </c>
      <c r="D2273" s="9" t="s">
        <v>428</v>
      </c>
      <c r="E2273" s="10" t="s">
        <v>429</v>
      </c>
      <c r="F2273" s="10" t="s">
        <v>430</v>
      </c>
      <c r="G2273" s="8">
        <v>5</v>
      </c>
      <c r="H2273" s="11">
        <v>150</v>
      </c>
      <c r="I2273" s="12">
        <v>42631</v>
      </c>
      <c r="J2273" s="13">
        <f t="shared" si="77"/>
        <v>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5">
        <f t="shared" si="78"/>
        <v>0</v>
      </c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5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5"/>
      <c r="AX2273" s="16"/>
    </row>
    <row r="2274" spans="2:50" x14ac:dyDescent="0.2">
      <c r="B2274" s="7" t="s">
        <v>93</v>
      </c>
      <c r="C2274" s="8">
        <v>12919</v>
      </c>
      <c r="D2274" s="9"/>
      <c r="E2274" s="10" t="s">
        <v>93</v>
      </c>
      <c r="F2274" s="10" t="s">
        <v>93</v>
      </c>
      <c r="G2274" s="8">
        <v>8</v>
      </c>
      <c r="H2274" s="11"/>
      <c r="I2274" s="12"/>
      <c r="J2274" s="13">
        <f t="shared" si="77"/>
        <v>0</v>
      </c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5">
        <f t="shared" si="78"/>
        <v>0</v>
      </c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5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5"/>
      <c r="AX2274" s="16"/>
    </row>
    <row r="2275" spans="2:50" x14ac:dyDescent="0.2">
      <c r="B2275" s="7" t="s">
        <v>93</v>
      </c>
      <c r="C2275" s="8">
        <v>12920</v>
      </c>
      <c r="D2275" s="9"/>
      <c r="E2275" s="10" t="s">
        <v>93</v>
      </c>
      <c r="F2275" s="10" t="s">
        <v>93</v>
      </c>
      <c r="G2275" s="8">
        <v>8</v>
      </c>
      <c r="H2275" s="11"/>
      <c r="I2275" s="12"/>
      <c r="J2275" s="13">
        <f t="shared" ref="J2275:J2338" si="79">IF(G2275=1,SUM(W2275,-H2275),0)</f>
        <v>0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5">
        <f t="shared" ref="W2275:W2338" si="80">SUM(K2275:V2275)</f>
        <v>0</v>
      </c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5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5"/>
      <c r="AX2275" s="16"/>
    </row>
    <row r="2276" spans="2:50" x14ac:dyDescent="0.2">
      <c r="B2276" s="7" t="s">
        <v>77</v>
      </c>
      <c r="C2276" s="8">
        <v>12921</v>
      </c>
      <c r="D2276" s="9" t="s">
        <v>286</v>
      </c>
      <c r="E2276" s="10" t="s">
        <v>287</v>
      </c>
      <c r="F2276" s="10" t="s">
        <v>288</v>
      </c>
      <c r="G2276" s="8">
        <v>1</v>
      </c>
      <c r="H2276" s="11">
        <v>400</v>
      </c>
      <c r="I2276" s="12">
        <v>42631</v>
      </c>
      <c r="J2276" s="13">
        <f t="shared" si="79"/>
        <v>0</v>
      </c>
      <c r="K2276" s="14"/>
      <c r="L2276" s="14"/>
      <c r="M2276" s="14"/>
      <c r="N2276" s="14"/>
      <c r="O2276" s="14"/>
      <c r="P2276" s="14"/>
      <c r="Q2276" s="14"/>
      <c r="R2276" s="14"/>
      <c r="S2276" s="14">
        <v>400</v>
      </c>
      <c r="T2276" s="14"/>
      <c r="U2276" s="14"/>
      <c r="V2276" s="14"/>
      <c r="W2276" s="15">
        <f t="shared" si="80"/>
        <v>400</v>
      </c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5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14"/>
      <c r="AW2276" s="15"/>
      <c r="AX2276" s="16"/>
    </row>
    <row r="2277" spans="2:50" x14ac:dyDescent="0.2">
      <c r="B2277" s="7" t="s">
        <v>77</v>
      </c>
      <c r="C2277" s="8">
        <v>12922</v>
      </c>
      <c r="D2277" s="9" t="s">
        <v>286</v>
      </c>
      <c r="E2277" s="10" t="s">
        <v>287</v>
      </c>
      <c r="F2277" s="10" t="s">
        <v>288</v>
      </c>
      <c r="G2277" s="8">
        <v>5</v>
      </c>
      <c r="H2277" s="11">
        <v>100</v>
      </c>
      <c r="I2277" s="12">
        <v>42631</v>
      </c>
      <c r="J2277" s="13">
        <f t="shared" si="79"/>
        <v>0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5">
        <f t="shared" si="80"/>
        <v>0</v>
      </c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5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5"/>
      <c r="AX2277" s="16"/>
    </row>
    <row r="2278" spans="2:50" x14ac:dyDescent="0.2">
      <c r="B2278" s="7" t="s">
        <v>77</v>
      </c>
      <c r="C2278" s="8">
        <v>12923</v>
      </c>
      <c r="D2278" s="9" t="s">
        <v>286</v>
      </c>
      <c r="E2278" s="10" t="s">
        <v>287</v>
      </c>
      <c r="F2278" s="10" t="s">
        <v>288</v>
      </c>
      <c r="G2278" s="8">
        <v>5</v>
      </c>
      <c r="H2278" s="11">
        <v>50</v>
      </c>
      <c r="I2278" s="12">
        <v>42632</v>
      </c>
      <c r="J2278" s="13">
        <f t="shared" si="79"/>
        <v>0</v>
      </c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5">
        <f t="shared" si="80"/>
        <v>0</v>
      </c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5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5"/>
      <c r="AX2278" s="16"/>
    </row>
    <row r="2279" spans="2:50" x14ac:dyDescent="0.2">
      <c r="B2279" s="7" t="s">
        <v>61</v>
      </c>
      <c r="C2279" s="8">
        <v>12924</v>
      </c>
      <c r="D2279" s="9" t="s">
        <v>340</v>
      </c>
      <c r="E2279" s="10" t="s">
        <v>341</v>
      </c>
      <c r="F2279" s="10" t="s">
        <v>342</v>
      </c>
      <c r="G2279" s="8">
        <v>1</v>
      </c>
      <c r="H2279" s="11">
        <v>2400</v>
      </c>
      <c r="I2279" s="12">
        <v>42632</v>
      </c>
      <c r="J2279" s="13">
        <f t="shared" si="79"/>
        <v>0</v>
      </c>
      <c r="K2279" s="14"/>
      <c r="L2279" s="14"/>
      <c r="M2279" s="14"/>
      <c r="N2279" s="14">
        <v>400</v>
      </c>
      <c r="O2279" s="14">
        <v>400</v>
      </c>
      <c r="P2279" s="14">
        <v>400</v>
      </c>
      <c r="Q2279" s="14">
        <v>400</v>
      </c>
      <c r="R2279" s="14">
        <v>400</v>
      </c>
      <c r="S2279" s="14">
        <v>400</v>
      </c>
      <c r="T2279" s="14"/>
      <c r="U2279" s="14"/>
      <c r="V2279" s="14"/>
      <c r="W2279" s="15">
        <f t="shared" si="80"/>
        <v>2400</v>
      </c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5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5"/>
      <c r="AX2279" s="16"/>
    </row>
    <row r="2280" spans="2:50" x14ac:dyDescent="0.2">
      <c r="B2280" s="7" t="s">
        <v>69</v>
      </c>
      <c r="C2280" s="8">
        <v>12925</v>
      </c>
      <c r="D2280" s="9" t="s">
        <v>373</v>
      </c>
      <c r="E2280" s="10" t="s">
        <v>374</v>
      </c>
      <c r="F2280" s="10" t="s">
        <v>375</v>
      </c>
      <c r="G2280" s="8">
        <v>1</v>
      </c>
      <c r="H2280" s="11">
        <v>400</v>
      </c>
      <c r="I2280" s="12">
        <v>42633</v>
      </c>
      <c r="J2280" s="13">
        <f t="shared" si="79"/>
        <v>0</v>
      </c>
      <c r="K2280" s="14"/>
      <c r="L2280" s="14"/>
      <c r="M2280" s="14"/>
      <c r="N2280" s="14"/>
      <c r="O2280" s="14"/>
      <c r="P2280" s="14"/>
      <c r="Q2280" s="14"/>
      <c r="R2280" s="14"/>
      <c r="S2280" s="14">
        <v>400</v>
      </c>
      <c r="T2280" s="14"/>
      <c r="U2280" s="14"/>
      <c r="V2280" s="14"/>
      <c r="W2280" s="15">
        <f t="shared" si="80"/>
        <v>400</v>
      </c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5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5"/>
      <c r="AX2280" s="16"/>
    </row>
    <row r="2281" spans="2:50" x14ac:dyDescent="0.2">
      <c r="B2281" s="7" t="s">
        <v>37</v>
      </c>
      <c r="C2281" s="8">
        <v>12926</v>
      </c>
      <c r="D2281" s="9" t="s">
        <v>488</v>
      </c>
      <c r="E2281" s="10" t="s">
        <v>489</v>
      </c>
      <c r="F2281" s="10" t="s">
        <v>490</v>
      </c>
      <c r="G2281" s="8">
        <v>1</v>
      </c>
      <c r="H2281" s="11">
        <v>400</v>
      </c>
      <c r="I2281" s="12">
        <v>42633</v>
      </c>
      <c r="J2281" s="13">
        <f t="shared" si="79"/>
        <v>0</v>
      </c>
      <c r="K2281" s="14"/>
      <c r="L2281" s="14"/>
      <c r="M2281" s="14"/>
      <c r="N2281" s="14"/>
      <c r="O2281" s="14"/>
      <c r="P2281" s="14"/>
      <c r="Q2281" s="14"/>
      <c r="R2281" s="14"/>
      <c r="S2281" s="14">
        <v>400</v>
      </c>
      <c r="T2281" s="14"/>
      <c r="U2281" s="14"/>
      <c r="V2281" s="14"/>
      <c r="W2281" s="15">
        <f t="shared" si="80"/>
        <v>400</v>
      </c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5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5"/>
      <c r="AX2281" s="16"/>
    </row>
    <row r="2282" spans="2:50" x14ac:dyDescent="0.2">
      <c r="B2282" s="7" t="s">
        <v>37</v>
      </c>
      <c r="C2282" s="8">
        <v>12927</v>
      </c>
      <c r="D2282" s="9" t="s">
        <v>226</v>
      </c>
      <c r="E2282" s="10" t="s">
        <v>227</v>
      </c>
      <c r="F2282" s="10" t="s">
        <v>228</v>
      </c>
      <c r="G2282" s="8">
        <v>1</v>
      </c>
      <c r="H2282" s="11">
        <v>200</v>
      </c>
      <c r="I2282" s="12">
        <v>42633</v>
      </c>
      <c r="J2282" s="13">
        <f t="shared" si="79"/>
        <v>0</v>
      </c>
      <c r="K2282" s="14"/>
      <c r="L2282" s="14"/>
      <c r="M2282" s="14"/>
      <c r="N2282" s="14"/>
      <c r="O2282" s="14"/>
      <c r="P2282" s="14"/>
      <c r="Q2282" s="14"/>
      <c r="R2282" s="14"/>
      <c r="S2282" s="14">
        <v>200</v>
      </c>
      <c r="T2282" s="14"/>
      <c r="U2282" s="14"/>
      <c r="V2282" s="14"/>
      <c r="W2282" s="15">
        <f t="shared" si="80"/>
        <v>200</v>
      </c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5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5"/>
      <c r="AX2282" s="16"/>
    </row>
    <row r="2283" spans="2:50" x14ac:dyDescent="0.2">
      <c r="B2283" s="7" t="s">
        <v>37</v>
      </c>
      <c r="C2283" s="8">
        <v>12928</v>
      </c>
      <c r="D2283" s="9" t="s">
        <v>443</v>
      </c>
      <c r="E2283" s="10" t="s">
        <v>444</v>
      </c>
      <c r="F2283" s="10" t="s">
        <v>445</v>
      </c>
      <c r="G2283" s="8">
        <v>3</v>
      </c>
      <c r="H2283" s="11">
        <v>200</v>
      </c>
      <c r="I2283" s="12">
        <v>42635</v>
      </c>
      <c r="J2283" s="13">
        <f t="shared" si="79"/>
        <v>0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5">
        <f t="shared" si="80"/>
        <v>0</v>
      </c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5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5"/>
      <c r="AX2283" s="16"/>
    </row>
    <row r="2284" spans="2:50" x14ac:dyDescent="0.2">
      <c r="B2284" s="7" t="s">
        <v>37</v>
      </c>
      <c r="C2284" s="8">
        <v>12928</v>
      </c>
      <c r="D2284" s="9" t="s">
        <v>443</v>
      </c>
      <c r="E2284" s="10" t="s">
        <v>444</v>
      </c>
      <c r="F2284" s="10" t="s">
        <v>445</v>
      </c>
      <c r="G2284" s="8">
        <v>5</v>
      </c>
      <c r="H2284" s="11">
        <v>50</v>
      </c>
      <c r="I2284" s="12">
        <v>42635</v>
      </c>
      <c r="J2284" s="13">
        <f t="shared" si="79"/>
        <v>0</v>
      </c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5">
        <f t="shared" si="80"/>
        <v>0</v>
      </c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5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5"/>
      <c r="AX2284" s="16"/>
    </row>
    <row r="2285" spans="2:50" x14ac:dyDescent="0.2">
      <c r="B2285" s="7" t="s">
        <v>122</v>
      </c>
      <c r="C2285" s="8">
        <v>12929</v>
      </c>
      <c r="D2285" s="9" t="s">
        <v>220</v>
      </c>
      <c r="E2285" s="10" t="s">
        <v>221</v>
      </c>
      <c r="F2285" s="10" t="s">
        <v>222</v>
      </c>
      <c r="G2285" s="8">
        <v>1</v>
      </c>
      <c r="H2285" s="11">
        <v>300</v>
      </c>
      <c r="I2285" s="12">
        <v>42635</v>
      </c>
      <c r="J2285" s="13">
        <f t="shared" si="79"/>
        <v>0</v>
      </c>
      <c r="K2285" s="14"/>
      <c r="L2285" s="14"/>
      <c r="M2285" s="14"/>
      <c r="N2285" s="14"/>
      <c r="O2285" s="14"/>
      <c r="P2285" s="14"/>
      <c r="Q2285" s="14"/>
      <c r="R2285" s="14"/>
      <c r="S2285" s="14">
        <v>300</v>
      </c>
      <c r="T2285" s="14"/>
      <c r="U2285" s="14"/>
      <c r="V2285" s="14"/>
      <c r="W2285" s="15">
        <f t="shared" si="80"/>
        <v>300</v>
      </c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5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5"/>
      <c r="AX2285" s="16"/>
    </row>
    <row r="2286" spans="2:50" x14ac:dyDescent="0.2">
      <c r="B2286" s="7" t="s">
        <v>122</v>
      </c>
      <c r="C2286" s="8">
        <v>12930</v>
      </c>
      <c r="D2286" s="9" t="s">
        <v>220</v>
      </c>
      <c r="E2286" s="10" t="s">
        <v>221</v>
      </c>
      <c r="F2286" s="10" t="s">
        <v>222</v>
      </c>
      <c r="G2286" s="8">
        <v>5</v>
      </c>
      <c r="H2286" s="11">
        <v>100</v>
      </c>
      <c r="I2286" s="12">
        <v>42635</v>
      </c>
      <c r="J2286" s="13">
        <f t="shared" si="79"/>
        <v>0</v>
      </c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5">
        <f t="shared" si="80"/>
        <v>0</v>
      </c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5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5"/>
      <c r="AX2286" s="16"/>
    </row>
    <row r="2287" spans="2:50" x14ac:dyDescent="0.2">
      <c r="B2287" s="7" t="s">
        <v>47</v>
      </c>
      <c r="C2287" s="8">
        <v>12931</v>
      </c>
      <c r="D2287" s="9" t="s">
        <v>807</v>
      </c>
      <c r="E2287" s="10" t="s">
        <v>808</v>
      </c>
      <c r="F2287" s="10" t="s">
        <v>809</v>
      </c>
      <c r="G2287" s="8">
        <v>1</v>
      </c>
      <c r="H2287" s="11">
        <v>400</v>
      </c>
      <c r="I2287" s="12">
        <v>42635</v>
      </c>
      <c r="J2287" s="13">
        <f t="shared" si="79"/>
        <v>0</v>
      </c>
      <c r="K2287" s="14"/>
      <c r="L2287" s="14"/>
      <c r="M2287" s="14"/>
      <c r="N2287" s="14"/>
      <c r="O2287" s="14"/>
      <c r="P2287" s="14"/>
      <c r="Q2287" s="14">
        <v>200</v>
      </c>
      <c r="R2287" s="14">
        <v>200</v>
      </c>
      <c r="S2287" s="14"/>
      <c r="T2287" s="14"/>
      <c r="U2287" s="14"/>
      <c r="V2287" s="14"/>
      <c r="W2287" s="15">
        <f t="shared" si="80"/>
        <v>400</v>
      </c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5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14"/>
      <c r="AW2287" s="15"/>
      <c r="AX2287" s="16"/>
    </row>
    <row r="2288" spans="2:50" x14ac:dyDescent="0.2">
      <c r="B2288" s="7" t="s">
        <v>37</v>
      </c>
      <c r="C2288" s="8">
        <v>12932</v>
      </c>
      <c r="D2288" s="9" t="s">
        <v>512</v>
      </c>
      <c r="E2288" s="10" t="s">
        <v>513</v>
      </c>
      <c r="F2288" s="10" t="s">
        <v>511</v>
      </c>
      <c r="G2288" s="8">
        <v>1</v>
      </c>
      <c r="H2288" s="11">
        <v>400</v>
      </c>
      <c r="I2288" s="12">
        <v>42638</v>
      </c>
      <c r="J2288" s="13">
        <f t="shared" si="79"/>
        <v>0</v>
      </c>
      <c r="K2288" s="14"/>
      <c r="L2288" s="14"/>
      <c r="M2288" s="14"/>
      <c r="N2288" s="14"/>
      <c r="O2288" s="14"/>
      <c r="P2288" s="14"/>
      <c r="Q2288" s="14"/>
      <c r="R2288" s="14"/>
      <c r="S2288" s="14">
        <v>400</v>
      </c>
      <c r="T2288" s="14"/>
      <c r="U2288" s="14"/>
      <c r="V2288" s="14"/>
      <c r="W2288" s="15">
        <f t="shared" si="80"/>
        <v>400</v>
      </c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5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5"/>
      <c r="AX2288" s="16"/>
    </row>
    <row r="2289" spans="2:50" x14ac:dyDescent="0.2">
      <c r="B2289" s="7" t="s">
        <v>73</v>
      </c>
      <c r="C2289" s="8">
        <v>12933</v>
      </c>
      <c r="D2289" s="9" t="s">
        <v>1055</v>
      </c>
      <c r="E2289" s="10" t="s">
        <v>1056</v>
      </c>
      <c r="F2289" s="10" t="s">
        <v>1057</v>
      </c>
      <c r="G2289" s="8">
        <v>1</v>
      </c>
      <c r="H2289" s="11">
        <v>200</v>
      </c>
      <c r="I2289" s="12">
        <v>42638</v>
      </c>
      <c r="J2289" s="13">
        <f t="shared" si="79"/>
        <v>0</v>
      </c>
      <c r="K2289" s="14"/>
      <c r="L2289" s="14"/>
      <c r="M2289" s="14"/>
      <c r="N2289" s="14"/>
      <c r="O2289" s="14"/>
      <c r="P2289" s="14"/>
      <c r="Q2289" s="14"/>
      <c r="R2289" s="14"/>
      <c r="S2289" s="14">
        <v>200</v>
      </c>
      <c r="T2289" s="14"/>
      <c r="U2289" s="14"/>
      <c r="V2289" s="14"/>
      <c r="W2289" s="15">
        <f t="shared" si="80"/>
        <v>200</v>
      </c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5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5"/>
      <c r="AX2289" s="16"/>
    </row>
    <row r="2290" spans="2:50" x14ac:dyDescent="0.2">
      <c r="B2290" s="7" t="s">
        <v>47</v>
      </c>
      <c r="C2290" s="8">
        <v>12934</v>
      </c>
      <c r="D2290" s="9" t="s">
        <v>746</v>
      </c>
      <c r="E2290" s="10" t="s">
        <v>747</v>
      </c>
      <c r="F2290" s="10" t="s">
        <v>748</v>
      </c>
      <c r="G2290" s="8">
        <v>1</v>
      </c>
      <c r="H2290" s="11">
        <v>900</v>
      </c>
      <c r="I2290" s="12">
        <v>42638</v>
      </c>
      <c r="J2290" s="13">
        <f t="shared" si="79"/>
        <v>0</v>
      </c>
      <c r="K2290" s="14"/>
      <c r="L2290" s="14"/>
      <c r="M2290" s="14"/>
      <c r="N2290" s="14"/>
      <c r="O2290" s="14"/>
      <c r="P2290" s="14"/>
      <c r="Q2290" s="14"/>
      <c r="R2290" s="14">
        <v>300</v>
      </c>
      <c r="S2290" s="14">
        <v>300</v>
      </c>
      <c r="T2290" s="14">
        <v>300</v>
      </c>
      <c r="U2290" s="14"/>
      <c r="V2290" s="14"/>
      <c r="W2290" s="15">
        <f t="shared" si="80"/>
        <v>900</v>
      </c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5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5"/>
      <c r="AX2290" s="16"/>
    </row>
    <row r="2291" spans="2:50" x14ac:dyDescent="0.2">
      <c r="B2291" s="7" t="s">
        <v>77</v>
      </c>
      <c r="C2291" s="8">
        <v>12935</v>
      </c>
      <c r="D2291" s="9" t="s">
        <v>820</v>
      </c>
      <c r="E2291" s="10" t="s">
        <v>821</v>
      </c>
      <c r="F2291" s="10" t="s">
        <v>822</v>
      </c>
      <c r="G2291" s="8">
        <v>1</v>
      </c>
      <c r="H2291" s="11">
        <v>300</v>
      </c>
      <c r="I2291" s="12">
        <v>42638</v>
      </c>
      <c r="J2291" s="13">
        <f t="shared" si="79"/>
        <v>0</v>
      </c>
      <c r="K2291" s="14"/>
      <c r="L2291" s="14"/>
      <c r="M2291" s="14"/>
      <c r="N2291" s="14"/>
      <c r="O2291" s="14"/>
      <c r="P2291" s="14"/>
      <c r="Q2291" s="14"/>
      <c r="R2291" s="14"/>
      <c r="S2291" s="14">
        <v>300</v>
      </c>
      <c r="T2291" s="14"/>
      <c r="U2291" s="14"/>
      <c r="V2291" s="14"/>
      <c r="W2291" s="15">
        <f t="shared" si="80"/>
        <v>300</v>
      </c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5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5"/>
      <c r="AX2291" s="16"/>
    </row>
    <row r="2292" spans="2:50" x14ac:dyDescent="0.2">
      <c r="B2292" s="7" t="s">
        <v>47</v>
      </c>
      <c r="C2292" s="8">
        <v>12936</v>
      </c>
      <c r="D2292" s="9" t="s">
        <v>950</v>
      </c>
      <c r="E2292" s="10" t="s">
        <v>951</v>
      </c>
      <c r="F2292" s="10" t="s">
        <v>952</v>
      </c>
      <c r="G2292" s="8">
        <v>1</v>
      </c>
      <c r="H2292" s="11">
        <v>400</v>
      </c>
      <c r="I2292" s="12">
        <v>42638</v>
      </c>
      <c r="J2292" s="13">
        <f t="shared" si="79"/>
        <v>0</v>
      </c>
      <c r="K2292" s="14"/>
      <c r="L2292" s="14"/>
      <c r="M2292" s="14"/>
      <c r="N2292" s="14"/>
      <c r="O2292" s="14"/>
      <c r="P2292" s="14"/>
      <c r="Q2292" s="14"/>
      <c r="R2292" s="14">
        <v>400</v>
      </c>
      <c r="S2292" s="14"/>
      <c r="T2292" s="14"/>
      <c r="U2292" s="14"/>
      <c r="V2292" s="14"/>
      <c r="W2292" s="15">
        <f t="shared" si="80"/>
        <v>400</v>
      </c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5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5"/>
      <c r="AX2292" s="16"/>
    </row>
    <row r="2293" spans="2:50" x14ac:dyDescent="0.2">
      <c r="B2293" s="7" t="s">
        <v>122</v>
      </c>
      <c r="C2293" s="8">
        <v>12937</v>
      </c>
      <c r="D2293" s="9" t="s">
        <v>331</v>
      </c>
      <c r="E2293" s="10" t="s">
        <v>332</v>
      </c>
      <c r="F2293" s="10" t="s">
        <v>333</v>
      </c>
      <c r="G2293" s="8">
        <v>1</v>
      </c>
      <c r="H2293" s="11">
        <v>1200</v>
      </c>
      <c r="I2293" s="12">
        <v>42638</v>
      </c>
      <c r="J2293" s="13">
        <f t="shared" si="79"/>
        <v>0</v>
      </c>
      <c r="K2293" s="14"/>
      <c r="L2293" s="14"/>
      <c r="M2293" s="14"/>
      <c r="N2293" s="14"/>
      <c r="O2293" s="14"/>
      <c r="P2293" s="14"/>
      <c r="Q2293" s="14"/>
      <c r="R2293" s="14">
        <v>400</v>
      </c>
      <c r="S2293" s="14">
        <v>400</v>
      </c>
      <c r="T2293" s="14">
        <v>400</v>
      </c>
      <c r="U2293" s="14"/>
      <c r="V2293" s="14"/>
      <c r="W2293" s="15">
        <f t="shared" si="80"/>
        <v>1200</v>
      </c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5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5"/>
      <c r="AX2293" s="16"/>
    </row>
    <row r="2294" spans="2:50" x14ac:dyDescent="0.2">
      <c r="B2294" s="7" t="s">
        <v>47</v>
      </c>
      <c r="C2294" s="8">
        <v>12938</v>
      </c>
      <c r="D2294" s="9" t="s">
        <v>620</v>
      </c>
      <c r="E2294" s="10" t="s">
        <v>621</v>
      </c>
      <c r="F2294" s="10" t="s">
        <v>366</v>
      </c>
      <c r="G2294" s="8">
        <v>1</v>
      </c>
      <c r="H2294" s="11">
        <v>400</v>
      </c>
      <c r="I2294" s="12">
        <v>42638</v>
      </c>
      <c r="J2294" s="13">
        <f t="shared" si="79"/>
        <v>0</v>
      </c>
      <c r="K2294" s="14"/>
      <c r="L2294" s="14"/>
      <c r="M2294" s="14"/>
      <c r="N2294" s="14"/>
      <c r="O2294" s="14"/>
      <c r="P2294" s="14"/>
      <c r="Q2294" s="14"/>
      <c r="R2294" s="14">
        <v>400</v>
      </c>
      <c r="S2294" s="14"/>
      <c r="T2294" s="14"/>
      <c r="U2294" s="14"/>
      <c r="V2294" s="14"/>
      <c r="W2294" s="15">
        <f t="shared" si="80"/>
        <v>400</v>
      </c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5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5"/>
      <c r="AX2294" s="16"/>
    </row>
    <row r="2295" spans="2:50" x14ac:dyDescent="0.2">
      <c r="B2295" s="7" t="s">
        <v>37</v>
      </c>
      <c r="C2295" s="8">
        <v>12939</v>
      </c>
      <c r="D2295" s="9" t="s">
        <v>1192</v>
      </c>
      <c r="E2295" s="10" t="s">
        <v>1193</v>
      </c>
      <c r="F2295" s="10" t="s">
        <v>1194</v>
      </c>
      <c r="G2295" s="8">
        <v>1</v>
      </c>
      <c r="H2295" s="11">
        <v>400</v>
      </c>
      <c r="I2295" s="12">
        <v>42638</v>
      </c>
      <c r="J2295" s="13">
        <f t="shared" si="79"/>
        <v>0</v>
      </c>
      <c r="K2295" s="14"/>
      <c r="L2295" s="14"/>
      <c r="M2295" s="14"/>
      <c r="N2295" s="14"/>
      <c r="O2295" s="14"/>
      <c r="P2295" s="14"/>
      <c r="Q2295" s="14"/>
      <c r="R2295" s="14"/>
      <c r="S2295" s="14">
        <v>400</v>
      </c>
      <c r="T2295" s="14"/>
      <c r="U2295" s="14"/>
      <c r="V2295" s="14"/>
      <c r="W2295" s="15">
        <f t="shared" si="80"/>
        <v>400</v>
      </c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5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5"/>
      <c r="AX2295" s="16"/>
    </row>
    <row r="2296" spans="2:50" x14ac:dyDescent="0.2">
      <c r="B2296" s="7" t="s">
        <v>37</v>
      </c>
      <c r="C2296" s="8">
        <v>12939</v>
      </c>
      <c r="D2296" s="9" t="s">
        <v>1192</v>
      </c>
      <c r="E2296" s="10" t="s">
        <v>1193</v>
      </c>
      <c r="F2296" s="10" t="s">
        <v>1194</v>
      </c>
      <c r="G2296" s="8">
        <v>5</v>
      </c>
      <c r="H2296" s="11">
        <v>50</v>
      </c>
      <c r="I2296" s="12">
        <v>42638</v>
      </c>
      <c r="J2296" s="13">
        <f t="shared" si="79"/>
        <v>0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5">
        <f t="shared" si="80"/>
        <v>0</v>
      </c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5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5"/>
      <c r="AX2296" s="16"/>
    </row>
    <row r="2297" spans="2:50" x14ac:dyDescent="0.2">
      <c r="B2297" s="7" t="s">
        <v>37</v>
      </c>
      <c r="C2297" s="8">
        <v>12940</v>
      </c>
      <c r="D2297" s="9" t="s">
        <v>538</v>
      </c>
      <c r="E2297" s="10" t="s">
        <v>539</v>
      </c>
      <c r="F2297" s="10" t="s">
        <v>540</v>
      </c>
      <c r="G2297" s="8">
        <v>1</v>
      </c>
      <c r="H2297" s="11">
        <v>400</v>
      </c>
      <c r="I2297" s="12">
        <v>42638</v>
      </c>
      <c r="J2297" s="13">
        <f t="shared" si="79"/>
        <v>0</v>
      </c>
      <c r="K2297" s="14"/>
      <c r="L2297" s="14"/>
      <c r="M2297" s="14"/>
      <c r="N2297" s="14"/>
      <c r="O2297" s="14"/>
      <c r="P2297" s="14"/>
      <c r="Q2297" s="14"/>
      <c r="R2297" s="14"/>
      <c r="S2297" s="14">
        <v>400</v>
      </c>
      <c r="T2297" s="14"/>
      <c r="U2297" s="14"/>
      <c r="V2297" s="14"/>
      <c r="W2297" s="15">
        <f t="shared" si="80"/>
        <v>400</v>
      </c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5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5"/>
      <c r="AX2297" s="16"/>
    </row>
    <row r="2298" spans="2:50" x14ac:dyDescent="0.2">
      <c r="B2298" s="7" t="s">
        <v>47</v>
      </c>
      <c r="C2298" s="8">
        <v>12941</v>
      </c>
      <c r="D2298" s="9" t="s">
        <v>84</v>
      </c>
      <c r="E2298" s="10" t="s">
        <v>85</v>
      </c>
      <c r="F2298" s="10" t="s">
        <v>86</v>
      </c>
      <c r="G2298" s="8">
        <v>1</v>
      </c>
      <c r="H2298" s="11">
        <v>200</v>
      </c>
      <c r="I2298" s="12">
        <v>42638</v>
      </c>
      <c r="J2298" s="13">
        <f t="shared" si="79"/>
        <v>0</v>
      </c>
      <c r="K2298" s="14"/>
      <c r="L2298" s="14"/>
      <c r="M2298" s="14"/>
      <c r="N2298" s="14"/>
      <c r="O2298" s="14"/>
      <c r="P2298" s="14"/>
      <c r="Q2298" s="14"/>
      <c r="R2298" s="14"/>
      <c r="S2298" s="14"/>
      <c r="T2298" s="14">
        <v>200</v>
      </c>
      <c r="U2298" s="14"/>
      <c r="V2298" s="14"/>
      <c r="W2298" s="15">
        <f t="shared" si="80"/>
        <v>200</v>
      </c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5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5"/>
      <c r="AX2298" s="16"/>
    </row>
    <row r="2299" spans="2:50" x14ac:dyDescent="0.2">
      <c r="B2299" s="7" t="s">
        <v>47</v>
      </c>
      <c r="C2299" s="8">
        <v>12941</v>
      </c>
      <c r="D2299" s="9" t="s">
        <v>84</v>
      </c>
      <c r="E2299" s="10" t="s">
        <v>85</v>
      </c>
      <c r="F2299" s="10" t="s">
        <v>86</v>
      </c>
      <c r="G2299" s="8">
        <v>5</v>
      </c>
      <c r="H2299" s="11">
        <v>50</v>
      </c>
      <c r="I2299" s="12">
        <v>42638</v>
      </c>
      <c r="J2299" s="13">
        <f t="shared" si="79"/>
        <v>0</v>
      </c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5">
        <f t="shared" si="80"/>
        <v>0</v>
      </c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5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5"/>
      <c r="AX2299" s="16"/>
    </row>
    <row r="2300" spans="2:50" x14ac:dyDescent="0.2">
      <c r="B2300" s="7" t="s">
        <v>47</v>
      </c>
      <c r="C2300" s="8">
        <v>12942</v>
      </c>
      <c r="D2300" s="9" t="s">
        <v>189</v>
      </c>
      <c r="E2300" s="10" t="s">
        <v>190</v>
      </c>
      <c r="F2300" s="10" t="s">
        <v>191</v>
      </c>
      <c r="G2300" s="8">
        <v>1</v>
      </c>
      <c r="H2300" s="11">
        <v>800</v>
      </c>
      <c r="I2300" s="12">
        <v>42638</v>
      </c>
      <c r="J2300" s="13">
        <f t="shared" si="79"/>
        <v>0</v>
      </c>
      <c r="K2300" s="14"/>
      <c r="L2300" s="14"/>
      <c r="M2300" s="14"/>
      <c r="N2300" s="14"/>
      <c r="O2300" s="14"/>
      <c r="P2300" s="14"/>
      <c r="Q2300" s="14"/>
      <c r="R2300" s="14">
        <v>400</v>
      </c>
      <c r="S2300" s="14">
        <v>400</v>
      </c>
      <c r="T2300" s="14"/>
      <c r="U2300" s="14"/>
      <c r="V2300" s="14"/>
      <c r="W2300" s="15">
        <f t="shared" si="80"/>
        <v>800</v>
      </c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5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5"/>
      <c r="AX2300" s="16"/>
    </row>
    <row r="2301" spans="2:50" x14ac:dyDescent="0.2">
      <c r="B2301" s="7" t="s">
        <v>122</v>
      </c>
      <c r="C2301" s="8">
        <v>12943</v>
      </c>
      <c r="D2301" s="9" t="s">
        <v>788</v>
      </c>
      <c r="E2301" s="10" t="s">
        <v>789</v>
      </c>
      <c r="F2301" s="10" t="s">
        <v>790</v>
      </c>
      <c r="G2301" s="8">
        <v>1</v>
      </c>
      <c r="H2301" s="11">
        <v>400</v>
      </c>
      <c r="I2301" s="12">
        <v>42638</v>
      </c>
      <c r="J2301" s="13">
        <f t="shared" si="79"/>
        <v>0</v>
      </c>
      <c r="K2301" s="14"/>
      <c r="L2301" s="14"/>
      <c r="M2301" s="14"/>
      <c r="N2301" s="14"/>
      <c r="O2301" s="14"/>
      <c r="P2301" s="14"/>
      <c r="Q2301" s="14"/>
      <c r="R2301" s="14"/>
      <c r="S2301" s="14">
        <v>400</v>
      </c>
      <c r="T2301" s="14"/>
      <c r="U2301" s="14"/>
      <c r="V2301" s="14"/>
      <c r="W2301" s="15">
        <f t="shared" si="80"/>
        <v>400</v>
      </c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5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5"/>
      <c r="AX2301" s="16"/>
    </row>
    <row r="2302" spans="2:50" x14ac:dyDescent="0.2">
      <c r="B2302" s="7" t="s">
        <v>47</v>
      </c>
      <c r="C2302" s="8">
        <v>12944</v>
      </c>
      <c r="D2302" s="9" t="s">
        <v>497</v>
      </c>
      <c r="E2302" s="10" t="s">
        <v>498</v>
      </c>
      <c r="F2302" s="10" t="s">
        <v>499</v>
      </c>
      <c r="G2302" s="8">
        <v>1</v>
      </c>
      <c r="H2302" s="11">
        <v>400</v>
      </c>
      <c r="I2302" s="12">
        <v>42638</v>
      </c>
      <c r="J2302" s="13">
        <f t="shared" si="79"/>
        <v>0</v>
      </c>
      <c r="K2302" s="14"/>
      <c r="L2302" s="14"/>
      <c r="M2302" s="14"/>
      <c r="N2302" s="14"/>
      <c r="O2302" s="14"/>
      <c r="P2302" s="14"/>
      <c r="Q2302" s="14"/>
      <c r="R2302" s="14"/>
      <c r="S2302" s="14"/>
      <c r="T2302" s="14">
        <v>400</v>
      </c>
      <c r="U2302" s="14"/>
      <c r="V2302" s="14"/>
      <c r="W2302" s="15">
        <f t="shared" si="80"/>
        <v>400</v>
      </c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5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5"/>
      <c r="AX2302" s="16"/>
    </row>
    <row r="2303" spans="2:50" x14ac:dyDescent="0.2">
      <c r="B2303" s="7" t="s">
        <v>77</v>
      </c>
      <c r="C2303" s="8">
        <v>12945</v>
      </c>
      <c r="D2303" s="9" t="s">
        <v>725</v>
      </c>
      <c r="E2303" s="10" t="s">
        <v>726</v>
      </c>
      <c r="F2303" s="10" t="s">
        <v>727</v>
      </c>
      <c r="G2303" s="8">
        <v>5</v>
      </c>
      <c r="H2303" s="11">
        <v>50</v>
      </c>
      <c r="I2303" s="12">
        <v>42638</v>
      </c>
      <c r="J2303" s="13">
        <f t="shared" si="79"/>
        <v>0</v>
      </c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5">
        <f t="shared" si="80"/>
        <v>0</v>
      </c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5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5"/>
      <c r="AX2303" s="16"/>
    </row>
    <row r="2304" spans="2:50" x14ac:dyDescent="0.2">
      <c r="B2304" s="7" t="s">
        <v>73</v>
      </c>
      <c r="C2304" s="8">
        <v>12946</v>
      </c>
      <c r="D2304" s="9" t="s">
        <v>672</v>
      </c>
      <c r="E2304" s="10" t="s">
        <v>673</v>
      </c>
      <c r="F2304" s="10" t="s">
        <v>674</v>
      </c>
      <c r="G2304" s="8">
        <v>1</v>
      </c>
      <c r="H2304" s="11">
        <v>400</v>
      </c>
      <c r="I2304" s="12">
        <v>42638</v>
      </c>
      <c r="J2304" s="13">
        <f t="shared" si="79"/>
        <v>0</v>
      </c>
      <c r="K2304" s="14"/>
      <c r="L2304" s="14"/>
      <c r="M2304" s="14"/>
      <c r="N2304" s="14"/>
      <c r="O2304" s="14"/>
      <c r="P2304" s="14"/>
      <c r="Q2304" s="14"/>
      <c r="R2304" s="14">
        <v>200</v>
      </c>
      <c r="S2304" s="14">
        <v>200</v>
      </c>
      <c r="T2304" s="14"/>
      <c r="U2304" s="14"/>
      <c r="V2304" s="14"/>
      <c r="W2304" s="15">
        <f t="shared" si="80"/>
        <v>400</v>
      </c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5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5"/>
      <c r="AX2304" s="16"/>
    </row>
    <row r="2305" spans="2:50" x14ac:dyDescent="0.2">
      <c r="B2305" s="7" t="s">
        <v>69</v>
      </c>
      <c r="C2305" s="8">
        <v>12947</v>
      </c>
      <c r="D2305" s="9" t="s">
        <v>361</v>
      </c>
      <c r="E2305" s="10" t="s">
        <v>362</v>
      </c>
      <c r="F2305" s="10" t="s">
        <v>363</v>
      </c>
      <c r="G2305" s="8">
        <v>5</v>
      </c>
      <c r="H2305" s="11">
        <v>50</v>
      </c>
      <c r="I2305" s="12">
        <v>42638</v>
      </c>
      <c r="J2305" s="13">
        <f t="shared" si="79"/>
        <v>0</v>
      </c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5">
        <f t="shared" si="80"/>
        <v>0</v>
      </c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5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5"/>
      <c r="AX2305" s="16"/>
    </row>
    <row r="2306" spans="2:50" x14ac:dyDescent="0.2">
      <c r="B2306" s="7" t="s">
        <v>73</v>
      </c>
      <c r="C2306" s="8">
        <v>12948</v>
      </c>
      <c r="D2306" s="9" t="s">
        <v>763</v>
      </c>
      <c r="E2306" s="10" t="s">
        <v>764</v>
      </c>
      <c r="F2306" s="10" t="s">
        <v>765</v>
      </c>
      <c r="G2306" s="8">
        <v>1</v>
      </c>
      <c r="H2306" s="11">
        <v>400</v>
      </c>
      <c r="I2306" s="12">
        <v>42638</v>
      </c>
      <c r="J2306" s="13">
        <f t="shared" si="79"/>
        <v>0</v>
      </c>
      <c r="K2306" s="14"/>
      <c r="L2306" s="14"/>
      <c r="M2306" s="14"/>
      <c r="N2306" s="14"/>
      <c r="O2306" s="14"/>
      <c r="P2306" s="14"/>
      <c r="Q2306" s="14"/>
      <c r="R2306" s="14"/>
      <c r="S2306" s="14">
        <v>400</v>
      </c>
      <c r="T2306" s="14"/>
      <c r="U2306" s="14"/>
      <c r="V2306" s="14"/>
      <c r="W2306" s="15">
        <f t="shared" si="80"/>
        <v>400</v>
      </c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5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5"/>
      <c r="AX2306" s="16"/>
    </row>
    <row r="2307" spans="2:50" x14ac:dyDescent="0.2">
      <c r="B2307" s="7" t="s">
        <v>73</v>
      </c>
      <c r="C2307" s="8">
        <v>12948</v>
      </c>
      <c r="D2307" s="9" t="s">
        <v>763</v>
      </c>
      <c r="E2307" s="10" t="s">
        <v>764</v>
      </c>
      <c r="F2307" s="10" t="s">
        <v>765</v>
      </c>
      <c r="G2307" s="8">
        <v>5</v>
      </c>
      <c r="H2307" s="11">
        <v>50</v>
      </c>
      <c r="I2307" s="12">
        <v>42638</v>
      </c>
      <c r="J2307" s="13">
        <f t="shared" si="79"/>
        <v>0</v>
      </c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5">
        <f t="shared" si="80"/>
        <v>0</v>
      </c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5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5"/>
      <c r="AX2307" s="16"/>
    </row>
    <row r="2308" spans="2:50" x14ac:dyDescent="0.2">
      <c r="B2308" s="7" t="s">
        <v>47</v>
      </c>
      <c r="C2308" s="8">
        <v>12949</v>
      </c>
      <c r="D2308" s="9" t="s">
        <v>500</v>
      </c>
      <c r="E2308" s="10" t="s">
        <v>501</v>
      </c>
      <c r="F2308" s="10" t="s">
        <v>502</v>
      </c>
      <c r="G2308" s="8">
        <v>1</v>
      </c>
      <c r="H2308" s="11">
        <v>200</v>
      </c>
      <c r="I2308" s="12">
        <v>42638</v>
      </c>
      <c r="J2308" s="13">
        <f t="shared" si="79"/>
        <v>0</v>
      </c>
      <c r="K2308" s="14"/>
      <c r="L2308" s="14"/>
      <c r="M2308" s="14"/>
      <c r="N2308" s="14"/>
      <c r="O2308" s="14"/>
      <c r="P2308" s="14"/>
      <c r="Q2308" s="14"/>
      <c r="R2308" s="14"/>
      <c r="S2308" s="14"/>
      <c r="T2308" s="14">
        <v>200</v>
      </c>
      <c r="U2308" s="14"/>
      <c r="V2308" s="14"/>
      <c r="W2308" s="15">
        <f t="shared" si="80"/>
        <v>200</v>
      </c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5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5"/>
      <c r="AX2308" s="16"/>
    </row>
    <row r="2309" spans="2:50" x14ac:dyDescent="0.2">
      <c r="B2309" s="7" t="s">
        <v>47</v>
      </c>
      <c r="C2309" s="8">
        <v>12949</v>
      </c>
      <c r="D2309" s="9" t="s">
        <v>500</v>
      </c>
      <c r="E2309" s="10" t="s">
        <v>501</v>
      </c>
      <c r="F2309" s="10" t="s">
        <v>502</v>
      </c>
      <c r="G2309" s="8">
        <v>5</v>
      </c>
      <c r="H2309" s="11">
        <v>50</v>
      </c>
      <c r="I2309" s="12">
        <v>42638</v>
      </c>
      <c r="J2309" s="13">
        <f t="shared" si="79"/>
        <v>0</v>
      </c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5">
        <f t="shared" si="80"/>
        <v>0</v>
      </c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5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5"/>
      <c r="AX2309" s="16"/>
    </row>
    <row r="2310" spans="2:50" x14ac:dyDescent="0.2">
      <c r="B2310" s="7" t="s">
        <v>37</v>
      </c>
      <c r="C2310" s="8">
        <v>12950</v>
      </c>
      <c r="D2310" s="9" t="s">
        <v>858</v>
      </c>
      <c r="E2310" s="10" t="s">
        <v>859</v>
      </c>
      <c r="F2310" s="10" t="s">
        <v>860</v>
      </c>
      <c r="G2310" s="8">
        <v>1</v>
      </c>
      <c r="H2310" s="11">
        <v>800</v>
      </c>
      <c r="I2310" s="12">
        <v>42638</v>
      </c>
      <c r="J2310" s="13">
        <f t="shared" si="79"/>
        <v>0</v>
      </c>
      <c r="K2310" s="14"/>
      <c r="L2310" s="14"/>
      <c r="M2310" s="14"/>
      <c r="N2310" s="14"/>
      <c r="O2310" s="14"/>
      <c r="P2310" s="14"/>
      <c r="Q2310" s="14"/>
      <c r="R2310" s="14"/>
      <c r="S2310" s="14">
        <v>400</v>
      </c>
      <c r="T2310" s="14">
        <v>400</v>
      </c>
      <c r="U2310" s="14"/>
      <c r="V2310" s="14"/>
      <c r="W2310" s="15">
        <f t="shared" si="80"/>
        <v>800</v>
      </c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5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5"/>
      <c r="AX2310" s="16"/>
    </row>
    <row r="2311" spans="2:50" x14ac:dyDescent="0.2">
      <c r="B2311" s="7" t="s">
        <v>37</v>
      </c>
      <c r="C2311" s="8">
        <v>12950</v>
      </c>
      <c r="D2311" s="9" t="s">
        <v>858</v>
      </c>
      <c r="E2311" s="10" t="s">
        <v>859</v>
      </c>
      <c r="F2311" s="10" t="s">
        <v>860</v>
      </c>
      <c r="G2311" s="8">
        <v>5</v>
      </c>
      <c r="H2311" s="11">
        <v>50</v>
      </c>
      <c r="I2311" s="12">
        <v>42638</v>
      </c>
      <c r="J2311" s="13">
        <f t="shared" si="79"/>
        <v>0</v>
      </c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5">
        <f t="shared" si="80"/>
        <v>0</v>
      </c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5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14"/>
      <c r="AW2311" s="15"/>
      <c r="AX2311" s="16"/>
    </row>
    <row r="2312" spans="2:50" x14ac:dyDescent="0.2">
      <c r="B2312" s="7" t="s">
        <v>47</v>
      </c>
      <c r="C2312" s="8">
        <v>12951</v>
      </c>
      <c r="D2312" s="9" t="s">
        <v>449</v>
      </c>
      <c r="E2312" s="10" t="s">
        <v>450</v>
      </c>
      <c r="F2312" s="10" t="s">
        <v>451</v>
      </c>
      <c r="G2312" s="8">
        <v>1</v>
      </c>
      <c r="H2312" s="11">
        <v>900</v>
      </c>
      <c r="I2312" s="12">
        <v>42638</v>
      </c>
      <c r="J2312" s="13">
        <f t="shared" si="79"/>
        <v>0</v>
      </c>
      <c r="K2312" s="14"/>
      <c r="L2312" s="14"/>
      <c r="M2312" s="14"/>
      <c r="N2312" s="14"/>
      <c r="O2312" s="14"/>
      <c r="P2312" s="14"/>
      <c r="Q2312" s="14">
        <v>300</v>
      </c>
      <c r="R2312" s="14">
        <v>300</v>
      </c>
      <c r="S2312" s="14">
        <v>300</v>
      </c>
      <c r="T2312" s="14"/>
      <c r="U2312" s="14"/>
      <c r="V2312" s="14"/>
      <c r="W2312" s="15">
        <f t="shared" si="80"/>
        <v>900</v>
      </c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5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5"/>
      <c r="AX2312" s="16"/>
    </row>
    <row r="2313" spans="2:50" x14ac:dyDescent="0.2">
      <c r="B2313" s="7" t="s">
        <v>69</v>
      </c>
      <c r="C2313" s="8">
        <v>12952</v>
      </c>
      <c r="D2313" s="9" t="s">
        <v>634</v>
      </c>
      <c r="E2313" s="10" t="s">
        <v>635</v>
      </c>
      <c r="F2313" s="10" t="s">
        <v>636</v>
      </c>
      <c r="G2313" s="8">
        <v>1</v>
      </c>
      <c r="H2313" s="11">
        <v>300</v>
      </c>
      <c r="I2313" s="12">
        <v>42638</v>
      </c>
      <c r="J2313" s="13">
        <f t="shared" si="79"/>
        <v>0</v>
      </c>
      <c r="K2313" s="14"/>
      <c r="L2313" s="14"/>
      <c r="M2313" s="14"/>
      <c r="N2313" s="14"/>
      <c r="O2313" s="14"/>
      <c r="P2313" s="14"/>
      <c r="Q2313" s="14"/>
      <c r="R2313" s="14"/>
      <c r="S2313" s="14">
        <v>300</v>
      </c>
      <c r="T2313" s="14"/>
      <c r="U2313" s="14"/>
      <c r="V2313" s="14"/>
      <c r="W2313" s="15">
        <f t="shared" si="80"/>
        <v>300</v>
      </c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5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5"/>
      <c r="AX2313" s="16"/>
    </row>
    <row r="2314" spans="2:50" x14ac:dyDescent="0.2">
      <c r="B2314" s="7" t="s">
        <v>77</v>
      </c>
      <c r="C2314" s="8">
        <v>12953</v>
      </c>
      <c r="D2314" s="9" t="s">
        <v>725</v>
      </c>
      <c r="E2314" s="10" t="s">
        <v>726</v>
      </c>
      <c r="F2314" s="10" t="s">
        <v>727</v>
      </c>
      <c r="G2314" s="8">
        <v>5</v>
      </c>
      <c r="H2314" s="11">
        <v>50</v>
      </c>
      <c r="I2314" s="12">
        <v>42638</v>
      </c>
      <c r="J2314" s="13">
        <f t="shared" si="79"/>
        <v>0</v>
      </c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5">
        <f t="shared" si="80"/>
        <v>0</v>
      </c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5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5"/>
      <c r="AX2314" s="16"/>
    </row>
    <row r="2315" spans="2:50" x14ac:dyDescent="0.2">
      <c r="B2315" s="7" t="s">
        <v>47</v>
      </c>
      <c r="C2315" s="8">
        <v>12954</v>
      </c>
      <c r="D2315" s="9" t="s">
        <v>103</v>
      </c>
      <c r="E2315" s="10" t="s">
        <v>104</v>
      </c>
      <c r="F2315" s="10" t="s">
        <v>105</v>
      </c>
      <c r="G2315" s="8">
        <v>1</v>
      </c>
      <c r="H2315" s="11">
        <v>400</v>
      </c>
      <c r="I2315" s="12">
        <v>42638</v>
      </c>
      <c r="J2315" s="13">
        <f t="shared" si="79"/>
        <v>0</v>
      </c>
      <c r="K2315" s="14"/>
      <c r="L2315" s="14"/>
      <c r="M2315" s="14"/>
      <c r="N2315" s="14"/>
      <c r="O2315" s="14"/>
      <c r="P2315" s="14"/>
      <c r="Q2315" s="14"/>
      <c r="R2315" s="14"/>
      <c r="S2315" s="14">
        <v>400</v>
      </c>
      <c r="T2315" s="14"/>
      <c r="U2315" s="14"/>
      <c r="V2315" s="14"/>
      <c r="W2315" s="15">
        <f t="shared" si="80"/>
        <v>400</v>
      </c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5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5"/>
      <c r="AX2315" s="16"/>
    </row>
    <row r="2316" spans="2:50" x14ac:dyDescent="0.2">
      <c r="B2316" s="7" t="s">
        <v>73</v>
      </c>
      <c r="C2316" s="8">
        <v>12955</v>
      </c>
      <c r="D2316" s="9" t="s">
        <v>283</v>
      </c>
      <c r="E2316" s="10" t="s">
        <v>284</v>
      </c>
      <c r="F2316" s="10" t="s">
        <v>285</v>
      </c>
      <c r="G2316" s="8">
        <v>5</v>
      </c>
      <c r="H2316" s="11">
        <v>50</v>
      </c>
      <c r="I2316" s="12">
        <v>42638</v>
      </c>
      <c r="J2316" s="13">
        <f t="shared" si="79"/>
        <v>0</v>
      </c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5">
        <f t="shared" si="80"/>
        <v>0</v>
      </c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5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5"/>
      <c r="AX2316" s="16"/>
    </row>
    <row r="2317" spans="2:50" x14ac:dyDescent="0.2">
      <c r="B2317" s="7" t="s">
        <v>391</v>
      </c>
      <c r="C2317" s="8">
        <v>12956</v>
      </c>
      <c r="D2317" s="9" t="s">
        <v>918</v>
      </c>
      <c r="E2317" s="10" t="s">
        <v>919</v>
      </c>
      <c r="F2317" s="10" t="s">
        <v>920</v>
      </c>
      <c r="G2317" s="8">
        <v>5</v>
      </c>
      <c r="H2317" s="11">
        <v>150</v>
      </c>
      <c r="I2317" s="12">
        <v>42638</v>
      </c>
      <c r="J2317" s="13">
        <f t="shared" si="79"/>
        <v>0</v>
      </c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5">
        <f t="shared" si="80"/>
        <v>0</v>
      </c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5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5"/>
      <c r="AX2317" s="16"/>
    </row>
    <row r="2318" spans="2:50" x14ac:dyDescent="0.2">
      <c r="B2318" s="7" t="s">
        <v>77</v>
      </c>
      <c r="C2318" s="8">
        <v>12957</v>
      </c>
      <c r="D2318" s="9" t="s">
        <v>159</v>
      </c>
      <c r="E2318" s="10" t="s">
        <v>160</v>
      </c>
      <c r="F2318" s="10" t="s">
        <v>161</v>
      </c>
      <c r="G2318" s="8">
        <v>1</v>
      </c>
      <c r="H2318" s="11">
        <v>400</v>
      </c>
      <c r="I2318" s="12">
        <v>42638</v>
      </c>
      <c r="J2318" s="13">
        <f t="shared" si="79"/>
        <v>0</v>
      </c>
      <c r="K2318" s="14"/>
      <c r="L2318" s="14"/>
      <c r="M2318" s="14"/>
      <c r="N2318" s="14"/>
      <c r="O2318" s="14"/>
      <c r="P2318" s="14"/>
      <c r="Q2318" s="14"/>
      <c r="R2318" s="14"/>
      <c r="S2318" s="14">
        <v>400</v>
      </c>
      <c r="T2318" s="14"/>
      <c r="U2318" s="14"/>
      <c r="V2318" s="14"/>
      <c r="W2318" s="15">
        <f t="shared" si="80"/>
        <v>400</v>
      </c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5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5"/>
      <c r="AX2318" s="16"/>
    </row>
    <row r="2319" spans="2:50" x14ac:dyDescent="0.2">
      <c r="B2319" s="7" t="s">
        <v>47</v>
      </c>
      <c r="C2319" s="8">
        <v>12958</v>
      </c>
      <c r="D2319" s="9" t="s">
        <v>416</v>
      </c>
      <c r="E2319" s="10" t="s">
        <v>417</v>
      </c>
      <c r="F2319" s="10" t="s">
        <v>418</v>
      </c>
      <c r="G2319" s="8">
        <v>1</v>
      </c>
      <c r="H2319" s="11">
        <v>400</v>
      </c>
      <c r="I2319" s="12">
        <v>42638</v>
      </c>
      <c r="J2319" s="13">
        <f t="shared" si="79"/>
        <v>0</v>
      </c>
      <c r="K2319" s="14"/>
      <c r="L2319" s="14"/>
      <c r="M2319" s="14"/>
      <c r="N2319" s="14"/>
      <c r="O2319" s="14"/>
      <c r="P2319" s="14"/>
      <c r="Q2319" s="14"/>
      <c r="R2319" s="14"/>
      <c r="S2319" s="14">
        <v>200</v>
      </c>
      <c r="T2319" s="14">
        <v>200</v>
      </c>
      <c r="U2319" s="14"/>
      <c r="V2319" s="14"/>
      <c r="W2319" s="15">
        <f t="shared" si="80"/>
        <v>400</v>
      </c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5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5"/>
      <c r="AX2319" s="16"/>
    </row>
    <row r="2320" spans="2:50" x14ac:dyDescent="0.2">
      <c r="B2320" s="7" t="s">
        <v>69</v>
      </c>
      <c r="C2320" s="8">
        <v>12959</v>
      </c>
      <c r="D2320" s="9" t="s">
        <v>1039</v>
      </c>
      <c r="E2320" s="10" t="s">
        <v>1040</v>
      </c>
      <c r="F2320" s="10" t="s">
        <v>1041</v>
      </c>
      <c r="G2320" s="8">
        <v>1</v>
      </c>
      <c r="H2320" s="11">
        <v>400</v>
      </c>
      <c r="I2320" s="12">
        <v>42638</v>
      </c>
      <c r="J2320" s="13">
        <f t="shared" si="79"/>
        <v>0</v>
      </c>
      <c r="K2320" s="14"/>
      <c r="L2320" s="14"/>
      <c r="M2320" s="14"/>
      <c r="N2320" s="14"/>
      <c r="O2320" s="14"/>
      <c r="P2320" s="14"/>
      <c r="Q2320" s="14"/>
      <c r="R2320" s="14"/>
      <c r="S2320" s="14">
        <v>400</v>
      </c>
      <c r="T2320" s="14"/>
      <c r="U2320" s="14"/>
      <c r="V2320" s="14"/>
      <c r="W2320" s="15">
        <f t="shared" si="80"/>
        <v>400</v>
      </c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5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5"/>
      <c r="AX2320" s="16"/>
    </row>
    <row r="2321" spans="2:50" x14ac:dyDescent="0.2">
      <c r="B2321" s="7" t="s">
        <v>37</v>
      </c>
      <c r="C2321" s="8">
        <v>12960</v>
      </c>
      <c r="D2321" s="9" t="s">
        <v>295</v>
      </c>
      <c r="E2321" s="10" t="s">
        <v>296</v>
      </c>
      <c r="F2321" s="10" t="s">
        <v>297</v>
      </c>
      <c r="G2321" s="8">
        <v>1</v>
      </c>
      <c r="H2321" s="11">
        <v>300</v>
      </c>
      <c r="I2321" s="12">
        <v>42638</v>
      </c>
      <c r="J2321" s="13">
        <f t="shared" si="79"/>
        <v>0</v>
      </c>
      <c r="K2321" s="14"/>
      <c r="L2321" s="14"/>
      <c r="M2321" s="14"/>
      <c r="N2321" s="14"/>
      <c r="O2321" s="14"/>
      <c r="P2321" s="14"/>
      <c r="Q2321" s="14"/>
      <c r="R2321" s="14"/>
      <c r="S2321" s="14">
        <v>300</v>
      </c>
      <c r="T2321" s="14"/>
      <c r="U2321" s="14"/>
      <c r="V2321" s="14"/>
      <c r="W2321" s="15">
        <f t="shared" si="80"/>
        <v>300</v>
      </c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5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5"/>
      <c r="AX2321" s="16"/>
    </row>
    <row r="2322" spans="2:50" x14ac:dyDescent="0.2">
      <c r="B2322" s="7" t="s">
        <v>37</v>
      </c>
      <c r="C2322" s="8">
        <v>12961</v>
      </c>
      <c r="D2322" s="9" t="s">
        <v>512</v>
      </c>
      <c r="E2322" s="10" t="s">
        <v>513</v>
      </c>
      <c r="F2322" s="10" t="s">
        <v>511</v>
      </c>
      <c r="G2322" s="8">
        <v>5</v>
      </c>
      <c r="H2322" s="11">
        <v>50</v>
      </c>
      <c r="I2322" s="12">
        <v>42638</v>
      </c>
      <c r="J2322" s="13">
        <f t="shared" si="79"/>
        <v>0</v>
      </c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5">
        <f t="shared" si="80"/>
        <v>0</v>
      </c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5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5"/>
      <c r="AX2322" s="16"/>
    </row>
    <row r="2323" spans="2:50" x14ac:dyDescent="0.2">
      <c r="B2323" s="7" t="s">
        <v>77</v>
      </c>
      <c r="C2323" s="8">
        <v>12962</v>
      </c>
      <c r="D2323" s="9" t="s">
        <v>473</v>
      </c>
      <c r="E2323" s="10" t="s">
        <v>474</v>
      </c>
      <c r="F2323" s="10" t="s">
        <v>475</v>
      </c>
      <c r="G2323" s="8">
        <v>5</v>
      </c>
      <c r="H2323" s="11">
        <v>50</v>
      </c>
      <c r="I2323" s="12">
        <v>42638</v>
      </c>
      <c r="J2323" s="13">
        <f t="shared" si="79"/>
        <v>0</v>
      </c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5">
        <f t="shared" si="80"/>
        <v>0</v>
      </c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5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5"/>
      <c r="AX2323" s="16"/>
    </row>
    <row r="2324" spans="2:50" x14ac:dyDescent="0.2">
      <c r="B2324" s="7" t="s">
        <v>77</v>
      </c>
      <c r="C2324" s="8">
        <v>12963</v>
      </c>
      <c r="D2324" s="9" t="s">
        <v>473</v>
      </c>
      <c r="E2324" s="10" t="s">
        <v>474</v>
      </c>
      <c r="F2324" s="10" t="s">
        <v>475</v>
      </c>
      <c r="G2324" s="8">
        <v>5</v>
      </c>
      <c r="H2324" s="11">
        <v>150</v>
      </c>
      <c r="I2324" s="12">
        <v>42638</v>
      </c>
      <c r="J2324" s="13">
        <f t="shared" si="79"/>
        <v>0</v>
      </c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5">
        <f t="shared" si="80"/>
        <v>0</v>
      </c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5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5"/>
      <c r="AX2324" s="16"/>
    </row>
    <row r="2325" spans="2:50" x14ac:dyDescent="0.2">
      <c r="B2325" s="7" t="s">
        <v>37</v>
      </c>
      <c r="C2325" s="8">
        <v>12964</v>
      </c>
      <c r="D2325" s="9" t="s">
        <v>503</v>
      </c>
      <c r="E2325" s="10" t="s">
        <v>504</v>
      </c>
      <c r="F2325" s="10" t="s">
        <v>505</v>
      </c>
      <c r="G2325" s="8">
        <v>1</v>
      </c>
      <c r="H2325" s="11">
        <v>450</v>
      </c>
      <c r="I2325" s="12">
        <v>42639</v>
      </c>
      <c r="J2325" s="13">
        <f t="shared" si="79"/>
        <v>0</v>
      </c>
      <c r="K2325" s="14"/>
      <c r="L2325" s="14"/>
      <c r="M2325" s="14"/>
      <c r="N2325" s="14"/>
      <c r="O2325" s="14"/>
      <c r="P2325" s="14"/>
      <c r="Q2325" s="14"/>
      <c r="R2325" s="14">
        <v>150</v>
      </c>
      <c r="S2325" s="14">
        <v>150</v>
      </c>
      <c r="T2325" s="14">
        <v>150</v>
      </c>
      <c r="U2325" s="14"/>
      <c r="V2325" s="14"/>
      <c r="W2325" s="15">
        <f t="shared" si="80"/>
        <v>450</v>
      </c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5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5"/>
      <c r="AX2325" s="16"/>
    </row>
    <row r="2326" spans="2:50" x14ac:dyDescent="0.2">
      <c r="B2326" s="7" t="s">
        <v>37</v>
      </c>
      <c r="C2326" s="8">
        <v>12964</v>
      </c>
      <c r="D2326" s="9" t="s">
        <v>503</v>
      </c>
      <c r="E2326" s="10" t="s">
        <v>504</v>
      </c>
      <c r="F2326" s="10" t="s">
        <v>505</v>
      </c>
      <c r="G2326" s="8">
        <v>5</v>
      </c>
      <c r="H2326" s="11">
        <v>150</v>
      </c>
      <c r="I2326" s="12">
        <v>42639</v>
      </c>
      <c r="J2326" s="13">
        <f t="shared" si="79"/>
        <v>0</v>
      </c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5">
        <f t="shared" si="80"/>
        <v>0</v>
      </c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5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5"/>
      <c r="AX2326" s="16"/>
    </row>
    <row r="2327" spans="2:50" x14ac:dyDescent="0.2">
      <c r="B2327" s="7" t="s">
        <v>73</v>
      </c>
      <c r="C2327" s="8">
        <v>12965</v>
      </c>
      <c r="D2327" s="9" t="s">
        <v>202</v>
      </c>
      <c r="E2327" s="10" t="s">
        <v>203</v>
      </c>
      <c r="F2327" s="10" t="s">
        <v>204</v>
      </c>
      <c r="G2327" s="8">
        <v>3</v>
      </c>
      <c r="H2327" s="11">
        <v>200</v>
      </c>
      <c r="I2327" s="12">
        <v>42639</v>
      </c>
      <c r="J2327" s="13">
        <f t="shared" si="79"/>
        <v>0</v>
      </c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5">
        <f t="shared" si="80"/>
        <v>0</v>
      </c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5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14"/>
      <c r="AW2327" s="15"/>
      <c r="AX2327" s="16"/>
    </row>
    <row r="2328" spans="2:50" x14ac:dyDescent="0.2">
      <c r="B2328" s="7" t="s">
        <v>73</v>
      </c>
      <c r="C2328" s="8">
        <v>12966</v>
      </c>
      <c r="D2328" s="9" t="s">
        <v>126</v>
      </c>
      <c r="E2328" s="10" t="s">
        <v>127</v>
      </c>
      <c r="F2328" s="10" t="s">
        <v>128</v>
      </c>
      <c r="G2328" s="8">
        <v>5</v>
      </c>
      <c r="H2328" s="11">
        <v>50</v>
      </c>
      <c r="I2328" s="12">
        <v>42639</v>
      </c>
      <c r="J2328" s="13">
        <f t="shared" si="79"/>
        <v>0</v>
      </c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5">
        <f t="shared" si="80"/>
        <v>0</v>
      </c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5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5"/>
      <c r="AX2328" s="16"/>
    </row>
    <row r="2329" spans="2:50" x14ac:dyDescent="0.2">
      <c r="B2329" s="7" t="s">
        <v>37</v>
      </c>
      <c r="C2329" s="8">
        <v>12967</v>
      </c>
      <c r="D2329" s="9" t="s">
        <v>494</v>
      </c>
      <c r="E2329" s="10" t="s">
        <v>495</v>
      </c>
      <c r="F2329" s="10" t="s">
        <v>496</v>
      </c>
      <c r="G2329" s="8">
        <v>1</v>
      </c>
      <c r="H2329" s="11">
        <v>150</v>
      </c>
      <c r="I2329" s="12">
        <v>42639</v>
      </c>
      <c r="J2329" s="13">
        <f t="shared" si="79"/>
        <v>0</v>
      </c>
      <c r="K2329" s="14"/>
      <c r="L2329" s="14"/>
      <c r="M2329" s="14"/>
      <c r="N2329" s="14"/>
      <c r="O2329" s="14"/>
      <c r="P2329" s="14"/>
      <c r="Q2329" s="14"/>
      <c r="R2329" s="14"/>
      <c r="S2329" s="14">
        <v>150</v>
      </c>
      <c r="T2329" s="14"/>
      <c r="U2329" s="14"/>
      <c r="V2329" s="14"/>
      <c r="W2329" s="15">
        <f t="shared" si="80"/>
        <v>150</v>
      </c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5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5"/>
      <c r="AX2329" s="16"/>
    </row>
    <row r="2330" spans="2:50" x14ac:dyDescent="0.2">
      <c r="B2330" s="7" t="s">
        <v>37</v>
      </c>
      <c r="C2330" s="8">
        <v>12968</v>
      </c>
      <c r="D2330" s="9" t="s">
        <v>358</v>
      </c>
      <c r="E2330" s="10" t="s">
        <v>359</v>
      </c>
      <c r="F2330" s="10" t="s">
        <v>360</v>
      </c>
      <c r="G2330" s="8">
        <v>1</v>
      </c>
      <c r="H2330" s="11">
        <v>700</v>
      </c>
      <c r="I2330" s="12">
        <v>42639</v>
      </c>
      <c r="J2330" s="13">
        <f t="shared" si="79"/>
        <v>0</v>
      </c>
      <c r="K2330" s="14"/>
      <c r="L2330" s="14"/>
      <c r="M2330" s="14"/>
      <c r="N2330" s="14"/>
      <c r="O2330" s="14"/>
      <c r="P2330" s="14">
        <v>100</v>
      </c>
      <c r="Q2330" s="14">
        <v>150</v>
      </c>
      <c r="R2330" s="14">
        <v>150</v>
      </c>
      <c r="S2330" s="14">
        <v>150</v>
      </c>
      <c r="T2330" s="14">
        <v>150</v>
      </c>
      <c r="U2330" s="14"/>
      <c r="V2330" s="14"/>
      <c r="W2330" s="15">
        <f t="shared" si="80"/>
        <v>700</v>
      </c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5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5"/>
      <c r="AX2330" s="16"/>
    </row>
    <row r="2331" spans="2:50" x14ac:dyDescent="0.2">
      <c r="B2331" s="7" t="s">
        <v>73</v>
      </c>
      <c r="C2331" s="8">
        <v>12969</v>
      </c>
      <c r="D2331" s="9" t="s">
        <v>806</v>
      </c>
      <c r="E2331" s="10" t="s">
        <v>885</v>
      </c>
      <c r="F2331" s="10" t="s">
        <v>805</v>
      </c>
      <c r="G2331" s="8">
        <v>3</v>
      </c>
      <c r="H2331" s="11">
        <v>400</v>
      </c>
      <c r="I2331" s="12">
        <v>42639</v>
      </c>
      <c r="J2331" s="13">
        <f t="shared" si="79"/>
        <v>0</v>
      </c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5">
        <f t="shared" si="80"/>
        <v>0</v>
      </c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5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5"/>
      <c r="AX2331" s="16"/>
    </row>
    <row r="2332" spans="2:50" x14ac:dyDescent="0.2">
      <c r="B2332" s="7" t="s">
        <v>391</v>
      </c>
      <c r="C2332" s="8">
        <v>12970</v>
      </c>
      <c r="D2332" s="9" t="s">
        <v>482</v>
      </c>
      <c r="E2332" s="10" t="s">
        <v>483</v>
      </c>
      <c r="F2332" s="10" t="s">
        <v>484</v>
      </c>
      <c r="G2332" s="8">
        <v>1</v>
      </c>
      <c r="H2332" s="11">
        <v>600</v>
      </c>
      <c r="I2332" s="12">
        <v>42640</v>
      </c>
      <c r="J2332" s="13">
        <f t="shared" si="79"/>
        <v>0</v>
      </c>
      <c r="K2332" s="14"/>
      <c r="L2332" s="14"/>
      <c r="M2332" s="14"/>
      <c r="N2332" s="14"/>
      <c r="O2332" s="14"/>
      <c r="P2332" s="14"/>
      <c r="Q2332" s="14"/>
      <c r="R2332" s="14">
        <v>200</v>
      </c>
      <c r="S2332" s="14">
        <v>200</v>
      </c>
      <c r="T2332" s="14">
        <v>200</v>
      </c>
      <c r="U2332" s="14"/>
      <c r="V2332" s="14"/>
      <c r="W2332" s="15">
        <f t="shared" si="80"/>
        <v>600</v>
      </c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5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5"/>
      <c r="AX2332" s="16"/>
    </row>
    <row r="2333" spans="2:50" x14ac:dyDescent="0.2">
      <c r="B2333" s="7" t="s">
        <v>47</v>
      </c>
      <c r="C2333" s="8">
        <v>12971</v>
      </c>
      <c r="D2333" s="9" t="s">
        <v>807</v>
      </c>
      <c r="E2333" s="10" t="s">
        <v>808</v>
      </c>
      <c r="F2333" s="10" t="s">
        <v>809</v>
      </c>
      <c r="G2333" s="8">
        <v>7</v>
      </c>
      <c r="H2333" s="11">
        <v>500</v>
      </c>
      <c r="I2333" s="12">
        <v>42640</v>
      </c>
      <c r="J2333" s="13">
        <f t="shared" si="79"/>
        <v>0</v>
      </c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5">
        <f t="shared" si="80"/>
        <v>0</v>
      </c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5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5"/>
      <c r="AX2333" s="16"/>
    </row>
    <row r="2334" spans="2:50" x14ac:dyDescent="0.2">
      <c r="B2334" s="7" t="s">
        <v>37</v>
      </c>
      <c r="C2334" s="8">
        <v>12972</v>
      </c>
      <c r="D2334" s="9" t="s">
        <v>1203</v>
      </c>
      <c r="E2334" s="10" t="s">
        <v>1204</v>
      </c>
      <c r="F2334" s="10" t="s">
        <v>1205</v>
      </c>
      <c r="G2334" s="8">
        <v>1</v>
      </c>
      <c r="H2334" s="11">
        <v>300</v>
      </c>
      <c r="I2334" s="12">
        <v>42640</v>
      </c>
      <c r="J2334" s="13">
        <f t="shared" si="79"/>
        <v>0</v>
      </c>
      <c r="K2334" s="14"/>
      <c r="L2334" s="14"/>
      <c r="M2334" s="14"/>
      <c r="N2334" s="14"/>
      <c r="O2334" s="14"/>
      <c r="P2334" s="14"/>
      <c r="Q2334" s="14"/>
      <c r="R2334" s="14"/>
      <c r="S2334" s="14"/>
      <c r="T2334" s="14">
        <v>300</v>
      </c>
      <c r="U2334" s="14"/>
      <c r="V2334" s="14"/>
      <c r="W2334" s="15">
        <f t="shared" si="80"/>
        <v>300</v>
      </c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5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5"/>
      <c r="AX2334" s="16"/>
    </row>
    <row r="2335" spans="2:50" x14ac:dyDescent="0.2">
      <c r="B2335" s="7" t="s">
        <v>37</v>
      </c>
      <c r="C2335" s="8">
        <v>12972</v>
      </c>
      <c r="D2335" s="9" t="s">
        <v>1203</v>
      </c>
      <c r="E2335" s="10" t="s">
        <v>1204</v>
      </c>
      <c r="F2335" s="10" t="s">
        <v>1205</v>
      </c>
      <c r="G2335" s="8">
        <v>5</v>
      </c>
      <c r="H2335" s="11">
        <v>100</v>
      </c>
      <c r="I2335" s="12">
        <v>42640</v>
      </c>
      <c r="J2335" s="13">
        <f t="shared" si="79"/>
        <v>0</v>
      </c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5">
        <f t="shared" si="80"/>
        <v>0</v>
      </c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5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5"/>
      <c r="AX2335" s="16"/>
    </row>
    <row r="2336" spans="2:50" x14ac:dyDescent="0.2">
      <c r="B2336" s="7" t="s">
        <v>1118</v>
      </c>
      <c r="C2336" s="8">
        <v>12973</v>
      </c>
      <c r="D2336" s="9" t="s">
        <v>1160</v>
      </c>
      <c r="E2336" s="10" t="s">
        <v>1161</v>
      </c>
      <c r="F2336" s="10" t="s">
        <v>1162</v>
      </c>
      <c r="G2336" s="8">
        <v>1</v>
      </c>
      <c r="H2336" s="11">
        <v>200</v>
      </c>
      <c r="I2336" s="12">
        <v>42643</v>
      </c>
      <c r="J2336" s="13">
        <f t="shared" si="79"/>
        <v>0</v>
      </c>
      <c r="K2336" s="14"/>
      <c r="L2336" s="14"/>
      <c r="M2336" s="14"/>
      <c r="N2336" s="14"/>
      <c r="O2336" s="14"/>
      <c r="P2336" s="14"/>
      <c r="Q2336" s="14"/>
      <c r="R2336" s="14"/>
      <c r="S2336" s="14">
        <v>200</v>
      </c>
      <c r="T2336" s="14"/>
      <c r="U2336" s="14"/>
      <c r="V2336" s="14"/>
      <c r="W2336" s="15">
        <f t="shared" si="80"/>
        <v>200</v>
      </c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5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5"/>
      <c r="AX2336" s="16"/>
    </row>
    <row r="2337" spans="1:50" x14ac:dyDescent="0.2">
      <c r="B2337" s="7" t="s">
        <v>69</v>
      </c>
      <c r="C2337" s="8">
        <v>12523</v>
      </c>
      <c r="D2337" s="9" t="s">
        <v>211</v>
      </c>
      <c r="E2337" s="10" t="s">
        <v>212</v>
      </c>
      <c r="F2337" s="10" t="s">
        <v>213</v>
      </c>
      <c r="G2337" s="8">
        <v>1</v>
      </c>
      <c r="H2337" s="11">
        <v>300</v>
      </c>
      <c r="I2337" s="12">
        <v>42643</v>
      </c>
      <c r="J2337" s="13">
        <f t="shared" si="79"/>
        <v>0</v>
      </c>
      <c r="K2337" s="14"/>
      <c r="L2337" s="14"/>
      <c r="M2337" s="14"/>
      <c r="N2337" s="14"/>
      <c r="O2337" s="14"/>
      <c r="P2337" s="14"/>
      <c r="Q2337" s="14"/>
      <c r="R2337" s="14"/>
      <c r="S2337" s="14">
        <v>300</v>
      </c>
      <c r="T2337" s="14"/>
      <c r="U2337" s="14"/>
      <c r="V2337" s="14"/>
      <c r="W2337" s="15">
        <f t="shared" si="80"/>
        <v>300</v>
      </c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5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5"/>
      <c r="AX2337" s="16"/>
    </row>
    <row r="2338" spans="1:50" x14ac:dyDescent="0.2">
      <c r="B2338" s="7" t="s">
        <v>73</v>
      </c>
      <c r="C2338" s="8"/>
      <c r="D2338" s="9" t="s">
        <v>806</v>
      </c>
      <c r="E2338" s="10" t="s">
        <v>885</v>
      </c>
      <c r="F2338" s="10" t="s">
        <v>805</v>
      </c>
      <c r="G2338" s="8">
        <v>1</v>
      </c>
      <c r="H2338" s="11">
        <v>11000</v>
      </c>
      <c r="I2338" s="12">
        <v>42634</v>
      </c>
      <c r="J2338" s="13">
        <f t="shared" si="79"/>
        <v>0</v>
      </c>
      <c r="K2338" s="14"/>
      <c r="L2338" s="14"/>
      <c r="M2338" s="14"/>
      <c r="N2338" s="14"/>
      <c r="O2338" s="14"/>
      <c r="P2338" s="14"/>
      <c r="Q2338" s="14"/>
      <c r="R2338" s="14"/>
      <c r="S2338" s="14">
        <v>11000</v>
      </c>
      <c r="T2338" s="14"/>
      <c r="U2338" s="14"/>
      <c r="V2338" s="14"/>
      <c r="W2338" s="15">
        <f t="shared" si="80"/>
        <v>11000</v>
      </c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5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5"/>
      <c r="AX2338" s="16"/>
    </row>
    <row r="2339" spans="1:50" x14ac:dyDescent="0.2">
      <c r="B2339" s="7" t="s">
        <v>93</v>
      </c>
      <c r="C2339" s="8"/>
      <c r="D2339" s="9"/>
      <c r="E2339" s="10" t="s">
        <v>93</v>
      </c>
      <c r="F2339" s="10" t="s">
        <v>93</v>
      </c>
      <c r="G2339" s="8"/>
      <c r="H2339" s="11"/>
      <c r="I2339" s="12"/>
      <c r="J2339" s="13">
        <f>IF(G2339=1,SUM(W2339,-H2339),0)</f>
        <v>0</v>
      </c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5">
        <f>SUM(K2339:V2339)</f>
        <v>0</v>
      </c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5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5"/>
      <c r="AX2339" s="16"/>
    </row>
    <row r="2340" spans="1:50" x14ac:dyDescent="0.2">
      <c r="B2340" s="7" t="s">
        <v>93</v>
      </c>
      <c r="C2340" s="8"/>
      <c r="D2340" s="9"/>
      <c r="E2340" s="10" t="s">
        <v>93</v>
      </c>
      <c r="F2340" s="10" t="s">
        <v>93</v>
      </c>
      <c r="G2340" s="8"/>
      <c r="H2340" s="11"/>
      <c r="I2340" s="12"/>
      <c r="J2340" s="13">
        <f>IF(G2340=1,SUM(W2340,-H2340),0)</f>
        <v>0</v>
      </c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5">
        <f>SUM(K2340:V2340)</f>
        <v>0</v>
      </c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5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5"/>
      <c r="AX2340" s="16"/>
    </row>
    <row r="2341" spans="1:50" x14ac:dyDescent="0.2">
      <c r="B2341" s="7" t="s">
        <v>93</v>
      </c>
      <c r="C2341" s="8"/>
      <c r="D2341" s="9"/>
      <c r="E2341" s="10" t="s">
        <v>93</v>
      </c>
      <c r="F2341" s="10" t="s">
        <v>93</v>
      </c>
      <c r="G2341" s="8"/>
      <c r="H2341" s="11"/>
      <c r="I2341" s="12"/>
      <c r="J2341" s="13">
        <f>IF(G2341=1,SUM(W2341,-H2341),0)</f>
        <v>0</v>
      </c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5">
        <f>SUM(K2341:V2341)</f>
        <v>0</v>
      </c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5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5"/>
      <c r="AX2341" s="16"/>
    </row>
    <row r="2342" spans="1:50" ht="22.5" x14ac:dyDescent="0.2">
      <c r="A2342" s="2" t="s">
        <v>0</v>
      </c>
      <c r="B2342" s="3" t="s">
        <v>1</v>
      </c>
      <c r="C2342" s="3" t="s">
        <v>2</v>
      </c>
      <c r="D2342" s="3" t="s">
        <v>3</v>
      </c>
      <c r="E2342" s="3" t="s">
        <v>4</v>
      </c>
      <c r="F2342" s="3" t="s">
        <v>5</v>
      </c>
      <c r="G2342" s="3" t="s">
        <v>6</v>
      </c>
      <c r="H2342" s="3" t="s">
        <v>7</v>
      </c>
      <c r="I2342" s="3" t="s">
        <v>8</v>
      </c>
      <c r="J2342" s="3" t="s">
        <v>9</v>
      </c>
      <c r="K2342" s="4" t="s">
        <v>10</v>
      </c>
      <c r="L2342" s="4" t="s">
        <v>11</v>
      </c>
      <c r="M2342" s="4" t="s">
        <v>12</v>
      </c>
      <c r="N2342" s="4" t="s">
        <v>13</v>
      </c>
      <c r="O2342" s="4" t="s">
        <v>14</v>
      </c>
      <c r="P2342" s="4" t="s">
        <v>15</v>
      </c>
      <c r="Q2342" s="4" t="s">
        <v>16</v>
      </c>
      <c r="R2342" s="4" t="s">
        <v>17</v>
      </c>
      <c r="S2342" s="4" t="s">
        <v>18</v>
      </c>
      <c r="T2342" s="4" t="s">
        <v>19</v>
      </c>
      <c r="U2342" s="4" t="s">
        <v>20</v>
      </c>
      <c r="V2342" s="4" t="s">
        <v>21</v>
      </c>
      <c r="W2342" s="5" t="s">
        <v>22</v>
      </c>
      <c r="X2342" s="4" t="s">
        <v>23</v>
      </c>
      <c r="Y2342" s="4" t="s">
        <v>24</v>
      </c>
      <c r="Z2342" s="4" t="s">
        <v>25</v>
      </c>
      <c r="AA2342" s="4" t="s">
        <v>26</v>
      </c>
      <c r="AB2342" s="4" t="s">
        <v>27</v>
      </c>
      <c r="AC2342" s="4" t="s">
        <v>28</v>
      </c>
      <c r="AD2342" s="4" t="s">
        <v>29</v>
      </c>
      <c r="AE2342" s="4" t="s">
        <v>30</v>
      </c>
      <c r="AF2342" s="4" t="s">
        <v>31</v>
      </c>
      <c r="AG2342" s="4" t="s">
        <v>32</v>
      </c>
      <c r="AH2342" s="4" t="s">
        <v>33</v>
      </c>
      <c r="AI2342" s="4" t="s">
        <v>34</v>
      </c>
      <c r="AJ2342" s="5" t="s">
        <v>35</v>
      </c>
      <c r="AK2342" s="4" t="s">
        <v>4607</v>
      </c>
      <c r="AL2342" s="4" t="s">
        <v>4608</v>
      </c>
      <c r="AM2342" s="4" t="s">
        <v>4609</v>
      </c>
      <c r="AN2342" s="4" t="s">
        <v>4610</v>
      </c>
      <c r="AO2342" s="4" t="s">
        <v>4611</v>
      </c>
      <c r="AP2342" s="4" t="s">
        <v>4612</v>
      </c>
      <c r="AQ2342" s="4" t="s">
        <v>4613</v>
      </c>
      <c r="AR2342" s="4" t="s">
        <v>4614</v>
      </c>
      <c r="AS2342" s="4" t="s">
        <v>4615</v>
      </c>
      <c r="AT2342" s="4" t="s">
        <v>4616</v>
      </c>
      <c r="AU2342" s="4" t="s">
        <v>4617</v>
      </c>
      <c r="AV2342" s="4" t="s">
        <v>4618</v>
      </c>
      <c r="AW2342" s="338" t="s">
        <v>4619</v>
      </c>
      <c r="AX2342" s="6" t="s">
        <v>36</v>
      </c>
    </row>
    <row r="2343" spans="1:50" x14ac:dyDescent="0.2">
      <c r="B2343" s="7" t="s">
        <v>73</v>
      </c>
      <c r="C2343" s="8">
        <v>12494</v>
      </c>
      <c r="D2343" s="9" t="s">
        <v>458</v>
      </c>
      <c r="E2343" s="10" t="s">
        <v>459</v>
      </c>
      <c r="F2343" s="10" t="s">
        <v>460</v>
      </c>
      <c r="G2343" s="8">
        <v>1</v>
      </c>
      <c r="H2343" s="11">
        <v>800</v>
      </c>
      <c r="I2343" s="12">
        <v>42645</v>
      </c>
      <c r="J2343" s="35">
        <f>IF(G2343=1,SUM(W2343,AJ2343,-H2343),0)</f>
        <v>0</v>
      </c>
      <c r="K2343" s="36"/>
      <c r="L2343" s="36"/>
      <c r="M2343" s="36"/>
      <c r="N2343" s="36"/>
      <c r="O2343" s="36"/>
      <c r="P2343" s="36"/>
      <c r="Q2343" s="36"/>
      <c r="R2343" s="36"/>
      <c r="S2343" s="36">
        <v>400</v>
      </c>
      <c r="T2343" s="36">
        <v>400</v>
      </c>
      <c r="U2343" s="36"/>
      <c r="V2343" s="36"/>
      <c r="W2343" s="15">
        <f t="shared" ref="W2343:W2374" si="81">SUM(K2343:V2343)</f>
        <v>800</v>
      </c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15">
        <f t="shared" ref="AJ2343:AJ2406" si="82">SUM(X2343:AI2343)</f>
        <v>0</v>
      </c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5"/>
      <c r="AX2343" s="16"/>
    </row>
    <row r="2344" spans="1:50" x14ac:dyDescent="0.2">
      <c r="B2344" s="7" t="s">
        <v>73</v>
      </c>
      <c r="C2344" s="8">
        <v>12495</v>
      </c>
      <c r="D2344" s="9" t="s">
        <v>458</v>
      </c>
      <c r="E2344" s="10" t="s">
        <v>459</v>
      </c>
      <c r="F2344" s="10" t="s">
        <v>460</v>
      </c>
      <c r="G2344" s="8">
        <v>5</v>
      </c>
      <c r="H2344" s="11">
        <v>50</v>
      </c>
      <c r="I2344" s="12">
        <v>42645</v>
      </c>
      <c r="J2344" s="35">
        <f t="shared" ref="J2344:J2408" si="83">IF(G2344=1,SUM(W2344,AJ2344,-H2344),0)</f>
        <v>0</v>
      </c>
      <c r="K2344" s="36"/>
      <c r="L2344" s="36"/>
      <c r="M2344" s="36"/>
      <c r="N2344" s="36"/>
      <c r="O2344" s="36"/>
      <c r="P2344" s="36"/>
      <c r="Q2344" s="36"/>
      <c r="R2344" s="36"/>
      <c r="S2344" s="36"/>
      <c r="T2344" s="36"/>
      <c r="U2344" s="36"/>
      <c r="V2344" s="36"/>
      <c r="W2344" s="15">
        <f t="shared" si="81"/>
        <v>0</v>
      </c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15">
        <f t="shared" si="82"/>
        <v>0</v>
      </c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5"/>
      <c r="AX2344" s="16"/>
    </row>
    <row r="2345" spans="1:50" x14ac:dyDescent="0.2">
      <c r="B2345" s="7" t="s">
        <v>69</v>
      </c>
      <c r="C2345" s="8">
        <v>12496</v>
      </c>
      <c r="D2345" s="9" t="s">
        <v>100</v>
      </c>
      <c r="E2345" s="10" t="s">
        <v>101</v>
      </c>
      <c r="F2345" s="10" t="s">
        <v>102</v>
      </c>
      <c r="G2345" s="8">
        <v>1</v>
      </c>
      <c r="H2345" s="11">
        <v>400</v>
      </c>
      <c r="I2345" s="12">
        <v>42645</v>
      </c>
      <c r="J2345" s="35">
        <f t="shared" si="83"/>
        <v>0</v>
      </c>
      <c r="K2345" s="36"/>
      <c r="L2345" s="36"/>
      <c r="M2345" s="36"/>
      <c r="N2345" s="36"/>
      <c r="O2345" s="36"/>
      <c r="P2345" s="36"/>
      <c r="Q2345" s="36"/>
      <c r="R2345" s="36"/>
      <c r="S2345" s="36"/>
      <c r="T2345" s="36">
        <v>400</v>
      </c>
      <c r="U2345" s="36"/>
      <c r="V2345" s="36"/>
      <c r="W2345" s="15">
        <f t="shared" si="81"/>
        <v>400</v>
      </c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15">
        <f t="shared" si="82"/>
        <v>0</v>
      </c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5"/>
      <c r="AX2345" s="16"/>
    </row>
    <row r="2346" spans="1:50" x14ac:dyDescent="0.2">
      <c r="B2346" s="7" t="s">
        <v>73</v>
      </c>
      <c r="C2346" s="8">
        <v>12497</v>
      </c>
      <c r="D2346" s="9" t="s">
        <v>458</v>
      </c>
      <c r="E2346" s="10" t="s">
        <v>459</v>
      </c>
      <c r="F2346" s="10" t="s">
        <v>460</v>
      </c>
      <c r="G2346" s="8">
        <v>3</v>
      </c>
      <c r="H2346" s="11">
        <v>400</v>
      </c>
      <c r="I2346" s="12">
        <v>42645</v>
      </c>
      <c r="J2346" s="35">
        <f t="shared" si="83"/>
        <v>0</v>
      </c>
      <c r="K2346" s="36"/>
      <c r="L2346" s="36"/>
      <c r="M2346" s="36"/>
      <c r="N2346" s="36"/>
      <c r="O2346" s="36"/>
      <c r="P2346" s="36"/>
      <c r="Q2346" s="36"/>
      <c r="R2346" s="36"/>
      <c r="S2346" s="36"/>
      <c r="T2346" s="36"/>
      <c r="U2346" s="36"/>
      <c r="V2346" s="36"/>
      <c r="W2346" s="15">
        <f t="shared" si="81"/>
        <v>0</v>
      </c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15">
        <f t="shared" si="82"/>
        <v>0</v>
      </c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5"/>
      <c r="AX2346" s="16"/>
    </row>
    <row r="2347" spans="1:50" x14ac:dyDescent="0.2">
      <c r="B2347" s="7" t="s">
        <v>37</v>
      </c>
      <c r="C2347" s="8">
        <v>12498</v>
      </c>
      <c r="D2347" s="9" t="s">
        <v>192</v>
      </c>
      <c r="E2347" s="10" t="s">
        <v>193</v>
      </c>
      <c r="F2347" s="10" t="s">
        <v>194</v>
      </c>
      <c r="G2347" s="8">
        <v>1</v>
      </c>
      <c r="H2347" s="11">
        <v>800</v>
      </c>
      <c r="I2347" s="12">
        <v>42645</v>
      </c>
      <c r="J2347" s="35">
        <f t="shared" si="83"/>
        <v>0</v>
      </c>
      <c r="K2347" s="36"/>
      <c r="L2347" s="36"/>
      <c r="M2347" s="36"/>
      <c r="N2347" s="36"/>
      <c r="O2347" s="36"/>
      <c r="P2347" s="36"/>
      <c r="Q2347" s="36"/>
      <c r="R2347" s="36">
        <v>400</v>
      </c>
      <c r="S2347" s="36">
        <v>400</v>
      </c>
      <c r="T2347" s="36"/>
      <c r="U2347" s="36"/>
      <c r="V2347" s="36"/>
      <c r="W2347" s="15">
        <f t="shared" si="81"/>
        <v>800</v>
      </c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15">
        <f t="shared" si="82"/>
        <v>0</v>
      </c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5"/>
      <c r="AX2347" s="16"/>
    </row>
    <row r="2348" spans="1:50" x14ac:dyDescent="0.2">
      <c r="B2348" s="7" t="s">
        <v>69</v>
      </c>
      <c r="C2348" s="8">
        <v>12499</v>
      </c>
      <c r="D2348" s="9" t="s">
        <v>643</v>
      </c>
      <c r="E2348" s="10" t="s">
        <v>644</v>
      </c>
      <c r="F2348" s="10" t="s">
        <v>645</v>
      </c>
      <c r="G2348" s="8">
        <v>1</v>
      </c>
      <c r="H2348" s="11">
        <v>600</v>
      </c>
      <c r="I2348" s="12">
        <v>42645</v>
      </c>
      <c r="J2348" s="35">
        <f t="shared" si="83"/>
        <v>0</v>
      </c>
      <c r="K2348" s="36"/>
      <c r="L2348" s="36"/>
      <c r="M2348" s="36"/>
      <c r="N2348" s="36"/>
      <c r="O2348" s="36"/>
      <c r="P2348" s="36"/>
      <c r="Q2348" s="36"/>
      <c r="R2348" s="36">
        <v>200</v>
      </c>
      <c r="S2348" s="36">
        <v>200</v>
      </c>
      <c r="T2348" s="36">
        <v>200</v>
      </c>
      <c r="U2348" s="36"/>
      <c r="V2348" s="36"/>
      <c r="W2348" s="15">
        <f t="shared" si="81"/>
        <v>600</v>
      </c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15">
        <f t="shared" si="82"/>
        <v>0</v>
      </c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5"/>
      <c r="AX2348" s="16"/>
    </row>
    <row r="2349" spans="1:50" x14ac:dyDescent="0.2">
      <c r="B2349" s="7" t="s">
        <v>37</v>
      </c>
      <c r="C2349" s="8">
        <v>12500</v>
      </c>
      <c r="D2349" s="9" t="s">
        <v>661</v>
      </c>
      <c r="E2349" s="10" t="s">
        <v>662</v>
      </c>
      <c r="F2349" s="10" t="s">
        <v>624</v>
      </c>
      <c r="G2349" s="8">
        <v>1</v>
      </c>
      <c r="H2349" s="11">
        <v>1600</v>
      </c>
      <c r="I2349" s="12">
        <v>42645</v>
      </c>
      <c r="J2349" s="35">
        <f t="shared" si="83"/>
        <v>0</v>
      </c>
      <c r="K2349" s="36"/>
      <c r="L2349" s="36"/>
      <c r="M2349" s="36"/>
      <c r="N2349" s="36"/>
      <c r="O2349" s="36"/>
      <c r="P2349" s="36"/>
      <c r="Q2349" s="36"/>
      <c r="R2349" s="36">
        <v>400</v>
      </c>
      <c r="S2349" s="36">
        <v>400</v>
      </c>
      <c r="T2349" s="36">
        <v>400</v>
      </c>
      <c r="U2349" s="36">
        <v>400</v>
      </c>
      <c r="V2349" s="36"/>
      <c r="W2349" s="15">
        <f t="shared" si="81"/>
        <v>1600</v>
      </c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15">
        <f t="shared" si="82"/>
        <v>0</v>
      </c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5"/>
      <c r="AX2349" s="16"/>
    </row>
    <row r="2350" spans="1:50" x14ac:dyDescent="0.2">
      <c r="B2350" s="7" t="s">
        <v>47</v>
      </c>
      <c r="C2350" s="8">
        <v>12501</v>
      </c>
      <c r="D2350" s="9" t="s">
        <v>183</v>
      </c>
      <c r="E2350" s="10" t="s">
        <v>184</v>
      </c>
      <c r="F2350" s="10" t="s">
        <v>185</v>
      </c>
      <c r="G2350" s="8">
        <v>1</v>
      </c>
      <c r="H2350" s="11">
        <v>400</v>
      </c>
      <c r="I2350" s="12">
        <v>42645</v>
      </c>
      <c r="J2350" s="35">
        <f t="shared" si="83"/>
        <v>0</v>
      </c>
      <c r="K2350" s="36"/>
      <c r="L2350" s="36"/>
      <c r="M2350" s="36"/>
      <c r="N2350" s="36"/>
      <c r="O2350" s="36"/>
      <c r="P2350" s="36"/>
      <c r="Q2350" s="36"/>
      <c r="R2350" s="36"/>
      <c r="S2350" s="36">
        <v>400</v>
      </c>
      <c r="T2350" s="36"/>
      <c r="U2350" s="36"/>
      <c r="V2350" s="36"/>
      <c r="W2350" s="15">
        <f t="shared" si="81"/>
        <v>400</v>
      </c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15">
        <f t="shared" si="82"/>
        <v>0</v>
      </c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5"/>
      <c r="AX2350" s="16"/>
    </row>
    <row r="2351" spans="1:50" x14ac:dyDescent="0.2">
      <c r="B2351" s="7" t="s">
        <v>69</v>
      </c>
      <c r="C2351" s="8">
        <v>12502</v>
      </c>
      <c r="D2351" s="9" t="s">
        <v>325</v>
      </c>
      <c r="E2351" s="10" t="s">
        <v>326</v>
      </c>
      <c r="F2351" s="10" t="s">
        <v>327</v>
      </c>
      <c r="G2351" s="8">
        <v>1</v>
      </c>
      <c r="H2351" s="11">
        <v>400</v>
      </c>
      <c r="I2351" s="12">
        <v>42645</v>
      </c>
      <c r="J2351" s="35">
        <f t="shared" si="83"/>
        <v>0</v>
      </c>
      <c r="K2351" s="36"/>
      <c r="L2351" s="36"/>
      <c r="M2351" s="36"/>
      <c r="N2351" s="36"/>
      <c r="O2351" s="36"/>
      <c r="P2351" s="36"/>
      <c r="Q2351" s="36"/>
      <c r="R2351" s="36"/>
      <c r="S2351" s="36"/>
      <c r="T2351" s="36">
        <v>400</v>
      </c>
      <c r="U2351" s="36"/>
      <c r="V2351" s="36"/>
      <c r="W2351" s="15">
        <f t="shared" si="81"/>
        <v>400</v>
      </c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15">
        <f t="shared" si="82"/>
        <v>0</v>
      </c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5"/>
      <c r="AX2351" s="16"/>
    </row>
    <row r="2352" spans="1:50" x14ac:dyDescent="0.2">
      <c r="B2352" s="7" t="s">
        <v>93</v>
      </c>
      <c r="C2352" s="8">
        <v>12503</v>
      </c>
      <c r="D2352" s="9"/>
      <c r="E2352" s="10" t="s">
        <v>93</v>
      </c>
      <c r="F2352" s="10" t="s">
        <v>93</v>
      </c>
      <c r="G2352" s="8">
        <v>8</v>
      </c>
      <c r="H2352" s="11"/>
      <c r="I2352" s="12"/>
      <c r="J2352" s="35">
        <f t="shared" si="83"/>
        <v>0</v>
      </c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15">
        <f t="shared" si="81"/>
        <v>0</v>
      </c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15">
        <f t="shared" si="82"/>
        <v>0</v>
      </c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5"/>
      <c r="AX2352" s="16"/>
    </row>
    <row r="2353" spans="2:50" x14ac:dyDescent="0.2">
      <c r="B2353" s="7" t="s">
        <v>77</v>
      </c>
      <c r="C2353" s="8">
        <v>12504</v>
      </c>
      <c r="D2353" s="9" t="s">
        <v>322</v>
      </c>
      <c r="E2353" s="10" t="s">
        <v>323</v>
      </c>
      <c r="F2353" s="10" t="s">
        <v>324</v>
      </c>
      <c r="G2353" s="8">
        <v>1</v>
      </c>
      <c r="H2353" s="11">
        <v>800</v>
      </c>
      <c r="I2353" s="12">
        <v>42645</v>
      </c>
      <c r="J2353" s="35">
        <f t="shared" si="83"/>
        <v>0</v>
      </c>
      <c r="K2353" s="36"/>
      <c r="L2353" s="36"/>
      <c r="M2353" s="36"/>
      <c r="N2353" s="36"/>
      <c r="O2353" s="36"/>
      <c r="P2353" s="36"/>
      <c r="Q2353" s="36"/>
      <c r="R2353" s="36"/>
      <c r="S2353" s="36">
        <v>400</v>
      </c>
      <c r="T2353" s="36">
        <v>400</v>
      </c>
      <c r="U2353" s="36"/>
      <c r="V2353" s="36"/>
      <c r="W2353" s="15">
        <f t="shared" si="81"/>
        <v>800</v>
      </c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15">
        <f t="shared" si="82"/>
        <v>0</v>
      </c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5"/>
      <c r="AX2353" s="16"/>
    </row>
    <row r="2354" spans="2:50" x14ac:dyDescent="0.2">
      <c r="B2354" s="7" t="s">
        <v>47</v>
      </c>
      <c r="C2354" s="8">
        <v>12505</v>
      </c>
      <c r="D2354" s="9" t="s">
        <v>434</v>
      </c>
      <c r="E2354" s="10" t="s">
        <v>435</v>
      </c>
      <c r="F2354" s="10" t="s">
        <v>436</v>
      </c>
      <c r="G2354" s="8">
        <v>1</v>
      </c>
      <c r="H2354" s="11">
        <v>800</v>
      </c>
      <c r="I2354" s="12">
        <v>42645</v>
      </c>
      <c r="J2354" s="35">
        <f t="shared" si="83"/>
        <v>0</v>
      </c>
      <c r="K2354" s="36"/>
      <c r="L2354" s="36"/>
      <c r="M2354" s="36"/>
      <c r="N2354" s="36"/>
      <c r="O2354" s="36"/>
      <c r="P2354" s="36"/>
      <c r="Q2354" s="36"/>
      <c r="R2354" s="36"/>
      <c r="S2354" s="36">
        <v>400</v>
      </c>
      <c r="T2354" s="36">
        <v>400</v>
      </c>
      <c r="U2354" s="36"/>
      <c r="V2354" s="36"/>
      <c r="W2354" s="15">
        <f t="shared" si="81"/>
        <v>800</v>
      </c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15">
        <f t="shared" si="82"/>
        <v>0</v>
      </c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5"/>
      <c r="AX2354" s="16"/>
    </row>
    <row r="2355" spans="2:50" x14ac:dyDescent="0.2">
      <c r="B2355" s="7" t="s">
        <v>69</v>
      </c>
      <c r="C2355" s="8">
        <v>12506</v>
      </c>
      <c r="D2355" s="9" t="s">
        <v>174</v>
      </c>
      <c r="E2355" s="10" t="s">
        <v>175</v>
      </c>
      <c r="F2355" s="10" t="s">
        <v>176</v>
      </c>
      <c r="G2355" s="8">
        <v>1</v>
      </c>
      <c r="H2355" s="11">
        <v>300</v>
      </c>
      <c r="I2355" s="12">
        <v>42645</v>
      </c>
      <c r="J2355" s="35">
        <f t="shared" si="83"/>
        <v>0</v>
      </c>
      <c r="K2355" s="36"/>
      <c r="L2355" s="36"/>
      <c r="M2355" s="36"/>
      <c r="N2355" s="36"/>
      <c r="O2355" s="36"/>
      <c r="P2355" s="36"/>
      <c r="Q2355" s="36"/>
      <c r="R2355" s="36"/>
      <c r="S2355" s="36"/>
      <c r="T2355" s="36">
        <v>300</v>
      </c>
      <c r="U2355" s="36"/>
      <c r="V2355" s="36"/>
      <c r="W2355" s="15">
        <f t="shared" si="81"/>
        <v>300</v>
      </c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15">
        <f t="shared" si="82"/>
        <v>0</v>
      </c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5"/>
      <c r="AX2355" s="16"/>
    </row>
    <row r="2356" spans="2:50" x14ac:dyDescent="0.2">
      <c r="B2356" s="7" t="s">
        <v>77</v>
      </c>
      <c r="C2356" s="8">
        <v>12507</v>
      </c>
      <c r="D2356" s="9" t="s">
        <v>129</v>
      </c>
      <c r="E2356" s="10" t="s">
        <v>130</v>
      </c>
      <c r="F2356" s="10" t="s">
        <v>131</v>
      </c>
      <c r="G2356" s="8">
        <v>1</v>
      </c>
      <c r="H2356" s="11">
        <v>400</v>
      </c>
      <c r="I2356" s="12">
        <v>42645</v>
      </c>
      <c r="J2356" s="35">
        <f t="shared" si="83"/>
        <v>0</v>
      </c>
      <c r="K2356" s="36"/>
      <c r="L2356" s="36"/>
      <c r="M2356" s="36"/>
      <c r="N2356" s="36"/>
      <c r="O2356" s="36"/>
      <c r="P2356" s="36"/>
      <c r="Q2356" s="36"/>
      <c r="R2356" s="36"/>
      <c r="S2356" s="36"/>
      <c r="T2356" s="36">
        <v>400</v>
      </c>
      <c r="U2356" s="36"/>
      <c r="V2356" s="36"/>
      <c r="W2356" s="15">
        <f t="shared" si="81"/>
        <v>400</v>
      </c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15">
        <f t="shared" si="82"/>
        <v>0</v>
      </c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14"/>
      <c r="AW2356" s="15"/>
      <c r="AX2356" s="16"/>
    </row>
    <row r="2357" spans="2:50" x14ac:dyDescent="0.2">
      <c r="B2357" s="7" t="s">
        <v>77</v>
      </c>
      <c r="C2357" s="8">
        <v>12507</v>
      </c>
      <c r="D2357" s="9" t="s">
        <v>129</v>
      </c>
      <c r="E2357" s="10" t="s">
        <v>130</v>
      </c>
      <c r="F2357" s="10" t="s">
        <v>131</v>
      </c>
      <c r="G2357" s="8">
        <v>4</v>
      </c>
      <c r="H2357" s="11">
        <v>200</v>
      </c>
      <c r="I2357" s="12">
        <v>42645</v>
      </c>
      <c r="J2357" s="35">
        <f t="shared" si="83"/>
        <v>0</v>
      </c>
      <c r="K2357" s="36"/>
      <c r="L2357" s="36"/>
      <c r="M2357" s="36"/>
      <c r="N2357" s="36"/>
      <c r="O2357" s="36"/>
      <c r="P2357" s="36"/>
      <c r="Q2357" s="36"/>
      <c r="R2357" s="36"/>
      <c r="S2357" s="36"/>
      <c r="T2357" s="36"/>
      <c r="U2357" s="36"/>
      <c r="V2357" s="36"/>
      <c r="W2357" s="15">
        <f t="shared" si="81"/>
        <v>0</v>
      </c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15">
        <f t="shared" si="82"/>
        <v>0</v>
      </c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5"/>
      <c r="AX2357" s="16"/>
    </row>
    <row r="2358" spans="2:50" x14ac:dyDescent="0.2">
      <c r="B2358" s="7" t="s">
        <v>69</v>
      </c>
      <c r="C2358" s="8">
        <v>12508</v>
      </c>
      <c r="D2358" s="9" t="s">
        <v>135</v>
      </c>
      <c r="E2358" s="10" t="s">
        <v>136</v>
      </c>
      <c r="F2358" s="10" t="s">
        <v>137</v>
      </c>
      <c r="G2358" s="8">
        <v>1</v>
      </c>
      <c r="H2358" s="11">
        <v>300</v>
      </c>
      <c r="I2358" s="12">
        <v>42645</v>
      </c>
      <c r="J2358" s="35">
        <f t="shared" si="83"/>
        <v>0</v>
      </c>
      <c r="K2358" s="36"/>
      <c r="L2358" s="36"/>
      <c r="M2358" s="36"/>
      <c r="N2358" s="36"/>
      <c r="O2358" s="36"/>
      <c r="P2358" s="36"/>
      <c r="Q2358" s="36"/>
      <c r="R2358" s="36"/>
      <c r="S2358" s="36"/>
      <c r="T2358" s="36">
        <v>300</v>
      </c>
      <c r="U2358" s="36"/>
      <c r="V2358" s="36"/>
      <c r="W2358" s="15">
        <f t="shared" si="81"/>
        <v>300</v>
      </c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15">
        <f t="shared" si="82"/>
        <v>0</v>
      </c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5"/>
      <c r="AX2358" s="16"/>
    </row>
    <row r="2359" spans="2:50" x14ac:dyDescent="0.2">
      <c r="B2359" s="7" t="s">
        <v>73</v>
      </c>
      <c r="C2359" s="8">
        <v>12509</v>
      </c>
      <c r="D2359" s="9" t="s">
        <v>541</v>
      </c>
      <c r="E2359" s="10" t="s">
        <v>542</v>
      </c>
      <c r="F2359" s="10" t="s">
        <v>543</v>
      </c>
      <c r="G2359" s="8">
        <v>1</v>
      </c>
      <c r="H2359" s="11">
        <v>800</v>
      </c>
      <c r="I2359" s="12">
        <v>42645</v>
      </c>
      <c r="J2359" s="35">
        <f t="shared" si="83"/>
        <v>0</v>
      </c>
      <c r="K2359" s="36"/>
      <c r="L2359" s="36"/>
      <c r="M2359" s="36"/>
      <c r="N2359" s="36"/>
      <c r="O2359" s="36"/>
      <c r="P2359" s="36"/>
      <c r="Q2359" s="36"/>
      <c r="R2359" s="36"/>
      <c r="S2359" s="36">
        <v>400</v>
      </c>
      <c r="T2359" s="36">
        <v>400</v>
      </c>
      <c r="U2359" s="36"/>
      <c r="V2359" s="36"/>
      <c r="W2359" s="15">
        <f t="shared" si="81"/>
        <v>800</v>
      </c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15">
        <f t="shared" si="82"/>
        <v>0</v>
      </c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5"/>
      <c r="AX2359" s="16"/>
    </row>
    <row r="2360" spans="2:50" x14ac:dyDescent="0.2">
      <c r="B2360" s="7" t="s">
        <v>47</v>
      </c>
      <c r="C2360" s="8">
        <v>12510</v>
      </c>
      <c r="D2360" s="9" t="s">
        <v>313</v>
      </c>
      <c r="E2360" s="10" t="s">
        <v>314</v>
      </c>
      <c r="F2360" s="10" t="s">
        <v>315</v>
      </c>
      <c r="G2360" s="8">
        <v>1</v>
      </c>
      <c r="H2360" s="11">
        <v>400</v>
      </c>
      <c r="I2360" s="12">
        <v>42645</v>
      </c>
      <c r="J2360" s="35">
        <f t="shared" si="83"/>
        <v>0</v>
      </c>
      <c r="K2360" s="36"/>
      <c r="L2360" s="36"/>
      <c r="M2360" s="36"/>
      <c r="N2360" s="36"/>
      <c r="O2360" s="36"/>
      <c r="P2360" s="36"/>
      <c r="Q2360" s="36"/>
      <c r="R2360" s="36"/>
      <c r="S2360" s="36"/>
      <c r="T2360" s="36">
        <v>400</v>
      </c>
      <c r="U2360" s="36"/>
      <c r="V2360" s="36"/>
      <c r="W2360" s="15">
        <f t="shared" si="81"/>
        <v>400</v>
      </c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15">
        <f t="shared" si="82"/>
        <v>0</v>
      </c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5"/>
      <c r="AX2360" s="16"/>
    </row>
    <row r="2361" spans="2:50" x14ac:dyDescent="0.2">
      <c r="B2361" s="7" t="s">
        <v>77</v>
      </c>
      <c r="C2361" s="8">
        <v>12511</v>
      </c>
      <c r="D2361" s="9" t="s">
        <v>652</v>
      </c>
      <c r="E2361" s="10" t="s">
        <v>653</v>
      </c>
      <c r="F2361" s="10" t="s">
        <v>654</v>
      </c>
      <c r="G2361" s="8">
        <v>1</v>
      </c>
      <c r="H2361" s="11">
        <v>800</v>
      </c>
      <c r="I2361" s="12">
        <v>42645</v>
      </c>
      <c r="J2361" s="35">
        <f t="shared" si="83"/>
        <v>0</v>
      </c>
      <c r="K2361" s="36"/>
      <c r="L2361" s="36"/>
      <c r="M2361" s="36"/>
      <c r="N2361" s="36"/>
      <c r="O2361" s="36"/>
      <c r="P2361" s="36"/>
      <c r="Q2361" s="36"/>
      <c r="R2361" s="36">
        <v>400</v>
      </c>
      <c r="S2361" s="36">
        <v>400</v>
      </c>
      <c r="T2361" s="36"/>
      <c r="U2361" s="36"/>
      <c r="V2361" s="36"/>
      <c r="W2361" s="15">
        <f t="shared" si="81"/>
        <v>800</v>
      </c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15">
        <f t="shared" si="82"/>
        <v>0</v>
      </c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5"/>
      <c r="AX2361" s="16"/>
    </row>
    <row r="2362" spans="2:50" x14ac:dyDescent="0.2">
      <c r="B2362" s="7" t="s">
        <v>77</v>
      </c>
      <c r="C2362" s="8">
        <v>12512</v>
      </c>
      <c r="D2362" s="9" t="s">
        <v>652</v>
      </c>
      <c r="E2362" s="10" t="s">
        <v>653</v>
      </c>
      <c r="F2362" s="10" t="s">
        <v>654</v>
      </c>
      <c r="G2362" s="8">
        <v>5</v>
      </c>
      <c r="H2362" s="11">
        <v>50</v>
      </c>
      <c r="I2362" s="12">
        <v>42645</v>
      </c>
      <c r="J2362" s="35">
        <f t="shared" si="83"/>
        <v>0</v>
      </c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15">
        <f t="shared" si="81"/>
        <v>0</v>
      </c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15">
        <f t="shared" si="82"/>
        <v>0</v>
      </c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5"/>
      <c r="AX2362" s="16"/>
    </row>
    <row r="2363" spans="2:50" x14ac:dyDescent="0.2">
      <c r="B2363" s="7" t="s">
        <v>47</v>
      </c>
      <c r="C2363" s="8">
        <v>12513</v>
      </c>
      <c r="D2363" s="9" t="s">
        <v>349</v>
      </c>
      <c r="E2363" s="10" t="s">
        <v>350</v>
      </c>
      <c r="F2363" s="10" t="s">
        <v>351</v>
      </c>
      <c r="G2363" s="8">
        <v>1</v>
      </c>
      <c r="H2363" s="11">
        <v>600</v>
      </c>
      <c r="I2363" s="12">
        <v>42645</v>
      </c>
      <c r="J2363" s="35">
        <f t="shared" si="83"/>
        <v>0</v>
      </c>
      <c r="K2363" s="36"/>
      <c r="L2363" s="36"/>
      <c r="M2363" s="36"/>
      <c r="N2363" s="36"/>
      <c r="O2363" s="36"/>
      <c r="P2363" s="36"/>
      <c r="Q2363" s="36">
        <v>300</v>
      </c>
      <c r="R2363" s="36">
        <v>300</v>
      </c>
      <c r="S2363" s="36"/>
      <c r="T2363" s="36"/>
      <c r="U2363" s="36"/>
      <c r="V2363" s="36"/>
      <c r="W2363" s="15">
        <f t="shared" si="81"/>
        <v>600</v>
      </c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15">
        <f t="shared" si="82"/>
        <v>0</v>
      </c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5"/>
      <c r="AX2363" s="16"/>
    </row>
    <row r="2364" spans="2:50" x14ac:dyDescent="0.2">
      <c r="B2364" s="7" t="s">
        <v>69</v>
      </c>
      <c r="C2364" s="8">
        <v>12514</v>
      </c>
      <c r="D2364" s="9" t="s">
        <v>168</v>
      </c>
      <c r="E2364" s="10" t="s">
        <v>169</v>
      </c>
      <c r="F2364" s="10" t="s">
        <v>170</v>
      </c>
      <c r="G2364" s="8">
        <v>1</v>
      </c>
      <c r="H2364" s="11">
        <v>400</v>
      </c>
      <c r="I2364" s="12">
        <v>42645</v>
      </c>
      <c r="J2364" s="35">
        <f t="shared" si="83"/>
        <v>0</v>
      </c>
      <c r="K2364" s="36"/>
      <c r="L2364" s="36"/>
      <c r="M2364" s="36"/>
      <c r="N2364" s="36"/>
      <c r="O2364" s="36"/>
      <c r="P2364" s="36"/>
      <c r="Q2364" s="36"/>
      <c r="R2364" s="36">
        <v>200</v>
      </c>
      <c r="S2364" s="36">
        <v>200</v>
      </c>
      <c r="T2364" s="36"/>
      <c r="U2364" s="36"/>
      <c r="V2364" s="36"/>
      <c r="W2364" s="15">
        <f t="shared" si="81"/>
        <v>400</v>
      </c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15">
        <f t="shared" si="82"/>
        <v>0</v>
      </c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5"/>
      <c r="AX2364" s="16"/>
    </row>
    <row r="2365" spans="2:50" x14ac:dyDescent="0.2">
      <c r="B2365" s="7" t="s">
        <v>122</v>
      </c>
      <c r="C2365" s="8">
        <v>12515</v>
      </c>
      <c r="D2365" s="9" t="s">
        <v>310</v>
      </c>
      <c r="E2365" s="10" t="s">
        <v>311</v>
      </c>
      <c r="F2365" s="10" t="s">
        <v>312</v>
      </c>
      <c r="G2365" s="8">
        <v>1</v>
      </c>
      <c r="H2365" s="11">
        <v>400</v>
      </c>
      <c r="I2365" s="12">
        <v>42645</v>
      </c>
      <c r="J2365" s="35">
        <f t="shared" si="83"/>
        <v>0</v>
      </c>
      <c r="K2365" s="36"/>
      <c r="L2365" s="36"/>
      <c r="M2365" s="36"/>
      <c r="N2365" s="36"/>
      <c r="O2365" s="36"/>
      <c r="P2365" s="36"/>
      <c r="Q2365" s="36"/>
      <c r="R2365" s="36"/>
      <c r="S2365" s="36">
        <v>400</v>
      </c>
      <c r="T2365" s="36"/>
      <c r="U2365" s="36"/>
      <c r="V2365" s="36"/>
      <c r="W2365" s="15">
        <f t="shared" si="81"/>
        <v>400</v>
      </c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15">
        <f t="shared" si="82"/>
        <v>0</v>
      </c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5"/>
      <c r="AX2365" s="16"/>
    </row>
    <row r="2366" spans="2:50" x14ac:dyDescent="0.2">
      <c r="B2366" s="7" t="s">
        <v>69</v>
      </c>
      <c r="C2366" s="8">
        <v>12516</v>
      </c>
      <c r="D2366" s="9" t="s">
        <v>346</v>
      </c>
      <c r="E2366" s="10" t="s">
        <v>347</v>
      </c>
      <c r="F2366" s="10" t="s">
        <v>348</v>
      </c>
      <c r="G2366" s="8">
        <v>1</v>
      </c>
      <c r="H2366" s="11">
        <v>300</v>
      </c>
      <c r="I2366" s="12">
        <v>42645</v>
      </c>
      <c r="J2366" s="35">
        <f t="shared" si="83"/>
        <v>0</v>
      </c>
      <c r="K2366" s="36"/>
      <c r="L2366" s="36"/>
      <c r="M2366" s="36"/>
      <c r="N2366" s="36"/>
      <c r="O2366" s="36"/>
      <c r="P2366" s="36"/>
      <c r="Q2366" s="36"/>
      <c r="R2366" s="36"/>
      <c r="S2366" s="36">
        <v>300</v>
      </c>
      <c r="T2366" s="36"/>
      <c r="U2366" s="36"/>
      <c r="V2366" s="36"/>
      <c r="W2366" s="15">
        <f t="shared" si="81"/>
        <v>300</v>
      </c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15">
        <f t="shared" si="82"/>
        <v>0</v>
      </c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5"/>
      <c r="AX2366" s="16"/>
    </row>
    <row r="2367" spans="2:50" x14ac:dyDescent="0.2">
      <c r="B2367" s="7" t="s">
        <v>47</v>
      </c>
      <c r="C2367" s="8">
        <v>12517</v>
      </c>
      <c r="D2367" s="9" t="s">
        <v>1170</v>
      </c>
      <c r="E2367" s="10" t="s">
        <v>1171</v>
      </c>
      <c r="F2367" s="10" t="s">
        <v>389</v>
      </c>
      <c r="G2367" s="8">
        <v>1</v>
      </c>
      <c r="H2367" s="11">
        <v>400</v>
      </c>
      <c r="I2367" s="12">
        <v>42645</v>
      </c>
      <c r="J2367" s="35">
        <f t="shared" si="83"/>
        <v>0</v>
      </c>
      <c r="K2367" s="36"/>
      <c r="L2367" s="36"/>
      <c r="M2367" s="36"/>
      <c r="N2367" s="36"/>
      <c r="O2367" s="36">
        <v>400</v>
      </c>
      <c r="P2367" s="36"/>
      <c r="Q2367" s="36"/>
      <c r="R2367" s="36"/>
      <c r="S2367" s="36"/>
      <c r="T2367" s="36"/>
      <c r="U2367" s="36"/>
      <c r="V2367" s="36"/>
      <c r="W2367" s="15">
        <f t="shared" si="81"/>
        <v>400</v>
      </c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15">
        <f t="shared" si="82"/>
        <v>0</v>
      </c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5"/>
      <c r="AX2367" s="16"/>
    </row>
    <row r="2368" spans="2:50" x14ac:dyDescent="0.2">
      <c r="B2368" s="7" t="s">
        <v>69</v>
      </c>
      <c r="C2368" s="8">
        <v>12518</v>
      </c>
      <c r="D2368" s="9" t="s">
        <v>301</v>
      </c>
      <c r="E2368" s="10" t="s">
        <v>302</v>
      </c>
      <c r="F2368" s="10" t="s">
        <v>303</v>
      </c>
      <c r="G2368" s="8">
        <v>1</v>
      </c>
      <c r="H2368" s="11">
        <v>200</v>
      </c>
      <c r="I2368" s="12">
        <v>42645</v>
      </c>
      <c r="J2368" s="35">
        <f t="shared" si="83"/>
        <v>0</v>
      </c>
      <c r="K2368" s="36"/>
      <c r="L2368" s="36"/>
      <c r="M2368" s="36"/>
      <c r="N2368" s="36"/>
      <c r="O2368" s="36"/>
      <c r="P2368" s="36"/>
      <c r="Q2368" s="36"/>
      <c r="R2368" s="36"/>
      <c r="S2368" s="36"/>
      <c r="T2368" s="36">
        <v>200</v>
      </c>
      <c r="U2368" s="36"/>
      <c r="V2368" s="36"/>
      <c r="W2368" s="15">
        <f t="shared" si="81"/>
        <v>200</v>
      </c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15">
        <f t="shared" si="82"/>
        <v>0</v>
      </c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5"/>
      <c r="AX2368" s="16"/>
    </row>
    <row r="2369" spans="2:50" x14ac:dyDescent="0.2">
      <c r="B2369" s="7" t="s">
        <v>47</v>
      </c>
      <c r="C2369" s="8">
        <v>12519</v>
      </c>
      <c r="D2369" s="9" t="s">
        <v>509</v>
      </c>
      <c r="E2369" s="10" t="s">
        <v>510</v>
      </c>
      <c r="F2369" s="10" t="s">
        <v>511</v>
      </c>
      <c r="G2369" s="8">
        <v>1</v>
      </c>
      <c r="H2369" s="11">
        <v>300</v>
      </c>
      <c r="I2369" s="12">
        <v>42645</v>
      </c>
      <c r="J2369" s="35">
        <f t="shared" si="83"/>
        <v>0</v>
      </c>
      <c r="K2369" s="36"/>
      <c r="L2369" s="36"/>
      <c r="M2369" s="36"/>
      <c r="N2369" s="36"/>
      <c r="O2369" s="36"/>
      <c r="P2369" s="36"/>
      <c r="Q2369" s="36"/>
      <c r="R2369" s="36"/>
      <c r="S2369" s="36">
        <v>300</v>
      </c>
      <c r="T2369" s="36"/>
      <c r="U2369" s="36"/>
      <c r="V2369" s="36"/>
      <c r="W2369" s="15">
        <f t="shared" si="81"/>
        <v>300</v>
      </c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15">
        <f t="shared" si="82"/>
        <v>0</v>
      </c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5"/>
      <c r="AX2369" s="16"/>
    </row>
    <row r="2370" spans="2:50" x14ac:dyDescent="0.2">
      <c r="B2370" s="7" t="s">
        <v>77</v>
      </c>
      <c r="C2370" s="8">
        <v>12520</v>
      </c>
      <c r="D2370" s="9" t="s">
        <v>547</v>
      </c>
      <c r="E2370" s="10" t="s">
        <v>548</v>
      </c>
      <c r="F2370" s="10" t="s">
        <v>549</v>
      </c>
      <c r="G2370" s="8">
        <v>1</v>
      </c>
      <c r="H2370" s="11">
        <v>400</v>
      </c>
      <c r="I2370" s="12">
        <v>42645</v>
      </c>
      <c r="J2370" s="35">
        <f t="shared" si="83"/>
        <v>0</v>
      </c>
      <c r="K2370" s="36"/>
      <c r="L2370" s="36"/>
      <c r="M2370" s="36"/>
      <c r="N2370" s="36"/>
      <c r="O2370" s="36"/>
      <c r="P2370" s="36"/>
      <c r="Q2370" s="36">
        <v>200</v>
      </c>
      <c r="R2370" s="36">
        <v>200</v>
      </c>
      <c r="S2370" s="36"/>
      <c r="T2370" s="36"/>
      <c r="U2370" s="36"/>
      <c r="V2370" s="36"/>
      <c r="W2370" s="15">
        <f t="shared" si="81"/>
        <v>400</v>
      </c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15">
        <f t="shared" si="82"/>
        <v>0</v>
      </c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5"/>
      <c r="AX2370" s="16"/>
    </row>
    <row r="2371" spans="2:50" x14ac:dyDescent="0.2">
      <c r="B2371" s="7" t="s">
        <v>47</v>
      </c>
      <c r="C2371" s="8">
        <v>12974</v>
      </c>
      <c r="D2371" s="9" t="s">
        <v>150</v>
      </c>
      <c r="E2371" s="10" t="s">
        <v>151</v>
      </c>
      <c r="F2371" s="10" t="s">
        <v>152</v>
      </c>
      <c r="G2371" s="8">
        <v>1</v>
      </c>
      <c r="H2371" s="11">
        <v>400</v>
      </c>
      <c r="I2371" s="12">
        <v>42645</v>
      </c>
      <c r="J2371" s="35">
        <f t="shared" si="83"/>
        <v>0</v>
      </c>
      <c r="K2371" s="36"/>
      <c r="L2371" s="36"/>
      <c r="M2371" s="36"/>
      <c r="N2371" s="36"/>
      <c r="O2371" s="36"/>
      <c r="P2371" s="36"/>
      <c r="Q2371" s="36"/>
      <c r="R2371" s="36"/>
      <c r="S2371" s="36"/>
      <c r="T2371" s="36">
        <v>400</v>
      </c>
      <c r="U2371" s="36"/>
      <c r="V2371" s="36"/>
      <c r="W2371" s="15">
        <f t="shared" si="81"/>
        <v>400</v>
      </c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15">
        <f t="shared" si="82"/>
        <v>0</v>
      </c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5"/>
      <c r="AX2371" s="16"/>
    </row>
    <row r="2372" spans="2:50" x14ac:dyDescent="0.2">
      <c r="B2372" s="7" t="s">
        <v>37</v>
      </c>
      <c r="C2372" s="8">
        <v>12975</v>
      </c>
      <c r="D2372" s="9" t="s">
        <v>794</v>
      </c>
      <c r="E2372" s="10" t="s">
        <v>795</v>
      </c>
      <c r="F2372" s="10" t="s">
        <v>796</v>
      </c>
      <c r="G2372" s="8">
        <v>1</v>
      </c>
      <c r="H2372" s="11">
        <v>300</v>
      </c>
      <c r="I2372" s="12">
        <v>42645</v>
      </c>
      <c r="J2372" s="35">
        <f t="shared" si="83"/>
        <v>0</v>
      </c>
      <c r="K2372" s="36"/>
      <c r="L2372" s="36"/>
      <c r="M2372" s="36"/>
      <c r="N2372" s="36"/>
      <c r="O2372" s="36"/>
      <c r="P2372" s="36"/>
      <c r="Q2372" s="36"/>
      <c r="R2372" s="36"/>
      <c r="S2372" s="36">
        <v>300</v>
      </c>
      <c r="T2372" s="36"/>
      <c r="U2372" s="36"/>
      <c r="V2372" s="36"/>
      <c r="W2372" s="15">
        <f t="shared" si="81"/>
        <v>300</v>
      </c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15">
        <f t="shared" si="82"/>
        <v>0</v>
      </c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5"/>
      <c r="AX2372" s="16"/>
    </row>
    <row r="2373" spans="2:50" x14ac:dyDescent="0.2">
      <c r="B2373" s="7" t="s">
        <v>69</v>
      </c>
      <c r="C2373" s="8">
        <v>12976</v>
      </c>
      <c r="D2373" s="9" t="s">
        <v>678</v>
      </c>
      <c r="E2373" s="10" t="s">
        <v>679</v>
      </c>
      <c r="F2373" s="10" t="s">
        <v>680</v>
      </c>
      <c r="G2373" s="8">
        <v>1</v>
      </c>
      <c r="H2373" s="11">
        <v>400</v>
      </c>
      <c r="I2373" s="12">
        <v>42645</v>
      </c>
      <c r="J2373" s="35">
        <f t="shared" si="83"/>
        <v>0</v>
      </c>
      <c r="K2373" s="36"/>
      <c r="L2373" s="36"/>
      <c r="M2373" s="36"/>
      <c r="N2373" s="36"/>
      <c r="O2373" s="36"/>
      <c r="P2373" s="36"/>
      <c r="Q2373" s="36"/>
      <c r="R2373" s="36"/>
      <c r="S2373" s="36"/>
      <c r="T2373" s="36">
        <v>400</v>
      </c>
      <c r="U2373" s="36"/>
      <c r="V2373" s="36"/>
      <c r="W2373" s="15">
        <f t="shared" si="81"/>
        <v>400</v>
      </c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15">
        <f t="shared" si="82"/>
        <v>0</v>
      </c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5"/>
      <c r="AX2373" s="16"/>
    </row>
    <row r="2374" spans="2:50" x14ac:dyDescent="0.2">
      <c r="B2374" s="7" t="s">
        <v>47</v>
      </c>
      <c r="C2374" s="8">
        <v>12977</v>
      </c>
      <c r="D2374" s="9" t="s">
        <v>241</v>
      </c>
      <c r="E2374" s="10" t="s">
        <v>242</v>
      </c>
      <c r="F2374" s="10" t="s">
        <v>243</v>
      </c>
      <c r="G2374" s="8">
        <v>1</v>
      </c>
      <c r="H2374" s="11">
        <v>400</v>
      </c>
      <c r="I2374" s="12">
        <v>42645</v>
      </c>
      <c r="J2374" s="35">
        <f t="shared" si="83"/>
        <v>0</v>
      </c>
      <c r="K2374" s="36"/>
      <c r="L2374" s="36"/>
      <c r="M2374" s="36"/>
      <c r="N2374" s="36"/>
      <c r="O2374" s="36"/>
      <c r="P2374" s="36"/>
      <c r="Q2374" s="36"/>
      <c r="R2374" s="36"/>
      <c r="S2374" s="36"/>
      <c r="T2374" s="36">
        <v>400</v>
      </c>
      <c r="U2374" s="36"/>
      <c r="V2374" s="36"/>
      <c r="W2374" s="15">
        <f t="shared" si="81"/>
        <v>400</v>
      </c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15">
        <f t="shared" si="82"/>
        <v>0</v>
      </c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5"/>
      <c r="AX2374" s="16"/>
    </row>
    <row r="2375" spans="2:50" x14ac:dyDescent="0.2">
      <c r="B2375" s="7" t="s">
        <v>77</v>
      </c>
      <c r="C2375" s="8">
        <v>12978</v>
      </c>
      <c r="D2375" s="9" t="s">
        <v>479</v>
      </c>
      <c r="E2375" s="10" t="s">
        <v>480</v>
      </c>
      <c r="F2375" s="10" t="s">
        <v>481</v>
      </c>
      <c r="G2375" s="8">
        <v>1</v>
      </c>
      <c r="H2375" s="11">
        <v>300</v>
      </c>
      <c r="I2375" s="12">
        <v>42645</v>
      </c>
      <c r="J2375" s="35">
        <f t="shared" si="83"/>
        <v>0</v>
      </c>
      <c r="K2375" s="36"/>
      <c r="L2375" s="36"/>
      <c r="M2375" s="36"/>
      <c r="N2375" s="36"/>
      <c r="O2375" s="36"/>
      <c r="P2375" s="36"/>
      <c r="Q2375" s="36"/>
      <c r="R2375" s="36"/>
      <c r="S2375" s="36"/>
      <c r="T2375" s="36">
        <v>300</v>
      </c>
      <c r="U2375" s="36"/>
      <c r="V2375" s="36"/>
      <c r="W2375" s="15">
        <f t="shared" ref="W2375:W2438" si="84">SUM(K2375:V2375)</f>
        <v>300</v>
      </c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15">
        <f t="shared" si="82"/>
        <v>0</v>
      </c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5"/>
      <c r="AX2375" s="16"/>
    </row>
    <row r="2376" spans="2:50" x14ac:dyDescent="0.2">
      <c r="B2376" s="7" t="s">
        <v>37</v>
      </c>
      <c r="C2376" s="8">
        <v>12979</v>
      </c>
      <c r="D2376" s="9" t="s">
        <v>94</v>
      </c>
      <c r="E2376" s="10" t="s">
        <v>95</v>
      </c>
      <c r="F2376" s="10" t="s">
        <v>96</v>
      </c>
      <c r="G2376" s="8">
        <v>1</v>
      </c>
      <c r="H2376" s="11">
        <v>400</v>
      </c>
      <c r="I2376" s="12">
        <v>42645</v>
      </c>
      <c r="J2376" s="35">
        <f t="shared" si="83"/>
        <v>0</v>
      </c>
      <c r="K2376" s="36"/>
      <c r="L2376" s="36"/>
      <c r="M2376" s="36"/>
      <c r="N2376" s="36"/>
      <c r="O2376" s="36"/>
      <c r="P2376" s="36"/>
      <c r="Q2376" s="36"/>
      <c r="R2376" s="36"/>
      <c r="S2376" s="36"/>
      <c r="T2376" s="36">
        <v>400</v>
      </c>
      <c r="U2376" s="36"/>
      <c r="V2376" s="36"/>
      <c r="W2376" s="15">
        <f t="shared" si="84"/>
        <v>400</v>
      </c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15">
        <f t="shared" si="82"/>
        <v>0</v>
      </c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5"/>
      <c r="AX2376" s="16"/>
    </row>
    <row r="2377" spans="2:50" x14ac:dyDescent="0.2">
      <c r="B2377" s="7" t="s">
        <v>37</v>
      </c>
      <c r="C2377" s="8">
        <v>12980</v>
      </c>
      <c r="D2377" s="9" t="s">
        <v>180</v>
      </c>
      <c r="E2377" s="10" t="s">
        <v>181</v>
      </c>
      <c r="F2377" s="10" t="s">
        <v>182</v>
      </c>
      <c r="G2377" s="8">
        <v>1</v>
      </c>
      <c r="H2377" s="11">
        <v>400</v>
      </c>
      <c r="I2377" s="12">
        <v>42645</v>
      </c>
      <c r="J2377" s="35">
        <f t="shared" si="83"/>
        <v>0</v>
      </c>
      <c r="K2377" s="36"/>
      <c r="L2377" s="36"/>
      <c r="M2377" s="36"/>
      <c r="N2377" s="36"/>
      <c r="O2377" s="36"/>
      <c r="P2377" s="36"/>
      <c r="Q2377" s="36"/>
      <c r="R2377" s="36"/>
      <c r="S2377" s="36"/>
      <c r="T2377" s="36">
        <v>400</v>
      </c>
      <c r="U2377" s="36"/>
      <c r="V2377" s="36"/>
      <c r="W2377" s="15">
        <f t="shared" si="84"/>
        <v>400</v>
      </c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15">
        <f t="shared" si="82"/>
        <v>0</v>
      </c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5"/>
      <c r="AX2377" s="16"/>
    </row>
    <row r="2378" spans="2:50" x14ac:dyDescent="0.2">
      <c r="B2378" s="7" t="s">
        <v>47</v>
      </c>
      <c r="C2378" s="8">
        <v>12981</v>
      </c>
      <c r="D2378" s="9" t="s">
        <v>84</v>
      </c>
      <c r="E2378" s="10" t="s">
        <v>85</v>
      </c>
      <c r="F2378" s="10" t="s">
        <v>86</v>
      </c>
      <c r="G2378" s="8">
        <v>5</v>
      </c>
      <c r="H2378" s="11">
        <v>50</v>
      </c>
      <c r="I2378" s="12">
        <v>42645</v>
      </c>
      <c r="J2378" s="35">
        <f t="shared" si="83"/>
        <v>0</v>
      </c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  <c r="W2378" s="15">
        <f t="shared" si="84"/>
        <v>0</v>
      </c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15">
        <f t="shared" si="82"/>
        <v>0</v>
      </c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5"/>
      <c r="AX2378" s="16"/>
    </row>
    <row r="2379" spans="2:50" x14ac:dyDescent="0.2">
      <c r="B2379" s="7" t="s">
        <v>37</v>
      </c>
      <c r="C2379" s="8">
        <v>12982</v>
      </c>
      <c r="D2379" s="9" t="s">
        <v>307</v>
      </c>
      <c r="E2379" s="10" t="s">
        <v>308</v>
      </c>
      <c r="F2379" s="10" t="s">
        <v>309</v>
      </c>
      <c r="G2379" s="8">
        <v>1</v>
      </c>
      <c r="H2379" s="11">
        <v>350</v>
      </c>
      <c r="I2379" s="12">
        <v>42645</v>
      </c>
      <c r="J2379" s="35">
        <f t="shared" si="83"/>
        <v>0</v>
      </c>
      <c r="K2379" s="36"/>
      <c r="L2379" s="36"/>
      <c r="M2379" s="36"/>
      <c r="N2379" s="36"/>
      <c r="O2379" s="36"/>
      <c r="P2379" s="36"/>
      <c r="Q2379" s="36"/>
      <c r="R2379" s="36"/>
      <c r="S2379" s="36"/>
      <c r="T2379" s="36">
        <v>350</v>
      </c>
      <c r="U2379" s="36"/>
      <c r="V2379" s="36"/>
      <c r="W2379" s="15">
        <f t="shared" si="84"/>
        <v>350</v>
      </c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15">
        <f t="shared" si="82"/>
        <v>0</v>
      </c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5"/>
      <c r="AX2379" s="16"/>
    </row>
    <row r="2380" spans="2:50" x14ac:dyDescent="0.2">
      <c r="B2380" s="7" t="s">
        <v>47</v>
      </c>
      <c r="C2380" s="8">
        <v>12983</v>
      </c>
      <c r="D2380" s="9" t="s">
        <v>280</v>
      </c>
      <c r="E2380" s="10" t="s">
        <v>281</v>
      </c>
      <c r="F2380" s="10" t="s">
        <v>282</v>
      </c>
      <c r="G2380" s="8">
        <v>1</v>
      </c>
      <c r="H2380" s="11">
        <v>400</v>
      </c>
      <c r="I2380" s="12">
        <v>42645</v>
      </c>
      <c r="J2380" s="35">
        <f t="shared" si="83"/>
        <v>0</v>
      </c>
      <c r="K2380" s="36"/>
      <c r="L2380" s="36"/>
      <c r="M2380" s="36"/>
      <c r="N2380" s="36"/>
      <c r="O2380" s="36"/>
      <c r="P2380" s="36"/>
      <c r="Q2380" s="36"/>
      <c r="R2380" s="36"/>
      <c r="S2380" s="36"/>
      <c r="T2380" s="36">
        <v>400</v>
      </c>
      <c r="U2380" s="36"/>
      <c r="V2380" s="36"/>
      <c r="W2380" s="15">
        <f t="shared" si="84"/>
        <v>400</v>
      </c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15">
        <f t="shared" si="82"/>
        <v>0</v>
      </c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5"/>
      <c r="AX2380" s="16"/>
    </row>
    <row r="2381" spans="2:50" x14ac:dyDescent="0.2">
      <c r="B2381" s="7" t="s">
        <v>47</v>
      </c>
      <c r="C2381" s="8">
        <v>12984</v>
      </c>
      <c r="D2381" s="9" t="s">
        <v>97</v>
      </c>
      <c r="E2381" s="10" t="s">
        <v>98</v>
      </c>
      <c r="F2381" s="10" t="s">
        <v>99</v>
      </c>
      <c r="G2381" s="8">
        <v>1</v>
      </c>
      <c r="H2381" s="11">
        <v>400</v>
      </c>
      <c r="I2381" s="12">
        <v>42645</v>
      </c>
      <c r="J2381" s="35">
        <f t="shared" si="83"/>
        <v>0</v>
      </c>
      <c r="K2381" s="36"/>
      <c r="L2381" s="36"/>
      <c r="M2381" s="36"/>
      <c r="N2381" s="36"/>
      <c r="O2381" s="36"/>
      <c r="P2381" s="36"/>
      <c r="Q2381" s="36"/>
      <c r="R2381" s="36"/>
      <c r="S2381" s="36"/>
      <c r="T2381" s="36">
        <v>400</v>
      </c>
      <c r="U2381" s="36"/>
      <c r="V2381" s="36"/>
      <c r="W2381" s="15">
        <f t="shared" si="84"/>
        <v>400</v>
      </c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15">
        <f t="shared" si="82"/>
        <v>0</v>
      </c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5"/>
      <c r="AX2381" s="16"/>
    </row>
    <row r="2382" spans="2:50" x14ac:dyDescent="0.2">
      <c r="B2382" s="7" t="s">
        <v>69</v>
      </c>
      <c r="C2382" s="8">
        <v>12985</v>
      </c>
      <c r="D2382" s="9" t="s">
        <v>476</v>
      </c>
      <c r="E2382" s="10" t="s">
        <v>477</v>
      </c>
      <c r="F2382" s="10" t="s">
        <v>478</v>
      </c>
      <c r="G2382" s="8">
        <v>1</v>
      </c>
      <c r="H2382" s="11">
        <v>400</v>
      </c>
      <c r="I2382" s="12">
        <v>42645</v>
      </c>
      <c r="J2382" s="35">
        <f t="shared" si="83"/>
        <v>0</v>
      </c>
      <c r="K2382" s="36"/>
      <c r="L2382" s="36"/>
      <c r="M2382" s="36"/>
      <c r="N2382" s="36"/>
      <c r="O2382" s="36"/>
      <c r="P2382" s="36"/>
      <c r="Q2382" s="36"/>
      <c r="R2382" s="36"/>
      <c r="S2382" s="36"/>
      <c r="T2382" s="36">
        <v>400</v>
      </c>
      <c r="U2382" s="36"/>
      <c r="V2382" s="36"/>
      <c r="W2382" s="15">
        <f t="shared" si="84"/>
        <v>400</v>
      </c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15">
        <f t="shared" si="82"/>
        <v>0</v>
      </c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5"/>
      <c r="AX2382" s="16"/>
    </row>
    <row r="2383" spans="2:50" x14ac:dyDescent="0.2">
      <c r="B2383" s="7" t="s">
        <v>77</v>
      </c>
      <c r="C2383" s="8">
        <v>12986</v>
      </c>
      <c r="D2383" s="9" t="s">
        <v>556</v>
      </c>
      <c r="E2383" s="10" t="s">
        <v>557</v>
      </c>
      <c r="F2383" s="10" t="s">
        <v>558</v>
      </c>
      <c r="G2383" s="8">
        <v>1</v>
      </c>
      <c r="H2383" s="11">
        <v>400</v>
      </c>
      <c r="I2383" s="12">
        <v>42645</v>
      </c>
      <c r="J2383" s="35">
        <f t="shared" si="83"/>
        <v>0</v>
      </c>
      <c r="K2383" s="36"/>
      <c r="L2383" s="36"/>
      <c r="M2383" s="36"/>
      <c r="N2383" s="36"/>
      <c r="O2383" s="36"/>
      <c r="P2383" s="36"/>
      <c r="Q2383" s="36">
        <v>400</v>
      </c>
      <c r="R2383" s="36"/>
      <c r="S2383" s="36"/>
      <c r="T2383" s="36"/>
      <c r="U2383" s="36"/>
      <c r="V2383" s="36"/>
      <c r="W2383" s="15">
        <f t="shared" si="84"/>
        <v>400</v>
      </c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15">
        <f t="shared" si="82"/>
        <v>0</v>
      </c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5"/>
      <c r="AX2383" s="16"/>
    </row>
    <row r="2384" spans="2:50" x14ac:dyDescent="0.2">
      <c r="B2384" s="7" t="s">
        <v>37</v>
      </c>
      <c r="C2384" s="8">
        <v>12987</v>
      </c>
      <c r="D2384" s="9" t="s">
        <v>550</v>
      </c>
      <c r="E2384" s="10" t="s">
        <v>551</v>
      </c>
      <c r="F2384" s="10" t="s">
        <v>552</v>
      </c>
      <c r="G2384" s="8">
        <v>1</v>
      </c>
      <c r="H2384" s="11">
        <v>600</v>
      </c>
      <c r="I2384" s="12">
        <v>42645</v>
      </c>
      <c r="J2384" s="35">
        <f t="shared" si="83"/>
        <v>0</v>
      </c>
      <c r="K2384" s="36"/>
      <c r="L2384" s="36"/>
      <c r="M2384" s="36"/>
      <c r="N2384" s="36"/>
      <c r="O2384" s="36"/>
      <c r="P2384" s="36"/>
      <c r="Q2384" s="36">
        <v>300</v>
      </c>
      <c r="R2384" s="36">
        <v>300</v>
      </c>
      <c r="S2384" s="36"/>
      <c r="T2384" s="36"/>
      <c r="U2384" s="36"/>
      <c r="V2384" s="36"/>
      <c r="W2384" s="15">
        <f t="shared" si="84"/>
        <v>600</v>
      </c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15">
        <f t="shared" si="82"/>
        <v>0</v>
      </c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5"/>
      <c r="AX2384" s="16"/>
    </row>
    <row r="2385" spans="2:50" x14ac:dyDescent="0.2">
      <c r="B2385" s="7" t="s">
        <v>47</v>
      </c>
      <c r="C2385" s="8">
        <v>12988</v>
      </c>
      <c r="D2385" s="9" t="s">
        <v>238</v>
      </c>
      <c r="E2385" s="10" t="s">
        <v>239</v>
      </c>
      <c r="F2385" s="10" t="s">
        <v>240</v>
      </c>
      <c r="G2385" s="8">
        <v>1</v>
      </c>
      <c r="H2385" s="11">
        <v>125</v>
      </c>
      <c r="I2385" s="12">
        <v>42645</v>
      </c>
      <c r="J2385" s="35">
        <f t="shared" si="83"/>
        <v>0</v>
      </c>
      <c r="K2385" s="36"/>
      <c r="L2385" s="36"/>
      <c r="M2385" s="36"/>
      <c r="N2385" s="36"/>
      <c r="O2385" s="36"/>
      <c r="P2385" s="36"/>
      <c r="Q2385" s="36"/>
      <c r="R2385" s="36"/>
      <c r="S2385" s="36"/>
      <c r="T2385" s="36">
        <v>125</v>
      </c>
      <c r="U2385" s="36"/>
      <c r="V2385" s="36"/>
      <c r="W2385" s="15">
        <f t="shared" si="84"/>
        <v>125</v>
      </c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15">
        <f t="shared" si="82"/>
        <v>0</v>
      </c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5"/>
      <c r="AX2385" s="16"/>
    </row>
    <row r="2386" spans="2:50" x14ac:dyDescent="0.2">
      <c r="B2386" s="7" t="s">
        <v>73</v>
      </c>
      <c r="C2386" s="8">
        <v>12989</v>
      </c>
      <c r="D2386" s="9" t="s">
        <v>259</v>
      </c>
      <c r="E2386" s="10" t="s">
        <v>260</v>
      </c>
      <c r="F2386" s="10" t="s">
        <v>261</v>
      </c>
      <c r="G2386" s="8">
        <v>3</v>
      </c>
      <c r="H2386" s="11">
        <v>200</v>
      </c>
      <c r="I2386" s="12">
        <v>42645</v>
      </c>
      <c r="J2386" s="35">
        <f t="shared" si="83"/>
        <v>0</v>
      </c>
      <c r="K2386" s="36"/>
      <c r="L2386" s="36"/>
      <c r="M2386" s="36"/>
      <c r="N2386" s="36"/>
      <c r="O2386" s="36"/>
      <c r="P2386" s="36"/>
      <c r="Q2386" s="36"/>
      <c r="R2386" s="36"/>
      <c r="S2386" s="36"/>
      <c r="T2386" s="36"/>
      <c r="U2386" s="36"/>
      <c r="V2386" s="36"/>
      <c r="W2386" s="15">
        <f t="shared" si="84"/>
        <v>0</v>
      </c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15">
        <f t="shared" si="82"/>
        <v>0</v>
      </c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5"/>
      <c r="AX2386" s="16"/>
    </row>
    <row r="2387" spans="2:50" x14ac:dyDescent="0.2">
      <c r="B2387" s="7" t="s">
        <v>391</v>
      </c>
      <c r="C2387" s="8">
        <v>12990</v>
      </c>
      <c r="D2387" s="9" t="s">
        <v>640</v>
      </c>
      <c r="E2387" s="10" t="s">
        <v>641</v>
      </c>
      <c r="F2387" s="10" t="s">
        <v>642</v>
      </c>
      <c r="G2387" s="8">
        <v>1</v>
      </c>
      <c r="H2387" s="11">
        <v>200</v>
      </c>
      <c r="I2387" s="12">
        <v>42645</v>
      </c>
      <c r="J2387" s="35">
        <f t="shared" si="83"/>
        <v>0</v>
      </c>
      <c r="K2387" s="36"/>
      <c r="L2387" s="36"/>
      <c r="M2387" s="36"/>
      <c r="N2387" s="36"/>
      <c r="O2387" s="36"/>
      <c r="P2387" s="36"/>
      <c r="Q2387" s="36"/>
      <c r="R2387" s="36"/>
      <c r="S2387" s="36">
        <v>200</v>
      </c>
      <c r="T2387" s="36"/>
      <c r="U2387" s="36"/>
      <c r="V2387" s="36"/>
      <c r="W2387" s="15">
        <f t="shared" si="84"/>
        <v>200</v>
      </c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15">
        <f t="shared" si="82"/>
        <v>0</v>
      </c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5"/>
      <c r="AX2387" s="16"/>
    </row>
    <row r="2388" spans="2:50" x14ac:dyDescent="0.2">
      <c r="B2388" s="7" t="s">
        <v>37</v>
      </c>
      <c r="C2388" s="8">
        <v>12991</v>
      </c>
      <c r="D2388" s="9" t="s">
        <v>568</v>
      </c>
      <c r="E2388" s="10" t="s">
        <v>569</v>
      </c>
      <c r="F2388" s="10" t="s">
        <v>570</v>
      </c>
      <c r="G2388" s="8">
        <v>1</v>
      </c>
      <c r="H2388" s="11">
        <v>1000</v>
      </c>
      <c r="I2388" s="12">
        <v>42645</v>
      </c>
      <c r="J2388" s="35">
        <f t="shared" si="83"/>
        <v>0</v>
      </c>
      <c r="K2388" s="36"/>
      <c r="L2388" s="36"/>
      <c r="M2388" s="36"/>
      <c r="N2388" s="36"/>
      <c r="O2388" s="36"/>
      <c r="P2388" s="36"/>
      <c r="Q2388" s="36">
        <v>200</v>
      </c>
      <c r="R2388" s="36"/>
      <c r="S2388" s="36">
        <v>400</v>
      </c>
      <c r="T2388" s="36">
        <v>400</v>
      </c>
      <c r="U2388" s="36"/>
      <c r="V2388" s="36"/>
      <c r="W2388" s="15">
        <f t="shared" si="84"/>
        <v>1000</v>
      </c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15">
        <f t="shared" si="82"/>
        <v>0</v>
      </c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5"/>
      <c r="AX2388" s="16"/>
    </row>
    <row r="2389" spans="2:50" x14ac:dyDescent="0.2">
      <c r="B2389" s="7" t="s">
        <v>69</v>
      </c>
      <c r="C2389" s="8">
        <v>12992</v>
      </c>
      <c r="D2389" s="9" t="s">
        <v>292</v>
      </c>
      <c r="E2389" s="10" t="s">
        <v>293</v>
      </c>
      <c r="F2389" s="10" t="s">
        <v>294</v>
      </c>
      <c r="G2389" s="8">
        <v>1</v>
      </c>
      <c r="H2389" s="11">
        <v>400</v>
      </c>
      <c r="I2389" s="12">
        <v>42645</v>
      </c>
      <c r="J2389" s="35">
        <f t="shared" si="83"/>
        <v>0</v>
      </c>
      <c r="K2389" s="36"/>
      <c r="L2389" s="36"/>
      <c r="M2389" s="36"/>
      <c r="N2389" s="36"/>
      <c r="O2389" s="36"/>
      <c r="P2389" s="36"/>
      <c r="Q2389" s="36"/>
      <c r="R2389" s="36"/>
      <c r="S2389" s="36"/>
      <c r="T2389" s="36">
        <v>400</v>
      </c>
      <c r="U2389" s="36"/>
      <c r="V2389" s="36"/>
      <c r="W2389" s="15">
        <f t="shared" si="84"/>
        <v>400</v>
      </c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15">
        <f t="shared" si="82"/>
        <v>0</v>
      </c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5"/>
      <c r="AX2389" s="16"/>
    </row>
    <row r="2390" spans="2:50" x14ac:dyDescent="0.2">
      <c r="B2390" s="7" t="s">
        <v>69</v>
      </c>
      <c r="C2390" s="8">
        <v>12993</v>
      </c>
      <c r="D2390" s="9" t="s">
        <v>562</v>
      </c>
      <c r="E2390" s="10" t="s">
        <v>563</v>
      </c>
      <c r="F2390" s="10" t="s">
        <v>564</v>
      </c>
      <c r="G2390" s="8">
        <v>1</v>
      </c>
      <c r="H2390" s="11">
        <v>400</v>
      </c>
      <c r="I2390" s="12">
        <v>42645</v>
      </c>
      <c r="J2390" s="35">
        <f t="shared" si="83"/>
        <v>0</v>
      </c>
      <c r="K2390" s="36"/>
      <c r="L2390" s="36"/>
      <c r="M2390" s="36"/>
      <c r="N2390" s="36"/>
      <c r="O2390" s="36"/>
      <c r="P2390" s="36"/>
      <c r="Q2390" s="36"/>
      <c r="R2390" s="36"/>
      <c r="S2390" s="36"/>
      <c r="T2390" s="36">
        <v>400</v>
      </c>
      <c r="U2390" s="36"/>
      <c r="V2390" s="36"/>
      <c r="W2390" s="15">
        <f t="shared" si="84"/>
        <v>400</v>
      </c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15">
        <f t="shared" si="82"/>
        <v>0</v>
      </c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5"/>
      <c r="AX2390" s="16"/>
    </row>
    <row r="2391" spans="2:50" x14ac:dyDescent="0.2">
      <c r="B2391" s="7" t="s">
        <v>69</v>
      </c>
      <c r="C2391" s="8">
        <v>12994</v>
      </c>
      <c r="D2391" s="9" t="s">
        <v>413</v>
      </c>
      <c r="E2391" s="10" t="s">
        <v>414</v>
      </c>
      <c r="F2391" s="10" t="s">
        <v>415</v>
      </c>
      <c r="G2391" s="8">
        <v>1</v>
      </c>
      <c r="H2391" s="11">
        <v>1200</v>
      </c>
      <c r="I2391" s="12">
        <v>42645</v>
      </c>
      <c r="J2391" s="35">
        <f t="shared" si="83"/>
        <v>0</v>
      </c>
      <c r="K2391" s="36"/>
      <c r="L2391" s="36"/>
      <c r="M2391" s="36"/>
      <c r="N2391" s="36"/>
      <c r="O2391" s="36"/>
      <c r="P2391" s="36"/>
      <c r="Q2391" s="36"/>
      <c r="R2391" s="36"/>
      <c r="S2391" s="36"/>
      <c r="T2391" s="36">
        <v>400</v>
      </c>
      <c r="U2391" s="36">
        <v>400</v>
      </c>
      <c r="V2391" s="36">
        <v>400</v>
      </c>
      <c r="W2391" s="15">
        <f t="shared" si="84"/>
        <v>1200</v>
      </c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15">
        <f t="shared" si="82"/>
        <v>0</v>
      </c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5"/>
      <c r="AX2391" s="16"/>
    </row>
    <row r="2392" spans="2:50" x14ac:dyDescent="0.2">
      <c r="B2392" s="7" t="s">
        <v>73</v>
      </c>
      <c r="C2392" s="8">
        <v>12995</v>
      </c>
      <c r="D2392" s="9" t="s">
        <v>544</v>
      </c>
      <c r="E2392" s="10" t="s">
        <v>545</v>
      </c>
      <c r="F2392" s="10" t="s">
        <v>546</v>
      </c>
      <c r="G2392" s="8">
        <v>1</v>
      </c>
      <c r="H2392" s="11">
        <v>400</v>
      </c>
      <c r="I2392" s="12">
        <v>42645</v>
      </c>
      <c r="J2392" s="35">
        <f t="shared" si="83"/>
        <v>0</v>
      </c>
      <c r="K2392" s="36"/>
      <c r="L2392" s="36"/>
      <c r="M2392" s="36"/>
      <c r="N2392" s="36"/>
      <c r="O2392" s="36"/>
      <c r="P2392" s="36"/>
      <c r="Q2392" s="36"/>
      <c r="R2392" s="36"/>
      <c r="S2392" s="36"/>
      <c r="T2392" s="36">
        <v>400</v>
      </c>
      <c r="U2392" s="36"/>
      <c r="V2392" s="36"/>
      <c r="W2392" s="15">
        <f t="shared" si="84"/>
        <v>400</v>
      </c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15">
        <f t="shared" si="82"/>
        <v>0</v>
      </c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5"/>
      <c r="AX2392" s="16"/>
    </row>
    <row r="2393" spans="2:50" x14ac:dyDescent="0.2">
      <c r="B2393" s="7" t="s">
        <v>47</v>
      </c>
      <c r="C2393" s="8">
        <v>12996</v>
      </c>
      <c r="D2393" s="9" t="s">
        <v>171</v>
      </c>
      <c r="E2393" s="10" t="s">
        <v>172</v>
      </c>
      <c r="F2393" s="10" t="s">
        <v>173</v>
      </c>
      <c r="G2393" s="8">
        <v>1</v>
      </c>
      <c r="H2393" s="11">
        <v>400</v>
      </c>
      <c r="I2393" s="12">
        <v>42645</v>
      </c>
      <c r="J2393" s="35">
        <f t="shared" si="83"/>
        <v>0</v>
      </c>
      <c r="K2393" s="36"/>
      <c r="L2393" s="36"/>
      <c r="M2393" s="36"/>
      <c r="N2393" s="36"/>
      <c r="O2393" s="36"/>
      <c r="P2393" s="36"/>
      <c r="Q2393" s="36"/>
      <c r="R2393" s="36"/>
      <c r="S2393" s="36"/>
      <c r="T2393" s="36">
        <v>400</v>
      </c>
      <c r="U2393" s="36"/>
      <c r="V2393" s="36"/>
      <c r="W2393" s="15">
        <f t="shared" si="84"/>
        <v>400</v>
      </c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15">
        <f t="shared" si="82"/>
        <v>0</v>
      </c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5"/>
      <c r="AX2393" s="16"/>
    </row>
    <row r="2394" spans="2:50" x14ac:dyDescent="0.2">
      <c r="B2394" s="7" t="s">
        <v>37</v>
      </c>
      <c r="C2394" s="8">
        <v>12997</v>
      </c>
      <c r="D2394" s="9" t="s">
        <v>1206</v>
      </c>
      <c r="E2394" s="10" t="s">
        <v>1207</v>
      </c>
      <c r="F2394" s="10" t="s">
        <v>1208</v>
      </c>
      <c r="G2394" s="8">
        <v>1</v>
      </c>
      <c r="H2394" s="11">
        <v>1050</v>
      </c>
      <c r="I2394" s="12">
        <v>42645</v>
      </c>
      <c r="J2394" s="35">
        <f t="shared" si="83"/>
        <v>0</v>
      </c>
      <c r="K2394" s="36"/>
      <c r="L2394" s="36"/>
      <c r="M2394" s="36"/>
      <c r="N2394" s="36">
        <v>150</v>
      </c>
      <c r="O2394" s="36">
        <v>150</v>
      </c>
      <c r="P2394" s="36">
        <v>150</v>
      </c>
      <c r="Q2394" s="36">
        <v>150</v>
      </c>
      <c r="R2394" s="36">
        <v>150</v>
      </c>
      <c r="S2394" s="36">
        <v>150</v>
      </c>
      <c r="T2394" s="36">
        <v>150</v>
      </c>
      <c r="U2394" s="36"/>
      <c r="V2394" s="36"/>
      <c r="W2394" s="15">
        <f t="shared" si="84"/>
        <v>1050</v>
      </c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15">
        <f t="shared" si="82"/>
        <v>0</v>
      </c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5"/>
      <c r="AX2394" s="16"/>
    </row>
    <row r="2395" spans="2:50" x14ac:dyDescent="0.2">
      <c r="B2395" s="7" t="s">
        <v>37</v>
      </c>
      <c r="C2395" s="8">
        <v>12998</v>
      </c>
      <c r="D2395" s="9" t="s">
        <v>1206</v>
      </c>
      <c r="E2395" s="10" t="s">
        <v>1207</v>
      </c>
      <c r="F2395" s="10" t="s">
        <v>1208</v>
      </c>
      <c r="G2395" s="8">
        <v>5</v>
      </c>
      <c r="H2395" s="11">
        <v>50</v>
      </c>
      <c r="I2395" s="12">
        <v>42645</v>
      </c>
      <c r="J2395" s="35">
        <f t="shared" si="83"/>
        <v>0</v>
      </c>
      <c r="K2395" s="36"/>
      <c r="L2395" s="36"/>
      <c r="M2395" s="36"/>
      <c r="N2395" s="36"/>
      <c r="O2395" s="36"/>
      <c r="P2395" s="36"/>
      <c r="Q2395" s="36"/>
      <c r="R2395" s="36"/>
      <c r="S2395" s="36"/>
      <c r="T2395" s="36"/>
      <c r="U2395" s="36"/>
      <c r="V2395" s="36"/>
      <c r="W2395" s="15">
        <f t="shared" si="84"/>
        <v>0</v>
      </c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15">
        <f t="shared" si="82"/>
        <v>0</v>
      </c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14"/>
      <c r="AW2395" s="15"/>
      <c r="AX2395" s="16"/>
    </row>
    <row r="2396" spans="2:50" x14ac:dyDescent="0.2">
      <c r="B2396" s="7" t="s">
        <v>69</v>
      </c>
      <c r="C2396" s="8">
        <v>12999</v>
      </c>
      <c r="D2396" s="9" t="s">
        <v>253</v>
      </c>
      <c r="E2396" s="10" t="s">
        <v>254</v>
      </c>
      <c r="F2396" s="10" t="s">
        <v>255</v>
      </c>
      <c r="G2396" s="8">
        <v>5</v>
      </c>
      <c r="H2396" s="11">
        <v>50</v>
      </c>
      <c r="I2396" s="12">
        <v>42645</v>
      </c>
      <c r="J2396" s="35">
        <f t="shared" si="83"/>
        <v>0</v>
      </c>
      <c r="K2396" s="36"/>
      <c r="L2396" s="36"/>
      <c r="M2396" s="36"/>
      <c r="N2396" s="36"/>
      <c r="O2396" s="36"/>
      <c r="P2396" s="36"/>
      <c r="Q2396" s="36"/>
      <c r="R2396" s="36"/>
      <c r="S2396" s="36"/>
      <c r="T2396" s="36"/>
      <c r="U2396" s="36"/>
      <c r="V2396" s="36"/>
      <c r="W2396" s="15">
        <f t="shared" si="84"/>
        <v>0</v>
      </c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15">
        <f t="shared" si="82"/>
        <v>0</v>
      </c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5"/>
      <c r="AX2396" s="16"/>
    </row>
    <row r="2397" spans="2:50" x14ac:dyDescent="0.2">
      <c r="B2397" s="7" t="s">
        <v>37</v>
      </c>
      <c r="C2397" s="8">
        <v>13000</v>
      </c>
      <c r="D2397" s="9" t="s">
        <v>681</v>
      </c>
      <c r="E2397" s="10" t="s">
        <v>682</v>
      </c>
      <c r="F2397" s="10" t="s">
        <v>683</v>
      </c>
      <c r="G2397" s="8">
        <v>1</v>
      </c>
      <c r="H2397" s="11">
        <v>300</v>
      </c>
      <c r="I2397" s="12">
        <v>42645</v>
      </c>
      <c r="J2397" s="35">
        <f t="shared" si="83"/>
        <v>0</v>
      </c>
      <c r="K2397" s="36"/>
      <c r="L2397" s="36"/>
      <c r="M2397" s="36"/>
      <c r="N2397" s="36"/>
      <c r="O2397" s="36"/>
      <c r="P2397" s="36"/>
      <c r="Q2397" s="36"/>
      <c r="R2397" s="36"/>
      <c r="S2397" s="36">
        <v>300</v>
      </c>
      <c r="T2397" s="36"/>
      <c r="U2397" s="36"/>
      <c r="V2397" s="36"/>
      <c r="W2397" s="15">
        <f t="shared" si="84"/>
        <v>300</v>
      </c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15">
        <f t="shared" si="82"/>
        <v>0</v>
      </c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5"/>
      <c r="AX2397" s="16"/>
    </row>
    <row r="2398" spans="2:50" x14ac:dyDescent="0.2">
      <c r="B2398" s="7" t="s">
        <v>37</v>
      </c>
      <c r="C2398" s="8">
        <v>13000</v>
      </c>
      <c r="D2398" s="9" t="s">
        <v>681</v>
      </c>
      <c r="E2398" s="10" t="s">
        <v>682</v>
      </c>
      <c r="F2398" s="10" t="s">
        <v>683</v>
      </c>
      <c r="G2398" s="8">
        <v>5</v>
      </c>
      <c r="H2398" s="11">
        <v>50</v>
      </c>
      <c r="I2398" s="12">
        <v>42645</v>
      </c>
      <c r="J2398" s="35">
        <f t="shared" si="83"/>
        <v>0</v>
      </c>
      <c r="K2398" s="36"/>
      <c r="L2398" s="36"/>
      <c r="M2398" s="36"/>
      <c r="N2398" s="36"/>
      <c r="O2398" s="36"/>
      <c r="P2398" s="36"/>
      <c r="Q2398" s="36"/>
      <c r="R2398" s="36"/>
      <c r="S2398" s="36"/>
      <c r="T2398" s="36"/>
      <c r="U2398" s="36"/>
      <c r="V2398" s="36"/>
      <c r="W2398" s="15">
        <f t="shared" si="84"/>
        <v>0</v>
      </c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15">
        <f t="shared" si="82"/>
        <v>0</v>
      </c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5"/>
      <c r="AX2398" s="16"/>
    </row>
    <row r="2399" spans="2:50" x14ac:dyDescent="0.2">
      <c r="B2399" s="7" t="s">
        <v>37</v>
      </c>
      <c r="C2399" s="8">
        <v>12521</v>
      </c>
      <c r="D2399" s="9" t="s">
        <v>205</v>
      </c>
      <c r="E2399" s="10" t="s">
        <v>206</v>
      </c>
      <c r="F2399" s="10" t="s">
        <v>207</v>
      </c>
      <c r="G2399" s="8">
        <v>1</v>
      </c>
      <c r="H2399" s="11">
        <v>600</v>
      </c>
      <c r="I2399" s="12">
        <v>42647</v>
      </c>
      <c r="J2399" s="35">
        <f t="shared" si="83"/>
        <v>0</v>
      </c>
      <c r="K2399" s="36"/>
      <c r="L2399" s="36"/>
      <c r="M2399" s="36"/>
      <c r="N2399" s="36"/>
      <c r="O2399" s="36"/>
      <c r="P2399" s="36"/>
      <c r="Q2399" s="36"/>
      <c r="R2399" s="36"/>
      <c r="S2399" s="36">
        <v>600</v>
      </c>
      <c r="T2399" s="36"/>
      <c r="U2399" s="36"/>
      <c r="V2399" s="36"/>
      <c r="W2399" s="15">
        <f t="shared" si="84"/>
        <v>600</v>
      </c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15">
        <f t="shared" si="82"/>
        <v>0</v>
      </c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5"/>
      <c r="AX2399" s="16"/>
    </row>
    <row r="2400" spans="2:50" x14ac:dyDescent="0.2">
      <c r="B2400" s="7" t="s">
        <v>37</v>
      </c>
      <c r="C2400" s="8">
        <v>12522</v>
      </c>
      <c r="D2400" s="9" t="s">
        <v>177</v>
      </c>
      <c r="E2400" s="10" t="s">
        <v>178</v>
      </c>
      <c r="F2400" s="10" t="s">
        <v>179</v>
      </c>
      <c r="G2400" s="8">
        <v>1</v>
      </c>
      <c r="H2400" s="11">
        <v>400</v>
      </c>
      <c r="I2400" s="12">
        <v>42647</v>
      </c>
      <c r="J2400" s="35">
        <f t="shared" si="83"/>
        <v>0</v>
      </c>
      <c r="K2400" s="36"/>
      <c r="L2400" s="36"/>
      <c r="M2400" s="36"/>
      <c r="N2400" s="36"/>
      <c r="O2400" s="36"/>
      <c r="P2400" s="36"/>
      <c r="Q2400" s="36"/>
      <c r="R2400" s="36"/>
      <c r="S2400" s="36"/>
      <c r="T2400" s="36">
        <v>400</v>
      </c>
      <c r="U2400" s="36"/>
      <c r="V2400" s="36"/>
      <c r="W2400" s="15">
        <f t="shared" si="84"/>
        <v>400</v>
      </c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15">
        <f t="shared" si="82"/>
        <v>0</v>
      </c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5"/>
      <c r="AX2400" s="16"/>
    </row>
    <row r="2401" spans="2:50" x14ac:dyDescent="0.2">
      <c r="B2401" s="7" t="s">
        <v>37</v>
      </c>
      <c r="C2401" s="8">
        <v>12522</v>
      </c>
      <c r="D2401" s="9" t="s">
        <v>177</v>
      </c>
      <c r="E2401" s="10" t="s">
        <v>178</v>
      </c>
      <c r="F2401" s="10" t="s">
        <v>179</v>
      </c>
      <c r="G2401" s="8">
        <v>3</v>
      </c>
      <c r="H2401" s="11">
        <v>200</v>
      </c>
      <c r="I2401" s="12">
        <v>42647</v>
      </c>
      <c r="J2401" s="35">
        <f t="shared" si="83"/>
        <v>0</v>
      </c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15">
        <f t="shared" si="84"/>
        <v>0</v>
      </c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15">
        <f t="shared" si="82"/>
        <v>0</v>
      </c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5"/>
      <c r="AX2401" s="16"/>
    </row>
    <row r="2402" spans="2:50" x14ac:dyDescent="0.2">
      <c r="B2402" s="7" t="s">
        <v>37</v>
      </c>
      <c r="C2402" s="8">
        <v>12522</v>
      </c>
      <c r="D2402" s="9" t="s">
        <v>177</v>
      </c>
      <c r="E2402" s="10" t="s">
        <v>178</v>
      </c>
      <c r="F2402" s="10" t="s">
        <v>179</v>
      </c>
      <c r="G2402" s="8">
        <v>4</v>
      </c>
      <c r="H2402" s="11">
        <v>200</v>
      </c>
      <c r="I2402" s="12">
        <v>42647</v>
      </c>
      <c r="J2402" s="35">
        <f t="shared" si="83"/>
        <v>0</v>
      </c>
      <c r="K2402" s="36"/>
      <c r="L2402" s="36"/>
      <c r="M2402" s="36"/>
      <c r="N2402" s="36"/>
      <c r="O2402" s="36"/>
      <c r="P2402" s="36"/>
      <c r="Q2402" s="36"/>
      <c r="R2402" s="36"/>
      <c r="S2402" s="36"/>
      <c r="T2402" s="36"/>
      <c r="U2402" s="36"/>
      <c r="V2402" s="36"/>
      <c r="W2402" s="15">
        <f t="shared" si="84"/>
        <v>0</v>
      </c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15">
        <f t="shared" si="82"/>
        <v>0</v>
      </c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5"/>
      <c r="AX2402" s="16"/>
    </row>
    <row r="2403" spans="2:50" x14ac:dyDescent="0.2">
      <c r="B2403" s="7" t="s">
        <v>37</v>
      </c>
      <c r="C2403" s="8">
        <v>12522</v>
      </c>
      <c r="D2403" s="9" t="s">
        <v>177</v>
      </c>
      <c r="E2403" s="10" t="s">
        <v>178</v>
      </c>
      <c r="F2403" s="10" t="s">
        <v>179</v>
      </c>
      <c r="G2403" s="8">
        <v>5</v>
      </c>
      <c r="H2403" s="11">
        <v>50</v>
      </c>
      <c r="I2403" s="12">
        <v>42647</v>
      </c>
      <c r="J2403" s="35">
        <f t="shared" si="83"/>
        <v>0</v>
      </c>
      <c r="K2403" s="36"/>
      <c r="L2403" s="36"/>
      <c r="M2403" s="36"/>
      <c r="N2403" s="36"/>
      <c r="O2403" s="36"/>
      <c r="P2403" s="36"/>
      <c r="Q2403" s="36"/>
      <c r="R2403" s="36"/>
      <c r="S2403" s="36"/>
      <c r="T2403" s="36"/>
      <c r="U2403" s="36"/>
      <c r="V2403" s="36"/>
      <c r="W2403" s="15">
        <f t="shared" si="84"/>
        <v>0</v>
      </c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15">
        <f t="shared" si="82"/>
        <v>0</v>
      </c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5"/>
      <c r="AX2403" s="16"/>
    </row>
    <row r="2404" spans="2:50" x14ac:dyDescent="0.2">
      <c r="B2404" s="7" t="s">
        <v>37</v>
      </c>
      <c r="C2404" s="8">
        <v>12523</v>
      </c>
      <c r="D2404" s="9" t="s">
        <v>211</v>
      </c>
      <c r="E2404" s="10" t="s">
        <v>212</v>
      </c>
      <c r="F2404" s="10" t="s">
        <v>3307</v>
      </c>
      <c r="G2404" s="8"/>
      <c r="H2404" s="11"/>
      <c r="I2404" s="12"/>
      <c r="J2404" s="35">
        <f t="shared" si="83"/>
        <v>0</v>
      </c>
      <c r="K2404" s="36"/>
      <c r="L2404" s="36"/>
      <c r="M2404" s="36"/>
      <c r="N2404" s="36"/>
      <c r="O2404" s="36"/>
      <c r="P2404" s="36"/>
      <c r="Q2404" s="36"/>
      <c r="R2404" s="36"/>
      <c r="S2404" s="36"/>
      <c r="T2404" s="36"/>
      <c r="U2404" s="36"/>
      <c r="V2404" s="36"/>
      <c r="W2404" s="15">
        <f t="shared" si="84"/>
        <v>0</v>
      </c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15">
        <f t="shared" si="82"/>
        <v>0</v>
      </c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5"/>
      <c r="AX2404" s="16"/>
    </row>
    <row r="2405" spans="2:50" x14ac:dyDescent="0.2">
      <c r="B2405" s="7" t="s">
        <v>37</v>
      </c>
      <c r="C2405" s="8">
        <v>12524</v>
      </c>
      <c r="D2405" s="9" t="s">
        <v>244</v>
      </c>
      <c r="E2405" s="10" t="s">
        <v>245</v>
      </c>
      <c r="F2405" s="10" t="s">
        <v>246</v>
      </c>
      <c r="G2405" s="8">
        <v>5</v>
      </c>
      <c r="H2405" s="11">
        <v>50</v>
      </c>
      <c r="I2405" s="12">
        <v>42647</v>
      </c>
      <c r="J2405" s="35">
        <f t="shared" si="83"/>
        <v>0</v>
      </c>
      <c r="K2405" s="36"/>
      <c r="L2405" s="36"/>
      <c r="M2405" s="36"/>
      <c r="N2405" s="36"/>
      <c r="O2405" s="36"/>
      <c r="P2405" s="36"/>
      <c r="Q2405" s="36"/>
      <c r="R2405" s="36"/>
      <c r="S2405" s="36"/>
      <c r="T2405" s="36"/>
      <c r="U2405" s="36"/>
      <c r="V2405" s="36"/>
      <c r="W2405" s="15">
        <f t="shared" si="84"/>
        <v>0</v>
      </c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15">
        <f t="shared" si="82"/>
        <v>0</v>
      </c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5"/>
      <c r="AX2405" s="16"/>
    </row>
    <row r="2406" spans="2:50" x14ac:dyDescent="0.2">
      <c r="B2406" s="7" t="s">
        <v>37</v>
      </c>
      <c r="C2406" s="8">
        <v>12525</v>
      </c>
      <c r="D2406" s="9" t="s">
        <v>253</v>
      </c>
      <c r="E2406" s="10" t="s">
        <v>254</v>
      </c>
      <c r="F2406" s="10" t="s">
        <v>255</v>
      </c>
      <c r="G2406" s="8">
        <v>5</v>
      </c>
      <c r="H2406" s="11">
        <v>50</v>
      </c>
      <c r="I2406" s="12">
        <v>42648</v>
      </c>
      <c r="J2406" s="35">
        <f t="shared" si="83"/>
        <v>0</v>
      </c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15">
        <f t="shared" si="84"/>
        <v>0</v>
      </c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15">
        <f t="shared" si="82"/>
        <v>0</v>
      </c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5"/>
      <c r="AX2406" s="16"/>
    </row>
    <row r="2407" spans="2:50" x14ac:dyDescent="0.2">
      <c r="B2407" s="7" t="s">
        <v>37</v>
      </c>
      <c r="C2407" s="8">
        <v>12526</v>
      </c>
      <c r="D2407" s="9" t="s">
        <v>882</v>
      </c>
      <c r="E2407" s="10" t="s">
        <v>883</v>
      </c>
      <c r="F2407" s="10" t="s">
        <v>884</v>
      </c>
      <c r="G2407" s="8">
        <v>1</v>
      </c>
      <c r="H2407" s="11">
        <v>800</v>
      </c>
      <c r="I2407" s="12">
        <v>42652</v>
      </c>
      <c r="J2407" s="35">
        <f t="shared" si="83"/>
        <v>0</v>
      </c>
      <c r="K2407" s="36"/>
      <c r="L2407" s="36"/>
      <c r="M2407" s="36"/>
      <c r="N2407" s="36"/>
      <c r="O2407" s="36"/>
      <c r="P2407" s="36"/>
      <c r="Q2407" s="36">
        <v>200</v>
      </c>
      <c r="R2407" s="36">
        <v>200</v>
      </c>
      <c r="S2407" s="36">
        <v>200</v>
      </c>
      <c r="T2407" s="36">
        <v>200</v>
      </c>
      <c r="U2407" s="36"/>
      <c r="V2407" s="36"/>
      <c r="W2407" s="15">
        <f t="shared" si="84"/>
        <v>800</v>
      </c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15">
        <f>SUM(X2407:AI2407)</f>
        <v>0</v>
      </c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5"/>
      <c r="AX2407" s="16"/>
    </row>
    <row r="2408" spans="2:50" x14ac:dyDescent="0.2">
      <c r="B2408" s="7" t="s">
        <v>37</v>
      </c>
      <c r="C2408" s="8">
        <v>12527</v>
      </c>
      <c r="D2408" s="9" t="s">
        <v>165</v>
      </c>
      <c r="E2408" s="10" t="s">
        <v>166</v>
      </c>
      <c r="F2408" s="10" t="s">
        <v>167</v>
      </c>
      <c r="G2408" s="8">
        <v>1</v>
      </c>
      <c r="H2408" s="11">
        <v>350</v>
      </c>
      <c r="I2408" s="12">
        <v>42652</v>
      </c>
      <c r="J2408" s="35">
        <f t="shared" si="83"/>
        <v>0</v>
      </c>
      <c r="K2408" s="36"/>
      <c r="L2408" s="36"/>
      <c r="M2408" s="36"/>
      <c r="N2408" s="36"/>
      <c r="O2408" s="36"/>
      <c r="P2408" s="36"/>
      <c r="Q2408" s="36"/>
      <c r="R2408" s="36"/>
      <c r="S2408" s="36"/>
      <c r="T2408" s="36">
        <v>350</v>
      </c>
      <c r="U2408" s="36"/>
      <c r="V2408" s="36"/>
      <c r="W2408" s="15">
        <f t="shared" si="84"/>
        <v>350</v>
      </c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15">
        <f t="shared" ref="AJ2408:AJ2471" si="85">SUM(X2408:AI2408)</f>
        <v>0</v>
      </c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5"/>
      <c r="AX2408" s="16"/>
    </row>
    <row r="2409" spans="2:50" x14ac:dyDescent="0.2">
      <c r="B2409" s="7" t="s">
        <v>37</v>
      </c>
      <c r="C2409" s="8">
        <v>12528</v>
      </c>
      <c r="D2409" s="9" t="s">
        <v>259</v>
      </c>
      <c r="E2409" s="10" t="s">
        <v>260</v>
      </c>
      <c r="F2409" s="10" t="s">
        <v>261</v>
      </c>
      <c r="G2409" s="8">
        <v>1</v>
      </c>
      <c r="H2409" s="11">
        <v>400</v>
      </c>
      <c r="I2409" s="12">
        <v>42652</v>
      </c>
      <c r="J2409" s="35">
        <f t="shared" ref="J2409:J2472" si="86">IF(G2409=1,SUM(W2409,AJ2409,-H2409),0)</f>
        <v>0</v>
      </c>
      <c r="K2409" s="36"/>
      <c r="L2409" s="36"/>
      <c r="M2409" s="36"/>
      <c r="N2409" s="36"/>
      <c r="O2409" s="36"/>
      <c r="P2409" s="36"/>
      <c r="Q2409" s="36"/>
      <c r="R2409" s="36"/>
      <c r="S2409" s="36"/>
      <c r="T2409" s="36">
        <v>400</v>
      </c>
      <c r="U2409" s="36"/>
      <c r="V2409" s="36"/>
      <c r="W2409" s="15">
        <f t="shared" si="84"/>
        <v>400</v>
      </c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15">
        <f t="shared" si="85"/>
        <v>0</v>
      </c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5"/>
      <c r="AX2409" s="16"/>
    </row>
    <row r="2410" spans="2:50" x14ac:dyDescent="0.2">
      <c r="B2410" s="7" t="s">
        <v>37</v>
      </c>
      <c r="C2410" s="8">
        <v>12529</v>
      </c>
      <c r="D2410" s="9" t="s">
        <v>48</v>
      </c>
      <c r="E2410" s="10" t="s">
        <v>49</v>
      </c>
      <c r="F2410" s="10" t="s">
        <v>50</v>
      </c>
      <c r="G2410" s="8">
        <v>1</v>
      </c>
      <c r="H2410" s="11">
        <v>400</v>
      </c>
      <c r="I2410" s="12">
        <v>42652</v>
      </c>
      <c r="J2410" s="35">
        <f t="shared" si="86"/>
        <v>0</v>
      </c>
      <c r="K2410" s="36"/>
      <c r="L2410" s="36"/>
      <c r="M2410" s="36"/>
      <c r="N2410" s="36"/>
      <c r="O2410" s="36"/>
      <c r="P2410" s="36"/>
      <c r="Q2410" s="36"/>
      <c r="R2410" s="36"/>
      <c r="S2410" s="36"/>
      <c r="T2410" s="36">
        <v>400</v>
      </c>
      <c r="U2410" s="36"/>
      <c r="V2410" s="36"/>
      <c r="W2410" s="15">
        <f t="shared" si="84"/>
        <v>400</v>
      </c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15">
        <f t="shared" si="85"/>
        <v>0</v>
      </c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5"/>
      <c r="AX2410" s="16"/>
    </row>
    <row r="2411" spans="2:50" x14ac:dyDescent="0.2">
      <c r="B2411" s="7" t="s">
        <v>37</v>
      </c>
      <c r="C2411" s="8">
        <v>12530</v>
      </c>
      <c r="D2411" s="9" t="s">
        <v>48</v>
      </c>
      <c r="E2411" s="10" t="s">
        <v>49</v>
      </c>
      <c r="F2411" s="10" t="s">
        <v>50</v>
      </c>
      <c r="G2411" s="8">
        <v>3</v>
      </c>
      <c r="H2411" s="11">
        <v>200</v>
      </c>
      <c r="I2411" s="12">
        <v>42652</v>
      </c>
      <c r="J2411" s="35">
        <f t="shared" si="86"/>
        <v>0</v>
      </c>
      <c r="K2411" s="36"/>
      <c r="L2411" s="36"/>
      <c r="M2411" s="36"/>
      <c r="N2411" s="36"/>
      <c r="O2411" s="36"/>
      <c r="P2411" s="36"/>
      <c r="Q2411" s="36"/>
      <c r="R2411" s="36"/>
      <c r="S2411" s="36"/>
      <c r="T2411" s="36"/>
      <c r="U2411" s="36"/>
      <c r="V2411" s="36"/>
      <c r="W2411" s="15">
        <f t="shared" si="84"/>
        <v>0</v>
      </c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15">
        <f t="shared" si="85"/>
        <v>0</v>
      </c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5"/>
      <c r="AX2411" s="16"/>
    </row>
    <row r="2412" spans="2:50" x14ac:dyDescent="0.2">
      <c r="B2412" s="7" t="s">
        <v>37</v>
      </c>
      <c r="C2412" s="8">
        <v>12531</v>
      </c>
      <c r="D2412" s="9" t="s">
        <v>1131</v>
      </c>
      <c r="E2412" s="10" t="s">
        <v>1132</v>
      </c>
      <c r="F2412" s="10" t="s">
        <v>1133</v>
      </c>
      <c r="G2412" s="8">
        <v>1</v>
      </c>
      <c r="H2412" s="11">
        <v>600</v>
      </c>
      <c r="I2412" s="12">
        <v>42652</v>
      </c>
      <c r="J2412" s="35">
        <f t="shared" si="86"/>
        <v>0</v>
      </c>
      <c r="K2412" s="36"/>
      <c r="L2412" s="36"/>
      <c r="M2412" s="36"/>
      <c r="N2412" s="36"/>
      <c r="O2412" s="36"/>
      <c r="P2412" s="36"/>
      <c r="Q2412" s="36"/>
      <c r="R2412" s="36"/>
      <c r="S2412" s="36">
        <v>300</v>
      </c>
      <c r="T2412" s="36">
        <v>300</v>
      </c>
      <c r="U2412" s="36"/>
      <c r="V2412" s="36"/>
      <c r="W2412" s="15">
        <f t="shared" si="84"/>
        <v>600</v>
      </c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15">
        <f t="shared" si="85"/>
        <v>0</v>
      </c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5"/>
      <c r="AX2412" s="16"/>
    </row>
    <row r="2413" spans="2:50" x14ac:dyDescent="0.2">
      <c r="B2413" s="7" t="s">
        <v>73</v>
      </c>
      <c r="C2413" s="8">
        <v>12532</v>
      </c>
      <c r="D2413" s="9" t="s">
        <v>1131</v>
      </c>
      <c r="E2413" s="10" t="s">
        <v>1132</v>
      </c>
      <c r="F2413" s="10" t="s">
        <v>1133</v>
      </c>
      <c r="G2413" s="8">
        <v>4</v>
      </c>
      <c r="H2413" s="11">
        <v>200</v>
      </c>
      <c r="I2413" s="12">
        <v>42652</v>
      </c>
      <c r="J2413" s="35">
        <f t="shared" si="86"/>
        <v>0</v>
      </c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15">
        <f t="shared" si="84"/>
        <v>0</v>
      </c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15">
        <f t="shared" si="85"/>
        <v>0</v>
      </c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5"/>
      <c r="AX2413" s="16"/>
    </row>
    <row r="2414" spans="2:50" x14ac:dyDescent="0.2">
      <c r="B2414" s="7" t="s">
        <v>61</v>
      </c>
      <c r="C2414" s="8">
        <v>12533</v>
      </c>
      <c r="D2414" s="9" t="s">
        <v>737</v>
      </c>
      <c r="E2414" s="10" t="s">
        <v>738</v>
      </c>
      <c r="F2414" s="10" t="s">
        <v>739</v>
      </c>
      <c r="G2414" s="8">
        <v>1</v>
      </c>
      <c r="H2414" s="11">
        <v>800</v>
      </c>
      <c r="I2414" s="12">
        <v>42652</v>
      </c>
      <c r="J2414" s="35">
        <f t="shared" si="86"/>
        <v>0</v>
      </c>
      <c r="K2414" s="36"/>
      <c r="L2414" s="36"/>
      <c r="M2414" s="36"/>
      <c r="N2414" s="36"/>
      <c r="O2414" s="36"/>
      <c r="P2414" s="36"/>
      <c r="Q2414" s="36"/>
      <c r="R2414" s="36">
        <v>400</v>
      </c>
      <c r="S2414" s="36">
        <v>400</v>
      </c>
      <c r="T2414" s="36"/>
      <c r="U2414" s="36"/>
      <c r="V2414" s="36"/>
      <c r="W2414" s="15">
        <f t="shared" si="84"/>
        <v>800</v>
      </c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15">
        <f t="shared" si="85"/>
        <v>0</v>
      </c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5"/>
      <c r="AX2414" s="16"/>
    </row>
    <row r="2415" spans="2:50" x14ac:dyDescent="0.2">
      <c r="B2415" s="7" t="s">
        <v>73</v>
      </c>
      <c r="C2415" s="8">
        <v>12534</v>
      </c>
      <c r="D2415" s="9" t="s">
        <v>719</v>
      </c>
      <c r="E2415" s="10" t="s">
        <v>720</v>
      </c>
      <c r="F2415" s="10" t="s">
        <v>867</v>
      </c>
      <c r="G2415" s="8">
        <v>1</v>
      </c>
      <c r="H2415" s="11">
        <v>400</v>
      </c>
      <c r="I2415" s="12">
        <v>42652</v>
      </c>
      <c r="J2415" s="35">
        <f t="shared" si="86"/>
        <v>0</v>
      </c>
      <c r="K2415" s="36"/>
      <c r="L2415" s="36"/>
      <c r="M2415" s="36"/>
      <c r="N2415" s="36"/>
      <c r="O2415" s="36"/>
      <c r="P2415" s="36"/>
      <c r="Q2415" s="36"/>
      <c r="R2415" s="36"/>
      <c r="S2415" s="36">
        <v>200</v>
      </c>
      <c r="T2415" s="36">
        <v>200</v>
      </c>
      <c r="U2415" s="36"/>
      <c r="V2415" s="36"/>
      <c r="W2415" s="15">
        <f t="shared" si="84"/>
        <v>400</v>
      </c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15">
        <f t="shared" si="85"/>
        <v>0</v>
      </c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5"/>
      <c r="AX2415" s="16"/>
    </row>
    <row r="2416" spans="2:50" x14ac:dyDescent="0.2">
      <c r="B2416" s="7" t="s">
        <v>47</v>
      </c>
      <c r="C2416" s="8">
        <v>12535</v>
      </c>
      <c r="D2416" s="9" t="s">
        <v>328</v>
      </c>
      <c r="E2416" s="10" t="s">
        <v>329</v>
      </c>
      <c r="F2416" s="10" t="s">
        <v>330</v>
      </c>
      <c r="G2416" s="8">
        <v>1</v>
      </c>
      <c r="H2416" s="11">
        <v>400</v>
      </c>
      <c r="I2416" s="12">
        <v>42652</v>
      </c>
      <c r="J2416" s="35">
        <f t="shared" si="86"/>
        <v>0</v>
      </c>
      <c r="K2416" s="36"/>
      <c r="L2416" s="36"/>
      <c r="M2416" s="36"/>
      <c r="N2416" s="36"/>
      <c r="O2416" s="36"/>
      <c r="P2416" s="36"/>
      <c r="Q2416" s="36"/>
      <c r="R2416" s="36"/>
      <c r="S2416" s="36"/>
      <c r="T2416" s="36">
        <v>400</v>
      </c>
      <c r="U2416" s="36"/>
      <c r="V2416" s="36"/>
      <c r="W2416" s="15">
        <f t="shared" si="84"/>
        <v>400</v>
      </c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15">
        <f t="shared" si="85"/>
        <v>0</v>
      </c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5"/>
      <c r="AX2416" s="16"/>
    </row>
    <row r="2417" spans="2:50" x14ac:dyDescent="0.2">
      <c r="B2417" s="7" t="s">
        <v>47</v>
      </c>
      <c r="C2417" s="8">
        <v>13001</v>
      </c>
      <c r="D2417" s="9" t="s">
        <v>153</v>
      </c>
      <c r="E2417" s="10" t="s">
        <v>154</v>
      </c>
      <c r="F2417" s="10" t="s">
        <v>155</v>
      </c>
      <c r="G2417" s="8">
        <v>1</v>
      </c>
      <c r="H2417" s="11">
        <v>400</v>
      </c>
      <c r="I2417" s="12">
        <v>42652</v>
      </c>
      <c r="J2417" s="35">
        <f t="shared" si="86"/>
        <v>0</v>
      </c>
      <c r="K2417" s="36"/>
      <c r="L2417" s="36"/>
      <c r="M2417" s="36"/>
      <c r="N2417" s="36"/>
      <c r="O2417" s="36"/>
      <c r="P2417" s="36"/>
      <c r="Q2417" s="36"/>
      <c r="R2417" s="36"/>
      <c r="S2417" s="36"/>
      <c r="T2417" s="36">
        <v>400</v>
      </c>
      <c r="U2417" s="36"/>
      <c r="V2417" s="36"/>
      <c r="W2417" s="15">
        <f t="shared" si="84"/>
        <v>400</v>
      </c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15">
        <f t="shared" si="85"/>
        <v>0</v>
      </c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5"/>
      <c r="AX2417" s="16"/>
    </row>
    <row r="2418" spans="2:50" x14ac:dyDescent="0.2">
      <c r="B2418" s="7" t="s">
        <v>73</v>
      </c>
      <c r="C2418" s="8">
        <v>13002</v>
      </c>
      <c r="D2418" s="9" t="s">
        <v>109</v>
      </c>
      <c r="E2418" s="10" t="s">
        <v>110</v>
      </c>
      <c r="F2418" s="10" t="s">
        <v>111</v>
      </c>
      <c r="G2418" s="8">
        <v>1</v>
      </c>
      <c r="H2418" s="11">
        <v>400</v>
      </c>
      <c r="I2418" s="12">
        <v>42652</v>
      </c>
      <c r="J2418" s="35">
        <f t="shared" si="86"/>
        <v>0</v>
      </c>
      <c r="K2418" s="36"/>
      <c r="L2418" s="36"/>
      <c r="M2418" s="36"/>
      <c r="N2418" s="36"/>
      <c r="O2418" s="36"/>
      <c r="P2418" s="36"/>
      <c r="Q2418" s="36"/>
      <c r="R2418" s="36"/>
      <c r="S2418" s="36">
        <v>400</v>
      </c>
      <c r="T2418" s="36"/>
      <c r="U2418" s="36"/>
      <c r="V2418" s="36"/>
      <c r="W2418" s="15">
        <f t="shared" si="84"/>
        <v>400</v>
      </c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15">
        <f t="shared" si="85"/>
        <v>0</v>
      </c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5"/>
      <c r="AX2418" s="16"/>
    </row>
    <row r="2419" spans="2:50" x14ac:dyDescent="0.2">
      <c r="B2419" s="7"/>
      <c r="C2419" s="8">
        <v>13003</v>
      </c>
      <c r="D2419" s="9" t="s">
        <v>899</v>
      </c>
      <c r="E2419" s="10" t="s">
        <v>900</v>
      </c>
      <c r="F2419" s="10" t="s">
        <v>901</v>
      </c>
      <c r="G2419" s="8">
        <v>1</v>
      </c>
      <c r="H2419" s="11">
        <v>400</v>
      </c>
      <c r="I2419" s="12">
        <v>42652</v>
      </c>
      <c r="J2419" s="35">
        <f t="shared" si="86"/>
        <v>0</v>
      </c>
      <c r="K2419" s="36"/>
      <c r="L2419" s="36"/>
      <c r="M2419" s="36"/>
      <c r="N2419" s="36"/>
      <c r="O2419" s="36"/>
      <c r="P2419" s="36"/>
      <c r="Q2419" s="36"/>
      <c r="R2419" s="36"/>
      <c r="S2419" s="36"/>
      <c r="T2419" s="36">
        <v>400</v>
      </c>
      <c r="U2419" s="36"/>
      <c r="V2419" s="36"/>
      <c r="W2419" s="15">
        <f t="shared" si="84"/>
        <v>400</v>
      </c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15">
        <f t="shared" si="85"/>
        <v>0</v>
      </c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5"/>
      <c r="AX2419" s="16"/>
    </row>
    <row r="2420" spans="2:50" x14ac:dyDescent="0.2">
      <c r="B2420" s="7"/>
      <c r="C2420" s="8">
        <v>13004</v>
      </c>
      <c r="D2420" s="9" t="s">
        <v>740</v>
      </c>
      <c r="E2420" s="10" t="s">
        <v>741</v>
      </c>
      <c r="F2420" s="10" t="s">
        <v>742</v>
      </c>
      <c r="G2420" s="8">
        <v>1</v>
      </c>
      <c r="H2420" s="11">
        <v>800</v>
      </c>
      <c r="I2420" s="12">
        <v>42652</v>
      </c>
      <c r="J2420" s="35">
        <f t="shared" si="86"/>
        <v>0</v>
      </c>
      <c r="K2420" s="36"/>
      <c r="L2420" s="36"/>
      <c r="M2420" s="36"/>
      <c r="N2420" s="36"/>
      <c r="O2420" s="36"/>
      <c r="P2420" s="36"/>
      <c r="Q2420" s="36"/>
      <c r="R2420" s="36"/>
      <c r="S2420" s="36">
        <v>400</v>
      </c>
      <c r="T2420" s="36">
        <v>400</v>
      </c>
      <c r="U2420" s="36"/>
      <c r="V2420" s="36"/>
      <c r="W2420" s="15">
        <f t="shared" si="84"/>
        <v>800</v>
      </c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15">
        <f t="shared" si="85"/>
        <v>0</v>
      </c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5"/>
      <c r="AX2420" s="16"/>
    </row>
    <row r="2421" spans="2:50" x14ac:dyDescent="0.2">
      <c r="B2421" s="7"/>
      <c r="C2421" s="8">
        <v>13005</v>
      </c>
      <c r="D2421" s="9" t="s">
        <v>132</v>
      </c>
      <c r="E2421" s="10" t="s">
        <v>133</v>
      </c>
      <c r="F2421" s="10" t="s">
        <v>134</v>
      </c>
      <c r="G2421" s="8">
        <v>1</v>
      </c>
      <c r="H2421" s="11">
        <v>300</v>
      </c>
      <c r="I2421" s="12">
        <v>42652</v>
      </c>
      <c r="J2421" s="35">
        <f t="shared" si="86"/>
        <v>0</v>
      </c>
      <c r="K2421" s="36"/>
      <c r="L2421" s="36"/>
      <c r="M2421" s="36"/>
      <c r="N2421" s="36"/>
      <c r="O2421" s="36"/>
      <c r="P2421" s="36"/>
      <c r="Q2421" s="36"/>
      <c r="R2421" s="36"/>
      <c r="S2421" s="36">
        <v>300</v>
      </c>
      <c r="T2421" s="36"/>
      <c r="U2421" s="36"/>
      <c r="V2421" s="36"/>
      <c r="W2421" s="15">
        <f t="shared" si="84"/>
        <v>300</v>
      </c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15">
        <f t="shared" si="85"/>
        <v>0</v>
      </c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5"/>
      <c r="AX2421" s="16"/>
    </row>
    <row r="2422" spans="2:50" x14ac:dyDescent="0.2">
      <c r="B2422" s="7"/>
      <c r="C2422" s="8">
        <v>13006</v>
      </c>
      <c r="D2422" s="9" t="s">
        <v>262</v>
      </c>
      <c r="E2422" s="10" t="s">
        <v>263</v>
      </c>
      <c r="F2422" s="10" t="s">
        <v>264</v>
      </c>
      <c r="G2422" s="8">
        <v>1</v>
      </c>
      <c r="H2422" s="11">
        <v>300</v>
      </c>
      <c r="I2422" s="12">
        <v>42652</v>
      </c>
      <c r="J2422" s="35">
        <f t="shared" si="86"/>
        <v>0</v>
      </c>
      <c r="K2422" s="36"/>
      <c r="L2422" s="36"/>
      <c r="M2422" s="36"/>
      <c r="N2422" s="36"/>
      <c r="O2422" s="36"/>
      <c r="P2422" s="36"/>
      <c r="Q2422" s="36"/>
      <c r="R2422" s="36"/>
      <c r="S2422" s="36"/>
      <c r="T2422" s="36">
        <v>300</v>
      </c>
      <c r="U2422" s="36"/>
      <c r="V2422" s="36"/>
      <c r="W2422" s="15">
        <f t="shared" si="84"/>
        <v>300</v>
      </c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15">
        <f t="shared" si="85"/>
        <v>0</v>
      </c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5"/>
      <c r="AX2422" s="16"/>
    </row>
    <row r="2423" spans="2:50" x14ac:dyDescent="0.2">
      <c r="B2423" s="7"/>
      <c r="C2423" s="8">
        <v>13007</v>
      </c>
      <c r="D2423" s="9" t="s">
        <v>123</v>
      </c>
      <c r="E2423" s="10" t="s">
        <v>124</v>
      </c>
      <c r="F2423" s="10" t="s">
        <v>125</v>
      </c>
      <c r="G2423" s="8">
        <v>1</v>
      </c>
      <c r="H2423" s="11">
        <v>250</v>
      </c>
      <c r="I2423" s="12">
        <v>42652</v>
      </c>
      <c r="J2423" s="35">
        <f t="shared" si="86"/>
        <v>0</v>
      </c>
      <c r="K2423" s="36"/>
      <c r="L2423" s="36"/>
      <c r="M2423" s="36"/>
      <c r="N2423" s="36"/>
      <c r="O2423" s="36"/>
      <c r="P2423" s="36"/>
      <c r="Q2423" s="36"/>
      <c r="R2423" s="36"/>
      <c r="S2423" s="36"/>
      <c r="T2423" s="36">
        <v>250</v>
      </c>
      <c r="U2423" s="36"/>
      <c r="V2423" s="36"/>
      <c r="W2423" s="15">
        <f t="shared" si="84"/>
        <v>250</v>
      </c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15">
        <f t="shared" si="85"/>
        <v>0</v>
      </c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5"/>
      <c r="AX2423" s="16"/>
    </row>
    <row r="2424" spans="2:50" x14ac:dyDescent="0.2">
      <c r="B2424" s="7"/>
      <c r="C2424" s="8">
        <v>13008</v>
      </c>
      <c r="D2424" s="9" t="s">
        <v>473</v>
      </c>
      <c r="E2424" s="10" t="s">
        <v>474</v>
      </c>
      <c r="F2424" s="10" t="s">
        <v>475</v>
      </c>
      <c r="G2424" s="8">
        <v>1</v>
      </c>
      <c r="H2424" s="11">
        <v>400</v>
      </c>
      <c r="I2424" s="12">
        <v>42652</v>
      </c>
      <c r="J2424" s="35">
        <f t="shared" si="86"/>
        <v>0</v>
      </c>
      <c r="K2424" s="36"/>
      <c r="L2424" s="36"/>
      <c r="M2424" s="36"/>
      <c r="N2424" s="36"/>
      <c r="O2424" s="36"/>
      <c r="P2424" s="36"/>
      <c r="Q2424" s="36"/>
      <c r="R2424" s="36"/>
      <c r="S2424" s="36">
        <v>400</v>
      </c>
      <c r="T2424" s="36"/>
      <c r="U2424" s="36"/>
      <c r="V2424" s="36"/>
      <c r="W2424" s="15">
        <f t="shared" si="84"/>
        <v>400</v>
      </c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15">
        <f t="shared" si="85"/>
        <v>0</v>
      </c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5"/>
      <c r="AX2424" s="16"/>
    </row>
    <row r="2425" spans="2:50" x14ac:dyDescent="0.2">
      <c r="B2425" s="7"/>
      <c r="C2425" s="8">
        <v>13009</v>
      </c>
      <c r="D2425" s="9" t="s">
        <v>911</v>
      </c>
      <c r="E2425" s="10" t="s">
        <v>912</v>
      </c>
      <c r="F2425" s="10" t="s">
        <v>397</v>
      </c>
      <c r="G2425" s="8">
        <v>1</v>
      </c>
      <c r="H2425" s="11">
        <v>400</v>
      </c>
      <c r="I2425" s="12">
        <v>42652</v>
      </c>
      <c r="J2425" s="35">
        <f t="shared" si="86"/>
        <v>0</v>
      </c>
      <c r="K2425" s="36"/>
      <c r="L2425" s="36"/>
      <c r="M2425" s="36"/>
      <c r="N2425" s="36"/>
      <c r="O2425" s="36"/>
      <c r="P2425" s="36"/>
      <c r="Q2425" s="36"/>
      <c r="R2425" s="36"/>
      <c r="S2425" s="36"/>
      <c r="T2425" s="36">
        <v>400</v>
      </c>
      <c r="U2425" s="36"/>
      <c r="V2425" s="36"/>
      <c r="W2425" s="15">
        <f t="shared" si="84"/>
        <v>400</v>
      </c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15">
        <f t="shared" si="85"/>
        <v>0</v>
      </c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5"/>
      <c r="AX2425" s="16"/>
    </row>
    <row r="2426" spans="2:50" x14ac:dyDescent="0.2">
      <c r="B2426" s="7"/>
      <c r="C2426" s="8">
        <v>13010</v>
      </c>
      <c r="D2426" s="9" t="s">
        <v>58</v>
      </c>
      <c r="E2426" s="10" t="s">
        <v>59</v>
      </c>
      <c r="F2426" s="10" t="s">
        <v>60</v>
      </c>
      <c r="G2426" s="8">
        <v>1</v>
      </c>
      <c r="H2426" s="11">
        <v>600</v>
      </c>
      <c r="I2426" s="12">
        <v>42652</v>
      </c>
      <c r="J2426" s="35">
        <f t="shared" si="86"/>
        <v>0</v>
      </c>
      <c r="K2426" s="36"/>
      <c r="L2426" s="36"/>
      <c r="M2426" s="36"/>
      <c r="N2426" s="36"/>
      <c r="O2426" s="36"/>
      <c r="P2426" s="36"/>
      <c r="Q2426" s="36"/>
      <c r="R2426" s="36"/>
      <c r="S2426" s="36">
        <v>300</v>
      </c>
      <c r="T2426" s="36">
        <v>300</v>
      </c>
      <c r="U2426" s="36"/>
      <c r="V2426" s="36"/>
      <c r="W2426" s="15">
        <f t="shared" si="84"/>
        <v>600</v>
      </c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15">
        <f t="shared" si="85"/>
        <v>0</v>
      </c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5"/>
      <c r="AX2426" s="16"/>
    </row>
    <row r="2427" spans="2:50" x14ac:dyDescent="0.2">
      <c r="B2427" s="7"/>
      <c r="C2427" s="8">
        <v>13011</v>
      </c>
      <c r="D2427" s="9" t="s">
        <v>580</v>
      </c>
      <c r="E2427" s="10" t="s">
        <v>581</v>
      </c>
      <c r="F2427" s="10" t="s">
        <v>582</v>
      </c>
      <c r="G2427" s="8">
        <v>1</v>
      </c>
      <c r="H2427" s="11">
        <v>450</v>
      </c>
      <c r="I2427" s="12">
        <v>42652</v>
      </c>
      <c r="J2427" s="35">
        <f t="shared" si="86"/>
        <v>0</v>
      </c>
      <c r="K2427" s="36"/>
      <c r="L2427" s="36"/>
      <c r="M2427" s="36"/>
      <c r="N2427" s="36"/>
      <c r="O2427" s="36"/>
      <c r="P2427" s="36"/>
      <c r="Q2427" s="36"/>
      <c r="R2427" s="36"/>
      <c r="S2427" s="36"/>
      <c r="T2427" s="36">
        <v>150</v>
      </c>
      <c r="U2427" s="36">
        <v>150</v>
      </c>
      <c r="V2427" s="36">
        <v>150</v>
      </c>
      <c r="W2427" s="15">
        <f t="shared" si="84"/>
        <v>450</v>
      </c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15">
        <f t="shared" si="85"/>
        <v>0</v>
      </c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5"/>
      <c r="AX2427" s="16"/>
    </row>
    <row r="2428" spans="2:50" x14ac:dyDescent="0.2">
      <c r="B2428" s="7"/>
      <c r="C2428" s="8">
        <v>13012</v>
      </c>
      <c r="D2428" s="9" t="s">
        <v>1417</v>
      </c>
      <c r="E2428" s="10" t="s">
        <v>1418</v>
      </c>
      <c r="F2428" s="10" t="s">
        <v>1419</v>
      </c>
      <c r="G2428" s="8">
        <v>1</v>
      </c>
      <c r="H2428" s="11">
        <v>300</v>
      </c>
      <c r="I2428" s="12">
        <v>42652</v>
      </c>
      <c r="J2428" s="35">
        <f t="shared" si="86"/>
        <v>0</v>
      </c>
      <c r="K2428" s="36"/>
      <c r="L2428" s="36"/>
      <c r="M2428" s="36"/>
      <c r="N2428" s="36"/>
      <c r="O2428" s="36"/>
      <c r="P2428" s="36"/>
      <c r="Q2428" s="36"/>
      <c r="R2428" s="36"/>
      <c r="S2428" s="36"/>
      <c r="T2428" s="36"/>
      <c r="U2428" s="36">
        <v>300</v>
      </c>
      <c r="V2428" s="36"/>
      <c r="W2428" s="15">
        <f t="shared" si="84"/>
        <v>300</v>
      </c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15">
        <f t="shared" si="85"/>
        <v>0</v>
      </c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5"/>
      <c r="AX2428" s="16"/>
    </row>
    <row r="2429" spans="2:50" x14ac:dyDescent="0.2">
      <c r="B2429" s="7"/>
      <c r="C2429" s="8">
        <v>13012</v>
      </c>
      <c r="D2429" s="9" t="s">
        <v>1417</v>
      </c>
      <c r="E2429" s="10" t="s">
        <v>1418</v>
      </c>
      <c r="F2429" s="10" t="s">
        <v>1419</v>
      </c>
      <c r="G2429" s="8">
        <v>5</v>
      </c>
      <c r="H2429" s="11">
        <v>150</v>
      </c>
      <c r="I2429" s="12">
        <v>42652</v>
      </c>
      <c r="J2429" s="35">
        <f t="shared" si="86"/>
        <v>0</v>
      </c>
      <c r="K2429" s="36"/>
      <c r="L2429" s="36"/>
      <c r="M2429" s="36"/>
      <c r="N2429" s="36"/>
      <c r="O2429" s="36"/>
      <c r="P2429" s="36"/>
      <c r="Q2429" s="36"/>
      <c r="R2429" s="36"/>
      <c r="S2429" s="36"/>
      <c r="T2429" s="36"/>
      <c r="U2429" s="36"/>
      <c r="V2429" s="36"/>
      <c r="W2429" s="15">
        <f t="shared" si="84"/>
        <v>0</v>
      </c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15">
        <f t="shared" si="85"/>
        <v>0</v>
      </c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5"/>
      <c r="AX2429" s="16"/>
    </row>
    <row r="2430" spans="2:50" x14ac:dyDescent="0.2">
      <c r="B2430" s="7"/>
      <c r="C2430" s="8">
        <v>13013</v>
      </c>
      <c r="D2430" s="9" t="s">
        <v>611</v>
      </c>
      <c r="E2430" s="10" t="s">
        <v>612</v>
      </c>
      <c r="F2430" s="10" t="s">
        <v>613</v>
      </c>
      <c r="G2430" s="8">
        <v>1</v>
      </c>
      <c r="H2430" s="11">
        <v>400</v>
      </c>
      <c r="I2430" s="12">
        <v>42652</v>
      </c>
      <c r="J2430" s="35">
        <f t="shared" si="86"/>
        <v>0</v>
      </c>
      <c r="K2430" s="36"/>
      <c r="L2430" s="36"/>
      <c r="M2430" s="36"/>
      <c r="N2430" s="36"/>
      <c r="O2430" s="36"/>
      <c r="P2430" s="36"/>
      <c r="Q2430" s="36"/>
      <c r="R2430" s="36"/>
      <c r="S2430" s="36"/>
      <c r="T2430" s="36">
        <v>400</v>
      </c>
      <c r="U2430" s="36"/>
      <c r="V2430" s="36"/>
      <c r="W2430" s="15">
        <f t="shared" si="84"/>
        <v>400</v>
      </c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15">
        <f t="shared" si="85"/>
        <v>0</v>
      </c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5"/>
      <c r="AX2430" s="16"/>
    </row>
    <row r="2431" spans="2:50" x14ac:dyDescent="0.2">
      <c r="B2431" s="7"/>
      <c r="C2431" s="8">
        <v>13014</v>
      </c>
      <c r="D2431" s="9" t="s">
        <v>666</v>
      </c>
      <c r="E2431" s="10" t="s">
        <v>667</v>
      </c>
      <c r="F2431" s="10" t="s">
        <v>668</v>
      </c>
      <c r="G2431" s="8">
        <v>1</v>
      </c>
      <c r="H2431" s="11">
        <v>200</v>
      </c>
      <c r="I2431" s="12">
        <v>42654</v>
      </c>
      <c r="J2431" s="35">
        <f t="shared" si="86"/>
        <v>0</v>
      </c>
      <c r="K2431" s="36"/>
      <c r="L2431" s="36"/>
      <c r="M2431" s="36"/>
      <c r="N2431" s="36"/>
      <c r="O2431" s="36"/>
      <c r="P2431" s="36"/>
      <c r="Q2431" s="36"/>
      <c r="R2431" s="36"/>
      <c r="S2431" s="36">
        <v>200</v>
      </c>
      <c r="T2431" s="36"/>
      <c r="U2431" s="36"/>
      <c r="V2431" s="36"/>
      <c r="W2431" s="15">
        <f t="shared" si="84"/>
        <v>200</v>
      </c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15">
        <f t="shared" si="85"/>
        <v>0</v>
      </c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5"/>
      <c r="AX2431" s="16"/>
    </row>
    <row r="2432" spans="2:50" x14ac:dyDescent="0.2">
      <c r="B2432" s="7"/>
      <c r="C2432" s="8">
        <v>13015</v>
      </c>
      <c r="D2432" s="9" t="s">
        <v>446</v>
      </c>
      <c r="E2432" s="10" t="s">
        <v>447</v>
      </c>
      <c r="F2432" s="10" t="s">
        <v>448</v>
      </c>
      <c r="G2432" s="8">
        <v>4</v>
      </c>
      <c r="H2432" s="11">
        <v>200</v>
      </c>
      <c r="I2432" s="12">
        <v>42655</v>
      </c>
      <c r="J2432" s="35">
        <f t="shared" si="86"/>
        <v>0</v>
      </c>
      <c r="K2432" s="36"/>
      <c r="L2432" s="36"/>
      <c r="M2432" s="36"/>
      <c r="N2432" s="36"/>
      <c r="O2432" s="36"/>
      <c r="P2432" s="36"/>
      <c r="Q2432" s="36"/>
      <c r="R2432" s="36"/>
      <c r="S2432" s="36"/>
      <c r="T2432" s="36"/>
      <c r="U2432" s="36"/>
      <c r="V2432" s="36"/>
      <c r="W2432" s="15">
        <f t="shared" si="84"/>
        <v>0</v>
      </c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15">
        <f t="shared" si="85"/>
        <v>0</v>
      </c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14"/>
      <c r="AW2432" s="15"/>
      <c r="AX2432" s="16"/>
    </row>
    <row r="2433" spans="2:50" x14ac:dyDescent="0.2">
      <c r="B2433" s="7"/>
      <c r="C2433" s="8">
        <v>13016</v>
      </c>
      <c r="D2433" s="9" t="s">
        <v>941</v>
      </c>
      <c r="E2433" s="10" t="s">
        <v>942</v>
      </c>
      <c r="F2433" s="10" t="s">
        <v>943</v>
      </c>
      <c r="G2433" s="8">
        <v>1</v>
      </c>
      <c r="H2433" s="11">
        <v>200</v>
      </c>
      <c r="I2433" s="12">
        <v>42656</v>
      </c>
      <c r="J2433" s="35">
        <f t="shared" si="86"/>
        <v>0</v>
      </c>
      <c r="K2433" s="36"/>
      <c r="L2433" s="36"/>
      <c r="M2433" s="36"/>
      <c r="N2433" s="36"/>
      <c r="O2433" s="36"/>
      <c r="P2433" s="36"/>
      <c r="Q2433" s="36"/>
      <c r="R2433" s="36"/>
      <c r="S2433" s="36"/>
      <c r="T2433" s="36">
        <v>200</v>
      </c>
      <c r="U2433" s="36"/>
      <c r="V2433" s="36"/>
      <c r="W2433" s="15">
        <f t="shared" si="84"/>
        <v>200</v>
      </c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15">
        <f t="shared" si="85"/>
        <v>0</v>
      </c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5"/>
      <c r="AX2433" s="16"/>
    </row>
    <row r="2434" spans="2:50" x14ac:dyDescent="0.2">
      <c r="B2434" s="7"/>
      <c r="C2434" s="8">
        <v>13017</v>
      </c>
      <c r="D2434" s="9" t="s">
        <v>202</v>
      </c>
      <c r="E2434" s="10" t="s">
        <v>203</v>
      </c>
      <c r="F2434" s="10" t="s">
        <v>204</v>
      </c>
      <c r="G2434" s="8">
        <v>1</v>
      </c>
      <c r="H2434" s="11">
        <v>400</v>
      </c>
      <c r="I2434" s="12">
        <v>42657</v>
      </c>
      <c r="J2434" s="35">
        <f t="shared" si="86"/>
        <v>0</v>
      </c>
      <c r="K2434" s="36"/>
      <c r="L2434" s="36"/>
      <c r="M2434" s="36"/>
      <c r="N2434" s="36"/>
      <c r="O2434" s="36"/>
      <c r="P2434" s="36"/>
      <c r="Q2434" s="36"/>
      <c r="R2434" s="36"/>
      <c r="S2434" s="36"/>
      <c r="T2434" s="36">
        <v>400</v>
      </c>
      <c r="U2434" s="36"/>
      <c r="V2434" s="36"/>
      <c r="W2434" s="15">
        <f t="shared" si="84"/>
        <v>400</v>
      </c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15">
        <f t="shared" si="85"/>
        <v>0</v>
      </c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5"/>
      <c r="AX2434" s="16"/>
    </row>
    <row r="2435" spans="2:50" x14ac:dyDescent="0.2">
      <c r="B2435" s="7"/>
      <c r="C2435" s="8">
        <v>13018</v>
      </c>
      <c r="D2435" s="9" t="s">
        <v>384</v>
      </c>
      <c r="E2435" s="10" t="s">
        <v>385</v>
      </c>
      <c r="F2435" s="10" t="s">
        <v>386</v>
      </c>
      <c r="G2435" s="8">
        <v>1</v>
      </c>
      <c r="H2435" s="11">
        <v>300</v>
      </c>
      <c r="I2435" s="12">
        <v>42659</v>
      </c>
      <c r="J2435" s="35">
        <f t="shared" si="86"/>
        <v>0</v>
      </c>
      <c r="K2435" s="36"/>
      <c r="L2435" s="36"/>
      <c r="M2435" s="36"/>
      <c r="N2435" s="36"/>
      <c r="O2435" s="36"/>
      <c r="P2435" s="36"/>
      <c r="Q2435" s="36"/>
      <c r="R2435" s="36"/>
      <c r="S2435" s="36">
        <v>300</v>
      </c>
      <c r="T2435" s="36"/>
      <c r="U2435" s="36"/>
      <c r="V2435" s="36"/>
      <c r="W2435" s="15">
        <f t="shared" si="84"/>
        <v>300</v>
      </c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15">
        <f t="shared" si="85"/>
        <v>0</v>
      </c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5"/>
      <c r="AX2435" s="16"/>
    </row>
    <row r="2436" spans="2:50" x14ac:dyDescent="0.2">
      <c r="B2436" s="7"/>
      <c r="C2436" s="8">
        <v>13019</v>
      </c>
      <c r="D2436" s="9"/>
      <c r="E2436" s="10" t="s">
        <v>93</v>
      </c>
      <c r="F2436" s="10" t="s">
        <v>93</v>
      </c>
      <c r="G2436" s="8">
        <v>8</v>
      </c>
      <c r="H2436" s="11"/>
      <c r="I2436" s="12"/>
      <c r="J2436" s="35">
        <f t="shared" si="86"/>
        <v>0</v>
      </c>
      <c r="K2436" s="36"/>
      <c r="L2436" s="36"/>
      <c r="M2436" s="36"/>
      <c r="N2436" s="36"/>
      <c r="O2436" s="36"/>
      <c r="P2436" s="36"/>
      <c r="Q2436" s="36"/>
      <c r="R2436" s="36"/>
      <c r="S2436" s="36"/>
      <c r="T2436" s="36"/>
      <c r="U2436" s="36"/>
      <c r="V2436" s="36"/>
      <c r="W2436" s="15">
        <f t="shared" si="84"/>
        <v>0</v>
      </c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15">
        <f t="shared" si="85"/>
        <v>0</v>
      </c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5"/>
      <c r="AX2436" s="16"/>
    </row>
    <row r="2437" spans="2:50" x14ac:dyDescent="0.2">
      <c r="B2437" s="7"/>
      <c r="C2437" s="8">
        <v>13020</v>
      </c>
      <c r="D2437" s="9" t="s">
        <v>1049</v>
      </c>
      <c r="E2437" s="10" t="s">
        <v>1050</v>
      </c>
      <c r="F2437" s="10" t="s">
        <v>1051</v>
      </c>
      <c r="G2437" s="8">
        <v>1</v>
      </c>
      <c r="H2437" s="11">
        <v>400</v>
      </c>
      <c r="I2437" s="12">
        <v>42659</v>
      </c>
      <c r="J2437" s="35">
        <f t="shared" si="86"/>
        <v>0</v>
      </c>
      <c r="K2437" s="36"/>
      <c r="L2437" s="36"/>
      <c r="M2437" s="36"/>
      <c r="N2437" s="36"/>
      <c r="O2437" s="36"/>
      <c r="P2437" s="36"/>
      <c r="Q2437" s="36"/>
      <c r="R2437" s="36">
        <v>400</v>
      </c>
      <c r="S2437" s="36"/>
      <c r="T2437" s="36"/>
      <c r="U2437" s="36"/>
      <c r="V2437" s="36"/>
      <c r="W2437" s="15">
        <f t="shared" si="84"/>
        <v>400</v>
      </c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15">
        <f t="shared" si="85"/>
        <v>0</v>
      </c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5"/>
      <c r="AX2437" s="16"/>
    </row>
    <row r="2438" spans="2:50" x14ac:dyDescent="0.2">
      <c r="B2438" s="7"/>
      <c r="C2438" s="8">
        <v>13021</v>
      </c>
      <c r="D2438" s="9" t="s">
        <v>265</v>
      </c>
      <c r="E2438" s="10" t="s">
        <v>266</v>
      </c>
      <c r="F2438" s="10" t="s">
        <v>267</v>
      </c>
      <c r="G2438" s="8">
        <v>1</v>
      </c>
      <c r="H2438" s="11">
        <v>400</v>
      </c>
      <c r="I2438" s="12">
        <v>42659</v>
      </c>
      <c r="J2438" s="35">
        <f t="shared" si="86"/>
        <v>0</v>
      </c>
      <c r="K2438" s="36"/>
      <c r="L2438" s="36"/>
      <c r="M2438" s="36"/>
      <c r="N2438" s="36"/>
      <c r="O2438" s="36"/>
      <c r="P2438" s="36"/>
      <c r="Q2438" s="36"/>
      <c r="R2438" s="36"/>
      <c r="S2438" s="36"/>
      <c r="T2438" s="36">
        <v>400</v>
      </c>
      <c r="U2438" s="36"/>
      <c r="V2438" s="36"/>
      <c r="W2438" s="15">
        <f t="shared" si="84"/>
        <v>400</v>
      </c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15">
        <f t="shared" si="85"/>
        <v>0</v>
      </c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5"/>
      <c r="AX2438" s="16"/>
    </row>
    <row r="2439" spans="2:50" x14ac:dyDescent="0.2">
      <c r="B2439" s="7"/>
      <c r="C2439" s="8">
        <v>13022</v>
      </c>
      <c r="D2439" s="9" t="s">
        <v>407</v>
      </c>
      <c r="E2439" s="10" t="s">
        <v>408</v>
      </c>
      <c r="F2439" s="10" t="s">
        <v>409</v>
      </c>
      <c r="G2439" s="8">
        <v>1</v>
      </c>
      <c r="H2439" s="11">
        <v>400</v>
      </c>
      <c r="I2439" s="12">
        <v>42659</v>
      </c>
      <c r="J2439" s="35">
        <f t="shared" si="86"/>
        <v>0</v>
      </c>
      <c r="K2439" s="36"/>
      <c r="L2439" s="36"/>
      <c r="M2439" s="36"/>
      <c r="N2439" s="36"/>
      <c r="O2439" s="36"/>
      <c r="P2439" s="36"/>
      <c r="Q2439" s="36"/>
      <c r="R2439" s="36"/>
      <c r="S2439" s="36"/>
      <c r="T2439" s="36">
        <v>400</v>
      </c>
      <c r="U2439" s="36"/>
      <c r="V2439" s="36"/>
      <c r="W2439" s="15">
        <f t="shared" ref="W2439:W2483" si="87">SUM(K2439:V2439)</f>
        <v>400</v>
      </c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15">
        <f t="shared" si="85"/>
        <v>0</v>
      </c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5"/>
      <c r="AX2439" s="16"/>
    </row>
    <row r="2440" spans="2:50" x14ac:dyDescent="0.2">
      <c r="B2440" s="7"/>
      <c r="C2440" s="8">
        <v>13023</v>
      </c>
      <c r="D2440" s="9" t="s">
        <v>186</v>
      </c>
      <c r="E2440" s="10" t="s">
        <v>187</v>
      </c>
      <c r="F2440" s="10" t="s">
        <v>188</v>
      </c>
      <c r="G2440" s="8">
        <v>1</v>
      </c>
      <c r="H2440" s="11">
        <v>400</v>
      </c>
      <c r="I2440" s="12">
        <v>42659</v>
      </c>
      <c r="J2440" s="35">
        <f t="shared" si="86"/>
        <v>0</v>
      </c>
      <c r="K2440" s="36"/>
      <c r="L2440" s="36"/>
      <c r="M2440" s="36"/>
      <c r="N2440" s="36"/>
      <c r="O2440" s="36"/>
      <c r="P2440" s="36"/>
      <c r="Q2440" s="36"/>
      <c r="R2440" s="36"/>
      <c r="S2440" s="36"/>
      <c r="T2440" s="36">
        <v>400</v>
      </c>
      <c r="U2440" s="36"/>
      <c r="V2440" s="36"/>
      <c r="W2440" s="15">
        <f t="shared" si="87"/>
        <v>400</v>
      </c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15">
        <f t="shared" si="85"/>
        <v>0</v>
      </c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5"/>
      <c r="AX2440" s="16"/>
    </row>
    <row r="2441" spans="2:50" x14ac:dyDescent="0.2">
      <c r="B2441" s="7"/>
      <c r="C2441" s="8">
        <v>13024</v>
      </c>
      <c r="D2441" s="9" t="s">
        <v>277</v>
      </c>
      <c r="E2441" s="10" t="s">
        <v>278</v>
      </c>
      <c r="F2441" s="10" t="s">
        <v>279</v>
      </c>
      <c r="G2441" s="8">
        <v>1</v>
      </c>
      <c r="H2441" s="11">
        <v>400</v>
      </c>
      <c r="I2441" s="12">
        <v>42659</v>
      </c>
      <c r="J2441" s="35">
        <f t="shared" si="86"/>
        <v>0</v>
      </c>
      <c r="K2441" s="36"/>
      <c r="L2441" s="36"/>
      <c r="M2441" s="36"/>
      <c r="N2441" s="36"/>
      <c r="O2441" s="36"/>
      <c r="P2441" s="36"/>
      <c r="Q2441" s="36"/>
      <c r="R2441" s="36"/>
      <c r="S2441" s="36"/>
      <c r="T2441" s="36"/>
      <c r="U2441" s="36">
        <v>200</v>
      </c>
      <c r="V2441" s="36">
        <v>200</v>
      </c>
      <c r="W2441" s="15">
        <f t="shared" si="87"/>
        <v>400</v>
      </c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15">
        <f t="shared" si="85"/>
        <v>0</v>
      </c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5"/>
      <c r="AX2441" s="16"/>
    </row>
    <row r="2442" spans="2:50" x14ac:dyDescent="0.2">
      <c r="B2442" s="7"/>
      <c r="C2442" s="8">
        <v>13025</v>
      </c>
      <c r="D2442" s="9" t="s">
        <v>274</v>
      </c>
      <c r="E2442" s="10" t="s">
        <v>275</v>
      </c>
      <c r="F2442" s="10" t="s">
        <v>276</v>
      </c>
      <c r="G2442" s="8">
        <v>1</v>
      </c>
      <c r="H2442" s="11">
        <v>600</v>
      </c>
      <c r="I2442" s="12">
        <v>42659</v>
      </c>
      <c r="J2442" s="35">
        <f t="shared" si="86"/>
        <v>0</v>
      </c>
      <c r="K2442" s="36"/>
      <c r="L2442" s="36"/>
      <c r="M2442" s="36"/>
      <c r="N2442" s="36"/>
      <c r="O2442" s="36"/>
      <c r="P2442" s="36"/>
      <c r="Q2442" s="36"/>
      <c r="R2442" s="36"/>
      <c r="S2442" s="36"/>
      <c r="T2442" s="36">
        <v>200</v>
      </c>
      <c r="U2442" s="36">
        <v>200</v>
      </c>
      <c r="V2442" s="36">
        <v>200</v>
      </c>
      <c r="W2442" s="15">
        <f t="shared" si="87"/>
        <v>600</v>
      </c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15">
        <f t="shared" si="85"/>
        <v>0</v>
      </c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5"/>
      <c r="AX2442" s="16"/>
    </row>
    <row r="2443" spans="2:50" x14ac:dyDescent="0.2">
      <c r="B2443" s="7"/>
      <c r="C2443" s="8">
        <v>13026</v>
      </c>
      <c r="D2443" s="9" t="s">
        <v>532</v>
      </c>
      <c r="E2443" s="10" t="s">
        <v>533</v>
      </c>
      <c r="F2443" s="10" t="s">
        <v>534</v>
      </c>
      <c r="G2443" s="8">
        <v>1</v>
      </c>
      <c r="H2443" s="11">
        <v>800</v>
      </c>
      <c r="I2443" s="12">
        <v>42659</v>
      </c>
      <c r="J2443" s="35">
        <f t="shared" si="86"/>
        <v>0</v>
      </c>
      <c r="K2443" s="36"/>
      <c r="L2443" s="36"/>
      <c r="M2443" s="36"/>
      <c r="N2443" s="36"/>
      <c r="O2443" s="36"/>
      <c r="P2443" s="36"/>
      <c r="Q2443" s="36">
        <v>200</v>
      </c>
      <c r="R2443" s="36">
        <v>200</v>
      </c>
      <c r="S2443" s="36">
        <v>200</v>
      </c>
      <c r="T2443" s="36">
        <v>200</v>
      </c>
      <c r="U2443" s="36"/>
      <c r="V2443" s="36"/>
      <c r="W2443" s="15">
        <f t="shared" si="87"/>
        <v>800</v>
      </c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15">
        <f t="shared" si="85"/>
        <v>0</v>
      </c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5"/>
      <c r="AX2443" s="16"/>
    </row>
    <row r="2444" spans="2:50" x14ac:dyDescent="0.2">
      <c r="B2444" s="7"/>
      <c r="C2444" s="8">
        <v>13027</v>
      </c>
      <c r="D2444" s="9" t="s">
        <v>1148</v>
      </c>
      <c r="E2444" s="10" t="s">
        <v>1149</v>
      </c>
      <c r="F2444" s="10" t="s">
        <v>1150</v>
      </c>
      <c r="G2444" s="8">
        <v>5</v>
      </c>
      <c r="H2444" s="11">
        <v>50</v>
      </c>
      <c r="I2444" s="12">
        <v>42659</v>
      </c>
      <c r="J2444" s="35">
        <f t="shared" si="86"/>
        <v>0</v>
      </c>
      <c r="K2444" s="36"/>
      <c r="L2444" s="36"/>
      <c r="M2444" s="36"/>
      <c r="N2444" s="36"/>
      <c r="O2444" s="36"/>
      <c r="P2444" s="36"/>
      <c r="Q2444" s="36"/>
      <c r="R2444" s="36"/>
      <c r="S2444" s="36"/>
      <c r="T2444" s="36"/>
      <c r="U2444" s="36"/>
      <c r="V2444" s="36"/>
      <c r="W2444" s="15">
        <f t="shared" si="87"/>
        <v>0</v>
      </c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15">
        <f t="shared" si="85"/>
        <v>0</v>
      </c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5"/>
      <c r="AX2444" s="16"/>
    </row>
    <row r="2445" spans="2:50" x14ac:dyDescent="0.2">
      <c r="B2445" s="7"/>
      <c r="C2445" s="8">
        <v>13028</v>
      </c>
      <c r="D2445" s="9"/>
      <c r="E2445" s="10" t="s">
        <v>93</v>
      </c>
      <c r="F2445" s="10" t="s">
        <v>93</v>
      </c>
      <c r="G2445" s="8">
        <v>8</v>
      </c>
      <c r="H2445" s="11"/>
      <c r="I2445" s="12"/>
      <c r="J2445" s="35">
        <f t="shared" si="86"/>
        <v>0</v>
      </c>
      <c r="K2445" s="36"/>
      <c r="L2445" s="36"/>
      <c r="M2445" s="36"/>
      <c r="N2445" s="36"/>
      <c r="O2445" s="36"/>
      <c r="P2445" s="36"/>
      <c r="Q2445" s="36"/>
      <c r="R2445" s="36"/>
      <c r="S2445" s="36"/>
      <c r="T2445" s="36"/>
      <c r="U2445" s="36"/>
      <c r="V2445" s="36"/>
      <c r="W2445" s="15">
        <f t="shared" si="87"/>
        <v>0</v>
      </c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15">
        <f t="shared" si="85"/>
        <v>0</v>
      </c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5"/>
      <c r="AX2445" s="16"/>
    </row>
    <row r="2446" spans="2:50" x14ac:dyDescent="0.2">
      <c r="B2446" s="7"/>
      <c r="C2446" s="8">
        <v>13029</v>
      </c>
      <c r="D2446" s="9" t="s">
        <v>156</v>
      </c>
      <c r="E2446" s="10" t="s">
        <v>157</v>
      </c>
      <c r="F2446" s="10" t="s">
        <v>158</v>
      </c>
      <c r="G2446" s="8">
        <v>1</v>
      </c>
      <c r="H2446" s="11">
        <v>300</v>
      </c>
      <c r="I2446" s="12">
        <v>42659</v>
      </c>
      <c r="J2446" s="35">
        <f t="shared" si="86"/>
        <v>0</v>
      </c>
      <c r="K2446" s="36"/>
      <c r="L2446" s="36"/>
      <c r="M2446" s="36"/>
      <c r="N2446" s="36"/>
      <c r="O2446" s="36"/>
      <c r="P2446" s="36"/>
      <c r="Q2446" s="36"/>
      <c r="R2446" s="36"/>
      <c r="S2446" s="36"/>
      <c r="T2446" s="36">
        <v>300</v>
      </c>
      <c r="U2446" s="36"/>
      <c r="V2446" s="36"/>
      <c r="W2446" s="15">
        <f t="shared" si="87"/>
        <v>300</v>
      </c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15">
        <f t="shared" si="85"/>
        <v>0</v>
      </c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5"/>
      <c r="AX2446" s="16"/>
    </row>
    <row r="2447" spans="2:50" x14ac:dyDescent="0.2">
      <c r="B2447" s="7"/>
      <c r="C2447" s="8">
        <v>13030</v>
      </c>
      <c r="D2447" s="9" t="s">
        <v>395</v>
      </c>
      <c r="E2447" s="10" t="s">
        <v>396</v>
      </c>
      <c r="F2447" s="10" t="s">
        <v>397</v>
      </c>
      <c r="G2447" s="8">
        <v>1</v>
      </c>
      <c r="H2447" s="11">
        <v>200</v>
      </c>
      <c r="I2447" s="12">
        <v>42659</v>
      </c>
      <c r="J2447" s="35">
        <f t="shared" si="86"/>
        <v>0</v>
      </c>
      <c r="K2447" s="36"/>
      <c r="L2447" s="36"/>
      <c r="M2447" s="36"/>
      <c r="N2447" s="36"/>
      <c r="O2447" s="36"/>
      <c r="P2447" s="36"/>
      <c r="Q2447" s="36"/>
      <c r="R2447" s="36"/>
      <c r="S2447" s="36"/>
      <c r="T2447" s="36">
        <v>200</v>
      </c>
      <c r="U2447" s="36"/>
      <c r="V2447" s="36"/>
      <c r="W2447" s="15">
        <f t="shared" si="87"/>
        <v>200</v>
      </c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15">
        <f t="shared" si="85"/>
        <v>0</v>
      </c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5"/>
      <c r="AX2447" s="16"/>
    </row>
    <row r="2448" spans="2:50" x14ac:dyDescent="0.2">
      <c r="B2448" s="7"/>
      <c r="C2448" s="8">
        <v>13031</v>
      </c>
      <c r="D2448" s="9" t="s">
        <v>1092</v>
      </c>
      <c r="E2448" s="10" t="s">
        <v>1093</v>
      </c>
      <c r="F2448" s="10" t="s">
        <v>1094</v>
      </c>
      <c r="G2448" s="8">
        <v>1</v>
      </c>
      <c r="H2448" s="11">
        <v>200</v>
      </c>
      <c r="I2448" s="12">
        <v>42659</v>
      </c>
      <c r="J2448" s="35">
        <f t="shared" si="86"/>
        <v>0</v>
      </c>
      <c r="K2448" s="36"/>
      <c r="L2448" s="36"/>
      <c r="M2448" s="36"/>
      <c r="N2448" s="36"/>
      <c r="O2448" s="36"/>
      <c r="P2448" s="36"/>
      <c r="Q2448" s="36"/>
      <c r="R2448" s="36"/>
      <c r="S2448" s="36"/>
      <c r="T2448" s="36">
        <v>200</v>
      </c>
      <c r="U2448" s="36"/>
      <c r="V2448" s="36"/>
      <c r="W2448" s="15">
        <f t="shared" si="87"/>
        <v>200</v>
      </c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15">
        <f t="shared" si="85"/>
        <v>0</v>
      </c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5"/>
      <c r="AX2448" s="16"/>
    </row>
    <row r="2449" spans="2:50" x14ac:dyDescent="0.2">
      <c r="B2449" s="7"/>
      <c r="C2449" s="8">
        <v>13032</v>
      </c>
      <c r="D2449" s="9" t="s">
        <v>990</v>
      </c>
      <c r="E2449" s="10" t="s">
        <v>991</v>
      </c>
      <c r="F2449" s="10" t="s">
        <v>992</v>
      </c>
      <c r="G2449" s="8">
        <v>1</v>
      </c>
      <c r="H2449" s="11">
        <v>1000</v>
      </c>
      <c r="I2449" s="12">
        <v>42659</v>
      </c>
      <c r="J2449" s="35">
        <f t="shared" si="86"/>
        <v>0</v>
      </c>
      <c r="K2449" s="36"/>
      <c r="L2449" s="36"/>
      <c r="M2449" s="36"/>
      <c r="N2449" s="36"/>
      <c r="O2449" s="36"/>
      <c r="P2449" s="36"/>
      <c r="Q2449" s="36"/>
      <c r="R2449" s="36">
        <v>200</v>
      </c>
      <c r="S2449" s="36">
        <v>200</v>
      </c>
      <c r="T2449" s="36">
        <v>200</v>
      </c>
      <c r="U2449" s="36">
        <v>200</v>
      </c>
      <c r="V2449" s="36">
        <v>200</v>
      </c>
      <c r="W2449" s="15">
        <f t="shared" si="87"/>
        <v>1000</v>
      </c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15">
        <f t="shared" si="85"/>
        <v>0</v>
      </c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5"/>
      <c r="AX2449" s="16"/>
    </row>
    <row r="2450" spans="2:50" x14ac:dyDescent="0.2">
      <c r="B2450" s="7"/>
      <c r="C2450" s="8">
        <v>13033</v>
      </c>
      <c r="D2450" s="9" t="s">
        <v>232</v>
      </c>
      <c r="E2450" s="10" t="s">
        <v>233</v>
      </c>
      <c r="F2450" s="10" t="s">
        <v>234</v>
      </c>
      <c r="G2450" s="8">
        <v>5</v>
      </c>
      <c r="H2450" s="11">
        <v>50</v>
      </c>
      <c r="I2450" s="12">
        <v>42659</v>
      </c>
      <c r="J2450" s="35">
        <f t="shared" si="86"/>
        <v>0</v>
      </c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15">
        <f t="shared" si="87"/>
        <v>0</v>
      </c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15">
        <f t="shared" si="85"/>
        <v>0</v>
      </c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5"/>
      <c r="AX2450" s="16"/>
    </row>
    <row r="2451" spans="2:50" x14ac:dyDescent="0.2">
      <c r="B2451" s="7"/>
      <c r="C2451" s="8">
        <v>13034</v>
      </c>
      <c r="D2451" s="9" t="s">
        <v>990</v>
      </c>
      <c r="E2451" s="10" t="s">
        <v>991</v>
      </c>
      <c r="F2451" s="10" t="s">
        <v>992</v>
      </c>
      <c r="G2451" s="8">
        <v>4</v>
      </c>
      <c r="H2451" s="11">
        <v>200</v>
      </c>
      <c r="I2451" s="12">
        <v>42659</v>
      </c>
      <c r="J2451" s="35">
        <f t="shared" si="86"/>
        <v>0</v>
      </c>
      <c r="K2451" s="36"/>
      <c r="L2451" s="36"/>
      <c r="M2451" s="36"/>
      <c r="N2451" s="36"/>
      <c r="O2451" s="36"/>
      <c r="P2451" s="36"/>
      <c r="Q2451" s="36"/>
      <c r="R2451" s="36"/>
      <c r="S2451" s="36"/>
      <c r="T2451" s="36"/>
      <c r="U2451" s="36"/>
      <c r="V2451" s="36"/>
      <c r="W2451" s="15">
        <f t="shared" si="87"/>
        <v>0</v>
      </c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15">
        <f t="shared" si="85"/>
        <v>0</v>
      </c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5"/>
      <c r="AX2451" s="16"/>
    </row>
    <row r="2452" spans="2:50" x14ac:dyDescent="0.2">
      <c r="B2452" s="7"/>
      <c r="C2452" s="8">
        <v>13035</v>
      </c>
      <c r="D2452" s="9" t="s">
        <v>340</v>
      </c>
      <c r="E2452" s="10" t="s">
        <v>341</v>
      </c>
      <c r="F2452" s="10" t="s">
        <v>342</v>
      </c>
      <c r="G2452" s="8">
        <v>1</v>
      </c>
      <c r="H2452" s="11">
        <v>400</v>
      </c>
      <c r="I2452" s="12">
        <v>42659</v>
      </c>
      <c r="J2452" s="35">
        <f t="shared" si="86"/>
        <v>0</v>
      </c>
      <c r="K2452" s="36"/>
      <c r="L2452" s="36"/>
      <c r="M2452" s="36"/>
      <c r="N2452" s="36"/>
      <c r="O2452" s="36"/>
      <c r="P2452" s="36"/>
      <c r="Q2452" s="36"/>
      <c r="R2452" s="36"/>
      <c r="S2452" s="36"/>
      <c r="T2452" s="36">
        <v>400</v>
      </c>
      <c r="U2452" s="36"/>
      <c r="V2452" s="36"/>
      <c r="W2452" s="15">
        <f t="shared" si="87"/>
        <v>400</v>
      </c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15">
        <f t="shared" si="85"/>
        <v>0</v>
      </c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5"/>
      <c r="AX2452" s="16"/>
    </row>
    <row r="2453" spans="2:50" x14ac:dyDescent="0.2">
      <c r="B2453" s="7"/>
      <c r="C2453" s="8">
        <v>13036</v>
      </c>
      <c r="D2453" s="9"/>
      <c r="E2453" s="10" t="s">
        <v>93</v>
      </c>
      <c r="F2453" s="10" t="s">
        <v>93</v>
      </c>
      <c r="G2453" s="8">
        <v>8</v>
      </c>
      <c r="H2453" s="11"/>
      <c r="I2453" s="12"/>
      <c r="J2453" s="35">
        <f t="shared" si="86"/>
        <v>0</v>
      </c>
      <c r="K2453" s="36"/>
      <c r="L2453" s="36"/>
      <c r="M2453" s="36"/>
      <c r="N2453" s="36"/>
      <c r="O2453" s="36"/>
      <c r="P2453" s="36"/>
      <c r="Q2453" s="36"/>
      <c r="R2453" s="36"/>
      <c r="S2453" s="36"/>
      <c r="T2453" s="36"/>
      <c r="U2453" s="36"/>
      <c r="V2453" s="36"/>
      <c r="W2453" s="15">
        <f t="shared" si="87"/>
        <v>0</v>
      </c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15">
        <f t="shared" si="85"/>
        <v>0</v>
      </c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5"/>
      <c r="AX2453" s="16"/>
    </row>
    <row r="2454" spans="2:50" x14ac:dyDescent="0.2">
      <c r="B2454" s="7"/>
      <c r="C2454" s="8">
        <v>13037</v>
      </c>
      <c r="D2454" s="9" t="s">
        <v>268</v>
      </c>
      <c r="E2454" s="10" t="s">
        <v>269</v>
      </c>
      <c r="F2454" s="10" t="s">
        <v>270</v>
      </c>
      <c r="G2454" s="8">
        <v>1</v>
      </c>
      <c r="H2454" s="11">
        <v>300</v>
      </c>
      <c r="I2454" s="12">
        <v>42659</v>
      </c>
      <c r="J2454" s="35">
        <f t="shared" si="86"/>
        <v>0</v>
      </c>
      <c r="K2454" s="36"/>
      <c r="L2454" s="36"/>
      <c r="M2454" s="36"/>
      <c r="N2454" s="36"/>
      <c r="O2454" s="36"/>
      <c r="P2454" s="36"/>
      <c r="Q2454" s="36"/>
      <c r="R2454" s="36"/>
      <c r="S2454" s="36"/>
      <c r="T2454" s="36">
        <v>300</v>
      </c>
      <c r="U2454" s="36"/>
      <c r="V2454" s="36"/>
      <c r="W2454" s="15">
        <f t="shared" si="87"/>
        <v>300</v>
      </c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15">
        <f t="shared" si="85"/>
        <v>0</v>
      </c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5"/>
      <c r="AX2454" s="16"/>
    </row>
    <row r="2455" spans="2:50" x14ac:dyDescent="0.2">
      <c r="B2455" s="7"/>
      <c r="C2455" s="8">
        <v>13038</v>
      </c>
      <c r="D2455" s="9" t="s">
        <v>625</v>
      </c>
      <c r="E2455" s="10" t="s">
        <v>626</v>
      </c>
      <c r="F2455" s="10" t="s">
        <v>627</v>
      </c>
      <c r="G2455" s="8">
        <v>1</v>
      </c>
      <c r="H2455" s="11">
        <v>400</v>
      </c>
      <c r="I2455" s="12">
        <v>42659</v>
      </c>
      <c r="J2455" s="35">
        <f t="shared" si="86"/>
        <v>0</v>
      </c>
      <c r="K2455" s="36"/>
      <c r="L2455" s="36"/>
      <c r="M2455" s="36"/>
      <c r="N2455" s="36"/>
      <c r="O2455" s="36"/>
      <c r="P2455" s="36"/>
      <c r="Q2455" s="36"/>
      <c r="R2455" s="36"/>
      <c r="S2455" s="36">
        <v>400</v>
      </c>
      <c r="T2455" s="36"/>
      <c r="U2455" s="36"/>
      <c r="V2455" s="36"/>
      <c r="W2455" s="15">
        <f t="shared" si="87"/>
        <v>400</v>
      </c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15">
        <f t="shared" si="85"/>
        <v>0</v>
      </c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5"/>
      <c r="AX2455" s="16"/>
    </row>
    <row r="2456" spans="2:50" x14ac:dyDescent="0.2">
      <c r="B2456" s="7"/>
      <c r="C2456" s="8">
        <v>13039</v>
      </c>
      <c r="D2456" s="9" t="s">
        <v>823</v>
      </c>
      <c r="E2456" s="10" t="s">
        <v>824</v>
      </c>
      <c r="F2456" s="10" t="s">
        <v>765</v>
      </c>
      <c r="G2456" s="8">
        <v>1</v>
      </c>
      <c r="H2456" s="11">
        <v>200</v>
      </c>
      <c r="I2456" s="12">
        <v>42659</v>
      </c>
      <c r="J2456" s="35">
        <f t="shared" si="86"/>
        <v>0</v>
      </c>
      <c r="K2456" s="36"/>
      <c r="L2456" s="36"/>
      <c r="M2456" s="36"/>
      <c r="N2456" s="36"/>
      <c r="O2456" s="36"/>
      <c r="P2456" s="36"/>
      <c r="Q2456" s="36"/>
      <c r="R2456" s="36"/>
      <c r="S2456" s="36"/>
      <c r="T2456" s="36">
        <v>200</v>
      </c>
      <c r="U2456" s="36"/>
      <c r="V2456" s="36"/>
      <c r="W2456" s="15">
        <f t="shared" si="87"/>
        <v>200</v>
      </c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15">
        <f t="shared" si="85"/>
        <v>0</v>
      </c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5"/>
      <c r="AX2456" s="16"/>
    </row>
    <row r="2457" spans="2:50" x14ac:dyDescent="0.2">
      <c r="B2457" s="7"/>
      <c r="C2457" s="8">
        <v>13040</v>
      </c>
      <c r="D2457" s="9" t="s">
        <v>256</v>
      </c>
      <c r="E2457" s="10" t="s">
        <v>257</v>
      </c>
      <c r="F2457" s="10" t="s">
        <v>258</v>
      </c>
      <c r="G2457" s="8">
        <v>1</v>
      </c>
      <c r="H2457" s="11">
        <v>300</v>
      </c>
      <c r="I2457" s="12">
        <v>42659</v>
      </c>
      <c r="J2457" s="35">
        <f t="shared" si="86"/>
        <v>0</v>
      </c>
      <c r="K2457" s="36"/>
      <c r="L2457" s="36"/>
      <c r="M2457" s="36"/>
      <c r="N2457" s="36"/>
      <c r="O2457" s="36"/>
      <c r="P2457" s="36"/>
      <c r="Q2457" s="36"/>
      <c r="R2457" s="36"/>
      <c r="S2457" s="36"/>
      <c r="T2457" s="36">
        <v>300</v>
      </c>
      <c r="U2457" s="36"/>
      <c r="V2457" s="36"/>
      <c r="W2457" s="15">
        <f t="shared" si="87"/>
        <v>300</v>
      </c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15">
        <f t="shared" si="85"/>
        <v>0</v>
      </c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5"/>
      <c r="AX2457" s="16"/>
    </row>
    <row r="2458" spans="2:50" x14ac:dyDescent="0.2">
      <c r="B2458" s="7"/>
      <c r="C2458" s="8">
        <v>13041</v>
      </c>
      <c r="D2458" s="9" t="s">
        <v>589</v>
      </c>
      <c r="E2458" s="10" t="s">
        <v>590</v>
      </c>
      <c r="F2458" s="10" t="s">
        <v>591</v>
      </c>
      <c r="G2458" s="8">
        <v>1</v>
      </c>
      <c r="H2458" s="11">
        <v>800</v>
      </c>
      <c r="I2458" s="12">
        <v>42659</v>
      </c>
      <c r="J2458" s="35">
        <f t="shared" si="86"/>
        <v>0</v>
      </c>
      <c r="K2458" s="36"/>
      <c r="L2458" s="36"/>
      <c r="M2458" s="36"/>
      <c r="N2458" s="36"/>
      <c r="O2458" s="36"/>
      <c r="P2458" s="36"/>
      <c r="Q2458" s="36"/>
      <c r="R2458" s="36">
        <v>400</v>
      </c>
      <c r="S2458" s="36">
        <v>400</v>
      </c>
      <c r="T2458" s="36"/>
      <c r="U2458" s="36"/>
      <c r="V2458" s="36"/>
      <c r="W2458" s="15">
        <f t="shared" si="87"/>
        <v>800</v>
      </c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15">
        <f t="shared" si="85"/>
        <v>0</v>
      </c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5"/>
      <c r="AX2458" s="16"/>
    </row>
    <row r="2459" spans="2:50" x14ac:dyDescent="0.2">
      <c r="B2459" s="7"/>
      <c r="C2459" s="8">
        <v>13042</v>
      </c>
      <c r="D2459" s="9" t="s">
        <v>398</v>
      </c>
      <c r="E2459" s="10" t="s">
        <v>399</v>
      </c>
      <c r="F2459" s="10" t="s">
        <v>400</v>
      </c>
      <c r="G2459" s="8">
        <v>1</v>
      </c>
      <c r="H2459" s="11">
        <v>400</v>
      </c>
      <c r="I2459" s="12">
        <v>42659</v>
      </c>
      <c r="J2459" s="35">
        <f t="shared" si="86"/>
        <v>0</v>
      </c>
      <c r="K2459" s="36"/>
      <c r="L2459" s="36"/>
      <c r="M2459" s="36"/>
      <c r="N2459" s="36"/>
      <c r="O2459" s="36"/>
      <c r="P2459" s="36"/>
      <c r="Q2459" s="36"/>
      <c r="R2459" s="36"/>
      <c r="S2459" s="36"/>
      <c r="T2459" s="36">
        <v>400</v>
      </c>
      <c r="U2459" s="36"/>
      <c r="V2459" s="36"/>
      <c r="W2459" s="15">
        <f t="shared" si="87"/>
        <v>400</v>
      </c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15">
        <f t="shared" si="85"/>
        <v>0</v>
      </c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5"/>
      <c r="AX2459" s="16"/>
    </row>
    <row r="2460" spans="2:50" x14ac:dyDescent="0.2">
      <c r="B2460" s="7"/>
      <c r="C2460" s="8">
        <v>13043</v>
      </c>
      <c r="D2460" s="9" t="s">
        <v>277</v>
      </c>
      <c r="E2460" s="10" t="s">
        <v>278</v>
      </c>
      <c r="F2460" s="10" t="s">
        <v>279</v>
      </c>
      <c r="G2460" s="8">
        <v>1</v>
      </c>
      <c r="H2460" s="11">
        <v>200</v>
      </c>
      <c r="I2460" s="12">
        <v>42659</v>
      </c>
      <c r="J2460" s="35">
        <f t="shared" si="86"/>
        <v>0</v>
      </c>
      <c r="K2460" s="36"/>
      <c r="L2460" s="36"/>
      <c r="M2460" s="36"/>
      <c r="N2460" s="36"/>
      <c r="O2460" s="36"/>
      <c r="P2460" s="36"/>
      <c r="Q2460" s="36"/>
      <c r="R2460" s="36"/>
      <c r="S2460" s="36"/>
      <c r="T2460" s="36">
        <v>200</v>
      </c>
      <c r="U2460" s="36"/>
      <c r="V2460" s="36"/>
      <c r="W2460" s="15">
        <f t="shared" si="87"/>
        <v>200</v>
      </c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15">
        <f t="shared" si="85"/>
        <v>0</v>
      </c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5"/>
      <c r="AX2460" s="16"/>
    </row>
    <row r="2461" spans="2:50" x14ac:dyDescent="0.2">
      <c r="B2461" s="7"/>
      <c r="C2461" s="8">
        <v>13044</v>
      </c>
      <c r="D2461" s="9" t="s">
        <v>440</v>
      </c>
      <c r="E2461" s="10" t="s">
        <v>441</v>
      </c>
      <c r="F2461" s="10" t="s">
        <v>442</v>
      </c>
      <c r="G2461" s="8">
        <v>1</v>
      </c>
      <c r="H2461" s="11">
        <v>300</v>
      </c>
      <c r="I2461" s="12">
        <v>42659</v>
      </c>
      <c r="J2461" s="35">
        <f t="shared" si="86"/>
        <v>0</v>
      </c>
      <c r="K2461" s="36"/>
      <c r="L2461" s="36"/>
      <c r="M2461" s="36"/>
      <c r="N2461" s="36"/>
      <c r="O2461" s="36"/>
      <c r="P2461" s="36"/>
      <c r="Q2461" s="36"/>
      <c r="R2461" s="36"/>
      <c r="S2461" s="36">
        <v>300</v>
      </c>
      <c r="T2461" s="36"/>
      <c r="U2461" s="36"/>
      <c r="V2461" s="36"/>
      <c r="W2461" s="15">
        <f t="shared" si="87"/>
        <v>300</v>
      </c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15">
        <f t="shared" si="85"/>
        <v>0</v>
      </c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5"/>
      <c r="AX2461" s="16"/>
    </row>
    <row r="2462" spans="2:50" x14ac:dyDescent="0.2">
      <c r="B2462" s="7"/>
      <c r="C2462" s="8">
        <v>13045</v>
      </c>
      <c r="D2462" s="9" t="s">
        <v>620</v>
      </c>
      <c r="E2462" s="10" t="s">
        <v>621</v>
      </c>
      <c r="F2462" s="10" t="s">
        <v>366</v>
      </c>
      <c r="G2462" s="8">
        <v>1</v>
      </c>
      <c r="H2462" s="11">
        <v>400</v>
      </c>
      <c r="I2462" s="12">
        <v>42659</v>
      </c>
      <c r="J2462" s="35">
        <f t="shared" si="86"/>
        <v>0</v>
      </c>
      <c r="K2462" s="36"/>
      <c r="L2462" s="36"/>
      <c r="M2462" s="36"/>
      <c r="N2462" s="36"/>
      <c r="O2462" s="36"/>
      <c r="P2462" s="36"/>
      <c r="Q2462" s="36"/>
      <c r="R2462" s="36"/>
      <c r="S2462" s="36">
        <v>400</v>
      </c>
      <c r="T2462" s="36"/>
      <c r="U2462" s="36"/>
      <c r="V2462" s="36"/>
      <c r="W2462" s="15">
        <f t="shared" si="87"/>
        <v>400</v>
      </c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15">
        <f t="shared" si="85"/>
        <v>0</v>
      </c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14"/>
      <c r="AW2462" s="15"/>
      <c r="AX2462" s="16"/>
    </row>
    <row r="2463" spans="2:50" x14ac:dyDescent="0.2">
      <c r="B2463" s="7"/>
      <c r="C2463" s="8">
        <v>13046</v>
      </c>
      <c r="D2463" s="9" t="s">
        <v>1029</v>
      </c>
      <c r="E2463" s="10" t="s">
        <v>1030</v>
      </c>
      <c r="F2463" s="10" t="s">
        <v>1031</v>
      </c>
      <c r="G2463" s="8">
        <v>1</v>
      </c>
      <c r="H2463" s="11">
        <v>400</v>
      </c>
      <c r="I2463" s="12">
        <v>42659</v>
      </c>
      <c r="J2463" s="35">
        <f t="shared" si="86"/>
        <v>0</v>
      </c>
      <c r="K2463" s="36"/>
      <c r="L2463" s="36"/>
      <c r="M2463" s="36"/>
      <c r="N2463" s="36"/>
      <c r="O2463" s="36"/>
      <c r="P2463" s="36"/>
      <c r="Q2463" s="36"/>
      <c r="R2463" s="36"/>
      <c r="S2463" s="36"/>
      <c r="T2463" s="36">
        <v>400</v>
      </c>
      <c r="U2463" s="36"/>
      <c r="V2463" s="36"/>
      <c r="W2463" s="15">
        <f t="shared" si="87"/>
        <v>400</v>
      </c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15">
        <f t="shared" si="85"/>
        <v>0</v>
      </c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5"/>
      <c r="AX2463" s="16"/>
    </row>
    <row r="2464" spans="2:50" x14ac:dyDescent="0.2">
      <c r="B2464" s="7"/>
      <c r="C2464" s="8">
        <v>13047</v>
      </c>
      <c r="D2464" s="9" t="s">
        <v>425</v>
      </c>
      <c r="E2464" s="10" t="s">
        <v>426</v>
      </c>
      <c r="F2464" s="10" t="s">
        <v>427</v>
      </c>
      <c r="G2464" s="8">
        <v>1</v>
      </c>
      <c r="H2464" s="11">
        <v>400</v>
      </c>
      <c r="I2464" s="12">
        <v>42659</v>
      </c>
      <c r="J2464" s="35">
        <f t="shared" si="86"/>
        <v>0</v>
      </c>
      <c r="K2464" s="36"/>
      <c r="L2464" s="36"/>
      <c r="M2464" s="36"/>
      <c r="N2464" s="36"/>
      <c r="O2464" s="36"/>
      <c r="P2464" s="36"/>
      <c r="Q2464" s="36"/>
      <c r="R2464" s="36"/>
      <c r="S2464" s="36"/>
      <c r="T2464" s="36">
        <v>400</v>
      </c>
      <c r="U2464" s="36"/>
      <c r="V2464" s="36"/>
      <c r="W2464" s="15">
        <f t="shared" si="87"/>
        <v>400</v>
      </c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15">
        <f t="shared" si="85"/>
        <v>0</v>
      </c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14"/>
      <c r="AW2464" s="15"/>
      <c r="AX2464" s="16"/>
    </row>
    <row r="2465" spans="2:50" x14ac:dyDescent="0.2">
      <c r="B2465" s="7"/>
      <c r="C2465" s="8">
        <v>13048</v>
      </c>
      <c r="D2465" s="9" t="s">
        <v>62</v>
      </c>
      <c r="E2465" s="10" t="s">
        <v>63</v>
      </c>
      <c r="F2465" s="10" t="s">
        <v>64</v>
      </c>
      <c r="G2465" s="8">
        <v>1</v>
      </c>
      <c r="H2465" s="11">
        <v>400</v>
      </c>
      <c r="I2465" s="12">
        <v>42659</v>
      </c>
      <c r="J2465" s="35">
        <f t="shared" si="86"/>
        <v>0</v>
      </c>
      <c r="K2465" s="36"/>
      <c r="L2465" s="36"/>
      <c r="M2465" s="36"/>
      <c r="N2465" s="36"/>
      <c r="O2465" s="36"/>
      <c r="P2465" s="36"/>
      <c r="Q2465" s="36"/>
      <c r="R2465" s="36"/>
      <c r="S2465" s="36"/>
      <c r="T2465" s="36"/>
      <c r="U2465" s="36">
        <v>200</v>
      </c>
      <c r="V2465" s="36">
        <v>200</v>
      </c>
      <c r="W2465" s="15">
        <f t="shared" si="87"/>
        <v>400</v>
      </c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15">
        <f t="shared" si="85"/>
        <v>0</v>
      </c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5"/>
      <c r="AX2465" s="16"/>
    </row>
    <row r="2466" spans="2:50" x14ac:dyDescent="0.2">
      <c r="B2466" s="7"/>
      <c r="C2466" s="8">
        <v>13049</v>
      </c>
      <c r="D2466" s="9" t="s">
        <v>864</v>
      </c>
      <c r="E2466" s="10" t="s">
        <v>865</v>
      </c>
      <c r="F2466" s="10" t="s">
        <v>866</v>
      </c>
      <c r="G2466" s="8">
        <v>1</v>
      </c>
      <c r="H2466" s="11">
        <v>300</v>
      </c>
      <c r="I2466" s="12">
        <v>42659</v>
      </c>
      <c r="J2466" s="35">
        <f t="shared" si="86"/>
        <v>0</v>
      </c>
      <c r="K2466" s="36"/>
      <c r="L2466" s="36"/>
      <c r="M2466" s="36"/>
      <c r="N2466" s="36"/>
      <c r="O2466" s="36"/>
      <c r="P2466" s="36"/>
      <c r="Q2466" s="36">
        <v>300</v>
      </c>
      <c r="R2466" s="36"/>
      <c r="S2466" s="36"/>
      <c r="T2466" s="36"/>
      <c r="U2466" s="36"/>
      <c r="V2466" s="36"/>
      <c r="W2466" s="15">
        <f t="shared" si="87"/>
        <v>300</v>
      </c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15">
        <f t="shared" si="85"/>
        <v>0</v>
      </c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14"/>
      <c r="AW2466" s="15"/>
      <c r="AX2466" s="16"/>
    </row>
    <row r="2467" spans="2:50" x14ac:dyDescent="0.2">
      <c r="B2467" s="7"/>
      <c r="C2467" s="8">
        <v>13050</v>
      </c>
      <c r="D2467" s="9" t="s">
        <v>467</v>
      </c>
      <c r="E2467" s="10" t="s">
        <v>468</v>
      </c>
      <c r="F2467" s="10" t="s">
        <v>469</v>
      </c>
      <c r="G2467" s="8">
        <v>1</v>
      </c>
      <c r="H2467" s="11">
        <v>1200</v>
      </c>
      <c r="I2467" s="12">
        <v>42659</v>
      </c>
      <c r="J2467" s="35">
        <f t="shared" si="86"/>
        <v>0</v>
      </c>
      <c r="K2467" s="36"/>
      <c r="L2467" s="36"/>
      <c r="M2467" s="36"/>
      <c r="N2467" s="36"/>
      <c r="O2467" s="36"/>
      <c r="P2467" s="36"/>
      <c r="Q2467" s="36"/>
      <c r="R2467" s="36"/>
      <c r="S2467" s="36"/>
      <c r="T2467" s="36">
        <v>400</v>
      </c>
      <c r="U2467" s="36">
        <v>400</v>
      </c>
      <c r="V2467" s="36">
        <v>400</v>
      </c>
      <c r="W2467" s="15">
        <f t="shared" si="87"/>
        <v>1200</v>
      </c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15">
        <f t="shared" si="85"/>
        <v>0</v>
      </c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5"/>
      <c r="AX2467" s="16"/>
    </row>
    <row r="2468" spans="2:50" x14ac:dyDescent="0.2">
      <c r="B2468" s="7"/>
      <c r="C2468" s="8">
        <v>13051</v>
      </c>
      <c r="D2468" s="9" t="s">
        <v>696</v>
      </c>
      <c r="E2468" s="10" t="s">
        <v>697</v>
      </c>
      <c r="F2468" s="10" t="s">
        <v>698</v>
      </c>
      <c r="G2468" s="8">
        <v>1</v>
      </c>
      <c r="H2468" s="11">
        <v>300</v>
      </c>
      <c r="I2468" s="12">
        <v>42659</v>
      </c>
      <c r="J2468" s="35">
        <f t="shared" si="86"/>
        <v>0</v>
      </c>
      <c r="K2468" s="36"/>
      <c r="L2468" s="36"/>
      <c r="M2468" s="36"/>
      <c r="N2468" s="36"/>
      <c r="O2468" s="36"/>
      <c r="P2468" s="36"/>
      <c r="Q2468" s="36"/>
      <c r="R2468" s="36"/>
      <c r="S2468" s="36"/>
      <c r="T2468" s="36">
        <v>300</v>
      </c>
      <c r="U2468" s="36"/>
      <c r="V2468" s="36"/>
      <c r="W2468" s="15">
        <f t="shared" si="87"/>
        <v>300</v>
      </c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15">
        <f t="shared" si="85"/>
        <v>0</v>
      </c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14"/>
      <c r="AW2468" s="15"/>
      <c r="AX2468" s="16"/>
    </row>
    <row r="2469" spans="2:50" x14ac:dyDescent="0.2">
      <c r="B2469" s="7"/>
      <c r="C2469" s="8">
        <v>13052</v>
      </c>
      <c r="D2469" s="9" t="s">
        <v>628</v>
      </c>
      <c r="E2469" s="10" t="s">
        <v>629</v>
      </c>
      <c r="F2469" s="10" t="s">
        <v>630</v>
      </c>
      <c r="G2469" s="8">
        <v>1</v>
      </c>
      <c r="H2469" s="11">
        <v>800</v>
      </c>
      <c r="I2469" s="12">
        <v>42659</v>
      </c>
      <c r="J2469" s="35">
        <f t="shared" si="86"/>
        <v>0</v>
      </c>
      <c r="K2469" s="36"/>
      <c r="L2469" s="36"/>
      <c r="M2469" s="36"/>
      <c r="N2469" s="36"/>
      <c r="O2469" s="36"/>
      <c r="P2469" s="36"/>
      <c r="Q2469" s="36"/>
      <c r="R2469" s="36"/>
      <c r="S2469" s="36">
        <v>400</v>
      </c>
      <c r="T2469" s="36">
        <v>400</v>
      </c>
      <c r="U2469" s="36"/>
      <c r="V2469" s="36"/>
      <c r="W2469" s="15">
        <f t="shared" si="87"/>
        <v>800</v>
      </c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15">
        <f t="shared" si="85"/>
        <v>0</v>
      </c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5"/>
      <c r="AX2469" s="16"/>
    </row>
    <row r="2470" spans="2:50" x14ac:dyDescent="0.2">
      <c r="B2470" s="7"/>
      <c r="C2470" s="8">
        <v>13053</v>
      </c>
      <c r="D2470" s="9" t="s">
        <v>634</v>
      </c>
      <c r="E2470" s="10" t="s">
        <v>635</v>
      </c>
      <c r="F2470" s="10" t="s">
        <v>636</v>
      </c>
      <c r="G2470" s="8">
        <v>1</v>
      </c>
      <c r="H2470" s="11">
        <v>300</v>
      </c>
      <c r="I2470" s="12">
        <v>42659</v>
      </c>
      <c r="J2470" s="35">
        <f t="shared" si="86"/>
        <v>0</v>
      </c>
      <c r="K2470" s="36"/>
      <c r="L2470" s="36"/>
      <c r="M2470" s="36"/>
      <c r="N2470" s="36"/>
      <c r="O2470" s="36"/>
      <c r="P2470" s="36"/>
      <c r="Q2470" s="36"/>
      <c r="R2470" s="36"/>
      <c r="S2470" s="36"/>
      <c r="T2470" s="36">
        <v>300</v>
      </c>
      <c r="U2470" s="36"/>
      <c r="V2470" s="36"/>
      <c r="W2470" s="15">
        <f t="shared" si="87"/>
        <v>300</v>
      </c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15">
        <f t="shared" si="85"/>
        <v>0</v>
      </c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14"/>
      <c r="AW2470" s="15"/>
      <c r="AX2470" s="16"/>
    </row>
    <row r="2471" spans="2:50" x14ac:dyDescent="0.2">
      <c r="B2471" s="7"/>
      <c r="C2471" s="8">
        <v>13054</v>
      </c>
      <c r="D2471" s="9" t="s">
        <v>51</v>
      </c>
      <c r="E2471" s="10" t="s">
        <v>52</v>
      </c>
      <c r="F2471" s="10" t="s">
        <v>53</v>
      </c>
      <c r="G2471" s="8">
        <v>1</v>
      </c>
      <c r="H2471" s="11">
        <v>500</v>
      </c>
      <c r="I2471" s="12">
        <v>42659</v>
      </c>
      <c r="J2471" s="35">
        <f t="shared" si="86"/>
        <v>0</v>
      </c>
      <c r="K2471" s="36"/>
      <c r="L2471" s="36"/>
      <c r="M2471" s="36"/>
      <c r="N2471" s="36"/>
      <c r="O2471" s="36"/>
      <c r="P2471" s="36"/>
      <c r="Q2471" s="36"/>
      <c r="R2471" s="36"/>
      <c r="S2471" s="36"/>
      <c r="T2471" s="36">
        <v>250</v>
      </c>
      <c r="U2471" s="36">
        <v>250</v>
      </c>
      <c r="V2471" s="36"/>
      <c r="W2471" s="15">
        <f t="shared" si="87"/>
        <v>500</v>
      </c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15">
        <f t="shared" si="85"/>
        <v>0</v>
      </c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5"/>
      <c r="AX2471" s="16"/>
    </row>
    <row r="2472" spans="2:50" x14ac:dyDescent="0.2">
      <c r="B2472" s="7"/>
      <c r="C2472" s="8">
        <v>13055</v>
      </c>
      <c r="D2472" s="9" t="s">
        <v>1142</v>
      </c>
      <c r="E2472" s="10" t="s">
        <v>1143</v>
      </c>
      <c r="F2472" s="10" t="s">
        <v>1144</v>
      </c>
      <c r="G2472" s="8">
        <v>1</v>
      </c>
      <c r="H2472" s="11">
        <v>800</v>
      </c>
      <c r="I2472" s="12">
        <v>42659</v>
      </c>
      <c r="J2472" s="35">
        <f t="shared" si="86"/>
        <v>0</v>
      </c>
      <c r="K2472" s="36"/>
      <c r="L2472" s="36"/>
      <c r="M2472" s="36"/>
      <c r="N2472" s="36"/>
      <c r="O2472" s="36"/>
      <c r="P2472" s="36"/>
      <c r="Q2472" s="36"/>
      <c r="R2472" s="36"/>
      <c r="S2472" s="36">
        <v>400</v>
      </c>
      <c r="T2472" s="36">
        <v>400</v>
      </c>
      <c r="U2472" s="36"/>
      <c r="V2472" s="36"/>
      <c r="W2472" s="15">
        <f t="shared" si="87"/>
        <v>800</v>
      </c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15">
        <f t="shared" ref="AJ2472:AJ2483" si="88">SUM(X2472:AI2472)</f>
        <v>0</v>
      </c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5"/>
      <c r="AX2472" s="16"/>
    </row>
    <row r="2473" spans="2:50" x14ac:dyDescent="0.2">
      <c r="B2473" s="7"/>
      <c r="C2473" s="8">
        <v>13056</v>
      </c>
      <c r="D2473" s="9" t="s">
        <v>517</v>
      </c>
      <c r="E2473" s="10" t="s">
        <v>518</v>
      </c>
      <c r="F2473" s="10" t="s">
        <v>519</v>
      </c>
      <c r="G2473" s="8">
        <v>3</v>
      </c>
      <c r="H2473" s="11">
        <v>200</v>
      </c>
      <c r="I2473" s="12">
        <v>42659</v>
      </c>
      <c r="J2473" s="35">
        <f t="shared" ref="J2473:J2483" si="89">IF(G2473=1,SUM(W2473,AJ2473,-H2473),0)</f>
        <v>0</v>
      </c>
      <c r="K2473" s="36"/>
      <c r="L2473" s="36"/>
      <c r="M2473" s="36"/>
      <c r="N2473" s="36"/>
      <c r="O2473" s="36"/>
      <c r="P2473" s="36"/>
      <c r="Q2473" s="36"/>
      <c r="R2473" s="36"/>
      <c r="S2473" s="36"/>
      <c r="T2473" s="36"/>
      <c r="U2473" s="36"/>
      <c r="V2473" s="36"/>
      <c r="W2473" s="15">
        <f t="shared" si="87"/>
        <v>0</v>
      </c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15">
        <f t="shared" si="88"/>
        <v>0</v>
      </c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5"/>
      <c r="AX2473" s="16"/>
    </row>
    <row r="2474" spans="2:50" x14ac:dyDescent="0.2">
      <c r="B2474" s="7"/>
      <c r="C2474" s="8">
        <v>13057</v>
      </c>
      <c r="D2474" s="9" t="s">
        <v>574</v>
      </c>
      <c r="E2474" s="10" t="s">
        <v>575</v>
      </c>
      <c r="F2474" s="10" t="s">
        <v>576</v>
      </c>
      <c r="G2474" s="8">
        <v>1</v>
      </c>
      <c r="H2474" s="11">
        <v>400</v>
      </c>
      <c r="I2474" s="12">
        <v>42659</v>
      </c>
      <c r="J2474" s="35">
        <f t="shared" si="89"/>
        <v>0</v>
      </c>
      <c r="K2474" s="36"/>
      <c r="L2474" s="36"/>
      <c r="M2474" s="36"/>
      <c r="N2474" s="36"/>
      <c r="O2474" s="36"/>
      <c r="P2474" s="36"/>
      <c r="Q2474" s="36"/>
      <c r="R2474" s="36"/>
      <c r="S2474" s="36">
        <v>400</v>
      </c>
      <c r="T2474" s="36"/>
      <c r="U2474" s="36"/>
      <c r="V2474" s="36"/>
      <c r="W2474" s="15">
        <f t="shared" si="87"/>
        <v>400</v>
      </c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15">
        <f t="shared" si="88"/>
        <v>0</v>
      </c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5"/>
      <c r="AX2474" s="16"/>
    </row>
    <row r="2475" spans="2:50" x14ac:dyDescent="0.2">
      <c r="B2475" s="7"/>
      <c r="C2475" s="8">
        <v>13058</v>
      </c>
      <c r="D2475" s="9" t="s">
        <v>672</v>
      </c>
      <c r="E2475" s="10" t="s">
        <v>673</v>
      </c>
      <c r="F2475" s="10" t="s">
        <v>674</v>
      </c>
      <c r="G2475" s="8">
        <v>1</v>
      </c>
      <c r="H2475" s="11">
        <v>200</v>
      </c>
      <c r="I2475" s="12">
        <v>42659</v>
      </c>
      <c r="J2475" s="35">
        <f t="shared" si="89"/>
        <v>0</v>
      </c>
      <c r="K2475" s="36"/>
      <c r="L2475" s="36"/>
      <c r="M2475" s="36"/>
      <c r="N2475" s="36"/>
      <c r="O2475" s="36"/>
      <c r="P2475" s="36"/>
      <c r="Q2475" s="36"/>
      <c r="R2475" s="36"/>
      <c r="S2475" s="36"/>
      <c r="T2475" s="36">
        <v>200</v>
      </c>
      <c r="U2475" s="36"/>
      <c r="V2475" s="36"/>
      <c r="W2475" s="15">
        <f t="shared" si="87"/>
        <v>200</v>
      </c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15">
        <f t="shared" si="88"/>
        <v>0</v>
      </c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5"/>
      <c r="AX2475" s="16"/>
    </row>
    <row r="2476" spans="2:50" x14ac:dyDescent="0.2">
      <c r="B2476" s="7"/>
      <c r="C2476" s="8">
        <v>13059</v>
      </c>
      <c r="D2476" s="9" t="s">
        <v>226</v>
      </c>
      <c r="E2476" s="10" t="s">
        <v>227</v>
      </c>
      <c r="F2476" s="10" t="s">
        <v>228</v>
      </c>
      <c r="G2476" s="8">
        <v>1</v>
      </c>
      <c r="H2476" s="315">
        <v>200</v>
      </c>
      <c r="I2476" s="12">
        <v>42662</v>
      </c>
      <c r="J2476" s="35">
        <f t="shared" si="89"/>
        <v>0</v>
      </c>
      <c r="K2476" s="36"/>
      <c r="L2476" s="36"/>
      <c r="M2476" s="36"/>
      <c r="N2476" s="36"/>
      <c r="O2476" s="36"/>
      <c r="P2476" s="36"/>
      <c r="Q2476" s="36"/>
      <c r="R2476" s="36"/>
      <c r="S2476" s="36"/>
      <c r="T2476" s="36">
        <v>200</v>
      </c>
      <c r="U2476" s="36"/>
      <c r="V2476" s="36"/>
      <c r="W2476" s="15">
        <f t="shared" si="87"/>
        <v>200</v>
      </c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15">
        <f t="shared" si="88"/>
        <v>0</v>
      </c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14"/>
      <c r="AW2476" s="15"/>
      <c r="AX2476" s="16"/>
    </row>
    <row r="2477" spans="2:50" x14ac:dyDescent="0.2">
      <c r="B2477" s="7"/>
      <c r="C2477" s="8">
        <v>13060</v>
      </c>
      <c r="D2477" s="9" t="s">
        <v>485</v>
      </c>
      <c r="E2477" s="10" t="s">
        <v>486</v>
      </c>
      <c r="F2477" s="10" t="s">
        <v>487</v>
      </c>
      <c r="G2477" s="8">
        <v>1</v>
      </c>
      <c r="H2477" s="11">
        <v>400</v>
      </c>
      <c r="I2477" s="12">
        <v>42661</v>
      </c>
      <c r="J2477" s="35">
        <f t="shared" si="89"/>
        <v>0</v>
      </c>
      <c r="K2477" s="36"/>
      <c r="L2477" s="36"/>
      <c r="M2477" s="36"/>
      <c r="N2477" s="36"/>
      <c r="O2477" s="36"/>
      <c r="P2477" s="36"/>
      <c r="Q2477" s="36"/>
      <c r="R2477" s="36"/>
      <c r="S2477" s="36">
        <v>400</v>
      </c>
      <c r="T2477" s="36"/>
      <c r="U2477" s="36"/>
      <c r="V2477" s="36"/>
      <c r="W2477" s="15">
        <f t="shared" si="87"/>
        <v>400</v>
      </c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15">
        <f t="shared" si="88"/>
        <v>0</v>
      </c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5"/>
      <c r="AX2477" s="16"/>
    </row>
    <row r="2478" spans="2:50" x14ac:dyDescent="0.2">
      <c r="B2478" s="7"/>
      <c r="C2478" s="8">
        <v>13061</v>
      </c>
      <c r="D2478" s="9" t="s">
        <v>373</v>
      </c>
      <c r="E2478" s="10" t="s">
        <v>374</v>
      </c>
      <c r="F2478" s="10" t="s">
        <v>375</v>
      </c>
      <c r="G2478" s="8">
        <v>1</v>
      </c>
      <c r="H2478" s="11">
        <v>400</v>
      </c>
      <c r="I2478" s="12">
        <v>42663</v>
      </c>
      <c r="J2478" s="35">
        <f t="shared" si="89"/>
        <v>0</v>
      </c>
      <c r="K2478" s="36"/>
      <c r="L2478" s="36"/>
      <c r="M2478" s="36"/>
      <c r="N2478" s="36"/>
      <c r="O2478" s="36"/>
      <c r="P2478" s="36"/>
      <c r="Q2478" s="36"/>
      <c r="R2478" s="36"/>
      <c r="S2478" s="36"/>
      <c r="T2478" s="36">
        <v>400</v>
      </c>
      <c r="U2478" s="36"/>
      <c r="V2478" s="36"/>
      <c r="W2478" s="15">
        <f t="shared" si="87"/>
        <v>400</v>
      </c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15">
        <f t="shared" si="88"/>
        <v>0</v>
      </c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5"/>
      <c r="AX2478" s="16"/>
    </row>
    <row r="2479" spans="2:50" x14ac:dyDescent="0.2">
      <c r="B2479" s="7"/>
      <c r="C2479" s="8">
        <v>13062</v>
      </c>
      <c r="D2479" s="9" t="s">
        <v>223</v>
      </c>
      <c r="E2479" s="10" t="s">
        <v>224</v>
      </c>
      <c r="F2479" s="10" t="s">
        <v>225</v>
      </c>
      <c r="G2479" s="8">
        <v>5</v>
      </c>
      <c r="H2479" s="11">
        <v>100</v>
      </c>
      <c r="I2479" s="12">
        <v>42663</v>
      </c>
      <c r="J2479" s="35">
        <f t="shared" si="89"/>
        <v>0</v>
      </c>
      <c r="K2479" s="36"/>
      <c r="L2479" s="36"/>
      <c r="M2479" s="36"/>
      <c r="N2479" s="36"/>
      <c r="O2479" s="36"/>
      <c r="P2479" s="36"/>
      <c r="Q2479" s="36"/>
      <c r="R2479" s="36"/>
      <c r="S2479" s="36"/>
      <c r="T2479" s="36"/>
      <c r="U2479" s="36"/>
      <c r="V2479" s="36"/>
      <c r="W2479" s="15">
        <f t="shared" si="87"/>
        <v>0</v>
      </c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15">
        <f t="shared" si="88"/>
        <v>0</v>
      </c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5"/>
      <c r="AX2479" s="16"/>
    </row>
    <row r="2480" spans="2:50" x14ac:dyDescent="0.2">
      <c r="B2480" s="7"/>
      <c r="C2480" s="8">
        <v>13063</v>
      </c>
      <c r="D2480" s="9" t="s">
        <v>488</v>
      </c>
      <c r="E2480" s="10" t="s">
        <v>489</v>
      </c>
      <c r="F2480" s="10" t="s">
        <v>490</v>
      </c>
      <c r="G2480" s="8">
        <v>1</v>
      </c>
      <c r="H2480" s="11">
        <v>400</v>
      </c>
      <c r="I2480" s="12">
        <v>42663</v>
      </c>
      <c r="J2480" s="35">
        <f t="shared" si="89"/>
        <v>0</v>
      </c>
      <c r="K2480" s="36"/>
      <c r="L2480" s="36"/>
      <c r="M2480" s="36"/>
      <c r="N2480" s="36"/>
      <c r="O2480" s="36"/>
      <c r="P2480" s="36"/>
      <c r="Q2480" s="36"/>
      <c r="R2480" s="36"/>
      <c r="S2480" s="36"/>
      <c r="T2480" s="36">
        <v>400</v>
      </c>
      <c r="U2480" s="36"/>
      <c r="V2480" s="36"/>
      <c r="W2480" s="15">
        <f t="shared" si="87"/>
        <v>400</v>
      </c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15">
        <f t="shared" si="88"/>
        <v>0</v>
      </c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14"/>
      <c r="AW2480" s="15"/>
      <c r="AX2480" s="16"/>
    </row>
    <row r="2481" spans="2:50" x14ac:dyDescent="0.2">
      <c r="B2481" s="7"/>
      <c r="C2481" s="8">
        <v>13064</v>
      </c>
      <c r="D2481" s="9" t="s">
        <v>115</v>
      </c>
      <c r="E2481" s="10" t="s">
        <v>116</v>
      </c>
      <c r="F2481" s="10" t="s">
        <v>117</v>
      </c>
      <c r="G2481" s="8">
        <v>1</v>
      </c>
      <c r="H2481" s="11">
        <v>150</v>
      </c>
      <c r="I2481" s="12">
        <v>42666</v>
      </c>
      <c r="J2481" s="35">
        <f t="shared" si="89"/>
        <v>0</v>
      </c>
      <c r="K2481" s="36"/>
      <c r="L2481" s="36"/>
      <c r="M2481" s="36"/>
      <c r="N2481" s="36"/>
      <c r="O2481" s="36"/>
      <c r="P2481" s="36"/>
      <c r="Q2481" s="36"/>
      <c r="R2481" s="36"/>
      <c r="S2481" s="36"/>
      <c r="T2481" s="36">
        <v>150</v>
      </c>
      <c r="U2481" s="36"/>
      <c r="V2481" s="36"/>
      <c r="W2481" s="15">
        <f t="shared" si="87"/>
        <v>150</v>
      </c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15">
        <f t="shared" si="88"/>
        <v>0</v>
      </c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5"/>
      <c r="AX2481" s="16"/>
    </row>
    <row r="2482" spans="2:50" x14ac:dyDescent="0.2">
      <c r="B2482" s="7"/>
      <c r="C2482" s="8">
        <v>13065</v>
      </c>
      <c r="D2482" s="9" t="s">
        <v>858</v>
      </c>
      <c r="E2482" s="10" t="s">
        <v>859</v>
      </c>
      <c r="F2482" s="10" t="s">
        <v>860</v>
      </c>
      <c r="G2482" s="8">
        <v>4</v>
      </c>
      <c r="H2482" s="11">
        <v>200</v>
      </c>
      <c r="I2482" s="12">
        <v>42666</v>
      </c>
      <c r="J2482" s="35">
        <f t="shared" si="89"/>
        <v>0</v>
      </c>
      <c r="K2482" s="36"/>
      <c r="L2482" s="36"/>
      <c r="M2482" s="36"/>
      <c r="N2482" s="36"/>
      <c r="O2482" s="36"/>
      <c r="P2482" s="36"/>
      <c r="Q2482" s="36"/>
      <c r="R2482" s="36"/>
      <c r="S2482" s="36"/>
      <c r="T2482" s="36"/>
      <c r="U2482" s="36"/>
      <c r="V2482" s="36"/>
      <c r="W2482" s="15">
        <f t="shared" si="87"/>
        <v>0</v>
      </c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15">
        <f t="shared" si="88"/>
        <v>0</v>
      </c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14"/>
      <c r="AW2482" s="15"/>
      <c r="AX2482" s="16" t="s">
        <v>2950</v>
      </c>
    </row>
    <row r="2483" spans="2:50" x14ac:dyDescent="0.2">
      <c r="B2483" s="7"/>
      <c r="C2483" s="8">
        <v>13065</v>
      </c>
      <c r="D2483" s="9" t="s">
        <v>858</v>
      </c>
      <c r="E2483" s="10" t="s">
        <v>859</v>
      </c>
      <c r="F2483" s="10" t="s">
        <v>860</v>
      </c>
      <c r="G2483" s="8">
        <v>5</v>
      </c>
      <c r="H2483" s="11">
        <v>50</v>
      </c>
      <c r="I2483" s="12">
        <v>42666</v>
      </c>
      <c r="J2483" s="35">
        <f t="shared" si="89"/>
        <v>0</v>
      </c>
      <c r="K2483" s="36"/>
      <c r="L2483" s="36"/>
      <c r="M2483" s="36"/>
      <c r="N2483" s="36"/>
      <c r="O2483" s="36"/>
      <c r="P2483" s="36"/>
      <c r="Q2483" s="36"/>
      <c r="R2483" s="36"/>
      <c r="S2483" s="36"/>
      <c r="T2483" s="36"/>
      <c r="U2483" s="36"/>
      <c r="V2483" s="36"/>
      <c r="W2483" s="15">
        <f t="shared" si="87"/>
        <v>0</v>
      </c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15">
        <f t="shared" si="88"/>
        <v>0</v>
      </c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5"/>
      <c r="AX2483" s="16"/>
    </row>
    <row r="2484" spans="2:50" x14ac:dyDescent="0.2">
      <c r="B2484" s="7"/>
      <c r="C2484" s="8">
        <v>13066</v>
      </c>
      <c r="D2484" s="9" t="s">
        <v>271</v>
      </c>
      <c r="E2484" s="10" t="s">
        <v>272</v>
      </c>
      <c r="F2484" s="10" t="s">
        <v>273</v>
      </c>
      <c r="G2484" s="8">
        <v>1</v>
      </c>
      <c r="H2484" s="11">
        <v>800</v>
      </c>
      <c r="I2484" s="12">
        <v>42666</v>
      </c>
      <c r="J2484" s="35">
        <f t="shared" ref="J2484:J2556" si="90">IF(G2484=1,SUM(W2484,AJ2484,-H2484),0)</f>
        <v>0</v>
      </c>
      <c r="K2484" s="36"/>
      <c r="L2484" s="36"/>
      <c r="M2484" s="36"/>
      <c r="N2484" s="36"/>
      <c r="O2484" s="36"/>
      <c r="P2484" s="36"/>
      <c r="Q2484" s="36"/>
      <c r="R2484" s="36"/>
      <c r="S2484" s="36"/>
      <c r="T2484" s="36">
        <v>400</v>
      </c>
      <c r="U2484" s="36">
        <v>400</v>
      </c>
      <c r="V2484" s="36"/>
      <c r="W2484" s="15">
        <f t="shared" ref="W2484:W2555" si="91">SUM(K2484:V2484)</f>
        <v>800</v>
      </c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15">
        <f t="shared" ref="AJ2484:AJ2556" si="92">SUM(X2484:AI2484)</f>
        <v>0</v>
      </c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14"/>
      <c r="AV2484" s="14"/>
      <c r="AW2484" s="15"/>
      <c r="AX2484" s="16"/>
    </row>
    <row r="2485" spans="2:50" x14ac:dyDescent="0.2">
      <c r="B2485" s="7"/>
      <c r="C2485" s="8">
        <v>13067</v>
      </c>
      <c r="D2485" s="9" t="s">
        <v>455</v>
      </c>
      <c r="E2485" s="10" t="s">
        <v>456</v>
      </c>
      <c r="F2485" s="10" t="s">
        <v>457</v>
      </c>
      <c r="G2485" s="8">
        <v>1</v>
      </c>
      <c r="H2485" s="11">
        <v>400</v>
      </c>
      <c r="I2485" s="12">
        <v>42666</v>
      </c>
      <c r="J2485" s="35">
        <f t="shared" si="90"/>
        <v>0</v>
      </c>
      <c r="K2485" s="36"/>
      <c r="L2485" s="36"/>
      <c r="M2485" s="36"/>
      <c r="N2485" s="36"/>
      <c r="O2485" s="36"/>
      <c r="P2485" s="36"/>
      <c r="Q2485" s="36"/>
      <c r="R2485" s="36"/>
      <c r="S2485" s="36"/>
      <c r="T2485" s="36">
        <v>400</v>
      </c>
      <c r="U2485" s="36"/>
      <c r="V2485" s="36"/>
      <c r="W2485" s="15">
        <f t="shared" si="91"/>
        <v>400</v>
      </c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15">
        <f t="shared" si="92"/>
        <v>0</v>
      </c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5"/>
      <c r="AX2485" s="16"/>
    </row>
    <row r="2486" spans="2:50" x14ac:dyDescent="0.2">
      <c r="B2486" s="7"/>
      <c r="C2486" s="8">
        <v>13068</v>
      </c>
      <c r="D2486" s="9" t="s">
        <v>97</v>
      </c>
      <c r="E2486" s="10" t="s">
        <v>98</v>
      </c>
      <c r="F2486" s="10" t="s">
        <v>99</v>
      </c>
      <c r="G2486" s="8">
        <v>3</v>
      </c>
      <c r="H2486" s="11">
        <v>200</v>
      </c>
      <c r="I2486" s="12">
        <v>42666</v>
      </c>
      <c r="J2486" s="35">
        <f t="shared" si="90"/>
        <v>0</v>
      </c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15">
        <f t="shared" si="91"/>
        <v>0</v>
      </c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15">
        <f t="shared" si="92"/>
        <v>0</v>
      </c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5"/>
      <c r="AX2486" s="16"/>
    </row>
    <row r="2487" spans="2:50" x14ac:dyDescent="0.2">
      <c r="B2487" s="7"/>
      <c r="C2487" s="8">
        <v>13069</v>
      </c>
      <c r="D2487" s="9" t="s">
        <v>138</v>
      </c>
      <c r="E2487" s="10" t="s">
        <v>139</v>
      </c>
      <c r="F2487" s="10" t="s">
        <v>140</v>
      </c>
      <c r="G2487" s="8">
        <v>1</v>
      </c>
      <c r="H2487" s="11">
        <v>400</v>
      </c>
      <c r="I2487" s="12">
        <v>42666</v>
      </c>
      <c r="J2487" s="35">
        <f t="shared" si="90"/>
        <v>0</v>
      </c>
      <c r="K2487" s="36"/>
      <c r="L2487" s="36"/>
      <c r="M2487" s="36"/>
      <c r="N2487" s="36"/>
      <c r="O2487" s="36"/>
      <c r="P2487" s="36"/>
      <c r="Q2487" s="36"/>
      <c r="R2487" s="36"/>
      <c r="S2487" s="36"/>
      <c r="T2487" s="36">
        <v>400</v>
      </c>
      <c r="U2487" s="36"/>
      <c r="V2487" s="36"/>
      <c r="W2487" s="15">
        <f t="shared" si="91"/>
        <v>400</v>
      </c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15">
        <f t="shared" si="92"/>
        <v>0</v>
      </c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5"/>
      <c r="AX2487" s="16"/>
    </row>
    <row r="2488" spans="2:50" x14ac:dyDescent="0.2">
      <c r="B2488" s="7"/>
      <c r="C2488" s="8">
        <v>13070</v>
      </c>
      <c r="D2488" s="9" t="s">
        <v>404</v>
      </c>
      <c r="E2488" s="10" t="s">
        <v>405</v>
      </c>
      <c r="F2488" s="10" t="s">
        <v>406</v>
      </c>
      <c r="G2488" s="8">
        <v>1</v>
      </c>
      <c r="H2488" s="11">
        <v>400</v>
      </c>
      <c r="I2488" s="12">
        <v>42666</v>
      </c>
      <c r="J2488" s="35">
        <f t="shared" si="90"/>
        <v>0</v>
      </c>
      <c r="K2488" s="36"/>
      <c r="L2488" s="36"/>
      <c r="M2488" s="36"/>
      <c r="N2488" s="36"/>
      <c r="O2488" s="36"/>
      <c r="P2488" s="36"/>
      <c r="Q2488" s="36"/>
      <c r="R2488" s="36"/>
      <c r="S2488" s="36"/>
      <c r="T2488" s="36">
        <v>400</v>
      </c>
      <c r="U2488" s="36"/>
      <c r="V2488" s="36"/>
      <c r="W2488" s="15">
        <f t="shared" si="91"/>
        <v>400</v>
      </c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15">
        <f t="shared" si="92"/>
        <v>0</v>
      </c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5"/>
      <c r="AX2488" s="16"/>
    </row>
    <row r="2489" spans="2:50" x14ac:dyDescent="0.2">
      <c r="B2489" s="7"/>
      <c r="C2489" s="8">
        <v>13071</v>
      </c>
      <c r="D2489" s="9" t="s">
        <v>574</v>
      </c>
      <c r="E2489" s="10" t="s">
        <v>575</v>
      </c>
      <c r="F2489" s="10" t="s">
        <v>576</v>
      </c>
      <c r="G2489" s="8">
        <v>5</v>
      </c>
      <c r="H2489" s="11">
        <v>50</v>
      </c>
      <c r="I2489" s="12">
        <v>42666</v>
      </c>
      <c r="J2489" s="35">
        <f t="shared" si="90"/>
        <v>0</v>
      </c>
      <c r="K2489" s="36"/>
      <c r="L2489" s="36"/>
      <c r="M2489" s="36"/>
      <c r="N2489" s="36"/>
      <c r="O2489" s="36"/>
      <c r="P2489" s="36"/>
      <c r="Q2489" s="36"/>
      <c r="R2489" s="36"/>
      <c r="S2489" s="36"/>
      <c r="T2489" s="36"/>
      <c r="U2489" s="36"/>
      <c r="V2489" s="36"/>
      <c r="W2489" s="15">
        <f t="shared" si="91"/>
        <v>0</v>
      </c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15">
        <f t="shared" si="92"/>
        <v>0</v>
      </c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5"/>
      <c r="AX2489" s="16"/>
    </row>
    <row r="2490" spans="2:50" x14ac:dyDescent="0.2">
      <c r="B2490" s="7"/>
      <c r="C2490" s="8">
        <v>13072</v>
      </c>
      <c r="D2490" s="9" t="s">
        <v>800</v>
      </c>
      <c r="E2490" s="10" t="s">
        <v>801</v>
      </c>
      <c r="F2490" s="10" t="s">
        <v>802</v>
      </c>
      <c r="G2490" s="8">
        <v>1</v>
      </c>
      <c r="H2490" s="11">
        <v>800</v>
      </c>
      <c r="I2490" s="12">
        <v>42666</v>
      </c>
      <c r="J2490" s="35">
        <f t="shared" si="90"/>
        <v>0</v>
      </c>
      <c r="K2490" s="36"/>
      <c r="L2490" s="36"/>
      <c r="M2490" s="36"/>
      <c r="N2490" s="36"/>
      <c r="O2490" s="36"/>
      <c r="P2490" s="36"/>
      <c r="Q2490" s="36">
        <v>400</v>
      </c>
      <c r="R2490" s="36">
        <v>400</v>
      </c>
      <c r="S2490" s="36"/>
      <c r="T2490" s="36"/>
      <c r="U2490" s="36"/>
      <c r="V2490" s="36"/>
      <c r="W2490" s="15">
        <f t="shared" si="91"/>
        <v>800</v>
      </c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15">
        <f t="shared" si="92"/>
        <v>0</v>
      </c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5"/>
      <c r="AX2490" s="16"/>
    </row>
    <row r="2491" spans="2:50" x14ac:dyDescent="0.2">
      <c r="B2491" s="7"/>
      <c r="C2491" s="8">
        <v>13073</v>
      </c>
      <c r="D2491" s="9" t="s">
        <v>514</v>
      </c>
      <c r="E2491" s="10" t="s">
        <v>515</v>
      </c>
      <c r="F2491" s="10" t="s">
        <v>516</v>
      </c>
      <c r="G2491" s="8">
        <v>1</v>
      </c>
      <c r="H2491" s="11">
        <v>800</v>
      </c>
      <c r="I2491" s="12">
        <v>42666</v>
      </c>
      <c r="J2491" s="35">
        <f t="shared" si="90"/>
        <v>0</v>
      </c>
      <c r="K2491" s="36"/>
      <c r="L2491" s="36"/>
      <c r="M2491" s="36"/>
      <c r="N2491" s="36"/>
      <c r="O2491" s="36"/>
      <c r="P2491" s="36"/>
      <c r="Q2491" s="36"/>
      <c r="R2491" s="36"/>
      <c r="S2491" s="36">
        <v>400</v>
      </c>
      <c r="T2491" s="36">
        <v>400</v>
      </c>
      <c r="U2491" s="36"/>
      <c r="V2491" s="36"/>
      <c r="W2491" s="15">
        <f t="shared" si="91"/>
        <v>800</v>
      </c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15">
        <f t="shared" si="92"/>
        <v>0</v>
      </c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5"/>
      <c r="AX2491" s="16"/>
    </row>
    <row r="2492" spans="2:50" x14ac:dyDescent="0.2">
      <c r="B2492" s="7"/>
      <c r="C2492" s="8">
        <v>13074</v>
      </c>
      <c r="D2492" s="9" t="s">
        <v>571</v>
      </c>
      <c r="E2492" s="10" t="s">
        <v>572</v>
      </c>
      <c r="F2492" s="10" t="s">
        <v>573</v>
      </c>
      <c r="G2492" s="8">
        <v>1</v>
      </c>
      <c r="H2492" s="11">
        <v>800</v>
      </c>
      <c r="I2492" s="12">
        <v>42666</v>
      </c>
      <c r="J2492" s="35">
        <f t="shared" si="90"/>
        <v>0</v>
      </c>
      <c r="K2492" s="36"/>
      <c r="L2492" s="36"/>
      <c r="M2492" s="36"/>
      <c r="N2492" s="36"/>
      <c r="O2492" s="36"/>
      <c r="P2492" s="36"/>
      <c r="Q2492" s="36">
        <v>200</v>
      </c>
      <c r="R2492" s="36">
        <v>200</v>
      </c>
      <c r="S2492" s="36">
        <v>200</v>
      </c>
      <c r="T2492" s="36">
        <v>200</v>
      </c>
      <c r="U2492" s="36"/>
      <c r="V2492" s="36"/>
      <c r="W2492" s="15">
        <f t="shared" si="91"/>
        <v>800</v>
      </c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15">
        <f t="shared" si="92"/>
        <v>0</v>
      </c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5"/>
      <c r="AX2492" s="16"/>
    </row>
    <row r="2493" spans="2:50" x14ac:dyDescent="0.2">
      <c r="B2493" s="7"/>
      <c r="C2493" s="8">
        <v>13075</v>
      </c>
      <c r="D2493" s="9" t="s">
        <v>586</v>
      </c>
      <c r="E2493" s="10" t="s">
        <v>587</v>
      </c>
      <c r="F2493" s="10" t="s">
        <v>588</v>
      </c>
      <c r="G2493" s="8">
        <v>1</v>
      </c>
      <c r="H2493" s="11">
        <v>200</v>
      </c>
      <c r="I2493" s="12">
        <v>42666</v>
      </c>
      <c r="J2493" s="35">
        <f t="shared" si="90"/>
        <v>0</v>
      </c>
      <c r="K2493" s="36"/>
      <c r="L2493" s="36"/>
      <c r="M2493" s="36"/>
      <c r="N2493" s="36"/>
      <c r="O2493" s="36"/>
      <c r="P2493" s="36"/>
      <c r="Q2493" s="36"/>
      <c r="R2493" s="36"/>
      <c r="S2493" s="36"/>
      <c r="T2493" s="36">
        <v>200</v>
      </c>
      <c r="U2493" s="36"/>
      <c r="V2493" s="36"/>
      <c r="W2493" s="15">
        <f t="shared" si="91"/>
        <v>200</v>
      </c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15">
        <f t="shared" si="92"/>
        <v>0</v>
      </c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5"/>
      <c r="AX2493" s="16"/>
    </row>
    <row r="2494" spans="2:50" x14ac:dyDescent="0.2">
      <c r="B2494" s="7"/>
      <c r="C2494" s="8">
        <v>13076</v>
      </c>
      <c r="D2494" s="9" t="s">
        <v>523</v>
      </c>
      <c r="E2494" s="10" t="s">
        <v>524</v>
      </c>
      <c r="F2494" s="10" t="s">
        <v>525</v>
      </c>
      <c r="G2494" s="8">
        <v>1</v>
      </c>
      <c r="H2494" s="11">
        <v>400</v>
      </c>
      <c r="I2494" s="12">
        <v>42666</v>
      </c>
      <c r="J2494" s="35">
        <f t="shared" si="90"/>
        <v>0</v>
      </c>
      <c r="K2494" s="36"/>
      <c r="L2494" s="36"/>
      <c r="M2494" s="36"/>
      <c r="N2494" s="36"/>
      <c r="O2494" s="36"/>
      <c r="P2494" s="36"/>
      <c r="Q2494" s="36"/>
      <c r="R2494" s="36"/>
      <c r="S2494" s="36">
        <v>400</v>
      </c>
      <c r="T2494" s="36"/>
      <c r="U2494" s="36"/>
      <c r="V2494" s="36"/>
      <c r="W2494" s="15">
        <f t="shared" si="91"/>
        <v>400</v>
      </c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15">
        <f t="shared" si="92"/>
        <v>0</v>
      </c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5"/>
      <c r="AX2494" s="16"/>
    </row>
    <row r="2495" spans="2:50" x14ac:dyDescent="0.2">
      <c r="B2495" s="7"/>
      <c r="C2495" s="8">
        <v>13077</v>
      </c>
      <c r="D2495" s="9" t="s">
        <v>944</v>
      </c>
      <c r="E2495" s="10" t="s">
        <v>945</v>
      </c>
      <c r="F2495" s="10" t="s">
        <v>946</v>
      </c>
      <c r="G2495" s="8">
        <v>1</v>
      </c>
      <c r="H2495" s="11">
        <v>200</v>
      </c>
      <c r="I2495" s="12">
        <v>42666</v>
      </c>
      <c r="J2495" s="35">
        <f t="shared" si="90"/>
        <v>0</v>
      </c>
      <c r="K2495" s="36"/>
      <c r="L2495" s="36"/>
      <c r="M2495" s="36"/>
      <c r="N2495" s="36"/>
      <c r="O2495" s="36"/>
      <c r="P2495" s="36"/>
      <c r="Q2495" s="36"/>
      <c r="R2495" s="36"/>
      <c r="S2495" s="36">
        <v>100</v>
      </c>
      <c r="T2495" s="36">
        <v>100</v>
      </c>
      <c r="U2495" s="36"/>
      <c r="V2495" s="36"/>
      <c r="W2495" s="15">
        <f t="shared" si="91"/>
        <v>200</v>
      </c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15">
        <f t="shared" si="92"/>
        <v>0</v>
      </c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5"/>
      <c r="AX2495" s="16"/>
    </row>
    <row r="2496" spans="2:50" x14ac:dyDescent="0.2">
      <c r="B2496" s="7"/>
      <c r="C2496" s="8">
        <v>13078</v>
      </c>
      <c r="D2496" s="9" t="s">
        <v>1026</v>
      </c>
      <c r="E2496" s="10" t="s">
        <v>1027</v>
      </c>
      <c r="F2496" s="10" t="s">
        <v>1028</v>
      </c>
      <c r="G2496" s="8">
        <v>1</v>
      </c>
      <c r="H2496" s="11">
        <v>600</v>
      </c>
      <c r="I2496" s="12">
        <v>42666</v>
      </c>
      <c r="J2496" s="35">
        <f t="shared" si="90"/>
        <v>0</v>
      </c>
      <c r="K2496" s="36"/>
      <c r="L2496" s="36"/>
      <c r="M2496" s="36"/>
      <c r="N2496" s="36"/>
      <c r="O2496" s="36"/>
      <c r="P2496" s="36"/>
      <c r="Q2496" s="36"/>
      <c r="R2496" s="36"/>
      <c r="S2496" s="36">
        <v>200</v>
      </c>
      <c r="T2496" s="36">
        <v>200</v>
      </c>
      <c r="U2496" s="36">
        <v>200</v>
      </c>
      <c r="V2496" s="36"/>
      <c r="W2496" s="15">
        <f t="shared" si="91"/>
        <v>600</v>
      </c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15">
        <f t="shared" si="92"/>
        <v>0</v>
      </c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14"/>
      <c r="AW2496" s="15"/>
      <c r="AX2496" s="16"/>
    </row>
    <row r="2497" spans="2:50" x14ac:dyDescent="0.2">
      <c r="B2497" s="7"/>
      <c r="C2497" s="8">
        <v>13079</v>
      </c>
      <c r="D2497" s="9" t="s">
        <v>497</v>
      </c>
      <c r="E2497" s="10" t="s">
        <v>498</v>
      </c>
      <c r="F2497" s="10" t="s">
        <v>499</v>
      </c>
      <c r="G2497" s="8">
        <v>1</v>
      </c>
      <c r="H2497" s="11">
        <v>800</v>
      </c>
      <c r="I2497" s="12">
        <v>42666</v>
      </c>
      <c r="J2497" s="35">
        <f t="shared" si="90"/>
        <v>0</v>
      </c>
      <c r="K2497" s="36"/>
      <c r="L2497" s="36"/>
      <c r="M2497" s="36"/>
      <c r="N2497" s="36"/>
      <c r="O2497" s="36"/>
      <c r="P2497" s="36"/>
      <c r="Q2497" s="36"/>
      <c r="R2497" s="36"/>
      <c r="S2497" s="36"/>
      <c r="T2497" s="36"/>
      <c r="U2497" s="36">
        <v>400</v>
      </c>
      <c r="V2497" s="36">
        <v>400</v>
      </c>
      <c r="W2497" s="15">
        <f t="shared" si="91"/>
        <v>800</v>
      </c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15">
        <f t="shared" si="92"/>
        <v>0</v>
      </c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5"/>
      <c r="AX2497" s="16"/>
    </row>
    <row r="2498" spans="2:50" x14ac:dyDescent="0.2">
      <c r="B2498" s="7"/>
      <c r="C2498" s="8">
        <v>13080</v>
      </c>
      <c r="D2498" s="9" t="s">
        <v>708</v>
      </c>
      <c r="E2498" s="10" t="s">
        <v>709</v>
      </c>
      <c r="F2498" s="10" t="s">
        <v>710</v>
      </c>
      <c r="G2498" s="8">
        <v>1</v>
      </c>
      <c r="H2498" s="11">
        <v>400</v>
      </c>
      <c r="I2498" s="12">
        <v>42666</v>
      </c>
      <c r="J2498" s="35">
        <f t="shared" ref="J2498:J2507" si="93">IF(G2498=1,SUM(W2498,AJ2498,-H2498),0)</f>
        <v>0</v>
      </c>
      <c r="K2498" s="36"/>
      <c r="L2498" s="36"/>
      <c r="M2498" s="36"/>
      <c r="N2498" s="36"/>
      <c r="O2498" s="36"/>
      <c r="P2498" s="36"/>
      <c r="Q2498" s="36"/>
      <c r="R2498" s="36"/>
      <c r="S2498" s="36"/>
      <c r="T2498" s="36">
        <v>400</v>
      </c>
      <c r="U2498" s="36"/>
      <c r="V2498" s="36"/>
      <c r="W2498" s="15">
        <f t="shared" ref="W2498:W2507" si="94">SUM(K2498:V2498)</f>
        <v>400</v>
      </c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15">
        <f t="shared" ref="AJ2498:AJ2507" si="95">SUM(X2498:AI2498)</f>
        <v>0</v>
      </c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5"/>
      <c r="AX2498" s="16"/>
    </row>
    <row r="2499" spans="2:50" x14ac:dyDescent="0.2">
      <c r="B2499" s="7"/>
      <c r="C2499" s="8">
        <v>13081</v>
      </c>
      <c r="D2499" s="9" t="s">
        <v>112</v>
      </c>
      <c r="E2499" s="10" t="s">
        <v>113</v>
      </c>
      <c r="F2499" s="10" t="s">
        <v>114</v>
      </c>
      <c r="G2499" s="8">
        <v>1</v>
      </c>
      <c r="H2499" s="11">
        <v>250</v>
      </c>
      <c r="I2499" s="12">
        <v>42666</v>
      </c>
      <c r="J2499" s="35">
        <f t="shared" si="93"/>
        <v>0</v>
      </c>
      <c r="K2499" s="36"/>
      <c r="L2499" s="36"/>
      <c r="M2499" s="36"/>
      <c r="N2499" s="36"/>
      <c r="O2499" s="36"/>
      <c r="P2499" s="36"/>
      <c r="Q2499" s="36"/>
      <c r="R2499" s="36"/>
      <c r="S2499" s="36"/>
      <c r="T2499" s="36">
        <v>250</v>
      </c>
      <c r="U2499" s="36"/>
      <c r="V2499" s="36"/>
      <c r="W2499" s="15">
        <f t="shared" si="94"/>
        <v>250</v>
      </c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15">
        <f t="shared" si="95"/>
        <v>0</v>
      </c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14"/>
      <c r="AW2499" s="15"/>
      <c r="AX2499" s="16"/>
    </row>
    <row r="2500" spans="2:50" x14ac:dyDescent="0.2">
      <c r="B2500" s="7"/>
      <c r="C2500" s="8">
        <v>13082</v>
      </c>
      <c r="D2500" s="9" t="s">
        <v>109</v>
      </c>
      <c r="E2500" s="10" t="s">
        <v>110</v>
      </c>
      <c r="F2500" s="10" t="s">
        <v>111</v>
      </c>
      <c r="G2500" s="8">
        <v>5</v>
      </c>
      <c r="H2500" s="11">
        <v>50</v>
      </c>
      <c r="I2500" s="12">
        <v>42666</v>
      </c>
      <c r="J2500" s="35">
        <f t="shared" si="93"/>
        <v>0</v>
      </c>
      <c r="K2500" s="36"/>
      <c r="L2500" s="36"/>
      <c r="M2500" s="36"/>
      <c r="N2500" s="36"/>
      <c r="O2500" s="36"/>
      <c r="P2500" s="36"/>
      <c r="Q2500" s="36"/>
      <c r="R2500" s="36"/>
      <c r="S2500" s="36"/>
      <c r="T2500" s="36"/>
      <c r="U2500" s="36"/>
      <c r="V2500" s="36"/>
      <c r="W2500" s="15">
        <f t="shared" si="94"/>
        <v>0</v>
      </c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15">
        <f t="shared" si="95"/>
        <v>0</v>
      </c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14"/>
      <c r="AW2500" s="15"/>
      <c r="AX2500" s="16"/>
    </row>
    <row r="2501" spans="2:50" x14ac:dyDescent="0.2">
      <c r="B2501" s="7"/>
      <c r="C2501" s="8">
        <v>13083</v>
      </c>
      <c r="D2501" s="9" t="s">
        <v>705</v>
      </c>
      <c r="E2501" s="10" t="s">
        <v>706</v>
      </c>
      <c r="F2501" s="10" t="s">
        <v>707</v>
      </c>
      <c r="G2501" s="8">
        <v>1</v>
      </c>
      <c r="H2501" s="11">
        <v>300</v>
      </c>
      <c r="I2501" s="12">
        <v>42666</v>
      </c>
      <c r="J2501" s="35">
        <f t="shared" si="93"/>
        <v>0</v>
      </c>
      <c r="K2501" s="36"/>
      <c r="L2501" s="36"/>
      <c r="M2501" s="36"/>
      <c r="N2501" s="36"/>
      <c r="O2501" s="36"/>
      <c r="P2501" s="36"/>
      <c r="Q2501" s="36"/>
      <c r="R2501" s="36"/>
      <c r="S2501" s="36"/>
      <c r="T2501" s="36">
        <v>300</v>
      </c>
      <c r="U2501" s="36"/>
      <c r="V2501" s="36"/>
      <c r="W2501" s="15">
        <f t="shared" si="94"/>
        <v>300</v>
      </c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15">
        <f t="shared" si="95"/>
        <v>0</v>
      </c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14"/>
      <c r="AW2501" s="15"/>
      <c r="AX2501" s="16"/>
    </row>
    <row r="2502" spans="2:50" x14ac:dyDescent="0.2">
      <c r="B2502" s="7"/>
      <c r="C2502" s="8">
        <v>13084</v>
      </c>
      <c r="D2502" s="9" t="s">
        <v>1167</v>
      </c>
      <c r="E2502" s="10" t="s">
        <v>1168</v>
      </c>
      <c r="F2502" s="10" t="s">
        <v>1169</v>
      </c>
      <c r="G2502" s="8">
        <v>1</v>
      </c>
      <c r="H2502" s="11">
        <v>1000</v>
      </c>
      <c r="I2502" s="12">
        <v>42666</v>
      </c>
      <c r="J2502" s="35">
        <f t="shared" si="93"/>
        <v>0</v>
      </c>
      <c r="K2502" s="36"/>
      <c r="L2502" s="36"/>
      <c r="M2502" s="36"/>
      <c r="N2502" s="36"/>
      <c r="O2502" s="36"/>
      <c r="P2502" s="36"/>
      <c r="Q2502" s="36"/>
      <c r="R2502" s="36">
        <v>200</v>
      </c>
      <c r="S2502" s="36">
        <v>400</v>
      </c>
      <c r="T2502" s="36">
        <v>400</v>
      </c>
      <c r="U2502" s="36"/>
      <c r="V2502" s="36"/>
      <c r="W2502" s="15">
        <f t="shared" si="94"/>
        <v>1000</v>
      </c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15">
        <f t="shared" si="95"/>
        <v>0</v>
      </c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5"/>
      <c r="AX2502" s="16"/>
    </row>
    <row r="2503" spans="2:50" x14ac:dyDescent="0.2">
      <c r="B2503" s="7"/>
      <c r="C2503" s="8">
        <v>13085</v>
      </c>
      <c r="D2503" s="9" t="s">
        <v>731</v>
      </c>
      <c r="E2503" s="10" t="s">
        <v>732</v>
      </c>
      <c r="F2503" s="10" t="s">
        <v>733</v>
      </c>
      <c r="G2503" s="8">
        <v>1</v>
      </c>
      <c r="H2503" s="11">
        <v>600</v>
      </c>
      <c r="I2503" s="12">
        <v>42666</v>
      </c>
      <c r="J2503" s="35">
        <f t="shared" si="93"/>
        <v>0</v>
      </c>
      <c r="K2503" s="36"/>
      <c r="L2503" s="36"/>
      <c r="M2503" s="36"/>
      <c r="N2503" s="36"/>
      <c r="O2503" s="36"/>
      <c r="P2503" s="36"/>
      <c r="Q2503" s="36"/>
      <c r="R2503" s="36">
        <v>300</v>
      </c>
      <c r="S2503" s="36">
        <v>300</v>
      </c>
      <c r="T2503" s="36"/>
      <c r="U2503" s="36"/>
      <c r="V2503" s="36"/>
      <c r="W2503" s="15">
        <f t="shared" si="94"/>
        <v>600</v>
      </c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15">
        <f t="shared" si="95"/>
        <v>0</v>
      </c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14"/>
      <c r="AW2503" s="15"/>
      <c r="AX2503" s="16"/>
    </row>
    <row r="2504" spans="2:50" x14ac:dyDescent="0.2">
      <c r="B2504" s="7"/>
      <c r="C2504" s="8">
        <v>13086</v>
      </c>
      <c r="D2504" s="9" t="s">
        <v>864</v>
      </c>
      <c r="E2504" s="10" t="s">
        <v>865</v>
      </c>
      <c r="F2504" s="10" t="s">
        <v>866</v>
      </c>
      <c r="G2504" s="8">
        <v>1</v>
      </c>
      <c r="H2504" s="11">
        <v>600</v>
      </c>
      <c r="I2504" s="12">
        <v>42666</v>
      </c>
      <c r="J2504" s="35">
        <f t="shared" si="93"/>
        <v>0</v>
      </c>
      <c r="K2504" s="36"/>
      <c r="L2504" s="36"/>
      <c r="M2504" s="36"/>
      <c r="N2504" s="36"/>
      <c r="O2504" s="36"/>
      <c r="P2504" s="36"/>
      <c r="Q2504" s="36"/>
      <c r="R2504" s="36">
        <v>300</v>
      </c>
      <c r="S2504" s="36">
        <v>300</v>
      </c>
      <c r="T2504" s="36"/>
      <c r="U2504" s="36"/>
      <c r="V2504" s="36"/>
      <c r="W2504" s="15">
        <f t="shared" si="94"/>
        <v>600</v>
      </c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15">
        <f t="shared" si="95"/>
        <v>0</v>
      </c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14"/>
      <c r="AW2504" s="15"/>
      <c r="AX2504" s="16"/>
    </row>
    <row r="2505" spans="2:50" x14ac:dyDescent="0.2">
      <c r="B2505" s="7"/>
      <c r="C2505" s="8">
        <v>13087</v>
      </c>
      <c r="D2505" s="9" t="s">
        <v>583</v>
      </c>
      <c r="E2505" s="10" t="s">
        <v>584</v>
      </c>
      <c r="F2505" s="10" t="s">
        <v>585</v>
      </c>
      <c r="G2505" s="8">
        <v>1</v>
      </c>
      <c r="H2505" s="11">
        <v>200</v>
      </c>
      <c r="I2505" s="12">
        <v>42666</v>
      </c>
      <c r="J2505" s="35">
        <f t="shared" si="93"/>
        <v>0</v>
      </c>
      <c r="K2505" s="36"/>
      <c r="L2505" s="36"/>
      <c r="M2505" s="36"/>
      <c r="N2505" s="36"/>
      <c r="O2505" s="36"/>
      <c r="P2505" s="36"/>
      <c r="Q2505" s="36"/>
      <c r="R2505" s="36"/>
      <c r="S2505" s="36"/>
      <c r="T2505" s="36">
        <v>200</v>
      </c>
      <c r="U2505" s="36"/>
      <c r="V2505" s="36"/>
      <c r="W2505" s="15">
        <f t="shared" si="94"/>
        <v>200</v>
      </c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15">
        <f t="shared" si="95"/>
        <v>0</v>
      </c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5"/>
      <c r="AX2505" s="16"/>
    </row>
    <row r="2506" spans="2:50" x14ac:dyDescent="0.2">
      <c r="B2506" s="7"/>
      <c r="C2506" s="8">
        <v>13088</v>
      </c>
      <c r="D2506" s="9" t="s">
        <v>310</v>
      </c>
      <c r="E2506" s="10" t="s">
        <v>311</v>
      </c>
      <c r="F2506" s="10" t="s">
        <v>312</v>
      </c>
      <c r="G2506" s="8">
        <v>1</v>
      </c>
      <c r="H2506" s="11">
        <v>400</v>
      </c>
      <c r="I2506" s="12">
        <v>42666</v>
      </c>
      <c r="J2506" s="35">
        <f t="shared" si="93"/>
        <v>0</v>
      </c>
      <c r="K2506" s="36"/>
      <c r="L2506" s="36"/>
      <c r="M2506" s="36"/>
      <c r="N2506" s="36"/>
      <c r="O2506" s="36"/>
      <c r="P2506" s="36"/>
      <c r="Q2506" s="36"/>
      <c r="R2506" s="36"/>
      <c r="S2506" s="36"/>
      <c r="T2506" s="36">
        <v>400</v>
      </c>
      <c r="U2506" s="36"/>
      <c r="V2506" s="36"/>
      <c r="W2506" s="15">
        <f t="shared" si="94"/>
        <v>400</v>
      </c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15">
        <f t="shared" si="95"/>
        <v>0</v>
      </c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14"/>
      <c r="AW2506" s="15"/>
      <c r="AX2506" s="16"/>
    </row>
    <row r="2507" spans="2:50" x14ac:dyDescent="0.2">
      <c r="B2507" s="7"/>
      <c r="C2507" s="8">
        <v>13088</v>
      </c>
      <c r="D2507" s="9" t="s">
        <v>310</v>
      </c>
      <c r="E2507" s="10" t="s">
        <v>311</v>
      </c>
      <c r="F2507" s="10" t="s">
        <v>312</v>
      </c>
      <c r="G2507" s="8">
        <v>5</v>
      </c>
      <c r="H2507" s="11">
        <v>50</v>
      </c>
      <c r="I2507" s="12">
        <v>42666</v>
      </c>
      <c r="J2507" s="35">
        <f t="shared" si="93"/>
        <v>0</v>
      </c>
      <c r="K2507" s="36"/>
      <c r="L2507" s="36"/>
      <c r="M2507" s="36"/>
      <c r="N2507" s="36"/>
      <c r="O2507" s="36"/>
      <c r="P2507" s="36"/>
      <c r="Q2507" s="36"/>
      <c r="R2507" s="36"/>
      <c r="S2507" s="36"/>
      <c r="T2507" s="36"/>
      <c r="U2507" s="36"/>
      <c r="V2507" s="36"/>
      <c r="W2507" s="15">
        <f t="shared" si="94"/>
        <v>0</v>
      </c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15">
        <f t="shared" si="95"/>
        <v>0</v>
      </c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14"/>
      <c r="AW2507" s="15"/>
      <c r="AX2507" s="16"/>
    </row>
    <row r="2508" spans="2:50" x14ac:dyDescent="0.2">
      <c r="B2508" s="7"/>
      <c r="C2508" s="8">
        <v>13089</v>
      </c>
      <c r="D2508" s="9" t="s">
        <v>840</v>
      </c>
      <c r="E2508" s="10" t="s">
        <v>841</v>
      </c>
      <c r="F2508" s="10" t="s">
        <v>842</v>
      </c>
      <c r="G2508" s="8">
        <v>5</v>
      </c>
      <c r="H2508" s="11">
        <v>50</v>
      </c>
      <c r="I2508" s="12">
        <v>42666</v>
      </c>
      <c r="J2508" s="35">
        <f t="shared" si="90"/>
        <v>0</v>
      </c>
      <c r="K2508" s="36"/>
      <c r="L2508" s="36"/>
      <c r="M2508" s="36"/>
      <c r="N2508" s="36"/>
      <c r="O2508" s="36"/>
      <c r="P2508" s="36"/>
      <c r="Q2508" s="36"/>
      <c r="R2508" s="36"/>
      <c r="S2508" s="36"/>
      <c r="T2508" s="36"/>
      <c r="U2508" s="36"/>
      <c r="V2508" s="36"/>
      <c r="W2508" s="15">
        <f t="shared" si="91"/>
        <v>0</v>
      </c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15">
        <f t="shared" si="92"/>
        <v>0</v>
      </c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5"/>
      <c r="AX2508" s="316">
        <f>SUM(H2476:H2508)</f>
        <v>12650</v>
      </c>
    </row>
    <row r="2509" spans="2:50" x14ac:dyDescent="0.2">
      <c r="B2509" s="7"/>
      <c r="C2509" s="8">
        <v>13090</v>
      </c>
      <c r="D2509" s="9" t="s">
        <v>1151</v>
      </c>
      <c r="E2509" s="10" t="s">
        <v>1152</v>
      </c>
      <c r="F2509" s="10" t="s">
        <v>1153</v>
      </c>
      <c r="G2509" s="8">
        <v>1</v>
      </c>
      <c r="H2509" s="315">
        <v>400</v>
      </c>
      <c r="I2509" s="12">
        <v>42667</v>
      </c>
      <c r="J2509" s="35">
        <f t="shared" si="90"/>
        <v>0</v>
      </c>
      <c r="K2509" s="36"/>
      <c r="L2509" s="36"/>
      <c r="M2509" s="36"/>
      <c r="N2509" s="36"/>
      <c r="O2509" s="36"/>
      <c r="P2509" s="36"/>
      <c r="Q2509" s="36"/>
      <c r="R2509" s="36"/>
      <c r="S2509" s="36">
        <v>100</v>
      </c>
      <c r="T2509" s="36">
        <v>100</v>
      </c>
      <c r="U2509" s="36">
        <v>100</v>
      </c>
      <c r="V2509" s="36">
        <v>100</v>
      </c>
      <c r="W2509" s="15">
        <f t="shared" si="91"/>
        <v>400</v>
      </c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15">
        <f t="shared" si="92"/>
        <v>0</v>
      </c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14"/>
      <c r="AV2509" s="14"/>
      <c r="AW2509" s="15"/>
      <c r="AX2509" s="16"/>
    </row>
    <row r="2510" spans="2:50" x14ac:dyDescent="0.2">
      <c r="B2510" s="7"/>
      <c r="C2510" s="8">
        <v>13091</v>
      </c>
      <c r="D2510" s="9" t="s">
        <v>87</v>
      </c>
      <c r="E2510" s="10" t="s">
        <v>88</v>
      </c>
      <c r="F2510" s="10" t="s">
        <v>89</v>
      </c>
      <c r="G2510" s="8">
        <v>1</v>
      </c>
      <c r="H2510" s="11">
        <v>800</v>
      </c>
      <c r="I2510" s="12">
        <v>42673</v>
      </c>
      <c r="J2510" s="35">
        <f t="shared" si="90"/>
        <v>0</v>
      </c>
      <c r="K2510" s="36"/>
      <c r="L2510" s="36"/>
      <c r="M2510" s="36"/>
      <c r="N2510" s="36"/>
      <c r="O2510" s="36"/>
      <c r="P2510" s="36"/>
      <c r="Q2510" s="36"/>
      <c r="R2510" s="36"/>
      <c r="S2510" s="36"/>
      <c r="T2510" s="36">
        <v>400</v>
      </c>
      <c r="U2510" s="36">
        <v>400</v>
      </c>
      <c r="V2510" s="36"/>
      <c r="W2510" s="15">
        <f t="shared" si="91"/>
        <v>800</v>
      </c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15">
        <f t="shared" si="92"/>
        <v>0</v>
      </c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14"/>
      <c r="AW2510" s="15"/>
      <c r="AX2510" s="16"/>
    </row>
    <row r="2511" spans="2:50" x14ac:dyDescent="0.2">
      <c r="B2511" s="7"/>
      <c r="C2511" s="8">
        <v>13091</v>
      </c>
      <c r="D2511" s="9" t="s">
        <v>87</v>
      </c>
      <c r="E2511" s="10" t="s">
        <v>88</v>
      </c>
      <c r="F2511" s="10" t="s">
        <v>89</v>
      </c>
      <c r="G2511" s="8">
        <v>5</v>
      </c>
      <c r="H2511" s="11">
        <v>50</v>
      </c>
      <c r="I2511" s="12">
        <v>42673</v>
      </c>
      <c r="J2511" s="35">
        <f t="shared" si="90"/>
        <v>0</v>
      </c>
      <c r="K2511" s="36"/>
      <c r="L2511" s="36"/>
      <c r="M2511" s="36"/>
      <c r="N2511" s="36"/>
      <c r="O2511" s="36"/>
      <c r="P2511" s="36"/>
      <c r="Q2511" s="36"/>
      <c r="R2511" s="36"/>
      <c r="S2511" s="36"/>
      <c r="T2511" s="36"/>
      <c r="U2511" s="36"/>
      <c r="V2511" s="36"/>
      <c r="W2511" s="15">
        <f t="shared" si="91"/>
        <v>0</v>
      </c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15">
        <f t="shared" si="92"/>
        <v>0</v>
      </c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14"/>
      <c r="AW2511" s="15"/>
      <c r="AX2511" s="16"/>
    </row>
    <row r="2512" spans="2:50" x14ac:dyDescent="0.2">
      <c r="B2512" s="7"/>
      <c r="C2512" s="8">
        <v>13092</v>
      </c>
      <c r="D2512" s="9" t="s">
        <v>109</v>
      </c>
      <c r="E2512" s="10" t="s">
        <v>110</v>
      </c>
      <c r="F2512" s="10" t="s">
        <v>111</v>
      </c>
      <c r="G2512" s="8">
        <v>3</v>
      </c>
      <c r="H2512" s="11">
        <v>200</v>
      </c>
      <c r="I2512" s="12">
        <v>42673</v>
      </c>
      <c r="J2512" s="35">
        <f t="shared" si="90"/>
        <v>0</v>
      </c>
      <c r="K2512" s="36"/>
      <c r="L2512" s="36"/>
      <c r="M2512" s="36"/>
      <c r="N2512" s="36"/>
      <c r="O2512" s="36"/>
      <c r="P2512" s="36"/>
      <c r="Q2512" s="36"/>
      <c r="R2512" s="36"/>
      <c r="S2512" s="36"/>
      <c r="T2512" s="36"/>
      <c r="U2512" s="36"/>
      <c r="V2512" s="36"/>
      <c r="W2512" s="15">
        <f t="shared" si="91"/>
        <v>0</v>
      </c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15">
        <f t="shared" si="92"/>
        <v>0</v>
      </c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5"/>
      <c r="AX2512" s="16"/>
    </row>
    <row r="2513" spans="2:50" x14ac:dyDescent="0.2">
      <c r="B2513" s="7"/>
      <c r="C2513" s="8">
        <v>13093</v>
      </c>
      <c r="D2513" s="9" t="s">
        <v>295</v>
      </c>
      <c r="E2513" s="10" t="s">
        <v>296</v>
      </c>
      <c r="F2513" s="10" t="s">
        <v>297</v>
      </c>
      <c r="G2513" s="8">
        <v>1</v>
      </c>
      <c r="H2513" s="11">
        <v>300</v>
      </c>
      <c r="I2513" s="12">
        <v>42673</v>
      </c>
      <c r="J2513" s="35">
        <f t="shared" si="90"/>
        <v>0</v>
      </c>
      <c r="K2513" s="36"/>
      <c r="L2513" s="36"/>
      <c r="M2513" s="36"/>
      <c r="N2513" s="36"/>
      <c r="O2513" s="36"/>
      <c r="P2513" s="36"/>
      <c r="Q2513" s="36"/>
      <c r="R2513" s="36"/>
      <c r="S2513" s="36"/>
      <c r="T2513" s="36">
        <v>300</v>
      </c>
      <c r="U2513" s="36"/>
      <c r="V2513" s="36"/>
      <c r="W2513" s="15">
        <f t="shared" si="91"/>
        <v>300</v>
      </c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15">
        <f t="shared" si="92"/>
        <v>0</v>
      </c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14"/>
      <c r="AW2513" s="15"/>
      <c r="AX2513" s="16"/>
    </row>
    <row r="2514" spans="2:50" x14ac:dyDescent="0.2">
      <c r="B2514" s="7"/>
      <c r="C2514" s="8">
        <v>13093</v>
      </c>
      <c r="D2514" s="9" t="s">
        <v>295</v>
      </c>
      <c r="E2514" s="10" t="s">
        <v>296</v>
      </c>
      <c r="F2514" s="10" t="s">
        <v>297</v>
      </c>
      <c r="G2514" s="8">
        <v>3</v>
      </c>
      <c r="H2514" s="11">
        <v>200</v>
      </c>
      <c r="I2514" s="12">
        <v>42673</v>
      </c>
      <c r="J2514" s="35">
        <f t="shared" si="90"/>
        <v>0</v>
      </c>
      <c r="K2514" s="36"/>
      <c r="L2514" s="36"/>
      <c r="M2514" s="36"/>
      <c r="N2514" s="36"/>
      <c r="O2514" s="36"/>
      <c r="P2514" s="36"/>
      <c r="Q2514" s="36"/>
      <c r="R2514" s="36"/>
      <c r="S2514" s="36"/>
      <c r="T2514" s="36"/>
      <c r="U2514" s="36"/>
      <c r="V2514" s="36"/>
      <c r="W2514" s="15">
        <f t="shared" si="91"/>
        <v>0</v>
      </c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15">
        <f t="shared" si="92"/>
        <v>0</v>
      </c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5"/>
      <c r="AX2514" s="16"/>
    </row>
    <row r="2515" spans="2:50" x14ac:dyDescent="0.2">
      <c r="B2515" s="7"/>
      <c r="C2515" s="8">
        <v>13094</v>
      </c>
      <c r="D2515" s="9" t="s">
        <v>461</v>
      </c>
      <c r="E2515" s="10" t="s">
        <v>462</v>
      </c>
      <c r="F2515" s="10" t="s">
        <v>463</v>
      </c>
      <c r="G2515" s="8">
        <v>1</v>
      </c>
      <c r="H2515" s="11">
        <v>1200</v>
      </c>
      <c r="I2515" s="12">
        <v>42673</v>
      </c>
      <c r="J2515" s="35">
        <f t="shared" si="90"/>
        <v>0</v>
      </c>
      <c r="K2515" s="36"/>
      <c r="L2515" s="36"/>
      <c r="M2515" s="36"/>
      <c r="N2515" s="36"/>
      <c r="O2515" s="36"/>
      <c r="P2515" s="36"/>
      <c r="Q2515" s="36">
        <v>400</v>
      </c>
      <c r="R2515" s="36">
        <v>400</v>
      </c>
      <c r="S2515" s="36">
        <v>400</v>
      </c>
      <c r="T2515" s="36"/>
      <c r="U2515" s="36"/>
      <c r="V2515" s="36"/>
      <c r="W2515" s="15">
        <f t="shared" si="91"/>
        <v>1200</v>
      </c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15">
        <f t="shared" si="92"/>
        <v>0</v>
      </c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14"/>
      <c r="AW2515" s="15"/>
      <c r="AX2515" s="16"/>
    </row>
    <row r="2516" spans="2:50" x14ac:dyDescent="0.2">
      <c r="B2516" s="7"/>
      <c r="C2516" s="8">
        <v>13095</v>
      </c>
      <c r="D2516" s="9" t="s">
        <v>458</v>
      </c>
      <c r="E2516" s="10" t="s">
        <v>459</v>
      </c>
      <c r="F2516" s="10" t="s">
        <v>460</v>
      </c>
      <c r="G2516" s="8">
        <v>4</v>
      </c>
      <c r="H2516" s="11">
        <v>200</v>
      </c>
      <c r="I2516" s="12">
        <v>42673</v>
      </c>
      <c r="J2516" s="35">
        <f t="shared" si="90"/>
        <v>0</v>
      </c>
      <c r="K2516" s="36"/>
      <c r="L2516" s="36"/>
      <c r="M2516" s="36"/>
      <c r="N2516" s="36"/>
      <c r="O2516" s="36"/>
      <c r="P2516" s="36"/>
      <c r="Q2516" s="36"/>
      <c r="R2516" s="36"/>
      <c r="S2516" s="36"/>
      <c r="T2516" s="36"/>
      <c r="U2516" s="36"/>
      <c r="V2516" s="36"/>
      <c r="W2516" s="15">
        <f t="shared" si="91"/>
        <v>0</v>
      </c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15">
        <f t="shared" si="92"/>
        <v>0</v>
      </c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5"/>
      <c r="AX2516" s="16"/>
    </row>
    <row r="2517" spans="2:50" x14ac:dyDescent="0.2">
      <c r="B2517" s="7"/>
      <c r="C2517" s="8">
        <v>13096</v>
      </c>
      <c r="D2517" s="9" t="s">
        <v>94</v>
      </c>
      <c r="E2517" s="10" t="s">
        <v>95</v>
      </c>
      <c r="F2517" s="10" t="s">
        <v>96</v>
      </c>
      <c r="G2517" s="8">
        <v>5</v>
      </c>
      <c r="H2517" s="11">
        <v>50</v>
      </c>
      <c r="I2517" s="12">
        <v>42673</v>
      </c>
      <c r="J2517" s="35">
        <f t="shared" si="90"/>
        <v>0</v>
      </c>
      <c r="K2517" s="36"/>
      <c r="L2517" s="36"/>
      <c r="M2517" s="36"/>
      <c r="N2517" s="36"/>
      <c r="O2517" s="36"/>
      <c r="P2517" s="36"/>
      <c r="Q2517" s="36"/>
      <c r="R2517" s="36"/>
      <c r="S2517" s="36"/>
      <c r="T2517" s="36"/>
      <c r="U2517" s="36"/>
      <c r="V2517" s="36"/>
      <c r="W2517" s="15">
        <f t="shared" si="91"/>
        <v>0</v>
      </c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15">
        <f t="shared" si="92"/>
        <v>0</v>
      </c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14"/>
      <c r="AV2517" s="14"/>
      <c r="AW2517" s="15"/>
      <c r="AX2517" s="16"/>
    </row>
    <row r="2518" spans="2:50" x14ac:dyDescent="0.2">
      <c r="B2518" s="7"/>
      <c r="C2518" s="8">
        <v>13097</v>
      </c>
      <c r="D2518" s="9" t="s">
        <v>538</v>
      </c>
      <c r="E2518" s="10" t="s">
        <v>539</v>
      </c>
      <c r="F2518" s="10" t="s">
        <v>540</v>
      </c>
      <c r="G2518" s="8">
        <v>1</v>
      </c>
      <c r="H2518" s="11">
        <v>400</v>
      </c>
      <c r="I2518" s="12">
        <v>42673</v>
      </c>
      <c r="J2518" s="35">
        <f t="shared" si="90"/>
        <v>0</v>
      </c>
      <c r="K2518" s="36"/>
      <c r="L2518" s="36"/>
      <c r="M2518" s="36"/>
      <c r="N2518" s="36"/>
      <c r="O2518" s="36"/>
      <c r="P2518" s="36"/>
      <c r="Q2518" s="36"/>
      <c r="R2518" s="36"/>
      <c r="S2518" s="36"/>
      <c r="T2518" s="36">
        <v>400</v>
      </c>
      <c r="U2518" s="36"/>
      <c r="V2518" s="36"/>
      <c r="W2518" s="15">
        <f t="shared" si="91"/>
        <v>400</v>
      </c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15">
        <f t="shared" si="92"/>
        <v>0</v>
      </c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/>
      <c r="AW2518" s="15"/>
      <c r="AX2518" s="16"/>
    </row>
    <row r="2519" spans="2:50" x14ac:dyDescent="0.2">
      <c r="B2519" s="7"/>
      <c r="C2519" s="8">
        <v>13098</v>
      </c>
      <c r="D2519" s="9" t="s">
        <v>295</v>
      </c>
      <c r="E2519" s="10" t="s">
        <v>296</v>
      </c>
      <c r="F2519" s="10" t="s">
        <v>297</v>
      </c>
      <c r="G2519" s="8">
        <v>4</v>
      </c>
      <c r="H2519" s="11">
        <v>200</v>
      </c>
      <c r="I2519" s="12">
        <v>42673</v>
      </c>
      <c r="J2519" s="35">
        <f t="shared" si="90"/>
        <v>0</v>
      </c>
      <c r="K2519" s="36"/>
      <c r="L2519" s="36"/>
      <c r="M2519" s="36"/>
      <c r="N2519" s="36"/>
      <c r="O2519" s="36"/>
      <c r="P2519" s="36"/>
      <c r="Q2519" s="36"/>
      <c r="R2519" s="36"/>
      <c r="S2519" s="36"/>
      <c r="T2519" s="36"/>
      <c r="U2519" s="36"/>
      <c r="V2519" s="36"/>
      <c r="W2519" s="15">
        <f t="shared" si="91"/>
        <v>0</v>
      </c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15">
        <f t="shared" si="92"/>
        <v>0</v>
      </c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14"/>
      <c r="AW2519" s="15"/>
      <c r="AX2519" s="16"/>
    </row>
    <row r="2520" spans="2:50" x14ac:dyDescent="0.2">
      <c r="B2520" s="7"/>
      <c r="C2520" s="8">
        <v>13098</v>
      </c>
      <c r="D2520" s="9" t="s">
        <v>295</v>
      </c>
      <c r="E2520" s="10" t="s">
        <v>296</v>
      </c>
      <c r="F2520" s="10" t="s">
        <v>297</v>
      </c>
      <c r="G2520" s="8">
        <v>5</v>
      </c>
      <c r="H2520" s="11">
        <v>50</v>
      </c>
      <c r="I2520" s="12">
        <v>42673</v>
      </c>
      <c r="J2520" s="35">
        <f t="shared" si="90"/>
        <v>0</v>
      </c>
      <c r="K2520" s="36"/>
      <c r="L2520" s="36"/>
      <c r="M2520" s="36"/>
      <c r="N2520" s="36"/>
      <c r="O2520" s="36"/>
      <c r="P2520" s="36"/>
      <c r="Q2520" s="36"/>
      <c r="R2520" s="36"/>
      <c r="S2520" s="36"/>
      <c r="T2520" s="36"/>
      <c r="U2520" s="36"/>
      <c r="V2520" s="36"/>
      <c r="W2520" s="15">
        <f t="shared" si="91"/>
        <v>0</v>
      </c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15">
        <f t="shared" si="92"/>
        <v>0</v>
      </c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14"/>
      <c r="AV2520" s="14"/>
      <c r="AW2520" s="15"/>
      <c r="AX2520" s="16"/>
    </row>
    <row r="2521" spans="2:50" x14ac:dyDescent="0.2">
      <c r="B2521" s="7"/>
      <c r="C2521" s="8">
        <v>13099</v>
      </c>
      <c r="D2521" s="9" t="s">
        <v>1192</v>
      </c>
      <c r="E2521" s="10" t="s">
        <v>1193</v>
      </c>
      <c r="F2521" s="10" t="s">
        <v>1194</v>
      </c>
      <c r="G2521" s="8">
        <v>1</v>
      </c>
      <c r="H2521" s="11">
        <v>400</v>
      </c>
      <c r="I2521" s="12">
        <v>42673</v>
      </c>
      <c r="J2521" s="35">
        <f t="shared" si="90"/>
        <v>0</v>
      </c>
      <c r="K2521" s="36"/>
      <c r="L2521" s="36"/>
      <c r="M2521" s="36"/>
      <c r="N2521" s="36"/>
      <c r="O2521" s="36"/>
      <c r="P2521" s="36"/>
      <c r="Q2521" s="36"/>
      <c r="R2521" s="36"/>
      <c r="S2521" s="36"/>
      <c r="T2521" s="36">
        <v>400</v>
      </c>
      <c r="U2521" s="36"/>
      <c r="V2521" s="36"/>
      <c r="W2521" s="15">
        <f t="shared" si="91"/>
        <v>400</v>
      </c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15">
        <f t="shared" si="92"/>
        <v>0</v>
      </c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5"/>
      <c r="AX2521" s="16"/>
    </row>
    <row r="2522" spans="2:50" x14ac:dyDescent="0.2">
      <c r="B2522" s="7"/>
      <c r="C2522" s="8">
        <v>13100</v>
      </c>
      <c r="D2522" s="9" t="s">
        <v>286</v>
      </c>
      <c r="E2522" s="10" t="s">
        <v>287</v>
      </c>
      <c r="F2522" s="10" t="s">
        <v>288</v>
      </c>
      <c r="G2522" s="8">
        <v>1</v>
      </c>
      <c r="H2522" s="11">
        <v>800</v>
      </c>
      <c r="I2522" s="12">
        <v>42673</v>
      </c>
      <c r="J2522" s="35">
        <f t="shared" si="90"/>
        <v>0</v>
      </c>
      <c r="K2522" s="36"/>
      <c r="L2522" s="36"/>
      <c r="M2522" s="36"/>
      <c r="N2522" s="36"/>
      <c r="O2522" s="36"/>
      <c r="P2522" s="36"/>
      <c r="Q2522" s="36"/>
      <c r="R2522" s="36"/>
      <c r="S2522" s="36"/>
      <c r="T2522" s="36">
        <v>400</v>
      </c>
      <c r="U2522" s="36">
        <v>400</v>
      </c>
      <c r="V2522" s="36"/>
      <c r="W2522" s="15">
        <f t="shared" si="91"/>
        <v>800</v>
      </c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15">
        <f t="shared" si="92"/>
        <v>0</v>
      </c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14"/>
      <c r="AV2522" s="14"/>
      <c r="AW2522" s="15"/>
      <c r="AX2522" s="16"/>
    </row>
    <row r="2523" spans="2:50" x14ac:dyDescent="0.2">
      <c r="B2523" s="7"/>
      <c r="C2523" s="8">
        <v>13101</v>
      </c>
      <c r="D2523" s="9" t="s">
        <v>135</v>
      </c>
      <c r="E2523" s="10" t="s">
        <v>136</v>
      </c>
      <c r="F2523" s="10" t="s">
        <v>137</v>
      </c>
      <c r="G2523" s="8">
        <v>1</v>
      </c>
      <c r="H2523" s="11">
        <v>300</v>
      </c>
      <c r="I2523" s="12">
        <v>42673</v>
      </c>
      <c r="J2523" s="35">
        <f t="shared" si="90"/>
        <v>0</v>
      </c>
      <c r="K2523" s="36"/>
      <c r="L2523" s="36"/>
      <c r="M2523" s="36"/>
      <c r="N2523" s="36"/>
      <c r="O2523" s="36"/>
      <c r="P2523" s="36"/>
      <c r="Q2523" s="36"/>
      <c r="R2523" s="36"/>
      <c r="S2523" s="36"/>
      <c r="T2523" s="36"/>
      <c r="U2523" s="36">
        <v>300</v>
      </c>
      <c r="V2523" s="36"/>
      <c r="W2523" s="15">
        <f t="shared" si="91"/>
        <v>300</v>
      </c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15">
        <f t="shared" si="92"/>
        <v>0</v>
      </c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14"/>
      <c r="AV2523" s="14"/>
      <c r="AW2523" s="15"/>
      <c r="AX2523" s="16"/>
    </row>
    <row r="2524" spans="2:50" x14ac:dyDescent="0.2">
      <c r="B2524" s="7"/>
      <c r="C2524" s="8">
        <v>13102</v>
      </c>
      <c r="D2524" s="9" t="s">
        <v>84</v>
      </c>
      <c r="E2524" s="10" t="s">
        <v>85</v>
      </c>
      <c r="F2524" s="10" t="s">
        <v>86</v>
      </c>
      <c r="G2524" s="8">
        <v>1</v>
      </c>
      <c r="H2524" s="11">
        <v>200</v>
      </c>
      <c r="I2524" s="12">
        <v>42673</v>
      </c>
      <c r="J2524" s="35">
        <f t="shared" si="90"/>
        <v>0</v>
      </c>
      <c r="K2524" s="36"/>
      <c r="L2524" s="36"/>
      <c r="M2524" s="36"/>
      <c r="N2524" s="36"/>
      <c r="O2524" s="36"/>
      <c r="P2524" s="36"/>
      <c r="Q2524" s="36"/>
      <c r="R2524" s="36"/>
      <c r="S2524" s="36"/>
      <c r="T2524" s="36"/>
      <c r="U2524" s="36">
        <v>200</v>
      </c>
      <c r="V2524" s="36"/>
      <c r="W2524" s="15">
        <f t="shared" si="91"/>
        <v>200</v>
      </c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15">
        <f t="shared" si="92"/>
        <v>0</v>
      </c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14"/>
      <c r="AW2524" s="15"/>
      <c r="AX2524" s="16"/>
    </row>
    <row r="2525" spans="2:50" x14ac:dyDescent="0.2">
      <c r="B2525" s="7"/>
      <c r="C2525" s="8">
        <v>13103</v>
      </c>
      <c r="D2525" s="9" t="s">
        <v>1039</v>
      </c>
      <c r="E2525" s="10" t="s">
        <v>1040</v>
      </c>
      <c r="F2525" s="10" t="s">
        <v>1041</v>
      </c>
      <c r="G2525" s="8">
        <v>1</v>
      </c>
      <c r="H2525" s="11">
        <v>400</v>
      </c>
      <c r="I2525" s="12">
        <v>42673</v>
      </c>
      <c r="J2525" s="35">
        <f t="shared" si="90"/>
        <v>0</v>
      </c>
      <c r="K2525" s="36"/>
      <c r="L2525" s="36"/>
      <c r="M2525" s="36"/>
      <c r="N2525" s="36"/>
      <c r="O2525" s="36"/>
      <c r="P2525" s="36"/>
      <c r="Q2525" s="36"/>
      <c r="R2525" s="36"/>
      <c r="S2525" s="36"/>
      <c r="T2525" s="36">
        <v>400</v>
      </c>
      <c r="U2525" s="36"/>
      <c r="V2525" s="36"/>
      <c r="W2525" s="15">
        <f t="shared" si="91"/>
        <v>400</v>
      </c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15">
        <f t="shared" si="92"/>
        <v>0</v>
      </c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14"/>
      <c r="AV2525" s="14"/>
      <c r="AW2525" s="15"/>
      <c r="AX2525" s="16"/>
    </row>
    <row r="2526" spans="2:50" x14ac:dyDescent="0.2">
      <c r="B2526" s="7"/>
      <c r="C2526" s="8">
        <v>13104</v>
      </c>
      <c r="D2526" s="9" t="s">
        <v>349</v>
      </c>
      <c r="E2526" s="10" t="s">
        <v>350</v>
      </c>
      <c r="F2526" s="10" t="s">
        <v>351</v>
      </c>
      <c r="G2526" s="8">
        <v>1</v>
      </c>
      <c r="H2526" s="11">
        <v>600</v>
      </c>
      <c r="I2526" s="12">
        <v>42673</v>
      </c>
      <c r="J2526" s="35">
        <f t="shared" si="90"/>
        <v>0</v>
      </c>
      <c r="K2526" s="36"/>
      <c r="L2526" s="36"/>
      <c r="M2526" s="36"/>
      <c r="N2526" s="36"/>
      <c r="O2526" s="36"/>
      <c r="P2526" s="36"/>
      <c r="Q2526" s="36"/>
      <c r="R2526" s="36"/>
      <c r="S2526" s="36">
        <v>300</v>
      </c>
      <c r="T2526" s="36">
        <v>300</v>
      </c>
      <c r="U2526" s="36"/>
      <c r="V2526" s="36"/>
      <c r="W2526" s="15">
        <f t="shared" si="91"/>
        <v>600</v>
      </c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15">
        <f t="shared" si="92"/>
        <v>0</v>
      </c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14"/>
      <c r="AV2526" s="14"/>
      <c r="AW2526" s="15"/>
      <c r="AX2526" s="16"/>
    </row>
    <row r="2527" spans="2:50" x14ac:dyDescent="0.2">
      <c r="B2527" s="7"/>
      <c r="C2527" s="8">
        <v>13105</v>
      </c>
      <c r="D2527" s="9" t="s">
        <v>162</v>
      </c>
      <c r="E2527" s="10" t="s">
        <v>163</v>
      </c>
      <c r="F2527" s="10" t="s">
        <v>164</v>
      </c>
      <c r="G2527" s="8">
        <v>1</v>
      </c>
      <c r="H2527" s="11">
        <v>800</v>
      </c>
      <c r="I2527" s="12">
        <v>42673</v>
      </c>
      <c r="J2527" s="35">
        <f t="shared" si="90"/>
        <v>0</v>
      </c>
      <c r="K2527" s="36"/>
      <c r="L2527" s="36"/>
      <c r="M2527" s="36"/>
      <c r="N2527" s="36"/>
      <c r="O2527" s="36"/>
      <c r="P2527" s="36"/>
      <c r="Q2527" s="36"/>
      <c r="R2527" s="36"/>
      <c r="S2527" s="36"/>
      <c r="T2527" s="36"/>
      <c r="U2527" s="36">
        <v>400</v>
      </c>
      <c r="V2527" s="36">
        <v>400</v>
      </c>
      <c r="W2527" s="15">
        <f t="shared" si="91"/>
        <v>800</v>
      </c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15">
        <f t="shared" si="92"/>
        <v>0</v>
      </c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14"/>
      <c r="AW2527" s="15"/>
      <c r="AX2527" s="16"/>
    </row>
    <row r="2528" spans="2:50" x14ac:dyDescent="0.2">
      <c r="B2528" s="7"/>
      <c r="C2528" s="8">
        <v>13106</v>
      </c>
      <c r="D2528" s="9" t="s">
        <v>553</v>
      </c>
      <c r="E2528" s="10" t="s">
        <v>554</v>
      </c>
      <c r="F2528" s="10" t="s">
        <v>555</v>
      </c>
      <c r="G2528" s="8">
        <v>1</v>
      </c>
      <c r="H2528" s="11">
        <v>1200</v>
      </c>
      <c r="I2528" s="12">
        <v>42673</v>
      </c>
      <c r="J2528" s="35">
        <f t="shared" si="90"/>
        <v>0</v>
      </c>
      <c r="K2528" s="36"/>
      <c r="L2528" s="36"/>
      <c r="M2528" s="36"/>
      <c r="N2528" s="36"/>
      <c r="O2528" s="36"/>
      <c r="P2528" s="36"/>
      <c r="Q2528" s="36"/>
      <c r="R2528" s="36">
        <v>400</v>
      </c>
      <c r="S2528" s="36">
        <v>400</v>
      </c>
      <c r="T2528" s="36">
        <v>400</v>
      </c>
      <c r="U2528" s="36"/>
      <c r="V2528" s="36"/>
      <c r="W2528" s="15">
        <f t="shared" si="91"/>
        <v>1200</v>
      </c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15">
        <f t="shared" si="92"/>
        <v>0</v>
      </c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14"/>
      <c r="AW2528" s="15"/>
      <c r="AX2528" s="16"/>
    </row>
    <row r="2529" spans="2:50" x14ac:dyDescent="0.2">
      <c r="B2529" s="7"/>
      <c r="C2529" s="8">
        <v>13107</v>
      </c>
      <c r="D2529" s="9" t="s">
        <v>44</v>
      </c>
      <c r="E2529" s="10" t="s">
        <v>45</v>
      </c>
      <c r="F2529" s="10" t="s">
        <v>46</v>
      </c>
      <c r="G2529" s="8">
        <v>1</v>
      </c>
      <c r="H2529" s="11">
        <v>1200</v>
      </c>
      <c r="I2529" s="12">
        <v>42673</v>
      </c>
      <c r="J2529" s="35">
        <f t="shared" si="90"/>
        <v>0</v>
      </c>
      <c r="K2529" s="36"/>
      <c r="L2529" s="36"/>
      <c r="M2529" s="36"/>
      <c r="N2529" s="36"/>
      <c r="O2529" s="36"/>
      <c r="P2529" s="36"/>
      <c r="Q2529" s="36"/>
      <c r="R2529" s="36"/>
      <c r="S2529" s="36"/>
      <c r="T2529" s="36"/>
      <c r="U2529" s="36">
        <v>400</v>
      </c>
      <c r="V2529" s="36">
        <v>400</v>
      </c>
      <c r="W2529" s="15">
        <f t="shared" si="91"/>
        <v>800</v>
      </c>
      <c r="X2529" s="36">
        <v>400</v>
      </c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15">
        <f t="shared" si="92"/>
        <v>400</v>
      </c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14"/>
      <c r="AW2529" s="15"/>
      <c r="AX2529" s="16"/>
    </row>
    <row r="2530" spans="2:50" x14ac:dyDescent="0.2">
      <c r="B2530" s="7"/>
      <c r="C2530" s="8">
        <v>13108</v>
      </c>
      <c r="D2530" s="9" t="s">
        <v>1441</v>
      </c>
      <c r="E2530" s="10" t="s">
        <v>1442</v>
      </c>
      <c r="F2530" s="10" t="s">
        <v>1443</v>
      </c>
      <c r="G2530" s="8">
        <v>5</v>
      </c>
      <c r="H2530" s="11">
        <v>50</v>
      </c>
      <c r="I2530" s="12">
        <v>42673</v>
      </c>
      <c r="J2530" s="35">
        <f t="shared" si="90"/>
        <v>0</v>
      </c>
      <c r="K2530" s="36"/>
      <c r="L2530" s="36"/>
      <c r="M2530" s="36"/>
      <c r="N2530" s="36"/>
      <c r="O2530" s="36"/>
      <c r="P2530" s="36"/>
      <c r="Q2530" s="36"/>
      <c r="R2530" s="36"/>
      <c r="S2530" s="36"/>
      <c r="T2530" s="36"/>
      <c r="U2530" s="36"/>
      <c r="V2530" s="36"/>
      <c r="W2530" s="15">
        <f t="shared" si="91"/>
        <v>0</v>
      </c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15">
        <f t="shared" si="92"/>
        <v>0</v>
      </c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14"/>
      <c r="AV2530" s="14"/>
      <c r="AW2530" s="15"/>
      <c r="AX2530" s="16"/>
    </row>
    <row r="2531" spans="2:50" x14ac:dyDescent="0.2">
      <c r="B2531" s="7"/>
      <c r="C2531" s="8">
        <v>13109</v>
      </c>
      <c r="D2531" s="9" t="s">
        <v>935</v>
      </c>
      <c r="E2531" s="10" t="s">
        <v>936</v>
      </c>
      <c r="F2531" s="10" t="s">
        <v>937</v>
      </c>
      <c r="G2531" s="8">
        <v>1</v>
      </c>
      <c r="H2531" s="11">
        <v>250</v>
      </c>
      <c r="I2531" s="12">
        <v>42673</v>
      </c>
      <c r="J2531" s="35">
        <f t="shared" si="90"/>
        <v>0</v>
      </c>
      <c r="K2531" s="36"/>
      <c r="L2531" s="36"/>
      <c r="M2531" s="36"/>
      <c r="N2531" s="36"/>
      <c r="O2531" s="36"/>
      <c r="P2531" s="36"/>
      <c r="Q2531" s="36"/>
      <c r="R2531" s="36"/>
      <c r="S2531" s="36"/>
      <c r="T2531" s="36">
        <v>250</v>
      </c>
      <c r="U2531" s="36"/>
      <c r="V2531" s="36"/>
      <c r="W2531" s="15">
        <f t="shared" si="91"/>
        <v>250</v>
      </c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15">
        <f t="shared" si="92"/>
        <v>0</v>
      </c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5"/>
      <c r="AX2531" s="16"/>
    </row>
    <row r="2532" spans="2:50" x14ac:dyDescent="0.2">
      <c r="B2532" s="7"/>
      <c r="C2532" s="8">
        <v>13110</v>
      </c>
      <c r="D2532" s="9" t="s">
        <v>766</v>
      </c>
      <c r="E2532" s="10" t="s">
        <v>767</v>
      </c>
      <c r="F2532" s="10" t="s">
        <v>768</v>
      </c>
      <c r="G2532" s="8">
        <v>1</v>
      </c>
      <c r="H2532" s="11">
        <v>1200</v>
      </c>
      <c r="I2532" s="12">
        <v>42673</v>
      </c>
      <c r="J2532" s="35">
        <f t="shared" si="90"/>
        <v>0</v>
      </c>
      <c r="K2532" s="36"/>
      <c r="L2532" s="36"/>
      <c r="M2532" s="36"/>
      <c r="N2532" s="36"/>
      <c r="O2532" s="36"/>
      <c r="P2532" s="36"/>
      <c r="Q2532" s="36"/>
      <c r="R2532" s="36"/>
      <c r="S2532" s="36"/>
      <c r="T2532" s="36">
        <v>400</v>
      </c>
      <c r="U2532" s="36">
        <v>400</v>
      </c>
      <c r="V2532" s="36">
        <v>400</v>
      </c>
      <c r="W2532" s="15">
        <f t="shared" si="91"/>
        <v>1200</v>
      </c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15">
        <f t="shared" si="92"/>
        <v>0</v>
      </c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14"/>
      <c r="AW2532" s="15"/>
      <c r="AX2532" s="16"/>
    </row>
    <row r="2533" spans="2:50" x14ac:dyDescent="0.2">
      <c r="B2533" s="7"/>
      <c r="C2533" s="8">
        <v>13111</v>
      </c>
      <c r="D2533" s="9" t="s">
        <v>763</v>
      </c>
      <c r="E2533" s="10" t="s">
        <v>764</v>
      </c>
      <c r="F2533" s="10" t="s">
        <v>765</v>
      </c>
      <c r="G2533" s="8">
        <v>1</v>
      </c>
      <c r="H2533" s="11">
        <v>400</v>
      </c>
      <c r="I2533" s="12">
        <v>42673</v>
      </c>
      <c r="J2533" s="35">
        <f t="shared" si="90"/>
        <v>0</v>
      </c>
      <c r="K2533" s="36"/>
      <c r="L2533" s="36"/>
      <c r="M2533" s="36"/>
      <c r="N2533" s="36"/>
      <c r="O2533" s="36"/>
      <c r="P2533" s="36"/>
      <c r="Q2533" s="36"/>
      <c r="R2533" s="36"/>
      <c r="S2533" s="36"/>
      <c r="T2533" s="36">
        <v>400</v>
      </c>
      <c r="U2533" s="36"/>
      <c r="V2533" s="36"/>
      <c r="W2533" s="15">
        <f t="shared" si="91"/>
        <v>400</v>
      </c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15">
        <f t="shared" si="92"/>
        <v>0</v>
      </c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14"/>
      <c r="AW2533" s="15"/>
      <c r="AX2533" s="16"/>
    </row>
    <row r="2534" spans="2:50" x14ac:dyDescent="0.2">
      <c r="B2534" s="7"/>
      <c r="C2534" s="8">
        <v>13112</v>
      </c>
      <c r="D2534" s="9" t="s">
        <v>1296</v>
      </c>
      <c r="E2534" s="10" t="s">
        <v>1297</v>
      </c>
      <c r="F2534" s="10" t="s">
        <v>1298</v>
      </c>
      <c r="G2534" s="8">
        <v>1</v>
      </c>
      <c r="H2534" s="11">
        <v>100</v>
      </c>
      <c r="I2534" s="12">
        <v>42673</v>
      </c>
      <c r="J2534" s="35">
        <f t="shared" si="90"/>
        <v>0</v>
      </c>
      <c r="K2534" s="36"/>
      <c r="L2534" s="36"/>
      <c r="M2534" s="36"/>
      <c r="N2534" s="36"/>
      <c r="O2534" s="36"/>
      <c r="P2534" s="36"/>
      <c r="Q2534" s="36"/>
      <c r="R2534" s="36"/>
      <c r="S2534" s="36"/>
      <c r="T2534" s="36">
        <v>100</v>
      </c>
      <c r="U2534" s="36"/>
      <c r="V2534" s="36"/>
      <c r="W2534" s="15">
        <f t="shared" si="91"/>
        <v>100</v>
      </c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15">
        <f t="shared" si="92"/>
        <v>0</v>
      </c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14"/>
      <c r="AW2534" s="15"/>
      <c r="AX2534" s="16"/>
    </row>
    <row r="2535" spans="2:50" x14ac:dyDescent="0.2">
      <c r="B2535" s="7"/>
      <c r="C2535" s="8">
        <v>13112</v>
      </c>
      <c r="D2535" s="9" t="s">
        <v>1296</v>
      </c>
      <c r="E2535" s="10" t="s">
        <v>1297</v>
      </c>
      <c r="F2535" s="10" t="s">
        <v>1298</v>
      </c>
      <c r="G2535" s="8">
        <v>5</v>
      </c>
      <c r="H2535" s="11">
        <v>100</v>
      </c>
      <c r="I2535" s="12">
        <v>42673</v>
      </c>
      <c r="J2535" s="35">
        <f t="shared" si="90"/>
        <v>0</v>
      </c>
      <c r="K2535" s="36"/>
      <c r="L2535" s="36"/>
      <c r="M2535" s="36"/>
      <c r="N2535" s="36"/>
      <c r="O2535" s="36"/>
      <c r="P2535" s="36"/>
      <c r="Q2535" s="36"/>
      <c r="R2535" s="36"/>
      <c r="S2535" s="36"/>
      <c r="T2535" s="36"/>
      <c r="U2535" s="36"/>
      <c r="V2535" s="36"/>
      <c r="W2535" s="15">
        <f t="shared" si="91"/>
        <v>0</v>
      </c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15">
        <f t="shared" si="92"/>
        <v>0</v>
      </c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5"/>
      <c r="AX2535" s="16"/>
    </row>
    <row r="2536" spans="2:50" x14ac:dyDescent="0.2">
      <c r="B2536" s="7"/>
      <c r="C2536" s="8">
        <v>13113</v>
      </c>
      <c r="D2536" s="9" t="s">
        <v>355</v>
      </c>
      <c r="E2536" s="10" t="s">
        <v>356</v>
      </c>
      <c r="F2536" s="10" t="s">
        <v>357</v>
      </c>
      <c r="G2536" s="8">
        <v>1</v>
      </c>
      <c r="H2536" s="11">
        <v>600</v>
      </c>
      <c r="I2536" s="12">
        <v>42673</v>
      </c>
      <c r="J2536" s="35">
        <f t="shared" si="90"/>
        <v>0</v>
      </c>
      <c r="K2536" s="36"/>
      <c r="L2536" s="36"/>
      <c r="M2536" s="36"/>
      <c r="N2536" s="36"/>
      <c r="O2536" s="36"/>
      <c r="P2536" s="36"/>
      <c r="Q2536" s="36"/>
      <c r="R2536" s="36">
        <v>300</v>
      </c>
      <c r="S2536" s="36">
        <v>300</v>
      </c>
      <c r="T2536" s="36"/>
      <c r="U2536" s="36"/>
      <c r="V2536" s="36"/>
      <c r="W2536" s="15">
        <f t="shared" si="91"/>
        <v>600</v>
      </c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15">
        <f t="shared" si="92"/>
        <v>0</v>
      </c>
      <c r="AK2536" s="14"/>
      <c r="AL2536" s="14"/>
      <c r="AM2536" s="14"/>
      <c r="AN2536" s="14"/>
      <c r="AO2536" s="14"/>
      <c r="AP2536" s="14"/>
      <c r="AQ2536" s="14"/>
      <c r="AR2536" s="14"/>
      <c r="AS2536" s="14"/>
      <c r="AT2536" s="14"/>
      <c r="AU2536" s="14"/>
      <c r="AV2536" s="14"/>
      <c r="AW2536" s="15"/>
      <c r="AX2536" s="16"/>
    </row>
    <row r="2537" spans="2:50" x14ac:dyDescent="0.2">
      <c r="B2537" s="7"/>
      <c r="C2537" s="8">
        <v>13113</v>
      </c>
      <c r="D2537" s="9" t="s">
        <v>355</v>
      </c>
      <c r="E2537" s="10" t="s">
        <v>356</v>
      </c>
      <c r="F2537" s="10" t="s">
        <v>357</v>
      </c>
      <c r="G2537" s="8">
        <v>3</v>
      </c>
      <c r="H2537" s="11">
        <v>200</v>
      </c>
      <c r="I2537" s="12">
        <v>42673</v>
      </c>
      <c r="J2537" s="35">
        <f t="shared" si="90"/>
        <v>0</v>
      </c>
      <c r="K2537" s="36"/>
      <c r="L2537" s="36"/>
      <c r="M2537" s="36"/>
      <c r="N2537" s="36"/>
      <c r="O2537" s="36"/>
      <c r="P2537" s="36"/>
      <c r="Q2537" s="36"/>
      <c r="R2537" s="36"/>
      <c r="S2537" s="36"/>
      <c r="T2537" s="36"/>
      <c r="U2537" s="36"/>
      <c r="V2537" s="36"/>
      <c r="W2537" s="15">
        <f t="shared" si="91"/>
        <v>0</v>
      </c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15">
        <f t="shared" si="92"/>
        <v>0</v>
      </c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14"/>
      <c r="AV2537" s="14"/>
      <c r="AW2537" s="15"/>
      <c r="AX2537" s="16"/>
    </row>
    <row r="2538" spans="2:50" x14ac:dyDescent="0.2">
      <c r="B2538" s="7"/>
      <c r="C2538" s="8">
        <v>13114</v>
      </c>
      <c r="D2538" s="9" t="s">
        <v>1178</v>
      </c>
      <c r="E2538" s="10" t="s">
        <v>1179</v>
      </c>
      <c r="F2538" s="10" t="s">
        <v>1180</v>
      </c>
      <c r="G2538" s="8">
        <v>1</v>
      </c>
      <c r="H2538" s="11">
        <v>200</v>
      </c>
      <c r="I2538" s="12">
        <v>42673</v>
      </c>
      <c r="J2538" s="35">
        <f t="shared" si="90"/>
        <v>0</v>
      </c>
      <c r="K2538" s="36"/>
      <c r="L2538" s="36"/>
      <c r="M2538" s="36"/>
      <c r="N2538" s="36"/>
      <c r="O2538" s="36"/>
      <c r="P2538" s="36"/>
      <c r="Q2538" s="36"/>
      <c r="R2538" s="36"/>
      <c r="S2538" s="36">
        <v>200</v>
      </c>
      <c r="T2538" s="36"/>
      <c r="U2538" s="36"/>
      <c r="V2538" s="36"/>
      <c r="W2538" s="15">
        <f t="shared" si="91"/>
        <v>200</v>
      </c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15">
        <f t="shared" si="92"/>
        <v>0</v>
      </c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14"/>
      <c r="AW2538" s="15"/>
      <c r="AX2538" s="16"/>
    </row>
    <row r="2539" spans="2:50" x14ac:dyDescent="0.2">
      <c r="B2539" s="7"/>
      <c r="C2539" s="8">
        <v>13114</v>
      </c>
      <c r="D2539" s="9" t="s">
        <v>1178</v>
      </c>
      <c r="E2539" s="10" t="s">
        <v>1179</v>
      </c>
      <c r="F2539" s="10" t="s">
        <v>1180</v>
      </c>
      <c r="G2539" s="8">
        <v>5</v>
      </c>
      <c r="H2539" s="11">
        <v>50</v>
      </c>
      <c r="I2539" s="12">
        <v>42673</v>
      </c>
      <c r="J2539" s="35">
        <f t="shared" ref="J2539:J2548" si="96">IF(G2539=1,SUM(W2539,AJ2539,-H2539),0)</f>
        <v>0</v>
      </c>
      <c r="K2539" s="36"/>
      <c r="L2539" s="36"/>
      <c r="M2539" s="36"/>
      <c r="N2539" s="36"/>
      <c r="O2539" s="36"/>
      <c r="P2539" s="36"/>
      <c r="Q2539" s="36"/>
      <c r="R2539" s="36"/>
      <c r="S2539" s="36"/>
      <c r="T2539" s="36"/>
      <c r="U2539" s="36"/>
      <c r="V2539" s="36"/>
      <c r="W2539" s="15">
        <f t="shared" ref="W2539:W2548" si="97">SUM(K2539:V2539)</f>
        <v>0</v>
      </c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15">
        <f t="shared" ref="AJ2539:AJ2548" si="98">SUM(X2539:AI2539)</f>
        <v>0</v>
      </c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5"/>
      <c r="AX2539" s="16"/>
    </row>
    <row r="2540" spans="2:50" x14ac:dyDescent="0.2">
      <c r="B2540" s="7"/>
      <c r="C2540" s="8">
        <v>13115</v>
      </c>
      <c r="D2540" s="9" t="s">
        <v>681</v>
      </c>
      <c r="E2540" s="10" t="s">
        <v>682</v>
      </c>
      <c r="F2540" s="10" t="s">
        <v>683</v>
      </c>
      <c r="G2540" s="8">
        <v>1</v>
      </c>
      <c r="H2540" s="11">
        <v>300</v>
      </c>
      <c r="I2540" s="12">
        <v>42673</v>
      </c>
      <c r="J2540" s="35">
        <f t="shared" si="96"/>
        <v>0</v>
      </c>
      <c r="K2540" s="36"/>
      <c r="L2540" s="36"/>
      <c r="M2540" s="36"/>
      <c r="N2540" s="36"/>
      <c r="O2540" s="36"/>
      <c r="P2540" s="36"/>
      <c r="Q2540" s="36"/>
      <c r="R2540" s="36"/>
      <c r="S2540" s="36"/>
      <c r="T2540" s="36">
        <v>300</v>
      </c>
      <c r="U2540" s="36"/>
      <c r="V2540" s="36"/>
      <c r="W2540" s="15">
        <f t="shared" si="97"/>
        <v>300</v>
      </c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15">
        <f t="shared" si="98"/>
        <v>0</v>
      </c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14"/>
      <c r="AW2540" s="15"/>
      <c r="AX2540" s="16"/>
    </row>
    <row r="2541" spans="2:50" x14ac:dyDescent="0.2">
      <c r="B2541" s="7"/>
      <c r="C2541" s="8">
        <v>13116</v>
      </c>
      <c r="D2541" s="9" t="s">
        <v>192</v>
      </c>
      <c r="E2541" s="10" t="s">
        <v>193</v>
      </c>
      <c r="F2541" s="10" t="s">
        <v>194</v>
      </c>
      <c r="G2541" s="8">
        <v>5</v>
      </c>
      <c r="H2541" s="11">
        <v>50</v>
      </c>
      <c r="I2541" s="12">
        <v>42673</v>
      </c>
      <c r="J2541" s="35">
        <f t="shared" si="96"/>
        <v>0</v>
      </c>
      <c r="K2541" s="36"/>
      <c r="L2541" s="36"/>
      <c r="M2541" s="36"/>
      <c r="N2541" s="36"/>
      <c r="O2541" s="36"/>
      <c r="P2541" s="36"/>
      <c r="Q2541" s="36"/>
      <c r="R2541" s="36"/>
      <c r="S2541" s="36"/>
      <c r="T2541" s="36"/>
      <c r="U2541" s="36"/>
      <c r="V2541" s="36"/>
      <c r="W2541" s="15">
        <f t="shared" si="97"/>
        <v>0</v>
      </c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15">
        <f t="shared" si="98"/>
        <v>0</v>
      </c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14"/>
      <c r="AW2541" s="15"/>
      <c r="AX2541" s="16"/>
    </row>
    <row r="2542" spans="2:50" x14ac:dyDescent="0.2">
      <c r="B2542" s="7"/>
      <c r="C2542" s="8">
        <v>13117</v>
      </c>
      <c r="D2542" s="9" t="s">
        <v>301</v>
      </c>
      <c r="E2542" s="10" t="s">
        <v>302</v>
      </c>
      <c r="F2542" s="10" t="s">
        <v>303</v>
      </c>
      <c r="G2542" s="8">
        <v>1</v>
      </c>
      <c r="H2542" s="11">
        <v>200</v>
      </c>
      <c r="I2542" s="12">
        <v>42673</v>
      </c>
      <c r="J2542" s="35">
        <f t="shared" si="96"/>
        <v>0</v>
      </c>
      <c r="K2542" s="36"/>
      <c r="L2542" s="36"/>
      <c r="M2542" s="36"/>
      <c r="N2542" s="36"/>
      <c r="O2542" s="36"/>
      <c r="P2542" s="36"/>
      <c r="Q2542" s="36"/>
      <c r="R2542" s="36"/>
      <c r="S2542" s="36"/>
      <c r="T2542" s="36"/>
      <c r="U2542" s="36">
        <v>200</v>
      </c>
      <c r="V2542" s="36"/>
      <c r="W2542" s="15">
        <f t="shared" si="97"/>
        <v>200</v>
      </c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15">
        <f t="shared" si="98"/>
        <v>0</v>
      </c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5"/>
      <c r="AX2542" s="16"/>
    </row>
    <row r="2543" spans="2:50" x14ac:dyDescent="0.2">
      <c r="B2543" s="7"/>
      <c r="C2543" s="8">
        <v>13118</v>
      </c>
      <c r="D2543" s="9" t="s">
        <v>725</v>
      </c>
      <c r="E2543" s="10" t="s">
        <v>726</v>
      </c>
      <c r="F2543" s="10" t="s">
        <v>727</v>
      </c>
      <c r="G2543" s="8">
        <v>5</v>
      </c>
      <c r="H2543" s="11">
        <v>50</v>
      </c>
      <c r="I2543" s="12">
        <v>42673</v>
      </c>
      <c r="J2543" s="35">
        <f t="shared" si="96"/>
        <v>0</v>
      </c>
      <c r="K2543" s="36"/>
      <c r="L2543" s="36"/>
      <c r="M2543" s="36"/>
      <c r="N2543" s="36"/>
      <c r="O2543" s="36"/>
      <c r="P2543" s="36"/>
      <c r="Q2543" s="36"/>
      <c r="R2543" s="36"/>
      <c r="S2543" s="36"/>
      <c r="T2543" s="36"/>
      <c r="U2543" s="36"/>
      <c r="V2543" s="36"/>
      <c r="W2543" s="15">
        <f t="shared" si="97"/>
        <v>0</v>
      </c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15">
        <f t="shared" si="98"/>
        <v>0</v>
      </c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14"/>
      <c r="AW2543" s="15"/>
      <c r="AX2543" s="16"/>
    </row>
    <row r="2544" spans="2:50" x14ac:dyDescent="0.2">
      <c r="B2544" s="7"/>
      <c r="C2544" s="8">
        <v>13119</v>
      </c>
      <c r="D2544" s="9" t="s">
        <v>361</v>
      </c>
      <c r="E2544" s="10" t="s">
        <v>362</v>
      </c>
      <c r="F2544" s="10" t="s">
        <v>363</v>
      </c>
      <c r="G2544" s="8">
        <v>1</v>
      </c>
      <c r="H2544" s="11">
        <v>400</v>
      </c>
      <c r="I2544" s="12">
        <v>42673</v>
      </c>
      <c r="J2544" s="35">
        <f t="shared" si="96"/>
        <v>0</v>
      </c>
      <c r="K2544" s="36"/>
      <c r="L2544" s="36"/>
      <c r="M2544" s="36"/>
      <c r="N2544" s="36"/>
      <c r="O2544" s="36"/>
      <c r="P2544" s="36"/>
      <c r="Q2544" s="36"/>
      <c r="R2544" s="36"/>
      <c r="S2544" s="36"/>
      <c r="T2544" s="36">
        <v>400</v>
      </c>
      <c r="U2544" s="36"/>
      <c r="V2544" s="36"/>
      <c r="W2544" s="15">
        <f t="shared" si="97"/>
        <v>400</v>
      </c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15">
        <f t="shared" si="98"/>
        <v>0</v>
      </c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5"/>
      <c r="AX2544" s="16"/>
    </row>
    <row r="2545" spans="1:51" x14ac:dyDescent="0.2">
      <c r="B2545" s="7"/>
      <c r="C2545" s="8">
        <v>13120</v>
      </c>
      <c r="D2545" s="9" t="s">
        <v>437</v>
      </c>
      <c r="E2545" s="10" t="s">
        <v>438</v>
      </c>
      <c r="F2545" s="10" t="s">
        <v>439</v>
      </c>
      <c r="G2545" s="8">
        <v>1</v>
      </c>
      <c r="H2545" s="11">
        <v>400</v>
      </c>
      <c r="I2545" s="12">
        <v>42673</v>
      </c>
      <c r="J2545" s="35">
        <f t="shared" si="96"/>
        <v>0</v>
      </c>
      <c r="K2545" s="36"/>
      <c r="L2545" s="36"/>
      <c r="M2545" s="36"/>
      <c r="N2545" s="36"/>
      <c r="O2545" s="36"/>
      <c r="P2545" s="36"/>
      <c r="Q2545" s="36"/>
      <c r="R2545" s="36"/>
      <c r="S2545" s="36"/>
      <c r="T2545" s="36">
        <v>400</v>
      </c>
      <c r="U2545" s="36"/>
      <c r="V2545" s="36"/>
      <c r="W2545" s="15">
        <f t="shared" si="97"/>
        <v>400</v>
      </c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15">
        <f t="shared" si="98"/>
        <v>0</v>
      </c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14"/>
      <c r="AV2545" s="14"/>
      <c r="AW2545" s="15"/>
      <c r="AX2545" s="16"/>
    </row>
    <row r="2546" spans="1:51" x14ac:dyDescent="0.2">
      <c r="B2546" s="7"/>
      <c r="C2546" s="8">
        <v>13121</v>
      </c>
      <c r="D2546" s="9" t="s">
        <v>592</v>
      </c>
      <c r="E2546" s="10" t="s">
        <v>593</v>
      </c>
      <c r="F2546" s="10" t="s">
        <v>594</v>
      </c>
      <c r="G2546" s="8">
        <v>1</v>
      </c>
      <c r="H2546" s="11">
        <v>1200</v>
      </c>
      <c r="I2546" s="12">
        <v>42673</v>
      </c>
      <c r="J2546" s="35">
        <f t="shared" si="96"/>
        <v>0</v>
      </c>
      <c r="K2546" s="36"/>
      <c r="L2546" s="36"/>
      <c r="M2546" s="36"/>
      <c r="N2546" s="36"/>
      <c r="O2546" s="36"/>
      <c r="P2546" s="36"/>
      <c r="Q2546" s="36"/>
      <c r="R2546" s="36"/>
      <c r="S2546" s="36"/>
      <c r="T2546" s="36">
        <v>400</v>
      </c>
      <c r="U2546" s="36">
        <v>400</v>
      </c>
      <c r="V2546" s="36">
        <v>400</v>
      </c>
      <c r="W2546" s="15">
        <f t="shared" si="97"/>
        <v>1200</v>
      </c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15">
        <f t="shared" si="98"/>
        <v>0</v>
      </c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14"/>
      <c r="AW2546" s="15"/>
      <c r="AX2546" s="16"/>
    </row>
    <row r="2547" spans="1:51" x14ac:dyDescent="0.2">
      <c r="B2547" s="7"/>
      <c r="C2547" s="8">
        <v>13122</v>
      </c>
      <c r="D2547" s="9" t="s">
        <v>577</v>
      </c>
      <c r="E2547" s="10" t="s">
        <v>578</v>
      </c>
      <c r="F2547" s="10" t="s">
        <v>579</v>
      </c>
      <c r="G2547" s="8">
        <v>1</v>
      </c>
      <c r="H2547" s="11">
        <v>400</v>
      </c>
      <c r="I2547" s="12">
        <v>42673</v>
      </c>
      <c r="J2547" s="35">
        <f t="shared" si="96"/>
        <v>0</v>
      </c>
      <c r="K2547" s="36"/>
      <c r="L2547" s="36"/>
      <c r="M2547" s="36"/>
      <c r="N2547" s="36"/>
      <c r="O2547" s="36"/>
      <c r="P2547" s="36"/>
      <c r="Q2547" s="36"/>
      <c r="R2547" s="36"/>
      <c r="S2547" s="36"/>
      <c r="T2547" s="36">
        <v>400</v>
      </c>
      <c r="U2547" s="36"/>
      <c r="V2547" s="36"/>
      <c r="W2547" s="15">
        <f t="shared" si="97"/>
        <v>400</v>
      </c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15">
        <f t="shared" si="98"/>
        <v>0</v>
      </c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14"/>
      <c r="AW2547" s="15"/>
      <c r="AX2547" s="16"/>
    </row>
    <row r="2548" spans="1:51" x14ac:dyDescent="0.2">
      <c r="B2548" s="7"/>
      <c r="C2548" s="8">
        <v>13122</v>
      </c>
      <c r="D2548" s="9" t="s">
        <v>577</v>
      </c>
      <c r="E2548" s="10" t="s">
        <v>578</v>
      </c>
      <c r="F2548" s="10" t="s">
        <v>579</v>
      </c>
      <c r="G2548" s="8">
        <v>5</v>
      </c>
      <c r="H2548" s="11">
        <v>100</v>
      </c>
      <c r="I2548" s="12">
        <v>42673</v>
      </c>
      <c r="J2548" s="35">
        <f t="shared" si="96"/>
        <v>0</v>
      </c>
      <c r="K2548" s="36"/>
      <c r="L2548" s="36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  <c r="W2548" s="15">
        <f t="shared" si="97"/>
        <v>0</v>
      </c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15">
        <f t="shared" si="98"/>
        <v>0</v>
      </c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14"/>
      <c r="AW2548" s="15"/>
      <c r="AX2548" s="16"/>
    </row>
    <row r="2549" spans="1:51" x14ac:dyDescent="0.2">
      <c r="B2549" s="7"/>
      <c r="C2549" s="8">
        <v>13123</v>
      </c>
      <c r="D2549" s="9" t="s">
        <v>1174</v>
      </c>
      <c r="E2549" s="10" t="s">
        <v>1175</v>
      </c>
      <c r="F2549" s="10" t="s">
        <v>1176</v>
      </c>
      <c r="G2549" s="8">
        <v>1</v>
      </c>
      <c r="H2549" s="11">
        <v>300</v>
      </c>
      <c r="I2549" s="12">
        <v>42673</v>
      </c>
      <c r="J2549" s="35">
        <f t="shared" si="90"/>
        <v>0</v>
      </c>
      <c r="K2549" s="36"/>
      <c r="L2549" s="36"/>
      <c r="M2549" s="36"/>
      <c r="N2549" s="36"/>
      <c r="O2549" s="36"/>
      <c r="P2549" s="36"/>
      <c r="Q2549" s="36"/>
      <c r="R2549" s="36"/>
      <c r="S2549" s="36"/>
      <c r="T2549" s="36">
        <v>300</v>
      </c>
      <c r="U2549" s="36"/>
      <c r="V2549" s="36"/>
      <c r="W2549" s="15">
        <f t="shared" si="91"/>
        <v>300</v>
      </c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15">
        <f t="shared" si="92"/>
        <v>0</v>
      </c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14"/>
      <c r="AV2549" s="14"/>
      <c r="AW2549" s="15"/>
      <c r="AX2549" s="16"/>
    </row>
    <row r="2550" spans="1:51" x14ac:dyDescent="0.2">
      <c r="B2550" s="7"/>
      <c r="C2550" s="8">
        <v>13123</v>
      </c>
      <c r="D2550" s="9" t="s">
        <v>1174</v>
      </c>
      <c r="E2550" s="10" t="s">
        <v>1175</v>
      </c>
      <c r="F2550" s="10" t="s">
        <v>1176</v>
      </c>
      <c r="G2550" s="8">
        <v>4</v>
      </c>
      <c r="H2550" s="11">
        <v>200</v>
      </c>
      <c r="I2550" s="12">
        <v>42673</v>
      </c>
      <c r="J2550" s="35">
        <f t="shared" si="90"/>
        <v>0</v>
      </c>
      <c r="K2550" s="36"/>
      <c r="L2550" s="36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  <c r="W2550" s="15">
        <f t="shared" si="91"/>
        <v>0</v>
      </c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15">
        <f t="shared" si="92"/>
        <v>0</v>
      </c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14"/>
      <c r="AW2550" s="15"/>
      <c r="AX2550" s="16"/>
    </row>
    <row r="2551" spans="1:51" x14ac:dyDescent="0.2">
      <c r="B2551" s="7"/>
      <c r="C2551" s="8">
        <v>13124</v>
      </c>
      <c r="D2551" s="9" t="s">
        <v>235</v>
      </c>
      <c r="E2551" s="10" t="s">
        <v>236</v>
      </c>
      <c r="F2551" s="10" t="s">
        <v>237</v>
      </c>
      <c r="G2551" s="8">
        <v>1</v>
      </c>
      <c r="H2551" s="11">
        <v>400</v>
      </c>
      <c r="I2551" s="12">
        <v>42673</v>
      </c>
      <c r="J2551" s="35">
        <f>IF(G2551=1,SUM(W2551,AJ2551,-H2551),0)</f>
        <v>0</v>
      </c>
      <c r="K2551" s="36"/>
      <c r="L2551" s="36"/>
      <c r="M2551" s="36"/>
      <c r="N2551" s="36"/>
      <c r="O2551" s="36"/>
      <c r="P2551" s="36"/>
      <c r="Q2551" s="36"/>
      <c r="R2551" s="36"/>
      <c r="S2551" s="36">
        <v>400</v>
      </c>
      <c r="T2551" s="36"/>
      <c r="U2551" s="36"/>
      <c r="V2551" s="36"/>
      <c r="W2551" s="15">
        <f>SUM(K2551:V2551)</f>
        <v>400</v>
      </c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15">
        <f>SUM(X2551:AI2551)</f>
        <v>0</v>
      </c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14"/>
      <c r="AV2551" s="14"/>
      <c r="AW2551" s="15"/>
      <c r="AX2551" s="16"/>
    </row>
    <row r="2552" spans="1:51" x14ac:dyDescent="0.2">
      <c r="B2552" s="7"/>
      <c r="C2552" s="8">
        <v>13125</v>
      </c>
      <c r="D2552" s="9" t="s">
        <v>87</v>
      </c>
      <c r="E2552" s="10" t="s">
        <v>88</v>
      </c>
      <c r="F2552" s="10" t="s">
        <v>89</v>
      </c>
      <c r="G2552" s="8">
        <v>5</v>
      </c>
      <c r="H2552" s="11">
        <v>50</v>
      </c>
      <c r="I2552" s="12">
        <v>42673</v>
      </c>
      <c r="J2552" s="35">
        <f>IF(G2552=1,SUM(W2552,AJ2552,-H2552),0)</f>
        <v>0</v>
      </c>
      <c r="K2552" s="36"/>
      <c r="L2552" s="36"/>
      <c r="M2552" s="36"/>
      <c r="N2552" s="36"/>
      <c r="O2552" s="36"/>
      <c r="P2552" s="36"/>
      <c r="Q2552" s="36"/>
      <c r="R2552" s="36"/>
      <c r="S2552" s="36"/>
      <c r="T2552" s="36"/>
      <c r="U2552" s="36"/>
      <c r="V2552" s="36"/>
      <c r="W2552" s="15">
        <f>SUM(K2552:V2552)</f>
        <v>0</v>
      </c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15">
        <f>SUM(X2552:AI2552)</f>
        <v>0</v>
      </c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14"/>
      <c r="AV2552" s="14"/>
      <c r="AW2552" s="15"/>
      <c r="AX2552" s="16"/>
    </row>
    <row r="2553" spans="1:51" x14ac:dyDescent="0.2">
      <c r="B2553" s="7"/>
      <c r="C2553" s="8">
        <v>13126</v>
      </c>
      <c r="D2553" s="9" t="s">
        <v>834</v>
      </c>
      <c r="E2553" s="10" t="s">
        <v>835</v>
      </c>
      <c r="F2553" s="10" t="s">
        <v>836</v>
      </c>
      <c r="G2553" s="8">
        <v>1</v>
      </c>
      <c r="H2553" s="11">
        <v>300</v>
      </c>
      <c r="I2553" s="12">
        <v>42673</v>
      </c>
      <c r="J2553" s="35">
        <f t="shared" si="90"/>
        <v>0</v>
      </c>
      <c r="K2553" s="36"/>
      <c r="L2553" s="36"/>
      <c r="M2553" s="36"/>
      <c r="N2553" s="36"/>
      <c r="O2553" s="36"/>
      <c r="P2553" s="36"/>
      <c r="Q2553" s="36"/>
      <c r="R2553" s="36">
        <v>300</v>
      </c>
      <c r="S2553" s="36"/>
      <c r="T2553" s="36"/>
      <c r="U2553" s="36"/>
      <c r="V2553" s="36"/>
      <c r="W2553" s="15">
        <f t="shared" si="91"/>
        <v>300</v>
      </c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15">
        <f t="shared" si="92"/>
        <v>0</v>
      </c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14"/>
      <c r="AV2553" s="14"/>
      <c r="AW2553" s="15"/>
      <c r="AX2553" s="16"/>
    </row>
    <row r="2554" spans="1:51" x14ac:dyDescent="0.2">
      <c r="B2554" s="7"/>
      <c r="C2554" s="8">
        <v>13127</v>
      </c>
      <c r="D2554" s="9" t="s">
        <v>617</v>
      </c>
      <c r="E2554" s="10" t="s">
        <v>618</v>
      </c>
      <c r="F2554" s="10" t="s">
        <v>619</v>
      </c>
      <c r="G2554" s="8">
        <v>1</v>
      </c>
      <c r="H2554" s="11">
        <v>400</v>
      </c>
      <c r="I2554" s="12">
        <v>42673</v>
      </c>
      <c r="J2554" s="35">
        <f t="shared" si="90"/>
        <v>0</v>
      </c>
      <c r="K2554" s="36"/>
      <c r="L2554" s="36"/>
      <c r="M2554" s="36"/>
      <c r="N2554" s="36"/>
      <c r="O2554" s="36"/>
      <c r="P2554" s="36"/>
      <c r="Q2554" s="36"/>
      <c r="R2554" s="36"/>
      <c r="S2554" s="36">
        <v>400</v>
      </c>
      <c r="T2554" s="36"/>
      <c r="U2554" s="36"/>
      <c r="V2554" s="36"/>
      <c r="W2554" s="15">
        <f t="shared" si="91"/>
        <v>400</v>
      </c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15">
        <f t="shared" si="92"/>
        <v>0</v>
      </c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5"/>
      <c r="AX2554" s="16"/>
      <c r="AY2554" s="112"/>
    </row>
    <row r="2555" spans="1:51" x14ac:dyDescent="0.2">
      <c r="B2555" s="7"/>
      <c r="C2555" s="8">
        <v>13128</v>
      </c>
      <c r="D2555" s="9" t="s">
        <v>725</v>
      </c>
      <c r="E2555" s="10" t="s">
        <v>726</v>
      </c>
      <c r="F2555" s="10" t="s">
        <v>727</v>
      </c>
      <c r="G2555" s="8">
        <v>5</v>
      </c>
      <c r="H2555" s="11">
        <v>50</v>
      </c>
      <c r="I2555" s="12">
        <v>42673</v>
      </c>
      <c r="J2555" s="35">
        <f t="shared" si="90"/>
        <v>0</v>
      </c>
      <c r="K2555" s="36"/>
      <c r="L2555" s="36"/>
      <c r="M2555" s="36"/>
      <c r="N2555" s="36"/>
      <c r="O2555" s="36"/>
      <c r="P2555" s="36"/>
      <c r="Q2555" s="36"/>
      <c r="R2555" s="36"/>
      <c r="S2555" s="36"/>
      <c r="T2555" s="36"/>
      <c r="U2555" s="36"/>
      <c r="V2555" s="36"/>
      <c r="W2555" s="15">
        <f t="shared" si="91"/>
        <v>0</v>
      </c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15">
        <f t="shared" si="92"/>
        <v>0</v>
      </c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14"/>
      <c r="AW2555" s="15"/>
      <c r="AX2555" s="316">
        <f>SUM(H2509:H2555)</f>
        <v>17900</v>
      </c>
    </row>
    <row r="2556" spans="1:51" x14ac:dyDescent="0.2">
      <c r="B2556" s="7"/>
      <c r="C2556" s="8">
        <v>13136</v>
      </c>
      <c r="D2556" s="9" t="s">
        <v>211</v>
      </c>
      <c r="E2556" s="10" t="s">
        <v>212</v>
      </c>
      <c r="F2556" s="10" t="s">
        <v>213</v>
      </c>
      <c r="G2556" s="8">
        <v>1</v>
      </c>
      <c r="H2556" s="11">
        <v>300</v>
      </c>
      <c r="I2556" s="12">
        <v>42648</v>
      </c>
      <c r="J2556" s="35">
        <f t="shared" si="90"/>
        <v>0</v>
      </c>
      <c r="K2556" s="36"/>
      <c r="L2556" s="36"/>
      <c r="M2556" s="36"/>
      <c r="N2556" s="36"/>
      <c r="O2556" s="36"/>
      <c r="P2556" s="36"/>
      <c r="Q2556" s="36"/>
      <c r="R2556" s="36"/>
      <c r="S2556" s="36"/>
      <c r="T2556" s="36">
        <v>300</v>
      </c>
      <c r="U2556" s="36"/>
      <c r="V2556" s="36"/>
      <c r="W2556" s="15">
        <f>SUM(K2556:V2556)</f>
        <v>300</v>
      </c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15">
        <f t="shared" si="92"/>
        <v>0</v>
      </c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14"/>
      <c r="AW2556" s="15"/>
      <c r="AX2556" s="16"/>
    </row>
    <row r="2557" spans="1:51" x14ac:dyDescent="0.2">
      <c r="B2557" s="7"/>
      <c r="C2557" s="8"/>
      <c r="D2557" s="9" t="s">
        <v>806</v>
      </c>
      <c r="E2557" s="10" t="s">
        <v>885</v>
      </c>
      <c r="F2557" s="10" t="s">
        <v>805</v>
      </c>
      <c r="G2557" s="8">
        <v>1</v>
      </c>
      <c r="H2557" s="11">
        <v>11000</v>
      </c>
      <c r="I2557" s="12">
        <v>42648</v>
      </c>
      <c r="J2557" s="35">
        <f>IF(G2557=1,SUM(W2557,AJ2557,-H2557),0)</f>
        <v>0</v>
      </c>
      <c r="K2557" s="36"/>
      <c r="L2557" s="36"/>
      <c r="M2557" s="36"/>
      <c r="N2557" s="36"/>
      <c r="O2557" s="36"/>
      <c r="P2557" s="36"/>
      <c r="Q2557" s="36"/>
      <c r="R2557" s="36"/>
      <c r="S2557" s="36"/>
      <c r="T2557" s="36">
        <v>11000</v>
      </c>
      <c r="U2557" s="36"/>
      <c r="V2557" s="36"/>
      <c r="W2557" s="15">
        <f>SUM(K2557:V2557)</f>
        <v>11000</v>
      </c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15">
        <f>SUM(X2557:AI2557)</f>
        <v>0</v>
      </c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14"/>
      <c r="AW2557" s="15"/>
      <c r="AX2557" s="16"/>
    </row>
    <row r="2558" spans="1:51" x14ac:dyDescent="0.2">
      <c r="B2558" s="7"/>
      <c r="C2558" s="8"/>
      <c r="D2558" s="9"/>
      <c r="E2558" s="10"/>
      <c r="F2558" s="10" t="s">
        <v>93</v>
      </c>
      <c r="G2558" s="8"/>
      <c r="H2558" s="11"/>
      <c r="I2558" s="12"/>
      <c r="J2558" s="35">
        <f>IF(G2558=1,SUM(W2558,AJ2558,-H2558),0)</f>
        <v>0</v>
      </c>
      <c r="K2558" s="36"/>
      <c r="L2558" s="36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15">
        <f>SUM(K2558:V2558)</f>
        <v>0</v>
      </c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15">
        <f>SUM(X2558:AI2558)</f>
        <v>0</v>
      </c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14"/>
      <c r="AW2558" s="15"/>
      <c r="AX2558" s="16"/>
    </row>
    <row r="2559" spans="1:51" x14ac:dyDescent="0.2">
      <c r="B2559" s="7"/>
      <c r="C2559" s="8"/>
      <c r="D2559" s="9"/>
      <c r="E2559" s="10" t="s">
        <v>93</v>
      </c>
      <c r="F2559" s="10" t="s">
        <v>93</v>
      </c>
      <c r="G2559" s="8"/>
      <c r="H2559" s="11"/>
      <c r="I2559" s="12"/>
      <c r="J2559" s="35">
        <f>IF(G2559=1,SUM(W2559,AJ2559,-H2559),0)</f>
        <v>0</v>
      </c>
      <c r="K2559" s="36"/>
      <c r="L2559" s="36"/>
      <c r="M2559" s="36"/>
      <c r="N2559" s="36"/>
      <c r="O2559" s="36"/>
      <c r="P2559" s="36"/>
      <c r="Q2559" s="36"/>
      <c r="R2559" s="36"/>
      <c r="S2559" s="36"/>
      <c r="T2559" s="36"/>
      <c r="U2559" s="36"/>
      <c r="V2559" s="36"/>
      <c r="W2559" s="15">
        <f>SUM(K2559:V2559)</f>
        <v>0</v>
      </c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15">
        <f>SUM(X2559:AI2559)</f>
        <v>0</v>
      </c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14"/>
      <c r="AW2559" s="15"/>
      <c r="AX2559" s="16"/>
    </row>
    <row r="2560" spans="1:51" x14ac:dyDescent="0.2">
      <c r="A2560" s="63" t="s">
        <v>0</v>
      </c>
      <c r="B2560" s="7"/>
      <c r="C2560" s="8"/>
      <c r="D2560" s="9"/>
      <c r="E2560" s="10" t="s">
        <v>93</v>
      </c>
      <c r="F2560" s="10" t="s">
        <v>93</v>
      </c>
      <c r="G2560" s="8"/>
      <c r="H2560" s="11"/>
      <c r="I2560" s="12"/>
      <c r="J2560" s="35">
        <f>IF(G2560=1,SUM(W2560,AJ2560,-H2560),0)</f>
        <v>0</v>
      </c>
      <c r="K2560" s="36"/>
      <c r="L2560" s="36"/>
      <c r="M2560" s="36"/>
      <c r="N2560" s="36"/>
      <c r="O2560" s="36"/>
      <c r="P2560" s="36"/>
      <c r="Q2560" s="36"/>
      <c r="R2560" s="36"/>
      <c r="S2560" s="36"/>
      <c r="T2560" s="36"/>
      <c r="U2560" s="36"/>
      <c r="V2560" s="36"/>
      <c r="W2560" s="15">
        <f>SUM(K2560:V2560)</f>
        <v>0</v>
      </c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15">
        <f>SUM(X2560:AI2560)</f>
        <v>0</v>
      </c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5"/>
      <c r="AX2560" s="16"/>
      <c r="AY2560" s="112">
        <f>SUM(H2343:H2560)</f>
        <v>94425</v>
      </c>
    </row>
    <row r="2561" spans="1:50" ht="22.5" x14ac:dyDescent="0.2">
      <c r="A2561" s="2"/>
      <c r="B2561" s="3" t="s">
        <v>1</v>
      </c>
      <c r="C2561" s="3" t="s">
        <v>2</v>
      </c>
      <c r="D2561" s="3" t="s">
        <v>3</v>
      </c>
      <c r="E2561" s="3" t="s">
        <v>4</v>
      </c>
      <c r="F2561" s="3" t="s">
        <v>5</v>
      </c>
      <c r="G2561" s="3" t="s">
        <v>6</v>
      </c>
      <c r="H2561" s="3" t="s">
        <v>7</v>
      </c>
      <c r="I2561" s="3" t="s">
        <v>8</v>
      </c>
      <c r="J2561" s="3" t="s">
        <v>9</v>
      </c>
      <c r="K2561" s="4" t="s">
        <v>10</v>
      </c>
      <c r="L2561" s="4" t="s">
        <v>11</v>
      </c>
      <c r="M2561" s="4" t="s">
        <v>12</v>
      </c>
      <c r="N2561" s="4" t="s">
        <v>13</v>
      </c>
      <c r="O2561" s="4" t="s">
        <v>14</v>
      </c>
      <c r="P2561" s="4" t="s">
        <v>15</v>
      </c>
      <c r="Q2561" s="4" t="s">
        <v>16</v>
      </c>
      <c r="R2561" s="4" t="s">
        <v>17</v>
      </c>
      <c r="S2561" s="4" t="s">
        <v>18</v>
      </c>
      <c r="T2561" s="4" t="s">
        <v>19</v>
      </c>
      <c r="U2561" s="4" t="s">
        <v>20</v>
      </c>
      <c r="V2561" s="4" t="s">
        <v>21</v>
      </c>
      <c r="W2561" s="5" t="s">
        <v>22</v>
      </c>
      <c r="X2561" s="4" t="s">
        <v>23</v>
      </c>
      <c r="Y2561" s="4" t="s">
        <v>24</v>
      </c>
      <c r="Z2561" s="4" t="s">
        <v>25</v>
      </c>
      <c r="AA2561" s="4" t="s">
        <v>26</v>
      </c>
      <c r="AB2561" s="4" t="s">
        <v>27</v>
      </c>
      <c r="AC2561" s="4" t="s">
        <v>28</v>
      </c>
      <c r="AD2561" s="4" t="s">
        <v>29</v>
      </c>
      <c r="AE2561" s="4" t="s">
        <v>30</v>
      </c>
      <c r="AF2561" s="4" t="s">
        <v>31</v>
      </c>
      <c r="AG2561" s="4" t="s">
        <v>32</v>
      </c>
      <c r="AH2561" s="4" t="s">
        <v>33</v>
      </c>
      <c r="AI2561" s="4" t="s">
        <v>34</v>
      </c>
      <c r="AJ2561" s="5" t="s">
        <v>35</v>
      </c>
      <c r="AK2561" s="4" t="s">
        <v>4607</v>
      </c>
      <c r="AL2561" s="4" t="s">
        <v>4608</v>
      </c>
      <c r="AM2561" s="4" t="s">
        <v>4609</v>
      </c>
      <c r="AN2561" s="4" t="s">
        <v>4610</v>
      </c>
      <c r="AO2561" s="4" t="s">
        <v>4611</v>
      </c>
      <c r="AP2561" s="4" t="s">
        <v>4612</v>
      </c>
      <c r="AQ2561" s="4" t="s">
        <v>4613</v>
      </c>
      <c r="AR2561" s="4" t="s">
        <v>4614</v>
      </c>
      <c r="AS2561" s="4" t="s">
        <v>4615</v>
      </c>
      <c r="AT2561" s="4" t="s">
        <v>4616</v>
      </c>
      <c r="AU2561" s="4" t="s">
        <v>4617</v>
      </c>
      <c r="AV2561" s="4" t="s">
        <v>4618</v>
      </c>
      <c r="AW2561" s="338" t="s">
        <v>4619</v>
      </c>
      <c r="AX2561" s="6" t="s">
        <v>36</v>
      </c>
    </row>
    <row r="2562" spans="1:50" x14ac:dyDescent="0.2">
      <c r="B2562" s="7"/>
      <c r="C2562" s="8">
        <v>13129</v>
      </c>
      <c r="D2562" s="9" t="s">
        <v>598</v>
      </c>
      <c r="E2562" s="10" t="s">
        <v>599</v>
      </c>
      <c r="F2562" s="10" t="s">
        <v>886</v>
      </c>
      <c r="G2562" s="8">
        <v>1</v>
      </c>
      <c r="H2562" s="11">
        <v>800</v>
      </c>
      <c r="I2562" s="12">
        <v>42674</v>
      </c>
      <c r="J2562" s="35">
        <f t="shared" ref="J2562:J2625" si="99">IF(G2562=1,SUM(W2562,AJ2562,-H2562),0)</f>
        <v>0</v>
      </c>
      <c r="K2562" s="36"/>
      <c r="L2562" s="36"/>
      <c r="M2562" s="36"/>
      <c r="N2562" s="36"/>
      <c r="O2562" s="36"/>
      <c r="P2562" s="36"/>
      <c r="Q2562" s="36"/>
      <c r="R2562" s="36"/>
      <c r="S2562" s="36">
        <v>400</v>
      </c>
      <c r="T2562" s="36">
        <v>400</v>
      </c>
      <c r="U2562" s="36"/>
      <c r="V2562" s="36"/>
      <c r="W2562" s="15">
        <f t="shared" ref="W2562:W2625" si="100">SUM(K2562:V2562)</f>
        <v>800</v>
      </c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15">
        <f t="shared" ref="AJ2562:AJ2625" si="101">SUM(X2562:AI2562)</f>
        <v>0</v>
      </c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5"/>
      <c r="AX2562" s="16"/>
    </row>
    <row r="2563" spans="1:50" x14ac:dyDescent="0.2">
      <c r="B2563" s="7"/>
      <c r="C2563" s="8">
        <v>13130</v>
      </c>
      <c r="D2563" s="9" t="s">
        <v>346</v>
      </c>
      <c r="E2563" s="10" t="s">
        <v>347</v>
      </c>
      <c r="F2563" s="10" t="s">
        <v>348</v>
      </c>
      <c r="G2563" s="8">
        <v>1</v>
      </c>
      <c r="H2563" s="11">
        <v>600</v>
      </c>
      <c r="I2563" s="12">
        <v>42677</v>
      </c>
      <c r="J2563" s="35">
        <f t="shared" si="99"/>
        <v>0</v>
      </c>
      <c r="K2563" s="36"/>
      <c r="L2563" s="36"/>
      <c r="M2563" s="36"/>
      <c r="N2563" s="36"/>
      <c r="O2563" s="36"/>
      <c r="P2563" s="36"/>
      <c r="Q2563" s="36"/>
      <c r="R2563" s="36"/>
      <c r="S2563" s="36"/>
      <c r="T2563" s="36">
        <v>300</v>
      </c>
      <c r="U2563" s="36">
        <v>300</v>
      </c>
      <c r="V2563" s="36"/>
      <c r="W2563" s="15">
        <f t="shared" si="100"/>
        <v>600</v>
      </c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15">
        <f t="shared" si="101"/>
        <v>0</v>
      </c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14"/>
      <c r="AW2563" s="15"/>
      <c r="AX2563" s="16"/>
    </row>
    <row r="2564" spans="1:50" x14ac:dyDescent="0.2">
      <c r="B2564" s="7"/>
      <c r="C2564" s="8">
        <v>13131</v>
      </c>
      <c r="D2564" s="9" t="s">
        <v>220</v>
      </c>
      <c r="E2564" s="10" t="s">
        <v>221</v>
      </c>
      <c r="F2564" s="10" t="s">
        <v>222</v>
      </c>
      <c r="G2564" s="8">
        <v>1</v>
      </c>
      <c r="H2564" s="11">
        <v>300</v>
      </c>
      <c r="I2564" s="12">
        <v>42677</v>
      </c>
      <c r="J2564" s="35">
        <f t="shared" si="99"/>
        <v>0</v>
      </c>
      <c r="K2564" s="36"/>
      <c r="L2564" s="36"/>
      <c r="M2564" s="36"/>
      <c r="N2564" s="36"/>
      <c r="O2564" s="36"/>
      <c r="P2564" s="36"/>
      <c r="Q2564" s="36"/>
      <c r="R2564" s="36"/>
      <c r="S2564" s="36"/>
      <c r="T2564" s="36">
        <v>300</v>
      </c>
      <c r="U2564" s="36"/>
      <c r="V2564" s="36"/>
      <c r="W2564" s="15">
        <f t="shared" si="100"/>
        <v>300</v>
      </c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15">
        <f t="shared" si="101"/>
        <v>0</v>
      </c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14"/>
      <c r="AW2564" s="15"/>
      <c r="AX2564" s="16"/>
    </row>
    <row r="2565" spans="1:50" x14ac:dyDescent="0.2">
      <c r="B2565" s="7"/>
      <c r="C2565" s="8">
        <v>13131</v>
      </c>
      <c r="D2565" s="9" t="s">
        <v>220</v>
      </c>
      <c r="E2565" s="10" t="s">
        <v>221</v>
      </c>
      <c r="F2565" s="10" t="s">
        <v>222</v>
      </c>
      <c r="G2565" s="8">
        <v>5</v>
      </c>
      <c r="H2565" s="11">
        <v>100</v>
      </c>
      <c r="I2565" s="12">
        <v>42677</v>
      </c>
      <c r="J2565" s="35">
        <f t="shared" si="99"/>
        <v>0</v>
      </c>
      <c r="K2565" s="36"/>
      <c r="L2565" s="36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15">
        <f t="shared" si="100"/>
        <v>0</v>
      </c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15">
        <f t="shared" si="101"/>
        <v>0</v>
      </c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14"/>
      <c r="AW2565" s="15"/>
      <c r="AX2565" s="16"/>
    </row>
    <row r="2566" spans="1:50" x14ac:dyDescent="0.2">
      <c r="B2566" s="7"/>
      <c r="C2566" s="8">
        <v>13132</v>
      </c>
      <c r="D2566" s="9" t="s">
        <v>446</v>
      </c>
      <c r="E2566" s="10" t="s">
        <v>447</v>
      </c>
      <c r="F2566" s="10" t="s">
        <v>448</v>
      </c>
      <c r="G2566" s="8">
        <v>1</v>
      </c>
      <c r="H2566" s="11">
        <v>400</v>
      </c>
      <c r="I2566" s="12">
        <v>42677</v>
      </c>
      <c r="J2566" s="35">
        <f t="shared" si="99"/>
        <v>0</v>
      </c>
      <c r="K2566" s="36"/>
      <c r="L2566" s="36"/>
      <c r="M2566" s="36"/>
      <c r="N2566" s="36"/>
      <c r="O2566" s="36"/>
      <c r="P2566" s="36"/>
      <c r="Q2566" s="36"/>
      <c r="R2566" s="36"/>
      <c r="S2566" s="36">
        <v>200</v>
      </c>
      <c r="T2566" s="36">
        <v>200</v>
      </c>
      <c r="U2566" s="36"/>
      <c r="V2566" s="36"/>
      <c r="W2566" s="15">
        <f t="shared" si="100"/>
        <v>400</v>
      </c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15">
        <f t="shared" si="101"/>
        <v>0</v>
      </c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14"/>
      <c r="AW2566" s="15"/>
      <c r="AX2566" s="16"/>
    </row>
    <row r="2567" spans="1:50" x14ac:dyDescent="0.2">
      <c r="B2567" s="7"/>
      <c r="C2567" s="8">
        <v>13133</v>
      </c>
      <c r="D2567" s="9" t="s">
        <v>846</v>
      </c>
      <c r="E2567" s="10" t="s">
        <v>847</v>
      </c>
      <c r="F2567" s="10" t="s">
        <v>848</v>
      </c>
      <c r="G2567" s="8">
        <v>5</v>
      </c>
      <c r="H2567" s="11">
        <v>50</v>
      </c>
      <c r="I2567" s="12">
        <v>42678</v>
      </c>
      <c r="J2567" s="35">
        <f t="shared" si="99"/>
        <v>0</v>
      </c>
      <c r="K2567" s="36"/>
      <c r="L2567" s="36"/>
      <c r="M2567" s="36"/>
      <c r="N2567" s="36"/>
      <c r="O2567" s="36"/>
      <c r="P2567" s="36"/>
      <c r="Q2567" s="36"/>
      <c r="R2567" s="36"/>
      <c r="S2567" s="36"/>
      <c r="T2567" s="36"/>
      <c r="U2567" s="36"/>
      <c r="V2567" s="36"/>
      <c r="W2567" s="15">
        <f t="shared" si="100"/>
        <v>0</v>
      </c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15">
        <f t="shared" si="101"/>
        <v>0</v>
      </c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5"/>
      <c r="AX2567" s="16"/>
    </row>
    <row r="2568" spans="1:50" x14ac:dyDescent="0.2">
      <c r="B2568" s="7"/>
      <c r="C2568" s="8">
        <v>13134</v>
      </c>
      <c r="D2568" s="9" t="s">
        <v>205</v>
      </c>
      <c r="E2568" s="10" t="s">
        <v>206</v>
      </c>
      <c r="F2568" s="10" t="s">
        <v>207</v>
      </c>
      <c r="G2568" s="8">
        <v>1</v>
      </c>
      <c r="H2568" s="11">
        <v>600</v>
      </c>
      <c r="I2568" s="12">
        <v>42678</v>
      </c>
      <c r="J2568" s="35">
        <f t="shared" si="99"/>
        <v>0</v>
      </c>
      <c r="K2568" s="36"/>
      <c r="L2568" s="36"/>
      <c r="M2568" s="36"/>
      <c r="N2568" s="36"/>
      <c r="O2568" s="36"/>
      <c r="P2568" s="36"/>
      <c r="Q2568" s="36"/>
      <c r="R2568" s="36"/>
      <c r="S2568" s="36"/>
      <c r="T2568" s="36">
        <v>600</v>
      </c>
      <c r="U2568" s="36"/>
      <c r="V2568" s="36"/>
      <c r="W2568" s="15">
        <f t="shared" si="100"/>
        <v>600</v>
      </c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15">
        <f t="shared" si="101"/>
        <v>0</v>
      </c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14"/>
      <c r="AW2568" s="15"/>
      <c r="AX2568" s="16"/>
    </row>
    <row r="2569" spans="1:50" x14ac:dyDescent="0.2">
      <c r="B2569" s="7"/>
      <c r="C2569" s="8">
        <v>13135</v>
      </c>
      <c r="D2569" s="9" t="s">
        <v>669</v>
      </c>
      <c r="E2569" s="10" t="s">
        <v>670</v>
      </c>
      <c r="F2569" s="10" t="s">
        <v>671</v>
      </c>
      <c r="G2569" s="8">
        <v>1</v>
      </c>
      <c r="H2569" s="11">
        <v>1200</v>
      </c>
      <c r="I2569" s="12">
        <v>42678</v>
      </c>
      <c r="J2569" s="35">
        <f t="shared" si="99"/>
        <v>0</v>
      </c>
      <c r="K2569" s="36"/>
      <c r="L2569" s="36"/>
      <c r="M2569" s="36"/>
      <c r="N2569" s="36"/>
      <c r="O2569" s="36"/>
      <c r="P2569" s="36"/>
      <c r="Q2569" s="36"/>
      <c r="R2569" s="36">
        <v>400</v>
      </c>
      <c r="S2569" s="36">
        <v>400</v>
      </c>
      <c r="T2569" s="36">
        <v>400</v>
      </c>
      <c r="U2569" s="36"/>
      <c r="V2569" s="36"/>
      <c r="W2569" s="15">
        <f t="shared" si="100"/>
        <v>1200</v>
      </c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15">
        <f t="shared" si="101"/>
        <v>0</v>
      </c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5"/>
      <c r="AX2569" s="16"/>
    </row>
    <row r="2570" spans="1:50" x14ac:dyDescent="0.2">
      <c r="B2570" s="7"/>
      <c r="C2570" s="318">
        <v>13136</v>
      </c>
      <c r="D2570" s="9" t="s">
        <v>211</v>
      </c>
      <c r="E2570" s="10" t="s">
        <v>212</v>
      </c>
      <c r="F2570" s="10" t="s">
        <v>213</v>
      </c>
      <c r="G2570" s="8"/>
      <c r="H2570" s="11"/>
      <c r="I2570" s="12"/>
      <c r="J2570" s="35">
        <f t="shared" si="99"/>
        <v>0</v>
      </c>
      <c r="K2570" s="36"/>
      <c r="L2570" s="36"/>
      <c r="M2570" s="36"/>
      <c r="N2570" s="36"/>
      <c r="O2570" s="36"/>
      <c r="P2570" s="36"/>
      <c r="Q2570" s="36"/>
      <c r="R2570" s="36"/>
      <c r="S2570" s="36"/>
      <c r="T2570" s="36"/>
      <c r="U2570" s="36"/>
      <c r="V2570" s="36"/>
      <c r="W2570" s="15">
        <f t="shared" si="100"/>
        <v>0</v>
      </c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15">
        <f t="shared" si="101"/>
        <v>0</v>
      </c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14"/>
      <c r="AW2570" s="15"/>
      <c r="AX2570" s="16"/>
    </row>
    <row r="2571" spans="1:50" x14ac:dyDescent="0.2">
      <c r="B2571" s="7"/>
      <c r="C2571" s="8">
        <v>13137</v>
      </c>
      <c r="D2571" s="9" t="s">
        <v>1203</v>
      </c>
      <c r="E2571" s="10" t="s">
        <v>1204</v>
      </c>
      <c r="F2571" s="10" t="s">
        <v>1205</v>
      </c>
      <c r="G2571" s="8">
        <v>1</v>
      </c>
      <c r="H2571" s="11">
        <v>300</v>
      </c>
      <c r="I2571" s="12">
        <v>42680</v>
      </c>
      <c r="J2571" s="35">
        <f t="shared" si="99"/>
        <v>0</v>
      </c>
      <c r="K2571" s="36"/>
      <c r="L2571" s="36"/>
      <c r="M2571" s="36"/>
      <c r="N2571" s="36"/>
      <c r="O2571" s="36"/>
      <c r="P2571" s="36"/>
      <c r="Q2571" s="36"/>
      <c r="R2571" s="36"/>
      <c r="S2571" s="36"/>
      <c r="T2571" s="36"/>
      <c r="U2571" s="36">
        <v>300</v>
      </c>
      <c r="V2571" s="36"/>
      <c r="W2571" s="15">
        <f t="shared" si="100"/>
        <v>300</v>
      </c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15">
        <f t="shared" si="101"/>
        <v>0</v>
      </c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14"/>
      <c r="AW2571" s="15"/>
      <c r="AX2571" s="16"/>
    </row>
    <row r="2572" spans="1:50" x14ac:dyDescent="0.2">
      <c r="B2572" s="7"/>
      <c r="C2572" s="8">
        <v>13138</v>
      </c>
      <c r="D2572" s="9" t="s">
        <v>820</v>
      </c>
      <c r="E2572" s="10" t="s">
        <v>821</v>
      </c>
      <c r="F2572" s="10" t="s">
        <v>822</v>
      </c>
      <c r="G2572" s="8">
        <v>1</v>
      </c>
      <c r="H2572" s="11">
        <v>300</v>
      </c>
      <c r="I2572" s="12">
        <v>42680</v>
      </c>
      <c r="J2572" s="35">
        <f t="shared" si="99"/>
        <v>0</v>
      </c>
      <c r="K2572" s="36"/>
      <c r="L2572" s="36"/>
      <c r="M2572" s="36"/>
      <c r="N2572" s="36"/>
      <c r="O2572" s="36"/>
      <c r="P2572" s="36"/>
      <c r="Q2572" s="36"/>
      <c r="R2572" s="36"/>
      <c r="S2572" s="36"/>
      <c r="T2572" s="36">
        <v>300</v>
      </c>
      <c r="U2572" s="36"/>
      <c r="V2572" s="36"/>
      <c r="W2572" s="15">
        <f t="shared" si="100"/>
        <v>300</v>
      </c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15">
        <f t="shared" si="101"/>
        <v>0</v>
      </c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14"/>
      <c r="AW2572" s="15"/>
      <c r="AX2572" s="16"/>
    </row>
    <row r="2573" spans="1:50" x14ac:dyDescent="0.2">
      <c r="B2573" s="319"/>
      <c r="C2573" s="8">
        <v>13139</v>
      </c>
      <c r="D2573" s="9" t="s">
        <v>1017</v>
      </c>
      <c r="E2573" s="10" t="s">
        <v>1018</v>
      </c>
      <c r="F2573" s="10" t="s">
        <v>3196</v>
      </c>
      <c r="G2573" s="8">
        <v>1</v>
      </c>
      <c r="H2573" s="11">
        <v>400</v>
      </c>
      <c r="I2573" s="12">
        <v>42680</v>
      </c>
      <c r="J2573" s="35">
        <f t="shared" si="99"/>
        <v>0</v>
      </c>
      <c r="K2573" s="36"/>
      <c r="L2573" s="36"/>
      <c r="M2573" s="36"/>
      <c r="N2573" s="36"/>
      <c r="O2573" s="36"/>
      <c r="P2573" s="36"/>
      <c r="Q2573" s="36"/>
      <c r="R2573" s="36"/>
      <c r="S2573" s="36"/>
      <c r="T2573" s="36">
        <v>200</v>
      </c>
      <c r="U2573" s="36">
        <v>200</v>
      </c>
      <c r="V2573" s="36"/>
      <c r="W2573" s="15">
        <f t="shared" si="100"/>
        <v>400</v>
      </c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15">
        <f t="shared" si="101"/>
        <v>0</v>
      </c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14"/>
      <c r="AW2573" s="15"/>
      <c r="AX2573" s="16"/>
    </row>
    <row r="2574" spans="1:50" x14ac:dyDescent="0.2">
      <c r="B2574" s="7"/>
      <c r="C2574" s="8">
        <v>13140</v>
      </c>
      <c r="D2574" s="9" t="s">
        <v>602</v>
      </c>
      <c r="E2574" s="10" t="s">
        <v>603</v>
      </c>
      <c r="F2574" s="10" t="s">
        <v>604</v>
      </c>
      <c r="G2574" s="8">
        <v>1</v>
      </c>
      <c r="H2574" s="11">
        <v>400</v>
      </c>
      <c r="I2574" s="12">
        <v>42680</v>
      </c>
      <c r="J2574" s="35">
        <f t="shared" si="99"/>
        <v>0</v>
      </c>
      <c r="K2574" s="36"/>
      <c r="L2574" s="36"/>
      <c r="M2574" s="36"/>
      <c r="N2574" s="36"/>
      <c r="O2574" s="36"/>
      <c r="P2574" s="36"/>
      <c r="Q2574" s="36"/>
      <c r="R2574" s="36"/>
      <c r="S2574" s="36"/>
      <c r="T2574" s="36">
        <v>200</v>
      </c>
      <c r="U2574" s="36">
        <v>200</v>
      </c>
      <c r="V2574" s="36"/>
      <c r="W2574" s="15">
        <f t="shared" si="100"/>
        <v>400</v>
      </c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15">
        <f t="shared" si="101"/>
        <v>0</v>
      </c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14"/>
      <c r="AW2574" s="15"/>
      <c r="AX2574" s="16"/>
    </row>
    <row r="2575" spans="1:50" x14ac:dyDescent="0.2">
      <c r="B2575" s="7"/>
      <c r="C2575" s="8">
        <v>13141</v>
      </c>
      <c r="D2575" s="9" t="s">
        <v>602</v>
      </c>
      <c r="E2575" s="10" t="s">
        <v>603</v>
      </c>
      <c r="F2575" s="10" t="s">
        <v>604</v>
      </c>
      <c r="G2575" s="8">
        <v>5</v>
      </c>
      <c r="H2575" s="11">
        <v>50</v>
      </c>
      <c r="I2575" s="12">
        <v>42680</v>
      </c>
      <c r="J2575" s="35">
        <f t="shared" si="99"/>
        <v>0</v>
      </c>
      <c r="K2575" s="36"/>
      <c r="L2575" s="36"/>
      <c r="M2575" s="36"/>
      <c r="N2575" s="36"/>
      <c r="O2575" s="36"/>
      <c r="P2575" s="36"/>
      <c r="Q2575" s="36"/>
      <c r="R2575" s="36"/>
      <c r="S2575" s="36"/>
      <c r="T2575" s="36"/>
      <c r="U2575" s="36"/>
      <c r="V2575" s="36"/>
      <c r="W2575" s="15">
        <f t="shared" si="100"/>
        <v>0</v>
      </c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15">
        <f t="shared" si="101"/>
        <v>0</v>
      </c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14"/>
      <c r="AW2575" s="15"/>
      <c r="AX2575" s="16"/>
    </row>
    <row r="2576" spans="1:50" x14ac:dyDescent="0.2">
      <c r="B2576" s="7"/>
      <c r="C2576" s="8">
        <v>13142</v>
      </c>
      <c r="D2576" s="9" t="s">
        <v>520</v>
      </c>
      <c r="E2576" s="10" t="s">
        <v>521</v>
      </c>
      <c r="F2576" s="10" t="s">
        <v>522</v>
      </c>
      <c r="G2576" s="8">
        <v>1</v>
      </c>
      <c r="H2576" s="11">
        <v>800</v>
      </c>
      <c r="I2576" s="12">
        <v>42680</v>
      </c>
      <c r="J2576" s="35">
        <f t="shared" si="99"/>
        <v>0</v>
      </c>
      <c r="K2576" s="36"/>
      <c r="L2576" s="36"/>
      <c r="M2576" s="36"/>
      <c r="N2576" s="36"/>
      <c r="O2576" s="36"/>
      <c r="P2576" s="36"/>
      <c r="Q2576" s="36"/>
      <c r="R2576" s="36"/>
      <c r="S2576" s="36"/>
      <c r="T2576" s="36"/>
      <c r="U2576" s="36">
        <v>400</v>
      </c>
      <c r="V2576" s="36">
        <v>400</v>
      </c>
      <c r="W2576" s="15">
        <f t="shared" si="100"/>
        <v>800</v>
      </c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15">
        <f t="shared" si="101"/>
        <v>0</v>
      </c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5"/>
      <c r="AX2576" s="16"/>
    </row>
    <row r="2577" spans="2:50" x14ac:dyDescent="0.2">
      <c r="B2577" s="7"/>
      <c r="C2577" s="8">
        <v>13143</v>
      </c>
      <c r="D2577" s="9" t="s">
        <v>1055</v>
      </c>
      <c r="E2577" s="10" t="s">
        <v>1056</v>
      </c>
      <c r="F2577" s="10" t="s">
        <v>1057</v>
      </c>
      <c r="G2577" s="8">
        <v>1</v>
      </c>
      <c r="H2577" s="11">
        <v>400</v>
      </c>
      <c r="I2577" s="12">
        <v>42680</v>
      </c>
      <c r="J2577" s="35">
        <f t="shared" si="99"/>
        <v>0</v>
      </c>
      <c r="K2577" s="36"/>
      <c r="L2577" s="36"/>
      <c r="M2577" s="36"/>
      <c r="N2577" s="36"/>
      <c r="O2577" s="36"/>
      <c r="P2577" s="36"/>
      <c r="Q2577" s="36"/>
      <c r="R2577" s="36"/>
      <c r="S2577" s="36"/>
      <c r="T2577" s="36">
        <v>200</v>
      </c>
      <c r="U2577" s="36">
        <v>200</v>
      </c>
      <c r="V2577" s="36"/>
      <c r="W2577" s="15">
        <f t="shared" si="100"/>
        <v>400</v>
      </c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15">
        <f t="shared" si="101"/>
        <v>0</v>
      </c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14"/>
      <c r="AV2577" s="14"/>
      <c r="AW2577" s="15"/>
      <c r="AX2577" s="16"/>
    </row>
    <row r="2578" spans="2:50" x14ac:dyDescent="0.2">
      <c r="B2578" s="7"/>
      <c r="C2578" s="8">
        <v>13144</v>
      </c>
      <c r="D2578" s="9" t="s">
        <v>678</v>
      </c>
      <c r="E2578" s="10" t="s">
        <v>679</v>
      </c>
      <c r="F2578" s="10" t="s">
        <v>680</v>
      </c>
      <c r="G2578" s="8">
        <v>1</v>
      </c>
      <c r="H2578" s="11">
        <v>400</v>
      </c>
      <c r="I2578" s="12">
        <v>42680</v>
      </c>
      <c r="J2578" s="35">
        <f t="shared" si="99"/>
        <v>0</v>
      </c>
      <c r="K2578" s="36"/>
      <c r="L2578" s="36"/>
      <c r="M2578" s="36"/>
      <c r="N2578" s="36"/>
      <c r="O2578" s="36"/>
      <c r="P2578" s="36"/>
      <c r="Q2578" s="36"/>
      <c r="R2578" s="36"/>
      <c r="S2578" s="36"/>
      <c r="T2578" s="36"/>
      <c r="U2578" s="36">
        <v>400</v>
      </c>
      <c r="V2578" s="36"/>
      <c r="W2578" s="15">
        <f t="shared" si="100"/>
        <v>400</v>
      </c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15">
        <f t="shared" si="101"/>
        <v>0</v>
      </c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5"/>
      <c r="AX2578" s="16"/>
    </row>
    <row r="2579" spans="2:50" x14ac:dyDescent="0.2">
      <c r="B2579" s="7"/>
      <c r="C2579" s="8">
        <v>13145</v>
      </c>
      <c r="D2579" s="9" t="s">
        <v>343</v>
      </c>
      <c r="E2579" s="10" t="s">
        <v>344</v>
      </c>
      <c r="F2579" s="10" t="s">
        <v>345</v>
      </c>
      <c r="G2579" s="8">
        <v>1</v>
      </c>
      <c r="H2579" s="11">
        <v>800</v>
      </c>
      <c r="I2579" s="12">
        <v>42680</v>
      </c>
      <c r="J2579" s="35">
        <f t="shared" si="99"/>
        <v>0</v>
      </c>
      <c r="K2579" s="36"/>
      <c r="L2579" s="36"/>
      <c r="M2579" s="36"/>
      <c r="N2579" s="36"/>
      <c r="O2579" s="36"/>
      <c r="P2579" s="36"/>
      <c r="Q2579" s="36"/>
      <c r="R2579" s="36"/>
      <c r="S2579" s="36"/>
      <c r="T2579" s="36">
        <v>400</v>
      </c>
      <c r="U2579" s="36">
        <v>400</v>
      </c>
      <c r="V2579" s="36"/>
      <c r="W2579" s="15">
        <f t="shared" si="100"/>
        <v>800</v>
      </c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15">
        <f t="shared" si="101"/>
        <v>0</v>
      </c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14"/>
      <c r="AV2579" s="14"/>
      <c r="AW2579" s="15"/>
      <c r="AX2579" s="16"/>
    </row>
    <row r="2580" spans="2:50" x14ac:dyDescent="0.2">
      <c r="B2580" s="7"/>
      <c r="C2580" s="8">
        <v>13146</v>
      </c>
      <c r="D2580" s="9" t="s">
        <v>631</v>
      </c>
      <c r="E2580" s="10" t="s">
        <v>632</v>
      </c>
      <c r="F2580" s="10" t="s">
        <v>633</v>
      </c>
      <c r="G2580" s="8">
        <v>1</v>
      </c>
      <c r="H2580" s="11">
        <v>300</v>
      </c>
      <c r="I2580" s="12">
        <v>42680</v>
      </c>
      <c r="J2580" s="35">
        <f t="shared" si="99"/>
        <v>0</v>
      </c>
      <c r="K2580" s="36"/>
      <c r="L2580" s="36"/>
      <c r="M2580" s="36"/>
      <c r="N2580" s="36"/>
      <c r="O2580" s="36"/>
      <c r="P2580" s="36"/>
      <c r="Q2580" s="36"/>
      <c r="R2580" s="36"/>
      <c r="S2580" s="36"/>
      <c r="T2580" s="36">
        <v>300</v>
      </c>
      <c r="U2580" s="36"/>
      <c r="V2580" s="36"/>
      <c r="W2580" s="15">
        <f t="shared" si="100"/>
        <v>300</v>
      </c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15">
        <f t="shared" si="101"/>
        <v>0</v>
      </c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14"/>
      <c r="AV2580" s="14"/>
      <c r="AW2580" s="15"/>
      <c r="AX2580" s="16"/>
    </row>
    <row r="2581" spans="2:50" x14ac:dyDescent="0.2">
      <c r="B2581" s="7"/>
      <c r="C2581" s="8">
        <v>13146</v>
      </c>
      <c r="D2581" s="9" t="s">
        <v>631</v>
      </c>
      <c r="E2581" s="10" t="s">
        <v>632</v>
      </c>
      <c r="F2581" s="10" t="s">
        <v>633</v>
      </c>
      <c r="G2581" s="8">
        <v>5</v>
      </c>
      <c r="H2581" s="11">
        <v>50</v>
      </c>
      <c r="I2581" s="12">
        <v>42680</v>
      </c>
      <c r="J2581" s="35">
        <f t="shared" si="99"/>
        <v>0</v>
      </c>
      <c r="K2581" s="36"/>
      <c r="L2581" s="36"/>
      <c r="M2581" s="36"/>
      <c r="N2581" s="36"/>
      <c r="O2581" s="36"/>
      <c r="P2581" s="36"/>
      <c r="Q2581" s="36"/>
      <c r="R2581" s="36"/>
      <c r="S2581" s="36"/>
      <c r="T2581" s="36"/>
      <c r="U2581" s="36"/>
      <c r="V2581" s="36"/>
      <c r="W2581" s="15">
        <f t="shared" si="100"/>
        <v>0</v>
      </c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15">
        <f t="shared" si="101"/>
        <v>0</v>
      </c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5"/>
      <c r="AX2581" s="16"/>
    </row>
    <row r="2582" spans="2:50" x14ac:dyDescent="0.2">
      <c r="B2582" s="7"/>
      <c r="C2582" s="8">
        <v>13147</v>
      </c>
      <c r="D2582" s="9" t="s">
        <v>100</v>
      </c>
      <c r="E2582" s="10" t="s">
        <v>101</v>
      </c>
      <c r="F2582" s="10" t="s">
        <v>102</v>
      </c>
      <c r="G2582" s="8">
        <v>1</v>
      </c>
      <c r="H2582" s="11">
        <v>400</v>
      </c>
      <c r="I2582" s="12">
        <v>42680</v>
      </c>
      <c r="J2582" s="35">
        <f t="shared" si="99"/>
        <v>0</v>
      </c>
      <c r="K2582" s="36"/>
      <c r="L2582" s="36"/>
      <c r="M2582" s="36"/>
      <c r="N2582" s="36"/>
      <c r="O2582" s="36"/>
      <c r="P2582" s="36"/>
      <c r="Q2582" s="36"/>
      <c r="R2582" s="36"/>
      <c r="S2582" s="36"/>
      <c r="T2582" s="36"/>
      <c r="U2582" s="36">
        <v>400</v>
      </c>
      <c r="V2582" s="36"/>
      <c r="W2582" s="15">
        <f t="shared" si="100"/>
        <v>400</v>
      </c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15">
        <f t="shared" si="101"/>
        <v>0</v>
      </c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5"/>
      <c r="AX2582" s="16"/>
    </row>
    <row r="2583" spans="2:50" x14ac:dyDescent="0.2">
      <c r="B2583" s="7"/>
      <c r="C2583" s="8">
        <v>13148</v>
      </c>
      <c r="D2583" s="9" t="s">
        <v>831</v>
      </c>
      <c r="E2583" s="10" t="s">
        <v>832</v>
      </c>
      <c r="F2583" s="10" t="s">
        <v>833</v>
      </c>
      <c r="G2583" s="8">
        <v>1</v>
      </c>
      <c r="H2583" s="11">
        <v>800</v>
      </c>
      <c r="I2583" s="12">
        <v>42680</v>
      </c>
      <c r="J2583" s="35">
        <f t="shared" si="99"/>
        <v>0</v>
      </c>
      <c r="K2583" s="36"/>
      <c r="L2583" s="36"/>
      <c r="M2583" s="36"/>
      <c r="N2583" s="36"/>
      <c r="O2583" s="36"/>
      <c r="P2583" s="36"/>
      <c r="Q2583" s="36"/>
      <c r="R2583" s="36"/>
      <c r="S2583" s="36"/>
      <c r="T2583" s="36">
        <v>400</v>
      </c>
      <c r="U2583" s="36">
        <v>400</v>
      </c>
      <c r="V2583" s="36"/>
      <c r="W2583" s="15">
        <f t="shared" si="100"/>
        <v>800</v>
      </c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15">
        <f t="shared" si="101"/>
        <v>0</v>
      </c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14"/>
      <c r="AV2583" s="14"/>
      <c r="AW2583" s="15"/>
      <c r="AX2583" s="16"/>
    </row>
    <row r="2584" spans="2:50" x14ac:dyDescent="0.2">
      <c r="B2584" s="7"/>
      <c r="C2584" s="8">
        <v>13149</v>
      </c>
      <c r="D2584" s="9" t="s">
        <v>331</v>
      </c>
      <c r="E2584" s="10" t="s">
        <v>332</v>
      </c>
      <c r="F2584" s="10" t="s">
        <v>333</v>
      </c>
      <c r="G2584" s="8">
        <v>1</v>
      </c>
      <c r="H2584" s="11">
        <v>800</v>
      </c>
      <c r="I2584" s="12">
        <v>42680</v>
      </c>
      <c r="J2584" s="35">
        <f t="shared" si="99"/>
        <v>0</v>
      </c>
      <c r="K2584" s="36"/>
      <c r="L2584" s="36"/>
      <c r="M2584" s="36"/>
      <c r="N2584" s="36"/>
      <c r="O2584" s="36"/>
      <c r="P2584" s="36"/>
      <c r="Q2584" s="36"/>
      <c r="R2584" s="36"/>
      <c r="S2584" s="36"/>
      <c r="T2584" s="36"/>
      <c r="U2584" s="36">
        <v>400</v>
      </c>
      <c r="V2584" s="36">
        <v>400</v>
      </c>
      <c r="W2584" s="15">
        <f t="shared" si="100"/>
        <v>800</v>
      </c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15">
        <f t="shared" si="101"/>
        <v>0</v>
      </c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14"/>
      <c r="AV2584" s="14"/>
      <c r="AW2584" s="15"/>
      <c r="AX2584" s="16"/>
    </row>
    <row r="2585" spans="2:50" x14ac:dyDescent="0.2">
      <c r="B2585" s="7"/>
      <c r="C2585" s="8">
        <v>13150</v>
      </c>
      <c r="D2585" s="9" t="s">
        <v>1181</v>
      </c>
      <c r="E2585" s="10" t="s">
        <v>1182</v>
      </c>
      <c r="F2585" s="10" t="s">
        <v>1183</v>
      </c>
      <c r="G2585" s="8">
        <v>1</v>
      </c>
      <c r="H2585" s="11">
        <v>600</v>
      </c>
      <c r="I2585" s="12">
        <v>42680</v>
      </c>
      <c r="J2585" s="35">
        <f t="shared" si="99"/>
        <v>0</v>
      </c>
      <c r="K2585" s="36"/>
      <c r="L2585" s="36"/>
      <c r="M2585" s="36"/>
      <c r="N2585" s="36"/>
      <c r="O2585" s="36"/>
      <c r="P2585" s="36"/>
      <c r="Q2585" s="36"/>
      <c r="R2585" s="36"/>
      <c r="S2585" s="36">
        <v>200</v>
      </c>
      <c r="T2585" s="36">
        <v>200</v>
      </c>
      <c r="U2585" s="36">
        <v>200</v>
      </c>
      <c r="V2585" s="36"/>
      <c r="W2585" s="15">
        <f t="shared" si="100"/>
        <v>600</v>
      </c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15">
        <f t="shared" si="101"/>
        <v>0</v>
      </c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14"/>
      <c r="AV2585" s="14"/>
      <c r="AW2585" s="15"/>
      <c r="AX2585" s="16"/>
    </row>
    <row r="2586" spans="2:50" x14ac:dyDescent="0.2">
      <c r="B2586" s="7"/>
      <c r="C2586" s="8">
        <v>13151</v>
      </c>
      <c r="D2586" s="9" t="s">
        <v>1181</v>
      </c>
      <c r="E2586" s="10" t="s">
        <v>1182</v>
      </c>
      <c r="F2586" s="10" t="s">
        <v>1183</v>
      </c>
      <c r="G2586" s="8">
        <v>3</v>
      </c>
      <c r="H2586" s="11">
        <v>200</v>
      </c>
      <c r="I2586" s="12">
        <v>42680</v>
      </c>
      <c r="J2586" s="35">
        <f t="shared" si="99"/>
        <v>0</v>
      </c>
      <c r="K2586" s="36"/>
      <c r="L2586" s="36"/>
      <c r="M2586" s="36"/>
      <c r="N2586" s="36"/>
      <c r="O2586" s="36"/>
      <c r="P2586" s="36"/>
      <c r="Q2586" s="36"/>
      <c r="R2586" s="36"/>
      <c r="S2586" s="36"/>
      <c r="T2586" s="36"/>
      <c r="U2586" s="36"/>
      <c r="V2586" s="36"/>
      <c r="W2586" s="15">
        <f t="shared" si="100"/>
        <v>0</v>
      </c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15">
        <f t="shared" si="101"/>
        <v>0</v>
      </c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14"/>
      <c r="AV2586" s="14"/>
      <c r="AW2586" s="15"/>
      <c r="AX2586" s="16"/>
    </row>
    <row r="2587" spans="2:50" x14ac:dyDescent="0.2">
      <c r="B2587" s="7"/>
      <c r="C2587" s="8">
        <v>13151</v>
      </c>
      <c r="D2587" s="9" t="s">
        <v>1181</v>
      </c>
      <c r="E2587" s="10" t="s">
        <v>1182</v>
      </c>
      <c r="F2587" s="10" t="s">
        <v>1183</v>
      </c>
      <c r="G2587" s="8">
        <v>5</v>
      </c>
      <c r="H2587" s="11">
        <v>50</v>
      </c>
      <c r="I2587" s="12">
        <v>42680</v>
      </c>
      <c r="J2587" s="35">
        <f t="shared" si="99"/>
        <v>0</v>
      </c>
      <c r="K2587" s="36"/>
      <c r="L2587" s="36"/>
      <c r="M2587" s="36"/>
      <c r="N2587" s="36"/>
      <c r="O2587" s="36"/>
      <c r="P2587" s="36"/>
      <c r="Q2587" s="36"/>
      <c r="R2587" s="36"/>
      <c r="S2587" s="36"/>
      <c r="T2587" s="36"/>
      <c r="U2587" s="36"/>
      <c r="V2587" s="36"/>
      <c r="W2587" s="15">
        <f t="shared" si="100"/>
        <v>0</v>
      </c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15">
        <f t="shared" si="101"/>
        <v>0</v>
      </c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14"/>
      <c r="AV2587" s="14"/>
      <c r="AW2587" s="15"/>
      <c r="AX2587" s="16"/>
    </row>
    <row r="2588" spans="2:50" x14ac:dyDescent="0.2">
      <c r="B2588" s="7"/>
      <c r="C2588" s="8">
        <v>13152</v>
      </c>
      <c r="D2588" s="9" t="s">
        <v>556</v>
      </c>
      <c r="E2588" s="10" t="s">
        <v>557</v>
      </c>
      <c r="F2588" s="10" t="s">
        <v>558</v>
      </c>
      <c r="G2588" s="8">
        <v>1</v>
      </c>
      <c r="H2588" s="11">
        <v>800</v>
      </c>
      <c r="I2588" s="12">
        <v>42680</v>
      </c>
      <c r="J2588" s="35">
        <f t="shared" si="99"/>
        <v>0</v>
      </c>
      <c r="K2588" s="36"/>
      <c r="L2588" s="36"/>
      <c r="M2588" s="36"/>
      <c r="N2588" s="36"/>
      <c r="O2588" s="36"/>
      <c r="P2588" s="36"/>
      <c r="Q2588" s="36"/>
      <c r="R2588" s="36">
        <v>400</v>
      </c>
      <c r="S2588" s="36">
        <v>400</v>
      </c>
      <c r="T2588" s="36"/>
      <c r="U2588" s="36"/>
      <c r="V2588" s="36"/>
      <c r="W2588" s="15">
        <f t="shared" si="100"/>
        <v>800</v>
      </c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15">
        <f t="shared" si="101"/>
        <v>0</v>
      </c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5"/>
      <c r="AX2588" s="16"/>
    </row>
    <row r="2589" spans="2:50" x14ac:dyDescent="0.2">
      <c r="B2589" s="7"/>
      <c r="C2589" s="8">
        <v>13153</v>
      </c>
      <c r="D2589" s="9" t="s">
        <v>262</v>
      </c>
      <c r="E2589" s="10" t="s">
        <v>263</v>
      </c>
      <c r="F2589" s="10" t="s">
        <v>264</v>
      </c>
      <c r="G2589" s="8">
        <v>1</v>
      </c>
      <c r="H2589" s="11">
        <v>300</v>
      </c>
      <c r="I2589" s="12">
        <v>42680</v>
      </c>
      <c r="J2589" s="35">
        <f t="shared" si="99"/>
        <v>0</v>
      </c>
      <c r="K2589" s="36"/>
      <c r="L2589" s="36"/>
      <c r="M2589" s="36"/>
      <c r="N2589" s="36"/>
      <c r="O2589" s="36"/>
      <c r="P2589" s="36"/>
      <c r="Q2589" s="36"/>
      <c r="R2589" s="36"/>
      <c r="S2589" s="36"/>
      <c r="T2589" s="36"/>
      <c r="U2589" s="36">
        <v>300</v>
      </c>
      <c r="V2589" s="36"/>
      <c r="W2589" s="15">
        <f t="shared" si="100"/>
        <v>300</v>
      </c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15">
        <f t="shared" si="101"/>
        <v>0</v>
      </c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14"/>
      <c r="AV2589" s="14"/>
      <c r="AW2589" s="15"/>
      <c r="AX2589" s="16"/>
    </row>
    <row r="2590" spans="2:50" x14ac:dyDescent="0.2">
      <c r="B2590" s="7"/>
      <c r="C2590" s="8">
        <v>13154</v>
      </c>
      <c r="D2590" s="9" t="s">
        <v>280</v>
      </c>
      <c r="E2590" s="10" t="s">
        <v>281</v>
      </c>
      <c r="F2590" s="10" t="s">
        <v>282</v>
      </c>
      <c r="G2590" s="8">
        <v>1</v>
      </c>
      <c r="H2590" s="11">
        <v>400</v>
      </c>
      <c r="I2590" s="12">
        <v>42680</v>
      </c>
      <c r="J2590" s="35">
        <f t="shared" si="99"/>
        <v>0</v>
      </c>
      <c r="K2590" s="36"/>
      <c r="L2590" s="36"/>
      <c r="M2590" s="36"/>
      <c r="N2590" s="36"/>
      <c r="O2590" s="36"/>
      <c r="P2590" s="36"/>
      <c r="Q2590" s="36"/>
      <c r="R2590" s="36"/>
      <c r="S2590" s="36"/>
      <c r="T2590" s="36"/>
      <c r="U2590" s="36">
        <v>400</v>
      </c>
      <c r="V2590" s="36"/>
      <c r="W2590" s="15">
        <f t="shared" si="100"/>
        <v>400</v>
      </c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15">
        <f t="shared" si="101"/>
        <v>0</v>
      </c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14"/>
      <c r="AV2590" s="14"/>
      <c r="AW2590" s="15"/>
      <c r="AX2590" s="16"/>
    </row>
    <row r="2591" spans="2:50" x14ac:dyDescent="0.2">
      <c r="B2591" s="7"/>
      <c r="C2591" s="8">
        <v>13155</v>
      </c>
      <c r="D2591" s="9" t="s">
        <v>265</v>
      </c>
      <c r="E2591" s="10" t="s">
        <v>266</v>
      </c>
      <c r="F2591" s="10" t="s">
        <v>267</v>
      </c>
      <c r="G2591" s="8">
        <v>1</v>
      </c>
      <c r="H2591" s="11">
        <v>400</v>
      </c>
      <c r="I2591" s="12">
        <v>42680</v>
      </c>
      <c r="J2591" s="35">
        <f t="shared" si="99"/>
        <v>0</v>
      </c>
      <c r="K2591" s="36"/>
      <c r="L2591" s="36"/>
      <c r="M2591" s="36"/>
      <c r="N2591" s="36"/>
      <c r="O2591" s="36"/>
      <c r="P2591" s="36"/>
      <c r="Q2591" s="36"/>
      <c r="R2591" s="36"/>
      <c r="S2591" s="36"/>
      <c r="T2591" s="36"/>
      <c r="U2591" s="36">
        <v>400</v>
      </c>
      <c r="V2591" s="36"/>
      <c r="W2591" s="15">
        <f t="shared" si="100"/>
        <v>400</v>
      </c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15">
        <f t="shared" si="101"/>
        <v>0</v>
      </c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14"/>
      <c r="AV2591" s="14"/>
      <c r="AW2591" s="15"/>
      <c r="AX2591" s="16"/>
    </row>
    <row r="2592" spans="2:50" x14ac:dyDescent="0.2">
      <c r="B2592" s="7"/>
      <c r="C2592" s="8">
        <v>13156</v>
      </c>
      <c r="D2592" s="9" t="s">
        <v>794</v>
      </c>
      <c r="E2592" s="10" t="s">
        <v>795</v>
      </c>
      <c r="F2592" s="10" t="s">
        <v>796</v>
      </c>
      <c r="G2592" s="8">
        <v>1</v>
      </c>
      <c r="H2592" s="11">
        <v>300</v>
      </c>
      <c r="I2592" s="12">
        <v>42680</v>
      </c>
      <c r="J2592" s="35">
        <f t="shared" si="99"/>
        <v>0</v>
      </c>
      <c r="K2592" s="36"/>
      <c r="L2592" s="36"/>
      <c r="M2592" s="36"/>
      <c r="N2592" s="36"/>
      <c r="O2592" s="36"/>
      <c r="P2592" s="36"/>
      <c r="Q2592" s="36"/>
      <c r="R2592" s="36"/>
      <c r="S2592" s="36"/>
      <c r="T2592" s="36">
        <v>300</v>
      </c>
      <c r="U2592" s="36"/>
      <c r="V2592" s="36"/>
      <c r="W2592" s="15">
        <f t="shared" si="100"/>
        <v>300</v>
      </c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15">
        <f t="shared" si="101"/>
        <v>0</v>
      </c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5"/>
      <c r="AX2592" s="16"/>
    </row>
    <row r="2593" spans="2:50" x14ac:dyDescent="0.2">
      <c r="B2593" s="7"/>
      <c r="C2593" s="8">
        <v>13157</v>
      </c>
      <c r="D2593" s="9" t="s">
        <v>479</v>
      </c>
      <c r="E2593" s="10" t="s">
        <v>480</v>
      </c>
      <c r="F2593" s="10" t="s">
        <v>481</v>
      </c>
      <c r="G2593" s="8">
        <v>1</v>
      </c>
      <c r="H2593" s="11">
        <v>300</v>
      </c>
      <c r="I2593" s="12">
        <v>42680</v>
      </c>
      <c r="J2593" s="35">
        <f t="shared" si="99"/>
        <v>0</v>
      </c>
      <c r="K2593" s="36"/>
      <c r="L2593" s="36"/>
      <c r="M2593" s="36"/>
      <c r="N2593" s="36"/>
      <c r="O2593" s="36"/>
      <c r="P2593" s="36"/>
      <c r="Q2593" s="36"/>
      <c r="R2593" s="36"/>
      <c r="S2593" s="36"/>
      <c r="T2593" s="36"/>
      <c r="U2593" s="36">
        <v>300</v>
      </c>
      <c r="V2593" s="36"/>
      <c r="W2593" s="15">
        <f t="shared" si="100"/>
        <v>300</v>
      </c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15">
        <f t="shared" si="101"/>
        <v>0</v>
      </c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5"/>
      <c r="AX2593" s="16"/>
    </row>
    <row r="2594" spans="2:50" x14ac:dyDescent="0.2">
      <c r="B2594" s="7"/>
      <c r="C2594" s="8">
        <v>13158</v>
      </c>
      <c r="D2594" s="9" t="s">
        <v>97</v>
      </c>
      <c r="E2594" s="10" t="s">
        <v>98</v>
      </c>
      <c r="F2594" s="10" t="s">
        <v>99</v>
      </c>
      <c r="G2594" s="8">
        <v>1</v>
      </c>
      <c r="H2594" s="11">
        <v>400</v>
      </c>
      <c r="I2594" s="12">
        <v>42680</v>
      </c>
      <c r="J2594" s="35">
        <f t="shared" si="99"/>
        <v>0</v>
      </c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>
        <v>400</v>
      </c>
      <c r="V2594" s="36"/>
      <c r="W2594" s="15">
        <f t="shared" si="100"/>
        <v>400</v>
      </c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15">
        <f t="shared" si="101"/>
        <v>0</v>
      </c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14"/>
      <c r="AV2594" s="14"/>
      <c r="AW2594" s="15"/>
      <c r="AX2594" s="16"/>
    </row>
    <row r="2595" spans="2:50" x14ac:dyDescent="0.2">
      <c r="B2595" s="7"/>
      <c r="C2595" s="8">
        <v>13159</v>
      </c>
      <c r="D2595" s="9" t="s">
        <v>1085</v>
      </c>
      <c r="E2595" s="10" t="s">
        <v>1086</v>
      </c>
      <c r="F2595" s="10" t="s">
        <v>1087</v>
      </c>
      <c r="G2595" s="8">
        <v>3</v>
      </c>
      <c r="H2595" s="11">
        <v>200</v>
      </c>
      <c r="I2595" s="12">
        <v>42680</v>
      </c>
      <c r="J2595" s="35">
        <f t="shared" si="99"/>
        <v>0</v>
      </c>
      <c r="K2595" s="36"/>
      <c r="L2595" s="36"/>
      <c r="M2595" s="36"/>
      <c r="N2595" s="36"/>
      <c r="O2595" s="36"/>
      <c r="P2595" s="36"/>
      <c r="Q2595" s="36"/>
      <c r="R2595" s="36"/>
      <c r="S2595" s="36"/>
      <c r="T2595" s="36"/>
      <c r="U2595" s="36"/>
      <c r="V2595" s="36"/>
      <c r="W2595" s="15">
        <f t="shared" si="100"/>
        <v>0</v>
      </c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15">
        <f t="shared" si="101"/>
        <v>0</v>
      </c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14"/>
      <c r="AV2595" s="14"/>
      <c r="AW2595" s="15"/>
      <c r="AX2595" s="16"/>
    </row>
    <row r="2596" spans="2:50" x14ac:dyDescent="0.2">
      <c r="B2596" s="7"/>
      <c r="C2596" s="8">
        <v>13160</v>
      </c>
      <c r="D2596" s="9" t="s">
        <v>716</v>
      </c>
      <c r="E2596" s="10" t="s">
        <v>717</v>
      </c>
      <c r="F2596" s="10" t="s">
        <v>718</v>
      </c>
      <c r="G2596" s="8">
        <v>1</v>
      </c>
      <c r="H2596" s="11">
        <v>300</v>
      </c>
      <c r="I2596" s="12">
        <v>42680</v>
      </c>
      <c r="J2596" s="35">
        <f t="shared" si="99"/>
        <v>0</v>
      </c>
      <c r="K2596" s="36"/>
      <c r="L2596" s="36"/>
      <c r="M2596" s="36"/>
      <c r="N2596" s="36"/>
      <c r="O2596" s="36"/>
      <c r="P2596" s="36"/>
      <c r="Q2596" s="36"/>
      <c r="R2596" s="36"/>
      <c r="S2596" s="36"/>
      <c r="T2596" s="36"/>
      <c r="U2596" s="36">
        <v>300</v>
      </c>
      <c r="V2596" s="36"/>
      <c r="W2596" s="15">
        <f t="shared" si="100"/>
        <v>300</v>
      </c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15">
        <f t="shared" si="101"/>
        <v>0</v>
      </c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14"/>
      <c r="AV2596" s="14"/>
      <c r="AW2596" s="15"/>
      <c r="AX2596" s="16"/>
    </row>
    <row r="2597" spans="2:50" x14ac:dyDescent="0.2">
      <c r="B2597" s="7"/>
      <c r="C2597" s="8">
        <v>13161</v>
      </c>
      <c r="D2597" s="9" t="s">
        <v>238</v>
      </c>
      <c r="E2597" s="10" t="s">
        <v>239</v>
      </c>
      <c r="F2597" s="10" t="s">
        <v>240</v>
      </c>
      <c r="G2597" s="8">
        <v>1</v>
      </c>
      <c r="H2597" s="11">
        <v>125</v>
      </c>
      <c r="I2597" s="12">
        <v>42680</v>
      </c>
      <c r="J2597" s="35">
        <f t="shared" si="99"/>
        <v>0</v>
      </c>
      <c r="K2597" s="36"/>
      <c r="L2597" s="36"/>
      <c r="M2597" s="36"/>
      <c r="N2597" s="36"/>
      <c r="O2597" s="36"/>
      <c r="P2597" s="36"/>
      <c r="Q2597" s="36"/>
      <c r="R2597" s="36"/>
      <c r="S2597" s="36"/>
      <c r="T2597" s="36"/>
      <c r="U2597" s="36">
        <v>125</v>
      </c>
      <c r="V2597" s="36"/>
      <c r="W2597" s="15">
        <f t="shared" si="100"/>
        <v>125</v>
      </c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15">
        <f t="shared" si="101"/>
        <v>0</v>
      </c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14"/>
      <c r="AV2597" s="14"/>
      <c r="AW2597" s="15"/>
      <c r="AX2597" s="16"/>
    </row>
    <row r="2598" spans="2:50" x14ac:dyDescent="0.2">
      <c r="B2598" s="7"/>
      <c r="C2598" s="8">
        <v>13162</v>
      </c>
      <c r="D2598" s="9" t="s">
        <v>292</v>
      </c>
      <c r="E2598" s="10" t="s">
        <v>293</v>
      </c>
      <c r="F2598" s="10" t="s">
        <v>294</v>
      </c>
      <c r="G2598" s="8">
        <v>1</v>
      </c>
      <c r="H2598" s="11">
        <v>400</v>
      </c>
      <c r="I2598" s="12">
        <v>42680</v>
      </c>
      <c r="J2598" s="35">
        <f t="shared" si="99"/>
        <v>0</v>
      </c>
      <c r="K2598" s="36"/>
      <c r="L2598" s="36"/>
      <c r="M2598" s="36"/>
      <c r="N2598" s="36"/>
      <c r="O2598" s="36"/>
      <c r="P2598" s="36"/>
      <c r="Q2598" s="36"/>
      <c r="R2598" s="36"/>
      <c r="S2598" s="36"/>
      <c r="T2598" s="36"/>
      <c r="U2598" s="36">
        <v>400</v>
      </c>
      <c r="V2598" s="36"/>
      <c r="W2598" s="15">
        <f t="shared" si="100"/>
        <v>400</v>
      </c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15">
        <f t="shared" si="101"/>
        <v>0</v>
      </c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14"/>
      <c r="AV2598" s="14"/>
      <c r="AW2598" s="15"/>
      <c r="AX2598" s="16"/>
    </row>
    <row r="2599" spans="2:50" x14ac:dyDescent="0.2">
      <c r="B2599" s="7"/>
      <c r="C2599" s="8">
        <v>13163</v>
      </c>
      <c r="D2599" s="9" t="s">
        <v>1148</v>
      </c>
      <c r="E2599" s="10" t="s">
        <v>1149</v>
      </c>
      <c r="F2599" s="10" t="s">
        <v>1150</v>
      </c>
      <c r="G2599" s="8">
        <v>1</v>
      </c>
      <c r="H2599" s="11">
        <v>400</v>
      </c>
      <c r="I2599" s="12">
        <v>42680</v>
      </c>
      <c r="J2599" s="35">
        <f t="shared" si="99"/>
        <v>0</v>
      </c>
      <c r="K2599" s="36"/>
      <c r="L2599" s="36"/>
      <c r="M2599" s="36"/>
      <c r="N2599" s="36"/>
      <c r="O2599" s="36"/>
      <c r="P2599" s="36"/>
      <c r="Q2599" s="36"/>
      <c r="R2599" s="36"/>
      <c r="S2599" s="36"/>
      <c r="T2599" s="36">
        <v>400</v>
      </c>
      <c r="U2599" s="36"/>
      <c r="V2599" s="36"/>
      <c r="W2599" s="15">
        <f t="shared" si="100"/>
        <v>400</v>
      </c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15">
        <f t="shared" si="101"/>
        <v>0</v>
      </c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14"/>
      <c r="AV2599" s="14"/>
      <c r="AW2599" s="15"/>
      <c r="AX2599" s="16"/>
    </row>
    <row r="2600" spans="2:50" x14ac:dyDescent="0.2">
      <c r="B2600" s="7"/>
      <c r="C2600" s="8">
        <v>13164</v>
      </c>
      <c r="D2600" s="9" t="s">
        <v>470</v>
      </c>
      <c r="E2600" s="10" t="s">
        <v>471</v>
      </c>
      <c r="F2600" s="10" t="s">
        <v>472</v>
      </c>
      <c r="G2600" s="8">
        <v>1</v>
      </c>
      <c r="H2600" s="11">
        <v>1200</v>
      </c>
      <c r="I2600" s="12">
        <v>42680</v>
      </c>
      <c r="J2600" s="35">
        <f t="shared" si="99"/>
        <v>0</v>
      </c>
      <c r="K2600" s="36"/>
      <c r="L2600" s="36"/>
      <c r="M2600" s="36"/>
      <c r="N2600" s="36"/>
      <c r="O2600" s="36"/>
      <c r="P2600" s="36"/>
      <c r="Q2600" s="36">
        <v>300</v>
      </c>
      <c r="R2600" s="36">
        <v>300</v>
      </c>
      <c r="S2600" s="36">
        <v>300</v>
      </c>
      <c r="T2600" s="36">
        <v>300</v>
      </c>
      <c r="U2600" s="36"/>
      <c r="V2600" s="36"/>
      <c r="W2600" s="15">
        <f t="shared" si="100"/>
        <v>1200</v>
      </c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15">
        <f t="shared" si="101"/>
        <v>0</v>
      </c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5"/>
      <c r="AX2600" s="16"/>
    </row>
    <row r="2601" spans="2:50" x14ac:dyDescent="0.2">
      <c r="B2601" s="7"/>
      <c r="C2601" s="8">
        <v>13165</v>
      </c>
      <c r="D2601" s="9" t="s">
        <v>797</v>
      </c>
      <c r="E2601" s="10" t="s">
        <v>798</v>
      </c>
      <c r="F2601" s="10" t="s">
        <v>799</v>
      </c>
      <c r="G2601" s="8">
        <v>1</v>
      </c>
      <c r="H2601" s="11">
        <v>800</v>
      </c>
      <c r="I2601" s="12">
        <v>42680</v>
      </c>
      <c r="J2601" s="35">
        <f t="shared" si="99"/>
        <v>0</v>
      </c>
      <c r="K2601" s="36"/>
      <c r="L2601" s="36"/>
      <c r="M2601" s="36"/>
      <c r="N2601" s="36"/>
      <c r="O2601" s="36"/>
      <c r="P2601" s="36"/>
      <c r="Q2601" s="36"/>
      <c r="R2601" s="36"/>
      <c r="S2601" s="36"/>
      <c r="T2601" s="36">
        <v>400</v>
      </c>
      <c r="U2601" s="36">
        <v>400</v>
      </c>
      <c r="V2601" s="36"/>
      <c r="W2601" s="15">
        <f t="shared" si="100"/>
        <v>800</v>
      </c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15">
        <f t="shared" si="101"/>
        <v>0</v>
      </c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14"/>
      <c r="AV2601" s="14"/>
      <c r="AW2601" s="15"/>
      <c r="AX2601" s="16"/>
    </row>
    <row r="2602" spans="2:50" x14ac:dyDescent="0.2">
      <c r="B2602" s="7"/>
      <c r="C2602" s="8">
        <v>13166</v>
      </c>
      <c r="D2602" s="9" t="s">
        <v>428</v>
      </c>
      <c r="E2602" s="10" t="s">
        <v>429</v>
      </c>
      <c r="F2602" s="10" t="s">
        <v>430</v>
      </c>
      <c r="G2602" s="8">
        <v>5</v>
      </c>
      <c r="H2602" s="11">
        <v>50</v>
      </c>
      <c r="I2602" s="12">
        <v>42680</v>
      </c>
      <c r="J2602" s="35">
        <f t="shared" si="99"/>
        <v>0</v>
      </c>
      <c r="K2602" s="36"/>
      <c r="L2602" s="36"/>
      <c r="M2602" s="36"/>
      <c r="N2602" s="36"/>
      <c r="O2602" s="36"/>
      <c r="P2602" s="36"/>
      <c r="Q2602" s="36"/>
      <c r="R2602" s="36"/>
      <c r="S2602" s="36"/>
      <c r="T2602" s="36"/>
      <c r="U2602" s="36"/>
      <c r="V2602" s="36"/>
      <c r="W2602" s="15">
        <f t="shared" si="100"/>
        <v>0</v>
      </c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15">
        <f t="shared" si="101"/>
        <v>0</v>
      </c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14"/>
      <c r="AV2602" s="14"/>
      <c r="AW2602" s="15"/>
      <c r="AX2602" s="16"/>
    </row>
    <row r="2603" spans="2:50" x14ac:dyDescent="0.2">
      <c r="B2603" s="7"/>
      <c r="C2603" s="8">
        <v>13167</v>
      </c>
      <c r="D2603" s="9" t="s">
        <v>129</v>
      </c>
      <c r="E2603" s="10" t="s">
        <v>130</v>
      </c>
      <c r="F2603" s="10" t="s">
        <v>131</v>
      </c>
      <c r="G2603" s="8">
        <v>1</v>
      </c>
      <c r="H2603" s="11">
        <v>400</v>
      </c>
      <c r="I2603" s="12">
        <v>42680</v>
      </c>
      <c r="J2603" s="35">
        <f t="shared" si="99"/>
        <v>0</v>
      </c>
      <c r="K2603" s="36"/>
      <c r="L2603" s="36"/>
      <c r="M2603" s="36"/>
      <c r="N2603" s="36"/>
      <c r="O2603" s="36"/>
      <c r="P2603" s="36"/>
      <c r="Q2603" s="36"/>
      <c r="R2603" s="36"/>
      <c r="S2603" s="36"/>
      <c r="T2603" s="36"/>
      <c r="U2603" s="36">
        <v>400</v>
      </c>
      <c r="V2603" s="36"/>
      <c r="W2603" s="15">
        <f t="shared" si="100"/>
        <v>400</v>
      </c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15">
        <f t="shared" si="101"/>
        <v>0</v>
      </c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14"/>
      <c r="AV2603" s="14"/>
      <c r="AW2603" s="15"/>
      <c r="AX2603" s="16"/>
    </row>
    <row r="2604" spans="2:50" x14ac:dyDescent="0.2">
      <c r="B2604" s="7"/>
      <c r="C2604" s="8">
        <v>13168</v>
      </c>
      <c r="D2604" s="9" t="s">
        <v>109</v>
      </c>
      <c r="E2604" s="10" t="s">
        <v>110</v>
      </c>
      <c r="F2604" s="10" t="s">
        <v>111</v>
      </c>
      <c r="G2604" s="8">
        <v>1</v>
      </c>
      <c r="H2604" s="11">
        <v>400</v>
      </c>
      <c r="I2604" s="12">
        <v>42680</v>
      </c>
      <c r="J2604" s="35">
        <f t="shared" si="99"/>
        <v>0</v>
      </c>
      <c r="K2604" s="36"/>
      <c r="L2604" s="36"/>
      <c r="M2604" s="36"/>
      <c r="N2604" s="36"/>
      <c r="O2604" s="36"/>
      <c r="P2604" s="36"/>
      <c r="Q2604" s="36"/>
      <c r="R2604" s="36"/>
      <c r="S2604" s="36"/>
      <c r="T2604" s="36">
        <v>400</v>
      </c>
      <c r="U2604" s="36"/>
      <c r="V2604" s="36"/>
      <c r="W2604" s="15">
        <f t="shared" si="100"/>
        <v>400</v>
      </c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15">
        <f t="shared" si="101"/>
        <v>0</v>
      </c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14"/>
      <c r="AV2604" s="14"/>
      <c r="AW2604" s="15"/>
      <c r="AX2604" s="16"/>
    </row>
    <row r="2605" spans="2:50" x14ac:dyDescent="0.2">
      <c r="B2605" s="7"/>
      <c r="C2605" s="8">
        <v>13169</v>
      </c>
      <c r="D2605" s="9" t="s">
        <v>186</v>
      </c>
      <c r="E2605" s="10" t="s">
        <v>187</v>
      </c>
      <c r="F2605" s="10" t="s">
        <v>188</v>
      </c>
      <c r="G2605" s="8">
        <v>1</v>
      </c>
      <c r="H2605" s="11">
        <v>400</v>
      </c>
      <c r="I2605" s="12">
        <v>42680</v>
      </c>
      <c r="J2605" s="35">
        <f t="shared" si="99"/>
        <v>0</v>
      </c>
      <c r="K2605" s="36"/>
      <c r="L2605" s="36"/>
      <c r="M2605" s="36"/>
      <c r="N2605" s="36"/>
      <c r="O2605" s="36"/>
      <c r="P2605" s="36"/>
      <c r="Q2605" s="36"/>
      <c r="R2605" s="36"/>
      <c r="S2605" s="36"/>
      <c r="T2605" s="36"/>
      <c r="U2605" s="36">
        <v>400</v>
      </c>
      <c r="V2605" s="36"/>
      <c r="W2605" s="15">
        <f t="shared" si="100"/>
        <v>400</v>
      </c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15">
        <f t="shared" si="101"/>
        <v>0</v>
      </c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14"/>
      <c r="AV2605" s="14"/>
      <c r="AW2605" s="15"/>
      <c r="AX2605" s="16"/>
    </row>
    <row r="2606" spans="2:50" x14ac:dyDescent="0.2">
      <c r="B2606" s="7"/>
      <c r="C2606" s="8">
        <v>13170</v>
      </c>
      <c r="D2606" s="9" t="s">
        <v>407</v>
      </c>
      <c r="E2606" s="10" t="s">
        <v>408</v>
      </c>
      <c r="F2606" s="10" t="s">
        <v>409</v>
      </c>
      <c r="G2606" s="8">
        <v>1</v>
      </c>
      <c r="H2606" s="11">
        <v>400</v>
      </c>
      <c r="I2606" s="12">
        <v>42680</v>
      </c>
      <c r="J2606" s="35">
        <f t="shared" si="99"/>
        <v>0</v>
      </c>
      <c r="K2606" s="36"/>
      <c r="L2606" s="36"/>
      <c r="M2606" s="36"/>
      <c r="N2606" s="36"/>
      <c r="O2606" s="36"/>
      <c r="P2606" s="36"/>
      <c r="Q2606" s="36"/>
      <c r="R2606" s="36"/>
      <c r="S2606" s="36"/>
      <c r="T2606" s="36"/>
      <c r="U2606" s="36">
        <v>400</v>
      </c>
      <c r="V2606" s="36"/>
      <c r="W2606" s="15">
        <f t="shared" si="100"/>
        <v>400</v>
      </c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15">
        <f t="shared" si="101"/>
        <v>0</v>
      </c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14"/>
      <c r="AV2606" s="14"/>
      <c r="AW2606" s="15"/>
      <c r="AX2606" s="16"/>
    </row>
    <row r="2607" spans="2:50" x14ac:dyDescent="0.2">
      <c r="B2607" s="7"/>
      <c r="C2607" s="8">
        <v>13171</v>
      </c>
      <c r="D2607" s="9" t="s">
        <v>310</v>
      </c>
      <c r="E2607" s="10" t="s">
        <v>311</v>
      </c>
      <c r="F2607" s="10" t="s">
        <v>312</v>
      </c>
      <c r="G2607" s="8">
        <v>1</v>
      </c>
      <c r="H2607" s="11">
        <v>400</v>
      </c>
      <c r="I2607" s="12">
        <v>42680</v>
      </c>
      <c r="J2607" s="35">
        <f t="shared" si="99"/>
        <v>0</v>
      </c>
      <c r="K2607" s="36"/>
      <c r="L2607" s="36"/>
      <c r="M2607" s="36"/>
      <c r="N2607" s="36"/>
      <c r="O2607" s="36"/>
      <c r="P2607" s="36"/>
      <c r="Q2607" s="36"/>
      <c r="R2607" s="36"/>
      <c r="S2607" s="36"/>
      <c r="T2607" s="36"/>
      <c r="U2607" s="36">
        <v>400</v>
      </c>
      <c r="V2607" s="36"/>
      <c r="W2607" s="15">
        <f t="shared" si="100"/>
        <v>400</v>
      </c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15">
        <f t="shared" si="101"/>
        <v>0</v>
      </c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5"/>
      <c r="AX2607" s="16"/>
    </row>
    <row r="2608" spans="2:50" x14ac:dyDescent="0.2">
      <c r="B2608" s="7"/>
      <c r="C2608" s="8">
        <v>13172</v>
      </c>
      <c r="D2608" s="9" t="s">
        <v>387</v>
      </c>
      <c r="E2608" s="10" t="s">
        <v>388</v>
      </c>
      <c r="F2608" s="10" t="s">
        <v>389</v>
      </c>
      <c r="G2608" s="8">
        <v>1</v>
      </c>
      <c r="H2608" s="11">
        <v>800</v>
      </c>
      <c r="I2608" s="12">
        <v>42680</v>
      </c>
      <c r="J2608" s="35">
        <f t="shared" si="99"/>
        <v>0</v>
      </c>
      <c r="K2608" s="36"/>
      <c r="L2608" s="36"/>
      <c r="M2608" s="36"/>
      <c r="N2608" s="36"/>
      <c r="O2608" s="36"/>
      <c r="P2608" s="36"/>
      <c r="Q2608" s="36"/>
      <c r="R2608" s="36"/>
      <c r="S2608" s="36">
        <v>400</v>
      </c>
      <c r="T2608" s="36">
        <v>400</v>
      </c>
      <c r="U2608" s="36"/>
      <c r="V2608" s="36"/>
      <c r="W2608" s="15">
        <f t="shared" si="100"/>
        <v>800</v>
      </c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15">
        <f t="shared" si="101"/>
        <v>0</v>
      </c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14"/>
      <c r="AV2608" s="14"/>
      <c r="AW2608" s="15"/>
      <c r="AX2608" s="16"/>
    </row>
    <row r="2609" spans="2:50" x14ac:dyDescent="0.2">
      <c r="B2609" s="7"/>
      <c r="C2609" s="8">
        <v>13173</v>
      </c>
      <c r="D2609" s="9" t="s">
        <v>132</v>
      </c>
      <c r="E2609" s="10" t="s">
        <v>133</v>
      </c>
      <c r="F2609" s="10" t="s">
        <v>134</v>
      </c>
      <c r="G2609" s="8">
        <v>1</v>
      </c>
      <c r="H2609" s="11">
        <v>300</v>
      </c>
      <c r="I2609" s="12">
        <v>42680</v>
      </c>
      <c r="J2609" s="35">
        <f t="shared" si="99"/>
        <v>0</v>
      </c>
      <c r="K2609" s="36"/>
      <c r="L2609" s="36"/>
      <c r="M2609" s="36"/>
      <c r="N2609" s="36"/>
      <c r="O2609" s="36"/>
      <c r="P2609" s="36"/>
      <c r="Q2609" s="36"/>
      <c r="R2609" s="36"/>
      <c r="S2609" s="36"/>
      <c r="T2609" s="36"/>
      <c r="U2609" s="36">
        <v>300</v>
      </c>
      <c r="V2609" s="36"/>
      <c r="W2609" s="15">
        <f t="shared" si="100"/>
        <v>300</v>
      </c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15">
        <f t="shared" si="101"/>
        <v>0</v>
      </c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5"/>
      <c r="AX2609" s="16"/>
    </row>
    <row r="2610" spans="2:50" x14ac:dyDescent="0.2">
      <c r="B2610" s="7"/>
      <c r="C2610" s="8">
        <v>13174</v>
      </c>
      <c r="D2610" s="9" t="s">
        <v>123</v>
      </c>
      <c r="E2610" s="10" t="s">
        <v>124</v>
      </c>
      <c r="F2610" s="10" t="s">
        <v>125</v>
      </c>
      <c r="G2610" s="8">
        <v>1</v>
      </c>
      <c r="H2610" s="11">
        <v>250</v>
      </c>
      <c r="I2610" s="12">
        <v>42680</v>
      </c>
      <c r="J2610" s="35">
        <f t="shared" si="99"/>
        <v>0</v>
      </c>
      <c r="K2610" s="36"/>
      <c r="L2610" s="36"/>
      <c r="M2610" s="36"/>
      <c r="N2610" s="36"/>
      <c r="O2610" s="36"/>
      <c r="P2610" s="36"/>
      <c r="Q2610" s="36"/>
      <c r="R2610" s="36"/>
      <c r="S2610" s="36"/>
      <c r="T2610" s="36"/>
      <c r="U2610" s="36">
        <v>250</v>
      </c>
      <c r="V2610" s="36"/>
      <c r="W2610" s="15">
        <f t="shared" si="100"/>
        <v>250</v>
      </c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15">
        <f t="shared" si="101"/>
        <v>0</v>
      </c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14"/>
      <c r="AV2610" s="14"/>
      <c r="AW2610" s="15"/>
      <c r="AX2610" s="16"/>
    </row>
    <row r="2611" spans="2:50" x14ac:dyDescent="0.2">
      <c r="B2611" s="7"/>
      <c r="C2611" s="8">
        <v>13175</v>
      </c>
      <c r="D2611" s="9" t="s">
        <v>268</v>
      </c>
      <c r="E2611" s="10" t="s">
        <v>269</v>
      </c>
      <c r="F2611" s="10" t="s">
        <v>270</v>
      </c>
      <c r="G2611" s="8">
        <v>1</v>
      </c>
      <c r="H2611" s="11">
        <v>300</v>
      </c>
      <c r="I2611" s="12">
        <v>42680</v>
      </c>
      <c r="J2611" s="35">
        <f t="shared" si="99"/>
        <v>0</v>
      </c>
      <c r="K2611" s="36"/>
      <c r="L2611" s="36"/>
      <c r="M2611" s="36"/>
      <c r="N2611" s="36"/>
      <c r="O2611" s="36"/>
      <c r="P2611" s="36"/>
      <c r="Q2611" s="36"/>
      <c r="R2611" s="36"/>
      <c r="S2611" s="36"/>
      <c r="T2611" s="36"/>
      <c r="U2611" s="36">
        <v>300</v>
      </c>
      <c r="V2611" s="36"/>
      <c r="W2611" s="15">
        <f t="shared" si="100"/>
        <v>300</v>
      </c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15">
        <f t="shared" si="101"/>
        <v>0</v>
      </c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5"/>
      <c r="AX2611" s="16"/>
    </row>
    <row r="2612" spans="2:50" x14ac:dyDescent="0.2">
      <c r="B2612" s="7"/>
      <c r="C2612" s="8">
        <v>13176</v>
      </c>
      <c r="D2612" s="9" t="s">
        <v>150</v>
      </c>
      <c r="E2612" s="10" t="s">
        <v>151</v>
      </c>
      <c r="F2612" s="10" t="s">
        <v>152</v>
      </c>
      <c r="G2612" s="8">
        <v>1</v>
      </c>
      <c r="H2612" s="11">
        <v>400</v>
      </c>
      <c r="I2612" s="12">
        <v>42680</v>
      </c>
      <c r="J2612" s="35">
        <f t="shared" si="99"/>
        <v>0</v>
      </c>
      <c r="K2612" s="36"/>
      <c r="L2612" s="36"/>
      <c r="M2612" s="36"/>
      <c r="N2612" s="36"/>
      <c r="O2612" s="36"/>
      <c r="P2612" s="36"/>
      <c r="Q2612" s="36"/>
      <c r="R2612" s="36"/>
      <c r="S2612" s="36"/>
      <c r="T2612" s="36"/>
      <c r="U2612" s="36">
        <v>400</v>
      </c>
      <c r="V2612" s="36"/>
      <c r="W2612" s="15">
        <f t="shared" si="100"/>
        <v>400</v>
      </c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15">
        <f t="shared" si="101"/>
        <v>0</v>
      </c>
      <c r="AK2612" s="14"/>
      <c r="AL2612" s="14"/>
      <c r="AM2612" s="14"/>
      <c r="AN2612" s="14"/>
      <c r="AO2612" s="14"/>
      <c r="AP2612" s="14"/>
      <c r="AQ2612" s="14"/>
      <c r="AR2612" s="14"/>
      <c r="AS2612" s="14"/>
      <c r="AT2612" s="14"/>
      <c r="AU2612" s="14"/>
      <c r="AV2612" s="14"/>
      <c r="AW2612" s="15"/>
      <c r="AX2612" s="16"/>
    </row>
    <row r="2613" spans="2:50" x14ac:dyDescent="0.2">
      <c r="B2613" s="7"/>
      <c r="C2613" s="8">
        <v>13177</v>
      </c>
      <c r="D2613" s="9" t="s">
        <v>416</v>
      </c>
      <c r="E2613" s="10" t="s">
        <v>417</v>
      </c>
      <c r="F2613" s="10" t="s">
        <v>418</v>
      </c>
      <c r="G2613" s="8">
        <v>1</v>
      </c>
      <c r="H2613" s="11">
        <v>200</v>
      </c>
      <c r="I2613" s="12">
        <v>42680</v>
      </c>
      <c r="J2613" s="35">
        <f t="shared" si="99"/>
        <v>0</v>
      </c>
      <c r="K2613" s="36"/>
      <c r="L2613" s="36"/>
      <c r="M2613" s="36"/>
      <c r="N2613" s="36"/>
      <c r="O2613" s="36"/>
      <c r="P2613" s="36"/>
      <c r="Q2613" s="36"/>
      <c r="R2613" s="36"/>
      <c r="S2613" s="36"/>
      <c r="T2613" s="36"/>
      <c r="U2613" s="36">
        <v>200</v>
      </c>
      <c r="V2613" s="36"/>
      <c r="W2613" s="15">
        <f t="shared" si="100"/>
        <v>200</v>
      </c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15">
        <f t="shared" si="101"/>
        <v>0</v>
      </c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14"/>
      <c r="AV2613" s="14"/>
      <c r="AW2613" s="15"/>
      <c r="AX2613" s="16"/>
    </row>
    <row r="2614" spans="2:50" x14ac:dyDescent="0.2">
      <c r="B2614" s="7"/>
      <c r="C2614" s="8">
        <v>13178</v>
      </c>
      <c r="D2614" s="9" t="s">
        <v>103</v>
      </c>
      <c r="E2614" s="10" t="s">
        <v>104</v>
      </c>
      <c r="F2614" s="10" t="s">
        <v>105</v>
      </c>
      <c r="G2614" s="8">
        <v>1</v>
      </c>
      <c r="H2614" s="11">
        <v>400</v>
      </c>
      <c r="I2614" s="12">
        <v>42680</v>
      </c>
      <c r="J2614" s="35">
        <f t="shared" si="99"/>
        <v>0</v>
      </c>
      <c r="K2614" s="36"/>
      <c r="L2614" s="36"/>
      <c r="M2614" s="36"/>
      <c r="N2614" s="36"/>
      <c r="O2614" s="36"/>
      <c r="P2614" s="36"/>
      <c r="Q2614" s="36"/>
      <c r="R2614" s="36"/>
      <c r="S2614" s="36"/>
      <c r="T2614" s="36">
        <v>400</v>
      </c>
      <c r="U2614" s="36"/>
      <c r="V2614" s="36"/>
      <c r="W2614" s="15">
        <f t="shared" si="100"/>
        <v>400</v>
      </c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15">
        <f t="shared" si="101"/>
        <v>0</v>
      </c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14"/>
      <c r="AV2614" s="14"/>
      <c r="AW2614" s="15"/>
      <c r="AX2614" s="16"/>
    </row>
    <row r="2615" spans="2:50" x14ac:dyDescent="0.2">
      <c r="B2615" s="7"/>
      <c r="C2615" s="8">
        <v>13179</v>
      </c>
      <c r="D2615" s="9" t="s">
        <v>159</v>
      </c>
      <c r="E2615" s="10" t="s">
        <v>160</v>
      </c>
      <c r="F2615" s="10" t="s">
        <v>161</v>
      </c>
      <c r="G2615" s="8">
        <v>1</v>
      </c>
      <c r="H2615" s="11">
        <v>400</v>
      </c>
      <c r="I2615" s="12">
        <v>42680</v>
      </c>
      <c r="J2615" s="35">
        <f t="shared" si="99"/>
        <v>0</v>
      </c>
      <c r="K2615" s="36"/>
      <c r="L2615" s="36"/>
      <c r="M2615" s="36"/>
      <c r="N2615" s="36"/>
      <c r="O2615" s="36"/>
      <c r="P2615" s="36"/>
      <c r="Q2615" s="36"/>
      <c r="R2615" s="36"/>
      <c r="S2615" s="36"/>
      <c r="T2615" s="36">
        <v>400</v>
      </c>
      <c r="U2615" s="36"/>
      <c r="V2615" s="36"/>
      <c r="W2615" s="15">
        <f t="shared" si="100"/>
        <v>400</v>
      </c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15">
        <f t="shared" si="101"/>
        <v>0</v>
      </c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14"/>
      <c r="AV2615" s="14"/>
      <c r="AW2615" s="15"/>
      <c r="AX2615" s="16"/>
    </row>
    <row r="2616" spans="2:50" x14ac:dyDescent="0.2">
      <c r="B2616" s="7"/>
      <c r="C2616" s="8">
        <v>13180</v>
      </c>
      <c r="D2616" s="9" t="s">
        <v>395</v>
      </c>
      <c r="E2616" s="10" t="s">
        <v>396</v>
      </c>
      <c r="F2616" s="10" t="s">
        <v>397</v>
      </c>
      <c r="G2616" s="8">
        <v>1</v>
      </c>
      <c r="H2616" s="11">
        <v>200</v>
      </c>
      <c r="I2616" s="12">
        <v>42680</v>
      </c>
      <c r="J2616" s="35">
        <f t="shared" si="99"/>
        <v>0</v>
      </c>
      <c r="K2616" s="36"/>
      <c r="L2616" s="36"/>
      <c r="M2616" s="36"/>
      <c r="N2616" s="36"/>
      <c r="O2616" s="36"/>
      <c r="P2616" s="36"/>
      <c r="Q2616" s="36"/>
      <c r="R2616" s="36"/>
      <c r="S2616" s="36"/>
      <c r="T2616" s="36"/>
      <c r="U2616" s="36">
        <v>200</v>
      </c>
      <c r="V2616" s="36"/>
      <c r="W2616" s="15">
        <f t="shared" si="100"/>
        <v>200</v>
      </c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15">
        <f t="shared" si="101"/>
        <v>0</v>
      </c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14"/>
      <c r="AV2616" s="14"/>
      <c r="AW2616" s="15"/>
      <c r="AX2616" s="16"/>
    </row>
    <row r="2617" spans="2:50" x14ac:dyDescent="0.2">
      <c r="B2617" s="7"/>
      <c r="C2617" s="8">
        <v>13181</v>
      </c>
      <c r="D2617" s="9" t="s">
        <v>431</v>
      </c>
      <c r="E2617" s="10" t="s">
        <v>432</v>
      </c>
      <c r="F2617" s="10" t="s">
        <v>433</v>
      </c>
      <c r="G2617" s="8">
        <v>1</v>
      </c>
      <c r="H2617" s="11">
        <v>800</v>
      </c>
      <c r="I2617" s="12">
        <v>42680</v>
      </c>
      <c r="J2617" s="35">
        <f t="shared" si="99"/>
        <v>0</v>
      </c>
      <c r="K2617" s="36"/>
      <c r="L2617" s="36"/>
      <c r="M2617" s="36"/>
      <c r="N2617" s="36"/>
      <c r="O2617" s="36"/>
      <c r="P2617" s="36"/>
      <c r="Q2617" s="36"/>
      <c r="R2617" s="36"/>
      <c r="S2617" s="36">
        <v>400</v>
      </c>
      <c r="T2617" s="36">
        <v>400</v>
      </c>
      <c r="U2617" s="36"/>
      <c r="V2617" s="36"/>
      <c r="W2617" s="15">
        <f t="shared" si="100"/>
        <v>800</v>
      </c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15">
        <f t="shared" si="101"/>
        <v>0</v>
      </c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14"/>
      <c r="AV2617" s="14"/>
      <c r="AW2617" s="15"/>
      <c r="AX2617" s="16"/>
    </row>
    <row r="2618" spans="2:50" x14ac:dyDescent="0.2">
      <c r="B2618" s="7"/>
      <c r="C2618" s="8">
        <v>13182</v>
      </c>
      <c r="D2618" s="9" t="s">
        <v>313</v>
      </c>
      <c r="E2618" s="10" t="s">
        <v>314</v>
      </c>
      <c r="F2618" s="10" t="s">
        <v>315</v>
      </c>
      <c r="G2618" s="8">
        <v>1</v>
      </c>
      <c r="H2618" s="11">
        <v>400</v>
      </c>
      <c r="I2618" s="12">
        <v>42680</v>
      </c>
      <c r="J2618" s="35">
        <f t="shared" si="99"/>
        <v>0</v>
      </c>
      <c r="K2618" s="36"/>
      <c r="L2618" s="36"/>
      <c r="M2618" s="36"/>
      <c r="N2618" s="36"/>
      <c r="O2618" s="36"/>
      <c r="P2618" s="36"/>
      <c r="Q2618" s="36"/>
      <c r="R2618" s="36"/>
      <c r="S2618" s="36"/>
      <c r="T2618" s="36"/>
      <c r="U2618" s="36">
        <v>400</v>
      </c>
      <c r="V2618" s="36"/>
      <c r="W2618" s="15">
        <f t="shared" si="100"/>
        <v>400</v>
      </c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15">
        <f t="shared" si="101"/>
        <v>0</v>
      </c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14"/>
      <c r="AV2618" s="14"/>
      <c r="AW2618" s="15"/>
      <c r="AX2618" s="16"/>
    </row>
    <row r="2619" spans="2:50" x14ac:dyDescent="0.2">
      <c r="B2619" s="7"/>
      <c r="C2619" s="8">
        <v>13183</v>
      </c>
      <c r="D2619" s="9" t="s">
        <v>174</v>
      </c>
      <c r="E2619" s="10" t="s">
        <v>175</v>
      </c>
      <c r="F2619" s="10" t="s">
        <v>176</v>
      </c>
      <c r="G2619" s="8">
        <v>1</v>
      </c>
      <c r="H2619" s="11">
        <v>300</v>
      </c>
      <c r="I2619" s="12">
        <v>42680</v>
      </c>
      <c r="J2619" s="35">
        <f t="shared" si="99"/>
        <v>0</v>
      </c>
      <c r="K2619" s="36"/>
      <c r="L2619" s="36"/>
      <c r="M2619" s="36"/>
      <c r="N2619" s="36"/>
      <c r="O2619" s="36"/>
      <c r="P2619" s="36"/>
      <c r="Q2619" s="36"/>
      <c r="R2619" s="36"/>
      <c r="S2619" s="36"/>
      <c r="T2619" s="36"/>
      <c r="U2619" s="36">
        <v>300</v>
      </c>
      <c r="V2619" s="36"/>
      <c r="W2619" s="15">
        <f t="shared" si="100"/>
        <v>300</v>
      </c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15">
        <f t="shared" si="101"/>
        <v>0</v>
      </c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5"/>
      <c r="AX2619" s="16"/>
    </row>
    <row r="2620" spans="2:50" x14ac:dyDescent="0.2">
      <c r="B2620" s="7"/>
      <c r="C2620" s="8">
        <v>13184</v>
      </c>
      <c r="D2620" s="9" t="s">
        <v>785</v>
      </c>
      <c r="E2620" s="10" t="s">
        <v>786</v>
      </c>
      <c r="F2620" s="10" t="s">
        <v>787</v>
      </c>
      <c r="G2620" s="8">
        <v>1</v>
      </c>
      <c r="H2620" s="11">
        <v>400</v>
      </c>
      <c r="I2620" s="12">
        <v>42680</v>
      </c>
      <c r="J2620" s="35">
        <f t="shared" si="99"/>
        <v>0</v>
      </c>
      <c r="K2620" s="36"/>
      <c r="L2620" s="36"/>
      <c r="M2620" s="36"/>
      <c r="N2620" s="36"/>
      <c r="O2620" s="36"/>
      <c r="P2620" s="36"/>
      <c r="Q2620" s="36"/>
      <c r="R2620" s="36"/>
      <c r="S2620" s="36"/>
      <c r="T2620" s="36">
        <v>200</v>
      </c>
      <c r="U2620" s="36">
        <v>200</v>
      </c>
      <c r="V2620" s="36"/>
      <c r="W2620" s="15">
        <f t="shared" si="100"/>
        <v>400</v>
      </c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15">
        <f t="shared" si="101"/>
        <v>0</v>
      </c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14"/>
      <c r="AV2620" s="14"/>
      <c r="AW2620" s="15"/>
      <c r="AX2620" s="16"/>
    </row>
    <row r="2621" spans="2:50" x14ac:dyDescent="0.2">
      <c r="B2621" s="7"/>
      <c r="C2621" s="8">
        <v>13185</v>
      </c>
      <c r="D2621" s="9" t="s">
        <v>899</v>
      </c>
      <c r="E2621" s="10" t="s">
        <v>900</v>
      </c>
      <c r="F2621" s="10" t="s">
        <v>901</v>
      </c>
      <c r="G2621" s="8">
        <v>1</v>
      </c>
      <c r="H2621" s="11">
        <v>400</v>
      </c>
      <c r="I2621" s="12">
        <v>42680</v>
      </c>
      <c r="J2621" s="35">
        <f t="shared" si="99"/>
        <v>0</v>
      </c>
      <c r="K2621" s="36"/>
      <c r="L2621" s="36"/>
      <c r="M2621" s="36"/>
      <c r="N2621" s="36"/>
      <c r="O2621" s="36"/>
      <c r="P2621" s="36"/>
      <c r="Q2621" s="36"/>
      <c r="R2621" s="36"/>
      <c r="S2621" s="36"/>
      <c r="T2621" s="36"/>
      <c r="U2621" s="36">
        <v>400</v>
      </c>
      <c r="V2621" s="36"/>
      <c r="W2621" s="15">
        <f t="shared" si="100"/>
        <v>400</v>
      </c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15">
        <f t="shared" si="101"/>
        <v>0</v>
      </c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14"/>
      <c r="AV2621" s="14"/>
      <c r="AW2621" s="15"/>
      <c r="AX2621" s="16"/>
    </row>
    <row r="2622" spans="2:50" x14ac:dyDescent="0.2">
      <c r="B2622" s="7"/>
      <c r="C2622" s="8">
        <v>13186</v>
      </c>
      <c r="D2622" s="9" t="s">
        <v>328</v>
      </c>
      <c r="E2622" s="10" t="s">
        <v>329</v>
      </c>
      <c r="F2622" s="10" t="s">
        <v>330</v>
      </c>
      <c r="G2622" s="8">
        <v>1</v>
      </c>
      <c r="H2622" s="11">
        <v>400</v>
      </c>
      <c r="I2622" s="12">
        <v>42680</v>
      </c>
      <c r="J2622" s="35">
        <f t="shared" si="99"/>
        <v>0</v>
      </c>
      <c r="K2622" s="36"/>
      <c r="L2622" s="36"/>
      <c r="M2622" s="36"/>
      <c r="N2622" s="36"/>
      <c r="O2622" s="36"/>
      <c r="P2622" s="36"/>
      <c r="Q2622" s="36"/>
      <c r="R2622" s="36"/>
      <c r="S2622" s="36"/>
      <c r="T2622" s="36"/>
      <c r="U2622" s="36">
        <v>400</v>
      </c>
      <c r="V2622" s="36"/>
      <c r="W2622" s="15">
        <f t="shared" si="100"/>
        <v>400</v>
      </c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15">
        <f t="shared" si="101"/>
        <v>0</v>
      </c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14"/>
      <c r="AV2622" s="14"/>
      <c r="AW2622" s="15"/>
      <c r="AX2622" s="16"/>
    </row>
    <row r="2623" spans="2:50" x14ac:dyDescent="0.2">
      <c r="B2623" s="7"/>
      <c r="C2623" s="8">
        <v>13187</v>
      </c>
      <c r="D2623" s="9" t="s">
        <v>165</v>
      </c>
      <c r="E2623" s="10" t="s">
        <v>166</v>
      </c>
      <c r="F2623" s="10" t="s">
        <v>167</v>
      </c>
      <c r="G2623" s="8">
        <v>1</v>
      </c>
      <c r="H2623" s="11">
        <v>350</v>
      </c>
      <c r="I2623" s="12">
        <v>42680</v>
      </c>
      <c r="J2623" s="35">
        <f t="shared" si="99"/>
        <v>0</v>
      </c>
      <c r="K2623" s="36"/>
      <c r="L2623" s="36"/>
      <c r="M2623" s="36"/>
      <c r="N2623" s="36"/>
      <c r="O2623" s="36"/>
      <c r="P2623" s="36"/>
      <c r="Q2623" s="36"/>
      <c r="R2623" s="36"/>
      <c r="S2623" s="36"/>
      <c r="T2623" s="36"/>
      <c r="U2623" s="36">
        <v>350</v>
      </c>
      <c r="V2623" s="36"/>
      <c r="W2623" s="15">
        <f t="shared" si="100"/>
        <v>350</v>
      </c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15">
        <f t="shared" si="101"/>
        <v>0</v>
      </c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14"/>
      <c r="AV2623" s="14"/>
      <c r="AW2623" s="15"/>
      <c r="AX2623" s="16"/>
    </row>
    <row r="2624" spans="2:50" x14ac:dyDescent="0.2">
      <c r="B2624" s="7"/>
      <c r="C2624" s="8">
        <v>13188</v>
      </c>
      <c r="D2624" s="9" t="s">
        <v>473</v>
      </c>
      <c r="E2624" s="10" t="s">
        <v>474</v>
      </c>
      <c r="F2624" s="10" t="s">
        <v>475</v>
      </c>
      <c r="G2624" s="8">
        <v>4</v>
      </c>
      <c r="H2624" s="11">
        <v>200</v>
      </c>
      <c r="I2624" s="12">
        <v>42680</v>
      </c>
      <c r="J2624" s="35">
        <f t="shared" si="99"/>
        <v>0</v>
      </c>
      <c r="K2624" s="36"/>
      <c r="L2624" s="36"/>
      <c r="M2624" s="36"/>
      <c r="N2624" s="36"/>
      <c r="O2624" s="36"/>
      <c r="P2624" s="36"/>
      <c r="Q2624" s="36"/>
      <c r="R2624" s="36"/>
      <c r="S2624" s="36"/>
      <c r="T2624" s="36"/>
      <c r="U2624" s="36"/>
      <c r="V2624" s="36"/>
      <c r="W2624" s="15">
        <f t="shared" si="100"/>
        <v>0</v>
      </c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15">
        <f t="shared" si="101"/>
        <v>0</v>
      </c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5"/>
      <c r="AX2624" s="16" t="s">
        <v>3035</v>
      </c>
    </row>
    <row r="2625" spans="2:51" x14ac:dyDescent="0.2">
      <c r="B2625" s="7"/>
      <c r="C2625" s="8">
        <v>13188</v>
      </c>
      <c r="D2625" s="9" t="s">
        <v>473</v>
      </c>
      <c r="E2625" s="10" t="s">
        <v>474</v>
      </c>
      <c r="F2625" s="10" t="s">
        <v>475</v>
      </c>
      <c r="G2625" s="8">
        <v>5</v>
      </c>
      <c r="H2625" s="11">
        <v>50</v>
      </c>
      <c r="I2625" s="12">
        <v>42680</v>
      </c>
      <c r="J2625" s="35">
        <f t="shared" si="99"/>
        <v>0</v>
      </c>
      <c r="K2625" s="36"/>
      <c r="L2625" s="36"/>
      <c r="M2625" s="36"/>
      <c r="N2625" s="36"/>
      <c r="O2625" s="36"/>
      <c r="P2625" s="36"/>
      <c r="Q2625" s="36"/>
      <c r="R2625" s="36"/>
      <c r="S2625" s="36"/>
      <c r="T2625" s="36"/>
      <c r="U2625" s="36"/>
      <c r="V2625" s="36"/>
      <c r="W2625" s="15">
        <f t="shared" si="100"/>
        <v>0</v>
      </c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15">
        <f t="shared" si="101"/>
        <v>0</v>
      </c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14"/>
      <c r="AV2625" s="14"/>
      <c r="AW2625" s="15"/>
      <c r="AX2625" s="16"/>
    </row>
    <row r="2626" spans="2:51" x14ac:dyDescent="0.2">
      <c r="B2626" s="7"/>
      <c r="C2626" s="8">
        <v>13189</v>
      </c>
      <c r="D2626" s="9" t="s">
        <v>562</v>
      </c>
      <c r="E2626" s="10" t="s">
        <v>563</v>
      </c>
      <c r="F2626" s="10" t="s">
        <v>564</v>
      </c>
      <c r="G2626" s="8">
        <v>1</v>
      </c>
      <c r="H2626" s="11">
        <v>400</v>
      </c>
      <c r="I2626" s="12">
        <v>42680</v>
      </c>
      <c r="J2626" s="35">
        <f t="shared" ref="J2626:J2689" si="102">IF(G2626=1,SUM(W2626,AJ2626,-H2626),0)</f>
        <v>0</v>
      </c>
      <c r="K2626" s="36"/>
      <c r="L2626" s="36"/>
      <c r="M2626" s="36"/>
      <c r="N2626" s="36"/>
      <c r="O2626" s="36"/>
      <c r="P2626" s="36"/>
      <c r="Q2626" s="36"/>
      <c r="R2626" s="36"/>
      <c r="S2626" s="36"/>
      <c r="T2626" s="36"/>
      <c r="U2626" s="36">
        <v>400</v>
      </c>
      <c r="V2626" s="36"/>
      <c r="W2626" s="15">
        <f t="shared" ref="W2626:W2689" si="103">SUM(K2626:V2626)</f>
        <v>400</v>
      </c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15">
        <f t="shared" ref="AJ2626:AJ2689" si="104">SUM(X2626:AI2626)</f>
        <v>0</v>
      </c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5"/>
      <c r="AX2626" s="16"/>
    </row>
    <row r="2627" spans="2:51" x14ac:dyDescent="0.2">
      <c r="B2627" s="7" t="s">
        <v>3036</v>
      </c>
      <c r="C2627" s="8">
        <v>13190</v>
      </c>
      <c r="D2627" s="9" t="s">
        <v>177</v>
      </c>
      <c r="E2627" s="10" t="s">
        <v>178</v>
      </c>
      <c r="F2627" s="10" t="s">
        <v>3036</v>
      </c>
      <c r="G2627" s="8">
        <v>1</v>
      </c>
      <c r="H2627" s="11">
        <v>400</v>
      </c>
      <c r="I2627" s="12">
        <v>42680</v>
      </c>
      <c r="J2627" s="35">
        <f t="shared" si="102"/>
        <v>0</v>
      </c>
      <c r="K2627" s="36"/>
      <c r="L2627" s="36"/>
      <c r="M2627" s="36"/>
      <c r="N2627" s="36"/>
      <c r="O2627" s="36"/>
      <c r="P2627" s="36"/>
      <c r="Q2627" s="36"/>
      <c r="R2627" s="36"/>
      <c r="S2627" s="36"/>
      <c r="T2627" s="36"/>
      <c r="U2627" s="36">
        <v>400</v>
      </c>
      <c r="V2627" s="36"/>
      <c r="W2627" s="15">
        <f t="shared" si="103"/>
        <v>400</v>
      </c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15">
        <f t="shared" si="104"/>
        <v>0</v>
      </c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14"/>
      <c r="AV2627" s="14"/>
      <c r="AW2627" s="15"/>
      <c r="AX2627" s="16"/>
    </row>
    <row r="2628" spans="2:51" x14ac:dyDescent="0.2">
      <c r="B2628" s="7"/>
      <c r="C2628" s="8">
        <v>13191</v>
      </c>
      <c r="D2628" s="9" t="s">
        <v>404</v>
      </c>
      <c r="E2628" s="10" t="s">
        <v>405</v>
      </c>
      <c r="F2628" s="10" t="s">
        <v>406</v>
      </c>
      <c r="G2628" s="8">
        <v>1</v>
      </c>
      <c r="H2628" s="11">
        <v>400</v>
      </c>
      <c r="I2628" s="12">
        <v>42680</v>
      </c>
      <c r="J2628" s="35">
        <f t="shared" si="102"/>
        <v>0</v>
      </c>
      <c r="K2628" s="36"/>
      <c r="L2628" s="36"/>
      <c r="M2628" s="36"/>
      <c r="N2628" s="36"/>
      <c r="O2628" s="36"/>
      <c r="P2628" s="36"/>
      <c r="Q2628" s="36"/>
      <c r="R2628" s="36"/>
      <c r="S2628" s="36"/>
      <c r="T2628" s="36"/>
      <c r="U2628" s="36">
        <v>400</v>
      </c>
      <c r="V2628" s="36"/>
      <c r="W2628" s="15">
        <f t="shared" si="103"/>
        <v>400</v>
      </c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15">
        <f t="shared" si="104"/>
        <v>0</v>
      </c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14"/>
      <c r="AV2628" s="14"/>
      <c r="AW2628" s="15"/>
      <c r="AX2628" s="16"/>
    </row>
    <row r="2629" spans="2:51" x14ac:dyDescent="0.2">
      <c r="B2629" s="7"/>
      <c r="C2629" s="8">
        <v>13192</v>
      </c>
      <c r="D2629" s="9"/>
      <c r="E2629" s="10" t="s">
        <v>93</v>
      </c>
      <c r="F2629" s="10" t="s">
        <v>93</v>
      </c>
      <c r="G2629" s="8">
        <v>8</v>
      </c>
      <c r="H2629" s="11"/>
      <c r="I2629" s="12"/>
      <c r="J2629" s="35">
        <f t="shared" si="102"/>
        <v>0</v>
      </c>
      <c r="K2629" s="36"/>
      <c r="L2629" s="36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  <c r="W2629" s="15">
        <f t="shared" si="103"/>
        <v>0</v>
      </c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15">
        <f t="shared" si="104"/>
        <v>0</v>
      </c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14"/>
      <c r="AV2629" s="14"/>
      <c r="AW2629" s="15"/>
      <c r="AX2629" s="16"/>
    </row>
    <row r="2630" spans="2:51" x14ac:dyDescent="0.2">
      <c r="B2630" s="7"/>
      <c r="C2630" s="8">
        <v>13193</v>
      </c>
      <c r="D2630" s="9" t="s">
        <v>663</v>
      </c>
      <c r="E2630" s="10" t="s">
        <v>664</v>
      </c>
      <c r="F2630" s="10" t="s">
        <v>665</v>
      </c>
      <c r="G2630" s="8">
        <v>1</v>
      </c>
      <c r="H2630" s="11">
        <v>800</v>
      </c>
      <c r="I2630" s="12">
        <v>42680</v>
      </c>
      <c r="J2630" s="35">
        <f t="shared" si="102"/>
        <v>0</v>
      </c>
      <c r="K2630" s="36"/>
      <c r="L2630" s="36"/>
      <c r="M2630" s="36"/>
      <c r="N2630" s="36"/>
      <c r="O2630" s="36"/>
      <c r="P2630" s="36"/>
      <c r="Q2630" s="36"/>
      <c r="R2630" s="36"/>
      <c r="S2630" s="36">
        <v>400</v>
      </c>
      <c r="T2630" s="36">
        <v>400</v>
      </c>
      <c r="U2630" s="36"/>
      <c r="V2630" s="36"/>
      <c r="W2630" s="15">
        <f t="shared" si="103"/>
        <v>800</v>
      </c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15">
        <f t="shared" si="104"/>
        <v>0</v>
      </c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5"/>
      <c r="AX2630" s="16"/>
    </row>
    <row r="2631" spans="2:51" x14ac:dyDescent="0.2">
      <c r="B2631" s="7"/>
      <c r="C2631" s="8">
        <v>13194</v>
      </c>
      <c r="D2631" s="9" t="s">
        <v>583</v>
      </c>
      <c r="E2631" s="10" t="s">
        <v>584</v>
      </c>
      <c r="F2631" s="10" t="s">
        <v>585</v>
      </c>
      <c r="G2631" s="8">
        <v>1</v>
      </c>
      <c r="H2631" s="11">
        <v>200</v>
      </c>
      <c r="I2631" s="12">
        <v>42680</v>
      </c>
      <c r="J2631" s="35">
        <f t="shared" si="102"/>
        <v>0</v>
      </c>
      <c r="K2631" s="36"/>
      <c r="L2631" s="36"/>
      <c r="M2631" s="36"/>
      <c r="N2631" s="36"/>
      <c r="O2631" s="36"/>
      <c r="P2631" s="36"/>
      <c r="Q2631" s="36"/>
      <c r="R2631" s="36"/>
      <c r="S2631" s="36"/>
      <c r="T2631" s="36"/>
      <c r="U2631" s="36">
        <v>200</v>
      </c>
      <c r="V2631" s="36"/>
      <c r="W2631" s="15">
        <f t="shared" si="103"/>
        <v>200</v>
      </c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15">
        <f t="shared" si="104"/>
        <v>0</v>
      </c>
      <c r="AK2631" s="14"/>
      <c r="AL2631" s="14"/>
      <c r="AM2631" s="14"/>
      <c r="AN2631" s="14"/>
      <c r="AO2631" s="14"/>
      <c r="AP2631" s="14"/>
      <c r="AQ2631" s="14"/>
      <c r="AR2631" s="14"/>
      <c r="AS2631" s="14"/>
      <c r="AT2631" s="14"/>
      <c r="AU2631" s="14"/>
      <c r="AV2631" s="14"/>
      <c r="AW2631" s="15"/>
      <c r="AX2631" s="16"/>
      <c r="AY2631" s="112">
        <f>SUM(H2562:H2631)</f>
        <v>28225</v>
      </c>
    </row>
    <row r="2632" spans="2:51" x14ac:dyDescent="0.2">
      <c r="B2632" s="7"/>
      <c r="C2632" s="8">
        <v>13195</v>
      </c>
      <c r="D2632" s="9" t="s">
        <v>996</v>
      </c>
      <c r="E2632" s="10" t="s">
        <v>997</v>
      </c>
      <c r="F2632" s="10" t="s">
        <v>998</v>
      </c>
      <c r="G2632" s="8">
        <v>3</v>
      </c>
      <c r="H2632" s="315">
        <v>200</v>
      </c>
      <c r="I2632" s="12">
        <v>42681</v>
      </c>
      <c r="J2632" s="35">
        <f t="shared" si="102"/>
        <v>0</v>
      </c>
      <c r="K2632" s="36"/>
      <c r="L2632" s="36"/>
      <c r="M2632" s="36"/>
      <c r="N2632" s="36"/>
      <c r="O2632" s="36"/>
      <c r="P2632" s="36"/>
      <c r="Q2632" s="36"/>
      <c r="R2632" s="36"/>
      <c r="S2632" s="36"/>
      <c r="T2632" s="36"/>
      <c r="U2632" s="36"/>
      <c r="V2632" s="36"/>
      <c r="W2632" s="15">
        <f t="shared" si="103"/>
        <v>0</v>
      </c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15">
        <f t="shared" si="104"/>
        <v>0</v>
      </c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14"/>
      <c r="AV2632" s="14"/>
      <c r="AW2632" s="15"/>
      <c r="AX2632" s="16"/>
    </row>
    <row r="2633" spans="2:51" x14ac:dyDescent="0.2">
      <c r="B2633" s="7"/>
      <c r="C2633" s="8">
        <v>13196</v>
      </c>
      <c r="D2633" s="9" t="s">
        <v>226</v>
      </c>
      <c r="E2633" s="10" t="s">
        <v>227</v>
      </c>
      <c r="F2633" s="10" t="s">
        <v>228</v>
      </c>
      <c r="G2633" s="8">
        <v>1</v>
      </c>
      <c r="H2633" s="11">
        <v>200</v>
      </c>
      <c r="I2633" s="12">
        <v>42681</v>
      </c>
      <c r="J2633" s="35">
        <f t="shared" si="102"/>
        <v>0</v>
      </c>
      <c r="K2633" s="36"/>
      <c r="L2633" s="36"/>
      <c r="M2633" s="36"/>
      <c r="N2633" s="36"/>
      <c r="O2633" s="36"/>
      <c r="P2633" s="36"/>
      <c r="Q2633" s="36"/>
      <c r="R2633" s="36"/>
      <c r="S2633" s="36"/>
      <c r="T2633" s="36"/>
      <c r="U2633" s="36">
        <v>200</v>
      </c>
      <c r="V2633" s="36"/>
      <c r="W2633" s="15">
        <f t="shared" si="103"/>
        <v>200</v>
      </c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15">
        <f t="shared" si="104"/>
        <v>0</v>
      </c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5"/>
      <c r="AX2633" s="16"/>
    </row>
    <row r="2634" spans="2:51" x14ac:dyDescent="0.2">
      <c r="B2634" s="7"/>
      <c r="C2634" s="8">
        <v>13196</v>
      </c>
      <c r="D2634" s="9" t="s">
        <v>226</v>
      </c>
      <c r="E2634" s="10" t="s">
        <v>227</v>
      </c>
      <c r="F2634" s="10" t="s">
        <v>228</v>
      </c>
      <c r="G2634" s="8">
        <v>5</v>
      </c>
      <c r="H2634" s="11">
        <v>100</v>
      </c>
      <c r="I2634" s="12">
        <v>42681</v>
      </c>
      <c r="J2634" s="35">
        <f t="shared" si="102"/>
        <v>0</v>
      </c>
      <c r="K2634" s="36"/>
      <c r="L2634" s="36"/>
      <c r="M2634" s="36"/>
      <c r="N2634" s="36"/>
      <c r="O2634" s="36"/>
      <c r="P2634" s="36"/>
      <c r="Q2634" s="36"/>
      <c r="R2634" s="36"/>
      <c r="S2634" s="36"/>
      <c r="T2634" s="36"/>
      <c r="U2634" s="36"/>
      <c r="V2634" s="36"/>
      <c r="W2634" s="15">
        <f t="shared" si="103"/>
        <v>0</v>
      </c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15">
        <f t="shared" si="104"/>
        <v>0</v>
      </c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5"/>
      <c r="AX2634" s="16"/>
    </row>
    <row r="2635" spans="2:51" x14ac:dyDescent="0.2">
      <c r="B2635" s="7"/>
      <c r="C2635" s="8">
        <v>13197</v>
      </c>
      <c r="D2635" s="9" t="s">
        <v>1064</v>
      </c>
      <c r="E2635" s="10" t="s">
        <v>1065</v>
      </c>
      <c r="F2635" s="10" t="s">
        <v>1066</v>
      </c>
      <c r="G2635" s="8">
        <v>1</v>
      </c>
      <c r="H2635" s="11">
        <v>100</v>
      </c>
      <c r="I2635" s="12">
        <v>42681</v>
      </c>
      <c r="J2635" s="35">
        <f t="shared" si="102"/>
        <v>0</v>
      </c>
      <c r="K2635" s="36"/>
      <c r="L2635" s="36"/>
      <c r="M2635" s="36"/>
      <c r="N2635" s="36"/>
      <c r="O2635" s="36"/>
      <c r="P2635" s="36"/>
      <c r="Q2635" s="36"/>
      <c r="R2635" s="36">
        <v>100</v>
      </c>
      <c r="S2635" s="36"/>
      <c r="T2635" s="36"/>
      <c r="U2635" s="36"/>
      <c r="V2635" s="36"/>
      <c r="W2635" s="15">
        <f t="shared" si="103"/>
        <v>100</v>
      </c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15">
        <f t="shared" si="104"/>
        <v>0</v>
      </c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5"/>
      <c r="AX2635" s="16"/>
    </row>
    <row r="2636" spans="2:51" x14ac:dyDescent="0.2">
      <c r="B2636" s="7"/>
      <c r="C2636" s="8">
        <v>13197</v>
      </c>
      <c r="D2636" s="9" t="s">
        <v>1064</v>
      </c>
      <c r="E2636" s="10" t="s">
        <v>1065</v>
      </c>
      <c r="F2636" s="10" t="s">
        <v>1066</v>
      </c>
      <c r="G2636" s="8">
        <v>3</v>
      </c>
      <c r="H2636" s="11">
        <v>400</v>
      </c>
      <c r="I2636" s="12">
        <v>42681</v>
      </c>
      <c r="J2636" s="35">
        <f t="shared" si="102"/>
        <v>0</v>
      </c>
      <c r="K2636" s="36"/>
      <c r="L2636" s="36"/>
      <c r="M2636" s="36"/>
      <c r="N2636" s="36"/>
      <c r="O2636" s="36"/>
      <c r="P2636" s="36"/>
      <c r="Q2636" s="36"/>
      <c r="R2636" s="36"/>
      <c r="S2636" s="36"/>
      <c r="T2636" s="36"/>
      <c r="U2636" s="36"/>
      <c r="V2636" s="36"/>
      <c r="W2636" s="15">
        <f t="shared" si="103"/>
        <v>0</v>
      </c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15">
        <f t="shared" si="104"/>
        <v>0</v>
      </c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5"/>
      <c r="AX2636" s="16"/>
    </row>
    <row r="2637" spans="2:51" x14ac:dyDescent="0.2">
      <c r="B2637" s="7"/>
      <c r="C2637" s="8">
        <v>13197</v>
      </c>
      <c r="D2637" s="9" t="s">
        <v>1064</v>
      </c>
      <c r="E2637" s="10" t="s">
        <v>1065</v>
      </c>
      <c r="F2637" s="10" t="s">
        <v>1066</v>
      </c>
      <c r="G2637" s="8">
        <v>5</v>
      </c>
      <c r="H2637" s="11">
        <v>50</v>
      </c>
      <c r="I2637" s="12">
        <v>42681</v>
      </c>
      <c r="J2637" s="35">
        <f t="shared" si="102"/>
        <v>0</v>
      </c>
      <c r="K2637" s="36"/>
      <c r="L2637" s="36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  <c r="W2637" s="15">
        <f t="shared" si="103"/>
        <v>0</v>
      </c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15">
        <f t="shared" si="104"/>
        <v>0</v>
      </c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14"/>
      <c r="AV2637" s="14"/>
      <c r="AW2637" s="15"/>
      <c r="AX2637" s="16"/>
    </row>
    <row r="2638" spans="2:51" x14ac:dyDescent="0.2">
      <c r="B2638" s="7"/>
      <c r="C2638" s="8">
        <v>13198</v>
      </c>
      <c r="D2638" s="9" t="s">
        <v>807</v>
      </c>
      <c r="E2638" s="10" t="s">
        <v>808</v>
      </c>
      <c r="F2638" s="10" t="s">
        <v>809</v>
      </c>
      <c r="G2638" s="8">
        <v>1</v>
      </c>
      <c r="H2638" s="11">
        <v>400</v>
      </c>
      <c r="I2638" s="12">
        <v>42681</v>
      </c>
      <c r="J2638" s="35">
        <f t="shared" si="102"/>
        <v>0</v>
      </c>
      <c r="K2638" s="36"/>
      <c r="L2638" s="36"/>
      <c r="M2638" s="36"/>
      <c r="N2638" s="36"/>
      <c r="O2638" s="36"/>
      <c r="P2638" s="36"/>
      <c r="Q2638" s="36"/>
      <c r="R2638" s="36"/>
      <c r="S2638" s="36">
        <v>200</v>
      </c>
      <c r="T2638" s="36">
        <v>200</v>
      </c>
      <c r="U2638" s="36"/>
      <c r="V2638" s="36"/>
      <c r="W2638" s="15">
        <f t="shared" si="103"/>
        <v>400</v>
      </c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15">
        <f t="shared" si="104"/>
        <v>0</v>
      </c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5"/>
      <c r="AX2638" s="16"/>
    </row>
    <row r="2639" spans="2:51" x14ac:dyDescent="0.2">
      <c r="B2639" s="7"/>
      <c r="C2639" s="8">
        <v>13199</v>
      </c>
      <c r="D2639" s="9" t="s">
        <v>1042</v>
      </c>
      <c r="E2639" s="10" t="s">
        <v>1043</v>
      </c>
      <c r="F2639" s="10" t="s">
        <v>1044</v>
      </c>
      <c r="G2639" s="8">
        <v>1</v>
      </c>
      <c r="H2639" s="11">
        <v>200</v>
      </c>
      <c r="I2639" s="12">
        <v>42650</v>
      </c>
      <c r="J2639" s="35">
        <f t="shared" si="102"/>
        <v>0</v>
      </c>
      <c r="K2639" s="36"/>
      <c r="L2639" s="36"/>
      <c r="M2639" s="36"/>
      <c r="N2639" s="36"/>
      <c r="O2639" s="36"/>
      <c r="P2639" s="36"/>
      <c r="Q2639" s="36"/>
      <c r="R2639" s="36"/>
      <c r="S2639" s="36">
        <v>100</v>
      </c>
      <c r="T2639" s="36">
        <v>100</v>
      </c>
      <c r="U2639" s="36"/>
      <c r="V2639" s="36"/>
      <c r="W2639" s="15">
        <f t="shared" si="103"/>
        <v>200</v>
      </c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15">
        <f t="shared" si="104"/>
        <v>0</v>
      </c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14"/>
      <c r="AV2639" s="14"/>
      <c r="AW2639" s="15"/>
      <c r="AX2639" s="16"/>
    </row>
    <row r="2640" spans="2:51" x14ac:dyDescent="0.2">
      <c r="B2640" s="7"/>
      <c r="C2640" s="8">
        <v>13200</v>
      </c>
      <c r="D2640" s="9" t="s">
        <v>1042</v>
      </c>
      <c r="E2640" s="10" t="s">
        <v>1043</v>
      </c>
      <c r="F2640" s="10" t="s">
        <v>1044</v>
      </c>
      <c r="G2640" s="8">
        <v>5</v>
      </c>
      <c r="H2640" s="11">
        <v>50</v>
      </c>
      <c r="I2640" s="12">
        <v>42681</v>
      </c>
      <c r="J2640" s="35">
        <f t="shared" si="102"/>
        <v>0</v>
      </c>
      <c r="K2640" s="36"/>
      <c r="L2640" s="36"/>
      <c r="M2640" s="36"/>
      <c r="N2640" s="36"/>
      <c r="O2640" s="36"/>
      <c r="P2640" s="36"/>
      <c r="Q2640" s="36"/>
      <c r="R2640" s="36"/>
      <c r="S2640" s="36"/>
      <c r="T2640" s="36"/>
      <c r="U2640" s="36"/>
      <c r="V2640" s="36"/>
      <c r="W2640" s="15">
        <f t="shared" si="103"/>
        <v>0</v>
      </c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15">
        <f t="shared" si="104"/>
        <v>0</v>
      </c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14"/>
      <c r="AV2640" s="14"/>
      <c r="AW2640" s="15"/>
      <c r="AX2640" s="16"/>
    </row>
    <row r="2641" spans="2:50" x14ac:dyDescent="0.2">
      <c r="B2641" s="7"/>
      <c r="C2641" s="8">
        <v>13201</v>
      </c>
      <c r="D2641" s="9" t="s">
        <v>214</v>
      </c>
      <c r="E2641" s="10" t="s">
        <v>215</v>
      </c>
      <c r="F2641" s="10" t="s">
        <v>216</v>
      </c>
      <c r="G2641" s="8">
        <v>7</v>
      </c>
      <c r="H2641" s="11">
        <v>90</v>
      </c>
      <c r="I2641" s="12">
        <v>42681</v>
      </c>
      <c r="J2641" s="35">
        <f t="shared" si="102"/>
        <v>0</v>
      </c>
      <c r="K2641" s="36"/>
      <c r="L2641" s="36"/>
      <c r="M2641" s="36"/>
      <c r="N2641" s="36"/>
      <c r="O2641" s="36"/>
      <c r="P2641" s="36"/>
      <c r="Q2641" s="36"/>
      <c r="R2641" s="36"/>
      <c r="S2641" s="36"/>
      <c r="T2641" s="36"/>
      <c r="U2641" s="36"/>
      <c r="V2641" s="36"/>
      <c r="W2641" s="15">
        <f t="shared" si="103"/>
        <v>0</v>
      </c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15">
        <f t="shared" si="104"/>
        <v>0</v>
      </c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14"/>
      <c r="AV2641" s="14"/>
      <c r="AW2641" s="15"/>
      <c r="AX2641" s="16"/>
    </row>
    <row r="2642" spans="2:50" x14ac:dyDescent="0.2">
      <c r="B2642" s="7"/>
      <c r="C2642" s="8">
        <v>13202</v>
      </c>
      <c r="D2642" s="9" t="s">
        <v>1157</v>
      </c>
      <c r="E2642" s="10" t="s">
        <v>1158</v>
      </c>
      <c r="F2642" s="10" t="s">
        <v>1159</v>
      </c>
      <c r="G2642" s="8">
        <v>1</v>
      </c>
      <c r="H2642" s="11">
        <v>600</v>
      </c>
      <c r="I2642" s="12">
        <v>42681</v>
      </c>
      <c r="J2642" s="35">
        <f t="shared" si="102"/>
        <v>0</v>
      </c>
      <c r="K2642" s="36"/>
      <c r="L2642" s="36"/>
      <c r="M2642" s="36"/>
      <c r="N2642" s="36"/>
      <c r="O2642" s="36"/>
      <c r="P2642" s="36"/>
      <c r="Q2642" s="36"/>
      <c r="R2642" s="36"/>
      <c r="S2642" s="36">
        <v>200</v>
      </c>
      <c r="T2642" s="36">
        <v>200</v>
      </c>
      <c r="U2642" s="36">
        <v>200</v>
      </c>
      <c r="V2642" s="36"/>
      <c r="W2642" s="15">
        <f t="shared" si="103"/>
        <v>600</v>
      </c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15">
        <f t="shared" si="104"/>
        <v>0</v>
      </c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/>
      <c r="AW2642" s="15"/>
      <c r="AX2642" s="16"/>
    </row>
    <row r="2643" spans="2:50" x14ac:dyDescent="0.2">
      <c r="B2643" s="7"/>
      <c r="C2643" s="8">
        <v>13203</v>
      </c>
      <c r="D2643" s="9" t="s">
        <v>202</v>
      </c>
      <c r="E2643" s="10" t="s">
        <v>203</v>
      </c>
      <c r="F2643" s="10" t="s">
        <v>204</v>
      </c>
      <c r="G2643" s="8">
        <v>1</v>
      </c>
      <c r="H2643" s="11">
        <v>400</v>
      </c>
      <c r="I2643" s="12">
        <v>42682</v>
      </c>
      <c r="J2643" s="35">
        <f t="shared" si="102"/>
        <v>0</v>
      </c>
      <c r="K2643" s="36"/>
      <c r="L2643" s="36"/>
      <c r="M2643" s="36"/>
      <c r="N2643" s="36"/>
      <c r="O2643" s="36"/>
      <c r="P2643" s="36"/>
      <c r="Q2643" s="36"/>
      <c r="R2643" s="36"/>
      <c r="S2643" s="36"/>
      <c r="T2643" s="36"/>
      <c r="U2643" s="36">
        <v>400</v>
      </c>
      <c r="V2643" s="36"/>
      <c r="W2643" s="15">
        <f t="shared" si="103"/>
        <v>400</v>
      </c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15">
        <f t="shared" si="104"/>
        <v>0</v>
      </c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14"/>
      <c r="AV2643" s="14"/>
      <c r="AW2643" s="15"/>
      <c r="AX2643" s="16"/>
    </row>
    <row r="2644" spans="2:50" x14ac:dyDescent="0.2">
      <c r="B2644" s="7"/>
      <c r="C2644" s="8">
        <v>13204</v>
      </c>
      <c r="D2644" s="9" t="s">
        <v>941</v>
      </c>
      <c r="E2644" s="10" t="s">
        <v>942</v>
      </c>
      <c r="F2644" s="10" t="s">
        <v>943</v>
      </c>
      <c r="G2644" s="8">
        <v>1</v>
      </c>
      <c r="H2644" s="11">
        <v>200</v>
      </c>
      <c r="I2644" s="12">
        <v>42683</v>
      </c>
      <c r="J2644" s="35">
        <f t="shared" si="102"/>
        <v>0</v>
      </c>
      <c r="K2644" s="36"/>
      <c r="L2644" s="36"/>
      <c r="M2644" s="36"/>
      <c r="N2644" s="36"/>
      <c r="O2644" s="36"/>
      <c r="P2644" s="36"/>
      <c r="Q2644" s="36"/>
      <c r="R2644" s="36"/>
      <c r="S2644" s="36"/>
      <c r="T2644" s="36"/>
      <c r="U2644" s="36">
        <v>200</v>
      </c>
      <c r="V2644" s="36"/>
      <c r="W2644" s="15">
        <f t="shared" si="103"/>
        <v>200</v>
      </c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15">
        <f t="shared" si="104"/>
        <v>0</v>
      </c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14"/>
      <c r="AV2644" s="14"/>
      <c r="AW2644" s="15"/>
      <c r="AX2644" s="16"/>
    </row>
    <row r="2645" spans="2:50" x14ac:dyDescent="0.2">
      <c r="B2645" s="7"/>
      <c r="C2645" s="8">
        <v>13205</v>
      </c>
      <c r="D2645" s="9" t="s">
        <v>217</v>
      </c>
      <c r="E2645" s="10" t="s">
        <v>218</v>
      </c>
      <c r="F2645" s="10" t="s">
        <v>219</v>
      </c>
      <c r="G2645" s="8">
        <v>1</v>
      </c>
      <c r="H2645" s="11">
        <v>600</v>
      </c>
      <c r="I2645" s="12">
        <v>42684</v>
      </c>
      <c r="J2645" s="35">
        <f t="shared" si="102"/>
        <v>0</v>
      </c>
      <c r="K2645" s="36"/>
      <c r="L2645" s="36"/>
      <c r="M2645" s="36"/>
      <c r="N2645" s="36"/>
      <c r="O2645" s="36"/>
      <c r="P2645" s="36"/>
      <c r="Q2645" s="36"/>
      <c r="R2645" s="36"/>
      <c r="S2645" s="36"/>
      <c r="T2645" s="36">
        <v>300</v>
      </c>
      <c r="U2645" s="36">
        <v>300</v>
      </c>
      <c r="V2645" s="36"/>
      <c r="W2645" s="15">
        <f t="shared" si="103"/>
        <v>600</v>
      </c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15">
        <f t="shared" si="104"/>
        <v>0</v>
      </c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5"/>
      <c r="AX2645" s="16"/>
    </row>
    <row r="2646" spans="2:50" x14ac:dyDescent="0.2">
      <c r="B2646" s="7"/>
      <c r="C2646" s="8">
        <v>13206</v>
      </c>
      <c r="D2646" s="9" t="s">
        <v>115</v>
      </c>
      <c r="E2646" s="10" t="s">
        <v>116</v>
      </c>
      <c r="F2646" s="10" t="s">
        <v>117</v>
      </c>
      <c r="G2646" s="8">
        <v>5</v>
      </c>
      <c r="H2646" s="11">
        <v>50</v>
      </c>
      <c r="I2646" s="12">
        <v>42684</v>
      </c>
      <c r="J2646" s="35">
        <f t="shared" si="102"/>
        <v>0</v>
      </c>
      <c r="K2646" s="36"/>
      <c r="L2646" s="36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  <c r="W2646" s="15">
        <f t="shared" si="103"/>
        <v>0</v>
      </c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15">
        <f t="shared" si="104"/>
        <v>0</v>
      </c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14"/>
      <c r="AV2646" s="14"/>
      <c r="AW2646" s="15"/>
      <c r="AX2646" s="16"/>
    </row>
    <row r="2647" spans="2:50" x14ac:dyDescent="0.2">
      <c r="B2647" s="7"/>
      <c r="C2647" s="8">
        <v>13207</v>
      </c>
      <c r="D2647" s="9" t="s">
        <v>94</v>
      </c>
      <c r="E2647" s="10" t="s">
        <v>95</v>
      </c>
      <c r="F2647" s="10" t="s">
        <v>96</v>
      </c>
      <c r="G2647" s="8">
        <v>1</v>
      </c>
      <c r="H2647" s="11">
        <v>400</v>
      </c>
      <c r="I2647" s="12">
        <v>42687</v>
      </c>
      <c r="J2647" s="35">
        <f t="shared" si="102"/>
        <v>0</v>
      </c>
      <c r="K2647" s="36"/>
      <c r="L2647" s="36"/>
      <c r="M2647" s="36"/>
      <c r="N2647" s="36"/>
      <c r="O2647" s="36"/>
      <c r="P2647" s="36"/>
      <c r="Q2647" s="36"/>
      <c r="R2647" s="36"/>
      <c r="S2647" s="36"/>
      <c r="T2647" s="36"/>
      <c r="U2647" s="36">
        <v>400</v>
      </c>
      <c r="V2647" s="36"/>
      <c r="W2647" s="15">
        <f t="shared" si="103"/>
        <v>400</v>
      </c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15">
        <f t="shared" si="104"/>
        <v>0</v>
      </c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14"/>
      <c r="AV2647" s="14"/>
      <c r="AW2647" s="15"/>
      <c r="AX2647" s="16"/>
    </row>
    <row r="2648" spans="2:50" x14ac:dyDescent="0.2">
      <c r="B2648" s="7"/>
      <c r="C2648" s="8">
        <v>13208</v>
      </c>
      <c r="D2648" s="9" t="s">
        <v>259</v>
      </c>
      <c r="E2648" s="10" t="s">
        <v>260</v>
      </c>
      <c r="F2648" s="10" t="s">
        <v>261</v>
      </c>
      <c r="G2648" s="8">
        <v>1</v>
      </c>
      <c r="H2648" s="11">
        <v>400</v>
      </c>
      <c r="I2648" s="12">
        <v>42687</v>
      </c>
      <c r="J2648" s="35">
        <f t="shared" si="102"/>
        <v>0</v>
      </c>
      <c r="K2648" s="36"/>
      <c r="L2648" s="36"/>
      <c r="M2648" s="36"/>
      <c r="N2648" s="36"/>
      <c r="O2648" s="36"/>
      <c r="P2648" s="36"/>
      <c r="Q2648" s="36"/>
      <c r="R2648" s="36"/>
      <c r="S2648" s="36"/>
      <c r="T2648" s="36"/>
      <c r="U2648" s="36">
        <v>400</v>
      </c>
      <c r="V2648" s="36"/>
      <c r="W2648" s="15">
        <f t="shared" si="103"/>
        <v>400</v>
      </c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15">
        <f t="shared" si="104"/>
        <v>0</v>
      </c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14"/>
      <c r="AV2648" s="14"/>
      <c r="AW2648" s="15"/>
      <c r="AX2648" s="16"/>
    </row>
    <row r="2649" spans="2:50" x14ac:dyDescent="0.2">
      <c r="B2649" s="7"/>
      <c r="C2649" s="8">
        <v>13209</v>
      </c>
      <c r="D2649" s="9" t="s">
        <v>611</v>
      </c>
      <c r="E2649" s="10" t="s">
        <v>612</v>
      </c>
      <c r="F2649" s="10" t="s">
        <v>613</v>
      </c>
      <c r="G2649" s="8">
        <v>1</v>
      </c>
      <c r="H2649" s="11">
        <v>400</v>
      </c>
      <c r="I2649" s="12">
        <v>42687</v>
      </c>
      <c r="J2649" s="35">
        <f t="shared" si="102"/>
        <v>0</v>
      </c>
      <c r="K2649" s="36"/>
      <c r="L2649" s="36"/>
      <c r="M2649" s="36"/>
      <c r="N2649" s="36"/>
      <c r="O2649" s="36"/>
      <c r="P2649" s="36"/>
      <c r="Q2649" s="36"/>
      <c r="R2649" s="36"/>
      <c r="S2649" s="36"/>
      <c r="T2649" s="36"/>
      <c r="U2649" s="36">
        <v>400</v>
      </c>
      <c r="V2649" s="36"/>
      <c r="W2649" s="15">
        <f t="shared" si="103"/>
        <v>400</v>
      </c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15">
        <f t="shared" si="104"/>
        <v>0</v>
      </c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5"/>
      <c r="AX2649" s="16"/>
    </row>
    <row r="2650" spans="2:50" x14ac:dyDescent="0.2">
      <c r="B2650" s="7"/>
      <c r="C2650" s="8">
        <v>13210</v>
      </c>
      <c r="D2650" s="9" t="s">
        <v>728</v>
      </c>
      <c r="E2650" s="10" t="s">
        <v>729</v>
      </c>
      <c r="F2650" s="10" t="s">
        <v>730</v>
      </c>
      <c r="G2650" s="8">
        <v>1</v>
      </c>
      <c r="H2650" s="11">
        <v>800</v>
      </c>
      <c r="I2650" s="12">
        <v>42687</v>
      </c>
      <c r="J2650" s="35">
        <f t="shared" si="102"/>
        <v>0</v>
      </c>
      <c r="K2650" s="36"/>
      <c r="L2650" s="36"/>
      <c r="M2650" s="36"/>
      <c r="N2650" s="36"/>
      <c r="O2650" s="36"/>
      <c r="P2650" s="36"/>
      <c r="Q2650" s="36"/>
      <c r="R2650" s="36"/>
      <c r="S2650" s="36">
        <v>400</v>
      </c>
      <c r="T2650" s="36">
        <v>400</v>
      </c>
      <c r="U2650" s="36"/>
      <c r="V2650" s="36"/>
      <c r="W2650" s="15">
        <f t="shared" si="103"/>
        <v>800</v>
      </c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15">
        <f t="shared" si="104"/>
        <v>0</v>
      </c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14"/>
      <c r="AV2650" s="14"/>
      <c r="AW2650" s="15"/>
      <c r="AX2650" s="16"/>
    </row>
    <row r="2651" spans="2:50" x14ac:dyDescent="0.2">
      <c r="B2651" s="7"/>
      <c r="C2651" s="8">
        <v>13211</v>
      </c>
      <c r="D2651" s="9" t="s">
        <v>398</v>
      </c>
      <c r="E2651" s="10" t="s">
        <v>399</v>
      </c>
      <c r="F2651" s="10" t="s">
        <v>400</v>
      </c>
      <c r="G2651" s="8">
        <v>1</v>
      </c>
      <c r="H2651" s="11">
        <v>400</v>
      </c>
      <c r="I2651" s="12">
        <v>42687</v>
      </c>
      <c r="J2651" s="35">
        <f t="shared" si="102"/>
        <v>0</v>
      </c>
      <c r="K2651" s="36"/>
      <c r="L2651" s="36"/>
      <c r="M2651" s="36"/>
      <c r="N2651" s="36"/>
      <c r="O2651" s="36"/>
      <c r="P2651" s="36"/>
      <c r="Q2651" s="36"/>
      <c r="R2651" s="36"/>
      <c r="S2651" s="36"/>
      <c r="T2651" s="36"/>
      <c r="U2651" s="36">
        <v>400</v>
      </c>
      <c r="V2651" s="36"/>
      <c r="W2651" s="15">
        <f t="shared" si="103"/>
        <v>400</v>
      </c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15">
        <f t="shared" si="104"/>
        <v>0</v>
      </c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14"/>
      <c r="AV2651" s="14"/>
      <c r="AW2651" s="15"/>
      <c r="AX2651" s="16"/>
    </row>
    <row r="2652" spans="2:50" x14ac:dyDescent="0.2">
      <c r="B2652" s="7"/>
      <c r="C2652" s="8">
        <v>13212</v>
      </c>
      <c r="D2652" s="9" t="s">
        <v>307</v>
      </c>
      <c r="E2652" s="10" t="s">
        <v>308</v>
      </c>
      <c r="F2652" s="10" t="s">
        <v>309</v>
      </c>
      <c r="G2652" s="8">
        <v>1</v>
      </c>
      <c r="H2652" s="11">
        <v>350</v>
      </c>
      <c r="I2652" s="12">
        <v>42687</v>
      </c>
      <c r="J2652" s="35">
        <f t="shared" si="102"/>
        <v>0</v>
      </c>
      <c r="K2652" s="36"/>
      <c r="L2652" s="36"/>
      <c r="M2652" s="36"/>
      <c r="N2652" s="36"/>
      <c r="O2652" s="36"/>
      <c r="P2652" s="36"/>
      <c r="Q2652" s="36"/>
      <c r="R2652" s="36"/>
      <c r="S2652" s="36"/>
      <c r="T2652" s="36"/>
      <c r="U2652" s="36">
        <v>350</v>
      </c>
      <c r="V2652" s="36"/>
      <c r="W2652" s="15">
        <f t="shared" si="103"/>
        <v>350</v>
      </c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15">
        <f t="shared" si="104"/>
        <v>0</v>
      </c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14"/>
      <c r="AV2652" s="14"/>
      <c r="AW2652" s="15"/>
      <c r="AX2652" s="16"/>
    </row>
    <row r="2653" spans="2:50" x14ac:dyDescent="0.2">
      <c r="B2653" s="7"/>
      <c r="C2653" s="8">
        <v>13213</v>
      </c>
      <c r="D2653" s="9" t="s">
        <v>115</v>
      </c>
      <c r="E2653" s="10" t="s">
        <v>116</v>
      </c>
      <c r="F2653" s="10" t="s">
        <v>117</v>
      </c>
      <c r="G2653" s="8">
        <v>1</v>
      </c>
      <c r="H2653" s="11">
        <v>150</v>
      </c>
      <c r="I2653" s="12">
        <v>42687</v>
      </c>
      <c r="J2653" s="35">
        <f t="shared" si="102"/>
        <v>0</v>
      </c>
      <c r="K2653" s="36"/>
      <c r="L2653" s="36"/>
      <c r="M2653" s="36"/>
      <c r="N2653" s="36"/>
      <c r="O2653" s="36"/>
      <c r="P2653" s="36"/>
      <c r="Q2653" s="36"/>
      <c r="R2653" s="36"/>
      <c r="S2653" s="36"/>
      <c r="T2653" s="36"/>
      <c r="U2653" s="36">
        <v>150</v>
      </c>
      <c r="V2653" s="36"/>
      <c r="W2653" s="15">
        <f t="shared" si="103"/>
        <v>150</v>
      </c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15">
        <f t="shared" si="104"/>
        <v>0</v>
      </c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14"/>
      <c r="AV2653" s="14"/>
      <c r="AW2653" s="15"/>
      <c r="AX2653" s="16"/>
    </row>
    <row r="2654" spans="2:50" x14ac:dyDescent="0.2">
      <c r="B2654" s="7"/>
      <c r="C2654" s="8">
        <v>13214</v>
      </c>
      <c r="D2654" s="9" t="s">
        <v>509</v>
      </c>
      <c r="E2654" s="10" t="s">
        <v>510</v>
      </c>
      <c r="F2654" s="10" t="s">
        <v>511</v>
      </c>
      <c r="G2654" s="8">
        <v>1</v>
      </c>
      <c r="H2654" s="11">
        <v>300</v>
      </c>
      <c r="I2654" s="12">
        <v>42687</v>
      </c>
      <c r="J2654" s="35">
        <f t="shared" si="102"/>
        <v>0</v>
      </c>
      <c r="K2654" s="36"/>
      <c r="L2654" s="36"/>
      <c r="M2654" s="36"/>
      <c r="N2654" s="36"/>
      <c r="O2654" s="36"/>
      <c r="P2654" s="36"/>
      <c r="Q2654" s="36"/>
      <c r="R2654" s="36"/>
      <c r="S2654" s="36"/>
      <c r="T2654" s="36">
        <v>300</v>
      </c>
      <c r="U2654" s="36"/>
      <c r="V2654" s="36"/>
      <c r="W2654" s="15">
        <f t="shared" si="103"/>
        <v>300</v>
      </c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15">
        <f t="shared" si="104"/>
        <v>0</v>
      </c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14"/>
      <c r="AV2654" s="14"/>
      <c r="AW2654" s="15"/>
      <c r="AX2654" s="16"/>
    </row>
    <row r="2655" spans="2:50" x14ac:dyDescent="0.2">
      <c r="B2655" s="7"/>
      <c r="C2655" s="8">
        <v>13215</v>
      </c>
      <c r="D2655" s="9" t="s">
        <v>1441</v>
      </c>
      <c r="E2655" s="10" t="s">
        <v>1442</v>
      </c>
      <c r="F2655" s="10" t="s">
        <v>1443</v>
      </c>
      <c r="G2655" s="8">
        <v>1</v>
      </c>
      <c r="H2655" s="11">
        <v>400</v>
      </c>
      <c r="I2655" s="12">
        <v>42687</v>
      </c>
      <c r="J2655" s="35">
        <f t="shared" si="102"/>
        <v>0</v>
      </c>
      <c r="K2655" s="36"/>
      <c r="L2655" s="36"/>
      <c r="M2655" s="36"/>
      <c r="N2655" s="36"/>
      <c r="O2655" s="36"/>
      <c r="P2655" s="36"/>
      <c r="Q2655" s="36"/>
      <c r="R2655" s="36"/>
      <c r="S2655" s="36"/>
      <c r="T2655" s="36"/>
      <c r="U2655" s="36">
        <v>400</v>
      </c>
      <c r="V2655" s="36"/>
      <c r="W2655" s="15">
        <f t="shared" si="103"/>
        <v>400</v>
      </c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15">
        <f t="shared" si="104"/>
        <v>0</v>
      </c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14"/>
      <c r="AV2655" s="14"/>
      <c r="AW2655" s="15"/>
      <c r="AX2655" s="16"/>
    </row>
    <row r="2656" spans="2:50" x14ac:dyDescent="0.2">
      <c r="B2656" s="7"/>
      <c r="C2656" s="8">
        <v>13215</v>
      </c>
      <c r="D2656" s="9" t="s">
        <v>1441</v>
      </c>
      <c r="E2656" s="10" t="s">
        <v>1442</v>
      </c>
      <c r="F2656" s="10" t="s">
        <v>1443</v>
      </c>
      <c r="G2656" s="8">
        <v>5</v>
      </c>
      <c r="H2656" s="11">
        <v>50</v>
      </c>
      <c r="I2656" s="12">
        <v>42687</v>
      </c>
      <c r="J2656" s="35">
        <f t="shared" si="102"/>
        <v>0</v>
      </c>
      <c r="K2656" s="36"/>
      <c r="L2656" s="36"/>
      <c r="M2656" s="36"/>
      <c r="N2656" s="36"/>
      <c r="O2656" s="36"/>
      <c r="P2656" s="36"/>
      <c r="Q2656" s="36"/>
      <c r="R2656" s="36"/>
      <c r="S2656" s="36"/>
      <c r="T2656" s="36"/>
      <c r="U2656" s="36"/>
      <c r="V2656" s="36"/>
      <c r="W2656" s="15">
        <f t="shared" si="103"/>
        <v>0</v>
      </c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15">
        <f t="shared" si="104"/>
        <v>0</v>
      </c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14"/>
      <c r="AV2656" s="14"/>
      <c r="AW2656" s="15"/>
      <c r="AX2656" s="16"/>
    </row>
    <row r="2657" spans="2:50" x14ac:dyDescent="0.2">
      <c r="B2657" s="7"/>
      <c r="C2657" s="8">
        <v>13216</v>
      </c>
      <c r="D2657" s="9" t="s">
        <v>761</v>
      </c>
      <c r="E2657" s="10" t="s">
        <v>762</v>
      </c>
      <c r="F2657" s="10" t="s">
        <v>403</v>
      </c>
      <c r="G2657" s="8">
        <v>1</v>
      </c>
      <c r="H2657" s="11">
        <v>1600</v>
      </c>
      <c r="I2657" s="12">
        <v>42687</v>
      </c>
      <c r="J2657" s="35">
        <f t="shared" si="102"/>
        <v>0</v>
      </c>
      <c r="K2657" s="36"/>
      <c r="L2657" s="36"/>
      <c r="M2657" s="36"/>
      <c r="N2657" s="36"/>
      <c r="O2657" s="36"/>
      <c r="P2657" s="36"/>
      <c r="Q2657" s="36"/>
      <c r="R2657" s="36">
        <v>400</v>
      </c>
      <c r="S2657" s="36">
        <v>400</v>
      </c>
      <c r="T2657" s="36">
        <v>400</v>
      </c>
      <c r="U2657" s="36">
        <v>400</v>
      </c>
      <c r="V2657" s="36"/>
      <c r="W2657" s="15">
        <f t="shared" si="103"/>
        <v>1600</v>
      </c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15">
        <f t="shared" si="104"/>
        <v>0</v>
      </c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5"/>
      <c r="AX2657" s="16"/>
    </row>
    <row r="2658" spans="2:50" x14ac:dyDescent="0.2">
      <c r="B2658" s="7"/>
      <c r="C2658" s="8">
        <v>13217</v>
      </c>
      <c r="D2658" s="9" t="s">
        <v>788</v>
      </c>
      <c r="E2658" s="10" t="s">
        <v>789</v>
      </c>
      <c r="F2658" s="10" t="s">
        <v>790</v>
      </c>
      <c r="G2658" s="8">
        <v>1</v>
      </c>
      <c r="H2658" s="11">
        <v>800</v>
      </c>
      <c r="I2658" s="12">
        <v>42687</v>
      </c>
      <c r="J2658" s="35">
        <f t="shared" si="102"/>
        <v>0</v>
      </c>
      <c r="K2658" s="36"/>
      <c r="L2658" s="36"/>
      <c r="M2658" s="36"/>
      <c r="N2658" s="36"/>
      <c r="O2658" s="36"/>
      <c r="P2658" s="36"/>
      <c r="Q2658" s="36"/>
      <c r="R2658" s="36"/>
      <c r="S2658" s="36"/>
      <c r="T2658" s="36">
        <v>400</v>
      </c>
      <c r="U2658" s="36">
        <v>400</v>
      </c>
      <c r="V2658" s="36"/>
      <c r="W2658" s="15">
        <f t="shared" si="103"/>
        <v>800</v>
      </c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15">
        <f t="shared" si="104"/>
        <v>0</v>
      </c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5"/>
      <c r="AX2658" s="16"/>
    </row>
    <row r="2659" spans="2:50" x14ac:dyDescent="0.2">
      <c r="B2659" s="7"/>
      <c r="C2659" s="8">
        <v>13218</v>
      </c>
      <c r="D2659" s="9" t="s">
        <v>119</v>
      </c>
      <c r="E2659" s="10" t="s">
        <v>120</v>
      </c>
      <c r="F2659" s="10" t="s">
        <v>121</v>
      </c>
      <c r="G2659" s="8">
        <v>1</v>
      </c>
      <c r="H2659" s="11">
        <v>800</v>
      </c>
      <c r="I2659" s="12">
        <v>42687</v>
      </c>
      <c r="J2659" s="35">
        <f t="shared" si="102"/>
        <v>0</v>
      </c>
      <c r="K2659" s="36"/>
      <c r="L2659" s="36"/>
      <c r="M2659" s="36"/>
      <c r="N2659" s="36"/>
      <c r="O2659" s="36"/>
      <c r="P2659" s="36"/>
      <c r="Q2659" s="36"/>
      <c r="R2659" s="36"/>
      <c r="S2659" s="36">
        <v>400</v>
      </c>
      <c r="T2659" s="36">
        <v>400</v>
      </c>
      <c r="U2659" s="36"/>
      <c r="V2659" s="36"/>
      <c r="W2659" s="15">
        <f t="shared" si="103"/>
        <v>800</v>
      </c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15">
        <f t="shared" si="104"/>
        <v>0</v>
      </c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14"/>
      <c r="AV2659" s="14"/>
      <c r="AW2659" s="15"/>
      <c r="AX2659" s="16"/>
    </row>
    <row r="2660" spans="2:50" x14ac:dyDescent="0.2">
      <c r="B2660" s="7"/>
      <c r="C2660" s="8">
        <v>13219</v>
      </c>
      <c r="D2660" s="9" t="s">
        <v>247</v>
      </c>
      <c r="E2660" s="10" t="s">
        <v>248</v>
      </c>
      <c r="F2660" s="10" t="s">
        <v>249</v>
      </c>
      <c r="G2660" s="8">
        <v>1</v>
      </c>
      <c r="H2660" s="11">
        <v>800</v>
      </c>
      <c r="I2660" s="12">
        <v>42687</v>
      </c>
      <c r="J2660" s="35">
        <f t="shared" si="102"/>
        <v>0</v>
      </c>
      <c r="K2660" s="36"/>
      <c r="L2660" s="36"/>
      <c r="M2660" s="36"/>
      <c r="N2660" s="36"/>
      <c r="O2660" s="36"/>
      <c r="P2660" s="36"/>
      <c r="Q2660" s="36"/>
      <c r="R2660" s="36"/>
      <c r="S2660" s="36"/>
      <c r="T2660" s="36"/>
      <c r="U2660" s="36">
        <v>400</v>
      </c>
      <c r="V2660" s="36">
        <v>400</v>
      </c>
      <c r="W2660" s="15">
        <f t="shared" si="103"/>
        <v>800</v>
      </c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15">
        <f t="shared" si="104"/>
        <v>0</v>
      </c>
      <c r="AK2660" s="14"/>
      <c r="AL2660" s="14"/>
      <c r="AM2660" s="14"/>
      <c r="AN2660" s="14"/>
      <c r="AO2660" s="14"/>
      <c r="AP2660" s="14"/>
      <c r="AQ2660" s="14"/>
      <c r="AR2660" s="14"/>
      <c r="AS2660" s="14"/>
      <c r="AT2660" s="14"/>
      <c r="AU2660" s="14"/>
      <c r="AV2660" s="14"/>
      <c r="AW2660" s="15"/>
      <c r="AX2660" s="16"/>
    </row>
    <row r="2661" spans="2:50" x14ac:dyDescent="0.2">
      <c r="B2661" s="7"/>
      <c r="C2661" s="8">
        <v>13220</v>
      </c>
      <c r="D2661" s="9" t="s">
        <v>171</v>
      </c>
      <c r="E2661" s="10" t="s">
        <v>172</v>
      </c>
      <c r="F2661" s="10" t="s">
        <v>173</v>
      </c>
      <c r="G2661" s="8">
        <v>1</v>
      </c>
      <c r="H2661" s="11">
        <v>400</v>
      </c>
      <c r="I2661" s="12">
        <v>42687</v>
      </c>
      <c r="J2661" s="35">
        <f t="shared" si="102"/>
        <v>0</v>
      </c>
      <c r="K2661" s="36"/>
      <c r="L2661" s="36"/>
      <c r="M2661" s="36"/>
      <c r="N2661" s="36"/>
      <c r="O2661" s="36"/>
      <c r="P2661" s="36"/>
      <c r="Q2661" s="36"/>
      <c r="R2661" s="36"/>
      <c r="S2661" s="36"/>
      <c r="T2661" s="36"/>
      <c r="U2661" s="36">
        <v>400</v>
      </c>
      <c r="V2661" s="36"/>
      <c r="W2661" s="15">
        <f t="shared" si="103"/>
        <v>400</v>
      </c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15">
        <f t="shared" si="104"/>
        <v>0</v>
      </c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14"/>
      <c r="AV2661" s="14"/>
      <c r="AW2661" s="15"/>
      <c r="AX2661" s="16"/>
    </row>
    <row r="2662" spans="2:50" x14ac:dyDescent="0.2">
      <c r="B2662" s="7"/>
      <c r="C2662" s="8">
        <v>13221</v>
      </c>
      <c r="D2662" s="9" t="s">
        <v>849</v>
      </c>
      <c r="E2662" s="10" t="s">
        <v>850</v>
      </c>
      <c r="F2662" s="10" t="s">
        <v>851</v>
      </c>
      <c r="G2662" s="8">
        <v>1</v>
      </c>
      <c r="H2662" s="11">
        <v>800</v>
      </c>
      <c r="I2662" s="12">
        <v>42687</v>
      </c>
      <c r="J2662" s="35">
        <f t="shared" si="102"/>
        <v>0</v>
      </c>
      <c r="K2662" s="36"/>
      <c r="L2662" s="36"/>
      <c r="M2662" s="36"/>
      <c r="N2662" s="36"/>
      <c r="O2662" s="36"/>
      <c r="P2662" s="36"/>
      <c r="Q2662" s="36"/>
      <c r="R2662" s="36">
        <v>400</v>
      </c>
      <c r="S2662" s="36">
        <v>400</v>
      </c>
      <c r="T2662" s="36"/>
      <c r="U2662" s="36"/>
      <c r="V2662" s="36"/>
      <c r="W2662" s="15">
        <f t="shared" si="103"/>
        <v>800</v>
      </c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15">
        <f t="shared" si="104"/>
        <v>0</v>
      </c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14"/>
      <c r="AV2662" s="14"/>
      <c r="AW2662" s="15"/>
      <c r="AX2662" s="16"/>
    </row>
    <row r="2663" spans="2:50" x14ac:dyDescent="0.2">
      <c r="B2663" s="7"/>
      <c r="C2663" s="8">
        <v>13222</v>
      </c>
      <c r="D2663" s="9" t="s">
        <v>849</v>
      </c>
      <c r="E2663" s="10" t="s">
        <v>850</v>
      </c>
      <c r="F2663" s="10" t="s">
        <v>851</v>
      </c>
      <c r="G2663" s="8">
        <v>5</v>
      </c>
      <c r="H2663" s="11">
        <v>50</v>
      </c>
      <c r="I2663" s="12">
        <v>42687</v>
      </c>
      <c r="J2663" s="35">
        <f t="shared" si="102"/>
        <v>0</v>
      </c>
      <c r="K2663" s="36"/>
      <c r="L2663" s="36"/>
      <c r="M2663" s="36"/>
      <c r="N2663" s="36"/>
      <c r="O2663" s="36"/>
      <c r="P2663" s="36"/>
      <c r="Q2663" s="36"/>
      <c r="R2663" s="36"/>
      <c r="S2663" s="36"/>
      <c r="T2663" s="36"/>
      <c r="U2663" s="36"/>
      <c r="V2663" s="36"/>
      <c r="W2663" s="15">
        <f t="shared" si="103"/>
        <v>0</v>
      </c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15">
        <f t="shared" si="104"/>
        <v>0</v>
      </c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14"/>
      <c r="AV2663" s="14"/>
      <c r="AW2663" s="15"/>
      <c r="AX2663" s="16"/>
    </row>
    <row r="2664" spans="2:50" x14ac:dyDescent="0.2">
      <c r="B2664" s="7"/>
      <c r="C2664" s="8">
        <v>13223</v>
      </c>
      <c r="D2664" s="9" t="s">
        <v>401</v>
      </c>
      <c r="E2664" s="10" t="s">
        <v>402</v>
      </c>
      <c r="F2664" s="10" t="s">
        <v>403</v>
      </c>
      <c r="G2664" s="8">
        <v>1</v>
      </c>
      <c r="H2664" s="11">
        <v>1600</v>
      </c>
      <c r="I2664" s="12">
        <v>42687</v>
      </c>
      <c r="J2664" s="35">
        <f t="shared" si="102"/>
        <v>0</v>
      </c>
      <c r="K2664" s="36"/>
      <c r="L2664" s="36"/>
      <c r="M2664" s="36"/>
      <c r="N2664" s="36"/>
      <c r="O2664" s="36"/>
      <c r="P2664" s="36"/>
      <c r="Q2664" s="36">
        <v>400</v>
      </c>
      <c r="R2664" s="36">
        <v>400</v>
      </c>
      <c r="S2664" s="36">
        <v>400</v>
      </c>
      <c r="T2664" s="36">
        <v>400</v>
      </c>
      <c r="U2664" s="36"/>
      <c r="V2664" s="36"/>
      <c r="W2664" s="15">
        <f t="shared" si="103"/>
        <v>1600</v>
      </c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15">
        <f t="shared" si="104"/>
        <v>0</v>
      </c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5"/>
      <c r="AX2664" s="16" t="s">
        <v>3169</v>
      </c>
    </row>
    <row r="2665" spans="2:50" x14ac:dyDescent="0.2">
      <c r="B2665" s="7"/>
      <c r="C2665" s="8">
        <v>13224</v>
      </c>
      <c r="D2665" s="9" t="s">
        <v>180</v>
      </c>
      <c r="E2665" s="10" t="s">
        <v>181</v>
      </c>
      <c r="F2665" s="10" t="s">
        <v>182</v>
      </c>
      <c r="G2665" s="8">
        <v>1</v>
      </c>
      <c r="H2665" s="11">
        <v>400</v>
      </c>
      <c r="I2665" s="12">
        <v>42687</v>
      </c>
      <c r="J2665" s="35">
        <f t="shared" si="102"/>
        <v>0</v>
      </c>
      <c r="K2665" s="36"/>
      <c r="L2665" s="36"/>
      <c r="M2665" s="36"/>
      <c r="N2665" s="36"/>
      <c r="O2665" s="36"/>
      <c r="P2665" s="36"/>
      <c r="Q2665" s="36"/>
      <c r="R2665" s="36"/>
      <c r="S2665" s="36"/>
      <c r="T2665" s="36"/>
      <c r="U2665" s="36">
        <v>400</v>
      </c>
      <c r="V2665" s="36"/>
      <c r="W2665" s="15">
        <f t="shared" si="103"/>
        <v>400</v>
      </c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15">
        <f t="shared" si="104"/>
        <v>0</v>
      </c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14"/>
      <c r="AV2665" s="14"/>
      <c r="AW2665" s="15"/>
      <c r="AX2665" s="16"/>
    </row>
    <row r="2666" spans="2:50" x14ac:dyDescent="0.2">
      <c r="B2666" s="7"/>
      <c r="C2666" s="8">
        <v>13225</v>
      </c>
      <c r="D2666" s="9" t="s">
        <v>401</v>
      </c>
      <c r="E2666" s="10" t="s">
        <v>402</v>
      </c>
      <c r="F2666" s="10" t="s">
        <v>403</v>
      </c>
      <c r="G2666" s="8">
        <v>5</v>
      </c>
      <c r="H2666" s="11">
        <v>100</v>
      </c>
      <c r="I2666" s="12">
        <v>42687</v>
      </c>
      <c r="J2666" s="35">
        <f t="shared" si="102"/>
        <v>0</v>
      </c>
      <c r="K2666" s="36"/>
      <c r="L2666" s="36"/>
      <c r="M2666" s="36"/>
      <c r="N2666" s="36"/>
      <c r="O2666" s="36"/>
      <c r="P2666" s="36"/>
      <c r="Q2666" s="36"/>
      <c r="R2666" s="36"/>
      <c r="S2666" s="36"/>
      <c r="T2666" s="36"/>
      <c r="U2666" s="36"/>
      <c r="V2666" s="36"/>
      <c r="W2666" s="15">
        <f t="shared" si="103"/>
        <v>0</v>
      </c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15">
        <f t="shared" si="104"/>
        <v>0</v>
      </c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14"/>
      <c r="AV2666" s="14"/>
      <c r="AW2666" s="15"/>
      <c r="AX2666" s="16"/>
    </row>
    <row r="2667" spans="2:50" x14ac:dyDescent="0.2">
      <c r="B2667" s="7"/>
      <c r="C2667" s="8">
        <v>13226</v>
      </c>
      <c r="D2667" s="9" t="s">
        <v>858</v>
      </c>
      <c r="E2667" s="10" t="s">
        <v>859</v>
      </c>
      <c r="F2667" s="10" t="s">
        <v>860</v>
      </c>
      <c r="G2667" s="8">
        <v>1</v>
      </c>
      <c r="H2667" s="11">
        <v>800</v>
      </c>
      <c r="I2667" s="12">
        <v>42687</v>
      </c>
      <c r="J2667" s="35">
        <f t="shared" si="102"/>
        <v>0</v>
      </c>
      <c r="K2667" s="36"/>
      <c r="L2667" s="36"/>
      <c r="M2667" s="36"/>
      <c r="N2667" s="36"/>
      <c r="O2667" s="36"/>
      <c r="P2667" s="36"/>
      <c r="Q2667" s="36"/>
      <c r="R2667" s="36"/>
      <c r="S2667" s="36"/>
      <c r="T2667" s="36"/>
      <c r="U2667" s="36">
        <v>400</v>
      </c>
      <c r="V2667" s="36">
        <v>400</v>
      </c>
      <c r="W2667" s="15">
        <f t="shared" si="103"/>
        <v>800</v>
      </c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15">
        <f t="shared" si="104"/>
        <v>0</v>
      </c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14"/>
      <c r="AV2667" s="14"/>
      <c r="AW2667" s="15"/>
      <c r="AX2667" s="16"/>
    </row>
    <row r="2668" spans="2:50" x14ac:dyDescent="0.2">
      <c r="B2668" s="7"/>
      <c r="C2668" s="8">
        <v>13227</v>
      </c>
      <c r="D2668" s="9" t="s">
        <v>617</v>
      </c>
      <c r="E2668" s="10" t="s">
        <v>618</v>
      </c>
      <c r="F2668" s="10" t="s">
        <v>619</v>
      </c>
      <c r="G2668" s="8">
        <v>1</v>
      </c>
      <c r="H2668" s="11">
        <v>400</v>
      </c>
      <c r="I2668" s="12">
        <v>42687</v>
      </c>
      <c r="J2668" s="35">
        <f t="shared" si="102"/>
        <v>0</v>
      </c>
      <c r="K2668" s="36"/>
      <c r="L2668" s="36"/>
      <c r="M2668" s="36"/>
      <c r="N2668" s="36"/>
      <c r="O2668" s="36"/>
      <c r="P2668" s="36"/>
      <c r="Q2668" s="36"/>
      <c r="R2668" s="36"/>
      <c r="S2668" s="36"/>
      <c r="T2668" s="36">
        <v>400</v>
      </c>
      <c r="U2668" s="36"/>
      <c r="V2668" s="36"/>
      <c r="W2668" s="15">
        <f t="shared" si="103"/>
        <v>400</v>
      </c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15">
        <f t="shared" si="104"/>
        <v>0</v>
      </c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5"/>
      <c r="AX2668" s="16"/>
    </row>
    <row r="2669" spans="2:50" x14ac:dyDescent="0.2">
      <c r="B2669" s="7"/>
      <c r="C2669" s="8">
        <v>13228</v>
      </c>
      <c r="D2669" s="9" t="s">
        <v>141</v>
      </c>
      <c r="E2669" s="10" t="s">
        <v>142</v>
      </c>
      <c r="F2669" s="10" t="s">
        <v>143</v>
      </c>
      <c r="G2669" s="8">
        <v>1</v>
      </c>
      <c r="H2669" s="11">
        <v>1200</v>
      </c>
      <c r="I2669" s="12">
        <v>42687</v>
      </c>
      <c r="J2669" s="35">
        <f t="shared" si="102"/>
        <v>0</v>
      </c>
      <c r="K2669" s="36"/>
      <c r="L2669" s="36"/>
      <c r="M2669" s="36"/>
      <c r="N2669" s="36"/>
      <c r="O2669" s="36"/>
      <c r="P2669" s="36"/>
      <c r="Q2669" s="36"/>
      <c r="R2669" s="36"/>
      <c r="S2669" s="36"/>
      <c r="T2669" s="36">
        <v>400</v>
      </c>
      <c r="U2669" s="36">
        <v>400</v>
      </c>
      <c r="V2669" s="36">
        <v>400</v>
      </c>
      <c r="W2669" s="15">
        <f t="shared" si="103"/>
        <v>1200</v>
      </c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15">
        <f t="shared" si="104"/>
        <v>0</v>
      </c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/>
      <c r="AV2669" s="14"/>
      <c r="AW2669" s="15"/>
      <c r="AX2669" s="16"/>
    </row>
    <row r="2670" spans="2:50" x14ac:dyDescent="0.2">
      <c r="B2670" s="7"/>
      <c r="C2670" s="8">
        <v>13229</v>
      </c>
      <c r="D2670" s="9" t="s">
        <v>687</v>
      </c>
      <c r="E2670" s="10" t="s">
        <v>688</v>
      </c>
      <c r="F2670" s="10" t="s">
        <v>689</v>
      </c>
      <c r="G2670" s="8">
        <v>1</v>
      </c>
      <c r="H2670" s="11">
        <v>400</v>
      </c>
      <c r="I2670" s="12">
        <v>42687</v>
      </c>
      <c r="J2670" s="35">
        <f t="shared" si="102"/>
        <v>0</v>
      </c>
      <c r="K2670" s="36"/>
      <c r="L2670" s="36"/>
      <c r="M2670" s="36"/>
      <c r="N2670" s="36"/>
      <c r="O2670" s="36"/>
      <c r="P2670" s="36"/>
      <c r="Q2670" s="36"/>
      <c r="R2670" s="36"/>
      <c r="S2670" s="36"/>
      <c r="T2670" s="36"/>
      <c r="U2670" s="36">
        <v>400</v>
      </c>
      <c r="V2670" s="36"/>
      <c r="W2670" s="15">
        <f t="shared" si="103"/>
        <v>400</v>
      </c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15">
        <f t="shared" si="104"/>
        <v>0</v>
      </c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14"/>
      <c r="AV2670" s="14"/>
      <c r="AW2670" s="15"/>
      <c r="AX2670" s="16"/>
    </row>
    <row r="2671" spans="2:50" x14ac:dyDescent="0.2">
      <c r="B2671" s="7"/>
      <c r="C2671" s="8">
        <v>13230</v>
      </c>
      <c r="D2671" s="9" t="s">
        <v>544</v>
      </c>
      <c r="E2671" s="10" t="s">
        <v>545</v>
      </c>
      <c r="F2671" s="10" t="s">
        <v>546</v>
      </c>
      <c r="G2671" s="8">
        <v>1</v>
      </c>
      <c r="H2671" s="11">
        <v>400</v>
      </c>
      <c r="I2671" s="12">
        <v>42687</v>
      </c>
      <c r="J2671" s="35">
        <f t="shared" si="102"/>
        <v>0</v>
      </c>
      <c r="K2671" s="36"/>
      <c r="L2671" s="36"/>
      <c r="M2671" s="36"/>
      <c r="N2671" s="36"/>
      <c r="O2671" s="36"/>
      <c r="P2671" s="36"/>
      <c r="Q2671" s="36"/>
      <c r="R2671" s="36"/>
      <c r="S2671" s="36"/>
      <c r="T2671" s="36"/>
      <c r="U2671" s="36">
        <v>400</v>
      </c>
      <c r="V2671" s="36"/>
      <c r="W2671" s="15">
        <f t="shared" si="103"/>
        <v>400</v>
      </c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15">
        <f t="shared" si="104"/>
        <v>0</v>
      </c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14"/>
      <c r="AV2671" s="14"/>
      <c r="AW2671" s="15"/>
      <c r="AX2671" s="16"/>
    </row>
    <row r="2672" spans="2:50" x14ac:dyDescent="0.2">
      <c r="B2672" s="319" t="s">
        <v>3170</v>
      </c>
      <c r="C2672" s="8">
        <v>13231</v>
      </c>
      <c r="D2672" s="9" t="s">
        <v>814</v>
      </c>
      <c r="E2672" s="10" t="s">
        <v>815</v>
      </c>
      <c r="F2672" s="10" t="s">
        <v>1177</v>
      </c>
      <c r="G2672" s="8">
        <v>1</v>
      </c>
      <c r="H2672" s="11">
        <v>1200</v>
      </c>
      <c r="I2672" s="12">
        <v>42687</v>
      </c>
      <c r="J2672" s="35">
        <f t="shared" si="102"/>
        <v>0</v>
      </c>
      <c r="K2672" s="36"/>
      <c r="L2672" s="36"/>
      <c r="M2672" s="36"/>
      <c r="N2672" s="36"/>
      <c r="O2672" s="36"/>
      <c r="P2672" s="36"/>
      <c r="Q2672" s="36"/>
      <c r="R2672" s="36"/>
      <c r="S2672" s="36"/>
      <c r="T2672" s="36">
        <v>400</v>
      </c>
      <c r="U2672" s="36">
        <v>400</v>
      </c>
      <c r="V2672" s="36">
        <v>400</v>
      </c>
      <c r="W2672" s="15">
        <f t="shared" si="103"/>
        <v>1200</v>
      </c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15">
        <f t="shared" si="104"/>
        <v>0</v>
      </c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14"/>
      <c r="AV2672" s="14"/>
      <c r="AW2672" s="15"/>
      <c r="AX2672" s="16"/>
    </row>
    <row r="2673" spans="2:50" x14ac:dyDescent="0.2">
      <c r="B2673" s="7"/>
      <c r="C2673" s="8">
        <v>13232</v>
      </c>
      <c r="D2673" s="9" t="s">
        <v>1181</v>
      </c>
      <c r="E2673" s="10" t="s">
        <v>1182</v>
      </c>
      <c r="F2673" s="10" t="s">
        <v>1183</v>
      </c>
      <c r="G2673" s="8">
        <v>3</v>
      </c>
      <c r="H2673" s="11">
        <v>200</v>
      </c>
      <c r="I2673" s="12">
        <v>42687</v>
      </c>
      <c r="J2673" s="35">
        <f t="shared" si="102"/>
        <v>0</v>
      </c>
      <c r="K2673" s="36"/>
      <c r="L2673" s="36"/>
      <c r="M2673" s="36"/>
      <c r="N2673" s="36"/>
      <c r="O2673" s="36"/>
      <c r="P2673" s="36"/>
      <c r="Q2673" s="36"/>
      <c r="R2673" s="36"/>
      <c r="S2673" s="36"/>
      <c r="T2673" s="36"/>
      <c r="U2673" s="36"/>
      <c r="V2673" s="36"/>
      <c r="W2673" s="15">
        <f t="shared" si="103"/>
        <v>0</v>
      </c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15">
        <f t="shared" si="104"/>
        <v>0</v>
      </c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14"/>
      <c r="AV2673" s="14"/>
      <c r="AW2673" s="15"/>
      <c r="AX2673" s="16"/>
    </row>
    <row r="2674" spans="2:50" x14ac:dyDescent="0.2">
      <c r="B2674" s="7"/>
      <c r="C2674" s="8">
        <v>13233</v>
      </c>
      <c r="D2674" s="9" t="s">
        <v>774</v>
      </c>
      <c r="E2674" s="10" t="s">
        <v>775</v>
      </c>
      <c r="F2674" s="10" t="s">
        <v>776</v>
      </c>
      <c r="G2674" s="8">
        <v>1</v>
      </c>
      <c r="H2674" s="11">
        <v>1200</v>
      </c>
      <c r="I2674" s="12">
        <v>42687</v>
      </c>
      <c r="J2674" s="35">
        <f t="shared" si="102"/>
        <v>0</v>
      </c>
      <c r="K2674" s="36"/>
      <c r="L2674" s="36"/>
      <c r="M2674" s="36"/>
      <c r="N2674" s="36"/>
      <c r="O2674" s="36"/>
      <c r="P2674" s="36"/>
      <c r="Q2674" s="36"/>
      <c r="R2674" s="36">
        <v>400</v>
      </c>
      <c r="S2674" s="36">
        <v>400</v>
      </c>
      <c r="T2674" s="36">
        <v>400</v>
      </c>
      <c r="U2674" s="36"/>
      <c r="V2674" s="36"/>
      <c r="W2674" s="15">
        <f t="shared" si="103"/>
        <v>1200</v>
      </c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15">
        <f t="shared" si="104"/>
        <v>0</v>
      </c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14"/>
      <c r="AV2674" s="14"/>
      <c r="AW2674" s="15"/>
      <c r="AX2674" s="16"/>
    </row>
    <row r="2675" spans="2:50" x14ac:dyDescent="0.2">
      <c r="B2675" s="7"/>
      <c r="C2675" s="8">
        <v>13233</v>
      </c>
      <c r="D2675" s="9" t="s">
        <v>774</v>
      </c>
      <c r="E2675" s="10" t="s">
        <v>775</v>
      </c>
      <c r="F2675" s="10" t="s">
        <v>776</v>
      </c>
      <c r="G2675" s="8">
        <v>4</v>
      </c>
      <c r="H2675" s="11">
        <v>200</v>
      </c>
      <c r="I2675" s="12">
        <v>42687</v>
      </c>
      <c r="J2675" s="35">
        <f t="shared" si="102"/>
        <v>0</v>
      </c>
      <c r="K2675" s="36"/>
      <c r="L2675" s="36"/>
      <c r="M2675" s="36"/>
      <c r="N2675" s="36"/>
      <c r="O2675" s="36"/>
      <c r="P2675" s="36"/>
      <c r="Q2675" s="36"/>
      <c r="R2675" s="36"/>
      <c r="S2675" s="36"/>
      <c r="T2675" s="36"/>
      <c r="U2675" s="36"/>
      <c r="V2675" s="36"/>
      <c r="W2675" s="15">
        <f t="shared" si="103"/>
        <v>0</v>
      </c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15">
        <f t="shared" si="104"/>
        <v>0</v>
      </c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14"/>
      <c r="AV2675" s="14"/>
      <c r="AW2675" s="15"/>
      <c r="AX2675" s="16" t="s">
        <v>3171</v>
      </c>
    </row>
    <row r="2676" spans="2:50" x14ac:dyDescent="0.2">
      <c r="B2676" s="7"/>
      <c r="C2676" s="8">
        <v>13233</v>
      </c>
      <c r="D2676" s="9" t="s">
        <v>774</v>
      </c>
      <c r="E2676" s="10" t="s">
        <v>775</v>
      </c>
      <c r="F2676" s="10" t="s">
        <v>776</v>
      </c>
      <c r="G2676" s="8">
        <v>5</v>
      </c>
      <c r="H2676" s="11">
        <v>50</v>
      </c>
      <c r="I2676" s="12">
        <v>42687</v>
      </c>
      <c r="J2676" s="35">
        <f t="shared" si="102"/>
        <v>0</v>
      </c>
      <c r="K2676" s="36"/>
      <c r="L2676" s="36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  <c r="W2676" s="15">
        <f t="shared" si="103"/>
        <v>0</v>
      </c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15">
        <f t="shared" si="104"/>
        <v>0</v>
      </c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5"/>
      <c r="AX2676" s="16"/>
    </row>
    <row r="2677" spans="2:50" x14ac:dyDescent="0.2">
      <c r="B2677" s="7"/>
      <c r="C2677" s="8">
        <v>13234</v>
      </c>
      <c r="D2677" s="9" t="s">
        <v>637</v>
      </c>
      <c r="E2677" s="10" t="s">
        <v>638</v>
      </c>
      <c r="F2677" s="10" t="s">
        <v>639</v>
      </c>
      <c r="G2677" s="8">
        <v>1</v>
      </c>
      <c r="H2677" s="11">
        <v>800</v>
      </c>
      <c r="I2677" s="12">
        <v>42687</v>
      </c>
      <c r="J2677" s="35">
        <f t="shared" si="102"/>
        <v>0</v>
      </c>
      <c r="K2677" s="36"/>
      <c r="L2677" s="36"/>
      <c r="M2677" s="36"/>
      <c r="N2677" s="36"/>
      <c r="O2677" s="36"/>
      <c r="P2677" s="36"/>
      <c r="Q2677" s="36"/>
      <c r="R2677" s="36"/>
      <c r="S2677" s="36"/>
      <c r="T2677" s="36">
        <v>400</v>
      </c>
      <c r="U2677" s="36">
        <v>400</v>
      </c>
      <c r="V2677" s="36"/>
      <c r="W2677" s="15">
        <f t="shared" si="103"/>
        <v>800</v>
      </c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15">
        <f t="shared" si="104"/>
        <v>0</v>
      </c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14"/>
      <c r="AV2677" s="14"/>
      <c r="AW2677" s="15"/>
      <c r="AX2677" s="16"/>
    </row>
    <row r="2678" spans="2:50" x14ac:dyDescent="0.2">
      <c r="B2678" s="7"/>
      <c r="C2678" s="8">
        <v>13235</v>
      </c>
      <c r="D2678" s="9" t="s">
        <v>425</v>
      </c>
      <c r="E2678" s="10" t="s">
        <v>426</v>
      </c>
      <c r="F2678" s="10" t="s">
        <v>427</v>
      </c>
      <c r="G2678" s="8">
        <v>1</v>
      </c>
      <c r="H2678" s="11">
        <v>400</v>
      </c>
      <c r="I2678" s="12">
        <v>42687</v>
      </c>
      <c r="J2678" s="35">
        <f t="shared" si="102"/>
        <v>0</v>
      </c>
      <c r="K2678" s="36"/>
      <c r="L2678" s="36"/>
      <c r="M2678" s="36"/>
      <c r="N2678" s="36"/>
      <c r="O2678" s="36"/>
      <c r="P2678" s="36"/>
      <c r="Q2678" s="36"/>
      <c r="R2678" s="36"/>
      <c r="S2678" s="36"/>
      <c r="T2678" s="36"/>
      <c r="U2678" s="36">
        <v>400</v>
      </c>
      <c r="V2678" s="36"/>
      <c r="W2678" s="15">
        <f t="shared" si="103"/>
        <v>400</v>
      </c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15">
        <f t="shared" si="104"/>
        <v>0</v>
      </c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14"/>
      <c r="AV2678" s="14"/>
      <c r="AW2678" s="15"/>
      <c r="AX2678" s="16"/>
    </row>
    <row r="2679" spans="2:50" x14ac:dyDescent="0.2">
      <c r="B2679" s="7"/>
      <c r="C2679" s="8">
        <v>13236</v>
      </c>
      <c r="D2679" s="9" t="s">
        <v>153</v>
      </c>
      <c r="E2679" s="10" t="s">
        <v>154</v>
      </c>
      <c r="F2679" s="10" t="s">
        <v>155</v>
      </c>
      <c r="G2679" s="8">
        <v>1</v>
      </c>
      <c r="H2679" s="11">
        <v>400</v>
      </c>
      <c r="I2679" s="12">
        <v>42656</v>
      </c>
      <c r="J2679" s="35">
        <f t="shared" si="102"/>
        <v>0</v>
      </c>
      <c r="K2679" s="36"/>
      <c r="L2679" s="36"/>
      <c r="M2679" s="36"/>
      <c r="N2679" s="36"/>
      <c r="O2679" s="36"/>
      <c r="P2679" s="36"/>
      <c r="Q2679" s="36"/>
      <c r="R2679" s="36"/>
      <c r="S2679" s="36"/>
      <c r="T2679" s="36"/>
      <c r="U2679" s="36">
        <v>400</v>
      </c>
      <c r="V2679" s="36"/>
      <c r="W2679" s="15">
        <f t="shared" si="103"/>
        <v>400</v>
      </c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15">
        <f t="shared" si="104"/>
        <v>0</v>
      </c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14"/>
      <c r="AV2679" s="14"/>
      <c r="AW2679" s="15"/>
      <c r="AX2679" s="16"/>
    </row>
    <row r="2680" spans="2:50" x14ac:dyDescent="0.2">
      <c r="B2680" s="7"/>
      <c r="C2680" s="8">
        <v>13237</v>
      </c>
      <c r="D2680" s="9" t="s">
        <v>195</v>
      </c>
      <c r="E2680" s="10" t="s">
        <v>196</v>
      </c>
      <c r="F2680" s="10" t="s">
        <v>197</v>
      </c>
      <c r="G2680" s="8">
        <v>1</v>
      </c>
      <c r="H2680" s="11">
        <v>1600</v>
      </c>
      <c r="I2680" s="12">
        <v>42687</v>
      </c>
      <c r="J2680" s="35">
        <f t="shared" si="102"/>
        <v>0</v>
      </c>
      <c r="K2680" s="36"/>
      <c r="L2680" s="36"/>
      <c r="M2680" s="36"/>
      <c r="N2680" s="36"/>
      <c r="O2680" s="36"/>
      <c r="P2680" s="36"/>
      <c r="Q2680" s="36"/>
      <c r="R2680" s="36">
        <v>400</v>
      </c>
      <c r="S2680" s="36">
        <v>400</v>
      </c>
      <c r="T2680" s="36">
        <v>400</v>
      </c>
      <c r="U2680" s="36">
        <v>400</v>
      </c>
      <c r="V2680" s="36"/>
      <c r="W2680" s="15">
        <f t="shared" si="103"/>
        <v>1600</v>
      </c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15">
        <f t="shared" si="104"/>
        <v>0</v>
      </c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14"/>
      <c r="AV2680" s="14"/>
      <c r="AW2680" s="15"/>
      <c r="AX2680" s="16" t="s">
        <v>3172</v>
      </c>
    </row>
    <row r="2681" spans="2:50" x14ac:dyDescent="0.2">
      <c r="B2681" s="7"/>
      <c r="C2681" s="8">
        <v>13238</v>
      </c>
      <c r="D2681" s="9" t="s">
        <v>195</v>
      </c>
      <c r="E2681" s="10" t="s">
        <v>196</v>
      </c>
      <c r="F2681" s="10" t="s">
        <v>197</v>
      </c>
      <c r="G2681" s="8">
        <v>5</v>
      </c>
      <c r="H2681" s="11">
        <v>150</v>
      </c>
      <c r="I2681" s="12">
        <v>42687</v>
      </c>
      <c r="J2681" s="35">
        <f t="shared" si="102"/>
        <v>0</v>
      </c>
      <c r="K2681" s="36"/>
      <c r="L2681" s="36"/>
      <c r="M2681" s="36"/>
      <c r="N2681" s="36"/>
      <c r="O2681" s="36"/>
      <c r="P2681" s="36"/>
      <c r="Q2681" s="36"/>
      <c r="R2681" s="36"/>
      <c r="S2681" s="36"/>
      <c r="T2681" s="36"/>
      <c r="U2681" s="36"/>
      <c r="V2681" s="36"/>
      <c r="W2681" s="15">
        <f t="shared" si="103"/>
        <v>0</v>
      </c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15">
        <f t="shared" si="104"/>
        <v>0</v>
      </c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14"/>
      <c r="AV2681" s="14"/>
      <c r="AW2681" s="15"/>
      <c r="AX2681" s="16"/>
    </row>
    <row r="2682" spans="2:50" x14ac:dyDescent="0.2">
      <c r="B2682" s="7"/>
      <c r="C2682" s="8">
        <v>13239</v>
      </c>
      <c r="D2682" s="9" t="s">
        <v>473</v>
      </c>
      <c r="E2682" s="10" t="s">
        <v>474</v>
      </c>
      <c r="F2682" s="10" t="s">
        <v>475</v>
      </c>
      <c r="G2682" s="8">
        <v>1</v>
      </c>
      <c r="H2682" s="11">
        <v>800</v>
      </c>
      <c r="I2682" s="12">
        <v>42687</v>
      </c>
      <c r="J2682" s="35">
        <f t="shared" si="102"/>
        <v>0</v>
      </c>
      <c r="K2682" s="36"/>
      <c r="L2682" s="36"/>
      <c r="M2682" s="36"/>
      <c r="N2682" s="36"/>
      <c r="O2682" s="36"/>
      <c r="P2682" s="36"/>
      <c r="Q2682" s="36"/>
      <c r="R2682" s="36"/>
      <c r="S2682" s="36"/>
      <c r="T2682" s="36">
        <v>400</v>
      </c>
      <c r="U2682" s="36">
        <v>400</v>
      </c>
      <c r="V2682" s="36"/>
      <c r="W2682" s="15">
        <f t="shared" si="103"/>
        <v>800</v>
      </c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15">
        <f t="shared" si="104"/>
        <v>0</v>
      </c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14"/>
      <c r="AV2682" s="14"/>
      <c r="AW2682" s="15"/>
      <c r="AX2682" s="16"/>
    </row>
    <row r="2683" spans="2:50" x14ac:dyDescent="0.2">
      <c r="B2683" s="7"/>
      <c r="C2683" s="8">
        <v>13239</v>
      </c>
      <c r="D2683" s="9" t="s">
        <v>473</v>
      </c>
      <c r="E2683" s="10" t="s">
        <v>474</v>
      </c>
      <c r="F2683" s="10" t="s">
        <v>475</v>
      </c>
      <c r="G2683" s="8">
        <v>5</v>
      </c>
      <c r="H2683" s="11">
        <v>200</v>
      </c>
      <c r="I2683" s="12">
        <v>42687</v>
      </c>
      <c r="J2683" s="35">
        <f t="shared" si="102"/>
        <v>0</v>
      </c>
      <c r="K2683" s="36"/>
      <c r="L2683" s="36"/>
      <c r="M2683" s="36"/>
      <c r="N2683" s="36"/>
      <c r="O2683" s="36"/>
      <c r="P2683" s="36"/>
      <c r="Q2683" s="36"/>
      <c r="R2683" s="36"/>
      <c r="S2683" s="36"/>
      <c r="T2683" s="36"/>
      <c r="U2683" s="36"/>
      <c r="V2683" s="36"/>
      <c r="W2683" s="15">
        <f t="shared" si="103"/>
        <v>0</v>
      </c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15">
        <f t="shared" si="104"/>
        <v>0</v>
      </c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5"/>
      <c r="AX2683" s="16"/>
    </row>
    <row r="2684" spans="2:50" x14ac:dyDescent="0.2">
      <c r="B2684" s="7"/>
      <c r="C2684" s="8">
        <v>13240</v>
      </c>
      <c r="D2684" s="9" t="s">
        <v>183</v>
      </c>
      <c r="E2684" s="10" t="s">
        <v>184</v>
      </c>
      <c r="F2684" s="10" t="s">
        <v>185</v>
      </c>
      <c r="G2684" s="8">
        <v>1</v>
      </c>
      <c r="H2684" s="11">
        <v>400</v>
      </c>
      <c r="I2684" s="12">
        <v>42687</v>
      </c>
      <c r="J2684" s="35">
        <f t="shared" si="102"/>
        <v>0</v>
      </c>
      <c r="K2684" s="36"/>
      <c r="L2684" s="36"/>
      <c r="M2684" s="36"/>
      <c r="N2684" s="36"/>
      <c r="O2684" s="36"/>
      <c r="P2684" s="36"/>
      <c r="Q2684" s="36"/>
      <c r="R2684" s="36"/>
      <c r="S2684" s="36"/>
      <c r="T2684" s="36">
        <v>400</v>
      </c>
      <c r="U2684" s="36"/>
      <c r="V2684" s="36"/>
      <c r="W2684" s="15">
        <f t="shared" si="103"/>
        <v>400</v>
      </c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15">
        <f t="shared" si="104"/>
        <v>0</v>
      </c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14"/>
      <c r="AV2684" s="14"/>
      <c r="AW2684" s="15"/>
      <c r="AX2684" s="16"/>
    </row>
    <row r="2685" spans="2:50" x14ac:dyDescent="0.2">
      <c r="B2685" s="7"/>
      <c r="C2685" s="8">
        <v>13241</v>
      </c>
      <c r="D2685" s="9" t="s">
        <v>625</v>
      </c>
      <c r="E2685" s="10" t="s">
        <v>626</v>
      </c>
      <c r="F2685" s="10" t="s">
        <v>627</v>
      </c>
      <c r="G2685" s="8">
        <v>1</v>
      </c>
      <c r="H2685" s="11">
        <v>400</v>
      </c>
      <c r="I2685" s="12">
        <v>42687</v>
      </c>
      <c r="J2685" s="35">
        <f t="shared" si="102"/>
        <v>0</v>
      </c>
      <c r="K2685" s="36"/>
      <c r="L2685" s="36"/>
      <c r="M2685" s="36"/>
      <c r="N2685" s="36"/>
      <c r="O2685" s="36"/>
      <c r="P2685" s="36"/>
      <c r="Q2685" s="36"/>
      <c r="R2685" s="36"/>
      <c r="S2685" s="36"/>
      <c r="T2685" s="36">
        <v>400</v>
      </c>
      <c r="U2685" s="36"/>
      <c r="V2685" s="36"/>
      <c r="W2685" s="15">
        <f t="shared" si="103"/>
        <v>400</v>
      </c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15">
        <f t="shared" si="104"/>
        <v>0</v>
      </c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14"/>
      <c r="AV2685" s="14"/>
      <c r="AW2685" s="15"/>
      <c r="AX2685" s="16"/>
    </row>
    <row r="2686" spans="2:50" x14ac:dyDescent="0.2">
      <c r="B2686" s="7"/>
      <c r="C2686" s="8">
        <v>13242</v>
      </c>
      <c r="D2686" s="9" t="s">
        <v>1020</v>
      </c>
      <c r="E2686" s="10" t="s">
        <v>1021</v>
      </c>
      <c r="F2686" s="10" t="s">
        <v>1022</v>
      </c>
      <c r="G2686" s="8">
        <v>1</v>
      </c>
      <c r="H2686" s="11">
        <v>800</v>
      </c>
      <c r="I2686" s="12">
        <v>42687</v>
      </c>
      <c r="J2686" s="35">
        <f t="shared" si="102"/>
        <v>0</v>
      </c>
      <c r="K2686" s="36"/>
      <c r="L2686" s="36"/>
      <c r="M2686" s="36"/>
      <c r="N2686" s="36"/>
      <c r="O2686" s="36"/>
      <c r="P2686" s="36"/>
      <c r="Q2686" s="36"/>
      <c r="R2686" s="36"/>
      <c r="S2686" s="36"/>
      <c r="T2686" s="36">
        <v>400</v>
      </c>
      <c r="U2686" s="36">
        <v>400</v>
      </c>
      <c r="V2686" s="36"/>
      <c r="W2686" s="15">
        <f t="shared" si="103"/>
        <v>800</v>
      </c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15">
        <f t="shared" si="104"/>
        <v>0</v>
      </c>
      <c r="AK2686" s="14"/>
      <c r="AL2686" s="14"/>
      <c r="AM2686" s="14"/>
      <c r="AN2686" s="14"/>
      <c r="AO2686" s="14"/>
      <c r="AP2686" s="14"/>
      <c r="AQ2686" s="14"/>
      <c r="AR2686" s="14"/>
      <c r="AS2686" s="14"/>
      <c r="AT2686" s="14"/>
      <c r="AU2686" s="14"/>
      <c r="AV2686" s="14"/>
      <c r="AW2686" s="15"/>
      <c r="AX2686" s="16"/>
    </row>
    <row r="2687" spans="2:50" x14ac:dyDescent="0.2">
      <c r="B2687" s="7"/>
      <c r="C2687" s="8">
        <v>13243</v>
      </c>
      <c r="D2687" s="9" t="s">
        <v>655</v>
      </c>
      <c r="E2687" s="10" t="s">
        <v>656</v>
      </c>
      <c r="F2687" s="10" t="s">
        <v>657</v>
      </c>
      <c r="G2687" s="8">
        <v>1</v>
      </c>
      <c r="H2687" s="11">
        <v>800</v>
      </c>
      <c r="I2687" s="12">
        <v>42687</v>
      </c>
      <c r="J2687" s="35">
        <f t="shared" si="102"/>
        <v>0</v>
      </c>
      <c r="K2687" s="36"/>
      <c r="L2687" s="36"/>
      <c r="M2687" s="36"/>
      <c r="N2687" s="36"/>
      <c r="O2687" s="36"/>
      <c r="P2687" s="36"/>
      <c r="Q2687" s="36"/>
      <c r="R2687" s="36">
        <v>400</v>
      </c>
      <c r="S2687" s="36">
        <v>400</v>
      </c>
      <c r="T2687" s="36"/>
      <c r="U2687" s="36"/>
      <c r="V2687" s="36"/>
      <c r="W2687" s="15">
        <f t="shared" si="103"/>
        <v>800</v>
      </c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15">
        <f t="shared" si="104"/>
        <v>0</v>
      </c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5"/>
      <c r="AX2687" s="16"/>
    </row>
    <row r="2688" spans="2:50" x14ac:dyDescent="0.2">
      <c r="B2688" s="7"/>
      <c r="C2688" s="8">
        <v>13244</v>
      </c>
      <c r="D2688" s="9" t="s">
        <v>696</v>
      </c>
      <c r="E2688" s="10" t="s">
        <v>697</v>
      </c>
      <c r="F2688" s="10" t="s">
        <v>698</v>
      </c>
      <c r="G2688" s="8">
        <v>1</v>
      </c>
      <c r="H2688" s="11">
        <v>300</v>
      </c>
      <c r="I2688" s="12">
        <v>42687</v>
      </c>
      <c r="J2688" s="35">
        <f t="shared" si="102"/>
        <v>0</v>
      </c>
      <c r="K2688" s="36"/>
      <c r="L2688" s="36"/>
      <c r="M2688" s="36"/>
      <c r="N2688" s="36"/>
      <c r="O2688" s="36"/>
      <c r="P2688" s="36"/>
      <c r="Q2688" s="36"/>
      <c r="R2688" s="36"/>
      <c r="S2688" s="36"/>
      <c r="T2688" s="36"/>
      <c r="U2688" s="36">
        <v>300</v>
      </c>
      <c r="V2688" s="36"/>
      <c r="W2688" s="15">
        <f t="shared" si="103"/>
        <v>300</v>
      </c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15">
        <f t="shared" si="104"/>
        <v>0</v>
      </c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14"/>
      <c r="AV2688" s="14"/>
      <c r="AW2688" s="15"/>
      <c r="AX2688" s="16"/>
    </row>
    <row r="2689" spans="2:51" x14ac:dyDescent="0.2">
      <c r="B2689" s="7"/>
      <c r="C2689" s="8">
        <v>13245</v>
      </c>
      <c r="D2689" s="9" t="s">
        <v>716</v>
      </c>
      <c r="E2689" s="10" t="s">
        <v>717</v>
      </c>
      <c r="F2689" s="10" t="s">
        <v>718</v>
      </c>
      <c r="G2689" s="8">
        <v>1</v>
      </c>
      <c r="H2689" s="11">
        <v>300</v>
      </c>
      <c r="I2689" s="12">
        <v>42687</v>
      </c>
      <c r="J2689" s="35">
        <f t="shared" si="102"/>
        <v>0</v>
      </c>
      <c r="K2689" s="36"/>
      <c r="L2689" s="36"/>
      <c r="M2689" s="36"/>
      <c r="N2689" s="36"/>
      <c r="O2689" s="36"/>
      <c r="P2689" s="36"/>
      <c r="Q2689" s="36"/>
      <c r="R2689" s="36"/>
      <c r="S2689" s="36"/>
      <c r="T2689" s="36"/>
      <c r="U2689" s="36"/>
      <c r="V2689" s="36">
        <v>300</v>
      </c>
      <c r="W2689" s="15">
        <f t="shared" si="103"/>
        <v>300</v>
      </c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15">
        <f t="shared" si="104"/>
        <v>0</v>
      </c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14"/>
      <c r="AV2689" s="14"/>
      <c r="AW2689" s="15"/>
      <c r="AX2689" s="16"/>
      <c r="AY2689" s="112">
        <f>SUM(H2632:H2689)</f>
        <v>28040</v>
      </c>
    </row>
    <row r="2690" spans="2:51" x14ac:dyDescent="0.2">
      <c r="B2690" s="7"/>
      <c r="C2690" s="8">
        <v>13246</v>
      </c>
      <c r="D2690" s="9" t="s">
        <v>189</v>
      </c>
      <c r="E2690" s="10" t="s">
        <v>190</v>
      </c>
      <c r="F2690" s="10" t="s">
        <v>191</v>
      </c>
      <c r="G2690" s="8">
        <v>5</v>
      </c>
      <c r="H2690" s="315">
        <v>50</v>
      </c>
      <c r="I2690" s="12">
        <v>42688</v>
      </c>
      <c r="J2690" s="35">
        <f t="shared" ref="J2690:J2786" si="105">IF(G2690=1,SUM(W2690,AJ2690,-H2690),0)</f>
        <v>0</v>
      </c>
      <c r="K2690" s="36"/>
      <c r="L2690" s="36"/>
      <c r="M2690" s="36"/>
      <c r="N2690" s="36"/>
      <c r="O2690" s="36"/>
      <c r="P2690" s="36"/>
      <c r="Q2690" s="36"/>
      <c r="R2690" s="36"/>
      <c r="S2690" s="36"/>
      <c r="T2690" s="36"/>
      <c r="U2690" s="36"/>
      <c r="V2690" s="36"/>
      <c r="W2690" s="15">
        <f t="shared" ref="W2690:W2786" si="106">SUM(K2690:V2690)</f>
        <v>0</v>
      </c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15">
        <f t="shared" ref="AJ2690:AJ2786" si="107">SUM(X2690:AI2690)</f>
        <v>0</v>
      </c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14"/>
      <c r="AV2690" s="14"/>
      <c r="AW2690" s="15"/>
      <c r="AX2690" s="16"/>
    </row>
    <row r="2691" spans="2:51" x14ac:dyDescent="0.2">
      <c r="B2691" s="7"/>
      <c r="C2691" s="8">
        <v>13247</v>
      </c>
      <c r="D2691" s="9" t="s">
        <v>373</v>
      </c>
      <c r="E2691" s="10" t="s">
        <v>374</v>
      </c>
      <c r="F2691" s="10" t="s">
        <v>375</v>
      </c>
      <c r="G2691" s="8">
        <v>1</v>
      </c>
      <c r="H2691" s="11">
        <v>400</v>
      </c>
      <c r="I2691" s="12">
        <v>42688</v>
      </c>
      <c r="J2691" s="35">
        <f t="shared" si="105"/>
        <v>0</v>
      </c>
      <c r="K2691" s="36"/>
      <c r="L2691" s="36"/>
      <c r="M2691" s="36"/>
      <c r="N2691" s="36"/>
      <c r="O2691" s="36"/>
      <c r="P2691" s="36"/>
      <c r="Q2691" s="36"/>
      <c r="R2691" s="36"/>
      <c r="S2691" s="36"/>
      <c r="T2691" s="36"/>
      <c r="U2691" s="36">
        <v>400</v>
      </c>
      <c r="V2691" s="36"/>
      <c r="W2691" s="15">
        <f t="shared" si="106"/>
        <v>400</v>
      </c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15">
        <f t="shared" si="107"/>
        <v>0</v>
      </c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14"/>
      <c r="AV2691" s="14"/>
      <c r="AW2691" s="15"/>
      <c r="AX2691" s="16"/>
    </row>
    <row r="2692" spans="2:51" x14ac:dyDescent="0.2">
      <c r="B2692" s="7"/>
      <c r="C2692" s="8">
        <v>13248</v>
      </c>
      <c r="D2692" s="9" t="s">
        <v>503</v>
      </c>
      <c r="E2692" s="10" t="s">
        <v>504</v>
      </c>
      <c r="F2692" s="10" t="s">
        <v>505</v>
      </c>
      <c r="G2692" s="8">
        <v>1</v>
      </c>
      <c r="H2692" s="11">
        <v>150</v>
      </c>
      <c r="I2692" s="12">
        <v>42690</v>
      </c>
      <c r="J2692" s="35">
        <f t="shared" si="105"/>
        <v>0</v>
      </c>
      <c r="K2692" s="36"/>
      <c r="L2692" s="36"/>
      <c r="M2692" s="36"/>
      <c r="N2692" s="36"/>
      <c r="O2692" s="36"/>
      <c r="P2692" s="36"/>
      <c r="Q2692" s="36"/>
      <c r="R2692" s="36"/>
      <c r="S2692" s="36"/>
      <c r="T2692" s="36"/>
      <c r="U2692" s="36">
        <v>150</v>
      </c>
      <c r="V2692" s="36"/>
      <c r="W2692" s="15">
        <f t="shared" si="106"/>
        <v>150</v>
      </c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15">
        <f t="shared" si="107"/>
        <v>0</v>
      </c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14"/>
      <c r="AV2692" s="14"/>
      <c r="AW2692" s="15"/>
      <c r="AX2692" s="16"/>
    </row>
    <row r="2693" spans="2:51" x14ac:dyDescent="0.2">
      <c r="B2693" s="7"/>
      <c r="C2693" s="8">
        <v>13249</v>
      </c>
      <c r="D2693" s="9" t="s">
        <v>482</v>
      </c>
      <c r="E2693" s="10" t="s">
        <v>483</v>
      </c>
      <c r="F2693" s="10" t="s">
        <v>484</v>
      </c>
      <c r="G2693" s="8">
        <v>1</v>
      </c>
      <c r="H2693" s="11">
        <v>400</v>
      </c>
      <c r="I2693" s="12">
        <v>42691</v>
      </c>
      <c r="J2693" s="35">
        <f t="shared" si="105"/>
        <v>0</v>
      </c>
      <c r="K2693" s="36"/>
      <c r="L2693" s="36"/>
      <c r="M2693" s="36"/>
      <c r="N2693" s="36"/>
      <c r="O2693" s="36"/>
      <c r="P2693" s="36"/>
      <c r="Q2693" s="36"/>
      <c r="R2693" s="36"/>
      <c r="S2693" s="36"/>
      <c r="T2693" s="36"/>
      <c r="U2693" s="36">
        <v>200</v>
      </c>
      <c r="V2693" s="36">
        <v>200</v>
      </c>
      <c r="W2693" s="15">
        <f t="shared" si="106"/>
        <v>400</v>
      </c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15">
        <f t="shared" si="107"/>
        <v>0</v>
      </c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14"/>
      <c r="AV2693" s="14"/>
      <c r="AW2693" s="15"/>
      <c r="AX2693" s="16"/>
    </row>
    <row r="2694" spans="2:51" x14ac:dyDescent="0.2">
      <c r="B2694" s="7"/>
      <c r="C2694" s="8">
        <v>13250</v>
      </c>
      <c r="D2694" s="9" t="s">
        <v>874</v>
      </c>
      <c r="E2694" s="10" t="s">
        <v>875</v>
      </c>
      <c r="F2694" s="10" t="s">
        <v>493</v>
      </c>
      <c r="G2694" s="8">
        <v>1</v>
      </c>
      <c r="H2694" s="11">
        <v>600</v>
      </c>
      <c r="I2694" s="12">
        <v>42692</v>
      </c>
      <c r="J2694" s="35">
        <f t="shared" si="105"/>
        <v>0</v>
      </c>
      <c r="K2694" s="36"/>
      <c r="L2694" s="36"/>
      <c r="M2694" s="36"/>
      <c r="N2694" s="36"/>
      <c r="O2694" s="36"/>
      <c r="P2694" s="36"/>
      <c r="Q2694" s="36"/>
      <c r="R2694" s="36"/>
      <c r="S2694" s="36">
        <v>200</v>
      </c>
      <c r="T2694" s="36">
        <v>200</v>
      </c>
      <c r="U2694" s="36">
        <v>200</v>
      </c>
      <c r="V2694" s="36"/>
      <c r="W2694" s="15">
        <f t="shared" si="106"/>
        <v>600</v>
      </c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15">
        <f t="shared" si="107"/>
        <v>0</v>
      </c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14"/>
      <c r="AV2694" s="14"/>
      <c r="AW2694" s="15"/>
      <c r="AX2694" s="16"/>
    </row>
    <row r="2695" spans="2:51" x14ac:dyDescent="0.2">
      <c r="B2695" s="7"/>
      <c r="C2695" s="8">
        <v>13250</v>
      </c>
      <c r="D2695" s="9" t="s">
        <v>874</v>
      </c>
      <c r="E2695" s="10" t="s">
        <v>875</v>
      </c>
      <c r="F2695" s="10" t="s">
        <v>493</v>
      </c>
      <c r="G2695" s="8">
        <v>4</v>
      </c>
      <c r="H2695" s="11">
        <v>200</v>
      </c>
      <c r="I2695" s="12">
        <v>42692</v>
      </c>
      <c r="J2695" s="35">
        <f t="shared" si="105"/>
        <v>0</v>
      </c>
      <c r="K2695" s="36"/>
      <c r="L2695" s="36"/>
      <c r="M2695" s="36"/>
      <c r="N2695" s="36"/>
      <c r="O2695" s="36"/>
      <c r="P2695" s="36"/>
      <c r="Q2695" s="36"/>
      <c r="R2695" s="36"/>
      <c r="S2695" s="36"/>
      <c r="T2695" s="36"/>
      <c r="U2695" s="36"/>
      <c r="V2695" s="36"/>
      <c r="W2695" s="15">
        <f t="shared" si="106"/>
        <v>0</v>
      </c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15">
        <f t="shared" si="107"/>
        <v>0</v>
      </c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5"/>
      <c r="AX2695" s="16" t="s">
        <v>3173</v>
      </c>
    </row>
    <row r="2696" spans="2:51" x14ac:dyDescent="0.2">
      <c r="B2696" s="7"/>
      <c r="C2696" s="8">
        <v>13251</v>
      </c>
      <c r="D2696" s="9" t="s">
        <v>598</v>
      </c>
      <c r="E2696" s="10" t="s">
        <v>599</v>
      </c>
      <c r="F2696" s="10" t="s">
        <v>886</v>
      </c>
      <c r="G2696" s="8">
        <v>5</v>
      </c>
      <c r="H2696" s="11">
        <v>50</v>
      </c>
      <c r="I2696" s="12">
        <v>42692</v>
      </c>
      <c r="J2696" s="35">
        <f t="shared" si="105"/>
        <v>0</v>
      </c>
      <c r="K2696" s="36"/>
      <c r="L2696" s="36"/>
      <c r="M2696" s="36"/>
      <c r="N2696" s="36"/>
      <c r="O2696" s="36"/>
      <c r="P2696" s="36"/>
      <c r="Q2696" s="36"/>
      <c r="R2696" s="36"/>
      <c r="S2696" s="36"/>
      <c r="T2696" s="36"/>
      <c r="U2696" s="36"/>
      <c r="V2696" s="36"/>
      <c r="W2696" s="15">
        <f t="shared" si="106"/>
        <v>0</v>
      </c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15">
        <f t="shared" si="107"/>
        <v>0</v>
      </c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14"/>
      <c r="AV2696" s="14"/>
      <c r="AW2696" s="15"/>
      <c r="AX2696" s="16"/>
    </row>
    <row r="2697" spans="2:51" x14ac:dyDescent="0.2">
      <c r="B2697" s="7"/>
      <c r="C2697" s="8">
        <v>13252</v>
      </c>
      <c r="D2697" s="9" t="s">
        <v>568</v>
      </c>
      <c r="E2697" s="10" t="s">
        <v>569</v>
      </c>
      <c r="F2697" s="10" t="s">
        <v>570</v>
      </c>
      <c r="G2697" s="8">
        <v>1</v>
      </c>
      <c r="H2697" s="11">
        <v>500</v>
      </c>
      <c r="I2697" s="12">
        <v>42694</v>
      </c>
      <c r="J2697" s="35">
        <f t="shared" si="105"/>
        <v>0</v>
      </c>
      <c r="K2697" s="36"/>
      <c r="L2697" s="36"/>
      <c r="M2697" s="36"/>
      <c r="N2697" s="36"/>
      <c r="O2697" s="36"/>
      <c r="P2697" s="36"/>
      <c r="Q2697" s="36">
        <v>100</v>
      </c>
      <c r="R2697" s="36"/>
      <c r="S2697" s="36"/>
      <c r="T2697" s="36"/>
      <c r="U2697" s="36">
        <v>400</v>
      </c>
      <c r="V2697" s="36"/>
      <c r="W2697" s="15">
        <f t="shared" si="106"/>
        <v>500</v>
      </c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15">
        <f t="shared" si="107"/>
        <v>0</v>
      </c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/>
      <c r="AW2697" s="15"/>
      <c r="AX2697" s="16"/>
    </row>
    <row r="2698" spans="2:51" x14ac:dyDescent="0.2">
      <c r="B2698" s="7"/>
      <c r="C2698" s="8">
        <v>13253</v>
      </c>
      <c r="D2698" s="9" t="s">
        <v>129</v>
      </c>
      <c r="E2698" s="10" t="s">
        <v>130</v>
      </c>
      <c r="F2698" s="10" t="s">
        <v>131</v>
      </c>
      <c r="G2698" s="8">
        <v>5</v>
      </c>
      <c r="H2698" s="11">
        <v>50</v>
      </c>
      <c r="I2698" s="12">
        <v>42694</v>
      </c>
      <c r="J2698" s="35">
        <f t="shared" si="105"/>
        <v>0</v>
      </c>
      <c r="K2698" s="36"/>
      <c r="L2698" s="36"/>
      <c r="M2698" s="36"/>
      <c r="N2698" s="36"/>
      <c r="O2698" s="36"/>
      <c r="P2698" s="36"/>
      <c r="Q2698" s="36"/>
      <c r="R2698" s="36"/>
      <c r="S2698" s="36"/>
      <c r="T2698" s="36"/>
      <c r="U2698" s="36"/>
      <c r="V2698" s="36"/>
      <c r="W2698" s="15">
        <f t="shared" si="106"/>
        <v>0</v>
      </c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15">
        <f t="shared" si="107"/>
        <v>0</v>
      </c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14"/>
      <c r="AV2698" s="14"/>
      <c r="AW2698" s="15"/>
      <c r="AX2698" s="16"/>
    </row>
    <row r="2699" spans="2:51" x14ac:dyDescent="0.2">
      <c r="B2699" s="7"/>
      <c r="C2699" s="8">
        <v>13254</v>
      </c>
      <c r="D2699" s="9" t="s">
        <v>684</v>
      </c>
      <c r="E2699" s="10" t="s">
        <v>685</v>
      </c>
      <c r="F2699" s="10" t="s">
        <v>686</v>
      </c>
      <c r="G2699" s="8">
        <v>1</v>
      </c>
      <c r="H2699" s="11">
        <v>1200</v>
      </c>
      <c r="I2699" s="12">
        <v>42694</v>
      </c>
      <c r="J2699" s="35">
        <f t="shared" si="105"/>
        <v>0</v>
      </c>
      <c r="K2699" s="36"/>
      <c r="L2699" s="36"/>
      <c r="M2699" s="36"/>
      <c r="N2699" s="36"/>
      <c r="O2699" s="36"/>
      <c r="P2699" s="36"/>
      <c r="Q2699" s="36"/>
      <c r="R2699" s="36"/>
      <c r="S2699" s="36">
        <v>400</v>
      </c>
      <c r="T2699" s="36">
        <v>400</v>
      </c>
      <c r="U2699" s="36">
        <v>400</v>
      </c>
      <c r="V2699" s="36"/>
      <c r="W2699" s="15">
        <f t="shared" si="106"/>
        <v>1200</v>
      </c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15">
        <f t="shared" si="107"/>
        <v>0</v>
      </c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14"/>
      <c r="AV2699" s="14"/>
      <c r="AW2699" s="15"/>
      <c r="AX2699" s="16"/>
    </row>
    <row r="2700" spans="2:51" x14ac:dyDescent="0.2">
      <c r="B2700" s="7"/>
      <c r="C2700" s="8">
        <v>13255</v>
      </c>
      <c r="D2700" s="9" t="s">
        <v>876</v>
      </c>
      <c r="E2700" s="10" t="s">
        <v>877</v>
      </c>
      <c r="F2700" s="10" t="s">
        <v>878</v>
      </c>
      <c r="G2700" s="8">
        <v>1</v>
      </c>
      <c r="H2700" s="11">
        <v>600</v>
      </c>
      <c r="I2700" s="12">
        <v>42694</v>
      </c>
      <c r="J2700" s="35">
        <f t="shared" si="105"/>
        <v>0</v>
      </c>
      <c r="K2700" s="36"/>
      <c r="L2700" s="36"/>
      <c r="M2700" s="36"/>
      <c r="N2700" s="36"/>
      <c r="O2700" s="36"/>
      <c r="P2700" s="36"/>
      <c r="Q2700" s="36"/>
      <c r="R2700" s="36"/>
      <c r="S2700" s="36"/>
      <c r="T2700" s="36">
        <v>200</v>
      </c>
      <c r="U2700" s="36">
        <v>200</v>
      </c>
      <c r="V2700" s="36">
        <v>200</v>
      </c>
      <c r="W2700" s="15">
        <f t="shared" si="106"/>
        <v>600</v>
      </c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15">
        <f t="shared" si="107"/>
        <v>0</v>
      </c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14"/>
      <c r="AV2700" s="14"/>
      <c r="AW2700" s="15"/>
      <c r="AX2700" s="16"/>
    </row>
    <row r="2701" spans="2:51" x14ac:dyDescent="0.2">
      <c r="B2701" s="7"/>
      <c r="C2701" s="8">
        <v>13256</v>
      </c>
      <c r="D2701" s="9" t="s">
        <v>156</v>
      </c>
      <c r="E2701" s="10" t="s">
        <v>157</v>
      </c>
      <c r="F2701" s="10" t="s">
        <v>158</v>
      </c>
      <c r="G2701" s="8">
        <v>1</v>
      </c>
      <c r="H2701" s="11">
        <v>300</v>
      </c>
      <c r="I2701" s="12">
        <v>42694</v>
      </c>
      <c r="J2701" s="35">
        <f t="shared" si="105"/>
        <v>0</v>
      </c>
      <c r="K2701" s="36"/>
      <c r="L2701" s="36"/>
      <c r="M2701" s="36"/>
      <c r="N2701" s="36"/>
      <c r="O2701" s="36"/>
      <c r="P2701" s="36"/>
      <c r="Q2701" s="36"/>
      <c r="R2701" s="36"/>
      <c r="S2701" s="36"/>
      <c r="T2701" s="36"/>
      <c r="U2701" s="36">
        <v>300</v>
      </c>
      <c r="V2701" s="36"/>
      <c r="W2701" s="15">
        <f t="shared" si="106"/>
        <v>300</v>
      </c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15">
        <f t="shared" si="107"/>
        <v>0</v>
      </c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14"/>
      <c r="AV2701" s="14"/>
      <c r="AW2701" s="15"/>
      <c r="AX2701" s="16"/>
    </row>
    <row r="2702" spans="2:51" x14ac:dyDescent="0.2">
      <c r="B2702" s="7"/>
      <c r="C2702" s="8">
        <v>13257</v>
      </c>
      <c r="D2702" s="9" t="s">
        <v>746</v>
      </c>
      <c r="E2702" s="10" t="s">
        <v>747</v>
      </c>
      <c r="F2702" s="10" t="s">
        <v>748</v>
      </c>
      <c r="G2702" s="8">
        <v>1</v>
      </c>
      <c r="H2702" s="11">
        <v>600</v>
      </c>
      <c r="I2702" s="12">
        <v>42694</v>
      </c>
      <c r="J2702" s="35">
        <f t="shared" si="105"/>
        <v>0</v>
      </c>
      <c r="K2702" s="36"/>
      <c r="L2702" s="36"/>
      <c r="M2702" s="36"/>
      <c r="N2702" s="36"/>
      <c r="O2702" s="36"/>
      <c r="P2702" s="36"/>
      <c r="Q2702" s="36"/>
      <c r="R2702" s="36"/>
      <c r="S2702" s="36"/>
      <c r="T2702" s="36"/>
      <c r="U2702" s="36">
        <v>300</v>
      </c>
      <c r="V2702" s="36">
        <v>300</v>
      </c>
      <c r="W2702" s="15">
        <f t="shared" si="106"/>
        <v>600</v>
      </c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15">
        <f t="shared" si="107"/>
        <v>0</v>
      </c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5"/>
      <c r="AX2702" s="16"/>
    </row>
    <row r="2703" spans="2:51" x14ac:dyDescent="0.2">
      <c r="B2703" s="7"/>
      <c r="C2703" s="8">
        <v>13258</v>
      </c>
      <c r="D2703" s="9" t="s">
        <v>725</v>
      </c>
      <c r="E2703" s="10" t="s">
        <v>726</v>
      </c>
      <c r="F2703" s="10" t="s">
        <v>727</v>
      </c>
      <c r="G2703" s="8">
        <v>5</v>
      </c>
      <c r="H2703" s="11">
        <v>50</v>
      </c>
      <c r="I2703" s="12">
        <v>42694</v>
      </c>
      <c r="J2703" s="35">
        <f t="shared" si="105"/>
        <v>0</v>
      </c>
      <c r="K2703" s="36"/>
      <c r="L2703" s="36"/>
      <c r="M2703" s="36"/>
      <c r="N2703" s="36"/>
      <c r="O2703" s="36"/>
      <c r="P2703" s="36"/>
      <c r="Q2703" s="36"/>
      <c r="R2703" s="36"/>
      <c r="S2703" s="36"/>
      <c r="T2703" s="36"/>
      <c r="U2703" s="36"/>
      <c r="V2703" s="36"/>
      <c r="W2703" s="15">
        <f t="shared" si="106"/>
        <v>0</v>
      </c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15">
        <f t="shared" si="107"/>
        <v>0</v>
      </c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/>
      <c r="AV2703" s="14"/>
      <c r="AW2703" s="15"/>
      <c r="AX2703" s="16"/>
    </row>
    <row r="2704" spans="2:51" x14ac:dyDescent="0.2">
      <c r="B2704" s="7"/>
      <c r="C2704" s="8">
        <v>13259</v>
      </c>
      <c r="D2704" s="9" t="s">
        <v>1178</v>
      </c>
      <c r="E2704" s="10" t="s">
        <v>1179</v>
      </c>
      <c r="F2704" s="10" t="s">
        <v>1180</v>
      </c>
      <c r="G2704" s="8">
        <v>1</v>
      </c>
      <c r="H2704" s="11">
        <v>400</v>
      </c>
      <c r="I2704" s="12">
        <v>42694</v>
      </c>
      <c r="J2704" s="35">
        <f t="shared" si="105"/>
        <v>0</v>
      </c>
      <c r="K2704" s="36"/>
      <c r="L2704" s="36"/>
      <c r="M2704" s="36"/>
      <c r="N2704" s="36"/>
      <c r="O2704" s="36"/>
      <c r="P2704" s="36"/>
      <c r="Q2704" s="36"/>
      <c r="R2704" s="36"/>
      <c r="S2704" s="36"/>
      <c r="T2704" s="36">
        <v>200</v>
      </c>
      <c r="U2704" s="36">
        <v>200</v>
      </c>
      <c r="V2704" s="36"/>
      <c r="W2704" s="15">
        <f t="shared" si="106"/>
        <v>400</v>
      </c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15">
        <f t="shared" si="107"/>
        <v>0</v>
      </c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14"/>
      <c r="AV2704" s="14"/>
      <c r="AW2704" s="15"/>
      <c r="AX2704" s="16"/>
    </row>
    <row r="2705" spans="2:50" x14ac:dyDescent="0.2">
      <c r="B2705" s="7"/>
      <c r="C2705" s="8">
        <v>13259</v>
      </c>
      <c r="D2705" s="9" t="s">
        <v>1178</v>
      </c>
      <c r="E2705" s="10" t="s">
        <v>1179</v>
      </c>
      <c r="F2705" s="10" t="s">
        <v>1180</v>
      </c>
      <c r="G2705" s="8">
        <v>3</v>
      </c>
      <c r="H2705" s="11">
        <v>200</v>
      </c>
      <c r="I2705" s="12">
        <v>42694</v>
      </c>
      <c r="J2705" s="35">
        <f t="shared" si="105"/>
        <v>0</v>
      </c>
      <c r="K2705" s="36"/>
      <c r="L2705" s="36"/>
      <c r="M2705" s="36"/>
      <c r="N2705" s="36"/>
      <c r="O2705" s="36"/>
      <c r="P2705" s="36"/>
      <c r="Q2705" s="36"/>
      <c r="R2705" s="36"/>
      <c r="S2705" s="36"/>
      <c r="T2705" s="36"/>
      <c r="U2705" s="36"/>
      <c r="V2705" s="36"/>
      <c r="W2705" s="15">
        <f t="shared" si="106"/>
        <v>0</v>
      </c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15">
        <f t="shared" si="107"/>
        <v>0</v>
      </c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14"/>
      <c r="AV2705" s="14"/>
      <c r="AW2705" s="15"/>
      <c r="AX2705" s="16"/>
    </row>
    <row r="2706" spans="2:50" x14ac:dyDescent="0.2">
      <c r="B2706" s="7"/>
      <c r="C2706" s="8">
        <v>13260</v>
      </c>
      <c r="D2706" s="9" t="s">
        <v>699</v>
      </c>
      <c r="E2706" s="10" t="s">
        <v>700</v>
      </c>
      <c r="F2706" s="10" t="s">
        <v>701</v>
      </c>
      <c r="G2706" s="8">
        <v>1</v>
      </c>
      <c r="H2706" s="11">
        <v>800</v>
      </c>
      <c r="I2706" s="12">
        <v>42694</v>
      </c>
      <c r="J2706" s="35">
        <f t="shared" si="105"/>
        <v>0</v>
      </c>
      <c r="K2706" s="36"/>
      <c r="L2706" s="36"/>
      <c r="M2706" s="36"/>
      <c r="N2706" s="36"/>
      <c r="O2706" s="36"/>
      <c r="P2706" s="36"/>
      <c r="Q2706" s="36"/>
      <c r="R2706" s="36"/>
      <c r="S2706" s="36"/>
      <c r="T2706" s="36">
        <v>400</v>
      </c>
      <c r="U2706" s="36">
        <v>400</v>
      </c>
      <c r="V2706" s="36"/>
      <c r="W2706" s="15">
        <f t="shared" si="106"/>
        <v>800</v>
      </c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15">
        <f t="shared" si="107"/>
        <v>0</v>
      </c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5"/>
      <c r="AX2706" s="16"/>
    </row>
    <row r="2707" spans="2:50" x14ac:dyDescent="0.2">
      <c r="B2707" s="7"/>
      <c r="C2707" s="8">
        <v>13261</v>
      </c>
      <c r="D2707" s="9" t="s">
        <v>769</v>
      </c>
      <c r="E2707" s="10" t="s">
        <v>770</v>
      </c>
      <c r="F2707" s="10" t="s">
        <v>771</v>
      </c>
      <c r="G2707" s="8">
        <v>1</v>
      </c>
      <c r="H2707" s="11">
        <v>800</v>
      </c>
      <c r="I2707" s="12">
        <v>42694</v>
      </c>
      <c r="J2707" s="35">
        <f t="shared" si="105"/>
        <v>0</v>
      </c>
      <c r="K2707" s="36"/>
      <c r="L2707" s="36"/>
      <c r="M2707" s="36"/>
      <c r="N2707" s="36"/>
      <c r="O2707" s="36"/>
      <c r="P2707" s="36"/>
      <c r="Q2707" s="36"/>
      <c r="R2707" s="36"/>
      <c r="S2707" s="36"/>
      <c r="T2707" s="36">
        <v>400</v>
      </c>
      <c r="U2707" s="36">
        <v>400</v>
      </c>
      <c r="V2707" s="36"/>
      <c r="W2707" s="15">
        <f t="shared" si="106"/>
        <v>800</v>
      </c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15">
        <f t="shared" si="107"/>
        <v>0</v>
      </c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14"/>
      <c r="AV2707" s="14"/>
      <c r="AW2707" s="15"/>
      <c r="AX2707" s="16"/>
    </row>
    <row r="2708" spans="2:50" x14ac:dyDescent="0.2">
      <c r="B2708" s="7"/>
      <c r="C2708" s="8">
        <v>13262</v>
      </c>
      <c r="D2708" s="9" t="s">
        <v>1420</v>
      </c>
      <c r="E2708" s="10" t="s">
        <v>1421</v>
      </c>
      <c r="F2708" s="10" t="s">
        <v>99</v>
      </c>
      <c r="G2708" s="8">
        <v>5</v>
      </c>
      <c r="H2708" s="11">
        <v>100</v>
      </c>
      <c r="I2708" s="12">
        <v>42694</v>
      </c>
      <c r="J2708" s="35">
        <f t="shared" si="105"/>
        <v>0</v>
      </c>
      <c r="K2708" s="36"/>
      <c r="L2708" s="36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  <c r="W2708" s="15">
        <f t="shared" si="106"/>
        <v>0</v>
      </c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15">
        <f t="shared" si="107"/>
        <v>0</v>
      </c>
      <c r="AK2708" s="14"/>
      <c r="AL2708" s="14"/>
      <c r="AM2708" s="14"/>
      <c r="AN2708" s="14"/>
      <c r="AO2708" s="14"/>
      <c r="AP2708" s="14"/>
      <c r="AQ2708" s="14"/>
      <c r="AR2708" s="14"/>
      <c r="AS2708" s="14"/>
      <c r="AT2708" s="14"/>
      <c r="AU2708" s="14"/>
      <c r="AV2708" s="14"/>
      <c r="AW2708" s="15"/>
      <c r="AX2708" s="16"/>
    </row>
    <row r="2709" spans="2:50" x14ac:dyDescent="0.2">
      <c r="B2709" s="7"/>
      <c r="C2709" s="8">
        <v>13263</v>
      </c>
      <c r="D2709" s="9" t="s">
        <v>526</v>
      </c>
      <c r="E2709" s="10" t="s">
        <v>527</v>
      </c>
      <c r="F2709" s="10" t="s">
        <v>528</v>
      </c>
      <c r="G2709" s="8">
        <v>1</v>
      </c>
      <c r="H2709" s="11">
        <v>600</v>
      </c>
      <c r="I2709" s="12">
        <v>42694</v>
      </c>
      <c r="J2709" s="35">
        <f t="shared" si="105"/>
        <v>0</v>
      </c>
      <c r="K2709" s="36"/>
      <c r="L2709" s="36"/>
      <c r="M2709" s="36"/>
      <c r="N2709" s="36"/>
      <c r="O2709" s="36"/>
      <c r="P2709" s="36"/>
      <c r="Q2709" s="36"/>
      <c r="R2709" s="36"/>
      <c r="S2709" s="36">
        <v>300</v>
      </c>
      <c r="T2709" s="36">
        <v>300</v>
      </c>
      <c r="U2709" s="36"/>
      <c r="V2709" s="36"/>
      <c r="W2709" s="15">
        <f t="shared" si="106"/>
        <v>600</v>
      </c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15">
        <f t="shared" si="107"/>
        <v>0</v>
      </c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14"/>
      <c r="AV2709" s="14"/>
      <c r="AW2709" s="15"/>
      <c r="AX2709" s="16"/>
    </row>
    <row r="2710" spans="2:50" x14ac:dyDescent="0.2">
      <c r="B2710" s="7"/>
      <c r="C2710" s="8">
        <v>13264</v>
      </c>
      <c r="D2710" s="9" t="s">
        <v>241</v>
      </c>
      <c r="E2710" s="10" t="s">
        <v>242</v>
      </c>
      <c r="F2710" s="10" t="s">
        <v>243</v>
      </c>
      <c r="G2710" s="8">
        <v>1</v>
      </c>
      <c r="H2710" s="11">
        <v>400</v>
      </c>
      <c r="I2710" s="12">
        <v>42694</v>
      </c>
      <c r="J2710" s="35">
        <f t="shared" si="105"/>
        <v>0</v>
      </c>
      <c r="K2710" s="36"/>
      <c r="L2710" s="36"/>
      <c r="M2710" s="36"/>
      <c r="N2710" s="36"/>
      <c r="O2710" s="36"/>
      <c r="P2710" s="36"/>
      <c r="Q2710" s="36"/>
      <c r="R2710" s="36"/>
      <c r="S2710" s="36"/>
      <c r="T2710" s="36"/>
      <c r="U2710" s="36">
        <v>400</v>
      </c>
      <c r="V2710" s="36"/>
      <c r="W2710" s="15">
        <f t="shared" si="106"/>
        <v>400</v>
      </c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15">
        <f t="shared" si="107"/>
        <v>0</v>
      </c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14"/>
      <c r="AV2710" s="14"/>
      <c r="AW2710" s="15"/>
      <c r="AX2710" s="16"/>
    </row>
    <row r="2711" spans="2:50" x14ac:dyDescent="0.2">
      <c r="B2711" s="7"/>
      <c r="C2711" s="8">
        <v>13265</v>
      </c>
      <c r="D2711" s="9" t="s">
        <v>48</v>
      </c>
      <c r="E2711" s="10" t="s">
        <v>49</v>
      </c>
      <c r="F2711" s="10" t="s">
        <v>50</v>
      </c>
      <c r="G2711" s="8">
        <v>1</v>
      </c>
      <c r="H2711" s="11">
        <v>800</v>
      </c>
      <c r="I2711" s="12">
        <v>42694</v>
      </c>
      <c r="J2711" s="35">
        <f t="shared" si="105"/>
        <v>0</v>
      </c>
      <c r="K2711" s="36"/>
      <c r="L2711" s="36"/>
      <c r="M2711" s="36"/>
      <c r="N2711" s="36"/>
      <c r="O2711" s="36"/>
      <c r="P2711" s="36"/>
      <c r="Q2711" s="36"/>
      <c r="R2711" s="36"/>
      <c r="S2711" s="36"/>
      <c r="T2711" s="36"/>
      <c r="U2711" s="36">
        <v>400</v>
      </c>
      <c r="V2711" s="36">
        <v>400</v>
      </c>
      <c r="W2711" s="15">
        <f t="shared" si="106"/>
        <v>800</v>
      </c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15">
        <f t="shared" si="107"/>
        <v>0</v>
      </c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14"/>
      <c r="AV2711" s="14"/>
      <c r="AW2711" s="15"/>
      <c r="AX2711" s="16"/>
    </row>
    <row r="2712" spans="2:50" x14ac:dyDescent="0.2">
      <c r="B2712" s="7"/>
      <c r="C2712" s="8">
        <v>13266</v>
      </c>
      <c r="D2712" s="9" t="s">
        <v>48</v>
      </c>
      <c r="E2712" s="10" t="s">
        <v>49</v>
      </c>
      <c r="F2712" s="10" t="s">
        <v>50</v>
      </c>
      <c r="G2712" s="8">
        <v>3</v>
      </c>
      <c r="H2712" s="11">
        <v>200</v>
      </c>
      <c r="I2712" s="12">
        <v>42694</v>
      </c>
      <c r="J2712" s="35">
        <f t="shared" si="105"/>
        <v>0</v>
      </c>
      <c r="K2712" s="36"/>
      <c r="L2712" s="36"/>
      <c r="M2712" s="36"/>
      <c r="N2712" s="36"/>
      <c r="O2712" s="36"/>
      <c r="P2712" s="36"/>
      <c r="Q2712" s="36"/>
      <c r="R2712" s="36"/>
      <c r="S2712" s="36"/>
      <c r="T2712" s="36"/>
      <c r="U2712" s="36"/>
      <c r="V2712" s="36"/>
      <c r="W2712" s="15">
        <f t="shared" si="106"/>
        <v>0</v>
      </c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15">
        <f t="shared" si="107"/>
        <v>0</v>
      </c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14"/>
      <c r="AV2712" s="14"/>
      <c r="AW2712" s="15"/>
      <c r="AX2712" s="16"/>
    </row>
    <row r="2713" spans="2:50" x14ac:dyDescent="0.2">
      <c r="B2713" s="7"/>
      <c r="C2713" s="8">
        <v>13267</v>
      </c>
      <c r="D2713" s="9" t="s">
        <v>915</v>
      </c>
      <c r="E2713" s="10" t="s">
        <v>916</v>
      </c>
      <c r="F2713" s="10" t="s">
        <v>917</v>
      </c>
      <c r="G2713" s="8">
        <v>1</v>
      </c>
      <c r="H2713" s="11">
        <v>1000</v>
      </c>
      <c r="I2713" s="12">
        <v>42694</v>
      </c>
      <c r="J2713" s="35">
        <f t="shared" si="105"/>
        <v>0</v>
      </c>
      <c r="K2713" s="36"/>
      <c r="L2713" s="36"/>
      <c r="M2713" s="36"/>
      <c r="N2713" s="36"/>
      <c r="O2713" s="36"/>
      <c r="P2713" s="36"/>
      <c r="Q2713" s="36"/>
      <c r="R2713" s="36">
        <v>200</v>
      </c>
      <c r="S2713" s="36">
        <v>200</v>
      </c>
      <c r="T2713" s="36">
        <v>200</v>
      </c>
      <c r="U2713" s="36">
        <v>200</v>
      </c>
      <c r="V2713" s="36">
        <v>200</v>
      </c>
      <c r="W2713" s="15">
        <f t="shared" si="106"/>
        <v>1000</v>
      </c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15">
        <f t="shared" si="107"/>
        <v>0</v>
      </c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14"/>
      <c r="AV2713" s="14"/>
      <c r="AW2713" s="15"/>
      <c r="AX2713" s="16"/>
    </row>
    <row r="2714" spans="2:50" x14ac:dyDescent="0.2">
      <c r="B2714" s="7"/>
      <c r="C2714" s="8">
        <v>13268</v>
      </c>
      <c r="D2714" s="9" t="s">
        <v>256</v>
      </c>
      <c r="E2714" s="10" t="s">
        <v>257</v>
      </c>
      <c r="F2714" s="10" t="s">
        <v>258</v>
      </c>
      <c r="G2714" s="8">
        <v>1</v>
      </c>
      <c r="H2714" s="11">
        <v>300</v>
      </c>
      <c r="I2714" s="12">
        <v>42694</v>
      </c>
      <c r="J2714" s="35">
        <f t="shared" si="105"/>
        <v>0</v>
      </c>
      <c r="K2714" s="36"/>
      <c r="L2714" s="36"/>
      <c r="M2714" s="36"/>
      <c r="N2714" s="36"/>
      <c r="O2714" s="36"/>
      <c r="P2714" s="36"/>
      <c r="Q2714" s="36"/>
      <c r="R2714" s="36"/>
      <c r="S2714" s="36"/>
      <c r="T2714" s="36"/>
      <c r="U2714" s="36">
        <v>300</v>
      </c>
      <c r="V2714" s="36"/>
      <c r="W2714" s="15">
        <f t="shared" si="106"/>
        <v>300</v>
      </c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15">
        <f t="shared" si="107"/>
        <v>0</v>
      </c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5"/>
      <c r="AX2714" s="16"/>
    </row>
    <row r="2715" spans="2:50" x14ac:dyDescent="0.2">
      <c r="B2715" s="7"/>
      <c r="C2715" s="8">
        <v>13269</v>
      </c>
      <c r="D2715" s="9" t="s">
        <v>608</v>
      </c>
      <c r="E2715" s="10" t="s">
        <v>609</v>
      </c>
      <c r="F2715" s="10" t="s">
        <v>610</v>
      </c>
      <c r="G2715" s="8">
        <v>1</v>
      </c>
      <c r="H2715" s="11">
        <v>800</v>
      </c>
      <c r="I2715" s="12">
        <v>42694</v>
      </c>
      <c r="J2715" s="35">
        <f t="shared" si="105"/>
        <v>0</v>
      </c>
      <c r="K2715" s="36"/>
      <c r="L2715" s="36"/>
      <c r="M2715" s="36"/>
      <c r="N2715" s="36"/>
      <c r="O2715" s="36"/>
      <c r="P2715" s="36"/>
      <c r="Q2715" s="36"/>
      <c r="R2715" s="36"/>
      <c r="S2715" s="36">
        <v>400</v>
      </c>
      <c r="T2715" s="36">
        <v>400</v>
      </c>
      <c r="U2715" s="36"/>
      <c r="V2715" s="36"/>
      <c r="W2715" s="15">
        <f t="shared" si="106"/>
        <v>800</v>
      </c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15">
        <f t="shared" si="107"/>
        <v>0</v>
      </c>
      <c r="AK2715" s="14"/>
      <c r="AL2715" s="14"/>
      <c r="AM2715" s="14"/>
      <c r="AN2715" s="14"/>
      <c r="AO2715" s="14"/>
      <c r="AP2715" s="14"/>
      <c r="AQ2715" s="14"/>
      <c r="AR2715" s="14"/>
      <c r="AS2715" s="14"/>
      <c r="AT2715" s="14"/>
      <c r="AU2715" s="14"/>
      <c r="AV2715" s="14"/>
      <c r="AW2715" s="15"/>
      <c r="AX2715" s="16"/>
    </row>
    <row r="2716" spans="2:50" x14ac:dyDescent="0.2">
      <c r="B2716" s="7"/>
      <c r="C2716" s="8">
        <v>13270</v>
      </c>
      <c r="D2716" s="9" t="s">
        <v>458</v>
      </c>
      <c r="E2716" s="10" t="s">
        <v>459</v>
      </c>
      <c r="F2716" s="10" t="s">
        <v>460</v>
      </c>
      <c r="G2716" s="8">
        <v>1</v>
      </c>
      <c r="H2716" s="11">
        <v>800</v>
      </c>
      <c r="I2716" s="12">
        <v>42694</v>
      </c>
      <c r="J2716" s="35">
        <f t="shared" si="105"/>
        <v>0</v>
      </c>
      <c r="K2716" s="36"/>
      <c r="L2716" s="36"/>
      <c r="M2716" s="36"/>
      <c r="N2716" s="36"/>
      <c r="O2716" s="36"/>
      <c r="P2716" s="36"/>
      <c r="Q2716" s="36"/>
      <c r="R2716" s="36"/>
      <c r="S2716" s="36"/>
      <c r="T2716" s="36"/>
      <c r="U2716" s="36">
        <v>400</v>
      </c>
      <c r="V2716" s="36">
        <v>400</v>
      </c>
      <c r="W2716" s="15">
        <f t="shared" si="106"/>
        <v>800</v>
      </c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15">
        <f t="shared" si="107"/>
        <v>0</v>
      </c>
      <c r="AK2716" s="14"/>
      <c r="AL2716" s="14"/>
      <c r="AM2716" s="14"/>
      <c r="AN2716" s="14"/>
      <c r="AO2716" s="14"/>
      <c r="AP2716" s="14"/>
      <c r="AQ2716" s="14"/>
      <c r="AR2716" s="14"/>
      <c r="AS2716" s="14"/>
      <c r="AT2716" s="14"/>
      <c r="AU2716" s="14"/>
      <c r="AV2716" s="14"/>
      <c r="AW2716" s="15"/>
      <c r="AX2716" s="16"/>
    </row>
    <row r="2717" spans="2:50" x14ac:dyDescent="0.2">
      <c r="B2717" s="7"/>
      <c r="C2717" s="8">
        <v>13270</v>
      </c>
      <c r="D2717" s="9" t="s">
        <v>458</v>
      </c>
      <c r="E2717" s="10" t="s">
        <v>459</v>
      </c>
      <c r="F2717" s="10" t="s">
        <v>460</v>
      </c>
      <c r="G2717" s="8">
        <v>3</v>
      </c>
      <c r="H2717" s="11">
        <v>200</v>
      </c>
      <c r="I2717" s="12">
        <v>42694</v>
      </c>
      <c r="J2717" s="35">
        <f t="shared" si="105"/>
        <v>0</v>
      </c>
      <c r="K2717" s="36"/>
      <c r="L2717" s="36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  <c r="W2717" s="15">
        <f t="shared" si="106"/>
        <v>0</v>
      </c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15">
        <f t="shared" si="107"/>
        <v>0</v>
      </c>
      <c r="AK2717" s="14"/>
      <c r="AL2717" s="14"/>
      <c r="AM2717" s="14"/>
      <c r="AN2717" s="14"/>
      <c r="AO2717" s="14"/>
      <c r="AP2717" s="14"/>
      <c r="AQ2717" s="14"/>
      <c r="AR2717" s="14"/>
      <c r="AS2717" s="14"/>
      <c r="AT2717" s="14"/>
      <c r="AU2717" s="14"/>
      <c r="AV2717" s="14"/>
      <c r="AW2717" s="15"/>
      <c r="AX2717" s="16"/>
    </row>
    <row r="2718" spans="2:50" x14ac:dyDescent="0.2">
      <c r="B2718" s="7"/>
      <c r="C2718" s="8">
        <v>13270</v>
      </c>
      <c r="D2718" s="9" t="s">
        <v>458</v>
      </c>
      <c r="E2718" s="10" t="s">
        <v>459</v>
      </c>
      <c r="F2718" s="10" t="s">
        <v>460</v>
      </c>
      <c r="G2718" s="8">
        <v>4</v>
      </c>
      <c r="H2718" s="11">
        <v>200</v>
      </c>
      <c r="I2718" s="12">
        <v>42694</v>
      </c>
      <c r="J2718" s="35">
        <f t="shared" si="105"/>
        <v>0</v>
      </c>
      <c r="K2718" s="36"/>
      <c r="L2718" s="36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15">
        <f t="shared" si="106"/>
        <v>0</v>
      </c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15">
        <f t="shared" si="107"/>
        <v>0</v>
      </c>
      <c r="AK2718" s="14"/>
      <c r="AL2718" s="14"/>
      <c r="AM2718" s="14"/>
      <c r="AN2718" s="14"/>
      <c r="AO2718" s="14"/>
      <c r="AP2718" s="14"/>
      <c r="AQ2718" s="14"/>
      <c r="AR2718" s="14"/>
      <c r="AS2718" s="14"/>
      <c r="AT2718" s="14"/>
      <c r="AU2718" s="14"/>
      <c r="AV2718" s="14"/>
      <c r="AW2718" s="15"/>
      <c r="AX2718" s="16" t="s">
        <v>3174</v>
      </c>
    </row>
    <row r="2719" spans="2:50" x14ac:dyDescent="0.2">
      <c r="B2719" s="7"/>
      <c r="C2719" s="8">
        <v>13271</v>
      </c>
      <c r="D2719" s="9" t="s">
        <v>541</v>
      </c>
      <c r="E2719" s="10" t="s">
        <v>542</v>
      </c>
      <c r="F2719" s="10" t="s">
        <v>543</v>
      </c>
      <c r="G2719" s="8">
        <v>1</v>
      </c>
      <c r="H2719" s="11">
        <v>800</v>
      </c>
      <c r="I2719" s="12">
        <v>42694</v>
      </c>
      <c r="J2719" s="35">
        <f t="shared" si="105"/>
        <v>0</v>
      </c>
      <c r="K2719" s="36"/>
      <c r="L2719" s="36"/>
      <c r="M2719" s="36"/>
      <c r="N2719" s="36"/>
      <c r="O2719" s="36"/>
      <c r="P2719" s="36"/>
      <c r="Q2719" s="36"/>
      <c r="R2719" s="36"/>
      <c r="S2719" s="36"/>
      <c r="T2719" s="36"/>
      <c r="U2719" s="36">
        <v>400</v>
      </c>
      <c r="V2719" s="36">
        <v>400</v>
      </c>
      <c r="W2719" s="15">
        <f t="shared" si="106"/>
        <v>800</v>
      </c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15">
        <f t="shared" si="107"/>
        <v>0</v>
      </c>
      <c r="AK2719" s="14"/>
      <c r="AL2719" s="14"/>
      <c r="AM2719" s="14"/>
      <c r="AN2719" s="14"/>
      <c r="AO2719" s="14"/>
      <c r="AP2719" s="14"/>
      <c r="AQ2719" s="14"/>
      <c r="AR2719" s="14"/>
      <c r="AS2719" s="14"/>
      <c r="AT2719" s="14"/>
      <c r="AU2719" s="14"/>
      <c r="AV2719" s="14"/>
      <c r="AW2719" s="15"/>
      <c r="AX2719" s="16"/>
    </row>
    <row r="2720" spans="2:50" x14ac:dyDescent="0.2">
      <c r="B2720" s="7"/>
      <c r="C2720" s="8">
        <v>13272</v>
      </c>
      <c r="D2720" s="9" t="s">
        <v>384</v>
      </c>
      <c r="E2720" s="10" t="s">
        <v>385</v>
      </c>
      <c r="F2720" s="10" t="s">
        <v>386</v>
      </c>
      <c r="G2720" s="8">
        <v>1</v>
      </c>
      <c r="H2720" s="11">
        <v>600</v>
      </c>
      <c r="I2720" s="12">
        <v>42694</v>
      </c>
      <c r="J2720" s="35">
        <f t="shared" si="105"/>
        <v>0</v>
      </c>
      <c r="K2720" s="36"/>
      <c r="L2720" s="36"/>
      <c r="M2720" s="36"/>
      <c r="N2720" s="36"/>
      <c r="O2720" s="36"/>
      <c r="P2720" s="36"/>
      <c r="Q2720" s="36"/>
      <c r="R2720" s="36"/>
      <c r="S2720" s="36"/>
      <c r="T2720" s="36">
        <v>300</v>
      </c>
      <c r="U2720" s="36">
        <v>300</v>
      </c>
      <c r="V2720" s="36"/>
      <c r="W2720" s="15">
        <f t="shared" si="106"/>
        <v>600</v>
      </c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15">
        <f t="shared" si="107"/>
        <v>0</v>
      </c>
      <c r="AK2720" s="14"/>
      <c r="AL2720" s="14"/>
      <c r="AM2720" s="14"/>
      <c r="AN2720" s="14"/>
      <c r="AO2720" s="14"/>
      <c r="AP2720" s="14"/>
      <c r="AQ2720" s="14"/>
      <c r="AR2720" s="14"/>
      <c r="AS2720" s="14"/>
      <c r="AT2720" s="14"/>
      <c r="AU2720" s="14"/>
      <c r="AV2720" s="14"/>
      <c r="AW2720" s="15"/>
      <c r="AX2720" s="16"/>
    </row>
    <row r="2721" spans="2:50" x14ac:dyDescent="0.2">
      <c r="B2721" s="7"/>
      <c r="C2721" s="8">
        <v>13273</v>
      </c>
      <c r="D2721" s="9" t="s">
        <v>422</v>
      </c>
      <c r="E2721" s="10" t="s">
        <v>423</v>
      </c>
      <c r="F2721" s="10" t="s">
        <v>424</v>
      </c>
      <c r="G2721" s="8">
        <v>1</v>
      </c>
      <c r="H2721" s="11">
        <v>1200</v>
      </c>
      <c r="I2721" s="12">
        <v>42694</v>
      </c>
      <c r="J2721" s="35">
        <f t="shared" si="105"/>
        <v>0</v>
      </c>
      <c r="K2721" s="36"/>
      <c r="L2721" s="36"/>
      <c r="M2721" s="36"/>
      <c r="N2721" s="36"/>
      <c r="O2721" s="36"/>
      <c r="P2721" s="36"/>
      <c r="Q2721" s="36"/>
      <c r="R2721" s="36"/>
      <c r="S2721" s="36"/>
      <c r="T2721" s="36">
        <v>400</v>
      </c>
      <c r="U2721" s="36">
        <v>400</v>
      </c>
      <c r="V2721" s="36">
        <v>400</v>
      </c>
      <c r="W2721" s="15">
        <f t="shared" si="106"/>
        <v>1200</v>
      </c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15">
        <f t="shared" si="107"/>
        <v>0</v>
      </c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14"/>
      <c r="AV2721" s="14"/>
      <c r="AW2721" s="15"/>
      <c r="AX2721" s="16" t="s">
        <v>3175</v>
      </c>
    </row>
    <row r="2722" spans="2:50" x14ac:dyDescent="0.2">
      <c r="B2722" s="7"/>
      <c r="C2722" s="8">
        <v>13274</v>
      </c>
      <c r="D2722" s="9" t="s">
        <v>340</v>
      </c>
      <c r="E2722" s="10" t="s">
        <v>341</v>
      </c>
      <c r="F2722" s="10" t="s">
        <v>342</v>
      </c>
      <c r="G2722" s="8">
        <v>5</v>
      </c>
      <c r="H2722" s="11">
        <v>50</v>
      </c>
      <c r="I2722" s="12">
        <v>42694</v>
      </c>
      <c r="J2722" s="35">
        <f t="shared" si="105"/>
        <v>0</v>
      </c>
      <c r="K2722" s="36"/>
      <c r="L2722" s="36"/>
      <c r="M2722" s="36"/>
      <c r="N2722" s="36"/>
      <c r="O2722" s="36"/>
      <c r="P2722" s="36"/>
      <c r="Q2722" s="36"/>
      <c r="R2722" s="36"/>
      <c r="S2722" s="36"/>
      <c r="T2722" s="36"/>
      <c r="U2722" s="36"/>
      <c r="V2722" s="36"/>
      <c r="W2722" s="15">
        <f t="shared" si="106"/>
        <v>0</v>
      </c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15">
        <f t="shared" si="107"/>
        <v>0</v>
      </c>
      <c r="AK2722" s="14"/>
      <c r="AL2722" s="14"/>
      <c r="AM2722" s="14"/>
      <c r="AN2722" s="14"/>
      <c r="AO2722" s="14"/>
      <c r="AP2722" s="14"/>
      <c r="AQ2722" s="14"/>
      <c r="AR2722" s="14"/>
      <c r="AS2722" s="14"/>
      <c r="AT2722" s="14"/>
      <c r="AU2722" s="14"/>
      <c r="AV2722" s="14"/>
      <c r="AW2722" s="15"/>
      <c r="AX2722" s="16"/>
    </row>
    <row r="2723" spans="2:50" x14ac:dyDescent="0.2">
      <c r="B2723" s="7"/>
      <c r="C2723" s="8">
        <v>13275</v>
      </c>
      <c r="D2723" s="9" t="s">
        <v>214</v>
      </c>
      <c r="E2723" s="10" t="s">
        <v>215</v>
      </c>
      <c r="F2723" s="10" t="s">
        <v>216</v>
      </c>
      <c r="G2723" s="8">
        <v>1</v>
      </c>
      <c r="H2723" s="11">
        <v>800</v>
      </c>
      <c r="I2723" s="12">
        <v>42694</v>
      </c>
      <c r="J2723" s="35">
        <f t="shared" si="105"/>
        <v>0</v>
      </c>
      <c r="K2723" s="36"/>
      <c r="L2723" s="36"/>
      <c r="M2723" s="36"/>
      <c r="N2723" s="36"/>
      <c r="O2723" s="36"/>
      <c r="P2723" s="36"/>
      <c r="Q2723" s="36"/>
      <c r="R2723" s="36">
        <v>200</v>
      </c>
      <c r="S2723" s="36">
        <v>200</v>
      </c>
      <c r="T2723" s="36">
        <v>200</v>
      </c>
      <c r="U2723" s="36">
        <v>200</v>
      </c>
      <c r="V2723" s="36"/>
      <c r="W2723" s="15">
        <f t="shared" si="106"/>
        <v>800</v>
      </c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15">
        <f t="shared" si="107"/>
        <v>0</v>
      </c>
      <c r="AK2723" s="14"/>
      <c r="AL2723" s="14"/>
      <c r="AM2723" s="14"/>
      <c r="AN2723" s="14"/>
      <c r="AO2723" s="14"/>
      <c r="AP2723" s="14"/>
      <c r="AQ2723" s="14"/>
      <c r="AR2723" s="14"/>
      <c r="AS2723" s="14"/>
      <c r="AT2723" s="14"/>
      <c r="AU2723" s="14"/>
      <c r="AV2723" s="14"/>
      <c r="AW2723" s="15"/>
      <c r="AX2723" s="316">
        <f>SUM(H2690:H2723)</f>
        <v>16200</v>
      </c>
    </row>
    <row r="2724" spans="2:50" x14ac:dyDescent="0.2">
      <c r="B2724" s="7"/>
      <c r="C2724" s="8">
        <v>13276</v>
      </c>
      <c r="D2724" s="9" t="s">
        <v>488</v>
      </c>
      <c r="E2724" s="10" t="s">
        <v>489</v>
      </c>
      <c r="F2724" s="10" t="s">
        <v>490</v>
      </c>
      <c r="G2724" s="8">
        <v>1</v>
      </c>
      <c r="H2724" s="315">
        <v>400</v>
      </c>
      <c r="I2724" s="12">
        <v>42694</v>
      </c>
      <c r="J2724" s="35">
        <f t="shared" si="105"/>
        <v>0</v>
      </c>
      <c r="K2724" s="36"/>
      <c r="L2724" s="36"/>
      <c r="M2724" s="36"/>
      <c r="N2724" s="36"/>
      <c r="O2724" s="36"/>
      <c r="P2724" s="36"/>
      <c r="Q2724" s="36"/>
      <c r="R2724" s="36"/>
      <c r="S2724" s="36"/>
      <c r="T2724" s="36"/>
      <c r="U2724" s="36">
        <v>400</v>
      </c>
      <c r="V2724" s="36"/>
      <c r="W2724" s="15">
        <f t="shared" si="106"/>
        <v>400</v>
      </c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15">
        <f t="shared" si="107"/>
        <v>0</v>
      </c>
      <c r="AK2724" s="14"/>
      <c r="AL2724" s="14"/>
      <c r="AM2724" s="14"/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5"/>
      <c r="AX2724" s="16"/>
    </row>
    <row r="2725" spans="2:50" x14ac:dyDescent="0.2">
      <c r="B2725" s="7"/>
      <c r="C2725" s="8">
        <v>13277</v>
      </c>
      <c r="D2725" s="9" t="s">
        <v>464</v>
      </c>
      <c r="E2725" s="10" t="s">
        <v>465</v>
      </c>
      <c r="F2725" s="10" t="s">
        <v>466</v>
      </c>
      <c r="G2725" s="8">
        <v>1</v>
      </c>
      <c r="H2725" s="11">
        <v>600</v>
      </c>
      <c r="I2725" s="12">
        <v>42696</v>
      </c>
      <c r="J2725" s="35">
        <f t="shared" si="105"/>
        <v>0</v>
      </c>
      <c r="K2725" s="36"/>
      <c r="L2725" s="36"/>
      <c r="M2725" s="36"/>
      <c r="N2725" s="36"/>
      <c r="O2725" s="36"/>
      <c r="P2725" s="36"/>
      <c r="Q2725" s="36"/>
      <c r="R2725" s="36"/>
      <c r="S2725" s="36"/>
      <c r="T2725" s="36">
        <v>200</v>
      </c>
      <c r="U2725" s="36">
        <v>200</v>
      </c>
      <c r="V2725" s="36">
        <v>200</v>
      </c>
      <c r="W2725" s="15">
        <f t="shared" si="106"/>
        <v>600</v>
      </c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15">
        <f t="shared" si="107"/>
        <v>0</v>
      </c>
      <c r="AK2725" s="14"/>
      <c r="AL2725" s="14"/>
      <c r="AM2725" s="14"/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5"/>
      <c r="AX2725" s="16"/>
    </row>
    <row r="2726" spans="2:50" x14ac:dyDescent="0.2">
      <c r="B2726" s="7"/>
      <c r="C2726" s="8">
        <v>13278</v>
      </c>
      <c r="D2726" s="9" t="s">
        <v>514</v>
      </c>
      <c r="E2726" s="10" t="s">
        <v>515</v>
      </c>
      <c r="F2726" s="10" t="s">
        <v>516</v>
      </c>
      <c r="G2726" s="8">
        <v>1</v>
      </c>
      <c r="H2726" s="11">
        <v>400</v>
      </c>
      <c r="I2726" s="12">
        <v>42696</v>
      </c>
      <c r="J2726" s="35">
        <f t="shared" si="105"/>
        <v>0</v>
      </c>
      <c r="K2726" s="36"/>
      <c r="L2726" s="36"/>
      <c r="M2726" s="36"/>
      <c r="N2726" s="36"/>
      <c r="O2726" s="36"/>
      <c r="P2726" s="36"/>
      <c r="Q2726" s="36"/>
      <c r="R2726" s="36"/>
      <c r="S2726" s="36"/>
      <c r="T2726" s="36"/>
      <c r="U2726" s="36">
        <v>400</v>
      </c>
      <c r="V2726" s="36"/>
      <c r="W2726" s="15">
        <f t="shared" si="106"/>
        <v>400</v>
      </c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15">
        <f t="shared" si="107"/>
        <v>0</v>
      </c>
      <c r="AK2726" s="14"/>
      <c r="AL2726" s="14"/>
      <c r="AM2726" s="14"/>
      <c r="AN2726" s="14"/>
      <c r="AO2726" s="14"/>
      <c r="AP2726" s="14"/>
      <c r="AQ2726" s="14"/>
      <c r="AR2726" s="14"/>
      <c r="AS2726" s="14"/>
      <c r="AT2726" s="14"/>
      <c r="AU2726" s="14"/>
      <c r="AV2726" s="14"/>
      <c r="AW2726" s="15"/>
      <c r="AX2726" s="16"/>
    </row>
    <row r="2727" spans="2:50" x14ac:dyDescent="0.2">
      <c r="B2727" s="7"/>
      <c r="C2727" s="8">
        <v>13279</v>
      </c>
      <c r="D2727" s="9" t="s">
        <v>494</v>
      </c>
      <c r="E2727" s="10" t="s">
        <v>495</v>
      </c>
      <c r="F2727" s="10" t="s">
        <v>496</v>
      </c>
      <c r="G2727" s="8">
        <v>1</v>
      </c>
      <c r="H2727" s="11">
        <v>450</v>
      </c>
      <c r="I2727" s="12">
        <v>42697</v>
      </c>
      <c r="J2727" s="35">
        <f t="shared" si="105"/>
        <v>0</v>
      </c>
      <c r="K2727" s="36"/>
      <c r="L2727" s="36"/>
      <c r="M2727" s="36"/>
      <c r="N2727" s="36"/>
      <c r="O2727" s="36"/>
      <c r="P2727" s="36"/>
      <c r="Q2727" s="36"/>
      <c r="R2727" s="36"/>
      <c r="S2727" s="36"/>
      <c r="T2727" s="36">
        <v>150</v>
      </c>
      <c r="U2727" s="36">
        <v>150</v>
      </c>
      <c r="V2727" s="36">
        <v>150</v>
      </c>
      <c r="W2727" s="15">
        <f t="shared" si="106"/>
        <v>450</v>
      </c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15">
        <f t="shared" si="107"/>
        <v>0</v>
      </c>
      <c r="AK2727" s="14"/>
      <c r="AL2727" s="14"/>
      <c r="AM2727" s="14"/>
      <c r="AN2727" s="14"/>
      <c r="AO2727" s="14"/>
      <c r="AP2727" s="14"/>
      <c r="AQ2727" s="14"/>
      <c r="AR2727" s="14"/>
      <c r="AS2727" s="14"/>
      <c r="AT2727" s="14"/>
      <c r="AU2727" s="14"/>
      <c r="AV2727" s="14"/>
      <c r="AW2727" s="15"/>
      <c r="AX2727" s="16"/>
    </row>
    <row r="2728" spans="2:50" x14ac:dyDescent="0.2">
      <c r="B2728" s="7"/>
      <c r="C2728" s="8">
        <v>13280</v>
      </c>
      <c r="D2728" s="9" t="s">
        <v>1160</v>
      </c>
      <c r="E2728" s="10" t="s">
        <v>1161</v>
      </c>
      <c r="F2728" s="10" t="s">
        <v>1162</v>
      </c>
      <c r="G2728" s="8">
        <v>1</v>
      </c>
      <c r="H2728" s="11">
        <v>400</v>
      </c>
      <c r="I2728" s="12">
        <v>42697</v>
      </c>
      <c r="J2728" s="35">
        <f t="shared" si="105"/>
        <v>0</v>
      </c>
      <c r="K2728" s="36"/>
      <c r="L2728" s="36"/>
      <c r="M2728" s="36"/>
      <c r="N2728" s="36"/>
      <c r="O2728" s="36"/>
      <c r="P2728" s="36"/>
      <c r="Q2728" s="36"/>
      <c r="R2728" s="36"/>
      <c r="S2728" s="36"/>
      <c r="T2728" s="36">
        <v>200</v>
      </c>
      <c r="U2728" s="36">
        <v>200</v>
      </c>
      <c r="V2728" s="36"/>
      <c r="W2728" s="15">
        <f t="shared" si="106"/>
        <v>400</v>
      </c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15">
        <f t="shared" si="107"/>
        <v>0</v>
      </c>
      <c r="AK2728" s="14"/>
      <c r="AL2728" s="14"/>
      <c r="AM2728" s="14"/>
      <c r="AN2728" s="14"/>
      <c r="AO2728" s="14"/>
      <c r="AP2728" s="14"/>
      <c r="AQ2728" s="14"/>
      <c r="AR2728" s="14"/>
      <c r="AS2728" s="14"/>
      <c r="AT2728" s="14"/>
      <c r="AU2728" s="14"/>
      <c r="AV2728" s="14"/>
      <c r="AW2728" s="15"/>
      <c r="AX2728" s="16"/>
    </row>
    <row r="2729" spans="2:50" x14ac:dyDescent="0.2">
      <c r="B2729" s="7"/>
      <c r="C2729" s="8">
        <v>13281</v>
      </c>
      <c r="D2729" s="9" t="s">
        <v>598</v>
      </c>
      <c r="E2729" s="10" t="s">
        <v>599</v>
      </c>
      <c r="F2729" s="10" t="s">
        <v>886</v>
      </c>
      <c r="G2729" s="8">
        <v>3</v>
      </c>
      <c r="H2729" s="11">
        <v>400</v>
      </c>
      <c r="I2729" s="12">
        <v>42698</v>
      </c>
      <c r="J2729" s="35">
        <f t="shared" si="105"/>
        <v>0</v>
      </c>
      <c r="K2729" s="36"/>
      <c r="L2729" s="36"/>
      <c r="M2729" s="36"/>
      <c r="N2729" s="36"/>
      <c r="O2729" s="36"/>
      <c r="P2729" s="36"/>
      <c r="Q2729" s="36"/>
      <c r="R2729" s="36"/>
      <c r="S2729" s="36"/>
      <c r="T2729" s="36"/>
      <c r="U2729" s="36"/>
      <c r="V2729" s="36"/>
      <c r="W2729" s="15">
        <f t="shared" si="106"/>
        <v>0</v>
      </c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15">
        <f t="shared" si="107"/>
        <v>0</v>
      </c>
      <c r="AK2729" s="14"/>
      <c r="AL2729" s="14"/>
      <c r="AM2729" s="14"/>
      <c r="AN2729" s="14"/>
      <c r="AO2729" s="14"/>
      <c r="AP2729" s="14"/>
      <c r="AQ2729" s="14"/>
      <c r="AR2729" s="14"/>
      <c r="AS2729" s="14"/>
      <c r="AT2729" s="14"/>
      <c r="AU2729" s="14"/>
      <c r="AV2729" s="14"/>
      <c r="AW2729" s="15"/>
      <c r="AX2729" s="16"/>
    </row>
    <row r="2730" spans="2:50" x14ac:dyDescent="0.2">
      <c r="B2730" s="7"/>
      <c r="C2730" s="8">
        <v>13282</v>
      </c>
      <c r="D2730" s="9" t="s">
        <v>785</v>
      </c>
      <c r="E2730" s="10" t="s">
        <v>786</v>
      </c>
      <c r="F2730" s="10" t="s">
        <v>787</v>
      </c>
      <c r="G2730" s="8">
        <v>1</v>
      </c>
      <c r="H2730" s="11">
        <v>200</v>
      </c>
      <c r="I2730" s="12">
        <v>42701</v>
      </c>
      <c r="J2730" s="35">
        <f t="shared" si="105"/>
        <v>0</v>
      </c>
      <c r="K2730" s="36"/>
      <c r="L2730" s="36"/>
      <c r="M2730" s="36"/>
      <c r="N2730" s="36"/>
      <c r="O2730" s="36"/>
      <c r="P2730" s="36"/>
      <c r="Q2730" s="36"/>
      <c r="R2730" s="36"/>
      <c r="S2730" s="36"/>
      <c r="T2730" s="36"/>
      <c r="U2730" s="36"/>
      <c r="V2730" s="36">
        <v>200</v>
      </c>
      <c r="W2730" s="15">
        <f t="shared" si="106"/>
        <v>200</v>
      </c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15">
        <f t="shared" si="107"/>
        <v>0</v>
      </c>
      <c r="AK2730" s="14"/>
      <c r="AL2730" s="14"/>
      <c r="AM2730" s="14"/>
      <c r="AN2730" s="14"/>
      <c r="AO2730" s="14"/>
      <c r="AP2730" s="14"/>
      <c r="AQ2730" s="14"/>
      <c r="AR2730" s="14"/>
      <c r="AS2730" s="14"/>
      <c r="AT2730" s="14"/>
      <c r="AU2730" s="14"/>
      <c r="AV2730" s="14"/>
      <c r="AW2730" s="15"/>
      <c r="AX2730" s="16"/>
    </row>
    <row r="2731" spans="2:50" x14ac:dyDescent="0.2">
      <c r="B2731" s="7"/>
      <c r="C2731" s="8">
        <v>13282</v>
      </c>
      <c r="D2731" s="9" t="s">
        <v>785</v>
      </c>
      <c r="E2731" s="10" t="s">
        <v>786</v>
      </c>
      <c r="F2731" s="10" t="s">
        <v>787</v>
      </c>
      <c r="G2731" s="8">
        <v>3</v>
      </c>
      <c r="H2731" s="11">
        <v>200</v>
      </c>
      <c r="I2731" s="12">
        <v>42701</v>
      </c>
      <c r="J2731" s="35">
        <f t="shared" si="105"/>
        <v>0</v>
      </c>
      <c r="K2731" s="36"/>
      <c r="L2731" s="36"/>
      <c r="M2731" s="36"/>
      <c r="N2731" s="36"/>
      <c r="O2731" s="36"/>
      <c r="P2731" s="36"/>
      <c r="Q2731" s="36"/>
      <c r="R2731" s="36"/>
      <c r="S2731" s="36"/>
      <c r="T2731" s="36"/>
      <c r="U2731" s="36"/>
      <c r="V2731" s="36"/>
      <c r="W2731" s="15">
        <f t="shared" si="106"/>
        <v>0</v>
      </c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15">
        <f t="shared" si="107"/>
        <v>0</v>
      </c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5"/>
      <c r="AX2731" s="16"/>
    </row>
    <row r="2732" spans="2:50" x14ac:dyDescent="0.2">
      <c r="B2732" s="7"/>
      <c r="C2732" s="8">
        <v>13283</v>
      </c>
      <c r="D2732" s="9" t="s">
        <v>702</v>
      </c>
      <c r="E2732" s="10" t="s">
        <v>703</v>
      </c>
      <c r="F2732" s="10" t="s">
        <v>704</v>
      </c>
      <c r="G2732" s="8">
        <v>1</v>
      </c>
      <c r="H2732" s="11">
        <v>4400</v>
      </c>
      <c r="I2732" s="12">
        <v>42701</v>
      </c>
      <c r="J2732" s="35">
        <f t="shared" si="105"/>
        <v>0</v>
      </c>
      <c r="K2732" s="36"/>
      <c r="L2732" s="36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  <c r="W2732" s="15">
        <f t="shared" si="106"/>
        <v>0</v>
      </c>
      <c r="X2732" s="36">
        <v>400</v>
      </c>
      <c r="Y2732" s="36">
        <v>400</v>
      </c>
      <c r="Z2732" s="36">
        <v>400</v>
      </c>
      <c r="AA2732" s="36">
        <v>400</v>
      </c>
      <c r="AB2732" s="36">
        <v>400</v>
      </c>
      <c r="AC2732" s="36">
        <v>400</v>
      </c>
      <c r="AD2732" s="36">
        <v>400</v>
      </c>
      <c r="AE2732" s="36">
        <v>400</v>
      </c>
      <c r="AF2732" s="36">
        <v>400</v>
      </c>
      <c r="AG2732" s="36">
        <v>400</v>
      </c>
      <c r="AH2732" s="36">
        <v>400</v>
      </c>
      <c r="AI2732" s="36"/>
      <c r="AJ2732" s="15">
        <f t="shared" si="107"/>
        <v>4400</v>
      </c>
      <c r="AK2732" s="14"/>
      <c r="AL2732" s="14"/>
      <c r="AM2732" s="14"/>
      <c r="AN2732" s="14"/>
      <c r="AO2732" s="14"/>
      <c r="AP2732" s="14"/>
      <c r="AQ2732" s="14"/>
      <c r="AR2732" s="14"/>
      <c r="AS2732" s="14"/>
      <c r="AT2732" s="14"/>
      <c r="AU2732" s="14"/>
      <c r="AV2732" s="14"/>
      <c r="AW2732" s="15"/>
      <c r="AX2732" s="16" t="s">
        <v>3176</v>
      </c>
    </row>
    <row r="2733" spans="2:50" x14ac:dyDescent="0.2">
      <c r="B2733" s="7"/>
      <c r="C2733" s="8">
        <v>13284</v>
      </c>
      <c r="D2733" s="9" t="s">
        <v>538</v>
      </c>
      <c r="E2733" s="10" t="s">
        <v>539</v>
      </c>
      <c r="F2733" s="10" t="s">
        <v>540</v>
      </c>
      <c r="G2733" s="8">
        <v>1</v>
      </c>
      <c r="H2733" s="11">
        <v>400</v>
      </c>
      <c r="I2733" s="12">
        <v>42701</v>
      </c>
      <c r="J2733" s="35">
        <f t="shared" si="105"/>
        <v>0</v>
      </c>
      <c r="K2733" s="36"/>
      <c r="L2733" s="36"/>
      <c r="M2733" s="36"/>
      <c r="N2733" s="36"/>
      <c r="O2733" s="36"/>
      <c r="P2733" s="36"/>
      <c r="Q2733" s="36"/>
      <c r="R2733" s="36"/>
      <c r="S2733" s="36"/>
      <c r="T2733" s="36"/>
      <c r="U2733" s="36">
        <v>400</v>
      </c>
      <c r="V2733" s="36"/>
      <c r="W2733" s="15">
        <f t="shared" si="106"/>
        <v>400</v>
      </c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15">
        <f t="shared" si="107"/>
        <v>0</v>
      </c>
      <c r="AK2733" s="14"/>
      <c r="AL2733" s="14"/>
      <c r="AM2733" s="14"/>
      <c r="AN2733" s="14"/>
      <c r="AO2733" s="14"/>
      <c r="AP2733" s="14"/>
      <c r="AQ2733" s="14"/>
      <c r="AR2733" s="14"/>
      <c r="AS2733" s="14"/>
      <c r="AT2733" s="14"/>
      <c r="AU2733" s="14"/>
      <c r="AV2733" s="14"/>
      <c r="AW2733" s="15"/>
      <c r="AX2733" s="16"/>
    </row>
    <row r="2734" spans="2:50" x14ac:dyDescent="0.2">
      <c r="B2734" s="7"/>
      <c r="C2734" s="8">
        <v>13285</v>
      </c>
      <c r="D2734" s="9" t="s">
        <v>355</v>
      </c>
      <c r="E2734" s="10" t="s">
        <v>356</v>
      </c>
      <c r="F2734" s="10" t="s">
        <v>357</v>
      </c>
      <c r="G2734" s="8">
        <v>1</v>
      </c>
      <c r="H2734" s="11">
        <v>900</v>
      </c>
      <c r="I2734" s="12">
        <v>42701</v>
      </c>
      <c r="J2734" s="35">
        <f t="shared" si="105"/>
        <v>0</v>
      </c>
      <c r="K2734" s="36"/>
      <c r="L2734" s="36"/>
      <c r="M2734" s="36"/>
      <c r="N2734" s="36"/>
      <c r="O2734" s="36"/>
      <c r="P2734" s="36"/>
      <c r="Q2734" s="36"/>
      <c r="R2734" s="36"/>
      <c r="S2734" s="36"/>
      <c r="T2734" s="36">
        <v>300</v>
      </c>
      <c r="U2734" s="36">
        <v>300</v>
      </c>
      <c r="V2734" s="36">
        <v>300</v>
      </c>
      <c r="W2734" s="15">
        <f t="shared" si="106"/>
        <v>900</v>
      </c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15">
        <f t="shared" si="107"/>
        <v>0</v>
      </c>
      <c r="AK2734" s="14"/>
      <c r="AL2734" s="14"/>
      <c r="AM2734" s="14"/>
      <c r="AN2734" s="14"/>
      <c r="AO2734" s="14"/>
      <c r="AP2734" s="14"/>
      <c r="AQ2734" s="14"/>
      <c r="AR2734" s="14"/>
      <c r="AS2734" s="14"/>
      <c r="AT2734" s="14"/>
      <c r="AU2734" s="14"/>
      <c r="AV2734" s="14"/>
      <c r="AW2734" s="15"/>
      <c r="AX2734" s="16"/>
    </row>
    <row r="2735" spans="2:50" x14ac:dyDescent="0.2">
      <c r="B2735" s="7"/>
      <c r="C2735" s="8">
        <v>13286</v>
      </c>
      <c r="D2735" s="9" t="s">
        <v>1299</v>
      </c>
      <c r="E2735" s="10" t="s">
        <v>1300</v>
      </c>
      <c r="F2735" s="10" t="s">
        <v>3197</v>
      </c>
      <c r="G2735" s="8">
        <v>1</v>
      </c>
      <c r="H2735" s="11">
        <v>400</v>
      </c>
      <c r="I2735" s="12">
        <v>42701</v>
      </c>
      <c r="J2735" s="35">
        <f t="shared" si="105"/>
        <v>0</v>
      </c>
      <c r="K2735" s="36"/>
      <c r="L2735" s="36"/>
      <c r="M2735" s="36"/>
      <c r="N2735" s="36"/>
      <c r="O2735" s="36"/>
      <c r="P2735" s="36"/>
      <c r="Q2735" s="36"/>
      <c r="R2735" s="36"/>
      <c r="S2735" s="36"/>
      <c r="T2735" s="36"/>
      <c r="U2735" s="36"/>
      <c r="V2735" s="36">
        <v>400</v>
      </c>
      <c r="W2735" s="15">
        <f t="shared" si="106"/>
        <v>400</v>
      </c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15">
        <f t="shared" si="107"/>
        <v>0</v>
      </c>
      <c r="AK2735" s="14"/>
      <c r="AL2735" s="14"/>
      <c r="AM2735" s="14"/>
      <c r="AN2735" s="14"/>
      <c r="AO2735" s="14"/>
      <c r="AP2735" s="14"/>
      <c r="AQ2735" s="14"/>
      <c r="AR2735" s="14"/>
      <c r="AS2735" s="14"/>
      <c r="AT2735" s="14"/>
      <c r="AU2735" s="14"/>
      <c r="AV2735" s="14"/>
      <c r="AW2735" s="15"/>
      <c r="AX2735" s="16"/>
    </row>
    <row r="2736" spans="2:50" x14ac:dyDescent="0.2">
      <c r="B2736" s="7"/>
      <c r="C2736" s="8">
        <v>13287</v>
      </c>
      <c r="D2736" s="9" t="s">
        <v>1299</v>
      </c>
      <c r="E2736" s="10" t="s">
        <v>1300</v>
      </c>
      <c r="F2736" s="10" t="s">
        <v>3197</v>
      </c>
      <c r="G2736" s="8">
        <v>3</v>
      </c>
      <c r="H2736" s="11">
        <v>200</v>
      </c>
      <c r="I2736" s="12">
        <v>42701</v>
      </c>
      <c r="J2736" s="35">
        <f t="shared" si="105"/>
        <v>0</v>
      </c>
      <c r="K2736" s="36"/>
      <c r="L2736" s="36"/>
      <c r="M2736" s="36"/>
      <c r="N2736" s="36"/>
      <c r="O2736" s="36"/>
      <c r="P2736" s="36"/>
      <c r="Q2736" s="36"/>
      <c r="R2736" s="36"/>
      <c r="S2736" s="36"/>
      <c r="T2736" s="36"/>
      <c r="U2736" s="36"/>
      <c r="V2736" s="36"/>
      <c r="W2736" s="15">
        <f t="shared" si="106"/>
        <v>0</v>
      </c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15">
        <f t="shared" si="107"/>
        <v>0</v>
      </c>
      <c r="AK2736" s="14"/>
      <c r="AL2736" s="14"/>
      <c r="AM2736" s="14"/>
      <c r="AN2736" s="14"/>
      <c r="AO2736" s="14"/>
      <c r="AP2736" s="14"/>
      <c r="AQ2736" s="14"/>
      <c r="AR2736" s="14"/>
      <c r="AS2736" s="14"/>
      <c r="AT2736" s="14"/>
      <c r="AU2736" s="14"/>
      <c r="AV2736" s="14"/>
      <c r="AW2736" s="15"/>
      <c r="AX2736" s="16"/>
    </row>
    <row r="2737" spans="2:51" x14ac:dyDescent="0.2">
      <c r="B2737" s="7"/>
      <c r="C2737" s="8">
        <v>13287</v>
      </c>
      <c r="D2737" s="9" t="s">
        <v>1299</v>
      </c>
      <c r="E2737" s="10" t="s">
        <v>1300</v>
      </c>
      <c r="F2737" s="10" t="s">
        <v>1301</v>
      </c>
      <c r="G2737" s="8">
        <v>4</v>
      </c>
      <c r="H2737" s="11">
        <v>200</v>
      </c>
      <c r="I2737" s="12">
        <v>42701</v>
      </c>
      <c r="J2737" s="35">
        <f t="shared" si="105"/>
        <v>0</v>
      </c>
      <c r="K2737" s="36"/>
      <c r="L2737" s="36"/>
      <c r="M2737" s="36"/>
      <c r="N2737" s="36"/>
      <c r="O2737" s="36"/>
      <c r="P2737" s="36"/>
      <c r="Q2737" s="36"/>
      <c r="R2737" s="36"/>
      <c r="S2737" s="36"/>
      <c r="T2737" s="36"/>
      <c r="U2737" s="36"/>
      <c r="V2737" s="36"/>
      <c r="W2737" s="15">
        <f t="shared" si="106"/>
        <v>0</v>
      </c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15">
        <f t="shared" si="107"/>
        <v>0</v>
      </c>
      <c r="AK2737" s="14"/>
      <c r="AL2737" s="14"/>
      <c r="AM2737" s="14"/>
      <c r="AN2737" s="14"/>
      <c r="AO2737" s="14"/>
      <c r="AP2737" s="14"/>
      <c r="AQ2737" s="14"/>
      <c r="AR2737" s="14"/>
      <c r="AS2737" s="14"/>
      <c r="AT2737" s="14"/>
      <c r="AU2737" s="14"/>
      <c r="AV2737" s="14"/>
      <c r="AW2737" s="15"/>
      <c r="AX2737" s="16"/>
    </row>
    <row r="2738" spans="2:51" x14ac:dyDescent="0.2">
      <c r="B2738" s="7"/>
      <c r="C2738" s="8">
        <v>13287</v>
      </c>
      <c r="D2738" s="9" t="s">
        <v>1299</v>
      </c>
      <c r="E2738" s="10" t="s">
        <v>1300</v>
      </c>
      <c r="F2738" s="10" t="s">
        <v>1301</v>
      </c>
      <c r="G2738" s="8">
        <v>5</v>
      </c>
      <c r="H2738" s="11">
        <v>200</v>
      </c>
      <c r="I2738" s="12">
        <v>42701</v>
      </c>
      <c r="J2738" s="35">
        <f t="shared" si="105"/>
        <v>0</v>
      </c>
      <c r="K2738" s="36"/>
      <c r="L2738" s="36"/>
      <c r="M2738" s="36"/>
      <c r="N2738" s="36"/>
      <c r="O2738" s="36"/>
      <c r="P2738" s="36"/>
      <c r="Q2738" s="36"/>
      <c r="R2738" s="36"/>
      <c r="S2738" s="36"/>
      <c r="T2738" s="36"/>
      <c r="U2738" s="36"/>
      <c r="V2738" s="36"/>
      <c r="W2738" s="15">
        <f t="shared" si="106"/>
        <v>0</v>
      </c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15">
        <f t="shared" si="107"/>
        <v>0</v>
      </c>
      <c r="AK2738" s="14"/>
      <c r="AL2738" s="14"/>
      <c r="AM2738" s="14"/>
      <c r="AN2738" s="14"/>
      <c r="AO2738" s="14"/>
      <c r="AP2738" s="14"/>
      <c r="AQ2738" s="14"/>
      <c r="AR2738" s="14"/>
      <c r="AS2738" s="14"/>
      <c r="AT2738" s="14"/>
      <c r="AU2738" s="14"/>
      <c r="AV2738" s="14"/>
      <c r="AW2738" s="15"/>
      <c r="AX2738" s="16" t="s">
        <v>3177</v>
      </c>
    </row>
    <row r="2739" spans="2:51" x14ac:dyDescent="0.2">
      <c r="B2739" s="7"/>
      <c r="C2739" s="8">
        <v>13288</v>
      </c>
      <c r="D2739" s="9" t="s">
        <v>3178</v>
      </c>
      <c r="E2739" s="335" t="str">
        <f>IF($D2739=0,"",VLOOKUP(D2739,BASE,2,FALSE))</f>
        <v>Rancho La Cuchilla No. 103</v>
      </c>
      <c r="F2739" s="335" t="str">
        <f>IF(D2739=0,"",VLOOKUP(D2739,BASE,3,FALSE))</f>
        <v>Bernal</v>
      </c>
      <c r="G2739" s="8">
        <v>1</v>
      </c>
      <c r="H2739" s="11">
        <v>400</v>
      </c>
      <c r="I2739" s="12">
        <v>42701</v>
      </c>
      <c r="J2739" s="35">
        <f t="shared" si="105"/>
        <v>0</v>
      </c>
      <c r="K2739" s="36"/>
      <c r="L2739" s="36"/>
      <c r="M2739" s="36"/>
      <c r="N2739" s="36"/>
      <c r="O2739" s="36"/>
      <c r="P2739" s="36"/>
      <c r="Q2739" s="36"/>
      <c r="R2739" s="36"/>
      <c r="S2739" s="36"/>
      <c r="T2739" s="36"/>
      <c r="U2739" s="36"/>
      <c r="V2739" s="36">
        <v>400</v>
      </c>
      <c r="W2739" s="15">
        <f t="shared" si="106"/>
        <v>400</v>
      </c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15">
        <f t="shared" si="107"/>
        <v>0</v>
      </c>
      <c r="AK2739" s="14"/>
      <c r="AL2739" s="14"/>
      <c r="AM2739" s="14"/>
      <c r="AN2739" s="14"/>
      <c r="AO2739" s="14"/>
      <c r="AP2739" s="14"/>
      <c r="AQ2739" s="14"/>
      <c r="AR2739" s="14"/>
      <c r="AS2739" s="14"/>
      <c r="AT2739" s="14"/>
      <c r="AU2739" s="14"/>
      <c r="AV2739" s="14"/>
      <c r="AW2739" s="15"/>
      <c r="AX2739" s="16"/>
    </row>
    <row r="2740" spans="2:51" x14ac:dyDescent="0.2">
      <c r="B2740" s="7"/>
      <c r="C2740" s="8">
        <v>13288</v>
      </c>
      <c r="D2740" s="9" t="s">
        <v>3178</v>
      </c>
      <c r="E2740" s="335" t="str">
        <f>IF(D2740=0,"",VLOOKUP(D2740,BASE,2,FALSE))</f>
        <v>Rancho La Cuchilla No. 103</v>
      </c>
      <c r="F2740" s="335" t="str">
        <f>IF(D2740=0,"",VLOOKUP(D2740,BASE,3,FALSE))</f>
        <v>Bernal</v>
      </c>
      <c r="G2740" s="8">
        <v>5</v>
      </c>
      <c r="H2740" s="11">
        <v>100</v>
      </c>
      <c r="I2740" s="12">
        <v>42701</v>
      </c>
      <c r="J2740" s="35">
        <f t="shared" si="105"/>
        <v>0</v>
      </c>
      <c r="K2740" s="36"/>
      <c r="L2740" s="36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  <c r="W2740" s="15">
        <f t="shared" si="106"/>
        <v>0</v>
      </c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15">
        <f t="shared" si="107"/>
        <v>0</v>
      </c>
      <c r="AK2740" s="14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14"/>
      <c r="AV2740" s="14"/>
      <c r="AW2740" s="15"/>
      <c r="AX2740" s="16"/>
    </row>
    <row r="2741" spans="2:51" x14ac:dyDescent="0.2">
      <c r="B2741" s="7"/>
      <c r="C2741" s="8">
        <v>13289</v>
      </c>
      <c r="D2741" s="9" t="s">
        <v>322</v>
      </c>
      <c r="E2741" s="10" t="s">
        <v>323</v>
      </c>
      <c r="F2741" s="10" t="s">
        <v>324</v>
      </c>
      <c r="G2741" s="8">
        <v>1</v>
      </c>
      <c r="H2741" s="11">
        <v>400</v>
      </c>
      <c r="I2741" s="12">
        <v>42701</v>
      </c>
      <c r="J2741" s="35">
        <f t="shared" si="105"/>
        <v>0</v>
      </c>
      <c r="K2741" s="36"/>
      <c r="L2741" s="36"/>
      <c r="M2741" s="36"/>
      <c r="N2741" s="36"/>
      <c r="O2741" s="36"/>
      <c r="P2741" s="36"/>
      <c r="Q2741" s="36"/>
      <c r="R2741" s="36"/>
      <c r="S2741" s="36"/>
      <c r="T2741" s="36"/>
      <c r="U2741" s="36">
        <v>400</v>
      </c>
      <c r="V2741" s="36"/>
      <c r="W2741" s="15">
        <f t="shared" si="106"/>
        <v>400</v>
      </c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15">
        <f t="shared" si="107"/>
        <v>0</v>
      </c>
      <c r="AK2741" s="14"/>
      <c r="AL2741" s="14"/>
      <c r="AM2741" s="14"/>
      <c r="AN2741" s="14"/>
      <c r="AO2741" s="14"/>
      <c r="AP2741" s="14"/>
      <c r="AQ2741" s="14"/>
      <c r="AR2741" s="14"/>
      <c r="AS2741" s="14"/>
      <c r="AT2741" s="14"/>
      <c r="AU2741" s="14"/>
      <c r="AV2741" s="14"/>
      <c r="AW2741" s="15"/>
      <c r="AX2741" s="16"/>
    </row>
    <row r="2742" spans="2:51" x14ac:dyDescent="0.2">
      <c r="B2742" s="7"/>
      <c r="C2742" s="8">
        <v>13290</v>
      </c>
      <c r="D2742" s="9" t="s">
        <v>295</v>
      </c>
      <c r="E2742" s="10" t="s">
        <v>296</v>
      </c>
      <c r="F2742" s="10" t="s">
        <v>297</v>
      </c>
      <c r="G2742" s="8">
        <v>1</v>
      </c>
      <c r="H2742" s="11">
        <v>300</v>
      </c>
      <c r="I2742" s="12">
        <v>42701</v>
      </c>
      <c r="J2742" s="35">
        <f t="shared" si="105"/>
        <v>0</v>
      </c>
      <c r="K2742" s="36"/>
      <c r="L2742" s="36"/>
      <c r="M2742" s="36"/>
      <c r="N2742" s="36"/>
      <c r="O2742" s="36"/>
      <c r="P2742" s="36"/>
      <c r="Q2742" s="36"/>
      <c r="R2742" s="36"/>
      <c r="S2742" s="36"/>
      <c r="T2742" s="36"/>
      <c r="U2742" s="36">
        <v>300</v>
      </c>
      <c r="V2742" s="36"/>
      <c r="W2742" s="15">
        <f t="shared" si="106"/>
        <v>300</v>
      </c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15">
        <f t="shared" si="107"/>
        <v>0</v>
      </c>
      <c r="AK2742" s="14"/>
      <c r="AL2742" s="14"/>
      <c r="AM2742" s="14"/>
      <c r="AN2742" s="14"/>
      <c r="AO2742" s="14"/>
      <c r="AP2742" s="14"/>
      <c r="AQ2742" s="14"/>
      <c r="AR2742" s="14"/>
      <c r="AS2742" s="14"/>
      <c r="AT2742" s="14"/>
      <c r="AU2742" s="14"/>
      <c r="AV2742" s="14"/>
      <c r="AW2742" s="15"/>
      <c r="AX2742" s="16"/>
    </row>
    <row r="2743" spans="2:51" x14ac:dyDescent="0.2">
      <c r="B2743" s="7"/>
      <c r="C2743" s="8">
        <v>13291</v>
      </c>
      <c r="D2743" s="9" t="s">
        <v>509</v>
      </c>
      <c r="E2743" s="10" t="s">
        <v>510</v>
      </c>
      <c r="F2743" s="10" t="s">
        <v>511</v>
      </c>
      <c r="G2743" s="8">
        <v>1</v>
      </c>
      <c r="H2743" s="11">
        <v>300</v>
      </c>
      <c r="I2743" s="12">
        <v>42701</v>
      </c>
      <c r="J2743" s="35">
        <f t="shared" si="105"/>
        <v>0</v>
      </c>
      <c r="K2743" s="36"/>
      <c r="L2743" s="36"/>
      <c r="M2743" s="36"/>
      <c r="N2743" s="36"/>
      <c r="O2743" s="36"/>
      <c r="P2743" s="36"/>
      <c r="Q2743" s="36"/>
      <c r="R2743" s="36"/>
      <c r="S2743" s="36"/>
      <c r="T2743" s="36"/>
      <c r="U2743" s="36">
        <v>300</v>
      </c>
      <c r="V2743" s="36"/>
      <c r="W2743" s="15">
        <f t="shared" si="106"/>
        <v>300</v>
      </c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15">
        <f t="shared" si="107"/>
        <v>0</v>
      </c>
      <c r="AK2743" s="14"/>
      <c r="AL2743" s="14"/>
      <c r="AM2743" s="14"/>
      <c r="AN2743" s="14"/>
      <c r="AO2743" s="14"/>
      <c r="AP2743" s="14"/>
      <c r="AQ2743" s="14"/>
      <c r="AR2743" s="14"/>
      <c r="AS2743" s="14"/>
      <c r="AT2743" s="14"/>
      <c r="AU2743" s="14"/>
      <c r="AV2743" s="14"/>
      <c r="AW2743" s="15"/>
      <c r="AX2743" s="16"/>
    </row>
    <row r="2744" spans="2:51" x14ac:dyDescent="0.2">
      <c r="B2744" s="7"/>
      <c r="C2744" s="8">
        <v>13292</v>
      </c>
      <c r="D2744" s="9" t="s">
        <v>512</v>
      </c>
      <c r="E2744" s="10" t="s">
        <v>513</v>
      </c>
      <c r="F2744" s="10" t="s">
        <v>511</v>
      </c>
      <c r="G2744" s="8">
        <v>1</v>
      </c>
      <c r="H2744" s="11">
        <v>400</v>
      </c>
      <c r="I2744" s="12">
        <v>42701</v>
      </c>
      <c r="J2744" s="35">
        <f t="shared" si="105"/>
        <v>0</v>
      </c>
      <c r="K2744" s="36"/>
      <c r="L2744" s="36"/>
      <c r="M2744" s="36"/>
      <c r="N2744" s="36"/>
      <c r="O2744" s="36"/>
      <c r="P2744" s="36"/>
      <c r="Q2744" s="36"/>
      <c r="R2744" s="36"/>
      <c r="S2744" s="36"/>
      <c r="T2744" s="36">
        <v>400</v>
      </c>
      <c r="U2744" s="36"/>
      <c r="V2744" s="36"/>
      <c r="W2744" s="15">
        <f t="shared" si="106"/>
        <v>400</v>
      </c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15">
        <f t="shared" si="107"/>
        <v>0</v>
      </c>
      <c r="AK2744" s="14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14"/>
      <c r="AV2744" s="14"/>
      <c r="AW2744" s="15"/>
      <c r="AX2744" s="16"/>
    </row>
    <row r="2745" spans="2:51" x14ac:dyDescent="0.2">
      <c r="B2745" s="7"/>
      <c r="C2745" s="8">
        <v>13293</v>
      </c>
      <c r="D2745" s="9" t="s">
        <v>346</v>
      </c>
      <c r="E2745" s="10" t="s">
        <v>347</v>
      </c>
      <c r="F2745" s="10" t="s">
        <v>348</v>
      </c>
      <c r="G2745" s="8">
        <v>1</v>
      </c>
      <c r="H2745" s="11">
        <v>300</v>
      </c>
      <c r="I2745" s="12">
        <v>42701</v>
      </c>
      <c r="J2745" s="35">
        <f t="shared" si="105"/>
        <v>0</v>
      </c>
      <c r="K2745" s="36"/>
      <c r="L2745" s="36"/>
      <c r="M2745" s="36"/>
      <c r="N2745" s="36"/>
      <c r="O2745" s="36"/>
      <c r="P2745" s="36"/>
      <c r="Q2745" s="36"/>
      <c r="R2745" s="36"/>
      <c r="S2745" s="36"/>
      <c r="T2745" s="36"/>
      <c r="U2745" s="36"/>
      <c r="V2745" s="36">
        <v>300</v>
      </c>
      <c r="W2745" s="15">
        <f t="shared" si="106"/>
        <v>300</v>
      </c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15">
        <f t="shared" si="107"/>
        <v>0</v>
      </c>
      <c r="AK2745" s="14"/>
      <c r="AL2745" s="14"/>
      <c r="AM2745" s="14"/>
      <c r="AN2745" s="14"/>
      <c r="AO2745" s="14"/>
      <c r="AP2745" s="14"/>
      <c r="AQ2745" s="14"/>
      <c r="AR2745" s="14"/>
      <c r="AS2745" s="14"/>
      <c r="AT2745" s="14"/>
      <c r="AU2745" s="14"/>
      <c r="AV2745" s="14"/>
      <c r="AW2745" s="15"/>
      <c r="AX2745" s="16"/>
    </row>
    <row r="2746" spans="2:51" x14ac:dyDescent="0.2">
      <c r="B2746" s="7"/>
      <c r="C2746" s="8">
        <v>13294</v>
      </c>
      <c r="D2746" s="9" t="s">
        <v>559</v>
      </c>
      <c r="E2746" s="10" t="s">
        <v>560</v>
      </c>
      <c r="F2746" s="10" t="s">
        <v>561</v>
      </c>
      <c r="G2746" s="8">
        <v>1</v>
      </c>
      <c r="H2746" s="11">
        <v>4400</v>
      </c>
      <c r="I2746" s="12">
        <v>42701</v>
      </c>
      <c r="J2746" s="35">
        <f t="shared" si="105"/>
        <v>0</v>
      </c>
      <c r="K2746" s="36"/>
      <c r="L2746" s="36"/>
      <c r="M2746" s="36"/>
      <c r="N2746" s="36"/>
      <c r="O2746" s="36"/>
      <c r="P2746" s="36"/>
      <c r="Q2746" s="36"/>
      <c r="R2746" s="36"/>
      <c r="S2746" s="36"/>
      <c r="T2746" s="36"/>
      <c r="U2746" s="36"/>
      <c r="V2746" s="36"/>
      <c r="W2746" s="15">
        <f t="shared" si="106"/>
        <v>0</v>
      </c>
      <c r="X2746" s="36">
        <v>400</v>
      </c>
      <c r="Y2746" s="36">
        <v>400</v>
      </c>
      <c r="Z2746" s="36">
        <v>400</v>
      </c>
      <c r="AA2746" s="36">
        <v>400</v>
      </c>
      <c r="AB2746" s="36">
        <v>400</v>
      </c>
      <c r="AC2746" s="36">
        <v>400</v>
      </c>
      <c r="AD2746" s="36">
        <v>400</v>
      </c>
      <c r="AE2746" s="36">
        <v>400</v>
      </c>
      <c r="AF2746" s="36">
        <v>400</v>
      </c>
      <c r="AG2746" s="36">
        <v>400</v>
      </c>
      <c r="AH2746" s="36">
        <v>400</v>
      </c>
      <c r="AI2746" s="36"/>
      <c r="AJ2746" s="15">
        <f t="shared" si="107"/>
        <v>4400</v>
      </c>
      <c r="AK2746" s="14"/>
      <c r="AL2746" s="14"/>
      <c r="AM2746" s="14"/>
      <c r="AN2746" s="14"/>
      <c r="AO2746" s="14"/>
      <c r="AP2746" s="14"/>
      <c r="AQ2746" s="14"/>
      <c r="AR2746" s="14"/>
      <c r="AS2746" s="14"/>
      <c r="AT2746" s="14"/>
      <c r="AU2746" s="14"/>
      <c r="AV2746" s="14"/>
      <c r="AW2746" s="15"/>
      <c r="AX2746" s="16" t="s">
        <v>3176</v>
      </c>
      <c r="AY2746" t="s">
        <v>3179</v>
      </c>
    </row>
    <row r="2747" spans="2:51" x14ac:dyDescent="0.2">
      <c r="B2747" s="7"/>
      <c r="C2747" s="8">
        <v>13295</v>
      </c>
      <c r="D2747" s="9" t="s">
        <v>325</v>
      </c>
      <c r="E2747" s="10" t="s">
        <v>326</v>
      </c>
      <c r="F2747" s="10" t="s">
        <v>327</v>
      </c>
      <c r="G2747" s="8">
        <v>1</v>
      </c>
      <c r="H2747" s="11">
        <v>800</v>
      </c>
      <c r="I2747" s="12">
        <v>42701</v>
      </c>
      <c r="J2747" s="35">
        <f t="shared" si="105"/>
        <v>0</v>
      </c>
      <c r="K2747" s="36"/>
      <c r="L2747" s="36"/>
      <c r="M2747" s="36"/>
      <c r="N2747" s="36"/>
      <c r="O2747" s="36"/>
      <c r="P2747" s="36"/>
      <c r="Q2747" s="36"/>
      <c r="R2747" s="36"/>
      <c r="S2747" s="36"/>
      <c r="T2747" s="36"/>
      <c r="U2747" s="36">
        <v>400</v>
      </c>
      <c r="V2747" s="36">
        <v>400</v>
      </c>
      <c r="W2747" s="15">
        <f t="shared" si="106"/>
        <v>800</v>
      </c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15">
        <f t="shared" si="107"/>
        <v>0</v>
      </c>
      <c r="AK2747" s="14"/>
      <c r="AL2747" s="14"/>
      <c r="AM2747" s="14"/>
      <c r="AN2747" s="14"/>
      <c r="AO2747" s="14"/>
      <c r="AP2747" s="14"/>
      <c r="AQ2747" s="14"/>
      <c r="AR2747" s="14"/>
      <c r="AS2747" s="14"/>
      <c r="AT2747" s="14"/>
      <c r="AU2747" s="14"/>
      <c r="AV2747" s="14"/>
      <c r="AW2747" s="15"/>
      <c r="AX2747" s="16"/>
    </row>
    <row r="2748" spans="2:51" x14ac:dyDescent="0.2">
      <c r="B2748" s="7"/>
      <c r="C2748" s="8">
        <v>13296</v>
      </c>
      <c r="D2748" s="9" t="s">
        <v>589</v>
      </c>
      <c r="E2748" s="10" t="s">
        <v>590</v>
      </c>
      <c r="F2748" s="10" t="s">
        <v>591</v>
      </c>
      <c r="G2748" s="8">
        <v>1</v>
      </c>
      <c r="H2748" s="11">
        <v>1200</v>
      </c>
      <c r="I2748" s="12">
        <v>42701</v>
      </c>
      <c r="J2748" s="35">
        <f t="shared" si="105"/>
        <v>0</v>
      </c>
      <c r="K2748" s="36"/>
      <c r="L2748" s="36"/>
      <c r="M2748" s="36"/>
      <c r="N2748" s="36"/>
      <c r="O2748" s="36"/>
      <c r="P2748" s="36"/>
      <c r="Q2748" s="36"/>
      <c r="R2748" s="36"/>
      <c r="S2748" s="36"/>
      <c r="T2748" s="36">
        <v>400</v>
      </c>
      <c r="U2748" s="36">
        <v>400</v>
      </c>
      <c r="V2748" s="36">
        <v>400</v>
      </c>
      <c r="W2748" s="15">
        <f t="shared" si="106"/>
        <v>1200</v>
      </c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15">
        <f t="shared" si="107"/>
        <v>0</v>
      </c>
      <c r="AK2748" s="14"/>
      <c r="AL2748" s="14"/>
      <c r="AM2748" s="14"/>
      <c r="AN2748" s="14"/>
      <c r="AO2748" s="14"/>
      <c r="AP2748" s="14"/>
      <c r="AQ2748" s="14"/>
      <c r="AR2748" s="14"/>
      <c r="AS2748" s="14"/>
      <c r="AT2748" s="14"/>
      <c r="AU2748" s="14"/>
      <c r="AV2748" s="14"/>
      <c r="AW2748" s="15"/>
      <c r="AX2748" s="16"/>
    </row>
    <row r="2749" spans="2:51" x14ac:dyDescent="0.2">
      <c r="B2749" s="7"/>
      <c r="C2749" s="8">
        <v>13297</v>
      </c>
      <c r="D2749" s="9" t="s">
        <v>1192</v>
      </c>
      <c r="E2749" s="10" t="s">
        <v>1193</v>
      </c>
      <c r="F2749" s="10" t="s">
        <v>1194</v>
      </c>
      <c r="G2749" s="8">
        <v>1</v>
      </c>
      <c r="H2749" s="11">
        <v>400</v>
      </c>
      <c r="I2749" s="12">
        <v>42701</v>
      </c>
      <c r="J2749" s="35">
        <f t="shared" si="105"/>
        <v>0</v>
      </c>
      <c r="K2749" s="36"/>
      <c r="L2749" s="36"/>
      <c r="M2749" s="36"/>
      <c r="N2749" s="36"/>
      <c r="O2749" s="36"/>
      <c r="P2749" s="36"/>
      <c r="Q2749" s="36"/>
      <c r="R2749" s="36"/>
      <c r="S2749" s="36"/>
      <c r="T2749" s="36"/>
      <c r="U2749" s="36">
        <v>400</v>
      </c>
      <c r="V2749" s="36"/>
      <c r="W2749" s="15">
        <f t="shared" si="106"/>
        <v>400</v>
      </c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15">
        <f t="shared" si="107"/>
        <v>0</v>
      </c>
      <c r="AK2749" s="14"/>
      <c r="AL2749" s="14"/>
      <c r="AM2749" s="14"/>
      <c r="AN2749" s="14"/>
      <c r="AO2749" s="14"/>
      <c r="AP2749" s="14"/>
      <c r="AQ2749" s="14"/>
      <c r="AR2749" s="14"/>
      <c r="AS2749" s="14"/>
      <c r="AT2749" s="14"/>
      <c r="AU2749" s="14"/>
      <c r="AV2749" s="14"/>
      <c r="AW2749" s="15"/>
      <c r="AX2749" s="16"/>
    </row>
    <row r="2750" spans="2:51" x14ac:dyDescent="0.2">
      <c r="B2750" s="7"/>
      <c r="C2750" s="8">
        <v>13298</v>
      </c>
      <c r="D2750" s="9" t="s">
        <v>316</v>
      </c>
      <c r="E2750" s="10" t="s">
        <v>317</v>
      </c>
      <c r="F2750" s="10" t="s">
        <v>318</v>
      </c>
      <c r="G2750" s="8">
        <v>1</v>
      </c>
      <c r="H2750" s="11">
        <v>300</v>
      </c>
      <c r="I2750" s="12">
        <v>42701</v>
      </c>
      <c r="J2750" s="35">
        <f t="shared" si="105"/>
        <v>0</v>
      </c>
      <c r="K2750" s="36"/>
      <c r="L2750" s="36"/>
      <c r="M2750" s="36"/>
      <c r="N2750" s="36"/>
      <c r="O2750" s="36"/>
      <c r="P2750" s="36"/>
      <c r="Q2750" s="36">
        <v>100</v>
      </c>
      <c r="R2750" s="36">
        <v>100</v>
      </c>
      <c r="S2750" s="36">
        <v>100</v>
      </c>
      <c r="T2750" s="36"/>
      <c r="U2750" s="36"/>
      <c r="V2750" s="36"/>
      <c r="W2750" s="15">
        <f t="shared" si="106"/>
        <v>300</v>
      </c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15">
        <f t="shared" si="107"/>
        <v>0</v>
      </c>
      <c r="AK2750" s="14"/>
      <c r="AL2750" s="14"/>
      <c r="AM2750" s="14"/>
      <c r="AN2750" s="14"/>
      <c r="AO2750" s="14"/>
      <c r="AP2750" s="14"/>
      <c r="AQ2750" s="14"/>
      <c r="AR2750" s="14"/>
      <c r="AS2750" s="14"/>
      <c r="AT2750" s="14"/>
      <c r="AU2750" s="14"/>
      <c r="AV2750" s="14"/>
      <c r="AW2750" s="15"/>
      <c r="AX2750" s="16"/>
    </row>
    <row r="2751" spans="2:51" x14ac:dyDescent="0.2">
      <c r="B2751" s="7"/>
      <c r="C2751" s="8">
        <v>13299</v>
      </c>
      <c r="D2751" s="9" t="s">
        <v>319</v>
      </c>
      <c r="E2751" s="10" t="s">
        <v>320</v>
      </c>
      <c r="F2751" s="10" t="s">
        <v>321</v>
      </c>
      <c r="G2751" s="8">
        <v>1</v>
      </c>
      <c r="H2751" s="11">
        <v>300</v>
      </c>
      <c r="I2751" s="12">
        <v>42701</v>
      </c>
      <c r="J2751" s="35">
        <f t="shared" si="105"/>
        <v>0</v>
      </c>
      <c r="K2751" s="36"/>
      <c r="L2751" s="36"/>
      <c r="M2751" s="36"/>
      <c r="N2751" s="36"/>
      <c r="O2751" s="36"/>
      <c r="P2751" s="36"/>
      <c r="Q2751" s="36">
        <v>100</v>
      </c>
      <c r="R2751" s="36">
        <v>100</v>
      </c>
      <c r="S2751" s="36">
        <v>100</v>
      </c>
      <c r="T2751" s="36"/>
      <c r="U2751" s="36"/>
      <c r="V2751" s="36"/>
      <c r="W2751" s="15">
        <f t="shared" si="106"/>
        <v>300</v>
      </c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15">
        <f t="shared" si="107"/>
        <v>0</v>
      </c>
      <c r="AK2751" s="14"/>
      <c r="AL2751" s="14"/>
      <c r="AM2751" s="14"/>
      <c r="AN2751" s="14"/>
      <c r="AO2751" s="14"/>
      <c r="AP2751" s="14"/>
      <c r="AQ2751" s="14"/>
      <c r="AR2751" s="14"/>
      <c r="AS2751" s="14"/>
      <c r="AT2751" s="14"/>
      <c r="AU2751" s="14"/>
      <c r="AV2751" s="14"/>
      <c r="AW2751" s="15"/>
      <c r="AX2751" s="16"/>
    </row>
    <row r="2752" spans="2:51" x14ac:dyDescent="0.2">
      <c r="B2752" s="7"/>
      <c r="C2752" s="8">
        <v>13300</v>
      </c>
      <c r="D2752" s="9" t="s">
        <v>316</v>
      </c>
      <c r="E2752" s="10" t="s">
        <v>317</v>
      </c>
      <c r="F2752" s="10" t="s">
        <v>318</v>
      </c>
      <c r="G2752" s="8">
        <v>5</v>
      </c>
      <c r="H2752" s="11">
        <v>100</v>
      </c>
      <c r="I2752" s="12">
        <v>42701</v>
      </c>
      <c r="J2752" s="35">
        <f t="shared" si="105"/>
        <v>0</v>
      </c>
      <c r="K2752" s="36"/>
      <c r="L2752" s="36"/>
      <c r="M2752" s="36"/>
      <c r="N2752" s="36"/>
      <c r="O2752" s="36"/>
      <c r="P2752" s="36"/>
      <c r="Q2752" s="36"/>
      <c r="R2752" s="36"/>
      <c r="S2752" s="36"/>
      <c r="T2752" s="36"/>
      <c r="U2752" s="36"/>
      <c r="V2752" s="36"/>
      <c r="W2752" s="15">
        <f t="shared" si="106"/>
        <v>0</v>
      </c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15">
        <f t="shared" si="107"/>
        <v>0</v>
      </c>
      <c r="AK2752" s="14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14"/>
      <c r="AV2752" s="14"/>
      <c r="AW2752" s="15"/>
      <c r="AX2752" s="16"/>
    </row>
    <row r="2753" spans="2:50" x14ac:dyDescent="0.2">
      <c r="B2753" s="7"/>
      <c r="C2753" s="8">
        <v>13301</v>
      </c>
      <c r="D2753" s="9" t="s">
        <v>1095</v>
      </c>
      <c r="E2753" s="10" t="s">
        <v>1096</v>
      </c>
      <c r="F2753" s="10" t="s">
        <v>765</v>
      </c>
      <c r="G2753" s="8">
        <v>1</v>
      </c>
      <c r="H2753" s="11">
        <v>500</v>
      </c>
      <c r="I2753" s="12">
        <v>42701</v>
      </c>
      <c r="J2753" s="35">
        <f t="shared" si="105"/>
        <v>0</v>
      </c>
      <c r="K2753" s="36"/>
      <c r="L2753" s="36"/>
      <c r="M2753" s="36"/>
      <c r="N2753" s="36"/>
      <c r="O2753" s="36"/>
      <c r="P2753" s="36"/>
      <c r="Q2753" s="36"/>
      <c r="R2753" s="36"/>
      <c r="S2753" s="36">
        <v>250</v>
      </c>
      <c r="T2753" s="36">
        <v>250</v>
      </c>
      <c r="U2753" s="36"/>
      <c r="V2753" s="36"/>
      <c r="W2753" s="15">
        <f t="shared" si="106"/>
        <v>500</v>
      </c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15">
        <f t="shared" si="107"/>
        <v>0</v>
      </c>
      <c r="AK2753" s="14"/>
      <c r="AL2753" s="14"/>
      <c r="AM2753" s="14"/>
      <c r="AN2753" s="14"/>
      <c r="AO2753" s="14"/>
      <c r="AP2753" s="14"/>
      <c r="AQ2753" s="14"/>
      <c r="AR2753" s="14"/>
      <c r="AS2753" s="14"/>
      <c r="AT2753" s="14"/>
      <c r="AU2753" s="14"/>
      <c r="AV2753" s="14"/>
      <c r="AW2753" s="15"/>
      <c r="AX2753" s="16"/>
    </row>
    <row r="2754" spans="2:50" x14ac:dyDescent="0.2">
      <c r="B2754" s="7"/>
      <c r="C2754" s="8">
        <v>13302</v>
      </c>
      <c r="D2754" s="9" t="s">
        <v>837</v>
      </c>
      <c r="E2754" s="10" t="s">
        <v>838</v>
      </c>
      <c r="F2754" s="10" t="s">
        <v>839</v>
      </c>
      <c r="G2754" s="8">
        <v>1</v>
      </c>
      <c r="H2754" s="11">
        <v>1200</v>
      </c>
      <c r="I2754" s="12">
        <v>42701</v>
      </c>
      <c r="J2754" s="35">
        <f t="shared" si="105"/>
        <v>0</v>
      </c>
      <c r="K2754" s="36"/>
      <c r="L2754" s="36"/>
      <c r="M2754" s="36"/>
      <c r="N2754" s="36"/>
      <c r="O2754" s="36"/>
      <c r="P2754" s="36"/>
      <c r="Q2754" s="36"/>
      <c r="R2754" s="36"/>
      <c r="S2754" s="36"/>
      <c r="T2754" s="36">
        <v>400</v>
      </c>
      <c r="U2754" s="36">
        <v>400</v>
      </c>
      <c r="V2754" s="36">
        <v>400</v>
      </c>
      <c r="W2754" s="15">
        <f t="shared" si="106"/>
        <v>1200</v>
      </c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15">
        <f t="shared" si="107"/>
        <v>0</v>
      </c>
      <c r="AK2754" s="14"/>
      <c r="AL2754" s="14"/>
      <c r="AM2754" s="14"/>
      <c r="AN2754" s="14"/>
      <c r="AO2754" s="14"/>
      <c r="AP2754" s="14"/>
      <c r="AQ2754" s="14"/>
      <c r="AR2754" s="14"/>
      <c r="AS2754" s="14"/>
      <c r="AT2754" s="14"/>
      <c r="AU2754" s="14"/>
      <c r="AV2754" s="14"/>
      <c r="AW2754" s="15"/>
      <c r="AX2754" s="16"/>
    </row>
    <row r="2755" spans="2:50" x14ac:dyDescent="0.2">
      <c r="B2755" s="7"/>
      <c r="C2755" s="8">
        <v>13303</v>
      </c>
      <c r="D2755" s="9" t="s">
        <v>725</v>
      </c>
      <c r="E2755" s="10" t="s">
        <v>726</v>
      </c>
      <c r="F2755" s="10" t="s">
        <v>727</v>
      </c>
      <c r="G2755" s="8">
        <v>1</v>
      </c>
      <c r="H2755" s="11">
        <v>800</v>
      </c>
      <c r="I2755" s="12">
        <v>42701</v>
      </c>
      <c r="J2755" s="35">
        <f t="shared" si="105"/>
        <v>0</v>
      </c>
      <c r="K2755" s="36"/>
      <c r="L2755" s="36"/>
      <c r="M2755" s="36"/>
      <c r="N2755" s="36"/>
      <c r="O2755" s="36"/>
      <c r="P2755" s="36"/>
      <c r="Q2755" s="36"/>
      <c r="R2755" s="36"/>
      <c r="S2755" s="36"/>
      <c r="T2755" s="36">
        <v>400</v>
      </c>
      <c r="U2755" s="36">
        <v>400</v>
      </c>
      <c r="V2755" s="36"/>
      <c r="W2755" s="15">
        <f t="shared" si="106"/>
        <v>800</v>
      </c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15">
        <f t="shared" si="107"/>
        <v>0</v>
      </c>
      <c r="AK2755" s="14"/>
      <c r="AL2755" s="14"/>
      <c r="AM2755" s="14"/>
      <c r="AN2755" s="14"/>
      <c r="AO2755" s="14"/>
      <c r="AP2755" s="14"/>
      <c r="AQ2755" s="14"/>
      <c r="AR2755" s="14"/>
      <c r="AS2755" s="14"/>
      <c r="AT2755" s="14"/>
      <c r="AU2755" s="14"/>
      <c r="AV2755" s="14"/>
      <c r="AW2755" s="15"/>
      <c r="AX2755" s="16"/>
    </row>
    <row r="2756" spans="2:50" x14ac:dyDescent="0.2">
      <c r="B2756" s="7"/>
      <c r="C2756" s="8">
        <v>13304</v>
      </c>
      <c r="D2756" s="9" t="s">
        <v>87</v>
      </c>
      <c r="E2756" s="10" t="s">
        <v>88</v>
      </c>
      <c r="F2756" s="10" t="s">
        <v>89</v>
      </c>
      <c r="G2756" s="8">
        <v>5</v>
      </c>
      <c r="H2756" s="11">
        <v>100</v>
      </c>
      <c r="I2756" s="12">
        <v>42701</v>
      </c>
      <c r="J2756" s="35">
        <f t="shared" si="105"/>
        <v>0</v>
      </c>
      <c r="K2756" s="36"/>
      <c r="L2756" s="36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  <c r="W2756" s="15">
        <f t="shared" si="106"/>
        <v>0</v>
      </c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15">
        <f t="shared" si="107"/>
        <v>0</v>
      </c>
      <c r="AK2756" s="14"/>
      <c r="AL2756" s="14"/>
      <c r="AM2756" s="14"/>
      <c r="AN2756" s="14"/>
      <c r="AO2756" s="14"/>
      <c r="AP2756" s="14"/>
      <c r="AQ2756" s="14"/>
      <c r="AR2756" s="14"/>
      <c r="AS2756" s="14"/>
      <c r="AT2756" s="14"/>
      <c r="AU2756" s="14"/>
      <c r="AV2756" s="14"/>
      <c r="AW2756" s="15"/>
      <c r="AX2756" s="16"/>
    </row>
    <row r="2757" spans="2:50" x14ac:dyDescent="0.2">
      <c r="B2757" s="7"/>
      <c r="C2757" s="8">
        <v>13305</v>
      </c>
      <c r="D2757" s="9" t="s">
        <v>364</v>
      </c>
      <c r="E2757" s="10" t="s">
        <v>365</v>
      </c>
      <c r="F2757" s="10" t="s">
        <v>366</v>
      </c>
      <c r="G2757" s="8">
        <v>1</v>
      </c>
      <c r="H2757" s="11">
        <v>900</v>
      </c>
      <c r="I2757" s="12">
        <v>42701</v>
      </c>
      <c r="J2757" s="35">
        <f t="shared" si="105"/>
        <v>0</v>
      </c>
      <c r="K2757" s="36"/>
      <c r="L2757" s="36"/>
      <c r="M2757" s="36"/>
      <c r="N2757" s="36"/>
      <c r="O2757" s="36"/>
      <c r="P2757" s="36"/>
      <c r="Q2757" s="36"/>
      <c r="R2757" s="36"/>
      <c r="S2757" s="36">
        <v>300</v>
      </c>
      <c r="T2757" s="36">
        <v>300</v>
      </c>
      <c r="U2757" s="36">
        <v>300</v>
      </c>
      <c r="V2757" s="36"/>
      <c r="W2757" s="15">
        <f t="shared" si="106"/>
        <v>900</v>
      </c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15">
        <f t="shared" si="107"/>
        <v>0</v>
      </c>
      <c r="AK2757" s="14"/>
      <c r="AL2757" s="14"/>
      <c r="AM2757" s="14"/>
      <c r="AN2757" s="14"/>
      <c r="AO2757" s="14"/>
      <c r="AP2757" s="14"/>
      <c r="AQ2757" s="14"/>
      <c r="AR2757" s="14"/>
      <c r="AS2757" s="14"/>
      <c r="AT2757" s="14"/>
      <c r="AU2757" s="14"/>
      <c r="AV2757" s="14"/>
      <c r="AW2757" s="15"/>
      <c r="AX2757" s="16"/>
    </row>
    <row r="2758" spans="2:50" x14ac:dyDescent="0.2">
      <c r="B2758" s="7"/>
      <c r="C2758" s="8">
        <v>13306</v>
      </c>
      <c r="D2758" s="9" t="s">
        <v>810</v>
      </c>
      <c r="E2758" s="10" t="s">
        <v>811</v>
      </c>
      <c r="F2758" s="10" t="s">
        <v>812</v>
      </c>
      <c r="G2758" s="8">
        <v>3</v>
      </c>
      <c r="H2758" s="11">
        <v>200</v>
      </c>
      <c r="I2758" s="12">
        <v>42701</v>
      </c>
      <c r="J2758" s="35">
        <f t="shared" si="105"/>
        <v>0</v>
      </c>
      <c r="K2758" s="36"/>
      <c r="L2758" s="36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  <c r="W2758" s="15">
        <f t="shared" si="106"/>
        <v>0</v>
      </c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15">
        <f t="shared" si="107"/>
        <v>0</v>
      </c>
      <c r="AK2758" s="14"/>
      <c r="AL2758" s="14"/>
      <c r="AM2758" s="14"/>
      <c r="AN2758" s="14"/>
      <c r="AO2758" s="14"/>
      <c r="AP2758" s="14"/>
      <c r="AQ2758" s="14"/>
      <c r="AR2758" s="14"/>
      <c r="AS2758" s="14"/>
      <c r="AT2758" s="14"/>
      <c r="AU2758" s="14"/>
      <c r="AV2758" s="14"/>
      <c r="AW2758" s="15"/>
      <c r="AX2758" s="16"/>
    </row>
    <row r="2759" spans="2:50" x14ac:dyDescent="0.2">
      <c r="B2759" s="7"/>
      <c r="C2759" s="8">
        <v>13307</v>
      </c>
      <c r="D2759" s="9" t="s">
        <v>565</v>
      </c>
      <c r="E2759" s="10" t="s">
        <v>566</v>
      </c>
      <c r="F2759" s="10" t="s">
        <v>567</v>
      </c>
      <c r="G2759" s="8">
        <v>1</v>
      </c>
      <c r="H2759" s="11">
        <v>750</v>
      </c>
      <c r="I2759" s="12">
        <v>42701</v>
      </c>
      <c r="J2759" s="35">
        <f t="shared" si="105"/>
        <v>0</v>
      </c>
      <c r="K2759" s="36"/>
      <c r="L2759" s="36"/>
      <c r="M2759" s="36"/>
      <c r="N2759" s="36"/>
      <c r="O2759" s="36"/>
      <c r="P2759" s="36"/>
      <c r="Q2759" s="36"/>
      <c r="R2759" s="36"/>
      <c r="S2759" s="36">
        <v>250</v>
      </c>
      <c r="T2759" s="36">
        <v>250</v>
      </c>
      <c r="U2759" s="36">
        <v>250</v>
      </c>
      <c r="V2759" s="36"/>
      <c r="W2759" s="15">
        <f t="shared" si="106"/>
        <v>750</v>
      </c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15">
        <f t="shared" si="107"/>
        <v>0</v>
      </c>
      <c r="AK2759" s="14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14"/>
      <c r="AV2759" s="14"/>
      <c r="AW2759" s="15"/>
      <c r="AX2759" s="16"/>
    </row>
    <row r="2760" spans="2:50" x14ac:dyDescent="0.2">
      <c r="B2760" s="7"/>
      <c r="C2760" s="8">
        <v>13308</v>
      </c>
      <c r="D2760" s="9" t="s">
        <v>274</v>
      </c>
      <c r="E2760" s="10" t="s">
        <v>275</v>
      </c>
      <c r="F2760" s="10" t="s">
        <v>276</v>
      </c>
      <c r="G2760" s="8">
        <v>5</v>
      </c>
      <c r="H2760" s="11">
        <v>50</v>
      </c>
      <c r="I2760" s="12">
        <v>42701</v>
      </c>
      <c r="J2760" s="35">
        <f t="shared" si="105"/>
        <v>0</v>
      </c>
      <c r="K2760" s="36"/>
      <c r="L2760" s="36"/>
      <c r="M2760" s="36"/>
      <c r="N2760" s="36"/>
      <c r="O2760" s="36"/>
      <c r="P2760" s="36"/>
      <c r="Q2760" s="36"/>
      <c r="R2760" s="36"/>
      <c r="S2760" s="36"/>
      <c r="T2760" s="36"/>
      <c r="U2760" s="36"/>
      <c r="V2760" s="36"/>
      <c r="W2760" s="15">
        <f t="shared" si="106"/>
        <v>0</v>
      </c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15">
        <f t="shared" si="107"/>
        <v>0</v>
      </c>
      <c r="AK2760" s="14"/>
      <c r="AL2760" s="14"/>
      <c r="AM2760" s="14"/>
      <c r="AN2760" s="14"/>
      <c r="AO2760" s="14"/>
      <c r="AP2760" s="14"/>
      <c r="AQ2760" s="14"/>
      <c r="AR2760" s="14"/>
      <c r="AS2760" s="14"/>
      <c r="AT2760" s="14"/>
      <c r="AU2760" s="14"/>
      <c r="AV2760" s="14"/>
      <c r="AW2760" s="15"/>
      <c r="AX2760" s="16"/>
    </row>
    <row r="2761" spans="2:50" x14ac:dyDescent="0.2">
      <c r="B2761" s="7"/>
      <c r="C2761" s="8">
        <v>13309</v>
      </c>
      <c r="D2761" s="9" t="s">
        <v>1167</v>
      </c>
      <c r="E2761" s="10" t="s">
        <v>1168</v>
      </c>
      <c r="F2761" s="10" t="s">
        <v>1169</v>
      </c>
      <c r="G2761" s="8">
        <v>1</v>
      </c>
      <c r="H2761" s="11">
        <v>400</v>
      </c>
      <c r="I2761" s="12">
        <v>42701</v>
      </c>
      <c r="J2761" s="35">
        <f t="shared" si="105"/>
        <v>0</v>
      </c>
      <c r="K2761" s="36"/>
      <c r="L2761" s="36"/>
      <c r="M2761" s="36"/>
      <c r="N2761" s="36"/>
      <c r="O2761" s="36"/>
      <c r="P2761" s="36"/>
      <c r="Q2761" s="36"/>
      <c r="R2761" s="36"/>
      <c r="S2761" s="36"/>
      <c r="T2761" s="36"/>
      <c r="U2761" s="36"/>
      <c r="V2761" s="36">
        <v>400</v>
      </c>
      <c r="W2761" s="15">
        <f t="shared" si="106"/>
        <v>400</v>
      </c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15">
        <f t="shared" si="107"/>
        <v>0</v>
      </c>
      <c r="AK2761" s="14"/>
      <c r="AL2761" s="14"/>
      <c r="AM2761" s="14"/>
      <c r="AN2761" s="14"/>
      <c r="AO2761" s="14"/>
      <c r="AP2761" s="14"/>
      <c r="AQ2761" s="14"/>
      <c r="AR2761" s="14"/>
      <c r="AS2761" s="14"/>
      <c r="AT2761" s="14"/>
      <c r="AU2761" s="14"/>
      <c r="AV2761" s="14"/>
      <c r="AW2761" s="15"/>
      <c r="AX2761" s="16"/>
    </row>
    <row r="2762" spans="2:50" x14ac:dyDescent="0.2">
      <c r="B2762" s="7"/>
      <c r="C2762" s="8">
        <v>13310</v>
      </c>
      <c r="D2762" s="9" t="s">
        <v>800</v>
      </c>
      <c r="E2762" s="10" t="s">
        <v>801</v>
      </c>
      <c r="F2762" s="10" t="s">
        <v>802</v>
      </c>
      <c r="G2762" s="8">
        <v>1</v>
      </c>
      <c r="H2762" s="11">
        <v>1200</v>
      </c>
      <c r="I2762" s="12">
        <v>42701</v>
      </c>
      <c r="J2762" s="35">
        <f t="shared" si="105"/>
        <v>0</v>
      </c>
      <c r="K2762" s="36"/>
      <c r="L2762" s="36"/>
      <c r="M2762" s="36"/>
      <c r="N2762" s="36"/>
      <c r="O2762" s="36"/>
      <c r="P2762" s="36"/>
      <c r="Q2762" s="36"/>
      <c r="R2762" s="36"/>
      <c r="S2762" s="36">
        <v>400</v>
      </c>
      <c r="T2762" s="36">
        <v>400</v>
      </c>
      <c r="U2762" s="36">
        <v>400</v>
      </c>
      <c r="V2762" s="36"/>
      <c r="W2762" s="15">
        <f t="shared" si="106"/>
        <v>1200</v>
      </c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15">
        <f t="shared" si="107"/>
        <v>0</v>
      </c>
      <c r="AK2762" s="14"/>
      <c r="AL2762" s="14"/>
      <c r="AM2762" s="14"/>
      <c r="AN2762" s="14"/>
      <c r="AO2762" s="14"/>
      <c r="AP2762" s="14"/>
      <c r="AQ2762" s="14"/>
      <c r="AR2762" s="14"/>
      <c r="AS2762" s="14"/>
      <c r="AT2762" s="14"/>
      <c r="AU2762" s="14"/>
      <c r="AV2762" s="14"/>
      <c r="AW2762" s="15"/>
      <c r="AX2762" s="16"/>
    </row>
    <row r="2763" spans="2:50" x14ac:dyDescent="0.2">
      <c r="B2763" s="7"/>
      <c r="C2763" s="8">
        <v>13311</v>
      </c>
      <c r="D2763" s="9" t="s">
        <v>823</v>
      </c>
      <c r="E2763" s="10" t="s">
        <v>824</v>
      </c>
      <c r="F2763" s="10" t="s">
        <v>765</v>
      </c>
      <c r="G2763" s="8">
        <v>1</v>
      </c>
      <c r="H2763" s="11">
        <v>400</v>
      </c>
      <c r="I2763" s="12">
        <v>42701</v>
      </c>
      <c r="J2763" s="35">
        <f t="shared" si="105"/>
        <v>0</v>
      </c>
      <c r="K2763" s="36"/>
      <c r="L2763" s="36"/>
      <c r="M2763" s="36"/>
      <c r="N2763" s="36"/>
      <c r="O2763" s="36"/>
      <c r="P2763" s="36"/>
      <c r="Q2763" s="36"/>
      <c r="R2763" s="36"/>
      <c r="S2763" s="36"/>
      <c r="T2763" s="36"/>
      <c r="U2763" s="36">
        <v>200</v>
      </c>
      <c r="V2763" s="36">
        <v>200</v>
      </c>
      <c r="W2763" s="15">
        <f t="shared" si="106"/>
        <v>400</v>
      </c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15">
        <f t="shared" si="107"/>
        <v>0</v>
      </c>
      <c r="AK2763" s="14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14"/>
      <c r="AV2763" s="14"/>
      <c r="AW2763" s="15"/>
      <c r="AX2763" s="16"/>
    </row>
    <row r="2764" spans="2:50" x14ac:dyDescent="0.2">
      <c r="B2764" s="7"/>
      <c r="C2764" s="8">
        <v>13311</v>
      </c>
      <c r="D2764" s="9" t="s">
        <v>823</v>
      </c>
      <c r="E2764" s="10" t="s">
        <v>824</v>
      </c>
      <c r="F2764" s="10" t="s">
        <v>765</v>
      </c>
      <c r="G2764" s="8">
        <v>5</v>
      </c>
      <c r="H2764" s="11">
        <v>50</v>
      </c>
      <c r="I2764" s="12">
        <v>42701</v>
      </c>
      <c r="J2764" s="35">
        <f t="shared" si="105"/>
        <v>0</v>
      </c>
      <c r="K2764" s="36"/>
      <c r="L2764" s="36"/>
      <c r="M2764" s="36"/>
      <c r="N2764" s="36"/>
      <c r="O2764" s="36"/>
      <c r="P2764" s="36"/>
      <c r="Q2764" s="36"/>
      <c r="R2764" s="36"/>
      <c r="S2764" s="36"/>
      <c r="T2764" s="36"/>
      <c r="U2764" s="36"/>
      <c r="V2764" s="36"/>
      <c r="W2764" s="15">
        <f t="shared" si="106"/>
        <v>0</v>
      </c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15">
        <f t="shared" si="107"/>
        <v>0</v>
      </c>
      <c r="AK2764" s="14"/>
      <c r="AL2764" s="14"/>
      <c r="AM2764" s="14"/>
      <c r="AN2764" s="14"/>
      <c r="AO2764" s="14"/>
      <c r="AP2764" s="14"/>
      <c r="AQ2764" s="14"/>
      <c r="AR2764" s="14"/>
      <c r="AS2764" s="14"/>
      <c r="AT2764" s="14"/>
      <c r="AU2764" s="14"/>
      <c r="AV2764" s="14"/>
      <c r="AW2764" s="15"/>
      <c r="AX2764" s="16"/>
    </row>
    <row r="2765" spans="2:50" x14ac:dyDescent="0.2">
      <c r="B2765" s="7"/>
      <c r="C2765" s="8">
        <v>13312</v>
      </c>
      <c r="D2765" s="9"/>
      <c r="E2765" s="10" t="s">
        <v>93</v>
      </c>
      <c r="F2765" s="10" t="s">
        <v>93</v>
      </c>
      <c r="G2765" s="8">
        <v>8</v>
      </c>
      <c r="H2765" s="11"/>
      <c r="I2765" s="12"/>
      <c r="J2765" s="35">
        <f t="shared" si="105"/>
        <v>0</v>
      </c>
      <c r="K2765" s="36"/>
      <c r="L2765" s="36"/>
      <c r="M2765" s="36"/>
      <c r="N2765" s="36"/>
      <c r="O2765" s="36"/>
      <c r="P2765" s="36"/>
      <c r="Q2765" s="36"/>
      <c r="R2765" s="36"/>
      <c r="S2765" s="36"/>
      <c r="T2765" s="36"/>
      <c r="U2765" s="36"/>
      <c r="V2765" s="36"/>
      <c r="W2765" s="15">
        <f t="shared" si="106"/>
        <v>0</v>
      </c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15">
        <f t="shared" si="107"/>
        <v>0</v>
      </c>
      <c r="AK2765" s="14"/>
      <c r="AL2765" s="14"/>
      <c r="AM2765" s="14"/>
      <c r="AN2765" s="14"/>
      <c r="AO2765" s="14"/>
      <c r="AP2765" s="14"/>
      <c r="AQ2765" s="14"/>
      <c r="AR2765" s="14"/>
      <c r="AS2765" s="14"/>
      <c r="AT2765" s="14"/>
      <c r="AU2765" s="14"/>
      <c r="AV2765" s="14"/>
      <c r="AW2765" s="15"/>
      <c r="AX2765" s="16"/>
    </row>
    <row r="2766" spans="2:50" x14ac:dyDescent="0.2">
      <c r="B2766" s="7"/>
      <c r="C2766" s="8">
        <v>13313</v>
      </c>
      <c r="D2766" s="9" t="s">
        <v>138</v>
      </c>
      <c r="E2766" s="10" t="s">
        <v>139</v>
      </c>
      <c r="F2766" s="10" t="s">
        <v>140</v>
      </c>
      <c r="G2766" s="8">
        <v>1</v>
      </c>
      <c r="H2766" s="11">
        <v>400</v>
      </c>
      <c r="I2766" s="12">
        <v>42701</v>
      </c>
      <c r="J2766" s="35">
        <f t="shared" si="105"/>
        <v>0</v>
      </c>
      <c r="K2766" s="36"/>
      <c r="L2766" s="36"/>
      <c r="M2766" s="36"/>
      <c r="N2766" s="36"/>
      <c r="O2766" s="36"/>
      <c r="P2766" s="36"/>
      <c r="Q2766" s="36"/>
      <c r="R2766" s="36"/>
      <c r="S2766" s="36"/>
      <c r="T2766" s="36"/>
      <c r="U2766" s="36">
        <v>400</v>
      </c>
      <c r="V2766" s="36"/>
      <c r="W2766" s="15">
        <f t="shared" si="106"/>
        <v>400</v>
      </c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15">
        <f t="shared" si="107"/>
        <v>0</v>
      </c>
      <c r="AK2766" s="14"/>
      <c r="AL2766" s="14"/>
      <c r="AM2766" s="14"/>
      <c r="AN2766" s="14"/>
      <c r="AO2766" s="14"/>
      <c r="AP2766" s="14"/>
      <c r="AQ2766" s="14"/>
      <c r="AR2766" s="14"/>
      <c r="AS2766" s="14"/>
      <c r="AT2766" s="14"/>
      <c r="AU2766" s="14"/>
      <c r="AV2766" s="14"/>
      <c r="AW2766" s="15"/>
      <c r="AX2766" s="16"/>
    </row>
    <row r="2767" spans="2:50" x14ac:dyDescent="0.2">
      <c r="B2767" s="7"/>
      <c r="C2767" s="8">
        <v>13314</v>
      </c>
      <c r="D2767" s="9" t="s">
        <v>620</v>
      </c>
      <c r="E2767" s="10" t="s">
        <v>621</v>
      </c>
      <c r="F2767" s="10" t="s">
        <v>366</v>
      </c>
      <c r="G2767" s="8">
        <v>1</v>
      </c>
      <c r="H2767" s="11">
        <v>400</v>
      </c>
      <c r="I2767" s="12">
        <v>42701</v>
      </c>
      <c r="J2767" s="35">
        <f t="shared" si="105"/>
        <v>0</v>
      </c>
      <c r="K2767" s="36"/>
      <c r="L2767" s="36"/>
      <c r="M2767" s="36"/>
      <c r="N2767" s="36"/>
      <c r="O2767" s="36"/>
      <c r="P2767" s="36"/>
      <c r="Q2767" s="36"/>
      <c r="R2767" s="36"/>
      <c r="S2767" s="36"/>
      <c r="T2767" s="36">
        <v>400</v>
      </c>
      <c r="U2767" s="36"/>
      <c r="V2767" s="36"/>
      <c r="W2767" s="15">
        <f t="shared" si="106"/>
        <v>400</v>
      </c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15">
        <f t="shared" si="107"/>
        <v>0</v>
      </c>
      <c r="AK2767" s="14"/>
      <c r="AL2767" s="14"/>
      <c r="AM2767" s="14"/>
      <c r="AN2767" s="14"/>
      <c r="AO2767" s="14"/>
      <c r="AP2767" s="14"/>
      <c r="AQ2767" s="14"/>
      <c r="AR2767" s="14"/>
      <c r="AS2767" s="14"/>
      <c r="AT2767" s="14"/>
      <c r="AU2767" s="14"/>
      <c r="AV2767" s="14"/>
      <c r="AW2767" s="15"/>
      <c r="AX2767" s="16"/>
    </row>
    <row r="2768" spans="2:50" x14ac:dyDescent="0.2">
      <c r="B2768" s="7"/>
      <c r="C2768" s="8">
        <v>13315</v>
      </c>
      <c r="D2768" s="9" t="s">
        <v>476</v>
      </c>
      <c r="E2768" s="10" t="s">
        <v>477</v>
      </c>
      <c r="F2768" s="10" t="s">
        <v>478</v>
      </c>
      <c r="G2768" s="8">
        <v>1</v>
      </c>
      <c r="H2768" s="11">
        <v>800</v>
      </c>
      <c r="I2768" s="12">
        <v>42701</v>
      </c>
      <c r="J2768" s="35">
        <f t="shared" si="105"/>
        <v>0</v>
      </c>
      <c r="K2768" s="36"/>
      <c r="L2768" s="36"/>
      <c r="M2768" s="36"/>
      <c r="N2768" s="36"/>
      <c r="O2768" s="36"/>
      <c r="P2768" s="36"/>
      <c r="Q2768" s="36"/>
      <c r="R2768" s="36"/>
      <c r="S2768" s="36"/>
      <c r="T2768" s="36"/>
      <c r="U2768" s="36">
        <v>400</v>
      </c>
      <c r="V2768" s="36">
        <v>400</v>
      </c>
      <c r="W2768" s="15">
        <f t="shared" si="106"/>
        <v>800</v>
      </c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15">
        <f t="shared" si="107"/>
        <v>0</v>
      </c>
      <c r="AK2768" s="14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/>
      <c r="AV2768" s="14"/>
      <c r="AW2768" s="15"/>
      <c r="AX2768" s="16"/>
    </row>
    <row r="2769" spans="1:51" x14ac:dyDescent="0.2">
      <c r="B2769" s="7"/>
      <c r="C2769" s="8">
        <v>13316</v>
      </c>
      <c r="D2769" s="9" t="s">
        <v>547</v>
      </c>
      <c r="E2769" s="10" t="s">
        <v>548</v>
      </c>
      <c r="F2769" s="10" t="s">
        <v>549</v>
      </c>
      <c r="G2769" s="8">
        <v>1</v>
      </c>
      <c r="H2769" s="11">
        <v>400</v>
      </c>
      <c r="I2769" s="12">
        <v>42701</v>
      </c>
      <c r="J2769" s="35">
        <f t="shared" si="105"/>
        <v>0</v>
      </c>
      <c r="K2769" s="36"/>
      <c r="L2769" s="36"/>
      <c r="M2769" s="36"/>
      <c r="N2769" s="36"/>
      <c r="O2769" s="36"/>
      <c r="P2769" s="36"/>
      <c r="Q2769" s="36"/>
      <c r="R2769" s="36"/>
      <c r="S2769" s="36">
        <v>200</v>
      </c>
      <c r="T2769" s="36">
        <v>200</v>
      </c>
      <c r="U2769" s="36"/>
      <c r="V2769" s="36"/>
      <c r="W2769" s="15">
        <f t="shared" si="106"/>
        <v>400</v>
      </c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15">
        <f t="shared" si="107"/>
        <v>0</v>
      </c>
      <c r="AK2769" s="14"/>
      <c r="AL2769" s="14"/>
      <c r="AM2769" s="14"/>
      <c r="AN2769" s="14"/>
      <c r="AO2769" s="14"/>
      <c r="AP2769" s="14"/>
      <c r="AQ2769" s="14"/>
      <c r="AR2769" s="14"/>
      <c r="AS2769" s="14"/>
      <c r="AT2769" s="14"/>
      <c r="AU2769" s="14"/>
      <c r="AV2769" s="14"/>
      <c r="AW2769" s="15"/>
      <c r="AX2769" s="16"/>
    </row>
    <row r="2770" spans="1:51" x14ac:dyDescent="0.2">
      <c r="B2770" s="7"/>
      <c r="C2770" s="8">
        <v>13317</v>
      </c>
      <c r="D2770" s="9" t="s">
        <v>1184</v>
      </c>
      <c r="E2770" s="10" t="s">
        <v>1185</v>
      </c>
      <c r="F2770" s="10" t="s">
        <v>1186</v>
      </c>
      <c r="G2770" s="8">
        <v>1</v>
      </c>
      <c r="H2770" s="315">
        <v>400</v>
      </c>
      <c r="I2770" s="12">
        <v>42702</v>
      </c>
      <c r="J2770" s="35">
        <f t="shared" si="105"/>
        <v>0</v>
      </c>
      <c r="K2770" s="36"/>
      <c r="L2770" s="36"/>
      <c r="M2770" s="36"/>
      <c r="N2770" s="36"/>
      <c r="O2770" s="36"/>
      <c r="P2770" s="36"/>
      <c r="Q2770" s="36"/>
      <c r="R2770" s="36"/>
      <c r="S2770" s="36"/>
      <c r="T2770" s="36">
        <v>400</v>
      </c>
      <c r="U2770" s="36"/>
      <c r="V2770" s="36"/>
      <c r="W2770" s="15">
        <f t="shared" si="106"/>
        <v>400</v>
      </c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15">
        <f t="shared" si="107"/>
        <v>0</v>
      </c>
      <c r="AK2770" s="14"/>
      <c r="AL2770" s="14"/>
      <c r="AM2770" s="14"/>
      <c r="AN2770" s="14"/>
      <c r="AO2770" s="14"/>
      <c r="AP2770" s="14"/>
      <c r="AQ2770" s="14"/>
      <c r="AR2770" s="14"/>
      <c r="AS2770" s="14"/>
      <c r="AT2770" s="14"/>
      <c r="AU2770" s="14"/>
      <c r="AV2770" s="14"/>
      <c r="AW2770" s="15"/>
      <c r="AX2770" s="16"/>
    </row>
    <row r="2771" spans="1:51" x14ac:dyDescent="0.2">
      <c r="B2771" s="7"/>
      <c r="C2771" s="8">
        <v>13318</v>
      </c>
      <c r="D2771" s="9" t="s">
        <v>373</v>
      </c>
      <c r="E2771" s="10" t="s">
        <v>374</v>
      </c>
      <c r="F2771" s="10" t="s">
        <v>375</v>
      </c>
      <c r="G2771" s="8">
        <v>5</v>
      </c>
      <c r="H2771" s="11">
        <v>200</v>
      </c>
      <c r="I2771" s="12">
        <v>42703</v>
      </c>
      <c r="J2771" s="35">
        <f t="shared" si="105"/>
        <v>0</v>
      </c>
      <c r="K2771" s="36"/>
      <c r="L2771" s="36"/>
      <c r="M2771" s="36"/>
      <c r="N2771" s="36"/>
      <c r="O2771" s="36"/>
      <c r="P2771" s="36"/>
      <c r="Q2771" s="36"/>
      <c r="R2771" s="36"/>
      <c r="S2771" s="36"/>
      <c r="T2771" s="36"/>
      <c r="U2771" s="36"/>
      <c r="V2771" s="36"/>
      <c r="W2771" s="15">
        <f t="shared" si="106"/>
        <v>0</v>
      </c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15">
        <f t="shared" si="107"/>
        <v>0</v>
      </c>
      <c r="AK2771" s="14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14"/>
      <c r="AV2771" s="14"/>
      <c r="AW2771" s="15"/>
      <c r="AX2771" s="16"/>
    </row>
    <row r="2772" spans="1:51" x14ac:dyDescent="0.2">
      <c r="B2772" s="7"/>
      <c r="C2772" s="8">
        <v>13319</v>
      </c>
      <c r="D2772" s="9" t="s">
        <v>373</v>
      </c>
      <c r="E2772" s="10" t="s">
        <v>374</v>
      </c>
      <c r="F2772" s="10" t="s">
        <v>375</v>
      </c>
      <c r="G2772" s="8">
        <v>4</v>
      </c>
      <c r="H2772" s="11">
        <v>200</v>
      </c>
      <c r="I2772" s="12">
        <v>42703</v>
      </c>
      <c r="J2772" s="35">
        <f t="shared" si="105"/>
        <v>0</v>
      </c>
      <c r="K2772" s="36"/>
      <c r="L2772" s="36"/>
      <c r="M2772" s="36"/>
      <c r="N2772" s="36"/>
      <c r="O2772" s="36"/>
      <c r="P2772" s="36"/>
      <c r="Q2772" s="36"/>
      <c r="R2772" s="36"/>
      <c r="S2772" s="36"/>
      <c r="T2772" s="36"/>
      <c r="U2772" s="36"/>
      <c r="V2772" s="36"/>
      <c r="W2772" s="15">
        <f t="shared" si="106"/>
        <v>0</v>
      </c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15">
        <f t="shared" si="107"/>
        <v>0</v>
      </c>
      <c r="AK2772" s="14"/>
      <c r="AL2772" s="14"/>
      <c r="AM2772" s="14"/>
      <c r="AN2772" s="14"/>
      <c r="AO2772" s="14"/>
      <c r="AP2772" s="14"/>
      <c r="AQ2772" s="14"/>
      <c r="AR2772" s="14"/>
      <c r="AS2772" s="14"/>
      <c r="AT2772" s="14"/>
      <c r="AU2772" s="14"/>
      <c r="AV2772" s="14"/>
      <c r="AW2772" s="15"/>
      <c r="AX2772" s="16" t="s">
        <v>3180</v>
      </c>
      <c r="AY2772" s="112">
        <f>SUM(H2724:H2769)</f>
        <v>28000</v>
      </c>
    </row>
    <row r="2773" spans="1:51" x14ac:dyDescent="0.2">
      <c r="B2773" s="7"/>
      <c r="C2773" s="8">
        <v>13320</v>
      </c>
      <c r="D2773" s="9" t="s">
        <v>514</v>
      </c>
      <c r="E2773" s="10" t="s">
        <v>515</v>
      </c>
      <c r="F2773" s="10" t="s">
        <v>516</v>
      </c>
      <c r="G2773" s="8">
        <v>7</v>
      </c>
      <c r="H2773" s="11">
        <v>350</v>
      </c>
      <c r="I2773" s="12">
        <v>42703</v>
      </c>
      <c r="J2773" s="35">
        <f t="shared" si="105"/>
        <v>0</v>
      </c>
      <c r="K2773" s="36"/>
      <c r="L2773" s="36"/>
      <c r="M2773" s="36"/>
      <c r="N2773" s="36"/>
      <c r="O2773" s="36"/>
      <c r="P2773" s="36"/>
      <c r="Q2773" s="36"/>
      <c r="R2773" s="36"/>
      <c r="S2773" s="36"/>
      <c r="T2773" s="36"/>
      <c r="U2773" s="36"/>
      <c r="V2773" s="36"/>
      <c r="W2773" s="15">
        <f t="shared" si="106"/>
        <v>0</v>
      </c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15">
        <f t="shared" si="107"/>
        <v>0</v>
      </c>
      <c r="AK2773" s="14"/>
      <c r="AL2773" s="14"/>
      <c r="AM2773" s="14"/>
      <c r="AN2773" s="14"/>
      <c r="AO2773" s="14"/>
      <c r="AP2773" s="14"/>
      <c r="AQ2773" s="14"/>
      <c r="AR2773" s="14"/>
      <c r="AS2773" s="14"/>
      <c r="AT2773" s="14"/>
      <c r="AU2773" s="14"/>
      <c r="AV2773" s="14"/>
      <c r="AW2773" s="15"/>
      <c r="AX2773" s="16"/>
    </row>
    <row r="2774" spans="1:51" x14ac:dyDescent="0.2">
      <c r="B2774" s="7"/>
      <c r="C2774" s="8">
        <v>13321</v>
      </c>
      <c r="D2774" s="9" t="s">
        <v>220</v>
      </c>
      <c r="E2774" s="10" t="s">
        <v>221</v>
      </c>
      <c r="F2774" s="10" t="s">
        <v>222</v>
      </c>
      <c r="G2774" s="8">
        <v>1</v>
      </c>
      <c r="H2774" s="11">
        <v>300</v>
      </c>
      <c r="I2774" s="12">
        <v>42703</v>
      </c>
      <c r="J2774" s="35">
        <f t="shared" si="105"/>
        <v>0</v>
      </c>
      <c r="K2774" s="36"/>
      <c r="L2774" s="36"/>
      <c r="M2774" s="36"/>
      <c r="N2774" s="36"/>
      <c r="O2774" s="36"/>
      <c r="P2774" s="36"/>
      <c r="Q2774" s="36"/>
      <c r="R2774" s="36"/>
      <c r="S2774" s="36"/>
      <c r="T2774" s="36"/>
      <c r="U2774" s="36">
        <v>300</v>
      </c>
      <c r="V2774" s="36"/>
      <c r="W2774" s="15">
        <f t="shared" si="106"/>
        <v>300</v>
      </c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15">
        <f t="shared" si="107"/>
        <v>0</v>
      </c>
      <c r="AK2774" s="14"/>
      <c r="AL2774" s="14"/>
      <c r="AM2774" s="14"/>
      <c r="AN2774" s="14"/>
      <c r="AO2774" s="14"/>
      <c r="AP2774" s="14"/>
      <c r="AQ2774" s="14"/>
      <c r="AR2774" s="14"/>
      <c r="AS2774" s="14"/>
      <c r="AT2774" s="14"/>
      <c r="AU2774" s="14"/>
      <c r="AV2774" s="14"/>
      <c r="AW2774" s="15"/>
      <c r="AX2774" s="16"/>
      <c r="AY2774" s="112">
        <f>SUM(H2770:H2774)</f>
        <v>1450</v>
      </c>
    </row>
    <row r="2775" spans="1:51" x14ac:dyDescent="0.2">
      <c r="B2775" s="7"/>
      <c r="C2775" s="8">
        <v>13326</v>
      </c>
      <c r="D2775" s="9" t="s">
        <v>211</v>
      </c>
      <c r="E2775" s="10" t="s">
        <v>212</v>
      </c>
      <c r="F2775" s="10" t="s">
        <v>213</v>
      </c>
      <c r="G2775" s="8">
        <v>1</v>
      </c>
      <c r="H2775" s="11">
        <v>300</v>
      </c>
      <c r="I2775" s="12">
        <v>42678</v>
      </c>
      <c r="J2775" s="35">
        <f t="shared" si="105"/>
        <v>0</v>
      </c>
      <c r="K2775" s="36"/>
      <c r="L2775" s="36"/>
      <c r="M2775" s="36"/>
      <c r="N2775" s="36"/>
      <c r="O2775" s="36"/>
      <c r="P2775" s="36"/>
      <c r="Q2775" s="36"/>
      <c r="R2775" s="36"/>
      <c r="S2775" s="36"/>
      <c r="T2775" s="36"/>
      <c r="U2775" s="36">
        <v>300</v>
      </c>
      <c r="V2775" s="36"/>
      <c r="W2775" s="15">
        <f t="shared" si="106"/>
        <v>300</v>
      </c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15">
        <f t="shared" si="107"/>
        <v>0</v>
      </c>
      <c r="AK2775" s="14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/>
      <c r="AV2775" s="14"/>
      <c r="AW2775" s="15"/>
      <c r="AX2775" s="16"/>
    </row>
    <row r="2776" spans="1:51" x14ac:dyDescent="0.2">
      <c r="B2776" s="7"/>
      <c r="C2776" s="8"/>
      <c r="D2776" s="9" t="s">
        <v>806</v>
      </c>
      <c r="E2776" s="10" t="s">
        <v>885</v>
      </c>
      <c r="F2776" s="10" t="s">
        <v>805</v>
      </c>
      <c r="G2776" s="8">
        <v>1</v>
      </c>
      <c r="H2776" s="11">
        <v>11000</v>
      </c>
      <c r="I2776" s="12">
        <v>42698</v>
      </c>
      <c r="J2776" s="35">
        <f t="shared" si="105"/>
        <v>0</v>
      </c>
      <c r="K2776" s="36"/>
      <c r="L2776" s="36"/>
      <c r="M2776" s="36"/>
      <c r="N2776" s="36"/>
      <c r="O2776" s="36"/>
      <c r="P2776" s="36"/>
      <c r="Q2776" s="36"/>
      <c r="R2776" s="36"/>
      <c r="S2776" s="36"/>
      <c r="T2776" s="36"/>
      <c r="U2776" s="36">
        <v>11000</v>
      </c>
      <c r="V2776" s="36"/>
      <c r="W2776" s="15">
        <f t="shared" si="106"/>
        <v>11000</v>
      </c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15">
        <f t="shared" si="107"/>
        <v>0</v>
      </c>
      <c r="AK2776" s="14"/>
      <c r="AL2776" s="14"/>
      <c r="AM2776" s="14"/>
      <c r="AN2776" s="14"/>
      <c r="AO2776" s="14"/>
      <c r="AP2776" s="14"/>
      <c r="AQ2776" s="14"/>
      <c r="AR2776" s="14"/>
      <c r="AS2776" s="14"/>
      <c r="AT2776" s="14"/>
      <c r="AU2776" s="14"/>
      <c r="AV2776" s="14"/>
      <c r="AW2776" s="15"/>
      <c r="AX2776" s="16"/>
    </row>
    <row r="2777" spans="1:51" x14ac:dyDescent="0.2">
      <c r="B2777" s="7"/>
      <c r="C2777" s="8"/>
      <c r="D2777" s="9"/>
      <c r="E2777" s="10" t="s">
        <v>93</v>
      </c>
      <c r="F2777" s="10" t="s">
        <v>93</v>
      </c>
      <c r="G2777" s="8"/>
      <c r="H2777" s="11"/>
      <c r="I2777" s="12"/>
      <c r="J2777" s="35">
        <f t="shared" si="105"/>
        <v>0</v>
      </c>
      <c r="K2777" s="36"/>
      <c r="L2777" s="36"/>
      <c r="M2777" s="36"/>
      <c r="N2777" s="36"/>
      <c r="O2777" s="36"/>
      <c r="P2777" s="36"/>
      <c r="Q2777" s="36"/>
      <c r="R2777" s="36"/>
      <c r="S2777" s="36"/>
      <c r="T2777" s="36"/>
      <c r="U2777" s="36"/>
      <c r="V2777" s="36"/>
      <c r="W2777" s="15">
        <f t="shared" si="106"/>
        <v>0</v>
      </c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15">
        <f t="shared" si="107"/>
        <v>0</v>
      </c>
      <c r="AK2777" s="14"/>
      <c r="AL2777" s="14"/>
      <c r="AM2777" s="14"/>
      <c r="AN2777" s="14"/>
      <c r="AO2777" s="14"/>
      <c r="AP2777" s="14"/>
      <c r="AQ2777" s="14"/>
      <c r="AR2777" s="14"/>
      <c r="AS2777" s="14"/>
      <c r="AT2777" s="14"/>
      <c r="AU2777" s="14"/>
      <c r="AV2777" s="14"/>
      <c r="AW2777" s="15"/>
      <c r="AX2777" s="16"/>
    </row>
    <row r="2778" spans="1:51" x14ac:dyDescent="0.2">
      <c r="B2778" s="7"/>
      <c r="C2778" s="8"/>
      <c r="D2778" s="9"/>
      <c r="E2778" s="10" t="s">
        <v>93</v>
      </c>
      <c r="F2778" s="10" t="s">
        <v>93</v>
      </c>
      <c r="G2778" s="8"/>
      <c r="H2778" s="11"/>
      <c r="I2778" s="12"/>
      <c r="J2778" s="35">
        <f t="shared" si="105"/>
        <v>0</v>
      </c>
      <c r="K2778" s="36"/>
      <c r="L2778" s="36"/>
      <c r="M2778" s="36"/>
      <c r="N2778" s="36"/>
      <c r="O2778" s="36"/>
      <c r="P2778" s="36"/>
      <c r="Q2778" s="36"/>
      <c r="R2778" s="36"/>
      <c r="S2778" s="36"/>
      <c r="T2778" s="36"/>
      <c r="U2778" s="36"/>
      <c r="V2778" s="36"/>
      <c r="W2778" s="15">
        <f t="shared" si="106"/>
        <v>0</v>
      </c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15">
        <f t="shared" si="107"/>
        <v>0</v>
      </c>
      <c r="AK2778" s="14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14"/>
      <c r="AV2778" s="14"/>
      <c r="AW2778" s="15"/>
      <c r="AX2778" s="16"/>
      <c r="AY2778" s="112">
        <f>SUM(H2562:H2776)</f>
        <v>113215</v>
      </c>
    </row>
    <row r="2779" spans="1:51" ht="22.5" x14ac:dyDescent="0.2">
      <c r="A2779" s="2"/>
      <c r="B2779" s="7"/>
      <c r="C2779" s="3" t="s">
        <v>2</v>
      </c>
      <c r="D2779" s="3" t="s">
        <v>3</v>
      </c>
      <c r="E2779" s="3" t="s">
        <v>4</v>
      </c>
      <c r="F2779" s="3" t="s">
        <v>5</v>
      </c>
      <c r="G2779" s="3" t="s">
        <v>6</v>
      </c>
      <c r="H2779" s="3" t="s">
        <v>7</v>
      </c>
      <c r="I2779" s="3" t="s">
        <v>8</v>
      </c>
      <c r="J2779" s="3" t="s">
        <v>9</v>
      </c>
      <c r="K2779" s="4" t="s">
        <v>10</v>
      </c>
      <c r="L2779" s="4" t="s">
        <v>11</v>
      </c>
      <c r="M2779" s="4" t="s">
        <v>12</v>
      </c>
      <c r="N2779" s="4" t="s">
        <v>13</v>
      </c>
      <c r="O2779" s="4" t="s">
        <v>14</v>
      </c>
      <c r="P2779" s="4" t="s">
        <v>15</v>
      </c>
      <c r="Q2779" s="4" t="s">
        <v>16</v>
      </c>
      <c r="R2779" s="4" t="s">
        <v>17</v>
      </c>
      <c r="S2779" s="4" t="s">
        <v>18</v>
      </c>
      <c r="T2779" s="4" t="s">
        <v>19</v>
      </c>
      <c r="U2779" s="4" t="s">
        <v>20</v>
      </c>
      <c r="V2779" s="4" t="s">
        <v>21</v>
      </c>
      <c r="W2779" s="5" t="s">
        <v>22</v>
      </c>
      <c r="X2779" s="4" t="s">
        <v>23</v>
      </c>
      <c r="Y2779" s="4" t="s">
        <v>24</v>
      </c>
      <c r="Z2779" s="4" t="s">
        <v>25</v>
      </c>
      <c r="AA2779" s="4" t="s">
        <v>26</v>
      </c>
      <c r="AB2779" s="4" t="s">
        <v>27</v>
      </c>
      <c r="AC2779" s="4" t="s">
        <v>28</v>
      </c>
      <c r="AD2779" s="4" t="s">
        <v>29</v>
      </c>
      <c r="AE2779" s="4" t="s">
        <v>30</v>
      </c>
      <c r="AF2779" s="4" t="s">
        <v>31</v>
      </c>
      <c r="AG2779" s="4" t="s">
        <v>32</v>
      </c>
      <c r="AH2779" s="4" t="s">
        <v>33</v>
      </c>
      <c r="AI2779" s="4" t="s">
        <v>34</v>
      </c>
      <c r="AJ2779" s="5" t="s">
        <v>35</v>
      </c>
      <c r="AK2779" s="4" t="s">
        <v>4607</v>
      </c>
      <c r="AL2779" s="4" t="s">
        <v>4608</v>
      </c>
      <c r="AM2779" s="4" t="s">
        <v>4609</v>
      </c>
      <c r="AN2779" s="4" t="s">
        <v>4610</v>
      </c>
      <c r="AO2779" s="4" t="s">
        <v>4611</v>
      </c>
      <c r="AP2779" s="4" t="s">
        <v>4612</v>
      </c>
      <c r="AQ2779" s="4" t="s">
        <v>4613</v>
      </c>
      <c r="AR2779" s="4" t="s">
        <v>4614</v>
      </c>
      <c r="AS2779" s="4" t="s">
        <v>4615</v>
      </c>
      <c r="AT2779" s="4" t="s">
        <v>4616</v>
      </c>
      <c r="AU2779" s="4" t="s">
        <v>4617</v>
      </c>
      <c r="AV2779" s="4" t="s">
        <v>4618</v>
      </c>
      <c r="AW2779" s="338" t="s">
        <v>4619</v>
      </c>
      <c r="AX2779" s="6" t="s">
        <v>36</v>
      </c>
    </row>
    <row r="2780" spans="1:51" x14ac:dyDescent="0.2">
      <c r="B2780" s="7"/>
      <c r="C2780" s="8">
        <v>13322</v>
      </c>
      <c r="D2780" s="9" t="s">
        <v>861</v>
      </c>
      <c r="E2780" s="10" t="str">
        <f>IF(D2780=0,"",VLOOKUP(D2780,BASE,2,FALSE))</f>
        <v>Rancho La Cuchilla No. 7, 202</v>
      </c>
      <c r="F2780" s="10" t="str">
        <f>IF(D2780=0,"",VLOOKUP(D2780,BASE,3,FALSE))</f>
        <v>Carbajal Zayas</v>
      </c>
      <c r="G2780" s="8">
        <v>1</v>
      </c>
      <c r="H2780" s="11">
        <v>400</v>
      </c>
      <c r="I2780" s="12">
        <v>42705</v>
      </c>
      <c r="J2780" s="35">
        <f t="shared" si="105"/>
        <v>0</v>
      </c>
      <c r="K2780" s="36"/>
      <c r="L2780" s="36"/>
      <c r="M2780" s="36"/>
      <c r="N2780" s="36"/>
      <c r="O2780" s="36"/>
      <c r="P2780" s="36"/>
      <c r="Q2780" s="36"/>
      <c r="R2780" s="36">
        <v>100</v>
      </c>
      <c r="S2780" s="36">
        <v>100</v>
      </c>
      <c r="T2780" s="36">
        <v>100</v>
      </c>
      <c r="U2780" s="36">
        <v>100</v>
      </c>
      <c r="V2780" s="36"/>
      <c r="W2780" s="15">
        <f t="shared" si="106"/>
        <v>400</v>
      </c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15">
        <f t="shared" si="107"/>
        <v>0</v>
      </c>
      <c r="AK2780" s="14"/>
      <c r="AL2780" s="14"/>
      <c r="AM2780" s="14"/>
      <c r="AN2780" s="14"/>
      <c r="AO2780" s="14"/>
      <c r="AP2780" s="14"/>
      <c r="AQ2780" s="14"/>
      <c r="AR2780" s="14"/>
      <c r="AS2780" s="14"/>
      <c r="AT2780" s="14"/>
      <c r="AU2780" s="14"/>
      <c r="AV2780" s="14"/>
      <c r="AW2780" s="15"/>
      <c r="AX2780" s="16"/>
    </row>
    <row r="2781" spans="1:51" x14ac:dyDescent="0.2">
      <c r="B2781" s="7"/>
      <c r="C2781" s="8">
        <v>13323</v>
      </c>
      <c r="D2781" s="9" t="s">
        <v>803</v>
      </c>
      <c r="E2781" s="10" t="str">
        <f>IF(D2781=0,"",VLOOKUP(D2781,BASE,2,FALSE))</f>
        <v>Rancho La Cuchilla No. 36</v>
      </c>
      <c r="F2781" s="10" t="str">
        <f>IF(D2781=0,"",VLOOKUP(D2781,BASE,3,FALSE))</f>
        <v>Castillo</v>
      </c>
      <c r="G2781" s="8">
        <v>1</v>
      </c>
      <c r="H2781" s="11">
        <v>1200</v>
      </c>
      <c r="I2781" s="12">
        <v>42705</v>
      </c>
      <c r="J2781" s="35">
        <f t="shared" si="105"/>
        <v>0</v>
      </c>
      <c r="K2781" s="36"/>
      <c r="L2781" s="36"/>
      <c r="M2781" s="36"/>
      <c r="N2781" s="36"/>
      <c r="O2781" s="36"/>
      <c r="P2781" s="36"/>
      <c r="Q2781" s="36"/>
      <c r="R2781" s="36"/>
      <c r="S2781" s="36">
        <v>400</v>
      </c>
      <c r="T2781" s="36">
        <v>400</v>
      </c>
      <c r="U2781" s="36">
        <v>400</v>
      </c>
      <c r="V2781" s="36"/>
      <c r="W2781" s="15">
        <f t="shared" si="106"/>
        <v>1200</v>
      </c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15">
        <f t="shared" si="107"/>
        <v>0</v>
      </c>
      <c r="AK2781" s="14"/>
      <c r="AL2781" s="14"/>
      <c r="AM2781" s="14"/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5"/>
      <c r="AX2781" s="16"/>
    </row>
    <row r="2782" spans="1:51" x14ac:dyDescent="0.2">
      <c r="B2782" s="7"/>
      <c r="C2782" s="8">
        <v>13324</v>
      </c>
      <c r="D2782" s="9" t="s">
        <v>965</v>
      </c>
      <c r="E2782" s="10" t="str">
        <f>IF(D2782=0,"",VLOOKUP(D2782,BASE,2,FALSE))</f>
        <v>Rancho La Cuchilla No. 52</v>
      </c>
      <c r="F2782" s="10" t="str">
        <f>IF(D2782=0,"",VLOOKUP(D2782,BASE,3,FALSE))</f>
        <v>Velázquez</v>
      </c>
      <c r="G2782" s="8">
        <v>1</v>
      </c>
      <c r="H2782" s="11">
        <v>800</v>
      </c>
      <c r="I2782" s="12">
        <v>42705</v>
      </c>
      <c r="J2782" s="35">
        <f t="shared" si="105"/>
        <v>0</v>
      </c>
      <c r="K2782" s="36"/>
      <c r="L2782" s="36"/>
      <c r="M2782" s="36"/>
      <c r="N2782" s="36"/>
      <c r="O2782" s="36"/>
      <c r="P2782" s="36"/>
      <c r="Q2782" s="36"/>
      <c r="R2782" s="36">
        <v>400</v>
      </c>
      <c r="S2782" s="36">
        <v>400</v>
      </c>
      <c r="T2782" s="36"/>
      <c r="U2782" s="36"/>
      <c r="V2782" s="36"/>
      <c r="W2782" s="15">
        <f t="shared" si="106"/>
        <v>800</v>
      </c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15">
        <f t="shared" si="107"/>
        <v>0</v>
      </c>
      <c r="AK2782" s="14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14"/>
      <c r="AV2782" s="14"/>
      <c r="AW2782" s="15"/>
      <c r="AX2782" s="16"/>
    </row>
    <row r="2783" spans="1:51" x14ac:dyDescent="0.2">
      <c r="B2783" s="7"/>
      <c r="C2783" s="8">
        <v>13325</v>
      </c>
      <c r="D2783" s="9" t="s">
        <v>550</v>
      </c>
      <c r="E2783" s="10" t="str">
        <f>IF(D2783=0,"",VLOOKUP(D2783,BASE,2,FALSE))</f>
        <v>Rancho Landero No. 89</v>
      </c>
      <c r="F2783" s="10" t="str">
        <f>IF(D2783=0,"",VLOOKUP(D2783,BASE,3,FALSE))</f>
        <v>Del Pozo Solís</v>
      </c>
      <c r="G2783" s="8">
        <v>1</v>
      </c>
      <c r="H2783" s="11">
        <v>300</v>
      </c>
      <c r="I2783" s="12">
        <v>42705</v>
      </c>
      <c r="J2783" s="35">
        <f t="shared" si="105"/>
        <v>0</v>
      </c>
      <c r="K2783" s="36"/>
      <c r="L2783" s="36"/>
      <c r="M2783" s="36"/>
      <c r="N2783" s="36"/>
      <c r="O2783" s="36"/>
      <c r="P2783" s="36"/>
      <c r="Q2783" s="36"/>
      <c r="R2783" s="36"/>
      <c r="S2783" s="36"/>
      <c r="T2783" s="36"/>
      <c r="U2783" s="36">
        <v>300</v>
      </c>
      <c r="V2783" s="36"/>
      <c r="W2783" s="15">
        <f t="shared" si="106"/>
        <v>300</v>
      </c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15">
        <f t="shared" si="107"/>
        <v>0</v>
      </c>
      <c r="AK2783" s="14"/>
      <c r="AL2783" s="14"/>
      <c r="AM2783" s="14"/>
      <c r="AN2783" s="14"/>
      <c r="AO2783" s="14"/>
      <c r="AP2783" s="14"/>
      <c r="AQ2783" s="14"/>
      <c r="AR2783" s="14"/>
      <c r="AS2783" s="14"/>
      <c r="AT2783" s="14"/>
      <c r="AU2783" s="14"/>
      <c r="AV2783" s="14"/>
      <c r="AW2783" s="15"/>
      <c r="AX2783" s="16"/>
    </row>
    <row r="2784" spans="1:51" x14ac:dyDescent="0.2">
      <c r="B2784" s="7"/>
      <c r="C2784" s="8">
        <v>13326</v>
      </c>
      <c r="D2784" s="9" t="s">
        <v>211</v>
      </c>
      <c r="E2784" s="10" t="str">
        <f>IF(D2784=0,"",VLOOKUP(D2784,BASE,2,FALSE))</f>
        <v>Rancho Upácuaro No. 46</v>
      </c>
      <c r="F2784" s="10" t="str">
        <f>IF(D2784=0,"",VLOOKUP(D2784,BASE,3,FALSE))</f>
        <v>Fuentes</v>
      </c>
      <c r="G2784" s="8"/>
      <c r="H2784" s="11"/>
      <c r="I2784" s="12"/>
      <c r="J2784" s="35">
        <f t="shared" si="105"/>
        <v>0</v>
      </c>
      <c r="K2784" s="36"/>
      <c r="L2784" s="36"/>
      <c r="M2784" s="36"/>
      <c r="N2784" s="36"/>
      <c r="O2784" s="36"/>
      <c r="P2784" s="36"/>
      <c r="Q2784" s="36"/>
      <c r="R2784" s="36"/>
      <c r="S2784" s="36"/>
      <c r="T2784" s="36"/>
      <c r="U2784" s="36"/>
      <c r="V2784" s="36"/>
      <c r="W2784" s="15">
        <f t="shared" si="106"/>
        <v>0</v>
      </c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15">
        <f t="shared" si="107"/>
        <v>0</v>
      </c>
      <c r="AK2784" s="14"/>
      <c r="AL2784" s="14"/>
      <c r="AM2784" s="14"/>
      <c r="AN2784" s="14"/>
      <c r="AO2784" s="14"/>
      <c r="AP2784" s="14"/>
      <c r="AQ2784" s="14"/>
      <c r="AR2784" s="14"/>
      <c r="AS2784" s="14"/>
      <c r="AT2784" s="14"/>
      <c r="AU2784" s="14"/>
      <c r="AV2784" s="14"/>
      <c r="AW2784" s="15"/>
      <c r="AX2784" s="16"/>
    </row>
    <row r="2785" spans="2:50" x14ac:dyDescent="0.2">
      <c r="B2785" s="7"/>
      <c r="C2785" s="8">
        <v>13327</v>
      </c>
      <c r="D2785" s="9" t="s">
        <v>280</v>
      </c>
      <c r="E2785" s="10" t="str">
        <f t="shared" ref="E2785:E2803" si="108">IF(D2785=0,"",VLOOKUP(D2785,BASE,2,FALSE))</f>
        <v>Rancho La Cuchilla No. 40</v>
      </c>
      <c r="F2785" s="10" t="str">
        <f t="shared" ref="F2785:F2803" si="109">IF(D2785=0,"",VLOOKUP(D2785,BASE,3,FALSE))</f>
        <v>López Pico</v>
      </c>
      <c r="G2785" s="8">
        <v>1</v>
      </c>
      <c r="H2785" s="11">
        <v>400</v>
      </c>
      <c r="I2785" s="12">
        <v>42707</v>
      </c>
      <c r="J2785" s="35">
        <f t="shared" si="105"/>
        <v>0</v>
      </c>
      <c r="K2785" s="36"/>
      <c r="L2785" s="36"/>
      <c r="M2785" s="36"/>
      <c r="N2785" s="36"/>
      <c r="O2785" s="36"/>
      <c r="P2785" s="36"/>
      <c r="Q2785" s="36"/>
      <c r="R2785" s="36"/>
      <c r="S2785" s="36"/>
      <c r="T2785" s="36"/>
      <c r="U2785" s="36"/>
      <c r="V2785" s="36">
        <v>400</v>
      </c>
      <c r="W2785" s="15">
        <f t="shared" si="106"/>
        <v>400</v>
      </c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15">
        <f t="shared" si="107"/>
        <v>0</v>
      </c>
      <c r="AK2785" s="14"/>
      <c r="AL2785" s="14"/>
      <c r="AM2785" s="14"/>
      <c r="AN2785" s="14"/>
      <c r="AO2785" s="14"/>
      <c r="AP2785" s="14"/>
      <c r="AQ2785" s="14"/>
      <c r="AR2785" s="14"/>
      <c r="AS2785" s="14"/>
      <c r="AT2785" s="14"/>
      <c r="AU2785" s="14"/>
      <c r="AV2785" s="14"/>
      <c r="AW2785" s="15"/>
      <c r="AX2785" s="16"/>
    </row>
    <row r="2786" spans="2:50" x14ac:dyDescent="0.2">
      <c r="B2786" s="7"/>
      <c r="C2786" s="8">
        <v>13328</v>
      </c>
      <c r="D2786" s="9" t="s">
        <v>189</v>
      </c>
      <c r="E2786" s="10" t="str">
        <f t="shared" si="108"/>
        <v>Rancho La Cuchilla No. 42</v>
      </c>
      <c r="F2786" s="10" t="str">
        <f t="shared" si="109"/>
        <v>Mac Kinney</v>
      </c>
      <c r="G2786" s="8">
        <v>1</v>
      </c>
      <c r="H2786" s="11">
        <v>800</v>
      </c>
      <c r="I2786" s="12">
        <v>42707</v>
      </c>
      <c r="J2786" s="35">
        <f t="shared" si="105"/>
        <v>0</v>
      </c>
      <c r="K2786" s="36"/>
      <c r="L2786" s="36"/>
      <c r="M2786" s="36"/>
      <c r="N2786" s="36"/>
      <c r="O2786" s="36"/>
      <c r="P2786" s="36"/>
      <c r="Q2786" s="36"/>
      <c r="R2786" s="36"/>
      <c r="S2786" s="36"/>
      <c r="T2786" s="36">
        <v>400</v>
      </c>
      <c r="U2786" s="36">
        <v>400</v>
      </c>
      <c r="V2786" s="36"/>
      <c r="W2786" s="15">
        <f t="shared" si="106"/>
        <v>800</v>
      </c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15">
        <f t="shared" si="107"/>
        <v>0</v>
      </c>
      <c r="AK2786" s="14"/>
      <c r="AL2786" s="14"/>
      <c r="AM2786" s="14"/>
      <c r="AN2786" s="14"/>
      <c r="AO2786" s="14"/>
      <c r="AP2786" s="14"/>
      <c r="AQ2786" s="14"/>
      <c r="AR2786" s="14"/>
      <c r="AS2786" s="14"/>
      <c r="AT2786" s="14"/>
      <c r="AU2786" s="14"/>
      <c r="AV2786" s="14"/>
      <c r="AW2786" s="15"/>
      <c r="AX2786" s="16"/>
    </row>
    <row r="2787" spans="2:50" x14ac:dyDescent="0.2">
      <c r="B2787" s="7"/>
      <c r="C2787" s="8">
        <v>13329</v>
      </c>
      <c r="D2787" s="9" t="s">
        <v>640</v>
      </c>
      <c r="E2787" s="10" t="str">
        <f t="shared" si="108"/>
        <v>Rancho Estopila No. 22, A</v>
      </c>
      <c r="F2787" s="10" t="str">
        <f t="shared" si="109"/>
        <v>Ayala Carranza</v>
      </c>
      <c r="G2787" s="8">
        <v>1</v>
      </c>
      <c r="H2787" s="11">
        <v>400</v>
      </c>
      <c r="I2787" s="12">
        <v>42707</v>
      </c>
      <c r="J2787" s="35">
        <f t="shared" ref="J2787:J2848" si="110">IF(G2787=1,SUM(W2787,AJ2787,-H2787),0)</f>
        <v>0</v>
      </c>
      <c r="K2787" s="36"/>
      <c r="L2787" s="36"/>
      <c r="M2787" s="36"/>
      <c r="N2787" s="36"/>
      <c r="O2787" s="36"/>
      <c r="P2787" s="36"/>
      <c r="Q2787" s="36"/>
      <c r="R2787" s="36"/>
      <c r="S2787" s="36"/>
      <c r="T2787" s="36">
        <v>200</v>
      </c>
      <c r="U2787" s="36">
        <v>200</v>
      </c>
      <c r="V2787" s="36"/>
      <c r="W2787" s="15">
        <f t="shared" ref="W2787:W2848" si="111">SUM(K2787:V2787)</f>
        <v>400</v>
      </c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15">
        <f t="shared" ref="AJ2787:AJ2848" si="112">SUM(X2787:AI2787)</f>
        <v>0</v>
      </c>
      <c r="AK2787" s="14"/>
      <c r="AL2787" s="14"/>
      <c r="AM2787" s="14"/>
      <c r="AN2787" s="14"/>
      <c r="AO2787" s="14"/>
      <c r="AP2787" s="14"/>
      <c r="AQ2787" s="14"/>
      <c r="AR2787" s="14"/>
      <c r="AS2787" s="14"/>
      <c r="AT2787" s="14"/>
      <c r="AU2787" s="14"/>
      <c r="AV2787" s="14"/>
      <c r="AW2787" s="15"/>
      <c r="AX2787" s="16"/>
    </row>
    <row r="2788" spans="2:50" x14ac:dyDescent="0.2">
      <c r="B2788" s="7"/>
      <c r="C2788" s="8">
        <v>13330</v>
      </c>
      <c r="D2788" s="9" t="s">
        <v>103</v>
      </c>
      <c r="E2788" s="10" t="str">
        <f t="shared" si="108"/>
        <v>Rancho La Cuchilla No. 41</v>
      </c>
      <c r="F2788" s="10" t="str">
        <f t="shared" si="109"/>
        <v>Arriaga Lemus</v>
      </c>
      <c r="G2788" s="8">
        <v>1</v>
      </c>
      <c r="H2788" s="11">
        <v>400</v>
      </c>
      <c r="I2788" s="12">
        <v>42707</v>
      </c>
      <c r="J2788" s="35">
        <f t="shared" si="110"/>
        <v>0</v>
      </c>
      <c r="K2788" s="36"/>
      <c r="L2788" s="36"/>
      <c r="M2788" s="36"/>
      <c r="N2788" s="36"/>
      <c r="O2788" s="36"/>
      <c r="P2788" s="36"/>
      <c r="Q2788" s="36"/>
      <c r="R2788" s="36"/>
      <c r="S2788" s="36"/>
      <c r="T2788" s="36"/>
      <c r="U2788" s="36">
        <v>400</v>
      </c>
      <c r="V2788" s="36"/>
      <c r="W2788" s="15">
        <f t="shared" si="111"/>
        <v>400</v>
      </c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15">
        <f t="shared" si="112"/>
        <v>0</v>
      </c>
      <c r="AK2788" s="14"/>
      <c r="AL2788" s="14"/>
      <c r="AM2788" s="14"/>
      <c r="AN2788" s="14"/>
      <c r="AO2788" s="14"/>
      <c r="AP2788" s="14"/>
      <c r="AQ2788" s="14"/>
      <c r="AR2788" s="14"/>
      <c r="AS2788" s="14"/>
      <c r="AT2788" s="14"/>
      <c r="AU2788" s="14"/>
      <c r="AV2788" s="14"/>
      <c r="AW2788" s="15"/>
      <c r="AX2788" s="16"/>
    </row>
    <row r="2789" spans="2:50" x14ac:dyDescent="0.2">
      <c r="B2789" s="7"/>
      <c r="C2789" s="8">
        <v>13331</v>
      </c>
      <c r="D2789" s="9" t="s">
        <v>241</v>
      </c>
      <c r="E2789" s="10" t="str">
        <f t="shared" si="108"/>
        <v>Rancho La Cuchilla No. 81, A</v>
      </c>
      <c r="F2789" s="10" t="str">
        <f t="shared" si="109"/>
        <v>Barrientos López</v>
      </c>
      <c r="G2789" s="8">
        <v>1</v>
      </c>
      <c r="H2789" s="11">
        <v>400</v>
      </c>
      <c r="I2789" s="12">
        <v>42707</v>
      </c>
      <c r="J2789" s="35">
        <f t="shared" si="110"/>
        <v>0</v>
      </c>
      <c r="K2789" s="36"/>
      <c r="L2789" s="36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>
        <v>400</v>
      </c>
      <c r="W2789" s="15">
        <f t="shared" si="111"/>
        <v>400</v>
      </c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15">
        <f t="shared" si="112"/>
        <v>0</v>
      </c>
      <c r="AK2789" s="14"/>
      <c r="AL2789" s="14"/>
      <c r="AM2789" s="14"/>
      <c r="AN2789" s="14"/>
      <c r="AO2789" s="14"/>
      <c r="AP2789" s="14"/>
      <c r="AQ2789" s="14"/>
      <c r="AR2789" s="14"/>
      <c r="AS2789" s="14"/>
      <c r="AT2789" s="14"/>
      <c r="AU2789" s="14"/>
      <c r="AV2789" s="14"/>
      <c r="AW2789" s="15"/>
      <c r="AX2789" s="16"/>
    </row>
    <row r="2790" spans="2:50" x14ac:dyDescent="0.2">
      <c r="B2790" s="7"/>
      <c r="C2790" s="8">
        <v>13332</v>
      </c>
      <c r="D2790" s="9" t="s">
        <v>882</v>
      </c>
      <c r="E2790" s="10" t="str">
        <f t="shared" si="108"/>
        <v>Rancho Upácuaro No. 54</v>
      </c>
      <c r="F2790" s="10" t="str">
        <f t="shared" si="109"/>
        <v>García Rueda</v>
      </c>
      <c r="G2790" s="8">
        <v>1</v>
      </c>
      <c r="H2790" s="11">
        <v>400</v>
      </c>
      <c r="I2790" s="12">
        <v>42707</v>
      </c>
      <c r="J2790" s="35">
        <f t="shared" si="110"/>
        <v>0</v>
      </c>
      <c r="K2790" s="36"/>
      <c r="L2790" s="36"/>
      <c r="M2790" s="36"/>
      <c r="N2790" s="36"/>
      <c r="O2790" s="36"/>
      <c r="P2790" s="36"/>
      <c r="Q2790" s="36"/>
      <c r="R2790" s="36"/>
      <c r="S2790" s="36"/>
      <c r="T2790" s="36"/>
      <c r="U2790" s="36">
        <v>200</v>
      </c>
      <c r="V2790" s="36">
        <v>200</v>
      </c>
      <c r="W2790" s="15">
        <f t="shared" si="111"/>
        <v>400</v>
      </c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15">
        <f t="shared" si="112"/>
        <v>0</v>
      </c>
      <c r="AK2790" s="14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14"/>
      <c r="AV2790" s="14"/>
      <c r="AW2790" s="15"/>
      <c r="AX2790" s="16"/>
    </row>
    <row r="2791" spans="2:50" x14ac:dyDescent="0.2">
      <c r="B2791" s="7"/>
      <c r="C2791" s="8">
        <v>13333</v>
      </c>
      <c r="D2791" s="9" t="s">
        <v>797</v>
      </c>
      <c r="E2791" s="10" t="str">
        <f t="shared" si="108"/>
        <v>Rancho Recoveco No. 195</v>
      </c>
      <c r="F2791" s="10" t="str">
        <f t="shared" si="109"/>
        <v>Sandoval</v>
      </c>
      <c r="G2791" s="8">
        <v>1</v>
      </c>
      <c r="H2791" s="11">
        <v>400</v>
      </c>
      <c r="I2791" s="12">
        <v>42707</v>
      </c>
      <c r="J2791" s="35">
        <f t="shared" si="110"/>
        <v>0</v>
      </c>
      <c r="K2791" s="36"/>
      <c r="L2791" s="36"/>
      <c r="M2791" s="36"/>
      <c r="N2791" s="36"/>
      <c r="O2791" s="36"/>
      <c r="P2791" s="36"/>
      <c r="Q2791" s="36"/>
      <c r="R2791" s="36"/>
      <c r="S2791" s="36"/>
      <c r="T2791" s="36"/>
      <c r="U2791" s="36"/>
      <c r="V2791" s="36">
        <v>400</v>
      </c>
      <c r="W2791" s="15">
        <f t="shared" si="111"/>
        <v>400</v>
      </c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15">
        <f t="shared" si="112"/>
        <v>0</v>
      </c>
      <c r="AK2791" s="14"/>
      <c r="AL2791" s="14"/>
      <c r="AM2791" s="14"/>
      <c r="AN2791" s="14"/>
      <c r="AO2791" s="14"/>
      <c r="AP2791" s="14"/>
      <c r="AQ2791" s="14"/>
      <c r="AR2791" s="14"/>
      <c r="AS2791" s="14"/>
      <c r="AT2791" s="14"/>
      <c r="AU2791" s="14"/>
      <c r="AV2791" s="14"/>
      <c r="AW2791" s="15"/>
      <c r="AX2791" s="16"/>
    </row>
    <row r="2792" spans="2:50" x14ac:dyDescent="0.2">
      <c r="B2792" s="7"/>
      <c r="C2792" s="8">
        <v>13334</v>
      </c>
      <c r="D2792" s="9" t="s">
        <v>97</v>
      </c>
      <c r="E2792" s="10" t="str">
        <f t="shared" si="108"/>
        <v>Rancho La Cuchilla No. 78</v>
      </c>
      <c r="F2792" s="10" t="str">
        <f t="shared" si="109"/>
        <v>García</v>
      </c>
      <c r="G2792" s="8">
        <v>1</v>
      </c>
      <c r="H2792" s="11">
        <v>400</v>
      </c>
      <c r="I2792" s="12">
        <v>42707</v>
      </c>
      <c r="J2792" s="35">
        <f t="shared" si="110"/>
        <v>0</v>
      </c>
      <c r="K2792" s="36"/>
      <c r="L2792" s="36"/>
      <c r="M2792" s="36"/>
      <c r="N2792" s="36"/>
      <c r="O2792" s="36"/>
      <c r="P2792" s="36"/>
      <c r="Q2792" s="36"/>
      <c r="R2792" s="36"/>
      <c r="S2792" s="36"/>
      <c r="T2792" s="36"/>
      <c r="U2792" s="36"/>
      <c r="V2792" s="36">
        <v>400</v>
      </c>
      <c r="W2792" s="15">
        <f t="shared" si="111"/>
        <v>400</v>
      </c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15">
        <f t="shared" si="112"/>
        <v>0</v>
      </c>
      <c r="AK2792" s="14"/>
      <c r="AL2792" s="14"/>
      <c r="AM2792" s="14"/>
      <c r="AN2792" s="14"/>
      <c r="AO2792" s="14"/>
      <c r="AP2792" s="14"/>
      <c r="AQ2792" s="14"/>
      <c r="AR2792" s="14"/>
      <c r="AS2792" s="14"/>
      <c r="AT2792" s="14"/>
      <c r="AU2792" s="14"/>
      <c r="AV2792" s="14"/>
      <c r="AW2792" s="15"/>
      <c r="AX2792" s="16"/>
    </row>
    <row r="2793" spans="2:50" x14ac:dyDescent="0.2">
      <c r="B2793" s="7"/>
      <c r="C2793" s="8">
        <v>13335</v>
      </c>
      <c r="D2793" s="9" t="s">
        <v>479</v>
      </c>
      <c r="E2793" s="10" t="str">
        <f t="shared" si="108"/>
        <v>Rancho Zinamba No. 68</v>
      </c>
      <c r="F2793" s="10" t="str">
        <f t="shared" si="109"/>
        <v>Rivera Villicaña</v>
      </c>
      <c r="G2793" s="8">
        <v>1</v>
      </c>
      <c r="H2793" s="11">
        <v>300</v>
      </c>
      <c r="I2793" s="12">
        <v>42707</v>
      </c>
      <c r="J2793" s="35">
        <f t="shared" si="110"/>
        <v>0</v>
      </c>
      <c r="K2793" s="36"/>
      <c r="L2793" s="36"/>
      <c r="M2793" s="36"/>
      <c r="N2793" s="36"/>
      <c r="O2793" s="36"/>
      <c r="P2793" s="36"/>
      <c r="Q2793" s="36"/>
      <c r="R2793" s="36"/>
      <c r="S2793" s="36"/>
      <c r="T2793" s="36"/>
      <c r="U2793" s="36"/>
      <c r="V2793" s="36">
        <v>300</v>
      </c>
      <c r="W2793" s="15">
        <f t="shared" si="111"/>
        <v>300</v>
      </c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15">
        <f t="shared" si="112"/>
        <v>0</v>
      </c>
      <c r="AK2793" s="14"/>
      <c r="AL2793" s="14"/>
      <c r="AM2793" s="14"/>
      <c r="AN2793" s="14"/>
      <c r="AO2793" s="14"/>
      <c r="AP2793" s="14"/>
      <c r="AQ2793" s="14"/>
      <c r="AR2793" s="14"/>
      <c r="AS2793" s="14"/>
      <c r="AT2793" s="14"/>
      <c r="AU2793" s="14"/>
      <c r="AV2793" s="14"/>
      <c r="AW2793" s="15"/>
      <c r="AX2793" s="16"/>
    </row>
    <row r="2794" spans="2:50" x14ac:dyDescent="0.2">
      <c r="B2794" s="7"/>
      <c r="C2794" s="8">
        <v>13336</v>
      </c>
      <c r="D2794" s="9" t="s">
        <v>392</v>
      </c>
      <c r="E2794" s="10" t="str">
        <f t="shared" si="108"/>
        <v>Rancho Estopila No. 18</v>
      </c>
      <c r="F2794" s="10" t="str">
        <f t="shared" si="109"/>
        <v>Aguilar Zarmeño</v>
      </c>
      <c r="G2794" s="8">
        <v>1</v>
      </c>
      <c r="H2794" s="11">
        <v>4400</v>
      </c>
      <c r="I2794" s="12">
        <v>42707</v>
      </c>
      <c r="J2794" s="35">
        <f t="shared" si="110"/>
        <v>0</v>
      </c>
      <c r="K2794" s="36"/>
      <c r="L2794" s="36"/>
      <c r="M2794" s="36"/>
      <c r="N2794" s="36"/>
      <c r="O2794" s="36"/>
      <c r="P2794" s="36"/>
      <c r="Q2794" s="36"/>
      <c r="R2794" s="36"/>
      <c r="S2794" s="36"/>
      <c r="T2794" s="36"/>
      <c r="U2794" s="36"/>
      <c r="V2794" s="36"/>
      <c r="W2794" s="15">
        <f t="shared" si="111"/>
        <v>0</v>
      </c>
      <c r="X2794" s="36">
        <v>400</v>
      </c>
      <c r="Y2794" s="36">
        <v>400</v>
      </c>
      <c r="Z2794" s="36">
        <v>400</v>
      </c>
      <c r="AA2794" s="36">
        <v>400</v>
      </c>
      <c r="AB2794" s="36">
        <v>400</v>
      </c>
      <c r="AC2794" s="36">
        <v>400</v>
      </c>
      <c r="AD2794" s="36">
        <v>400</v>
      </c>
      <c r="AE2794" s="36">
        <v>400</v>
      </c>
      <c r="AF2794" s="36">
        <v>400</v>
      </c>
      <c r="AG2794" s="36">
        <v>400</v>
      </c>
      <c r="AH2794" s="36">
        <v>400</v>
      </c>
      <c r="AI2794" s="36"/>
      <c r="AJ2794" s="15">
        <f t="shared" si="112"/>
        <v>4400</v>
      </c>
      <c r="AK2794" s="14"/>
      <c r="AL2794" s="14"/>
      <c r="AM2794" s="14"/>
      <c r="AN2794" s="14"/>
      <c r="AO2794" s="14"/>
      <c r="AP2794" s="14"/>
      <c r="AQ2794" s="14"/>
      <c r="AR2794" s="14"/>
      <c r="AS2794" s="14"/>
      <c r="AT2794" s="14"/>
      <c r="AU2794" s="14"/>
      <c r="AV2794" s="14"/>
      <c r="AW2794" s="15"/>
      <c r="AX2794" s="16" t="s">
        <v>3176</v>
      </c>
    </row>
    <row r="2795" spans="2:50" x14ac:dyDescent="0.2">
      <c r="B2795" s="7"/>
      <c r="C2795" s="8">
        <v>13337</v>
      </c>
      <c r="D2795" s="9" t="s">
        <v>238</v>
      </c>
      <c r="E2795" s="10" t="str">
        <f t="shared" si="108"/>
        <v>Rancho La Cuchilla No. 43, B</v>
      </c>
      <c r="F2795" s="10" t="str">
        <f t="shared" si="109"/>
        <v>Luna Albertano</v>
      </c>
      <c r="G2795" s="8">
        <v>1</v>
      </c>
      <c r="H2795" s="11">
        <v>125</v>
      </c>
      <c r="I2795" s="12">
        <v>42707</v>
      </c>
      <c r="J2795" s="35">
        <f t="shared" si="110"/>
        <v>0</v>
      </c>
      <c r="K2795" s="36"/>
      <c r="L2795" s="36"/>
      <c r="M2795" s="36"/>
      <c r="N2795" s="36"/>
      <c r="O2795" s="36"/>
      <c r="P2795" s="36"/>
      <c r="Q2795" s="36"/>
      <c r="R2795" s="36"/>
      <c r="S2795" s="36"/>
      <c r="T2795" s="36"/>
      <c r="U2795" s="36"/>
      <c r="V2795" s="36">
        <v>125</v>
      </c>
      <c r="W2795" s="15">
        <f t="shared" si="111"/>
        <v>125</v>
      </c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15">
        <f t="shared" si="112"/>
        <v>0</v>
      </c>
      <c r="AK2795" s="14"/>
      <c r="AL2795" s="14"/>
      <c r="AM2795" s="14"/>
      <c r="AN2795" s="14"/>
      <c r="AO2795" s="14"/>
      <c r="AP2795" s="14"/>
      <c r="AQ2795" s="14"/>
      <c r="AR2795" s="14"/>
      <c r="AS2795" s="14"/>
      <c r="AT2795" s="14"/>
      <c r="AU2795" s="14"/>
      <c r="AV2795" s="14"/>
      <c r="AW2795" s="15"/>
      <c r="AX2795" s="16"/>
    </row>
    <row r="2796" spans="2:50" x14ac:dyDescent="0.2">
      <c r="B2796" s="7"/>
      <c r="C2796" s="8">
        <v>13338</v>
      </c>
      <c r="D2796" s="9" t="s">
        <v>678</v>
      </c>
      <c r="E2796" s="10" t="str">
        <f t="shared" si="108"/>
        <v>Rancho Upácuaro No. 76</v>
      </c>
      <c r="F2796" s="10" t="str">
        <f t="shared" si="109"/>
        <v>Ruiz de San Pedro</v>
      </c>
      <c r="G2796" s="8">
        <v>1</v>
      </c>
      <c r="H2796" s="11">
        <v>400</v>
      </c>
      <c r="I2796" s="12">
        <v>42707</v>
      </c>
      <c r="J2796" s="35">
        <f t="shared" si="110"/>
        <v>0</v>
      </c>
      <c r="K2796" s="36"/>
      <c r="L2796" s="36"/>
      <c r="M2796" s="36"/>
      <c r="N2796" s="36"/>
      <c r="O2796" s="36"/>
      <c r="P2796" s="36"/>
      <c r="Q2796" s="36"/>
      <c r="R2796" s="36"/>
      <c r="S2796" s="36"/>
      <c r="T2796" s="36"/>
      <c r="U2796" s="36"/>
      <c r="V2796" s="36">
        <v>400</v>
      </c>
      <c r="W2796" s="15">
        <f t="shared" si="111"/>
        <v>400</v>
      </c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15">
        <f t="shared" si="112"/>
        <v>0</v>
      </c>
      <c r="AK2796" s="14"/>
      <c r="AL2796" s="14"/>
      <c r="AM2796" s="14"/>
      <c r="AN2796" s="14"/>
      <c r="AO2796" s="14"/>
      <c r="AP2796" s="14"/>
      <c r="AQ2796" s="14"/>
      <c r="AR2796" s="14"/>
      <c r="AS2796" s="14"/>
      <c r="AT2796" s="14"/>
      <c r="AU2796" s="14"/>
      <c r="AV2796" s="14"/>
      <c r="AW2796" s="15"/>
      <c r="AX2796" s="16"/>
    </row>
    <row r="2797" spans="2:50" x14ac:dyDescent="0.2">
      <c r="B2797" s="7"/>
      <c r="C2797" s="8">
        <v>13339</v>
      </c>
      <c r="D2797" s="9" t="s">
        <v>84</v>
      </c>
      <c r="E2797" s="10" t="str">
        <f t="shared" si="108"/>
        <v>Rancho La Cuchilla No. 139</v>
      </c>
      <c r="F2797" s="10" t="str">
        <f t="shared" si="109"/>
        <v>Garcia</v>
      </c>
      <c r="G2797" s="8">
        <v>1</v>
      </c>
      <c r="H2797" s="11">
        <v>200</v>
      </c>
      <c r="I2797" s="12">
        <v>42707</v>
      </c>
      <c r="J2797" s="35">
        <f t="shared" si="110"/>
        <v>0</v>
      </c>
      <c r="K2797" s="36"/>
      <c r="L2797" s="36"/>
      <c r="M2797" s="36"/>
      <c r="N2797" s="36"/>
      <c r="O2797" s="36"/>
      <c r="P2797" s="36"/>
      <c r="Q2797" s="36"/>
      <c r="R2797" s="36"/>
      <c r="S2797" s="36"/>
      <c r="T2797" s="36"/>
      <c r="U2797" s="36"/>
      <c r="V2797" s="36">
        <v>200</v>
      </c>
      <c r="W2797" s="15">
        <f t="shared" si="111"/>
        <v>200</v>
      </c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15">
        <f t="shared" si="112"/>
        <v>0</v>
      </c>
      <c r="AK2797" s="14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14"/>
      <c r="AV2797" s="14"/>
      <c r="AW2797" s="15"/>
      <c r="AX2797" s="16"/>
    </row>
    <row r="2798" spans="2:50" x14ac:dyDescent="0.2">
      <c r="B2798" s="7"/>
      <c r="C2798" s="8">
        <v>13340</v>
      </c>
      <c r="D2798" s="9" t="s">
        <v>1257</v>
      </c>
      <c r="E2798" s="10" t="str">
        <f t="shared" si="108"/>
        <v>Rancho La Cuchilla No. 9</v>
      </c>
      <c r="F2798" s="10" t="str">
        <f t="shared" si="109"/>
        <v>Martín del Campo</v>
      </c>
      <c r="G2798" s="8">
        <v>5</v>
      </c>
      <c r="H2798" s="11">
        <v>50</v>
      </c>
      <c r="I2798" s="12">
        <v>42707</v>
      </c>
      <c r="J2798" s="35">
        <f t="shared" si="110"/>
        <v>0</v>
      </c>
      <c r="K2798" s="36"/>
      <c r="L2798" s="36"/>
      <c r="M2798" s="36"/>
      <c r="N2798" s="36"/>
      <c r="O2798" s="36"/>
      <c r="P2798" s="36"/>
      <c r="Q2798" s="36"/>
      <c r="R2798" s="36"/>
      <c r="S2798" s="36"/>
      <c r="T2798" s="36"/>
      <c r="U2798" s="36"/>
      <c r="V2798" s="36"/>
      <c r="W2798" s="15">
        <f t="shared" si="111"/>
        <v>0</v>
      </c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15">
        <f t="shared" si="112"/>
        <v>0</v>
      </c>
      <c r="AK2798" s="14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/>
      <c r="AW2798" s="15"/>
      <c r="AX2798" s="16"/>
    </row>
    <row r="2799" spans="2:50" x14ac:dyDescent="0.2">
      <c r="B2799" s="7"/>
      <c r="C2799" s="8">
        <v>13341</v>
      </c>
      <c r="D2799" s="9" t="s">
        <v>1092</v>
      </c>
      <c r="E2799" s="10" t="str">
        <f t="shared" si="108"/>
        <v>Rancho Estanzuela No. 9, A</v>
      </c>
      <c r="F2799" s="10" t="str">
        <f t="shared" si="109"/>
        <v>Castañeda</v>
      </c>
      <c r="G2799" s="8">
        <v>1</v>
      </c>
      <c r="H2799" s="11">
        <v>400</v>
      </c>
      <c r="I2799" s="12">
        <v>42707</v>
      </c>
      <c r="J2799" s="35">
        <f t="shared" si="110"/>
        <v>0</v>
      </c>
      <c r="K2799" s="36"/>
      <c r="L2799" s="36"/>
      <c r="M2799" s="36"/>
      <c r="N2799" s="36"/>
      <c r="O2799" s="36"/>
      <c r="P2799" s="36"/>
      <c r="Q2799" s="36"/>
      <c r="R2799" s="36"/>
      <c r="S2799" s="36"/>
      <c r="T2799" s="36"/>
      <c r="U2799" s="36">
        <v>200</v>
      </c>
      <c r="V2799" s="36">
        <v>200</v>
      </c>
      <c r="W2799" s="15">
        <f t="shared" si="111"/>
        <v>400</v>
      </c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15">
        <f t="shared" si="112"/>
        <v>0</v>
      </c>
      <c r="AK2799" s="14"/>
      <c r="AL2799" s="14"/>
      <c r="AM2799" s="14"/>
      <c r="AN2799" s="14"/>
      <c r="AO2799" s="14"/>
      <c r="AP2799" s="14"/>
      <c r="AQ2799" s="14"/>
      <c r="AR2799" s="14"/>
      <c r="AS2799" s="14"/>
      <c r="AT2799" s="14"/>
      <c r="AU2799" s="14"/>
      <c r="AV2799" s="14"/>
      <c r="AW2799" s="15"/>
      <c r="AX2799" s="16"/>
    </row>
    <row r="2800" spans="2:50" x14ac:dyDescent="0.2">
      <c r="B2800" s="7"/>
      <c r="C2800" s="8">
        <v>13342</v>
      </c>
      <c r="D2800" s="9" t="s">
        <v>681</v>
      </c>
      <c r="E2800" s="10" t="str">
        <f t="shared" si="108"/>
        <v>Rancho Landero No. 87</v>
      </c>
      <c r="F2800" s="10" t="str">
        <f t="shared" si="109"/>
        <v>Fey Lafferla</v>
      </c>
      <c r="G2800" s="8">
        <v>1</v>
      </c>
      <c r="H2800" s="11">
        <v>300</v>
      </c>
      <c r="I2800" s="12">
        <v>42707</v>
      </c>
      <c r="J2800" s="35">
        <f t="shared" si="110"/>
        <v>0</v>
      </c>
      <c r="K2800" s="36"/>
      <c r="L2800" s="36"/>
      <c r="M2800" s="36"/>
      <c r="N2800" s="36"/>
      <c r="O2800" s="36"/>
      <c r="P2800" s="36"/>
      <c r="Q2800" s="36"/>
      <c r="R2800" s="36"/>
      <c r="S2800" s="36"/>
      <c r="T2800" s="36"/>
      <c r="U2800" s="36">
        <v>300</v>
      </c>
      <c r="V2800" s="36"/>
      <c r="W2800" s="15">
        <f t="shared" si="111"/>
        <v>300</v>
      </c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15">
        <f t="shared" si="112"/>
        <v>0</v>
      </c>
      <c r="AK2800" s="14"/>
      <c r="AL2800" s="14"/>
      <c r="AM2800" s="14"/>
      <c r="AN2800" s="14"/>
      <c r="AO2800" s="14"/>
      <c r="AP2800" s="14"/>
      <c r="AQ2800" s="14"/>
      <c r="AR2800" s="14"/>
      <c r="AS2800" s="14"/>
      <c r="AT2800" s="14"/>
      <c r="AU2800" s="14"/>
      <c r="AV2800" s="14"/>
      <c r="AW2800" s="15"/>
      <c r="AX2800" s="16"/>
    </row>
    <row r="2801" spans="2:50" x14ac:dyDescent="0.2">
      <c r="B2801" s="7"/>
      <c r="C2801" s="8">
        <v>13343</v>
      </c>
      <c r="D2801" s="9" t="s">
        <v>617</v>
      </c>
      <c r="E2801" s="10" t="str">
        <f t="shared" si="108"/>
        <v>Rancho Zinamba No. 50</v>
      </c>
      <c r="F2801" s="10" t="str">
        <f t="shared" si="109"/>
        <v>Del Castillo</v>
      </c>
      <c r="G2801" s="8">
        <v>1</v>
      </c>
      <c r="H2801" s="11">
        <v>400</v>
      </c>
      <c r="I2801" s="12">
        <v>42707</v>
      </c>
      <c r="J2801" s="35">
        <f t="shared" si="110"/>
        <v>0</v>
      </c>
      <c r="K2801" s="36"/>
      <c r="L2801" s="36"/>
      <c r="M2801" s="36"/>
      <c r="N2801" s="36"/>
      <c r="O2801" s="36"/>
      <c r="P2801" s="36"/>
      <c r="Q2801" s="36"/>
      <c r="R2801" s="36"/>
      <c r="S2801" s="36"/>
      <c r="T2801" s="36"/>
      <c r="U2801" s="36">
        <v>400</v>
      </c>
      <c r="V2801" s="36"/>
      <c r="W2801" s="15">
        <f t="shared" si="111"/>
        <v>400</v>
      </c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15">
        <f t="shared" si="112"/>
        <v>0</v>
      </c>
      <c r="AK2801" s="14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14"/>
      <c r="AV2801" s="14"/>
      <c r="AW2801" s="15"/>
      <c r="AX2801" s="16"/>
    </row>
    <row r="2802" spans="2:50" x14ac:dyDescent="0.2">
      <c r="B2802" s="7"/>
      <c r="C2802" s="8">
        <v>13344</v>
      </c>
      <c r="D2802" s="9" t="s">
        <v>905</v>
      </c>
      <c r="E2802" s="10" t="str">
        <f t="shared" si="108"/>
        <v>Rancho Landero No. 81</v>
      </c>
      <c r="F2802" s="10" t="str">
        <f t="shared" si="109"/>
        <v>Cebrían Saldaña</v>
      </c>
      <c r="G2802" s="8">
        <v>1</v>
      </c>
      <c r="H2802" s="11">
        <v>800</v>
      </c>
      <c r="I2802" s="12">
        <v>42707</v>
      </c>
      <c r="J2802" s="35">
        <f t="shared" si="110"/>
        <v>0</v>
      </c>
      <c r="K2802" s="36"/>
      <c r="L2802" s="36"/>
      <c r="M2802" s="36"/>
      <c r="N2802" s="36"/>
      <c r="O2802" s="36"/>
      <c r="P2802" s="36"/>
      <c r="Q2802" s="36"/>
      <c r="R2802" s="36"/>
      <c r="S2802" s="36">
        <v>200</v>
      </c>
      <c r="T2802" s="36">
        <v>200</v>
      </c>
      <c r="U2802" s="36">
        <v>200</v>
      </c>
      <c r="V2802" s="36">
        <v>200</v>
      </c>
      <c r="W2802" s="15">
        <f t="shared" si="111"/>
        <v>800</v>
      </c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15">
        <f t="shared" si="112"/>
        <v>0</v>
      </c>
      <c r="AK2802" s="14"/>
      <c r="AL2802" s="14"/>
      <c r="AM2802" s="14"/>
      <c r="AN2802" s="14"/>
      <c r="AO2802" s="14"/>
      <c r="AP2802" s="14"/>
      <c r="AQ2802" s="14"/>
      <c r="AR2802" s="14"/>
      <c r="AS2802" s="14"/>
      <c r="AT2802" s="14"/>
      <c r="AU2802" s="14"/>
      <c r="AV2802" s="14"/>
      <c r="AW2802" s="15"/>
      <c r="AX2802" s="16"/>
    </row>
    <row r="2803" spans="2:50" x14ac:dyDescent="0.2">
      <c r="B2803" s="7"/>
      <c r="C2803" s="8">
        <v>13345</v>
      </c>
      <c r="D2803" s="9" t="s">
        <v>62</v>
      </c>
      <c r="E2803" s="10" t="str">
        <f t="shared" si="108"/>
        <v>Rancho Romeral No. 10, A</v>
      </c>
      <c r="F2803" s="10" t="str">
        <f t="shared" si="109"/>
        <v>Casillas Álvarez</v>
      </c>
      <c r="G2803" s="8">
        <v>1</v>
      </c>
      <c r="H2803" s="11">
        <v>400</v>
      </c>
      <c r="I2803" s="12">
        <v>42707</v>
      </c>
      <c r="J2803" s="35">
        <f t="shared" si="110"/>
        <v>0</v>
      </c>
      <c r="K2803" s="36"/>
      <c r="L2803" s="36"/>
      <c r="M2803" s="36"/>
      <c r="N2803" s="36"/>
      <c r="O2803" s="36"/>
      <c r="P2803" s="36"/>
      <c r="Q2803" s="36"/>
      <c r="R2803" s="36"/>
      <c r="S2803" s="36"/>
      <c r="T2803" s="36"/>
      <c r="U2803" s="36"/>
      <c r="V2803" s="36"/>
      <c r="W2803" s="15">
        <f t="shared" si="111"/>
        <v>0</v>
      </c>
      <c r="X2803" s="36">
        <v>200</v>
      </c>
      <c r="Y2803" s="36">
        <v>200</v>
      </c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15">
        <f t="shared" si="112"/>
        <v>400</v>
      </c>
      <c r="AK2803" s="14"/>
      <c r="AL2803" s="14"/>
      <c r="AM2803" s="14"/>
      <c r="AN2803" s="14"/>
      <c r="AO2803" s="14"/>
      <c r="AP2803" s="14"/>
      <c r="AQ2803" s="14"/>
      <c r="AR2803" s="14"/>
      <c r="AS2803" s="14"/>
      <c r="AT2803" s="14"/>
      <c r="AU2803" s="14"/>
      <c r="AV2803" s="14"/>
      <c r="AW2803" s="15"/>
      <c r="AX2803" s="16"/>
    </row>
    <row r="2804" spans="2:50" x14ac:dyDescent="0.2">
      <c r="B2804" s="7"/>
      <c r="C2804" s="8">
        <v>13346</v>
      </c>
      <c r="D2804" s="9" t="s">
        <v>100</v>
      </c>
      <c r="E2804" s="10" t="str">
        <f t="shared" ref="E2804:E2818" si="113">IF(D2804=0,"",VLOOKUP(D2804,BASE,2,FALSE))</f>
        <v>Rancho Upácuaro No. 32</v>
      </c>
      <c r="F2804" s="10" t="str">
        <f t="shared" ref="F2804:F2818" si="114">IF(D2804=0,"",VLOOKUP(D2804,BASE,3,FALSE))</f>
        <v>Sairafi Carmen</v>
      </c>
      <c r="G2804" s="8">
        <v>1</v>
      </c>
      <c r="H2804" s="11">
        <v>400</v>
      </c>
      <c r="I2804" s="12">
        <v>42707</v>
      </c>
      <c r="J2804" s="35">
        <f t="shared" si="110"/>
        <v>0</v>
      </c>
      <c r="K2804" s="36"/>
      <c r="L2804" s="36"/>
      <c r="M2804" s="36"/>
      <c r="N2804" s="36"/>
      <c r="O2804" s="36"/>
      <c r="P2804" s="36"/>
      <c r="Q2804" s="36"/>
      <c r="R2804" s="36"/>
      <c r="S2804" s="36"/>
      <c r="T2804" s="36"/>
      <c r="U2804" s="36"/>
      <c r="V2804" s="36">
        <v>400</v>
      </c>
      <c r="W2804" s="15">
        <f t="shared" si="111"/>
        <v>400</v>
      </c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15">
        <f t="shared" si="112"/>
        <v>0</v>
      </c>
      <c r="AK2804" s="14"/>
      <c r="AL2804" s="14"/>
      <c r="AM2804" s="14"/>
      <c r="AN2804" s="14"/>
      <c r="AO2804" s="14"/>
      <c r="AP2804" s="14"/>
      <c r="AQ2804" s="14"/>
      <c r="AR2804" s="14"/>
      <c r="AS2804" s="14"/>
      <c r="AT2804" s="14"/>
      <c r="AU2804" s="14"/>
      <c r="AV2804" s="14"/>
      <c r="AW2804" s="15"/>
      <c r="AX2804" s="16"/>
    </row>
    <row r="2805" spans="2:50" x14ac:dyDescent="0.2">
      <c r="B2805" s="7"/>
      <c r="C2805" s="8">
        <v>13347</v>
      </c>
      <c r="D2805" s="9" t="s">
        <v>637</v>
      </c>
      <c r="E2805" s="10" t="str">
        <f t="shared" si="113"/>
        <v>Rancho Recoveco No. 193</v>
      </c>
      <c r="F2805" s="10" t="str">
        <f t="shared" si="114"/>
        <v>Salazar Pérez</v>
      </c>
      <c r="G2805" s="8">
        <v>4</v>
      </c>
      <c r="H2805" s="11">
        <v>200</v>
      </c>
      <c r="I2805" s="12">
        <v>42707</v>
      </c>
      <c r="J2805" s="35">
        <f t="shared" si="110"/>
        <v>0</v>
      </c>
      <c r="K2805" s="36"/>
      <c r="L2805" s="36"/>
      <c r="M2805" s="36"/>
      <c r="N2805" s="36"/>
      <c r="O2805" s="36"/>
      <c r="P2805" s="36"/>
      <c r="Q2805" s="36"/>
      <c r="R2805" s="36"/>
      <c r="S2805" s="36"/>
      <c r="T2805" s="36"/>
      <c r="U2805" s="36"/>
      <c r="V2805" s="36"/>
      <c r="W2805" s="15">
        <f t="shared" si="111"/>
        <v>0</v>
      </c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15">
        <f t="shared" si="112"/>
        <v>0</v>
      </c>
      <c r="AK2805" s="14"/>
      <c r="AL2805" s="14"/>
      <c r="AM2805" s="14"/>
      <c r="AN2805" s="14"/>
      <c r="AO2805" s="14"/>
      <c r="AP2805" s="14"/>
      <c r="AQ2805" s="14"/>
      <c r="AR2805" s="14"/>
      <c r="AS2805" s="14"/>
      <c r="AT2805" s="14"/>
      <c r="AU2805" s="14"/>
      <c r="AV2805" s="14"/>
      <c r="AW2805" s="15"/>
      <c r="AX2805" s="16" t="s">
        <v>3181</v>
      </c>
    </row>
    <row r="2806" spans="2:50" x14ac:dyDescent="0.2">
      <c r="B2806" s="7"/>
      <c r="C2806" s="8">
        <v>13348</v>
      </c>
      <c r="D2806" s="9" t="s">
        <v>292</v>
      </c>
      <c r="E2806" s="10" t="str">
        <f t="shared" si="113"/>
        <v>Rancho Upácuaro No. 140</v>
      </c>
      <c r="F2806" s="10" t="str">
        <f t="shared" si="114"/>
        <v>Gozain</v>
      </c>
      <c r="G2806" s="8">
        <v>1</v>
      </c>
      <c r="H2806" s="11">
        <v>400</v>
      </c>
      <c r="I2806" s="12">
        <v>42707</v>
      </c>
      <c r="J2806" s="35">
        <f t="shared" si="110"/>
        <v>0</v>
      </c>
      <c r="K2806" s="36"/>
      <c r="L2806" s="36"/>
      <c r="M2806" s="36"/>
      <c r="N2806" s="36"/>
      <c r="O2806" s="36"/>
      <c r="P2806" s="36"/>
      <c r="Q2806" s="36"/>
      <c r="R2806" s="36"/>
      <c r="S2806" s="36"/>
      <c r="T2806" s="36"/>
      <c r="U2806" s="36"/>
      <c r="V2806" s="36">
        <v>400</v>
      </c>
      <c r="W2806" s="15">
        <f t="shared" si="111"/>
        <v>400</v>
      </c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15">
        <f t="shared" si="112"/>
        <v>0</v>
      </c>
      <c r="AK2806" s="14"/>
      <c r="AL2806" s="14"/>
      <c r="AM2806" s="14"/>
      <c r="AN2806" s="14"/>
      <c r="AO2806" s="14"/>
      <c r="AP2806" s="14"/>
      <c r="AQ2806" s="14"/>
      <c r="AR2806" s="14"/>
      <c r="AS2806" s="14"/>
      <c r="AT2806" s="14"/>
      <c r="AU2806" s="14"/>
      <c r="AV2806" s="14"/>
      <c r="AW2806" s="15"/>
      <c r="AX2806" s="16"/>
    </row>
    <row r="2807" spans="2:50" x14ac:dyDescent="0.2">
      <c r="B2807" s="7"/>
      <c r="C2807" s="8">
        <v>13349</v>
      </c>
      <c r="D2807" s="9" t="s">
        <v>106</v>
      </c>
      <c r="E2807" s="10" t="str">
        <f t="shared" si="113"/>
        <v>Rancho La Cuchilla No. 45</v>
      </c>
      <c r="F2807" s="10" t="str">
        <f t="shared" si="114"/>
        <v>Estévez Hernández</v>
      </c>
      <c r="G2807" s="8">
        <v>1</v>
      </c>
      <c r="H2807" s="11">
        <v>4400</v>
      </c>
      <c r="I2807" s="12">
        <v>42707</v>
      </c>
      <c r="J2807" s="35">
        <f t="shared" si="110"/>
        <v>0</v>
      </c>
      <c r="K2807" s="36"/>
      <c r="L2807" s="36"/>
      <c r="M2807" s="36"/>
      <c r="N2807" s="36"/>
      <c r="O2807" s="36"/>
      <c r="P2807" s="36"/>
      <c r="Q2807" s="36"/>
      <c r="R2807" s="36"/>
      <c r="S2807" s="36"/>
      <c r="T2807" s="36"/>
      <c r="U2807" s="36"/>
      <c r="V2807" s="36"/>
      <c r="W2807" s="15">
        <f t="shared" si="111"/>
        <v>0</v>
      </c>
      <c r="X2807" s="36">
        <v>400</v>
      </c>
      <c r="Y2807" s="36">
        <v>400</v>
      </c>
      <c r="Z2807" s="36">
        <v>400</v>
      </c>
      <c r="AA2807" s="36">
        <v>400</v>
      </c>
      <c r="AB2807" s="36">
        <v>400</v>
      </c>
      <c r="AC2807" s="36">
        <v>400</v>
      </c>
      <c r="AD2807" s="36">
        <v>400</v>
      </c>
      <c r="AE2807" s="36">
        <v>400</v>
      </c>
      <c r="AF2807" s="36">
        <v>400</v>
      </c>
      <c r="AG2807" s="36">
        <v>400</v>
      </c>
      <c r="AH2807" s="36">
        <v>400</v>
      </c>
      <c r="AI2807" s="36"/>
      <c r="AJ2807" s="15">
        <f t="shared" si="112"/>
        <v>4400</v>
      </c>
      <c r="AK2807" s="14"/>
      <c r="AL2807" s="14"/>
      <c r="AM2807" s="14"/>
      <c r="AN2807" s="14"/>
      <c r="AO2807" s="14"/>
      <c r="AP2807" s="14"/>
      <c r="AQ2807" s="14"/>
      <c r="AR2807" s="14"/>
      <c r="AS2807" s="14"/>
      <c r="AT2807" s="14"/>
      <c r="AU2807" s="14"/>
      <c r="AV2807" s="14"/>
      <c r="AW2807" s="15"/>
      <c r="AX2807" s="16" t="s">
        <v>3176</v>
      </c>
    </row>
    <row r="2808" spans="2:50" x14ac:dyDescent="0.2">
      <c r="B2808" s="7"/>
      <c r="C2808" s="8">
        <v>13350</v>
      </c>
      <c r="D2808" s="9" t="s">
        <v>106</v>
      </c>
      <c r="E2808" s="10" t="str">
        <f t="shared" si="113"/>
        <v>Rancho La Cuchilla No. 45</v>
      </c>
      <c r="F2808" s="10" t="str">
        <f t="shared" si="114"/>
        <v>Estévez Hernández</v>
      </c>
      <c r="G2808" s="8">
        <v>5</v>
      </c>
      <c r="H2808" s="11">
        <v>50</v>
      </c>
      <c r="I2808" s="12">
        <v>42707</v>
      </c>
      <c r="J2808" s="35">
        <f t="shared" si="110"/>
        <v>0</v>
      </c>
      <c r="K2808" s="36"/>
      <c r="L2808" s="36"/>
      <c r="M2808" s="36"/>
      <c r="N2808" s="36"/>
      <c r="O2808" s="36"/>
      <c r="P2808" s="36"/>
      <c r="Q2808" s="36"/>
      <c r="R2808" s="36"/>
      <c r="S2808" s="36"/>
      <c r="T2808" s="36"/>
      <c r="U2808" s="36"/>
      <c r="V2808" s="36"/>
      <c r="W2808" s="15">
        <f t="shared" si="111"/>
        <v>0</v>
      </c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15">
        <f t="shared" si="112"/>
        <v>0</v>
      </c>
      <c r="AK2808" s="14"/>
      <c r="AL2808" s="14"/>
      <c r="AM2808" s="14"/>
      <c r="AN2808" s="14"/>
      <c r="AO2808" s="14"/>
      <c r="AP2808" s="14"/>
      <c r="AQ2808" s="14"/>
      <c r="AR2808" s="14"/>
      <c r="AS2808" s="14"/>
      <c r="AT2808" s="14"/>
      <c r="AU2808" s="14"/>
      <c r="AV2808" s="14"/>
      <c r="AW2808" s="15"/>
      <c r="AX2808" s="16"/>
    </row>
    <row r="2809" spans="2:50" x14ac:dyDescent="0.2">
      <c r="B2809" s="7"/>
      <c r="C2809" s="8">
        <v>13351</v>
      </c>
      <c r="D2809" s="9" t="s">
        <v>123</v>
      </c>
      <c r="E2809" s="10" t="str">
        <f t="shared" si="113"/>
        <v>Rancho Recoveco No. 175, B</v>
      </c>
      <c r="F2809" s="10" t="str">
        <f t="shared" si="114"/>
        <v>García Calderón</v>
      </c>
      <c r="G2809" s="8">
        <v>1</v>
      </c>
      <c r="H2809" s="11">
        <v>250</v>
      </c>
      <c r="I2809" s="12">
        <v>42707</v>
      </c>
      <c r="J2809" s="35">
        <f t="shared" si="110"/>
        <v>0</v>
      </c>
      <c r="K2809" s="36"/>
      <c r="L2809" s="36"/>
      <c r="M2809" s="36"/>
      <c r="N2809" s="36"/>
      <c r="O2809" s="36"/>
      <c r="P2809" s="36"/>
      <c r="Q2809" s="36"/>
      <c r="R2809" s="36"/>
      <c r="S2809" s="36"/>
      <c r="T2809" s="36"/>
      <c r="U2809" s="36"/>
      <c r="V2809" s="36">
        <v>250</v>
      </c>
      <c r="W2809" s="15">
        <f t="shared" si="111"/>
        <v>250</v>
      </c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15">
        <f t="shared" si="112"/>
        <v>0</v>
      </c>
      <c r="AK2809" s="14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14"/>
      <c r="AV2809" s="14"/>
      <c r="AW2809" s="15"/>
      <c r="AX2809" s="16"/>
    </row>
    <row r="2810" spans="2:50" x14ac:dyDescent="0.2">
      <c r="B2810" s="339"/>
      <c r="C2810" s="8">
        <v>13352</v>
      </c>
      <c r="D2810" s="9" t="s">
        <v>1441</v>
      </c>
      <c r="E2810" s="10" t="str">
        <f t="shared" si="113"/>
        <v>Rancho Upácuaro No. 92</v>
      </c>
      <c r="F2810" s="10" t="str">
        <f t="shared" si="114"/>
        <v>Rosetti</v>
      </c>
      <c r="G2810" s="8">
        <v>1</v>
      </c>
      <c r="H2810" s="11">
        <v>400</v>
      </c>
      <c r="I2810" s="12">
        <v>42707</v>
      </c>
      <c r="J2810" s="35">
        <f t="shared" si="110"/>
        <v>0</v>
      </c>
      <c r="K2810" s="36"/>
      <c r="L2810" s="36"/>
      <c r="M2810" s="36"/>
      <c r="N2810" s="36"/>
      <c r="O2810" s="36"/>
      <c r="P2810" s="36"/>
      <c r="Q2810" s="36"/>
      <c r="R2810" s="36"/>
      <c r="S2810" s="36"/>
      <c r="T2810" s="36"/>
      <c r="U2810" s="36"/>
      <c r="V2810" s="36">
        <v>400</v>
      </c>
      <c r="W2810" s="15">
        <f t="shared" si="111"/>
        <v>400</v>
      </c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15">
        <f t="shared" si="112"/>
        <v>0</v>
      </c>
      <c r="AK2810" s="14"/>
      <c r="AL2810" s="14"/>
      <c r="AM2810" s="14"/>
      <c r="AN2810" s="14"/>
      <c r="AO2810" s="14"/>
      <c r="AP2810" s="14"/>
      <c r="AQ2810" s="14"/>
      <c r="AR2810" s="14"/>
      <c r="AS2810" s="14"/>
      <c r="AT2810" s="14"/>
      <c r="AU2810" s="14"/>
      <c r="AV2810" s="14"/>
      <c r="AW2810" s="15"/>
      <c r="AX2810" s="16"/>
    </row>
    <row r="2811" spans="2:50" x14ac:dyDescent="0.2">
      <c r="B2811" s="7"/>
      <c r="C2811" s="8">
        <v>13353</v>
      </c>
      <c r="D2811" s="9" t="s">
        <v>186</v>
      </c>
      <c r="E2811" s="10" t="str">
        <f t="shared" si="113"/>
        <v>Rancho Upácuaro No. 100</v>
      </c>
      <c r="F2811" s="10" t="str">
        <f t="shared" si="114"/>
        <v>Valdez</v>
      </c>
      <c r="G2811" s="8">
        <v>1</v>
      </c>
      <c r="H2811" s="11">
        <v>400</v>
      </c>
      <c r="I2811" s="12">
        <v>42707</v>
      </c>
      <c r="J2811" s="35">
        <f t="shared" si="110"/>
        <v>0</v>
      </c>
      <c r="K2811" s="36"/>
      <c r="L2811" s="36"/>
      <c r="M2811" s="36"/>
      <c r="N2811" s="36"/>
      <c r="O2811" s="36"/>
      <c r="P2811" s="36"/>
      <c r="Q2811" s="36"/>
      <c r="R2811" s="36"/>
      <c r="S2811" s="36"/>
      <c r="T2811" s="36"/>
      <c r="U2811" s="36"/>
      <c r="V2811" s="36">
        <v>400</v>
      </c>
      <c r="W2811" s="15">
        <f t="shared" si="111"/>
        <v>400</v>
      </c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15">
        <f t="shared" si="112"/>
        <v>0</v>
      </c>
      <c r="AK2811" s="14"/>
      <c r="AL2811" s="14"/>
      <c r="AM2811" s="14"/>
      <c r="AN2811" s="14"/>
      <c r="AO2811" s="14"/>
      <c r="AP2811" s="14"/>
      <c r="AQ2811" s="14"/>
      <c r="AR2811" s="14"/>
      <c r="AS2811" s="14"/>
      <c r="AT2811" s="14"/>
      <c r="AU2811" s="14"/>
      <c r="AV2811" s="14"/>
      <c r="AW2811" s="15"/>
      <c r="AX2811" s="16"/>
    </row>
    <row r="2812" spans="2:50" x14ac:dyDescent="0.2">
      <c r="B2812" s="7"/>
      <c r="C2812" s="8">
        <v>13354</v>
      </c>
      <c r="D2812" s="9" t="s">
        <v>90</v>
      </c>
      <c r="E2812" s="10" t="str">
        <f t="shared" si="113"/>
        <v>Rancho Estanzuela No. 69</v>
      </c>
      <c r="F2812" s="10" t="str">
        <f t="shared" si="114"/>
        <v>Apaez</v>
      </c>
      <c r="G2812" s="8">
        <v>1</v>
      </c>
      <c r="H2812" s="11">
        <v>4400</v>
      </c>
      <c r="I2812" s="12">
        <v>42707</v>
      </c>
      <c r="J2812" s="35">
        <f t="shared" si="110"/>
        <v>0</v>
      </c>
      <c r="K2812" s="36"/>
      <c r="L2812" s="36"/>
      <c r="M2812" s="36"/>
      <c r="N2812" s="36"/>
      <c r="O2812" s="36"/>
      <c r="P2812" s="36"/>
      <c r="Q2812" s="36"/>
      <c r="R2812" s="36"/>
      <c r="S2812" s="36"/>
      <c r="T2812" s="36"/>
      <c r="U2812" s="36"/>
      <c r="V2812" s="36"/>
      <c r="W2812" s="15">
        <f t="shared" si="111"/>
        <v>0</v>
      </c>
      <c r="X2812" s="36">
        <v>400</v>
      </c>
      <c r="Y2812" s="36">
        <v>400</v>
      </c>
      <c r="Z2812" s="36">
        <v>400</v>
      </c>
      <c r="AA2812" s="36">
        <v>400</v>
      </c>
      <c r="AB2812" s="36">
        <v>400</v>
      </c>
      <c r="AC2812" s="36">
        <v>400</v>
      </c>
      <c r="AD2812" s="36">
        <v>400</v>
      </c>
      <c r="AE2812" s="36">
        <v>400</v>
      </c>
      <c r="AF2812" s="36">
        <v>400</v>
      </c>
      <c r="AG2812" s="36">
        <v>400</v>
      </c>
      <c r="AH2812" s="36">
        <v>400</v>
      </c>
      <c r="AI2812" s="36"/>
      <c r="AJ2812" s="15">
        <f t="shared" si="112"/>
        <v>4400</v>
      </c>
      <c r="AK2812" s="14"/>
      <c r="AL2812" s="14"/>
      <c r="AM2812" s="14"/>
      <c r="AN2812" s="14"/>
      <c r="AO2812" s="14"/>
      <c r="AP2812" s="14"/>
      <c r="AQ2812" s="14"/>
      <c r="AR2812" s="14"/>
      <c r="AS2812" s="14"/>
      <c r="AT2812" s="14"/>
      <c r="AU2812" s="14"/>
      <c r="AV2812" s="14"/>
      <c r="AW2812" s="15"/>
      <c r="AX2812" s="16" t="s">
        <v>3176</v>
      </c>
    </row>
    <row r="2813" spans="2:50" x14ac:dyDescent="0.2">
      <c r="B2813" s="7"/>
      <c r="C2813" s="8">
        <v>13355</v>
      </c>
      <c r="D2813" s="9" t="s">
        <v>94</v>
      </c>
      <c r="E2813" s="10" t="str">
        <f t="shared" si="113"/>
        <v>Rancho Landero No. 42</v>
      </c>
      <c r="F2813" s="10" t="str">
        <f t="shared" si="114"/>
        <v>Ávila Fidel</v>
      </c>
      <c r="G2813" s="8">
        <v>1</v>
      </c>
      <c r="H2813" s="11">
        <v>400</v>
      </c>
      <c r="I2813" s="12">
        <v>42707</v>
      </c>
      <c r="J2813" s="35">
        <f t="shared" si="110"/>
        <v>0</v>
      </c>
      <c r="K2813" s="36"/>
      <c r="L2813" s="36"/>
      <c r="M2813" s="36"/>
      <c r="N2813" s="36"/>
      <c r="O2813" s="36"/>
      <c r="P2813" s="36"/>
      <c r="Q2813" s="36"/>
      <c r="R2813" s="36"/>
      <c r="S2813" s="36"/>
      <c r="T2813" s="36"/>
      <c r="U2813" s="36"/>
      <c r="V2813" s="36">
        <v>400</v>
      </c>
      <c r="W2813" s="15">
        <f t="shared" si="111"/>
        <v>400</v>
      </c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15">
        <f t="shared" si="112"/>
        <v>0</v>
      </c>
      <c r="AK2813" s="14"/>
      <c r="AL2813" s="14"/>
      <c r="AM2813" s="14"/>
      <c r="AN2813" s="14"/>
      <c r="AO2813" s="14"/>
      <c r="AP2813" s="14"/>
      <c r="AQ2813" s="14"/>
      <c r="AR2813" s="14"/>
      <c r="AS2813" s="14"/>
      <c r="AT2813" s="14"/>
      <c r="AU2813" s="14"/>
      <c r="AV2813" s="14"/>
      <c r="AW2813" s="15"/>
      <c r="AX2813" s="16"/>
    </row>
    <row r="2814" spans="2:50" x14ac:dyDescent="0.2">
      <c r="B2814" s="7"/>
      <c r="C2814" s="8">
        <v>13356</v>
      </c>
      <c r="D2814" s="9" t="s">
        <v>437</v>
      </c>
      <c r="E2814" s="10" t="str">
        <f t="shared" si="113"/>
        <v>Rancho Upácuaro No. 47</v>
      </c>
      <c r="F2814" s="10" t="str">
        <f t="shared" si="114"/>
        <v>Flores Muñoz</v>
      </c>
      <c r="G2814" s="8">
        <v>1</v>
      </c>
      <c r="H2814" s="11">
        <v>800</v>
      </c>
      <c r="I2814" s="12">
        <v>42707</v>
      </c>
      <c r="J2814" s="35">
        <f t="shared" si="110"/>
        <v>0</v>
      </c>
      <c r="K2814" s="36"/>
      <c r="L2814" s="36"/>
      <c r="M2814" s="36"/>
      <c r="N2814" s="36"/>
      <c r="O2814" s="36"/>
      <c r="P2814" s="36"/>
      <c r="Q2814" s="36"/>
      <c r="R2814" s="36"/>
      <c r="S2814" s="36"/>
      <c r="T2814" s="36"/>
      <c r="U2814" s="36">
        <v>400</v>
      </c>
      <c r="V2814" s="36">
        <v>400</v>
      </c>
      <c r="W2814" s="15">
        <f t="shared" si="111"/>
        <v>800</v>
      </c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15">
        <f t="shared" si="112"/>
        <v>0</v>
      </c>
      <c r="AK2814" s="14"/>
      <c r="AL2814" s="14"/>
      <c r="AM2814" s="14"/>
      <c r="AN2814" s="14"/>
      <c r="AO2814" s="14"/>
      <c r="AP2814" s="14"/>
      <c r="AQ2814" s="14"/>
      <c r="AR2814" s="14"/>
      <c r="AS2814" s="14"/>
      <c r="AT2814" s="14"/>
      <c r="AU2814" s="14"/>
      <c r="AV2814" s="14"/>
      <c r="AW2814" s="15"/>
      <c r="AX2814" s="16"/>
    </row>
    <row r="2815" spans="2:50" x14ac:dyDescent="0.2">
      <c r="B2815" s="7"/>
      <c r="C2815" s="8">
        <v>13357</v>
      </c>
      <c r="D2815" s="9" t="s">
        <v>422</v>
      </c>
      <c r="E2815" s="10" t="str">
        <f t="shared" si="113"/>
        <v>Rancho Recoveco No. 183</v>
      </c>
      <c r="F2815" s="10" t="str">
        <f t="shared" si="114"/>
        <v>Atilano Limón</v>
      </c>
      <c r="G2815" s="8">
        <v>5</v>
      </c>
      <c r="H2815" s="11">
        <v>50</v>
      </c>
      <c r="I2815" s="12">
        <v>42707</v>
      </c>
      <c r="J2815" s="35">
        <f t="shared" si="110"/>
        <v>0</v>
      </c>
      <c r="K2815" s="36"/>
      <c r="L2815" s="36"/>
      <c r="M2815" s="36"/>
      <c r="N2815" s="36"/>
      <c r="O2815" s="36"/>
      <c r="P2815" s="36"/>
      <c r="Q2815" s="36"/>
      <c r="R2815" s="36"/>
      <c r="S2815" s="36"/>
      <c r="T2815" s="36"/>
      <c r="U2815" s="36"/>
      <c r="V2815" s="36"/>
      <c r="W2815" s="15">
        <f t="shared" si="111"/>
        <v>0</v>
      </c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15">
        <f t="shared" si="112"/>
        <v>0</v>
      </c>
      <c r="AK2815" s="14"/>
      <c r="AL2815" s="14"/>
      <c r="AM2815" s="14"/>
      <c r="AN2815" s="14"/>
      <c r="AO2815" s="14"/>
      <c r="AP2815" s="14"/>
      <c r="AQ2815" s="14"/>
      <c r="AR2815" s="14"/>
      <c r="AS2815" s="14"/>
      <c r="AT2815" s="14"/>
      <c r="AU2815" s="14"/>
      <c r="AV2815" s="14"/>
      <c r="AW2815" s="15"/>
      <c r="AX2815" s="16"/>
    </row>
    <row r="2816" spans="2:50" x14ac:dyDescent="0.2">
      <c r="B2816" s="7"/>
      <c r="C2816" s="8">
        <v>13358</v>
      </c>
      <c r="D2816" s="9" t="s">
        <v>1420</v>
      </c>
      <c r="E2816" s="10" t="str">
        <f t="shared" si="113"/>
        <v>Rancho Upácuaro No. 35</v>
      </c>
      <c r="F2816" s="10" t="str">
        <f t="shared" si="114"/>
        <v>García</v>
      </c>
      <c r="G2816" s="8">
        <v>3</v>
      </c>
      <c r="H2816" s="11">
        <v>200</v>
      </c>
      <c r="I2816" s="12">
        <v>42707</v>
      </c>
      <c r="J2816" s="35">
        <f t="shared" si="110"/>
        <v>0</v>
      </c>
      <c r="K2816" s="36"/>
      <c r="L2816" s="36"/>
      <c r="M2816" s="36"/>
      <c r="N2816" s="36"/>
      <c r="O2816" s="36"/>
      <c r="P2816" s="36"/>
      <c r="Q2816" s="36"/>
      <c r="R2816" s="36"/>
      <c r="S2816" s="36"/>
      <c r="T2816" s="36"/>
      <c r="U2816" s="36"/>
      <c r="V2816" s="36"/>
      <c r="W2816" s="15">
        <f t="shared" si="111"/>
        <v>0</v>
      </c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15">
        <f t="shared" si="112"/>
        <v>0</v>
      </c>
      <c r="AK2816" s="14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14"/>
      <c r="AV2816" s="14"/>
      <c r="AW2816" s="15"/>
      <c r="AX2816" s="16"/>
    </row>
    <row r="2817" spans="2:50" x14ac:dyDescent="0.2">
      <c r="B2817" s="7"/>
      <c r="C2817" s="8">
        <v>13359</v>
      </c>
      <c r="D2817" s="9" t="s">
        <v>132</v>
      </c>
      <c r="E2817" s="10" t="str">
        <f t="shared" si="113"/>
        <v>Rancho La Cuchilla No. 129</v>
      </c>
      <c r="F2817" s="10" t="str">
        <f t="shared" si="114"/>
        <v>Gamboa Rueda</v>
      </c>
      <c r="G2817" s="8">
        <v>1</v>
      </c>
      <c r="H2817" s="11">
        <v>300</v>
      </c>
      <c r="I2817" s="12">
        <v>42707</v>
      </c>
      <c r="J2817" s="35">
        <f t="shared" si="110"/>
        <v>0</v>
      </c>
      <c r="K2817" s="36"/>
      <c r="L2817" s="36"/>
      <c r="M2817" s="36"/>
      <c r="N2817" s="36"/>
      <c r="O2817" s="36"/>
      <c r="P2817" s="36"/>
      <c r="Q2817" s="36"/>
      <c r="R2817" s="36"/>
      <c r="S2817" s="36"/>
      <c r="T2817" s="36">
        <v>300</v>
      </c>
      <c r="U2817" s="36"/>
      <c r="V2817" s="36"/>
      <c r="W2817" s="15">
        <f t="shared" si="111"/>
        <v>300</v>
      </c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15">
        <f t="shared" si="112"/>
        <v>0</v>
      </c>
      <c r="AK2817" s="14"/>
      <c r="AL2817" s="14"/>
      <c r="AM2817" s="14"/>
      <c r="AN2817" s="14"/>
      <c r="AO2817" s="14"/>
      <c r="AP2817" s="14"/>
      <c r="AQ2817" s="14"/>
      <c r="AR2817" s="14"/>
      <c r="AS2817" s="14"/>
      <c r="AT2817" s="14"/>
      <c r="AU2817" s="14"/>
      <c r="AV2817" s="14"/>
      <c r="AW2817" s="15"/>
      <c r="AX2817" s="16"/>
    </row>
    <row r="2818" spans="2:50" x14ac:dyDescent="0.2">
      <c r="B2818" s="7"/>
      <c r="C2818" s="8">
        <v>13360</v>
      </c>
      <c r="D2818" s="9" t="s">
        <v>361</v>
      </c>
      <c r="E2818" s="10" t="str">
        <f t="shared" si="113"/>
        <v>Rancho Upácuaro No. 101</v>
      </c>
      <c r="F2818" s="10" t="str">
        <f t="shared" si="114"/>
        <v>Chávez, Arturo</v>
      </c>
      <c r="G2818" s="8">
        <v>1</v>
      </c>
      <c r="H2818" s="11">
        <v>400</v>
      </c>
      <c r="I2818" s="12">
        <v>42707</v>
      </c>
      <c r="J2818" s="35">
        <f t="shared" si="110"/>
        <v>0</v>
      </c>
      <c r="K2818" s="36"/>
      <c r="L2818" s="36"/>
      <c r="M2818" s="36"/>
      <c r="N2818" s="36"/>
      <c r="O2818" s="36"/>
      <c r="P2818" s="36"/>
      <c r="Q2818" s="36"/>
      <c r="R2818" s="36"/>
      <c r="S2818" s="36"/>
      <c r="T2818" s="36"/>
      <c r="U2818" s="36">
        <v>400</v>
      </c>
      <c r="V2818" s="36"/>
      <c r="W2818" s="15">
        <f t="shared" si="111"/>
        <v>400</v>
      </c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15">
        <f t="shared" si="112"/>
        <v>0</v>
      </c>
      <c r="AK2818" s="14"/>
      <c r="AL2818" s="14"/>
      <c r="AM2818" s="14"/>
      <c r="AN2818" s="14"/>
      <c r="AO2818" s="14"/>
      <c r="AP2818" s="14"/>
      <c r="AQ2818" s="14"/>
      <c r="AR2818" s="14"/>
      <c r="AS2818" s="14"/>
      <c r="AT2818" s="14"/>
      <c r="AU2818" s="14"/>
      <c r="AV2818" s="14"/>
      <c r="AW2818" s="15"/>
      <c r="AX2818" s="16"/>
    </row>
    <row r="2819" spans="2:50" x14ac:dyDescent="0.2">
      <c r="B2819" s="7"/>
      <c r="C2819" s="8">
        <v>13361</v>
      </c>
      <c r="D2819" s="9" t="s">
        <v>769</v>
      </c>
      <c r="E2819" s="10" t="str">
        <f t="shared" ref="E2819:E2848" si="115">IF(D2819=0,"",VLOOKUP(D2819,BASE,2,FALSE))</f>
        <v>Rancho La Cuchilla No. 66</v>
      </c>
      <c r="F2819" s="10" t="str">
        <f t="shared" ref="F2819:F2848" si="116">IF(D2819=0,"",VLOOKUP(D2819,BASE,3,FALSE))</f>
        <v>Prieto</v>
      </c>
      <c r="G2819" s="8">
        <v>1</v>
      </c>
      <c r="H2819" s="11">
        <v>400</v>
      </c>
      <c r="I2819" s="12">
        <v>42707</v>
      </c>
      <c r="J2819" s="35">
        <f t="shared" si="110"/>
        <v>0</v>
      </c>
      <c r="K2819" s="36"/>
      <c r="L2819" s="36"/>
      <c r="M2819" s="36"/>
      <c r="N2819" s="36"/>
      <c r="O2819" s="36"/>
      <c r="P2819" s="36"/>
      <c r="Q2819" s="36"/>
      <c r="R2819" s="36"/>
      <c r="S2819" s="36"/>
      <c r="T2819" s="36"/>
      <c r="U2819" s="36"/>
      <c r="V2819" s="36">
        <v>400</v>
      </c>
      <c r="W2819" s="15">
        <f t="shared" si="111"/>
        <v>400</v>
      </c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15">
        <f t="shared" si="112"/>
        <v>0</v>
      </c>
      <c r="AK2819" s="14"/>
      <c r="AL2819" s="14"/>
      <c r="AM2819" s="14"/>
      <c r="AN2819" s="14"/>
      <c r="AO2819" s="14"/>
      <c r="AP2819" s="14"/>
      <c r="AQ2819" s="14"/>
      <c r="AR2819" s="14"/>
      <c r="AS2819" s="14"/>
      <c r="AT2819" s="14"/>
      <c r="AU2819" s="14"/>
      <c r="AV2819" s="14"/>
      <c r="AW2819" s="15"/>
      <c r="AX2819" s="16"/>
    </row>
    <row r="2820" spans="2:50" x14ac:dyDescent="0.2">
      <c r="B2820" s="7"/>
      <c r="C2820" s="8">
        <v>13362</v>
      </c>
      <c r="D2820" s="9" t="s">
        <v>165</v>
      </c>
      <c r="E2820" s="10" t="str">
        <f t="shared" si="115"/>
        <v>Rancho Upácuaro No. 23</v>
      </c>
      <c r="F2820" s="10" t="str">
        <f t="shared" si="116"/>
        <v>Gutièrrez Muñòz</v>
      </c>
      <c r="G2820" s="8">
        <v>1</v>
      </c>
      <c r="H2820" s="11">
        <v>350</v>
      </c>
      <c r="I2820" s="12">
        <v>42707</v>
      </c>
      <c r="J2820" s="35">
        <f t="shared" si="110"/>
        <v>0</v>
      </c>
      <c r="K2820" s="36"/>
      <c r="L2820" s="36"/>
      <c r="M2820" s="36"/>
      <c r="N2820" s="36"/>
      <c r="O2820" s="36"/>
      <c r="P2820" s="36"/>
      <c r="Q2820" s="36"/>
      <c r="R2820" s="36"/>
      <c r="S2820" s="36"/>
      <c r="T2820" s="36"/>
      <c r="U2820" s="36"/>
      <c r="V2820" s="36">
        <v>350</v>
      </c>
      <c r="W2820" s="15">
        <f t="shared" si="111"/>
        <v>350</v>
      </c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15">
        <f t="shared" si="112"/>
        <v>0</v>
      </c>
      <c r="AK2820" s="14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14"/>
      <c r="AV2820" s="14"/>
      <c r="AW2820" s="15"/>
      <c r="AX2820" s="16"/>
    </row>
    <row r="2821" spans="2:50" x14ac:dyDescent="0.2">
      <c r="B2821" s="7"/>
      <c r="C2821" s="8">
        <v>13363</v>
      </c>
      <c r="D2821" s="9" t="s">
        <v>902</v>
      </c>
      <c r="E2821" s="10" t="str">
        <f t="shared" si="115"/>
        <v>Rancho Romeral No. 33</v>
      </c>
      <c r="F2821" s="10" t="str">
        <f t="shared" si="116"/>
        <v>Juárez Alva</v>
      </c>
      <c r="G2821" s="8">
        <v>1</v>
      </c>
      <c r="H2821" s="11">
        <v>1600</v>
      </c>
      <c r="I2821" s="12">
        <v>42707</v>
      </c>
      <c r="J2821" s="35">
        <f t="shared" si="110"/>
        <v>0</v>
      </c>
      <c r="K2821" s="36"/>
      <c r="L2821" s="36"/>
      <c r="M2821" s="36"/>
      <c r="N2821" s="36"/>
      <c r="O2821" s="36"/>
      <c r="P2821" s="36"/>
      <c r="Q2821" s="36"/>
      <c r="R2821" s="36">
        <v>400</v>
      </c>
      <c r="S2821" s="36">
        <v>400</v>
      </c>
      <c r="T2821" s="36">
        <v>400</v>
      </c>
      <c r="U2821" s="36">
        <v>400</v>
      </c>
      <c r="V2821" s="36"/>
      <c r="W2821" s="15">
        <f t="shared" si="111"/>
        <v>1600</v>
      </c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15">
        <f t="shared" si="112"/>
        <v>0</v>
      </c>
      <c r="AK2821" s="14"/>
      <c r="AL2821" s="14"/>
      <c r="AM2821" s="14"/>
      <c r="AN2821" s="14"/>
      <c r="AO2821" s="14"/>
      <c r="AP2821" s="14"/>
      <c r="AQ2821" s="14"/>
      <c r="AR2821" s="14"/>
      <c r="AS2821" s="14"/>
      <c r="AT2821" s="14"/>
      <c r="AU2821" s="14"/>
      <c r="AV2821" s="14"/>
      <c r="AW2821" s="15"/>
      <c r="AX2821" s="16"/>
    </row>
    <row r="2822" spans="2:50" x14ac:dyDescent="0.2">
      <c r="B2822" s="7"/>
      <c r="C2822" s="8">
        <v>13363</v>
      </c>
      <c r="D2822" s="9" t="s">
        <v>902</v>
      </c>
      <c r="E2822" s="10" t="str">
        <f t="shared" si="115"/>
        <v>Rancho Romeral No. 33</v>
      </c>
      <c r="F2822" s="10" t="str">
        <f t="shared" si="116"/>
        <v>Juárez Alva</v>
      </c>
      <c r="G2822" s="8">
        <v>5</v>
      </c>
      <c r="H2822" s="11">
        <v>100</v>
      </c>
      <c r="I2822" s="12">
        <v>42707</v>
      </c>
      <c r="J2822" s="35">
        <f t="shared" si="110"/>
        <v>0</v>
      </c>
      <c r="K2822" s="36"/>
      <c r="L2822" s="36"/>
      <c r="M2822" s="36"/>
      <c r="N2822" s="36"/>
      <c r="O2822" s="36"/>
      <c r="P2822" s="36"/>
      <c r="Q2822" s="36"/>
      <c r="R2822" s="36"/>
      <c r="S2822" s="36"/>
      <c r="T2822" s="36"/>
      <c r="U2822" s="36"/>
      <c r="V2822" s="36"/>
      <c r="W2822" s="15">
        <f t="shared" si="111"/>
        <v>0</v>
      </c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15">
        <f t="shared" si="112"/>
        <v>0</v>
      </c>
      <c r="AK2822" s="14"/>
      <c r="AL2822" s="14"/>
      <c r="AM2822" s="14"/>
      <c r="AN2822" s="14"/>
      <c r="AO2822" s="14"/>
      <c r="AP2822" s="14"/>
      <c r="AQ2822" s="14"/>
      <c r="AR2822" s="14"/>
      <c r="AS2822" s="14"/>
      <c r="AT2822" s="14"/>
      <c r="AU2822" s="14"/>
      <c r="AV2822" s="14"/>
      <c r="AW2822" s="15"/>
      <c r="AX2822" s="16"/>
    </row>
    <row r="2823" spans="2:50" x14ac:dyDescent="0.2">
      <c r="B2823" s="7"/>
      <c r="C2823" s="8">
        <v>13364</v>
      </c>
      <c r="D2823" s="9" t="s">
        <v>150</v>
      </c>
      <c r="E2823" s="10" t="str">
        <f t="shared" si="115"/>
        <v>Rancho La Cuchilla No. 33</v>
      </c>
      <c r="F2823" s="10" t="str">
        <f t="shared" si="116"/>
        <v>Tanús</v>
      </c>
      <c r="G2823" s="8">
        <v>1</v>
      </c>
      <c r="H2823" s="11">
        <v>400</v>
      </c>
      <c r="I2823" s="12">
        <v>42707</v>
      </c>
      <c r="J2823" s="35">
        <f t="shared" si="110"/>
        <v>0</v>
      </c>
      <c r="K2823" s="36"/>
      <c r="L2823" s="36"/>
      <c r="M2823" s="36"/>
      <c r="N2823" s="36"/>
      <c r="O2823" s="36"/>
      <c r="P2823" s="36"/>
      <c r="Q2823" s="36"/>
      <c r="R2823" s="36"/>
      <c r="S2823" s="36"/>
      <c r="T2823" s="36"/>
      <c r="U2823" s="36"/>
      <c r="V2823" s="36">
        <v>400</v>
      </c>
      <c r="W2823" s="15">
        <f t="shared" si="111"/>
        <v>400</v>
      </c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15">
        <f t="shared" si="112"/>
        <v>0</v>
      </c>
      <c r="AK2823" s="14"/>
      <c r="AL2823" s="14"/>
      <c r="AM2823" s="14"/>
      <c r="AN2823" s="14"/>
      <c r="AO2823" s="14"/>
      <c r="AP2823" s="14"/>
      <c r="AQ2823" s="14"/>
      <c r="AR2823" s="14"/>
      <c r="AS2823" s="14"/>
      <c r="AT2823" s="14"/>
      <c r="AU2823" s="14"/>
      <c r="AV2823" s="14"/>
      <c r="AW2823" s="15"/>
      <c r="AX2823" s="16"/>
    </row>
    <row r="2824" spans="2:50" x14ac:dyDescent="0.2">
      <c r="B2824" s="7"/>
      <c r="C2824" s="8">
        <v>13365</v>
      </c>
      <c r="D2824" s="9" t="s">
        <v>649</v>
      </c>
      <c r="E2824" s="10" t="str">
        <f t="shared" si="115"/>
        <v>Rancho Estanzuela No. 57</v>
      </c>
      <c r="F2824" s="10" t="str">
        <f t="shared" si="116"/>
        <v>Olivares</v>
      </c>
      <c r="G2824" s="8">
        <v>1</v>
      </c>
      <c r="H2824" s="11">
        <v>600</v>
      </c>
      <c r="I2824" s="12">
        <v>42707</v>
      </c>
      <c r="J2824" s="35">
        <f t="shared" si="110"/>
        <v>0</v>
      </c>
      <c r="K2824" s="36"/>
      <c r="L2824" s="36"/>
      <c r="M2824" s="36"/>
      <c r="N2824" s="36"/>
      <c r="O2824" s="36"/>
      <c r="P2824" s="36"/>
      <c r="Q2824" s="36"/>
      <c r="R2824" s="36"/>
      <c r="S2824" s="36"/>
      <c r="T2824" s="36"/>
      <c r="U2824" s="36">
        <v>300</v>
      </c>
      <c r="V2824" s="36">
        <v>300</v>
      </c>
      <c r="W2824" s="15">
        <f t="shared" si="111"/>
        <v>600</v>
      </c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15">
        <f t="shared" si="112"/>
        <v>0</v>
      </c>
      <c r="AK2824" s="14"/>
      <c r="AL2824" s="14"/>
      <c r="AM2824" s="14"/>
      <c r="AN2824" s="14"/>
      <c r="AO2824" s="14"/>
      <c r="AP2824" s="14"/>
      <c r="AQ2824" s="14"/>
      <c r="AR2824" s="14"/>
      <c r="AS2824" s="14"/>
      <c r="AT2824" s="14"/>
      <c r="AU2824" s="14"/>
      <c r="AV2824" s="14"/>
      <c r="AW2824" s="15"/>
      <c r="AX2824" s="16"/>
    </row>
    <row r="2825" spans="2:50" x14ac:dyDescent="0.2">
      <c r="B2825" s="7"/>
      <c r="C2825" s="8">
        <v>13366</v>
      </c>
      <c r="D2825" s="9" t="s">
        <v>634</v>
      </c>
      <c r="E2825" s="10" t="str">
        <f t="shared" si="115"/>
        <v>Rancho Upácuaro No. 19</v>
      </c>
      <c r="F2825" s="10" t="str">
        <f t="shared" si="116"/>
        <v>Peña Inclán</v>
      </c>
      <c r="G2825" s="8">
        <v>1</v>
      </c>
      <c r="H2825" s="11">
        <v>600</v>
      </c>
      <c r="I2825" s="12">
        <v>42707</v>
      </c>
      <c r="J2825" s="35">
        <f t="shared" si="110"/>
        <v>0</v>
      </c>
      <c r="K2825" s="36"/>
      <c r="L2825" s="36"/>
      <c r="M2825" s="36"/>
      <c r="N2825" s="36"/>
      <c r="O2825" s="36"/>
      <c r="P2825" s="36"/>
      <c r="Q2825" s="36"/>
      <c r="R2825" s="36"/>
      <c r="S2825" s="36"/>
      <c r="T2825" s="36"/>
      <c r="U2825" s="36">
        <v>300</v>
      </c>
      <c r="V2825" s="36">
        <v>300</v>
      </c>
      <c r="W2825" s="15">
        <f t="shared" si="111"/>
        <v>600</v>
      </c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15">
        <f t="shared" si="112"/>
        <v>0</v>
      </c>
      <c r="AK2825" s="14"/>
      <c r="AL2825" s="14"/>
      <c r="AM2825" s="14"/>
      <c r="AN2825" s="14"/>
      <c r="AO2825" s="14"/>
      <c r="AP2825" s="14"/>
      <c r="AQ2825" s="14"/>
      <c r="AR2825" s="14"/>
      <c r="AS2825" s="14"/>
      <c r="AT2825" s="14"/>
      <c r="AU2825" s="14"/>
      <c r="AV2825" s="14"/>
      <c r="AW2825" s="15"/>
      <c r="AX2825" s="16"/>
    </row>
    <row r="2826" spans="2:50" x14ac:dyDescent="0.2">
      <c r="B2826" s="7"/>
      <c r="C2826" s="8">
        <v>13367</v>
      </c>
      <c r="D2826" s="9" t="s">
        <v>562</v>
      </c>
      <c r="E2826" s="10" t="str">
        <f t="shared" si="115"/>
        <v>Rancho Upácuaro No. 87</v>
      </c>
      <c r="F2826" s="10" t="str">
        <f t="shared" si="116"/>
        <v>Rodríguez Parés</v>
      </c>
      <c r="G2826" s="8">
        <v>1</v>
      </c>
      <c r="H2826" s="11">
        <v>400</v>
      </c>
      <c r="I2826" s="12">
        <v>42707</v>
      </c>
      <c r="J2826" s="35">
        <f t="shared" si="110"/>
        <v>0</v>
      </c>
      <c r="K2826" s="36"/>
      <c r="L2826" s="36"/>
      <c r="M2826" s="36"/>
      <c r="N2826" s="36"/>
      <c r="O2826" s="36"/>
      <c r="P2826" s="36"/>
      <c r="Q2826" s="36"/>
      <c r="R2826" s="36"/>
      <c r="S2826" s="36"/>
      <c r="T2826" s="36"/>
      <c r="U2826" s="36"/>
      <c r="V2826" s="36">
        <v>400</v>
      </c>
      <c r="W2826" s="15">
        <f t="shared" si="111"/>
        <v>400</v>
      </c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15">
        <f t="shared" si="112"/>
        <v>0</v>
      </c>
      <c r="AK2826" s="14"/>
      <c r="AL2826" s="14"/>
      <c r="AM2826" s="14"/>
      <c r="AN2826" s="14"/>
      <c r="AO2826" s="14"/>
      <c r="AP2826" s="14"/>
      <c r="AQ2826" s="14"/>
      <c r="AR2826" s="14"/>
      <c r="AS2826" s="14"/>
      <c r="AT2826" s="14"/>
      <c r="AU2826" s="14"/>
      <c r="AV2826" s="14"/>
      <c r="AW2826" s="15"/>
      <c r="AX2826" s="16"/>
    </row>
    <row r="2827" spans="2:50" x14ac:dyDescent="0.2">
      <c r="B2827" s="7"/>
      <c r="C2827" s="8">
        <v>13368</v>
      </c>
      <c r="D2827" s="9" t="s">
        <v>893</v>
      </c>
      <c r="E2827" s="10" t="str">
        <f t="shared" si="115"/>
        <v>Rancho Upácuaro No. 136</v>
      </c>
      <c r="F2827" s="10" t="str">
        <f t="shared" si="116"/>
        <v>López Lena</v>
      </c>
      <c r="G2827" s="8">
        <v>1</v>
      </c>
      <c r="H2827" s="11">
        <v>800</v>
      </c>
      <c r="I2827" s="12">
        <v>42707</v>
      </c>
      <c r="J2827" s="35">
        <f t="shared" si="110"/>
        <v>0</v>
      </c>
      <c r="K2827" s="36"/>
      <c r="L2827" s="36"/>
      <c r="M2827" s="36"/>
      <c r="N2827" s="36"/>
      <c r="O2827" s="36"/>
      <c r="P2827" s="36"/>
      <c r="Q2827" s="36"/>
      <c r="R2827" s="36"/>
      <c r="S2827" s="36">
        <v>400</v>
      </c>
      <c r="T2827" s="36">
        <v>400</v>
      </c>
      <c r="U2827" s="36"/>
      <c r="V2827" s="36"/>
      <c r="W2827" s="15">
        <f t="shared" si="111"/>
        <v>800</v>
      </c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15">
        <f t="shared" si="112"/>
        <v>0</v>
      </c>
      <c r="AK2827" s="14"/>
      <c r="AL2827" s="14"/>
      <c r="AM2827" s="14"/>
      <c r="AN2827" s="14"/>
      <c r="AO2827" s="14"/>
      <c r="AP2827" s="14"/>
      <c r="AQ2827" s="14"/>
      <c r="AR2827" s="14"/>
      <c r="AS2827" s="14"/>
      <c r="AT2827" s="14"/>
      <c r="AU2827" s="14"/>
      <c r="AV2827" s="14"/>
      <c r="AW2827" s="15"/>
      <c r="AX2827" s="16"/>
    </row>
    <row r="2828" spans="2:50" x14ac:dyDescent="0.2">
      <c r="B2828" s="7"/>
      <c r="C2828" s="8">
        <v>13369</v>
      </c>
      <c r="D2828" s="9" t="s">
        <v>749</v>
      </c>
      <c r="E2828" s="10" t="str">
        <f t="shared" si="115"/>
        <v>Rancho Landero No. 96</v>
      </c>
      <c r="F2828" s="10" t="str">
        <f t="shared" si="116"/>
        <v>Espinoza Aguirre</v>
      </c>
      <c r="G2828" s="8">
        <v>1</v>
      </c>
      <c r="H2828" s="11">
        <v>1200</v>
      </c>
      <c r="I2828" s="12">
        <v>42707</v>
      </c>
      <c r="J2828" s="35">
        <f t="shared" si="110"/>
        <v>0</v>
      </c>
      <c r="K2828" s="36"/>
      <c r="L2828" s="36"/>
      <c r="M2828" s="36"/>
      <c r="N2828" s="36"/>
      <c r="O2828" s="36"/>
      <c r="P2828" s="36"/>
      <c r="Q2828" s="36"/>
      <c r="R2828" s="36"/>
      <c r="S2828" s="36"/>
      <c r="T2828" s="36">
        <v>400</v>
      </c>
      <c r="U2828" s="36">
        <v>400</v>
      </c>
      <c r="V2828" s="36">
        <v>400</v>
      </c>
      <c r="W2828" s="15">
        <f t="shared" si="111"/>
        <v>1200</v>
      </c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15">
        <f t="shared" si="112"/>
        <v>0</v>
      </c>
      <c r="AK2828" s="14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14"/>
      <c r="AV2828" s="14"/>
      <c r="AW2828" s="15"/>
      <c r="AX2828" s="16"/>
    </row>
    <row r="2829" spans="2:50" x14ac:dyDescent="0.2">
      <c r="B2829" s="7"/>
      <c r="C2829" s="8">
        <v>13370</v>
      </c>
      <c r="D2829" s="9" t="s">
        <v>171</v>
      </c>
      <c r="E2829" s="10" t="str">
        <f t="shared" si="115"/>
        <v>Rancho La Cuchilla No. 72</v>
      </c>
      <c r="F2829" s="10" t="str">
        <f t="shared" si="116"/>
        <v>Ortiz González</v>
      </c>
      <c r="G2829" s="8">
        <v>1</v>
      </c>
      <c r="H2829" s="11">
        <v>400</v>
      </c>
      <c r="I2829" s="12">
        <v>42707</v>
      </c>
      <c r="J2829" s="35">
        <f t="shared" si="110"/>
        <v>0</v>
      </c>
      <c r="K2829" s="36"/>
      <c r="L2829" s="36"/>
      <c r="M2829" s="36"/>
      <c r="N2829" s="36"/>
      <c r="O2829" s="36"/>
      <c r="P2829" s="36"/>
      <c r="Q2829" s="36"/>
      <c r="R2829" s="36"/>
      <c r="S2829" s="36"/>
      <c r="T2829" s="36"/>
      <c r="U2829" s="36"/>
      <c r="V2829" s="36">
        <v>400</v>
      </c>
      <c r="W2829" s="15">
        <f t="shared" si="111"/>
        <v>400</v>
      </c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15">
        <f t="shared" si="112"/>
        <v>0</v>
      </c>
      <c r="AK2829" s="14"/>
      <c r="AL2829" s="14"/>
      <c r="AM2829" s="14"/>
      <c r="AN2829" s="14"/>
      <c r="AO2829" s="14"/>
      <c r="AP2829" s="14"/>
      <c r="AQ2829" s="14"/>
      <c r="AR2829" s="14"/>
      <c r="AS2829" s="14"/>
      <c r="AT2829" s="14"/>
      <c r="AU2829" s="14"/>
      <c r="AV2829" s="14"/>
      <c r="AW2829" s="15"/>
      <c r="AX2829" s="16"/>
    </row>
    <row r="2830" spans="2:50" x14ac:dyDescent="0.2">
      <c r="B2830" s="7"/>
      <c r="C2830" s="8">
        <v>13371</v>
      </c>
      <c r="D2830" s="9" t="s">
        <v>470</v>
      </c>
      <c r="E2830" s="10" t="str">
        <f t="shared" si="115"/>
        <v>Rancho Zinamba No. 42</v>
      </c>
      <c r="F2830" s="10" t="str">
        <f t="shared" si="116"/>
        <v>López Aldave</v>
      </c>
      <c r="G2830" s="8">
        <v>1</v>
      </c>
      <c r="H2830" s="11">
        <v>600</v>
      </c>
      <c r="I2830" s="12">
        <v>42707</v>
      </c>
      <c r="J2830" s="35">
        <f t="shared" si="110"/>
        <v>0</v>
      </c>
      <c r="K2830" s="36"/>
      <c r="L2830" s="36"/>
      <c r="M2830" s="36"/>
      <c r="N2830" s="36"/>
      <c r="O2830" s="36"/>
      <c r="P2830" s="36"/>
      <c r="Q2830" s="36"/>
      <c r="R2830" s="36"/>
      <c r="S2830" s="36"/>
      <c r="T2830" s="36"/>
      <c r="U2830" s="36">
        <v>300</v>
      </c>
      <c r="V2830" s="36">
        <v>300</v>
      </c>
      <c r="W2830" s="15">
        <f t="shared" si="111"/>
        <v>600</v>
      </c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15">
        <f t="shared" si="112"/>
        <v>0</v>
      </c>
      <c r="AK2830" s="14"/>
      <c r="AL2830" s="14"/>
      <c r="AM2830" s="14"/>
      <c r="AN2830" s="14"/>
      <c r="AO2830" s="14"/>
      <c r="AP2830" s="14"/>
      <c r="AQ2830" s="14"/>
      <c r="AR2830" s="14"/>
      <c r="AS2830" s="14"/>
      <c r="AT2830" s="14"/>
      <c r="AU2830" s="14"/>
      <c r="AV2830" s="14"/>
      <c r="AW2830" s="15"/>
      <c r="AX2830" s="16"/>
    </row>
    <row r="2831" spans="2:50" x14ac:dyDescent="0.2">
      <c r="B2831" s="7"/>
      <c r="C2831" s="8">
        <v>13372</v>
      </c>
      <c r="D2831" s="9" t="s">
        <v>328</v>
      </c>
      <c r="E2831" s="10" t="str">
        <f t="shared" si="115"/>
        <v>Rancho La Cuchilla No. 130</v>
      </c>
      <c r="F2831" s="10" t="str">
        <f t="shared" si="116"/>
        <v>Gonzalez</v>
      </c>
      <c r="G2831" s="8">
        <v>1</v>
      </c>
      <c r="H2831" s="11">
        <v>400</v>
      </c>
      <c r="I2831" s="12">
        <v>42707</v>
      </c>
      <c r="J2831" s="35">
        <f t="shared" si="110"/>
        <v>0</v>
      </c>
      <c r="K2831" s="36"/>
      <c r="L2831" s="36"/>
      <c r="M2831" s="36"/>
      <c r="N2831" s="36"/>
      <c r="O2831" s="36"/>
      <c r="P2831" s="36"/>
      <c r="Q2831" s="36"/>
      <c r="R2831" s="36"/>
      <c r="S2831" s="36"/>
      <c r="T2831" s="36"/>
      <c r="U2831" s="36"/>
      <c r="V2831" s="36">
        <v>400</v>
      </c>
      <c r="W2831" s="15">
        <f t="shared" si="111"/>
        <v>400</v>
      </c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15">
        <f t="shared" si="112"/>
        <v>0</v>
      </c>
      <c r="AK2831" s="14"/>
      <c r="AL2831" s="14"/>
      <c r="AM2831" s="14"/>
      <c r="AN2831" s="14"/>
      <c r="AO2831" s="14"/>
      <c r="AP2831" s="14"/>
      <c r="AQ2831" s="14"/>
      <c r="AR2831" s="14"/>
      <c r="AS2831" s="14"/>
      <c r="AT2831" s="14"/>
      <c r="AU2831" s="14"/>
      <c r="AV2831" s="14"/>
      <c r="AW2831" s="15"/>
      <c r="AX2831" s="16"/>
    </row>
    <row r="2832" spans="2:50" x14ac:dyDescent="0.2">
      <c r="B2832" s="7"/>
      <c r="C2832" s="8">
        <v>13373</v>
      </c>
      <c r="D2832" s="9" t="s">
        <v>911</v>
      </c>
      <c r="E2832" s="10" t="str">
        <f t="shared" si="115"/>
        <v>Rancho Estanzuela No. 19</v>
      </c>
      <c r="F2832" s="10" t="str">
        <f t="shared" si="116"/>
        <v>Robles</v>
      </c>
      <c r="G2832" s="8">
        <v>1</v>
      </c>
      <c r="H2832" s="11">
        <v>800</v>
      </c>
      <c r="I2832" s="12">
        <v>42707</v>
      </c>
      <c r="J2832" s="35">
        <f t="shared" si="110"/>
        <v>0</v>
      </c>
      <c r="K2832" s="36"/>
      <c r="L2832" s="36"/>
      <c r="M2832" s="36"/>
      <c r="N2832" s="36"/>
      <c r="O2832" s="36"/>
      <c r="P2832" s="36"/>
      <c r="Q2832" s="36"/>
      <c r="R2832" s="36"/>
      <c r="S2832" s="36"/>
      <c r="T2832" s="36"/>
      <c r="U2832" s="36">
        <v>400</v>
      </c>
      <c r="V2832" s="36">
        <v>400</v>
      </c>
      <c r="W2832" s="15">
        <f t="shared" si="111"/>
        <v>800</v>
      </c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15">
        <f t="shared" si="112"/>
        <v>0</v>
      </c>
      <c r="AK2832" s="14"/>
      <c r="AL2832" s="14"/>
      <c r="AM2832" s="14"/>
      <c r="AN2832" s="14"/>
      <c r="AO2832" s="14"/>
      <c r="AP2832" s="14"/>
      <c r="AQ2832" s="14"/>
      <c r="AR2832" s="14"/>
      <c r="AS2832" s="14"/>
      <c r="AT2832" s="14"/>
      <c r="AU2832" s="14"/>
      <c r="AV2832" s="14"/>
      <c r="AW2832" s="15"/>
      <c r="AX2832" s="16"/>
    </row>
    <row r="2833" spans="2:51" x14ac:dyDescent="0.2">
      <c r="B2833" s="7"/>
      <c r="C2833" s="8">
        <v>13374</v>
      </c>
      <c r="D2833" s="9" t="s">
        <v>950</v>
      </c>
      <c r="E2833" s="10" t="str">
        <f t="shared" si="115"/>
        <v>Rancho La Cuchilla No. 93</v>
      </c>
      <c r="F2833" s="10" t="str">
        <f t="shared" si="116"/>
        <v>Alcántara Silva</v>
      </c>
      <c r="G2833" s="8">
        <v>1</v>
      </c>
      <c r="H2833" s="11">
        <v>1200</v>
      </c>
      <c r="I2833" s="12">
        <v>42707</v>
      </c>
      <c r="J2833" s="35">
        <f t="shared" si="110"/>
        <v>0</v>
      </c>
      <c r="K2833" s="36"/>
      <c r="L2833" s="36"/>
      <c r="M2833" s="36"/>
      <c r="N2833" s="36"/>
      <c r="O2833" s="36"/>
      <c r="P2833" s="36"/>
      <c r="Q2833" s="36"/>
      <c r="R2833" s="36"/>
      <c r="S2833" s="36">
        <v>400</v>
      </c>
      <c r="T2833" s="36">
        <v>400</v>
      </c>
      <c r="U2833" s="36">
        <v>400</v>
      </c>
      <c r="V2833" s="36"/>
      <c r="W2833" s="15">
        <f t="shared" si="111"/>
        <v>1200</v>
      </c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15">
        <f t="shared" si="112"/>
        <v>0</v>
      </c>
      <c r="AK2833" s="14"/>
      <c r="AL2833" s="14"/>
      <c r="AM2833" s="14"/>
      <c r="AN2833" s="14"/>
      <c r="AO2833" s="14"/>
      <c r="AP2833" s="14"/>
      <c r="AQ2833" s="14"/>
      <c r="AR2833" s="14"/>
      <c r="AS2833" s="14"/>
      <c r="AT2833" s="14"/>
      <c r="AU2833" s="14"/>
      <c r="AV2833" s="14"/>
      <c r="AW2833" s="15"/>
      <c r="AX2833" s="16"/>
    </row>
    <row r="2834" spans="2:51" x14ac:dyDescent="0.2">
      <c r="B2834" s="7"/>
      <c r="C2834" s="8">
        <v>13375</v>
      </c>
      <c r="D2834" s="9" t="s">
        <v>763</v>
      </c>
      <c r="E2834" s="10" t="str">
        <f t="shared" si="115"/>
        <v>Rancho Estanzuela No. 79</v>
      </c>
      <c r="F2834" s="10" t="str">
        <f t="shared" si="116"/>
        <v>Mendoza</v>
      </c>
      <c r="G2834" s="8">
        <v>1</v>
      </c>
      <c r="H2834" s="11">
        <v>800</v>
      </c>
      <c r="I2834" s="12">
        <v>42707</v>
      </c>
      <c r="J2834" s="35">
        <f t="shared" si="110"/>
        <v>0</v>
      </c>
      <c r="K2834" s="36"/>
      <c r="L2834" s="36"/>
      <c r="M2834" s="36"/>
      <c r="N2834" s="36"/>
      <c r="O2834" s="36"/>
      <c r="P2834" s="36"/>
      <c r="Q2834" s="36"/>
      <c r="R2834" s="36"/>
      <c r="S2834" s="36"/>
      <c r="T2834" s="36"/>
      <c r="U2834" s="36">
        <v>400</v>
      </c>
      <c r="V2834" s="36">
        <v>400</v>
      </c>
      <c r="W2834" s="15">
        <f t="shared" si="111"/>
        <v>800</v>
      </c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15">
        <f t="shared" si="112"/>
        <v>0</v>
      </c>
      <c r="AK2834" s="14"/>
      <c r="AL2834" s="14"/>
      <c r="AM2834" s="14"/>
      <c r="AN2834" s="14"/>
      <c r="AO2834" s="14"/>
      <c r="AP2834" s="14"/>
      <c r="AQ2834" s="14"/>
      <c r="AR2834" s="14"/>
      <c r="AS2834" s="14"/>
      <c r="AT2834" s="14"/>
      <c r="AU2834" s="14"/>
      <c r="AV2834" s="14"/>
      <c r="AW2834" s="15"/>
      <c r="AX2834" s="16"/>
    </row>
    <row r="2835" spans="2:51" x14ac:dyDescent="0.2">
      <c r="B2835" s="7"/>
      <c r="C2835" s="8">
        <v>13376</v>
      </c>
      <c r="D2835" s="9" t="s">
        <v>763</v>
      </c>
      <c r="E2835" s="10" t="str">
        <f t="shared" si="115"/>
        <v>Rancho Estanzuela No. 79</v>
      </c>
      <c r="F2835" s="10" t="str">
        <f t="shared" si="116"/>
        <v>Mendoza</v>
      </c>
      <c r="G2835" s="8">
        <v>5</v>
      </c>
      <c r="H2835" s="11">
        <v>50</v>
      </c>
      <c r="I2835" s="12">
        <v>42707</v>
      </c>
      <c r="J2835" s="35">
        <f t="shared" si="110"/>
        <v>0</v>
      </c>
      <c r="K2835" s="36"/>
      <c r="L2835" s="36"/>
      <c r="M2835" s="36"/>
      <c r="N2835" s="36"/>
      <c r="O2835" s="36"/>
      <c r="P2835" s="36"/>
      <c r="Q2835" s="36"/>
      <c r="R2835" s="36"/>
      <c r="S2835" s="36"/>
      <c r="T2835" s="36"/>
      <c r="U2835" s="36"/>
      <c r="V2835" s="36"/>
      <c r="W2835" s="15">
        <f t="shared" si="111"/>
        <v>0</v>
      </c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15">
        <f t="shared" si="112"/>
        <v>0</v>
      </c>
      <c r="AK2835" s="14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14"/>
      <c r="AV2835" s="14"/>
      <c r="AW2835" s="15"/>
      <c r="AX2835" s="16"/>
    </row>
    <row r="2836" spans="2:51" x14ac:dyDescent="0.2">
      <c r="B2836" s="7"/>
      <c r="C2836" s="8">
        <v>13377</v>
      </c>
      <c r="D2836" s="9" t="s">
        <v>87</v>
      </c>
      <c r="E2836" s="10" t="str">
        <f t="shared" si="115"/>
        <v>Rancho Zinamba No. 36</v>
      </c>
      <c r="F2836" s="10" t="str">
        <f t="shared" si="116"/>
        <v>Rodríguez Ortiz</v>
      </c>
      <c r="G2836" s="8">
        <v>1</v>
      </c>
      <c r="H2836" s="11">
        <v>400</v>
      </c>
      <c r="I2836" s="12">
        <v>42707</v>
      </c>
      <c r="J2836" s="35">
        <f t="shared" si="110"/>
        <v>0</v>
      </c>
      <c r="K2836" s="36"/>
      <c r="L2836" s="36"/>
      <c r="M2836" s="36"/>
      <c r="N2836" s="36"/>
      <c r="O2836" s="36"/>
      <c r="P2836" s="36"/>
      <c r="Q2836" s="36"/>
      <c r="R2836" s="36"/>
      <c r="S2836" s="36"/>
      <c r="T2836" s="36"/>
      <c r="U2836" s="36"/>
      <c r="V2836" s="36">
        <v>400</v>
      </c>
      <c r="W2836" s="15">
        <f t="shared" si="111"/>
        <v>400</v>
      </c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15">
        <f t="shared" si="112"/>
        <v>0</v>
      </c>
      <c r="AK2836" s="14"/>
      <c r="AL2836" s="14"/>
      <c r="AM2836" s="14"/>
      <c r="AN2836" s="14"/>
      <c r="AO2836" s="14"/>
      <c r="AP2836" s="14"/>
      <c r="AQ2836" s="14"/>
      <c r="AR2836" s="14"/>
      <c r="AS2836" s="14"/>
      <c r="AT2836" s="14"/>
      <c r="AU2836" s="14"/>
      <c r="AV2836" s="14"/>
      <c r="AW2836" s="15"/>
      <c r="AX2836" s="16"/>
    </row>
    <row r="2837" spans="2:51" x14ac:dyDescent="0.2">
      <c r="B2837" s="7"/>
      <c r="C2837" s="8">
        <v>13378</v>
      </c>
      <c r="D2837" s="9" t="s">
        <v>794</v>
      </c>
      <c r="E2837" s="10" t="str">
        <f t="shared" si="115"/>
        <v>Rancho Landero No. 18</v>
      </c>
      <c r="F2837" s="10" t="str">
        <f t="shared" si="116"/>
        <v>Rosado</v>
      </c>
      <c r="G2837" s="8">
        <v>1</v>
      </c>
      <c r="H2837" s="11">
        <v>300</v>
      </c>
      <c r="I2837" s="12">
        <v>42707</v>
      </c>
      <c r="J2837" s="35">
        <f t="shared" si="110"/>
        <v>0</v>
      </c>
      <c r="K2837" s="36"/>
      <c r="L2837" s="36"/>
      <c r="M2837" s="36"/>
      <c r="N2837" s="36"/>
      <c r="O2837" s="36"/>
      <c r="P2837" s="36"/>
      <c r="Q2837" s="36"/>
      <c r="R2837" s="36"/>
      <c r="S2837" s="36"/>
      <c r="T2837" s="36"/>
      <c r="U2837" s="36">
        <v>300</v>
      </c>
      <c r="V2837" s="36"/>
      <c r="W2837" s="15">
        <f t="shared" si="111"/>
        <v>300</v>
      </c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15">
        <f t="shared" si="112"/>
        <v>0</v>
      </c>
      <c r="AK2837" s="14"/>
      <c r="AL2837" s="14"/>
      <c r="AM2837" s="14"/>
      <c r="AN2837" s="14"/>
      <c r="AO2837" s="14"/>
      <c r="AP2837" s="14"/>
      <c r="AQ2837" s="14"/>
      <c r="AR2837" s="14"/>
      <c r="AS2837" s="14"/>
      <c r="AT2837" s="14"/>
      <c r="AU2837" s="14"/>
      <c r="AV2837" s="14"/>
      <c r="AW2837" s="15"/>
      <c r="AX2837" s="16"/>
    </row>
    <row r="2838" spans="2:51" x14ac:dyDescent="0.2">
      <c r="B2838" s="7"/>
      <c r="C2838" s="8">
        <v>13379</v>
      </c>
      <c r="D2838" s="9" t="s">
        <v>950</v>
      </c>
      <c r="E2838" s="10" t="str">
        <f t="shared" si="115"/>
        <v>Rancho La Cuchilla No. 93</v>
      </c>
      <c r="F2838" s="10" t="str">
        <f t="shared" si="116"/>
        <v>Alcántara Silva</v>
      </c>
      <c r="G2838" s="8">
        <v>5</v>
      </c>
      <c r="H2838" s="11">
        <v>100</v>
      </c>
      <c r="I2838" s="12">
        <v>42707</v>
      </c>
      <c r="J2838" s="35">
        <f t="shared" si="110"/>
        <v>0</v>
      </c>
      <c r="K2838" s="36"/>
      <c r="L2838" s="36"/>
      <c r="M2838" s="36"/>
      <c r="N2838" s="36"/>
      <c r="O2838" s="36"/>
      <c r="P2838" s="36"/>
      <c r="Q2838" s="36"/>
      <c r="R2838" s="36"/>
      <c r="S2838" s="36"/>
      <c r="T2838" s="36"/>
      <c r="U2838" s="36"/>
      <c r="V2838" s="36"/>
      <c r="W2838" s="15">
        <f t="shared" si="111"/>
        <v>0</v>
      </c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15">
        <f t="shared" si="112"/>
        <v>0</v>
      </c>
      <c r="AK2838" s="14"/>
      <c r="AL2838" s="14"/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5"/>
      <c r="AX2838" s="16"/>
    </row>
    <row r="2839" spans="2:51" x14ac:dyDescent="0.2">
      <c r="B2839" s="7"/>
      <c r="C2839" s="8">
        <v>13380</v>
      </c>
      <c r="D2839" s="9" t="s">
        <v>583</v>
      </c>
      <c r="E2839" s="10" t="str">
        <f t="shared" si="115"/>
        <v>Rancho La Cuchilla No. 111</v>
      </c>
      <c r="F2839" s="10" t="str">
        <f t="shared" si="116"/>
        <v>García Santos Ofelia</v>
      </c>
      <c r="G2839" s="8">
        <v>1</v>
      </c>
      <c r="H2839" s="11">
        <v>200</v>
      </c>
      <c r="I2839" s="12">
        <v>42707</v>
      </c>
      <c r="J2839" s="35">
        <f t="shared" si="110"/>
        <v>0</v>
      </c>
      <c r="K2839" s="36"/>
      <c r="L2839" s="36"/>
      <c r="M2839" s="36"/>
      <c r="N2839" s="36"/>
      <c r="O2839" s="36"/>
      <c r="P2839" s="36"/>
      <c r="Q2839" s="36"/>
      <c r="R2839" s="36"/>
      <c r="S2839" s="36"/>
      <c r="T2839" s="36"/>
      <c r="U2839" s="36"/>
      <c r="V2839" s="36">
        <v>200</v>
      </c>
      <c r="W2839" s="15">
        <f t="shared" si="111"/>
        <v>200</v>
      </c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15">
        <f t="shared" si="112"/>
        <v>0</v>
      </c>
      <c r="AK2839" s="14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14"/>
      <c r="AV2839" s="14"/>
      <c r="AW2839" s="15"/>
      <c r="AX2839" s="16"/>
    </row>
    <row r="2840" spans="2:51" x14ac:dyDescent="0.2">
      <c r="B2840" s="7"/>
      <c r="C2840" s="8">
        <v>13381</v>
      </c>
      <c r="D2840" s="9" t="s">
        <v>831</v>
      </c>
      <c r="E2840" s="10" t="str">
        <f t="shared" si="115"/>
        <v>Rancho Upácuaro No. 80</v>
      </c>
      <c r="F2840" s="10" t="str">
        <f t="shared" si="116"/>
        <v>De los Ríos</v>
      </c>
      <c r="G2840" s="8">
        <v>1</v>
      </c>
      <c r="H2840" s="11">
        <v>400</v>
      </c>
      <c r="I2840" s="12">
        <v>42707</v>
      </c>
      <c r="J2840" s="35">
        <f t="shared" si="110"/>
        <v>0</v>
      </c>
      <c r="K2840" s="36"/>
      <c r="L2840" s="36"/>
      <c r="M2840" s="36"/>
      <c r="N2840" s="36"/>
      <c r="O2840" s="36"/>
      <c r="P2840" s="36"/>
      <c r="Q2840" s="36"/>
      <c r="R2840" s="36"/>
      <c r="S2840" s="36"/>
      <c r="T2840" s="36"/>
      <c r="U2840" s="36"/>
      <c r="V2840" s="36">
        <v>400</v>
      </c>
      <c r="W2840" s="15">
        <f t="shared" si="111"/>
        <v>400</v>
      </c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15">
        <f t="shared" si="112"/>
        <v>0</v>
      </c>
      <c r="AK2840" s="14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/>
      <c r="AV2840" s="14"/>
      <c r="AW2840" s="15"/>
      <c r="AX2840" s="16"/>
    </row>
    <row r="2841" spans="2:51" x14ac:dyDescent="0.2">
      <c r="B2841" s="7"/>
      <c r="C2841" s="8">
        <v>13382</v>
      </c>
      <c r="D2841" s="9" t="s">
        <v>404</v>
      </c>
      <c r="E2841" s="10" t="str">
        <f t="shared" si="115"/>
        <v>Rancho La Cuchilla No. 89</v>
      </c>
      <c r="F2841" s="10" t="str">
        <f t="shared" si="116"/>
        <v>Gálvez</v>
      </c>
      <c r="G2841" s="8">
        <v>1</v>
      </c>
      <c r="H2841" s="11">
        <v>400</v>
      </c>
      <c r="I2841" s="12">
        <v>42707</v>
      </c>
      <c r="J2841" s="35">
        <f t="shared" si="110"/>
        <v>0</v>
      </c>
      <c r="K2841" s="36"/>
      <c r="L2841" s="36"/>
      <c r="M2841" s="36"/>
      <c r="N2841" s="36"/>
      <c r="O2841" s="36"/>
      <c r="P2841" s="36"/>
      <c r="Q2841" s="36"/>
      <c r="R2841" s="36"/>
      <c r="S2841" s="36"/>
      <c r="T2841" s="36"/>
      <c r="U2841" s="36"/>
      <c r="V2841" s="36">
        <v>400</v>
      </c>
      <c r="W2841" s="15">
        <f t="shared" si="111"/>
        <v>400</v>
      </c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15">
        <f t="shared" si="112"/>
        <v>0</v>
      </c>
      <c r="AK2841" s="14"/>
      <c r="AL2841" s="14"/>
      <c r="AM2841" s="14"/>
      <c r="AN2841" s="14"/>
      <c r="AO2841" s="14"/>
      <c r="AP2841" s="14"/>
      <c r="AQ2841" s="14"/>
      <c r="AR2841" s="14"/>
      <c r="AS2841" s="14"/>
      <c r="AT2841" s="14"/>
      <c r="AU2841" s="14"/>
      <c r="AV2841" s="14"/>
      <c r="AW2841" s="15"/>
      <c r="AX2841" s="16"/>
    </row>
    <row r="2842" spans="2:51" x14ac:dyDescent="0.2">
      <c r="B2842" s="7"/>
      <c r="C2842" s="8">
        <v>13383</v>
      </c>
      <c r="D2842" s="9" t="s">
        <v>112</v>
      </c>
      <c r="E2842" s="10" t="str">
        <f t="shared" si="115"/>
        <v>Rancho Estanzuela No. 129</v>
      </c>
      <c r="F2842" s="10" t="str">
        <f t="shared" si="116"/>
        <v>Sta. María Mendoza</v>
      </c>
      <c r="G2842" s="8">
        <v>1</v>
      </c>
      <c r="H2842" s="11">
        <v>250</v>
      </c>
      <c r="I2842" s="12">
        <v>42707</v>
      </c>
      <c r="J2842" s="35">
        <f t="shared" si="110"/>
        <v>0</v>
      </c>
      <c r="K2842" s="36"/>
      <c r="L2842" s="36"/>
      <c r="M2842" s="36"/>
      <c r="N2842" s="36"/>
      <c r="O2842" s="36"/>
      <c r="P2842" s="36"/>
      <c r="Q2842" s="36"/>
      <c r="R2842" s="36"/>
      <c r="S2842" s="36"/>
      <c r="T2842" s="36"/>
      <c r="U2842" s="36">
        <v>250</v>
      </c>
      <c r="V2842" s="36"/>
      <c r="W2842" s="15">
        <f t="shared" si="111"/>
        <v>250</v>
      </c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15">
        <f t="shared" si="112"/>
        <v>0</v>
      </c>
      <c r="AK2842" s="14"/>
      <c r="AL2842" s="14"/>
      <c r="AM2842" s="14"/>
      <c r="AN2842" s="14"/>
      <c r="AO2842" s="14"/>
      <c r="AP2842" s="14"/>
      <c r="AQ2842" s="14"/>
      <c r="AR2842" s="14"/>
      <c r="AS2842" s="14"/>
      <c r="AT2842" s="14"/>
      <c r="AU2842" s="14"/>
      <c r="AV2842" s="14"/>
      <c r="AW2842" s="15"/>
      <c r="AX2842" s="16"/>
    </row>
    <row r="2843" spans="2:51" x14ac:dyDescent="0.2">
      <c r="B2843" s="7"/>
      <c r="C2843" s="8">
        <v>13384</v>
      </c>
      <c r="D2843" s="9" t="s">
        <v>455</v>
      </c>
      <c r="E2843" s="10" t="str">
        <f t="shared" si="115"/>
        <v>Rancho Zinamba No. 38</v>
      </c>
      <c r="F2843" s="10" t="str">
        <f t="shared" si="116"/>
        <v>Ramírez Díaz</v>
      </c>
      <c r="G2843" s="8">
        <v>1</v>
      </c>
      <c r="H2843" s="11">
        <v>800</v>
      </c>
      <c r="I2843" s="12">
        <v>42707</v>
      </c>
      <c r="J2843" s="35">
        <f t="shared" si="110"/>
        <v>0</v>
      </c>
      <c r="K2843" s="36"/>
      <c r="L2843" s="36"/>
      <c r="M2843" s="36"/>
      <c r="N2843" s="36"/>
      <c r="O2843" s="36"/>
      <c r="P2843" s="36"/>
      <c r="Q2843" s="36"/>
      <c r="R2843" s="36"/>
      <c r="S2843" s="36"/>
      <c r="T2843" s="36"/>
      <c r="U2843" s="36">
        <v>400</v>
      </c>
      <c r="V2843" s="36">
        <v>400</v>
      </c>
      <c r="W2843" s="15">
        <f t="shared" si="111"/>
        <v>800</v>
      </c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15">
        <f t="shared" si="112"/>
        <v>0</v>
      </c>
      <c r="AK2843" s="14"/>
      <c r="AL2843" s="14"/>
      <c r="AM2843" s="14"/>
      <c r="AN2843" s="14"/>
      <c r="AO2843" s="14"/>
      <c r="AP2843" s="14"/>
      <c r="AQ2843" s="14"/>
      <c r="AR2843" s="14"/>
      <c r="AS2843" s="14"/>
      <c r="AT2843" s="14"/>
      <c r="AU2843" s="14"/>
      <c r="AV2843" s="14"/>
      <c r="AW2843" s="15"/>
      <c r="AX2843" s="16"/>
    </row>
    <row r="2844" spans="2:51" x14ac:dyDescent="0.2">
      <c r="B2844" s="7"/>
      <c r="C2844" s="8">
        <v>13385</v>
      </c>
      <c r="D2844" s="9" t="s">
        <v>586</v>
      </c>
      <c r="E2844" s="10" t="str">
        <f t="shared" si="115"/>
        <v>Rancho Estanzuela No. 161, 1</v>
      </c>
      <c r="F2844" s="10" t="str">
        <f t="shared" si="116"/>
        <v>Guevara</v>
      </c>
      <c r="G2844" s="8">
        <v>1</v>
      </c>
      <c r="H2844" s="11">
        <v>400</v>
      </c>
      <c r="I2844" s="12">
        <v>42707</v>
      </c>
      <c r="J2844" s="35">
        <f t="shared" si="110"/>
        <v>0</v>
      </c>
      <c r="K2844" s="36"/>
      <c r="L2844" s="36"/>
      <c r="M2844" s="36"/>
      <c r="N2844" s="36"/>
      <c r="O2844" s="36"/>
      <c r="P2844" s="36"/>
      <c r="Q2844" s="36"/>
      <c r="R2844" s="36"/>
      <c r="S2844" s="36"/>
      <c r="T2844" s="36"/>
      <c r="U2844" s="36">
        <v>200</v>
      </c>
      <c r="V2844" s="36">
        <v>200</v>
      </c>
      <c r="W2844" s="15">
        <f t="shared" si="111"/>
        <v>400</v>
      </c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15">
        <f t="shared" si="112"/>
        <v>0</v>
      </c>
      <c r="AK2844" s="14"/>
      <c r="AL2844" s="14"/>
      <c r="AM2844" s="14"/>
      <c r="AN2844" s="14"/>
      <c r="AO2844" s="14"/>
      <c r="AP2844" s="14"/>
      <c r="AQ2844" s="14"/>
      <c r="AR2844" s="14"/>
      <c r="AS2844" s="14"/>
      <c r="AT2844" s="14"/>
      <c r="AU2844" s="14"/>
      <c r="AV2844" s="14"/>
      <c r="AW2844" s="15"/>
      <c r="AX2844" s="16"/>
    </row>
    <row r="2845" spans="2:51" x14ac:dyDescent="0.2">
      <c r="B2845" s="7"/>
      <c r="C2845" s="8">
        <v>13386</v>
      </c>
      <c r="D2845" s="9" t="s">
        <v>395</v>
      </c>
      <c r="E2845" s="10" t="str">
        <f t="shared" si="115"/>
        <v>Rancho Landero No. 7</v>
      </c>
      <c r="F2845" s="10" t="str">
        <f t="shared" si="116"/>
        <v>Robles</v>
      </c>
      <c r="G2845" s="8">
        <v>1</v>
      </c>
      <c r="H2845" s="11">
        <v>200</v>
      </c>
      <c r="I2845" s="12">
        <v>42707</v>
      </c>
      <c r="J2845" s="35">
        <f t="shared" si="110"/>
        <v>0</v>
      </c>
      <c r="K2845" s="36"/>
      <c r="L2845" s="36"/>
      <c r="M2845" s="36"/>
      <c r="N2845" s="36"/>
      <c r="O2845" s="36"/>
      <c r="P2845" s="36"/>
      <c r="Q2845" s="36"/>
      <c r="R2845" s="36"/>
      <c r="S2845" s="36"/>
      <c r="T2845" s="36"/>
      <c r="U2845" s="36"/>
      <c r="V2845" s="36">
        <v>200</v>
      </c>
      <c r="W2845" s="15">
        <f t="shared" si="111"/>
        <v>200</v>
      </c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15">
        <f t="shared" si="112"/>
        <v>0</v>
      </c>
      <c r="AK2845" s="14"/>
      <c r="AL2845" s="14"/>
      <c r="AM2845" s="14"/>
      <c r="AN2845" s="14"/>
      <c r="AO2845" s="14"/>
      <c r="AP2845" s="14"/>
      <c r="AQ2845" s="14"/>
      <c r="AR2845" s="14"/>
      <c r="AS2845" s="14"/>
      <c r="AT2845" s="14"/>
      <c r="AU2845" s="14"/>
      <c r="AV2845" s="14"/>
      <c r="AW2845" s="15"/>
      <c r="AX2845" s="16"/>
    </row>
    <row r="2846" spans="2:51" x14ac:dyDescent="0.2">
      <c r="B2846" s="7"/>
      <c r="C2846" s="8">
        <v>13387</v>
      </c>
      <c r="D2846" s="9" t="s">
        <v>577</v>
      </c>
      <c r="E2846" s="10" t="str">
        <f t="shared" si="115"/>
        <v>Rancho La Cuchilla No. 46</v>
      </c>
      <c r="F2846" s="10" t="str">
        <f t="shared" si="116"/>
        <v>Cruz López</v>
      </c>
      <c r="G2846" s="8">
        <v>1</v>
      </c>
      <c r="H2846" s="11">
        <v>800</v>
      </c>
      <c r="I2846" s="12">
        <v>42707</v>
      </c>
      <c r="J2846" s="35">
        <f t="shared" si="110"/>
        <v>0</v>
      </c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>
        <v>400</v>
      </c>
      <c r="V2846" s="36">
        <v>400</v>
      </c>
      <c r="W2846" s="15">
        <f t="shared" si="111"/>
        <v>800</v>
      </c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15">
        <f t="shared" si="112"/>
        <v>0</v>
      </c>
      <c r="AK2846" s="14"/>
      <c r="AL2846" s="14"/>
      <c r="AM2846" s="14"/>
      <c r="AN2846" s="14"/>
      <c r="AO2846" s="14"/>
      <c r="AP2846" s="14"/>
      <c r="AQ2846" s="14"/>
      <c r="AR2846" s="14"/>
      <c r="AS2846" s="14"/>
      <c r="AT2846" s="14"/>
      <c r="AU2846" s="14"/>
      <c r="AV2846" s="14"/>
      <c r="AW2846" s="15"/>
      <c r="AX2846" s="16"/>
    </row>
    <row r="2847" spans="2:51" x14ac:dyDescent="0.2">
      <c r="B2847" s="7"/>
      <c r="C2847" s="8">
        <v>13388</v>
      </c>
      <c r="D2847" s="9" t="s">
        <v>523</v>
      </c>
      <c r="E2847" s="10" t="str">
        <f t="shared" si="115"/>
        <v>Rancho Estanzuela No. 139</v>
      </c>
      <c r="F2847" s="10" t="str">
        <f t="shared" si="116"/>
        <v xml:space="preserve">Ortiz   </v>
      </c>
      <c r="G2847" s="8">
        <v>1</v>
      </c>
      <c r="H2847" s="11">
        <v>400</v>
      </c>
      <c r="I2847" s="12">
        <v>42707</v>
      </c>
      <c r="J2847" s="35">
        <f t="shared" si="110"/>
        <v>0</v>
      </c>
      <c r="K2847" s="36"/>
      <c r="L2847" s="36"/>
      <c r="M2847" s="36"/>
      <c r="N2847" s="36"/>
      <c r="O2847" s="36"/>
      <c r="P2847" s="36"/>
      <c r="Q2847" s="36"/>
      <c r="R2847" s="36"/>
      <c r="S2847" s="36"/>
      <c r="T2847" s="36"/>
      <c r="U2847" s="36">
        <v>400</v>
      </c>
      <c r="V2847" s="36"/>
      <c r="W2847" s="15">
        <f t="shared" si="111"/>
        <v>400</v>
      </c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15">
        <f t="shared" si="112"/>
        <v>0</v>
      </c>
      <c r="AK2847" s="14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/>
      <c r="AW2847" s="15"/>
      <c r="AX2847" s="16"/>
    </row>
    <row r="2848" spans="2:51" x14ac:dyDescent="0.2">
      <c r="B2848" s="7"/>
      <c r="C2848" s="8">
        <v>13389</v>
      </c>
      <c r="D2848" s="9" t="s">
        <v>325</v>
      </c>
      <c r="E2848" s="10" t="str">
        <f t="shared" si="115"/>
        <v>Rancho Upácuaro No. 120</v>
      </c>
      <c r="F2848" s="10" t="str">
        <f t="shared" si="116"/>
        <v>Rayas Rivera</v>
      </c>
      <c r="G2848" s="8">
        <v>3</v>
      </c>
      <c r="H2848" s="11">
        <v>200</v>
      </c>
      <c r="I2848" s="12">
        <v>42707</v>
      </c>
      <c r="J2848" s="35">
        <f t="shared" si="110"/>
        <v>0</v>
      </c>
      <c r="K2848" s="36"/>
      <c r="L2848" s="36"/>
      <c r="M2848" s="36"/>
      <c r="N2848" s="36"/>
      <c r="O2848" s="36"/>
      <c r="P2848" s="36"/>
      <c r="Q2848" s="36"/>
      <c r="R2848" s="36"/>
      <c r="S2848" s="36"/>
      <c r="T2848" s="36"/>
      <c r="U2848" s="36"/>
      <c r="V2848" s="36"/>
      <c r="W2848" s="15">
        <f t="shared" si="111"/>
        <v>0</v>
      </c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15">
        <f t="shared" si="112"/>
        <v>0</v>
      </c>
      <c r="AK2848" s="14"/>
      <c r="AL2848" s="14"/>
      <c r="AM2848" s="14"/>
      <c r="AN2848" s="14"/>
      <c r="AO2848" s="14"/>
      <c r="AP2848" s="14"/>
      <c r="AQ2848" s="14"/>
      <c r="AR2848" s="14"/>
      <c r="AS2848" s="14"/>
      <c r="AT2848" s="14"/>
      <c r="AU2848" s="14"/>
      <c r="AV2848" s="14"/>
      <c r="AW2848" s="15"/>
      <c r="AX2848" s="16"/>
      <c r="AY2848">
        <f>SUM(H2780:H2848)</f>
        <v>42675</v>
      </c>
    </row>
    <row r="2849" spans="1:50" x14ac:dyDescent="0.2">
      <c r="A2849" s="340"/>
      <c r="B2849" s="7"/>
      <c r="C2849" s="8">
        <v>13390</v>
      </c>
      <c r="D2849" s="9" t="s">
        <v>205</v>
      </c>
      <c r="E2849" s="10" t="str">
        <f>IF(D2849=0,"",VLOOKUP(D2849,BASE,2,FALSE))</f>
        <v>Rancho Landero No. 1, A</v>
      </c>
      <c r="F2849" s="10" t="str">
        <f>IF(D2849=0,"",VLOOKUP(D2849,BASE,3,FALSE))</f>
        <v>Ebysos</v>
      </c>
      <c r="G2849" s="8">
        <v>1</v>
      </c>
      <c r="H2849" s="315">
        <v>600</v>
      </c>
      <c r="I2849" s="12">
        <v>42708</v>
      </c>
      <c r="J2849" s="35">
        <f t="shared" ref="J2849:J2912" si="117">IF(G2849=1,SUM(W2849,AJ2849,-H2849),0)</f>
        <v>0</v>
      </c>
      <c r="K2849" s="36"/>
      <c r="L2849" s="36"/>
      <c r="M2849" s="36"/>
      <c r="N2849" s="36"/>
      <c r="O2849" s="36"/>
      <c r="P2849" s="36"/>
      <c r="Q2849" s="36"/>
      <c r="R2849" s="36"/>
      <c r="S2849" s="36"/>
      <c r="T2849" s="36"/>
      <c r="U2849" s="36">
        <v>600</v>
      </c>
      <c r="V2849" s="36"/>
      <c r="W2849" s="15">
        <f t="shared" ref="W2849:W2912" si="118">SUM(K2849:V2849)</f>
        <v>600</v>
      </c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15">
        <f t="shared" ref="AJ2849:AJ2912" si="119">SUM(X2849:AI2849)</f>
        <v>0</v>
      </c>
      <c r="AK2849" s="14"/>
      <c r="AL2849" s="14"/>
      <c r="AM2849" s="14"/>
      <c r="AN2849" s="14"/>
      <c r="AO2849" s="14"/>
      <c r="AP2849" s="14"/>
      <c r="AQ2849" s="14"/>
      <c r="AR2849" s="14"/>
      <c r="AS2849" s="14"/>
      <c r="AT2849" s="14"/>
      <c r="AU2849" s="14"/>
      <c r="AV2849" s="14"/>
      <c r="AW2849" s="15"/>
      <c r="AX2849" s="16"/>
    </row>
    <row r="2850" spans="1:50" x14ac:dyDescent="0.2">
      <c r="B2850" s="7"/>
      <c r="C2850" s="8">
        <v>13391</v>
      </c>
      <c r="D2850" s="9" t="s">
        <v>244</v>
      </c>
      <c r="E2850" s="10" t="str">
        <f>IF(D2850=0,"",VLOOKUP(D2850,BASE,2,FALSE))</f>
        <v>Rancho La Cuchilla No. 28</v>
      </c>
      <c r="F2850" s="10" t="str">
        <f>IF(D2850=0,"",VLOOKUP(D2850,BASE,3,FALSE))</f>
        <v>Prado de los S.</v>
      </c>
      <c r="G2850" s="8">
        <v>4</v>
      </c>
      <c r="H2850" s="11">
        <v>200</v>
      </c>
      <c r="I2850" s="12">
        <v>42711</v>
      </c>
      <c r="J2850" s="35">
        <f t="shared" si="117"/>
        <v>0</v>
      </c>
      <c r="K2850" s="36"/>
      <c r="L2850" s="36"/>
      <c r="M2850" s="36"/>
      <c r="N2850" s="36"/>
      <c r="O2850" s="36"/>
      <c r="P2850" s="36"/>
      <c r="Q2850" s="36"/>
      <c r="R2850" s="36"/>
      <c r="S2850" s="36"/>
      <c r="T2850" s="36"/>
      <c r="U2850" s="36"/>
      <c r="V2850" s="36"/>
      <c r="W2850" s="15">
        <f t="shared" si="118"/>
        <v>0</v>
      </c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15">
        <f t="shared" si="119"/>
        <v>0</v>
      </c>
      <c r="AK2850" s="14"/>
      <c r="AL2850" s="14"/>
      <c r="AM2850" s="14"/>
      <c r="AN2850" s="14"/>
      <c r="AO2850" s="14"/>
      <c r="AP2850" s="14"/>
      <c r="AQ2850" s="14"/>
      <c r="AR2850" s="14"/>
      <c r="AS2850" s="14"/>
      <c r="AT2850" s="14"/>
      <c r="AU2850" s="14"/>
      <c r="AV2850" s="14"/>
      <c r="AW2850" s="15"/>
      <c r="AX2850" s="16" t="s">
        <v>3201</v>
      </c>
    </row>
    <row r="2851" spans="1:50" x14ac:dyDescent="0.2">
      <c r="B2851" s="7"/>
      <c r="C2851" s="8">
        <v>13392</v>
      </c>
      <c r="D2851" s="9" t="s">
        <v>358</v>
      </c>
      <c r="E2851" s="10" t="str">
        <f t="shared" ref="E2851:E2914" si="120">IF(D2851=0,"",VLOOKUP(D2851,BASE,2,FALSE))</f>
        <v>Rancho Landero No. 2, 4</v>
      </c>
      <c r="F2851" s="10" t="str">
        <f t="shared" ref="F2851:F2914" si="121">IF(D2851=0,"",VLOOKUP(D2851,BASE,3,FALSE))</f>
        <v>Astudillo Ramírez</v>
      </c>
      <c r="G2851" s="8">
        <v>1</v>
      </c>
      <c r="H2851" s="11">
        <v>450</v>
      </c>
      <c r="I2851" s="12">
        <v>42712</v>
      </c>
      <c r="J2851" s="35">
        <f t="shared" si="117"/>
        <v>0</v>
      </c>
      <c r="K2851" s="36"/>
      <c r="L2851" s="36"/>
      <c r="M2851" s="36"/>
      <c r="N2851" s="36"/>
      <c r="O2851" s="36">
        <v>150</v>
      </c>
      <c r="P2851" s="36"/>
      <c r="Q2851" s="36"/>
      <c r="R2851" s="36"/>
      <c r="S2851" s="36"/>
      <c r="T2851" s="36"/>
      <c r="U2851" s="36">
        <v>150</v>
      </c>
      <c r="V2851" s="36">
        <v>150</v>
      </c>
      <c r="W2851" s="15">
        <f t="shared" si="118"/>
        <v>450</v>
      </c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15">
        <f t="shared" si="119"/>
        <v>0</v>
      </c>
      <c r="AK2851" s="14"/>
      <c r="AL2851" s="14"/>
      <c r="AM2851" s="14"/>
      <c r="AN2851" s="14"/>
      <c r="AO2851" s="14"/>
      <c r="AP2851" s="14"/>
      <c r="AQ2851" s="14"/>
      <c r="AR2851" s="14"/>
      <c r="AS2851" s="14"/>
      <c r="AT2851" s="14"/>
      <c r="AU2851" s="14"/>
      <c r="AV2851" s="14"/>
      <c r="AW2851" s="15"/>
      <c r="AX2851" s="16"/>
    </row>
    <row r="2852" spans="1:50" x14ac:dyDescent="0.2">
      <c r="B2852" s="7"/>
      <c r="C2852" s="8">
        <v>13392</v>
      </c>
      <c r="D2852" s="9" t="s">
        <v>358</v>
      </c>
      <c r="E2852" s="10" t="str">
        <f t="shared" si="120"/>
        <v>Rancho Landero No. 2, 4</v>
      </c>
      <c r="F2852" s="10" t="str">
        <f t="shared" si="121"/>
        <v>Astudillo Ramírez</v>
      </c>
      <c r="G2852" s="8">
        <v>5</v>
      </c>
      <c r="H2852" s="11">
        <v>50</v>
      </c>
      <c r="I2852" s="12">
        <v>42712</v>
      </c>
      <c r="J2852" s="35">
        <f t="shared" si="117"/>
        <v>0</v>
      </c>
      <c r="K2852" s="36"/>
      <c r="L2852" s="36"/>
      <c r="M2852" s="36"/>
      <c r="N2852" s="36"/>
      <c r="O2852" s="36"/>
      <c r="P2852" s="36"/>
      <c r="Q2852" s="36"/>
      <c r="R2852" s="36"/>
      <c r="S2852" s="36"/>
      <c r="T2852" s="36"/>
      <c r="U2852" s="36"/>
      <c r="V2852" s="36"/>
      <c r="W2852" s="15">
        <f t="shared" si="118"/>
        <v>0</v>
      </c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15">
        <f t="shared" si="119"/>
        <v>0</v>
      </c>
      <c r="AK2852" s="14"/>
      <c r="AL2852" s="14"/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5"/>
      <c r="AX2852" s="16"/>
    </row>
    <row r="2853" spans="1:50" x14ac:dyDescent="0.2">
      <c r="B2853" s="7"/>
      <c r="C2853" s="8">
        <v>13393</v>
      </c>
      <c r="D2853" s="9" t="s">
        <v>177</v>
      </c>
      <c r="E2853" s="10" t="str">
        <f t="shared" si="120"/>
        <v>Rancho Landero No. 71</v>
      </c>
      <c r="F2853" s="10" t="str">
        <f t="shared" si="121"/>
        <v xml:space="preserve">Luna  </v>
      </c>
      <c r="G2853" s="8">
        <v>1</v>
      </c>
      <c r="H2853" s="11">
        <v>400</v>
      </c>
      <c r="I2853" s="12">
        <v>42712</v>
      </c>
      <c r="J2853" s="35">
        <f t="shared" si="117"/>
        <v>0</v>
      </c>
      <c r="K2853" s="36"/>
      <c r="L2853" s="36"/>
      <c r="M2853" s="36"/>
      <c r="N2853" s="36"/>
      <c r="O2853" s="36"/>
      <c r="P2853" s="36"/>
      <c r="Q2853" s="36"/>
      <c r="R2853" s="36"/>
      <c r="S2853" s="36"/>
      <c r="T2853" s="36"/>
      <c r="U2853" s="36"/>
      <c r="V2853" s="36">
        <v>400</v>
      </c>
      <c r="W2853" s="15">
        <f t="shared" si="118"/>
        <v>400</v>
      </c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15">
        <f t="shared" si="119"/>
        <v>0</v>
      </c>
      <c r="AK2853" s="14"/>
      <c r="AL2853" s="14"/>
      <c r="AM2853" s="14"/>
      <c r="AN2853" s="14"/>
      <c r="AO2853" s="14"/>
      <c r="AP2853" s="14"/>
      <c r="AQ2853" s="14"/>
      <c r="AR2853" s="14"/>
      <c r="AS2853" s="14"/>
      <c r="AT2853" s="14"/>
      <c r="AU2853" s="14"/>
      <c r="AV2853" s="14"/>
      <c r="AW2853" s="15"/>
      <c r="AX2853" s="16"/>
    </row>
    <row r="2854" spans="1:50" x14ac:dyDescent="0.2">
      <c r="B2854" s="7"/>
      <c r="C2854" s="8">
        <v>13394</v>
      </c>
      <c r="D2854" s="9" t="s">
        <v>485</v>
      </c>
      <c r="E2854" s="10" t="str">
        <f t="shared" si="120"/>
        <v>Rancho Estanzuela No. 111</v>
      </c>
      <c r="F2854" s="10" t="str">
        <f t="shared" si="121"/>
        <v>Flores Pérez</v>
      </c>
      <c r="G2854" s="8">
        <v>1</v>
      </c>
      <c r="H2854" s="11">
        <v>1200</v>
      </c>
      <c r="I2854" s="12">
        <v>42712</v>
      </c>
      <c r="J2854" s="35">
        <f t="shared" si="117"/>
        <v>0</v>
      </c>
      <c r="K2854" s="36"/>
      <c r="L2854" s="36"/>
      <c r="M2854" s="36"/>
      <c r="N2854" s="36"/>
      <c r="O2854" s="36"/>
      <c r="P2854" s="36"/>
      <c r="Q2854" s="36"/>
      <c r="R2854" s="36"/>
      <c r="S2854" s="36"/>
      <c r="T2854" s="36">
        <v>400</v>
      </c>
      <c r="U2854" s="36">
        <v>400</v>
      </c>
      <c r="V2854" s="36">
        <v>400</v>
      </c>
      <c r="W2854" s="15">
        <f t="shared" si="118"/>
        <v>1200</v>
      </c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15">
        <f t="shared" si="119"/>
        <v>0</v>
      </c>
      <c r="AK2854" s="14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14"/>
      <c r="AV2854" s="14"/>
      <c r="AW2854" s="15"/>
      <c r="AX2854" s="16"/>
    </row>
    <row r="2855" spans="1:50" x14ac:dyDescent="0.2">
      <c r="B2855" s="7"/>
      <c r="C2855" s="8">
        <v>13395</v>
      </c>
      <c r="D2855" s="9" t="s">
        <v>425</v>
      </c>
      <c r="E2855" s="10" t="str">
        <f t="shared" si="120"/>
        <v>Rancho La Cuchilla No. 120</v>
      </c>
      <c r="F2855" s="10" t="str">
        <f t="shared" si="121"/>
        <v>Pozos Vilchis</v>
      </c>
      <c r="G2855" s="8">
        <v>1</v>
      </c>
      <c r="H2855" s="11">
        <v>400</v>
      </c>
      <c r="I2855" s="12">
        <v>42715</v>
      </c>
      <c r="J2855" s="35">
        <f t="shared" si="117"/>
        <v>0</v>
      </c>
      <c r="K2855" s="36"/>
      <c r="L2855" s="36"/>
      <c r="M2855" s="36"/>
      <c r="N2855" s="36"/>
      <c r="O2855" s="36"/>
      <c r="P2855" s="36"/>
      <c r="Q2855" s="36"/>
      <c r="R2855" s="36"/>
      <c r="S2855" s="36"/>
      <c r="T2855" s="36"/>
      <c r="U2855" s="36"/>
      <c r="V2855" s="36">
        <v>400</v>
      </c>
      <c r="W2855" s="15">
        <f t="shared" si="118"/>
        <v>400</v>
      </c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15">
        <f t="shared" si="119"/>
        <v>0</v>
      </c>
      <c r="AK2855" s="14"/>
      <c r="AL2855" s="14"/>
      <c r="AM2855" s="14"/>
      <c r="AN2855" s="14"/>
      <c r="AO2855" s="14"/>
      <c r="AP2855" s="14"/>
      <c r="AQ2855" s="14"/>
      <c r="AR2855" s="14"/>
      <c r="AS2855" s="14"/>
      <c r="AT2855" s="14"/>
      <c r="AU2855" s="14"/>
      <c r="AV2855" s="14"/>
      <c r="AW2855" s="15"/>
      <c r="AX2855" s="16"/>
    </row>
    <row r="2856" spans="1:50" x14ac:dyDescent="0.2">
      <c r="B2856" s="7"/>
      <c r="C2856" s="8">
        <v>13396</v>
      </c>
      <c r="D2856" s="9" t="s">
        <v>814</v>
      </c>
      <c r="E2856" s="10" t="str">
        <f t="shared" si="120"/>
        <v>Rancho Landero No. 47</v>
      </c>
      <c r="F2856" s="10" t="str">
        <f t="shared" si="121"/>
        <v>García González</v>
      </c>
      <c r="G2856" s="8">
        <v>4</v>
      </c>
      <c r="H2856" s="11">
        <v>600</v>
      </c>
      <c r="I2856" s="12">
        <v>42715</v>
      </c>
      <c r="J2856" s="35">
        <f t="shared" si="117"/>
        <v>0</v>
      </c>
      <c r="K2856" s="36"/>
      <c r="L2856" s="36"/>
      <c r="M2856" s="36"/>
      <c r="N2856" s="36"/>
      <c r="O2856" s="36"/>
      <c r="P2856" s="36"/>
      <c r="Q2856" s="36"/>
      <c r="R2856" s="36"/>
      <c r="S2856" s="36"/>
      <c r="T2856" s="36"/>
      <c r="U2856" s="36"/>
      <c r="V2856" s="36"/>
      <c r="W2856" s="15">
        <f t="shared" si="118"/>
        <v>0</v>
      </c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15">
        <f t="shared" si="119"/>
        <v>0</v>
      </c>
      <c r="AK2856" s="14"/>
      <c r="AL2856" s="14"/>
      <c r="AM2856" s="14"/>
      <c r="AN2856" s="14"/>
      <c r="AO2856" s="14"/>
      <c r="AP2856" s="14"/>
      <c r="AQ2856" s="14"/>
      <c r="AR2856" s="14"/>
      <c r="AS2856" s="14"/>
      <c r="AT2856" s="14"/>
      <c r="AU2856" s="14"/>
      <c r="AV2856" s="14"/>
      <c r="AW2856" s="15"/>
      <c r="AX2856" s="16" t="s">
        <v>3202</v>
      </c>
    </row>
    <row r="2857" spans="1:50" x14ac:dyDescent="0.2">
      <c r="B2857" s="7"/>
      <c r="C2857" s="8">
        <v>13396</v>
      </c>
      <c r="D2857" s="9" t="s">
        <v>814</v>
      </c>
      <c r="E2857" s="10" t="str">
        <f t="shared" si="120"/>
        <v>Rancho Landero No. 47</v>
      </c>
      <c r="F2857" s="10" t="str">
        <f t="shared" si="121"/>
        <v>García González</v>
      </c>
      <c r="G2857" s="8">
        <v>5</v>
      </c>
      <c r="H2857" s="11">
        <v>50</v>
      </c>
      <c r="I2857" s="12">
        <v>42715</v>
      </c>
      <c r="J2857" s="35">
        <f t="shared" si="117"/>
        <v>0</v>
      </c>
      <c r="K2857" s="36"/>
      <c r="L2857" s="36"/>
      <c r="M2857" s="36"/>
      <c r="N2857" s="36"/>
      <c r="O2857" s="36"/>
      <c r="P2857" s="36"/>
      <c r="Q2857" s="36"/>
      <c r="R2857" s="36"/>
      <c r="S2857" s="36"/>
      <c r="T2857" s="36"/>
      <c r="U2857" s="36"/>
      <c r="V2857" s="36"/>
      <c r="W2857" s="15">
        <f t="shared" si="118"/>
        <v>0</v>
      </c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15">
        <f t="shared" si="119"/>
        <v>0</v>
      </c>
      <c r="AK2857" s="14"/>
      <c r="AL2857" s="14"/>
      <c r="AM2857" s="14"/>
      <c r="AN2857" s="14"/>
      <c r="AO2857" s="14"/>
      <c r="AP2857" s="14"/>
      <c r="AQ2857" s="14"/>
      <c r="AR2857" s="14"/>
      <c r="AS2857" s="14"/>
      <c r="AT2857" s="14"/>
      <c r="AU2857" s="14"/>
      <c r="AV2857" s="14"/>
      <c r="AW2857" s="15"/>
      <c r="AX2857" s="16"/>
    </row>
    <row r="2858" spans="1:50" x14ac:dyDescent="0.2">
      <c r="B2858" s="7"/>
      <c r="C2858" s="8">
        <v>13397</v>
      </c>
      <c r="D2858" s="9" t="s">
        <v>135</v>
      </c>
      <c r="E2858" s="10" t="str">
        <f t="shared" si="120"/>
        <v>Rancho Upácuaro No. 70</v>
      </c>
      <c r="F2858" s="10" t="str">
        <f t="shared" si="121"/>
        <v>Ramírez Tejeda</v>
      </c>
      <c r="G2858" s="8">
        <v>1</v>
      </c>
      <c r="H2858" s="11">
        <v>300</v>
      </c>
      <c r="I2858" s="12">
        <v>42715</v>
      </c>
      <c r="J2858" s="35">
        <f t="shared" si="117"/>
        <v>0</v>
      </c>
      <c r="K2858" s="36"/>
      <c r="L2858" s="36"/>
      <c r="M2858" s="36"/>
      <c r="N2858" s="36"/>
      <c r="O2858" s="36"/>
      <c r="P2858" s="36"/>
      <c r="Q2858" s="36"/>
      <c r="R2858" s="36"/>
      <c r="S2858" s="36"/>
      <c r="T2858" s="36"/>
      <c r="U2858" s="36"/>
      <c r="V2858" s="36">
        <v>300</v>
      </c>
      <c r="W2858" s="15">
        <f t="shared" si="118"/>
        <v>300</v>
      </c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15">
        <f t="shared" si="119"/>
        <v>0</v>
      </c>
      <c r="AK2858" s="14"/>
      <c r="AL2858" s="14"/>
      <c r="AM2858" s="14"/>
      <c r="AN2858" s="14"/>
      <c r="AO2858" s="14"/>
      <c r="AP2858" s="14"/>
      <c r="AQ2858" s="14"/>
      <c r="AR2858" s="14"/>
      <c r="AS2858" s="14"/>
      <c r="AT2858" s="14"/>
      <c r="AU2858" s="14"/>
      <c r="AV2858" s="14"/>
      <c r="AW2858" s="15"/>
      <c r="AX2858" s="16"/>
    </row>
    <row r="2859" spans="1:50" x14ac:dyDescent="0.2">
      <c r="B2859" s="7"/>
      <c r="C2859" s="8">
        <v>13398</v>
      </c>
      <c r="D2859" s="9" t="s">
        <v>159</v>
      </c>
      <c r="E2859" s="10" t="str">
        <f t="shared" si="120"/>
        <v>Rancho Zinamba No. 24</v>
      </c>
      <c r="F2859" s="10" t="str">
        <f t="shared" si="121"/>
        <v>Monroy García</v>
      </c>
      <c r="G2859" s="8">
        <v>1</v>
      </c>
      <c r="H2859" s="11">
        <v>400</v>
      </c>
      <c r="I2859" s="12">
        <v>42715</v>
      </c>
      <c r="J2859" s="35">
        <f t="shared" si="117"/>
        <v>0</v>
      </c>
      <c r="K2859" s="36"/>
      <c r="L2859" s="36"/>
      <c r="M2859" s="36"/>
      <c r="N2859" s="36"/>
      <c r="O2859" s="36"/>
      <c r="P2859" s="36"/>
      <c r="Q2859" s="36"/>
      <c r="R2859" s="36"/>
      <c r="S2859" s="36"/>
      <c r="T2859" s="36"/>
      <c r="U2859" s="36">
        <v>400</v>
      </c>
      <c r="V2859" s="36"/>
      <c r="W2859" s="15">
        <f t="shared" si="118"/>
        <v>400</v>
      </c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15">
        <f t="shared" si="119"/>
        <v>0</v>
      </c>
      <c r="AK2859" s="14"/>
      <c r="AL2859" s="14"/>
      <c r="AM2859" s="14"/>
      <c r="AN2859" s="14"/>
      <c r="AO2859" s="14"/>
      <c r="AP2859" s="14"/>
      <c r="AQ2859" s="14"/>
      <c r="AR2859" s="14"/>
      <c r="AS2859" s="14"/>
      <c r="AT2859" s="14"/>
      <c r="AU2859" s="14"/>
      <c r="AV2859" s="14"/>
      <c r="AW2859" s="15"/>
      <c r="AX2859" s="16"/>
    </row>
    <row r="2860" spans="1:50" x14ac:dyDescent="0.2">
      <c r="B2860" s="7"/>
      <c r="C2860" s="8">
        <v>13399</v>
      </c>
      <c r="D2860" s="9" t="s">
        <v>271</v>
      </c>
      <c r="E2860" s="10" t="str">
        <f t="shared" si="120"/>
        <v>Rancho Landero No. 76</v>
      </c>
      <c r="F2860" s="10" t="str">
        <f t="shared" si="121"/>
        <v>Ugarte</v>
      </c>
      <c r="G2860" s="8">
        <v>1</v>
      </c>
      <c r="H2860" s="11">
        <v>400</v>
      </c>
      <c r="I2860" s="12">
        <v>42715</v>
      </c>
      <c r="J2860" s="35">
        <f t="shared" si="117"/>
        <v>0</v>
      </c>
      <c r="K2860" s="36"/>
      <c r="L2860" s="36"/>
      <c r="M2860" s="36"/>
      <c r="N2860" s="36"/>
      <c r="O2860" s="36"/>
      <c r="P2860" s="36"/>
      <c r="Q2860" s="36"/>
      <c r="R2860" s="36"/>
      <c r="S2860" s="36"/>
      <c r="T2860" s="36"/>
      <c r="U2860" s="36"/>
      <c r="V2860" s="36">
        <v>400</v>
      </c>
      <c r="W2860" s="15">
        <f t="shared" si="118"/>
        <v>400</v>
      </c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15">
        <f t="shared" si="119"/>
        <v>0</v>
      </c>
      <c r="AK2860" s="14"/>
      <c r="AL2860" s="14"/>
      <c r="AM2860" s="14"/>
      <c r="AN2860" s="14"/>
      <c r="AO2860" s="14"/>
      <c r="AP2860" s="14"/>
      <c r="AQ2860" s="14"/>
      <c r="AR2860" s="14"/>
      <c r="AS2860" s="14"/>
      <c r="AT2860" s="14"/>
      <c r="AU2860" s="14"/>
      <c r="AV2860" s="14"/>
      <c r="AW2860" s="15"/>
      <c r="AX2860" s="16"/>
    </row>
    <row r="2861" spans="1:50" x14ac:dyDescent="0.2">
      <c r="B2861" s="7"/>
      <c r="C2861" s="8">
        <v>13400</v>
      </c>
      <c r="D2861" s="9" t="s">
        <v>640</v>
      </c>
      <c r="E2861" s="10" t="str">
        <f t="shared" si="120"/>
        <v>Rancho Estopila No. 22, A</v>
      </c>
      <c r="F2861" s="10" t="str">
        <f t="shared" si="121"/>
        <v>Ayala Carranza</v>
      </c>
      <c r="G2861" s="8">
        <v>1</v>
      </c>
      <c r="H2861" s="11">
        <v>200</v>
      </c>
      <c r="I2861" s="12">
        <v>42715</v>
      </c>
      <c r="J2861" s="35">
        <f t="shared" si="117"/>
        <v>0</v>
      </c>
      <c r="K2861" s="36"/>
      <c r="L2861" s="36"/>
      <c r="M2861" s="36"/>
      <c r="N2861" s="36"/>
      <c r="O2861" s="36"/>
      <c r="P2861" s="36"/>
      <c r="Q2861" s="36"/>
      <c r="R2861" s="36"/>
      <c r="S2861" s="36"/>
      <c r="T2861" s="36"/>
      <c r="U2861" s="36"/>
      <c r="V2861" s="36">
        <v>200</v>
      </c>
      <c r="W2861" s="15">
        <f t="shared" si="118"/>
        <v>200</v>
      </c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15">
        <f t="shared" si="119"/>
        <v>0</v>
      </c>
      <c r="AK2861" s="14"/>
      <c r="AL2861" s="14"/>
      <c r="AM2861" s="14"/>
      <c r="AN2861" s="14"/>
      <c r="AO2861" s="14"/>
      <c r="AP2861" s="14"/>
      <c r="AQ2861" s="14"/>
      <c r="AR2861" s="14"/>
      <c r="AS2861" s="14"/>
      <c r="AT2861" s="14"/>
      <c r="AU2861" s="14"/>
      <c r="AV2861" s="14"/>
      <c r="AW2861" s="15"/>
      <c r="AX2861" s="16"/>
    </row>
    <row r="2862" spans="1:50" x14ac:dyDescent="0.2">
      <c r="B2862" s="7"/>
      <c r="C2862" s="8">
        <v>13401</v>
      </c>
      <c r="D2862" s="9" t="s">
        <v>265</v>
      </c>
      <c r="E2862" s="10" t="str">
        <f t="shared" si="120"/>
        <v>Rancho Upácuaro No. 85</v>
      </c>
      <c r="F2862" s="10" t="str">
        <f t="shared" si="121"/>
        <v>Del Toro Huerta</v>
      </c>
      <c r="G2862" s="8">
        <v>1</v>
      </c>
      <c r="H2862" s="11">
        <v>400</v>
      </c>
      <c r="I2862" s="12">
        <v>42715</v>
      </c>
      <c r="J2862" s="35">
        <f t="shared" si="117"/>
        <v>0</v>
      </c>
      <c r="K2862" s="36"/>
      <c r="L2862" s="36"/>
      <c r="M2862" s="36"/>
      <c r="N2862" s="36"/>
      <c r="O2862" s="36"/>
      <c r="P2862" s="36"/>
      <c r="Q2862" s="36"/>
      <c r="R2862" s="36"/>
      <c r="S2862" s="36"/>
      <c r="T2862" s="36"/>
      <c r="U2862" s="36"/>
      <c r="V2862" s="36">
        <v>400</v>
      </c>
      <c r="W2862" s="15">
        <f t="shared" si="118"/>
        <v>400</v>
      </c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15">
        <f t="shared" si="119"/>
        <v>0</v>
      </c>
      <c r="AK2862" s="14"/>
      <c r="AL2862" s="14"/>
      <c r="AM2862" s="14"/>
      <c r="AN2862" s="14"/>
      <c r="AO2862" s="14"/>
      <c r="AP2862" s="14"/>
      <c r="AQ2862" s="14"/>
      <c r="AR2862" s="14"/>
      <c r="AS2862" s="14"/>
      <c r="AT2862" s="14"/>
      <c r="AU2862" s="14"/>
      <c r="AV2862" s="14"/>
      <c r="AW2862" s="15"/>
      <c r="AX2862" s="16"/>
    </row>
    <row r="2863" spans="1:50" x14ac:dyDescent="0.2">
      <c r="B2863" s="7"/>
      <c r="C2863" s="8">
        <v>13402</v>
      </c>
      <c r="D2863" s="9" t="s">
        <v>51</v>
      </c>
      <c r="E2863" s="10" t="str">
        <f t="shared" si="120"/>
        <v>Rancho Landero No. 22</v>
      </c>
      <c r="F2863" s="10" t="str">
        <f t="shared" si="121"/>
        <v>Reyes</v>
      </c>
      <c r="G2863" s="8">
        <v>1</v>
      </c>
      <c r="H2863" s="11">
        <v>500</v>
      </c>
      <c r="I2863" s="12">
        <v>42715</v>
      </c>
      <c r="J2863" s="35">
        <f t="shared" si="117"/>
        <v>0</v>
      </c>
      <c r="K2863" s="36"/>
      <c r="L2863" s="36"/>
      <c r="M2863" s="36"/>
      <c r="N2863" s="36"/>
      <c r="O2863" s="36"/>
      <c r="P2863" s="36"/>
      <c r="Q2863" s="36"/>
      <c r="R2863" s="36"/>
      <c r="S2863" s="36"/>
      <c r="T2863" s="36"/>
      <c r="U2863" s="36"/>
      <c r="V2863" s="36">
        <v>250</v>
      </c>
      <c r="W2863" s="15">
        <f t="shared" si="118"/>
        <v>250</v>
      </c>
      <c r="X2863" s="36">
        <v>250</v>
      </c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15">
        <f t="shared" si="119"/>
        <v>250</v>
      </c>
      <c r="AK2863" s="14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14"/>
      <c r="AV2863" s="14"/>
      <c r="AW2863" s="15"/>
      <c r="AX2863" s="16"/>
    </row>
    <row r="2864" spans="1:50" x14ac:dyDescent="0.2">
      <c r="B2864" s="7"/>
      <c r="C2864" s="8">
        <v>13403</v>
      </c>
      <c r="D2864" s="9" t="s">
        <v>307</v>
      </c>
      <c r="E2864" s="10" t="str">
        <f t="shared" si="120"/>
        <v>Rancho Landero No. 83</v>
      </c>
      <c r="F2864" s="10" t="str">
        <f t="shared" si="121"/>
        <v>Aguilar</v>
      </c>
      <c r="G2864" s="8">
        <v>1</v>
      </c>
      <c r="H2864" s="11">
        <v>350</v>
      </c>
      <c r="I2864" s="12">
        <v>42715</v>
      </c>
      <c r="J2864" s="35">
        <f t="shared" si="117"/>
        <v>0</v>
      </c>
      <c r="K2864" s="36"/>
      <c r="L2864" s="36"/>
      <c r="M2864" s="36"/>
      <c r="N2864" s="36"/>
      <c r="O2864" s="36"/>
      <c r="P2864" s="36"/>
      <c r="Q2864" s="36"/>
      <c r="R2864" s="36"/>
      <c r="S2864" s="36"/>
      <c r="T2864" s="36"/>
      <c r="U2864" s="36"/>
      <c r="V2864" s="36">
        <v>350</v>
      </c>
      <c r="W2864" s="15">
        <f t="shared" si="118"/>
        <v>350</v>
      </c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15">
        <f t="shared" si="119"/>
        <v>0</v>
      </c>
      <c r="AK2864" s="14"/>
      <c r="AL2864" s="14"/>
      <c r="AM2864" s="14"/>
      <c r="AN2864" s="14"/>
      <c r="AO2864" s="14"/>
      <c r="AP2864" s="14"/>
      <c r="AQ2864" s="14"/>
      <c r="AR2864" s="14"/>
      <c r="AS2864" s="14"/>
      <c r="AT2864" s="14"/>
      <c r="AU2864" s="14"/>
      <c r="AV2864" s="14"/>
      <c r="AW2864" s="15"/>
      <c r="AX2864" s="16"/>
    </row>
    <row r="2865" spans="2:50" x14ac:dyDescent="0.2">
      <c r="B2865" s="7"/>
      <c r="C2865" s="8">
        <v>13404</v>
      </c>
      <c r="D2865" s="9" t="s">
        <v>1267</v>
      </c>
      <c r="E2865" s="10" t="str">
        <f t="shared" si="120"/>
        <v>Rancho La Cuchilla No. 31</v>
      </c>
      <c r="F2865" s="10" t="str">
        <f t="shared" si="121"/>
        <v>Lince</v>
      </c>
      <c r="G2865" s="8">
        <v>1</v>
      </c>
      <c r="H2865" s="11">
        <v>300</v>
      </c>
      <c r="I2865" s="12">
        <v>42715</v>
      </c>
      <c r="J2865" s="35">
        <f t="shared" si="117"/>
        <v>0</v>
      </c>
      <c r="K2865" s="36"/>
      <c r="L2865" s="36"/>
      <c r="M2865" s="36"/>
      <c r="N2865" s="36"/>
      <c r="O2865" s="36"/>
      <c r="P2865" s="36"/>
      <c r="Q2865" s="36"/>
      <c r="R2865" s="36"/>
      <c r="S2865" s="36"/>
      <c r="T2865" s="36"/>
      <c r="U2865" s="36"/>
      <c r="V2865" s="36">
        <v>300</v>
      </c>
      <c r="W2865" s="15">
        <f t="shared" si="118"/>
        <v>300</v>
      </c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15">
        <f t="shared" si="119"/>
        <v>0</v>
      </c>
      <c r="AK2865" s="14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14"/>
      <c r="AV2865" s="14"/>
      <c r="AW2865" s="15"/>
      <c r="AX2865" s="16"/>
    </row>
    <row r="2866" spans="2:50" x14ac:dyDescent="0.2">
      <c r="B2866" s="7"/>
      <c r="C2866" s="8">
        <v>13405</v>
      </c>
      <c r="D2866" s="9" t="s">
        <v>714</v>
      </c>
      <c r="E2866" s="10" t="str">
        <f t="shared" si="120"/>
        <v>Rancho Upácuaro No. 134</v>
      </c>
      <c r="F2866" s="10" t="str">
        <f t="shared" si="121"/>
        <v>Flores Pérez</v>
      </c>
      <c r="G2866" s="8">
        <v>1</v>
      </c>
      <c r="H2866" s="11">
        <v>2400</v>
      </c>
      <c r="I2866" s="12">
        <v>42715</v>
      </c>
      <c r="J2866" s="35">
        <f t="shared" si="117"/>
        <v>0</v>
      </c>
      <c r="K2866" s="36"/>
      <c r="L2866" s="36"/>
      <c r="M2866" s="36"/>
      <c r="N2866" s="36"/>
      <c r="O2866" s="36"/>
      <c r="P2866" s="36"/>
      <c r="Q2866" s="36">
        <v>400</v>
      </c>
      <c r="R2866" s="36">
        <v>400</v>
      </c>
      <c r="S2866" s="36">
        <v>400</v>
      </c>
      <c r="T2866" s="36">
        <v>400</v>
      </c>
      <c r="U2866" s="36">
        <v>400</v>
      </c>
      <c r="V2866" s="36">
        <v>400</v>
      </c>
      <c r="W2866" s="15">
        <f t="shared" si="118"/>
        <v>2400</v>
      </c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15">
        <f t="shared" si="119"/>
        <v>0</v>
      </c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5"/>
      <c r="AX2866" s="16"/>
    </row>
    <row r="2867" spans="2:50" x14ac:dyDescent="0.2">
      <c r="B2867" s="7"/>
      <c r="C2867" s="8">
        <v>13406</v>
      </c>
      <c r="D2867" s="9" t="s">
        <v>44</v>
      </c>
      <c r="E2867" s="10" t="str">
        <f t="shared" si="120"/>
        <v>Rancho Landero No. 14</v>
      </c>
      <c r="F2867" s="10" t="str">
        <f t="shared" si="121"/>
        <v xml:space="preserve">Castrejón  </v>
      </c>
      <c r="G2867" s="8">
        <v>3</v>
      </c>
      <c r="H2867" s="11">
        <v>200</v>
      </c>
      <c r="I2867" s="12">
        <v>42715</v>
      </c>
      <c r="J2867" s="35">
        <f t="shared" si="117"/>
        <v>0</v>
      </c>
      <c r="K2867" s="36"/>
      <c r="L2867" s="36"/>
      <c r="M2867" s="36"/>
      <c r="N2867" s="36"/>
      <c r="O2867" s="36"/>
      <c r="P2867" s="36"/>
      <c r="Q2867" s="36"/>
      <c r="R2867" s="36"/>
      <c r="S2867" s="36"/>
      <c r="T2867" s="36"/>
      <c r="U2867" s="36"/>
      <c r="V2867" s="36"/>
      <c r="W2867" s="15">
        <f t="shared" si="118"/>
        <v>0</v>
      </c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15">
        <f t="shared" si="119"/>
        <v>0</v>
      </c>
      <c r="AK2867" s="14"/>
      <c r="AL2867" s="14"/>
      <c r="AM2867" s="14"/>
      <c r="AN2867" s="14"/>
      <c r="AO2867" s="14"/>
      <c r="AP2867" s="14"/>
      <c r="AQ2867" s="14"/>
      <c r="AR2867" s="14"/>
      <c r="AS2867" s="14"/>
      <c r="AT2867" s="14"/>
      <c r="AU2867" s="14"/>
      <c r="AV2867" s="14"/>
      <c r="AW2867" s="15"/>
      <c r="AX2867" s="16"/>
    </row>
    <row r="2868" spans="2:50" x14ac:dyDescent="0.2">
      <c r="B2868" s="7"/>
      <c r="C2868" s="8">
        <v>13407</v>
      </c>
      <c r="D2868" s="9" t="s">
        <v>407</v>
      </c>
      <c r="E2868" s="10" t="str">
        <f t="shared" si="120"/>
        <v>Rancho Estanzuela No. 99</v>
      </c>
      <c r="F2868" s="10" t="str">
        <f t="shared" si="121"/>
        <v>García López</v>
      </c>
      <c r="G2868" s="8">
        <v>1</v>
      </c>
      <c r="H2868" s="11">
        <v>400</v>
      </c>
      <c r="I2868" s="12">
        <v>42715</v>
      </c>
      <c r="J2868" s="35">
        <f t="shared" si="117"/>
        <v>0</v>
      </c>
      <c r="K2868" s="36"/>
      <c r="L2868" s="36"/>
      <c r="M2868" s="36"/>
      <c r="N2868" s="36"/>
      <c r="O2868" s="36"/>
      <c r="P2868" s="36"/>
      <c r="Q2868" s="36"/>
      <c r="R2868" s="36"/>
      <c r="S2868" s="36"/>
      <c r="T2868" s="36"/>
      <c r="U2868" s="36"/>
      <c r="V2868" s="36">
        <v>400</v>
      </c>
      <c r="W2868" s="15">
        <f t="shared" si="118"/>
        <v>400</v>
      </c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15">
        <f t="shared" si="119"/>
        <v>0</v>
      </c>
      <c r="AK2868" s="14"/>
      <c r="AL2868" s="14"/>
      <c r="AM2868" s="14"/>
      <c r="AN2868" s="14"/>
      <c r="AO2868" s="14"/>
      <c r="AP2868" s="14"/>
      <c r="AQ2868" s="14"/>
      <c r="AR2868" s="14"/>
      <c r="AS2868" s="14"/>
      <c r="AT2868" s="14"/>
      <c r="AU2868" s="14"/>
      <c r="AV2868" s="14"/>
      <c r="AW2868" s="15"/>
      <c r="AX2868" s="16"/>
    </row>
    <row r="2869" spans="2:50" x14ac:dyDescent="0.2">
      <c r="B2869" s="7"/>
      <c r="C2869" s="8">
        <v>13408</v>
      </c>
      <c r="D2869" s="9" t="s">
        <v>1073</v>
      </c>
      <c r="E2869" s="10" t="str">
        <f t="shared" si="120"/>
        <v>Rancho Upácuaro No. 96</v>
      </c>
      <c r="F2869" s="10" t="str">
        <f t="shared" si="121"/>
        <v>Daza Gutiérrez</v>
      </c>
      <c r="G2869" s="8">
        <v>1</v>
      </c>
      <c r="H2869" s="11">
        <v>1200</v>
      </c>
      <c r="I2869" s="12">
        <v>42715</v>
      </c>
      <c r="J2869" s="35">
        <f t="shared" si="117"/>
        <v>0</v>
      </c>
      <c r="K2869" s="36"/>
      <c r="L2869" s="36"/>
      <c r="M2869" s="36"/>
      <c r="N2869" s="36"/>
      <c r="O2869" s="36"/>
      <c r="P2869" s="36"/>
      <c r="Q2869" s="36"/>
      <c r="R2869" s="36">
        <v>400</v>
      </c>
      <c r="S2869" s="36">
        <v>400</v>
      </c>
      <c r="T2869" s="36">
        <v>400</v>
      </c>
      <c r="U2869" s="36"/>
      <c r="V2869" s="36"/>
      <c r="W2869" s="15">
        <f t="shared" si="118"/>
        <v>1200</v>
      </c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15">
        <f t="shared" si="119"/>
        <v>0</v>
      </c>
      <c r="AK2869" s="14"/>
      <c r="AL2869" s="14"/>
      <c r="AM2869" s="14"/>
      <c r="AN2869" s="14"/>
      <c r="AO2869" s="14"/>
      <c r="AP2869" s="14"/>
      <c r="AQ2869" s="14"/>
      <c r="AR2869" s="14"/>
      <c r="AS2869" s="14"/>
      <c r="AT2869" s="14"/>
      <c r="AU2869" s="14"/>
      <c r="AV2869" s="14"/>
      <c r="AW2869" s="15"/>
      <c r="AX2869" s="16"/>
    </row>
    <row r="2870" spans="2:50" x14ac:dyDescent="0.2">
      <c r="B2870" s="7"/>
      <c r="C2870" s="8">
        <v>13409</v>
      </c>
      <c r="D2870" s="9" t="s">
        <v>810</v>
      </c>
      <c r="E2870" s="10" t="str">
        <f t="shared" si="120"/>
        <v>Rancho La Cuchilla No. 90</v>
      </c>
      <c r="F2870" s="10" t="str">
        <f t="shared" si="121"/>
        <v>Porras Fuentes</v>
      </c>
      <c r="G2870" s="8">
        <v>1</v>
      </c>
      <c r="H2870" s="11">
        <v>200</v>
      </c>
      <c r="I2870" s="12">
        <v>42715</v>
      </c>
      <c r="J2870" s="35">
        <f t="shared" si="117"/>
        <v>0</v>
      </c>
      <c r="K2870" s="36"/>
      <c r="L2870" s="36"/>
      <c r="M2870" s="36"/>
      <c r="N2870" s="36"/>
      <c r="O2870" s="36"/>
      <c r="P2870" s="36"/>
      <c r="Q2870" s="36"/>
      <c r="R2870" s="36"/>
      <c r="S2870" s="36"/>
      <c r="T2870" s="36"/>
      <c r="U2870" s="36"/>
      <c r="V2870" s="36">
        <v>200</v>
      </c>
      <c r="W2870" s="15">
        <f t="shared" si="118"/>
        <v>200</v>
      </c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15">
        <f t="shared" si="119"/>
        <v>0</v>
      </c>
      <c r="AK2870" s="14"/>
      <c r="AL2870" s="14"/>
      <c r="AM2870" s="14"/>
      <c r="AN2870" s="14"/>
      <c r="AO2870" s="14"/>
      <c r="AP2870" s="14"/>
      <c r="AQ2870" s="14"/>
      <c r="AR2870" s="14"/>
      <c r="AS2870" s="14"/>
      <c r="AT2870" s="14"/>
      <c r="AU2870" s="14"/>
      <c r="AV2870" s="14"/>
      <c r="AW2870" s="15"/>
      <c r="AX2870" s="16"/>
    </row>
    <row r="2871" spans="2:50" x14ac:dyDescent="0.2">
      <c r="B2871" s="7"/>
      <c r="C2871" s="8">
        <v>13410</v>
      </c>
      <c r="D2871" s="9" t="s">
        <v>129</v>
      </c>
      <c r="E2871" s="10" t="str">
        <f t="shared" si="120"/>
        <v>Rancho Zinamba No. 44</v>
      </c>
      <c r="F2871" s="10" t="str">
        <f t="shared" si="121"/>
        <v>Canales</v>
      </c>
      <c r="G2871" s="8">
        <v>1</v>
      </c>
      <c r="H2871" s="11">
        <v>400</v>
      </c>
      <c r="I2871" s="12">
        <v>42715</v>
      </c>
      <c r="J2871" s="35">
        <f t="shared" si="117"/>
        <v>0</v>
      </c>
      <c r="K2871" s="36"/>
      <c r="L2871" s="36"/>
      <c r="M2871" s="36"/>
      <c r="N2871" s="36"/>
      <c r="O2871" s="36"/>
      <c r="P2871" s="36"/>
      <c r="Q2871" s="36"/>
      <c r="R2871" s="36"/>
      <c r="S2871" s="36"/>
      <c r="T2871" s="36"/>
      <c r="U2871" s="36"/>
      <c r="V2871" s="36">
        <v>400</v>
      </c>
      <c r="W2871" s="15">
        <f t="shared" si="118"/>
        <v>400</v>
      </c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15">
        <f t="shared" si="119"/>
        <v>0</v>
      </c>
      <c r="AK2871" s="14"/>
      <c r="AL2871" s="14"/>
      <c r="AM2871" s="14"/>
      <c r="AN2871" s="14"/>
      <c r="AO2871" s="14"/>
      <c r="AP2871" s="14"/>
      <c r="AQ2871" s="14"/>
      <c r="AR2871" s="14"/>
      <c r="AS2871" s="14"/>
      <c r="AT2871" s="14"/>
      <c r="AU2871" s="14"/>
      <c r="AV2871" s="14"/>
      <c r="AW2871" s="15"/>
      <c r="AX2871" s="16"/>
    </row>
    <row r="2872" spans="2:50" x14ac:dyDescent="0.2">
      <c r="B2872" s="7"/>
      <c r="C2872" s="8">
        <v>13411</v>
      </c>
      <c r="D2872" s="9" t="s">
        <v>696</v>
      </c>
      <c r="E2872" s="10" t="str">
        <f t="shared" si="120"/>
        <v>Rancho Upácuaro No. 64</v>
      </c>
      <c r="F2872" s="10" t="str">
        <f t="shared" si="121"/>
        <v>Méndez Oliva</v>
      </c>
      <c r="G2872" s="8">
        <v>1</v>
      </c>
      <c r="H2872" s="11">
        <v>300</v>
      </c>
      <c r="I2872" s="12">
        <v>42715</v>
      </c>
      <c r="J2872" s="35">
        <f t="shared" si="117"/>
        <v>0</v>
      </c>
      <c r="K2872" s="36"/>
      <c r="L2872" s="36"/>
      <c r="M2872" s="36"/>
      <c r="N2872" s="36"/>
      <c r="O2872" s="36"/>
      <c r="P2872" s="36"/>
      <c r="Q2872" s="36"/>
      <c r="R2872" s="36"/>
      <c r="S2872" s="36"/>
      <c r="T2872" s="36"/>
      <c r="U2872" s="36"/>
      <c r="V2872" s="36">
        <v>300</v>
      </c>
      <c r="W2872" s="15">
        <f t="shared" si="118"/>
        <v>300</v>
      </c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15">
        <f t="shared" si="119"/>
        <v>0</v>
      </c>
      <c r="AK2872" s="14"/>
      <c r="AL2872" s="14"/>
      <c r="AM2872" s="14"/>
      <c r="AN2872" s="14"/>
      <c r="AO2872" s="14"/>
      <c r="AP2872" s="14"/>
      <c r="AQ2872" s="14"/>
      <c r="AR2872" s="14"/>
      <c r="AS2872" s="14"/>
      <c r="AT2872" s="14"/>
      <c r="AU2872" s="14"/>
      <c r="AV2872" s="14"/>
      <c r="AW2872" s="15"/>
      <c r="AX2872" s="16"/>
    </row>
    <row r="2873" spans="2:50" x14ac:dyDescent="0.2">
      <c r="B2873" s="7"/>
      <c r="C2873" s="8">
        <v>13412</v>
      </c>
      <c r="D2873" s="9" t="s">
        <v>628</v>
      </c>
      <c r="E2873" s="10" t="str">
        <f t="shared" si="120"/>
        <v>Rancho Landero No. 51</v>
      </c>
      <c r="F2873" s="10" t="str">
        <f t="shared" si="121"/>
        <v>H. Robles Tamayo</v>
      </c>
      <c r="G2873" s="8">
        <v>1</v>
      </c>
      <c r="H2873" s="11">
        <v>800</v>
      </c>
      <c r="I2873" s="12">
        <v>42715</v>
      </c>
      <c r="J2873" s="35">
        <f t="shared" si="117"/>
        <v>0</v>
      </c>
      <c r="K2873" s="36"/>
      <c r="L2873" s="36"/>
      <c r="M2873" s="36"/>
      <c r="N2873" s="36"/>
      <c r="O2873" s="36"/>
      <c r="P2873" s="36"/>
      <c r="Q2873" s="36"/>
      <c r="R2873" s="36"/>
      <c r="S2873" s="36"/>
      <c r="T2873" s="36"/>
      <c r="U2873" s="36">
        <v>400</v>
      </c>
      <c r="V2873" s="36">
        <v>400</v>
      </c>
      <c r="W2873" s="15">
        <f t="shared" si="118"/>
        <v>800</v>
      </c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15">
        <f t="shared" si="119"/>
        <v>0</v>
      </c>
      <c r="AK2873" s="14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14"/>
      <c r="AV2873" s="14"/>
      <c r="AW2873" s="15"/>
      <c r="AX2873" s="16"/>
    </row>
    <row r="2874" spans="2:50" x14ac:dyDescent="0.2">
      <c r="B2874" s="7"/>
      <c r="C2874" s="8">
        <v>13413</v>
      </c>
      <c r="D2874" s="9" t="s">
        <v>719</v>
      </c>
      <c r="E2874" s="10" t="str">
        <f t="shared" si="120"/>
        <v>Rancho Estanzuela No. 119, 1</v>
      </c>
      <c r="F2874" s="10" t="str">
        <f t="shared" si="121"/>
        <v>Crespo</v>
      </c>
      <c r="G2874" s="8">
        <v>1</v>
      </c>
      <c r="H2874" s="11">
        <v>400</v>
      </c>
      <c r="I2874" s="12">
        <v>42715</v>
      </c>
      <c r="J2874" s="35">
        <f t="shared" si="117"/>
        <v>0</v>
      </c>
      <c r="K2874" s="36"/>
      <c r="L2874" s="36"/>
      <c r="M2874" s="36"/>
      <c r="N2874" s="36"/>
      <c r="O2874" s="36"/>
      <c r="P2874" s="36"/>
      <c r="Q2874" s="36"/>
      <c r="R2874" s="36"/>
      <c r="S2874" s="36"/>
      <c r="T2874" s="36"/>
      <c r="U2874" s="36">
        <v>200</v>
      </c>
      <c r="V2874" s="36">
        <v>200</v>
      </c>
      <c r="W2874" s="15">
        <f t="shared" si="118"/>
        <v>400</v>
      </c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15">
        <f t="shared" si="119"/>
        <v>0</v>
      </c>
      <c r="AK2874" s="14"/>
      <c r="AL2874" s="14"/>
      <c r="AM2874" s="14"/>
      <c r="AN2874" s="14"/>
      <c r="AO2874" s="14"/>
      <c r="AP2874" s="14"/>
      <c r="AQ2874" s="14"/>
      <c r="AR2874" s="14"/>
      <c r="AS2874" s="14"/>
      <c r="AT2874" s="14"/>
      <c r="AU2874" s="14"/>
      <c r="AV2874" s="14"/>
      <c r="AW2874" s="15"/>
      <c r="AX2874" s="16"/>
    </row>
    <row r="2875" spans="2:50" x14ac:dyDescent="0.2">
      <c r="B2875" s="7"/>
      <c r="C2875" s="8">
        <v>13414</v>
      </c>
      <c r="D2875" s="9" t="s">
        <v>268</v>
      </c>
      <c r="E2875" s="10" t="str">
        <f t="shared" si="120"/>
        <v>Rancho Landero No. 90</v>
      </c>
      <c r="F2875" s="10" t="str">
        <f t="shared" si="121"/>
        <v>Córdova Reséndiz</v>
      </c>
      <c r="G2875" s="8">
        <v>1</v>
      </c>
      <c r="H2875" s="11">
        <v>300</v>
      </c>
      <c r="I2875" s="12">
        <v>42715</v>
      </c>
      <c r="J2875" s="35">
        <f t="shared" si="117"/>
        <v>0</v>
      </c>
      <c r="K2875" s="36"/>
      <c r="L2875" s="36"/>
      <c r="M2875" s="36"/>
      <c r="N2875" s="36"/>
      <c r="O2875" s="36"/>
      <c r="P2875" s="36"/>
      <c r="Q2875" s="36"/>
      <c r="R2875" s="36"/>
      <c r="S2875" s="36"/>
      <c r="T2875" s="36"/>
      <c r="U2875" s="36"/>
      <c r="V2875" s="36">
        <v>300</v>
      </c>
      <c r="W2875" s="15">
        <f t="shared" si="118"/>
        <v>300</v>
      </c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15">
        <f t="shared" si="119"/>
        <v>0</v>
      </c>
      <c r="AK2875" s="14"/>
      <c r="AL2875" s="14"/>
      <c r="AM2875" s="14"/>
      <c r="AN2875" s="14"/>
      <c r="AO2875" s="14"/>
      <c r="AP2875" s="14"/>
      <c r="AQ2875" s="14"/>
      <c r="AR2875" s="14"/>
      <c r="AS2875" s="14"/>
      <c r="AT2875" s="14"/>
      <c r="AU2875" s="14"/>
      <c r="AV2875" s="14"/>
      <c r="AW2875" s="15"/>
      <c r="AX2875" s="16"/>
    </row>
    <row r="2876" spans="2:50" x14ac:dyDescent="0.2">
      <c r="B2876" s="7"/>
      <c r="C2876" s="8">
        <v>13415</v>
      </c>
      <c r="D2876" s="9" t="s">
        <v>109</v>
      </c>
      <c r="E2876" s="10" t="str">
        <f t="shared" si="120"/>
        <v>Rancho Estanzuela No. 31</v>
      </c>
      <c r="F2876" s="10" t="str">
        <f t="shared" si="121"/>
        <v>Chávez Valdés</v>
      </c>
      <c r="G2876" s="8">
        <v>1</v>
      </c>
      <c r="H2876" s="11">
        <v>400</v>
      </c>
      <c r="I2876" s="12">
        <v>42715</v>
      </c>
      <c r="J2876" s="35">
        <f t="shared" si="117"/>
        <v>0</v>
      </c>
      <c r="K2876" s="36"/>
      <c r="L2876" s="36"/>
      <c r="M2876" s="36"/>
      <c r="N2876" s="36"/>
      <c r="O2876" s="36"/>
      <c r="P2876" s="36"/>
      <c r="Q2876" s="36"/>
      <c r="R2876" s="36"/>
      <c r="S2876" s="36"/>
      <c r="T2876" s="36"/>
      <c r="U2876" s="36">
        <v>400</v>
      </c>
      <c r="V2876" s="36"/>
      <c r="W2876" s="15">
        <f t="shared" si="118"/>
        <v>400</v>
      </c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15">
        <f t="shared" si="119"/>
        <v>0</v>
      </c>
      <c r="AK2876" s="14"/>
      <c r="AL2876" s="14"/>
      <c r="AM2876" s="14"/>
      <c r="AN2876" s="14"/>
      <c r="AO2876" s="14"/>
      <c r="AP2876" s="14"/>
      <c r="AQ2876" s="14"/>
      <c r="AR2876" s="14"/>
      <c r="AS2876" s="14"/>
      <c r="AT2876" s="14"/>
      <c r="AU2876" s="14"/>
      <c r="AV2876" s="14"/>
      <c r="AW2876" s="15"/>
      <c r="AX2876" s="16"/>
    </row>
    <row r="2877" spans="2:50" x14ac:dyDescent="0.2">
      <c r="B2877" s="7"/>
      <c r="C2877" s="8">
        <v>13416</v>
      </c>
      <c r="D2877" s="9" t="s">
        <v>932</v>
      </c>
      <c r="E2877" s="10" t="str">
        <f t="shared" si="120"/>
        <v>Rancho Landero No. 58</v>
      </c>
      <c r="F2877" s="10" t="str">
        <f t="shared" si="121"/>
        <v>Valero</v>
      </c>
      <c r="G2877" s="8">
        <v>1</v>
      </c>
      <c r="H2877" s="11">
        <v>3200</v>
      </c>
      <c r="I2877" s="12">
        <v>42715</v>
      </c>
      <c r="J2877" s="35">
        <f t="shared" si="117"/>
        <v>0</v>
      </c>
      <c r="K2877" s="36"/>
      <c r="L2877" s="36"/>
      <c r="M2877" s="36"/>
      <c r="N2877" s="36"/>
      <c r="O2877" s="36"/>
      <c r="P2877" s="36"/>
      <c r="Q2877" s="36"/>
      <c r="R2877" s="36">
        <v>400</v>
      </c>
      <c r="S2877" s="36">
        <v>400</v>
      </c>
      <c r="T2877" s="36">
        <v>400</v>
      </c>
      <c r="U2877" s="36">
        <v>400</v>
      </c>
      <c r="V2877" s="36">
        <v>400</v>
      </c>
      <c r="W2877" s="15">
        <f t="shared" si="118"/>
        <v>2000</v>
      </c>
      <c r="X2877" s="36">
        <v>400</v>
      </c>
      <c r="Y2877" s="36">
        <v>400</v>
      </c>
      <c r="Z2877" s="36">
        <v>400</v>
      </c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15">
        <f t="shared" si="119"/>
        <v>1200</v>
      </c>
      <c r="AK2877" s="14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14"/>
      <c r="AV2877" s="14"/>
      <c r="AW2877" s="15"/>
      <c r="AX2877" s="16"/>
    </row>
    <row r="2878" spans="2:50" x14ac:dyDescent="0.2">
      <c r="B2878" s="7"/>
      <c r="C2878" s="8">
        <v>13417</v>
      </c>
      <c r="D2878" s="9" t="s">
        <v>434</v>
      </c>
      <c r="E2878" s="10" t="str">
        <f t="shared" si="120"/>
        <v>Rancho La Cuchilla No. 55</v>
      </c>
      <c r="F2878" s="10" t="str">
        <f t="shared" si="121"/>
        <v>López Velázquez</v>
      </c>
      <c r="G2878" s="8">
        <v>1</v>
      </c>
      <c r="H2878" s="11">
        <v>800</v>
      </c>
      <c r="I2878" s="12">
        <v>42715</v>
      </c>
      <c r="J2878" s="35">
        <f t="shared" si="117"/>
        <v>0</v>
      </c>
      <c r="K2878" s="36"/>
      <c r="L2878" s="36"/>
      <c r="M2878" s="36"/>
      <c r="N2878" s="36"/>
      <c r="O2878" s="36"/>
      <c r="P2878" s="36"/>
      <c r="Q2878" s="36"/>
      <c r="R2878" s="36"/>
      <c r="S2878" s="36"/>
      <c r="T2878" s="36"/>
      <c r="U2878" s="36">
        <v>400</v>
      </c>
      <c r="V2878" s="36">
        <v>400</v>
      </c>
      <c r="W2878" s="15">
        <f t="shared" si="118"/>
        <v>800</v>
      </c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15">
        <f t="shared" si="119"/>
        <v>0</v>
      </c>
      <c r="AK2878" s="14"/>
      <c r="AL2878" s="14"/>
      <c r="AM2878" s="14"/>
      <c r="AN2878" s="14"/>
      <c r="AO2878" s="14"/>
      <c r="AP2878" s="14"/>
      <c r="AQ2878" s="14"/>
      <c r="AR2878" s="14"/>
      <c r="AS2878" s="14"/>
      <c r="AT2878" s="14"/>
      <c r="AU2878" s="14"/>
      <c r="AV2878" s="14"/>
      <c r="AW2878" s="15"/>
      <c r="AX2878" s="16"/>
    </row>
    <row r="2879" spans="2:50" x14ac:dyDescent="0.2">
      <c r="B2879" s="7"/>
      <c r="C2879" s="8">
        <v>13418</v>
      </c>
      <c r="D2879" s="9" t="s">
        <v>941</v>
      </c>
      <c r="E2879" s="10" t="str">
        <f t="shared" si="120"/>
        <v>Rancho Landero No. 29</v>
      </c>
      <c r="F2879" s="10" t="str">
        <f t="shared" si="121"/>
        <v>Ulrich Cervantes</v>
      </c>
      <c r="G2879" s="8">
        <v>1</v>
      </c>
      <c r="H2879" s="11">
        <v>200</v>
      </c>
      <c r="I2879" s="12">
        <v>42715</v>
      </c>
      <c r="J2879" s="35">
        <f t="shared" si="117"/>
        <v>0</v>
      </c>
      <c r="K2879" s="36"/>
      <c r="L2879" s="36"/>
      <c r="M2879" s="36"/>
      <c r="N2879" s="36"/>
      <c r="O2879" s="36"/>
      <c r="P2879" s="36"/>
      <c r="Q2879" s="36"/>
      <c r="R2879" s="36"/>
      <c r="S2879" s="36"/>
      <c r="T2879" s="36"/>
      <c r="U2879" s="36"/>
      <c r="V2879" s="36">
        <v>200</v>
      </c>
      <c r="W2879" s="15">
        <f t="shared" si="118"/>
        <v>200</v>
      </c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15">
        <f t="shared" si="119"/>
        <v>0</v>
      </c>
      <c r="AK2879" s="14"/>
      <c r="AL2879" s="14"/>
      <c r="AM2879" s="14"/>
      <c r="AN2879" s="14"/>
      <c r="AO2879" s="14"/>
      <c r="AP2879" s="14"/>
      <c r="AQ2879" s="14"/>
      <c r="AR2879" s="14"/>
      <c r="AS2879" s="14"/>
      <c r="AT2879" s="14"/>
      <c r="AU2879" s="14"/>
      <c r="AV2879" s="14"/>
      <c r="AW2879" s="15"/>
      <c r="AX2879" s="16"/>
    </row>
    <row r="2880" spans="2:50" x14ac:dyDescent="0.2">
      <c r="B2880" s="7"/>
      <c r="C2880" s="8">
        <v>13419</v>
      </c>
      <c r="D2880" s="9" t="s">
        <v>693</v>
      </c>
      <c r="E2880" s="10" t="str">
        <f t="shared" si="120"/>
        <v>Rancho Romeral No. 9, B</v>
      </c>
      <c r="F2880" s="10" t="str">
        <f t="shared" si="121"/>
        <v>Morales Macías</v>
      </c>
      <c r="G2880" s="8">
        <v>1</v>
      </c>
      <c r="H2880" s="11">
        <v>450</v>
      </c>
      <c r="I2880" s="12">
        <v>42715</v>
      </c>
      <c r="J2880" s="35">
        <f t="shared" si="117"/>
        <v>0</v>
      </c>
      <c r="K2880" s="36"/>
      <c r="L2880" s="36"/>
      <c r="M2880" s="36"/>
      <c r="N2880" s="36"/>
      <c r="O2880" s="36"/>
      <c r="P2880" s="36"/>
      <c r="Q2880" s="36"/>
      <c r="R2880" s="36"/>
      <c r="S2880" s="36"/>
      <c r="T2880" s="36">
        <v>150</v>
      </c>
      <c r="U2880" s="36">
        <v>150</v>
      </c>
      <c r="V2880" s="36">
        <v>150</v>
      </c>
      <c r="W2880" s="15">
        <f t="shared" si="118"/>
        <v>450</v>
      </c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15">
        <f t="shared" si="119"/>
        <v>0</v>
      </c>
      <c r="AK2880" s="14"/>
      <c r="AL2880" s="14"/>
      <c r="AM2880" s="14"/>
      <c r="AN2880" s="14"/>
      <c r="AO2880" s="14"/>
      <c r="AP2880" s="14"/>
      <c r="AQ2880" s="14"/>
      <c r="AR2880" s="14"/>
      <c r="AS2880" s="14"/>
      <c r="AT2880" s="14"/>
      <c r="AU2880" s="14"/>
      <c r="AV2880" s="14"/>
      <c r="AW2880" s="15"/>
      <c r="AX2880" s="16"/>
    </row>
    <row r="2881" spans="2:50" x14ac:dyDescent="0.2">
      <c r="B2881" s="7"/>
      <c r="C2881" s="8">
        <v>13420</v>
      </c>
      <c r="D2881" s="9" t="s">
        <v>514</v>
      </c>
      <c r="E2881" s="10" t="str">
        <f t="shared" si="120"/>
        <v>Rancho Upácuaro No. 114</v>
      </c>
      <c r="F2881" s="10" t="str">
        <f t="shared" si="121"/>
        <v>Hernández Cornejo</v>
      </c>
      <c r="G2881" s="8">
        <v>1</v>
      </c>
      <c r="H2881" s="11">
        <v>400</v>
      </c>
      <c r="I2881" s="12">
        <v>42715</v>
      </c>
      <c r="J2881" s="35">
        <f t="shared" si="117"/>
        <v>0</v>
      </c>
      <c r="K2881" s="36"/>
      <c r="L2881" s="36"/>
      <c r="M2881" s="36"/>
      <c r="N2881" s="36"/>
      <c r="O2881" s="36"/>
      <c r="P2881" s="36"/>
      <c r="Q2881" s="36"/>
      <c r="R2881" s="36"/>
      <c r="S2881" s="36"/>
      <c r="T2881" s="36"/>
      <c r="U2881" s="36"/>
      <c r="V2881" s="36">
        <v>400</v>
      </c>
      <c r="W2881" s="15">
        <f t="shared" si="118"/>
        <v>400</v>
      </c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15">
        <f t="shared" si="119"/>
        <v>0</v>
      </c>
      <c r="AK2881" s="14"/>
      <c r="AL2881" s="14"/>
      <c r="AM2881" s="14"/>
      <c r="AN2881" s="14"/>
      <c r="AO2881" s="14"/>
      <c r="AP2881" s="14"/>
      <c r="AQ2881" s="14"/>
      <c r="AR2881" s="14"/>
      <c r="AS2881" s="14"/>
      <c r="AT2881" s="14"/>
      <c r="AU2881" s="14"/>
      <c r="AV2881" s="14"/>
      <c r="AW2881" s="15"/>
      <c r="AX2881" s="16"/>
    </row>
    <row r="2882" spans="2:50" x14ac:dyDescent="0.2">
      <c r="B2882" s="7"/>
      <c r="C2882" s="8">
        <v>13421</v>
      </c>
      <c r="D2882" s="9" t="s">
        <v>119</v>
      </c>
      <c r="E2882" s="10" t="str">
        <f t="shared" si="120"/>
        <v>Rancho Landero No. 25</v>
      </c>
      <c r="F2882" s="10" t="str">
        <f t="shared" si="121"/>
        <v>Escamilla Martínez</v>
      </c>
      <c r="G2882" s="8">
        <v>1</v>
      </c>
      <c r="H2882" s="11">
        <v>400</v>
      </c>
      <c r="I2882" s="12">
        <v>42715</v>
      </c>
      <c r="J2882" s="35">
        <f t="shared" si="117"/>
        <v>0</v>
      </c>
      <c r="K2882" s="36"/>
      <c r="L2882" s="36"/>
      <c r="M2882" s="36"/>
      <c r="N2882" s="36"/>
      <c r="O2882" s="36"/>
      <c r="P2882" s="36"/>
      <c r="Q2882" s="36"/>
      <c r="R2882" s="36"/>
      <c r="S2882" s="36"/>
      <c r="T2882" s="36"/>
      <c r="U2882" s="36">
        <v>400</v>
      </c>
      <c r="V2882" s="36"/>
      <c r="W2882" s="15">
        <f t="shared" si="118"/>
        <v>400</v>
      </c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15">
        <f t="shared" si="119"/>
        <v>0</v>
      </c>
      <c r="AK2882" s="14"/>
      <c r="AL2882" s="14"/>
      <c r="AM2882" s="14"/>
      <c r="AN2882" s="14"/>
      <c r="AO2882" s="14"/>
      <c r="AP2882" s="14"/>
      <c r="AQ2882" s="14"/>
      <c r="AR2882" s="14"/>
      <c r="AS2882" s="14"/>
      <c r="AT2882" s="14"/>
      <c r="AU2882" s="14"/>
      <c r="AV2882" s="14"/>
      <c r="AW2882" s="15"/>
      <c r="AX2882" s="16"/>
    </row>
    <row r="2883" spans="2:50" x14ac:dyDescent="0.2">
      <c r="B2883" s="7"/>
      <c r="C2883" s="8">
        <v>13422</v>
      </c>
      <c r="D2883" s="9" t="s">
        <v>458</v>
      </c>
      <c r="E2883" s="10" t="str">
        <f t="shared" si="120"/>
        <v>Rancho Estanzuela No. 143, B</v>
      </c>
      <c r="F2883" s="10" t="str">
        <f t="shared" si="121"/>
        <v>López</v>
      </c>
      <c r="G2883" s="8">
        <v>4</v>
      </c>
      <c r="H2883" s="11">
        <v>200</v>
      </c>
      <c r="I2883" s="12">
        <v>42715</v>
      </c>
      <c r="J2883" s="35">
        <f t="shared" si="117"/>
        <v>0</v>
      </c>
      <c r="K2883" s="36"/>
      <c r="L2883" s="36"/>
      <c r="M2883" s="36"/>
      <c r="N2883" s="36"/>
      <c r="O2883" s="36"/>
      <c r="P2883" s="36"/>
      <c r="Q2883" s="36"/>
      <c r="R2883" s="36"/>
      <c r="S2883" s="36"/>
      <c r="T2883" s="36"/>
      <c r="U2883" s="36"/>
      <c r="V2883" s="36"/>
      <c r="W2883" s="15">
        <f t="shared" si="118"/>
        <v>0</v>
      </c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15">
        <f t="shared" si="119"/>
        <v>0</v>
      </c>
      <c r="AK2883" s="14"/>
      <c r="AL2883" s="14"/>
      <c r="AM2883" s="14"/>
      <c r="AN2883" s="14"/>
      <c r="AO2883" s="14"/>
      <c r="AP2883" s="14"/>
      <c r="AQ2883" s="14"/>
      <c r="AR2883" s="14"/>
      <c r="AS2883" s="14"/>
      <c r="AT2883" s="14"/>
      <c r="AU2883" s="14"/>
      <c r="AV2883" s="14"/>
      <c r="AW2883" s="15"/>
      <c r="AX2883" s="16" t="s">
        <v>3203</v>
      </c>
    </row>
    <row r="2884" spans="2:50" x14ac:dyDescent="0.2">
      <c r="B2884" s="7"/>
      <c r="C2884" s="8">
        <v>13423</v>
      </c>
      <c r="D2884" s="9" t="s">
        <v>823</v>
      </c>
      <c r="E2884" s="10" t="str">
        <f t="shared" si="120"/>
        <v>Rancho La Cuchilla No. 122</v>
      </c>
      <c r="F2884" s="10" t="str">
        <f t="shared" si="121"/>
        <v>Mendoza</v>
      </c>
      <c r="G2884" s="8">
        <v>5</v>
      </c>
      <c r="H2884" s="11">
        <v>50</v>
      </c>
      <c r="I2884" s="12">
        <v>42715</v>
      </c>
      <c r="J2884" s="35">
        <f t="shared" si="117"/>
        <v>0</v>
      </c>
      <c r="K2884" s="36"/>
      <c r="L2884" s="36"/>
      <c r="M2884" s="36"/>
      <c r="N2884" s="36"/>
      <c r="O2884" s="36"/>
      <c r="P2884" s="36"/>
      <c r="Q2884" s="36"/>
      <c r="R2884" s="36"/>
      <c r="S2884" s="36"/>
      <c r="T2884" s="36"/>
      <c r="U2884" s="36"/>
      <c r="V2884" s="36"/>
      <c r="W2884" s="15">
        <f t="shared" si="118"/>
        <v>0</v>
      </c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15">
        <f t="shared" si="119"/>
        <v>0</v>
      </c>
      <c r="AK2884" s="14"/>
      <c r="AL2884" s="14"/>
      <c r="AM2884" s="14"/>
      <c r="AN2884" s="14"/>
      <c r="AO2884" s="14"/>
      <c r="AP2884" s="14"/>
      <c r="AQ2884" s="14"/>
      <c r="AR2884" s="14"/>
      <c r="AS2884" s="14"/>
      <c r="AT2884" s="14"/>
      <c r="AU2884" s="14"/>
      <c r="AV2884" s="14"/>
      <c r="AW2884" s="15"/>
      <c r="AX2884" s="16"/>
    </row>
    <row r="2885" spans="2:50" x14ac:dyDescent="0.2">
      <c r="B2885" s="7"/>
      <c r="C2885" s="8">
        <v>13424</v>
      </c>
      <c r="D2885" s="9" t="s">
        <v>708</v>
      </c>
      <c r="E2885" s="10" t="str">
        <f t="shared" si="120"/>
        <v>Rancho Landero No. 21</v>
      </c>
      <c r="F2885" s="10" t="str">
        <f t="shared" si="121"/>
        <v>Meza</v>
      </c>
      <c r="G2885" s="8">
        <v>1</v>
      </c>
      <c r="H2885" s="11">
        <v>800</v>
      </c>
      <c r="I2885" s="12">
        <v>42715</v>
      </c>
      <c r="J2885" s="35">
        <f t="shared" si="117"/>
        <v>0</v>
      </c>
      <c r="K2885" s="36"/>
      <c r="L2885" s="36"/>
      <c r="M2885" s="36"/>
      <c r="N2885" s="36"/>
      <c r="O2885" s="36"/>
      <c r="P2885" s="36"/>
      <c r="Q2885" s="36"/>
      <c r="R2885" s="36"/>
      <c r="S2885" s="36"/>
      <c r="T2885" s="36"/>
      <c r="U2885" s="36">
        <v>400</v>
      </c>
      <c r="V2885" s="36">
        <v>400</v>
      </c>
      <c r="W2885" s="15">
        <f t="shared" si="118"/>
        <v>800</v>
      </c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15">
        <f t="shared" si="119"/>
        <v>0</v>
      </c>
      <c r="AK2885" s="14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14"/>
      <c r="AV2885" s="14"/>
      <c r="AW2885" s="15"/>
      <c r="AX2885" s="16"/>
    </row>
    <row r="2886" spans="2:50" x14ac:dyDescent="0.2">
      <c r="B2886" s="7"/>
      <c r="C2886" s="8">
        <v>13425</v>
      </c>
      <c r="D2886" s="9" t="s">
        <v>1181</v>
      </c>
      <c r="E2886" s="10" t="str">
        <f t="shared" si="120"/>
        <v>Rancho Upácuaro No. 31</v>
      </c>
      <c r="F2886" s="10" t="str">
        <f t="shared" si="121"/>
        <v>Gallardo Ávila</v>
      </c>
      <c r="G2886" s="8">
        <v>1</v>
      </c>
      <c r="H2886" s="11">
        <v>200</v>
      </c>
      <c r="I2886" s="12">
        <v>42715</v>
      </c>
      <c r="J2886" s="35">
        <f t="shared" si="117"/>
        <v>0</v>
      </c>
      <c r="K2886" s="36"/>
      <c r="L2886" s="36"/>
      <c r="M2886" s="36"/>
      <c r="N2886" s="36"/>
      <c r="O2886" s="36"/>
      <c r="P2886" s="36"/>
      <c r="Q2886" s="36"/>
      <c r="R2886" s="36"/>
      <c r="S2886" s="36"/>
      <c r="T2886" s="36"/>
      <c r="U2886" s="36"/>
      <c r="V2886" s="36">
        <v>200</v>
      </c>
      <c r="W2886" s="15">
        <f t="shared" si="118"/>
        <v>200</v>
      </c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15">
        <f t="shared" si="119"/>
        <v>0</v>
      </c>
      <c r="AK2886" s="14"/>
      <c r="AL2886" s="14"/>
      <c r="AM2886" s="14"/>
      <c r="AN2886" s="14"/>
      <c r="AO2886" s="14"/>
      <c r="AP2886" s="14"/>
      <c r="AQ2886" s="14"/>
      <c r="AR2886" s="14"/>
      <c r="AS2886" s="14"/>
      <c r="AT2886" s="14"/>
      <c r="AU2886" s="14"/>
      <c r="AV2886" s="14"/>
      <c r="AW2886" s="15"/>
      <c r="AX2886" s="16"/>
    </row>
    <row r="2887" spans="2:50" x14ac:dyDescent="0.2">
      <c r="B2887" s="7"/>
      <c r="C2887" s="8">
        <v>13426</v>
      </c>
      <c r="D2887" s="9" t="s">
        <v>957</v>
      </c>
      <c r="E2887" s="10" t="str">
        <f t="shared" si="120"/>
        <v>Rancho La Cuchilla No. 148</v>
      </c>
      <c r="F2887" s="10" t="str">
        <f t="shared" si="121"/>
        <v>Vázquez Vázquez</v>
      </c>
      <c r="G2887" s="8">
        <v>1</v>
      </c>
      <c r="H2887" s="11">
        <v>1600</v>
      </c>
      <c r="I2887" s="12">
        <v>42715</v>
      </c>
      <c r="J2887" s="35">
        <f t="shared" si="117"/>
        <v>0</v>
      </c>
      <c r="K2887" s="36"/>
      <c r="L2887" s="36"/>
      <c r="M2887" s="36"/>
      <c r="N2887" s="36"/>
      <c r="O2887" s="36"/>
      <c r="P2887" s="36"/>
      <c r="Q2887" s="36"/>
      <c r="R2887" s="36"/>
      <c r="S2887" s="36">
        <v>400</v>
      </c>
      <c r="T2887" s="36">
        <v>400</v>
      </c>
      <c r="U2887" s="36">
        <v>400</v>
      </c>
      <c r="V2887" s="36">
        <v>400</v>
      </c>
      <c r="W2887" s="15">
        <f t="shared" si="118"/>
        <v>1600</v>
      </c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15">
        <f t="shared" si="119"/>
        <v>0</v>
      </c>
      <c r="AK2887" s="14"/>
      <c r="AL2887" s="14"/>
      <c r="AM2887" s="14"/>
      <c r="AN2887" s="14"/>
      <c r="AO2887" s="14"/>
      <c r="AP2887" s="14"/>
      <c r="AQ2887" s="14"/>
      <c r="AR2887" s="14"/>
      <c r="AS2887" s="14"/>
      <c r="AT2887" s="14"/>
      <c r="AU2887" s="14"/>
      <c r="AV2887" s="14"/>
      <c r="AW2887" s="15"/>
      <c r="AX2887" s="16"/>
    </row>
    <row r="2888" spans="2:50" x14ac:dyDescent="0.2">
      <c r="B2888" s="7"/>
      <c r="C2888" s="8">
        <v>13427</v>
      </c>
      <c r="D2888" s="9" t="s">
        <v>310</v>
      </c>
      <c r="E2888" s="10" t="str">
        <f t="shared" si="120"/>
        <v>Rancho Recoveco No. 181</v>
      </c>
      <c r="F2888" s="10" t="str">
        <f t="shared" si="121"/>
        <v>Castillo</v>
      </c>
      <c r="G2888" s="8">
        <v>1</v>
      </c>
      <c r="H2888" s="11">
        <v>400</v>
      </c>
      <c r="I2888" s="12">
        <v>42715</v>
      </c>
      <c r="J2888" s="35">
        <f t="shared" si="117"/>
        <v>0</v>
      </c>
      <c r="K2888" s="36"/>
      <c r="L2888" s="36"/>
      <c r="M2888" s="36"/>
      <c r="N2888" s="36"/>
      <c r="O2888" s="36"/>
      <c r="P2888" s="36"/>
      <c r="Q2888" s="36"/>
      <c r="R2888" s="36"/>
      <c r="S2888" s="36"/>
      <c r="T2888" s="36"/>
      <c r="U2888" s="36"/>
      <c r="V2888" s="36">
        <v>400</v>
      </c>
      <c r="W2888" s="15">
        <f t="shared" si="118"/>
        <v>400</v>
      </c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15">
        <f t="shared" si="119"/>
        <v>0</v>
      </c>
      <c r="AK2888" s="14"/>
      <c r="AL2888" s="14"/>
      <c r="AM2888" s="14"/>
      <c r="AN2888" s="14"/>
      <c r="AO2888" s="14"/>
      <c r="AP2888" s="14"/>
      <c r="AQ2888" s="14"/>
      <c r="AR2888" s="14"/>
      <c r="AS2888" s="14"/>
      <c r="AT2888" s="14"/>
      <c r="AU2888" s="14"/>
      <c r="AV2888" s="14"/>
      <c r="AW2888" s="15"/>
      <c r="AX2888" s="16"/>
    </row>
    <row r="2889" spans="2:50" x14ac:dyDescent="0.2">
      <c r="B2889" s="7"/>
      <c r="C2889" s="8">
        <v>13428</v>
      </c>
      <c r="D2889" s="9" t="s">
        <v>180</v>
      </c>
      <c r="E2889" s="10" t="str">
        <f t="shared" si="120"/>
        <v>Rancho Landero No. 80</v>
      </c>
      <c r="F2889" s="10" t="str">
        <f t="shared" si="121"/>
        <v>Caballero</v>
      </c>
      <c r="G2889" s="8">
        <v>1</v>
      </c>
      <c r="H2889" s="11">
        <v>400</v>
      </c>
      <c r="I2889" s="12">
        <v>42715</v>
      </c>
      <c r="J2889" s="35">
        <f t="shared" si="117"/>
        <v>0</v>
      </c>
      <c r="K2889" s="36"/>
      <c r="L2889" s="36"/>
      <c r="M2889" s="36"/>
      <c r="N2889" s="36"/>
      <c r="O2889" s="36"/>
      <c r="P2889" s="36"/>
      <c r="Q2889" s="36"/>
      <c r="R2889" s="36"/>
      <c r="S2889" s="36"/>
      <c r="T2889" s="36"/>
      <c r="U2889" s="36"/>
      <c r="V2889" s="36">
        <v>400</v>
      </c>
      <c r="W2889" s="15">
        <f t="shared" si="118"/>
        <v>400</v>
      </c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15">
        <f t="shared" si="119"/>
        <v>0</v>
      </c>
      <c r="AK2889" s="14"/>
      <c r="AL2889" s="14"/>
      <c r="AM2889" s="14"/>
      <c r="AN2889" s="14"/>
      <c r="AO2889" s="14"/>
      <c r="AP2889" s="14"/>
      <c r="AQ2889" s="14"/>
      <c r="AR2889" s="14"/>
      <c r="AS2889" s="14"/>
      <c r="AT2889" s="14"/>
      <c r="AU2889" s="14"/>
      <c r="AV2889" s="14"/>
      <c r="AW2889" s="15"/>
      <c r="AX2889" s="16"/>
    </row>
    <row r="2890" spans="2:50" x14ac:dyDescent="0.2">
      <c r="B2890" s="7"/>
      <c r="C2890" s="8">
        <v>13429</v>
      </c>
      <c r="D2890" s="9" t="s">
        <v>235</v>
      </c>
      <c r="E2890" s="10" t="str">
        <f t="shared" si="120"/>
        <v>Rancho La Cuchilla No. 43, A</v>
      </c>
      <c r="F2890" s="10" t="str">
        <f t="shared" si="121"/>
        <v>De la Rosa</v>
      </c>
      <c r="G2890" s="8">
        <v>1</v>
      </c>
      <c r="H2890" s="11">
        <v>800</v>
      </c>
      <c r="I2890" s="12">
        <v>42715</v>
      </c>
      <c r="J2890" s="35">
        <f t="shared" si="117"/>
        <v>0</v>
      </c>
      <c r="K2890" s="36"/>
      <c r="L2890" s="36"/>
      <c r="M2890" s="36"/>
      <c r="N2890" s="36"/>
      <c r="O2890" s="36"/>
      <c r="P2890" s="36"/>
      <c r="Q2890" s="36"/>
      <c r="R2890" s="36"/>
      <c r="S2890" s="36"/>
      <c r="T2890" s="36">
        <v>400</v>
      </c>
      <c r="U2890" s="36">
        <v>400</v>
      </c>
      <c r="V2890" s="36"/>
      <c r="W2890" s="15">
        <f t="shared" si="118"/>
        <v>800</v>
      </c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15">
        <f t="shared" si="119"/>
        <v>0</v>
      </c>
      <c r="AK2890" s="14"/>
      <c r="AL2890" s="14"/>
      <c r="AM2890" s="14"/>
      <c r="AN2890" s="14"/>
      <c r="AO2890" s="14"/>
      <c r="AP2890" s="14"/>
      <c r="AQ2890" s="14"/>
      <c r="AR2890" s="14"/>
      <c r="AS2890" s="14"/>
      <c r="AT2890" s="14"/>
      <c r="AU2890" s="14"/>
      <c r="AV2890" s="14"/>
      <c r="AW2890" s="15"/>
      <c r="AX2890" s="16"/>
    </row>
    <row r="2891" spans="2:50" x14ac:dyDescent="0.2">
      <c r="B2891" s="7"/>
      <c r="C2891" s="8">
        <v>13430</v>
      </c>
      <c r="D2891" s="9" t="s">
        <v>112</v>
      </c>
      <c r="E2891" s="10" t="str">
        <f t="shared" si="120"/>
        <v>Rancho Estanzuela No. 129</v>
      </c>
      <c r="F2891" s="10" t="str">
        <f t="shared" si="121"/>
        <v>Sta. María Mendoza</v>
      </c>
      <c r="G2891" s="8">
        <v>1</v>
      </c>
      <c r="H2891" s="11">
        <v>250</v>
      </c>
      <c r="I2891" s="12">
        <v>42715</v>
      </c>
      <c r="J2891" s="35">
        <f t="shared" si="117"/>
        <v>0</v>
      </c>
      <c r="K2891" s="36"/>
      <c r="L2891" s="36"/>
      <c r="M2891" s="36"/>
      <c r="N2891" s="36"/>
      <c r="O2891" s="36"/>
      <c r="P2891" s="36"/>
      <c r="Q2891" s="36"/>
      <c r="R2891" s="36"/>
      <c r="S2891" s="36"/>
      <c r="T2891" s="36"/>
      <c r="U2891" s="36"/>
      <c r="V2891" s="36">
        <v>250</v>
      </c>
      <c r="W2891" s="15">
        <f t="shared" si="118"/>
        <v>250</v>
      </c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15">
        <f t="shared" si="119"/>
        <v>0</v>
      </c>
      <c r="AK2891" s="14"/>
      <c r="AL2891" s="14"/>
      <c r="AM2891" s="14"/>
      <c r="AN2891" s="14"/>
      <c r="AO2891" s="14"/>
      <c r="AP2891" s="14"/>
      <c r="AQ2891" s="14"/>
      <c r="AR2891" s="14"/>
      <c r="AS2891" s="14"/>
      <c r="AT2891" s="14"/>
      <c r="AU2891" s="14"/>
      <c r="AV2891" s="14"/>
      <c r="AW2891" s="15"/>
      <c r="AX2891" s="16"/>
    </row>
    <row r="2892" spans="2:50" x14ac:dyDescent="0.2">
      <c r="B2892" s="7"/>
      <c r="C2892" s="8">
        <v>13431</v>
      </c>
      <c r="D2892" s="9" t="s">
        <v>737</v>
      </c>
      <c r="E2892" s="10" t="str">
        <f t="shared" si="120"/>
        <v>Rancho Romeral No. 9, A</v>
      </c>
      <c r="F2892" s="10" t="str">
        <f t="shared" si="121"/>
        <v>Quiñones Hernández</v>
      </c>
      <c r="G2892" s="8">
        <v>1</v>
      </c>
      <c r="H2892" s="11">
        <v>800</v>
      </c>
      <c r="I2892" s="12">
        <v>42715</v>
      </c>
      <c r="J2892" s="35">
        <f t="shared" si="117"/>
        <v>0</v>
      </c>
      <c r="K2892" s="36"/>
      <c r="L2892" s="36"/>
      <c r="M2892" s="36"/>
      <c r="N2892" s="36"/>
      <c r="O2892" s="36"/>
      <c r="P2892" s="36"/>
      <c r="Q2892" s="36"/>
      <c r="R2892" s="36"/>
      <c r="S2892" s="36"/>
      <c r="T2892" s="36">
        <v>400</v>
      </c>
      <c r="U2892" s="36">
        <v>400</v>
      </c>
      <c r="V2892" s="36"/>
      <c r="W2892" s="15">
        <f t="shared" si="118"/>
        <v>800</v>
      </c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15">
        <f t="shared" si="119"/>
        <v>0</v>
      </c>
      <c r="AK2892" s="14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14"/>
      <c r="AV2892" s="14"/>
      <c r="AW2892" s="15"/>
      <c r="AX2892" s="16"/>
    </row>
    <row r="2893" spans="2:50" x14ac:dyDescent="0.2">
      <c r="B2893" s="7"/>
      <c r="C2893" s="8">
        <v>13432</v>
      </c>
      <c r="D2893" s="9" t="s">
        <v>1267</v>
      </c>
      <c r="E2893" s="10" t="str">
        <f t="shared" si="120"/>
        <v>Rancho La Cuchilla No. 31</v>
      </c>
      <c r="F2893" s="10" t="str">
        <f t="shared" si="121"/>
        <v>Lince</v>
      </c>
      <c r="G2893" s="8">
        <v>5</v>
      </c>
      <c r="H2893" s="11">
        <v>50</v>
      </c>
      <c r="I2893" s="12">
        <v>42715</v>
      </c>
      <c r="J2893" s="35">
        <f t="shared" si="117"/>
        <v>0</v>
      </c>
      <c r="K2893" s="36"/>
      <c r="L2893" s="36"/>
      <c r="M2893" s="36"/>
      <c r="N2893" s="36"/>
      <c r="O2893" s="36"/>
      <c r="P2893" s="36"/>
      <c r="Q2893" s="36"/>
      <c r="R2893" s="36"/>
      <c r="S2893" s="36"/>
      <c r="T2893" s="36"/>
      <c r="U2893" s="36"/>
      <c r="V2893" s="36"/>
      <c r="W2893" s="15">
        <f t="shared" si="118"/>
        <v>0</v>
      </c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15">
        <f t="shared" si="119"/>
        <v>0</v>
      </c>
      <c r="AK2893" s="14"/>
      <c r="AL2893" s="14"/>
      <c r="AM2893" s="14"/>
      <c r="AN2893" s="14"/>
      <c r="AO2893" s="14"/>
      <c r="AP2893" s="14"/>
      <c r="AQ2893" s="14"/>
      <c r="AR2893" s="14"/>
      <c r="AS2893" s="14"/>
      <c r="AT2893" s="14"/>
      <c r="AU2893" s="14"/>
      <c r="AV2893" s="14"/>
      <c r="AW2893" s="15"/>
      <c r="AX2893" s="16"/>
    </row>
    <row r="2894" spans="2:50" x14ac:dyDescent="0.2">
      <c r="B2894" s="7"/>
      <c r="C2894" s="8">
        <v>13433</v>
      </c>
      <c r="D2894" s="9" t="s">
        <v>550</v>
      </c>
      <c r="E2894" s="10" t="str">
        <f t="shared" si="120"/>
        <v>Rancho Landero No. 89</v>
      </c>
      <c r="F2894" s="10" t="str">
        <f t="shared" si="121"/>
        <v>Del Pozo Solís</v>
      </c>
      <c r="G2894" s="8">
        <v>1</v>
      </c>
      <c r="H2894" s="11">
        <v>600</v>
      </c>
      <c r="I2894" s="12">
        <v>42715</v>
      </c>
      <c r="J2894" s="35">
        <f t="shared" si="117"/>
        <v>0</v>
      </c>
      <c r="K2894" s="36"/>
      <c r="L2894" s="36"/>
      <c r="M2894" s="36"/>
      <c r="N2894" s="36"/>
      <c r="O2894" s="36"/>
      <c r="P2894" s="36"/>
      <c r="Q2894" s="36"/>
      <c r="R2894" s="36"/>
      <c r="S2894" s="36">
        <v>200</v>
      </c>
      <c r="T2894" s="36">
        <v>200</v>
      </c>
      <c r="U2894" s="36"/>
      <c r="V2894" s="36">
        <v>200</v>
      </c>
      <c r="W2894" s="15">
        <f t="shared" si="118"/>
        <v>600</v>
      </c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15">
        <f t="shared" si="119"/>
        <v>0</v>
      </c>
      <c r="AK2894" s="14"/>
      <c r="AL2894" s="14"/>
      <c r="AM2894" s="14"/>
      <c r="AN2894" s="14"/>
      <c r="AO2894" s="14"/>
      <c r="AP2894" s="14"/>
      <c r="AQ2894" s="14"/>
      <c r="AR2894" s="14"/>
      <c r="AS2894" s="14"/>
      <c r="AT2894" s="14"/>
      <c r="AU2894" s="14"/>
      <c r="AV2894" s="14"/>
      <c r="AW2894" s="15"/>
      <c r="AX2894" s="316">
        <f>SUM(H2849:H2894)</f>
        <v>25400</v>
      </c>
    </row>
    <row r="2895" spans="2:50" x14ac:dyDescent="0.2">
      <c r="B2895" s="7"/>
      <c r="C2895" s="8">
        <v>13434</v>
      </c>
      <c r="D2895" s="9" t="s">
        <v>611</v>
      </c>
      <c r="E2895" s="10" t="str">
        <f t="shared" si="120"/>
        <v>Rancho Estanzuela No. 47</v>
      </c>
      <c r="F2895" s="10" t="str">
        <f t="shared" si="121"/>
        <v>Bussey García</v>
      </c>
      <c r="G2895" s="8">
        <v>1</v>
      </c>
      <c r="H2895" s="315">
        <v>400</v>
      </c>
      <c r="I2895" s="12">
        <v>42716</v>
      </c>
      <c r="J2895" s="35">
        <f t="shared" si="117"/>
        <v>0</v>
      </c>
      <c r="K2895" s="36"/>
      <c r="L2895" s="36"/>
      <c r="M2895" s="36"/>
      <c r="N2895" s="36"/>
      <c r="O2895" s="36"/>
      <c r="P2895" s="36"/>
      <c r="Q2895" s="36"/>
      <c r="R2895" s="36"/>
      <c r="S2895" s="36"/>
      <c r="T2895" s="36"/>
      <c r="U2895" s="36"/>
      <c r="V2895" s="36">
        <v>400</v>
      </c>
      <c r="W2895" s="15">
        <f t="shared" si="118"/>
        <v>400</v>
      </c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15">
        <f t="shared" si="119"/>
        <v>0</v>
      </c>
      <c r="AK2895" s="14"/>
      <c r="AL2895" s="14"/>
      <c r="AM2895" s="14"/>
      <c r="AN2895" s="14"/>
      <c r="AO2895" s="14"/>
      <c r="AP2895" s="14"/>
      <c r="AQ2895" s="14"/>
      <c r="AR2895" s="14"/>
      <c r="AS2895" s="14"/>
      <c r="AT2895" s="14"/>
      <c r="AU2895" s="14"/>
      <c r="AV2895" s="14"/>
      <c r="AW2895" s="15"/>
      <c r="AX2895" s="16"/>
    </row>
    <row r="2896" spans="2:50" x14ac:dyDescent="0.2">
      <c r="B2896" s="7"/>
      <c r="C2896" s="8">
        <v>13435</v>
      </c>
      <c r="D2896" s="9" t="s">
        <v>202</v>
      </c>
      <c r="E2896" s="10" t="str">
        <f t="shared" si="120"/>
        <v>Rancho Estanzuela No. 25</v>
      </c>
      <c r="F2896" s="10" t="str">
        <f t="shared" si="121"/>
        <v>Contreras Figueroa</v>
      </c>
      <c r="G2896" s="8">
        <v>1</v>
      </c>
      <c r="H2896" s="11">
        <v>400</v>
      </c>
      <c r="I2896" s="12">
        <v>42717</v>
      </c>
      <c r="J2896" s="35">
        <f t="shared" si="117"/>
        <v>0</v>
      </c>
      <c r="K2896" s="36"/>
      <c r="L2896" s="36"/>
      <c r="M2896" s="36"/>
      <c r="N2896" s="36"/>
      <c r="O2896" s="36"/>
      <c r="P2896" s="36"/>
      <c r="Q2896" s="36"/>
      <c r="R2896" s="36"/>
      <c r="S2896" s="36"/>
      <c r="T2896" s="36"/>
      <c r="U2896" s="36"/>
      <c r="V2896" s="36">
        <v>400</v>
      </c>
      <c r="W2896" s="15">
        <f t="shared" si="118"/>
        <v>400</v>
      </c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15">
        <f t="shared" si="119"/>
        <v>0</v>
      </c>
      <c r="AK2896" s="14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14"/>
      <c r="AV2896" s="14"/>
      <c r="AW2896" s="15"/>
      <c r="AX2896" s="16"/>
    </row>
    <row r="2897" spans="2:51" x14ac:dyDescent="0.2">
      <c r="B2897" s="7"/>
      <c r="C2897" s="8">
        <v>13436</v>
      </c>
      <c r="D2897" s="9" t="s">
        <v>205</v>
      </c>
      <c r="E2897" s="10" t="str">
        <f t="shared" si="120"/>
        <v>Rancho Landero No. 1, A</v>
      </c>
      <c r="F2897" s="10" t="str">
        <f t="shared" si="121"/>
        <v>Ebysos</v>
      </c>
      <c r="G2897" s="8">
        <v>1</v>
      </c>
      <c r="H2897" s="11">
        <v>600</v>
      </c>
      <c r="I2897" s="12">
        <v>42719</v>
      </c>
      <c r="J2897" s="35">
        <f t="shared" si="117"/>
        <v>0</v>
      </c>
      <c r="K2897" s="36"/>
      <c r="L2897" s="36"/>
      <c r="M2897" s="36"/>
      <c r="N2897" s="36"/>
      <c r="O2897" s="36"/>
      <c r="P2897" s="36"/>
      <c r="Q2897" s="36"/>
      <c r="R2897" s="36"/>
      <c r="S2897" s="36"/>
      <c r="T2897" s="36"/>
      <c r="U2897" s="36"/>
      <c r="V2897" s="36">
        <v>600</v>
      </c>
      <c r="W2897" s="15">
        <f t="shared" si="118"/>
        <v>600</v>
      </c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15">
        <f t="shared" si="119"/>
        <v>0</v>
      </c>
      <c r="AK2897" s="14"/>
      <c r="AL2897" s="14"/>
      <c r="AM2897" s="14"/>
      <c r="AN2897" s="14"/>
      <c r="AO2897" s="14"/>
      <c r="AP2897" s="14"/>
      <c r="AQ2897" s="14"/>
      <c r="AR2897" s="14"/>
      <c r="AS2897" s="14"/>
      <c r="AT2897" s="14"/>
      <c r="AU2897" s="14"/>
      <c r="AV2897" s="14"/>
      <c r="AW2897" s="15"/>
      <c r="AX2897" s="16"/>
    </row>
    <row r="2898" spans="2:51" x14ac:dyDescent="0.2">
      <c r="B2898" s="7"/>
      <c r="C2898" s="8">
        <v>13437</v>
      </c>
      <c r="D2898" s="9" t="s">
        <v>1029</v>
      </c>
      <c r="E2898" s="10" t="str">
        <f t="shared" si="120"/>
        <v>Rancho La Cuchilla No. 134</v>
      </c>
      <c r="F2898" s="10" t="str">
        <f t="shared" si="121"/>
        <v>Moreno Sánchez</v>
      </c>
      <c r="G2898" s="8">
        <v>1</v>
      </c>
      <c r="H2898" s="11">
        <v>800</v>
      </c>
      <c r="I2898" s="12">
        <v>42719</v>
      </c>
      <c r="J2898" s="35">
        <f t="shared" si="117"/>
        <v>0</v>
      </c>
      <c r="K2898" s="36"/>
      <c r="L2898" s="36"/>
      <c r="M2898" s="36"/>
      <c r="N2898" s="36"/>
      <c r="O2898" s="36"/>
      <c r="P2898" s="36"/>
      <c r="Q2898" s="36"/>
      <c r="R2898" s="36"/>
      <c r="S2898" s="36"/>
      <c r="T2898" s="36"/>
      <c r="U2898" s="36">
        <v>400</v>
      </c>
      <c r="V2898" s="36">
        <v>400</v>
      </c>
      <c r="W2898" s="15">
        <f t="shared" si="118"/>
        <v>800</v>
      </c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15">
        <f t="shared" si="119"/>
        <v>0</v>
      </c>
      <c r="AK2898" s="14"/>
      <c r="AL2898" s="14"/>
      <c r="AM2898" s="14"/>
      <c r="AN2898" s="14"/>
      <c r="AO2898" s="14"/>
      <c r="AP2898" s="14"/>
      <c r="AQ2898" s="14"/>
      <c r="AR2898" s="14"/>
      <c r="AS2898" s="14"/>
      <c r="AT2898" s="14"/>
      <c r="AU2898" s="14"/>
      <c r="AV2898" s="14"/>
      <c r="AW2898" s="15"/>
      <c r="AX2898" s="16"/>
      <c r="AY2898" t="s">
        <v>3282</v>
      </c>
    </row>
    <row r="2899" spans="2:51" x14ac:dyDescent="0.2">
      <c r="B2899" s="7"/>
      <c r="C2899" s="8">
        <v>13437</v>
      </c>
      <c r="D2899" s="9" t="s">
        <v>1029</v>
      </c>
      <c r="E2899" s="10" t="str">
        <f t="shared" si="120"/>
        <v>Rancho La Cuchilla No. 134</v>
      </c>
      <c r="F2899" s="10" t="str">
        <f t="shared" si="121"/>
        <v>Moreno Sánchez</v>
      </c>
      <c r="G2899" s="8">
        <v>5</v>
      </c>
      <c r="H2899" s="11">
        <v>50</v>
      </c>
      <c r="I2899" s="12">
        <v>42719</v>
      </c>
      <c r="J2899" s="35">
        <f t="shared" si="117"/>
        <v>0</v>
      </c>
      <c r="K2899" s="36"/>
      <c r="L2899" s="36"/>
      <c r="M2899" s="36"/>
      <c r="N2899" s="36"/>
      <c r="O2899" s="36"/>
      <c r="P2899" s="36"/>
      <c r="Q2899" s="36"/>
      <c r="R2899" s="36"/>
      <c r="S2899" s="36"/>
      <c r="T2899" s="36"/>
      <c r="U2899" s="36"/>
      <c r="V2899" s="36"/>
      <c r="W2899" s="15">
        <f t="shared" si="118"/>
        <v>0</v>
      </c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15">
        <f t="shared" si="119"/>
        <v>0</v>
      </c>
      <c r="AK2899" s="14"/>
      <c r="AL2899" s="14"/>
      <c r="AM2899" s="14"/>
      <c r="AN2899" s="14"/>
      <c r="AO2899" s="14"/>
      <c r="AP2899" s="14"/>
      <c r="AQ2899" s="14"/>
      <c r="AR2899" s="14"/>
      <c r="AS2899" s="14"/>
      <c r="AT2899" s="14"/>
      <c r="AU2899" s="14"/>
      <c r="AV2899" s="14"/>
      <c r="AW2899" s="15"/>
      <c r="AX2899" s="16"/>
    </row>
    <row r="2900" spans="2:51" x14ac:dyDescent="0.2">
      <c r="B2900" s="7"/>
      <c r="C2900" s="8">
        <v>13438</v>
      </c>
      <c r="D2900" s="9" t="s">
        <v>899</v>
      </c>
      <c r="E2900" s="10" t="str">
        <f t="shared" si="120"/>
        <v>Rancho Landero No. 8</v>
      </c>
      <c r="F2900" s="10" t="str">
        <f t="shared" si="121"/>
        <v>Garces Suarez</v>
      </c>
      <c r="G2900" s="8">
        <v>1</v>
      </c>
      <c r="H2900" s="11">
        <v>800</v>
      </c>
      <c r="I2900" s="12">
        <v>42719</v>
      </c>
      <c r="J2900" s="35">
        <f t="shared" si="117"/>
        <v>0</v>
      </c>
      <c r="K2900" s="36"/>
      <c r="L2900" s="36"/>
      <c r="M2900" s="36"/>
      <c r="N2900" s="36"/>
      <c r="O2900" s="36"/>
      <c r="P2900" s="36"/>
      <c r="Q2900" s="36"/>
      <c r="R2900" s="36"/>
      <c r="S2900" s="36"/>
      <c r="T2900" s="36"/>
      <c r="U2900" s="36"/>
      <c r="V2900" s="36">
        <v>400</v>
      </c>
      <c r="W2900" s="15">
        <f t="shared" si="118"/>
        <v>400</v>
      </c>
      <c r="X2900" s="36">
        <v>400</v>
      </c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15">
        <f t="shared" si="119"/>
        <v>400</v>
      </c>
      <c r="AK2900" s="14"/>
      <c r="AL2900" s="14"/>
      <c r="AM2900" s="14"/>
      <c r="AN2900" s="14"/>
      <c r="AO2900" s="14"/>
      <c r="AP2900" s="14"/>
      <c r="AQ2900" s="14"/>
      <c r="AR2900" s="14"/>
      <c r="AS2900" s="14"/>
      <c r="AT2900" s="14"/>
      <c r="AU2900" s="14"/>
      <c r="AV2900" s="14"/>
      <c r="AW2900" s="15"/>
      <c r="AX2900" s="16"/>
    </row>
    <row r="2901" spans="2:51" x14ac:dyDescent="0.2">
      <c r="B2901" s="7"/>
      <c r="C2901" s="8">
        <v>13439</v>
      </c>
      <c r="D2901" s="9" t="s">
        <v>226</v>
      </c>
      <c r="E2901" s="10" t="str">
        <f t="shared" si="120"/>
        <v>Rancho Landero No. 31</v>
      </c>
      <c r="F2901" s="10" t="str">
        <f t="shared" si="121"/>
        <v>Díaz Hernández</v>
      </c>
      <c r="G2901" s="8">
        <v>1</v>
      </c>
      <c r="H2901" s="11">
        <v>200</v>
      </c>
      <c r="I2901" s="12">
        <v>42720</v>
      </c>
      <c r="J2901" s="35">
        <f t="shared" si="117"/>
        <v>0</v>
      </c>
      <c r="K2901" s="36"/>
      <c r="L2901" s="36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>
        <v>200</v>
      </c>
      <c r="W2901" s="15">
        <f t="shared" si="118"/>
        <v>200</v>
      </c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15">
        <f t="shared" si="119"/>
        <v>0</v>
      </c>
      <c r="AK2901" s="14"/>
      <c r="AL2901" s="14"/>
      <c r="AM2901" s="14"/>
      <c r="AN2901" s="14"/>
      <c r="AO2901" s="14"/>
      <c r="AP2901" s="14"/>
      <c r="AQ2901" s="14"/>
      <c r="AR2901" s="14"/>
      <c r="AS2901" s="14"/>
      <c r="AT2901" s="14"/>
      <c r="AU2901" s="14"/>
      <c r="AV2901" s="14"/>
      <c r="AW2901" s="15"/>
      <c r="AX2901" s="16"/>
    </row>
    <row r="2902" spans="2:51" x14ac:dyDescent="0.2">
      <c r="B2902" s="7"/>
      <c r="C2902" s="8">
        <v>13440</v>
      </c>
      <c r="D2902" s="9" t="s">
        <v>517</v>
      </c>
      <c r="E2902" s="10" t="str">
        <f t="shared" si="120"/>
        <v>Rancho La Cuchilla No. 91</v>
      </c>
      <c r="F2902" s="10" t="str">
        <f t="shared" si="121"/>
        <v>Roldán Flores</v>
      </c>
      <c r="G2902" s="8">
        <v>1</v>
      </c>
      <c r="H2902" s="11">
        <v>4400</v>
      </c>
      <c r="I2902" s="12">
        <v>42720</v>
      </c>
      <c r="J2902" s="35">
        <f t="shared" si="117"/>
        <v>0</v>
      </c>
      <c r="K2902" s="36"/>
      <c r="L2902" s="36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  <c r="W2902" s="15">
        <f t="shared" si="118"/>
        <v>0</v>
      </c>
      <c r="X2902" s="36">
        <v>400</v>
      </c>
      <c r="Y2902" s="36">
        <v>400</v>
      </c>
      <c r="Z2902" s="36">
        <v>400</v>
      </c>
      <c r="AA2902" s="36">
        <v>400</v>
      </c>
      <c r="AB2902" s="36">
        <v>400</v>
      </c>
      <c r="AC2902" s="36">
        <v>400</v>
      </c>
      <c r="AD2902" s="36">
        <v>400</v>
      </c>
      <c r="AE2902" s="36">
        <v>400</v>
      </c>
      <c r="AF2902" s="36">
        <v>400</v>
      </c>
      <c r="AG2902" s="36">
        <v>400</v>
      </c>
      <c r="AH2902" s="36">
        <v>400</v>
      </c>
      <c r="AI2902" s="36"/>
      <c r="AJ2902" s="15">
        <f t="shared" si="119"/>
        <v>4400</v>
      </c>
      <c r="AK2902" s="14"/>
      <c r="AL2902" s="14"/>
      <c r="AM2902" s="14"/>
      <c r="AN2902" s="14"/>
      <c r="AO2902" s="14"/>
      <c r="AP2902" s="14"/>
      <c r="AQ2902" s="14"/>
      <c r="AR2902" s="14"/>
      <c r="AS2902" s="14"/>
      <c r="AT2902" s="14"/>
      <c r="AU2902" s="14"/>
      <c r="AV2902" s="14"/>
      <c r="AW2902" s="15"/>
      <c r="AX2902" s="16" t="s">
        <v>3176</v>
      </c>
    </row>
    <row r="2903" spans="2:51" x14ac:dyDescent="0.2">
      <c r="B2903" s="7"/>
      <c r="C2903" s="8">
        <v>13441</v>
      </c>
      <c r="D2903" s="9" t="s">
        <v>538</v>
      </c>
      <c r="E2903" s="10" t="str">
        <f t="shared" si="120"/>
        <v>Rancho Landero No. 73</v>
      </c>
      <c r="F2903" s="10" t="str">
        <f t="shared" si="121"/>
        <v>Islas Palacios</v>
      </c>
      <c r="G2903" s="8">
        <v>1</v>
      </c>
      <c r="H2903" s="11">
        <v>400</v>
      </c>
      <c r="I2903" s="12">
        <v>42720</v>
      </c>
      <c r="J2903" s="35">
        <f t="shared" si="117"/>
        <v>0</v>
      </c>
      <c r="K2903" s="36"/>
      <c r="L2903" s="36"/>
      <c r="M2903" s="36"/>
      <c r="N2903" s="36"/>
      <c r="O2903" s="36"/>
      <c r="P2903" s="36"/>
      <c r="Q2903" s="36"/>
      <c r="R2903" s="36"/>
      <c r="S2903" s="36"/>
      <c r="T2903" s="36"/>
      <c r="U2903" s="36"/>
      <c r="V2903" s="36">
        <v>400</v>
      </c>
      <c r="W2903" s="15">
        <f t="shared" si="118"/>
        <v>400</v>
      </c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15">
        <f t="shared" si="119"/>
        <v>0</v>
      </c>
      <c r="AK2903" s="14"/>
      <c r="AL2903" s="14"/>
      <c r="AM2903" s="14"/>
      <c r="AN2903" s="14"/>
      <c r="AO2903" s="14"/>
      <c r="AP2903" s="14"/>
      <c r="AQ2903" s="14"/>
      <c r="AR2903" s="14"/>
      <c r="AS2903" s="14"/>
      <c r="AT2903" s="14"/>
      <c r="AU2903" s="14"/>
      <c r="AV2903" s="14"/>
      <c r="AW2903" s="15"/>
      <c r="AX2903" s="16"/>
    </row>
    <row r="2904" spans="2:51" x14ac:dyDescent="0.2">
      <c r="B2904" s="7"/>
      <c r="C2904" s="8">
        <v>13442</v>
      </c>
      <c r="D2904" s="9" t="s">
        <v>855</v>
      </c>
      <c r="E2904" s="10" t="str">
        <f t="shared" si="120"/>
        <v>Rancho Upácuaro No. 99</v>
      </c>
      <c r="F2904" s="10" t="str">
        <f t="shared" si="121"/>
        <v>Frías</v>
      </c>
      <c r="G2904" s="8">
        <v>5</v>
      </c>
      <c r="H2904" s="11">
        <v>50</v>
      </c>
      <c r="I2904" s="12">
        <v>42722</v>
      </c>
      <c r="J2904" s="35">
        <f t="shared" si="117"/>
        <v>0</v>
      </c>
      <c r="K2904" s="36"/>
      <c r="L2904" s="36"/>
      <c r="M2904" s="36"/>
      <c r="N2904" s="36"/>
      <c r="O2904" s="36"/>
      <c r="P2904" s="36"/>
      <c r="Q2904" s="36"/>
      <c r="R2904" s="36"/>
      <c r="S2904" s="36"/>
      <c r="T2904" s="36"/>
      <c r="U2904" s="36"/>
      <c r="V2904" s="36"/>
      <c r="W2904" s="15">
        <f t="shared" si="118"/>
        <v>0</v>
      </c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15">
        <f t="shared" si="119"/>
        <v>0</v>
      </c>
      <c r="AK2904" s="14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14"/>
      <c r="AV2904" s="14"/>
      <c r="AW2904" s="15"/>
      <c r="AX2904" s="16"/>
    </row>
    <row r="2905" spans="2:51" x14ac:dyDescent="0.2">
      <c r="B2905" s="7"/>
      <c r="C2905" s="8">
        <v>13443</v>
      </c>
      <c r="D2905" s="9" t="s">
        <v>523</v>
      </c>
      <c r="E2905" s="10" t="str">
        <f t="shared" si="120"/>
        <v>Rancho Estanzuela No. 139</v>
      </c>
      <c r="F2905" s="10" t="str">
        <f t="shared" si="121"/>
        <v xml:space="preserve">Ortiz   </v>
      </c>
      <c r="G2905" s="8">
        <v>1</v>
      </c>
      <c r="H2905" s="11">
        <v>400</v>
      </c>
      <c r="I2905" s="12">
        <v>42722</v>
      </c>
      <c r="J2905" s="35">
        <f t="shared" si="117"/>
        <v>0</v>
      </c>
      <c r="K2905" s="36"/>
      <c r="L2905" s="36"/>
      <c r="M2905" s="36"/>
      <c r="N2905" s="36"/>
      <c r="O2905" s="36"/>
      <c r="P2905" s="36"/>
      <c r="Q2905" s="36"/>
      <c r="R2905" s="36"/>
      <c r="S2905" s="36"/>
      <c r="T2905" s="36"/>
      <c r="U2905" s="36"/>
      <c r="V2905" s="36">
        <v>400</v>
      </c>
      <c r="W2905" s="15">
        <f t="shared" si="118"/>
        <v>400</v>
      </c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15">
        <f t="shared" si="119"/>
        <v>0</v>
      </c>
      <c r="AK2905" s="14"/>
      <c r="AL2905" s="14"/>
      <c r="AM2905" s="14"/>
      <c r="AN2905" s="14"/>
      <c r="AO2905" s="14"/>
      <c r="AP2905" s="14"/>
      <c r="AQ2905" s="14"/>
      <c r="AR2905" s="14"/>
      <c r="AS2905" s="14"/>
      <c r="AT2905" s="14"/>
      <c r="AU2905" s="14"/>
      <c r="AV2905" s="14"/>
      <c r="AW2905" s="15"/>
      <c r="AX2905" s="16"/>
    </row>
    <row r="2906" spans="2:51" x14ac:dyDescent="0.2">
      <c r="B2906" s="7"/>
      <c r="C2906" s="8">
        <v>13444</v>
      </c>
      <c r="D2906" s="9" t="s">
        <v>235</v>
      </c>
      <c r="E2906" s="10" t="str">
        <f t="shared" si="120"/>
        <v>Rancho La Cuchilla No. 43, A</v>
      </c>
      <c r="F2906" s="10" t="str">
        <f t="shared" si="121"/>
        <v>De la Rosa</v>
      </c>
      <c r="G2906" s="8">
        <v>1</v>
      </c>
      <c r="H2906" s="11">
        <v>400</v>
      </c>
      <c r="I2906" s="12">
        <v>42722</v>
      </c>
      <c r="J2906" s="35">
        <f t="shared" si="117"/>
        <v>0</v>
      </c>
      <c r="K2906" s="36"/>
      <c r="L2906" s="36"/>
      <c r="M2906" s="36"/>
      <c r="N2906" s="36"/>
      <c r="O2906" s="36"/>
      <c r="P2906" s="36"/>
      <c r="Q2906" s="36"/>
      <c r="R2906" s="36"/>
      <c r="S2906" s="36"/>
      <c r="T2906" s="36"/>
      <c r="U2906" s="36"/>
      <c r="V2906" s="36">
        <v>400</v>
      </c>
      <c r="W2906" s="15">
        <f t="shared" si="118"/>
        <v>400</v>
      </c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15">
        <f t="shared" si="119"/>
        <v>0</v>
      </c>
      <c r="AK2906" s="14"/>
      <c r="AL2906" s="14"/>
      <c r="AM2906" s="14"/>
      <c r="AN2906" s="14"/>
      <c r="AO2906" s="14"/>
      <c r="AP2906" s="14"/>
      <c r="AQ2906" s="14"/>
      <c r="AR2906" s="14"/>
      <c r="AS2906" s="14"/>
      <c r="AT2906" s="14"/>
      <c r="AU2906" s="14"/>
      <c r="AV2906" s="14"/>
      <c r="AW2906" s="15"/>
      <c r="AX2906" s="16"/>
    </row>
    <row r="2907" spans="2:51" x14ac:dyDescent="0.2">
      <c r="B2907" s="7"/>
      <c r="C2907" s="8">
        <v>13445</v>
      </c>
      <c r="D2907" s="9" t="s">
        <v>488</v>
      </c>
      <c r="E2907" s="10" t="str">
        <f t="shared" si="120"/>
        <v>Rancho Landero No. 85</v>
      </c>
      <c r="F2907" s="10" t="str">
        <f t="shared" si="121"/>
        <v>Martínez Olague</v>
      </c>
      <c r="G2907" s="8">
        <v>1</v>
      </c>
      <c r="H2907" s="11">
        <v>400</v>
      </c>
      <c r="I2907" s="12">
        <v>42722</v>
      </c>
      <c r="J2907" s="35">
        <f t="shared" si="117"/>
        <v>0</v>
      </c>
      <c r="K2907" s="36"/>
      <c r="L2907" s="36"/>
      <c r="M2907" s="36"/>
      <c r="N2907" s="36"/>
      <c r="O2907" s="36"/>
      <c r="P2907" s="36"/>
      <c r="Q2907" s="36"/>
      <c r="R2907" s="36"/>
      <c r="S2907" s="36"/>
      <c r="T2907" s="36"/>
      <c r="U2907" s="36"/>
      <c r="V2907" s="36">
        <v>400</v>
      </c>
      <c r="W2907" s="15">
        <f t="shared" si="118"/>
        <v>400</v>
      </c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15">
        <f t="shared" si="119"/>
        <v>0</v>
      </c>
      <c r="AK2907" s="14"/>
      <c r="AL2907" s="14"/>
      <c r="AM2907" s="14"/>
      <c r="AN2907" s="14"/>
      <c r="AO2907" s="14"/>
      <c r="AP2907" s="14"/>
      <c r="AQ2907" s="14"/>
      <c r="AR2907" s="14"/>
      <c r="AS2907" s="14"/>
      <c r="AT2907" s="14"/>
      <c r="AU2907" s="14"/>
      <c r="AV2907" s="14"/>
      <c r="AW2907" s="15"/>
      <c r="AX2907" s="16"/>
    </row>
    <row r="2908" spans="2:51" x14ac:dyDescent="0.2">
      <c r="B2908" s="7"/>
      <c r="C2908" s="8">
        <v>13446</v>
      </c>
      <c r="D2908" s="9" t="s">
        <v>156</v>
      </c>
      <c r="E2908" s="10" t="str">
        <f t="shared" si="120"/>
        <v>Rancho Zinamba No. 80</v>
      </c>
      <c r="F2908" s="10" t="str">
        <f t="shared" si="121"/>
        <v>Vázquez</v>
      </c>
      <c r="G2908" s="8">
        <v>1</v>
      </c>
      <c r="H2908" s="11">
        <v>300</v>
      </c>
      <c r="I2908" s="12">
        <v>42722</v>
      </c>
      <c r="J2908" s="35">
        <f t="shared" si="117"/>
        <v>0</v>
      </c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>
        <v>300</v>
      </c>
      <c r="W2908" s="15">
        <f t="shared" si="118"/>
        <v>300</v>
      </c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15">
        <f t="shared" si="119"/>
        <v>0</v>
      </c>
      <c r="AK2908" s="14"/>
      <c r="AL2908" s="14"/>
      <c r="AM2908" s="14"/>
      <c r="AN2908" s="14"/>
      <c r="AO2908" s="14"/>
      <c r="AP2908" s="14"/>
      <c r="AQ2908" s="14"/>
      <c r="AR2908" s="14"/>
      <c r="AS2908" s="14"/>
      <c r="AT2908" s="14"/>
      <c r="AU2908" s="14"/>
      <c r="AV2908" s="14"/>
      <c r="AW2908" s="15"/>
      <c r="AX2908" s="16"/>
    </row>
    <row r="2909" spans="2:51" x14ac:dyDescent="0.2">
      <c r="B2909" s="7"/>
      <c r="C2909" s="8">
        <v>13447</v>
      </c>
      <c r="D2909" s="9" t="s">
        <v>675</v>
      </c>
      <c r="E2909" s="10" t="str">
        <f t="shared" si="120"/>
        <v>Rancho Estanzuela No. 155</v>
      </c>
      <c r="F2909" s="10" t="str">
        <f t="shared" si="121"/>
        <v>Anchondo Valerio</v>
      </c>
      <c r="G2909" s="8">
        <v>1</v>
      </c>
      <c r="H2909" s="11">
        <v>4400</v>
      </c>
      <c r="I2909" s="12">
        <v>42722</v>
      </c>
      <c r="J2909" s="35">
        <f t="shared" si="117"/>
        <v>0</v>
      </c>
      <c r="K2909" s="36"/>
      <c r="L2909" s="36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  <c r="W2909" s="15">
        <f t="shared" si="118"/>
        <v>0</v>
      </c>
      <c r="X2909" s="36">
        <v>400</v>
      </c>
      <c r="Y2909" s="36">
        <v>400</v>
      </c>
      <c r="Z2909" s="36">
        <v>400</v>
      </c>
      <c r="AA2909" s="36">
        <v>400</v>
      </c>
      <c r="AB2909" s="36">
        <v>400</v>
      </c>
      <c r="AC2909" s="36">
        <v>400</v>
      </c>
      <c r="AD2909" s="36">
        <v>400</v>
      </c>
      <c r="AE2909" s="36">
        <v>400</v>
      </c>
      <c r="AF2909" s="36">
        <v>400</v>
      </c>
      <c r="AG2909" s="36">
        <v>400</v>
      </c>
      <c r="AH2909" s="36">
        <v>400</v>
      </c>
      <c r="AI2909" s="36"/>
      <c r="AJ2909" s="15">
        <f t="shared" si="119"/>
        <v>4400</v>
      </c>
      <c r="AK2909" s="14"/>
      <c r="AL2909" s="14"/>
      <c r="AM2909" s="14"/>
      <c r="AN2909" s="14"/>
      <c r="AO2909" s="14"/>
      <c r="AP2909" s="14"/>
      <c r="AQ2909" s="14"/>
      <c r="AR2909" s="14"/>
      <c r="AS2909" s="14"/>
      <c r="AT2909" s="14"/>
      <c r="AU2909" s="14"/>
      <c r="AV2909" s="14"/>
      <c r="AW2909" s="15"/>
      <c r="AX2909" s="16" t="s">
        <v>3176</v>
      </c>
      <c r="AY2909" t="s">
        <v>383</v>
      </c>
    </row>
    <row r="2910" spans="2:51" x14ac:dyDescent="0.2">
      <c r="B2910" s="7"/>
      <c r="C2910" s="8">
        <v>13448</v>
      </c>
      <c r="D2910" s="9" t="s">
        <v>94</v>
      </c>
      <c r="E2910" s="10" t="str">
        <f t="shared" si="120"/>
        <v>Rancho Landero No. 42</v>
      </c>
      <c r="F2910" s="10" t="str">
        <f t="shared" si="121"/>
        <v>Ávila Fidel</v>
      </c>
      <c r="G2910" s="8">
        <v>7</v>
      </c>
      <c r="H2910" s="11">
        <v>500</v>
      </c>
      <c r="I2910" s="12">
        <v>42722</v>
      </c>
      <c r="J2910" s="35">
        <v>0</v>
      </c>
      <c r="K2910" s="36"/>
      <c r="L2910" s="36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  <c r="W2910" s="15">
        <f t="shared" si="118"/>
        <v>0</v>
      </c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15">
        <f t="shared" si="119"/>
        <v>0</v>
      </c>
      <c r="AK2910" s="14"/>
      <c r="AL2910" s="14"/>
      <c r="AM2910" s="14"/>
      <c r="AN2910" s="14"/>
      <c r="AO2910" s="14"/>
      <c r="AP2910" s="14"/>
      <c r="AQ2910" s="14"/>
      <c r="AR2910" s="14"/>
      <c r="AS2910" s="14"/>
      <c r="AT2910" s="14"/>
      <c r="AU2910" s="14"/>
      <c r="AV2910" s="14"/>
      <c r="AW2910" s="15"/>
      <c r="AX2910" s="16"/>
    </row>
    <row r="2911" spans="2:51" x14ac:dyDescent="0.2">
      <c r="B2911" s="7"/>
      <c r="C2911" s="8">
        <v>13449</v>
      </c>
      <c r="D2911" s="9" t="s">
        <v>602</v>
      </c>
      <c r="E2911" s="10" t="str">
        <f t="shared" si="120"/>
        <v>Rancho Upácuaro No. 30</v>
      </c>
      <c r="F2911" s="10" t="str">
        <f t="shared" si="121"/>
        <v>Dorantes</v>
      </c>
      <c r="G2911" s="8">
        <v>1</v>
      </c>
      <c r="H2911" s="11">
        <v>200</v>
      </c>
      <c r="I2911" s="12">
        <v>42722</v>
      </c>
      <c r="J2911" s="35">
        <f t="shared" si="117"/>
        <v>0</v>
      </c>
      <c r="K2911" s="36"/>
      <c r="L2911" s="36"/>
      <c r="M2911" s="36"/>
      <c r="N2911" s="36"/>
      <c r="O2911" s="36"/>
      <c r="P2911" s="36"/>
      <c r="Q2911" s="36"/>
      <c r="R2911" s="36"/>
      <c r="S2911" s="36"/>
      <c r="T2911" s="36"/>
      <c r="U2911" s="36"/>
      <c r="V2911" s="36">
        <v>200</v>
      </c>
      <c r="W2911" s="15">
        <f t="shared" si="118"/>
        <v>200</v>
      </c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15">
        <f t="shared" si="119"/>
        <v>0</v>
      </c>
      <c r="AK2911" s="14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14"/>
      <c r="AV2911" s="14"/>
      <c r="AW2911" s="15"/>
      <c r="AX2911" s="16"/>
    </row>
    <row r="2912" spans="2:51" x14ac:dyDescent="0.2">
      <c r="B2912" s="7"/>
      <c r="C2912" s="8">
        <v>13450</v>
      </c>
      <c r="D2912" s="9" t="s">
        <v>3178</v>
      </c>
      <c r="E2912" s="10" t="str">
        <f t="shared" si="120"/>
        <v>Rancho La Cuchilla No. 103</v>
      </c>
      <c r="F2912" s="10" t="str">
        <f t="shared" si="121"/>
        <v>Bernal</v>
      </c>
      <c r="G2912" s="8">
        <v>3</v>
      </c>
      <c r="H2912" s="11">
        <v>200</v>
      </c>
      <c r="I2912" s="12">
        <v>42722</v>
      </c>
      <c r="J2912" s="35">
        <f t="shared" si="117"/>
        <v>0</v>
      </c>
      <c r="K2912" s="36"/>
      <c r="L2912" s="36"/>
      <c r="M2912" s="36"/>
      <c r="N2912" s="36"/>
      <c r="O2912" s="36"/>
      <c r="P2912" s="36"/>
      <c r="Q2912" s="36"/>
      <c r="R2912" s="36"/>
      <c r="S2912" s="36"/>
      <c r="T2912" s="36"/>
      <c r="U2912" s="36"/>
      <c r="V2912" s="36"/>
      <c r="W2912" s="15">
        <f t="shared" si="118"/>
        <v>0</v>
      </c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15">
        <f t="shared" si="119"/>
        <v>0</v>
      </c>
      <c r="AK2912" s="14"/>
      <c r="AL2912" s="14"/>
      <c r="AM2912" s="14"/>
      <c r="AN2912" s="14"/>
      <c r="AO2912" s="14"/>
      <c r="AP2912" s="14"/>
      <c r="AQ2912" s="14"/>
      <c r="AR2912" s="14"/>
      <c r="AS2912" s="14"/>
      <c r="AT2912" s="14"/>
      <c r="AU2912" s="14"/>
      <c r="AV2912" s="14"/>
      <c r="AW2912" s="15"/>
      <c r="AX2912" s="16"/>
    </row>
    <row r="2913" spans="2:51" x14ac:dyDescent="0.2">
      <c r="B2913" s="7"/>
      <c r="C2913" s="8">
        <v>13451</v>
      </c>
      <c r="D2913" s="9" t="s">
        <v>401</v>
      </c>
      <c r="E2913" s="10" t="str">
        <f t="shared" si="120"/>
        <v>Rancho Landero No. 68</v>
      </c>
      <c r="F2913" s="10" t="str">
        <f t="shared" si="121"/>
        <v>Moreno</v>
      </c>
      <c r="G2913" s="8">
        <v>1</v>
      </c>
      <c r="H2913" s="11">
        <v>800</v>
      </c>
      <c r="I2913" s="12">
        <v>42722</v>
      </c>
      <c r="J2913" s="35">
        <f t="shared" ref="J2913:J2986" si="122">IF(G2913=1,SUM(W2913,AJ2913,-H2913),0)</f>
        <v>0</v>
      </c>
      <c r="K2913" s="36"/>
      <c r="L2913" s="36"/>
      <c r="M2913" s="36"/>
      <c r="N2913" s="36"/>
      <c r="O2913" s="36"/>
      <c r="P2913" s="36"/>
      <c r="Q2913" s="36"/>
      <c r="R2913" s="36"/>
      <c r="S2913" s="36"/>
      <c r="T2913" s="36"/>
      <c r="U2913" s="36">
        <v>400</v>
      </c>
      <c r="V2913" s="36">
        <v>400</v>
      </c>
      <c r="W2913" s="15">
        <f t="shared" ref="W2913:W2986" si="123">SUM(K2913:V2913)</f>
        <v>800</v>
      </c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15">
        <f t="shared" ref="AJ2913:AJ2986" si="124">SUM(X2913:AI2913)</f>
        <v>0</v>
      </c>
      <c r="AK2913" s="14"/>
      <c r="AL2913" s="14"/>
      <c r="AM2913" s="14"/>
      <c r="AN2913" s="14"/>
      <c r="AO2913" s="14"/>
      <c r="AP2913" s="14"/>
      <c r="AQ2913" s="14"/>
      <c r="AR2913" s="14"/>
      <c r="AS2913" s="14"/>
      <c r="AT2913" s="14"/>
      <c r="AU2913" s="14"/>
      <c r="AV2913" s="14"/>
      <c r="AW2913" s="15"/>
      <c r="AX2913" s="16"/>
    </row>
    <row r="2914" spans="2:51" x14ac:dyDescent="0.2">
      <c r="B2914" s="7"/>
      <c r="C2914" s="8">
        <v>13452</v>
      </c>
      <c r="D2914" s="9" t="s">
        <v>905</v>
      </c>
      <c r="E2914" s="10" t="str">
        <f t="shared" si="120"/>
        <v>Rancho Landero No. 81</v>
      </c>
      <c r="F2914" s="10" t="str">
        <f t="shared" si="121"/>
        <v>Cebrían Saldaña</v>
      </c>
      <c r="G2914" s="8">
        <v>5</v>
      </c>
      <c r="H2914" s="11">
        <v>50</v>
      </c>
      <c r="I2914" s="12">
        <v>42722</v>
      </c>
      <c r="J2914" s="35">
        <f t="shared" si="122"/>
        <v>0</v>
      </c>
      <c r="K2914" s="36"/>
      <c r="L2914" s="36"/>
      <c r="M2914" s="36"/>
      <c r="N2914" s="36"/>
      <c r="O2914" s="36"/>
      <c r="P2914" s="36"/>
      <c r="Q2914" s="36"/>
      <c r="R2914" s="36"/>
      <c r="S2914" s="36"/>
      <c r="T2914" s="36"/>
      <c r="U2914" s="36"/>
      <c r="V2914" s="36"/>
      <c r="W2914" s="15">
        <f t="shared" si="123"/>
        <v>0</v>
      </c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15">
        <f t="shared" si="124"/>
        <v>0</v>
      </c>
      <c r="AK2914" s="14"/>
      <c r="AL2914" s="14"/>
      <c r="AM2914" s="14"/>
      <c r="AN2914" s="14"/>
      <c r="AO2914" s="14"/>
      <c r="AP2914" s="14"/>
      <c r="AQ2914" s="14"/>
      <c r="AR2914" s="14"/>
      <c r="AS2914" s="14"/>
      <c r="AT2914" s="14"/>
      <c r="AU2914" s="14"/>
      <c r="AV2914" s="14"/>
      <c r="AW2914" s="15"/>
      <c r="AX2914" s="16"/>
    </row>
    <row r="2915" spans="2:51" x14ac:dyDescent="0.2">
      <c r="B2915" s="7"/>
      <c r="C2915" s="8">
        <v>13453</v>
      </c>
      <c r="D2915" s="9" t="s">
        <v>431</v>
      </c>
      <c r="E2915" s="10" t="str">
        <f t="shared" ref="E2915:E2988" si="125">IF(D2915=0,"",VLOOKUP(D2915,BASE,2,FALSE))</f>
        <v>Rancho Landero No. 63</v>
      </c>
      <c r="F2915" s="10" t="str">
        <f t="shared" ref="F2915:F2988" si="126">IF(D2915=0,"",VLOOKUP(D2915,BASE,3,FALSE))</f>
        <v>Hernández Chávez</v>
      </c>
      <c r="G2915" s="8">
        <v>1</v>
      </c>
      <c r="H2915" s="11">
        <v>800</v>
      </c>
      <c r="I2915" s="12">
        <v>42722</v>
      </c>
      <c r="J2915" s="35">
        <f t="shared" si="122"/>
        <v>0</v>
      </c>
      <c r="K2915" s="36"/>
      <c r="L2915" s="36"/>
      <c r="M2915" s="36"/>
      <c r="N2915" s="36"/>
      <c r="O2915" s="36"/>
      <c r="P2915" s="36"/>
      <c r="Q2915" s="36"/>
      <c r="R2915" s="36"/>
      <c r="S2915" s="36"/>
      <c r="T2915" s="36"/>
      <c r="U2915" s="36">
        <v>400</v>
      </c>
      <c r="V2915" s="36">
        <v>400</v>
      </c>
      <c r="W2915" s="15">
        <f t="shared" si="123"/>
        <v>800</v>
      </c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15">
        <f t="shared" si="124"/>
        <v>0</v>
      </c>
      <c r="AK2915" s="14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14"/>
      <c r="AV2915" s="14"/>
      <c r="AW2915" s="15"/>
      <c r="AX2915" s="16"/>
      <c r="AY2915" t="s">
        <v>383</v>
      </c>
    </row>
    <row r="2916" spans="2:51" x14ac:dyDescent="0.2">
      <c r="B2916" s="7"/>
      <c r="C2916" s="8">
        <v>13454</v>
      </c>
      <c r="D2916" s="9" t="s">
        <v>526</v>
      </c>
      <c r="E2916" s="10" t="str">
        <f t="shared" si="125"/>
        <v>Rancho Landero No. 62</v>
      </c>
      <c r="F2916" s="10" t="str">
        <f t="shared" si="126"/>
        <v>Narvaez Sara</v>
      </c>
      <c r="G2916" s="8">
        <v>1</v>
      </c>
      <c r="H2916" s="11">
        <v>600</v>
      </c>
      <c r="I2916" s="12">
        <v>42722</v>
      </c>
      <c r="J2916" s="35">
        <f t="shared" si="122"/>
        <v>0</v>
      </c>
      <c r="K2916" s="36"/>
      <c r="L2916" s="36"/>
      <c r="M2916" s="36"/>
      <c r="N2916" s="36"/>
      <c r="O2916" s="36"/>
      <c r="P2916" s="36"/>
      <c r="Q2916" s="36"/>
      <c r="R2916" s="36"/>
      <c r="S2916" s="36"/>
      <c r="T2916" s="36"/>
      <c r="U2916" s="36">
        <v>300</v>
      </c>
      <c r="V2916" s="36">
        <v>300</v>
      </c>
      <c r="W2916" s="15">
        <f t="shared" si="123"/>
        <v>600</v>
      </c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15">
        <f t="shared" si="124"/>
        <v>0</v>
      </c>
      <c r="AK2916" s="14"/>
      <c r="AL2916" s="14"/>
      <c r="AM2916" s="14"/>
      <c r="AN2916" s="14"/>
      <c r="AO2916" s="14"/>
      <c r="AP2916" s="14"/>
      <c r="AQ2916" s="14"/>
      <c r="AR2916" s="14"/>
      <c r="AS2916" s="14"/>
      <c r="AT2916" s="14"/>
      <c r="AU2916" s="14"/>
      <c r="AV2916" s="14"/>
      <c r="AW2916" s="15"/>
      <c r="AX2916" s="16"/>
    </row>
    <row r="2917" spans="2:51" x14ac:dyDescent="0.2">
      <c r="B2917" s="7"/>
      <c r="C2917" s="8">
        <v>13455</v>
      </c>
      <c r="D2917" s="9" t="s">
        <v>192</v>
      </c>
      <c r="E2917" s="10" t="str">
        <f t="shared" si="125"/>
        <v>Rancho Landero No. 77</v>
      </c>
      <c r="F2917" s="10" t="str">
        <f t="shared" si="126"/>
        <v>Muñoz</v>
      </c>
      <c r="G2917" s="8">
        <v>1</v>
      </c>
      <c r="H2917" s="11">
        <v>1200</v>
      </c>
      <c r="I2917" s="12">
        <v>42722</v>
      </c>
      <c r="J2917" s="35">
        <f t="shared" si="122"/>
        <v>0</v>
      </c>
      <c r="K2917" s="36"/>
      <c r="L2917" s="36"/>
      <c r="M2917" s="36"/>
      <c r="N2917" s="36"/>
      <c r="O2917" s="36"/>
      <c r="P2917" s="36"/>
      <c r="Q2917" s="36"/>
      <c r="R2917" s="36"/>
      <c r="S2917" s="36"/>
      <c r="T2917" s="36">
        <v>400</v>
      </c>
      <c r="U2917" s="36">
        <v>400</v>
      </c>
      <c r="V2917" s="36">
        <v>400</v>
      </c>
      <c r="W2917" s="15">
        <f t="shared" si="123"/>
        <v>1200</v>
      </c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15">
        <f t="shared" si="124"/>
        <v>0</v>
      </c>
      <c r="AK2917" s="14"/>
      <c r="AL2917" s="14"/>
      <c r="AM2917" s="14"/>
      <c r="AN2917" s="14"/>
      <c r="AO2917" s="14"/>
      <c r="AP2917" s="14"/>
      <c r="AQ2917" s="14"/>
      <c r="AR2917" s="14"/>
      <c r="AS2917" s="14"/>
      <c r="AT2917" s="14"/>
      <c r="AU2917" s="14"/>
      <c r="AV2917" s="14"/>
      <c r="AW2917" s="15"/>
      <c r="AX2917" s="16"/>
    </row>
    <row r="2918" spans="2:51" x14ac:dyDescent="0.2">
      <c r="B2918" s="7"/>
      <c r="C2918" s="8">
        <v>13456</v>
      </c>
      <c r="D2918" s="9" t="s">
        <v>652</v>
      </c>
      <c r="E2918" s="10" t="str">
        <f t="shared" si="125"/>
        <v>Rancho Zinamba No. 74</v>
      </c>
      <c r="F2918" s="10" t="str">
        <f t="shared" si="126"/>
        <v>García Castellanos</v>
      </c>
      <c r="G2918" s="8">
        <v>1</v>
      </c>
      <c r="H2918" s="11">
        <v>800</v>
      </c>
      <c r="I2918" s="12">
        <v>42722</v>
      </c>
      <c r="J2918" s="35">
        <f t="shared" si="122"/>
        <v>0</v>
      </c>
      <c r="K2918" s="36"/>
      <c r="L2918" s="36"/>
      <c r="M2918" s="36"/>
      <c r="N2918" s="36"/>
      <c r="O2918" s="36"/>
      <c r="P2918" s="36"/>
      <c r="Q2918" s="36"/>
      <c r="R2918" s="36"/>
      <c r="S2918" s="36"/>
      <c r="T2918" s="36">
        <v>400</v>
      </c>
      <c r="U2918" s="36">
        <v>400</v>
      </c>
      <c r="V2918" s="36"/>
      <c r="W2918" s="15">
        <f t="shared" si="123"/>
        <v>800</v>
      </c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15">
        <f t="shared" si="124"/>
        <v>0</v>
      </c>
      <c r="AK2918" s="14"/>
      <c r="AL2918" s="14"/>
      <c r="AM2918" s="14"/>
      <c r="AN2918" s="14"/>
      <c r="AO2918" s="14"/>
      <c r="AP2918" s="14"/>
      <c r="AQ2918" s="14"/>
      <c r="AR2918" s="14"/>
      <c r="AS2918" s="14"/>
      <c r="AT2918" s="14"/>
      <c r="AU2918" s="14"/>
      <c r="AV2918" s="14"/>
      <c r="AW2918" s="15"/>
      <c r="AX2918" s="16"/>
    </row>
    <row r="2919" spans="2:51" x14ac:dyDescent="0.2">
      <c r="B2919" s="7"/>
      <c r="C2919" s="8">
        <v>13457</v>
      </c>
      <c r="D2919" s="9" t="s">
        <v>153</v>
      </c>
      <c r="E2919" s="10" t="str">
        <f t="shared" si="125"/>
        <v>Rancho La Cuchilla No. 92</v>
      </c>
      <c r="F2919" s="10" t="str">
        <f t="shared" si="126"/>
        <v>Cabrera</v>
      </c>
      <c r="G2919" s="8">
        <v>1</v>
      </c>
      <c r="H2919" s="11">
        <v>400</v>
      </c>
      <c r="I2919" s="12">
        <v>42722</v>
      </c>
      <c r="J2919" s="35">
        <f t="shared" si="122"/>
        <v>0</v>
      </c>
      <c r="K2919" s="36"/>
      <c r="L2919" s="36"/>
      <c r="M2919" s="36"/>
      <c r="N2919" s="36"/>
      <c r="O2919" s="36"/>
      <c r="P2919" s="36"/>
      <c r="Q2919" s="36"/>
      <c r="R2919" s="36"/>
      <c r="S2919" s="36"/>
      <c r="T2919" s="36"/>
      <c r="U2919" s="36"/>
      <c r="V2919" s="36">
        <v>400</v>
      </c>
      <c r="W2919" s="15">
        <f t="shared" si="123"/>
        <v>400</v>
      </c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15">
        <f t="shared" si="124"/>
        <v>0</v>
      </c>
      <c r="AK2919" s="14"/>
      <c r="AL2919" s="14"/>
      <c r="AM2919" s="14"/>
      <c r="AN2919" s="14"/>
      <c r="AO2919" s="14"/>
      <c r="AP2919" s="14"/>
      <c r="AQ2919" s="14"/>
      <c r="AR2919" s="14"/>
      <c r="AS2919" s="14"/>
      <c r="AT2919" s="14"/>
      <c r="AU2919" s="14"/>
      <c r="AV2919" s="14"/>
      <c r="AW2919" s="15"/>
      <c r="AX2919" s="16"/>
    </row>
    <row r="2920" spans="2:51" x14ac:dyDescent="0.2">
      <c r="B2920" s="7"/>
      <c r="C2920" s="8">
        <v>13458</v>
      </c>
      <c r="D2920" s="9" t="s">
        <v>684</v>
      </c>
      <c r="E2920" s="10" t="str">
        <f t="shared" si="125"/>
        <v>Rancho Landero No. 65</v>
      </c>
      <c r="F2920" s="10" t="str">
        <f t="shared" si="126"/>
        <v>Alpizar</v>
      </c>
      <c r="G2920" s="8">
        <v>1</v>
      </c>
      <c r="H2920" s="11">
        <v>800</v>
      </c>
      <c r="I2920" s="12">
        <v>42722</v>
      </c>
      <c r="J2920" s="35">
        <f t="shared" si="122"/>
        <v>0</v>
      </c>
      <c r="K2920" s="36"/>
      <c r="L2920" s="36"/>
      <c r="M2920" s="36"/>
      <c r="N2920" s="36"/>
      <c r="O2920" s="36"/>
      <c r="P2920" s="36"/>
      <c r="Q2920" s="36"/>
      <c r="R2920" s="36"/>
      <c r="S2920" s="36"/>
      <c r="T2920" s="36"/>
      <c r="U2920" s="36"/>
      <c r="V2920" s="36">
        <v>400</v>
      </c>
      <c r="W2920" s="15">
        <f t="shared" si="123"/>
        <v>400</v>
      </c>
      <c r="X2920" s="36">
        <v>400</v>
      </c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15">
        <f t="shared" si="124"/>
        <v>400</v>
      </c>
      <c r="AK2920" s="14"/>
      <c r="AL2920" s="14"/>
      <c r="AM2920" s="14"/>
      <c r="AN2920" s="14"/>
      <c r="AO2920" s="14"/>
      <c r="AP2920" s="14"/>
      <c r="AQ2920" s="14"/>
      <c r="AR2920" s="14"/>
      <c r="AS2920" s="14"/>
      <c r="AT2920" s="14"/>
      <c r="AU2920" s="14"/>
      <c r="AV2920" s="14"/>
      <c r="AW2920" s="15"/>
      <c r="AX2920" s="16"/>
    </row>
    <row r="2921" spans="2:51" x14ac:dyDescent="0.2">
      <c r="B2921" s="7"/>
      <c r="C2921" s="8">
        <v>13458</v>
      </c>
      <c r="D2921" s="9" t="s">
        <v>684</v>
      </c>
      <c r="E2921" s="10" t="str">
        <f t="shared" si="125"/>
        <v>Rancho Landero No. 65</v>
      </c>
      <c r="F2921" s="10" t="str">
        <f t="shared" si="126"/>
        <v>Alpizar</v>
      </c>
      <c r="G2921" s="8">
        <v>5</v>
      </c>
      <c r="H2921" s="11">
        <v>50</v>
      </c>
      <c r="I2921" s="12">
        <v>42722</v>
      </c>
      <c r="J2921" s="35">
        <f t="shared" si="122"/>
        <v>0</v>
      </c>
      <c r="K2921" s="36"/>
      <c r="L2921" s="36"/>
      <c r="M2921" s="36"/>
      <c r="N2921" s="36"/>
      <c r="O2921" s="36"/>
      <c r="P2921" s="36"/>
      <c r="Q2921" s="36"/>
      <c r="R2921" s="36"/>
      <c r="S2921" s="36"/>
      <c r="T2921" s="36"/>
      <c r="U2921" s="36"/>
      <c r="V2921" s="36"/>
      <c r="W2921" s="15">
        <f t="shared" si="123"/>
        <v>0</v>
      </c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15">
        <f t="shared" si="124"/>
        <v>0</v>
      </c>
      <c r="AK2921" s="14"/>
      <c r="AL2921" s="14"/>
      <c r="AM2921" s="14"/>
      <c r="AN2921" s="14"/>
      <c r="AO2921" s="14"/>
      <c r="AP2921" s="14"/>
      <c r="AQ2921" s="14"/>
      <c r="AR2921" s="14"/>
      <c r="AS2921" s="14"/>
      <c r="AT2921" s="14"/>
      <c r="AU2921" s="14"/>
      <c r="AV2921" s="14"/>
      <c r="AW2921" s="15"/>
      <c r="AX2921" s="16"/>
    </row>
    <row r="2922" spans="2:51" x14ac:dyDescent="0.2">
      <c r="B2922" s="7"/>
      <c r="C2922" s="8">
        <v>13459</v>
      </c>
      <c r="D2922" s="9" t="s">
        <v>274</v>
      </c>
      <c r="E2922" s="10" t="str">
        <f t="shared" si="125"/>
        <v>Rancho Zinamba No. 82</v>
      </c>
      <c r="F2922" s="10" t="str">
        <f t="shared" si="126"/>
        <v>Morán Carmona</v>
      </c>
      <c r="G2922" s="8">
        <v>5</v>
      </c>
      <c r="H2922" s="11">
        <v>100</v>
      </c>
      <c r="I2922" s="12">
        <v>42722</v>
      </c>
      <c r="J2922" s="35">
        <f t="shared" si="122"/>
        <v>0</v>
      </c>
      <c r="K2922" s="36"/>
      <c r="L2922" s="36"/>
      <c r="M2922" s="36"/>
      <c r="N2922" s="36"/>
      <c r="O2922" s="36"/>
      <c r="P2922" s="36"/>
      <c r="Q2922" s="36"/>
      <c r="R2922" s="36"/>
      <c r="S2922" s="36"/>
      <c r="T2922" s="36"/>
      <c r="U2922" s="36"/>
      <c r="V2922" s="36"/>
      <c r="W2922" s="15">
        <f t="shared" si="123"/>
        <v>0</v>
      </c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15">
        <f t="shared" si="124"/>
        <v>0</v>
      </c>
      <c r="AK2922" s="14"/>
      <c r="AL2922" s="14"/>
      <c r="AM2922" s="14"/>
      <c r="AN2922" s="14"/>
      <c r="AO2922" s="14"/>
      <c r="AP2922" s="14"/>
      <c r="AQ2922" s="14"/>
      <c r="AR2922" s="14"/>
      <c r="AS2922" s="14"/>
      <c r="AT2922" s="14"/>
      <c r="AU2922" s="14"/>
      <c r="AV2922" s="14"/>
      <c r="AW2922" s="15"/>
      <c r="AX2922" s="16"/>
    </row>
    <row r="2923" spans="2:51" x14ac:dyDescent="0.2">
      <c r="B2923" s="7"/>
      <c r="C2923" s="8">
        <v>13460</v>
      </c>
      <c r="D2923" s="9" t="s">
        <v>70</v>
      </c>
      <c r="E2923" s="10" t="str">
        <f t="shared" si="125"/>
        <v>Rancho Upácuaro No. 63</v>
      </c>
      <c r="F2923" s="10" t="str">
        <f t="shared" si="126"/>
        <v>González Benavides</v>
      </c>
      <c r="G2923" s="8">
        <v>1</v>
      </c>
      <c r="H2923" s="11">
        <v>4400</v>
      </c>
      <c r="I2923" s="12">
        <v>42722</v>
      </c>
      <c r="J2923" s="35">
        <f t="shared" si="122"/>
        <v>0</v>
      </c>
      <c r="K2923" s="36"/>
      <c r="L2923" s="36"/>
      <c r="M2923" s="36"/>
      <c r="N2923" s="36"/>
      <c r="O2923" s="36"/>
      <c r="P2923" s="36"/>
      <c r="Q2923" s="36"/>
      <c r="R2923" s="36"/>
      <c r="S2923" s="36"/>
      <c r="T2923" s="36"/>
      <c r="U2923" s="36"/>
      <c r="V2923" s="36"/>
      <c r="W2923" s="15">
        <f t="shared" si="123"/>
        <v>0</v>
      </c>
      <c r="X2923" s="36">
        <v>400</v>
      </c>
      <c r="Y2923" s="36">
        <v>400</v>
      </c>
      <c r="Z2923" s="36">
        <v>400</v>
      </c>
      <c r="AA2923" s="36">
        <v>400</v>
      </c>
      <c r="AB2923" s="36">
        <v>400</v>
      </c>
      <c r="AC2923" s="36">
        <v>400</v>
      </c>
      <c r="AD2923" s="36">
        <v>400</v>
      </c>
      <c r="AE2923" s="36">
        <v>400</v>
      </c>
      <c r="AF2923" s="36">
        <v>400</v>
      </c>
      <c r="AG2923" s="36">
        <v>400</v>
      </c>
      <c r="AH2923" s="36">
        <v>400</v>
      </c>
      <c r="AI2923" s="36"/>
      <c r="AJ2923" s="15">
        <f t="shared" si="124"/>
        <v>4400</v>
      </c>
      <c r="AK2923" s="14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14"/>
      <c r="AV2923" s="14"/>
      <c r="AW2923" s="15"/>
      <c r="AX2923" s="16" t="s">
        <v>3176</v>
      </c>
    </row>
    <row r="2924" spans="2:51" x14ac:dyDescent="0.2">
      <c r="B2924" s="7"/>
      <c r="C2924" s="8">
        <v>13460</v>
      </c>
      <c r="D2924" s="9" t="s">
        <v>70</v>
      </c>
      <c r="E2924" s="10" t="str">
        <f t="shared" si="125"/>
        <v>Rancho Upácuaro No. 63</v>
      </c>
      <c r="F2924" s="10" t="str">
        <f t="shared" si="126"/>
        <v>González Benavides</v>
      </c>
      <c r="G2924" s="8">
        <v>4</v>
      </c>
      <c r="H2924" s="11">
        <v>200</v>
      </c>
      <c r="I2924" s="12">
        <v>42722</v>
      </c>
      <c r="J2924" s="35">
        <f t="shared" si="122"/>
        <v>0</v>
      </c>
      <c r="K2924" s="36"/>
      <c r="L2924" s="36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  <c r="W2924" s="15">
        <f t="shared" si="123"/>
        <v>0</v>
      </c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15">
        <f t="shared" si="124"/>
        <v>0</v>
      </c>
      <c r="AK2924" s="14"/>
      <c r="AL2924" s="14"/>
      <c r="AM2924" s="14"/>
      <c r="AN2924" s="14"/>
      <c r="AO2924" s="14"/>
      <c r="AP2924" s="14"/>
      <c r="AQ2924" s="14"/>
      <c r="AR2924" s="14"/>
      <c r="AS2924" s="14"/>
      <c r="AT2924" s="14"/>
      <c r="AU2924" s="14"/>
      <c r="AV2924" s="14"/>
      <c r="AW2924" s="15"/>
      <c r="AX2924" s="16" t="s">
        <v>3280</v>
      </c>
    </row>
    <row r="2925" spans="2:51" x14ac:dyDescent="0.2">
      <c r="B2925" s="7"/>
      <c r="C2925" s="8">
        <v>13461</v>
      </c>
      <c r="D2925" s="9" t="s">
        <v>168</v>
      </c>
      <c r="E2925" s="10" t="str">
        <f t="shared" si="125"/>
        <v>Rancho Upácuaro No. 73, A</v>
      </c>
      <c r="F2925" s="10" t="str">
        <f t="shared" si="126"/>
        <v>Ortega</v>
      </c>
      <c r="G2925" s="8">
        <v>1</v>
      </c>
      <c r="H2925" s="11">
        <v>400</v>
      </c>
      <c r="I2925" s="12">
        <v>42722</v>
      </c>
      <c r="J2925" s="35">
        <f t="shared" si="122"/>
        <v>0</v>
      </c>
      <c r="K2925" s="36"/>
      <c r="L2925" s="36"/>
      <c r="M2925" s="36"/>
      <c r="N2925" s="36"/>
      <c r="O2925" s="36"/>
      <c r="P2925" s="36"/>
      <c r="Q2925" s="36"/>
      <c r="R2925" s="36"/>
      <c r="S2925" s="36"/>
      <c r="T2925" s="36">
        <v>200</v>
      </c>
      <c r="U2925" s="36">
        <v>200</v>
      </c>
      <c r="V2925" s="36"/>
      <c r="W2925" s="15">
        <f t="shared" si="123"/>
        <v>400</v>
      </c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15">
        <f t="shared" si="124"/>
        <v>0</v>
      </c>
      <c r="AK2925" s="14"/>
      <c r="AL2925" s="14"/>
      <c r="AM2925" s="14"/>
      <c r="AN2925" s="14"/>
      <c r="AO2925" s="14"/>
      <c r="AP2925" s="14"/>
      <c r="AQ2925" s="14"/>
      <c r="AR2925" s="14"/>
      <c r="AS2925" s="14"/>
      <c r="AT2925" s="14"/>
      <c r="AU2925" s="14"/>
      <c r="AV2925" s="14"/>
      <c r="AW2925" s="15"/>
      <c r="AX2925" s="16"/>
    </row>
    <row r="2926" spans="2:51" x14ac:dyDescent="0.2">
      <c r="B2926" s="7"/>
      <c r="C2926" s="8">
        <v>13462</v>
      </c>
      <c r="D2926" s="9" t="s">
        <v>174</v>
      </c>
      <c r="E2926" s="10" t="str">
        <f t="shared" si="125"/>
        <v>Rancho Upácuaro No. 18</v>
      </c>
      <c r="F2926" s="10" t="str">
        <f t="shared" si="126"/>
        <v>Guzmán</v>
      </c>
      <c r="G2926" s="8">
        <v>1</v>
      </c>
      <c r="H2926" s="11">
        <v>300</v>
      </c>
      <c r="I2926" s="12">
        <v>42722</v>
      </c>
      <c r="J2926" s="35">
        <f t="shared" si="122"/>
        <v>0</v>
      </c>
      <c r="K2926" s="36"/>
      <c r="L2926" s="36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>
        <v>300</v>
      </c>
      <c r="W2926" s="15">
        <f t="shared" si="123"/>
        <v>300</v>
      </c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15">
        <f t="shared" si="124"/>
        <v>0</v>
      </c>
      <c r="AK2926" s="14"/>
      <c r="AL2926" s="14"/>
      <c r="AM2926" s="14"/>
      <c r="AN2926" s="14"/>
      <c r="AO2926" s="14"/>
      <c r="AP2926" s="14"/>
      <c r="AQ2926" s="14"/>
      <c r="AR2926" s="14"/>
      <c r="AS2926" s="14"/>
      <c r="AT2926" s="14"/>
      <c r="AU2926" s="14"/>
      <c r="AV2926" s="14"/>
      <c r="AW2926" s="15"/>
      <c r="AX2926" s="16"/>
    </row>
    <row r="2927" spans="2:51" x14ac:dyDescent="0.2">
      <c r="B2927" s="7"/>
      <c r="C2927" s="8">
        <v>13462</v>
      </c>
      <c r="D2927" s="9" t="s">
        <v>174</v>
      </c>
      <c r="E2927" s="10" t="str">
        <f t="shared" si="125"/>
        <v>Rancho Upácuaro No. 18</v>
      </c>
      <c r="F2927" s="10" t="str">
        <f t="shared" si="126"/>
        <v>Guzmán</v>
      </c>
      <c r="G2927" s="8">
        <v>3</v>
      </c>
      <c r="H2927" s="11">
        <v>200</v>
      </c>
      <c r="I2927" s="12">
        <v>42722</v>
      </c>
      <c r="J2927" s="35">
        <f t="shared" si="122"/>
        <v>0</v>
      </c>
      <c r="K2927" s="36"/>
      <c r="L2927" s="36"/>
      <c r="M2927" s="36"/>
      <c r="N2927" s="36"/>
      <c r="O2927" s="36"/>
      <c r="P2927" s="36"/>
      <c r="Q2927" s="36"/>
      <c r="R2927" s="36"/>
      <c r="S2927" s="36"/>
      <c r="T2927" s="36"/>
      <c r="U2927" s="36"/>
      <c r="V2927" s="36"/>
      <c r="W2927" s="15">
        <f t="shared" si="123"/>
        <v>0</v>
      </c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15">
        <f t="shared" si="124"/>
        <v>0</v>
      </c>
      <c r="AK2927" s="14"/>
      <c r="AL2927" s="14"/>
      <c r="AM2927" s="14"/>
      <c r="AN2927" s="14"/>
      <c r="AO2927" s="14"/>
      <c r="AP2927" s="14"/>
      <c r="AQ2927" s="14"/>
      <c r="AR2927" s="14"/>
      <c r="AS2927" s="14"/>
      <c r="AT2927" s="14"/>
      <c r="AU2927" s="14"/>
      <c r="AV2927" s="14"/>
      <c r="AW2927" s="15"/>
      <c r="AX2927" s="16"/>
    </row>
    <row r="2928" spans="2:51" x14ac:dyDescent="0.2">
      <c r="B2928" s="7"/>
      <c r="C2928" s="8">
        <v>13463</v>
      </c>
      <c r="D2928" s="9" t="s">
        <v>620</v>
      </c>
      <c r="E2928" s="10" t="str">
        <f t="shared" si="125"/>
        <v>Rancho La Cuchilla No. 32</v>
      </c>
      <c r="F2928" s="10" t="str">
        <f t="shared" si="126"/>
        <v>Hernández</v>
      </c>
      <c r="G2928" s="8">
        <v>1</v>
      </c>
      <c r="H2928" s="11">
        <v>400</v>
      </c>
      <c r="I2928" s="12">
        <v>42722</v>
      </c>
      <c r="J2928" s="35">
        <f t="shared" si="122"/>
        <v>0</v>
      </c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>
        <v>400</v>
      </c>
      <c r="V2928" s="36"/>
      <c r="W2928" s="15">
        <f t="shared" si="123"/>
        <v>400</v>
      </c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15">
        <f t="shared" si="124"/>
        <v>0</v>
      </c>
      <c r="AK2928" s="14"/>
      <c r="AL2928" s="14"/>
      <c r="AM2928" s="14"/>
      <c r="AN2928" s="14"/>
      <c r="AO2928" s="14"/>
      <c r="AP2928" s="14"/>
      <c r="AQ2928" s="14"/>
      <c r="AR2928" s="14"/>
      <c r="AS2928" s="14"/>
      <c r="AT2928" s="14"/>
      <c r="AU2928" s="14"/>
      <c r="AV2928" s="14"/>
      <c r="AW2928" s="15"/>
      <c r="AX2928" s="16"/>
    </row>
    <row r="2929" spans="2:51" x14ac:dyDescent="0.2">
      <c r="B2929" s="7"/>
      <c r="C2929" s="8">
        <v>13464</v>
      </c>
      <c r="D2929" s="9" t="s">
        <v>620</v>
      </c>
      <c r="E2929" s="10" t="str">
        <f t="shared" si="125"/>
        <v>Rancho La Cuchilla No. 32</v>
      </c>
      <c r="F2929" s="10" t="str">
        <f t="shared" si="126"/>
        <v>Hernández</v>
      </c>
      <c r="G2929" s="8">
        <v>1</v>
      </c>
      <c r="H2929" s="11">
        <v>400</v>
      </c>
      <c r="I2929" s="12">
        <v>42722</v>
      </c>
      <c r="J2929" s="35">
        <f t="shared" si="122"/>
        <v>0</v>
      </c>
      <c r="K2929" s="36"/>
      <c r="L2929" s="36"/>
      <c r="M2929" s="36"/>
      <c r="N2929" s="36"/>
      <c r="O2929" s="36"/>
      <c r="P2929" s="36"/>
      <c r="Q2929" s="36"/>
      <c r="R2929" s="36"/>
      <c r="S2929" s="36"/>
      <c r="T2929" s="36"/>
      <c r="U2929" s="36"/>
      <c r="V2929" s="36">
        <v>400</v>
      </c>
      <c r="W2929" s="15">
        <f t="shared" si="123"/>
        <v>400</v>
      </c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15">
        <f t="shared" si="124"/>
        <v>0</v>
      </c>
      <c r="AK2929" s="14"/>
      <c r="AL2929" s="14"/>
      <c r="AM2929" s="14"/>
      <c r="AN2929" s="14"/>
      <c r="AO2929" s="14"/>
      <c r="AP2929" s="14"/>
      <c r="AQ2929" s="14"/>
      <c r="AR2929" s="14"/>
      <c r="AS2929" s="14"/>
      <c r="AT2929" s="14"/>
      <c r="AU2929" s="14"/>
      <c r="AV2929" s="14"/>
      <c r="AW2929" s="15"/>
      <c r="AX2929" s="16"/>
    </row>
    <row r="2930" spans="2:51" x14ac:dyDescent="0.2">
      <c r="B2930" s="7"/>
      <c r="C2930" s="8">
        <v>13465</v>
      </c>
      <c r="D2930" s="9" t="s">
        <v>65</v>
      </c>
      <c r="E2930" s="10" t="str">
        <f t="shared" si="125"/>
        <v>Rancho La Cuchilla No. 141</v>
      </c>
      <c r="F2930" s="10" t="str">
        <f t="shared" si="126"/>
        <v>Salazar Torres</v>
      </c>
      <c r="G2930" s="8">
        <v>1</v>
      </c>
      <c r="H2930" s="11">
        <v>4400</v>
      </c>
      <c r="I2930" s="12">
        <v>42722</v>
      </c>
      <c r="J2930" s="35">
        <f t="shared" si="122"/>
        <v>0</v>
      </c>
      <c r="K2930" s="36"/>
      <c r="L2930" s="36"/>
      <c r="M2930" s="36"/>
      <c r="N2930" s="36"/>
      <c r="O2930" s="36"/>
      <c r="P2930" s="36"/>
      <c r="Q2930" s="36"/>
      <c r="R2930" s="36"/>
      <c r="S2930" s="36"/>
      <c r="T2930" s="36"/>
      <c r="U2930" s="36"/>
      <c r="V2930" s="36"/>
      <c r="W2930" s="15">
        <f t="shared" si="123"/>
        <v>0</v>
      </c>
      <c r="X2930" s="36">
        <v>400</v>
      </c>
      <c r="Y2930" s="36">
        <v>400</v>
      </c>
      <c r="Z2930" s="36">
        <v>400</v>
      </c>
      <c r="AA2930" s="36">
        <v>400</v>
      </c>
      <c r="AB2930" s="36">
        <v>400</v>
      </c>
      <c r="AC2930" s="36">
        <v>400</v>
      </c>
      <c r="AD2930" s="36">
        <v>400</v>
      </c>
      <c r="AE2930" s="36">
        <v>400</v>
      </c>
      <c r="AF2930" s="36">
        <v>400</v>
      </c>
      <c r="AG2930" s="36">
        <v>400</v>
      </c>
      <c r="AH2930" s="36">
        <v>400</v>
      </c>
      <c r="AI2930" s="36"/>
      <c r="AJ2930" s="15">
        <f t="shared" si="124"/>
        <v>4400</v>
      </c>
      <c r="AK2930" s="14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14"/>
      <c r="AV2930" s="14"/>
      <c r="AW2930" s="15"/>
      <c r="AX2930" s="16" t="s">
        <v>3176</v>
      </c>
    </row>
    <row r="2931" spans="2:51" x14ac:dyDescent="0.2">
      <c r="B2931" s="7"/>
      <c r="C2931" s="8">
        <v>13466</v>
      </c>
      <c r="D2931" s="9" t="s">
        <v>349</v>
      </c>
      <c r="E2931" s="10" t="str">
        <f t="shared" si="125"/>
        <v>Rancho La Cuchilla No. 15</v>
      </c>
      <c r="F2931" s="10" t="str">
        <f t="shared" si="126"/>
        <v>Guerrero Ponce</v>
      </c>
      <c r="G2931" s="8">
        <v>1</v>
      </c>
      <c r="H2931" s="11">
        <v>600</v>
      </c>
      <c r="I2931" s="12">
        <v>42722</v>
      </c>
      <c r="J2931" s="35">
        <f t="shared" si="122"/>
        <v>0</v>
      </c>
      <c r="K2931" s="36"/>
      <c r="L2931" s="36"/>
      <c r="M2931" s="36"/>
      <c r="N2931" s="36"/>
      <c r="O2931" s="36"/>
      <c r="P2931" s="36"/>
      <c r="Q2931" s="36"/>
      <c r="R2931" s="36"/>
      <c r="S2931" s="36"/>
      <c r="T2931" s="36"/>
      <c r="U2931" s="36">
        <v>300</v>
      </c>
      <c r="V2931" s="36">
        <v>300</v>
      </c>
      <c r="W2931" s="15">
        <f t="shared" si="123"/>
        <v>600</v>
      </c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15">
        <f t="shared" si="124"/>
        <v>0</v>
      </c>
      <c r="AK2931" s="14"/>
      <c r="AL2931" s="14"/>
      <c r="AM2931" s="14"/>
      <c r="AN2931" s="14"/>
      <c r="AO2931" s="14"/>
      <c r="AP2931" s="14"/>
      <c r="AQ2931" s="14"/>
      <c r="AR2931" s="14"/>
      <c r="AS2931" s="14"/>
      <c r="AT2931" s="14"/>
      <c r="AU2931" s="14"/>
      <c r="AV2931" s="14"/>
      <c r="AW2931" s="15"/>
      <c r="AX2931" s="16"/>
    </row>
    <row r="2932" spans="2:51" x14ac:dyDescent="0.2">
      <c r="B2932" s="7"/>
      <c r="C2932" s="8">
        <v>13467</v>
      </c>
      <c r="D2932" s="9" t="s">
        <v>672</v>
      </c>
      <c r="E2932" s="10" t="str">
        <f t="shared" si="125"/>
        <v>Rancho Estanzuela No. 11, B</v>
      </c>
      <c r="F2932" s="10" t="str">
        <f t="shared" si="126"/>
        <v>Gómez Miguel</v>
      </c>
      <c r="G2932" s="8">
        <v>1</v>
      </c>
      <c r="H2932" s="11">
        <v>400</v>
      </c>
      <c r="I2932" s="12">
        <v>42722</v>
      </c>
      <c r="J2932" s="35">
        <f t="shared" si="122"/>
        <v>0</v>
      </c>
      <c r="K2932" s="36"/>
      <c r="L2932" s="36"/>
      <c r="M2932" s="36"/>
      <c r="N2932" s="36"/>
      <c r="O2932" s="36"/>
      <c r="P2932" s="36"/>
      <c r="Q2932" s="36"/>
      <c r="R2932" s="36"/>
      <c r="S2932" s="36"/>
      <c r="T2932" s="36"/>
      <c r="U2932" s="36">
        <v>200</v>
      </c>
      <c r="V2932" s="36">
        <v>200</v>
      </c>
      <c r="W2932" s="15">
        <f t="shared" si="123"/>
        <v>400</v>
      </c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15">
        <f t="shared" si="124"/>
        <v>0</v>
      </c>
      <c r="AK2932" s="14"/>
      <c r="AL2932" s="14"/>
      <c r="AM2932" s="14"/>
      <c r="AN2932" s="14"/>
      <c r="AO2932" s="14"/>
      <c r="AP2932" s="14"/>
      <c r="AQ2932" s="14"/>
      <c r="AR2932" s="14"/>
      <c r="AS2932" s="14"/>
      <c r="AT2932" s="14"/>
      <c r="AU2932" s="14"/>
      <c r="AV2932" s="14"/>
      <c r="AW2932" s="15"/>
      <c r="AX2932" s="16"/>
    </row>
    <row r="2933" spans="2:51" x14ac:dyDescent="0.2">
      <c r="B2933" s="7"/>
      <c r="C2933" s="8">
        <v>13468</v>
      </c>
      <c r="D2933" s="9" t="s">
        <v>331</v>
      </c>
      <c r="E2933" s="10" t="str">
        <f t="shared" si="125"/>
        <v>Rancho Recoveco No. 197</v>
      </c>
      <c r="F2933" s="10" t="str">
        <f t="shared" si="126"/>
        <v>Colín González</v>
      </c>
      <c r="G2933" s="8">
        <v>3</v>
      </c>
      <c r="H2933" s="11">
        <v>200</v>
      </c>
      <c r="I2933" s="12">
        <v>42722</v>
      </c>
      <c r="J2933" s="35">
        <f t="shared" si="122"/>
        <v>0</v>
      </c>
      <c r="K2933" s="36"/>
      <c r="L2933" s="36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  <c r="W2933" s="15">
        <f t="shared" si="123"/>
        <v>0</v>
      </c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15">
        <f t="shared" si="124"/>
        <v>0</v>
      </c>
      <c r="AK2933" s="14"/>
      <c r="AL2933" s="14"/>
      <c r="AM2933" s="14"/>
      <c r="AN2933" s="14"/>
      <c r="AO2933" s="14"/>
      <c r="AP2933" s="14"/>
      <c r="AQ2933" s="14"/>
      <c r="AR2933" s="14"/>
      <c r="AS2933" s="14"/>
      <c r="AT2933" s="14"/>
      <c r="AU2933" s="14"/>
      <c r="AV2933" s="14"/>
      <c r="AW2933" s="15"/>
      <c r="AX2933" s="16"/>
    </row>
    <row r="2934" spans="2:51" x14ac:dyDescent="0.2">
      <c r="B2934" s="7"/>
      <c r="C2934" s="8">
        <v>13469</v>
      </c>
      <c r="D2934" s="9" t="s">
        <v>1137</v>
      </c>
      <c r="E2934" s="10" t="str">
        <f t="shared" si="125"/>
        <v>Rancho La Cuchilla No. 7, 101</v>
      </c>
      <c r="F2934" s="10" t="str">
        <f t="shared" si="126"/>
        <v>Olivares</v>
      </c>
      <c r="G2934" s="8">
        <v>1</v>
      </c>
      <c r="H2934" s="11">
        <v>300</v>
      </c>
      <c r="I2934" s="12">
        <v>42722</v>
      </c>
      <c r="J2934" s="35">
        <f t="shared" si="122"/>
        <v>0</v>
      </c>
      <c r="K2934" s="36"/>
      <c r="L2934" s="36"/>
      <c r="M2934" s="36"/>
      <c r="N2934" s="36"/>
      <c r="O2934" s="36"/>
      <c r="P2934" s="36"/>
      <c r="Q2934" s="36"/>
      <c r="R2934" s="36"/>
      <c r="S2934" s="36"/>
      <c r="T2934" s="36">
        <v>100</v>
      </c>
      <c r="U2934" s="36">
        <v>100</v>
      </c>
      <c r="V2934" s="36">
        <v>100</v>
      </c>
      <c r="W2934" s="15">
        <f t="shared" si="123"/>
        <v>300</v>
      </c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15">
        <f t="shared" si="124"/>
        <v>0</v>
      </c>
      <c r="AK2934" s="14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14"/>
      <c r="AV2934" s="14"/>
      <c r="AW2934" s="15"/>
      <c r="AX2934" s="16"/>
    </row>
    <row r="2935" spans="2:51" x14ac:dyDescent="0.2">
      <c r="B2935" s="7" t="s">
        <v>3281</v>
      </c>
      <c r="C2935" s="342">
        <v>13501</v>
      </c>
      <c r="D2935" s="9" t="s">
        <v>398</v>
      </c>
      <c r="E2935" s="10" t="str">
        <f t="shared" si="125"/>
        <v>Rancho Estanzuela No. 151</v>
      </c>
      <c r="F2935" s="10" t="str">
        <f t="shared" si="126"/>
        <v>Pérez Salazar</v>
      </c>
      <c r="G2935" s="8">
        <v>1</v>
      </c>
      <c r="H2935" s="11">
        <v>400</v>
      </c>
      <c r="I2935" s="12">
        <v>42722</v>
      </c>
      <c r="J2935" s="35">
        <f t="shared" si="122"/>
        <v>0</v>
      </c>
      <c r="K2935" s="36"/>
      <c r="L2935" s="36"/>
      <c r="M2935" s="36"/>
      <c r="N2935" s="36"/>
      <c r="O2935" s="36"/>
      <c r="P2935" s="36"/>
      <c r="Q2935" s="36"/>
      <c r="R2935" s="36"/>
      <c r="S2935" s="36"/>
      <c r="T2935" s="36"/>
      <c r="U2935" s="36"/>
      <c r="V2935" s="36">
        <v>400</v>
      </c>
      <c r="W2935" s="15">
        <f t="shared" si="123"/>
        <v>400</v>
      </c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15">
        <f t="shared" si="124"/>
        <v>0</v>
      </c>
      <c r="AK2935" s="14"/>
      <c r="AL2935" s="14"/>
      <c r="AM2935" s="14"/>
      <c r="AN2935" s="14"/>
      <c r="AO2935" s="14"/>
      <c r="AP2935" s="14"/>
      <c r="AQ2935" s="14"/>
      <c r="AR2935" s="14"/>
      <c r="AS2935" s="14"/>
      <c r="AT2935" s="14"/>
      <c r="AU2935" s="14"/>
      <c r="AV2935" s="14"/>
      <c r="AW2935" s="15"/>
      <c r="AX2935" s="16"/>
    </row>
    <row r="2936" spans="2:51" x14ac:dyDescent="0.2">
      <c r="B2936" s="7"/>
      <c r="C2936" s="342">
        <v>13502</v>
      </c>
      <c r="D2936" s="9" t="s">
        <v>54</v>
      </c>
      <c r="E2936" s="10" t="str">
        <f t="shared" si="125"/>
        <v>Rancho La Cuchilla No. 80</v>
      </c>
      <c r="F2936" s="10" t="str">
        <f t="shared" si="126"/>
        <v>Aparicio</v>
      </c>
      <c r="G2936" s="8">
        <v>1</v>
      </c>
      <c r="H2936" s="11">
        <v>4400</v>
      </c>
      <c r="I2936" s="12">
        <v>42722</v>
      </c>
      <c r="J2936" s="35">
        <f t="shared" si="122"/>
        <v>0</v>
      </c>
      <c r="K2936" s="36"/>
      <c r="L2936" s="36"/>
      <c r="M2936" s="36"/>
      <c r="N2936" s="36"/>
      <c r="O2936" s="36"/>
      <c r="P2936" s="36"/>
      <c r="Q2936" s="36"/>
      <c r="R2936" s="36"/>
      <c r="S2936" s="36"/>
      <c r="T2936" s="36"/>
      <c r="U2936" s="36"/>
      <c r="V2936" s="36"/>
      <c r="W2936" s="15">
        <f t="shared" si="123"/>
        <v>0</v>
      </c>
      <c r="X2936" s="36">
        <v>400</v>
      </c>
      <c r="Y2936" s="36">
        <v>400</v>
      </c>
      <c r="Z2936" s="36">
        <v>400</v>
      </c>
      <c r="AA2936" s="36">
        <v>400</v>
      </c>
      <c r="AB2936" s="36">
        <v>400</v>
      </c>
      <c r="AC2936" s="36">
        <v>400</v>
      </c>
      <c r="AD2936" s="36">
        <v>400</v>
      </c>
      <c r="AE2936" s="36">
        <v>400</v>
      </c>
      <c r="AF2936" s="36">
        <v>400</v>
      </c>
      <c r="AG2936" s="36">
        <v>400</v>
      </c>
      <c r="AH2936" s="36">
        <v>400</v>
      </c>
      <c r="AI2936" s="36"/>
      <c r="AJ2936" s="15">
        <f t="shared" si="124"/>
        <v>4400</v>
      </c>
      <c r="AK2936" s="14"/>
      <c r="AL2936" s="14"/>
      <c r="AM2936" s="14"/>
      <c r="AN2936" s="14"/>
      <c r="AO2936" s="14"/>
      <c r="AP2936" s="14"/>
      <c r="AQ2936" s="14"/>
      <c r="AR2936" s="14"/>
      <c r="AS2936" s="14"/>
      <c r="AT2936" s="14"/>
      <c r="AU2936" s="14"/>
      <c r="AV2936" s="14"/>
      <c r="AW2936" s="15"/>
      <c r="AX2936" s="16" t="s">
        <v>3176</v>
      </c>
      <c r="AY2936" t="s">
        <v>3283</v>
      </c>
    </row>
    <row r="2937" spans="2:51" x14ac:dyDescent="0.2">
      <c r="B2937" s="7"/>
      <c r="C2937" s="342">
        <v>13503</v>
      </c>
      <c r="D2937" s="9" t="s">
        <v>874</v>
      </c>
      <c r="E2937" s="10" t="str">
        <f t="shared" si="125"/>
        <v>Rancho Zinamba No. 46</v>
      </c>
      <c r="F2937" s="10" t="str">
        <f t="shared" si="126"/>
        <v>Olguín</v>
      </c>
      <c r="G2937" s="8">
        <v>1</v>
      </c>
      <c r="H2937" s="11">
        <v>200</v>
      </c>
      <c r="I2937" s="12">
        <v>42722</v>
      </c>
      <c r="J2937" s="35">
        <f t="shared" si="122"/>
        <v>0</v>
      </c>
      <c r="K2937" s="36"/>
      <c r="L2937" s="36"/>
      <c r="M2937" s="36"/>
      <c r="N2937" s="36"/>
      <c r="O2937" s="36"/>
      <c r="P2937" s="36"/>
      <c r="Q2937" s="36"/>
      <c r="R2937" s="36"/>
      <c r="S2937" s="36"/>
      <c r="T2937" s="36"/>
      <c r="U2937" s="36"/>
      <c r="V2937" s="36">
        <v>200</v>
      </c>
      <c r="W2937" s="15">
        <f t="shared" si="123"/>
        <v>200</v>
      </c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15">
        <f t="shared" si="124"/>
        <v>0</v>
      </c>
      <c r="AK2937" s="14"/>
      <c r="AL2937" s="14"/>
      <c r="AM2937" s="14"/>
      <c r="AN2937" s="14"/>
      <c r="AO2937" s="14"/>
      <c r="AP2937" s="14"/>
      <c r="AQ2937" s="14"/>
      <c r="AR2937" s="14"/>
      <c r="AS2937" s="14"/>
      <c r="AT2937" s="14"/>
      <c r="AU2937" s="14"/>
      <c r="AV2937" s="14"/>
      <c r="AW2937" s="15"/>
      <c r="AX2937" s="16"/>
    </row>
    <row r="2938" spans="2:51" x14ac:dyDescent="0.2">
      <c r="B2938" s="7"/>
      <c r="C2938" s="342">
        <v>13504</v>
      </c>
      <c r="D2938" s="9" t="s">
        <v>422</v>
      </c>
      <c r="E2938" s="10" t="str">
        <f t="shared" si="125"/>
        <v>Rancho Recoveco No. 183</v>
      </c>
      <c r="F2938" s="10" t="str">
        <f t="shared" si="126"/>
        <v>Atilano Limón</v>
      </c>
      <c r="G2938" s="8">
        <v>5</v>
      </c>
      <c r="H2938" s="11">
        <v>50</v>
      </c>
      <c r="I2938" s="12">
        <v>42722</v>
      </c>
      <c r="J2938" s="35">
        <f t="shared" si="122"/>
        <v>0</v>
      </c>
      <c r="K2938" s="36"/>
      <c r="L2938" s="36"/>
      <c r="M2938" s="36"/>
      <c r="N2938" s="36"/>
      <c r="O2938" s="36"/>
      <c r="P2938" s="36"/>
      <c r="Q2938" s="36"/>
      <c r="R2938" s="36"/>
      <c r="S2938" s="36"/>
      <c r="T2938" s="36"/>
      <c r="U2938" s="36"/>
      <c r="V2938" s="36"/>
      <c r="W2938" s="15">
        <f t="shared" si="123"/>
        <v>0</v>
      </c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15">
        <f t="shared" si="124"/>
        <v>0</v>
      </c>
      <c r="AK2938" s="14"/>
      <c r="AL2938" s="14"/>
      <c r="AM2938" s="14"/>
      <c r="AN2938" s="14"/>
      <c r="AO2938" s="14"/>
      <c r="AP2938" s="14"/>
      <c r="AQ2938" s="14"/>
      <c r="AR2938" s="14"/>
      <c r="AS2938" s="14"/>
      <c r="AT2938" s="14"/>
      <c r="AU2938" s="14"/>
      <c r="AV2938" s="14"/>
      <c r="AW2938" s="15"/>
      <c r="AX2938" s="16"/>
    </row>
    <row r="2939" spans="2:51" x14ac:dyDescent="0.2">
      <c r="B2939" s="7"/>
      <c r="C2939" s="342">
        <v>13505</v>
      </c>
      <c r="D2939" s="9" t="s">
        <v>256</v>
      </c>
      <c r="E2939" s="10" t="str">
        <f t="shared" si="125"/>
        <v>Rancho Recoveco No. 179</v>
      </c>
      <c r="F2939" s="10" t="str">
        <f t="shared" si="126"/>
        <v>Flores Delgado</v>
      </c>
      <c r="G2939" s="8">
        <v>1</v>
      </c>
      <c r="H2939" s="11">
        <v>300</v>
      </c>
      <c r="I2939" s="12">
        <v>42722</v>
      </c>
      <c r="J2939" s="35">
        <f t="shared" si="122"/>
        <v>0</v>
      </c>
      <c r="K2939" s="36"/>
      <c r="L2939" s="36"/>
      <c r="M2939" s="36"/>
      <c r="N2939" s="36"/>
      <c r="O2939" s="36"/>
      <c r="P2939" s="36"/>
      <c r="Q2939" s="36"/>
      <c r="R2939" s="36"/>
      <c r="S2939" s="36"/>
      <c r="T2939" s="36"/>
      <c r="U2939" s="36"/>
      <c r="V2939" s="36">
        <v>300</v>
      </c>
      <c r="W2939" s="15">
        <f t="shared" si="123"/>
        <v>300</v>
      </c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15">
        <f t="shared" si="124"/>
        <v>0</v>
      </c>
      <c r="AK2939" s="14"/>
      <c r="AL2939" s="14"/>
      <c r="AM2939" s="14"/>
      <c r="AN2939" s="14"/>
      <c r="AO2939" s="14"/>
      <c r="AP2939" s="14"/>
      <c r="AQ2939" s="14"/>
      <c r="AR2939" s="14"/>
      <c r="AS2939" s="14"/>
      <c r="AT2939" s="14"/>
      <c r="AU2939" s="14"/>
      <c r="AV2939" s="14"/>
      <c r="AW2939" s="15"/>
      <c r="AX2939" s="16"/>
    </row>
    <row r="2940" spans="2:51" x14ac:dyDescent="0.2">
      <c r="B2940" s="7"/>
      <c r="C2940" s="342">
        <v>13506</v>
      </c>
      <c r="D2940" s="9" t="s">
        <v>301</v>
      </c>
      <c r="E2940" s="10" t="str">
        <f t="shared" si="125"/>
        <v>Rancho Upácuaro No. 51, 2</v>
      </c>
      <c r="F2940" s="10" t="str">
        <f t="shared" si="126"/>
        <v>Santoyo</v>
      </c>
      <c r="G2940" s="8">
        <v>1</v>
      </c>
      <c r="H2940" s="11">
        <v>200</v>
      </c>
      <c r="I2940" s="12">
        <v>42722</v>
      </c>
      <c r="J2940" s="35">
        <f t="shared" si="122"/>
        <v>0</v>
      </c>
      <c r="K2940" s="36"/>
      <c r="L2940" s="36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>
        <v>200</v>
      </c>
      <c r="W2940" s="15">
        <f t="shared" si="123"/>
        <v>200</v>
      </c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15">
        <f t="shared" si="124"/>
        <v>0</v>
      </c>
      <c r="AK2940" s="14"/>
      <c r="AL2940" s="14"/>
      <c r="AM2940" s="14"/>
      <c r="AN2940" s="14"/>
      <c r="AO2940" s="14"/>
      <c r="AP2940" s="14"/>
      <c r="AQ2940" s="14"/>
      <c r="AR2940" s="14"/>
      <c r="AS2940" s="14"/>
      <c r="AT2940" s="14"/>
      <c r="AU2940" s="14"/>
      <c r="AV2940" s="14"/>
      <c r="AW2940" s="15"/>
      <c r="AX2940" s="316">
        <f>SUM(H2895:H2940)</f>
        <v>38250</v>
      </c>
    </row>
    <row r="2941" spans="2:51" x14ac:dyDescent="0.2">
      <c r="B2941" s="7"/>
      <c r="C2941" s="8">
        <v>13470</v>
      </c>
      <c r="D2941" s="343" t="s">
        <v>90</v>
      </c>
      <c r="E2941" s="10" t="str">
        <f t="shared" si="125"/>
        <v>Rancho Estanzuela No. 69</v>
      </c>
      <c r="F2941" s="10" t="str">
        <f t="shared" si="126"/>
        <v>Apaez</v>
      </c>
      <c r="G2941" s="8">
        <v>4</v>
      </c>
      <c r="H2941" s="315">
        <v>200</v>
      </c>
      <c r="I2941" s="12">
        <v>42723</v>
      </c>
      <c r="J2941" s="35">
        <f t="shared" si="122"/>
        <v>0</v>
      </c>
      <c r="K2941" s="36"/>
      <c r="L2941" s="36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  <c r="W2941" s="15">
        <f t="shared" si="123"/>
        <v>0</v>
      </c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15">
        <f t="shared" si="124"/>
        <v>0</v>
      </c>
      <c r="AK2941" s="14"/>
      <c r="AL2941" s="14"/>
      <c r="AM2941" s="14"/>
      <c r="AN2941" s="14"/>
      <c r="AO2941" s="14"/>
      <c r="AP2941" s="14"/>
      <c r="AQ2941" s="14"/>
      <c r="AR2941" s="14"/>
      <c r="AS2941" s="14"/>
      <c r="AT2941" s="14"/>
      <c r="AU2941" s="14"/>
      <c r="AV2941" s="14"/>
      <c r="AW2941" s="15"/>
      <c r="AX2941" s="16" t="s">
        <v>3308</v>
      </c>
    </row>
    <row r="2942" spans="2:51" x14ac:dyDescent="0.2">
      <c r="B2942" s="7" t="s">
        <v>3309</v>
      </c>
      <c r="C2942" s="8">
        <v>13471</v>
      </c>
      <c r="D2942" s="9" t="s">
        <v>571</v>
      </c>
      <c r="E2942" s="10" t="str">
        <f t="shared" ref="E2942:E2950" si="127">IF(D2942=0,"",VLOOKUP(D2942,BASE,2,FALSE))</f>
        <v>Rancho Estanzuela No. 15, A</v>
      </c>
      <c r="F2942" s="10" t="str">
        <f t="shared" ref="F2942:F2950" si="128">IF(D2942=0,"",VLOOKUP(D2942,BASE,3,FALSE))</f>
        <v>González</v>
      </c>
      <c r="G2942" s="8">
        <v>1</v>
      </c>
      <c r="H2942" s="11">
        <v>200</v>
      </c>
      <c r="I2942" s="12">
        <v>42726</v>
      </c>
      <c r="J2942" s="35">
        <f t="shared" ref="J2942:J2950" si="129">IF(G2942=1,SUM(W2942,AJ2942,-H2942),0)</f>
        <v>0</v>
      </c>
      <c r="K2942" s="36"/>
      <c r="L2942" s="36"/>
      <c r="M2942" s="36"/>
      <c r="N2942" s="36"/>
      <c r="O2942" s="36"/>
      <c r="P2942" s="36"/>
      <c r="Q2942" s="36"/>
      <c r="R2942" s="36"/>
      <c r="S2942" s="36"/>
      <c r="T2942" s="36"/>
      <c r="U2942" s="36">
        <v>200</v>
      </c>
      <c r="V2942" s="36"/>
      <c r="W2942" s="15">
        <f t="shared" ref="W2942:W2950" si="130">SUM(K2942:V2942)</f>
        <v>200</v>
      </c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15">
        <f t="shared" ref="AJ2942:AJ2950" si="131">SUM(X2942:AI2942)</f>
        <v>0</v>
      </c>
      <c r="AK2942" s="14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14"/>
      <c r="AV2942" s="14"/>
      <c r="AW2942" s="15"/>
      <c r="AX2942" s="16"/>
    </row>
    <row r="2943" spans="2:51" x14ac:dyDescent="0.2">
      <c r="B2943" s="7" t="s">
        <v>3309</v>
      </c>
      <c r="C2943" s="8">
        <v>13472</v>
      </c>
      <c r="D2943" s="9" t="s">
        <v>208</v>
      </c>
      <c r="E2943" s="10" t="str">
        <f t="shared" si="127"/>
        <v>Rancho La Cuchilla No. 29</v>
      </c>
      <c r="F2943" s="10" t="str">
        <f t="shared" si="128"/>
        <v>Vega Sánchez C.</v>
      </c>
      <c r="G2943" s="8">
        <v>1</v>
      </c>
      <c r="H2943" s="11">
        <v>1200</v>
      </c>
      <c r="I2943" s="12">
        <v>42726</v>
      </c>
      <c r="J2943" s="35">
        <f t="shared" si="129"/>
        <v>0</v>
      </c>
      <c r="K2943" s="36"/>
      <c r="L2943" s="36"/>
      <c r="M2943" s="36"/>
      <c r="N2943" s="36">
        <v>400</v>
      </c>
      <c r="O2943" s="36">
        <v>400</v>
      </c>
      <c r="P2943" s="36">
        <v>400</v>
      </c>
      <c r="Q2943" s="36"/>
      <c r="R2943" s="36"/>
      <c r="S2943" s="36"/>
      <c r="T2943" s="36"/>
      <c r="U2943" s="36"/>
      <c r="V2943" s="36"/>
      <c r="W2943" s="15">
        <f t="shared" si="130"/>
        <v>1200</v>
      </c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15">
        <f t="shared" si="131"/>
        <v>0</v>
      </c>
      <c r="AK2943" s="14"/>
      <c r="AL2943" s="14"/>
      <c r="AM2943" s="14"/>
      <c r="AN2943" s="14"/>
      <c r="AO2943" s="14"/>
      <c r="AP2943" s="14"/>
      <c r="AQ2943" s="14"/>
      <c r="AR2943" s="14"/>
      <c r="AS2943" s="14"/>
      <c r="AT2943" s="14"/>
      <c r="AU2943" s="14"/>
      <c r="AV2943" s="14"/>
      <c r="AW2943" s="15"/>
      <c r="AX2943" s="16"/>
    </row>
    <row r="2944" spans="2:51" x14ac:dyDescent="0.2">
      <c r="B2944" s="7" t="s">
        <v>3309</v>
      </c>
      <c r="C2944" s="8">
        <v>13473</v>
      </c>
      <c r="D2944" s="9" t="s">
        <v>211</v>
      </c>
      <c r="E2944" s="10" t="str">
        <f t="shared" si="127"/>
        <v>Rancho Upácuaro No. 46</v>
      </c>
      <c r="F2944" s="10" t="str">
        <f t="shared" si="128"/>
        <v>Fuentes</v>
      </c>
      <c r="G2944" s="8">
        <v>1</v>
      </c>
      <c r="H2944" s="11">
        <v>300</v>
      </c>
      <c r="I2944" s="12">
        <v>42726</v>
      </c>
      <c r="J2944" s="35">
        <f t="shared" si="129"/>
        <v>0</v>
      </c>
      <c r="K2944" s="36"/>
      <c r="L2944" s="36"/>
      <c r="M2944" s="36"/>
      <c r="N2944" s="36"/>
      <c r="O2944" s="36"/>
      <c r="P2944" s="36"/>
      <c r="Q2944" s="36"/>
      <c r="R2944" s="36"/>
      <c r="S2944" s="36"/>
      <c r="T2944" s="36"/>
      <c r="U2944" s="36"/>
      <c r="V2944" s="36">
        <v>300</v>
      </c>
      <c r="W2944" s="15">
        <f t="shared" si="130"/>
        <v>300</v>
      </c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15">
        <f t="shared" si="131"/>
        <v>0</v>
      </c>
      <c r="AK2944" s="14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14"/>
      <c r="AV2944" s="14"/>
      <c r="AW2944" s="15"/>
      <c r="AX2944" s="16"/>
    </row>
    <row r="2945" spans="2:50" x14ac:dyDescent="0.2">
      <c r="B2945" s="7"/>
      <c r="C2945" s="8">
        <v>13474</v>
      </c>
      <c r="D2945" s="9" t="s">
        <v>861</v>
      </c>
      <c r="E2945" s="10" t="str">
        <f t="shared" si="127"/>
        <v>Rancho La Cuchilla No. 7, 202</v>
      </c>
      <c r="F2945" s="10" t="str">
        <f t="shared" si="128"/>
        <v>Carbajal Zayas</v>
      </c>
      <c r="G2945" s="8">
        <v>3</v>
      </c>
      <c r="H2945" s="11">
        <v>200</v>
      </c>
      <c r="I2945" s="12">
        <v>42726</v>
      </c>
      <c r="J2945" s="35">
        <f t="shared" si="129"/>
        <v>0</v>
      </c>
      <c r="K2945" s="36"/>
      <c r="L2945" s="36"/>
      <c r="M2945" s="36"/>
      <c r="N2945" s="36"/>
      <c r="O2945" s="36"/>
      <c r="P2945" s="36"/>
      <c r="Q2945" s="36"/>
      <c r="R2945" s="36"/>
      <c r="S2945" s="36"/>
      <c r="T2945" s="36"/>
      <c r="U2945" s="36"/>
      <c r="V2945" s="36"/>
      <c r="W2945" s="15">
        <f t="shared" si="130"/>
        <v>0</v>
      </c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15">
        <f t="shared" si="131"/>
        <v>0</v>
      </c>
      <c r="AK2945" s="14"/>
      <c r="AL2945" s="14"/>
      <c r="AM2945" s="14"/>
      <c r="AN2945" s="14"/>
      <c r="AO2945" s="14"/>
      <c r="AP2945" s="14"/>
      <c r="AQ2945" s="14"/>
      <c r="AR2945" s="14"/>
      <c r="AS2945" s="14"/>
      <c r="AT2945" s="14"/>
      <c r="AU2945" s="14"/>
      <c r="AV2945" s="14"/>
      <c r="AW2945" s="15"/>
      <c r="AX2945" s="16"/>
    </row>
    <row r="2946" spans="2:50" x14ac:dyDescent="0.2">
      <c r="B2946" s="7"/>
      <c r="C2946" s="8">
        <v>13475</v>
      </c>
      <c r="D2946" s="9" t="s">
        <v>871</v>
      </c>
      <c r="E2946" s="10" t="str">
        <f t="shared" si="127"/>
        <v>Rancho Upácuaro No. 68</v>
      </c>
      <c r="F2946" s="10" t="str">
        <f t="shared" si="128"/>
        <v>Colin Guerrero</v>
      </c>
      <c r="G2946" s="8">
        <v>1</v>
      </c>
      <c r="H2946" s="11">
        <v>400</v>
      </c>
      <c r="I2946" s="12">
        <v>42727</v>
      </c>
      <c r="J2946" s="35">
        <f t="shared" si="129"/>
        <v>0</v>
      </c>
      <c r="K2946" s="36"/>
      <c r="L2946" s="36"/>
      <c r="M2946" s="36"/>
      <c r="N2946" s="36">
        <v>200</v>
      </c>
      <c r="O2946" s="36"/>
      <c r="P2946" s="36"/>
      <c r="Q2946" s="36"/>
      <c r="R2946" s="36">
        <v>200</v>
      </c>
      <c r="S2946" s="36"/>
      <c r="T2946" s="36"/>
      <c r="U2946" s="36"/>
      <c r="V2946" s="36"/>
      <c r="W2946" s="15">
        <f t="shared" si="130"/>
        <v>400</v>
      </c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15">
        <f t="shared" si="131"/>
        <v>0</v>
      </c>
      <c r="AK2946" s="14"/>
      <c r="AL2946" s="14"/>
      <c r="AM2946" s="14"/>
      <c r="AN2946" s="14"/>
      <c r="AO2946" s="14"/>
      <c r="AP2946" s="14"/>
      <c r="AQ2946" s="14"/>
      <c r="AR2946" s="14"/>
      <c r="AS2946" s="14"/>
      <c r="AT2946" s="14"/>
      <c r="AU2946" s="14"/>
      <c r="AV2946" s="14"/>
      <c r="AW2946" s="15"/>
      <c r="AX2946" s="16"/>
    </row>
    <row r="2947" spans="2:50" x14ac:dyDescent="0.2">
      <c r="B2947" s="7"/>
      <c r="C2947" s="8">
        <v>13476</v>
      </c>
      <c r="D2947" s="9" t="s">
        <v>115</v>
      </c>
      <c r="E2947" s="10" t="str">
        <f t="shared" si="127"/>
        <v>Rancho Estanzuela No. 127</v>
      </c>
      <c r="F2947" s="10" t="str">
        <f t="shared" si="128"/>
        <v>Luna Zepeda</v>
      </c>
      <c r="G2947" s="8">
        <v>1</v>
      </c>
      <c r="H2947" s="11">
        <v>150</v>
      </c>
      <c r="I2947" s="12">
        <v>42729</v>
      </c>
      <c r="J2947" s="35">
        <f t="shared" si="129"/>
        <v>0</v>
      </c>
      <c r="K2947" s="36"/>
      <c r="L2947" s="36"/>
      <c r="M2947" s="36"/>
      <c r="N2947" s="36"/>
      <c r="O2947" s="36"/>
      <c r="P2947" s="36"/>
      <c r="Q2947" s="36"/>
      <c r="R2947" s="36"/>
      <c r="S2947" s="36"/>
      <c r="T2947" s="36"/>
      <c r="U2947" s="36"/>
      <c r="V2947" s="36">
        <v>150</v>
      </c>
      <c r="W2947" s="15">
        <f t="shared" si="130"/>
        <v>150</v>
      </c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15">
        <f t="shared" si="131"/>
        <v>0</v>
      </c>
      <c r="AK2947" s="14"/>
      <c r="AL2947" s="14"/>
      <c r="AM2947" s="14"/>
      <c r="AN2947" s="14"/>
      <c r="AO2947" s="14"/>
      <c r="AP2947" s="14"/>
      <c r="AQ2947" s="14"/>
      <c r="AR2947" s="14"/>
      <c r="AS2947" s="14"/>
      <c r="AT2947" s="14"/>
      <c r="AU2947" s="14"/>
      <c r="AV2947" s="14"/>
      <c r="AW2947" s="15"/>
      <c r="AX2947" s="16"/>
    </row>
    <row r="2948" spans="2:50" x14ac:dyDescent="0.2">
      <c r="B2948" s="7"/>
      <c r="C2948" s="8">
        <v>13477</v>
      </c>
      <c r="D2948" s="9" t="s">
        <v>568</v>
      </c>
      <c r="E2948" s="10" t="str">
        <f t="shared" si="127"/>
        <v>Rancho Landero No. 95</v>
      </c>
      <c r="F2948" s="10" t="str">
        <f t="shared" si="128"/>
        <v>Rivas Rangel</v>
      </c>
      <c r="G2948" s="8">
        <v>1</v>
      </c>
      <c r="H2948" s="11">
        <v>500</v>
      </c>
      <c r="I2948" s="12">
        <v>42729</v>
      </c>
      <c r="J2948" s="35">
        <f t="shared" si="129"/>
        <v>0</v>
      </c>
      <c r="K2948" s="36"/>
      <c r="L2948" s="36"/>
      <c r="M2948" s="36"/>
      <c r="N2948" s="36"/>
      <c r="O2948" s="36"/>
      <c r="P2948" s="36"/>
      <c r="Q2948" s="36">
        <v>100</v>
      </c>
      <c r="R2948" s="36"/>
      <c r="S2948" s="36"/>
      <c r="T2948" s="36"/>
      <c r="U2948" s="36"/>
      <c r="V2948" s="36">
        <v>400</v>
      </c>
      <c r="W2948" s="15">
        <f t="shared" si="130"/>
        <v>500</v>
      </c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15">
        <f t="shared" si="131"/>
        <v>0</v>
      </c>
      <c r="AK2948" s="14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14"/>
      <c r="AV2948" s="14"/>
      <c r="AW2948" s="15"/>
      <c r="AX2948" s="16"/>
    </row>
    <row r="2949" spans="2:50" x14ac:dyDescent="0.2">
      <c r="B2949" s="7"/>
      <c r="C2949" s="8">
        <v>13478</v>
      </c>
      <c r="D2949" s="9" t="s">
        <v>159</v>
      </c>
      <c r="E2949" s="10" t="str">
        <f t="shared" si="127"/>
        <v>Rancho Zinamba No. 24</v>
      </c>
      <c r="F2949" s="10" t="str">
        <f t="shared" si="128"/>
        <v>Monroy García</v>
      </c>
      <c r="G2949" s="8">
        <v>1</v>
      </c>
      <c r="H2949" s="11">
        <v>400</v>
      </c>
      <c r="I2949" s="12">
        <v>42729</v>
      </c>
      <c r="J2949" s="35">
        <f t="shared" si="129"/>
        <v>0</v>
      </c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>
        <v>400</v>
      </c>
      <c r="W2949" s="15">
        <f t="shared" si="130"/>
        <v>400</v>
      </c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15">
        <f t="shared" si="131"/>
        <v>0</v>
      </c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5"/>
      <c r="AX2949" s="16"/>
    </row>
    <row r="2950" spans="2:50" x14ac:dyDescent="0.2">
      <c r="B2950" s="7"/>
      <c r="C2950" s="8">
        <v>13479</v>
      </c>
      <c r="D2950" s="9" t="s">
        <v>556</v>
      </c>
      <c r="E2950" s="10" t="str">
        <f t="shared" si="127"/>
        <v>Rancho Zinamba No. 26</v>
      </c>
      <c r="F2950" s="10" t="str">
        <f t="shared" si="128"/>
        <v>Ayala</v>
      </c>
      <c r="G2950" s="8">
        <v>1</v>
      </c>
      <c r="H2950" s="11">
        <v>400</v>
      </c>
      <c r="I2950" s="12">
        <v>42729</v>
      </c>
      <c r="J2950" s="35">
        <f t="shared" si="129"/>
        <v>0</v>
      </c>
      <c r="K2950" s="36"/>
      <c r="L2950" s="36"/>
      <c r="M2950" s="36"/>
      <c r="N2950" s="36"/>
      <c r="O2950" s="36"/>
      <c r="P2950" s="36"/>
      <c r="Q2950" s="36"/>
      <c r="R2950" s="36"/>
      <c r="S2950" s="36"/>
      <c r="T2950" s="36">
        <v>400</v>
      </c>
      <c r="U2950" s="36"/>
      <c r="V2950" s="36"/>
      <c r="W2950" s="15">
        <f t="shared" si="130"/>
        <v>400</v>
      </c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15">
        <f t="shared" si="131"/>
        <v>0</v>
      </c>
      <c r="AK2950" s="14"/>
      <c r="AL2950" s="14"/>
      <c r="AM2950" s="14"/>
      <c r="AN2950" s="14"/>
      <c r="AO2950" s="14"/>
      <c r="AP2950" s="14"/>
      <c r="AQ2950" s="14"/>
      <c r="AR2950" s="14"/>
      <c r="AS2950" s="14"/>
      <c r="AT2950" s="14"/>
      <c r="AU2950" s="14"/>
      <c r="AV2950" s="14"/>
      <c r="AW2950" s="15"/>
      <c r="AX2950" s="16"/>
    </row>
    <row r="2951" spans="2:50" x14ac:dyDescent="0.2">
      <c r="B2951" s="7"/>
      <c r="C2951" s="8">
        <v>13480</v>
      </c>
      <c r="D2951" s="9" t="s">
        <v>820</v>
      </c>
      <c r="E2951" s="10" t="str">
        <f t="shared" si="125"/>
        <v>Rancho Zinamba No. 84</v>
      </c>
      <c r="F2951" s="10" t="str">
        <f t="shared" si="126"/>
        <v>Lobato</v>
      </c>
      <c r="G2951" s="8">
        <v>1</v>
      </c>
      <c r="H2951" s="11">
        <v>300</v>
      </c>
      <c r="I2951" s="12">
        <v>42729</v>
      </c>
      <c r="J2951" s="35">
        <f t="shared" si="122"/>
        <v>0</v>
      </c>
      <c r="K2951" s="36"/>
      <c r="L2951" s="36"/>
      <c r="M2951" s="36"/>
      <c r="N2951" s="36"/>
      <c r="O2951" s="36"/>
      <c r="P2951" s="36"/>
      <c r="Q2951" s="36"/>
      <c r="R2951" s="36"/>
      <c r="S2951" s="36"/>
      <c r="T2951" s="36"/>
      <c r="U2951" s="36">
        <v>300</v>
      </c>
      <c r="V2951" s="36"/>
      <c r="W2951" s="15">
        <f t="shared" si="123"/>
        <v>300</v>
      </c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15">
        <f t="shared" si="124"/>
        <v>0</v>
      </c>
      <c r="AK2951" s="14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14"/>
      <c r="AV2951" s="14"/>
      <c r="AW2951" s="15"/>
      <c r="AX2951" s="16"/>
    </row>
    <row r="2952" spans="2:50" x14ac:dyDescent="0.2">
      <c r="B2952" s="7"/>
      <c r="C2952" s="8">
        <v>13481</v>
      </c>
      <c r="D2952" s="9" t="s">
        <v>259</v>
      </c>
      <c r="E2952" s="10" t="str">
        <f t="shared" si="125"/>
        <v>Rancho Estanzuela No. 55</v>
      </c>
      <c r="F2952" s="10" t="str">
        <f t="shared" si="126"/>
        <v>Rodríguez Acevedo</v>
      </c>
      <c r="G2952" s="8">
        <v>1</v>
      </c>
      <c r="H2952" s="11">
        <v>400</v>
      </c>
      <c r="I2952" s="12">
        <v>42729</v>
      </c>
      <c r="J2952" s="35">
        <f t="shared" si="122"/>
        <v>0</v>
      </c>
      <c r="K2952" s="36"/>
      <c r="L2952" s="36"/>
      <c r="M2952" s="36"/>
      <c r="N2952" s="36"/>
      <c r="O2952" s="36"/>
      <c r="P2952" s="36"/>
      <c r="Q2952" s="36"/>
      <c r="R2952" s="36"/>
      <c r="S2952" s="36"/>
      <c r="T2952" s="36"/>
      <c r="U2952" s="36"/>
      <c r="V2952" s="36">
        <v>400</v>
      </c>
      <c r="W2952" s="15">
        <f t="shared" si="123"/>
        <v>400</v>
      </c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15">
        <f t="shared" si="124"/>
        <v>0</v>
      </c>
      <c r="AK2952" s="14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14"/>
      <c r="AV2952" s="14"/>
      <c r="AW2952" s="15"/>
      <c r="AX2952" s="16"/>
    </row>
    <row r="2953" spans="2:50" x14ac:dyDescent="0.2">
      <c r="B2953" s="7"/>
      <c r="C2953" s="8">
        <v>13482</v>
      </c>
      <c r="D2953" s="9" t="s">
        <v>387</v>
      </c>
      <c r="E2953" s="10" t="str">
        <f t="shared" si="125"/>
        <v>Rancho Upácuaro No. 69</v>
      </c>
      <c r="F2953" s="10" t="str">
        <f t="shared" si="126"/>
        <v>Gómez</v>
      </c>
      <c r="G2953" s="8">
        <v>1</v>
      </c>
      <c r="H2953" s="11">
        <v>800</v>
      </c>
      <c r="I2953" s="12">
        <v>42729</v>
      </c>
      <c r="J2953" s="35">
        <f t="shared" si="122"/>
        <v>0</v>
      </c>
      <c r="K2953" s="36"/>
      <c r="L2953" s="36"/>
      <c r="M2953" s="36"/>
      <c r="N2953" s="36"/>
      <c r="O2953" s="36"/>
      <c r="P2953" s="36"/>
      <c r="Q2953" s="36"/>
      <c r="R2953" s="36"/>
      <c r="S2953" s="36"/>
      <c r="T2953" s="36"/>
      <c r="U2953" s="36">
        <v>400</v>
      </c>
      <c r="V2953" s="36">
        <v>400</v>
      </c>
      <c r="W2953" s="15">
        <f t="shared" si="123"/>
        <v>800</v>
      </c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15">
        <f t="shared" si="124"/>
        <v>0</v>
      </c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5"/>
      <c r="AX2953" s="16"/>
    </row>
    <row r="2954" spans="2:50" x14ac:dyDescent="0.2">
      <c r="B2954" s="7"/>
      <c r="C2954" s="8">
        <v>13483</v>
      </c>
      <c r="D2954" s="9" t="s">
        <v>944</v>
      </c>
      <c r="E2954" s="10" t="str">
        <f t="shared" si="125"/>
        <v>Rancho Upácuaro No. 104</v>
      </c>
      <c r="F2954" s="10" t="str">
        <f t="shared" si="126"/>
        <v>Jiménez Almazo</v>
      </c>
      <c r="G2954" s="8">
        <v>1</v>
      </c>
      <c r="H2954" s="11">
        <v>200</v>
      </c>
      <c r="I2954" s="12">
        <v>42729</v>
      </c>
      <c r="J2954" s="35">
        <f t="shared" si="122"/>
        <v>0</v>
      </c>
      <c r="K2954" s="36"/>
      <c r="L2954" s="36"/>
      <c r="M2954" s="36"/>
      <c r="N2954" s="36"/>
      <c r="O2954" s="36"/>
      <c r="P2954" s="36"/>
      <c r="Q2954" s="36"/>
      <c r="R2954" s="36"/>
      <c r="S2954" s="36"/>
      <c r="T2954" s="36"/>
      <c r="U2954" s="36">
        <v>100</v>
      </c>
      <c r="V2954" s="36">
        <v>100</v>
      </c>
      <c r="W2954" s="15">
        <f t="shared" si="123"/>
        <v>200</v>
      </c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15">
        <f t="shared" si="124"/>
        <v>0</v>
      </c>
      <c r="AK2954" s="14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14"/>
      <c r="AV2954" s="14"/>
      <c r="AW2954" s="15"/>
      <c r="AX2954" s="16"/>
    </row>
    <row r="2955" spans="2:50" x14ac:dyDescent="0.2">
      <c r="B2955" s="7"/>
      <c r="C2955" s="8">
        <v>13483</v>
      </c>
      <c r="D2955" s="9" t="s">
        <v>944</v>
      </c>
      <c r="E2955" s="10" t="str">
        <f t="shared" si="125"/>
        <v>Rancho Upácuaro No. 104</v>
      </c>
      <c r="F2955" s="10" t="str">
        <f t="shared" si="126"/>
        <v>Jiménez Almazo</v>
      </c>
      <c r="G2955" s="8">
        <v>5</v>
      </c>
      <c r="H2955" s="11">
        <v>50</v>
      </c>
      <c r="I2955" s="12">
        <v>42729</v>
      </c>
      <c r="J2955" s="35">
        <f t="shared" si="122"/>
        <v>0</v>
      </c>
      <c r="K2955" s="36"/>
      <c r="L2955" s="36"/>
      <c r="M2955" s="36"/>
      <c r="N2955" s="36"/>
      <c r="O2955" s="36"/>
      <c r="P2955" s="36"/>
      <c r="Q2955" s="36"/>
      <c r="R2955" s="36"/>
      <c r="S2955" s="36"/>
      <c r="T2955" s="36"/>
      <c r="U2955" s="36"/>
      <c r="V2955" s="36"/>
      <c r="W2955" s="15">
        <f t="shared" si="123"/>
        <v>0</v>
      </c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15">
        <f t="shared" si="124"/>
        <v>0</v>
      </c>
      <c r="AK2955" s="14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14"/>
      <c r="AV2955" s="14"/>
      <c r="AW2955" s="15"/>
      <c r="AX2955" s="16"/>
    </row>
    <row r="2956" spans="2:50" x14ac:dyDescent="0.2">
      <c r="B2956" s="7"/>
      <c r="C2956" s="8">
        <v>13484</v>
      </c>
      <c r="D2956" s="9" t="s">
        <v>449</v>
      </c>
      <c r="E2956" s="10" t="str">
        <f t="shared" si="125"/>
        <v>Rancho La Cuchilla No. 132</v>
      </c>
      <c r="F2956" s="10" t="str">
        <f t="shared" si="126"/>
        <v>Téllez Girón</v>
      </c>
      <c r="G2956" s="8">
        <v>1</v>
      </c>
      <c r="H2956" s="11">
        <v>900</v>
      </c>
      <c r="I2956" s="12">
        <v>42729</v>
      </c>
      <c r="J2956" s="35">
        <f t="shared" si="122"/>
        <v>0</v>
      </c>
      <c r="K2956" s="36"/>
      <c r="L2956" s="36"/>
      <c r="M2956" s="36"/>
      <c r="N2956" s="36"/>
      <c r="O2956" s="36"/>
      <c r="P2956" s="36"/>
      <c r="Q2956" s="36"/>
      <c r="R2956" s="36"/>
      <c r="S2956" s="36"/>
      <c r="T2956" s="36">
        <v>300</v>
      </c>
      <c r="U2956" s="36">
        <v>300</v>
      </c>
      <c r="V2956" s="36">
        <v>300</v>
      </c>
      <c r="W2956" s="15">
        <f t="shared" si="123"/>
        <v>900</v>
      </c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15">
        <f t="shared" si="124"/>
        <v>0</v>
      </c>
      <c r="AK2956" s="14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14"/>
      <c r="AV2956" s="14"/>
      <c r="AW2956" s="15"/>
      <c r="AX2956" s="16"/>
    </row>
    <row r="2957" spans="2:50" x14ac:dyDescent="0.2">
      <c r="B2957" s="7"/>
      <c r="C2957" s="8">
        <v>13485</v>
      </c>
      <c r="D2957" s="9" t="s">
        <v>223</v>
      </c>
      <c r="E2957" s="10" t="str">
        <f t="shared" si="125"/>
        <v>Rancho Landero No. 26</v>
      </c>
      <c r="F2957" s="10" t="str">
        <f t="shared" si="126"/>
        <v>Balderas Martínez</v>
      </c>
      <c r="G2957" s="8">
        <v>3</v>
      </c>
      <c r="H2957" s="11">
        <v>200</v>
      </c>
      <c r="I2957" s="12">
        <v>42729</v>
      </c>
      <c r="J2957" s="35">
        <f t="shared" si="122"/>
        <v>0</v>
      </c>
      <c r="K2957" s="36"/>
      <c r="L2957" s="36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  <c r="W2957" s="15">
        <f t="shared" si="123"/>
        <v>0</v>
      </c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15">
        <f t="shared" si="124"/>
        <v>0</v>
      </c>
      <c r="AK2957" s="14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14"/>
      <c r="AV2957" s="14"/>
      <c r="AW2957" s="15"/>
      <c r="AX2957" s="16"/>
    </row>
    <row r="2958" spans="2:50" x14ac:dyDescent="0.2">
      <c r="B2958" s="7"/>
      <c r="C2958" s="8">
        <v>13486</v>
      </c>
      <c r="D2958" s="9" t="s">
        <v>1039</v>
      </c>
      <c r="E2958" s="10" t="str">
        <f t="shared" si="125"/>
        <v>Rancho Upácuaro No. 77</v>
      </c>
      <c r="F2958" s="10" t="str">
        <f t="shared" si="126"/>
        <v>Alvarado</v>
      </c>
      <c r="G2958" s="8">
        <v>1</v>
      </c>
      <c r="H2958" s="11">
        <v>400</v>
      </c>
      <c r="I2958" s="12">
        <v>42729</v>
      </c>
      <c r="J2958" s="35">
        <f t="shared" si="122"/>
        <v>0</v>
      </c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>
        <v>400</v>
      </c>
      <c r="W2958" s="15">
        <f t="shared" si="123"/>
        <v>400</v>
      </c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15">
        <f t="shared" si="124"/>
        <v>0</v>
      </c>
      <c r="AK2958" s="14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14"/>
      <c r="AV2958" s="14"/>
      <c r="AW2958" s="15"/>
      <c r="AX2958" s="16"/>
    </row>
    <row r="2959" spans="2:50" x14ac:dyDescent="0.2">
      <c r="B2959" s="7"/>
      <c r="C2959" s="8">
        <v>13487</v>
      </c>
      <c r="D2959" s="9" t="s">
        <v>658</v>
      </c>
      <c r="E2959" s="10" t="str">
        <f t="shared" si="125"/>
        <v>Rancho La Cuchilla No. 71</v>
      </c>
      <c r="F2959" s="10" t="str">
        <f t="shared" si="126"/>
        <v>Flores</v>
      </c>
      <c r="G2959" s="8">
        <v>1</v>
      </c>
      <c r="H2959" s="11">
        <v>1200</v>
      </c>
      <c r="I2959" s="12">
        <v>42729</v>
      </c>
      <c r="J2959" s="35">
        <f t="shared" si="122"/>
        <v>0</v>
      </c>
      <c r="K2959" s="36"/>
      <c r="L2959" s="36"/>
      <c r="M2959" s="36"/>
      <c r="N2959" s="36"/>
      <c r="O2959" s="36"/>
      <c r="P2959" s="36"/>
      <c r="Q2959" s="36"/>
      <c r="R2959" s="36"/>
      <c r="S2959" s="36"/>
      <c r="T2959" s="36">
        <v>400</v>
      </c>
      <c r="U2959" s="36">
        <v>400</v>
      </c>
      <c r="V2959" s="36">
        <v>400</v>
      </c>
      <c r="W2959" s="15">
        <f t="shared" si="123"/>
        <v>1200</v>
      </c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15">
        <f t="shared" si="124"/>
        <v>0</v>
      </c>
      <c r="AK2959" s="14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14"/>
      <c r="AV2959" s="14"/>
      <c r="AW2959" s="15"/>
      <c r="AX2959" s="16"/>
    </row>
    <row r="2960" spans="2:50" x14ac:dyDescent="0.2">
      <c r="B2960" s="7"/>
      <c r="C2960" s="8">
        <v>13488</v>
      </c>
      <c r="D2960" s="9" t="s">
        <v>834</v>
      </c>
      <c r="E2960" s="10" t="str">
        <f t="shared" si="125"/>
        <v>Rancho Upácuaro No. 110</v>
      </c>
      <c r="F2960" s="10" t="str">
        <f t="shared" si="126"/>
        <v>Ruiz Mijangos</v>
      </c>
      <c r="G2960" s="8">
        <v>1</v>
      </c>
      <c r="H2960" s="11">
        <v>300</v>
      </c>
      <c r="I2960" s="12">
        <v>42729</v>
      </c>
      <c r="J2960" s="35">
        <f t="shared" si="122"/>
        <v>0</v>
      </c>
      <c r="K2960" s="36"/>
      <c r="L2960" s="36"/>
      <c r="M2960" s="36"/>
      <c r="N2960" s="36"/>
      <c r="O2960" s="36"/>
      <c r="P2960" s="36"/>
      <c r="Q2960" s="36"/>
      <c r="R2960" s="36"/>
      <c r="S2960" s="36">
        <v>300</v>
      </c>
      <c r="T2960" s="36"/>
      <c r="U2960" s="36"/>
      <c r="V2960" s="36"/>
      <c r="W2960" s="15">
        <f t="shared" si="123"/>
        <v>300</v>
      </c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15">
        <f t="shared" si="124"/>
        <v>0</v>
      </c>
      <c r="AK2960" s="14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14"/>
      <c r="AV2960" s="14"/>
      <c r="AW2960" s="15"/>
      <c r="AX2960" s="16"/>
    </row>
    <row r="2961" spans="2:54" x14ac:dyDescent="0.2">
      <c r="B2961" s="7"/>
      <c r="C2961" s="8">
        <v>13489</v>
      </c>
      <c r="D2961" s="9" t="s">
        <v>1095</v>
      </c>
      <c r="E2961" s="10" t="str">
        <f t="shared" si="125"/>
        <v>Rancho La Cuchilla No. 35</v>
      </c>
      <c r="F2961" s="10" t="str">
        <f t="shared" si="126"/>
        <v>Mendoza</v>
      </c>
      <c r="G2961" s="8">
        <v>1</v>
      </c>
      <c r="H2961" s="11">
        <v>500</v>
      </c>
      <c r="I2961" s="12">
        <v>42729</v>
      </c>
      <c r="J2961" s="35">
        <f t="shared" si="122"/>
        <v>0</v>
      </c>
      <c r="K2961" s="36"/>
      <c r="L2961" s="36"/>
      <c r="M2961" s="36"/>
      <c r="N2961" s="36"/>
      <c r="O2961" s="36"/>
      <c r="P2961" s="36"/>
      <c r="Q2961" s="36"/>
      <c r="R2961" s="36"/>
      <c r="S2961" s="36"/>
      <c r="T2961" s="36"/>
      <c r="U2961" s="36">
        <v>250</v>
      </c>
      <c r="V2961" s="36">
        <v>250</v>
      </c>
      <c r="W2961" s="15">
        <f t="shared" si="123"/>
        <v>500</v>
      </c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15">
        <f t="shared" si="124"/>
        <v>0</v>
      </c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5"/>
      <c r="AX2961" s="16"/>
    </row>
    <row r="2962" spans="2:54" x14ac:dyDescent="0.2">
      <c r="B2962" s="7"/>
      <c r="C2962" s="8">
        <v>13489</v>
      </c>
      <c r="D2962" s="9" t="s">
        <v>1095</v>
      </c>
      <c r="E2962" s="10" t="str">
        <f t="shared" si="125"/>
        <v>Rancho La Cuchilla No. 35</v>
      </c>
      <c r="F2962" s="10" t="str">
        <f t="shared" si="126"/>
        <v>Mendoza</v>
      </c>
      <c r="G2962" s="8">
        <v>5</v>
      </c>
      <c r="H2962" s="11">
        <v>50</v>
      </c>
      <c r="I2962" s="12">
        <v>42729</v>
      </c>
      <c r="J2962" s="35">
        <f t="shared" si="122"/>
        <v>0</v>
      </c>
      <c r="K2962" s="36"/>
      <c r="L2962" s="36"/>
      <c r="M2962" s="36"/>
      <c r="N2962" s="36"/>
      <c r="O2962" s="36"/>
      <c r="P2962" s="36"/>
      <c r="Q2962" s="36"/>
      <c r="R2962" s="36"/>
      <c r="S2962" s="36"/>
      <c r="T2962" s="36"/>
      <c r="U2962" s="36"/>
      <c r="V2962" s="36"/>
      <c r="W2962" s="15">
        <f t="shared" si="123"/>
        <v>0</v>
      </c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15">
        <f t="shared" si="124"/>
        <v>0</v>
      </c>
      <c r="AK2962" s="14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14"/>
      <c r="AV2962" s="14"/>
      <c r="AW2962" s="15"/>
      <c r="AX2962" s="16"/>
    </row>
    <row r="2963" spans="2:54" x14ac:dyDescent="0.2">
      <c r="B2963" s="7"/>
      <c r="C2963" s="8">
        <v>13490</v>
      </c>
      <c r="D2963" s="9" t="s">
        <v>343</v>
      </c>
      <c r="E2963" s="10" t="str">
        <f t="shared" si="125"/>
        <v>Rancho Upácuaro No. 88</v>
      </c>
      <c r="F2963" s="10" t="str">
        <f t="shared" si="126"/>
        <v>Millán Núñez</v>
      </c>
      <c r="G2963" s="8">
        <v>1</v>
      </c>
      <c r="H2963" s="11">
        <v>400</v>
      </c>
      <c r="I2963" s="12">
        <v>42729</v>
      </c>
      <c r="J2963" s="35">
        <f t="shared" si="122"/>
        <v>0</v>
      </c>
      <c r="K2963" s="36"/>
      <c r="L2963" s="36"/>
      <c r="M2963" s="36"/>
      <c r="N2963" s="36"/>
      <c r="O2963" s="36"/>
      <c r="P2963" s="36"/>
      <c r="Q2963" s="36"/>
      <c r="R2963" s="36"/>
      <c r="S2963" s="36"/>
      <c r="T2963" s="36"/>
      <c r="U2963" s="36"/>
      <c r="V2963" s="36">
        <v>400</v>
      </c>
      <c r="W2963" s="15">
        <f t="shared" si="123"/>
        <v>400</v>
      </c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15">
        <f t="shared" si="124"/>
        <v>0</v>
      </c>
      <c r="AK2963" s="14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14"/>
      <c r="AV2963" s="14"/>
      <c r="AW2963" s="15"/>
      <c r="AX2963" s="16"/>
    </row>
    <row r="2964" spans="2:54" x14ac:dyDescent="0.2">
      <c r="B2964" s="7"/>
      <c r="C2964" s="8">
        <v>13491</v>
      </c>
      <c r="D2964" s="9" t="s">
        <v>109</v>
      </c>
      <c r="E2964" s="10" t="str">
        <f t="shared" si="125"/>
        <v>Rancho Estanzuela No. 31</v>
      </c>
      <c r="F2964" s="10" t="str">
        <f t="shared" si="126"/>
        <v>Chávez Valdés</v>
      </c>
      <c r="G2964" s="8">
        <v>1</v>
      </c>
      <c r="H2964" s="11">
        <v>400</v>
      </c>
      <c r="I2964" s="12">
        <v>42729</v>
      </c>
      <c r="J2964" s="35">
        <f t="shared" si="122"/>
        <v>0</v>
      </c>
      <c r="K2964" s="36"/>
      <c r="L2964" s="36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>
        <v>400</v>
      </c>
      <c r="W2964" s="15">
        <f t="shared" si="123"/>
        <v>400</v>
      </c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15">
        <f t="shared" si="124"/>
        <v>0</v>
      </c>
      <c r="AK2964" s="14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14"/>
      <c r="AV2964" s="14"/>
      <c r="AW2964" s="15"/>
      <c r="AX2964" s="16"/>
    </row>
    <row r="2965" spans="2:54" x14ac:dyDescent="0.2">
      <c r="B2965" s="7"/>
      <c r="C2965" s="8">
        <v>13491</v>
      </c>
      <c r="D2965" s="9" t="s">
        <v>109</v>
      </c>
      <c r="E2965" s="10" t="str">
        <f t="shared" si="125"/>
        <v>Rancho Estanzuela No. 31</v>
      </c>
      <c r="F2965" s="10" t="str">
        <f t="shared" si="126"/>
        <v>Chávez Valdés</v>
      </c>
      <c r="G2965" s="8">
        <v>5</v>
      </c>
      <c r="H2965" s="11">
        <v>50</v>
      </c>
      <c r="I2965" s="12">
        <v>42729</v>
      </c>
      <c r="J2965" s="35">
        <f t="shared" si="122"/>
        <v>0</v>
      </c>
      <c r="K2965" s="36"/>
      <c r="L2965" s="36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  <c r="W2965" s="15">
        <f t="shared" si="123"/>
        <v>0</v>
      </c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15">
        <f t="shared" si="124"/>
        <v>0</v>
      </c>
      <c r="AK2965" s="14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14"/>
      <c r="AV2965" s="14"/>
      <c r="AW2965" s="15"/>
      <c r="AX2965" s="316">
        <f>SUM(H2941:H2965)</f>
        <v>10100</v>
      </c>
      <c r="AY2965">
        <v>200</v>
      </c>
      <c r="AZ2965">
        <v>1200</v>
      </c>
      <c r="BA2965">
        <v>300</v>
      </c>
      <c r="BB2965">
        <f>SUM(AY2965:BA2965)</f>
        <v>1700</v>
      </c>
    </row>
    <row r="2966" spans="2:54" x14ac:dyDescent="0.2">
      <c r="B2966" s="7"/>
      <c r="C2966" s="318">
        <v>13492</v>
      </c>
      <c r="D2966" s="9" t="s">
        <v>890</v>
      </c>
      <c r="E2966" s="10" t="str">
        <f t="shared" si="125"/>
        <v>Rancho Upácuaro No. 74</v>
      </c>
      <c r="F2966" s="10" t="str">
        <f t="shared" si="126"/>
        <v>Flores</v>
      </c>
      <c r="G2966" s="8">
        <v>1</v>
      </c>
      <c r="H2966" s="11">
        <v>1600</v>
      </c>
      <c r="I2966" s="12">
        <v>42732</v>
      </c>
      <c r="J2966" s="35">
        <f t="shared" si="122"/>
        <v>0</v>
      </c>
      <c r="K2966" s="36"/>
      <c r="L2966" s="36"/>
      <c r="M2966" s="36"/>
      <c r="N2966" s="36"/>
      <c r="O2966" s="36"/>
      <c r="P2966" s="36">
        <v>400</v>
      </c>
      <c r="Q2966" s="36">
        <v>400</v>
      </c>
      <c r="R2966" s="36">
        <v>400</v>
      </c>
      <c r="S2966" s="36">
        <v>400</v>
      </c>
      <c r="T2966" s="36"/>
      <c r="U2966" s="36"/>
      <c r="V2966" s="36"/>
      <c r="W2966" s="15">
        <f t="shared" si="123"/>
        <v>1600</v>
      </c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15">
        <f t="shared" si="124"/>
        <v>0</v>
      </c>
      <c r="AK2966" s="14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14"/>
      <c r="AV2966" s="14"/>
      <c r="AW2966" s="15"/>
      <c r="AX2966" s="16"/>
    </row>
    <row r="2967" spans="2:54" x14ac:dyDescent="0.2">
      <c r="B2967" s="7"/>
      <c r="C2967" s="8">
        <v>13493</v>
      </c>
      <c r="D2967" s="9" t="s">
        <v>446</v>
      </c>
      <c r="E2967" s="10" t="str">
        <f t="shared" si="125"/>
        <v>Rancho Landero No. 44</v>
      </c>
      <c r="F2967" s="10" t="str">
        <f t="shared" si="126"/>
        <v>Rodríguez C.</v>
      </c>
      <c r="G2967" s="8">
        <v>1</v>
      </c>
      <c r="H2967" s="11">
        <v>200</v>
      </c>
      <c r="I2967" s="12">
        <v>42732</v>
      </c>
      <c r="J2967" s="35">
        <f t="shared" si="122"/>
        <v>0</v>
      </c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>
        <v>200</v>
      </c>
      <c r="V2967" s="36"/>
      <c r="W2967" s="15">
        <f t="shared" si="123"/>
        <v>200</v>
      </c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15">
        <f t="shared" si="124"/>
        <v>0</v>
      </c>
      <c r="AK2967" s="14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14"/>
      <c r="AV2967" s="14"/>
      <c r="AW2967" s="15"/>
      <c r="AX2967" s="16"/>
    </row>
    <row r="2968" spans="2:54" x14ac:dyDescent="0.2">
      <c r="B2968" s="7"/>
      <c r="C2968" s="8">
        <v>13494</v>
      </c>
      <c r="D2968" s="9" t="s">
        <v>223</v>
      </c>
      <c r="E2968" s="10" t="str">
        <f t="shared" si="125"/>
        <v>Rancho Landero No. 26</v>
      </c>
      <c r="F2968" s="10" t="str">
        <f t="shared" si="126"/>
        <v>Balderas Martínez</v>
      </c>
      <c r="G2968" s="8">
        <v>5</v>
      </c>
      <c r="H2968" s="11">
        <v>50</v>
      </c>
      <c r="I2968" s="12">
        <v>42732</v>
      </c>
      <c r="J2968" s="35">
        <f t="shared" si="122"/>
        <v>0</v>
      </c>
      <c r="K2968" s="36"/>
      <c r="L2968" s="36"/>
      <c r="M2968" s="36"/>
      <c r="N2968" s="36"/>
      <c r="O2968" s="36"/>
      <c r="P2968" s="36"/>
      <c r="Q2968" s="36"/>
      <c r="R2968" s="36"/>
      <c r="S2968" s="36"/>
      <c r="T2968" s="36"/>
      <c r="U2968" s="36"/>
      <c r="V2968" s="36"/>
      <c r="W2968" s="15">
        <f t="shared" si="123"/>
        <v>0</v>
      </c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15">
        <f t="shared" si="124"/>
        <v>0</v>
      </c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5"/>
      <c r="AX2968" s="16"/>
    </row>
    <row r="2969" spans="2:54" x14ac:dyDescent="0.2">
      <c r="B2969" s="7"/>
      <c r="C2969" s="8">
        <v>13495</v>
      </c>
      <c r="D2969" s="9" t="s">
        <v>78</v>
      </c>
      <c r="E2969" s="10" t="str">
        <f t="shared" si="125"/>
        <v>Rancho Zinamba No. 12</v>
      </c>
      <c r="F2969" s="10" t="str">
        <f t="shared" si="126"/>
        <v>Ramírez Soto</v>
      </c>
      <c r="G2969" s="8">
        <v>1</v>
      </c>
      <c r="H2969" s="11">
        <v>4400</v>
      </c>
      <c r="I2969" s="12">
        <v>42734</v>
      </c>
      <c r="J2969" s="35">
        <f t="shared" si="122"/>
        <v>0</v>
      </c>
      <c r="K2969" s="36"/>
      <c r="L2969" s="36"/>
      <c r="M2969" s="36"/>
      <c r="N2969" s="36"/>
      <c r="O2969" s="36"/>
      <c r="P2969" s="36"/>
      <c r="Q2969" s="36"/>
      <c r="R2969" s="36"/>
      <c r="S2969" s="36"/>
      <c r="T2969" s="36"/>
      <c r="U2969" s="36"/>
      <c r="V2969" s="36"/>
      <c r="W2969" s="15">
        <f t="shared" si="123"/>
        <v>0</v>
      </c>
      <c r="X2969" s="36">
        <v>400</v>
      </c>
      <c r="Y2969" s="36">
        <v>400</v>
      </c>
      <c r="Z2969" s="36">
        <v>400</v>
      </c>
      <c r="AA2969" s="36">
        <v>400</v>
      </c>
      <c r="AB2969" s="36">
        <v>400</v>
      </c>
      <c r="AC2969" s="36">
        <v>400</v>
      </c>
      <c r="AD2969" s="36">
        <v>400</v>
      </c>
      <c r="AE2969" s="36">
        <v>400</v>
      </c>
      <c r="AF2969" s="36">
        <v>400</v>
      </c>
      <c r="AG2969" s="36">
        <v>400</v>
      </c>
      <c r="AH2969" s="36">
        <v>400</v>
      </c>
      <c r="AI2969" s="36"/>
      <c r="AJ2969" s="15">
        <f t="shared" si="124"/>
        <v>4400</v>
      </c>
      <c r="AK2969" s="14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14"/>
      <c r="AV2969" s="14"/>
      <c r="AW2969" s="15"/>
      <c r="AX2969" s="16" t="s">
        <v>3176</v>
      </c>
    </row>
    <row r="2970" spans="2:54" x14ac:dyDescent="0.2">
      <c r="B2970" s="7"/>
      <c r="C2970" s="8">
        <v>13496</v>
      </c>
      <c r="D2970" s="9" t="s">
        <v>852</v>
      </c>
      <c r="E2970" s="10" t="str">
        <f t="shared" si="125"/>
        <v>Rancho La Cuchilla No. 97</v>
      </c>
      <c r="F2970" s="10" t="str">
        <f t="shared" si="126"/>
        <v>López Ruiz</v>
      </c>
      <c r="G2970" s="8">
        <v>1</v>
      </c>
      <c r="H2970" s="11">
        <v>900</v>
      </c>
      <c r="I2970" s="12">
        <v>42734</v>
      </c>
      <c r="J2970" s="35">
        <f t="shared" si="122"/>
        <v>0</v>
      </c>
      <c r="K2970" s="36"/>
      <c r="L2970" s="36"/>
      <c r="M2970" s="36"/>
      <c r="N2970" s="36"/>
      <c r="O2970" s="36"/>
      <c r="P2970" s="36"/>
      <c r="Q2970" s="36"/>
      <c r="R2970" s="36"/>
      <c r="S2970" s="36"/>
      <c r="T2970" s="36">
        <v>300</v>
      </c>
      <c r="U2970" s="36">
        <v>300</v>
      </c>
      <c r="V2970" s="36">
        <v>300</v>
      </c>
      <c r="W2970" s="15">
        <f t="shared" si="123"/>
        <v>900</v>
      </c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15">
        <f t="shared" si="124"/>
        <v>0</v>
      </c>
      <c r="AK2970" s="14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14"/>
      <c r="AV2970" s="14"/>
      <c r="AW2970" s="15"/>
      <c r="AX2970" s="16"/>
    </row>
    <row r="2971" spans="2:54" x14ac:dyDescent="0.2">
      <c r="B2971" s="7"/>
      <c r="C2971" s="8">
        <v>13497</v>
      </c>
      <c r="D2971" s="9" t="s">
        <v>852</v>
      </c>
      <c r="E2971" s="10" t="str">
        <f t="shared" si="125"/>
        <v>Rancho La Cuchilla No. 97</v>
      </c>
      <c r="F2971" s="10" t="str">
        <f t="shared" si="126"/>
        <v>López Ruiz</v>
      </c>
      <c r="G2971" s="8">
        <v>5</v>
      </c>
      <c r="H2971" s="11">
        <v>100</v>
      </c>
      <c r="I2971" s="12">
        <v>42734</v>
      </c>
      <c r="J2971" s="35">
        <f t="shared" si="122"/>
        <v>0</v>
      </c>
      <c r="K2971" s="36"/>
      <c r="L2971" s="36"/>
      <c r="M2971" s="36"/>
      <c r="N2971" s="36"/>
      <c r="O2971" s="36"/>
      <c r="P2971" s="36"/>
      <c r="Q2971" s="36"/>
      <c r="R2971" s="36"/>
      <c r="S2971" s="36"/>
      <c r="T2971" s="36"/>
      <c r="U2971" s="36"/>
      <c r="V2971" s="36"/>
      <c r="W2971" s="15">
        <f t="shared" si="123"/>
        <v>0</v>
      </c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15">
        <f t="shared" si="124"/>
        <v>0</v>
      </c>
      <c r="AK2971" s="14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14"/>
      <c r="AV2971" s="14"/>
      <c r="AW2971" s="15"/>
      <c r="AX2971" s="16"/>
    </row>
    <row r="2972" spans="2:54" x14ac:dyDescent="0.2">
      <c r="B2972" s="7"/>
      <c r="C2972" s="8">
        <v>13498</v>
      </c>
      <c r="D2972" s="9" t="s">
        <v>217</v>
      </c>
      <c r="E2972" s="10" t="str">
        <f t="shared" si="125"/>
        <v>Rancho Recoveco No. 173</v>
      </c>
      <c r="F2972" s="10" t="str">
        <f t="shared" si="126"/>
        <v>Velarde</v>
      </c>
      <c r="G2972" s="8">
        <v>1</v>
      </c>
      <c r="H2972" s="11">
        <v>600</v>
      </c>
      <c r="I2972" s="12">
        <v>42734</v>
      </c>
      <c r="J2972" s="35">
        <f t="shared" si="122"/>
        <v>0</v>
      </c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>
        <v>300</v>
      </c>
      <c r="W2972" s="15">
        <f t="shared" si="123"/>
        <v>300</v>
      </c>
      <c r="X2972" s="36">
        <v>300</v>
      </c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15">
        <f t="shared" si="124"/>
        <v>300</v>
      </c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5"/>
      <c r="AX2972" s="316">
        <f>SUM(H2966:H2972)</f>
        <v>7850</v>
      </c>
    </row>
    <row r="2973" spans="2:54" x14ac:dyDescent="0.2">
      <c r="B2973" s="7"/>
      <c r="C2973" s="8"/>
      <c r="D2973" s="9"/>
      <c r="E2973" s="10"/>
      <c r="F2973" s="10"/>
      <c r="G2973" s="8"/>
      <c r="H2973" s="11"/>
      <c r="I2973" s="12"/>
      <c r="J2973" s="35"/>
      <c r="K2973" s="36"/>
      <c r="L2973" s="36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  <c r="W2973" s="15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15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5"/>
      <c r="AX2973" s="316"/>
    </row>
    <row r="2974" spans="2:54" x14ac:dyDescent="0.2">
      <c r="B2974" s="7"/>
      <c r="C2974" s="8"/>
      <c r="D2974" s="9"/>
      <c r="E2974" s="10"/>
      <c r="F2974" s="10"/>
      <c r="G2974" s="8"/>
      <c r="H2974" s="11"/>
      <c r="I2974" s="12"/>
      <c r="J2974" s="35"/>
      <c r="K2974" s="36"/>
      <c r="L2974" s="36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  <c r="W2974" s="15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15"/>
      <c r="AK2974" s="14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14"/>
      <c r="AV2974" s="14"/>
      <c r="AW2974" s="15"/>
      <c r="AX2974" s="316"/>
    </row>
    <row r="2975" spans="2:54" x14ac:dyDescent="0.2">
      <c r="B2975" s="7"/>
      <c r="C2975" s="8"/>
      <c r="D2975" s="9" t="s">
        <v>806</v>
      </c>
      <c r="E2975" s="10" t="str">
        <f t="shared" si="125"/>
        <v>Rancho Estanzuela No. 130, A</v>
      </c>
      <c r="F2975" s="10" t="str">
        <f t="shared" si="126"/>
        <v>Colegio Carmel</v>
      </c>
      <c r="G2975" s="8">
        <v>1</v>
      </c>
      <c r="H2975" s="11">
        <v>11000</v>
      </c>
      <c r="I2975" s="12"/>
      <c r="J2975" s="35">
        <f t="shared" si="122"/>
        <v>0</v>
      </c>
      <c r="K2975" s="36"/>
      <c r="L2975" s="36"/>
      <c r="M2975" s="36"/>
      <c r="N2975" s="36"/>
      <c r="O2975" s="36"/>
      <c r="P2975" s="36"/>
      <c r="Q2975" s="36"/>
      <c r="R2975" s="36"/>
      <c r="S2975" s="36"/>
      <c r="T2975" s="36"/>
      <c r="U2975" s="36"/>
      <c r="V2975" s="36">
        <v>11000</v>
      </c>
      <c r="W2975" s="15">
        <f t="shared" si="123"/>
        <v>11000</v>
      </c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15">
        <f t="shared" si="124"/>
        <v>0</v>
      </c>
      <c r="AK2975" s="14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14"/>
      <c r="AV2975" s="14"/>
      <c r="AW2975" s="15"/>
      <c r="AX2975" s="16"/>
    </row>
    <row r="2976" spans="2:54" ht="22.5" customHeight="1" x14ac:dyDescent="0.2">
      <c r="B2976" s="7"/>
      <c r="C2976" s="3" t="s">
        <v>2</v>
      </c>
      <c r="D2976" s="3" t="s">
        <v>3</v>
      </c>
      <c r="E2976" s="3" t="s">
        <v>4</v>
      </c>
      <c r="F2976" s="3" t="s">
        <v>5</v>
      </c>
      <c r="G2976" s="3" t="s">
        <v>6</v>
      </c>
      <c r="H2976" s="3" t="s">
        <v>7</v>
      </c>
      <c r="I2976" s="3" t="s">
        <v>8</v>
      </c>
      <c r="J2976" s="3" t="s">
        <v>9</v>
      </c>
      <c r="K2976" s="4" t="s">
        <v>10</v>
      </c>
      <c r="L2976" s="4" t="s">
        <v>11</v>
      </c>
      <c r="M2976" s="4" t="s">
        <v>12</v>
      </c>
      <c r="N2976" s="4" t="s">
        <v>13</v>
      </c>
      <c r="O2976" s="4" t="s">
        <v>14</v>
      </c>
      <c r="P2976" s="4" t="s">
        <v>15</v>
      </c>
      <c r="Q2976" s="4" t="s">
        <v>16</v>
      </c>
      <c r="R2976" s="4" t="s">
        <v>17</v>
      </c>
      <c r="S2976" s="4" t="s">
        <v>18</v>
      </c>
      <c r="T2976" s="4" t="s">
        <v>19</v>
      </c>
      <c r="U2976" s="4" t="s">
        <v>20</v>
      </c>
      <c r="V2976" s="4" t="s">
        <v>21</v>
      </c>
      <c r="W2976" s="5" t="s">
        <v>22</v>
      </c>
      <c r="X2976" s="4" t="s">
        <v>23</v>
      </c>
      <c r="Y2976" s="4" t="s">
        <v>24</v>
      </c>
      <c r="Z2976" s="4" t="s">
        <v>25</v>
      </c>
      <c r="AA2976" s="4" t="s">
        <v>26</v>
      </c>
      <c r="AB2976" s="4" t="s">
        <v>27</v>
      </c>
      <c r="AC2976" s="4" t="s">
        <v>28</v>
      </c>
      <c r="AD2976" s="4" t="s">
        <v>29</v>
      </c>
      <c r="AE2976" s="4" t="s">
        <v>30</v>
      </c>
      <c r="AF2976" s="4" t="s">
        <v>31</v>
      </c>
      <c r="AG2976" s="4" t="s">
        <v>32</v>
      </c>
      <c r="AH2976" s="4" t="s">
        <v>33</v>
      </c>
      <c r="AI2976" s="4" t="s">
        <v>34</v>
      </c>
      <c r="AJ2976" s="5" t="s">
        <v>35</v>
      </c>
      <c r="AK2976" s="4" t="s">
        <v>4607</v>
      </c>
      <c r="AL2976" s="4" t="s">
        <v>4608</v>
      </c>
      <c r="AM2976" s="4" t="s">
        <v>4609</v>
      </c>
      <c r="AN2976" s="4" t="s">
        <v>4610</v>
      </c>
      <c r="AO2976" s="4" t="s">
        <v>4611</v>
      </c>
      <c r="AP2976" s="4" t="s">
        <v>4612</v>
      </c>
      <c r="AQ2976" s="4" t="s">
        <v>4613</v>
      </c>
      <c r="AR2976" s="4" t="s">
        <v>4614</v>
      </c>
      <c r="AS2976" s="4" t="s">
        <v>4615</v>
      </c>
      <c r="AT2976" s="4" t="s">
        <v>4616</v>
      </c>
      <c r="AU2976" s="4" t="s">
        <v>4617</v>
      </c>
      <c r="AV2976" s="4" t="s">
        <v>4618</v>
      </c>
      <c r="AW2976" s="338" t="s">
        <v>4619</v>
      </c>
      <c r="AX2976" s="6" t="s">
        <v>36</v>
      </c>
    </row>
    <row r="2977" spans="2:51" x14ac:dyDescent="0.2">
      <c r="B2977" s="7"/>
      <c r="C2977" s="8">
        <v>13499</v>
      </c>
      <c r="D2977" s="9" t="s">
        <v>740</v>
      </c>
      <c r="E2977" s="10" t="str">
        <f t="shared" si="125"/>
        <v>Rancho Upácuaro No. 65</v>
      </c>
      <c r="F2977" s="10" t="str">
        <f t="shared" si="126"/>
        <v>Cruz González</v>
      </c>
      <c r="G2977" s="8">
        <v>1</v>
      </c>
      <c r="H2977" s="11">
        <v>800</v>
      </c>
      <c r="I2977" s="12">
        <v>42736</v>
      </c>
      <c r="J2977" s="35">
        <f t="shared" si="122"/>
        <v>0</v>
      </c>
      <c r="K2977" s="36"/>
      <c r="L2977" s="36"/>
      <c r="M2977" s="36"/>
      <c r="N2977" s="36"/>
      <c r="O2977" s="36"/>
      <c r="P2977" s="36"/>
      <c r="Q2977" s="36"/>
      <c r="R2977" s="36"/>
      <c r="S2977" s="36"/>
      <c r="T2977" s="36"/>
      <c r="U2977" s="36">
        <v>400</v>
      </c>
      <c r="V2977" s="36">
        <v>400</v>
      </c>
      <c r="W2977" s="15">
        <f t="shared" si="123"/>
        <v>800</v>
      </c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15">
        <f t="shared" si="124"/>
        <v>0</v>
      </c>
      <c r="AK2977" s="14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14"/>
      <c r="AV2977" s="14"/>
      <c r="AW2977" s="15"/>
      <c r="AX2977" s="16"/>
    </row>
    <row r="2978" spans="2:51" x14ac:dyDescent="0.2">
      <c r="B2978" s="7"/>
      <c r="C2978" s="8">
        <v>13500</v>
      </c>
      <c r="D2978" s="9" t="s">
        <v>3178</v>
      </c>
      <c r="E2978" s="10" t="str">
        <f t="shared" si="125"/>
        <v>Rancho La Cuchilla No. 103</v>
      </c>
      <c r="F2978" s="10" t="str">
        <f t="shared" si="126"/>
        <v>Bernal</v>
      </c>
      <c r="G2978" s="8">
        <v>1</v>
      </c>
      <c r="H2978" s="11">
        <v>500</v>
      </c>
      <c r="I2978" s="12">
        <v>42736</v>
      </c>
      <c r="J2978" s="35">
        <f t="shared" si="122"/>
        <v>0</v>
      </c>
      <c r="K2978" s="36"/>
      <c r="L2978" s="36"/>
      <c r="M2978" s="36"/>
      <c r="N2978" s="36"/>
      <c r="O2978" s="36"/>
      <c r="P2978" s="36"/>
      <c r="Q2978" s="36"/>
      <c r="R2978" s="36"/>
      <c r="S2978" s="36"/>
      <c r="T2978" s="36"/>
      <c r="U2978" s="36"/>
      <c r="V2978" s="36"/>
      <c r="W2978" s="15">
        <f t="shared" si="123"/>
        <v>0</v>
      </c>
      <c r="X2978" s="36">
        <v>500</v>
      </c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15">
        <f t="shared" si="124"/>
        <v>500</v>
      </c>
      <c r="AK2978" s="14"/>
      <c r="AL2978" s="14"/>
      <c r="AM2978" s="14"/>
      <c r="AN2978" s="14"/>
      <c r="AO2978" s="14"/>
      <c r="AP2978" s="14"/>
      <c r="AQ2978" s="14"/>
      <c r="AR2978" s="14"/>
      <c r="AS2978" s="14"/>
      <c r="AT2978" s="14"/>
      <c r="AU2978" s="14"/>
      <c r="AV2978" s="14"/>
      <c r="AW2978" s="15"/>
      <c r="AX2978" s="16"/>
    </row>
    <row r="2979" spans="2:51" x14ac:dyDescent="0.2">
      <c r="B2979" s="7"/>
      <c r="C2979" s="346">
        <v>13507</v>
      </c>
      <c r="D2979" s="9" t="s">
        <v>115</v>
      </c>
      <c r="E2979" s="10" t="str">
        <f t="shared" si="125"/>
        <v>Rancho Estanzuela No. 127</v>
      </c>
      <c r="F2979" s="10" t="str">
        <f t="shared" si="126"/>
        <v>Luna Zepeda</v>
      </c>
      <c r="G2979" s="8">
        <v>1</v>
      </c>
      <c r="H2979" s="11">
        <v>1650</v>
      </c>
      <c r="I2979" s="12">
        <v>42736</v>
      </c>
      <c r="J2979" s="35">
        <f t="shared" si="122"/>
        <v>0</v>
      </c>
      <c r="K2979" s="36"/>
      <c r="L2979" s="36"/>
      <c r="M2979" s="36"/>
      <c r="N2979" s="36"/>
      <c r="O2979" s="36"/>
      <c r="P2979" s="36"/>
      <c r="Q2979" s="36"/>
      <c r="R2979" s="36"/>
      <c r="S2979" s="36"/>
      <c r="T2979" s="36"/>
      <c r="U2979" s="36"/>
      <c r="V2979" s="36"/>
      <c r="W2979" s="15">
        <f t="shared" si="123"/>
        <v>0</v>
      </c>
      <c r="X2979" s="36">
        <v>150</v>
      </c>
      <c r="Y2979" s="36">
        <v>150</v>
      </c>
      <c r="Z2979" s="36">
        <v>150</v>
      </c>
      <c r="AA2979" s="36">
        <v>150</v>
      </c>
      <c r="AB2979" s="36">
        <v>150</v>
      </c>
      <c r="AC2979" s="36">
        <v>150</v>
      </c>
      <c r="AD2979" s="36">
        <v>150</v>
      </c>
      <c r="AE2979" s="36">
        <v>150</v>
      </c>
      <c r="AF2979" s="36">
        <v>150</v>
      </c>
      <c r="AG2979" s="36">
        <v>150</v>
      </c>
      <c r="AH2979" s="36">
        <v>150</v>
      </c>
      <c r="AI2979" s="36"/>
      <c r="AJ2979" s="15">
        <f t="shared" si="124"/>
        <v>1650</v>
      </c>
      <c r="AK2979" s="14"/>
      <c r="AL2979" s="14"/>
      <c r="AM2979" s="14"/>
      <c r="AN2979" s="14"/>
      <c r="AO2979" s="14"/>
      <c r="AP2979" s="14"/>
      <c r="AQ2979" s="14"/>
      <c r="AR2979" s="14"/>
      <c r="AS2979" s="14"/>
      <c r="AT2979" s="14"/>
      <c r="AU2979" s="14"/>
      <c r="AV2979" s="14"/>
      <c r="AW2979" s="15"/>
      <c r="AX2979" s="16" t="s">
        <v>3363</v>
      </c>
    </row>
    <row r="2980" spans="2:51" x14ac:dyDescent="0.2">
      <c r="B2980" s="7"/>
      <c r="C2980" s="8">
        <v>13508</v>
      </c>
      <c r="D2980" s="9" t="s">
        <v>678</v>
      </c>
      <c r="E2980" s="10" t="str">
        <f t="shared" si="125"/>
        <v>Rancho Upácuaro No. 76</v>
      </c>
      <c r="F2980" s="10" t="str">
        <f t="shared" si="126"/>
        <v>Ruiz de San Pedro</v>
      </c>
      <c r="G2980" s="8">
        <v>1</v>
      </c>
      <c r="H2980" s="11">
        <v>400</v>
      </c>
      <c r="I2980" s="12">
        <v>42736</v>
      </c>
      <c r="J2980" s="35">
        <f t="shared" si="122"/>
        <v>0</v>
      </c>
      <c r="K2980" s="36"/>
      <c r="L2980" s="36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  <c r="W2980" s="15">
        <f t="shared" si="123"/>
        <v>0</v>
      </c>
      <c r="X2980" s="36">
        <v>400</v>
      </c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15">
        <f t="shared" si="124"/>
        <v>400</v>
      </c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14"/>
      <c r="AV2980" s="14"/>
      <c r="AW2980" s="15"/>
      <c r="AX2980" s="16"/>
    </row>
    <row r="2981" spans="2:51" x14ac:dyDescent="0.2">
      <c r="B2981" s="7"/>
      <c r="C2981" s="8">
        <v>13509</v>
      </c>
      <c r="D2981" s="9" t="s">
        <v>150</v>
      </c>
      <c r="E2981" s="10" t="str">
        <f t="shared" si="125"/>
        <v>Rancho La Cuchilla No. 33</v>
      </c>
      <c r="F2981" s="10" t="str">
        <f t="shared" si="126"/>
        <v>Tanús</v>
      </c>
      <c r="G2981" s="8">
        <v>1</v>
      </c>
      <c r="H2981" s="11">
        <v>400</v>
      </c>
      <c r="I2981" s="12">
        <v>42736</v>
      </c>
      <c r="J2981" s="35">
        <f t="shared" si="122"/>
        <v>0</v>
      </c>
      <c r="K2981" s="36"/>
      <c r="L2981" s="36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  <c r="W2981" s="15">
        <f t="shared" si="123"/>
        <v>0</v>
      </c>
      <c r="X2981" s="36">
        <v>400</v>
      </c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15">
        <f t="shared" si="124"/>
        <v>400</v>
      </c>
      <c r="AK2981" s="14"/>
      <c r="AL2981" s="14"/>
      <c r="AM2981" s="14"/>
      <c r="AN2981" s="14"/>
      <c r="AO2981" s="14"/>
      <c r="AP2981" s="14"/>
      <c r="AQ2981" s="14"/>
      <c r="AR2981" s="14"/>
      <c r="AS2981" s="14"/>
      <c r="AT2981" s="14"/>
      <c r="AU2981" s="14"/>
      <c r="AV2981" s="14"/>
      <c r="AW2981" s="15"/>
      <c r="AX2981" s="16"/>
    </row>
    <row r="2982" spans="2:51" x14ac:dyDescent="0.2">
      <c r="B2982" s="7"/>
      <c r="C2982" s="8">
        <v>13510</v>
      </c>
      <c r="D2982" s="9" t="s">
        <v>782</v>
      </c>
      <c r="E2982" s="10" t="str">
        <f t="shared" si="125"/>
        <v>Rancho Estanzuela No. 35</v>
      </c>
      <c r="F2982" s="10" t="str">
        <f t="shared" si="126"/>
        <v>Rodríguez</v>
      </c>
      <c r="G2982" s="8">
        <v>1</v>
      </c>
      <c r="H2982" s="11">
        <v>600</v>
      </c>
      <c r="I2982" s="12">
        <v>42736</v>
      </c>
      <c r="J2982" s="35">
        <f t="shared" si="122"/>
        <v>0</v>
      </c>
      <c r="K2982" s="36"/>
      <c r="L2982" s="36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  <c r="W2982" s="15">
        <f t="shared" si="123"/>
        <v>0</v>
      </c>
      <c r="X2982" s="36">
        <v>200</v>
      </c>
      <c r="Y2982" s="36">
        <v>200</v>
      </c>
      <c r="Z2982" s="36">
        <v>200</v>
      </c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15">
        <f t="shared" si="124"/>
        <v>600</v>
      </c>
      <c r="AK2982" s="14"/>
      <c r="AL2982" s="14"/>
      <c r="AM2982" s="14"/>
      <c r="AN2982" s="14"/>
      <c r="AO2982" s="14"/>
      <c r="AP2982" s="14"/>
      <c r="AQ2982" s="14"/>
      <c r="AR2982" s="14"/>
      <c r="AS2982" s="14"/>
      <c r="AT2982" s="14"/>
      <c r="AU2982" s="14"/>
      <c r="AV2982" s="14"/>
      <c r="AW2982" s="15"/>
      <c r="AX2982" s="16"/>
    </row>
    <row r="2983" spans="2:51" x14ac:dyDescent="0.2">
      <c r="B2983" s="7"/>
      <c r="C2983" s="8">
        <v>13511</v>
      </c>
      <c r="D2983" s="9" t="s">
        <v>523</v>
      </c>
      <c r="E2983" s="10" t="str">
        <f t="shared" si="125"/>
        <v>Rancho Estanzuela No. 139</v>
      </c>
      <c r="F2983" s="10" t="str">
        <f t="shared" si="126"/>
        <v xml:space="preserve">Ortiz   </v>
      </c>
      <c r="G2983" s="8">
        <v>1</v>
      </c>
      <c r="H2983" s="11">
        <v>400</v>
      </c>
      <c r="I2983" s="12">
        <v>42736</v>
      </c>
      <c r="J2983" s="35">
        <f t="shared" si="122"/>
        <v>0</v>
      </c>
      <c r="K2983" s="36"/>
      <c r="L2983" s="36"/>
      <c r="M2983" s="36"/>
      <c r="N2983" s="36"/>
      <c r="O2983" s="36"/>
      <c r="P2983" s="36"/>
      <c r="Q2983" s="36"/>
      <c r="R2983" s="36"/>
      <c r="S2983" s="36"/>
      <c r="T2983" s="36">
        <v>400</v>
      </c>
      <c r="U2983" s="36"/>
      <c r="V2983" s="36"/>
      <c r="W2983" s="15">
        <f t="shared" si="123"/>
        <v>400</v>
      </c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15">
        <f t="shared" si="124"/>
        <v>0</v>
      </c>
      <c r="AK2983" s="14"/>
      <c r="AL2983" s="14"/>
      <c r="AM2983" s="14"/>
      <c r="AN2983" s="14"/>
      <c r="AO2983" s="14"/>
      <c r="AP2983" s="14"/>
      <c r="AQ2983" s="14"/>
      <c r="AR2983" s="14"/>
      <c r="AS2983" s="14"/>
      <c r="AT2983" s="14"/>
      <c r="AU2983" s="14"/>
      <c r="AV2983" s="14"/>
      <c r="AW2983" s="15"/>
      <c r="AX2983" s="16"/>
    </row>
    <row r="2984" spans="2:51" x14ac:dyDescent="0.2">
      <c r="B2984" s="7"/>
      <c r="C2984" s="8">
        <v>13512</v>
      </c>
      <c r="D2984" s="9" t="s">
        <v>97</v>
      </c>
      <c r="E2984" s="10" t="str">
        <f t="shared" si="125"/>
        <v>Rancho La Cuchilla No. 78</v>
      </c>
      <c r="F2984" s="10" t="str">
        <f t="shared" si="126"/>
        <v>García</v>
      </c>
      <c r="G2984" s="8">
        <v>1</v>
      </c>
      <c r="H2984" s="11">
        <v>400</v>
      </c>
      <c r="I2984" s="12">
        <v>42736</v>
      </c>
      <c r="J2984" s="35">
        <f t="shared" si="122"/>
        <v>0</v>
      </c>
      <c r="K2984" s="36"/>
      <c r="L2984" s="36"/>
      <c r="M2984" s="36"/>
      <c r="N2984" s="36"/>
      <c r="O2984" s="36"/>
      <c r="P2984" s="36"/>
      <c r="Q2984" s="36"/>
      <c r="R2984" s="36"/>
      <c r="S2984" s="36"/>
      <c r="T2984" s="36"/>
      <c r="U2984" s="36"/>
      <c r="V2984" s="36"/>
      <c r="W2984" s="15">
        <f t="shared" si="123"/>
        <v>0</v>
      </c>
      <c r="X2984" s="36">
        <v>400</v>
      </c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15">
        <f t="shared" si="124"/>
        <v>400</v>
      </c>
      <c r="AK2984" s="14"/>
      <c r="AL2984" s="14"/>
      <c r="AM2984" s="14"/>
      <c r="AN2984" s="14"/>
      <c r="AO2984" s="14"/>
      <c r="AP2984" s="14"/>
      <c r="AQ2984" s="14"/>
      <c r="AR2984" s="14"/>
      <c r="AS2984" s="14"/>
      <c r="AT2984" s="14"/>
      <c r="AU2984" s="14"/>
      <c r="AV2984" s="14"/>
      <c r="AW2984" s="15"/>
      <c r="AX2984" s="16"/>
    </row>
    <row r="2985" spans="2:51" x14ac:dyDescent="0.2">
      <c r="B2985" s="7"/>
      <c r="C2985" s="8">
        <v>13513</v>
      </c>
      <c r="D2985" s="9" t="s">
        <v>171</v>
      </c>
      <c r="E2985" s="10" t="str">
        <f t="shared" si="125"/>
        <v>Rancho La Cuchilla No. 72</v>
      </c>
      <c r="F2985" s="10" t="str">
        <f t="shared" si="126"/>
        <v>Ortiz González</v>
      </c>
      <c r="G2985" s="8">
        <v>1</v>
      </c>
      <c r="H2985" s="11">
        <v>400</v>
      </c>
      <c r="I2985" s="12">
        <v>42736</v>
      </c>
      <c r="J2985" s="35">
        <f t="shared" si="122"/>
        <v>0</v>
      </c>
      <c r="K2985" s="36"/>
      <c r="L2985" s="36"/>
      <c r="M2985" s="36"/>
      <c r="N2985" s="36"/>
      <c r="O2985" s="36"/>
      <c r="P2985" s="36"/>
      <c r="Q2985" s="36"/>
      <c r="R2985" s="36"/>
      <c r="S2985" s="36"/>
      <c r="T2985" s="36"/>
      <c r="U2985" s="36"/>
      <c r="V2985" s="36"/>
      <c r="W2985" s="15">
        <f t="shared" si="123"/>
        <v>0</v>
      </c>
      <c r="X2985" s="36">
        <v>400</v>
      </c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15">
        <f t="shared" si="124"/>
        <v>400</v>
      </c>
      <c r="AK2985" s="14"/>
      <c r="AL2985" s="14"/>
      <c r="AM2985" s="14"/>
      <c r="AN2985" s="14"/>
      <c r="AO2985" s="14"/>
      <c r="AP2985" s="14"/>
      <c r="AQ2985" s="14"/>
      <c r="AR2985" s="14"/>
      <c r="AS2985" s="14"/>
      <c r="AT2985" s="14"/>
      <c r="AU2985" s="14"/>
      <c r="AV2985" s="14"/>
      <c r="AW2985" s="15"/>
      <c r="AX2985" s="16"/>
    </row>
    <row r="2986" spans="2:51" x14ac:dyDescent="0.2">
      <c r="B2986" s="7"/>
      <c r="C2986" s="8">
        <v>13514</v>
      </c>
      <c r="D2986" s="9" t="s">
        <v>58</v>
      </c>
      <c r="E2986" s="10" t="str">
        <f t="shared" si="125"/>
        <v>Rancho Landero No. 19</v>
      </c>
      <c r="F2986" s="10" t="str">
        <f t="shared" si="126"/>
        <v>Becerril Amaya</v>
      </c>
      <c r="G2986" s="8">
        <v>5</v>
      </c>
      <c r="H2986" s="11">
        <v>50</v>
      </c>
      <c r="I2986" s="12">
        <v>42736</v>
      </c>
      <c r="J2986" s="35">
        <f t="shared" si="122"/>
        <v>0</v>
      </c>
      <c r="K2986" s="36"/>
      <c r="L2986" s="36"/>
      <c r="M2986" s="36"/>
      <c r="N2986" s="36"/>
      <c r="O2986" s="36"/>
      <c r="P2986" s="36"/>
      <c r="Q2986" s="36"/>
      <c r="R2986" s="36"/>
      <c r="S2986" s="36"/>
      <c r="T2986" s="36"/>
      <c r="U2986" s="36"/>
      <c r="V2986" s="36"/>
      <c r="W2986" s="15">
        <f t="shared" si="123"/>
        <v>0</v>
      </c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15">
        <f t="shared" si="124"/>
        <v>0</v>
      </c>
      <c r="AK2986" s="14"/>
      <c r="AL2986" s="14"/>
      <c r="AM2986" s="14"/>
      <c r="AN2986" s="14"/>
      <c r="AO2986" s="14"/>
      <c r="AP2986" s="14"/>
      <c r="AQ2986" s="14"/>
      <c r="AR2986" s="14"/>
      <c r="AS2986" s="14"/>
      <c r="AT2986" s="14"/>
      <c r="AU2986" s="14"/>
      <c r="AV2986" s="14"/>
      <c r="AW2986" s="15"/>
      <c r="AX2986" s="16"/>
    </row>
    <row r="2987" spans="2:51" x14ac:dyDescent="0.2">
      <c r="B2987" s="7"/>
      <c r="C2987" s="8">
        <v>13515</v>
      </c>
      <c r="D2987" s="9" t="s">
        <v>289</v>
      </c>
      <c r="E2987" s="10" t="str">
        <f t="shared" si="125"/>
        <v>Rancho Estanzuela No. 17</v>
      </c>
      <c r="F2987" s="10" t="str">
        <f t="shared" si="126"/>
        <v>Enciso Ledesma</v>
      </c>
      <c r="G2987" s="8">
        <v>1</v>
      </c>
      <c r="H2987" s="11">
        <v>2200</v>
      </c>
      <c r="I2987" s="12">
        <v>42736</v>
      </c>
      <c r="J2987" s="35">
        <f t="shared" ref="J2987:J2994" si="132">IF(G2987=1,SUM(W2987,AJ2987,-H2987),0)</f>
        <v>0</v>
      </c>
      <c r="K2987" s="36"/>
      <c r="L2987" s="36"/>
      <c r="M2987" s="36"/>
      <c r="N2987" s="36"/>
      <c r="O2987" s="36"/>
      <c r="P2987" s="36"/>
      <c r="Q2987" s="36"/>
      <c r="R2987" s="36"/>
      <c r="S2987" s="36"/>
      <c r="T2987" s="36"/>
      <c r="U2987" s="36"/>
      <c r="V2987" s="36"/>
      <c r="W2987" s="15">
        <f t="shared" ref="W2987:W2994" si="133">SUM(K2987:V2987)</f>
        <v>0</v>
      </c>
      <c r="X2987" s="36">
        <v>200</v>
      </c>
      <c r="Y2987" s="36">
        <v>200</v>
      </c>
      <c r="Z2987" s="36">
        <v>200</v>
      </c>
      <c r="AA2987" s="36">
        <v>200</v>
      </c>
      <c r="AB2987" s="36">
        <v>200</v>
      </c>
      <c r="AC2987" s="36">
        <v>200</v>
      </c>
      <c r="AD2987" s="36">
        <v>200</v>
      </c>
      <c r="AE2987" s="36">
        <v>200</v>
      </c>
      <c r="AF2987" s="36">
        <v>200</v>
      </c>
      <c r="AG2987" s="36">
        <v>200</v>
      </c>
      <c r="AH2987" s="36">
        <v>200</v>
      </c>
      <c r="AI2987" s="36"/>
      <c r="AJ2987" s="15">
        <f t="shared" ref="AJ2987:AJ2994" si="134">SUM(X2987:AI2987)</f>
        <v>2200</v>
      </c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14"/>
      <c r="AV2987" s="14"/>
      <c r="AW2987" s="15"/>
      <c r="AX2987" s="16" t="s">
        <v>3363</v>
      </c>
    </row>
    <row r="2988" spans="2:51" x14ac:dyDescent="0.2">
      <c r="B2988" s="7"/>
      <c r="C2988" s="8">
        <v>13516</v>
      </c>
      <c r="D2988" s="9" t="s">
        <v>262</v>
      </c>
      <c r="E2988" s="10" t="str">
        <f t="shared" si="125"/>
        <v>Rancho Recoveco No. 1</v>
      </c>
      <c r="F2988" s="10" t="str">
        <f t="shared" si="126"/>
        <v>Díaz</v>
      </c>
      <c r="G2988" s="8">
        <v>1</v>
      </c>
      <c r="H2988" s="11">
        <v>600</v>
      </c>
      <c r="I2988" s="12">
        <v>42736</v>
      </c>
      <c r="J2988" s="35">
        <f t="shared" si="132"/>
        <v>0</v>
      </c>
      <c r="K2988" s="36"/>
      <c r="L2988" s="36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>
        <v>300</v>
      </c>
      <c r="W2988" s="15">
        <f t="shared" si="133"/>
        <v>300</v>
      </c>
      <c r="X2988" s="36">
        <v>300</v>
      </c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15">
        <f t="shared" si="134"/>
        <v>300</v>
      </c>
      <c r="AK2988" s="14"/>
      <c r="AL2988" s="14"/>
      <c r="AM2988" s="14"/>
      <c r="AN2988" s="14"/>
      <c r="AO2988" s="14"/>
      <c r="AP2988" s="14"/>
      <c r="AQ2988" s="14"/>
      <c r="AR2988" s="14"/>
      <c r="AS2988" s="14"/>
      <c r="AT2988" s="14"/>
      <c r="AU2988" s="14"/>
      <c r="AV2988" s="14"/>
      <c r="AW2988" s="15"/>
      <c r="AX2988" s="16"/>
    </row>
    <row r="2989" spans="2:51" x14ac:dyDescent="0.2">
      <c r="B2989" s="7"/>
      <c r="C2989" s="8">
        <v>13517</v>
      </c>
      <c r="D2989" s="9" t="s">
        <v>384</v>
      </c>
      <c r="E2989" s="10" t="str">
        <f t="shared" ref="E2989:E2994" si="135">IF(D2989=0,"",VLOOKUP(D2989,BASE,2,FALSE))</f>
        <v>Rancho Zinamba No. 88</v>
      </c>
      <c r="F2989" s="10" t="str">
        <f t="shared" ref="F2989:F2994" si="136">IF(D2989=0,"",VLOOKUP(D2989,BASE,3,FALSE))</f>
        <v>Martínez</v>
      </c>
      <c r="G2989" s="8">
        <v>1</v>
      </c>
      <c r="H2989" s="11">
        <v>300</v>
      </c>
      <c r="I2989" s="12">
        <v>42736</v>
      </c>
      <c r="J2989" s="35">
        <f t="shared" si="132"/>
        <v>0</v>
      </c>
      <c r="K2989" s="36"/>
      <c r="L2989" s="36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>
        <v>300</v>
      </c>
      <c r="W2989" s="15">
        <f t="shared" si="133"/>
        <v>300</v>
      </c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15">
        <f t="shared" si="134"/>
        <v>0</v>
      </c>
      <c r="AK2989" s="14"/>
      <c r="AL2989" s="14"/>
      <c r="AM2989" s="14"/>
      <c r="AN2989" s="14"/>
      <c r="AO2989" s="14"/>
      <c r="AP2989" s="14"/>
      <c r="AQ2989" s="14"/>
      <c r="AR2989" s="14"/>
      <c r="AS2989" s="14"/>
      <c r="AT2989" s="14"/>
      <c r="AU2989" s="14"/>
      <c r="AV2989" s="14"/>
      <c r="AW2989" s="15"/>
      <c r="AX2989" s="16"/>
    </row>
    <row r="2990" spans="2:51" x14ac:dyDescent="0.2">
      <c r="B2990" s="7"/>
      <c r="C2990" s="8">
        <v>13518</v>
      </c>
      <c r="D2990" s="9" t="s">
        <v>129</v>
      </c>
      <c r="E2990" s="10" t="str">
        <f t="shared" si="135"/>
        <v>Rancho Zinamba No. 44</v>
      </c>
      <c r="F2990" s="10" t="str">
        <f t="shared" si="136"/>
        <v>Canales</v>
      </c>
      <c r="G2990" s="8">
        <v>1</v>
      </c>
      <c r="H2990" s="11">
        <v>400</v>
      </c>
      <c r="I2990" s="12">
        <v>42736</v>
      </c>
      <c r="J2990" s="35">
        <f t="shared" si="132"/>
        <v>0</v>
      </c>
      <c r="K2990" s="36"/>
      <c r="L2990" s="36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  <c r="W2990" s="15">
        <f t="shared" si="133"/>
        <v>0</v>
      </c>
      <c r="X2990" s="36">
        <v>400</v>
      </c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15">
        <f t="shared" si="134"/>
        <v>400</v>
      </c>
      <c r="AK2990" s="14"/>
      <c r="AL2990" s="14"/>
      <c r="AM2990" s="14"/>
      <c r="AN2990" s="14"/>
      <c r="AO2990" s="14"/>
      <c r="AP2990" s="14"/>
      <c r="AQ2990" s="14"/>
      <c r="AR2990" s="14"/>
      <c r="AS2990" s="14"/>
      <c r="AT2990" s="14"/>
      <c r="AU2990" s="14"/>
      <c r="AV2990" s="14"/>
      <c r="AW2990" s="15"/>
      <c r="AX2990" s="16"/>
    </row>
    <row r="2991" spans="2:51" x14ac:dyDescent="0.2">
      <c r="B2991" s="7"/>
      <c r="C2991" s="8">
        <v>13519</v>
      </c>
      <c r="D2991" s="9" t="s">
        <v>229</v>
      </c>
      <c r="E2991" s="10" t="str">
        <f t="shared" si="135"/>
        <v>Rancho La Cuchilla No. 14</v>
      </c>
      <c r="F2991" s="10" t="str">
        <f t="shared" si="136"/>
        <v>Chávez Lara</v>
      </c>
      <c r="G2991" s="8">
        <v>1</v>
      </c>
      <c r="H2991" s="11">
        <v>4400</v>
      </c>
      <c r="I2991" s="12">
        <v>42736</v>
      </c>
      <c r="J2991" s="35">
        <f t="shared" si="132"/>
        <v>0</v>
      </c>
      <c r="K2991" s="36"/>
      <c r="L2991" s="36"/>
      <c r="M2991" s="36"/>
      <c r="N2991" s="36"/>
      <c r="O2991" s="36"/>
      <c r="P2991" s="36"/>
      <c r="Q2991" s="36"/>
      <c r="R2991" s="36"/>
      <c r="S2991" s="36"/>
      <c r="T2991" s="36"/>
      <c r="U2991" s="36"/>
      <c r="V2991" s="36"/>
      <c r="W2991" s="15">
        <f t="shared" si="133"/>
        <v>0</v>
      </c>
      <c r="X2991" s="36">
        <v>400</v>
      </c>
      <c r="Y2991" s="36">
        <v>400</v>
      </c>
      <c r="Z2991" s="36">
        <v>400</v>
      </c>
      <c r="AA2991" s="36">
        <v>400</v>
      </c>
      <c r="AB2991" s="36">
        <v>400</v>
      </c>
      <c r="AC2991" s="36">
        <v>400</v>
      </c>
      <c r="AD2991" s="36">
        <v>400</v>
      </c>
      <c r="AE2991" s="36">
        <v>400</v>
      </c>
      <c r="AF2991" s="36">
        <v>400</v>
      </c>
      <c r="AG2991" s="36">
        <v>400</v>
      </c>
      <c r="AH2991" s="36">
        <v>400</v>
      </c>
      <c r="AI2991" s="36"/>
      <c r="AJ2991" s="15">
        <f t="shared" si="134"/>
        <v>4400</v>
      </c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14"/>
      <c r="AV2991" s="14"/>
      <c r="AW2991" s="15"/>
      <c r="AX2991" s="16" t="s">
        <v>3363</v>
      </c>
      <c r="AY2991" t="s">
        <v>3364</v>
      </c>
    </row>
    <row r="2992" spans="2:51" x14ac:dyDescent="0.2">
      <c r="B2992" s="7"/>
      <c r="C2992" s="8">
        <v>13520</v>
      </c>
      <c r="D2992" s="9"/>
      <c r="E2992" s="10" t="str">
        <f t="shared" si="135"/>
        <v/>
      </c>
      <c r="F2992" s="10" t="str">
        <f t="shared" si="136"/>
        <v/>
      </c>
      <c r="G2992" s="8">
        <v>8</v>
      </c>
      <c r="H2992" s="11"/>
      <c r="I2992" s="12"/>
      <c r="J2992" s="35">
        <f t="shared" si="132"/>
        <v>0</v>
      </c>
      <c r="K2992" s="36"/>
      <c r="L2992" s="36"/>
      <c r="M2992" s="36"/>
      <c r="N2992" s="36"/>
      <c r="O2992" s="36"/>
      <c r="P2992" s="36"/>
      <c r="Q2992" s="36"/>
      <c r="R2992" s="36"/>
      <c r="S2992" s="36"/>
      <c r="T2992" s="36"/>
      <c r="U2992" s="36"/>
      <c r="V2992" s="36"/>
      <c r="W2992" s="15">
        <f t="shared" si="133"/>
        <v>0</v>
      </c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15">
        <f t="shared" si="134"/>
        <v>0</v>
      </c>
      <c r="AK2992" s="14"/>
      <c r="AL2992" s="14"/>
      <c r="AM2992" s="14"/>
      <c r="AN2992" s="14"/>
      <c r="AO2992" s="14"/>
      <c r="AP2992" s="14"/>
      <c r="AQ2992" s="14"/>
      <c r="AR2992" s="14"/>
      <c r="AS2992" s="14"/>
      <c r="AT2992" s="14"/>
      <c r="AU2992" s="14"/>
      <c r="AV2992" s="14"/>
      <c r="AW2992" s="15"/>
      <c r="AX2992" s="16"/>
      <c r="AY2992" t="s">
        <v>3365</v>
      </c>
    </row>
    <row r="2993" spans="2:50" x14ac:dyDescent="0.2">
      <c r="B2993" s="7"/>
      <c r="C2993" s="8">
        <v>13521</v>
      </c>
      <c r="D2993" s="9" t="s">
        <v>963</v>
      </c>
      <c r="E2993" s="10" t="str">
        <f t="shared" si="135"/>
        <v>Rancho La Cuchilla No. 47</v>
      </c>
      <c r="F2993" s="10" t="str">
        <f t="shared" si="136"/>
        <v>López</v>
      </c>
      <c r="G2993" s="8">
        <v>1</v>
      </c>
      <c r="H2993" s="315">
        <v>800</v>
      </c>
      <c r="I2993" s="12">
        <v>42736</v>
      </c>
      <c r="J2993" s="35">
        <f t="shared" si="132"/>
        <v>0</v>
      </c>
      <c r="K2993" s="36"/>
      <c r="L2993" s="36"/>
      <c r="M2993" s="36"/>
      <c r="N2993" s="36"/>
      <c r="O2993" s="36"/>
      <c r="P2993" s="36"/>
      <c r="Q2993" s="36"/>
      <c r="R2993" s="36"/>
      <c r="S2993" s="36"/>
      <c r="T2993" s="36"/>
      <c r="U2993" s="36"/>
      <c r="V2993" s="36">
        <v>400</v>
      </c>
      <c r="W2993" s="15">
        <f t="shared" si="133"/>
        <v>400</v>
      </c>
      <c r="X2993" s="36">
        <v>400</v>
      </c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15">
        <f t="shared" si="134"/>
        <v>400</v>
      </c>
      <c r="AK2993" s="14"/>
      <c r="AL2993" s="14"/>
      <c r="AM2993" s="14"/>
      <c r="AN2993" s="14"/>
      <c r="AO2993" s="14"/>
      <c r="AP2993" s="14"/>
      <c r="AQ2993" s="14"/>
      <c r="AR2993" s="14"/>
      <c r="AS2993" s="14"/>
      <c r="AT2993" s="14"/>
      <c r="AU2993" s="14"/>
      <c r="AV2993" s="14"/>
      <c r="AW2993" s="15"/>
      <c r="AX2993" s="316">
        <f>SUM(H2977:H2993)</f>
        <v>14300</v>
      </c>
    </row>
    <row r="2994" spans="2:50" x14ac:dyDescent="0.2">
      <c r="B2994" s="7"/>
      <c r="C2994" s="8">
        <v>13522</v>
      </c>
      <c r="D2994" s="9" t="s">
        <v>1417</v>
      </c>
      <c r="E2994" s="10" t="str">
        <f t="shared" si="135"/>
        <v>Rancho Upácuaro No. 34</v>
      </c>
      <c r="F2994" s="10" t="str">
        <f t="shared" si="136"/>
        <v>Gómez González</v>
      </c>
      <c r="G2994" s="8">
        <v>1</v>
      </c>
      <c r="H2994" s="11">
        <v>300</v>
      </c>
      <c r="I2994" s="12">
        <v>42738</v>
      </c>
      <c r="J2994" s="35">
        <f t="shared" si="132"/>
        <v>0</v>
      </c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  <c r="U2994" s="36"/>
      <c r="V2994" s="36">
        <v>300</v>
      </c>
      <c r="W2994" s="15">
        <f t="shared" si="133"/>
        <v>300</v>
      </c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15">
        <f t="shared" si="134"/>
        <v>0</v>
      </c>
      <c r="AK2994" s="14"/>
      <c r="AL2994" s="14"/>
      <c r="AM2994" s="14"/>
      <c r="AN2994" s="14"/>
      <c r="AO2994" s="14"/>
      <c r="AP2994" s="14"/>
      <c r="AQ2994" s="14"/>
      <c r="AR2994" s="14"/>
      <c r="AS2994" s="14"/>
      <c r="AT2994" s="14"/>
      <c r="AU2994" s="14"/>
      <c r="AV2994" s="14"/>
      <c r="AW2994" s="15"/>
      <c r="AX2994" s="16"/>
    </row>
    <row r="2995" spans="2:50" x14ac:dyDescent="0.2">
      <c r="B2995" s="7"/>
      <c r="C2995" s="8">
        <v>13523</v>
      </c>
      <c r="D2995" s="9" t="s">
        <v>595</v>
      </c>
      <c r="E2995" s="10" t="str">
        <f t="shared" ref="E2995:E3059" si="137">IF(D2995=0,"",VLOOKUP(D2995,BASE,2,FALSE))</f>
        <v>Rancho Upácuaro No. 62</v>
      </c>
      <c r="F2995" s="10" t="str">
        <f t="shared" ref="F2995:F3059" si="138">IF(D2995=0,"",VLOOKUP(D2995,BASE,3,FALSE))</f>
        <v>Jiménez Escutia</v>
      </c>
      <c r="G2995" s="8">
        <v>1</v>
      </c>
      <c r="H2995" s="11">
        <v>4800</v>
      </c>
      <c r="I2995" s="12">
        <v>42738</v>
      </c>
      <c r="J2995" s="35">
        <f t="shared" ref="J2995:J3059" si="139">IF(G2995=1,SUM(W2995,AJ2995,-H2995),0)</f>
        <v>0</v>
      </c>
      <c r="K2995" s="36">
        <v>400</v>
      </c>
      <c r="L2995" s="36">
        <v>400</v>
      </c>
      <c r="M2995" s="36">
        <v>400</v>
      </c>
      <c r="N2995" s="36">
        <v>400</v>
      </c>
      <c r="O2995" s="36">
        <v>400</v>
      </c>
      <c r="P2995" s="36">
        <v>400</v>
      </c>
      <c r="Q2995" s="36">
        <v>400</v>
      </c>
      <c r="R2995" s="36">
        <v>400</v>
      </c>
      <c r="S2995" s="36">
        <v>400</v>
      </c>
      <c r="T2995" s="36">
        <v>400</v>
      </c>
      <c r="U2995" s="36">
        <v>400</v>
      </c>
      <c r="V2995" s="36">
        <v>400</v>
      </c>
      <c r="W2995" s="15">
        <f t="shared" ref="W2995:W3059" si="140">SUM(K2995:V2995)</f>
        <v>4800</v>
      </c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15">
        <f t="shared" ref="AJ2995:AJ3059" si="141">SUM(X2995:AI2995)</f>
        <v>0</v>
      </c>
      <c r="AK2995" s="14"/>
      <c r="AL2995" s="14"/>
      <c r="AM2995" s="14"/>
      <c r="AN2995" s="14"/>
      <c r="AO2995" s="14"/>
      <c r="AP2995" s="14"/>
      <c r="AQ2995" s="14"/>
      <c r="AR2995" s="14"/>
      <c r="AS2995" s="14"/>
      <c r="AT2995" s="14"/>
      <c r="AU2995" s="14"/>
      <c r="AV2995" s="14"/>
      <c r="AW2995" s="15"/>
      <c r="AX2995" s="16"/>
    </row>
    <row r="2996" spans="2:50" x14ac:dyDescent="0.2">
      <c r="B2996" s="7"/>
      <c r="C2996" s="8">
        <v>13524</v>
      </c>
      <c r="D2996" s="9" t="s">
        <v>595</v>
      </c>
      <c r="E2996" s="10" t="str">
        <f t="shared" si="137"/>
        <v>Rancho Upácuaro No. 62</v>
      </c>
      <c r="F2996" s="10" t="str">
        <f t="shared" si="138"/>
        <v>Jiménez Escutia</v>
      </c>
      <c r="G2996" s="8">
        <v>5</v>
      </c>
      <c r="H2996" s="11">
        <v>100</v>
      </c>
      <c r="I2996" s="12">
        <v>42738</v>
      </c>
      <c r="J2996" s="35">
        <f t="shared" si="139"/>
        <v>0</v>
      </c>
      <c r="K2996" s="36"/>
      <c r="L2996" s="36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  <c r="W2996" s="15">
        <f t="shared" si="140"/>
        <v>0</v>
      </c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15">
        <f t="shared" si="141"/>
        <v>0</v>
      </c>
      <c r="AK2996" s="14"/>
      <c r="AL2996" s="14"/>
      <c r="AM2996" s="14"/>
      <c r="AN2996" s="14"/>
      <c r="AO2996" s="14"/>
      <c r="AP2996" s="14"/>
      <c r="AQ2996" s="14"/>
      <c r="AR2996" s="14"/>
      <c r="AS2996" s="14"/>
      <c r="AT2996" s="14"/>
      <c r="AU2996" s="14"/>
      <c r="AV2996" s="14"/>
      <c r="AW2996" s="15"/>
      <c r="AX2996" s="16"/>
    </row>
    <row r="2997" spans="2:50" x14ac:dyDescent="0.2">
      <c r="B2997" s="7"/>
      <c r="C2997" s="8">
        <v>13425</v>
      </c>
      <c r="D2997" s="9" t="s">
        <v>162</v>
      </c>
      <c r="E2997" s="10" t="str">
        <f t="shared" si="137"/>
        <v>Rancho La Cuchilla No. 20</v>
      </c>
      <c r="F2997" s="10" t="str">
        <f t="shared" si="138"/>
        <v>Sánchez López</v>
      </c>
      <c r="G2997" s="8">
        <v>4</v>
      </c>
      <c r="H2997" s="11">
        <v>200</v>
      </c>
      <c r="I2997" s="12">
        <v>42739</v>
      </c>
      <c r="J2997" s="35">
        <f t="shared" si="139"/>
        <v>0</v>
      </c>
      <c r="K2997" s="36"/>
      <c r="L2997" s="36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  <c r="W2997" s="15">
        <f t="shared" si="140"/>
        <v>0</v>
      </c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15">
        <f t="shared" si="141"/>
        <v>0</v>
      </c>
      <c r="AK2997" s="14"/>
      <c r="AL2997" s="14"/>
      <c r="AM2997" s="14"/>
      <c r="AN2997" s="14"/>
      <c r="AO2997" s="14"/>
      <c r="AP2997" s="14"/>
      <c r="AQ2997" s="14"/>
      <c r="AR2997" s="14"/>
      <c r="AS2997" s="14"/>
      <c r="AT2997" s="14"/>
      <c r="AU2997" s="14"/>
      <c r="AV2997" s="14"/>
      <c r="AW2997" s="15"/>
      <c r="AX2997" s="16" t="s">
        <v>3368</v>
      </c>
    </row>
    <row r="2998" spans="2:50" x14ac:dyDescent="0.2">
      <c r="B2998" s="7"/>
      <c r="C2998" s="8">
        <v>13526</v>
      </c>
      <c r="D2998" s="9" t="s">
        <v>598</v>
      </c>
      <c r="E2998" s="10" t="str">
        <f t="shared" si="137"/>
        <v>Rancho Estanzuela No. 21</v>
      </c>
      <c r="F2998" s="10" t="str">
        <f t="shared" si="138"/>
        <v>Morales</v>
      </c>
      <c r="G2998" s="8">
        <v>1</v>
      </c>
      <c r="H2998" s="11">
        <v>800</v>
      </c>
      <c r="I2998" s="12">
        <v>42739</v>
      </c>
      <c r="J2998" s="35">
        <f t="shared" si="139"/>
        <v>0</v>
      </c>
      <c r="K2998" s="36"/>
      <c r="L2998" s="36"/>
      <c r="M2998" s="36"/>
      <c r="N2998" s="36"/>
      <c r="O2998" s="36"/>
      <c r="P2998" s="36"/>
      <c r="Q2998" s="36"/>
      <c r="R2998" s="36"/>
      <c r="S2998" s="36"/>
      <c r="T2998" s="36"/>
      <c r="U2998" s="36">
        <v>400</v>
      </c>
      <c r="V2998" s="36">
        <v>400</v>
      </c>
      <c r="W2998" s="15">
        <f t="shared" si="140"/>
        <v>800</v>
      </c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15">
        <f t="shared" si="141"/>
        <v>0</v>
      </c>
      <c r="AK2998" s="14"/>
      <c r="AL2998" s="14"/>
      <c r="AM2998" s="14"/>
      <c r="AN2998" s="14"/>
      <c r="AO2998" s="14"/>
      <c r="AP2998" s="14"/>
      <c r="AQ2998" s="14"/>
      <c r="AR2998" s="14"/>
      <c r="AS2998" s="14"/>
      <c r="AT2998" s="14"/>
      <c r="AU2998" s="14"/>
      <c r="AV2998" s="14"/>
      <c r="AW2998" s="15"/>
      <c r="AX2998" s="16"/>
    </row>
    <row r="2999" spans="2:50" x14ac:dyDescent="0.2">
      <c r="B2999" s="7"/>
      <c r="C2999" s="8">
        <v>13527</v>
      </c>
      <c r="D2999" s="9" t="s">
        <v>807</v>
      </c>
      <c r="E2999" s="10" t="str">
        <f t="shared" si="137"/>
        <v>Rancho La Cuchilla No. 61</v>
      </c>
      <c r="F2999" s="10" t="str">
        <f t="shared" si="138"/>
        <v>Rivera</v>
      </c>
      <c r="G2999" s="8">
        <v>1</v>
      </c>
      <c r="H2999" s="11">
        <v>400</v>
      </c>
      <c r="I2999" s="12">
        <v>42741</v>
      </c>
      <c r="J2999" s="35">
        <f t="shared" si="139"/>
        <v>0</v>
      </c>
      <c r="K2999" s="36"/>
      <c r="L2999" s="36"/>
      <c r="M2999" s="36"/>
      <c r="N2999" s="36"/>
      <c r="O2999" s="36"/>
      <c r="P2999" s="36"/>
      <c r="Q2999" s="36"/>
      <c r="R2999" s="36"/>
      <c r="S2999" s="36"/>
      <c r="T2999" s="36"/>
      <c r="U2999" s="36">
        <v>200</v>
      </c>
      <c r="V2999" s="36">
        <v>200</v>
      </c>
      <c r="W2999" s="15">
        <f t="shared" si="140"/>
        <v>400</v>
      </c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15">
        <f t="shared" si="141"/>
        <v>0</v>
      </c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14"/>
      <c r="AV2999" s="14"/>
      <c r="AW2999" s="15"/>
      <c r="AX2999" s="16"/>
    </row>
    <row r="3000" spans="2:50" x14ac:dyDescent="0.2">
      <c r="B3000" s="7"/>
      <c r="C3000" s="8">
        <v>13528</v>
      </c>
      <c r="D3000" s="9" t="s">
        <v>44</v>
      </c>
      <c r="E3000" s="10" t="str">
        <f t="shared" si="137"/>
        <v>Rancho Landero No. 14</v>
      </c>
      <c r="F3000" s="10" t="str">
        <f t="shared" si="138"/>
        <v xml:space="preserve">Castrejón  </v>
      </c>
      <c r="G3000" s="8">
        <v>5</v>
      </c>
      <c r="H3000" s="11">
        <v>100</v>
      </c>
      <c r="I3000" s="12">
        <v>42741</v>
      </c>
      <c r="J3000" s="35">
        <f t="shared" si="139"/>
        <v>0</v>
      </c>
      <c r="K3000" s="36"/>
      <c r="L3000" s="36"/>
      <c r="M3000" s="36"/>
      <c r="N3000" s="36"/>
      <c r="O3000" s="36"/>
      <c r="P3000" s="36"/>
      <c r="Q3000" s="36"/>
      <c r="R3000" s="36"/>
      <c r="S3000" s="36"/>
      <c r="T3000" s="36"/>
      <c r="U3000" s="36"/>
      <c r="V3000" s="36"/>
      <c r="W3000" s="15">
        <f t="shared" si="140"/>
        <v>0</v>
      </c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15">
        <f t="shared" si="141"/>
        <v>0</v>
      </c>
      <c r="AK3000" s="14"/>
      <c r="AL3000" s="14"/>
      <c r="AM3000" s="14"/>
      <c r="AN3000" s="14"/>
      <c r="AO3000" s="14"/>
      <c r="AP3000" s="14"/>
      <c r="AQ3000" s="14"/>
      <c r="AR3000" s="14"/>
      <c r="AS3000" s="14"/>
      <c r="AT3000" s="14"/>
      <c r="AU3000" s="14"/>
      <c r="AV3000" s="14"/>
      <c r="AW3000" s="15"/>
      <c r="AX3000" s="16"/>
    </row>
    <row r="3001" spans="2:50" x14ac:dyDescent="0.2">
      <c r="B3001" s="7"/>
      <c r="C3001" s="8">
        <v>13529</v>
      </c>
      <c r="D3001" s="9" t="s">
        <v>905</v>
      </c>
      <c r="E3001" s="10" t="str">
        <f t="shared" si="137"/>
        <v>Rancho Landero No. 81</v>
      </c>
      <c r="F3001" s="10" t="str">
        <f t="shared" si="138"/>
        <v>Cebrían Saldaña</v>
      </c>
      <c r="G3001" s="8">
        <v>1</v>
      </c>
      <c r="H3001" s="11">
        <v>200</v>
      </c>
      <c r="I3001" s="12">
        <v>42741</v>
      </c>
      <c r="J3001" s="35">
        <f t="shared" si="139"/>
        <v>0</v>
      </c>
      <c r="K3001" s="36"/>
      <c r="L3001" s="36"/>
      <c r="M3001" s="36"/>
      <c r="N3001" s="36"/>
      <c r="O3001" s="36"/>
      <c r="P3001" s="36"/>
      <c r="Q3001" s="36"/>
      <c r="R3001" s="36"/>
      <c r="S3001" s="36"/>
      <c r="T3001" s="36"/>
      <c r="U3001" s="36"/>
      <c r="V3001" s="36"/>
      <c r="W3001" s="15">
        <f t="shared" si="140"/>
        <v>0</v>
      </c>
      <c r="X3001" s="36">
        <v>200</v>
      </c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15">
        <f t="shared" si="141"/>
        <v>200</v>
      </c>
      <c r="AK3001" s="14"/>
      <c r="AL3001" s="14"/>
      <c r="AM3001" s="14"/>
      <c r="AN3001" s="14"/>
      <c r="AO3001" s="14"/>
      <c r="AP3001" s="14"/>
      <c r="AQ3001" s="14"/>
      <c r="AR3001" s="14"/>
      <c r="AS3001" s="14"/>
      <c r="AT3001" s="14"/>
      <c r="AU3001" s="14"/>
      <c r="AV3001" s="14"/>
      <c r="AW3001" s="15"/>
      <c r="AX3001" s="16"/>
    </row>
    <row r="3002" spans="2:50" x14ac:dyDescent="0.2">
      <c r="B3002" s="7"/>
      <c r="C3002" s="8">
        <v>13530</v>
      </c>
      <c r="D3002" s="9" t="s">
        <v>156</v>
      </c>
      <c r="E3002" s="10" t="str">
        <f t="shared" si="137"/>
        <v>Rancho Zinamba No. 80</v>
      </c>
      <c r="F3002" s="10" t="str">
        <f t="shared" si="138"/>
        <v>Vázquez</v>
      </c>
      <c r="G3002" s="8">
        <v>1</v>
      </c>
      <c r="H3002" s="11">
        <v>300</v>
      </c>
      <c r="I3002" s="12">
        <v>42743</v>
      </c>
      <c r="J3002" s="35">
        <f t="shared" si="139"/>
        <v>0</v>
      </c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  <c r="W3002" s="15">
        <f t="shared" si="140"/>
        <v>0</v>
      </c>
      <c r="X3002" s="36">
        <v>300</v>
      </c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15">
        <f t="shared" si="141"/>
        <v>300</v>
      </c>
      <c r="AK3002" s="14"/>
      <c r="AL3002" s="14"/>
      <c r="AM3002" s="14"/>
      <c r="AN3002" s="14"/>
      <c r="AO3002" s="14"/>
      <c r="AP3002" s="14"/>
      <c r="AQ3002" s="14"/>
      <c r="AR3002" s="14"/>
      <c r="AS3002" s="14"/>
      <c r="AT3002" s="14"/>
      <c r="AU3002" s="14"/>
      <c r="AV3002" s="14"/>
      <c r="AW3002" s="15"/>
      <c r="AX3002" s="16"/>
    </row>
    <row r="3003" spans="2:50" x14ac:dyDescent="0.2">
      <c r="B3003" s="7"/>
      <c r="C3003" s="8">
        <v>13531</v>
      </c>
      <c r="D3003" s="9" t="s">
        <v>855</v>
      </c>
      <c r="E3003" s="10" t="str">
        <f t="shared" si="137"/>
        <v>Rancho Upácuaro No. 99</v>
      </c>
      <c r="F3003" s="10" t="str">
        <f t="shared" si="138"/>
        <v>Frías</v>
      </c>
      <c r="G3003" s="8">
        <v>1</v>
      </c>
      <c r="H3003" s="11">
        <v>1000</v>
      </c>
      <c r="I3003" s="12">
        <v>42743</v>
      </c>
      <c r="J3003" s="35">
        <f t="shared" si="139"/>
        <v>0</v>
      </c>
      <c r="K3003" s="36"/>
      <c r="L3003" s="36"/>
      <c r="M3003" s="36"/>
      <c r="N3003" s="36"/>
      <c r="O3003" s="36"/>
      <c r="P3003" s="36"/>
      <c r="Q3003" s="36"/>
      <c r="R3003" s="36"/>
      <c r="S3003" s="36"/>
      <c r="T3003" s="36"/>
      <c r="U3003" s="36"/>
      <c r="V3003" s="36"/>
      <c r="W3003" s="15">
        <f t="shared" si="140"/>
        <v>0</v>
      </c>
      <c r="X3003" s="36">
        <v>200</v>
      </c>
      <c r="Y3003" s="36">
        <v>200</v>
      </c>
      <c r="Z3003" s="36">
        <v>200</v>
      </c>
      <c r="AA3003" s="36">
        <v>200</v>
      </c>
      <c r="AB3003" s="36">
        <v>200</v>
      </c>
      <c r="AC3003" s="36"/>
      <c r="AD3003" s="36"/>
      <c r="AE3003" s="36"/>
      <c r="AF3003" s="36"/>
      <c r="AG3003" s="36"/>
      <c r="AH3003" s="36"/>
      <c r="AI3003" s="36"/>
      <c r="AJ3003" s="15">
        <f t="shared" si="141"/>
        <v>1000</v>
      </c>
      <c r="AK3003" s="14"/>
      <c r="AL3003" s="14"/>
      <c r="AM3003" s="14"/>
      <c r="AN3003" s="14"/>
      <c r="AO3003" s="14"/>
      <c r="AP3003" s="14"/>
      <c r="AQ3003" s="14"/>
      <c r="AR3003" s="14"/>
      <c r="AS3003" s="14"/>
      <c r="AT3003" s="14"/>
      <c r="AU3003" s="14"/>
      <c r="AV3003" s="14"/>
      <c r="AW3003" s="15"/>
      <c r="AX3003" s="16"/>
    </row>
    <row r="3004" spans="2:50" x14ac:dyDescent="0.2">
      <c r="B3004" s="7"/>
      <c r="C3004" s="8">
        <v>13532</v>
      </c>
      <c r="D3004" s="9" t="s">
        <v>407</v>
      </c>
      <c r="E3004" s="10" t="str">
        <f t="shared" si="137"/>
        <v>Rancho Estanzuela No. 99</v>
      </c>
      <c r="F3004" s="10" t="str">
        <f t="shared" si="138"/>
        <v>García López</v>
      </c>
      <c r="G3004" s="8">
        <v>1</v>
      </c>
      <c r="H3004" s="11">
        <v>400</v>
      </c>
      <c r="I3004" s="12">
        <v>42743</v>
      </c>
      <c r="J3004" s="35">
        <f t="shared" si="139"/>
        <v>0</v>
      </c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15">
        <f t="shared" si="140"/>
        <v>0</v>
      </c>
      <c r="X3004" s="36">
        <v>400</v>
      </c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15">
        <f t="shared" si="141"/>
        <v>400</v>
      </c>
      <c r="AK3004" s="14"/>
      <c r="AL3004" s="14"/>
      <c r="AM3004" s="14"/>
      <c r="AN3004" s="14"/>
      <c r="AO3004" s="14"/>
      <c r="AP3004" s="14"/>
      <c r="AQ3004" s="14"/>
      <c r="AR3004" s="14"/>
      <c r="AS3004" s="14"/>
      <c r="AT3004" s="14"/>
      <c r="AU3004" s="14"/>
      <c r="AV3004" s="14"/>
      <c r="AW3004" s="15"/>
      <c r="AX3004" s="16"/>
    </row>
    <row r="3005" spans="2:50" x14ac:dyDescent="0.2">
      <c r="B3005" s="7"/>
      <c r="C3005" s="8">
        <v>13533</v>
      </c>
      <c r="D3005" s="9" t="s">
        <v>425</v>
      </c>
      <c r="E3005" s="10" t="str">
        <f t="shared" si="137"/>
        <v>Rancho La Cuchilla No. 120</v>
      </c>
      <c r="F3005" s="10" t="str">
        <f t="shared" si="138"/>
        <v>Pozos Vilchis</v>
      </c>
      <c r="G3005" s="8">
        <v>1</v>
      </c>
      <c r="H3005" s="11">
        <v>400</v>
      </c>
      <c r="I3005" s="12">
        <v>42743</v>
      </c>
      <c r="J3005" s="35">
        <f t="shared" si="139"/>
        <v>0</v>
      </c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15">
        <f t="shared" si="140"/>
        <v>0</v>
      </c>
      <c r="X3005" s="36">
        <v>400</v>
      </c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15">
        <f t="shared" si="141"/>
        <v>400</v>
      </c>
      <c r="AK3005" s="14"/>
      <c r="AL3005" s="14"/>
      <c r="AM3005" s="14"/>
      <c r="AN3005" s="14"/>
      <c r="AO3005" s="14"/>
      <c r="AP3005" s="14"/>
      <c r="AQ3005" s="14"/>
      <c r="AR3005" s="14"/>
      <c r="AS3005" s="14"/>
      <c r="AT3005" s="14"/>
      <c r="AU3005" s="14"/>
      <c r="AV3005" s="14"/>
      <c r="AW3005" s="15"/>
      <c r="AX3005" s="16"/>
    </row>
    <row r="3006" spans="2:50" x14ac:dyDescent="0.2">
      <c r="B3006" s="7"/>
      <c r="C3006" s="8">
        <v>13534</v>
      </c>
      <c r="D3006" s="9" t="s">
        <v>138</v>
      </c>
      <c r="E3006" s="10" t="str">
        <f t="shared" si="137"/>
        <v>Rancho La Cuchilla No. 135</v>
      </c>
      <c r="F3006" s="10" t="str">
        <f t="shared" si="138"/>
        <v>Perea</v>
      </c>
      <c r="G3006" s="8">
        <v>1</v>
      </c>
      <c r="H3006" s="11">
        <v>400</v>
      </c>
      <c r="I3006" s="12">
        <v>42743</v>
      </c>
      <c r="J3006" s="35">
        <f t="shared" si="139"/>
        <v>0</v>
      </c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>
        <v>400</v>
      </c>
      <c r="W3006" s="15">
        <f t="shared" si="140"/>
        <v>400</v>
      </c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15">
        <f t="shared" si="141"/>
        <v>0</v>
      </c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14"/>
      <c r="AV3006" s="14"/>
      <c r="AW3006" s="15"/>
      <c r="AX3006" s="16"/>
    </row>
    <row r="3007" spans="2:50" x14ac:dyDescent="0.2">
      <c r="B3007" s="7"/>
      <c r="C3007" s="8">
        <v>13535</v>
      </c>
      <c r="D3007" s="9" t="s">
        <v>271</v>
      </c>
      <c r="E3007" s="10" t="str">
        <f t="shared" si="137"/>
        <v>Rancho Landero No. 76</v>
      </c>
      <c r="F3007" s="10" t="str">
        <f t="shared" si="138"/>
        <v>Ugarte</v>
      </c>
      <c r="G3007" s="8">
        <v>1</v>
      </c>
      <c r="H3007" s="11">
        <v>400</v>
      </c>
      <c r="I3007" s="12">
        <v>42743</v>
      </c>
      <c r="J3007" s="35">
        <f t="shared" si="139"/>
        <v>0</v>
      </c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  <c r="U3007" s="36"/>
      <c r="V3007" s="36"/>
      <c r="W3007" s="15">
        <f t="shared" si="140"/>
        <v>0</v>
      </c>
      <c r="X3007" s="36">
        <v>400</v>
      </c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15">
        <f t="shared" si="141"/>
        <v>400</v>
      </c>
      <c r="AK3007" s="14"/>
      <c r="AL3007" s="14"/>
      <c r="AM3007" s="14"/>
      <c r="AN3007" s="14"/>
      <c r="AO3007" s="14"/>
      <c r="AP3007" s="14"/>
      <c r="AQ3007" s="14"/>
      <c r="AR3007" s="14"/>
      <c r="AS3007" s="14"/>
      <c r="AT3007" s="14"/>
      <c r="AU3007" s="14"/>
      <c r="AV3007" s="14"/>
      <c r="AW3007" s="15"/>
      <c r="AX3007" s="16"/>
    </row>
    <row r="3008" spans="2:50" x14ac:dyDescent="0.2">
      <c r="B3008" s="7"/>
      <c r="C3008" s="8">
        <v>13536</v>
      </c>
      <c r="D3008" s="9" t="s">
        <v>81</v>
      </c>
      <c r="E3008" s="10" t="str">
        <f t="shared" si="137"/>
        <v>Rancho Estanzuela No. 3</v>
      </c>
      <c r="F3008" s="10" t="str">
        <f t="shared" si="138"/>
        <v>Villanueva Nájera</v>
      </c>
      <c r="G3008" s="8">
        <v>1</v>
      </c>
      <c r="H3008" s="11">
        <v>2200</v>
      </c>
      <c r="I3008" s="12">
        <v>42743</v>
      </c>
      <c r="J3008" s="35">
        <f t="shared" si="139"/>
        <v>0</v>
      </c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  <c r="W3008" s="15">
        <f t="shared" si="140"/>
        <v>0</v>
      </c>
      <c r="X3008" s="36">
        <v>200</v>
      </c>
      <c r="Y3008" s="36">
        <v>200</v>
      </c>
      <c r="Z3008" s="36">
        <v>200</v>
      </c>
      <c r="AA3008" s="36">
        <v>200</v>
      </c>
      <c r="AB3008" s="36">
        <v>200</v>
      </c>
      <c r="AC3008" s="36">
        <v>200</v>
      </c>
      <c r="AD3008" s="36">
        <v>200</v>
      </c>
      <c r="AE3008" s="36">
        <v>200</v>
      </c>
      <c r="AF3008" s="36">
        <v>200</v>
      </c>
      <c r="AG3008" s="36">
        <v>200</v>
      </c>
      <c r="AH3008" s="36">
        <v>200</v>
      </c>
      <c r="AI3008" s="36"/>
      <c r="AJ3008" s="15">
        <f t="shared" si="141"/>
        <v>2200</v>
      </c>
      <c r="AK3008" s="14"/>
      <c r="AL3008" s="14"/>
      <c r="AM3008" s="14"/>
      <c r="AN3008" s="14"/>
      <c r="AO3008" s="14"/>
      <c r="AP3008" s="14"/>
      <c r="AQ3008" s="14"/>
      <c r="AR3008" s="14"/>
      <c r="AS3008" s="14"/>
      <c r="AT3008" s="14"/>
      <c r="AU3008" s="14"/>
      <c r="AV3008" s="14"/>
      <c r="AW3008" s="15"/>
      <c r="AX3008" s="16" t="s">
        <v>3363</v>
      </c>
    </row>
    <row r="3009" spans="2:50" x14ac:dyDescent="0.2">
      <c r="B3009" s="7"/>
      <c r="C3009" s="8">
        <v>13537</v>
      </c>
      <c r="D3009" s="9" t="s">
        <v>135</v>
      </c>
      <c r="E3009" s="10" t="str">
        <f t="shared" si="137"/>
        <v>Rancho Upácuaro No. 70</v>
      </c>
      <c r="F3009" s="10" t="str">
        <f t="shared" si="138"/>
        <v>Ramírez Tejeda</v>
      </c>
      <c r="G3009" s="8">
        <v>1</v>
      </c>
      <c r="H3009" s="11">
        <v>300</v>
      </c>
      <c r="I3009" s="12">
        <v>42743</v>
      </c>
      <c r="J3009" s="35">
        <f t="shared" si="139"/>
        <v>0</v>
      </c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  <c r="U3009" s="36"/>
      <c r="V3009" s="36"/>
      <c r="W3009" s="15">
        <f t="shared" si="140"/>
        <v>0</v>
      </c>
      <c r="X3009" s="36">
        <v>300</v>
      </c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15">
        <f t="shared" si="141"/>
        <v>300</v>
      </c>
      <c r="AK3009" s="14"/>
      <c r="AL3009" s="14"/>
      <c r="AM3009" s="14"/>
      <c r="AN3009" s="14"/>
      <c r="AO3009" s="14"/>
      <c r="AP3009" s="14"/>
      <c r="AQ3009" s="14"/>
      <c r="AR3009" s="14"/>
      <c r="AS3009" s="14"/>
      <c r="AT3009" s="14"/>
      <c r="AU3009" s="14"/>
      <c r="AV3009" s="14"/>
      <c r="AW3009" s="15"/>
      <c r="AX3009" s="16"/>
    </row>
    <row r="3010" spans="2:50" x14ac:dyDescent="0.2">
      <c r="B3010" s="7"/>
      <c r="C3010" s="8">
        <v>13538</v>
      </c>
      <c r="D3010" s="9" t="s">
        <v>307</v>
      </c>
      <c r="E3010" s="10" t="str">
        <f t="shared" si="137"/>
        <v>Rancho Landero No. 83</v>
      </c>
      <c r="F3010" s="10" t="str">
        <f t="shared" si="138"/>
        <v>Aguilar</v>
      </c>
      <c r="G3010" s="8">
        <v>1</v>
      </c>
      <c r="H3010" s="11">
        <v>350</v>
      </c>
      <c r="I3010" s="12">
        <v>42743</v>
      </c>
      <c r="J3010" s="35">
        <f t="shared" si="139"/>
        <v>0</v>
      </c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  <c r="U3010" s="36"/>
      <c r="V3010" s="36"/>
      <c r="W3010" s="15">
        <f t="shared" si="140"/>
        <v>0</v>
      </c>
      <c r="X3010" s="36">
        <v>350</v>
      </c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15">
        <f t="shared" si="141"/>
        <v>350</v>
      </c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14"/>
      <c r="AV3010" s="14"/>
      <c r="AW3010" s="15"/>
      <c r="AX3010" s="16"/>
    </row>
    <row r="3011" spans="2:50" x14ac:dyDescent="0.2">
      <c r="B3011" s="7"/>
      <c r="C3011" s="8">
        <v>13539</v>
      </c>
      <c r="D3011" s="9" t="s">
        <v>100</v>
      </c>
      <c r="E3011" s="10" t="str">
        <f t="shared" si="137"/>
        <v>Rancho Upácuaro No. 32</v>
      </c>
      <c r="F3011" s="10" t="str">
        <f t="shared" si="138"/>
        <v>Sairafi Carmen</v>
      </c>
      <c r="G3011" s="8">
        <v>1</v>
      </c>
      <c r="H3011" s="11">
        <v>400</v>
      </c>
      <c r="I3011" s="12">
        <v>42743</v>
      </c>
      <c r="J3011" s="35">
        <f t="shared" si="139"/>
        <v>0</v>
      </c>
      <c r="K3011" s="36"/>
      <c r="L3011" s="36"/>
      <c r="M3011" s="36"/>
      <c r="N3011" s="36"/>
      <c r="O3011" s="36"/>
      <c r="P3011" s="36"/>
      <c r="Q3011" s="36"/>
      <c r="R3011" s="36"/>
      <c r="S3011" s="36"/>
      <c r="T3011" s="36"/>
      <c r="U3011" s="36"/>
      <c r="V3011" s="36"/>
      <c r="W3011" s="15">
        <f t="shared" si="140"/>
        <v>0</v>
      </c>
      <c r="X3011" s="36">
        <v>400</v>
      </c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15">
        <f t="shared" si="141"/>
        <v>400</v>
      </c>
      <c r="AK3011" s="14"/>
      <c r="AL3011" s="14"/>
      <c r="AM3011" s="14"/>
      <c r="AN3011" s="14"/>
      <c r="AO3011" s="14"/>
      <c r="AP3011" s="14"/>
      <c r="AQ3011" s="14"/>
      <c r="AR3011" s="14"/>
      <c r="AS3011" s="14"/>
      <c r="AT3011" s="14"/>
      <c r="AU3011" s="14"/>
      <c r="AV3011" s="14"/>
      <c r="AW3011" s="15"/>
      <c r="AX3011" s="16"/>
    </row>
    <row r="3012" spans="2:50" x14ac:dyDescent="0.2">
      <c r="B3012" s="7"/>
      <c r="C3012" s="8">
        <v>13540</v>
      </c>
      <c r="D3012" s="9" t="s">
        <v>512</v>
      </c>
      <c r="E3012" s="10" t="str">
        <f t="shared" si="137"/>
        <v>Rancho Landero No. 35</v>
      </c>
      <c r="F3012" s="10" t="str">
        <f t="shared" si="138"/>
        <v>Loperena</v>
      </c>
      <c r="G3012" s="8">
        <v>5</v>
      </c>
      <c r="H3012" s="11">
        <v>50</v>
      </c>
      <c r="I3012" s="12">
        <v>42743</v>
      </c>
      <c r="J3012" s="35">
        <f t="shared" si="139"/>
        <v>0</v>
      </c>
      <c r="K3012" s="36"/>
      <c r="L3012" s="36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  <c r="W3012" s="15">
        <f t="shared" si="140"/>
        <v>0</v>
      </c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15">
        <f t="shared" si="141"/>
        <v>0</v>
      </c>
      <c r="AK3012" s="14"/>
      <c r="AL3012" s="14"/>
      <c r="AM3012" s="14"/>
      <c r="AN3012" s="14"/>
      <c r="AO3012" s="14"/>
      <c r="AP3012" s="14"/>
      <c r="AQ3012" s="14"/>
      <c r="AR3012" s="14"/>
      <c r="AS3012" s="14"/>
      <c r="AT3012" s="14"/>
      <c r="AU3012" s="14"/>
      <c r="AV3012" s="14"/>
      <c r="AW3012" s="15"/>
      <c r="AX3012" s="16"/>
    </row>
    <row r="3013" spans="2:50" x14ac:dyDescent="0.2">
      <c r="B3013" s="7"/>
      <c r="C3013" s="8">
        <v>13541</v>
      </c>
      <c r="D3013" s="9" t="s">
        <v>295</v>
      </c>
      <c r="E3013" s="10" t="str">
        <f t="shared" si="137"/>
        <v>Rancho Landero No. 99</v>
      </c>
      <c r="F3013" s="10" t="str">
        <f t="shared" si="138"/>
        <v>Rangel</v>
      </c>
      <c r="G3013" s="8">
        <v>1</v>
      </c>
      <c r="H3013" s="11">
        <v>300</v>
      </c>
      <c r="I3013" s="12">
        <v>42743</v>
      </c>
      <c r="J3013" s="35">
        <f t="shared" si="139"/>
        <v>0</v>
      </c>
      <c r="K3013" s="36"/>
      <c r="L3013" s="36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>
        <v>300</v>
      </c>
      <c r="W3013" s="15">
        <f t="shared" si="140"/>
        <v>300</v>
      </c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15">
        <f t="shared" si="141"/>
        <v>0</v>
      </c>
      <c r="AK3013" s="14"/>
      <c r="AL3013" s="14"/>
      <c r="AM3013" s="14"/>
      <c r="AN3013" s="14"/>
      <c r="AO3013" s="14"/>
      <c r="AP3013" s="14"/>
      <c r="AQ3013" s="14"/>
      <c r="AR3013" s="14"/>
      <c r="AS3013" s="14"/>
      <c r="AT3013" s="14"/>
      <c r="AU3013" s="14"/>
      <c r="AV3013" s="14"/>
      <c r="AW3013" s="15"/>
      <c r="AX3013" s="16"/>
    </row>
    <row r="3014" spans="2:50" x14ac:dyDescent="0.2">
      <c r="B3014" s="7"/>
      <c r="C3014" s="8">
        <v>13542</v>
      </c>
      <c r="D3014" s="9" t="s">
        <v>479</v>
      </c>
      <c r="E3014" s="10" t="str">
        <f t="shared" si="137"/>
        <v>Rancho Zinamba No. 68</v>
      </c>
      <c r="F3014" s="10" t="str">
        <f t="shared" si="138"/>
        <v>Rivera Villicaña</v>
      </c>
      <c r="G3014" s="8">
        <v>1</v>
      </c>
      <c r="H3014" s="11">
        <v>300</v>
      </c>
      <c r="I3014" s="12">
        <v>42743</v>
      </c>
      <c r="J3014" s="35">
        <f t="shared" si="139"/>
        <v>0</v>
      </c>
      <c r="K3014" s="36"/>
      <c r="L3014" s="36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  <c r="W3014" s="15">
        <f t="shared" si="140"/>
        <v>0</v>
      </c>
      <c r="X3014" s="36">
        <v>300</v>
      </c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15">
        <f t="shared" si="141"/>
        <v>300</v>
      </c>
      <c r="AK3014" s="14"/>
      <c r="AL3014" s="14"/>
      <c r="AM3014" s="14"/>
      <c r="AN3014" s="14"/>
      <c r="AO3014" s="14"/>
      <c r="AP3014" s="14"/>
      <c r="AQ3014" s="14"/>
      <c r="AR3014" s="14"/>
      <c r="AS3014" s="14"/>
      <c r="AT3014" s="14"/>
      <c r="AU3014" s="14"/>
      <c r="AV3014" s="14"/>
      <c r="AW3014" s="15"/>
      <c r="AX3014" s="16"/>
    </row>
    <row r="3015" spans="2:50" x14ac:dyDescent="0.2">
      <c r="B3015" s="7"/>
      <c r="C3015" s="8">
        <v>13543</v>
      </c>
      <c r="D3015" s="9" t="s">
        <v>180</v>
      </c>
      <c r="E3015" s="10" t="str">
        <f t="shared" si="137"/>
        <v>Rancho Landero No. 80</v>
      </c>
      <c r="F3015" s="10" t="str">
        <f t="shared" si="138"/>
        <v>Caballero</v>
      </c>
      <c r="G3015" s="8">
        <v>1</v>
      </c>
      <c r="H3015" s="11">
        <v>400</v>
      </c>
      <c r="I3015" s="12">
        <v>42743</v>
      </c>
      <c r="J3015" s="35">
        <f t="shared" si="139"/>
        <v>0</v>
      </c>
      <c r="K3015" s="36"/>
      <c r="L3015" s="36"/>
      <c r="M3015" s="36"/>
      <c r="N3015" s="36"/>
      <c r="O3015" s="36"/>
      <c r="P3015" s="36"/>
      <c r="Q3015" s="36"/>
      <c r="R3015" s="36"/>
      <c r="S3015" s="36"/>
      <c r="T3015" s="36"/>
      <c r="U3015" s="36"/>
      <c r="V3015" s="36"/>
      <c r="W3015" s="15">
        <f t="shared" si="140"/>
        <v>0</v>
      </c>
      <c r="X3015" s="36">
        <v>400</v>
      </c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15">
        <f t="shared" si="141"/>
        <v>400</v>
      </c>
      <c r="AK3015" s="14"/>
      <c r="AL3015" s="14"/>
      <c r="AM3015" s="14"/>
      <c r="AN3015" s="14"/>
      <c r="AO3015" s="14"/>
      <c r="AP3015" s="14"/>
      <c r="AQ3015" s="14"/>
      <c r="AR3015" s="14"/>
      <c r="AS3015" s="14"/>
      <c r="AT3015" s="14"/>
      <c r="AU3015" s="14"/>
      <c r="AV3015" s="14"/>
      <c r="AW3015" s="15"/>
      <c r="AX3015" s="16"/>
    </row>
    <row r="3016" spans="2:50" x14ac:dyDescent="0.2">
      <c r="B3016" s="7"/>
      <c r="C3016" s="8">
        <v>13544</v>
      </c>
      <c r="D3016" s="9" t="s">
        <v>602</v>
      </c>
      <c r="E3016" s="10" t="str">
        <f t="shared" si="137"/>
        <v>Rancho Upácuaro No. 30</v>
      </c>
      <c r="F3016" s="10" t="str">
        <f t="shared" si="138"/>
        <v>Dorantes</v>
      </c>
      <c r="G3016" s="8">
        <v>1</v>
      </c>
      <c r="H3016" s="11">
        <v>200</v>
      </c>
      <c r="I3016" s="12">
        <v>42743</v>
      </c>
      <c r="J3016" s="35">
        <f t="shared" si="139"/>
        <v>0</v>
      </c>
      <c r="K3016" s="36"/>
      <c r="L3016" s="36"/>
      <c r="M3016" s="36"/>
      <c r="N3016" s="36"/>
      <c r="O3016" s="36"/>
      <c r="P3016" s="36"/>
      <c r="Q3016" s="36"/>
      <c r="R3016" s="36"/>
      <c r="S3016" s="36"/>
      <c r="T3016" s="36"/>
      <c r="U3016" s="36"/>
      <c r="V3016" s="36"/>
      <c r="W3016" s="15">
        <f t="shared" si="140"/>
        <v>0</v>
      </c>
      <c r="X3016" s="36">
        <v>200</v>
      </c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15">
        <f t="shared" si="141"/>
        <v>200</v>
      </c>
      <c r="AK3016" s="14"/>
      <c r="AL3016" s="14"/>
      <c r="AM3016" s="14"/>
      <c r="AN3016" s="14"/>
      <c r="AO3016" s="14"/>
      <c r="AP3016" s="14"/>
      <c r="AQ3016" s="14"/>
      <c r="AR3016" s="14"/>
      <c r="AS3016" s="14"/>
      <c r="AT3016" s="14"/>
      <c r="AU3016" s="14"/>
      <c r="AV3016" s="14"/>
      <c r="AW3016" s="15"/>
      <c r="AX3016" s="16"/>
    </row>
    <row r="3017" spans="2:50" x14ac:dyDescent="0.2">
      <c r="B3017" s="7"/>
      <c r="C3017" s="8">
        <v>13545</v>
      </c>
      <c r="D3017" s="9" t="s">
        <v>84</v>
      </c>
      <c r="E3017" s="10" t="str">
        <f t="shared" si="137"/>
        <v>Rancho La Cuchilla No. 139</v>
      </c>
      <c r="F3017" s="10" t="str">
        <f t="shared" si="138"/>
        <v>Garcia</v>
      </c>
      <c r="G3017" s="8">
        <v>1</v>
      </c>
      <c r="H3017" s="11">
        <v>400</v>
      </c>
      <c r="I3017" s="12">
        <v>42743</v>
      </c>
      <c r="J3017" s="35">
        <f t="shared" si="139"/>
        <v>0</v>
      </c>
      <c r="K3017" s="36"/>
      <c r="L3017" s="36"/>
      <c r="M3017" s="36"/>
      <c r="N3017" s="36"/>
      <c r="O3017" s="36"/>
      <c r="P3017" s="36"/>
      <c r="Q3017" s="36"/>
      <c r="R3017" s="36"/>
      <c r="S3017" s="36"/>
      <c r="T3017" s="36"/>
      <c r="U3017" s="36"/>
      <c r="V3017" s="36"/>
      <c r="W3017" s="15">
        <f t="shared" si="140"/>
        <v>0</v>
      </c>
      <c r="X3017" s="36">
        <v>200</v>
      </c>
      <c r="Y3017" s="36">
        <v>200</v>
      </c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15">
        <f t="shared" si="141"/>
        <v>400</v>
      </c>
      <c r="AK3017" s="14"/>
      <c r="AL3017" s="14"/>
      <c r="AM3017" s="14"/>
      <c r="AN3017" s="14"/>
      <c r="AO3017" s="14"/>
      <c r="AP3017" s="14"/>
      <c r="AQ3017" s="14"/>
      <c r="AR3017" s="14"/>
      <c r="AS3017" s="14"/>
      <c r="AT3017" s="14"/>
      <c r="AU3017" s="14"/>
      <c r="AV3017" s="14"/>
      <c r="AW3017" s="15"/>
      <c r="AX3017" s="16"/>
    </row>
    <row r="3018" spans="2:50" x14ac:dyDescent="0.2">
      <c r="B3018" s="7"/>
      <c r="C3018" s="8">
        <v>13546</v>
      </c>
      <c r="D3018" s="9" t="s">
        <v>238</v>
      </c>
      <c r="E3018" s="10" t="str">
        <f t="shared" si="137"/>
        <v>Rancho La Cuchilla No. 43, B</v>
      </c>
      <c r="F3018" s="10" t="str">
        <f t="shared" si="138"/>
        <v>Luna Albertano</v>
      </c>
      <c r="G3018" s="8">
        <v>1</v>
      </c>
      <c r="H3018" s="11">
        <v>125</v>
      </c>
      <c r="I3018" s="12">
        <v>42743</v>
      </c>
      <c r="J3018" s="35">
        <f t="shared" si="139"/>
        <v>0</v>
      </c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  <c r="U3018" s="36"/>
      <c r="V3018" s="36"/>
      <c r="W3018" s="15">
        <f t="shared" si="140"/>
        <v>0</v>
      </c>
      <c r="X3018" s="36">
        <v>125</v>
      </c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15">
        <f t="shared" si="141"/>
        <v>125</v>
      </c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14"/>
      <c r="AV3018" s="14"/>
      <c r="AW3018" s="15"/>
      <c r="AX3018" s="16"/>
    </row>
    <row r="3019" spans="2:50" x14ac:dyDescent="0.2">
      <c r="B3019" s="7"/>
      <c r="C3019" s="8">
        <v>13547</v>
      </c>
      <c r="D3019" s="9" t="s">
        <v>292</v>
      </c>
      <c r="E3019" s="10" t="str">
        <f t="shared" si="137"/>
        <v>Rancho Upácuaro No. 140</v>
      </c>
      <c r="F3019" s="10" t="str">
        <f t="shared" si="138"/>
        <v>Gozain</v>
      </c>
      <c r="G3019" s="8">
        <v>1</v>
      </c>
      <c r="H3019" s="11">
        <v>400</v>
      </c>
      <c r="I3019" s="12">
        <v>42743</v>
      </c>
      <c r="J3019" s="35">
        <f t="shared" si="139"/>
        <v>0</v>
      </c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  <c r="U3019" s="36"/>
      <c r="V3019" s="36"/>
      <c r="W3019" s="15">
        <f t="shared" si="140"/>
        <v>0</v>
      </c>
      <c r="X3019" s="36">
        <v>400</v>
      </c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15">
        <f t="shared" si="141"/>
        <v>400</v>
      </c>
      <c r="AK3019" s="14"/>
      <c r="AL3019" s="14"/>
      <c r="AM3019" s="14"/>
      <c r="AN3019" s="14"/>
      <c r="AO3019" s="14"/>
      <c r="AP3019" s="14"/>
      <c r="AQ3019" s="14"/>
      <c r="AR3019" s="14"/>
      <c r="AS3019" s="14"/>
      <c r="AT3019" s="14"/>
      <c r="AU3019" s="14"/>
      <c r="AV3019" s="14"/>
      <c r="AW3019" s="15"/>
      <c r="AX3019" s="16"/>
    </row>
    <row r="3020" spans="2:50" x14ac:dyDescent="0.2">
      <c r="B3020" s="7"/>
      <c r="C3020" s="8">
        <v>13548</v>
      </c>
      <c r="D3020" s="9" t="s">
        <v>123</v>
      </c>
      <c r="E3020" s="10" t="str">
        <f t="shared" si="137"/>
        <v>Rancho Recoveco No. 175, B</v>
      </c>
      <c r="F3020" s="10" t="str">
        <f t="shared" si="138"/>
        <v>García Calderón</v>
      </c>
      <c r="G3020" s="8">
        <v>1</v>
      </c>
      <c r="H3020" s="11">
        <v>250</v>
      </c>
      <c r="I3020" s="12">
        <v>42743</v>
      </c>
      <c r="J3020" s="35">
        <f t="shared" si="139"/>
        <v>0</v>
      </c>
      <c r="K3020" s="36"/>
      <c r="L3020" s="36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  <c r="W3020" s="15">
        <f t="shared" si="140"/>
        <v>0</v>
      </c>
      <c r="X3020" s="36">
        <v>250</v>
      </c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15">
        <f t="shared" si="141"/>
        <v>250</v>
      </c>
      <c r="AK3020" s="14"/>
      <c r="AL3020" s="14"/>
      <c r="AM3020" s="14"/>
      <c r="AN3020" s="14"/>
      <c r="AO3020" s="14"/>
      <c r="AP3020" s="14"/>
      <c r="AQ3020" s="14"/>
      <c r="AR3020" s="14"/>
      <c r="AS3020" s="14"/>
      <c r="AT3020" s="14"/>
      <c r="AU3020" s="14"/>
      <c r="AV3020" s="14"/>
      <c r="AW3020" s="15"/>
      <c r="AX3020" s="16"/>
    </row>
    <row r="3021" spans="2:50" x14ac:dyDescent="0.2">
      <c r="B3021" s="7"/>
      <c r="C3021" s="8">
        <v>13549</v>
      </c>
      <c r="D3021" s="9" t="s">
        <v>325</v>
      </c>
      <c r="E3021" s="10" t="str">
        <f t="shared" si="137"/>
        <v>Rancho Upácuaro No. 120</v>
      </c>
      <c r="F3021" s="10" t="str">
        <f t="shared" si="138"/>
        <v>Rayas Rivera</v>
      </c>
      <c r="G3021" s="8">
        <v>1</v>
      </c>
      <c r="H3021" s="11">
        <v>400</v>
      </c>
      <c r="I3021" s="12">
        <v>42743</v>
      </c>
      <c r="J3021" s="35">
        <f t="shared" si="139"/>
        <v>0</v>
      </c>
      <c r="K3021" s="36"/>
      <c r="L3021" s="36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  <c r="W3021" s="15">
        <f t="shared" si="140"/>
        <v>0</v>
      </c>
      <c r="X3021" s="36">
        <v>400</v>
      </c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15">
        <f t="shared" si="141"/>
        <v>400</v>
      </c>
      <c r="AK3021" s="14"/>
      <c r="AL3021" s="14"/>
      <c r="AM3021" s="14"/>
      <c r="AN3021" s="14"/>
      <c r="AO3021" s="14"/>
      <c r="AP3021" s="14"/>
      <c r="AQ3021" s="14"/>
      <c r="AR3021" s="14"/>
      <c r="AS3021" s="14"/>
      <c r="AT3021" s="14"/>
      <c r="AU3021" s="14"/>
      <c r="AV3021" s="14"/>
      <c r="AW3021" s="15"/>
      <c r="AX3021" s="16"/>
    </row>
    <row r="3022" spans="2:50" x14ac:dyDescent="0.2">
      <c r="B3022" s="7"/>
      <c r="C3022" s="8">
        <v>13550</v>
      </c>
      <c r="D3022" s="9" t="s">
        <v>544</v>
      </c>
      <c r="E3022" s="10" t="str">
        <f t="shared" si="137"/>
        <v>Rancho Estanzuela No. 89</v>
      </c>
      <c r="F3022" s="10" t="str">
        <f t="shared" si="138"/>
        <v>Romero Ortiz</v>
      </c>
      <c r="G3022" s="8">
        <v>1</v>
      </c>
      <c r="H3022" s="11">
        <v>800</v>
      </c>
      <c r="I3022" s="12">
        <v>42743</v>
      </c>
      <c r="J3022" s="35">
        <f t="shared" si="139"/>
        <v>0</v>
      </c>
      <c r="K3022" s="36"/>
      <c r="L3022" s="36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>
        <v>400</v>
      </c>
      <c r="W3022" s="15">
        <f t="shared" si="140"/>
        <v>400</v>
      </c>
      <c r="X3022" s="36">
        <v>400</v>
      </c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15">
        <f t="shared" si="141"/>
        <v>400</v>
      </c>
      <c r="AK3022" s="14"/>
      <c r="AL3022" s="14"/>
      <c r="AM3022" s="14"/>
      <c r="AN3022" s="14"/>
      <c r="AO3022" s="14"/>
      <c r="AP3022" s="14"/>
      <c r="AQ3022" s="14"/>
      <c r="AR3022" s="14"/>
      <c r="AS3022" s="14"/>
      <c r="AT3022" s="14"/>
      <c r="AU3022" s="14"/>
      <c r="AV3022" s="14"/>
      <c r="AW3022" s="15"/>
      <c r="AX3022" s="16"/>
    </row>
    <row r="3023" spans="2:50" x14ac:dyDescent="0.2">
      <c r="B3023" s="7"/>
      <c r="C3023" s="8">
        <v>13551</v>
      </c>
      <c r="D3023" s="9" t="s">
        <v>1157</v>
      </c>
      <c r="E3023" s="10" t="str">
        <f t="shared" si="137"/>
        <v>Rancho Upácuaro No. 43</v>
      </c>
      <c r="F3023" s="10" t="str">
        <f t="shared" si="138"/>
        <v>Yolanda</v>
      </c>
      <c r="G3023" s="8">
        <v>1</v>
      </c>
      <c r="H3023" s="11">
        <v>200</v>
      </c>
      <c r="I3023" s="12">
        <v>42743</v>
      </c>
      <c r="J3023" s="35">
        <f t="shared" si="139"/>
        <v>0</v>
      </c>
      <c r="K3023" s="36"/>
      <c r="L3023" s="36"/>
      <c r="M3023" s="36"/>
      <c r="N3023" s="36"/>
      <c r="O3023" s="36"/>
      <c r="P3023" s="36"/>
      <c r="Q3023" s="36"/>
      <c r="R3023" s="36"/>
      <c r="S3023" s="36"/>
      <c r="T3023" s="36"/>
      <c r="U3023" s="36"/>
      <c r="V3023" s="36">
        <v>200</v>
      </c>
      <c r="W3023" s="15">
        <f t="shared" si="140"/>
        <v>200</v>
      </c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15">
        <f t="shared" si="141"/>
        <v>0</v>
      </c>
      <c r="AK3023" s="14"/>
      <c r="AL3023" s="14"/>
      <c r="AM3023" s="14"/>
      <c r="AN3023" s="14"/>
      <c r="AO3023" s="14"/>
      <c r="AP3023" s="14"/>
      <c r="AQ3023" s="14"/>
      <c r="AR3023" s="14"/>
      <c r="AS3023" s="14"/>
      <c r="AT3023" s="14"/>
      <c r="AU3023" s="14"/>
      <c r="AV3023" s="14"/>
      <c r="AW3023" s="15"/>
      <c r="AX3023" s="16"/>
    </row>
    <row r="3024" spans="2:50" x14ac:dyDescent="0.2">
      <c r="B3024" s="7"/>
      <c r="C3024" s="8">
        <v>13552</v>
      </c>
      <c r="D3024" s="9" t="s">
        <v>280</v>
      </c>
      <c r="E3024" s="10" t="str">
        <f t="shared" si="137"/>
        <v>Rancho La Cuchilla No. 40</v>
      </c>
      <c r="F3024" s="10" t="str">
        <f t="shared" si="138"/>
        <v>López Pico</v>
      </c>
      <c r="G3024" s="8">
        <v>1</v>
      </c>
      <c r="H3024" s="11">
        <v>400</v>
      </c>
      <c r="I3024" s="12">
        <v>42743</v>
      </c>
      <c r="J3024" s="35">
        <f t="shared" si="139"/>
        <v>0</v>
      </c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  <c r="U3024" s="36"/>
      <c r="V3024" s="36"/>
      <c r="W3024" s="15">
        <f t="shared" si="140"/>
        <v>0</v>
      </c>
      <c r="X3024" s="36">
        <v>400</v>
      </c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15">
        <f t="shared" si="141"/>
        <v>400</v>
      </c>
      <c r="AK3024" s="14"/>
      <c r="AL3024" s="14"/>
      <c r="AM3024" s="14"/>
      <c r="AN3024" s="14"/>
      <c r="AO3024" s="14"/>
      <c r="AP3024" s="14"/>
      <c r="AQ3024" s="14"/>
      <c r="AR3024" s="14"/>
      <c r="AS3024" s="14"/>
      <c r="AT3024" s="14"/>
      <c r="AU3024" s="14"/>
      <c r="AV3024" s="14"/>
      <c r="AW3024" s="15"/>
      <c r="AX3024" s="16"/>
    </row>
    <row r="3025" spans="2:51" x14ac:dyDescent="0.2">
      <c r="B3025" s="7"/>
      <c r="C3025" s="8">
        <v>13553</v>
      </c>
      <c r="D3025" s="9" t="s">
        <v>253</v>
      </c>
      <c r="E3025" s="10" t="str">
        <f t="shared" si="137"/>
        <v>Rancho Upácuaro No. 75</v>
      </c>
      <c r="F3025" s="10" t="str">
        <f t="shared" si="138"/>
        <v>Montaño Zetina</v>
      </c>
      <c r="G3025" s="8">
        <v>1</v>
      </c>
      <c r="H3025" s="11">
        <v>3300</v>
      </c>
      <c r="I3025" s="12">
        <v>42743</v>
      </c>
      <c r="J3025" s="35">
        <f t="shared" si="139"/>
        <v>0</v>
      </c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  <c r="U3025" s="36"/>
      <c r="V3025" s="36"/>
      <c r="W3025" s="15">
        <f t="shared" si="140"/>
        <v>0</v>
      </c>
      <c r="X3025" s="36">
        <v>300</v>
      </c>
      <c r="Y3025" s="36">
        <v>300</v>
      </c>
      <c r="Z3025" s="36">
        <v>300</v>
      </c>
      <c r="AA3025" s="36">
        <v>300</v>
      </c>
      <c r="AB3025" s="36">
        <v>300</v>
      </c>
      <c r="AC3025" s="36">
        <v>300</v>
      </c>
      <c r="AD3025" s="36">
        <v>300</v>
      </c>
      <c r="AE3025" s="36">
        <v>300</v>
      </c>
      <c r="AF3025" s="36">
        <v>300</v>
      </c>
      <c r="AG3025" s="36">
        <v>300</v>
      </c>
      <c r="AH3025" s="36">
        <v>300</v>
      </c>
      <c r="AI3025" s="36"/>
      <c r="AJ3025" s="15">
        <f t="shared" si="141"/>
        <v>3300</v>
      </c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14"/>
      <c r="AV3025" s="14"/>
      <c r="AW3025" s="15"/>
      <c r="AX3025" s="16" t="s">
        <v>3363</v>
      </c>
    </row>
    <row r="3026" spans="2:51" x14ac:dyDescent="0.2">
      <c r="B3026" s="7"/>
      <c r="C3026" s="8">
        <v>13554</v>
      </c>
      <c r="D3026" s="9" t="s">
        <v>681</v>
      </c>
      <c r="E3026" s="10" t="str">
        <f t="shared" si="137"/>
        <v>Rancho Landero No. 87</v>
      </c>
      <c r="F3026" s="10" t="str">
        <f t="shared" si="138"/>
        <v>Fey Lafferla</v>
      </c>
      <c r="G3026" s="8">
        <v>1</v>
      </c>
      <c r="H3026" s="11">
        <v>300</v>
      </c>
      <c r="I3026" s="12">
        <v>42743</v>
      </c>
      <c r="J3026" s="35">
        <f t="shared" si="139"/>
        <v>0</v>
      </c>
      <c r="K3026" s="36"/>
      <c r="L3026" s="36"/>
      <c r="M3026" s="36"/>
      <c r="N3026" s="36"/>
      <c r="O3026" s="36"/>
      <c r="P3026" s="36"/>
      <c r="Q3026" s="36"/>
      <c r="R3026" s="36"/>
      <c r="S3026" s="36"/>
      <c r="T3026" s="36"/>
      <c r="U3026" s="36"/>
      <c r="V3026" s="36">
        <v>300</v>
      </c>
      <c r="W3026" s="15">
        <f t="shared" si="140"/>
        <v>300</v>
      </c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15">
        <f t="shared" si="141"/>
        <v>0</v>
      </c>
      <c r="AK3026" s="14"/>
      <c r="AL3026" s="14"/>
      <c r="AM3026" s="14"/>
      <c r="AN3026" s="14"/>
      <c r="AO3026" s="14"/>
      <c r="AP3026" s="14"/>
      <c r="AQ3026" s="14"/>
      <c r="AR3026" s="14"/>
      <c r="AS3026" s="14"/>
      <c r="AT3026" s="14"/>
      <c r="AU3026" s="14"/>
      <c r="AV3026" s="14"/>
      <c r="AW3026" s="15"/>
      <c r="AX3026" s="16"/>
    </row>
    <row r="3027" spans="2:51" x14ac:dyDescent="0.2">
      <c r="B3027" s="7"/>
      <c r="C3027" s="8">
        <v>13555</v>
      </c>
      <c r="D3027" s="9" t="s">
        <v>716</v>
      </c>
      <c r="E3027" s="10" t="str">
        <f t="shared" si="137"/>
        <v>Rancho Landero No. 20</v>
      </c>
      <c r="F3027" s="10" t="str">
        <f t="shared" si="138"/>
        <v>Velasco</v>
      </c>
      <c r="G3027" s="8">
        <v>1</v>
      </c>
      <c r="H3027" s="11">
        <v>300</v>
      </c>
      <c r="I3027" s="12">
        <v>42743</v>
      </c>
      <c r="J3027" s="35">
        <f t="shared" si="139"/>
        <v>0</v>
      </c>
      <c r="K3027" s="36"/>
      <c r="L3027" s="36"/>
      <c r="M3027" s="36"/>
      <c r="N3027" s="36"/>
      <c r="O3027" s="36"/>
      <c r="P3027" s="36"/>
      <c r="Q3027" s="36"/>
      <c r="R3027" s="36"/>
      <c r="S3027" s="36"/>
      <c r="T3027" s="36"/>
      <c r="U3027" s="36"/>
      <c r="V3027" s="36"/>
      <c r="W3027" s="15">
        <f t="shared" si="140"/>
        <v>0</v>
      </c>
      <c r="X3027" s="36">
        <v>300</v>
      </c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15">
        <f t="shared" si="141"/>
        <v>300</v>
      </c>
      <c r="AK3027" s="14"/>
      <c r="AL3027" s="14"/>
      <c r="AM3027" s="14"/>
      <c r="AN3027" s="14"/>
      <c r="AO3027" s="14"/>
      <c r="AP3027" s="14"/>
      <c r="AQ3027" s="14"/>
      <c r="AR3027" s="14"/>
      <c r="AS3027" s="14"/>
      <c r="AT3027" s="14"/>
      <c r="AU3027" s="14"/>
      <c r="AV3027" s="14"/>
      <c r="AW3027" s="15"/>
      <c r="AX3027" s="16"/>
    </row>
    <row r="3028" spans="2:51" x14ac:dyDescent="0.2">
      <c r="B3028" s="7"/>
      <c r="C3028" s="8">
        <v>13556</v>
      </c>
      <c r="D3028" s="9" t="s">
        <v>769</v>
      </c>
      <c r="E3028" s="10" t="str">
        <f t="shared" si="137"/>
        <v>Rancho La Cuchilla No. 66</v>
      </c>
      <c r="F3028" s="10" t="str">
        <f t="shared" si="138"/>
        <v>Prieto</v>
      </c>
      <c r="G3028" s="8">
        <v>1</v>
      </c>
      <c r="H3028" s="11">
        <v>400</v>
      </c>
      <c r="I3028" s="12">
        <v>42743</v>
      </c>
      <c r="J3028" s="35">
        <f t="shared" si="139"/>
        <v>0</v>
      </c>
      <c r="K3028" s="36"/>
      <c r="L3028" s="36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  <c r="W3028" s="15">
        <f t="shared" si="140"/>
        <v>0</v>
      </c>
      <c r="X3028" s="36">
        <v>400</v>
      </c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15">
        <f t="shared" si="141"/>
        <v>400</v>
      </c>
      <c r="AK3028" s="14"/>
      <c r="AL3028" s="14"/>
      <c r="AM3028" s="14"/>
      <c r="AN3028" s="14"/>
      <c r="AO3028" s="14"/>
      <c r="AP3028" s="14"/>
      <c r="AQ3028" s="14"/>
      <c r="AR3028" s="14"/>
      <c r="AS3028" s="14"/>
      <c r="AT3028" s="14"/>
      <c r="AU3028" s="14"/>
      <c r="AV3028" s="14"/>
      <c r="AW3028" s="15"/>
      <c r="AX3028" s="16"/>
    </row>
    <row r="3029" spans="2:51" x14ac:dyDescent="0.2">
      <c r="B3029" s="7"/>
      <c r="C3029" s="8">
        <v>13557</v>
      </c>
      <c r="D3029" s="9" t="s">
        <v>731</v>
      </c>
      <c r="E3029" s="10" t="str">
        <f t="shared" si="137"/>
        <v>Rancho Estanzuela No. 133</v>
      </c>
      <c r="F3029" s="10" t="str">
        <f t="shared" si="138"/>
        <v>Hernández Salazar</v>
      </c>
      <c r="G3029" s="8">
        <v>1</v>
      </c>
      <c r="H3029" s="11">
        <v>600</v>
      </c>
      <c r="I3029" s="12">
        <v>42743</v>
      </c>
      <c r="J3029" s="35">
        <f t="shared" si="139"/>
        <v>0</v>
      </c>
      <c r="K3029" s="36"/>
      <c r="L3029" s="36"/>
      <c r="M3029" s="36"/>
      <c r="N3029" s="36"/>
      <c r="O3029" s="36"/>
      <c r="P3029" s="36"/>
      <c r="Q3029" s="36"/>
      <c r="R3029" s="36"/>
      <c r="S3029" s="36"/>
      <c r="T3029" s="36">
        <v>300</v>
      </c>
      <c r="U3029" s="36">
        <v>300</v>
      </c>
      <c r="V3029" s="36"/>
      <c r="W3029" s="15">
        <f t="shared" si="140"/>
        <v>600</v>
      </c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15">
        <f t="shared" si="141"/>
        <v>0</v>
      </c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14"/>
      <c r="AV3029" s="14"/>
      <c r="AW3029" s="15"/>
      <c r="AX3029" s="16"/>
    </row>
    <row r="3030" spans="2:51" x14ac:dyDescent="0.2">
      <c r="B3030" s="7"/>
      <c r="C3030" s="8">
        <v>13558</v>
      </c>
      <c r="D3030" s="9" t="s">
        <v>737</v>
      </c>
      <c r="E3030" s="10" t="str">
        <f t="shared" si="137"/>
        <v>Rancho Romeral No. 9, A</v>
      </c>
      <c r="F3030" s="10" t="str">
        <f t="shared" si="138"/>
        <v>Quiñones Hernández</v>
      </c>
      <c r="G3030" s="8">
        <v>1</v>
      </c>
      <c r="H3030" s="11">
        <v>800</v>
      </c>
      <c r="I3030" s="12">
        <v>42743</v>
      </c>
      <c r="J3030" s="35">
        <f t="shared" si="139"/>
        <v>0</v>
      </c>
      <c r="K3030" s="36"/>
      <c r="L3030" s="36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>
        <v>400</v>
      </c>
      <c r="W3030" s="15">
        <f t="shared" si="140"/>
        <v>400</v>
      </c>
      <c r="X3030" s="36">
        <v>400</v>
      </c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15">
        <f t="shared" si="141"/>
        <v>400</v>
      </c>
      <c r="AK3030" s="14"/>
      <c r="AL3030" s="14"/>
      <c r="AM3030" s="14"/>
      <c r="AN3030" s="14"/>
      <c r="AO3030" s="14"/>
      <c r="AP3030" s="14"/>
      <c r="AQ3030" s="14"/>
      <c r="AR3030" s="14"/>
      <c r="AS3030" s="14"/>
      <c r="AT3030" s="14"/>
      <c r="AU3030" s="14"/>
      <c r="AV3030" s="14"/>
      <c r="AW3030" s="15"/>
      <c r="AX3030" s="16"/>
    </row>
    <row r="3031" spans="2:51" x14ac:dyDescent="0.2">
      <c r="B3031" s="7"/>
      <c r="C3031" s="8">
        <v>13559</v>
      </c>
      <c r="D3031" s="9" t="s">
        <v>794</v>
      </c>
      <c r="E3031" s="10" t="str">
        <f t="shared" si="137"/>
        <v>Rancho Landero No. 18</v>
      </c>
      <c r="F3031" s="10" t="str">
        <f t="shared" si="138"/>
        <v>Rosado</v>
      </c>
      <c r="G3031" s="8">
        <v>1</v>
      </c>
      <c r="H3031" s="11">
        <v>300</v>
      </c>
      <c r="I3031" s="12">
        <v>42743</v>
      </c>
      <c r="J3031" s="35">
        <f t="shared" si="139"/>
        <v>0</v>
      </c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  <c r="U3031" s="36"/>
      <c r="V3031" s="36">
        <v>300</v>
      </c>
      <c r="W3031" s="15">
        <f t="shared" si="140"/>
        <v>300</v>
      </c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15">
        <f t="shared" si="141"/>
        <v>0</v>
      </c>
      <c r="AK3031" s="14"/>
      <c r="AL3031" s="14"/>
      <c r="AM3031" s="14"/>
      <c r="AN3031" s="14"/>
      <c r="AO3031" s="14"/>
      <c r="AP3031" s="14"/>
      <c r="AQ3031" s="14"/>
      <c r="AR3031" s="14"/>
      <c r="AS3031" s="14"/>
      <c r="AT3031" s="14"/>
      <c r="AU3031" s="14"/>
      <c r="AV3031" s="14"/>
      <c r="AW3031" s="15"/>
      <c r="AX3031" s="16"/>
    </row>
    <row r="3032" spans="2:51" x14ac:dyDescent="0.2">
      <c r="B3032" s="7"/>
      <c r="C3032" s="8">
        <v>13560</v>
      </c>
      <c r="D3032" s="9" t="s">
        <v>153</v>
      </c>
      <c r="E3032" s="10" t="str">
        <f t="shared" si="137"/>
        <v>Rancho La Cuchilla No. 92</v>
      </c>
      <c r="F3032" s="10" t="str">
        <f t="shared" si="138"/>
        <v>Cabrera</v>
      </c>
      <c r="G3032" s="8">
        <v>1</v>
      </c>
      <c r="H3032" s="11">
        <v>400</v>
      </c>
      <c r="I3032" s="12">
        <v>42743</v>
      </c>
      <c r="J3032" s="35">
        <f t="shared" si="139"/>
        <v>0</v>
      </c>
      <c r="K3032" s="36"/>
      <c r="L3032" s="36"/>
      <c r="M3032" s="36"/>
      <c r="N3032" s="36"/>
      <c r="O3032" s="36"/>
      <c r="P3032" s="36"/>
      <c r="Q3032" s="36"/>
      <c r="R3032" s="36"/>
      <c r="S3032" s="36"/>
      <c r="T3032" s="36"/>
      <c r="U3032" s="36"/>
      <c r="V3032" s="36"/>
      <c r="W3032" s="15">
        <f t="shared" si="140"/>
        <v>0</v>
      </c>
      <c r="X3032" s="36">
        <v>400</v>
      </c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15">
        <f t="shared" si="141"/>
        <v>400</v>
      </c>
      <c r="AK3032" s="14"/>
      <c r="AL3032" s="14"/>
      <c r="AM3032" s="14"/>
      <c r="AN3032" s="14"/>
      <c r="AO3032" s="14"/>
      <c r="AP3032" s="14"/>
      <c r="AQ3032" s="14"/>
      <c r="AR3032" s="14"/>
      <c r="AS3032" s="14"/>
      <c r="AT3032" s="14"/>
      <c r="AU3032" s="14"/>
      <c r="AV3032" s="14"/>
      <c r="AW3032" s="15"/>
      <c r="AX3032" s="16"/>
    </row>
    <row r="3033" spans="2:51" x14ac:dyDescent="0.2">
      <c r="B3033" s="7"/>
      <c r="C3033" s="8">
        <v>13561</v>
      </c>
      <c r="D3033" s="9" t="s">
        <v>443</v>
      </c>
      <c r="E3033" s="10" t="str">
        <f t="shared" si="137"/>
        <v>Rancho Landero No. 11</v>
      </c>
      <c r="F3033" s="10" t="str">
        <f t="shared" si="138"/>
        <v>Reyes Robles</v>
      </c>
      <c r="G3033" s="8">
        <v>1</v>
      </c>
      <c r="H3033" s="11">
        <v>4400</v>
      </c>
      <c r="I3033" s="12">
        <v>42743</v>
      </c>
      <c r="J3033" s="35">
        <f t="shared" si="139"/>
        <v>0</v>
      </c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  <c r="U3033" s="36"/>
      <c r="V3033" s="36"/>
      <c r="W3033" s="15">
        <f t="shared" si="140"/>
        <v>0</v>
      </c>
      <c r="X3033" s="36">
        <v>400</v>
      </c>
      <c r="Y3033" s="36">
        <v>400</v>
      </c>
      <c r="Z3033" s="36">
        <v>400</v>
      </c>
      <c r="AA3033" s="36">
        <v>400</v>
      </c>
      <c r="AB3033" s="36">
        <v>400</v>
      </c>
      <c r="AC3033" s="36">
        <v>400</v>
      </c>
      <c r="AD3033" s="36">
        <v>400</v>
      </c>
      <c r="AE3033" s="36">
        <v>400</v>
      </c>
      <c r="AF3033" s="36">
        <v>400</v>
      </c>
      <c r="AG3033" s="36">
        <v>400</v>
      </c>
      <c r="AH3033" s="36">
        <v>400</v>
      </c>
      <c r="AI3033" s="36"/>
      <c r="AJ3033" s="15">
        <f t="shared" si="141"/>
        <v>4400</v>
      </c>
      <c r="AK3033" s="14"/>
      <c r="AL3033" s="14"/>
      <c r="AM3033" s="14"/>
      <c r="AN3033" s="14"/>
      <c r="AO3033" s="14"/>
      <c r="AP3033" s="14"/>
      <c r="AQ3033" s="14"/>
      <c r="AR3033" s="14"/>
      <c r="AS3033" s="14"/>
      <c r="AT3033" s="14"/>
      <c r="AU3033" s="14"/>
      <c r="AV3033" s="14"/>
      <c r="AW3033" s="15"/>
      <c r="AX3033" s="16" t="s">
        <v>3363</v>
      </c>
    </row>
    <row r="3034" spans="2:51" x14ac:dyDescent="0.2">
      <c r="B3034" s="7"/>
      <c r="C3034" s="8">
        <v>13562</v>
      </c>
      <c r="D3034" s="9" t="s">
        <v>94</v>
      </c>
      <c r="E3034" s="10" t="str">
        <f t="shared" si="137"/>
        <v>Rancho Landero No. 42</v>
      </c>
      <c r="F3034" s="10" t="str">
        <f t="shared" si="138"/>
        <v>Ávila Fidel</v>
      </c>
      <c r="G3034" s="8">
        <v>1</v>
      </c>
      <c r="H3034" s="11">
        <v>400</v>
      </c>
      <c r="I3034" s="12">
        <v>42743</v>
      </c>
      <c r="J3034" s="35">
        <f t="shared" si="139"/>
        <v>0</v>
      </c>
      <c r="K3034" s="36"/>
      <c r="L3034" s="36"/>
      <c r="M3034" s="36"/>
      <c r="N3034" s="36"/>
      <c r="O3034" s="36"/>
      <c r="P3034" s="36"/>
      <c r="Q3034" s="36"/>
      <c r="R3034" s="36"/>
      <c r="S3034" s="36"/>
      <c r="T3034" s="36"/>
      <c r="U3034" s="36"/>
      <c r="V3034" s="36"/>
      <c r="W3034" s="15">
        <f t="shared" si="140"/>
        <v>0</v>
      </c>
      <c r="X3034" s="36">
        <v>400</v>
      </c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15">
        <f t="shared" si="141"/>
        <v>400</v>
      </c>
      <c r="AK3034" s="14"/>
      <c r="AL3034" s="14"/>
      <c r="AM3034" s="14"/>
      <c r="AN3034" s="14"/>
      <c r="AO3034" s="14"/>
      <c r="AP3034" s="14"/>
      <c r="AQ3034" s="14"/>
      <c r="AR3034" s="14"/>
      <c r="AS3034" s="14"/>
      <c r="AT3034" s="14"/>
      <c r="AU3034" s="14"/>
      <c r="AV3034" s="14"/>
      <c r="AW3034" s="15"/>
      <c r="AX3034" s="16"/>
    </row>
    <row r="3035" spans="2:51" x14ac:dyDescent="0.2">
      <c r="B3035" s="7"/>
      <c r="C3035" s="8">
        <v>13563</v>
      </c>
      <c r="D3035" s="9"/>
      <c r="E3035" s="10" t="str">
        <f t="shared" si="137"/>
        <v/>
      </c>
      <c r="F3035" s="10" t="str">
        <f t="shared" si="138"/>
        <v/>
      </c>
      <c r="G3035" s="8">
        <v>8</v>
      </c>
      <c r="H3035" s="11"/>
      <c r="I3035" s="12"/>
      <c r="J3035" s="35">
        <f t="shared" si="139"/>
        <v>0</v>
      </c>
      <c r="K3035" s="36"/>
      <c r="L3035" s="36"/>
      <c r="M3035" s="36"/>
      <c r="N3035" s="36"/>
      <c r="O3035" s="36"/>
      <c r="P3035" s="36"/>
      <c r="Q3035" s="36"/>
      <c r="R3035" s="36"/>
      <c r="S3035" s="36"/>
      <c r="T3035" s="36"/>
      <c r="U3035" s="36"/>
      <c r="V3035" s="36"/>
      <c r="W3035" s="15">
        <f t="shared" si="140"/>
        <v>0</v>
      </c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15">
        <f t="shared" si="141"/>
        <v>0</v>
      </c>
      <c r="AK3035" s="14"/>
      <c r="AL3035" s="14"/>
      <c r="AM3035" s="14"/>
      <c r="AN3035" s="14"/>
      <c r="AO3035" s="14"/>
      <c r="AP3035" s="14"/>
      <c r="AQ3035" s="14"/>
      <c r="AR3035" s="14"/>
      <c r="AS3035" s="14"/>
      <c r="AT3035" s="14"/>
      <c r="AU3035" s="14"/>
      <c r="AV3035" s="14"/>
      <c r="AW3035" s="15"/>
      <c r="AX3035" s="16"/>
    </row>
    <row r="3036" spans="2:51" x14ac:dyDescent="0.2">
      <c r="B3036" s="7"/>
      <c r="C3036" s="8">
        <v>13564</v>
      </c>
      <c r="D3036" s="9" t="s">
        <v>268</v>
      </c>
      <c r="E3036" s="10" t="str">
        <f t="shared" si="137"/>
        <v>Rancho Landero No. 90</v>
      </c>
      <c r="F3036" s="10" t="str">
        <f t="shared" si="138"/>
        <v>Córdova Reséndiz</v>
      </c>
      <c r="G3036" s="8">
        <v>1</v>
      </c>
      <c r="H3036" s="11">
        <v>300</v>
      </c>
      <c r="I3036" s="12">
        <v>42743</v>
      </c>
      <c r="J3036" s="35">
        <f t="shared" si="139"/>
        <v>0</v>
      </c>
      <c r="K3036" s="36"/>
      <c r="L3036" s="36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  <c r="W3036" s="15">
        <f t="shared" si="140"/>
        <v>0</v>
      </c>
      <c r="X3036" s="36">
        <v>300</v>
      </c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15">
        <f t="shared" si="141"/>
        <v>300</v>
      </c>
      <c r="AK3036" s="14"/>
      <c r="AL3036" s="14"/>
      <c r="AM3036" s="14"/>
      <c r="AN3036" s="14"/>
      <c r="AO3036" s="14"/>
      <c r="AP3036" s="14"/>
      <c r="AQ3036" s="14"/>
      <c r="AR3036" s="14"/>
      <c r="AS3036" s="14"/>
      <c r="AT3036" s="14"/>
      <c r="AU3036" s="14"/>
      <c r="AV3036" s="14"/>
      <c r="AW3036" s="15"/>
      <c r="AX3036" s="16"/>
    </row>
    <row r="3037" spans="2:51" x14ac:dyDescent="0.2">
      <c r="B3037" s="7"/>
      <c r="C3037" s="8">
        <v>13565</v>
      </c>
      <c r="D3037" s="9" t="s">
        <v>162</v>
      </c>
      <c r="E3037" s="10" t="str">
        <f t="shared" si="137"/>
        <v>Rancho La Cuchilla No. 20</v>
      </c>
      <c r="F3037" s="10" t="str">
        <f t="shared" si="138"/>
        <v>Sánchez López</v>
      </c>
      <c r="G3037" s="8">
        <v>1</v>
      </c>
      <c r="H3037" s="11">
        <v>800</v>
      </c>
      <c r="I3037" s="12">
        <v>42743</v>
      </c>
      <c r="J3037" s="35">
        <f t="shared" si="139"/>
        <v>0</v>
      </c>
      <c r="K3037" s="36"/>
      <c r="L3037" s="36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  <c r="W3037" s="15">
        <f t="shared" si="140"/>
        <v>0</v>
      </c>
      <c r="X3037" s="36">
        <v>400</v>
      </c>
      <c r="Y3037" s="36">
        <v>400</v>
      </c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15">
        <f t="shared" si="141"/>
        <v>800</v>
      </c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14"/>
      <c r="AV3037" s="14"/>
      <c r="AW3037" s="15"/>
      <c r="AX3037" s="16"/>
    </row>
    <row r="3038" spans="2:51" x14ac:dyDescent="0.2">
      <c r="B3038" s="7"/>
      <c r="C3038" s="8">
        <v>13566</v>
      </c>
      <c r="D3038" s="9" t="s">
        <v>337</v>
      </c>
      <c r="E3038" s="10" t="str">
        <f t="shared" si="137"/>
        <v>Rancho La Cuchilla No. 96</v>
      </c>
      <c r="F3038" s="10" t="str">
        <f t="shared" si="138"/>
        <v>Valdez Álvarez</v>
      </c>
      <c r="G3038" s="8">
        <v>1</v>
      </c>
      <c r="H3038" s="11">
        <v>4400</v>
      </c>
      <c r="I3038" s="12">
        <v>42743</v>
      </c>
      <c r="J3038" s="35">
        <f t="shared" si="139"/>
        <v>0</v>
      </c>
      <c r="K3038" s="36"/>
      <c r="L3038" s="36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  <c r="W3038" s="15">
        <f t="shared" si="140"/>
        <v>0</v>
      </c>
      <c r="X3038" s="36">
        <v>400</v>
      </c>
      <c r="Y3038" s="36">
        <v>400</v>
      </c>
      <c r="Z3038" s="36">
        <v>400</v>
      </c>
      <c r="AA3038" s="36">
        <v>400</v>
      </c>
      <c r="AB3038" s="36">
        <v>400</v>
      </c>
      <c r="AC3038" s="36">
        <v>400</v>
      </c>
      <c r="AD3038" s="36">
        <v>400</v>
      </c>
      <c r="AE3038" s="36">
        <v>400</v>
      </c>
      <c r="AF3038" s="36">
        <v>400</v>
      </c>
      <c r="AG3038" s="36">
        <v>400</v>
      </c>
      <c r="AH3038" s="36">
        <v>400</v>
      </c>
      <c r="AI3038" s="36"/>
      <c r="AJ3038" s="15">
        <f t="shared" si="141"/>
        <v>4400</v>
      </c>
      <c r="AK3038" s="14"/>
      <c r="AL3038" s="14"/>
      <c r="AM3038" s="14"/>
      <c r="AN3038" s="14"/>
      <c r="AO3038" s="14"/>
      <c r="AP3038" s="14"/>
      <c r="AQ3038" s="14"/>
      <c r="AR3038" s="14"/>
      <c r="AS3038" s="14"/>
      <c r="AT3038" s="14"/>
      <c r="AU3038" s="14"/>
      <c r="AV3038" s="14"/>
      <c r="AW3038" s="15"/>
      <c r="AX3038" s="16" t="s">
        <v>3363</v>
      </c>
    </row>
    <row r="3039" spans="2:51" x14ac:dyDescent="0.2">
      <c r="B3039" s="7"/>
      <c r="C3039" s="8">
        <v>13567</v>
      </c>
      <c r="D3039" s="9" t="s">
        <v>617</v>
      </c>
      <c r="E3039" s="10" t="str">
        <f t="shared" si="137"/>
        <v>Rancho Zinamba No. 50</v>
      </c>
      <c r="F3039" s="10" t="str">
        <f t="shared" si="138"/>
        <v>Del Castillo</v>
      </c>
      <c r="G3039" s="8">
        <v>1</v>
      </c>
      <c r="H3039" s="11">
        <v>400</v>
      </c>
      <c r="I3039" s="12">
        <v>42743</v>
      </c>
      <c r="J3039" s="35">
        <f t="shared" si="139"/>
        <v>0</v>
      </c>
      <c r="K3039" s="36"/>
      <c r="L3039" s="36"/>
      <c r="M3039" s="36"/>
      <c r="N3039" s="36"/>
      <c r="O3039" s="36"/>
      <c r="P3039" s="36"/>
      <c r="Q3039" s="36"/>
      <c r="R3039" s="36"/>
      <c r="S3039" s="36"/>
      <c r="T3039" s="36"/>
      <c r="U3039" s="36"/>
      <c r="V3039" s="36">
        <v>400</v>
      </c>
      <c r="W3039" s="15">
        <f t="shared" si="140"/>
        <v>400</v>
      </c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15">
        <f t="shared" si="141"/>
        <v>0</v>
      </c>
      <c r="AK3039" s="14"/>
      <c r="AL3039" s="14"/>
      <c r="AM3039" s="14"/>
      <c r="AN3039" s="14"/>
      <c r="AO3039" s="14"/>
      <c r="AP3039" s="14"/>
      <c r="AQ3039" s="14"/>
      <c r="AR3039" s="14"/>
      <c r="AS3039" s="14"/>
      <c r="AT3039" s="14"/>
      <c r="AU3039" s="14"/>
      <c r="AV3039" s="14"/>
      <c r="AW3039" s="15"/>
      <c r="AX3039" s="16"/>
    </row>
    <row r="3040" spans="2:51" x14ac:dyDescent="0.2">
      <c r="B3040" s="7"/>
      <c r="C3040" s="8">
        <v>13568</v>
      </c>
      <c r="D3040" s="9" t="s">
        <v>535</v>
      </c>
      <c r="E3040" s="10" t="str">
        <f t="shared" si="137"/>
        <v>Rancho Upácuaro No. 142</v>
      </c>
      <c r="F3040" s="10" t="str">
        <f t="shared" si="138"/>
        <v>Fierro Villaneda</v>
      </c>
      <c r="G3040" s="8">
        <v>1</v>
      </c>
      <c r="H3040" s="11">
        <v>4400</v>
      </c>
      <c r="I3040" s="12">
        <v>42743</v>
      </c>
      <c r="J3040" s="35">
        <f t="shared" si="139"/>
        <v>0</v>
      </c>
      <c r="K3040" s="36"/>
      <c r="L3040" s="36"/>
      <c r="M3040" s="36"/>
      <c r="N3040" s="36"/>
      <c r="O3040" s="36"/>
      <c r="P3040" s="36"/>
      <c r="Q3040" s="36"/>
      <c r="R3040" s="36"/>
      <c r="S3040" s="36"/>
      <c r="T3040" s="36"/>
      <c r="U3040" s="36"/>
      <c r="V3040" s="36"/>
      <c r="W3040" s="15">
        <f t="shared" si="140"/>
        <v>0</v>
      </c>
      <c r="X3040" s="36">
        <v>400</v>
      </c>
      <c r="Y3040" s="36">
        <v>400</v>
      </c>
      <c r="Z3040" s="36">
        <v>400</v>
      </c>
      <c r="AA3040" s="36">
        <v>400</v>
      </c>
      <c r="AB3040" s="36">
        <v>400</v>
      </c>
      <c r="AC3040" s="36">
        <v>400</v>
      </c>
      <c r="AD3040" s="36">
        <v>400</v>
      </c>
      <c r="AE3040" s="36">
        <v>400</v>
      </c>
      <c r="AF3040" s="36">
        <v>400</v>
      </c>
      <c r="AG3040" s="36">
        <v>400</v>
      </c>
      <c r="AH3040" s="36">
        <v>400</v>
      </c>
      <c r="AI3040" s="36"/>
      <c r="AJ3040" s="15">
        <f t="shared" si="141"/>
        <v>4400</v>
      </c>
      <c r="AK3040" s="14"/>
      <c r="AL3040" s="14"/>
      <c r="AM3040" s="14"/>
      <c r="AN3040" s="14"/>
      <c r="AO3040" s="14"/>
      <c r="AP3040" s="14"/>
      <c r="AQ3040" s="14"/>
      <c r="AR3040" s="14"/>
      <c r="AS3040" s="14"/>
      <c r="AT3040" s="14"/>
      <c r="AU3040" s="14"/>
      <c r="AV3040" s="14"/>
      <c r="AW3040" s="15"/>
      <c r="AX3040" s="16" t="s">
        <v>3363</v>
      </c>
      <c r="AY3040" t="s">
        <v>3369</v>
      </c>
    </row>
    <row r="3041" spans="2:50" x14ac:dyDescent="0.2">
      <c r="B3041" s="7"/>
      <c r="C3041" s="8">
        <v>13569</v>
      </c>
      <c r="D3041" s="9" t="s">
        <v>304</v>
      </c>
      <c r="E3041" s="10" t="str">
        <f t="shared" si="137"/>
        <v>Rancho Upácuaro No. 8</v>
      </c>
      <c r="F3041" s="10" t="str">
        <f t="shared" si="138"/>
        <v>Ibarra</v>
      </c>
      <c r="G3041" s="8">
        <v>1</v>
      </c>
      <c r="H3041" s="11">
        <v>4400</v>
      </c>
      <c r="I3041" s="12">
        <v>42743</v>
      </c>
      <c r="J3041" s="35">
        <f t="shared" si="139"/>
        <v>0</v>
      </c>
      <c r="K3041" s="36"/>
      <c r="L3041" s="36"/>
      <c r="M3041" s="36"/>
      <c r="N3041" s="36"/>
      <c r="O3041" s="36"/>
      <c r="P3041" s="36"/>
      <c r="Q3041" s="36"/>
      <c r="R3041" s="36"/>
      <c r="S3041" s="36"/>
      <c r="T3041" s="36"/>
      <c r="U3041" s="36"/>
      <c r="V3041" s="36"/>
      <c r="W3041" s="15">
        <f t="shared" si="140"/>
        <v>0</v>
      </c>
      <c r="X3041" s="36">
        <v>400</v>
      </c>
      <c r="Y3041" s="36">
        <v>400</v>
      </c>
      <c r="Z3041" s="36">
        <v>400</v>
      </c>
      <c r="AA3041" s="36">
        <v>400</v>
      </c>
      <c r="AB3041" s="36">
        <v>400</v>
      </c>
      <c r="AC3041" s="36">
        <v>400</v>
      </c>
      <c r="AD3041" s="36">
        <v>400</v>
      </c>
      <c r="AE3041" s="36">
        <v>400</v>
      </c>
      <c r="AF3041" s="36">
        <v>400</v>
      </c>
      <c r="AG3041" s="36">
        <v>400</v>
      </c>
      <c r="AH3041" s="36">
        <v>400</v>
      </c>
      <c r="AI3041" s="36"/>
      <c r="AJ3041" s="15">
        <f t="shared" si="141"/>
        <v>4400</v>
      </c>
      <c r="AK3041" s="14"/>
      <c r="AL3041" s="14"/>
      <c r="AM3041" s="14"/>
      <c r="AN3041" s="14"/>
      <c r="AO3041" s="14"/>
      <c r="AP3041" s="14"/>
      <c r="AQ3041" s="14"/>
      <c r="AR3041" s="14"/>
      <c r="AS3041" s="14"/>
      <c r="AT3041" s="14"/>
      <c r="AU3041" s="14"/>
      <c r="AV3041" s="14"/>
      <c r="AW3041" s="15"/>
      <c r="AX3041" s="16" t="s">
        <v>3363</v>
      </c>
    </row>
    <row r="3042" spans="2:50" x14ac:dyDescent="0.2">
      <c r="B3042" s="7"/>
      <c r="C3042" s="8">
        <v>13570</v>
      </c>
      <c r="D3042" s="9" t="s">
        <v>328</v>
      </c>
      <c r="E3042" s="10" t="str">
        <f t="shared" si="137"/>
        <v>Rancho La Cuchilla No. 130</v>
      </c>
      <c r="F3042" s="10" t="str">
        <f t="shared" si="138"/>
        <v>Gonzalez</v>
      </c>
      <c r="G3042" s="8">
        <v>1</v>
      </c>
      <c r="H3042" s="11">
        <v>400</v>
      </c>
      <c r="I3042" s="12">
        <v>42743</v>
      </c>
      <c r="J3042" s="35">
        <f t="shared" si="139"/>
        <v>0</v>
      </c>
      <c r="K3042" s="36"/>
      <c r="L3042" s="36"/>
      <c r="M3042" s="36"/>
      <c r="N3042" s="36"/>
      <c r="O3042" s="36"/>
      <c r="P3042" s="36"/>
      <c r="Q3042" s="36"/>
      <c r="R3042" s="36"/>
      <c r="S3042" s="36"/>
      <c r="T3042" s="36"/>
      <c r="U3042" s="36"/>
      <c r="V3042" s="36"/>
      <c r="W3042" s="15">
        <f t="shared" si="140"/>
        <v>0</v>
      </c>
      <c r="X3042" s="36">
        <v>400</v>
      </c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15">
        <f t="shared" si="141"/>
        <v>400</v>
      </c>
      <c r="AK3042" s="14"/>
      <c r="AL3042" s="14"/>
      <c r="AM3042" s="14"/>
      <c r="AN3042" s="14"/>
      <c r="AO3042" s="14"/>
      <c r="AP3042" s="14"/>
      <c r="AQ3042" s="14"/>
      <c r="AR3042" s="14"/>
      <c r="AS3042" s="14"/>
      <c r="AT3042" s="14"/>
      <c r="AU3042" s="14"/>
      <c r="AV3042" s="14"/>
      <c r="AW3042" s="15"/>
      <c r="AX3042" s="16"/>
    </row>
    <row r="3043" spans="2:50" x14ac:dyDescent="0.2">
      <c r="B3043" s="7"/>
      <c r="C3043" s="8">
        <v>13571</v>
      </c>
      <c r="D3043" s="9" t="s">
        <v>605</v>
      </c>
      <c r="E3043" s="10" t="str">
        <f t="shared" si="137"/>
        <v>Rancho Upácuaro No. 50</v>
      </c>
      <c r="F3043" s="10" t="str">
        <f t="shared" si="138"/>
        <v>Rivera Rodríguez</v>
      </c>
      <c r="G3043" s="8">
        <v>1</v>
      </c>
      <c r="H3043" s="11">
        <v>3600</v>
      </c>
      <c r="I3043" s="12">
        <v>42743</v>
      </c>
      <c r="J3043" s="35">
        <f t="shared" si="139"/>
        <v>0</v>
      </c>
      <c r="K3043" s="36"/>
      <c r="L3043" s="36"/>
      <c r="M3043" s="36">
        <v>300</v>
      </c>
      <c r="N3043" s="36">
        <v>300</v>
      </c>
      <c r="O3043" s="36">
        <v>300</v>
      </c>
      <c r="P3043" s="36">
        <v>300</v>
      </c>
      <c r="Q3043" s="36">
        <v>300</v>
      </c>
      <c r="R3043" s="36">
        <v>300</v>
      </c>
      <c r="S3043" s="36">
        <v>300</v>
      </c>
      <c r="T3043" s="36">
        <v>300</v>
      </c>
      <c r="U3043" s="36">
        <v>300</v>
      </c>
      <c r="V3043" s="36">
        <v>300</v>
      </c>
      <c r="W3043" s="15">
        <f t="shared" si="140"/>
        <v>3000</v>
      </c>
      <c r="X3043" s="36">
        <v>300</v>
      </c>
      <c r="Y3043" s="36">
        <v>300</v>
      </c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15">
        <f t="shared" si="141"/>
        <v>600</v>
      </c>
      <c r="AK3043" s="14"/>
      <c r="AL3043" s="14"/>
      <c r="AM3043" s="14"/>
      <c r="AN3043" s="14"/>
      <c r="AO3043" s="14"/>
      <c r="AP3043" s="14"/>
      <c r="AQ3043" s="14"/>
      <c r="AR3043" s="14"/>
      <c r="AS3043" s="14"/>
      <c r="AT3043" s="14"/>
      <c r="AU3043" s="14"/>
      <c r="AV3043" s="14"/>
      <c r="AW3043" s="15"/>
      <c r="AX3043" s="16"/>
    </row>
    <row r="3044" spans="2:50" x14ac:dyDescent="0.2">
      <c r="B3044" s="7"/>
      <c r="C3044" s="8">
        <v>13572</v>
      </c>
      <c r="D3044" s="9" t="s">
        <v>605</v>
      </c>
      <c r="E3044" s="10" t="str">
        <f t="shared" si="137"/>
        <v>Rancho Upácuaro No. 50</v>
      </c>
      <c r="F3044" s="10" t="str">
        <f t="shared" si="138"/>
        <v>Rivera Rodríguez</v>
      </c>
      <c r="G3044" s="8">
        <v>5</v>
      </c>
      <c r="H3044" s="11">
        <v>50</v>
      </c>
      <c r="I3044" s="12">
        <v>42743</v>
      </c>
      <c r="J3044" s="35">
        <f t="shared" si="139"/>
        <v>0</v>
      </c>
      <c r="K3044" s="36"/>
      <c r="L3044" s="36"/>
      <c r="M3044" s="36"/>
      <c r="N3044" s="36"/>
      <c r="O3044" s="36"/>
      <c r="P3044" s="36"/>
      <c r="Q3044" s="36"/>
      <c r="R3044" s="36"/>
      <c r="S3044" s="36"/>
      <c r="T3044" s="36"/>
      <c r="U3044" s="36"/>
      <c r="V3044" s="36"/>
      <c r="W3044" s="15">
        <f t="shared" si="140"/>
        <v>0</v>
      </c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15">
        <f t="shared" si="141"/>
        <v>0</v>
      </c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14"/>
      <c r="AV3044" s="14"/>
      <c r="AW3044" s="15"/>
      <c r="AX3044" s="16"/>
    </row>
    <row r="3045" spans="2:50" x14ac:dyDescent="0.2">
      <c r="B3045" s="7"/>
      <c r="C3045" s="8">
        <v>13573</v>
      </c>
      <c r="D3045" s="9" t="s">
        <v>605</v>
      </c>
      <c r="E3045" s="10" t="str">
        <f t="shared" si="137"/>
        <v>Rancho Upácuaro No. 50</v>
      </c>
      <c r="F3045" s="10" t="str">
        <f t="shared" si="138"/>
        <v>Rivera Rodríguez</v>
      </c>
      <c r="G3045" s="8">
        <v>3</v>
      </c>
      <c r="H3045" s="11">
        <v>400</v>
      </c>
      <c r="I3045" s="12">
        <v>42743</v>
      </c>
      <c r="J3045" s="35">
        <f t="shared" si="139"/>
        <v>0</v>
      </c>
      <c r="K3045" s="36"/>
      <c r="L3045" s="36"/>
      <c r="M3045" s="36"/>
      <c r="N3045" s="36"/>
      <c r="O3045" s="36"/>
      <c r="P3045" s="36"/>
      <c r="Q3045" s="36"/>
      <c r="R3045" s="36"/>
      <c r="S3045" s="36"/>
      <c r="T3045" s="36"/>
      <c r="U3045" s="36"/>
      <c r="V3045" s="36"/>
      <c r="W3045" s="15">
        <f t="shared" si="140"/>
        <v>0</v>
      </c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15">
        <f t="shared" si="141"/>
        <v>0</v>
      </c>
      <c r="AK3045" s="14"/>
      <c r="AL3045" s="14"/>
      <c r="AM3045" s="14"/>
      <c r="AN3045" s="14"/>
      <c r="AO3045" s="14"/>
      <c r="AP3045" s="14"/>
      <c r="AQ3045" s="14"/>
      <c r="AR3045" s="14"/>
      <c r="AS3045" s="14"/>
      <c r="AT3045" s="14"/>
      <c r="AU3045" s="14"/>
      <c r="AV3045" s="14"/>
      <c r="AW3045" s="15"/>
      <c r="AX3045" s="16"/>
    </row>
    <row r="3046" spans="2:50" x14ac:dyDescent="0.2">
      <c r="B3046" s="7"/>
      <c r="C3046" s="8">
        <v>13573</v>
      </c>
      <c r="D3046" s="9" t="s">
        <v>605</v>
      </c>
      <c r="E3046" s="10" t="str">
        <f t="shared" si="137"/>
        <v>Rancho Upácuaro No. 50</v>
      </c>
      <c r="F3046" s="10" t="str">
        <f t="shared" si="138"/>
        <v>Rivera Rodríguez</v>
      </c>
      <c r="G3046" s="8">
        <v>7</v>
      </c>
      <c r="H3046" s="11">
        <v>20</v>
      </c>
      <c r="I3046" s="12">
        <v>42743</v>
      </c>
      <c r="J3046" s="35">
        <f t="shared" si="139"/>
        <v>0</v>
      </c>
      <c r="K3046" s="36"/>
      <c r="L3046" s="36"/>
      <c r="M3046" s="36"/>
      <c r="N3046" s="36"/>
      <c r="O3046" s="36"/>
      <c r="P3046" s="36"/>
      <c r="Q3046" s="36"/>
      <c r="R3046" s="36"/>
      <c r="S3046" s="36"/>
      <c r="T3046" s="36"/>
      <c r="U3046" s="36"/>
      <c r="V3046" s="36"/>
      <c r="W3046" s="15">
        <f t="shared" si="140"/>
        <v>0</v>
      </c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15">
        <f t="shared" si="141"/>
        <v>0</v>
      </c>
      <c r="AK3046" s="14"/>
      <c r="AL3046" s="14"/>
      <c r="AM3046" s="14"/>
      <c r="AN3046" s="14"/>
      <c r="AO3046" s="14"/>
      <c r="AP3046" s="14"/>
      <c r="AQ3046" s="14"/>
      <c r="AR3046" s="14"/>
      <c r="AS3046" s="14"/>
      <c r="AT3046" s="14"/>
      <c r="AU3046" s="14"/>
      <c r="AV3046" s="14"/>
      <c r="AW3046" s="15"/>
      <c r="AX3046" s="16"/>
    </row>
    <row r="3047" spans="2:50" x14ac:dyDescent="0.2">
      <c r="B3047" s="7"/>
      <c r="C3047" s="8">
        <v>13574</v>
      </c>
      <c r="D3047" s="9" t="s">
        <v>313</v>
      </c>
      <c r="E3047" s="10" t="str">
        <f t="shared" si="137"/>
        <v>Rancho La Cuchilla No. 87</v>
      </c>
      <c r="F3047" s="10" t="str">
        <f t="shared" si="138"/>
        <v>Villanueva S.</v>
      </c>
      <c r="G3047" s="8">
        <v>1</v>
      </c>
      <c r="H3047" s="11">
        <v>800</v>
      </c>
      <c r="I3047" s="12">
        <v>42743</v>
      </c>
      <c r="J3047" s="35">
        <f t="shared" si="139"/>
        <v>0</v>
      </c>
      <c r="K3047" s="36"/>
      <c r="L3047" s="36"/>
      <c r="M3047" s="36"/>
      <c r="N3047" s="36"/>
      <c r="O3047" s="36"/>
      <c r="P3047" s="36"/>
      <c r="Q3047" s="36"/>
      <c r="R3047" s="36"/>
      <c r="S3047" s="36"/>
      <c r="T3047" s="36"/>
      <c r="U3047" s="36"/>
      <c r="V3047" s="36">
        <v>400</v>
      </c>
      <c r="W3047" s="15">
        <f t="shared" si="140"/>
        <v>400</v>
      </c>
      <c r="X3047" s="36">
        <v>400</v>
      </c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15">
        <f t="shared" si="141"/>
        <v>400</v>
      </c>
      <c r="AK3047" s="14"/>
      <c r="AL3047" s="14"/>
      <c r="AM3047" s="14"/>
      <c r="AN3047" s="14"/>
      <c r="AO3047" s="14"/>
      <c r="AP3047" s="14"/>
      <c r="AQ3047" s="14"/>
      <c r="AR3047" s="14"/>
      <c r="AS3047" s="14"/>
      <c r="AT3047" s="14"/>
      <c r="AU3047" s="14"/>
      <c r="AV3047" s="14"/>
      <c r="AW3047" s="15"/>
      <c r="AX3047" s="16"/>
    </row>
    <row r="3048" spans="2:50" x14ac:dyDescent="0.2">
      <c r="B3048" s="7"/>
      <c r="C3048" s="8">
        <v>13575</v>
      </c>
      <c r="D3048" s="9" t="s">
        <v>283</v>
      </c>
      <c r="E3048" s="10" t="str">
        <f t="shared" si="137"/>
        <v>Rancho Estanzuela No. 115</v>
      </c>
      <c r="F3048" s="10" t="str">
        <f t="shared" si="138"/>
        <v>Frías Solórzano</v>
      </c>
      <c r="G3048" s="8">
        <v>1</v>
      </c>
      <c r="H3048" s="11">
        <v>250</v>
      </c>
      <c r="I3048" s="12">
        <v>42743</v>
      </c>
      <c r="J3048" s="35">
        <f t="shared" si="139"/>
        <v>0</v>
      </c>
      <c r="K3048" s="36"/>
      <c r="L3048" s="36"/>
      <c r="M3048" s="36"/>
      <c r="N3048" s="36"/>
      <c r="O3048" s="36"/>
      <c r="P3048" s="36"/>
      <c r="Q3048" s="36"/>
      <c r="R3048" s="36"/>
      <c r="S3048" s="36"/>
      <c r="T3048" s="36"/>
      <c r="U3048" s="36"/>
      <c r="V3048" s="36"/>
      <c r="W3048" s="15">
        <f t="shared" si="140"/>
        <v>0</v>
      </c>
      <c r="X3048" s="36">
        <v>250</v>
      </c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15">
        <f t="shared" si="141"/>
        <v>250</v>
      </c>
      <c r="AK3048" s="14"/>
      <c r="AL3048" s="14"/>
      <c r="AM3048" s="14"/>
      <c r="AN3048" s="14"/>
      <c r="AO3048" s="14"/>
      <c r="AP3048" s="14"/>
      <c r="AQ3048" s="14"/>
      <c r="AR3048" s="14"/>
      <c r="AS3048" s="14"/>
      <c r="AT3048" s="14"/>
      <c r="AU3048" s="14"/>
      <c r="AV3048" s="14"/>
      <c r="AW3048" s="15"/>
      <c r="AX3048" s="16"/>
    </row>
    <row r="3049" spans="2:50" x14ac:dyDescent="0.2">
      <c r="B3049" s="7"/>
      <c r="C3049" s="8">
        <v>13575</v>
      </c>
      <c r="D3049" s="9" t="s">
        <v>283</v>
      </c>
      <c r="E3049" s="10" t="str">
        <f t="shared" si="137"/>
        <v>Rancho Estanzuela No. 115</v>
      </c>
      <c r="F3049" s="10" t="str">
        <f t="shared" si="138"/>
        <v>Frías Solórzano</v>
      </c>
      <c r="G3049" s="8">
        <v>3</v>
      </c>
      <c r="H3049" s="11">
        <v>400</v>
      </c>
      <c r="I3049" s="12">
        <v>42743</v>
      </c>
      <c r="J3049" s="35">
        <f t="shared" si="139"/>
        <v>0</v>
      </c>
      <c r="K3049" s="36"/>
      <c r="L3049" s="36"/>
      <c r="M3049" s="36"/>
      <c r="N3049" s="36"/>
      <c r="O3049" s="36"/>
      <c r="P3049" s="36"/>
      <c r="Q3049" s="36"/>
      <c r="R3049" s="36"/>
      <c r="S3049" s="36"/>
      <c r="T3049" s="36"/>
      <c r="U3049" s="36"/>
      <c r="V3049" s="36"/>
      <c r="W3049" s="15">
        <f t="shared" si="140"/>
        <v>0</v>
      </c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15">
        <f t="shared" si="141"/>
        <v>0</v>
      </c>
      <c r="AK3049" s="14"/>
      <c r="AL3049" s="14"/>
      <c r="AM3049" s="14"/>
      <c r="AN3049" s="14"/>
      <c r="AO3049" s="14"/>
      <c r="AP3049" s="14"/>
      <c r="AQ3049" s="14"/>
      <c r="AR3049" s="14"/>
      <c r="AS3049" s="14"/>
      <c r="AT3049" s="14"/>
      <c r="AU3049" s="14"/>
      <c r="AV3049" s="14"/>
      <c r="AW3049" s="15"/>
      <c r="AX3049" s="16"/>
    </row>
    <row r="3050" spans="2:50" x14ac:dyDescent="0.2">
      <c r="B3050" s="7"/>
      <c r="C3050" s="8">
        <v>13576</v>
      </c>
      <c r="D3050" s="9" t="s">
        <v>455</v>
      </c>
      <c r="E3050" s="10" t="str">
        <f t="shared" si="137"/>
        <v>Rancho Zinamba No. 38</v>
      </c>
      <c r="F3050" s="10" t="str">
        <f t="shared" si="138"/>
        <v>Ramírez Díaz</v>
      </c>
      <c r="G3050" s="8">
        <v>1</v>
      </c>
      <c r="H3050" s="11">
        <v>400</v>
      </c>
      <c r="I3050" s="12">
        <v>42743</v>
      </c>
      <c r="J3050" s="35">
        <f t="shared" si="139"/>
        <v>0</v>
      </c>
      <c r="K3050" s="36"/>
      <c r="L3050" s="36"/>
      <c r="M3050" s="36"/>
      <c r="N3050" s="36"/>
      <c r="O3050" s="36"/>
      <c r="P3050" s="36"/>
      <c r="Q3050" s="36"/>
      <c r="R3050" s="36"/>
      <c r="S3050" s="36"/>
      <c r="T3050" s="36"/>
      <c r="U3050" s="36"/>
      <c r="V3050" s="36"/>
      <c r="W3050" s="15">
        <f t="shared" si="140"/>
        <v>0</v>
      </c>
      <c r="X3050" s="36">
        <v>400</v>
      </c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15">
        <f t="shared" si="141"/>
        <v>400</v>
      </c>
      <c r="AK3050" s="14"/>
      <c r="AL3050" s="14"/>
      <c r="AM3050" s="14"/>
      <c r="AN3050" s="14"/>
      <c r="AO3050" s="14"/>
      <c r="AP3050" s="14"/>
      <c r="AQ3050" s="14"/>
      <c r="AR3050" s="14"/>
      <c r="AS3050" s="14"/>
      <c r="AT3050" s="14"/>
      <c r="AU3050" s="14"/>
      <c r="AV3050" s="14"/>
      <c r="AW3050" s="15"/>
      <c r="AX3050" s="16"/>
    </row>
    <row r="3051" spans="2:50" x14ac:dyDescent="0.2">
      <c r="B3051" s="7"/>
      <c r="C3051" s="8">
        <v>13577</v>
      </c>
      <c r="D3051" s="9" t="s">
        <v>705</v>
      </c>
      <c r="E3051" s="10" t="str">
        <f t="shared" si="137"/>
        <v>Rancho La Cuchilla No. 75</v>
      </c>
      <c r="F3051" s="10" t="str">
        <f t="shared" si="138"/>
        <v>Sosa Lucio</v>
      </c>
      <c r="G3051" s="8">
        <v>1</v>
      </c>
      <c r="H3051" s="11">
        <v>900</v>
      </c>
      <c r="I3051" s="12">
        <v>42743</v>
      </c>
      <c r="J3051" s="35">
        <f t="shared" si="139"/>
        <v>0</v>
      </c>
      <c r="K3051" s="36"/>
      <c r="L3051" s="36"/>
      <c r="M3051" s="36"/>
      <c r="N3051" s="36"/>
      <c r="O3051" s="36"/>
      <c r="P3051" s="36"/>
      <c r="Q3051" s="36"/>
      <c r="R3051" s="36"/>
      <c r="S3051" s="36"/>
      <c r="T3051" s="36"/>
      <c r="U3051" s="36">
        <v>300</v>
      </c>
      <c r="V3051" s="36">
        <v>300</v>
      </c>
      <c r="W3051" s="15">
        <f t="shared" si="140"/>
        <v>600</v>
      </c>
      <c r="X3051" s="36">
        <v>300</v>
      </c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15">
        <f t="shared" si="141"/>
        <v>300</v>
      </c>
      <c r="AK3051" s="14"/>
      <c r="AL3051" s="14"/>
      <c r="AM3051" s="14"/>
      <c r="AN3051" s="14"/>
      <c r="AO3051" s="14"/>
      <c r="AP3051" s="14"/>
      <c r="AQ3051" s="14"/>
      <c r="AR3051" s="14"/>
      <c r="AS3051" s="14"/>
      <c r="AT3051" s="14"/>
      <c r="AU3051" s="14"/>
      <c r="AV3051" s="14"/>
      <c r="AW3051" s="15"/>
      <c r="AX3051" s="16"/>
    </row>
    <row r="3052" spans="2:50" x14ac:dyDescent="0.2">
      <c r="B3052" s="7"/>
      <c r="C3052" s="8">
        <v>13578</v>
      </c>
      <c r="D3052" s="9" t="s">
        <v>840</v>
      </c>
      <c r="E3052" s="10" t="str">
        <f t="shared" si="137"/>
        <v>Rancho Landero No. 33</v>
      </c>
      <c r="F3052" s="10" t="str">
        <f t="shared" si="138"/>
        <v>González Uribe</v>
      </c>
      <c r="G3052" s="8">
        <v>1</v>
      </c>
      <c r="H3052" s="11">
        <v>800</v>
      </c>
      <c r="I3052" s="12">
        <v>42743</v>
      </c>
      <c r="J3052" s="35">
        <f t="shared" si="139"/>
        <v>0</v>
      </c>
      <c r="K3052" s="36"/>
      <c r="L3052" s="36"/>
      <c r="M3052" s="36"/>
      <c r="N3052" s="36"/>
      <c r="O3052" s="36"/>
      <c r="P3052" s="36"/>
      <c r="Q3052" s="36"/>
      <c r="R3052" s="36"/>
      <c r="S3052" s="36"/>
      <c r="T3052" s="36">
        <v>400</v>
      </c>
      <c r="U3052" s="36">
        <v>400</v>
      </c>
      <c r="V3052" s="36"/>
      <c r="W3052" s="15">
        <f t="shared" si="140"/>
        <v>800</v>
      </c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15">
        <f t="shared" si="141"/>
        <v>0</v>
      </c>
      <c r="AK3052" s="14"/>
      <c r="AL3052" s="14"/>
      <c r="AM3052" s="14"/>
      <c r="AN3052" s="14"/>
      <c r="AO3052" s="14"/>
      <c r="AP3052" s="14"/>
      <c r="AQ3052" s="14"/>
      <c r="AR3052" s="14"/>
      <c r="AS3052" s="14"/>
      <c r="AT3052" s="14"/>
      <c r="AU3052" s="14"/>
      <c r="AV3052" s="14"/>
      <c r="AW3052" s="15"/>
      <c r="AX3052" s="16"/>
    </row>
    <row r="3053" spans="2:50" x14ac:dyDescent="0.2">
      <c r="B3053" s="7"/>
      <c r="C3053" s="8">
        <v>13579</v>
      </c>
      <c r="D3053" s="9" t="s">
        <v>1148</v>
      </c>
      <c r="E3053" s="10" t="str">
        <f t="shared" si="137"/>
        <v>Rancho La Cuchilla No. 118</v>
      </c>
      <c r="F3053" s="10" t="str">
        <f t="shared" si="138"/>
        <v>Astorga Ruiz</v>
      </c>
      <c r="G3053" s="8">
        <v>1</v>
      </c>
      <c r="H3053" s="11">
        <v>800</v>
      </c>
      <c r="I3053" s="12">
        <v>42743</v>
      </c>
      <c r="J3053" s="35">
        <f t="shared" si="139"/>
        <v>0</v>
      </c>
      <c r="K3053" s="36"/>
      <c r="L3053" s="36"/>
      <c r="M3053" s="36"/>
      <c r="N3053" s="36"/>
      <c r="O3053" s="36"/>
      <c r="P3053" s="36"/>
      <c r="Q3053" s="36"/>
      <c r="R3053" s="36"/>
      <c r="S3053" s="36"/>
      <c r="T3053" s="36"/>
      <c r="U3053" s="36">
        <v>400</v>
      </c>
      <c r="V3053" s="36">
        <v>400</v>
      </c>
      <c r="W3053" s="15">
        <f t="shared" si="140"/>
        <v>800</v>
      </c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15">
        <f t="shared" si="141"/>
        <v>0</v>
      </c>
      <c r="AK3053" s="14"/>
      <c r="AL3053" s="14"/>
      <c r="AM3053" s="14"/>
      <c r="AN3053" s="14"/>
      <c r="AO3053" s="14"/>
      <c r="AP3053" s="14"/>
      <c r="AQ3053" s="14"/>
      <c r="AR3053" s="14"/>
      <c r="AS3053" s="14"/>
      <c r="AT3053" s="14"/>
      <c r="AU3053" s="14"/>
      <c r="AV3053" s="14"/>
      <c r="AW3053" s="15"/>
      <c r="AX3053" s="16"/>
    </row>
    <row r="3054" spans="2:50" x14ac:dyDescent="0.2">
      <c r="B3054" s="7"/>
      <c r="C3054" s="8">
        <v>13579</v>
      </c>
      <c r="D3054" s="9" t="s">
        <v>1148</v>
      </c>
      <c r="E3054" s="10" t="str">
        <f t="shared" si="137"/>
        <v>Rancho La Cuchilla No. 118</v>
      </c>
      <c r="F3054" s="10" t="str">
        <f t="shared" si="138"/>
        <v>Astorga Ruiz</v>
      </c>
      <c r="G3054" s="8">
        <v>3</v>
      </c>
      <c r="H3054" s="11">
        <v>400</v>
      </c>
      <c r="I3054" s="12">
        <v>42743</v>
      </c>
      <c r="J3054" s="35">
        <f t="shared" si="139"/>
        <v>0</v>
      </c>
      <c r="K3054" s="36"/>
      <c r="L3054" s="36"/>
      <c r="M3054" s="36"/>
      <c r="N3054" s="36"/>
      <c r="O3054" s="36"/>
      <c r="P3054" s="36"/>
      <c r="Q3054" s="36"/>
      <c r="R3054" s="36"/>
      <c r="S3054" s="36"/>
      <c r="T3054" s="36"/>
      <c r="U3054" s="36"/>
      <c r="V3054" s="36"/>
      <c r="W3054" s="15">
        <f t="shared" si="140"/>
        <v>0</v>
      </c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15">
        <f t="shared" si="141"/>
        <v>0</v>
      </c>
      <c r="AK3054" s="14"/>
      <c r="AL3054" s="14"/>
      <c r="AM3054" s="14"/>
      <c r="AN3054" s="14"/>
      <c r="AO3054" s="14"/>
      <c r="AP3054" s="14"/>
      <c r="AQ3054" s="14"/>
      <c r="AR3054" s="14"/>
      <c r="AS3054" s="14"/>
      <c r="AT3054" s="14"/>
      <c r="AU3054" s="14"/>
      <c r="AV3054" s="14"/>
      <c r="AW3054" s="15"/>
      <c r="AX3054" s="16"/>
    </row>
    <row r="3055" spans="2:50" x14ac:dyDescent="0.2">
      <c r="B3055" s="7"/>
      <c r="C3055" s="8">
        <v>13580</v>
      </c>
      <c r="D3055" s="9" t="s">
        <v>583</v>
      </c>
      <c r="E3055" s="10" t="str">
        <f t="shared" si="137"/>
        <v>Rancho La Cuchilla No. 111</v>
      </c>
      <c r="F3055" s="10" t="str">
        <f t="shared" si="138"/>
        <v>García Santos Ofelia</v>
      </c>
      <c r="G3055" s="8">
        <v>1</v>
      </c>
      <c r="H3055" s="11">
        <v>200</v>
      </c>
      <c r="I3055" s="12">
        <v>42743</v>
      </c>
      <c r="J3055" s="35">
        <f t="shared" si="139"/>
        <v>0</v>
      </c>
      <c r="K3055" s="36"/>
      <c r="L3055" s="36"/>
      <c r="M3055" s="36"/>
      <c r="N3055" s="36"/>
      <c r="O3055" s="36"/>
      <c r="P3055" s="36"/>
      <c r="Q3055" s="36"/>
      <c r="R3055" s="36"/>
      <c r="S3055" s="36"/>
      <c r="T3055" s="36"/>
      <c r="U3055" s="36"/>
      <c r="V3055" s="36"/>
      <c r="W3055" s="15">
        <f t="shared" si="140"/>
        <v>0</v>
      </c>
      <c r="X3055" s="36">
        <v>200</v>
      </c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15">
        <f t="shared" si="141"/>
        <v>200</v>
      </c>
      <c r="AK3055" s="14"/>
      <c r="AL3055" s="14"/>
      <c r="AM3055" s="14"/>
      <c r="AN3055" s="14"/>
      <c r="AO3055" s="14"/>
      <c r="AP3055" s="14"/>
      <c r="AQ3055" s="14"/>
      <c r="AR3055" s="14"/>
      <c r="AS3055" s="14"/>
      <c r="AT3055" s="14"/>
      <c r="AU3055" s="14"/>
      <c r="AV3055" s="14"/>
      <c r="AW3055" s="15"/>
      <c r="AX3055" s="16"/>
    </row>
    <row r="3056" spans="2:50" x14ac:dyDescent="0.2">
      <c r="B3056" s="7"/>
      <c r="C3056" s="8">
        <v>13581</v>
      </c>
      <c r="D3056" s="9" t="s">
        <v>174</v>
      </c>
      <c r="E3056" s="10" t="str">
        <f t="shared" si="137"/>
        <v>Rancho Upácuaro No. 18</v>
      </c>
      <c r="F3056" s="10" t="str">
        <f t="shared" si="138"/>
        <v>Guzmán</v>
      </c>
      <c r="G3056" s="8">
        <v>1</v>
      </c>
      <c r="H3056" s="11">
        <v>300</v>
      </c>
      <c r="I3056" s="12">
        <v>42743</v>
      </c>
      <c r="J3056" s="35">
        <f t="shared" si="139"/>
        <v>0</v>
      </c>
      <c r="K3056" s="36"/>
      <c r="L3056" s="36"/>
      <c r="M3056" s="36"/>
      <c r="N3056" s="36"/>
      <c r="O3056" s="36"/>
      <c r="P3056" s="36"/>
      <c r="Q3056" s="36"/>
      <c r="R3056" s="36"/>
      <c r="S3056" s="36"/>
      <c r="T3056" s="36"/>
      <c r="U3056" s="36"/>
      <c r="V3056" s="36"/>
      <c r="W3056" s="15">
        <f t="shared" si="140"/>
        <v>0</v>
      </c>
      <c r="X3056" s="36">
        <v>300</v>
      </c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15">
        <f t="shared" si="141"/>
        <v>300</v>
      </c>
      <c r="AK3056" s="14"/>
      <c r="AL3056" s="14"/>
      <c r="AM3056" s="14"/>
      <c r="AN3056" s="14"/>
      <c r="AO3056" s="14"/>
      <c r="AP3056" s="14"/>
      <c r="AQ3056" s="14"/>
      <c r="AR3056" s="14"/>
      <c r="AS3056" s="14"/>
      <c r="AT3056" s="14"/>
      <c r="AU3056" s="14"/>
      <c r="AV3056" s="14"/>
      <c r="AW3056" s="15"/>
      <c r="AX3056" s="16"/>
    </row>
    <row r="3057" spans="2:50" x14ac:dyDescent="0.2">
      <c r="B3057" s="339"/>
      <c r="C3057" s="8">
        <v>13582</v>
      </c>
      <c r="D3057" s="9" t="s">
        <v>755</v>
      </c>
      <c r="E3057" s="10" t="str">
        <f t="shared" si="137"/>
        <v>Rancho La Cuchilla No. 147, 2</v>
      </c>
      <c r="F3057" s="10" t="str">
        <f t="shared" si="138"/>
        <v>Cinta Gudiño</v>
      </c>
      <c r="G3057" s="8">
        <v>1</v>
      </c>
      <c r="H3057" s="11">
        <v>1000</v>
      </c>
      <c r="I3057" s="12">
        <v>42743</v>
      </c>
      <c r="J3057" s="35">
        <f t="shared" si="139"/>
        <v>0</v>
      </c>
      <c r="K3057" s="36"/>
      <c r="L3057" s="36"/>
      <c r="M3057" s="36"/>
      <c r="N3057" s="36"/>
      <c r="O3057" s="36"/>
      <c r="P3057" s="36"/>
      <c r="Q3057" s="36"/>
      <c r="R3057" s="36">
        <v>200</v>
      </c>
      <c r="S3057" s="36">
        <v>200</v>
      </c>
      <c r="T3057" s="36">
        <v>200</v>
      </c>
      <c r="U3057" s="36">
        <v>200</v>
      </c>
      <c r="V3057" s="36">
        <v>200</v>
      </c>
      <c r="W3057" s="15">
        <f t="shared" si="140"/>
        <v>1000</v>
      </c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15">
        <f t="shared" si="141"/>
        <v>0</v>
      </c>
      <c r="AK3057" s="14"/>
      <c r="AL3057" s="14"/>
      <c r="AM3057" s="14"/>
      <c r="AN3057" s="14"/>
      <c r="AO3057" s="14"/>
      <c r="AP3057" s="14"/>
      <c r="AQ3057" s="14"/>
      <c r="AR3057" s="14"/>
      <c r="AS3057" s="14"/>
      <c r="AT3057" s="14"/>
      <c r="AU3057" s="14"/>
      <c r="AV3057" s="14"/>
      <c r="AW3057" s="15"/>
      <c r="AX3057" s="16"/>
    </row>
    <row r="3058" spans="2:50" x14ac:dyDescent="0.2">
      <c r="B3058" s="339"/>
      <c r="C3058" s="8">
        <v>13583</v>
      </c>
      <c r="D3058" s="9" t="s">
        <v>755</v>
      </c>
      <c r="E3058" s="10" t="str">
        <f t="shared" si="137"/>
        <v>Rancho La Cuchilla No. 147, 2</v>
      </c>
      <c r="F3058" s="10" t="str">
        <f t="shared" si="138"/>
        <v>Cinta Gudiño</v>
      </c>
      <c r="G3058" s="8">
        <v>5</v>
      </c>
      <c r="H3058" s="11">
        <v>100</v>
      </c>
      <c r="I3058" s="12">
        <v>42743</v>
      </c>
      <c r="J3058" s="35">
        <f t="shared" si="139"/>
        <v>0</v>
      </c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  <c r="U3058" s="36"/>
      <c r="V3058" s="36"/>
      <c r="W3058" s="15">
        <f t="shared" si="140"/>
        <v>0</v>
      </c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15">
        <f t="shared" si="141"/>
        <v>0</v>
      </c>
      <c r="AK3058" s="14"/>
      <c r="AL3058" s="14"/>
      <c r="AM3058" s="14"/>
      <c r="AN3058" s="14"/>
      <c r="AO3058" s="14"/>
      <c r="AP3058" s="14"/>
      <c r="AQ3058" s="14"/>
      <c r="AR3058" s="14"/>
      <c r="AS3058" s="14"/>
      <c r="AT3058" s="14"/>
      <c r="AU3058" s="14"/>
      <c r="AV3058" s="14"/>
      <c r="AW3058" s="15"/>
      <c r="AX3058" s="16"/>
    </row>
    <row r="3059" spans="2:50" x14ac:dyDescent="0.2">
      <c r="B3059" s="7"/>
      <c r="C3059" s="8">
        <v>13584</v>
      </c>
      <c r="D3059" s="9" t="s">
        <v>416</v>
      </c>
      <c r="E3059" s="10" t="str">
        <f t="shared" si="137"/>
        <v>Rancho La Cuchilla No. 112, PB</v>
      </c>
      <c r="F3059" s="10" t="str">
        <f t="shared" si="138"/>
        <v>Soreque</v>
      </c>
      <c r="G3059" s="8">
        <v>1</v>
      </c>
      <c r="H3059" s="11">
        <v>400</v>
      </c>
      <c r="I3059" s="12">
        <v>42743</v>
      </c>
      <c r="J3059" s="35">
        <f t="shared" si="139"/>
        <v>0</v>
      </c>
      <c r="K3059" s="36"/>
      <c r="L3059" s="36"/>
      <c r="M3059" s="36"/>
      <c r="N3059" s="36"/>
      <c r="O3059" s="36"/>
      <c r="P3059" s="36"/>
      <c r="Q3059" s="36"/>
      <c r="R3059" s="36"/>
      <c r="S3059" s="36"/>
      <c r="T3059" s="36"/>
      <c r="U3059" s="36"/>
      <c r="V3059" s="36">
        <v>200</v>
      </c>
      <c r="W3059" s="15">
        <f t="shared" si="140"/>
        <v>200</v>
      </c>
      <c r="X3059" s="36">
        <v>200</v>
      </c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15">
        <f t="shared" si="141"/>
        <v>200</v>
      </c>
      <c r="AK3059" s="14"/>
      <c r="AL3059" s="14"/>
      <c r="AM3059" s="14"/>
      <c r="AN3059" s="14"/>
      <c r="AO3059" s="14"/>
      <c r="AP3059" s="14"/>
      <c r="AQ3059" s="14"/>
      <c r="AR3059" s="14"/>
      <c r="AS3059" s="14"/>
      <c r="AT3059" s="14"/>
      <c r="AU3059" s="14"/>
      <c r="AV3059" s="14"/>
      <c r="AW3059" s="15"/>
      <c r="AX3059" s="16"/>
    </row>
    <row r="3060" spans="2:50" x14ac:dyDescent="0.2">
      <c r="B3060" s="7"/>
      <c r="C3060" s="8">
        <v>13585</v>
      </c>
      <c r="D3060" s="9" t="s">
        <v>871</v>
      </c>
      <c r="E3060" s="10" t="str">
        <f t="shared" ref="E3060:E3066" si="142">IF(D3060=0,"",VLOOKUP(D3060,BASE,2,FALSE))</f>
        <v>Rancho Upácuaro No. 68</v>
      </c>
      <c r="F3060" s="10" t="str">
        <f t="shared" ref="F3060:F3066" si="143">IF(D3060=0,"",VLOOKUP(D3060,BASE,3,FALSE))</f>
        <v>Colin Guerrero</v>
      </c>
      <c r="G3060" s="8">
        <v>1</v>
      </c>
      <c r="H3060" s="11">
        <v>200</v>
      </c>
      <c r="I3060" s="12">
        <v>42743</v>
      </c>
      <c r="J3060" s="35">
        <f t="shared" ref="J3060:J3066" si="144">IF(G3060=1,SUM(W3060,AJ3060,-H3060),0)</f>
        <v>0</v>
      </c>
      <c r="K3060" s="36"/>
      <c r="L3060" s="36"/>
      <c r="M3060" s="36"/>
      <c r="N3060" s="36"/>
      <c r="O3060" s="36"/>
      <c r="P3060" s="36"/>
      <c r="Q3060" s="36"/>
      <c r="R3060" s="36"/>
      <c r="S3060" s="36">
        <v>200</v>
      </c>
      <c r="T3060" s="36"/>
      <c r="U3060" s="36"/>
      <c r="V3060" s="36"/>
      <c r="W3060" s="15">
        <f t="shared" ref="W3060:W3066" si="145">SUM(K3060:V3060)</f>
        <v>200</v>
      </c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15">
        <f t="shared" ref="AJ3060:AJ3066" si="146">SUM(X3060:AI3060)</f>
        <v>0</v>
      </c>
      <c r="AK3060" s="14"/>
      <c r="AL3060" s="14"/>
      <c r="AM3060" s="14"/>
      <c r="AN3060" s="14"/>
      <c r="AO3060" s="14"/>
      <c r="AP3060" s="14"/>
      <c r="AQ3060" s="14"/>
      <c r="AR3060" s="14"/>
      <c r="AS3060" s="14"/>
      <c r="AT3060" s="14"/>
      <c r="AU3060" s="14"/>
      <c r="AV3060" s="14"/>
      <c r="AW3060" s="15"/>
      <c r="AX3060" s="16"/>
    </row>
    <row r="3061" spans="2:50" x14ac:dyDescent="0.2">
      <c r="B3061" s="7"/>
      <c r="C3061" s="8">
        <v>13586</v>
      </c>
      <c r="D3061" s="9" t="s">
        <v>858</v>
      </c>
      <c r="E3061" s="10" t="str">
        <f t="shared" si="142"/>
        <v>Rancho Landero No. 45</v>
      </c>
      <c r="F3061" s="10" t="str">
        <f t="shared" si="143"/>
        <v>Solano</v>
      </c>
      <c r="G3061" s="8">
        <v>1</v>
      </c>
      <c r="H3061" s="11">
        <v>800</v>
      </c>
      <c r="I3061" s="12">
        <v>42743</v>
      </c>
      <c r="J3061" s="35">
        <f t="shared" si="144"/>
        <v>0</v>
      </c>
      <c r="K3061" s="36"/>
      <c r="L3061" s="36"/>
      <c r="M3061" s="36"/>
      <c r="N3061" s="36"/>
      <c r="O3061" s="36"/>
      <c r="P3061" s="36"/>
      <c r="Q3061" s="36"/>
      <c r="R3061" s="36"/>
      <c r="S3061" s="36"/>
      <c r="T3061" s="36"/>
      <c r="U3061" s="36"/>
      <c r="V3061" s="36"/>
      <c r="W3061" s="15">
        <f t="shared" si="145"/>
        <v>0</v>
      </c>
      <c r="X3061" s="36">
        <v>400</v>
      </c>
      <c r="Y3061" s="36">
        <v>400</v>
      </c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15">
        <f t="shared" si="146"/>
        <v>800</v>
      </c>
      <c r="AK3061" s="14"/>
      <c r="AL3061" s="14"/>
      <c r="AM3061" s="14"/>
      <c r="AN3061" s="14"/>
      <c r="AO3061" s="14"/>
      <c r="AP3061" s="14"/>
      <c r="AQ3061" s="14"/>
      <c r="AR3061" s="14"/>
      <c r="AS3061" s="14"/>
      <c r="AT3061" s="14"/>
      <c r="AU3061" s="14"/>
      <c r="AV3061" s="14"/>
      <c r="AW3061" s="15"/>
      <c r="AX3061" s="16"/>
    </row>
    <row r="3062" spans="2:50" x14ac:dyDescent="0.2">
      <c r="B3062" s="7"/>
      <c r="C3062" s="8">
        <v>13587</v>
      </c>
      <c r="D3062" s="9" t="s">
        <v>395</v>
      </c>
      <c r="E3062" s="10" t="str">
        <f t="shared" si="142"/>
        <v>Rancho Landero No. 7</v>
      </c>
      <c r="F3062" s="10" t="str">
        <f t="shared" si="143"/>
        <v>Robles</v>
      </c>
      <c r="G3062" s="8">
        <v>1</v>
      </c>
      <c r="H3062" s="315">
        <v>200</v>
      </c>
      <c r="I3062" s="12">
        <v>42743</v>
      </c>
      <c r="J3062" s="35">
        <f t="shared" si="144"/>
        <v>0</v>
      </c>
      <c r="K3062" s="36"/>
      <c r="L3062" s="36"/>
      <c r="M3062" s="36"/>
      <c r="N3062" s="36"/>
      <c r="O3062" s="36"/>
      <c r="P3062" s="36"/>
      <c r="Q3062" s="36"/>
      <c r="R3062" s="36"/>
      <c r="S3062" s="36"/>
      <c r="T3062" s="36"/>
      <c r="U3062" s="36"/>
      <c r="V3062" s="36"/>
      <c r="W3062" s="15">
        <f t="shared" si="145"/>
        <v>0</v>
      </c>
      <c r="X3062" s="36">
        <v>200</v>
      </c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15">
        <f t="shared" si="146"/>
        <v>200</v>
      </c>
      <c r="AK3062" s="14"/>
      <c r="AL3062" s="14"/>
      <c r="AM3062" s="14"/>
      <c r="AN3062" s="14"/>
      <c r="AO3062" s="14"/>
      <c r="AP3062" s="14"/>
      <c r="AQ3062" s="14"/>
      <c r="AR3062" s="14"/>
      <c r="AS3062" s="14"/>
      <c r="AT3062" s="14"/>
      <c r="AU3062" s="14"/>
      <c r="AV3062" s="14"/>
      <c r="AW3062" s="15"/>
      <c r="AX3062" s="316">
        <f>SUM(H2994:H3062)</f>
        <v>55595</v>
      </c>
    </row>
    <row r="3063" spans="2:50" x14ac:dyDescent="0.2">
      <c r="B3063" s="7"/>
      <c r="C3063" s="8">
        <v>13588</v>
      </c>
      <c r="D3063" s="9" t="s">
        <v>503</v>
      </c>
      <c r="E3063" s="10" t="str">
        <f t="shared" si="142"/>
        <v>Rancho Landero No. 2, 2</v>
      </c>
      <c r="F3063" s="10" t="str">
        <f t="shared" si="143"/>
        <v>Sanchez</v>
      </c>
      <c r="G3063" s="8">
        <v>1</v>
      </c>
      <c r="H3063" s="11">
        <v>150</v>
      </c>
      <c r="I3063" s="12">
        <v>42744</v>
      </c>
      <c r="J3063" s="35">
        <f t="shared" si="144"/>
        <v>0</v>
      </c>
      <c r="K3063" s="36"/>
      <c r="L3063" s="36"/>
      <c r="M3063" s="36"/>
      <c r="N3063" s="36"/>
      <c r="O3063" s="36"/>
      <c r="P3063" s="36"/>
      <c r="Q3063" s="36"/>
      <c r="R3063" s="36"/>
      <c r="S3063" s="36"/>
      <c r="T3063" s="36"/>
      <c r="U3063" s="36"/>
      <c r="V3063" s="36">
        <v>150</v>
      </c>
      <c r="W3063" s="15">
        <f t="shared" si="145"/>
        <v>150</v>
      </c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15">
        <f t="shared" si="146"/>
        <v>0</v>
      </c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14"/>
      <c r="AV3063" s="14"/>
      <c r="AW3063" s="15"/>
      <c r="AX3063" s="16"/>
    </row>
    <row r="3064" spans="2:50" x14ac:dyDescent="0.2">
      <c r="B3064" s="7"/>
      <c r="C3064" s="8">
        <v>13589</v>
      </c>
      <c r="D3064" s="9" t="s">
        <v>226</v>
      </c>
      <c r="E3064" s="10" t="str">
        <f t="shared" si="142"/>
        <v>Rancho Landero No. 31</v>
      </c>
      <c r="F3064" s="10" t="str">
        <f t="shared" si="143"/>
        <v>Díaz Hernández</v>
      </c>
      <c r="G3064" s="8">
        <v>1</v>
      </c>
      <c r="H3064" s="11">
        <v>200</v>
      </c>
      <c r="I3064" s="12">
        <v>42746</v>
      </c>
      <c r="J3064" s="35">
        <f t="shared" si="144"/>
        <v>0</v>
      </c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  <c r="U3064" s="36"/>
      <c r="V3064" s="36"/>
      <c r="W3064" s="15">
        <f t="shared" si="145"/>
        <v>0</v>
      </c>
      <c r="X3064" s="36">
        <v>200</v>
      </c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15">
        <f t="shared" si="146"/>
        <v>200</v>
      </c>
      <c r="AK3064" s="14"/>
      <c r="AL3064" s="14"/>
      <c r="AM3064" s="14"/>
      <c r="AN3064" s="14"/>
      <c r="AO3064" s="14"/>
      <c r="AP3064" s="14"/>
      <c r="AQ3064" s="14"/>
      <c r="AR3064" s="14"/>
      <c r="AS3064" s="14"/>
      <c r="AT3064" s="14"/>
      <c r="AU3064" s="14"/>
      <c r="AV3064" s="14"/>
      <c r="AW3064" s="15"/>
      <c r="AX3064" s="16"/>
    </row>
    <row r="3065" spans="2:50" x14ac:dyDescent="0.2">
      <c r="B3065" s="7"/>
      <c r="C3065" s="8">
        <v>13590</v>
      </c>
      <c r="D3065" s="9" t="s">
        <v>220</v>
      </c>
      <c r="E3065" s="10" t="str">
        <f t="shared" si="142"/>
        <v>Rancho Recoveco No. 3</v>
      </c>
      <c r="F3065" s="10" t="str">
        <f t="shared" si="143"/>
        <v>Garduño</v>
      </c>
      <c r="G3065" s="8">
        <v>1</v>
      </c>
      <c r="H3065" s="11">
        <v>300</v>
      </c>
      <c r="I3065" s="12">
        <v>42747</v>
      </c>
      <c r="J3065" s="35">
        <f t="shared" si="144"/>
        <v>0</v>
      </c>
      <c r="K3065" s="36"/>
      <c r="L3065" s="36"/>
      <c r="M3065" s="36"/>
      <c r="N3065" s="36"/>
      <c r="O3065" s="36"/>
      <c r="P3065" s="36"/>
      <c r="Q3065" s="36"/>
      <c r="R3065" s="36"/>
      <c r="S3065" s="36"/>
      <c r="T3065" s="36"/>
      <c r="U3065" s="36"/>
      <c r="V3065" s="36">
        <v>300</v>
      </c>
      <c r="W3065" s="15">
        <f t="shared" si="145"/>
        <v>300</v>
      </c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15">
        <f t="shared" si="146"/>
        <v>0</v>
      </c>
      <c r="AK3065" s="14"/>
      <c r="AL3065" s="14"/>
      <c r="AM3065" s="14"/>
      <c r="AN3065" s="14"/>
      <c r="AO3065" s="14"/>
      <c r="AP3065" s="14"/>
      <c r="AQ3065" s="14"/>
      <c r="AR3065" s="14"/>
      <c r="AS3065" s="14"/>
      <c r="AT3065" s="14"/>
      <c r="AU3065" s="14"/>
      <c r="AV3065" s="14"/>
      <c r="AW3065" s="15"/>
      <c r="AX3065" s="16"/>
    </row>
    <row r="3066" spans="2:50" x14ac:dyDescent="0.2">
      <c r="B3066" s="7"/>
      <c r="C3066" s="8">
        <v>13591</v>
      </c>
      <c r="D3066" s="9" t="s">
        <v>646</v>
      </c>
      <c r="E3066" s="10" t="str">
        <f t="shared" si="142"/>
        <v>Rancho Landero No. 84</v>
      </c>
      <c r="F3066" s="10" t="str">
        <f t="shared" si="143"/>
        <v>Alcántara</v>
      </c>
      <c r="G3066" s="8">
        <v>1</v>
      </c>
      <c r="H3066" s="11">
        <v>1000</v>
      </c>
      <c r="I3066" s="12">
        <v>42748</v>
      </c>
      <c r="J3066" s="35">
        <f t="shared" si="144"/>
        <v>0</v>
      </c>
      <c r="K3066" s="36"/>
      <c r="L3066" s="36"/>
      <c r="M3066" s="36"/>
      <c r="N3066" s="36"/>
      <c r="O3066" s="36"/>
      <c r="P3066" s="36"/>
      <c r="Q3066" s="36"/>
      <c r="R3066" s="36"/>
      <c r="S3066" s="36">
        <v>250</v>
      </c>
      <c r="T3066" s="36">
        <v>250</v>
      </c>
      <c r="U3066" s="36">
        <v>250</v>
      </c>
      <c r="V3066" s="36">
        <v>250</v>
      </c>
      <c r="W3066" s="15">
        <f t="shared" si="145"/>
        <v>1000</v>
      </c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15">
        <f t="shared" si="146"/>
        <v>0</v>
      </c>
      <c r="AK3066" s="14"/>
      <c r="AL3066" s="14"/>
      <c r="AM3066" s="14"/>
      <c r="AN3066" s="14"/>
      <c r="AO3066" s="14"/>
      <c r="AP3066" s="14"/>
      <c r="AQ3066" s="14"/>
      <c r="AR3066" s="14"/>
      <c r="AS3066" s="14"/>
      <c r="AT3066" s="14"/>
      <c r="AU3066" s="14"/>
      <c r="AV3066" s="14"/>
      <c r="AW3066" s="15"/>
      <c r="AX3066" s="16"/>
    </row>
    <row r="3067" spans="2:50" x14ac:dyDescent="0.2">
      <c r="B3067" s="7"/>
      <c r="C3067" s="8">
        <v>13592</v>
      </c>
      <c r="D3067" s="9" t="s">
        <v>669</v>
      </c>
      <c r="E3067" s="10" t="str">
        <f t="shared" ref="E3067:E3081" si="147">IF(D3067=0,"",VLOOKUP(D3067,BASE,2,FALSE))</f>
        <v>Rancho Landero No. 24</v>
      </c>
      <c r="F3067" s="10" t="str">
        <f t="shared" ref="F3067:F3081" si="148">IF(D3067=0,"",VLOOKUP(D3067,BASE,3,FALSE))</f>
        <v>Vázquez Peralta</v>
      </c>
      <c r="G3067" s="8">
        <v>1</v>
      </c>
      <c r="H3067" s="11">
        <v>800</v>
      </c>
      <c r="I3067" s="12">
        <v>42748</v>
      </c>
      <c r="J3067" s="35">
        <f t="shared" ref="J3067:J3081" si="149">IF(G3067=1,SUM(W3067,AJ3067,-H3067),0)</f>
        <v>0</v>
      </c>
      <c r="K3067" s="36"/>
      <c r="L3067" s="36"/>
      <c r="M3067" s="36"/>
      <c r="N3067" s="36"/>
      <c r="O3067" s="36"/>
      <c r="P3067" s="36"/>
      <c r="Q3067" s="36"/>
      <c r="R3067" s="36"/>
      <c r="S3067" s="36"/>
      <c r="T3067" s="36"/>
      <c r="U3067" s="36">
        <v>400</v>
      </c>
      <c r="V3067" s="36">
        <v>400</v>
      </c>
      <c r="W3067" s="15">
        <f t="shared" ref="W3067:W3081" si="150">SUM(K3067:V3067)</f>
        <v>800</v>
      </c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15">
        <f t="shared" ref="AJ3067:AJ3081" si="151">SUM(X3067:AI3067)</f>
        <v>0</v>
      </c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14"/>
      <c r="AV3067" s="14"/>
      <c r="AW3067" s="15"/>
      <c r="AX3067" s="16"/>
    </row>
    <row r="3068" spans="2:50" x14ac:dyDescent="0.2">
      <c r="B3068" s="7"/>
      <c r="C3068" s="8">
        <v>13593</v>
      </c>
      <c r="D3068" s="9" t="s">
        <v>520</v>
      </c>
      <c r="E3068" s="10" t="str">
        <f t="shared" si="147"/>
        <v>Rancho Landero No. 38</v>
      </c>
      <c r="F3068" s="10" t="str">
        <f t="shared" si="148"/>
        <v>Sánchez Peña</v>
      </c>
      <c r="G3068" s="8">
        <v>1</v>
      </c>
      <c r="H3068" s="11">
        <v>800</v>
      </c>
      <c r="I3068" s="12">
        <v>42750</v>
      </c>
      <c r="J3068" s="35">
        <f t="shared" si="149"/>
        <v>0</v>
      </c>
      <c r="K3068" s="36"/>
      <c r="L3068" s="36"/>
      <c r="M3068" s="36"/>
      <c r="N3068" s="36"/>
      <c r="O3068" s="36"/>
      <c r="P3068" s="36"/>
      <c r="Q3068" s="36"/>
      <c r="R3068" s="36"/>
      <c r="S3068" s="36"/>
      <c r="T3068" s="36"/>
      <c r="U3068" s="36"/>
      <c r="V3068" s="36"/>
      <c r="W3068" s="15">
        <f t="shared" si="150"/>
        <v>0</v>
      </c>
      <c r="X3068" s="36">
        <v>400</v>
      </c>
      <c r="Y3068" s="36">
        <v>400</v>
      </c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15">
        <f t="shared" si="151"/>
        <v>800</v>
      </c>
      <c r="AK3068" s="14"/>
      <c r="AL3068" s="14"/>
      <c r="AM3068" s="14"/>
      <c r="AN3068" s="14"/>
      <c r="AO3068" s="14"/>
      <c r="AP3068" s="14"/>
      <c r="AQ3068" s="14"/>
      <c r="AR3068" s="14"/>
      <c r="AS3068" s="14"/>
      <c r="AT3068" s="14"/>
      <c r="AU3068" s="14"/>
      <c r="AV3068" s="14"/>
      <c r="AW3068" s="15"/>
      <c r="AX3068" s="16"/>
    </row>
    <row r="3069" spans="2:50" x14ac:dyDescent="0.2">
      <c r="B3069" s="7"/>
      <c r="C3069" s="8">
        <v>13594</v>
      </c>
      <c r="D3069" s="9" t="s">
        <v>1174</v>
      </c>
      <c r="E3069" s="10" t="str">
        <f t="shared" si="147"/>
        <v>Rancho Upácuaro No. 61</v>
      </c>
      <c r="F3069" s="10" t="str">
        <f t="shared" si="148"/>
        <v>Campos Granados</v>
      </c>
      <c r="G3069" s="8">
        <v>1</v>
      </c>
      <c r="H3069" s="11">
        <v>3300</v>
      </c>
      <c r="I3069" s="12">
        <v>42750</v>
      </c>
      <c r="J3069" s="35">
        <f t="shared" si="149"/>
        <v>0</v>
      </c>
      <c r="K3069" s="36"/>
      <c r="L3069" s="36"/>
      <c r="M3069" s="36"/>
      <c r="N3069" s="36"/>
      <c r="O3069" s="36"/>
      <c r="P3069" s="36"/>
      <c r="Q3069" s="36"/>
      <c r="R3069" s="36"/>
      <c r="S3069" s="36"/>
      <c r="T3069" s="36"/>
      <c r="U3069" s="36"/>
      <c r="V3069" s="36"/>
      <c r="W3069" s="15">
        <f t="shared" si="150"/>
        <v>0</v>
      </c>
      <c r="X3069" s="36">
        <v>300</v>
      </c>
      <c r="Y3069" s="36">
        <v>300</v>
      </c>
      <c r="Z3069" s="36">
        <v>300</v>
      </c>
      <c r="AA3069" s="36">
        <v>300</v>
      </c>
      <c r="AB3069" s="36">
        <v>300</v>
      </c>
      <c r="AC3069" s="36">
        <v>300</v>
      </c>
      <c r="AD3069" s="36">
        <v>300</v>
      </c>
      <c r="AE3069" s="36">
        <v>300</v>
      </c>
      <c r="AF3069" s="36">
        <v>300</v>
      </c>
      <c r="AG3069" s="36">
        <v>300</v>
      </c>
      <c r="AH3069" s="36">
        <v>300</v>
      </c>
      <c r="AI3069" s="36"/>
      <c r="AJ3069" s="15">
        <f t="shared" si="151"/>
        <v>3300</v>
      </c>
      <c r="AK3069" s="14"/>
      <c r="AL3069" s="14"/>
      <c r="AM3069" s="14"/>
      <c r="AN3069" s="14"/>
      <c r="AO3069" s="14"/>
      <c r="AP3069" s="14"/>
      <c r="AQ3069" s="14"/>
      <c r="AR3069" s="14"/>
      <c r="AS3069" s="14"/>
      <c r="AT3069" s="14"/>
      <c r="AU3069" s="14"/>
      <c r="AV3069" s="14"/>
      <c r="AW3069" s="15"/>
      <c r="AX3069" s="16" t="s">
        <v>3414</v>
      </c>
    </row>
    <row r="3070" spans="2:50" x14ac:dyDescent="0.2">
      <c r="B3070" s="7"/>
      <c r="C3070" s="8">
        <v>13595</v>
      </c>
      <c r="D3070" s="9" t="s">
        <v>834</v>
      </c>
      <c r="E3070" s="10" t="str">
        <f t="shared" si="147"/>
        <v>Rancho Upácuaro No. 110</v>
      </c>
      <c r="F3070" s="10" t="str">
        <f t="shared" si="148"/>
        <v>Ruiz Mijangos</v>
      </c>
      <c r="G3070" s="8">
        <v>1</v>
      </c>
      <c r="H3070" s="11">
        <v>600</v>
      </c>
      <c r="I3070" s="12">
        <v>42750</v>
      </c>
      <c r="J3070" s="35">
        <f t="shared" si="149"/>
        <v>0</v>
      </c>
      <c r="K3070" s="36"/>
      <c r="L3070" s="36"/>
      <c r="M3070" s="36"/>
      <c r="N3070" s="36"/>
      <c r="O3070" s="36"/>
      <c r="P3070" s="36"/>
      <c r="Q3070" s="36"/>
      <c r="R3070" s="36"/>
      <c r="S3070" s="36"/>
      <c r="T3070" s="36">
        <v>300</v>
      </c>
      <c r="U3070" s="36">
        <v>300</v>
      </c>
      <c r="V3070" s="36"/>
      <c r="W3070" s="15">
        <f t="shared" si="150"/>
        <v>600</v>
      </c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15">
        <f t="shared" si="151"/>
        <v>0</v>
      </c>
      <c r="AK3070" s="14"/>
      <c r="AL3070" s="14"/>
      <c r="AM3070" s="14"/>
      <c r="AN3070" s="14"/>
      <c r="AO3070" s="14"/>
      <c r="AP3070" s="14"/>
      <c r="AQ3070" s="14"/>
      <c r="AR3070" s="14"/>
      <c r="AS3070" s="14"/>
      <c r="AT3070" s="14"/>
      <c r="AU3070" s="14"/>
      <c r="AV3070" s="14"/>
      <c r="AW3070" s="15"/>
      <c r="AX3070" s="16"/>
    </row>
    <row r="3071" spans="2:50" x14ac:dyDescent="0.2">
      <c r="B3071" s="7"/>
      <c r="C3071" s="8">
        <v>13596</v>
      </c>
      <c r="D3071" s="9" t="s">
        <v>367</v>
      </c>
      <c r="E3071" s="10" t="str">
        <f t="shared" si="147"/>
        <v>Rancho La Cuchilla No. 145</v>
      </c>
      <c r="F3071" s="10" t="str">
        <f t="shared" si="148"/>
        <v>Arámburu C.</v>
      </c>
      <c r="G3071" s="8">
        <v>1</v>
      </c>
      <c r="H3071" s="11">
        <v>4400</v>
      </c>
      <c r="I3071" s="12">
        <v>42750</v>
      </c>
      <c r="J3071" s="35">
        <f t="shared" si="149"/>
        <v>0</v>
      </c>
      <c r="K3071" s="36"/>
      <c r="L3071" s="36"/>
      <c r="M3071" s="36"/>
      <c r="N3071" s="36"/>
      <c r="O3071" s="36"/>
      <c r="P3071" s="36"/>
      <c r="Q3071" s="36"/>
      <c r="R3071" s="36"/>
      <c r="S3071" s="36"/>
      <c r="T3071" s="36"/>
      <c r="U3071" s="36"/>
      <c r="V3071" s="36"/>
      <c r="W3071" s="15">
        <f t="shared" si="150"/>
        <v>0</v>
      </c>
      <c r="X3071" s="36">
        <v>400</v>
      </c>
      <c r="Y3071" s="36">
        <v>400</v>
      </c>
      <c r="Z3071" s="36">
        <v>400</v>
      </c>
      <c r="AA3071" s="36">
        <v>400</v>
      </c>
      <c r="AB3071" s="36">
        <v>400</v>
      </c>
      <c r="AC3071" s="36">
        <v>400</v>
      </c>
      <c r="AD3071" s="36">
        <v>400</v>
      </c>
      <c r="AE3071" s="36">
        <v>400</v>
      </c>
      <c r="AF3071" s="36">
        <v>400</v>
      </c>
      <c r="AG3071" s="36">
        <v>400</v>
      </c>
      <c r="AH3071" s="36">
        <v>400</v>
      </c>
      <c r="AI3071" s="36"/>
      <c r="AJ3071" s="15">
        <f t="shared" si="151"/>
        <v>4400</v>
      </c>
      <c r="AK3071" s="14"/>
      <c r="AL3071" s="14"/>
      <c r="AM3071" s="14"/>
      <c r="AN3071" s="14"/>
      <c r="AO3071" s="14"/>
      <c r="AP3071" s="14"/>
      <c r="AQ3071" s="14"/>
      <c r="AR3071" s="14"/>
      <c r="AS3071" s="14"/>
      <c r="AT3071" s="14"/>
      <c r="AU3071" s="14"/>
      <c r="AV3071" s="14"/>
      <c r="AW3071" s="15"/>
      <c r="AX3071" s="16" t="s">
        <v>3414</v>
      </c>
    </row>
    <row r="3072" spans="2:50" x14ac:dyDescent="0.2">
      <c r="B3072" s="7"/>
      <c r="C3072" s="8">
        <v>13597</v>
      </c>
      <c r="D3072" s="9" t="s">
        <v>550</v>
      </c>
      <c r="E3072" s="10" t="str">
        <f t="shared" si="147"/>
        <v>Rancho Landero No. 89</v>
      </c>
      <c r="F3072" s="10" t="str">
        <f t="shared" si="148"/>
        <v>Del Pozo Solís</v>
      </c>
      <c r="G3072" s="8">
        <v>1</v>
      </c>
      <c r="H3072" s="11">
        <v>500</v>
      </c>
      <c r="I3072" s="12">
        <v>42750</v>
      </c>
      <c r="J3072" s="35">
        <f t="shared" si="149"/>
        <v>0</v>
      </c>
      <c r="K3072" s="36"/>
      <c r="L3072" s="36"/>
      <c r="M3072" s="36"/>
      <c r="N3072" s="36"/>
      <c r="O3072" s="36"/>
      <c r="P3072" s="36"/>
      <c r="Q3072" s="36"/>
      <c r="R3072" s="36"/>
      <c r="S3072" s="36"/>
      <c r="T3072" s="36"/>
      <c r="U3072" s="36"/>
      <c r="V3072" s="36"/>
      <c r="W3072" s="15">
        <f t="shared" si="150"/>
        <v>0</v>
      </c>
      <c r="X3072" s="36">
        <v>250</v>
      </c>
      <c r="Y3072" s="36">
        <v>250</v>
      </c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15">
        <f t="shared" si="151"/>
        <v>500</v>
      </c>
      <c r="AK3072" s="14"/>
      <c r="AL3072" s="14"/>
      <c r="AM3072" s="14"/>
      <c r="AN3072" s="14"/>
      <c r="AO3072" s="14"/>
      <c r="AP3072" s="14"/>
      <c r="AQ3072" s="14"/>
      <c r="AR3072" s="14"/>
      <c r="AS3072" s="14"/>
      <c r="AT3072" s="14"/>
      <c r="AU3072" s="14"/>
      <c r="AV3072" s="14"/>
      <c r="AW3072" s="15"/>
      <c r="AX3072" s="16"/>
    </row>
    <row r="3073" spans="1:50" x14ac:dyDescent="0.2">
      <c r="B3073" s="7"/>
      <c r="C3073" s="8">
        <v>13598</v>
      </c>
      <c r="D3073" s="9" t="s">
        <v>48</v>
      </c>
      <c r="E3073" s="10" t="str">
        <f t="shared" si="147"/>
        <v>Rancho La Cuchilla No. 110</v>
      </c>
      <c r="F3073" s="10" t="str">
        <f t="shared" si="148"/>
        <v>Domínguez Canudas</v>
      </c>
      <c r="G3073" s="8">
        <v>1</v>
      </c>
      <c r="H3073" s="11">
        <v>400</v>
      </c>
      <c r="I3073" s="12">
        <v>42750</v>
      </c>
      <c r="J3073" s="35">
        <f t="shared" si="149"/>
        <v>0</v>
      </c>
      <c r="K3073" s="36"/>
      <c r="L3073" s="36"/>
      <c r="M3073" s="36"/>
      <c r="N3073" s="36"/>
      <c r="O3073" s="36"/>
      <c r="P3073" s="36"/>
      <c r="Q3073" s="36"/>
      <c r="R3073" s="36"/>
      <c r="S3073" s="36"/>
      <c r="T3073" s="36"/>
      <c r="U3073" s="36"/>
      <c r="V3073" s="36"/>
      <c r="W3073" s="15">
        <f t="shared" si="150"/>
        <v>0</v>
      </c>
      <c r="X3073" s="36">
        <v>400</v>
      </c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15">
        <f t="shared" si="151"/>
        <v>400</v>
      </c>
      <c r="AK3073" s="14"/>
      <c r="AL3073" s="14"/>
      <c r="AM3073" s="14"/>
      <c r="AN3073" s="14"/>
      <c r="AO3073" s="14"/>
      <c r="AP3073" s="14"/>
      <c r="AQ3073" s="14"/>
      <c r="AR3073" s="14"/>
      <c r="AS3073" s="14"/>
      <c r="AT3073" s="14"/>
      <c r="AU3073" s="14"/>
      <c r="AV3073" s="14"/>
      <c r="AW3073" s="15"/>
      <c r="AX3073" s="16"/>
    </row>
    <row r="3074" spans="1:50" x14ac:dyDescent="0.2">
      <c r="B3074" s="7"/>
      <c r="C3074" s="8">
        <v>13599</v>
      </c>
      <c r="D3074" s="9" t="s">
        <v>109</v>
      </c>
      <c r="E3074" s="10" t="str">
        <f t="shared" si="147"/>
        <v>Rancho Estanzuela No. 31</v>
      </c>
      <c r="F3074" s="10" t="str">
        <f t="shared" si="148"/>
        <v>Chávez Valdés</v>
      </c>
      <c r="G3074" s="8">
        <v>3</v>
      </c>
      <c r="H3074" s="11">
        <v>200</v>
      </c>
      <c r="I3074" s="12">
        <v>42750</v>
      </c>
      <c r="J3074" s="35">
        <f t="shared" si="149"/>
        <v>0</v>
      </c>
      <c r="K3074" s="36"/>
      <c r="L3074" s="36"/>
      <c r="M3074" s="36"/>
      <c r="N3074" s="36"/>
      <c r="O3074" s="36"/>
      <c r="P3074" s="36"/>
      <c r="Q3074" s="36"/>
      <c r="R3074" s="36"/>
      <c r="S3074" s="36"/>
      <c r="T3074" s="36"/>
      <c r="U3074" s="36"/>
      <c r="V3074" s="36"/>
      <c r="W3074" s="15">
        <f t="shared" si="150"/>
        <v>0</v>
      </c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15">
        <f t="shared" si="151"/>
        <v>0</v>
      </c>
      <c r="AK3074" s="14"/>
      <c r="AL3074" s="14"/>
      <c r="AM3074" s="14"/>
      <c r="AN3074" s="14"/>
      <c r="AO3074" s="14"/>
      <c r="AP3074" s="14"/>
      <c r="AQ3074" s="14"/>
      <c r="AR3074" s="14"/>
      <c r="AS3074" s="14"/>
      <c r="AT3074" s="14"/>
      <c r="AU3074" s="14"/>
      <c r="AV3074" s="14"/>
      <c r="AW3074" s="15"/>
      <c r="AX3074" s="16"/>
    </row>
    <row r="3075" spans="1:50" x14ac:dyDescent="0.2">
      <c r="B3075" s="7"/>
      <c r="C3075" s="8">
        <v>13600</v>
      </c>
      <c r="D3075" s="9" t="s">
        <v>177</v>
      </c>
      <c r="E3075" s="10" t="str">
        <f t="shared" si="147"/>
        <v>Rancho Landero No. 71</v>
      </c>
      <c r="F3075" s="10" t="str">
        <f t="shared" si="148"/>
        <v xml:space="preserve">Luna  </v>
      </c>
      <c r="G3075" s="8">
        <v>1</v>
      </c>
      <c r="H3075" s="11">
        <v>400</v>
      </c>
      <c r="I3075" s="12">
        <v>42750</v>
      </c>
      <c r="J3075" s="35">
        <f t="shared" si="149"/>
        <v>0</v>
      </c>
      <c r="K3075" s="36"/>
      <c r="L3075" s="36"/>
      <c r="M3075" s="36"/>
      <c r="N3075" s="36"/>
      <c r="O3075" s="36"/>
      <c r="P3075" s="36"/>
      <c r="Q3075" s="36"/>
      <c r="R3075" s="36"/>
      <c r="S3075" s="36"/>
      <c r="T3075" s="36"/>
      <c r="U3075" s="36"/>
      <c r="V3075" s="36"/>
      <c r="W3075" s="15">
        <f t="shared" si="150"/>
        <v>0</v>
      </c>
      <c r="X3075" s="36">
        <v>400</v>
      </c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15">
        <f t="shared" si="151"/>
        <v>400</v>
      </c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14"/>
      <c r="AV3075" s="14"/>
      <c r="AW3075" s="15"/>
      <c r="AX3075" s="16"/>
    </row>
    <row r="3076" spans="1:50" x14ac:dyDescent="0.2">
      <c r="B3076" s="7"/>
      <c r="C3076" s="8">
        <v>13601</v>
      </c>
      <c r="D3076" s="9" t="s">
        <v>722</v>
      </c>
      <c r="E3076" s="10" t="str">
        <f t="shared" si="147"/>
        <v>Rancho Estanzuela No. 71</v>
      </c>
      <c r="F3076" s="10" t="str">
        <f t="shared" si="148"/>
        <v>Soriano</v>
      </c>
      <c r="G3076" s="8">
        <v>1</v>
      </c>
      <c r="H3076" s="11">
        <v>4400</v>
      </c>
      <c r="I3076" s="12">
        <v>42750</v>
      </c>
      <c r="J3076" s="35">
        <f t="shared" si="149"/>
        <v>0</v>
      </c>
      <c r="K3076" s="36"/>
      <c r="L3076" s="36"/>
      <c r="M3076" s="36"/>
      <c r="N3076" s="36"/>
      <c r="O3076" s="36"/>
      <c r="P3076" s="36"/>
      <c r="Q3076" s="36"/>
      <c r="R3076" s="36"/>
      <c r="S3076" s="36"/>
      <c r="T3076" s="36"/>
      <c r="U3076" s="36"/>
      <c r="V3076" s="36"/>
      <c r="W3076" s="15">
        <f t="shared" si="150"/>
        <v>0</v>
      </c>
      <c r="X3076" s="36">
        <v>400</v>
      </c>
      <c r="Y3076" s="36">
        <v>400</v>
      </c>
      <c r="Z3076" s="36">
        <v>400</v>
      </c>
      <c r="AA3076" s="36">
        <v>400</v>
      </c>
      <c r="AB3076" s="36">
        <v>400</v>
      </c>
      <c r="AC3076" s="36">
        <v>400</v>
      </c>
      <c r="AD3076" s="36">
        <v>400</v>
      </c>
      <c r="AE3076" s="36">
        <v>400</v>
      </c>
      <c r="AF3076" s="36">
        <v>400</v>
      </c>
      <c r="AG3076" s="36">
        <v>400</v>
      </c>
      <c r="AH3076" s="36">
        <v>400</v>
      </c>
      <c r="AI3076" s="36"/>
      <c r="AJ3076" s="15">
        <f t="shared" si="151"/>
        <v>4400</v>
      </c>
      <c r="AK3076" s="14"/>
      <c r="AL3076" s="14"/>
      <c r="AM3076" s="14"/>
      <c r="AN3076" s="14"/>
      <c r="AO3076" s="14"/>
      <c r="AP3076" s="14"/>
      <c r="AQ3076" s="14"/>
      <c r="AR3076" s="14"/>
      <c r="AS3076" s="14"/>
      <c r="AT3076" s="14"/>
      <c r="AU3076" s="14"/>
      <c r="AV3076" s="14"/>
      <c r="AW3076" s="15"/>
      <c r="AX3076" s="16" t="s">
        <v>3414</v>
      </c>
    </row>
    <row r="3077" spans="1:50" x14ac:dyDescent="0.2">
      <c r="B3077" s="7"/>
      <c r="C3077" s="8">
        <v>13602</v>
      </c>
      <c r="D3077" s="9" t="s">
        <v>247</v>
      </c>
      <c r="E3077" s="10" t="str">
        <f t="shared" si="147"/>
        <v>Rancho Landero No. 91</v>
      </c>
      <c r="F3077" s="10" t="str">
        <f t="shared" si="148"/>
        <v>Llaca</v>
      </c>
      <c r="G3077" s="8">
        <v>1</v>
      </c>
      <c r="H3077" s="11">
        <v>800</v>
      </c>
      <c r="I3077" s="12">
        <v>42750</v>
      </c>
      <c r="J3077" s="35">
        <f t="shared" si="149"/>
        <v>0</v>
      </c>
      <c r="K3077" s="36"/>
      <c r="L3077" s="36"/>
      <c r="M3077" s="36"/>
      <c r="N3077" s="36"/>
      <c r="O3077" s="36"/>
      <c r="P3077" s="36"/>
      <c r="Q3077" s="36"/>
      <c r="R3077" s="36"/>
      <c r="S3077" s="36"/>
      <c r="T3077" s="36"/>
      <c r="U3077" s="36"/>
      <c r="V3077" s="36"/>
      <c r="W3077" s="15">
        <f t="shared" si="150"/>
        <v>0</v>
      </c>
      <c r="X3077" s="36">
        <v>400</v>
      </c>
      <c r="Y3077" s="36">
        <v>400</v>
      </c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15">
        <f t="shared" si="151"/>
        <v>800</v>
      </c>
      <c r="AK3077" s="14"/>
      <c r="AL3077" s="14"/>
      <c r="AM3077" s="14"/>
      <c r="AN3077" s="14"/>
      <c r="AO3077" s="14"/>
      <c r="AP3077" s="14"/>
      <c r="AQ3077" s="14"/>
      <c r="AR3077" s="14"/>
      <c r="AS3077" s="14"/>
      <c r="AT3077" s="14"/>
      <c r="AU3077" s="14"/>
      <c r="AV3077" s="14"/>
      <c r="AW3077" s="15"/>
      <c r="AX3077" s="16"/>
    </row>
    <row r="3078" spans="1:50" x14ac:dyDescent="0.2">
      <c r="B3078" s="7"/>
      <c r="C3078" s="8">
        <v>13603</v>
      </c>
      <c r="D3078" s="9" t="s">
        <v>301</v>
      </c>
      <c r="E3078" s="10" t="str">
        <f t="shared" si="147"/>
        <v>Rancho Upácuaro No. 51, 2</v>
      </c>
      <c r="F3078" s="10" t="str">
        <f t="shared" si="148"/>
        <v>Santoyo</v>
      </c>
      <c r="G3078" s="8">
        <v>1</v>
      </c>
      <c r="H3078" s="11">
        <v>200</v>
      </c>
      <c r="I3078" s="12">
        <v>42750</v>
      </c>
      <c r="J3078" s="35">
        <f t="shared" si="149"/>
        <v>0</v>
      </c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15">
        <f t="shared" si="150"/>
        <v>0</v>
      </c>
      <c r="X3078" s="36">
        <v>200</v>
      </c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15">
        <f t="shared" si="151"/>
        <v>200</v>
      </c>
      <c r="AK3078" s="14"/>
      <c r="AL3078" s="14"/>
      <c r="AM3078" s="14"/>
      <c r="AN3078" s="14"/>
      <c r="AO3078" s="14"/>
      <c r="AP3078" s="14"/>
      <c r="AQ3078" s="14"/>
      <c r="AR3078" s="14"/>
      <c r="AS3078" s="14"/>
      <c r="AT3078" s="14"/>
      <c r="AU3078" s="14"/>
      <c r="AV3078" s="14"/>
      <c r="AW3078" s="15"/>
      <c r="AX3078" s="16"/>
    </row>
    <row r="3079" spans="1:50" x14ac:dyDescent="0.2">
      <c r="B3079" s="7"/>
      <c r="C3079" s="8">
        <v>13604</v>
      </c>
      <c r="D3079" s="9" t="s">
        <v>696</v>
      </c>
      <c r="E3079" s="10" t="str">
        <f t="shared" si="147"/>
        <v>Rancho Upácuaro No. 64</v>
      </c>
      <c r="F3079" s="10" t="str">
        <f t="shared" si="148"/>
        <v>Méndez Oliva</v>
      </c>
      <c r="G3079" s="8">
        <v>1</v>
      </c>
      <c r="H3079" s="11">
        <v>300</v>
      </c>
      <c r="I3079" s="12">
        <v>42750</v>
      </c>
      <c r="J3079" s="35">
        <f t="shared" si="149"/>
        <v>0</v>
      </c>
      <c r="K3079" s="36"/>
      <c r="L3079" s="36"/>
      <c r="M3079" s="36"/>
      <c r="N3079" s="36"/>
      <c r="O3079" s="36"/>
      <c r="P3079" s="36"/>
      <c r="Q3079" s="36"/>
      <c r="R3079" s="36"/>
      <c r="S3079" s="36"/>
      <c r="T3079" s="36"/>
      <c r="U3079" s="36"/>
      <c r="V3079" s="36"/>
      <c r="W3079" s="15">
        <f t="shared" si="150"/>
        <v>0</v>
      </c>
      <c r="X3079" s="36">
        <v>300</v>
      </c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15">
        <f t="shared" si="151"/>
        <v>300</v>
      </c>
      <c r="AK3079" s="14"/>
      <c r="AL3079" s="14"/>
      <c r="AM3079" s="14"/>
      <c r="AN3079" s="14"/>
      <c r="AO3079" s="14"/>
      <c r="AP3079" s="14"/>
      <c r="AQ3079" s="14"/>
      <c r="AR3079" s="14"/>
      <c r="AS3079" s="14"/>
      <c r="AT3079" s="14"/>
      <c r="AU3079" s="14"/>
      <c r="AV3079" s="14"/>
      <c r="AW3079" s="15"/>
      <c r="AX3079" s="16"/>
    </row>
    <row r="3080" spans="1:50" x14ac:dyDescent="0.2">
      <c r="A3080" s="336"/>
      <c r="B3080" s="7"/>
      <c r="C3080" s="8">
        <v>13605</v>
      </c>
      <c r="D3080" s="9" t="s">
        <v>103</v>
      </c>
      <c r="E3080" s="10" t="str">
        <f t="shared" si="147"/>
        <v>Rancho La Cuchilla No. 41</v>
      </c>
      <c r="F3080" s="10" t="str">
        <f t="shared" si="148"/>
        <v>Arriaga Lemus</v>
      </c>
      <c r="G3080" s="8">
        <v>1</v>
      </c>
      <c r="H3080" s="11">
        <v>400</v>
      </c>
      <c r="I3080" s="12">
        <v>42750</v>
      </c>
      <c r="J3080" s="35">
        <f t="shared" si="149"/>
        <v>0</v>
      </c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>
        <v>400</v>
      </c>
      <c r="W3080" s="15">
        <f t="shared" si="150"/>
        <v>400</v>
      </c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15">
        <f t="shared" si="151"/>
        <v>0</v>
      </c>
      <c r="AK3080" s="14"/>
      <c r="AL3080" s="14"/>
      <c r="AM3080" s="14"/>
      <c r="AN3080" s="14"/>
      <c r="AO3080" s="14"/>
      <c r="AP3080" s="14"/>
      <c r="AQ3080" s="14"/>
      <c r="AR3080" s="14"/>
      <c r="AS3080" s="14"/>
      <c r="AT3080" s="14"/>
      <c r="AU3080" s="14"/>
      <c r="AV3080" s="14"/>
      <c r="AW3080" s="15"/>
      <c r="AX3080" s="16"/>
    </row>
    <row r="3081" spans="1:50" x14ac:dyDescent="0.2">
      <c r="B3081" s="7"/>
      <c r="C3081" s="8">
        <v>13606</v>
      </c>
      <c r="D3081" s="9" t="s">
        <v>846</v>
      </c>
      <c r="E3081" s="10" t="str">
        <f t="shared" si="147"/>
        <v>Rancho Estanzuela No. 95</v>
      </c>
      <c r="F3081" s="10" t="str">
        <f t="shared" si="148"/>
        <v>Castro Puente</v>
      </c>
      <c r="G3081" s="8">
        <v>1</v>
      </c>
      <c r="H3081" s="11">
        <v>1200</v>
      </c>
      <c r="I3081" s="12">
        <v>42750</v>
      </c>
      <c r="J3081" s="35">
        <f t="shared" si="149"/>
        <v>0</v>
      </c>
      <c r="K3081" s="36"/>
      <c r="L3081" s="36"/>
      <c r="M3081" s="36"/>
      <c r="N3081" s="36"/>
      <c r="O3081" s="36"/>
      <c r="P3081" s="36"/>
      <c r="Q3081" s="36"/>
      <c r="R3081" s="36"/>
      <c r="S3081" s="36"/>
      <c r="T3081" s="36"/>
      <c r="U3081" s="36">
        <v>400</v>
      </c>
      <c r="V3081" s="36">
        <v>400</v>
      </c>
      <c r="W3081" s="15">
        <f t="shared" si="150"/>
        <v>800</v>
      </c>
      <c r="X3081" s="36">
        <v>400</v>
      </c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15">
        <f t="shared" si="151"/>
        <v>400</v>
      </c>
      <c r="AK3081" s="14"/>
      <c r="AL3081" s="14"/>
      <c r="AM3081" s="14"/>
      <c r="AN3081" s="14"/>
      <c r="AO3081" s="14"/>
      <c r="AP3081" s="14"/>
      <c r="AQ3081" s="14"/>
      <c r="AR3081" s="14"/>
      <c r="AS3081" s="14"/>
      <c r="AT3081" s="14"/>
      <c r="AU3081" s="14"/>
      <c r="AV3081" s="14"/>
      <c r="AW3081" s="15"/>
      <c r="AX3081" s="16"/>
    </row>
    <row r="3082" spans="1:50" x14ac:dyDescent="0.2">
      <c r="B3082" s="7"/>
      <c r="C3082" s="8">
        <v>13607</v>
      </c>
      <c r="D3082" s="9" t="s">
        <v>44</v>
      </c>
      <c r="E3082" s="10" t="str">
        <f t="shared" ref="E3082:E3096" si="152">IF(D3082=0,"",VLOOKUP(D3082,BASE,2,FALSE))</f>
        <v>Rancho Landero No. 14</v>
      </c>
      <c r="F3082" s="10" t="str">
        <f t="shared" ref="F3082:F3096" si="153">IF(D3082=0,"",VLOOKUP(D3082,BASE,3,FALSE))</f>
        <v xml:space="preserve">Castrejón  </v>
      </c>
      <c r="G3082" s="8">
        <v>1</v>
      </c>
      <c r="H3082" s="11">
        <v>1200</v>
      </c>
      <c r="I3082" s="12">
        <v>42750</v>
      </c>
      <c r="J3082" s="35">
        <f t="shared" ref="J3082:J3096" si="154">IF(G3082=1,SUM(W3082,AJ3082,-H3082),0)</f>
        <v>0</v>
      </c>
      <c r="K3082" s="36"/>
      <c r="L3082" s="36"/>
      <c r="M3082" s="36"/>
      <c r="N3082" s="36"/>
      <c r="O3082" s="36"/>
      <c r="P3082" s="36"/>
      <c r="Q3082" s="36"/>
      <c r="R3082" s="36"/>
      <c r="S3082" s="36"/>
      <c r="T3082" s="36"/>
      <c r="U3082" s="36"/>
      <c r="V3082" s="36"/>
      <c r="W3082" s="15">
        <f t="shared" ref="W3082:W3096" si="155">SUM(K3082:V3082)</f>
        <v>0</v>
      </c>
      <c r="X3082" s="36"/>
      <c r="Y3082" s="36">
        <v>400</v>
      </c>
      <c r="Z3082" s="36">
        <v>400</v>
      </c>
      <c r="AA3082" s="36">
        <v>400</v>
      </c>
      <c r="AB3082" s="36"/>
      <c r="AC3082" s="36"/>
      <c r="AD3082" s="36"/>
      <c r="AE3082" s="36"/>
      <c r="AF3082" s="36"/>
      <c r="AG3082" s="36"/>
      <c r="AH3082" s="36"/>
      <c r="AI3082" s="36"/>
      <c r="AJ3082" s="15">
        <f t="shared" ref="AJ3082:AJ3096" si="156">SUM(X3082:AI3082)</f>
        <v>1200</v>
      </c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14"/>
      <c r="AV3082" s="14"/>
      <c r="AW3082" s="15"/>
      <c r="AX3082" s="16"/>
    </row>
    <row r="3083" spans="1:50" x14ac:dyDescent="0.2">
      <c r="B3083" s="7"/>
      <c r="C3083" s="8">
        <v>13608</v>
      </c>
      <c r="D3083" s="9" t="s">
        <v>980</v>
      </c>
      <c r="E3083" s="10" t="str">
        <f t="shared" si="152"/>
        <v>Rancho Estanzuela No. 141</v>
      </c>
      <c r="F3083" s="10" t="str">
        <f t="shared" si="153"/>
        <v>Castillo Toledano</v>
      </c>
      <c r="G3083" s="8">
        <v>1</v>
      </c>
      <c r="H3083" s="11">
        <v>400</v>
      </c>
      <c r="I3083" s="12">
        <v>42750</v>
      </c>
      <c r="J3083" s="35">
        <f t="shared" si="154"/>
        <v>0</v>
      </c>
      <c r="K3083" s="36"/>
      <c r="L3083" s="36"/>
      <c r="M3083" s="36"/>
      <c r="N3083" s="36"/>
      <c r="O3083" s="36"/>
      <c r="P3083" s="36"/>
      <c r="Q3083" s="36"/>
      <c r="R3083" s="36"/>
      <c r="S3083" s="36"/>
      <c r="T3083" s="36"/>
      <c r="U3083" s="36"/>
      <c r="V3083" s="36"/>
      <c r="W3083" s="15">
        <f t="shared" si="155"/>
        <v>0</v>
      </c>
      <c r="X3083" s="36">
        <v>400</v>
      </c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15">
        <f t="shared" si="156"/>
        <v>400</v>
      </c>
      <c r="AK3083" s="14"/>
      <c r="AL3083" s="14"/>
      <c r="AM3083" s="14"/>
      <c r="AN3083" s="14"/>
      <c r="AO3083" s="14"/>
      <c r="AP3083" s="14"/>
      <c r="AQ3083" s="14"/>
      <c r="AR3083" s="14"/>
      <c r="AS3083" s="14"/>
      <c r="AT3083" s="14"/>
      <c r="AU3083" s="14"/>
      <c r="AV3083" s="14"/>
      <c r="AW3083" s="15"/>
      <c r="AX3083" s="16"/>
    </row>
    <row r="3084" spans="1:50" x14ac:dyDescent="0.2">
      <c r="B3084" s="7"/>
      <c r="C3084" s="8">
        <v>13609</v>
      </c>
      <c r="D3084" s="9" t="s">
        <v>87</v>
      </c>
      <c r="E3084" s="10" t="str">
        <f t="shared" si="152"/>
        <v>Rancho Zinamba No. 36</v>
      </c>
      <c r="F3084" s="10" t="str">
        <f t="shared" si="153"/>
        <v>Rodríguez Ortiz</v>
      </c>
      <c r="G3084" s="8">
        <v>1</v>
      </c>
      <c r="H3084" s="11">
        <v>400</v>
      </c>
      <c r="I3084" s="12">
        <v>42750</v>
      </c>
      <c r="J3084" s="35">
        <f t="shared" si="154"/>
        <v>0</v>
      </c>
      <c r="K3084" s="36"/>
      <c r="L3084" s="36"/>
      <c r="M3084" s="36"/>
      <c r="N3084" s="36"/>
      <c r="O3084" s="36"/>
      <c r="P3084" s="36"/>
      <c r="Q3084" s="36"/>
      <c r="R3084" s="36"/>
      <c r="S3084" s="36"/>
      <c r="T3084" s="36"/>
      <c r="U3084" s="36"/>
      <c r="V3084" s="36"/>
      <c r="W3084" s="15">
        <f t="shared" si="155"/>
        <v>0</v>
      </c>
      <c r="X3084" s="36">
        <v>400</v>
      </c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15">
        <f t="shared" si="156"/>
        <v>400</v>
      </c>
      <c r="AK3084" s="14"/>
      <c r="AL3084" s="14"/>
      <c r="AM3084" s="14"/>
      <c r="AN3084" s="14"/>
      <c r="AO3084" s="14"/>
      <c r="AP3084" s="14"/>
      <c r="AQ3084" s="14"/>
      <c r="AR3084" s="14"/>
      <c r="AS3084" s="14"/>
      <c r="AT3084" s="14"/>
      <c r="AU3084" s="14"/>
      <c r="AV3084" s="14"/>
      <c r="AW3084" s="15"/>
      <c r="AX3084" s="16"/>
    </row>
    <row r="3085" spans="1:50" x14ac:dyDescent="0.2">
      <c r="B3085" s="7"/>
      <c r="C3085" s="8">
        <v>13610</v>
      </c>
      <c r="D3085" s="9" t="s">
        <v>831</v>
      </c>
      <c r="E3085" s="10" t="str">
        <f t="shared" si="152"/>
        <v>Rancho Upácuaro No. 80</v>
      </c>
      <c r="F3085" s="10" t="str">
        <f t="shared" si="153"/>
        <v>De los Ríos</v>
      </c>
      <c r="G3085" s="8">
        <v>1</v>
      </c>
      <c r="H3085" s="11">
        <v>400</v>
      </c>
      <c r="I3085" s="12">
        <v>42750</v>
      </c>
      <c r="J3085" s="35">
        <f t="shared" si="154"/>
        <v>0</v>
      </c>
      <c r="K3085" s="36"/>
      <c r="L3085" s="36"/>
      <c r="M3085" s="36"/>
      <c r="N3085" s="36"/>
      <c r="O3085" s="36"/>
      <c r="P3085" s="36"/>
      <c r="Q3085" s="36"/>
      <c r="R3085" s="36"/>
      <c r="S3085" s="36"/>
      <c r="T3085" s="36"/>
      <c r="U3085" s="36"/>
      <c r="V3085" s="36"/>
      <c r="W3085" s="15">
        <f t="shared" si="155"/>
        <v>0</v>
      </c>
      <c r="X3085" s="36">
        <v>400</v>
      </c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15">
        <f t="shared" si="156"/>
        <v>400</v>
      </c>
      <c r="AK3085" s="14"/>
      <c r="AL3085" s="14"/>
      <c r="AM3085" s="14"/>
      <c r="AN3085" s="14"/>
      <c r="AO3085" s="14"/>
      <c r="AP3085" s="14"/>
      <c r="AQ3085" s="14"/>
      <c r="AR3085" s="14"/>
      <c r="AS3085" s="14"/>
      <c r="AT3085" s="14"/>
      <c r="AU3085" s="14"/>
      <c r="AV3085" s="14"/>
      <c r="AW3085" s="15"/>
      <c r="AX3085" s="16"/>
    </row>
    <row r="3086" spans="1:50" x14ac:dyDescent="0.2">
      <c r="B3086" s="7"/>
      <c r="C3086" s="8">
        <v>13611</v>
      </c>
      <c r="D3086" s="9" t="s">
        <v>398</v>
      </c>
      <c r="E3086" s="10" t="str">
        <f t="shared" si="152"/>
        <v>Rancho Estanzuela No. 151</v>
      </c>
      <c r="F3086" s="10" t="str">
        <f t="shared" si="153"/>
        <v>Pérez Salazar</v>
      </c>
      <c r="G3086" s="8">
        <v>1</v>
      </c>
      <c r="H3086" s="11">
        <v>400</v>
      </c>
      <c r="I3086" s="12">
        <v>42750</v>
      </c>
      <c r="J3086" s="35">
        <f t="shared" si="154"/>
        <v>0</v>
      </c>
      <c r="K3086" s="36"/>
      <c r="L3086" s="36"/>
      <c r="M3086" s="36"/>
      <c r="N3086" s="36"/>
      <c r="O3086" s="36"/>
      <c r="P3086" s="36"/>
      <c r="Q3086" s="36"/>
      <c r="R3086" s="36"/>
      <c r="S3086" s="36"/>
      <c r="T3086" s="36"/>
      <c r="U3086" s="36"/>
      <c r="V3086" s="36"/>
      <c r="W3086" s="15">
        <f t="shared" si="155"/>
        <v>0</v>
      </c>
      <c r="X3086" s="36">
        <v>400</v>
      </c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15">
        <f t="shared" si="156"/>
        <v>400</v>
      </c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14"/>
      <c r="AV3086" s="14"/>
      <c r="AW3086" s="15"/>
      <c r="AX3086" s="16"/>
    </row>
    <row r="3087" spans="1:50" x14ac:dyDescent="0.2">
      <c r="B3087" s="7"/>
      <c r="C3087" s="8">
        <v>13612</v>
      </c>
      <c r="D3087" s="9" t="s">
        <v>361</v>
      </c>
      <c r="E3087" s="10" t="str">
        <f t="shared" si="152"/>
        <v>Rancho Upácuaro No. 101</v>
      </c>
      <c r="F3087" s="10" t="str">
        <f t="shared" si="153"/>
        <v>Chávez, Arturo</v>
      </c>
      <c r="G3087" s="8">
        <v>1</v>
      </c>
      <c r="H3087" s="11">
        <v>800</v>
      </c>
      <c r="I3087" s="12">
        <v>42750</v>
      </c>
      <c r="J3087" s="35">
        <f t="shared" si="154"/>
        <v>0</v>
      </c>
      <c r="K3087" s="36"/>
      <c r="L3087" s="36"/>
      <c r="M3087" s="36"/>
      <c r="N3087" s="36"/>
      <c r="O3087" s="36"/>
      <c r="P3087" s="36"/>
      <c r="Q3087" s="36"/>
      <c r="R3087" s="36"/>
      <c r="S3087" s="36"/>
      <c r="T3087" s="36"/>
      <c r="U3087" s="36"/>
      <c r="V3087" s="36">
        <v>400</v>
      </c>
      <c r="W3087" s="15">
        <f t="shared" si="155"/>
        <v>400</v>
      </c>
      <c r="X3087" s="36">
        <v>400</v>
      </c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15">
        <f t="shared" si="156"/>
        <v>400</v>
      </c>
      <c r="AK3087" s="14"/>
      <c r="AL3087" s="14"/>
      <c r="AM3087" s="14"/>
      <c r="AN3087" s="14"/>
      <c r="AO3087" s="14"/>
      <c r="AP3087" s="14"/>
      <c r="AQ3087" s="14"/>
      <c r="AR3087" s="14"/>
      <c r="AS3087" s="14"/>
      <c r="AT3087" s="14"/>
      <c r="AU3087" s="14"/>
      <c r="AV3087" s="14"/>
      <c r="AW3087" s="15"/>
      <c r="AX3087" s="16"/>
    </row>
    <row r="3088" spans="1:50" x14ac:dyDescent="0.2">
      <c r="B3088" s="7"/>
      <c r="C3088" s="8">
        <v>13612</v>
      </c>
      <c r="D3088" s="9" t="s">
        <v>361</v>
      </c>
      <c r="E3088" s="10" t="str">
        <f t="shared" si="152"/>
        <v>Rancho Upácuaro No. 101</v>
      </c>
      <c r="F3088" s="10" t="str">
        <f t="shared" si="153"/>
        <v>Chávez, Arturo</v>
      </c>
      <c r="G3088" s="8">
        <v>5</v>
      </c>
      <c r="H3088" s="11">
        <v>50</v>
      </c>
      <c r="I3088" s="12">
        <v>42750</v>
      </c>
      <c r="J3088" s="35">
        <f t="shared" si="154"/>
        <v>0</v>
      </c>
      <c r="K3088" s="36"/>
      <c r="L3088" s="36"/>
      <c r="M3088" s="36"/>
      <c r="N3088" s="36"/>
      <c r="O3088" s="36"/>
      <c r="P3088" s="36"/>
      <c r="Q3088" s="36"/>
      <c r="R3088" s="36"/>
      <c r="S3088" s="36"/>
      <c r="T3088" s="36"/>
      <c r="U3088" s="36"/>
      <c r="V3088" s="36"/>
      <c r="W3088" s="15">
        <f t="shared" si="155"/>
        <v>0</v>
      </c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15">
        <f t="shared" si="156"/>
        <v>0</v>
      </c>
      <c r="AK3088" s="14"/>
      <c r="AL3088" s="14"/>
      <c r="AM3088" s="14"/>
      <c r="AN3088" s="14"/>
      <c r="AO3088" s="14"/>
      <c r="AP3088" s="14"/>
      <c r="AQ3088" s="14"/>
      <c r="AR3088" s="14"/>
      <c r="AS3088" s="14"/>
      <c r="AT3088" s="14"/>
      <c r="AU3088" s="14"/>
      <c r="AV3088" s="14"/>
      <c r="AW3088" s="15"/>
      <c r="AX3088" s="16"/>
    </row>
    <row r="3089" spans="2:50" x14ac:dyDescent="0.2">
      <c r="B3089" s="7"/>
      <c r="C3089" s="8">
        <v>13613</v>
      </c>
      <c r="D3089" s="9" t="s">
        <v>1294</v>
      </c>
      <c r="E3089" s="10" t="str">
        <f t="shared" si="152"/>
        <v>Rancho La Cuchilla No. 95</v>
      </c>
      <c r="F3089" s="10" t="str">
        <f t="shared" si="153"/>
        <v>Cruz Linares</v>
      </c>
      <c r="G3089" s="8">
        <v>1</v>
      </c>
      <c r="H3089" s="11">
        <v>4400</v>
      </c>
      <c r="I3089" s="12">
        <v>42750</v>
      </c>
      <c r="J3089" s="35">
        <f t="shared" si="154"/>
        <v>0</v>
      </c>
      <c r="K3089" s="36"/>
      <c r="L3089" s="36"/>
      <c r="M3089" s="36"/>
      <c r="N3089" s="36"/>
      <c r="O3089" s="36"/>
      <c r="P3089" s="36"/>
      <c r="Q3089" s="36"/>
      <c r="R3089" s="36"/>
      <c r="S3089" s="36"/>
      <c r="T3089" s="36"/>
      <c r="U3089" s="36"/>
      <c r="V3089" s="36"/>
      <c r="W3089" s="15">
        <f t="shared" si="155"/>
        <v>0</v>
      </c>
      <c r="X3089" s="36">
        <v>400</v>
      </c>
      <c r="Y3089" s="36">
        <v>400</v>
      </c>
      <c r="Z3089" s="36">
        <v>400</v>
      </c>
      <c r="AA3089" s="36">
        <v>400</v>
      </c>
      <c r="AB3089" s="36">
        <v>400</v>
      </c>
      <c r="AC3089" s="36">
        <v>400</v>
      </c>
      <c r="AD3089" s="36">
        <v>400</v>
      </c>
      <c r="AE3089" s="36">
        <v>400</v>
      </c>
      <c r="AF3089" s="36">
        <v>400</v>
      </c>
      <c r="AG3089" s="36">
        <v>400</v>
      </c>
      <c r="AH3089" s="36">
        <v>400</v>
      </c>
      <c r="AI3089" s="36"/>
      <c r="AJ3089" s="15">
        <f t="shared" si="156"/>
        <v>4400</v>
      </c>
      <c r="AK3089" s="14"/>
      <c r="AL3089" s="14"/>
      <c r="AM3089" s="14"/>
      <c r="AN3089" s="14"/>
      <c r="AO3089" s="14"/>
      <c r="AP3089" s="14"/>
      <c r="AQ3089" s="14"/>
      <c r="AR3089" s="14"/>
      <c r="AS3089" s="14"/>
      <c r="AT3089" s="14"/>
      <c r="AU3089" s="14"/>
      <c r="AV3089" s="14"/>
      <c r="AW3089" s="15"/>
      <c r="AX3089" s="16" t="s">
        <v>3363</v>
      </c>
    </row>
    <row r="3090" spans="2:50" x14ac:dyDescent="0.2">
      <c r="B3090" s="7"/>
      <c r="C3090" s="8">
        <v>13614</v>
      </c>
      <c r="D3090" s="9" t="s">
        <v>905</v>
      </c>
      <c r="E3090" s="10" t="str">
        <f t="shared" si="152"/>
        <v>Rancho Landero No. 81</v>
      </c>
      <c r="F3090" s="10" t="str">
        <f t="shared" si="153"/>
        <v>Cebrían Saldaña</v>
      </c>
      <c r="G3090" s="8">
        <v>4</v>
      </c>
      <c r="H3090" s="11">
        <v>200</v>
      </c>
      <c r="I3090" s="12">
        <v>42750</v>
      </c>
      <c r="J3090" s="35">
        <f t="shared" si="154"/>
        <v>0</v>
      </c>
      <c r="K3090" s="36"/>
      <c r="L3090" s="36"/>
      <c r="M3090" s="36"/>
      <c r="N3090" s="36"/>
      <c r="O3090" s="36"/>
      <c r="P3090" s="36"/>
      <c r="Q3090" s="36"/>
      <c r="R3090" s="36"/>
      <c r="S3090" s="36"/>
      <c r="T3090" s="36"/>
      <c r="U3090" s="36"/>
      <c r="V3090" s="36"/>
      <c r="W3090" s="15">
        <f t="shared" si="155"/>
        <v>0</v>
      </c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15">
        <f t="shared" si="156"/>
        <v>0</v>
      </c>
      <c r="AK3090" s="14"/>
      <c r="AL3090" s="14"/>
      <c r="AM3090" s="14"/>
      <c r="AN3090" s="14"/>
      <c r="AO3090" s="14"/>
      <c r="AP3090" s="14"/>
      <c r="AQ3090" s="14"/>
      <c r="AR3090" s="14"/>
      <c r="AS3090" s="14"/>
      <c r="AT3090" s="14"/>
      <c r="AU3090" s="14"/>
      <c r="AV3090" s="14"/>
      <c r="AW3090" s="15"/>
      <c r="AX3090" s="16" t="s">
        <v>3418</v>
      </c>
    </row>
    <row r="3091" spans="2:50" x14ac:dyDescent="0.2">
      <c r="B3091" s="7"/>
      <c r="C3091" s="8">
        <v>13615</v>
      </c>
      <c r="D3091" s="9" t="s">
        <v>1294</v>
      </c>
      <c r="E3091" s="10" t="str">
        <f t="shared" si="152"/>
        <v>Rancho La Cuchilla No. 95</v>
      </c>
      <c r="F3091" s="10" t="str">
        <f t="shared" si="153"/>
        <v>Cruz Linares</v>
      </c>
      <c r="G3091" s="8">
        <v>3</v>
      </c>
      <c r="H3091" s="11">
        <v>200</v>
      </c>
      <c r="I3091" s="12">
        <v>42750</v>
      </c>
      <c r="J3091" s="35">
        <f t="shared" si="154"/>
        <v>0</v>
      </c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36"/>
      <c r="V3091" s="36"/>
      <c r="W3091" s="15">
        <f t="shared" si="155"/>
        <v>0</v>
      </c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15">
        <f t="shared" si="156"/>
        <v>0</v>
      </c>
      <c r="AK3091" s="14"/>
      <c r="AL3091" s="14"/>
      <c r="AM3091" s="14"/>
      <c r="AN3091" s="14"/>
      <c r="AO3091" s="14"/>
      <c r="AP3091" s="14"/>
      <c r="AQ3091" s="14"/>
      <c r="AR3091" s="14"/>
      <c r="AS3091" s="14"/>
      <c r="AT3091" s="14"/>
      <c r="AU3091" s="14"/>
      <c r="AV3091" s="14"/>
      <c r="AW3091" s="15"/>
      <c r="AX3091" s="16"/>
    </row>
    <row r="3092" spans="2:50" x14ac:dyDescent="0.2">
      <c r="B3092" s="7"/>
      <c r="C3092" s="8">
        <v>13615</v>
      </c>
      <c r="D3092" s="9" t="s">
        <v>1294</v>
      </c>
      <c r="E3092" s="10" t="str">
        <f t="shared" si="152"/>
        <v>Rancho La Cuchilla No. 95</v>
      </c>
      <c r="F3092" s="10" t="str">
        <f t="shared" si="153"/>
        <v>Cruz Linares</v>
      </c>
      <c r="G3092" s="8">
        <v>4</v>
      </c>
      <c r="H3092" s="11">
        <v>200</v>
      </c>
      <c r="I3092" s="12">
        <v>42750</v>
      </c>
      <c r="J3092" s="35">
        <f t="shared" si="154"/>
        <v>0</v>
      </c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  <c r="W3092" s="15">
        <f t="shared" si="155"/>
        <v>0</v>
      </c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15">
        <f t="shared" si="156"/>
        <v>0</v>
      </c>
      <c r="AK3092" s="14"/>
      <c r="AL3092" s="14"/>
      <c r="AM3092" s="14"/>
      <c r="AN3092" s="14"/>
      <c r="AO3092" s="14"/>
      <c r="AP3092" s="14"/>
      <c r="AQ3092" s="14"/>
      <c r="AR3092" s="14"/>
      <c r="AS3092" s="14"/>
      <c r="AT3092" s="14"/>
      <c r="AU3092" s="14"/>
      <c r="AV3092" s="14"/>
      <c r="AW3092" s="15"/>
      <c r="AX3092" s="16" t="s">
        <v>3419</v>
      </c>
    </row>
    <row r="3093" spans="2:50" x14ac:dyDescent="0.2">
      <c r="B3093" s="7"/>
      <c r="C3093" s="8">
        <v>13615</v>
      </c>
      <c r="D3093" s="9" t="s">
        <v>1294</v>
      </c>
      <c r="E3093" s="10" t="str">
        <f t="shared" si="152"/>
        <v>Rancho La Cuchilla No. 95</v>
      </c>
      <c r="F3093" s="10" t="str">
        <f t="shared" si="153"/>
        <v>Cruz Linares</v>
      </c>
      <c r="G3093" s="8">
        <v>5</v>
      </c>
      <c r="H3093" s="11">
        <v>50</v>
      </c>
      <c r="I3093" s="12">
        <v>42750</v>
      </c>
      <c r="J3093" s="35">
        <f t="shared" si="154"/>
        <v>0</v>
      </c>
      <c r="K3093" s="36"/>
      <c r="L3093" s="36"/>
      <c r="M3093" s="36"/>
      <c r="N3093" s="36"/>
      <c r="O3093" s="36"/>
      <c r="P3093" s="36"/>
      <c r="Q3093" s="36"/>
      <c r="R3093" s="36"/>
      <c r="S3093" s="36"/>
      <c r="T3093" s="36"/>
      <c r="U3093" s="36"/>
      <c r="V3093" s="36"/>
      <c r="W3093" s="15">
        <f t="shared" si="155"/>
        <v>0</v>
      </c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15">
        <f t="shared" si="156"/>
        <v>0</v>
      </c>
      <c r="AK3093" s="14"/>
      <c r="AL3093" s="14"/>
      <c r="AM3093" s="14"/>
      <c r="AN3093" s="14"/>
      <c r="AO3093" s="14"/>
      <c r="AP3093" s="14"/>
      <c r="AQ3093" s="14"/>
      <c r="AR3093" s="14"/>
      <c r="AS3093" s="14"/>
      <c r="AT3093" s="14"/>
      <c r="AU3093" s="14"/>
      <c r="AV3093" s="14"/>
      <c r="AW3093" s="15"/>
      <c r="AX3093" s="16"/>
    </row>
    <row r="3094" spans="2:50" x14ac:dyDescent="0.2">
      <c r="B3094" s="7"/>
      <c r="C3094" s="8">
        <v>13615</v>
      </c>
      <c r="D3094" s="9" t="s">
        <v>1294</v>
      </c>
      <c r="E3094" s="10" t="str">
        <f t="shared" si="152"/>
        <v>Rancho La Cuchilla No. 95</v>
      </c>
      <c r="F3094" s="10" t="str">
        <f t="shared" si="153"/>
        <v>Cruz Linares</v>
      </c>
      <c r="G3094" s="8">
        <v>7</v>
      </c>
      <c r="H3094" s="11">
        <v>20</v>
      </c>
      <c r="I3094" s="12">
        <v>42750</v>
      </c>
      <c r="J3094" s="35">
        <f t="shared" si="154"/>
        <v>0</v>
      </c>
      <c r="K3094" s="36"/>
      <c r="L3094" s="36"/>
      <c r="M3094" s="36"/>
      <c r="N3094" s="36"/>
      <c r="O3094" s="36"/>
      <c r="P3094" s="36"/>
      <c r="Q3094" s="36"/>
      <c r="R3094" s="36"/>
      <c r="S3094" s="36"/>
      <c r="T3094" s="36"/>
      <c r="U3094" s="36"/>
      <c r="V3094" s="36"/>
      <c r="W3094" s="15">
        <f t="shared" si="155"/>
        <v>0</v>
      </c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15">
        <f t="shared" si="156"/>
        <v>0</v>
      </c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14"/>
      <c r="AV3094" s="14"/>
      <c r="AW3094" s="15"/>
      <c r="AX3094" s="16" t="s">
        <v>3420</v>
      </c>
    </row>
    <row r="3095" spans="2:50" x14ac:dyDescent="0.2">
      <c r="B3095" s="7"/>
      <c r="C3095" s="8">
        <v>13616</v>
      </c>
      <c r="D3095" s="9" t="s">
        <v>559</v>
      </c>
      <c r="E3095" s="10" t="str">
        <f t="shared" si="152"/>
        <v>Rancho Estanzuela No. 149</v>
      </c>
      <c r="F3095" s="10" t="str">
        <f t="shared" si="153"/>
        <v>Sala</v>
      </c>
      <c r="G3095" s="8">
        <v>3</v>
      </c>
      <c r="H3095" s="11">
        <v>200</v>
      </c>
      <c r="I3095" s="12">
        <v>42750</v>
      </c>
      <c r="J3095" s="35">
        <f t="shared" si="154"/>
        <v>0</v>
      </c>
      <c r="K3095" s="36"/>
      <c r="L3095" s="36"/>
      <c r="M3095" s="36"/>
      <c r="N3095" s="36"/>
      <c r="O3095" s="36"/>
      <c r="P3095" s="36"/>
      <c r="Q3095" s="36"/>
      <c r="R3095" s="36"/>
      <c r="S3095" s="36"/>
      <c r="T3095" s="36"/>
      <c r="U3095" s="36"/>
      <c r="V3095" s="36"/>
      <c r="W3095" s="15">
        <f t="shared" si="155"/>
        <v>0</v>
      </c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15">
        <f t="shared" si="156"/>
        <v>0</v>
      </c>
      <c r="AK3095" s="14"/>
      <c r="AL3095" s="14"/>
      <c r="AM3095" s="14"/>
      <c r="AN3095" s="14"/>
      <c r="AO3095" s="14"/>
      <c r="AP3095" s="14"/>
      <c r="AQ3095" s="14"/>
      <c r="AR3095" s="14"/>
      <c r="AS3095" s="14"/>
      <c r="AT3095" s="14"/>
      <c r="AU3095" s="14"/>
      <c r="AV3095" s="14"/>
      <c r="AW3095" s="15"/>
      <c r="AX3095" s="16"/>
    </row>
    <row r="3096" spans="2:50" x14ac:dyDescent="0.2">
      <c r="B3096" s="7"/>
      <c r="C3096" s="8">
        <v>13617</v>
      </c>
      <c r="D3096" s="9" t="s">
        <v>1299</v>
      </c>
      <c r="E3096" s="10" t="str">
        <f t="shared" si="152"/>
        <v>Rancho La Cuchilla No. 107</v>
      </c>
      <c r="F3096" s="10" t="str">
        <f t="shared" si="153"/>
        <v>Quiñones, Eduardo</v>
      </c>
      <c r="G3096" s="8">
        <v>1</v>
      </c>
      <c r="H3096" s="11">
        <v>400</v>
      </c>
      <c r="I3096" s="12">
        <v>42750</v>
      </c>
      <c r="J3096" s="35">
        <f t="shared" si="154"/>
        <v>0</v>
      </c>
      <c r="K3096" s="36"/>
      <c r="L3096" s="36"/>
      <c r="M3096" s="36"/>
      <c r="N3096" s="36"/>
      <c r="O3096" s="36"/>
      <c r="P3096" s="36"/>
      <c r="Q3096" s="36"/>
      <c r="R3096" s="36"/>
      <c r="S3096" s="36"/>
      <c r="T3096" s="36"/>
      <c r="U3096" s="36"/>
      <c r="V3096" s="36"/>
      <c r="W3096" s="15">
        <f t="shared" si="155"/>
        <v>0</v>
      </c>
      <c r="X3096" s="36">
        <v>400</v>
      </c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15">
        <f t="shared" si="156"/>
        <v>400</v>
      </c>
      <c r="AK3096" s="14"/>
      <c r="AL3096" s="14"/>
      <c r="AM3096" s="14"/>
      <c r="AN3096" s="14"/>
      <c r="AO3096" s="14"/>
      <c r="AP3096" s="14"/>
      <c r="AQ3096" s="14"/>
      <c r="AR3096" s="14"/>
      <c r="AS3096" s="14"/>
      <c r="AT3096" s="14"/>
      <c r="AU3096" s="14"/>
      <c r="AV3096" s="14"/>
      <c r="AW3096" s="15"/>
      <c r="AX3096" s="16"/>
    </row>
    <row r="3097" spans="2:50" x14ac:dyDescent="0.2">
      <c r="B3097" s="7"/>
      <c r="C3097" s="8">
        <v>13618</v>
      </c>
      <c r="D3097" s="9" t="s">
        <v>1299</v>
      </c>
      <c r="E3097" s="10" t="str">
        <f t="shared" ref="E3097:E3112" si="157">IF(D3097=0,"",VLOOKUP(D3097,BASE,2,FALSE))</f>
        <v>Rancho La Cuchilla No. 107</v>
      </c>
      <c r="F3097" s="10" t="str">
        <f t="shared" ref="F3097:F3112" si="158">IF(D3097=0,"",VLOOKUP(D3097,BASE,3,FALSE))</f>
        <v>Quiñones, Eduardo</v>
      </c>
      <c r="G3097" s="8">
        <v>5</v>
      </c>
      <c r="H3097" s="11">
        <v>50</v>
      </c>
      <c r="I3097" s="12">
        <v>42750</v>
      </c>
      <c r="J3097" s="35">
        <f t="shared" ref="J3097:J3112" si="159">IF(G3097=1,SUM(W3097,AJ3097,-H3097),0)</f>
        <v>0</v>
      </c>
      <c r="K3097" s="36"/>
      <c r="L3097" s="36"/>
      <c r="M3097" s="36"/>
      <c r="N3097" s="36"/>
      <c r="O3097" s="36"/>
      <c r="P3097" s="36"/>
      <c r="Q3097" s="36"/>
      <c r="R3097" s="36"/>
      <c r="S3097" s="36"/>
      <c r="T3097" s="36"/>
      <c r="U3097" s="36"/>
      <c r="V3097" s="36"/>
      <c r="W3097" s="15">
        <f t="shared" ref="W3097:W3112" si="160">SUM(K3097:V3097)</f>
        <v>0</v>
      </c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15">
        <f t="shared" ref="AJ3097:AJ3112" si="161">SUM(X3097:AI3097)</f>
        <v>0</v>
      </c>
      <c r="AK3097" s="14"/>
      <c r="AL3097" s="14"/>
      <c r="AM3097" s="14"/>
      <c r="AN3097" s="14"/>
      <c r="AO3097" s="14"/>
      <c r="AP3097" s="14"/>
      <c r="AQ3097" s="14"/>
      <c r="AR3097" s="14"/>
      <c r="AS3097" s="14"/>
      <c r="AT3097" s="14"/>
      <c r="AU3097" s="14"/>
      <c r="AV3097" s="14"/>
      <c r="AW3097" s="15"/>
      <c r="AX3097" s="16"/>
    </row>
    <row r="3098" spans="2:50" x14ac:dyDescent="0.2">
      <c r="B3098" s="7"/>
      <c r="C3098" s="8">
        <v>13619</v>
      </c>
      <c r="D3098" s="9" t="s">
        <v>541</v>
      </c>
      <c r="E3098" s="10" t="str">
        <f t="shared" si="157"/>
        <v>Rancho Estanzuela No. 103, B</v>
      </c>
      <c r="F3098" s="10" t="str">
        <f t="shared" si="158"/>
        <v>Olivares Flores</v>
      </c>
      <c r="G3098" s="8">
        <v>1</v>
      </c>
      <c r="H3098" s="11">
        <v>800</v>
      </c>
      <c r="I3098" s="12">
        <v>42750</v>
      </c>
      <c r="J3098" s="35">
        <f t="shared" si="159"/>
        <v>0</v>
      </c>
      <c r="K3098" s="36"/>
      <c r="L3098" s="36"/>
      <c r="M3098" s="36"/>
      <c r="N3098" s="36"/>
      <c r="O3098" s="36"/>
      <c r="P3098" s="36"/>
      <c r="Q3098" s="36"/>
      <c r="R3098" s="36"/>
      <c r="S3098" s="36"/>
      <c r="T3098" s="36"/>
      <c r="U3098" s="36"/>
      <c r="V3098" s="36"/>
      <c r="W3098" s="15">
        <f t="shared" si="160"/>
        <v>0</v>
      </c>
      <c r="X3098" s="36">
        <v>400</v>
      </c>
      <c r="Y3098" s="36">
        <v>400</v>
      </c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15">
        <f t="shared" si="161"/>
        <v>800</v>
      </c>
      <c r="AK3098" s="14"/>
      <c r="AL3098" s="14"/>
      <c r="AM3098" s="14"/>
      <c r="AN3098" s="14"/>
      <c r="AO3098" s="14"/>
      <c r="AP3098" s="14"/>
      <c r="AQ3098" s="14"/>
      <c r="AR3098" s="14"/>
      <c r="AS3098" s="14"/>
      <c r="AT3098" s="14"/>
      <c r="AU3098" s="14"/>
      <c r="AV3098" s="14"/>
      <c r="AW3098" s="15"/>
      <c r="AX3098" s="16"/>
    </row>
    <row r="3099" spans="2:50" x14ac:dyDescent="0.2">
      <c r="B3099" s="7"/>
      <c r="C3099" s="8">
        <v>13619</v>
      </c>
      <c r="D3099" s="9" t="s">
        <v>868</v>
      </c>
      <c r="E3099" s="10" t="str">
        <f t="shared" si="157"/>
        <v>Rancho Upácuaro No. 12</v>
      </c>
      <c r="F3099" s="10" t="str">
        <f t="shared" si="158"/>
        <v>Moreno Chávez</v>
      </c>
      <c r="G3099" s="8">
        <v>1</v>
      </c>
      <c r="H3099" s="11">
        <v>2400</v>
      </c>
      <c r="I3099" s="12">
        <v>42750</v>
      </c>
      <c r="J3099" s="35">
        <f t="shared" si="159"/>
        <v>0</v>
      </c>
      <c r="K3099" s="36"/>
      <c r="L3099" s="36"/>
      <c r="M3099" s="36"/>
      <c r="N3099" s="36"/>
      <c r="O3099" s="36"/>
      <c r="P3099" s="36"/>
      <c r="Q3099" s="36">
        <v>400</v>
      </c>
      <c r="R3099" s="36">
        <v>400</v>
      </c>
      <c r="S3099" s="36">
        <v>400</v>
      </c>
      <c r="T3099" s="36">
        <v>400</v>
      </c>
      <c r="U3099" s="36">
        <v>400</v>
      </c>
      <c r="V3099" s="36">
        <v>400</v>
      </c>
      <c r="W3099" s="15">
        <f t="shared" si="160"/>
        <v>2400</v>
      </c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15">
        <f t="shared" si="161"/>
        <v>0</v>
      </c>
      <c r="AK3099" s="14"/>
      <c r="AL3099" s="14"/>
      <c r="AM3099" s="14"/>
      <c r="AN3099" s="14"/>
      <c r="AO3099" s="14"/>
      <c r="AP3099" s="14"/>
      <c r="AQ3099" s="14"/>
      <c r="AR3099" s="14"/>
      <c r="AS3099" s="14"/>
      <c r="AT3099" s="14"/>
      <c r="AU3099" s="14"/>
      <c r="AV3099" s="14"/>
      <c r="AW3099" s="15"/>
      <c r="AX3099" s="16"/>
    </row>
    <row r="3100" spans="2:50" x14ac:dyDescent="0.2">
      <c r="B3100" s="7"/>
      <c r="C3100" s="8">
        <v>13619</v>
      </c>
      <c r="D3100" s="9" t="s">
        <v>868</v>
      </c>
      <c r="E3100" s="10" t="str">
        <f t="shared" si="157"/>
        <v>Rancho Upácuaro No. 12</v>
      </c>
      <c r="F3100" s="10" t="str">
        <f t="shared" si="158"/>
        <v>Moreno Chávez</v>
      </c>
      <c r="G3100" s="8">
        <v>4</v>
      </c>
      <c r="H3100" s="11">
        <v>200</v>
      </c>
      <c r="I3100" s="12">
        <v>42750</v>
      </c>
      <c r="J3100" s="35">
        <f t="shared" si="159"/>
        <v>0</v>
      </c>
      <c r="K3100" s="36"/>
      <c r="L3100" s="36"/>
      <c r="M3100" s="36"/>
      <c r="N3100" s="36"/>
      <c r="O3100" s="36"/>
      <c r="P3100" s="36"/>
      <c r="Q3100" s="36"/>
      <c r="R3100" s="36"/>
      <c r="S3100" s="36"/>
      <c r="T3100" s="36"/>
      <c r="U3100" s="36"/>
      <c r="V3100" s="36"/>
      <c r="W3100" s="15">
        <f t="shared" si="160"/>
        <v>0</v>
      </c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15">
        <f t="shared" si="161"/>
        <v>0</v>
      </c>
      <c r="AK3100" s="14"/>
      <c r="AL3100" s="14"/>
      <c r="AM3100" s="14"/>
      <c r="AN3100" s="14"/>
      <c r="AO3100" s="14"/>
      <c r="AP3100" s="14"/>
      <c r="AQ3100" s="14"/>
      <c r="AR3100" s="14"/>
      <c r="AS3100" s="14"/>
      <c r="AT3100" s="14"/>
      <c r="AU3100" s="14"/>
      <c r="AV3100" s="14"/>
      <c r="AW3100" s="15"/>
      <c r="AX3100" s="16" t="s">
        <v>3421</v>
      </c>
    </row>
    <row r="3101" spans="2:50" x14ac:dyDescent="0.2">
      <c r="B3101" s="7"/>
      <c r="C3101" s="8">
        <v>13620</v>
      </c>
      <c r="D3101" s="9" t="s">
        <v>965</v>
      </c>
      <c r="E3101" s="10" t="str">
        <f t="shared" si="157"/>
        <v>Rancho La Cuchilla No. 52</v>
      </c>
      <c r="F3101" s="10" t="str">
        <f t="shared" si="158"/>
        <v>Velázquez</v>
      </c>
      <c r="G3101" s="8">
        <v>1</v>
      </c>
      <c r="H3101" s="11">
        <v>500</v>
      </c>
      <c r="I3101" s="12">
        <v>42750</v>
      </c>
      <c r="J3101" s="35">
        <f t="shared" si="159"/>
        <v>0</v>
      </c>
      <c r="K3101" s="36"/>
      <c r="L3101" s="36"/>
      <c r="M3101" s="36"/>
      <c r="N3101" s="36"/>
      <c r="O3101" s="36"/>
      <c r="P3101" s="36"/>
      <c r="Q3101" s="36"/>
      <c r="R3101" s="36"/>
      <c r="S3101" s="36"/>
      <c r="T3101" s="36">
        <v>100</v>
      </c>
      <c r="U3101" s="36"/>
      <c r="V3101" s="36"/>
      <c r="W3101" s="15">
        <f t="shared" si="160"/>
        <v>100</v>
      </c>
      <c r="X3101" s="36">
        <v>400</v>
      </c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15">
        <f t="shared" si="161"/>
        <v>400</v>
      </c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5"/>
      <c r="AX3101" s="16"/>
    </row>
    <row r="3102" spans="2:50" x14ac:dyDescent="0.2">
      <c r="B3102" s="7"/>
      <c r="C3102" s="8">
        <v>13621</v>
      </c>
      <c r="D3102" s="9" t="s">
        <v>58</v>
      </c>
      <c r="E3102" s="10" t="str">
        <f t="shared" si="157"/>
        <v>Rancho Landero No. 19</v>
      </c>
      <c r="F3102" s="10" t="str">
        <f t="shared" si="158"/>
        <v>Becerril Amaya</v>
      </c>
      <c r="G3102" s="8">
        <v>1</v>
      </c>
      <c r="H3102" s="11">
        <v>900</v>
      </c>
      <c r="I3102" s="12">
        <v>42750</v>
      </c>
      <c r="J3102" s="35">
        <f t="shared" si="159"/>
        <v>0</v>
      </c>
      <c r="K3102" s="36"/>
      <c r="L3102" s="36"/>
      <c r="M3102" s="36"/>
      <c r="N3102" s="36"/>
      <c r="O3102" s="36"/>
      <c r="P3102" s="36"/>
      <c r="Q3102" s="36"/>
      <c r="R3102" s="36"/>
      <c r="S3102" s="36"/>
      <c r="T3102" s="36"/>
      <c r="U3102" s="36">
        <v>300</v>
      </c>
      <c r="V3102" s="36">
        <v>300</v>
      </c>
      <c r="W3102" s="15">
        <f t="shared" si="160"/>
        <v>600</v>
      </c>
      <c r="X3102" s="36">
        <v>300</v>
      </c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15">
        <f t="shared" si="161"/>
        <v>300</v>
      </c>
      <c r="AK3102" s="14"/>
      <c r="AL3102" s="14"/>
      <c r="AM3102" s="14"/>
      <c r="AN3102" s="14"/>
      <c r="AO3102" s="14"/>
      <c r="AP3102" s="14"/>
      <c r="AQ3102" s="14"/>
      <c r="AR3102" s="14"/>
      <c r="AS3102" s="14"/>
      <c r="AT3102" s="14"/>
      <c r="AU3102" s="14"/>
      <c r="AV3102" s="14"/>
      <c r="AW3102" s="15"/>
      <c r="AX3102" s="16"/>
    </row>
    <row r="3103" spans="2:50" x14ac:dyDescent="0.2">
      <c r="B3103" s="7"/>
      <c r="C3103" s="8">
        <v>13622</v>
      </c>
      <c r="D3103" s="9" t="s">
        <v>331</v>
      </c>
      <c r="E3103" s="10" t="str">
        <f t="shared" si="157"/>
        <v>Rancho Recoveco No. 197</v>
      </c>
      <c r="F3103" s="10" t="str">
        <f t="shared" si="158"/>
        <v>Colín González</v>
      </c>
      <c r="G3103" s="8">
        <v>1</v>
      </c>
      <c r="H3103" s="11">
        <v>400</v>
      </c>
      <c r="I3103" s="12">
        <v>42750</v>
      </c>
      <c r="J3103" s="35">
        <f t="shared" si="159"/>
        <v>0</v>
      </c>
      <c r="K3103" s="36"/>
      <c r="L3103" s="36"/>
      <c r="M3103" s="36"/>
      <c r="N3103" s="36"/>
      <c r="O3103" s="36"/>
      <c r="P3103" s="36"/>
      <c r="Q3103" s="36"/>
      <c r="R3103" s="36"/>
      <c r="S3103" s="36"/>
      <c r="T3103" s="36"/>
      <c r="U3103" s="36"/>
      <c r="V3103" s="36"/>
      <c r="W3103" s="15">
        <f t="shared" si="160"/>
        <v>0</v>
      </c>
      <c r="X3103" s="36">
        <v>400</v>
      </c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15">
        <f t="shared" si="161"/>
        <v>400</v>
      </c>
      <c r="AK3103" s="14"/>
      <c r="AL3103" s="14"/>
      <c r="AM3103" s="14"/>
      <c r="AN3103" s="14"/>
      <c r="AO3103" s="14"/>
      <c r="AP3103" s="14"/>
      <c r="AQ3103" s="14"/>
      <c r="AR3103" s="14"/>
      <c r="AS3103" s="14"/>
      <c r="AT3103" s="14"/>
      <c r="AU3103" s="14"/>
      <c r="AV3103" s="14"/>
      <c r="AW3103" s="15"/>
      <c r="AX3103" s="16"/>
    </row>
    <row r="3104" spans="2:50" x14ac:dyDescent="0.2">
      <c r="B3104" s="7"/>
      <c r="C3104" s="8">
        <v>13623</v>
      </c>
      <c r="D3104" s="9" t="s">
        <v>473</v>
      </c>
      <c r="E3104" s="10" t="str">
        <f t="shared" si="157"/>
        <v>Rancho Zinamba No. 14</v>
      </c>
      <c r="F3104" s="10" t="str">
        <f t="shared" si="158"/>
        <v>Gutiérrez García</v>
      </c>
      <c r="G3104" s="8">
        <v>1</v>
      </c>
      <c r="H3104" s="11">
        <v>400</v>
      </c>
      <c r="I3104" s="12">
        <v>42750</v>
      </c>
      <c r="J3104" s="35">
        <f t="shared" si="159"/>
        <v>0</v>
      </c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  <c r="U3104" s="36"/>
      <c r="V3104" s="36">
        <v>400</v>
      </c>
      <c r="W3104" s="15">
        <f t="shared" si="160"/>
        <v>400</v>
      </c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15">
        <f t="shared" si="161"/>
        <v>0</v>
      </c>
      <c r="AK3104" s="14"/>
      <c r="AL3104" s="14"/>
      <c r="AM3104" s="14"/>
      <c r="AN3104" s="14"/>
      <c r="AO3104" s="14"/>
      <c r="AP3104" s="14"/>
      <c r="AQ3104" s="14"/>
      <c r="AR3104" s="14"/>
      <c r="AS3104" s="14"/>
      <c r="AT3104" s="14"/>
      <c r="AU3104" s="14"/>
      <c r="AV3104" s="14"/>
      <c r="AW3104" s="15"/>
      <c r="AX3104" s="16"/>
    </row>
    <row r="3105" spans="2:50" x14ac:dyDescent="0.2">
      <c r="B3105" s="7"/>
      <c r="C3105" s="8">
        <v>13624</v>
      </c>
      <c r="D3105" s="9" t="s">
        <v>473</v>
      </c>
      <c r="E3105" s="10" t="str">
        <f t="shared" si="157"/>
        <v>Rancho Zinamba No. 14</v>
      </c>
      <c r="F3105" s="10" t="str">
        <f t="shared" si="158"/>
        <v>Gutiérrez García</v>
      </c>
      <c r="G3105" s="8">
        <v>5</v>
      </c>
      <c r="H3105" s="11">
        <v>50</v>
      </c>
      <c r="I3105" s="12">
        <v>42750</v>
      </c>
      <c r="J3105" s="35">
        <f t="shared" si="159"/>
        <v>0</v>
      </c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36"/>
      <c r="V3105" s="36"/>
      <c r="W3105" s="15">
        <f t="shared" si="160"/>
        <v>0</v>
      </c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15">
        <f t="shared" si="161"/>
        <v>0</v>
      </c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14"/>
      <c r="AV3105" s="14"/>
      <c r="AW3105" s="15"/>
      <c r="AX3105" s="16"/>
    </row>
    <row r="3106" spans="2:50" x14ac:dyDescent="0.2">
      <c r="B3106" s="7"/>
      <c r="C3106" s="8">
        <v>13625</v>
      </c>
      <c r="D3106" s="9" t="s">
        <v>144</v>
      </c>
      <c r="E3106" s="10" t="str">
        <f t="shared" si="157"/>
        <v>Rancho La Cuchilla No. 19</v>
      </c>
      <c r="F3106" s="10" t="str">
        <f t="shared" si="158"/>
        <v>Tapia Vázquez</v>
      </c>
      <c r="G3106" s="8">
        <v>1</v>
      </c>
      <c r="H3106" s="11">
        <v>3300</v>
      </c>
      <c r="I3106" s="12">
        <v>42750</v>
      </c>
      <c r="J3106" s="35">
        <f t="shared" si="159"/>
        <v>0</v>
      </c>
      <c r="K3106" s="36"/>
      <c r="L3106" s="36"/>
      <c r="M3106" s="36"/>
      <c r="N3106" s="36"/>
      <c r="O3106" s="36"/>
      <c r="P3106" s="36"/>
      <c r="Q3106" s="36"/>
      <c r="R3106" s="36"/>
      <c r="S3106" s="36"/>
      <c r="T3106" s="36"/>
      <c r="U3106" s="36"/>
      <c r="V3106" s="36"/>
      <c r="W3106" s="15">
        <f t="shared" si="160"/>
        <v>0</v>
      </c>
      <c r="X3106" s="36">
        <v>300</v>
      </c>
      <c r="Y3106" s="36">
        <v>300</v>
      </c>
      <c r="Z3106" s="36">
        <v>300</v>
      </c>
      <c r="AA3106" s="36">
        <v>300</v>
      </c>
      <c r="AB3106" s="36">
        <v>300</v>
      </c>
      <c r="AC3106" s="36">
        <v>300</v>
      </c>
      <c r="AD3106" s="36">
        <v>300</v>
      </c>
      <c r="AE3106" s="36">
        <v>300</v>
      </c>
      <c r="AF3106" s="36">
        <v>300</v>
      </c>
      <c r="AG3106" s="36">
        <v>300</v>
      </c>
      <c r="AH3106" s="36">
        <v>300</v>
      </c>
      <c r="AI3106" s="36"/>
      <c r="AJ3106" s="15">
        <f t="shared" si="161"/>
        <v>3300</v>
      </c>
      <c r="AK3106" s="14"/>
      <c r="AL3106" s="14"/>
      <c r="AM3106" s="14"/>
      <c r="AN3106" s="14"/>
      <c r="AO3106" s="14"/>
      <c r="AP3106" s="14"/>
      <c r="AQ3106" s="14"/>
      <c r="AR3106" s="14"/>
      <c r="AS3106" s="14"/>
      <c r="AT3106" s="14"/>
      <c r="AU3106" s="14"/>
      <c r="AV3106" s="14"/>
      <c r="AW3106" s="15"/>
      <c r="AX3106" s="16" t="s">
        <v>3363</v>
      </c>
    </row>
    <row r="3107" spans="2:50" x14ac:dyDescent="0.2">
      <c r="B3107" s="7"/>
      <c r="C3107" s="8">
        <v>13626</v>
      </c>
      <c r="D3107" s="9" t="s">
        <v>165</v>
      </c>
      <c r="E3107" s="10" t="str">
        <f t="shared" si="157"/>
        <v>Rancho Upácuaro No. 23</v>
      </c>
      <c r="F3107" s="10" t="str">
        <f t="shared" si="158"/>
        <v>Gutièrrez Muñòz</v>
      </c>
      <c r="G3107" s="8">
        <v>1</v>
      </c>
      <c r="H3107" s="11">
        <v>350</v>
      </c>
      <c r="I3107" s="12">
        <v>42750</v>
      </c>
      <c r="J3107" s="35">
        <f t="shared" si="159"/>
        <v>0</v>
      </c>
      <c r="K3107" s="36"/>
      <c r="L3107" s="36"/>
      <c r="M3107" s="36"/>
      <c r="N3107" s="36"/>
      <c r="O3107" s="36"/>
      <c r="P3107" s="36"/>
      <c r="Q3107" s="36"/>
      <c r="R3107" s="36"/>
      <c r="S3107" s="36"/>
      <c r="T3107" s="36"/>
      <c r="U3107" s="36"/>
      <c r="V3107" s="36"/>
      <c r="W3107" s="15">
        <f t="shared" si="160"/>
        <v>0</v>
      </c>
      <c r="X3107" s="36">
        <v>350</v>
      </c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15">
        <f t="shared" si="161"/>
        <v>350</v>
      </c>
      <c r="AK3107" s="14"/>
      <c r="AL3107" s="14"/>
      <c r="AM3107" s="14"/>
      <c r="AN3107" s="14"/>
      <c r="AO3107" s="14"/>
      <c r="AP3107" s="14"/>
      <c r="AQ3107" s="14"/>
      <c r="AR3107" s="14"/>
      <c r="AS3107" s="14"/>
      <c r="AT3107" s="14"/>
      <c r="AU3107" s="14"/>
      <c r="AV3107" s="14"/>
      <c r="AW3107" s="15"/>
      <c r="AX3107" s="16"/>
    </row>
    <row r="3108" spans="2:50" x14ac:dyDescent="0.2">
      <c r="B3108" s="7"/>
      <c r="C3108" s="8">
        <v>13627</v>
      </c>
      <c r="D3108" s="9" t="s">
        <v>1137</v>
      </c>
      <c r="E3108" s="10" t="str">
        <f t="shared" si="157"/>
        <v>Rancho La Cuchilla No. 7, 101</v>
      </c>
      <c r="F3108" s="10" t="str">
        <f t="shared" si="158"/>
        <v>Olivares</v>
      </c>
      <c r="G3108" s="8">
        <v>1</v>
      </c>
      <c r="H3108" s="11">
        <v>100</v>
      </c>
      <c r="I3108" s="12">
        <v>42750</v>
      </c>
      <c r="J3108" s="35">
        <f t="shared" si="159"/>
        <v>0</v>
      </c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  <c r="W3108" s="15">
        <f t="shared" si="160"/>
        <v>0</v>
      </c>
      <c r="X3108" s="36">
        <v>100</v>
      </c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15">
        <f t="shared" si="161"/>
        <v>100</v>
      </c>
      <c r="AK3108" s="14"/>
      <c r="AL3108" s="14"/>
      <c r="AM3108" s="14"/>
      <c r="AN3108" s="14"/>
      <c r="AO3108" s="14"/>
      <c r="AP3108" s="14"/>
      <c r="AQ3108" s="14"/>
      <c r="AR3108" s="14"/>
      <c r="AS3108" s="14"/>
      <c r="AT3108" s="14"/>
      <c r="AU3108" s="14"/>
      <c r="AV3108" s="14"/>
      <c r="AW3108" s="15"/>
      <c r="AX3108" s="16"/>
    </row>
    <row r="3109" spans="2:50" x14ac:dyDescent="0.2">
      <c r="B3109" s="7"/>
      <c r="C3109" s="8">
        <v>13627</v>
      </c>
      <c r="D3109" s="9" t="s">
        <v>1137</v>
      </c>
      <c r="E3109" s="10" t="str">
        <f t="shared" si="157"/>
        <v>Rancho La Cuchilla No. 7, 101</v>
      </c>
      <c r="F3109" s="10" t="str">
        <f t="shared" si="158"/>
        <v>Olivares</v>
      </c>
      <c r="G3109" s="8">
        <v>3</v>
      </c>
      <c r="H3109" s="11">
        <v>200</v>
      </c>
      <c r="I3109" s="12">
        <v>42750</v>
      </c>
      <c r="J3109" s="35">
        <f t="shared" si="159"/>
        <v>0</v>
      </c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  <c r="W3109" s="15">
        <f t="shared" si="160"/>
        <v>0</v>
      </c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15">
        <f t="shared" si="161"/>
        <v>0</v>
      </c>
      <c r="AK3109" s="14"/>
      <c r="AL3109" s="14"/>
      <c r="AM3109" s="14"/>
      <c r="AN3109" s="14"/>
      <c r="AO3109" s="14"/>
      <c r="AP3109" s="14"/>
      <c r="AQ3109" s="14"/>
      <c r="AR3109" s="14"/>
      <c r="AS3109" s="14"/>
      <c r="AT3109" s="14"/>
      <c r="AU3109" s="14"/>
      <c r="AV3109" s="14"/>
      <c r="AW3109" s="15"/>
      <c r="AX3109" s="16"/>
    </row>
    <row r="3110" spans="2:50" x14ac:dyDescent="0.2">
      <c r="B3110" s="7"/>
      <c r="C3110" s="8">
        <v>13628</v>
      </c>
      <c r="D3110" s="9" t="s">
        <v>823</v>
      </c>
      <c r="E3110" s="10" t="str">
        <f t="shared" si="157"/>
        <v>Rancho La Cuchilla No. 122</v>
      </c>
      <c r="F3110" s="10" t="str">
        <f t="shared" si="158"/>
        <v>Mendoza</v>
      </c>
      <c r="G3110" s="8">
        <v>1</v>
      </c>
      <c r="H3110" s="11">
        <v>200</v>
      </c>
      <c r="I3110" s="12">
        <v>42750</v>
      </c>
      <c r="J3110" s="35">
        <f t="shared" si="159"/>
        <v>0</v>
      </c>
      <c r="K3110" s="36"/>
      <c r="L3110" s="36"/>
      <c r="M3110" s="36"/>
      <c r="N3110" s="36"/>
      <c r="O3110" s="36"/>
      <c r="P3110" s="36"/>
      <c r="Q3110" s="36"/>
      <c r="R3110" s="36"/>
      <c r="S3110" s="36"/>
      <c r="T3110" s="36"/>
      <c r="U3110" s="36"/>
      <c r="V3110" s="36"/>
      <c r="W3110" s="15">
        <f t="shared" si="160"/>
        <v>0</v>
      </c>
      <c r="X3110" s="36">
        <v>200</v>
      </c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15">
        <f t="shared" si="161"/>
        <v>200</v>
      </c>
      <c r="AK3110" s="14"/>
      <c r="AL3110" s="14"/>
      <c r="AM3110" s="14"/>
      <c r="AN3110" s="14"/>
      <c r="AO3110" s="14"/>
      <c r="AP3110" s="14"/>
      <c r="AQ3110" s="14"/>
      <c r="AR3110" s="14"/>
      <c r="AS3110" s="14"/>
      <c r="AT3110" s="14"/>
      <c r="AU3110" s="14"/>
      <c r="AV3110" s="14"/>
      <c r="AW3110" s="15"/>
      <c r="AX3110" s="16"/>
    </row>
    <row r="3111" spans="2:50" x14ac:dyDescent="0.2">
      <c r="B3111" s="7"/>
      <c r="C3111" s="8">
        <v>13929</v>
      </c>
      <c r="D3111" s="9" t="s">
        <v>1137</v>
      </c>
      <c r="E3111" s="10" t="str">
        <f t="shared" si="157"/>
        <v>Rancho La Cuchilla No. 7, 101</v>
      </c>
      <c r="F3111" s="10" t="str">
        <f t="shared" si="158"/>
        <v>Olivares</v>
      </c>
      <c r="G3111" s="8">
        <v>3</v>
      </c>
      <c r="H3111" s="11">
        <v>200</v>
      </c>
      <c r="I3111" s="12">
        <v>42750</v>
      </c>
      <c r="J3111" s="35">
        <f t="shared" si="159"/>
        <v>0</v>
      </c>
      <c r="K3111" s="36"/>
      <c r="L3111" s="36"/>
      <c r="M3111" s="36"/>
      <c r="N3111" s="36"/>
      <c r="O3111" s="36"/>
      <c r="P3111" s="36"/>
      <c r="Q3111" s="36"/>
      <c r="R3111" s="36"/>
      <c r="S3111" s="36"/>
      <c r="T3111" s="36"/>
      <c r="U3111" s="36"/>
      <c r="V3111" s="36"/>
      <c r="W3111" s="15">
        <f t="shared" si="160"/>
        <v>0</v>
      </c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15">
        <f t="shared" si="161"/>
        <v>0</v>
      </c>
      <c r="AK3111" s="14"/>
      <c r="AL3111" s="14"/>
      <c r="AM3111" s="14"/>
      <c r="AN3111" s="14"/>
      <c r="AO3111" s="14"/>
      <c r="AP3111" s="14"/>
      <c r="AQ3111" s="14"/>
      <c r="AR3111" s="14"/>
      <c r="AS3111" s="14"/>
      <c r="AT3111" s="14"/>
      <c r="AU3111" s="14"/>
      <c r="AV3111" s="14"/>
      <c r="AW3111" s="15"/>
      <c r="AX3111" s="16"/>
    </row>
    <row r="3112" spans="2:50" x14ac:dyDescent="0.2">
      <c r="B3112" s="7"/>
      <c r="C3112" s="8">
        <v>13630</v>
      </c>
      <c r="D3112" s="9" t="s">
        <v>322</v>
      </c>
      <c r="E3112" s="10" t="str">
        <f t="shared" si="157"/>
        <v>Rancho Zinamba No. 8</v>
      </c>
      <c r="F3112" s="10" t="str">
        <f t="shared" si="158"/>
        <v>Florido</v>
      </c>
      <c r="G3112" s="8">
        <v>1</v>
      </c>
      <c r="H3112" s="11">
        <v>400</v>
      </c>
      <c r="I3112" s="12">
        <v>42750</v>
      </c>
      <c r="J3112" s="35">
        <f t="shared" si="159"/>
        <v>0</v>
      </c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>
        <v>400</v>
      </c>
      <c r="W3112" s="15">
        <f t="shared" si="160"/>
        <v>400</v>
      </c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15">
        <f t="shared" si="161"/>
        <v>0</v>
      </c>
      <c r="AK3112" s="14"/>
      <c r="AL3112" s="14"/>
      <c r="AM3112" s="14"/>
      <c r="AN3112" s="14"/>
      <c r="AO3112" s="14"/>
      <c r="AP3112" s="14"/>
      <c r="AQ3112" s="14"/>
      <c r="AR3112" s="14"/>
      <c r="AS3112" s="14"/>
      <c r="AT3112" s="14"/>
      <c r="AU3112" s="14"/>
      <c r="AV3112" s="14"/>
      <c r="AW3112" s="15"/>
      <c r="AX3112" s="16"/>
    </row>
    <row r="3113" spans="2:50" x14ac:dyDescent="0.2">
      <c r="B3113" s="7"/>
      <c r="C3113" s="8">
        <v>13631</v>
      </c>
      <c r="D3113" s="9" t="s">
        <v>728</v>
      </c>
      <c r="E3113" s="10" t="str">
        <f t="shared" ref="E3113:E3128" si="162">IF(D3113=0,"",VLOOKUP(D3113,BASE,2,FALSE))</f>
        <v>Rancho Estanzuela No. 77</v>
      </c>
      <c r="F3113" s="10" t="str">
        <f t="shared" ref="F3113:F3128" si="163">IF(D3113=0,"",VLOOKUP(D3113,BASE,3,FALSE))</f>
        <v>De la Rosa Rico</v>
      </c>
      <c r="G3113" s="8">
        <v>1</v>
      </c>
      <c r="H3113" s="11">
        <v>800</v>
      </c>
      <c r="I3113" s="12">
        <v>42750</v>
      </c>
      <c r="J3113" s="35">
        <f t="shared" ref="J3113:J3128" si="164">IF(G3113=1,SUM(W3113,AJ3113,-H3113),0)</f>
        <v>0</v>
      </c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  <c r="U3113" s="36">
        <v>400</v>
      </c>
      <c r="V3113" s="36">
        <v>400</v>
      </c>
      <c r="W3113" s="15">
        <f t="shared" ref="W3113:W3128" si="165">SUM(K3113:V3113)</f>
        <v>800</v>
      </c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15">
        <f t="shared" ref="AJ3113:AJ3128" si="166">SUM(X3113:AI3113)</f>
        <v>0</v>
      </c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14"/>
      <c r="AV3113" s="14"/>
      <c r="AW3113" s="15"/>
      <c r="AX3113" s="16"/>
    </row>
    <row r="3114" spans="2:50" x14ac:dyDescent="0.2">
      <c r="B3114" s="7"/>
      <c r="C3114" s="8">
        <v>13632</v>
      </c>
      <c r="D3114" s="9" t="s">
        <v>186</v>
      </c>
      <c r="E3114" s="10" t="str">
        <f t="shared" si="162"/>
        <v>Rancho Upácuaro No. 100</v>
      </c>
      <c r="F3114" s="10" t="str">
        <f t="shared" si="163"/>
        <v>Valdez</v>
      </c>
      <c r="G3114" s="8">
        <v>1</v>
      </c>
      <c r="H3114" s="11">
        <v>400</v>
      </c>
      <c r="I3114" s="12">
        <v>42750</v>
      </c>
      <c r="J3114" s="35">
        <f t="shared" si="164"/>
        <v>0</v>
      </c>
      <c r="K3114" s="36"/>
      <c r="L3114" s="36"/>
      <c r="M3114" s="36"/>
      <c r="N3114" s="36"/>
      <c r="O3114" s="36"/>
      <c r="P3114" s="36"/>
      <c r="Q3114" s="36"/>
      <c r="R3114" s="36"/>
      <c r="S3114" s="36"/>
      <c r="T3114" s="36"/>
      <c r="U3114" s="36"/>
      <c r="V3114" s="36"/>
      <c r="W3114" s="15">
        <f t="shared" si="165"/>
        <v>0</v>
      </c>
      <c r="X3114" s="36">
        <v>400</v>
      </c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15">
        <f t="shared" si="166"/>
        <v>400</v>
      </c>
      <c r="AK3114" s="14"/>
      <c r="AL3114" s="14"/>
      <c r="AM3114" s="14"/>
      <c r="AN3114" s="14"/>
      <c r="AO3114" s="14"/>
      <c r="AP3114" s="14"/>
      <c r="AQ3114" s="14"/>
      <c r="AR3114" s="14"/>
      <c r="AS3114" s="14"/>
      <c r="AT3114" s="14"/>
      <c r="AU3114" s="14"/>
      <c r="AV3114" s="14"/>
      <c r="AW3114" s="15"/>
      <c r="AX3114" s="16"/>
    </row>
    <row r="3115" spans="2:50" x14ac:dyDescent="0.2">
      <c r="B3115" s="7"/>
      <c r="C3115" s="8">
        <v>13633</v>
      </c>
      <c r="D3115" s="9" t="s">
        <v>820</v>
      </c>
      <c r="E3115" s="10" t="str">
        <f t="shared" si="162"/>
        <v>Rancho Zinamba No. 84</v>
      </c>
      <c r="F3115" s="10" t="str">
        <f t="shared" si="163"/>
        <v>Lobato</v>
      </c>
      <c r="G3115" s="8">
        <v>1</v>
      </c>
      <c r="H3115" s="11">
        <v>300</v>
      </c>
      <c r="I3115" s="12">
        <v>42750</v>
      </c>
      <c r="J3115" s="35">
        <f t="shared" si="164"/>
        <v>0</v>
      </c>
      <c r="K3115" s="36"/>
      <c r="L3115" s="36"/>
      <c r="M3115" s="36"/>
      <c r="N3115" s="36"/>
      <c r="O3115" s="36"/>
      <c r="P3115" s="36"/>
      <c r="Q3115" s="36"/>
      <c r="R3115" s="36"/>
      <c r="S3115" s="36"/>
      <c r="T3115" s="36"/>
      <c r="U3115" s="36"/>
      <c r="V3115" s="36">
        <v>300</v>
      </c>
      <c r="W3115" s="15">
        <f t="shared" si="165"/>
        <v>300</v>
      </c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15">
        <f t="shared" si="166"/>
        <v>0</v>
      </c>
      <c r="AK3115" s="14"/>
      <c r="AL3115" s="14"/>
      <c r="AM3115" s="14"/>
      <c r="AN3115" s="14"/>
      <c r="AO3115" s="14"/>
      <c r="AP3115" s="14"/>
      <c r="AQ3115" s="14"/>
      <c r="AR3115" s="14"/>
      <c r="AS3115" s="14"/>
      <c r="AT3115" s="14"/>
      <c r="AU3115" s="14"/>
      <c r="AV3115" s="14"/>
      <c r="AW3115" s="15"/>
      <c r="AX3115" s="16"/>
    </row>
    <row r="3116" spans="2:50" x14ac:dyDescent="0.2">
      <c r="B3116" s="7"/>
      <c r="C3116" s="8">
        <v>13634</v>
      </c>
      <c r="D3116" s="9" t="s">
        <v>183</v>
      </c>
      <c r="E3116" s="10" t="str">
        <f t="shared" si="162"/>
        <v>Rancho La Cuchilla No. 54</v>
      </c>
      <c r="F3116" s="10" t="str">
        <f t="shared" si="163"/>
        <v>Mendoza León</v>
      </c>
      <c r="G3116" s="8">
        <v>1</v>
      </c>
      <c r="H3116" s="11">
        <v>400</v>
      </c>
      <c r="I3116" s="12">
        <v>42750</v>
      </c>
      <c r="J3116" s="35">
        <f t="shared" si="164"/>
        <v>0</v>
      </c>
      <c r="K3116" s="36"/>
      <c r="L3116" s="36"/>
      <c r="M3116" s="36"/>
      <c r="N3116" s="36"/>
      <c r="O3116" s="36"/>
      <c r="P3116" s="36"/>
      <c r="Q3116" s="36"/>
      <c r="R3116" s="36"/>
      <c r="S3116" s="36"/>
      <c r="T3116" s="36"/>
      <c r="U3116" s="36">
        <v>400</v>
      </c>
      <c r="V3116" s="36"/>
      <c r="W3116" s="15">
        <f t="shared" si="165"/>
        <v>400</v>
      </c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15">
        <f t="shared" si="166"/>
        <v>0</v>
      </c>
      <c r="AK3116" s="14"/>
      <c r="AL3116" s="14"/>
      <c r="AM3116" s="14"/>
      <c r="AN3116" s="14"/>
      <c r="AO3116" s="14"/>
      <c r="AP3116" s="14"/>
      <c r="AQ3116" s="14"/>
      <c r="AR3116" s="14"/>
      <c r="AS3116" s="14"/>
      <c r="AT3116" s="14"/>
      <c r="AU3116" s="14"/>
      <c r="AV3116" s="14"/>
      <c r="AW3116" s="15"/>
      <c r="AX3116" s="16"/>
    </row>
    <row r="3117" spans="2:50" x14ac:dyDescent="0.2">
      <c r="B3117" s="7"/>
      <c r="C3117" s="8">
        <v>13635</v>
      </c>
      <c r="D3117" s="9" t="s">
        <v>840</v>
      </c>
      <c r="E3117" s="10" t="str">
        <f t="shared" si="162"/>
        <v>Rancho Landero No. 33</v>
      </c>
      <c r="F3117" s="10" t="str">
        <f t="shared" si="163"/>
        <v>González Uribe</v>
      </c>
      <c r="G3117" s="8">
        <v>1</v>
      </c>
      <c r="H3117" s="11">
        <v>400</v>
      </c>
      <c r="I3117" s="12">
        <v>42750</v>
      </c>
      <c r="J3117" s="35">
        <f t="shared" si="164"/>
        <v>0</v>
      </c>
      <c r="K3117" s="36"/>
      <c r="L3117" s="36"/>
      <c r="M3117" s="36"/>
      <c r="N3117" s="36"/>
      <c r="O3117" s="36"/>
      <c r="P3117" s="36"/>
      <c r="Q3117" s="36"/>
      <c r="R3117" s="36"/>
      <c r="S3117" s="36"/>
      <c r="T3117" s="36"/>
      <c r="U3117" s="36"/>
      <c r="V3117" s="36">
        <v>400</v>
      </c>
      <c r="W3117" s="15">
        <f t="shared" si="165"/>
        <v>400</v>
      </c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15">
        <f t="shared" si="166"/>
        <v>0</v>
      </c>
      <c r="AK3117" s="14"/>
      <c r="AL3117" s="14"/>
      <c r="AM3117" s="14"/>
      <c r="AN3117" s="14"/>
      <c r="AO3117" s="14"/>
      <c r="AP3117" s="14"/>
      <c r="AQ3117" s="14"/>
      <c r="AR3117" s="14"/>
      <c r="AS3117" s="14"/>
      <c r="AT3117" s="14"/>
      <c r="AU3117" s="14"/>
      <c r="AV3117" s="14"/>
      <c r="AW3117" s="15"/>
      <c r="AX3117" s="16"/>
    </row>
    <row r="3118" spans="2:50" x14ac:dyDescent="0.2">
      <c r="B3118" s="7"/>
      <c r="C3118" s="8">
        <v>13636</v>
      </c>
      <c r="D3118" s="9" t="s">
        <v>556</v>
      </c>
      <c r="E3118" s="10" t="str">
        <f t="shared" si="162"/>
        <v>Rancho Zinamba No. 26</v>
      </c>
      <c r="F3118" s="10" t="str">
        <f t="shared" si="163"/>
        <v>Ayala</v>
      </c>
      <c r="G3118" s="8">
        <v>1</v>
      </c>
      <c r="H3118" s="11">
        <v>800</v>
      </c>
      <c r="I3118" s="12">
        <v>42750</v>
      </c>
      <c r="J3118" s="35">
        <f t="shared" si="164"/>
        <v>0</v>
      </c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  <c r="U3118" s="36">
        <v>400</v>
      </c>
      <c r="V3118" s="36">
        <v>400</v>
      </c>
      <c r="W3118" s="15">
        <f t="shared" si="165"/>
        <v>800</v>
      </c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15">
        <f t="shared" si="166"/>
        <v>0</v>
      </c>
      <c r="AK3118" s="14"/>
      <c r="AL3118" s="14"/>
      <c r="AM3118" s="14"/>
      <c r="AN3118" s="14"/>
      <c r="AO3118" s="14"/>
      <c r="AP3118" s="14"/>
      <c r="AQ3118" s="14"/>
      <c r="AR3118" s="14"/>
      <c r="AS3118" s="14"/>
      <c r="AT3118" s="14"/>
      <c r="AU3118" s="14"/>
      <c r="AV3118" s="14"/>
      <c r="AW3118" s="15"/>
      <c r="AX3118" s="316">
        <f>SUM(H3063:H3118)</f>
        <v>43220</v>
      </c>
    </row>
    <row r="3119" spans="2:50" x14ac:dyDescent="0.2">
      <c r="B3119" s="7"/>
      <c r="C3119" s="8">
        <v>13637</v>
      </c>
      <c r="D3119" s="9" t="s">
        <v>482</v>
      </c>
      <c r="E3119" s="10" t="str">
        <f t="shared" si="162"/>
        <v>Rancho Estopila No. 22, B</v>
      </c>
      <c r="F3119" s="10" t="str">
        <f t="shared" si="163"/>
        <v xml:space="preserve">Carranza Díaz </v>
      </c>
      <c r="G3119" s="8">
        <v>1</v>
      </c>
      <c r="H3119" s="315">
        <v>400</v>
      </c>
      <c r="I3119" s="12">
        <v>42752</v>
      </c>
      <c r="J3119" s="35">
        <f t="shared" si="164"/>
        <v>0</v>
      </c>
      <c r="K3119" s="36"/>
      <c r="L3119" s="36"/>
      <c r="M3119" s="36"/>
      <c r="N3119" s="36"/>
      <c r="O3119" s="36"/>
      <c r="P3119" s="36"/>
      <c r="Q3119" s="36"/>
      <c r="R3119" s="36"/>
      <c r="S3119" s="36"/>
      <c r="T3119" s="36"/>
      <c r="U3119" s="36"/>
      <c r="V3119" s="36"/>
      <c r="W3119" s="15">
        <f t="shared" si="165"/>
        <v>0</v>
      </c>
      <c r="X3119" s="36">
        <v>200</v>
      </c>
      <c r="Y3119" s="36">
        <v>200</v>
      </c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15">
        <f t="shared" si="166"/>
        <v>400</v>
      </c>
      <c r="AK3119" s="14"/>
      <c r="AL3119" s="14"/>
      <c r="AM3119" s="14"/>
      <c r="AN3119" s="14"/>
      <c r="AO3119" s="14"/>
      <c r="AP3119" s="14"/>
      <c r="AQ3119" s="14"/>
      <c r="AR3119" s="14"/>
      <c r="AS3119" s="14"/>
      <c r="AT3119" s="14"/>
      <c r="AU3119" s="14"/>
      <c r="AV3119" s="14"/>
      <c r="AW3119" s="15"/>
      <c r="AX3119" s="16"/>
    </row>
    <row r="3120" spans="2:50" x14ac:dyDescent="0.2">
      <c r="B3120" s="7"/>
      <c r="C3120" s="8">
        <v>13638</v>
      </c>
      <c r="D3120" s="9" t="s">
        <v>202</v>
      </c>
      <c r="E3120" s="10" t="str">
        <f t="shared" si="162"/>
        <v>Rancho Estanzuela No. 25</v>
      </c>
      <c r="F3120" s="10" t="str">
        <f t="shared" si="163"/>
        <v>Contreras Figueroa</v>
      </c>
      <c r="G3120" s="8">
        <v>1</v>
      </c>
      <c r="H3120" s="11">
        <v>400</v>
      </c>
      <c r="I3120" s="12">
        <v>42752</v>
      </c>
      <c r="J3120" s="35">
        <f t="shared" si="164"/>
        <v>0</v>
      </c>
      <c r="K3120" s="36"/>
      <c r="L3120" s="36"/>
      <c r="M3120" s="36"/>
      <c r="N3120" s="36"/>
      <c r="O3120" s="36"/>
      <c r="P3120" s="36"/>
      <c r="Q3120" s="36"/>
      <c r="R3120" s="36"/>
      <c r="S3120" s="36"/>
      <c r="T3120" s="36"/>
      <c r="U3120" s="36"/>
      <c r="V3120" s="36"/>
      <c r="W3120" s="15">
        <f t="shared" si="165"/>
        <v>0</v>
      </c>
      <c r="X3120" s="36">
        <v>400</v>
      </c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15">
        <f t="shared" si="166"/>
        <v>400</v>
      </c>
      <c r="AK3120" s="14"/>
      <c r="AL3120" s="14"/>
      <c r="AM3120" s="14"/>
      <c r="AN3120" s="14"/>
      <c r="AO3120" s="14"/>
      <c r="AP3120" s="14"/>
      <c r="AQ3120" s="14"/>
      <c r="AR3120" s="14"/>
      <c r="AS3120" s="14"/>
      <c r="AT3120" s="14"/>
      <c r="AU3120" s="14"/>
      <c r="AV3120" s="14"/>
      <c r="AW3120" s="15"/>
      <c r="AX3120" s="16"/>
    </row>
    <row r="3121" spans="2:51" x14ac:dyDescent="0.2">
      <c r="B3121" s="7"/>
      <c r="C3121" s="8">
        <v>13639</v>
      </c>
      <c r="D3121" s="9" t="s">
        <v>828</v>
      </c>
      <c r="E3121" s="10" t="str">
        <f t="shared" si="162"/>
        <v>Rancho Upácuaro No. 130</v>
      </c>
      <c r="F3121" s="10" t="str">
        <f t="shared" si="163"/>
        <v>Rodríguez Álvarez</v>
      </c>
      <c r="G3121" s="8">
        <v>1</v>
      </c>
      <c r="H3121" s="11">
        <v>800</v>
      </c>
      <c r="I3121" s="12">
        <v>42754</v>
      </c>
      <c r="J3121" s="35">
        <f t="shared" si="164"/>
        <v>0</v>
      </c>
      <c r="K3121" s="36"/>
      <c r="L3121" s="36"/>
      <c r="M3121" s="36"/>
      <c r="N3121" s="36"/>
      <c r="O3121" s="36"/>
      <c r="P3121" s="36"/>
      <c r="Q3121" s="36"/>
      <c r="R3121" s="36"/>
      <c r="S3121" s="36">
        <v>200</v>
      </c>
      <c r="T3121" s="36">
        <v>200</v>
      </c>
      <c r="U3121" s="36">
        <v>200</v>
      </c>
      <c r="V3121" s="36">
        <v>200</v>
      </c>
      <c r="W3121" s="15">
        <f t="shared" si="165"/>
        <v>800</v>
      </c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15">
        <f t="shared" si="166"/>
        <v>0</v>
      </c>
      <c r="AK3121" s="14"/>
      <c r="AL3121" s="14"/>
      <c r="AM3121" s="14"/>
      <c r="AN3121" s="14"/>
      <c r="AO3121" s="14"/>
      <c r="AP3121" s="14"/>
      <c r="AQ3121" s="14"/>
      <c r="AR3121" s="14"/>
      <c r="AS3121" s="14"/>
      <c r="AT3121" s="14"/>
      <c r="AU3121" s="14"/>
      <c r="AV3121" s="14"/>
      <c r="AW3121" s="15"/>
      <c r="AX3121" s="16"/>
    </row>
    <row r="3122" spans="2:51" x14ac:dyDescent="0.2">
      <c r="B3122" s="7"/>
      <c r="C3122" s="8">
        <v>13640</v>
      </c>
      <c r="D3122" s="9" t="s">
        <v>370</v>
      </c>
      <c r="E3122" s="10" t="str">
        <f t="shared" si="162"/>
        <v>Rancho Upácuaro No. 124</v>
      </c>
      <c r="F3122" s="10" t="str">
        <f t="shared" si="163"/>
        <v>Reyes Nicandro</v>
      </c>
      <c r="G3122" s="8">
        <v>1</v>
      </c>
      <c r="H3122" s="11">
        <v>1650</v>
      </c>
      <c r="I3122" s="12">
        <v>42754</v>
      </c>
      <c r="J3122" s="35">
        <f t="shared" si="164"/>
        <v>0</v>
      </c>
      <c r="K3122" s="36"/>
      <c r="L3122" s="36"/>
      <c r="M3122" s="36"/>
      <c r="N3122" s="36"/>
      <c r="O3122" s="36"/>
      <c r="P3122" s="36"/>
      <c r="Q3122" s="36"/>
      <c r="R3122" s="36"/>
      <c r="S3122" s="36"/>
      <c r="T3122" s="36"/>
      <c r="U3122" s="36"/>
      <c r="V3122" s="36"/>
      <c r="W3122" s="15">
        <f t="shared" si="165"/>
        <v>0</v>
      </c>
      <c r="X3122" s="36">
        <v>150</v>
      </c>
      <c r="Y3122" s="36">
        <v>150</v>
      </c>
      <c r="Z3122" s="36">
        <v>150</v>
      </c>
      <c r="AA3122" s="36">
        <v>150</v>
      </c>
      <c r="AB3122" s="36">
        <v>150</v>
      </c>
      <c r="AC3122" s="36">
        <v>150</v>
      </c>
      <c r="AD3122" s="36">
        <v>150</v>
      </c>
      <c r="AE3122" s="36">
        <v>150</v>
      </c>
      <c r="AF3122" s="36">
        <v>150</v>
      </c>
      <c r="AG3122" s="36">
        <v>150</v>
      </c>
      <c r="AH3122" s="36">
        <v>150</v>
      </c>
      <c r="AI3122" s="36"/>
      <c r="AJ3122" s="15">
        <f t="shared" si="166"/>
        <v>1650</v>
      </c>
      <c r="AK3122" s="14"/>
      <c r="AL3122" s="14"/>
      <c r="AM3122" s="14"/>
      <c r="AN3122" s="14"/>
      <c r="AO3122" s="14"/>
      <c r="AP3122" s="14"/>
      <c r="AQ3122" s="14"/>
      <c r="AR3122" s="14"/>
      <c r="AS3122" s="14"/>
      <c r="AT3122" s="14"/>
      <c r="AU3122" s="14"/>
      <c r="AV3122" s="14"/>
      <c r="AW3122" s="15"/>
      <c r="AX3122" s="16" t="s">
        <v>3363</v>
      </c>
    </row>
    <row r="3123" spans="2:51" x14ac:dyDescent="0.2">
      <c r="B3123" s="7"/>
      <c r="C3123" s="8">
        <v>13641</v>
      </c>
      <c r="D3123" s="9" t="s">
        <v>370</v>
      </c>
      <c r="E3123" s="10" t="str">
        <f t="shared" si="162"/>
        <v>Rancho Upácuaro No. 124</v>
      </c>
      <c r="F3123" s="10" t="str">
        <f t="shared" si="163"/>
        <v>Reyes Nicandro</v>
      </c>
      <c r="G3123" s="8">
        <v>5</v>
      </c>
      <c r="H3123" s="11">
        <v>50</v>
      </c>
      <c r="I3123" s="12">
        <v>42754</v>
      </c>
      <c r="J3123" s="35">
        <f t="shared" si="164"/>
        <v>0</v>
      </c>
      <c r="K3123" s="36"/>
      <c r="L3123" s="36"/>
      <c r="M3123" s="36"/>
      <c r="N3123" s="36"/>
      <c r="O3123" s="36"/>
      <c r="P3123" s="36"/>
      <c r="Q3123" s="36"/>
      <c r="R3123" s="36"/>
      <c r="S3123" s="36"/>
      <c r="T3123" s="36"/>
      <c r="U3123" s="36"/>
      <c r="V3123" s="36"/>
      <c r="W3123" s="15">
        <f t="shared" si="165"/>
        <v>0</v>
      </c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15">
        <f t="shared" si="166"/>
        <v>0</v>
      </c>
      <c r="AK3123" s="14"/>
      <c r="AL3123" s="14"/>
      <c r="AM3123" s="14"/>
      <c r="AN3123" s="14"/>
      <c r="AO3123" s="14"/>
      <c r="AP3123" s="14"/>
      <c r="AQ3123" s="14"/>
      <c r="AR3123" s="14"/>
      <c r="AS3123" s="14"/>
      <c r="AT3123" s="14"/>
      <c r="AU3123" s="14"/>
      <c r="AV3123" s="14"/>
      <c r="AW3123" s="15"/>
      <c r="AX3123" s="16"/>
    </row>
    <row r="3124" spans="2:51" x14ac:dyDescent="0.2">
      <c r="B3124" s="7"/>
      <c r="C3124" s="8">
        <v>13642</v>
      </c>
      <c r="D3124" s="9" t="s">
        <v>887</v>
      </c>
      <c r="E3124" s="10" t="str">
        <f t="shared" si="162"/>
        <v>Rancho Estopila No. 44_4</v>
      </c>
      <c r="F3124" s="10" t="str">
        <f t="shared" si="163"/>
        <v>Acroy Mendoza</v>
      </c>
      <c r="G3124" s="8">
        <v>1</v>
      </c>
      <c r="H3124" s="11">
        <v>2200</v>
      </c>
      <c r="I3124" s="12">
        <v>42754</v>
      </c>
      <c r="J3124" s="35">
        <f t="shared" si="164"/>
        <v>0</v>
      </c>
      <c r="K3124" s="36"/>
      <c r="L3124" s="36"/>
      <c r="M3124" s="36"/>
      <c r="N3124" s="36"/>
      <c r="O3124" s="36"/>
      <c r="P3124" s="36"/>
      <c r="Q3124" s="36"/>
      <c r="R3124" s="36"/>
      <c r="S3124" s="36"/>
      <c r="T3124" s="36"/>
      <c r="U3124" s="36"/>
      <c r="V3124" s="36"/>
      <c r="W3124" s="15">
        <f t="shared" si="165"/>
        <v>0</v>
      </c>
      <c r="X3124" s="36">
        <v>200</v>
      </c>
      <c r="Y3124" s="36">
        <v>200</v>
      </c>
      <c r="Z3124" s="36">
        <v>200</v>
      </c>
      <c r="AA3124" s="36">
        <v>200</v>
      </c>
      <c r="AB3124" s="36">
        <v>200</v>
      </c>
      <c r="AC3124" s="36">
        <v>200</v>
      </c>
      <c r="AD3124" s="36">
        <v>200</v>
      </c>
      <c r="AE3124" s="36">
        <v>200</v>
      </c>
      <c r="AF3124" s="36">
        <v>200</v>
      </c>
      <c r="AG3124" s="36">
        <v>200</v>
      </c>
      <c r="AH3124" s="36">
        <v>200</v>
      </c>
      <c r="AI3124" s="36"/>
      <c r="AJ3124" s="15">
        <f t="shared" si="166"/>
        <v>2200</v>
      </c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14"/>
      <c r="AV3124" s="14"/>
      <c r="AW3124" s="15"/>
      <c r="AX3124" s="16" t="s">
        <v>3363</v>
      </c>
    </row>
    <row r="3125" spans="2:51" x14ac:dyDescent="0.2">
      <c r="B3125" s="7"/>
      <c r="C3125" s="8">
        <v>13643</v>
      </c>
      <c r="D3125" s="9" t="s">
        <v>1320</v>
      </c>
      <c r="E3125" s="10" t="str">
        <f t="shared" si="162"/>
        <v>Rancho Estopila No. 44</v>
      </c>
      <c r="F3125" s="10" t="str">
        <f t="shared" si="163"/>
        <v>Christian</v>
      </c>
      <c r="G3125" s="8">
        <v>5</v>
      </c>
      <c r="H3125" s="11">
        <v>50</v>
      </c>
      <c r="I3125" s="12">
        <v>42754</v>
      </c>
      <c r="J3125" s="35">
        <f t="shared" si="164"/>
        <v>0</v>
      </c>
      <c r="K3125" s="36"/>
      <c r="L3125" s="36"/>
      <c r="M3125" s="36"/>
      <c r="N3125" s="36"/>
      <c r="O3125" s="36"/>
      <c r="P3125" s="36"/>
      <c r="Q3125" s="36"/>
      <c r="R3125" s="36"/>
      <c r="S3125" s="36"/>
      <c r="T3125" s="36"/>
      <c r="U3125" s="36"/>
      <c r="V3125" s="36"/>
      <c r="W3125" s="15">
        <f t="shared" si="165"/>
        <v>0</v>
      </c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15">
        <f t="shared" si="166"/>
        <v>0</v>
      </c>
      <c r="AK3125" s="14"/>
      <c r="AL3125" s="14"/>
      <c r="AM3125" s="14"/>
      <c r="AN3125" s="14"/>
      <c r="AO3125" s="14"/>
      <c r="AP3125" s="14"/>
      <c r="AQ3125" s="14"/>
      <c r="AR3125" s="14"/>
      <c r="AS3125" s="14"/>
      <c r="AT3125" s="14"/>
      <c r="AU3125" s="14"/>
      <c r="AV3125" s="14"/>
      <c r="AW3125" s="15"/>
      <c r="AX3125" s="16"/>
      <c r="AY3125" s="112">
        <f>SUM(H3119:H3125)</f>
        <v>5550</v>
      </c>
    </row>
    <row r="3126" spans="2:51" x14ac:dyDescent="0.2">
      <c r="B3126" s="7"/>
      <c r="C3126" s="8">
        <v>13644</v>
      </c>
      <c r="D3126" s="9" t="s">
        <v>346</v>
      </c>
      <c r="E3126" s="10" t="str">
        <f t="shared" si="162"/>
        <v>Rancho Upácuaro No. 108</v>
      </c>
      <c r="F3126" s="10" t="str">
        <f t="shared" si="163"/>
        <v>Mejía</v>
      </c>
      <c r="G3126" s="8">
        <v>1</v>
      </c>
      <c r="H3126" s="11">
        <v>300</v>
      </c>
      <c r="I3126" s="12">
        <v>42757</v>
      </c>
      <c r="J3126" s="35">
        <f t="shared" si="164"/>
        <v>0</v>
      </c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  <c r="W3126" s="15">
        <f t="shared" si="165"/>
        <v>0</v>
      </c>
      <c r="X3126" s="36">
        <v>300</v>
      </c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15">
        <f t="shared" si="166"/>
        <v>300</v>
      </c>
      <c r="AK3126" s="14"/>
      <c r="AL3126" s="14"/>
      <c r="AM3126" s="14"/>
      <c r="AN3126" s="14"/>
      <c r="AO3126" s="14"/>
      <c r="AP3126" s="14"/>
      <c r="AQ3126" s="14"/>
      <c r="AR3126" s="14"/>
      <c r="AS3126" s="14"/>
      <c r="AT3126" s="14"/>
      <c r="AU3126" s="14"/>
      <c r="AV3126" s="14"/>
      <c r="AW3126" s="15"/>
      <c r="AX3126" s="16"/>
    </row>
    <row r="3127" spans="2:51" x14ac:dyDescent="0.2">
      <c r="B3127" s="7"/>
      <c r="C3127" s="8">
        <v>13645</v>
      </c>
      <c r="D3127" s="9" t="s">
        <v>631</v>
      </c>
      <c r="E3127" s="10" t="str">
        <f t="shared" si="162"/>
        <v>Rancho Romeral No. 10, B</v>
      </c>
      <c r="F3127" s="10" t="str">
        <f t="shared" si="163"/>
        <v>López Castellano</v>
      </c>
      <c r="G3127" s="8">
        <v>1</v>
      </c>
      <c r="H3127" s="11">
        <v>900</v>
      </c>
      <c r="I3127" s="12">
        <v>42757</v>
      </c>
      <c r="J3127" s="35">
        <f t="shared" si="164"/>
        <v>0</v>
      </c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36">
        <v>300</v>
      </c>
      <c r="V3127" s="36">
        <v>300</v>
      </c>
      <c r="W3127" s="15">
        <f t="shared" si="165"/>
        <v>600</v>
      </c>
      <c r="X3127" s="36">
        <v>300</v>
      </c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15">
        <f t="shared" si="166"/>
        <v>300</v>
      </c>
      <c r="AK3127" s="14"/>
      <c r="AL3127" s="14"/>
      <c r="AM3127" s="14"/>
      <c r="AN3127" s="14"/>
      <c r="AO3127" s="14"/>
      <c r="AP3127" s="14"/>
      <c r="AQ3127" s="14"/>
      <c r="AR3127" s="14"/>
      <c r="AS3127" s="14"/>
      <c r="AT3127" s="14"/>
      <c r="AU3127" s="14"/>
      <c r="AV3127" s="14"/>
      <c r="AW3127" s="15"/>
      <c r="AX3127" s="16"/>
    </row>
    <row r="3128" spans="2:51" x14ac:dyDescent="0.2">
      <c r="B3128" s="7"/>
      <c r="C3128" s="8">
        <v>13646</v>
      </c>
      <c r="D3128" s="9" t="s">
        <v>532</v>
      </c>
      <c r="E3128" s="10" t="str">
        <f t="shared" si="162"/>
        <v>Rancho Estanzuela No. 101</v>
      </c>
      <c r="F3128" s="10" t="str">
        <f t="shared" si="163"/>
        <v>Calderón Celis</v>
      </c>
      <c r="G3128" s="8">
        <v>1</v>
      </c>
      <c r="H3128" s="11">
        <v>600</v>
      </c>
      <c r="I3128" s="12">
        <v>42757</v>
      </c>
      <c r="J3128" s="35">
        <f t="shared" si="164"/>
        <v>0</v>
      </c>
      <c r="K3128" s="36"/>
      <c r="L3128" s="36"/>
      <c r="M3128" s="36"/>
      <c r="N3128" s="36"/>
      <c r="O3128" s="36"/>
      <c r="P3128" s="36"/>
      <c r="Q3128" s="36"/>
      <c r="R3128" s="36"/>
      <c r="S3128" s="36"/>
      <c r="T3128" s="36"/>
      <c r="U3128" s="36">
        <v>200</v>
      </c>
      <c r="V3128" s="36">
        <v>200</v>
      </c>
      <c r="W3128" s="15">
        <f t="shared" si="165"/>
        <v>400</v>
      </c>
      <c r="X3128" s="36">
        <v>200</v>
      </c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15">
        <f t="shared" si="166"/>
        <v>200</v>
      </c>
      <c r="AK3128" s="14"/>
      <c r="AL3128" s="14"/>
      <c r="AM3128" s="14"/>
      <c r="AN3128" s="14"/>
      <c r="AO3128" s="14"/>
      <c r="AP3128" s="14"/>
      <c r="AQ3128" s="14"/>
      <c r="AR3128" s="14"/>
      <c r="AS3128" s="14"/>
      <c r="AT3128" s="14"/>
      <c r="AU3128" s="14"/>
      <c r="AV3128" s="14"/>
      <c r="AW3128" s="15"/>
      <c r="AX3128" s="16"/>
    </row>
    <row r="3129" spans="2:51" x14ac:dyDescent="0.2">
      <c r="B3129" s="7"/>
      <c r="C3129" s="8">
        <v>13647</v>
      </c>
      <c r="D3129" s="9" t="s">
        <v>637</v>
      </c>
      <c r="E3129" s="10" t="str">
        <f t="shared" ref="E3129:E3148" si="167">IF(D3129=0,"",VLOOKUP(D3129,BASE,2,FALSE))</f>
        <v>Rancho Recoveco No. 193</v>
      </c>
      <c r="F3129" s="10" t="str">
        <f t="shared" ref="F3129:F3148" si="168">IF(D3129=0,"",VLOOKUP(D3129,BASE,3,FALSE))</f>
        <v>Salazar Pérez</v>
      </c>
      <c r="G3129" s="8">
        <v>1</v>
      </c>
      <c r="H3129" s="11">
        <v>400</v>
      </c>
      <c r="I3129" s="12">
        <v>42757</v>
      </c>
      <c r="J3129" s="35">
        <f t="shared" ref="J3129:J3148" si="169">IF(G3129=1,SUM(W3129,AJ3129,-H3129),0)</f>
        <v>0</v>
      </c>
      <c r="K3129" s="36"/>
      <c r="L3129" s="36"/>
      <c r="M3129" s="36"/>
      <c r="N3129" s="36"/>
      <c r="O3129" s="36"/>
      <c r="P3129" s="36"/>
      <c r="Q3129" s="36"/>
      <c r="R3129" s="36"/>
      <c r="S3129" s="36"/>
      <c r="T3129" s="36"/>
      <c r="U3129" s="36"/>
      <c r="V3129" s="36"/>
      <c r="W3129" s="15">
        <f t="shared" ref="W3129:W3148" si="170">SUM(K3129:V3129)</f>
        <v>0</v>
      </c>
      <c r="X3129" s="36">
        <v>400</v>
      </c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15">
        <f t="shared" ref="AJ3129:AJ3148" si="171">SUM(X3129:AI3129)</f>
        <v>400</v>
      </c>
      <c r="AK3129" s="14"/>
      <c r="AL3129" s="14"/>
      <c r="AM3129" s="14"/>
      <c r="AN3129" s="14"/>
      <c r="AO3129" s="14"/>
      <c r="AP3129" s="14"/>
      <c r="AQ3129" s="14"/>
      <c r="AR3129" s="14"/>
      <c r="AS3129" s="14"/>
      <c r="AT3129" s="14"/>
      <c r="AU3129" s="14"/>
      <c r="AV3129" s="14"/>
      <c r="AW3129" s="15"/>
      <c r="AX3129" s="16"/>
    </row>
    <row r="3130" spans="2:51" x14ac:dyDescent="0.2">
      <c r="B3130" s="7"/>
      <c r="C3130" s="8">
        <v>13648</v>
      </c>
      <c r="D3130" s="9" t="s">
        <v>586</v>
      </c>
      <c r="E3130" s="10" t="str">
        <f t="shared" si="167"/>
        <v>Rancho Estanzuela No. 161, 1</v>
      </c>
      <c r="F3130" s="10" t="str">
        <f t="shared" si="168"/>
        <v>Guevara</v>
      </c>
      <c r="G3130" s="8">
        <v>1</v>
      </c>
      <c r="H3130" s="11">
        <v>200</v>
      </c>
      <c r="I3130" s="12">
        <v>42757</v>
      </c>
      <c r="J3130" s="35">
        <f t="shared" si="169"/>
        <v>0</v>
      </c>
      <c r="K3130" s="36"/>
      <c r="L3130" s="36"/>
      <c r="M3130" s="36"/>
      <c r="N3130" s="36"/>
      <c r="O3130" s="36"/>
      <c r="P3130" s="36"/>
      <c r="Q3130" s="36"/>
      <c r="R3130" s="36"/>
      <c r="S3130" s="36"/>
      <c r="T3130" s="36"/>
      <c r="U3130" s="36"/>
      <c r="V3130" s="36"/>
      <c r="W3130" s="15">
        <f t="shared" si="170"/>
        <v>0</v>
      </c>
      <c r="X3130" s="36">
        <v>200</v>
      </c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15">
        <f t="shared" si="171"/>
        <v>200</v>
      </c>
      <c r="AK3130" s="14"/>
      <c r="AL3130" s="14"/>
      <c r="AM3130" s="14"/>
      <c r="AN3130" s="14"/>
      <c r="AO3130" s="14"/>
      <c r="AP3130" s="14"/>
      <c r="AQ3130" s="14"/>
      <c r="AR3130" s="14"/>
      <c r="AS3130" s="14"/>
      <c r="AT3130" s="14"/>
      <c r="AU3130" s="14"/>
      <c r="AV3130" s="14"/>
      <c r="AW3130" s="15"/>
      <c r="AX3130" s="16"/>
    </row>
    <row r="3131" spans="2:51" x14ac:dyDescent="0.2">
      <c r="B3131" s="7"/>
      <c r="C3131" s="8">
        <v>13649</v>
      </c>
      <c r="D3131" s="9" t="s">
        <v>837</v>
      </c>
      <c r="E3131" s="10" t="str">
        <f t="shared" si="167"/>
        <v>Rancho Estanzuela No. 67</v>
      </c>
      <c r="F3131" s="10" t="str">
        <f t="shared" si="168"/>
        <v>Carmona Galarza</v>
      </c>
      <c r="G3131" s="8">
        <v>1</v>
      </c>
      <c r="H3131" s="11">
        <v>1200</v>
      </c>
      <c r="I3131" s="12">
        <v>42757</v>
      </c>
      <c r="J3131" s="35">
        <f t="shared" si="169"/>
        <v>0</v>
      </c>
      <c r="K3131" s="36"/>
      <c r="L3131" s="36"/>
      <c r="M3131" s="36"/>
      <c r="N3131" s="36"/>
      <c r="O3131" s="36"/>
      <c r="P3131" s="36"/>
      <c r="Q3131" s="36"/>
      <c r="R3131" s="36"/>
      <c r="S3131" s="36"/>
      <c r="T3131" s="36"/>
      <c r="U3131" s="36"/>
      <c r="V3131" s="36"/>
      <c r="W3131" s="15">
        <f t="shared" si="170"/>
        <v>0</v>
      </c>
      <c r="X3131" s="36">
        <v>400</v>
      </c>
      <c r="Y3131" s="36">
        <v>400</v>
      </c>
      <c r="Z3131" s="36">
        <v>400</v>
      </c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15">
        <f t="shared" si="171"/>
        <v>1200</v>
      </c>
      <c r="AK3131" s="14"/>
      <c r="AL3131" s="14"/>
      <c r="AM3131" s="14"/>
      <c r="AN3131" s="14"/>
      <c r="AO3131" s="14"/>
      <c r="AP3131" s="14"/>
      <c r="AQ3131" s="14"/>
      <c r="AR3131" s="14"/>
      <c r="AS3131" s="14"/>
      <c r="AT3131" s="14"/>
      <c r="AU3131" s="14"/>
      <c r="AV3131" s="14"/>
      <c r="AW3131" s="15"/>
      <c r="AX3131" s="16"/>
    </row>
    <row r="3132" spans="2:51" x14ac:dyDescent="0.2">
      <c r="B3132" s="7"/>
      <c r="C3132" s="8">
        <v>13650</v>
      </c>
      <c r="D3132" s="9" t="s">
        <v>640</v>
      </c>
      <c r="E3132" s="10" t="str">
        <f t="shared" si="167"/>
        <v>Rancho Estopila No. 22, A</v>
      </c>
      <c r="F3132" s="10" t="str">
        <f t="shared" si="168"/>
        <v>Ayala Carranza</v>
      </c>
      <c r="G3132" s="8">
        <v>1</v>
      </c>
      <c r="H3132" s="11">
        <v>200</v>
      </c>
      <c r="I3132" s="12">
        <v>42757</v>
      </c>
      <c r="J3132" s="35">
        <f t="shared" si="169"/>
        <v>0</v>
      </c>
      <c r="K3132" s="36"/>
      <c r="L3132" s="36"/>
      <c r="M3132" s="36"/>
      <c r="N3132" s="36"/>
      <c r="O3132" s="36"/>
      <c r="P3132" s="36"/>
      <c r="Q3132" s="36"/>
      <c r="R3132" s="36"/>
      <c r="S3132" s="36"/>
      <c r="T3132" s="36"/>
      <c r="U3132" s="36"/>
      <c r="V3132" s="36"/>
      <c r="W3132" s="15">
        <f t="shared" si="170"/>
        <v>0</v>
      </c>
      <c r="X3132" s="36">
        <v>200</v>
      </c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15">
        <f t="shared" si="171"/>
        <v>200</v>
      </c>
      <c r="AK3132" s="14"/>
      <c r="AL3132" s="14"/>
      <c r="AM3132" s="14"/>
      <c r="AN3132" s="14"/>
      <c r="AO3132" s="14"/>
      <c r="AP3132" s="14"/>
      <c r="AQ3132" s="14"/>
      <c r="AR3132" s="14"/>
      <c r="AS3132" s="14"/>
      <c r="AT3132" s="14"/>
      <c r="AU3132" s="14"/>
      <c r="AV3132" s="14"/>
      <c r="AW3132" s="15"/>
      <c r="AX3132" s="16"/>
    </row>
    <row r="3133" spans="2:51" x14ac:dyDescent="0.2">
      <c r="B3133" s="7"/>
      <c r="C3133" s="8">
        <v>13651</v>
      </c>
      <c r="D3133" s="9" t="s">
        <v>497</v>
      </c>
      <c r="E3133" s="10" t="str">
        <f t="shared" si="167"/>
        <v>Rancho La Cuchilla No. 94</v>
      </c>
      <c r="F3133" s="10" t="str">
        <f t="shared" si="168"/>
        <v>Sánchez Márquez</v>
      </c>
      <c r="G3133" s="8">
        <v>1</v>
      </c>
      <c r="H3133" s="11">
        <v>800</v>
      </c>
      <c r="I3133" s="12">
        <v>42757</v>
      </c>
      <c r="J3133" s="35">
        <f t="shared" si="169"/>
        <v>0</v>
      </c>
      <c r="K3133" s="36"/>
      <c r="L3133" s="36"/>
      <c r="M3133" s="36"/>
      <c r="N3133" s="36"/>
      <c r="O3133" s="36"/>
      <c r="P3133" s="36"/>
      <c r="Q3133" s="36"/>
      <c r="R3133" s="36"/>
      <c r="S3133" s="36"/>
      <c r="T3133" s="36"/>
      <c r="U3133" s="36"/>
      <c r="V3133" s="36"/>
      <c r="W3133" s="15">
        <f t="shared" si="170"/>
        <v>0</v>
      </c>
      <c r="X3133" s="36">
        <v>400</v>
      </c>
      <c r="Y3133" s="36">
        <v>400</v>
      </c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15">
        <f t="shared" si="171"/>
        <v>800</v>
      </c>
      <c r="AK3133" s="14"/>
      <c r="AL3133" s="14"/>
      <c r="AM3133" s="14"/>
      <c r="AN3133" s="14"/>
      <c r="AO3133" s="14"/>
      <c r="AP3133" s="14"/>
      <c r="AQ3133" s="14"/>
      <c r="AR3133" s="14"/>
      <c r="AS3133" s="14"/>
      <c r="AT3133" s="14"/>
      <c r="AU3133" s="14"/>
      <c r="AV3133" s="14"/>
      <c r="AW3133" s="15"/>
      <c r="AX3133" s="16"/>
    </row>
    <row r="3134" spans="2:51" x14ac:dyDescent="0.2">
      <c r="B3134" s="7"/>
      <c r="C3134" s="8">
        <v>13652</v>
      </c>
      <c r="D3134" s="9" t="s">
        <v>1441</v>
      </c>
      <c r="E3134" s="10" t="str">
        <f t="shared" si="167"/>
        <v>Rancho Upácuaro No. 92</v>
      </c>
      <c r="F3134" s="10" t="str">
        <f t="shared" si="168"/>
        <v>Rosetti</v>
      </c>
      <c r="G3134" s="8">
        <v>1</v>
      </c>
      <c r="H3134" s="11">
        <v>3300</v>
      </c>
      <c r="I3134" s="12">
        <v>42757</v>
      </c>
      <c r="J3134" s="35">
        <f t="shared" si="169"/>
        <v>0</v>
      </c>
      <c r="K3134" s="36"/>
      <c r="L3134" s="36"/>
      <c r="M3134" s="36"/>
      <c r="N3134" s="36"/>
      <c r="O3134" s="36"/>
      <c r="P3134" s="36"/>
      <c r="Q3134" s="36"/>
      <c r="R3134" s="36"/>
      <c r="S3134" s="36"/>
      <c r="T3134" s="36"/>
      <c r="U3134" s="36"/>
      <c r="V3134" s="36"/>
      <c r="W3134" s="15">
        <f t="shared" si="170"/>
        <v>0</v>
      </c>
      <c r="X3134" s="36">
        <v>300</v>
      </c>
      <c r="Y3134" s="36">
        <v>300</v>
      </c>
      <c r="Z3134" s="36">
        <v>300</v>
      </c>
      <c r="AA3134" s="36">
        <v>300</v>
      </c>
      <c r="AB3134" s="36">
        <v>300</v>
      </c>
      <c r="AC3134" s="36">
        <v>300</v>
      </c>
      <c r="AD3134" s="36">
        <v>300</v>
      </c>
      <c r="AE3134" s="36">
        <v>300</v>
      </c>
      <c r="AF3134" s="36">
        <v>300</v>
      </c>
      <c r="AG3134" s="36">
        <v>300</v>
      </c>
      <c r="AH3134" s="36">
        <v>300</v>
      </c>
      <c r="AI3134" s="36"/>
      <c r="AJ3134" s="15">
        <f t="shared" si="171"/>
        <v>3300</v>
      </c>
      <c r="AK3134" s="14"/>
      <c r="AL3134" s="14"/>
      <c r="AM3134" s="14"/>
      <c r="AN3134" s="14"/>
      <c r="AO3134" s="14"/>
      <c r="AP3134" s="14"/>
      <c r="AQ3134" s="14"/>
      <c r="AR3134" s="14"/>
      <c r="AS3134" s="14"/>
      <c r="AT3134" s="14"/>
      <c r="AU3134" s="14"/>
      <c r="AV3134" s="14"/>
      <c r="AW3134" s="15"/>
      <c r="AX3134" s="16" t="s">
        <v>3363</v>
      </c>
    </row>
    <row r="3135" spans="2:51" x14ac:dyDescent="0.2">
      <c r="B3135" s="7"/>
      <c r="C3135" s="8">
        <v>13653</v>
      </c>
      <c r="D3135" s="9" t="s">
        <v>788</v>
      </c>
      <c r="E3135" s="10" t="str">
        <f t="shared" si="167"/>
        <v>Rancho Recoveco No. 175, A</v>
      </c>
      <c r="F3135" s="10" t="str">
        <f t="shared" si="168"/>
        <v>Pérez</v>
      </c>
      <c r="G3135" s="8">
        <v>1</v>
      </c>
      <c r="H3135" s="11">
        <v>4800</v>
      </c>
      <c r="I3135" s="12">
        <v>42757</v>
      </c>
      <c r="J3135" s="35">
        <f t="shared" si="169"/>
        <v>0</v>
      </c>
      <c r="K3135" s="36"/>
      <c r="L3135" s="36"/>
      <c r="M3135" s="36"/>
      <c r="N3135" s="36"/>
      <c r="O3135" s="36"/>
      <c r="P3135" s="36"/>
      <c r="Q3135" s="36"/>
      <c r="R3135" s="36"/>
      <c r="S3135" s="36"/>
      <c r="T3135" s="36"/>
      <c r="U3135" s="36"/>
      <c r="V3135" s="36">
        <v>400</v>
      </c>
      <c r="W3135" s="15">
        <f t="shared" si="170"/>
        <v>400</v>
      </c>
      <c r="X3135" s="36">
        <v>400</v>
      </c>
      <c r="Y3135" s="36">
        <v>400</v>
      </c>
      <c r="Z3135" s="36">
        <v>400</v>
      </c>
      <c r="AA3135" s="36">
        <v>400</v>
      </c>
      <c r="AB3135" s="36">
        <v>400</v>
      </c>
      <c r="AC3135" s="36">
        <v>400</v>
      </c>
      <c r="AD3135" s="36">
        <v>400</v>
      </c>
      <c r="AE3135" s="36">
        <v>400</v>
      </c>
      <c r="AF3135" s="36">
        <v>400</v>
      </c>
      <c r="AG3135" s="36">
        <v>400</v>
      </c>
      <c r="AH3135" s="36">
        <v>400</v>
      </c>
      <c r="AI3135" s="36"/>
      <c r="AJ3135" s="15">
        <f t="shared" si="171"/>
        <v>4400</v>
      </c>
      <c r="AK3135" s="14"/>
      <c r="AL3135" s="14"/>
      <c r="AM3135" s="14"/>
      <c r="AN3135" s="14"/>
      <c r="AO3135" s="14"/>
      <c r="AP3135" s="14"/>
      <c r="AQ3135" s="14"/>
      <c r="AR3135" s="14"/>
      <c r="AS3135" s="14"/>
      <c r="AT3135" s="14"/>
      <c r="AU3135" s="14"/>
      <c r="AV3135" s="14"/>
      <c r="AW3135" s="15"/>
      <c r="AX3135" s="16" t="s">
        <v>3363</v>
      </c>
    </row>
    <row r="3136" spans="2:51" x14ac:dyDescent="0.2">
      <c r="B3136" s="7"/>
      <c r="C3136" s="8">
        <v>13654</v>
      </c>
      <c r="D3136" s="9" t="s">
        <v>922</v>
      </c>
      <c r="E3136" s="10" t="str">
        <f t="shared" si="167"/>
        <v>Rancho Estanzuela No. 75</v>
      </c>
      <c r="F3136" s="10" t="str">
        <f t="shared" si="168"/>
        <v>Candela Pons</v>
      </c>
      <c r="G3136" s="8">
        <v>1</v>
      </c>
      <c r="H3136" s="11">
        <v>1750</v>
      </c>
      <c r="I3136" s="12">
        <v>42757</v>
      </c>
      <c r="J3136" s="35">
        <f t="shared" si="169"/>
        <v>0</v>
      </c>
      <c r="K3136" s="36"/>
      <c r="L3136" s="36"/>
      <c r="M3136" s="36"/>
      <c r="N3136" s="36"/>
      <c r="O3136" s="36"/>
      <c r="P3136" s="36"/>
      <c r="Q3136" s="36">
        <v>250</v>
      </c>
      <c r="R3136" s="36">
        <v>250</v>
      </c>
      <c r="S3136" s="36">
        <v>250</v>
      </c>
      <c r="T3136" s="36">
        <v>250</v>
      </c>
      <c r="U3136" s="36">
        <v>250</v>
      </c>
      <c r="V3136" s="36">
        <v>250</v>
      </c>
      <c r="W3136" s="15">
        <f t="shared" si="170"/>
        <v>1500</v>
      </c>
      <c r="X3136" s="36">
        <v>250</v>
      </c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15">
        <f t="shared" si="171"/>
        <v>250</v>
      </c>
      <c r="AK3136" s="14"/>
      <c r="AL3136" s="14"/>
      <c r="AM3136" s="14"/>
      <c r="AN3136" s="14"/>
      <c r="AO3136" s="14"/>
      <c r="AP3136" s="14"/>
      <c r="AQ3136" s="14"/>
      <c r="AR3136" s="14"/>
      <c r="AS3136" s="14"/>
      <c r="AT3136" s="14"/>
      <c r="AU3136" s="14"/>
      <c r="AV3136" s="14"/>
      <c r="AW3136" s="15"/>
      <c r="AX3136" s="16"/>
    </row>
    <row r="3137" spans="2:50" x14ac:dyDescent="0.2">
      <c r="B3137" s="7"/>
      <c r="C3137" s="8">
        <v>13655</v>
      </c>
      <c r="D3137" s="9" t="s">
        <v>241</v>
      </c>
      <c r="E3137" s="10" t="str">
        <f t="shared" si="167"/>
        <v>Rancho La Cuchilla No. 81, A</v>
      </c>
      <c r="F3137" s="10" t="str">
        <f t="shared" si="168"/>
        <v>Barrientos López</v>
      </c>
      <c r="G3137" s="8">
        <v>1</v>
      </c>
      <c r="H3137" s="11">
        <v>400</v>
      </c>
      <c r="I3137" s="12">
        <v>42757</v>
      </c>
      <c r="J3137" s="35">
        <f t="shared" si="169"/>
        <v>0</v>
      </c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  <c r="U3137" s="36"/>
      <c r="V3137" s="36"/>
      <c r="W3137" s="15">
        <f t="shared" si="170"/>
        <v>0</v>
      </c>
      <c r="X3137" s="36">
        <v>400</v>
      </c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15">
        <f t="shared" si="171"/>
        <v>400</v>
      </c>
      <c r="AK3137" s="14"/>
      <c r="AL3137" s="14"/>
      <c r="AM3137" s="14"/>
      <c r="AN3137" s="14"/>
      <c r="AO3137" s="14"/>
      <c r="AP3137" s="14"/>
      <c r="AQ3137" s="14"/>
      <c r="AR3137" s="14"/>
      <c r="AS3137" s="14"/>
      <c r="AT3137" s="14"/>
      <c r="AU3137" s="14"/>
      <c r="AV3137" s="14"/>
      <c r="AW3137" s="15"/>
      <c r="AX3137" s="16"/>
    </row>
    <row r="3138" spans="2:50" x14ac:dyDescent="0.2">
      <c r="B3138" s="7"/>
      <c r="C3138" s="8">
        <v>13656</v>
      </c>
      <c r="D3138" s="9" t="s">
        <v>437</v>
      </c>
      <c r="E3138" s="10" t="str">
        <f t="shared" si="167"/>
        <v>Rancho Upácuaro No. 47</v>
      </c>
      <c r="F3138" s="10" t="str">
        <f t="shared" si="168"/>
        <v>Flores Muñoz</v>
      </c>
      <c r="G3138" s="8">
        <v>1</v>
      </c>
      <c r="H3138" s="11">
        <v>400</v>
      </c>
      <c r="I3138" s="12">
        <v>42757</v>
      </c>
      <c r="J3138" s="35">
        <f t="shared" si="169"/>
        <v>0</v>
      </c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  <c r="U3138" s="36"/>
      <c r="V3138" s="36"/>
      <c r="W3138" s="15">
        <f t="shared" si="170"/>
        <v>0</v>
      </c>
      <c r="X3138" s="36">
        <v>400</v>
      </c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15">
        <f t="shared" si="171"/>
        <v>400</v>
      </c>
      <c r="AK3138" s="14"/>
      <c r="AL3138" s="14"/>
      <c r="AM3138" s="14"/>
      <c r="AN3138" s="14"/>
      <c r="AO3138" s="14"/>
      <c r="AP3138" s="14"/>
      <c r="AQ3138" s="14"/>
      <c r="AR3138" s="14"/>
      <c r="AS3138" s="14"/>
      <c r="AT3138" s="14"/>
      <c r="AU3138" s="14"/>
      <c r="AV3138" s="14"/>
      <c r="AW3138" s="15"/>
      <c r="AX3138" s="16"/>
    </row>
    <row r="3139" spans="2:50" x14ac:dyDescent="0.2">
      <c r="B3139" s="7"/>
      <c r="C3139" s="8">
        <v>13657</v>
      </c>
      <c r="D3139" s="9" t="s">
        <v>132</v>
      </c>
      <c r="E3139" s="10" t="str">
        <f t="shared" si="167"/>
        <v>Rancho La Cuchilla No. 129</v>
      </c>
      <c r="F3139" s="10" t="str">
        <f t="shared" si="168"/>
        <v>Gamboa Rueda</v>
      </c>
      <c r="G3139" s="8">
        <v>1</v>
      </c>
      <c r="H3139" s="11">
        <v>600</v>
      </c>
      <c r="I3139" s="12">
        <v>42757</v>
      </c>
      <c r="J3139" s="35">
        <f t="shared" si="169"/>
        <v>0</v>
      </c>
      <c r="K3139" s="36"/>
      <c r="L3139" s="36"/>
      <c r="M3139" s="36"/>
      <c r="N3139" s="36"/>
      <c r="O3139" s="36"/>
      <c r="P3139" s="36"/>
      <c r="Q3139" s="36"/>
      <c r="R3139" s="36"/>
      <c r="S3139" s="36"/>
      <c r="T3139" s="36"/>
      <c r="U3139" s="36"/>
      <c r="V3139" s="36">
        <v>300</v>
      </c>
      <c r="W3139" s="15">
        <f t="shared" si="170"/>
        <v>300</v>
      </c>
      <c r="X3139" s="36">
        <v>300</v>
      </c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15">
        <f t="shared" si="171"/>
        <v>300</v>
      </c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14"/>
      <c r="AV3139" s="14"/>
      <c r="AW3139" s="15"/>
      <c r="AX3139" s="16"/>
    </row>
    <row r="3140" spans="2:50" x14ac:dyDescent="0.2">
      <c r="B3140" s="7"/>
      <c r="C3140" s="8">
        <v>13658</v>
      </c>
      <c r="D3140" s="9" t="s">
        <v>1148</v>
      </c>
      <c r="E3140" s="10" t="str">
        <f t="shared" si="167"/>
        <v>Rancho La Cuchilla No. 118</v>
      </c>
      <c r="F3140" s="10" t="str">
        <f t="shared" si="168"/>
        <v>Astorga Ruiz</v>
      </c>
      <c r="G3140" s="8">
        <v>1</v>
      </c>
      <c r="H3140" s="11">
        <v>400</v>
      </c>
      <c r="I3140" s="12">
        <v>42757</v>
      </c>
      <c r="J3140" s="35">
        <f t="shared" si="169"/>
        <v>0</v>
      </c>
      <c r="K3140" s="36"/>
      <c r="L3140" s="36"/>
      <c r="M3140" s="36"/>
      <c r="N3140" s="36"/>
      <c r="O3140" s="36"/>
      <c r="P3140" s="36"/>
      <c r="Q3140" s="36"/>
      <c r="R3140" s="36"/>
      <c r="S3140" s="36"/>
      <c r="T3140" s="36"/>
      <c r="U3140" s="36"/>
      <c r="V3140" s="36"/>
      <c r="W3140" s="15">
        <f t="shared" si="170"/>
        <v>0</v>
      </c>
      <c r="X3140" s="36">
        <v>400</v>
      </c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15">
        <f t="shared" si="171"/>
        <v>400</v>
      </c>
      <c r="AK3140" s="14"/>
      <c r="AL3140" s="14"/>
      <c r="AM3140" s="14"/>
      <c r="AN3140" s="14"/>
      <c r="AO3140" s="14"/>
      <c r="AP3140" s="14"/>
      <c r="AQ3140" s="14"/>
      <c r="AR3140" s="14"/>
      <c r="AS3140" s="14"/>
      <c r="AT3140" s="14"/>
      <c r="AU3140" s="14"/>
      <c r="AV3140" s="14"/>
      <c r="AW3140" s="15"/>
      <c r="AX3140" s="16"/>
    </row>
    <row r="3141" spans="2:50" x14ac:dyDescent="0.2">
      <c r="B3141" s="7"/>
      <c r="C3141" s="8">
        <v>13658</v>
      </c>
      <c r="D3141" s="9" t="s">
        <v>1148</v>
      </c>
      <c r="E3141" s="10" t="str">
        <f t="shared" si="167"/>
        <v>Rancho La Cuchilla No. 118</v>
      </c>
      <c r="F3141" s="10" t="str">
        <f t="shared" si="168"/>
        <v>Astorga Ruiz</v>
      </c>
      <c r="G3141" s="8">
        <v>4</v>
      </c>
      <c r="H3141" s="11">
        <v>200</v>
      </c>
      <c r="I3141" s="12">
        <v>42757</v>
      </c>
      <c r="J3141" s="35">
        <f t="shared" si="169"/>
        <v>0</v>
      </c>
      <c r="K3141" s="36"/>
      <c r="L3141" s="36"/>
      <c r="M3141" s="36"/>
      <c r="N3141" s="36"/>
      <c r="O3141" s="36"/>
      <c r="P3141" s="36"/>
      <c r="Q3141" s="36"/>
      <c r="R3141" s="36"/>
      <c r="S3141" s="36"/>
      <c r="T3141" s="36"/>
      <c r="U3141" s="36"/>
      <c r="V3141" s="36"/>
      <c r="W3141" s="15">
        <f t="shared" si="170"/>
        <v>0</v>
      </c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15">
        <f t="shared" si="171"/>
        <v>0</v>
      </c>
      <c r="AK3141" s="14"/>
      <c r="AL3141" s="14"/>
      <c r="AM3141" s="14"/>
      <c r="AN3141" s="14"/>
      <c r="AO3141" s="14"/>
      <c r="AP3141" s="14"/>
      <c r="AQ3141" s="14"/>
      <c r="AR3141" s="14"/>
      <c r="AS3141" s="14"/>
      <c r="AT3141" s="14"/>
      <c r="AU3141" s="14"/>
      <c r="AV3141" s="14"/>
      <c r="AW3141" s="15"/>
      <c r="AX3141" s="16" t="s">
        <v>3441</v>
      </c>
    </row>
    <row r="3142" spans="2:50" x14ac:dyDescent="0.2">
      <c r="B3142" s="7"/>
      <c r="C3142" s="8">
        <v>13658</v>
      </c>
      <c r="D3142" s="9" t="s">
        <v>1148</v>
      </c>
      <c r="E3142" s="10" t="str">
        <f t="shared" si="167"/>
        <v>Rancho La Cuchilla No. 118</v>
      </c>
      <c r="F3142" s="10" t="str">
        <f t="shared" si="168"/>
        <v>Astorga Ruiz</v>
      </c>
      <c r="G3142" s="8">
        <v>5</v>
      </c>
      <c r="H3142" s="11">
        <v>50</v>
      </c>
      <c r="I3142" s="12">
        <v>42757</v>
      </c>
      <c r="J3142" s="35">
        <f t="shared" si="169"/>
        <v>0</v>
      </c>
      <c r="K3142" s="36"/>
      <c r="L3142" s="36"/>
      <c r="M3142" s="36"/>
      <c r="N3142" s="36"/>
      <c r="O3142" s="36"/>
      <c r="P3142" s="36"/>
      <c r="Q3142" s="36"/>
      <c r="R3142" s="36"/>
      <c r="S3142" s="36"/>
      <c r="T3142" s="36"/>
      <c r="U3142" s="36"/>
      <c r="V3142" s="36"/>
      <c r="W3142" s="15">
        <f t="shared" si="170"/>
        <v>0</v>
      </c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15">
        <f t="shared" si="171"/>
        <v>0</v>
      </c>
      <c r="AK3142" s="14"/>
      <c r="AL3142" s="14"/>
      <c r="AM3142" s="14"/>
      <c r="AN3142" s="14"/>
      <c r="AO3142" s="14"/>
      <c r="AP3142" s="14"/>
      <c r="AQ3142" s="14"/>
      <c r="AR3142" s="14"/>
      <c r="AS3142" s="14"/>
      <c r="AT3142" s="14"/>
      <c r="AU3142" s="14"/>
      <c r="AV3142" s="14"/>
      <c r="AW3142" s="15"/>
      <c r="AX3142" s="16"/>
    </row>
    <row r="3143" spans="2:50" x14ac:dyDescent="0.2">
      <c r="B3143" s="7"/>
      <c r="C3143" s="8">
        <v>13659</v>
      </c>
      <c r="D3143" s="9" t="s">
        <v>138</v>
      </c>
      <c r="E3143" s="10" t="str">
        <f t="shared" si="167"/>
        <v>Rancho La Cuchilla No. 135</v>
      </c>
      <c r="F3143" s="10" t="str">
        <f t="shared" si="168"/>
        <v>Perea</v>
      </c>
      <c r="G3143" s="8">
        <v>1</v>
      </c>
      <c r="H3143" s="11">
        <v>400</v>
      </c>
      <c r="I3143" s="12">
        <v>42757</v>
      </c>
      <c r="J3143" s="35">
        <f t="shared" si="169"/>
        <v>0</v>
      </c>
      <c r="K3143" s="36"/>
      <c r="L3143" s="36"/>
      <c r="M3143" s="36"/>
      <c r="N3143" s="36"/>
      <c r="O3143" s="36"/>
      <c r="P3143" s="36"/>
      <c r="Q3143" s="36"/>
      <c r="R3143" s="36"/>
      <c r="S3143" s="36"/>
      <c r="T3143" s="36"/>
      <c r="U3143" s="36"/>
      <c r="V3143" s="36"/>
      <c r="W3143" s="15">
        <f t="shared" si="170"/>
        <v>0</v>
      </c>
      <c r="X3143" s="36">
        <v>400</v>
      </c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15">
        <f t="shared" si="171"/>
        <v>400</v>
      </c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14"/>
      <c r="AV3143" s="14"/>
      <c r="AW3143" s="15"/>
      <c r="AX3143" s="16"/>
    </row>
    <row r="3144" spans="2:50" x14ac:dyDescent="0.2">
      <c r="B3144" s="7"/>
      <c r="C3144" s="8">
        <v>13660</v>
      </c>
      <c r="D3144" s="9" t="s">
        <v>628</v>
      </c>
      <c r="E3144" s="10" t="str">
        <f t="shared" si="167"/>
        <v>Rancho Landero No. 51</v>
      </c>
      <c r="F3144" s="10" t="str">
        <f t="shared" si="168"/>
        <v>H. Robles Tamayo</v>
      </c>
      <c r="G3144" s="8">
        <v>1</v>
      </c>
      <c r="H3144" s="11">
        <v>400</v>
      </c>
      <c r="I3144" s="12">
        <v>42757</v>
      </c>
      <c r="J3144" s="35">
        <f t="shared" si="169"/>
        <v>0</v>
      </c>
      <c r="K3144" s="36"/>
      <c r="L3144" s="36"/>
      <c r="M3144" s="36"/>
      <c r="N3144" s="36"/>
      <c r="O3144" s="36"/>
      <c r="P3144" s="36"/>
      <c r="Q3144" s="36"/>
      <c r="R3144" s="36"/>
      <c r="S3144" s="36"/>
      <c r="T3144" s="36"/>
      <c r="U3144" s="36"/>
      <c r="V3144" s="36"/>
      <c r="W3144" s="15">
        <f t="shared" si="170"/>
        <v>0</v>
      </c>
      <c r="X3144" s="36">
        <v>400</v>
      </c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15">
        <f t="shared" si="171"/>
        <v>400</v>
      </c>
      <c r="AK3144" s="14"/>
      <c r="AL3144" s="14"/>
      <c r="AM3144" s="14"/>
      <c r="AN3144" s="14"/>
      <c r="AO3144" s="14"/>
      <c r="AP3144" s="14"/>
      <c r="AQ3144" s="14"/>
      <c r="AR3144" s="14"/>
      <c r="AS3144" s="14"/>
      <c r="AT3144" s="14"/>
      <c r="AU3144" s="14"/>
      <c r="AV3144" s="14"/>
      <c r="AW3144" s="15"/>
      <c r="AX3144" s="16"/>
    </row>
    <row r="3145" spans="2:50" x14ac:dyDescent="0.2">
      <c r="B3145" s="7"/>
      <c r="C3145" s="8">
        <v>13661</v>
      </c>
      <c r="D3145" s="9" t="s">
        <v>678</v>
      </c>
      <c r="E3145" s="10" t="str">
        <f t="shared" si="167"/>
        <v>Rancho Upácuaro No. 76</v>
      </c>
      <c r="F3145" s="10" t="str">
        <f t="shared" si="168"/>
        <v>Ruiz de San Pedro</v>
      </c>
      <c r="G3145" s="8">
        <v>4</v>
      </c>
      <c r="H3145" s="11">
        <v>200</v>
      </c>
      <c r="I3145" s="12">
        <v>42757</v>
      </c>
      <c r="J3145" s="35">
        <f t="shared" si="169"/>
        <v>0</v>
      </c>
      <c r="K3145" s="36"/>
      <c r="L3145" s="36"/>
      <c r="M3145" s="36"/>
      <c r="N3145" s="36"/>
      <c r="O3145" s="36"/>
      <c r="P3145" s="36"/>
      <c r="Q3145" s="36"/>
      <c r="R3145" s="36"/>
      <c r="S3145" s="36"/>
      <c r="T3145" s="36"/>
      <c r="U3145" s="36"/>
      <c r="V3145" s="36"/>
      <c r="W3145" s="15">
        <f t="shared" si="170"/>
        <v>0</v>
      </c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15">
        <f t="shared" si="171"/>
        <v>0</v>
      </c>
      <c r="AK3145" s="14"/>
      <c r="AL3145" s="14"/>
      <c r="AM3145" s="14"/>
      <c r="AN3145" s="14"/>
      <c r="AO3145" s="14"/>
      <c r="AP3145" s="14"/>
      <c r="AQ3145" s="14"/>
      <c r="AR3145" s="14"/>
      <c r="AS3145" s="14"/>
      <c r="AT3145" s="14"/>
      <c r="AU3145" s="14"/>
      <c r="AV3145" s="14"/>
      <c r="AW3145" s="15"/>
      <c r="AX3145" s="16"/>
    </row>
    <row r="3146" spans="2:50" x14ac:dyDescent="0.2">
      <c r="B3146" s="7"/>
      <c r="C3146" s="8">
        <v>13661</v>
      </c>
      <c r="D3146" s="9" t="s">
        <v>678</v>
      </c>
      <c r="E3146" s="10" t="str">
        <f t="shared" si="167"/>
        <v>Rancho Upácuaro No. 76</v>
      </c>
      <c r="F3146" s="10" t="str">
        <f t="shared" si="168"/>
        <v>Ruiz de San Pedro</v>
      </c>
      <c r="G3146" s="8">
        <v>5</v>
      </c>
      <c r="H3146" s="11">
        <v>50</v>
      </c>
      <c r="I3146" s="12">
        <v>42757</v>
      </c>
      <c r="J3146" s="35">
        <f t="shared" si="169"/>
        <v>0</v>
      </c>
      <c r="K3146" s="36"/>
      <c r="L3146" s="36"/>
      <c r="M3146" s="36"/>
      <c r="N3146" s="36"/>
      <c r="O3146" s="36"/>
      <c r="P3146" s="36"/>
      <c r="Q3146" s="36"/>
      <c r="R3146" s="36"/>
      <c r="S3146" s="36"/>
      <c r="T3146" s="36"/>
      <c r="U3146" s="36"/>
      <c r="V3146" s="36"/>
      <c r="W3146" s="15">
        <f t="shared" si="170"/>
        <v>0</v>
      </c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15">
        <f t="shared" si="171"/>
        <v>0</v>
      </c>
      <c r="AK3146" s="14"/>
      <c r="AL3146" s="14"/>
      <c r="AM3146" s="14"/>
      <c r="AN3146" s="14"/>
      <c r="AO3146" s="14"/>
      <c r="AP3146" s="14"/>
      <c r="AQ3146" s="14"/>
      <c r="AR3146" s="14"/>
      <c r="AS3146" s="14"/>
      <c r="AT3146" s="14"/>
      <c r="AU3146" s="14"/>
      <c r="AV3146" s="14"/>
      <c r="AW3146" s="15"/>
      <c r="AX3146" s="16"/>
    </row>
    <row r="3147" spans="2:50" x14ac:dyDescent="0.2">
      <c r="B3147" s="7"/>
      <c r="C3147" s="8">
        <v>13662</v>
      </c>
      <c r="D3147" s="9" t="s">
        <v>568</v>
      </c>
      <c r="E3147" s="10" t="str">
        <f t="shared" si="167"/>
        <v>Rancho Landero No. 95</v>
      </c>
      <c r="F3147" s="10" t="str">
        <f t="shared" si="168"/>
        <v>Rivas Rangel</v>
      </c>
      <c r="G3147" s="8">
        <v>1</v>
      </c>
      <c r="H3147" s="11">
        <v>400</v>
      </c>
      <c r="I3147" s="12">
        <v>42757</v>
      </c>
      <c r="J3147" s="35">
        <f t="shared" si="169"/>
        <v>0</v>
      </c>
      <c r="K3147" s="36"/>
      <c r="L3147" s="36"/>
      <c r="M3147" s="36"/>
      <c r="N3147" s="36"/>
      <c r="O3147" s="36"/>
      <c r="P3147" s="36"/>
      <c r="Q3147" s="36"/>
      <c r="R3147" s="36"/>
      <c r="S3147" s="36"/>
      <c r="T3147" s="36"/>
      <c r="U3147" s="36"/>
      <c r="V3147" s="36"/>
      <c r="W3147" s="15">
        <f t="shared" si="170"/>
        <v>0</v>
      </c>
      <c r="X3147" s="36">
        <v>400</v>
      </c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15">
        <f t="shared" si="171"/>
        <v>400</v>
      </c>
      <c r="AK3147" s="14"/>
      <c r="AL3147" s="14"/>
      <c r="AM3147" s="14"/>
      <c r="AN3147" s="14"/>
      <c r="AO3147" s="14"/>
      <c r="AP3147" s="14"/>
      <c r="AQ3147" s="14"/>
      <c r="AR3147" s="14"/>
      <c r="AS3147" s="14"/>
      <c r="AT3147" s="14"/>
      <c r="AU3147" s="14"/>
      <c r="AV3147" s="14"/>
      <c r="AW3147" s="15"/>
      <c r="AX3147" s="16"/>
    </row>
    <row r="3148" spans="2:50" x14ac:dyDescent="0.2">
      <c r="B3148" s="7"/>
      <c r="C3148" s="8">
        <v>13663</v>
      </c>
      <c r="D3148" s="9" t="s">
        <v>580</v>
      </c>
      <c r="E3148" s="10" t="str">
        <f t="shared" si="167"/>
        <v>Rancho La Cuchilla No. 59</v>
      </c>
      <c r="F3148" s="10" t="str">
        <f t="shared" si="168"/>
        <v>Ortega Vega</v>
      </c>
      <c r="G3148" s="8">
        <v>1</v>
      </c>
      <c r="H3148" s="11">
        <v>450</v>
      </c>
      <c r="I3148" s="12">
        <v>42757</v>
      </c>
      <c r="J3148" s="35">
        <f t="shared" si="169"/>
        <v>0</v>
      </c>
      <c r="K3148" s="36"/>
      <c r="L3148" s="36"/>
      <c r="M3148" s="36"/>
      <c r="N3148" s="36"/>
      <c r="O3148" s="36"/>
      <c r="P3148" s="36"/>
      <c r="Q3148" s="36"/>
      <c r="R3148" s="36"/>
      <c r="S3148" s="36"/>
      <c r="T3148" s="36"/>
      <c r="U3148" s="36"/>
      <c r="V3148" s="36"/>
      <c r="W3148" s="15">
        <f t="shared" si="170"/>
        <v>0</v>
      </c>
      <c r="X3148" s="36">
        <v>150</v>
      </c>
      <c r="Y3148" s="36">
        <v>150</v>
      </c>
      <c r="Z3148" s="36">
        <v>150</v>
      </c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15">
        <f t="shared" si="171"/>
        <v>450</v>
      </c>
      <c r="AK3148" s="14"/>
      <c r="AL3148" s="14"/>
      <c r="AM3148" s="14"/>
      <c r="AN3148" s="14"/>
      <c r="AO3148" s="14"/>
      <c r="AP3148" s="14"/>
      <c r="AQ3148" s="14"/>
      <c r="AR3148" s="14"/>
      <c r="AS3148" s="14"/>
      <c r="AT3148" s="14"/>
      <c r="AU3148" s="14"/>
      <c r="AV3148" s="14"/>
      <c r="AW3148" s="15"/>
      <c r="AX3148" s="16"/>
    </row>
    <row r="3149" spans="2:50" x14ac:dyDescent="0.2">
      <c r="B3149" s="7"/>
      <c r="C3149" s="8">
        <v>13664</v>
      </c>
      <c r="D3149" s="9" t="s">
        <v>476</v>
      </c>
      <c r="E3149" s="10" t="str">
        <f t="shared" ref="E3149:E3158" si="172">IF(D3149=0,"",VLOOKUP(D3149,BASE,2,FALSE))</f>
        <v>Rancho Upácuaro No. 33</v>
      </c>
      <c r="F3149" s="10" t="str">
        <f t="shared" ref="F3149:F3158" si="173">IF(D3149=0,"",VLOOKUP(D3149,BASE,3,FALSE))</f>
        <v>Ulloa Miranda</v>
      </c>
      <c r="G3149" s="8">
        <v>1</v>
      </c>
      <c r="H3149" s="11">
        <v>400</v>
      </c>
      <c r="I3149" s="12">
        <v>42757</v>
      </c>
      <c r="J3149" s="35">
        <f t="shared" ref="J3149:J3158" si="174">IF(G3149=1,SUM(W3149,AJ3149,-H3149),0)</f>
        <v>0</v>
      </c>
      <c r="K3149" s="36"/>
      <c r="L3149" s="36"/>
      <c r="M3149" s="36"/>
      <c r="N3149" s="36"/>
      <c r="O3149" s="36"/>
      <c r="P3149" s="36"/>
      <c r="Q3149" s="36"/>
      <c r="R3149" s="36"/>
      <c r="S3149" s="36"/>
      <c r="T3149" s="36"/>
      <c r="U3149" s="36"/>
      <c r="V3149" s="36"/>
      <c r="W3149" s="15">
        <f t="shared" ref="W3149:W3158" si="175">SUM(K3149:V3149)</f>
        <v>0</v>
      </c>
      <c r="X3149" s="36">
        <v>400</v>
      </c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15">
        <f t="shared" ref="AJ3149:AJ3158" si="176">SUM(X3149:AI3149)</f>
        <v>400</v>
      </c>
      <c r="AK3149" s="14"/>
      <c r="AL3149" s="14"/>
      <c r="AM3149" s="14"/>
      <c r="AN3149" s="14"/>
      <c r="AO3149" s="14"/>
      <c r="AP3149" s="14"/>
      <c r="AQ3149" s="14"/>
      <c r="AR3149" s="14"/>
      <c r="AS3149" s="14"/>
      <c r="AT3149" s="14"/>
      <c r="AU3149" s="14"/>
      <c r="AV3149" s="14"/>
      <c r="AW3149" s="15"/>
      <c r="AX3149" s="16"/>
    </row>
    <row r="3150" spans="2:50" x14ac:dyDescent="0.2">
      <c r="B3150" s="7"/>
      <c r="C3150" s="8">
        <v>13665</v>
      </c>
      <c r="D3150" s="9" t="s">
        <v>725</v>
      </c>
      <c r="E3150" s="10" t="str">
        <f t="shared" si="172"/>
        <v>Rancho Zinamba No. 34</v>
      </c>
      <c r="F3150" s="10" t="str">
        <f t="shared" si="173"/>
        <v>Torres Zavala</v>
      </c>
      <c r="G3150" s="8">
        <v>1</v>
      </c>
      <c r="H3150" s="11">
        <v>400</v>
      </c>
      <c r="I3150" s="12">
        <v>42757</v>
      </c>
      <c r="J3150" s="35">
        <f t="shared" si="174"/>
        <v>0</v>
      </c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  <c r="U3150" s="36"/>
      <c r="V3150" s="36">
        <v>400</v>
      </c>
      <c r="W3150" s="15">
        <f t="shared" si="175"/>
        <v>400</v>
      </c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15">
        <f t="shared" si="176"/>
        <v>0</v>
      </c>
      <c r="AK3150" s="14"/>
      <c r="AL3150" s="14"/>
      <c r="AM3150" s="14"/>
      <c r="AN3150" s="14"/>
      <c r="AO3150" s="14"/>
      <c r="AP3150" s="14"/>
      <c r="AQ3150" s="14"/>
      <c r="AR3150" s="14"/>
      <c r="AS3150" s="14"/>
      <c r="AT3150" s="14"/>
      <c r="AU3150" s="14"/>
      <c r="AV3150" s="14"/>
      <c r="AW3150" s="15"/>
      <c r="AX3150" s="16"/>
    </row>
    <row r="3151" spans="2:50" x14ac:dyDescent="0.2">
      <c r="B3151" s="7"/>
      <c r="C3151" s="8">
        <v>13666</v>
      </c>
      <c r="D3151" s="9" t="s">
        <v>950</v>
      </c>
      <c r="E3151" s="10" t="str">
        <f t="shared" si="172"/>
        <v>Rancho La Cuchilla No. 93</v>
      </c>
      <c r="F3151" s="10" t="str">
        <f t="shared" si="173"/>
        <v>Alcántara Silva</v>
      </c>
      <c r="G3151" s="8">
        <v>1</v>
      </c>
      <c r="H3151" s="11">
        <v>800</v>
      </c>
      <c r="I3151" s="12">
        <v>42757</v>
      </c>
      <c r="J3151" s="35">
        <f t="shared" si="174"/>
        <v>0</v>
      </c>
      <c r="K3151" s="36"/>
      <c r="L3151" s="36"/>
      <c r="M3151" s="36"/>
      <c r="N3151" s="36"/>
      <c r="O3151" s="36"/>
      <c r="P3151" s="36"/>
      <c r="Q3151" s="36"/>
      <c r="R3151" s="36"/>
      <c r="S3151" s="36"/>
      <c r="T3151" s="36"/>
      <c r="U3151" s="36"/>
      <c r="V3151" s="36">
        <v>400</v>
      </c>
      <c r="W3151" s="15">
        <f t="shared" si="175"/>
        <v>400</v>
      </c>
      <c r="X3151" s="36">
        <v>400</v>
      </c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15">
        <f t="shared" si="176"/>
        <v>400</v>
      </c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14"/>
      <c r="AV3151" s="14"/>
      <c r="AW3151" s="15"/>
      <c r="AX3151" s="16"/>
    </row>
    <row r="3152" spans="2:50" x14ac:dyDescent="0.2">
      <c r="B3152" s="7"/>
      <c r="C3152" s="8">
        <v>13667</v>
      </c>
      <c r="D3152" s="9" t="s">
        <v>440</v>
      </c>
      <c r="E3152" s="10" t="str">
        <f t="shared" si="172"/>
        <v>Rancho Estanzuela No. 159</v>
      </c>
      <c r="F3152" s="10" t="str">
        <f t="shared" si="173"/>
        <v>Silva</v>
      </c>
      <c r="G3152" s="8">
        <v>1</v>
      </c>
      <c r="H3152" s="11">
        <v>1200</v>
      </c>
      <c r="I3152" s="12">
        <v>42757</v>
      </c>
      <c r="J3152" s="35">
        <f t="shared" si="174"/>
        <v>0</v>
      </c>
      <c r="K3152" s="36"/>
      <c r="L3152" s="36"/>
      <c r="M3152" s="36"/>
      <c r="N3152" s="36"/>
      <c r="O3152" s="36"/>
      <c r="P3152" s="36"/>
      <c r="Q3152" s="36"/>
      <c r="R3152" s="36"/>
      <c r="S3152" s="36"/>
      <c r="T3152" s="36">
        <v>300</v>
      </c>
      <c r="U3152" s="36">
        <v>300</v>
      </c>
      <c r="V3152" s="36">
        <v>300</v>
      </c>
      <c r="W3152" s="15">
        <f t="shared" si="175"/>
        <v>900</v>
      </c>
      <c r="X3152" s="36">
        <v>300</v>
      </c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15">
        <f t="shared" si="176"/>
        <v>300</v>
      </c>
      <c r="AK3152" s="14"/>
      <c r="AL3152" s="14"/>
      <c r="AM3152" s="14"/>
      <c r="AN3152" s="14"/>
      <c r="AO3152" s="14"/>
      <c r="AP3152" s="14"/>
      <c r="AQ3152" s="14"/>
      <c r="AR3152" s="14"/>
      <c r="AS3152" s="14"/>
      <c r="AT3152" s="14"/>
      <c r="AU3152" s="14"/>
      <c r="AV3152" s="14"/>
      <c r="AW3152" s="15"/>
      <c r="AX3152" s="16"/>
    </row>
    <row r="3153" spans="2:50" x14ac:dyDescent="0.2">
      <c r="B3153" s="7"/>
      <c r="C3153" s="8">
        <v>13668</v>
      </c>
      <c r="D3153" s="9" t="s">
        <v>458</v>
      </c>
      <c r="E3153" s="10" t="str">
        <f t="shared" si="172"/>
        <v>Rancho Estanzuela No. 143, B</v>
      </c>
      <c r="F3153" s="10" t="str">
        <f t="shared" si="173"/>
        <v>López</v>
      </c>
      <c r="G3153" s="8">
        <v>1</v>
      </c>
      <c r="H3153" s="11">
        <v>400</v>
      </c>
      <c r="I3153" s="12">
        <v>42757</v>
      </c>
      <c r="J3153" s="35">
        <f t="shared" si="174"/>
        <v>0</v>
      </c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  <c r="U3153" s="36"/>
      <c r="V3153" s="36"/>
      <c r="W3153" s="15">
        <f t="shared" si="175"/>
        <v>0</v>
      </c>
      <c r="X3153" s="36">
        <v>400</v>
      </c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15">
        <f t="shared" si="176"/>
        <v>400</v>
      </c>
      <c r="AK3153" s="14"/>
      <c r="AL3153" s="14"/>
      <c r="AM3153" s="14"/>
      <c r="AN3153" s="14"/>
      <c r="AO3153" s="14"/>
      <c r="AP3153" s="14"/>
      <c r="AQ3153" s="14"/>
      <c r="AR3153" s="14"/>
      <c r="AS3153" s="14"/>
      <c r="AT3153" s="14"/>
      <c r="AU3153" s="14"/>
      <c r="AV3153" s="14"/>
      <c r="AW3153" s="15"/>
      <c r="AX3153" s="16"/>
    </row>
    <row r="3154" spans="2:50" x14ac:dyDescent="0.2">
      <c r="B3154" s="7"/>
      <c r="C3154" s="8">
        <v>13669</v>
      </c>
      <c r="D3154" s="9" t="s">
        <v>1026</v>
      </c>
      <c r="E3154" s="10" t="str">
        <f t="shared" si="172"/>
        <v>Rancho Estanzuela No. 119, 2</v>
      </c>
      <c r="F3154" s="10" t="str">
        <f t="shared" si="173"/>
        <v>Lòpez Tovar</v>
      </c>
      <c r="G3154" s="8">
        <v>1</v>
      </c>
      <c r="H3154" s="11">
        <v>400</v>
      </c>
      <c r="I3154" s="12">
        <v>42757</v>
      </c>
      <c r="J3154" s="35">
        <f t="shared" si="174"/>
        <v>0</v>
      </c>
      <c r="K3154" s="36"/>
      <c r="L3154" s="36"/>
      <c r="M3154" s="36"/>
      <c r="N3154" s="36"/>
      <c r="O3154" s="36"/>
      <c r="P3154" s="36"/>
      <c r="Q3154" s="36"/>
      <c r="R3154" s="36"/>
      <c r="S3154" s="36"/>
      <c r="T3154" s="36"/>
      <c r="U3154" s="36"/>
      <c r="V3154" s="36">
        <v>200</v>
      </c>
      <c r="W3154" s="15">
        <f t="shared" si="175"/>
        <v>200</v>
      </c>
      <c r="X3154" s="36">
        <v>200</v>
      </c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15">
        <f t="shared" si="176"/>
        <v>200</v>
      </c>
      <c r="AK3154" s="14"/>
      <c r="AL3154" s="14"/>
      <c r="AM3154" s="14"/>
      <c r="AN3154" s="14"/>
      <c r="AO3154" s="14"/>
      <c r="AP3154" s="14"/>
      <c r="AQ3154" s="14"/>
      <c r="AR3154" s="14"/>
      <c r="AS3154" s="14"/>
      <c r="AT3154" s="14"/>
      <c r="AU3154" s="14"/>
      <c r="AV3154" s="14"/>
      <c r="AW3154" s="15"/>
      <c r="AX3154" s="16"/>
    </row>
    <row r="3155" spans="2:50" x14ac:dyDescent="0.2">
      <c r="B3155" s="7"/>
      <c r="C3155" s="8">
        <v>13670</v>
      </c>
      <c r="D3155" s="9" t="s">
        <v>470</v>
      </c>
      <c r="E3155" s="10" t="str">
        <f t="shared" si="172"/>
        <v>Rancho Zinamba No. 42</v>
      </c>
      <c r="F3155" s="10" t="str">
        <f t="shared" si="173"/>
        <v>López Aldave</v>
      </c>
      <c r="G3155" s="8">
        <v>1</v>
      </c>
      <c r="H3155" s="11">
        <v>300</v>
      </c>
      <c r="I3155" s="12">
        <v>42757</v>
      </c>
      <c r="J3155" s="35">
        <f t="shared" si="174"/>
        <v>0</v>
      </c>
      <c r="K3155" s="36"/>
      <c r="L3155" s="36"/>
      <c r="M3155" s="36"/>
      <c r="N3155" s="36"/>
      <c r="O3155" s="36"/>
      <c r="P3155" s="36"/>
      <c r="Q3155" s="36"/>
      <c r="R3155" s="36"/>
      <c r="S3155" s="36"/>
      <c r="T3155" s="36"/>
      <c r="U3155" s="36"/>
      <c r="V3155" s="36"/>
      <c r="W3155" s="15">
        <f t="shared" si="175"/>
        <v>0</v>
      </c>
      <c r="X3155" s="36">
        <v>300</v>
      </c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15">
        <f t="shared" si="176"/>
        <v>300</v>
      </c>
      <c r="AK3155" s="14"/>
      <c r="AL3155" s="14"/>
      <c r="AM3155" s="14"/>
      <c r="AN3155" s="14"/>
      <c r="AO3155" s="14"/>
      <c r="AP3155" s="14"/>
      <c r="AQ3155" s="14"/>
      <c r="AR3155" s="14"/>
      <c r="AS3155" s="14"/>
      <c r="AT3155" s="14"/>
      <c r="AU3155" s="14"/>
      <c r="AV3155" s="14"/>
      <c r="AW3155" s="15"/>
      <c r="AX3155" s="16"/>
    </row>
    <row r="3156" spans="2:50" x14ac:dyDescent="0.2">
      <c r="B3156" s="7"/>
      <c r="C3156" s="8">
        <v>13671</v>
      </c>
      <c r="D3156" s="9" t="s">
        <v>470</v>
      </c>
      <c r="E3156" s="10" t="str">
        <f t="shared" si="172"/>
        <v>Rancho Zinamba No. 42</v>
      </c>
      <c r="F3156" s="10" t="str">
        <f t="shared" si="173"/>
        <v>López Aldave</v>
      </c>
      <c r="G3156" s="8">
        <v>1</v>
      </c>
      <c r="H3156" s="11">
        <v>300</v>
      </c>
      <c r="I3156" s="12">
        <v>42757</v>
      </c>
      <c r="J3156" s="35">
        <f t="shared" si="174"/>
        <v>0</v>
      </c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  <c r="W3156" s="15">
        <f t="shared" si="175"/>
        <v>0</v>
      </c>
      <c r="X3156" s="36"/>
      <c r="Y3156" s="36">
        <v>300</v>
      </c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15">
        <f t="shared" si="176"/>
        <v>300</v>
      </c>
      <c r="AK3156" s="14"/>
      <c r="AL3156" s="14"/>
      <c r="AM3156" s="14"/>
      <c r="AN3156" s="14"/>
      <c r="AO3156" s="14"/>
      <c r="AP3156" s="14"/>
      <c r="AQ3156" s="14"/>
      <c r="AR3156" s="14"/>
      <c r="AS3156" s="14"/>
      <c r="AT3156" s="14"/>
      <c r="AU3156" s="14"/>
      <c r="AV3156" s="14"/>
      <c r="AW3156" s="15"/>
      <c r="AX3156" s="16"/>
    </row>
    <row r="3157" spans="2:50" x14ac:dyDescent="0.2">
      <c r="B3157" s="7"/>
      <c r="C3157" s="8">
        <v>13672</v>
      </c>
      <c r="D3157" s="9" t="s">
        <v>714</v>
      </c>
      <c r="E3157" s="10" t="str">
        <f t="shared" si="172"/>
        <v>Rancho Upácuaro No. 134</v>
      </c>
      <c r="F3157" s="10" t="str">
        <f t="shared" si="173"/>
        <v>Flores Pérez</v>
      </c>
      <c r="G3157" s="8">
        <v>1</v>
      </c>
      <c r="H3157" s="11">
        <v>400</v>
      </c>
      <c r="I3157" s="12">
        <v>42757</v>
      </c>
      <c r="J3157" s="35">
        <f t="shared" si="174"/>
        <v>0</v>
      </c>
      <c r="K3157" s="36"/>
      <c r="L3157" s="36"/>
      <c r="M3157" s="36"/>
      <c r="N3157" s="36"/>
      <c r="O3157" s="36"/>
      <c r="P3157" s="36"/>
      <c r="Q3157" s="36"/>
      <c r="R3157" s="36"/>
      <c r="S3157" s="36"/>
      <c r="T3157" s="36"/>
      <c r="U3157" s="36"/>
      <c r="V3157" s="36"/>
      <c r="W3157" s="15">
        <f t="shared" si="175"/>
        <v>0</v>
      </c>
      <c r="X3157" s="36">
        <v>400</v>
      </c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15">
        <f t="shared" si="176"/>
        <v>400</v>
      </c>
      <c r="AK3157" s="14"/>
      <c r="AL3157" s="14"/>
      <c r="AM3157" s="14"/>
      <c r="AN3157" s="14"/>
      <c r="AO3157" s="14"/>
      <c r="AP3157" s="14"/>
      <c r="AQ3157" s="14"/>
      <c r="AR3157" s="14"/>
      <c r="AS3157" s="14"/>
      <c r="AT3157" s="14"/>
      <c r="AU3157" s="14"/>
      <c r="AV3157" s="14"/>
      <c r="AW3157" s="15"/>
      <c r="AX3157" s="16"/>
    </row>
    <row r="3158" spans="2:50" x14ac:dyDescent="0.2">
      <c r="B3158" s="7"/>
      <c r="C3158" s="8">
        <v>13673</v>
      </c>
      <c r="D3158" s="9" t="s">
        <v>634</v>
      </c>
      <c r="E3158" s="10" t="str">
        <f t="shared" si="172"/>
        <v>Rancho Upácuaro No. 19</v>
      </c>
      <c r="F3158" s="10" t="str">
        <f t="shared" si="173"/>
        <v>Peña Inclán</v>
      </c>
      <c r="G3158" s="8">
        <v>1</v>
      </c>
      <c r="H3158" s="11">
        <v>3300</v>
      </c>
      <c r="I3158" s="12">
        <v>42757</v>
      </c>
      <c r="J3158" s="35">
        <f t="shared" si="174"/>
        <v>0</v>
      </c>
      <c r="K3158" s="36"/>
      <c r="L3158" s="36"/>
      <c r="M3158" s="36"/>
      <c r="N3158" s="36"/>
      <c r="O3158" s="36"/>
      <c r="P3158" s="36"/>
      <c r="Q3158" s="36"/>
      <c r="R3158" s="36"/>
      <c r="S3158" s="36"/>
      <c r="T3158" s="36"/>
      <c r="U3158" s="36"/>
      <c r="V3158" s="36"/>
      <c r="W3158" s="15">
        <f t="shared" si="175"/>
        <v>0</v>
      </c>
      <c r="X3158" s="36">
        <v>300</v>
      </c>
      <c r="Y3158" s="36">
        <v>300</v>
      </c>
      <c r="Z3158" s="36">
        <v>300</v>
      </c>
      <c r="AA3158" s="36">
        <v>300</v>
      </c>
      <c r="AB3158" s="36">
        <v>300</v>
      </c>
      <c r="AC3158" s="36">
        <v>300</v>
      </c>
      <c r="AD3158" s="36">
        <v>300</v>
      </c>
      <c r="AE3158" s="36">
        <v>300</v>
      </c>
      <c r="AF3158" s="36">
        <v>300</v>
      </c>
      <c r="AG3158" s="36">
        <v>300</v>
      </c>
      <c r="AH3158" s="36">
        <v>300</v>
      </c>
      <c r="AI3158" s="36"/>
      <c r="AJ3158" s="15">
        <f t="shared" si="176"/>
        <v>3300</v>
      </c>
      <c r="AK3158" s="14"/>
      <c r="AL3158" s="14"/>
      <c r="AM3158" s="14"/>
      <c r="AN3158" s="14"/>
      <c r="AO3158" s="14"/>
      <c r="AP3158" s="14"/>
      <c r="AQ3158" s="14"/>
      <c r="AR3158" s="14"/>
      <c r="AS3158" s="14"/>
      <c r="AT3158" s="14"/>
      <c r="AU3158" s="14"/>
      <c r="AV3158" s="14"/>
      <c r="AW3158" s="15"/>
      <c r="AX3158" s="16" t="s">
        <v>3363</v>
      </c>
    </row>
    <row r="3159" spans="2:50" x14ac:dyDescent="0.2">
      <c r="B3159" s="7"/>
      <c r="C3159" s="8">
        <v>13674</v>
      </c>
      <c r="D3159" s="9" t="s">
        <v>147</v>
      </c>
      <c r="E3159" s="10" t="str">
        <f t="shared" ref="E3159:E3171" si="177">IF(D3159=0,"",VLOOKUP(D3159,BASE,2,FALSE))</f>
        <v>Rancho Upácuaro No. 37</v>
      </c>
      <c r="F3159" s="10" t="str">
        <f t="shared" ref="F3159:F3171" si="178">IF(D3159=0,"",VLOOKUP(D3159,BASE,3,FALSE))</f>
        <v>García Valdés</v>
      </c>
      <c r="G3159" s="8">
        <v>1</v>
      </c>
      <c r="H3159" s="11">
        <v>4400</v>
      </c>
      <c r="I3159" s="12">
        <v>42757</v>
      </c>
      <c r="J3159" s="35">
        <f t="shared" ref="J3159:J3171" si="179">IF(G3159=1,SUM(W3159,AJ3159,-H3159),0)</f>
        <v>0</v>
      </c>
      <c r="K3159" s="36"/>
      <c r="L3159" s="36"/>
      <c r="M3159" s="36"/>
      <c r="N3159" s="36"/>
      <c r="O3159" s="36"/>
      <c r="P3159" s="36"/>
      <c r="Q3159" s="36"/>
      <c r="R3159" s="36"/>
      <c r="S3159" s="36"/>
      <c r="T3159" s="36"/>
      <c r="U3159" s="36"/>
      <c r="V3159" s="36"/>
      <c r="W3159" s="15">
        <f t="shared" ref="W3159:W3171" si="180">SUM(K3159:V3159)</f>
        <v>0</v>
      </c>
      <c r="X3159" s="36">
        <v>400</v>
      </c>
      <c r="Y3159" s="36">
        <v>400</v>
      </c>
      <c r="Z3159" s="36">
        <v>400</v>
      </c>
      <c r="AA3159" s="36">
        <v>400</v>
      </c>
      <c r="AB3159" s="36">
        <v>400</v>
      </c>
      <c r="AC3159" s="36">
        <v>400</v>
      </c>
      <c r="AD3159" s="36">
        <v>400</v>
      </c>
      <c r="AE3159" s="36">
        <v>400</v>
      </c>
      <c r="AF3159" s="36">
        <v>400</v>
      </c>
      <c r="AG3159" s="36">
        <v>400</v>
      </c>
      <c r="AH3159" s="36">
        <v>400</v>
      </c>
      <c r="AI3159" s="36"/>
      <c r="AJ3159" s="15">
        <f t="shared" ref="AJ3159:AJ3171" si="181">SUM(X3159:AI3159)</f>
        <v>4400</v>
      </c>
      <c r="AK3159" s="14"/>
      <c r="AL3159" s="14"/>
      <c r="AM3159" s="14"/>
      <c r="AN3159" s="14"/>
      <c r="AO3159" s="14"/>
      <c r="AP3159" s="14"/>
      <c r="AQ3159" s="14"/>
      <c r="AR3159" s="14"/>
      <c r="AS3159" s="14"/>
      <c r="AT3159" s="14"/>
      <c r="AU3159" s="14"/>
      <c r="AV3159" s="14"/>
      <c r="AW3159" s="15"/>
      <c r="AX3159" s="16" t="s">
        <v>3363</v>
      </c>
    </row>
    <row r="3160" spans="2:50" x14ac:dyDescent="0.2">
      <c r="B3160" s="7"/>
      <c r="C3160" s="8">
        <v>13675</v>
      </c>
      <c r="D3160" s="9" t="s">
        <v>649</v>
      </c>
      <c r="E3160" s="10" t="str">
        <f t="shared" si="177"/>
        <v>Rancho Estanzuela No. 57</v>
      </c>
      <c r="F3160" s="10" t="str">
        <f t="shared" si="178"/>
        <v>Olivares</v>
      </c>
      <c r="G3160" s="8">
        <v>1</v>
      </c>
      <c r="H3160" s="11">
        <v>300</v>
      </c>
      <c r="I3160" s="12">
        <v>42757</v>
      </c>
      <c r="J3160" s="35">
        <f t="shared" si="179"/>
        <v>0</v>
      </c>
      <c r="K3160" s="36"/>
      <c r="L3160" s="36"/>
      <c r="M3160" s="36"/>
      <c r="N3160" s="36"/>
      <c r="O3160" s="36"/>
      <c r="P3160" s="36"/>
      <c r="Q3160" s="36"/>
      <c r="R3160" s="36"/>
      <c r="S3160" s="36"/>
      <c r="T3160" s="36"/>
      <c r="U3160" s="36"/>
      <c r="V3160" s="36"/>
      <c r="W3160" s="15">
        <f t="shared" si="180"/>
        <v>0</v>
      </c>
      <c r="X3160" s="36">
        <v>300</v>
      </c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15">
        <f t="shared" si="181"/>
        <v>300</v>
      </c>
      <c r="AK3160" s="14"/>
      <c r="AL3160" s="14"/>
      <c r="AM3160" s="14"/>
      <c r="AN3160" s="14"/>
      <c r="AO3160" s="14"/>
      <c r="AP3160" s="14"/>
      <c r="AQ3160" s="14"/>
      <c r="AR3160" s="14"/>
      <c r="AS3160" s="14"/>
      <c r="AT3160" s="14"/>
      <c r="AU3160" s="14"/>
      <c r="AV3160" s="14"/>
      <c r="AW3160" s="15"/>
      <c r="AX3160" s="16"/>
    </row>
    <row r="3161" spans="2:50" x14ac:dyDescent="0.2">
      <c r="B3161" s="7"/>
      <c r="C3161" s="8">
        <v>13675</v>
      </c>
      <c r="D3161" s="9" t="s">
        <v>649</v>
      </c>
      <c r="E3161" s="10" t="str">
        <f t="shared" si="177"/>
        <v>Rancho Estanzuela No. 57</v>
      </c>
      <c r="F3161" s="10" t="str">
        <f t="shared" si="178"/>
        <v>Olivares</v>
      </c>
      <c r="G3161" s="8">
        <v>4</v>
      </c>
      <c r="H3161" s="11">
        <v>200</v>
      </c>
      <c r="I3161" s="12">
        <v>42757</v>
      </c>
      <c r="J3161" s="35">
        <f t="shared" si="179"/>
        <v>0</v>
      </c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  <c r="U3161" s="36"/>
      <c r="V3161" s="36"/>
      <c r="W3161" s="15">
        <f t="shared" si="180"/>
        <v>0</v>
      </c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15">
        <f t="shared" si="181"/>
        <v>0</v>
      </c>
      <c r="AK3161" s="14"/>
      <c r="AL3161" s="14"/>
      <c r="AM3161" s="14"/>
      <c r="AN3161" s="14"/>
      <c r="AO3161" s="14"/>
      <c r="AP3161" s="14"/>
      <c r="AQ3161" s="14"/>
      <c r="AR3161" s="14"/>
      <c r="AS3161" s="14"/>
      <c r="AT3161" s="14"/>
      <c r="AU3161" s="14"/>
      <c r="AV3161" s="14"/>
      <c r="AW3161" s="15"/>
      <c r="AX3161" s="16" t="s">
        <v>3442</v>
      </c>
    </row>
    <row r="3162" spans="2:50" x14ac:dyDescent="0.2">
      <c r="B3162" s="7"/>
      <c r="C3162" s="8">
        <v>13675</v>
      </c>
      <c r="D3162" s="9" t="s">
        <v>649</v>
      </c>
      <c r="E3162" s="10" t="str">
        <f t="shared" si="177"/>
        <v>Rancho Estanzuela No. 57</v>
      </c>
      <c r="F3162" s="10" t="str">
        <f t="shared" si="178"/>
        <v>Olivares</v>
      </c>
      <c r="G3162" s="8">
        <v>7</v>
      </c>
      <c r="H3162" s="11">
        <v>20</v>
      </c>
      <c r="I3162" s="12">
        <v>42757</v>
      </c>
      <c r="J3162" s="35">
        <f t="shared" si="179"/>
        <v>0</v>
      </c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  <c r="U3162" s="36"/>
      <c r="V3162" s="36"/>
      <c r="W3162" s="15">
        <f t="shared" si="180"/>
        <v>0</v>
      </c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15">
        <f t="shared" si="181"/>
        <v>0</v>
      </c>
      <c r="AK3162" s="14"/>
      <c r="AL3162" s="14"/>
      <c r="AM3162" s="14"/>
      <c r="AN3162" s="14"/>
      <c r="AO3162" s="14"/>
      <c r="AP3162" s="14"/>
      <c r="AQ3162" s="14"/>
      <c r="AR3162" s="14"/>
      <c r="AS3162" s="14"/>
      <c r="AT3162" s="14"/>
      <c r="AU3162" s="14"/>
      <c r="AV3162" s="14"/>
      <c r="AW3162" s="15"/>
      <c r="AX3162" s="16"/>
    </row>
    <row r="3163" spans="2:50" x14ac:dyDescent="0.2">
      <c r="B3163" s="7"/>
      <c r="C3163" s="8">
        <v>13676</v>
      </c>
      <c r="D3163" s="9" t="s">
        <v>831</v>
      </c>
      <c r="E3163" s="10" t="str">
        <f t="shared" si="177"/>
        <v>Rancho Upácuaro No. 80</v>
      </c>
      <c r="F3163" s="10" t="str">
        <f t="shared" si="178"/>
        <v>De los Ríos</v>
      </c>
      <c r="G3163" s="8">
        <v>5</v>
      </c>
      <c r="H3163" s="11">
        <v>50</v>
      </c>
      <c r="I3163" s="12">
        <v>42757</v>
      </c>
      <c r="J3163" s="35">
        <f t="shared" si="179"/>
        <v>0</v>
      </c>
      <c r="K3163" s="36"/>
      <c r="L3163" s="36"/>
      <c r="M3163" s="36"/>
      <c r="N3163" s="36"/>
      <c r="O3163" s="36"/>
      <c r="P3163" s="36"/>
      <c r="Q3163" s="36"/>
      <c r="R3163" s="36"/>
      <c r="S3163" s="36"/>
      <c r="T3163" s="36"/>
      <c r="U3163" s="36"/>
      <c r="V3163" s="36"/>
      <c r="W3163" s="15">
        <f t="shared" si="180"/>
        <v>0</v>
      </c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15">
        <f t="shared" si="181"/>
        <v>0</v>
      </c>
      <c r="AK3163" s="14"/>
      <c r="AL3163" s="14"/>
      <c r="AM3163" s="14"/>
      <c r="AN3163" s="14"/>
      <c r="AO3163" s="14"/>
      <c r="AP3163" s="14"/>
      <c r="AQ3163" s="14"/>
      <c r="AR3163" s="14"/>
      <c r="AS3163" s="14"/>
      <c r="AT3163" s="14"/>
      <c r="AU3163" s="14"/>
      <c r="AV3163" s="14"/>
      <c r="AW3163" s="15"/>
      <c r="AX3163" s="16"/>
    </row>
    <row r="3164" spans="2:50" x14ac:dyDescent="0.2">
      <c r="B3164" s="7"/>
      <c r="C3164" s="8">
        <v>13677</v>
      </c>
      <c r="D3164" s="9" t="s">
        <v>286</v>
      </c>
      <c r="E3164" s="10" t="str">
        <f t="shared" si="177"/>
        <v>Rancho Zinamba No. 20</v>
      </c>
      <c r="F3164" s="10" t="str">
        <f t="shared" si="178"/>
        <v>Cruz Vallejo</v>
      </c>
      <c r="G3164" s="8">
        <v>1</v>
      </c>
      <c r="H3164" s="11">
        <v>1200</v>
      </c>
      <c r="I3164" s="12">
        <v>42757</v>
      </c>
      <c r="J3164" s="35">
        <f t="shared" si="179"/>
        <v>0</v>
      </c>
      <c r="K3164" s="36"/>
      <c r="L3164" s="36"/>
      <c r="M3164" s="36"/>
      <c r="N3164" s="36"/>
      <c r="O3164" s="36"/>
      <c r="P3164" s="36"/>
      <c r="Q3164" s="36"/>
      <c r="R3164" s="36"/>
      <c r="S3164" s="36"/>
      <c r="T3164" s="36"/>
      <c r="U3164" s="36"/>
      <c r="V3164" s="36">
        <v>400</v>
      </c>
      <c r="W3164" s="15">
        <f t="shared" si="180"/>
        <v>400</v>
      </c>
      <c r="X3164" s="36">
        <v>400</v>
      </c>
      <c r="Y3164" s="36">
        <v>400</v>
      </c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15">
        <f t="shared" si="181"/>
        <v>800</v>
      </c>
      <c r="AK3164" s="14"/>
      <c r="AL3164" s="14"/>
      <c r="AM3164" s="14"/>
      <c r="AN3164" s="14"/>
      <c r="AO3164" s="14"/>
      <c r="AP3164" s="14"/>
      <c r="AQ3164" s="14"/>
      <c r="AR3164" s="14"/>
      <c r="AS3164" s="14"/>
      <c r="AT3164" s="14"/>
      <c r="AU3164" s="14"/>
      <c r="AV3164" s="14"/>
      <c r="AW3164" s="15"/>
      <c r="AX3164" s="16"/>
    </row>
    <row r="3165" spans="2:50" x14ac:dyDescent="0.2">
      <c r="B3165" s="7"/>
      <c r="C3165" s="8">
        <v>13678</v>
      </c>
      <c r="D3165" s="9" t="s">
        <v>893</v>
      </c>
      <c r="E3165" s="10" t="str">
        <f t="shared" si="177"/>
        <v>Rancho Upácuaro No. 136</v>
      </c>
      <c r="F3165" s="10" t="str">
        <f t="shared" si="178"/>
        <v>López Lena</v>
      </c>
      <c r="G3165" s="8">
        <v>1</v>
      </c>
      <c r="H3165" s="11">
        <v>800</v>
      </c>
      <c r="I3165" s="12">
        <v>42757</v>
      </c>
      <c r="J3165" s="35">
        <f t="shared" si="179"/>
        <v>0</v>
      </c>
      <c r="K3165" s="36"/>
      <c r="L3165" s="36"/>
      <c r="M3165" s="36"/>
      <c r="N3165" s="36"/>
      <c r="O3165" s="36"/>
      <c r="P3165" s="36"/>
      <c r="Q3165" s="36"/>
      <c r="R3165" s="36"/>
      <c r="S3165" s="36"/>
      <c r="T3165" s="36"/>
      <c r="U3165" s="36">
        <v>400</v>
      </c>
      <c r="V3165" s="36">
        <v>400</v>
      </c>
      <c r="W3165" s="15">
        <f t="shared" si="180"/>
        <v>800</v>
      </c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15">
        <f t="shared" si="181"/>
        <v>0</v>
      </c>
      <c r="AK3165" s="14"/>
      <c r="AL3165" s="14"/>
      <c r="AM3165" s="14"/>
      <c r="AN3165" s="14"/>
      <c r="AO3165" s="14"/>
      <c r="AP3165" s="14"/>
      <c r="AQ3165" s="14"/>
      <c r="AR3165" s="14"/>
      <c r="AS3165" s="14"/>
      <c r="AT3165" s="14"/>
      <c r="AU3165" s="14"/>
      <c r="AV3165" s="14"/>
      <c r="AW3165" s="15"/>
      <c r="AX3165" s="16"/>
    </row>
    <row r="3166" spans="2:50" x14ac:dyDescent="0.2">
      <c r="B3166" s="7"/>
      <c r="C3166" s="8">
        <v>13679</v>
      </c>
      <c r="D3166" s="9" t="s">
        <v>1192</v>
      </c>
      <c r="E3166" s="10" t="str">
        <f t="shared" si="177"/>
        <v>Rancho Landero No. 61</v>
      </c>
      <c r="F3166" s="10" t="str">
        <f t="shared" si="178"/>
        <v>Miramontes Pérez</v>
      </c>
      <c r="G3166" s="8">
        <v>1</v>
      </c>
      <c r="H3166" s="11">
        <v>400</v>
      </c>
      <c r="I3166" s="12">
        <v>42757</v>
      </c>
      <c r="J3166" s="35">
        <f t="shared" si="179"/>
        <v>0</v>
      </c>
      <c r="K3166" s="36"/>
      <c r="L3166" s="36"/>
      <c r="M3166" s="36"/>
      <c r="N3166" s="36"/>
      <c r="O3166" s="36"/>
      <c r="P3166" s="36"/>
      <c r="Q3166" s="36"/>
      <c r="R3166" s="36"/>
      <c r="S3166" s="36"/>
      <c r="T3166" s="36"/>
      <c r="U3166" s="36"/>
      <c r="V3166" s="36">
        <v>400</v>
      </c>
      <c r="W3166" s="15">
        <f t="shared" si="180"/>
        <v>400</v>
      </c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15">
        <f t="shared" si="181"/>
        <v>0</v>
      </c>
      <c r="AK3166" s="14"/>
      <c r="AL3166" s="14"/>
      <c r="AM3166" s="14"/>
      <c r="AN3166" s="14"/>
      <c r="AO3166" s="14"/>
      <c r="AP3166" s="14"/>
      <c r="AQ3166" s="14"/>
      <c r="AR3166" s="14"/>
      <c r="AS3166" s="14"/>
      <c r="AT3166" s="14"/>
      <c r="AU3166" s="14"/>
      <c r="AV3166" s="14"/>
      <c r="AW3166" s="15"/>
      <c r="AX3166" s="16"/>
    </row>
    <row r="3167" spans="2:50" x14ac:dyDescent="0.2">
      <c r="B3167" s="7"/>
      <c r="C3167" s="8">
        <v>13680</v>
      </c>
      <c r="D3167" s="9" t="s">
        <v>189</v>
      </c>
      <c r="E3167" s="10" t="str">
        <f t="shared" si="177"/>
        <v>Rancho La Cuchilla No. 42</v>
      </c>
      <c r="F3167" s="10" t="str">
        <f t="shared" si="178"/>
        <v>Mac Kinney</v>
      </c>
      <c r="G3167" s="8">
        <v>1</v>
      </c>
      <c r="H3167" s="11">
        <v>800</v>
      </c>
      <c r="I3167" s="12">
        <v>42757</v>
      </c>
      <c r="J3167" s="35">
        <f t="shared" si="179"/>
        <v>0</v>
      </c>
      <c r="K3167" s="36"/>
      <c r="L3167" s="36"/>
      <c r="M3167" s="36"/>
      <c r="N3167" s="36"/>
      <c r="O3167" s="36"/>
      <c r="P3167" s="36"/>
      <c r="Q3167" s="36"/>
      <c r="R3167" s="36"/>
      <c r="S3167" s="36"/>
      <c r="T3167" s="36"/>
      <c r="U3167" s="36"/>
      <c r="V3167" s="36">
        <v>400</v>
      </c>
      <c r="W3167" s="15">
        <f t="shared" si="180"/>
        <v>400</v>
      </c>
      <c r="X3167" s="36">
        <v>400</v>
      </c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15">
        <f t="shared" si="181"/>
        <v>400</v>
      </c>
      <c r="AK3167" s="14"/>
      <c r="AL3167" s="14"/>
      <c r="AM3167" s="14"/>
      <c r="AN3167" s="14"/>
      <c r="AO3167" s="14"/>
      <c r="AP3167" s="14"/>
      <c r="AQ3167" s="14"/>
      <c r="AR3167" s="14"/>
      <c r="AS3167" s="14"/>
      <c r="AT3167" s="14"/>
      <c r="AU3167" s="14"/>
      <c r="AV3167" s="14"/>
      <c r="AW3167" s="15"/>
      <c r="AX3167" s="16"/>
    </row>
    <row r="3168" spans="2:50" x14ac:dyDescent="0.2">
      <c r="B3168" s="7"/>
      <c r="C3168" s="8">
        <v>13681</v>
      </c>
      <c r="D3168" s="9" t="s">
        <v>410</v>
      </c>
      <c r="E3168" s="10" t="str">
        <f t="shared" si="177"/>
        <v>Rancho Upácuaro No. 7</v>
      </c>
      <c r="F3168" s="10" t="str">
        <f t="shared" si="178"/>
        <v xml:space="preserve">Troncoso </v>
      </c>
      <c r="G3168" s="8">
        <v>1</v>
      </c>
      <c r="H3168" s="11">
        <v>3300</v>
      </c>
      <c r="I3168" s="12">
        <v>42757</v>
      </c>
      <c r="J3168" s="35">
        <f t="shared" si="179"/>
        <v>0</v>
      </c>
      <c r="K3168" s="36"/>
      <c r="L3168" s="36"/>
      <c r="M3168" s="36"/>
      <c r="N3168" s="36"/>
      <c r="O3168" s="36"/>
      <c r="P3168" s="36"/>
      <c r="Q3168" s="36"/>
      <c r="R3168" s="36"/>
      <c r="S3168" s="36"/>
      <c r="T3168" s="36"/>
      <c r="U3168" s="36"/>
      <c r="V3168" s="36"/>
      <c r="W3168" s="15">
        <f t="shared" si="180"/>
        <v>0</v>
      </c>
      <c r="X3168" s="36">
        <v>300</v>
      </c>
      <c r="Y3168" s="36">
        <v>300</v>
      </c>
      <c r="Z3168" s="36">
        <v>300</v>
      </c>
      <c r="AA3168" s="36">
        <v>300</v>
      </c>
      <c r="AB3168" s="36">
        <v>300</v>
      </c>
      <c r="AC3168" s="36">
        <v>300</v>
      </c>
      <c r="AD3168" s="36">
        <v>300</v>
      </c>
      <c r="AE3168" s="36">
        <v>300</v>
      </c>
      <c r="AF3168" s="36">
        <v>300</v>
      </c>
      <c r="AG3168" s="36">
        <v>300</v>
      </c>
      <c r="AH3168" s="36">
        <v>300</v>
      </c>
      <c r="AI3168" s="36"/>
      <c r="AJ3168" s="15">
        <f t="shared" si="181"/>
        <v>3300</v>
      </c>
      <c r="AK3168" s="14"/>
      <c r="AL3168" s="14"/>
      <c r="AM3168" s="14"/>
      <c r="AN3168" s="14"/>
      <c r="AO3168" s="14"/>
      <c r="AP3168" s="14"/>
      <c r="AQ3168" s="14"/>
      <c r="AR3168" s="14"/>
      <c r="AS3168" s="14"/>
      <c r="AT3168" s="14"/>
      <c r="AU3168" s="14"/>
      <c r="AV3168" s="14"/>
      <c r="AW3168" s="15"/>
      <c r="AX3168" s="16" t="s">
        <v>3363</v>
      </c>
    </row>
    <row r="3169" spans="2:51" x14ac:dyDescent="0.2">
      <c r="B3169" s="7"/>
      <c r="C3169" s="8">
        <v>13681</v>
      </c>
      <c r="D3169" s="9" t="s">
        <v>410</v>
      </c>
      <c r="E3169" s="10" t="str">
        <f t="shared" si="177"/>
        <v>Rancho Upácuaro No. 7</v>
      </c>
      <c r="F3169" s="10" t="str">
        <f t="shared" si="178"/>
        <v xml:space="preserve">Troncoso </v>
      </c>
      <c r="G3169" s="8">
        <v>5</v>
      </c>
      <c r="H3169" s="11">
        <v>50</v>
      </c>
      <c r="I3169" s="12">
        <v>42757</v>
      </c>
      <c r="J3169" s="35">
        <f t="shared" si="179"/>
        <v>0</v>
      </c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  <c r="U3169" s="36"/>
      <c r="V3169" s="36"/>
      <c r="W3169" s="15">
        <f t="shared" si="180"/>
        <v>0</v>
      </c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15">
        <f t="shared" si="181"/>
        <v>0</v>
      </c>
      <c r="AK3169" s="14"/>
      <c r="AL3169" s="14"/>
      <c r="AM3169" s="14"/>
      <c r="AN3169" s="14"/>
      <c r="AO3169" s="14"/>
      <c r="AP3169" s="14"/>
      <c r="AQ3169" s="14"/>
      <c r="AR3169" s="14"/>
      <c r="AS3169" s="14"/>
      <c r="AT3169" s="14"/>
      <c r="AU3169" s="14"/>
      <c r="AV3169" s="14"/>
      <c r="AW3169" s="15"/>
      <c r="AX3169" s="16"/>
    </row>
    <row r="3170" spans="2:51" x14ac:dyDescent="0.2">
      <c r="B3170" s="7"/>
      <c r="C3170" s="8">
        <v>13682</v>
      </c>
      <c r="D3170" s="9" t="s">
        <v>868</v>
      </c>
      <c r="E3170" s="10" t="str">
        <f t="shared" si="177"/>
        <v>Rancho Upácuaro No. 12</v>
      </c>
      <c r="F3170" s="10" t="str">
        <f t="shared" si="178"/>
        <v>Moreno Chávez</v>
      </c>
      <c r="G3170" s="8">
        <v>5</v>
      </c>
      <c r="H3170" s="11">
        <v>100</v>
      </c>
      <c r="I3170" s="12">
        <v>42757</v>
      </c>
      <c r="J3170" s="35">
        <f t="shared" si="179"/>
        <v>0</v>
      </c>
      <c r="K3170" s="36"/>
      <c r="L3170" s="36"/>
      <c r="M3170" s="36"/>
      <c r="N3170" s="36"/>
      <c r="O3170" s="36"/>
      <c r="P3170" s="36"/>
      <c r="Q3170" s="36"/>
      <c r="R3170" s="36"/>
      <c r="S3170" s="36"/>
      <c r="T3170" s="36"/>
      <c r="U3170" s="36"/>
      <c r="V3170" s="36"/>
      <c r="W3170" s="15">
        <f t="shared" si="180"/>
        <v>0</v>
      </c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15">
        <f t="shared" si="181"/>
        <v>0</v>
      </c>
      <c r="AK3170" s="14"/>
      <c r="AL3170" s="14"/>
      <c r="AM3170" s="14"/>
      <c r="AN3170" s="14"/>
      <c r="AO3170" s="14"/>
      <c r="AP3170" s="14"/>
      <c r="AQ3170" s="14"/>
      <c r="AR3170" s="14"/>
      <c r="AS3170" s="14"/>
      <c r="AT3170" s="14"/>
      <c r="AU3170" s="14"/>
      <c r="AV3170" s="14"/>
      <c r="AW3170" s="15"/>
      <c r="AX3170" s="16"/>
      <c r="AY3170" s="112">
        <f>SUM(H3119:H3170)</f>
        <v>43470</v>
      </c>
    </row>
    <row r="3171" spans="2:51" x14ac:dyDescent="0.2">
      <c r="B3171" s="7"/>
      <c r="C3171" s="8">
        <v>13683</v>
      </c>
      <c r="D3171" s="9" t="s">
        <v>1119</v>
      </c>
      <c r="E3171" s="10" t="str">
        <f t="shared" si="177"/>
        <v>Calzada del Hueso No. 840_2</v>
      </c>
      <c r="F3171" s="10" t="str">
        <f t="shared" si="178"/>
        <v>Moto Space</v>
      </c>
      <c r="G3171" s="8">
        <v>1</v>
      </c>
      <c r="H3171" s="315">
        <v>700</v>
      </c>
      <c r="I3171" s="12">
        <v>42758</v>
      </c>
      <c r="J3171" s="35">
        <f t="shared" si="179"/>
        <v>0</v>
      </c>
      <c r="K3171" s="36"/>
      <c r="L3171" s="36"/>
      <c r="M3171" s="36"/>
      <c r="N3171" s="36"/>
      <c r="O3171" s="36"/>
      <c r="P3171" s="36"/>
      <c r="Q3171" s="36"/>
      <c r="R3171" s="36"/>
      <c r="S3171" s="36">
        <v>150</v>
      </c>
      <c r="T3171" s="36">
        <v>150</v>
      </c>
      <c r="U3171" s="36">
        <v>150</v>
      </c>
      <c r="V3171" s="36">
        <v>150</v>
      </c>
      <c r="W3171" s="15">
        <f t="shared" si="180"/>
        <v>600</v>
      </c>
      <c r="X3171" s="36">
        <v>100</v>
      </c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15">
        <f t="shared" si="181"/>
        <v>100</v>
      </c>
      <c r="AK3171" s="14"/>
      <c r="AL3171" s="14"/>
      <c r="AM3171" s="14"/>
      <c r="AN3171" s="14"/>
      <c r="AO3171" s="14"/>
      <c r="AP3171" s="14"/>
      <c r="AQ3171" s="14"/>
      <c r="AR3171" s="14"/>
      <c r="AS3171" s="14"/>
      <c r="AT3171" s="14"/>
      <c r="AU3171" s="14"/>
      <c r="AV3171" s="14"/>
      <c r="AW3171" s="15"/>
      <c r="AX3171" s="16"/>
    </row>
    <row r="3172" spans="2:51" x14ac:dyDescent="0.2">
      <c r="B3172" s="7"/>
      <c r="C3172" s="8">
        <v>13684</v>
      </c>
      <c r="D3172" s="9" t="s">
        <v>1119</v>
      </c>
      <c r="E3172" s="10" t="str">
        <f t="shared" ref="E3172:E3177" si="182">IF(D3172=0,"",VLOOKUP(D3172,BASE,2,FALSE))</f>
        <v>Calzada del Hueso No. 840_2</v>
      </c>
      <c r="F3172" s="10" t="str">
        <f t="shared" ref="F3172:F3177" si="183">IF(D3172=0,"",VLOOKUP(D3172,BASE,3,FALSE))</f>
        <v>Moto Space</v>
      </c>
      <c r="G3172" s="8">
        <v>1</v>
      </c>
      <c r="H3172" s="11">
        <v>50</v>
      </c>
      <c r="I3172" s="12">
        <v>42758</v>
      </c>
      <c r="J3172" s="35">
        <f t="shared" ref="J3172:J3177" si="184">IF(G3172=1,SUM(W3172,AJ3172,-H3172),0)</f>
        <v>0</v>
      </c>
      <c r="K3172" s="36"/>
      <c r="L3172" s="36"/>
      <c r="M3172" s="36"/>
      <c r="N3172" s="36"/>
      <c r="O3172" s="36"/>
      <c r="P3172" s="36"/>
      <c r="Q3172" s="36"/>
      <c r="R3172" s="36"/>
      <c r="S3172" s="36"/>
      <c r="T3172" s="36"/>
      <c r="U3172" s="36"/>
      <c r="V3172" s="36"/>
      <c r="W3172" s="15">
        <f t="shared" ref="W3172:W3177" si="185">SUM(K3172:V3172)</f>
        <v>0</v>
      </c>
      <c r="X3172" s="36">
        <v>50</v>
      </c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15">
        <f t="shared" ref="AJ3172:AJ3177" si="186">SUM(X3172:AI3172)</f>
        <v>50</v>
      </c>
      <c r="AK3172" s="14"/>
      <c r="AL3172" s="14"/>
      <c r="AM3172" s="14"/>
      <c r="AN3172" s="14"/>
      <c r="AO3172" s="14"/>
      <c r="AP3172" s="14"/>
      <c r="AQ3172" s="14"/>
      <c r="AR3172" s="14"/>
      <c r="AS3172" s="14"/>
      <c r="AT3172" s="14"/>
      <c r="AU3172" s="14"/>
      <c r="AV3172" s="14"/>
      <c r="AW3172" s="15"/>
      <c r="AX3172" s="16"/>
    </row>
    <row r="3173" spans="2:51" x14ac:dyDescent="0.2">
      <c r="B3173" s="7"/>
      <c r="C3173" s="8">
        <v>13684</v>
      </c>
      <c r="D3173" s="9" t="s">
        <v>1119</v>
      </c>
      <c r="E3173" s="10" t="str">
        <f t="shared" si="182"/>
        <v>Calzada del Hueso No. 840_2</v>
      </c>
      <c r="F3173" s="10" t="str">
        <f t="shared" si="183"/>
        <v>Moto Space</v>
      </c>
      <c r="G3173" s="8">
        <v>5</v>
      </c>
      <c r="H3173" s="11">
        <v>50</v>
      </c>
      <c r="I3173" s="12">
        <v>42758</v>
      </c>
      <c r="J3173" s="35">
        <f t="shared" si="184"/>
        <v>0</v>
      </c>
      <c r="K3173" s="36"/>
      <c r="L3173" s="36"/>
      <c r="M3173" s="36"/>
      <c r="N3173" s="36"/>
      <c r="O3173" s="36"/>
      <c r="P3173" s="36"/>
      <c r="Q3173" s="36"/>
      <c r="R3173" s="36"/>
      <c r="S3173" s="36"/>
      <c r="T3173" s="36"/>
      <c r="U3173" s="36"/>
      <c r="V3173" s="36"/>
      <c r="W3173" s="15">
        <f t="shared" si="185"/>
        <v>0</v>
      </c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15">
        <f t="shared" si="186"/>
        <v>0</v>
      </c>
      <c r="AK3173" s="14"/>
      <c r="AL3173" s="14"/>
      <c r="AM3173" s="14"/>
      <c r="AN3173" s="14"/>
      <c r="AO3173" s="14"/>
      <c r="AP3173" s="14"/>
      <c r="AQ3173" s="14"/>
      <c r="AR3173" s="14"/>
      <c r="AS3173" s="14"/>
      <c r="AT3173" s="14"/>
      <c r="AU3173" s="14"/>
      <c r="AV3173" s="14"/>
      <c r="AW3173" s="15"/>
      <c r="AX3173" s="16"/>
    </row>
    <row r="3174" spans="2:51" x14ac:dyDescent="0.2">
      <c r="B3174" s="7"/>
      <c r="C3174" s="8">
        <v>13685</v>
      </c>
      <c r="D3174" s="9" t="s">
        <v>1100</v>
      </c>
      <c r="E3174" s="10" t="str">
        <f t="shared" si="182"/>
        <v>Rancho Upácuaro No. 45</v>
      </c>
      <c r="F3174" s="10" t="str">
        <f t="shared" si="183"/>
        <v>Enrique Vázquez</v>
      </c>
      <c r="G3174" s="8">
        <v>1</v>
      </c>
      <c r="H3174" s="11">
        <v>500</v>
      </c>
      <c r="I3174" s="12">
        <v>42758</v>
      </c>
      <c r="J3174" s="35">
        <f t="shared" si="184"/>
        <v>0</v>
      </c>
      <c r="K3174" s="36"/>
      <c r="L3174" s="36"/>
      <c r="M3174" s="36"/>
      <c r="N3174" s="36"/>
      <c r="O3174" s="36"/>
      <c r="P3174" s="36"/>
      <c r="Q3174" s="36"/>
      <c r="R3174" s="36"/>
      <c r="S3174" s="36">
        <v>100</v>
      </c>
      <c r="T3174" s="36">
        <v>100</v>
      </c>
      <c r="U3174" s="36">
        <v>100</v>
      </c>
      <c r="V3174" s="36">
        <v>100</v>
      </c>
      <c r="W3174" s="15">
        <f t="shared" si="185"/>
        <v>400</v>
      </c>
      <c r="X3174" s="36">
        <v>100</v>
      </c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15">
        <f t="shared" si="186"/>
        <v>100</v>
      </c>
      <c r="AK3174" s="14"/>
      <c r="AL3174" s="14"/>
      <c r="AM3174" s="14"/>
      <c r="AN3174" s="14"/>
      <c r="AO3174" s="14"/>
      <c r="AP3174" s="14"/>
      <c r="AQ3174" s="14"/>
      <c r="AR3174" s="14"/>
      <c r="AS3174" s="14"/>
      <c r="AT3174" s="14"/>
      <c r="AU3174" s="14"/>
      <c r="AV3174" s="14"/>
      <c r="AW3174" s="15"/>
      <c r="AX3174" s="16"/>
    </row>
    <row r="3175" spans="2:51" x14ac:dyDescent="0.2">
      <c r="B3175" s="7"/>
      <c r="C3175" s="8">
        <v>13686</v>
      </c>
      <c r="D3175" s="9" t="s">
        <v>488</v>
      </c>
      <c r="E3175" s="10" t="str">
        <f t="shared" si="182"/>
        <v>Rancho Landero No. 85</v>
      </c>
      <c r="F3175" s="10" t="str">
        <f t="shared" si="183"/>
        <v>Martínez Olague</v>
      </c>
      <c r="G3175" s="8">
        <v>1</v>
      </c>
      <c r="H3175" s="11">
        <v>400</v>
      </c>
      <c r="I3175" s="12">
        <v>42759</v>
      </c>
      <c r="J3175" s="35">
        <f t="shared" si="184"/>
        <v>0</v>
      </c>
      <c r="K3175" s="36"/>
      <c r="L3175" s="36"/>
      <c r="M3175" s="36"/>
      <c r="N3175" s="36"/>
      <c r="O3175" s="36"/>
      <c r="P3175" s="36"/>
      <c r="Q3175" s="36"/>
      <c r="R3175" s="36"/>
      <c r="S3175" s="36"/>
      <c r="T3175" s="36"/>
      <c r="U3175" s="36"/>
      <c r="V3175" s="36"/>
      <c r="W3175" s="15">
        <f t="shared" si="185"/>
        <v>0</v>
      </c>
      <c r="X3175" s="36">
        <v>400</v>
      </c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15">
        <f t="shared" si="186"/>
        <v>400</v>
      </c>
      <c r="AK3175" s="14"/>
      <c r="AL3175" s="14"/>
      <c r="AM3175" s="14"/>
      <c r="AN3175" s="14"/>
      <c r="AO3175" s="14"/>
      <c r="AP3175" s="14"/>
      <c r="AQ3175" s="14"/>
      <c r="AR3175" s="14"/>
      <c r="AS3175" s="14"/>
      <c r="AT3175" s="14"/>
      <c r="AU3175" s="14"/>
      <c r="AV3175" s="14"/>
      <c r="AW3175" s="15"/>
      <c r="AX3175" s="16"/>
    </row>
    <row r="3176" spans="2:51" x14ac:dyDescent="0.2">
      <c r="B3176" s="7"/>
      <c r="C3176" s="8">
        <v>13687</v>
      </c>
      <c r="D3176" s="9" t="s">
        <v>871</v>
      </c>
      <c r="E3176" s="10" t="str">
        <f t="shared" si="182"/>
        <v>Rancho Upácuaro No. 68</v>
      </c>
      <c r="F3176" s="10" t="str">
        <f t="shared" si="183"/>
        <v>Colin Guerrero</v>
      </c>
      <c r="G3176" s="8">
        <v>1</v>
      </c>
      <c r="H3176" s="11">
        <v>200</v>
      </c>
      <c r="I3176" s="12">
        <v>42759</v>
      </c>
      <c r="J3176" s="35">
        <f t="shared" si="184"/>
        <v>0</v>
      </c>
      <c r="K3176" s="36"/>
      <c r="L3176" s="36"/>
      <c r="M3176" s="36"/>
      <c r="N3176" s="36"/>
      <c r="O3176" s="36"/>
      <c r="P3176" s="36"/>
      <c r="Q3176" s="36"/>
      <c r="R3176" s="36"/>
      <c r="S3176" s="36"/>
      <c r="T3176" s="36">
        <v>200</v>
      </c>
      <c r="U3176" s="36"/>
      <c r="V3176" s="36"/>
      <c r="W3176" s="15">
        <f t="shared" si="185"/>
        <v>200</v>
      </c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15">
        <f t="shared" si="186"/>
        <v>0</v>
      </c>
      <c r="AK3176" s="14"/>
      <c r="AL3176" s="14"/>
      <c r="AM3176" s="14"/>
      <c r="AN3176" s="14"/>
      <c r="AO3176" s="14"/>
      <c r="AP3176" s="14"/>
      <c r="AQ3176" s="14"/>
      <c r="AR3176" s="14"/>
      <c r="AS3176" s="14"/>
      <c r="AT3176" s="14"/>
      <c r="AU3176" s="14"/>
      <c r="AV3176" s="14"/>
      <c r="AW3176" s="15"/>
      <c r="AX3176" s="16"/>
    </row>
    <row r="3177" spans="2:51" x14ac:dyDescent="0.2">
      <c r="B3177" s="7"/>
      <c r="C3177" s="8">
        <v>13687</v>
      </c>
      <c r="D3177" s="9" t="s">
        <v>871</v>
      </c>
      <c r="E3177" s="10" t="str">
        <f t="shared" si="182"/>
        <v>Rancho Upácuaro No. 68</v>
      </c>
      <c r="F3177" s="10" t="str">
        <f t="shared" si="183"/>
        <v>Colin Guerrero</v>
      </c>
      <c r="G3177" s="8">
        <v>4</v>
      </c>
      <c r="H3177" s="11">
        <v>200</v>
      </c>
      <c r="I3177" s="12">
        <v>42759</v>
      </c>
      <c r="J3177" s="35">
        <f t="shared" si="184"/>
        <v>0</v>
      </c>
      <c r="K3177" s="36"/>
      <c r="L3177" s="36"/>
      <c r="M3177" s="36"/>
      <c r="N3177" s="36"/>
      <c r="O3177" s="36"/>
      <c r="P3177" s="36"/>
      <c r="Q3177" s="36"/>
      <c r="R3177" s="36"/>
      <c r="S3177" s="36"/>
      <c r="T3177" s="36"/>
      <c r="U3177" s="36"/>
      <c r="V3177" s="36"/>
      <c r="W3177" s="15">
        <f t="shared" si="185"/>
        <v>0</v>
      </c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15">
        <f t="shared" si="186"/>
        <v>0</v>
      </c>
      <c r="AK3177" s="14"/>
      <c r="AL3177" s="14"/>
      <c r="AM3177" s="14"/>
      <c r="AN3177" s="14"/>
      <c r="AO3177" s="14"/>
      <c r="AP3177" s="14"/>
      <c r="AQ3177" s="14"/>
      <c r="AR3177" s="14"/>
      <c r="AS3177" s="14"/>
      <c r="AT3177" s="14"/>
      <c r="AU3177" s="14"/>
      <c r="AV3177" s="14"/>
      <c r="AW3177" s="15"/>
      <c r="AX3177" s="16" t="s">
        <v>3460</v>
      </c>
    </row>
    <row r="3178" spans="2:51" x14ac:dyDescent="0.2">
      <c r="B3178" s="7"/>
      <c r="C3178" s="8">
        <v>13687</v>
      </c>
      <c r="D3178" s="9" t="s">
        <v>871</v>
      </c>
      <c r="E3178" s="10" t="str">
        <f t="shared" ref="E3178:E3199" si="187">IF(D3178=0,"",VLOOKUP(D3178,BASE,2,FALSE))</f>
        <v>Rancho Upácuaro No. 68</v>
      </c>
      <c r="F3178" s="10" t="str">
        <f t="shared" ref="F3178:F3199" si="188">IF(D3178=0,"",VLOOKUP(D3178,BASE,3,FALSE))</f>
        <v>Colin Guerrero</v>
      </c>
      <c r="G3178" s="8">
        <v>5</v>
      </c>
      <c r="H3178" s="11">
        <v>50</v>
      </c>
      <c r="I3178" s="12">
        <v>42759</v>
      </c>
      <c r="J3178" s="35">
        <f t="shared" ref="J3178:J3199" si="189">IF(G3178=1,SUM(W3178,AJ3178,-H3178),0)</f>
        <v>0</v>
      </c>
      <c r="K3178" s="36"/>
      <c r="L3178" s="36"/>
      <c r="M3178" s="36"/>
      <c r="N3178" s="36"/>
      <c r="O3178" s="36"/>
      <c r="P3178" s="36"/>
      <c r="Q3178" s="36"/>
      <c r="R3178" s="36"/>
      <c r="S3178" s="36"/>
      <c r="T3178" s="36"/>
      <c r="U3178" s="36"/>
      <c r="V3178" s="36"/>
      <c r="W3178" s="15">
        <f t="shared" ref="W3178:W3199" si="190">SUM(K3178:V3178)</f>
        <v>0</v>
      </c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15">
        <f t="shared" ref="AJ3178:AJ3199" si="191">SUM(X3178:AI3178)</f>
        <v>0</v>
      </c>
      <c r="AK3178" s="14"/>
      <c r="AL3178" s="14"/>
      <c r="AM3178" s="14"/>
      <c r="AN3178" s="14"/>
      <c r="AO3178" s="14"/>
      <c r="AP3178" s="14"/>
      <c r="AQ3178" s="14"/>
      <c r="AR3178" s="14"/>
      <c r="AS3178" s="14"/>
      <c r="AT3178" s="14"/>
      <c r="AU3178" s="14"/>
      <c r="AV3178" s="14"/>
      <c r="AW3178" s="15"/>
      <c r="AX3178" s="16"/>
    </row>
    <row r="3179" spans="2:51" x14ac:dyDescent="0.2">
      <c r="B3179" s="7"/>
      <c r="C3179" s="8">
        <v>13688</v>
      </c>
      <c r="D3179" s="9" t="s">
        <v>960</v>
      </c>
      <c r="E3179" s="10" t="str">
        <f t="shared" si="187"/>
        <v>Rancho Landero No. 28</v>
      </c>
      <c r="F3179" s="10" t="str">
        <f t="shared" si="188"/>
        <v>Hernàndez Orteales</v>
      </c>
      <c r="G3179" s="8">
        <v>4</v>
      </c>
      <c r="H3179" s="11">
        <v>400</v>
      </c>
      <c r="I3179" s="12">
        <v>42760</v>
      </c>
      <c r="J3179" s="35">
        <f t="shared" si="189"/>
        <v>0</v>
      </c>
      <c r="K3179" s="36"/>
      <c r="L3179" s="36"/>
      <c r="M3179" s="36"/>
      <c r="N3179" s="36"/>
      <c r="O3179" s="36"/>
      <c r="P3179" s="36"/>
      <c r="Q3179" s="36"/>
      <c r="R3179" s="36"/>
      <c r="S3179" s="36"/>
      <c r="T3179" s="36"/>
      <c r="U3179" s="36"/>
      <c r="V3179" s="36"/>
      <c r="W3179" s="15">
        <f t="shared" si="190"/>
        <v>0</v>
      </c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15">
        <f t="shared" si="191"/>
        <v>0</v>
      </c>
      <c r="AK3179" s="14"/>
      <c r="AL3179" s="14"/>
      <c r="AM3179" s="14"/>
      <c r="AN3179" s="14"/>
      <c r="AO3179" s="14"/>
      <c r="AP3179" s="14"/>
      <c r="AQ3179" s="14"/>
      <c r="AR3179" s="14"/>
      <c r="AS3179" s="14"/>
      <c r="AT3179" s="14"/>
      <c r="AU3179" s="14"/>
      <c r="AV3179" s="14"/>
      <c r="AW3179" s="15"/>
      <c r="AX3179" s="16" t="s">
        <v>3461</v>
      </c>
    </row>
    <row r="3180" spans="2:51" x14ac:dyDescent="0.2">
      <c r="B3180" s="7"/>
      <c r="C3180" s="8">
        <v>13688</v>
      </c>
      <c r="D3180" s="9" t="s">
        <v>960</v>
      </c>
      <c r="E3180" s="10" t="str">
        <f t="shared" si="187"/>
        <v>Rancho Landero No. 28</v>
      </c>
      <c r="F3180" s="10" t="str">
        <f t="shared" si="188"/>
        <v>Hernàndez Orteales</v>
      </c>
      <c r="G3180" s="8">
        <v>5</v>
      </c>
      <c r="H3180" s="11">
        <v>100</v>
      </c>
      <c r="I3180" s="12">
        <v>42760</v>
      </c>
      <c r="J3180" s="35">
        <f t="shared" si="189"/>
        <v>0</v>
      </c>
      <c r="K3180" s="36"/>
      <c r="L3180" s="36"/>
      <c r="M3180" s="36"/>
      <c r="N3180" s="36"/>
      <c r="O3180" s="36"/>
      <c r="P3180" s="36"/>
      <c r="Q3180" s="36"/>
      <c r="R3180" s="36"/>
      <c r="S3180" s="36"/>
      <c r="T3180" s="36"/>
      <c r="U3180" s="36"/>
      <c r="V3180" s="36"/>
      <c r="W3180" s="15">
        <f t="shared" si="190"/>
        <v>0</v>
      </c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15">
        <f t="shared" si="191"/>
        <v>0</v>
      </c>
      <c r="AK3180" s="14"/>
      <c r="AL3180" s="14"/>
      <c r="AM3180" s="14"/>
      <c r="AN3180" s="14"/>
      <c r="AO3180" s="14"/>
      <c r="AP3180" s="14"/>
      <c r="AQ3180" s="14"/>
      <c r="AR3180" s="14"/>
      <c r="AS3180" s="14"/>
      <c r="AT3180" s="14"/>
      <c r="AU3180" s="14"/>
      <c r="AV3180" s="14"/>
      <c r="AW3180" s="15"/>
      <c r="AX3180" s="16"/>
    </row>
    <row r="3181" spans="2:51" x14ac:dyDescent="0.2">
      <c r="B3181" s="7"/>
      <c r="C3181" s="8">
        <v>13689</v>
      </c>
      <c r="D3181" s="9" t="s">
        <v>699</v>
      </c>
      <c r="E3181" s="10" t="str">
        <f t="shared" si="187"/>
        <v>Rancho La Cuchilla No. 18</v>
      </c>
      <c r="F3181" s="10" t="str">
        <f t="shared" si="188"/>
        <v>Aldana Sánchez</v>
      </c>
      <c r="G3181" s="8">
        <v>1</v>
      </c>
      <c r="H3181" s="11">
        <v>800</v>
      </c>
      <c r="I3181" s="12">
        <v>42760</v>
      </c>
      <c r="J3181" s="35">
        <f t="shared" si="189"/>
        <v>0</v>
      </c>
      <c r="K3181" s="36"/>
      <c r="L3181" s="36"/>
      <c r="M3181" s="36"/>
      <c r="N3181" s="36"/>
      <c r="O3181" s="36"/>
      <c r="P3181" s="36"/>
      <c r="Q3181" s="36"/>
      <c r="R3181" s="36"/>
      <c r="S3181" s="36"/>
      <c r="T3181" s="36"/>
      <c r="U3181" s="36"/>
      <c r="V3181" s="36">
        <v>400</v>
      </c>
      <c r="W3181" s="15">
        <f t="shared" si="190"/>
        <v>400</v>
      </c>
      <c r="X3181" s="36">
        <v>400</v>
      </c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15">
        <f t="shared" si="191"/>
        <v>400</v>
      </c>
      <c r="AK3181" s="14"/>
      <c r="AL3181" s="14"/>
      <c r="AM3181" s="14"/>
      <c r="AN3181" s="14"/>
      <c r="AO3181" s="14"/>
      <c r="AP3181" s="14"/>
      <c r="AQ3181" s="14"/>
      <c r="AR3181" s="14"/>
      <c r="AS3181" s="14"/>
      <c r="AT3181" s="14"/>
      <c r="AU3181" s="14"/>
      <c r="AV3181" s="14"/>
      <c r="AW3181" s="15"/>
      <c r="AX3181" s="16"/>
    </row>
    <row r="3182" spans="2:51" x14ac:dyDescent="0.2">
      <c r="B3182" s="7"/>
      <c r="C3182" s="8">
        <v>13690</v>
      </c>
      <c r="D3182" s="9" t="s">
        <v>960</v>
      </c>
      <c r="E3182" s="10" t="str">
        <f t="shared" si="187"/>
        <v>Rancho Landero No. 28</v>
      </c>
      <c r="F3182" s="10" t="str">
        <f t="shared" si="188"/>
        <v>Hernàndez Orteales</v>
      </c>
      <c r="G3182" s="8">
        <v>1</v>
      </c>
      <c r="H3182" s="11">
        <v>1600</v>
      </c>
      <c r="I3182" s="12">
        <v>42760</v>
      </c>
      <c r="J3182" s="35">
        <f t="shared" si="189"/>
        <v>0</v>
      </c>
      <c r="K3182" s="36"/>
      <c r="L3182" s="36"/>
      <c r="M3182" s="36"/>
      <c r="N3182" s="36"/>
      <c r="O3182" s="36"/>
      <c r="P3182" s="36"/>
      <c r="Q3182" s="36"/>
      <c r="R3182" s="36"/>
      <c r="S3182" s="36"/>
      <c r="T3182" s="36">
        <v>400</v>
      </c>
      <c r="U3182" s="36">
        <v>400</v>
      </c>
      <c r="V3182" s="36">
        <v>400</v>
      </c>
      <c r="W3182" s="15">
        <f t="shared" si="190"/>
        <v>1200</v>
      </c>
      <c r="X3182" s="36">
        <v>400</v>
      </c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15">
        <f t="shared" si="191"/>
        <v>400</v>
      </c>
      <c r="AK3182" s="14"/>
      <c r="AL3182" s="14"/>
      <c r="AM3182" s="14"/>
      <c r="AN3182" s="14"/>
      <c r="AO3182" s="14"/>
      <c r="AP3182" s="14"/>
      <c r="AQ3182" s="14"/>
      <c r="AR3182" s="14"/>
      <c r="AS3182" s="14"/>
      <c r="AT3182" s="14"/>
      <c r="AU3182" s="14"/>
      <c r="AV3182" s="14"/>
      <c r="AW3182" s="15"/>
      <c r="AX3182" s="16"/>
    </row>
    <row r="3183" spans="2:51" x14ac:dyDescent="0.2">
      <c r="B3183" s="7"/>
      <c r="C3183" s="8">
        <v>13691</v>
      </c>
      <c r="D3183" s="9" t="s">
        <v>1046</v>
      </c>
      <c r="E3183" s="10" t="str">
        <f t="shared" si="187"/>
        <v>Rancho Zinamba No. 40</v>
      </c>
      <c r="F3183" s="10" t="str">
        <f t="shared" si="188"/>
        <v>Correa Rojas</v>
      </c>
      <c r="G3183" s="8">
        <v>3</v>
      </c>
      <c r="H3183" s="11">
        <v>200</v>
      </c>
      <c r="I3183" s="12">
        <v>42760</v>
      </c>
      <c r="J3183" s="35">
        <f t="shared" si="189"/>
        <v>0</v>
      </c>
      <c r="K3183" s="36"/>
      <c r="L3183" s="36"/>
      <c r="M3183" s="36"/>
      <c r="N3183" s="36"/>
      <c r="O3183" s="36"/>
      <c r="P3183" s="36"/>
      <c r="Q3183" s="36"/>
      <c r="R3183" s="36"/>
      <c r="S3183" s="36"/>
      <c r="T3183" s="36"/>
      <c r="U3183" s="36"/>
      <c r="V3183" s="36"/>
      <c r="W3183" s="15">
        <f t="shared" si="190"/>
        <v>0</v>
      </c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15">
        <f t="shared" si="191"/>
        <v>0</v>
      </c>
      <c r="AK3183" s="14"/>
      <c r="AL3183" s="14"/>
      <c r="AM3183" s="14"/>
      <c r="AN3183" s="14"/>
      <c r="AO3183" s="14"/>
      <c r="AP3183" s="14"/>
      <c r="AQ3183" s="14"/>
      <c r="AR3183" s="14"/>
      <c r="AS3183" s="14"/>
      <c r="AT3183" s="14"/>
      <c r="AU3183" s="14"/>
      <c r="AV3183" s="14"/>
      <c r="AW3183" s="15"/>
      <c r="AX3183" s="16"/>
    </row>
    <row r="3184" spans="2:51" x14ac:dyDescent="0.2">
      <c r="B3184" s="7"/>
      <c r="C3184" s="8">
        <v>13692</v>
      </c>
      <c r="D3184" s="9" t="s">
        <v>758</v>
      </c>
      <c r="E3184" s="10" t="str">
        <f t="shared" si="187"/>
        <v>Rancho Upácuaro No. 52</v>
      </c>
      <c r="F3184" s="10" t="str">
        <f t="shared" si="188"/>
        <v>Velázquez V.</v>
      </c>
      <c r="G3184" s="8">
        <v>1</v>
      </c>
      <c r="H3184" s="11">
        <v>450</v>
      </c>
      <c r="I3184" s="12">
        <v>42761</v>
      </c>
      <c r="J3184" s="35">
        <f t="shared" si="189"/>
        <v>0</v>
      </c>
      <c r="K3184" s="36"/>
      <c r="L3184" s="36"/>
      <c r="M3184" s="36"/>
      <c r="N3184" s="36"/>
      <c r="O3184" s="36"/>
      <c r="P3184" s="36"/>
      <c r="Q3184" s="36"/>
      <c r="R3184" s="36"/>
      <c r="S3184" s="36"/>
      <c r="T3184" s="36"/>
      <c r="U3184" s="36">
        <v>150</v>
      </c>
      <c r="V3184" s="36">
        <v>150</v>
      </c>
      <c r="W3184" s="15">
        <f t="shared" si="190"/>
        <v>300</v>
      </c>
      <c r="X3184" s="36">
        <v>150</v>
      </c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15">
        <f t="shared" si="191"/>
        <v>150</v>
      </c>
      <c r="AK3184" s="14"/>
      <c r="AL3184" s="14"/>
      <c r="AM3184" s="14"/>
      <c r="AN3184" s="14"/>
      <c r="AO3184" s="14"/>
      <c r="AP3184" s="14"/>
      <c r="AQ3184" s="14"/>
      <c r="AR3184" s="14"/>
      <c r="AS3184" s="14"/>
      <c r="AT3184" s="14"/>
      <c r="AU3184" s="14"/>
      <c r="AV3184" s="14"/>
      <c r="AW3184" s="15"/>
      <c r="AX3184" s="16"/>
    </row>
    <row r="3185" spans="2:50" x14ac:dyDescent="0.2">
      <c r="B3185" s="7"/>
      <c r="C3185" s="8">
        <v>13693</v>
      </c>
      <c r="D3185" s="9" t="s">
        <v>758</v>
      </c>
      <c r="E3185" s="10" t="str">
        <f t="shared" si="187"/>
        <v>Rancho Upácuaro No. 52</v>
      </c>
      <c r="F3185" s="10" t="str">
        <f t="shared" si="188"/>
        <v>Velázquez V.</v>
      </c>
      <c r="G3185" s="8">
        <v>1</v>
      </c>
      <c r="H3185" s="11">
        <v>150</v>
      </c>
      <c r="I3185" s="12">
        <v>42761</v>
      </c>
      <c r="J3185" s="35">
        <f t="shared" si="189"/>
        <v>0</v>
      </c>
      <c r="K3185" s="36"/>
      <c r="L3185" s="36"/>
      <c r="M3185" s="36"/>
      <c r="N3185" s="36"/>
      <c r="O3185" s="36"/>
      <c r="P3185" s="36"/>
      <c r="Q3185" s="36"/>
      <c r="R3185" s="36"/>
      <c r="S3185" s="36"/>
      <c r="T3185" s="36"/>
      <c r="U3185" s="36"/>
      <c r="V3185" s="36"/>
      <c r="W3185" s="15">
        <f t="shared" si="190"/>
        <v>0</v>
      </c>
      <c r="X3185" s="36"/>
      <c r="Y3185" s="36">
        <v>150</v>
      </c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15">
        <f t="shared" si="191"/>
        <v>150</v>
      </c>
      <c r="AK3185" s="14"/>
      <c r="AL3185" s="14"/>
      <c r="AM3185" s="14"/>
      <c r="AN3185" s="14"/>
      <c r="AO3185" s="14"/>
      <c r="AP3185" s="14"/>
      <c r="AQ3185" s="14"/>
      <c r="AR3185" s="14"/>
      <c r="AS3185" s="14"/>
      <c r="AT3185" s="14"/>
      <c r="AU3185" s="14"/>
      <c r="AV3185" s="14"/>
      <c r="AW3185" s="15"/>
      <c r="AX3185" s="16"/>
    </row>
    <row r="3186" spans="2:50" x14ac:dyDescent="0.2">
      <c r="B3186" s="7"/>
      <c r="C3186" s="8">
        <v>13694</v>
      </c>
      <c r="D3186" s="9" t="s">
        <v>960</v>
      </c>
      <c r="E3186" s="10" t="str">
        <f t="shared" si="187"/>
        <v>Rancho Landero No. 28</v>
      </c>
      <c r="F3186" s="10" t="str">
        <f t="shared" si="188"/>
        <v>Hernàndez Orteales</v>
      </c>
      <c r="G3186" s="8">
        <v>3</v>
      </c>
      <c r="H3186" s="11">
        <v>600</v>
      </c>
      <c r="I3186" s="12">
        <v>42761</v>
      </c>
      <c r="J3186" s="35">
        <f t="shared" si="189"/>
        <v>0</v>
      </c>
      <c r="K3186" s="36"/>
      <c r="L3186" s="36"/>
      <c r="M3186" s="36"/>
      <c r="N3186" s="36"/>
      <c r="O3186" s="36"/>
      <c r="P3186" s="36"/>
      <c r="Q3186" s="36"/>
      <c r="R3186" s="36"/>
      <c r="S3186" s="36"/>
      <c r="T3186" s="36"/>
      <c r="U3186" s="36"/>
      <c r="V3186" s="36"/>
      <c r="W3186" s="15">
        <f t="shared" si="190"/>
        <v>0</v>
      </c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15">
        <f t="shared" si="191"/>
        <v>0</v>
      </c>
      <c r="AK3186" s="14"/>
      <c r="AL3186" s="14"/>
      <c r="AM3186" s="14"/>
      <c r="AN3186" s="14"/>
      <c r="AO3186" s="14"/>
      <c r="AP3186" s="14"/>
      <c r="AQ3186" s="14"/>
      <c r="AR3186" s="14"/>
      <c r="AS3186" s="14"/>
      <c r="AT3186" s="14"/>
      <c r="AU3186" s="14"/>
      <c r="AV3186" s="14"/>
      <c r="AW3186" s="15"/>
      <c r="AX3186" s="16"/>
    </row>
    <row r="3187" spans="2:50" x14ac:dyDescent="0.2">
      <c r="B3187" s="7"/>
      <c r="C3187" s="8">
        <v>13695</v>
      </c>
      <c r="D3187" s="9" t="s">
        <v>1160</v>
      </c>
      <c r="E3187" s="10" t="str">
        <f t="shared" si="187"/>
        <v>Calzada del Hueso No. A</v>
      </c>
      <c r="F3187" s="10" t="str">
        <f t="shared" si="188"/>
        <v>La Lechuga</v>
      </c>
      <c r="G3187" s="8">
        <v>1</v>
      </c>
      <c r="H3187" s="11">
        <v>200</v>
      </c>
      <c r="I3187" s="12">
        <v>42762</v>
      </c>
      <c r="J3187" s="35">
        <f t="shared" si="189"/>
        <v>0</v>
      </c>
      <c r="K3187" s="36"/>
      <c r="L3187" s="36"/>
      <c r="M3187" s="36"/>
      <c r="N3187" s="36"/>
      <c r="O3187" s="36"/>
      <c r="P3187" s="36"/>
      <c r="Q3187" s="36"/>
      <c r="R3187" s="36"/>
      <c r="S3187" s="36"/>
      <c r="T3187" s="36"/>
      <c r="U3187" s="36"/>
      <c r="V3187" s="36">
        <v>200</v>
      </c>
      <c r="W3187" s="15">
        <f t="shared" si="190"/>
        <v>200</v>
      </c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15">
        <f t="shared" si="191"/>
        <v>0</v>
      </c>
      <c r="AK3187" s="14"/>
      <c r="AL3187" s="14"/>
      <c r="AM3187" s="14"/>
      <c r="AN3187" s="14"/>
      <c r="AO3187" s="14"/>
      <c r="AP3187" s="14"/>
      <c r="AQ3187" s="14"/>
      <c r="AR3187" s="14"/>
      <c r="AS3187" s="14"/>
      <c r="AT3187" s="14"/>
      <c r="AU3187" s="14"/>
      <c r="AV3187" s="14"/>
      <c r="AW3187" s="15"/>
      <c r="AX3187" s="16"/>
    </row>
    <row r="3188" spans="2:50" x14ac:dyDescent="0.2">
      <c r="B3188" s="7"/>
      <c r="C3188" s="8">
        <v>13696</v>
      </c>
      <c r="D3188" s="9" t="s">
        <v>1046</v>
      </c>
      <c r="E3188" s="10" t="str">
        <f t="shared" si="187"/>
        <v>Rancho Zinamba No. 40</v>
      </c>
      <c r="F3188" s="10" t="str">
        <f t="shared" si="188"/>
        <v>Correa Rojas</v>
      </c>
      <c r="G3188" s="8">
        <v>1</v>
      </c>
      <c r="H3188" s="11">
        <v>100</v>
      </c>
      <c r="I3188" s="12">
        <v>42763</v>
      </c>
      <c r="J3188" s="35">
        <f t="shared" si="189"/>
        <v>0</v>
      </c>
      <c r="K3188" s="36"/>
      <c r="L3188" s="36"/>
      <c r="M3188" s="36"/>
      <c r="N3188" s="36"/>
      <c r="O3188" s="36"/>
      <c r="P3188" s="36"/>
      <c r="Q3188" s="36"/>
      <c r="R3188" s="36"/>
      <c r="S3188" s="36"/>
      <c r="T3188" s="36"/>
      <c r="U3188" s="36"/>
      <c r="V3188" s="36"/>
      <c r="W3188" s="15">
        <f t="shared" si="190"/>
        <v>0</v>
      </c>
      <c r="X3188" s="36"/>
      <c r="Y3188" s="36">
        <v>100</v>
      </c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15">
        <f t="shared" si="191"/>
        <v>100</v>
      </c>
      <c r="AK3188" s="14"/>
      <c r="AL3188" s="14"/>
      <c r="AM3188" s="14"/>
      <c r="AN3188" s="14"/>
      <c r="AO3188" s="14"/>
      <c r="AP3188" s="14"/>
      <c r="AQ3188" s="14"/>
      <c r="AR3188" s="14"/>
      <c r="AS3188" s="14"/>
      <c r="AT3188" s="14"/>
      <c r="AU3188" s="14"/>
      <c r="AV3188" s="14"/>
      <c r="AW3188" s="15"/>
      <c r="AX3188" s="16"/>
    </row>
    <row r="3189" spans="2:50" x14ac:dyDescent="0.2">
      <c r="B3189" s="7"/>
      <c r="C3189" s="8">
        <v>13697</v>
      </c>
      <c r="D3189" s="9" t="s">
        <v>971</v>
      </c>
      <c r="E3189" s="10" t="str">
        <f t="shared" si="187"/>
        <v>Rancho La Cuchilla No. 53</v>
      </c>
      <c r="F3189" s="10" t="str">
        <f t="shared" si="188"/>
        <v>Rivera Hernández</v>
      </c>
      <c r="G3189" s="8">
        <v>1</v>
      </c>
      <c r="H3189" s="11">
        <v>4400</v>
      </c>
      <c r="I3189" s="12">
        <v>42764</v>
      </c>
      <c r="J3189" s="35">
        <f t="shared" si="189"/>
        <v>0</v>
      </c>
      <c r="K3189" s="36"/>
      <c r="L3189" s="36"/>
      <c r="M3189" s="36"/>
      <c r="N3189" s="36"/>
      <c r="O3189" s="36"/>
      <c r="P3189" s="36"/>
      <c r="Q3189" s="36"/>
      <c r="R3189" s="36"/>
      <c r="S3189" s="36"/>
      <c r="T3189" s="36"/>
      <c r="U3189" s="36"/>
      <c r="V3189" s="36"/>
      <c r="W3189" s="15">
        <f t="shared" si="190"/>
        <v>0</v>
      </c>
      <c r="X3189" s="36">
        <v>400</v>
      </c>
      <c r="Y3189" s="36">
        <v>400</v>
      </c>
      <c r="Z3189" s="36">
        <v>400</v>
      </c>
      <c r="AA3189" s="36">
        <v>400</v>
      </c>
      <c r="AB3189" s="36">
        <v>400</v>
      </c>
      <c r="AC3189" s="36">
        <v>400</v>
      </c>
      <c r="AD3189" s="36">
        <v>400</v>
      </c>
      <c r="AE3189" s="36">
        <v>400</v>
      </c>
      <c r="AF3189" s="36">
        <v>400</v>
      </c>
      <c r="AG3189" s="36">
        <v>400</v>
      </c>
      <c r="AH3189" s="36">
        <v>400</v>
      </c>
      <c r="AI3189" s="36"/>
      <c r="AJ3189" s="15">
        <f t="shared" si="191"/>
        <v>4400</v>
      </c>
      <c r="AK3189" s="14"/>
      <c r="AL3189" s="14"/>
      <c r="AM3189" s="14"/>
      <c r="AN3189" s="14"/>
      <c r="AO3189" s="14"/>
      <c r="AP3189" s="14"/>
      <c r="AQ3189" s="14"/>
      <c r="AR3189" s="14"/>
      <c r="AS3189" s="14"/>
      <c r="AT3189" s="14"/>
      <c r="AU3189" s="14"/>
      <c r="AV3189" s="14"/>
      <c r="AW3189" s="15"/>
      <c r="AX3189" s="16" t="s">
        <v>3363</v>
      </c>
    </row>
    <row r="3190" spans="2:50" x14ac:dyDescent="0.2">
      <c r="B3190" s="7"/>
      <c r="C3190" s="8">
        <v>13697</v>
      </c>
      <c r="D3190" s="9" t="s">
        <v>971</v>
      </c>
      <c r="E3190" s="10" t="str">
        <f t="shared" si="187"/>
        <v>Rancho La Cuchilla No. 53</v>
      </c>
      <c r="F3190" s="10" t="str">
        <f t="shared" si="188"/>
        <v>Rivera Hernández</v>
      </c>
      <c r="G3190" s="8">
        <v>3</v>
      </c>
      <c r="H3190" s="11">
        <v>200</v>
      </c>
      <c r="I3190" s="12">
        <v>42764</v>
      </c>
      <c r="J3190" s="35">
        <f t="shared" si="189"/>
        <v>0</v>
      </c>
      <c r="K3190" s="36"/>
      <c r="L3190" s="36"/>
      <c r="M3190" s="36"/>
      <c r="N3190" s="36"/>
      <c r="O3190" s="36"/>
      <c r="P3190" s="36"/>
      <c r="Q3190" s="36"/>
      <c r="R3190" s="36"/>
      <c r="S3190" s="36"/>
      <c r="T3190" s="36"/>
      <c r="U3190" s="36"/>
      <c r="V3190" s="36"/>
      <c r="W3190" s="15">
        <f t="shared" si="190"/>
        <v>0</v>
      </c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15">
        <f t="shared" si="191"/>
        <v>0</v>
      </c>
      <c r="AK3190" s="14"/>
      <c r="AL3190" s="14"/>
      <c r="AM3190" s="14"/>
      <c r="AN3190" s="14"/>
      <c r="AO3190" s="14"/>
      <c r="AP3190" s="14"/>
      <c r="AQ3190" s="14"/>
      <c r="AR3190" s="14"/>
      <c r="AS3190" s="14"/>
      <c r="AT3190" s="14"/>
      <c r="AU3190" s="14"/>
      <c r="AV3190" s="14"/>
      <c r="AW3190" s="15"/>
      <c r="AX3190" s="16"/>
    </row>
    <row r="3191" spans="2:50" x14ac:dyDescent="0.2">
      <c r="B3191" s="7"/>
      <c r="C3191" s="8">
        <v>13698</v>
      </c>
      <c r="D3191" s="9" t="s">
        <v>135</v>
      </c>
      <c r="E3191" s="10" t="str">
        <f t="shared" si="187"/>
        <v>Rancho Upácuaro No. 70</v>
      </c>
      <c r="F3191" s="10" t="str">
        <f t="shared" si="188"/>
        <v>Ramírez Tejeda</v>
      </c>
      <c r="G3191" s="8">
        <v>1</v>
      </c>
      <c r="H3191" s="11">
        <v>300</v>
      </c>
      <c r="I3191" s="12">
        <v>42764</v>
      </c>
      <c r="J3191" s="35">
        <f t="shared" si="189"/>
        <v>0</v>
      </c>
      <c r="K3191" s="36"/>
      <c r="L3191" s="36"/>
      <c r="M3191" s="36"/>
      <c r="N3191" s="36"/>
      <c r="O3191" s="36"/>
      <c r="P3191" s="36"/>
      <c r="Q3191" s="36"/>
      <c r="R3191" s="36"/>
      <c r="S3191" s="36"/>
      <c r="T3191" s="36"/>
      <c r="U3191" s="36"/>
      <c r="V3191" s="36"/>
      <c r="W3191" s="15">
        <f t="shared" si="190"/>
        <v>0</v>
      </c>
      <c r="X3191" s="36"/>
      <c r="Y3191" s="36">
        <v>300</v>
      </c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15">
        <f t="shared" si="191"/>
        <v>300</v>
      </c>
      <c r="AK3191" s="14"/>
      <c r="AL3191" s="14"/>
      <c r="AM3191" s="14"/>
      <c r="AN3191" s="14"/>
      <c r="AO3191" s="14"/>
      <c r="AP3191" s="14"/>
      <c r="AQ3191" s="14"/>
      <c r="AR3191" s="14"/>
      <c r="AS3191" s="14"/>
      <c r="AT3191" s="14"/>
      <c r="AU3191" s="14"/>
      <c r="AV3191" s="14"/>
      <c r="AW3191" s="15"/>
      <c r="AX3191" s="16"/>
    </row>
    <row r="3192" spans="2:50" x14ac:dyDescent="0.2">
      <c r="B3192" s="7"/>
      <c r="C3192" s="8">
        <v>13699</v>
      </c>
      <c r="D3192" s="9" t="s">
        <v>325</v>
      </c>
      <c r="E3192" s="10" t="str">
        <f t="shared" si="187"/>
        <v>Rancho Upácuaro No. 120</v>
      </c>
      <c r="F3192" s="10" t="str">
        <f t="shared" si="188"/>
        <v>Rayas Rivera</v>
      </c>
      <c r="G3192" s="8">
        <v>1</v>
      </c>
      <c r="H3192" s="11">
        <v>400</v>
      </c>
      <c r="I3192" s="12">
        <v>42764</v>
      </c>
      <c r="J3192" s="35">
        <f t="shared" si="189"/>
        <v>0</v>
      </c>
      <c r="K3192" s="36"/>
      <c r="L3192" s="36"/>
      <c r="M3192" s="36"/>
      <c r="N3192" s="36"/>
      <c r="O3192" s="36"/>
      <c r="P3192" s="36"/>
      <c r="Q3192" s="36"/>
      <c r="R3192" s="36"/>
      <c r="S3192" s="36"/>
      <c r="T3192" s="36"/>
      <c r="U3192" s="36"/>
      <c r="V3192" s="36"/>
      <c r="W3192" s="15">
        <f t="shared" si="190"/>
        <v>0</v>
      </c>
      <c r="X3192" s="36"/>
      <c r="Y3192" s="36">
        <v>400</v>
      </c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15">
        <f t="shared" si="191"/>
        <v>400</v>
      </c>
      <c r="AK3192" s="14"/>
      <c r="AL3192" s="14"/>
      <c r="AM3192" s="14"/>
      <c r="AN3192" s="14"/>
      <c r="AO3192" s="14"/>
      <c r="AP3192" s="14"/>
      <c r="AQ3192" s="14"/>
      <c r="AR3192" s="14"/>
      <c r="AS3192" s="14"/>
      <c r="AT3192" s="14"/>
      <c r="AU3192" s="14"/>
      <c r="AV3192" s="14"/>
      <c r="AW3192" s="15"/>
      <c r="AX3192" s="16"/>
    </row>
    <row r="3193" spans="2:50" x14ac:dyDescent="0.2">
      <c r="B3193" s="7"/>
      <c r="C3193" s="8">
        <v>13700</v>
      </c>
      <c r="D3193" s="9" t="s">
        <v>352</v>
      </c>
      <c r="E3193" s="10" t="str">
        <f t="shared" si="187"/>
        <v>Rancho La Cuchilla No. 21</v>
      </c>
      <c r="F3193" s="10" t="str">
        <f t="shared" si="188"/>
        <v>Solórzano Calderón</v>
      </c>
      <c r="G3193" s="8">
        <v>1</v>
      </c>
      <c r="H3193" s="11">
        <v>4400</v>
      </c>
      <c r="I3193" s="12">
        <v>42764</v>
      </c>
      <c r="J3193" s="35">
        <f t="shared" si="189"/>
        <v>0</v>
      </c>
      <c r="K3193" s="36"/>
      <c r="L3193" s="36"/>
      <c r="M3193" s="36"/>
      <c r="N3193" s="36"/>
      <c r="O3193" s="36"/>
      <c r="P3193" s="36"/>
      <c r="Q3193" s="36"/>
      <c r="R3193" s="36"/>
      <c r="S3193" s="36"/>
      <c r="T3193" s="36"/>
      <c r="U3193" s="36"/>
      <c r="V3193" s="36"/>
      <c r="W3193" s="15">
        <f t="shared" si="190"/>
        <v>0</v>
      </c>
      <c r="X3193" s="36">
        <v>400</v>
      </c>
      <c r="Y3193" s="36">
        <v>400</v>
      </c>
      <c r="Z3193" s="36">
        <v>400</v>
      </c>
      <c r="AA3193" s="36">
        <v>400</v>
      </c>
      <c r="AB3193" s="36">
        <v>400</v>
      </c>
      <c r="AC3193" s="36">
        <v>400</v>
      </c>
      <c r="AD3193" s="36">
        <v>400</v>
      </c>
      <c r="AE3193" s="36">
        <v>400</v>
      </c>
      <c r="AF3193" s="36">
        <v>400</v>
      </c>
      <c r="AG3193" s="36">
        <v>400</v>
      </c>
      <c r="AH3193" s="36">
        <v>400</v>
      </c>
      <c r="AI3193" s="36"/>
      <c r="AJ3193" s="15">
        <f t="shared" si="191"/>
        <v>4400</v>
      </c>
      <c r="AK3193" s="14"/>
      <c r="AL3193" s="14"/>
      <c r="AM3193" s="14"/>
      <c r="AN3193" s="14"/>
      <c r="AO3193" s="14"/>
      <c r="AP3193" s="14"/>
      <c r="AQ3193" s="14"/>
      <c r="AR3193" s="14"/>
      <c r="AS3193" s="14"/>
      <c r="AT3193" s="14"/>
      <c r="AU3193" s="14"/>
      <c r="AV3193" s="14"/>
      <c r="AW3193" s="15"/>
      <c r="AX3193" s="16" t="s">
        <v>3363</v>
      </c>
    </row>
    <row r="3194" spans="2:50" x14ac:dyDescent="0.2">
      <c r="B3194" s="7"/>
      <c r="C3194" s="8">
        <v>13701</v>
      </c>
      <c r="D3194" s="9" t="s">
        <v>467</v>
      </c>
      <c r="E3194" s="10" t="str">
        <f t="shared" si="187"/>
        <v>Rancho Upácuaro No. 138</v>
      </c>
      <c r="F3194" s="10" t="str">
        <f t="shared" si="188"/>
        <v>Ramírez Valencia</v>
      </c>
      <c r="G3194" s="8">
        <v>1</v>
      </c>
      <c r="H3194" s="11">
        <v>800</v>
      </c>
      <c r="I3194" s="12">
        <v>42764</v>
      </c>
      <c r="J3194" s="35">
        <f t="shared" si="189"/>
        <v>0</v>
      </c>
      <c r="K3194" s="36"/>
      <c r="L3194" s="36"/>
      <c r="M3194" s="36"/>
      <c r="N3194" s="36"/>
      <c r="O3194" s="36"/>
      <c r="P3194" s="36"/>
      <c r="Q3194" s="36"/>
      <c r="R3194" s="36"/>
      <c r="S3194" s="36"/>
      <c r="T3194" s="36"/>
      <c r="U3194" s="36"/>
      <c r="V3194" s="36"/>
      <c r="W3194" s="15">
        <f t="shared" si="190"/>
        <v>0</v>
      </c>
      <c r="X3194" s="36">
        <v>400</v>
      </c>
      <c r="Y3194" s="36">
        <v>400</v>
      </c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15">
        <f t="shared" si="191"/>
        <v>800</v>
      </c>
      <c r="AK3194" s="14"/>
      <c r="AL3194" s="14"/>
      <c r="AM3194" s="14"/>
      <c r="AN3194" s="14"/>
      <c r="AO3194" s="14"/>
      <c r="AP3194" s="14"/>
      <c r="AQ3194" s="14"/>
      <c r="AR3194" s="14"/>
      <c r="AS3194" s="14"/>
      <c r="AT3194" s="14"/>
      <c r="AU3194" s="14"/>
      <c r="AV3194" s="14"/>
      <c r="AW3194" s="15"/>
      <c r="AX3194" s="16"/>
    </row>
    <row r="3195" spans="2:50" x14ac:dyDescent="0.2">
      <c r="B3195" s="7"/>
      <c r="C3195" s="8">
        <v>13702</v>
      </c>
      <c r="D3195" s="9" t="s">
        <v>103</v>
      </c>
      <c r="E3195" s="10" t="str">
        <f t="shared" si="187"/>
        <v>Rancho La Cuchilla No. 41</v>
      </c>
      <c r="F3195" s="10" t="str">
        <f t="shared" si="188"/>
        <v>Arriaga Lemus</v>
      </c>
      <c r="G3195" s="8">
        <v>1</v>
      </c>
      <c r="H3195" s="11">
        <v>400</v>
      </c>
      <c r="I3195" s="12">
        <v>42764</v>
      </c>
      <c r="J3195" s="35">
        <f t="shared" si="189"/>
        <v>0</v>
      </c>
      <c r="K3195" s="36"/>
      <c r="L3195" s="36"/>
      <c r="M3195" s="36"/>
      <c r="N3195" s="36"/>
      <c r="O3195" s="36"/>
      <c r="P3195" s="36"/>
      <c r="Q3195" s="36"/>
      <c r="R3195" s="36"/>
      <c r="S3195" s="36"/>
      <c r="T3195" s="36"/>
      <c r="U3195" s="36"/>
      <c r="V3195" s="36"/>
      <c r="W3195" s="15">
        <f t="shared" si="190"/>
        <v>0</v>
      </c>
      <c r="X3195" s="36">
        <v>400</v>
      </c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15">
        <f t="shared" si="191"/>
        <v>400</v>
      </c>
      <c r="AK3195" s="14"/>
      <c r="AL3195" s="14"/>
      <c r="AM3195" s="14"/>
      <c r="AN3195" s="14"/>
      <c r="AO3195" s="14"/>
      <c r="AP3195" s="14"/>
      <c r="AQ3195" s="14"/>
      <c r="AR3195" s="14"/>
      <c r="AS3195" s="14"/>
      <c r="AT3195" s="14"/>
      <c r="AU3195" s="14"/>
      <c r="AV3195" s="14"/>
      <c r="AW3195" s="15"/>
      <c r="AX3195" s="16"/>
    </row>
    <row r="3196" spans="2:50" x14ac:dyDescent="0.2">
      <c r="B3196" s="7"/>
      <c r="C3196" s="8">
        <v>13703</v>
      </c>
      <c r="D3196" s="9" t="s">
        <v>1331</v>
      </c>
      <c r="E3196" s="10" t="str">
        <f t="shared" si="187"/>
        <v>Rancho Estanzuela No. 43</v>
      </c>
      <c r="F3196" s="10" t="str">
        <f t="shared" si="188"/>
        <v>Granados</v>
      </c>
      <c r="G3196" s="8">
        <v>1</v>
      </c>
      <c r="H3196" s="11">
        <v>2000</v>
      </c>
      <c r="I3196" s="12">
        <v>42764</v>
      </c>
      <c r="J3196" s="35">
        <f t="shared" si="189"/>
        <v>0</v>
      </c>
      <c r="K3196" s="36"/>
      <c r="L3196" s="36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  <c r="W3196" s="15">
        <f t="shared" si="190"/>
        <v>0</v>
      </c>
      <c r="X3196" s="36"/>
      <c r="Y3196" s="36">
        <v>400</v>
      </c>
      <c r="Z3196" s="36">
        <v>400</v>
      </c>
      <c r="AA3196" s="36">
        <v>400</v>
      </c>
      <c r="AB3196" s="36">
        <v>400</v>
      </c>
      <c r="AC3196" s="36">
        <v>400</v>
      </c>
      <c r="AD3196" s="36"/>
      <c r="AE3196" s="36"/>
      <c r="AF3196" s="36"/>
      <c r="AG3196" s="36"/>
      <c r="AH3196" s="36"/>
      <c r="AI3196" s="36"/>
      <c r="AJ3196" s="15">
        <f t="shared" si="191"/>
        <v>2000</v>
      </c>
      <c r="AK3196" s="14"/>
      <c r="AL3196" s="14"/>
      <c r="AM3196" s="14"/>
      <c r="AN3196" s="14"/>
      <c r="AO3196" s="14"/>
      <c r="AP3196" s="14"/>
      <c r="AQ3196" s="14"/>
      <c r="AR3196" s="14"/>
      <c r="AS3196" s="14"/>
      <c r="AT3196" s="14"/>
      <c r="AU3196" s="14"/>
      <c r="AV3196" s="14"/>
      <c r="AW3196" s="15"/>
      <c r="AX3196" s="16"/>
    </row>
    <row r="3197" spans="2:50" x14ac:dyDescent="0.2">
      <c r="B3197" s="7"/>
      <c r="C3197" s="8">
        <v>13704</v>
      </c>
      <c r="D3197" s="9" t="s">
        <v>1331</v>
      </c>
      <c r="E3197" s="10" t="str">
        <f t="shared" si="187"/>
        <v>Rancho Estanzuela No. 43</v>
      </c>
      <c r="F3197" s="10" t="str">
        <f t="shared" si="188"/>
        <v>Granados</v>
      </c>
      <c r="G3197" s="8">
        <v>3</v>
      </c>
      <c r="H3197" s="11">
        <v>200</v>
      </c>
      <c r="I3197" s="12">
        <v>42764</v>
      </c>
      <c r="J3197" s="35">
        <f t="shared" si="189"/>
        <v>0</v>
      </c>
      <c r="K3197" s="36"/>
      <c r="L3197" s="36"/>
      <c r="M3197" s="36"/>
      <c r="N3197" s="36"/>
      <c r="O3197" s="36"/>
      <c r="P3197" s="36"/>
      <c r="Q3197" s="36"/>
      <c r="R3197" s="36"/>
      <c r="S3197" s="36"/>
      <c r="T3197" s="36"/>
      <c r="U3197" s="36"/>
      <c r="V3197" s="36"/>
      <c r="W3197" s="15">
        <f t="shared" si="190"/>
        <v>0</v>
      </c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15">
        <f t="shared" si="191"/>
        <v>0</v>
      </c>
      <c r="AK3197" s="14"/>
      <c r="AL3197" s="14"/>
      <c r="AM3197" s="14"/>
      <c r="AN3197" s="14"/>
      <c r="AO3197" s="14"/>
      <c r="AP3197" s="14"/>
      <c r="AQ3197" s="14"/>
      <c r="AR3197" s="14"/>
      <c r="AS3197" s="14"/>
      <c r="AT3197" s="14"/>
      <c r="AU3197" s="14"/>
      <c r="AV3197" s="14"/>
      <c r="AW3197" s="15"/>
      <c r="AX3197" s="16"/>
    </row>
    <row r="3198" spans="2:50" x14ac:dyDescent="0.2">
      <c r="B3198" s="7"/>
      <c r="C3198" s="8">
        <v>13704</v>
      </c>
      <c r="D3198" s="9" t="s">
        <v>1331</v>
      </c>
      <c r="E3198" s="10" t="str">
        <f t="shared" si="187"/>
        <v>Rancho Estanzuela No. 43</v>
      </c>
      <c r="F3198" s="10" t="str">
        <f t="shared" si="188"/>
        <v>Granados</v>
      </c>
      <c r="G3198" s="8">
        <v>4</v>
      </c>
      <c r="H3198" s="11">
        <v>600</v>
      </c>
      <c r="I3198" s="12">
        <v>42764</v>
      </c>
      <c r="J3198" s="35">
        <f t="shared" si="189"/>
        <v>0</v>
      </c>
      <c r="K3198" s="36"/>
      <c r="L3198" s="36"/>
      <c r="M3198" s="36"/>
      <c r="N3198" s="36"/>
      <c r="O3198" s="36"/>
      <c r="P3198" s="36"/>
      <c r="Q3198" s="36"/>
      <c r="R3198" s="36"/>
      <c r="S3198" s="36"/>
      <c r="T3198" s="36"/>
      <c r="U3198" s="36"/>
      <c r="V3198" s="36"/>
      <c r="W3198" s="15">
        <f t="shared" si="190"/>
        <v>0</v>
      </c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15">
        <f>SUM(X3198:AI3198)</f>
        <v>0</v>
      </c>
      <c r="AK3198" s="14"/>
      <c r="AL3198" s="14"/>
      <c r="AM3198" s="14"/>
      <c r="AN3198" s="14"/>
      <c r="AO3198" s="14"/>
      <c r="AP3198" s="14"/>
      <c r="AQ3198" s="14"/>
      <c r="AR3198" s="14"/>
      <c r="AS3198" s="14"/>
      <c r="AT3198" s="14"/>
      <c r="AU3198" s="14"/>
      <c r="AV3198" s="14"/>
      <c r="AW3198" s="15"/>
      <c r="AX3198" s="16" t="s">
        <v>3462</v>
      </c>
    </row>
    <row r="3199" spans="2:50" x14ac:dyDescent="0.2">
      <c r="B3199" s="7"/>
      <c r="C3199" s="8">
        <v>13704</v>
      </c>
      <c r="D3199" s="9" t="s">
        <v>1331</v>
      </c>
      <c r="E3199" s="10" t="str">
        <f t="shared" si="187"/>
        <v>Rancho Estanzuela No. 43</v>
      </c>
      <c r="F3199" s="10" t="str">
        <f t="shared" si="188"/>
        <v>Granados</v>
      </c>
      <c r="G3199" s="8">
        <v>5</v>
      </c>
      <c r="H3199" s="11">
        <v>200</v>
      </c>
      <c r="I3199" s="12">
        <v>42764</v>
      </c>
      <c r="J3199" s="35">
        <f t="shared" si="189"/>
        <v>0</v>
      </c>
      <c r="K3199" s="36"/>
      <c r="L3199" s="36"/>
      <c r="M3199" s="36"/>
      <c r="N3199" s="36"/>
      <c r="O3199" s="36"/>
      <c r="P3199" s="36"/>
      <c r="Q3199" s="36"/>
      <c r="R3199" s="36"/>
      <c r="S3199" s="36"/>
      <c r="T3199" s="36"/>
      <c r="U3199" s="36"/>
      <c r="V3199" s="36"/>
      <c r="W3199" s="15">
        <f t="shared" si="190"/>
        <v>0</v>
      </c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15">
        <f t="shared" si="191"/>
        <v>0</v>
      </c>
      <c r="AK3199" s="14"/>
      <c r="AL3199" s="14"/>
      <c r="AM3199" s="14"/>
      <c r="AN3199" s="14"/>
      <c r="AO3199" s="14"/>
      <c r="AP3199" s="14"/>
      <c r="AQ3199" s="14"/>
      <c r="AR3199" s="14"/>
      <c r="AS3199" s="14"/>
      <c r="AT3199" s="14"/>
      <c r="AU3199" s="14"/>
      <c r="AV3199" s="14"/>
      <c r="AW3199" s="15"/>
      <c r="AX3199" s="16"/>
    </row>
    <row r="3200" spans="2:50" x14ac:dyDescent="0.2">
      <c r="B3200" s="7"/>
      <c r="C3200" s="8">
        <v>13705</v>
      </c>
      <c r="D3200" s="9" t="s">
        <v>871</v>
      </c>
      <c r="E3200" s="10" t="str">
        <f t="shared" ref="E3200:E3209" si="192">IF(D3200=0,"",VLOOKUP(D3200,BASE,2,FALSE))</f>
        <v>Rancho Upácuaro No. 68</v>
      </c>
      <c r="F3200" s="10" t="str">
        <f t="shared" ref="F3200:F3209" si="193">IF(D3200=0,"",VLOOKUP(D3200,BASE,3,FALSE))</f>
        <v>Colin Guerrero</v>
      </c>
      <c r="G3200" s="8">
        <v>3</v>
      </c>
      <c r="H3200" s="11">
        <v>200</v>
      </c>
      <c r="I3200" s="12">
        <v>42764</v>
      </c>
      <c r="J3200" s="35">
        <f t="shared" ref="J3200:J3209" si="194">IF(G3200=1,SUM(W3200,AJ3200,-H3200),0)</f>
        <v>0</v>
      </c>
      <c r="K3200" s="36"/>
      <c r="L3200" s="36"/>
      <c r="M3200" s="36"/>
      <c r="N3200" s="36"/>
      <c r="O3200" s="36"/>
      <c r="P3200" s="36"/>
      <c r="Q3200" s="36"/>
      <c r="R3200" s="36"/>
      <c r="S3200" s="36"/>
      <c r="T3200" s="36"/>
      <c r="U3200" s="36"/>
      <c r="V3200" s="36"/>
      <c r="W3200" s="15">
        <f t="shared" ref="W3200:W3209" si="195">SUM(K3200:V3200)</f>
        <v>0</v>
      </c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15">
        <f t="shared" ref="AJ3200:AJ3209" si="196">SUM(X3200:AI3200)</f>
        <v>0</v>
      </c>
      <c r="AK3200" s="14"/>
      <c r="AL3200" s="14"/>
      <c r="AM3200" s="14"/>
      <c r="AN3200" s="14"/>
      <c r="AO3200" s="14"/>
      <c r="AP3200" s="14"/>
      <c r="AQ3200" s="14"/>
      <c r="AR3200" s="14"/>
      <c r="AS3200" s="14"/>
      <c r="AT3200" s="14"/>
      <c r="AU3200" s="14"/>
      <c r="AV3200" s="14"/>
      <c r="AW3200" s="15"/>
      <c r="AX3200" s="16"/>
    </row>
    <row r="3201" spans="2:50" x14ac:dyDescent="0.2">
      <c r="B3201" s="7"/>
      <c r="C3201" s="8">
        <v>13705</v>
      </c>
      <c r="D3201" s="9" t="s">
        <v>871</v>
      </c>
      <c r="E3201" s="10" t="str">
        <f t="shared" si="192"/>
        <v>Rancho Upácuaro No. 68</v>
      </c>
      <c r="F3201" s="10" t="str">
        <f t="shared" si="193"/>
        <v>Colin Guerrero</v>
      </c>
      <c r="G3201" s="8">
        <v>5</v>
      </c>
      <c r="H3201" s="11">
        <v>50</v>
      </c>
      <c r="I3201" s="12">
        <v>42764</v>
      </c>
      <c r="J3201" s="35">
        <f t="shared" si="194"/>
        <v>0</v>
      </c>
      <c r="K3201" s="36"/>
      <c r="L3201" s="36"/>
      <c r="M3201" s="36"/>
      <c r="N3201" s="36"/>
      <c r="O3201" s="36"/>
      <c r="P3201" s="36"/>
      <c r="Q3201" s="36"/>
      <c r="R3201" s="36"/>
      <c r="S3201" s="36"/>
      <c r="T3201" s="36"/>
      <c r="U3201" s="36"/>
      <c r="V3201" s="36"/>
      <c r="W3201" s="15">
        <f t="shared" si="195"/>
        <v>0</v>
      </c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15">
        <f t="shared" si="196"/>
        <v>0</v>
      </c>
      <c r="AK3201" s="14"/>
      <c r="AL3201" s="14"/>
      <c r="AM3201" s="14"/>
      <c r="AN3201" s="14"/>
      <c r="AO3201" s="14"/>
      <c r="AP3201" s="14"/>
      <c r="AQ3201" s="14"/>
      <c r="AR3201" s="14"/>
      <c r="AS3201" s="14"/>
      <c r="AT3201" s="14"/>
      <c r="AU3201" s="14"/>
      <c r="AV3201" s="14"/>
      <c r="AW3201" s="15"/>
      <c r="AX3201" s="16"/>
    </row>
    <row r="3202" spans="2:50" x14ac:dyDescent="0.2">
      <c r="B3202" s="7"/>
      <c r="C3202" s="8">
        <v>13706</v>
      </c>
      <c r="D3202" s="9" t="s">
        <v>794</v>
      </c>
      <c r="E3202" s="10" t="str">
        <f t="shared" si="192"/>
        <v>Rancho Landero No. 18</v>
      </c>
      <c r="F3202" s="10" t="str">
        <f t="shared" si="193"/>
        <v>Rosado</v>
      </c>
      <c r="G3202" s="8">
        <v>1</v>
      </c>
      <c r="H3202" s="11">
        <v>300</v>
      </c>
      <c r="I3202" s="12">
        <v>42764</v>
      </c>
      <c r="J3202" s="35">
        <f t="shared" si="194"/>
        <v>0</v>
      </c>
      <c r="K3202" s="36"/>
      <c r="L3202" s="36"/>
      <c r="M3202" s="36"/>
      <c r="N3202" s="36"/>
      <c r="O3202" s="36"/>
      <c r="P3202" s="36"/>
      <c r="Q3202" s="36"/>
      <c r="R3202" s="36"/>
      <c r="S3202" s="36"/>
      <c r="T3202" s="36"/>
      <c r="U3202" s="36"/>
      <c r="V3202" s="36"/>
      <c r="W3202" s="15">
        <f t="shared" si="195"/>
        <v>0</v>
      </c>
      <c r="X3202" s="36">
        <v>300</v>
      </c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15">
        <f t="shared" si="196"/>
        <v>300</v>
      </c>
      <c r="AK3202" s="14"/>
      <c r="AL3202" s="14"/>
      <c r="AM3202" s="14"/>
      <c r="AN3202" s="14"/>
      <c r="AO3202" s="14"/>
      <c r="AP3202" s="14"/>
      <c r="AQ3202" s="14"/>
      <c r="AR3202" s="14"/>
      <c r="AS3202" s="14"/>
      <c r="AT3202" s="14"/>
      <c r="AU3202" s="14"/>
      <c r="AV3202" s="14"/>
      <c r="AW3202" s="15"/>
      <c r="AX3202" s="16"/>
    </row>
    <row r="3203" spans="2:50" x14ac:dyDescent="0.2">
      <c r="B3203" s="7"/>
      <c r="C3203" s="8">
        <v>13707</v>
      </c>
      <c r="D3203" s="9" t="s">
        <v>437</v>
      </c>
      <c r="E3203" s="10" t="str">
        <f t="shared" si="192"/>
        <v>Rancho Upácuaro No. 47</v>
      </c>
      <c r="F3203" s="10" t="str">
        <f t="shared" si="193"/>
        <v>Flores Muñoz</v>
      </c>
      <c r="G3203" s="8">
        <v>3</v>
      </c>
      <c r="H3203" s="11">
        <v>200</v>
      </c>
      <c r="I3203" s="12">
        <v>42764</v>
      </c>
      <c r="J3203" s="35">
        <f t="shared" si="194"/>
        <v>0</v>
      </c>
      <c r="K3203" s="36"/>
      <c r="L3203" s="36"/>
      <c r="M3203" s="36"/>
      <c r="N3203" s="36"/>
      <c r="O3203" s="36"/>
      <c r="P3203" s="36"/>
      <c r="Q3203" s="36"/>
      <c r="R3203" s="36"/>
      <c r="S3203" s="36"/>
      <c r="T3203" s="36"/>
      <c r="U3203" s="36"/>
      <c r="V3203" s="36"/>
      <c r="W3203" s="15">
        <f t="shared" si="195"/>
        <v>0</v>
      </c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15">
        <f t="shared" si="196"/>
        <v>0</v>
      </c>
      <c r="AK3203" s="14"/>
      <c r="AL3203" s="14"/>
      <c r="AM3203" s="14"/>
      <c r="AN3203" s="14"/>
      <c r="AO3203" s="14"/>
      <c r="AP3203" s="14"/>
      <c r="AQ3203" s="14"/>
      <c r="AR3203" s="14"/>
      <c r="AS3203" s="14"/>
      <c r="AT3203" s="14"/>
      <c r="AU3203" s="14"/>
      <c r="AV3203" s="14"/>
      <c r="AW3203" s="15"/>
      <c r="AX3203" s="16"/>
    </row>
    <row r="3204" spans="2:50" x14ac:dyDescent="0.2">
      <c r="B3204" s="7"/>
      <c r="C3204" s="8">
        <v>13708</v>
      </c>
      <c r="D3204" s="9" t="s">
        <v>1055</v>
      </c>
      <c r="E3204" s="10" t="str">
        <f t="shared" si="192"/>
        <v>Rancho Estanzuela No. 119, 4</v>
      </c>
      <c r="F3204" s="10" t="str">
        <f t="shared" si="193"/>
        <v>Pérez Martínez</v>
      </c>
      <c r="G3204" s="8">
        <v>1</v>
      </c>
      <c r="H3204" s="11">
        <v>400</v>
      </c>
      <c r="I3204" s="12">
        <v>42764</v>
      </c>
      <c r="J3204" s="35">
        <f t="shared" si="194"/>
        <v>0</v>
      </c>
      <c r="K3204" s="36"/>
      <c r="L3204" s="36"/>
      <c r="M3204" s="36"/>
      <c r="N3204" s="36"/>
      <c r="O3204" s="36"/>
      <c r="P3204" s="36"/>
      <c r="Q3204" s="36"/>
      <c r="R3204" s="36"/>
      <c r="S3204" s="36"/>
      <c r="T3204" s="36"/>
      <c r="U3204" s="36"/>
      <c r="V3204" s="36">
        <v>200</v>
      </c>
      <c r="W3204" s="15">
        <f t="shared" si="195"/>
        <v>200</v>
      </c>
      <c r="X3204" s="36">
        <v>200</v>
      </c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15">
        <f t="shared" si="196"/>
        <v>200</v>
      </c>
      <c r="AK3204" s="14"/>
      <c r="AL3204" s="14"/>
      <c r="AM3204" s="14"/>
      <c r="AN3204" s="14"/>
      <c r="AO3204" s="14"/>
      <c r="AP3204" s="14"/>
      <c r="AQ3204" s="14"/>
      <c r="AR3204" s="14"/>
      <c r="AS3204" s="14"/>
      <c r="AT3204" s="14"/>
      <c r="AU3204" s="14"/>
      <c r="AV3204" s="14"/>
      <c r="AW3204" s="15"/>
      <c r="AX3204" s="16"/>
    </row>
    <row r="3205" spans="2:50" x14ac:dyDescent="0.2">
      <c r="B3205" s="7"/>
      <c r="C3205" s="8">
        <v>13709</v>
      </c>
      <c r="D3205" s="9" t="s">
        <v>785</v>
      </c>
      <c r="E3205" s="10" t="str">
        <f t="shared" si="192"/>
        <v>Rancho Estanzuela No. 61</v>
      </c>
      <c r="F3205" s="10" t="str">
        <f t="shared" si="193"/>
        <v>González Almazán</v>
      </c>
      <c r="G3205" s="8">
        <v>1</v>
      </c>
      <c r="H3205" s="11">
        <v>200</v>
      </c>
      <c r="I3205" s="12">
        <v>42764</v>
      </c>
      <c r="J3205" s="35">
        <f t="shared" si="194"/>
        <v>0</v>
      </c>
      <c r="K3205" s="36"/>
      <c r="L3205" s="36"/>
      <c r="M3205" s="36"/>
      <c r="N3205" s="36"/>
      <c r="O3205" s="36"/>
      <c r="P3205" s="36"/>
      <c r="Q3205" s="36"/>
      <c r="R3205" s="36"/>
      <c r="S3205" s="36"/>
      <c r="T3205" s="36"/>
      <c r="U3205" s="36"/>
      <c r="V3205" s="36"/>
      <c r="W3205" s="15">
        <f t="shared" si="195"/>
        <v>0</v>
      </c>
      <c r="X3205" s="36">
        <v>200</v>
      </c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15">
        <f t="shared" si="196"/>
        <v>200</v>
      </c>
      <c r="AK3205" s="14"/>
      <c r="AL3205" s="14"/>
      <c r="AM3205" s="14"/>
      <c r="AN3205" s="14"/>
      <c r="AO3205" s="14"/>
      <c r="AP3205" s="14"/>
      <c r="AQ3205" s="14"/>
      <c r="AR3205" s="14"/>
      <c r="AS3205" s="14"/>
      <c r="AT3205" s="14"/>
      <c r="AU3205" s="14"/>
      <c r="AV3205" s="14"/>
      <c r="AW3205" s="15"/>
      <c r="AX3205" s="16"/>
    </row>
    <row r="3206" spans="2:50" x14ac:dyDescent="0.2">
      <c r="B3206" s="7"/>
      <c r="C3206" s="8">
        <v>13710</v>
      </c>
      <c r="D3206" s="9" t="s">
        <v>538</v>
      </c>
      <c r="E3206" s="10" t="str">
        <f t="shared" si="192"/>
        <v>Rancho Landero No. 73</v>
      </c>
      <c r="F3206" s="10" t="str">
        <f t="shared" si="193"/>
        <v>Islas Palacios</v>
      </c>
      <c r="G3206" s="8">
        <v>1</v>
      </c>
      <c r="H3206" s="11">
        <v>400</v>
      </c>
      <c r="I3206" s="12">
        <v>42764</v>
      </c>
      <c r="J3206" s="35">
        <f t="shared" si="194"/>
        <v>0</v>
      </c>
      <c r="K3206" s="36"/>
      <c r="L3206" s="36"/>
      <c r="M3206" s="36"/>
      <c r="N3206" s="36"/>
      <c r="O3206" s="36"/>
      <c r="P3206" s="36"/>
      <c r="Q3206" s="36"/>
      <c r="R3206" s="36"/>
      <c r="S3206" s="36"/>
      <c r="T3206" s="36"/>
      <c r="U3206" s="36"/>
      <c r="V3206" s="36"/>
      <c r="W3206" s="15">
        <f t="shared" si="195"/>
        <v>0</v>
      </c>
      <c r="X3206" s="36">
        <v>400</v>
      </c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15">
        <f t="shared" si="196"/>
        <v>400</v>
      </c>
      <c r="AK3206" s="14"/>
      <c r="AL3206" s="14"/>
      <c r="AM3206" s="14"/>
      <c r="AN3206" s="14"/>
      <c r="AO3206" s="14"/>
      <c r="AP3206" s="14"/>
      <c r="AQ3206" s="14"/>
      <c r="AR3206" s="14"/>
      <c r="AS3206" s="14"/>
      <c r="AT3206" s="14"/>
      <c r="AU3206" s="14"/>
      <c r="AV3206" s="14"/>
      <c r="AW3206" s="15"/>
      <c r="AX3206" s="16"/>
    </row>
    <row r="3207" spans="2:50" x14ac:dyDescent="0.2">
      <c r="B3207" s="7"/>
      <c r="C3207" s="8">
        <v>13711</v>
      </c>
      <c r="D3207" s="9" t="s">
        <v>413</v>
      </c>
      <c r="E3207" s="10" t="str">
        <f t="shared" si="192"/>
        <v>Rancho Upácuaro No. 79</v>
      </c>
      <c r="F3207" s="10" t="str">
        <f t="shared" si="193"/>
        <v>Macías</v>
      </c>
      <c r="G3207" s="8">
        <v>1</v>
      </c>
      <c r="H3207" s="11">
        <v>1200</v>
      </c>
      <c r="I3207" s="12">
        <v>42764</v>
      </c>
      <c r="J3207" s="35">
        <f t="shared" si="194"/>
        <v>0</v>
      </c>
      <c r="K3207" s="36"/>
      <c r="L3207" s="36"/>
      <c r="M3207" s="36"/>
      <c r="N3207" s="36"/>
      <c r="O3207" s="36"/>
      <c r="P3207" s="36"/>
      <c r="Q3207" s="36"/>
      <c r="R3207" s="36"/>
      <c r="S3207" s="36"/>
      <c r="T3207" s="36"/>
      <c r="U3207" s="36"/>
      <c r="V3207" s="36"/>
      <c r="W3207" s="15">
        <f t="shared" si="195"/>
        <v>0</v>
      </c>
      <c r="X3207" s="36">
        <v>400</v>
      </c>
      <c r="Y3207" s="36">
        <v>400</v>
      </c>
      <c r="Z3207" s="36">
        <v>400</v>
      </c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15">
        <f t="shared" si="196"/>
        <v>1200</v>
      </c>
      <c r="AK3207" s="14"/>
      <c r="AL3207" s="14"/>
      <c r="AM3207" s="14"/>
      <c r="AN3207" s="14"/>
      <c r="AO3207" s="14"/>
      <c r="AP3207" s="14"/>
      <c r="AQ3207" s="14"/>
      <c r="AR3207" s="14"/>
      <c r="AS3207" s="14"/>
      <c r="AT3207" s="14"/>
      <c r="AU3207" s="14"/>
      <c r="AV3207" s="14"/>
      <c r="AW3207" s="15"/>
      <c r="AX3207" s="16"/>
    </row>
    <row r="3208" spans="2:50" x14ac:dyDescent="0.2">
      <c r="B3208" s="7"/>
      <c r="C3208" s="8">
        <v>13712</v>
      </c>
      <c r="D3208" s="9" t="s">
        <v>743</v>
      </c>
      <c r="E3208" s="10" t="str">
        <f t="shared" si="192"/>
        <v>Rancho Upácuaro No. 106</v>
      </c>
      <c r="F3208" s="10" t="str">
        <f t="shared" si="193"/>
        <v>Hernández Sánchez</v>
      </c>
      <c r="G3208" s="8">
        <v>1</v>
      </c>
      <c r="H3208" s="11">
        <v>800</v>
      </c>
      <c r="I3208" s="12">
        <v>42764</v>
      </c>
      <c r="J3208" s="35">
        <f t="shared" si="194"/>
        <v>0</v>
      </c>
      <c r="K3208" s="36"/>
      <c r="L3208" s="36"/>
      <c r="M3208" s="36"/>
      <c r="N3208" s="36"/>
      <c r="O3208" s="36"/>
      <c r="P3208" s="36"/>
      <c r="Q3208" s="36"/>
      <c r="R3208" s="36">
        <v>400</v>
      </c>
      <c r="S3208" s="36">
        <v>400</v>
      </c>
      <c r="T3208" s="36"/>
      <c r="U3208" s="36"/>
      <c r="V3208" s="36"/>
      <c r="W3208" s="15">
        <f t="shared" si="195"/>
        <v>800</v>
      </c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15">
        <f t="shared" si="196"/>
        <v>0</v>
      </c>
      <c r="AK3208" s="14"/>
      <c r="AL3208" s="14"/>
      <c r="AM3208" s="14"/>
      <c r="AN3208" s="14"/>
      <c r="AO3208" s="14"/>
      <c r="AP3208" s="14"/>
      <c r="AQ3208" s="14"/>
      <c r="AR3208" s="14"/>
      <c r="AS3208" s="14"/>
      <c r="AT3208" s="14"/>
      <c r="AU3208" s="14"/>
      <c r="AV3208" s="14"/>
      <c r="AW3208" s="15"/>
      <c r="AX3208" s="16"/>
    </row>
    <row r="3209" spans="2:50" x14ac:dyDescent="0.2">
      <c r="B3209" s="7"/>
      <c r="C3209" s="8">
        <v>13713</v>
      </c>
      <c r="D3209" s="9" t="s">
        <v>177</v>
      </c>
      <c r="E3209" s="10" t="str">
        <f t="shared" si="192"/>
        <v>Rancho Landero No. 71</v>
      </c>
      <c r="F3209" s="10" t="str">
        <f t="shared" si="193"/>
        <v xml:space="preserve">Luna  </v>
      </c>
      <c r="G3209" s="8">
        <v>1</v>
      </c>
      <c r="H3209" s="11">
        <v>400</v>
      </c>
      <c r="I3209" s="12">
        <v>42764</v>
      </c>
      <c r="J3209" s="35">
        <f t="shared" si="194"/>
        <v>0</v>
      </c>
      <c r="K3209" s="36"/>
      <c r="L3209" s="36"/>
      <c r="M3209" s="36"/>
      <c r="N3209" s="36"/>
      <c r="O3209" s="36"/>
      <c r="P3209" s="36"/>
      <c r="Q3209" s="36"/>
      <c r="R3209" s="36"/>
      <c r="S3209" s="36"/>
      <c r="T3209" s="36"/>
      <c r="U3209" s="36"/>
      <c r="V3209" s="36"/>
      <c r="W3209" s="15">
        <f t="shared" si="195"/>
        <v>0</v>
      </c>
      <c r="X3209" s="36"/>
      <c r="Y3209" s="36">
        <v>400</v>
      </c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15">
        <f t="shared" si="196"/>
        <v>400</v>
      </c>
      <c r="AK3209" s="14"/>
      <c r="AL3209" s="14"/>
      <c r="AM3209" s="14"/>
      <c r="AN3209" s="14"/>
      <c r="AO3209" s="14"/>
      <c r="AP3209" s="14"/>
      <c r="AQ3209" s="14"/>
      <c r="AR3209" s="14"/>
      <c r="AS3209" s="14"/>
      <c r="AT3209" s="14"/>
      <c r="AU3209" s="14"/>
      <c r="AV3209" s="14"/>
      <c r="AW3209" s="15"/>
      <c r="AX3209" s="16"/>
    </row>
    <row r="3210" spans="2:50" x14ac:dyDescent="0.2">
      <c r="B3210" s="7"/>
      <c r="C3210" s="8">
        <v>13714</v>
      </c>
      <c r="D3210" s="9" t="s">
        <v>295</v>
      </c>
      <c r="E3210" s="10" t="str">
        <f t="shared" ref="E3210:E3221" si="197">IF(D3210=0,"",VLOOKUP(D3210,BASE,2,FALSE))</f>
        <v>Rancho Landero No. 99</v>
      </c>
      <c r="F3210" s="10" t="str">
        <f t="shared" ref="F3210:F3221" si="198">IF(D3210=0,"",VLOOKUP(D3210,BASE,3,FALSE))</f>
        <v>Rangel</v>
      </c>
      <c r="G3210" s="8">
        <v>1</v>
      </c>
      <c r="H3210" s="11">
        <v>300</v>
      </c>
      <c r="I3210" s="12">
        <v>42764</v>
      </c>
      <c r="J3210" s="35">
        <f t="shared" ref="J3210:J3221" si="199">IF(G3210=1,SUM(W3210,AJ3210,-H3210),0)</f>
        <v>0</v>
      </c>
      <c r="K3210" s="36"/>
      <c r="L3210" s="36"/>
      <c r="M3210" s="36"/>
      <c r="N3210" s="36"/>
      <c r="O3210" s="36"/>
      <c r="P3210" s="36"/>
      <c r="Q3210" s="36"/>
      <c r="R3210" s="36"/>
      <c r="S3210" s="36"/>
      <c r="T3210" s="36"/>
      <c r="U3210" s="36"/>
      <c r="V3210" s="36"/>
      <c r="W3210" s="15">
        <f t="shared" ref="W3210:W3221" si="200">SUM(K3210:V3210)</f>
        <v>0</v>
      </c>
      <c r="X3210" s="36">
        <v>300</v>
      </c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15">
        <f t="shared" ref="AJ3210:AJ3221" si="201">SUM(X3210:AI3210)</f>
        <v>300</v>
      </c>
      <c r="AK3210" s="14"/>
      <c r="AL3210" s="14"/>
      <c r="AM3210" s="14"/>
      <c r="AN3210" s="14"/>
      <c r="AO3210" s="14"/>
      <c r="AP3210" s="14"/>
      <c r="AQ3210" s="14"/>
      <c r="AR3210" s="14"/>
      <c r="AS3210" s="14"/>
      <c r="AT3210" s="14"/>
      <c r="AU3210" s="14"/>
      <c r="AV3210" s="14"/>
      <c r="AW3210" s="15"/>
      <c r="AX3210" s="16"/>
    </row>
    <row r="3211" spans="2:50" x14ac:dyDescent="0.2">
      <c r="B3211" s="7"/>
      <c r="C3211" s="8">
        <v>13715</v>
      </c>
      <c r="D3211" s="9"/>
      <c r="E3211" s="10" t="str">
        <f t="shared" si="197"/>
        <v/>
      </c>
      <c r="F3211" s="10" t="str">
        <f t="shared" si="198"/>
        <v/>
      </c>
      <c r="G3211" s="8">
        <v>8</v>
      </c>
      <c r="H3211" s="11"/>
      <c r="I3211" s="12"/>
      <c r="J3211" s="35">
        <f t="shared" si="199"/>
        <v>0</v>
      </c>
      <c r="K3211" s="36"/>
      <c r="L3211" s="36"/>
      <c r="M3211" s="36"/>
      <c r="N3211" s="36"/>
      <c r="O3211" s="36"/>
      <c r="P3211" s="36"/>
      <c r="Q3211" s="36"/>
      <c r="R3211" s="36"/>
      <c r="S3211" s="36"/>
      <c r="T3211" s="36"/>
      <c r="U3211" s="36"/>
      <c r="V3211" s="36"/>
      <c r="W3211" s="15">
        <f t="shared" si="200"/>
        <v>0</v>
      </c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15">
        <f t="shared" si="201"/>
        <v>0</v>
      </c>
      <c r="AK3211" s="14"/>
      <c r="AL3211" s="14"/>
      <c r="AM3211" s="14"/>
      <c r="AN3211" s="14"/>
      <c r="AO3211" s="14"/>
      <c r="AP3211" s="14"/>
      <c r="AQ3211" s="14"/>
      <c r="AR3211" s="14"/>
      <c r="AS3211" s="14"/>
      <c r="AT3211" s="14"/>
      <c r="AU3211" s="14"/>
      <c r="AV3211" s="14"/>
      <c r="AW3211" s="15"/>
      <c r="AX3211" s="16"/>
    </row>
    <row r="3212" spans="2:50" x14ac:dyDescent="0.2">
      <c r="B3212" s="7"/>
      <c r="C3212" s="8">
        <v>13716</v>
      </c>
      <c r="D3212" s="9" t="s">
        <v>1299</v>
      </c>
      <c r="E3212" s="10" t="str">
        <f t="shared" si="197"/>
        <v>Rancho La Cuchilla No. 107</v>
      </c>
      <c r="F3212" s="10" t="str">
        <f t="shared" si="198"/>
        <v>Quiñones, Eduardo</v>
      </c>
      <c r="G3212" s="8">
        <v>5</v>
      </c>
      <c r="H3212" s="11">
        <v>50</v>
      </c>
      <c r="I3212" s="12">
        <v>42764</v>
      </c>
      <c r="J3212" s="35">
        <f t="shared" si="199"/>
        <v>0</v>
      </c>
      <c r="K3212" s="36"/>
      <c r="L3212" s="36"/>
      <c r="M3212" s="36"/>
      <c r="N3212" s="36"/>
      <c r="O3212" s="36"/>
      <c r="P3212" s="36"/>
      <c r="Q3212" s="36"/>
      <c r="R3212" s="36"/>
      <c r="S3212" s="36"/>
      <c r="T3212" s="36"/>
      <c r="U3212" s="36"/>
      <c r="V3212" s="36"/>
      <c r="W3212" s="15">
        <f t="shared" si="200"/>
        <v>0</v>
      </c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15">
        <f t="shared" si="201"/>
        <v>0</v>
      </c>
      <c r="AK3212" s="14"/>
      <c r="AL3212" s="14"/>
      <c r="AM3212" s="14"/>
      <c r="AN3212" s="14"/>
      <c r="AO3212" s="14"/>
      <c r="AP3212" s="14"/>
      <c r="AQ3212" s="14"/>
      <c r="AR3212" s="14"/>
      <c r="AS3212" s="14"/>
      <c r="AT3212" s="14"/>
      <c r="AU3212" s="14"/>
      <c r="AV3212" s="14"/>
      <c r="AW3212" s="15"/>
      <c r="AX3212" s="16"/>
    </row>
    <row r="3213" spans="2:50" x14ac:dyDescent="0.2">
      <c r="B3213" s="7"/>
      <c r="C3213" s="8">
        <v>13717</v>
      </c>
      <c r="D3213" s="9" t="s">
        <v>310</v>
      </c>
      <c r="E3213" s="10" t="str">
        <f t="shared" si="197"/>
        <v>Rancho Recoveco No. 181</v>
      </c>
      <c r="F3213" s="10" t="str">
        <f t="shared" si="198"/>
        <v>Castillo</v>
      </c>
      <c r="G3213" s="8">
        <v>1</v>
      </c>
      <c r="H3213" s="11">
        <v>400</v>
      </c>
      <c r="I3213" s="12">
        <v>42764</v>
      </c>
      <c r="J3213" s="35">
        <f t="shared" si="199"/>
        <v>0</v>
      </c>
      <c r="K3213" s="36"/>
      <c r="L3213" s="36"/>
      <c r="M3213" s="36"/>
      <c r="N3213" s="36"/>
      <c r="O3213" s="36"/>
      <c r="P3213" s="36"/>
      <c r="Q3213" s="36"/>
      <c r="R3213" s="36"/>
      <c r="S3213" s="36"/>
      <c r="T3213" s="36"/>
      <c r="U3213" s="36"/>
      <c r="V3213" s="36"/>
      <c r="W3213" s="15">
        <f t="shared" si="200"/>
        <v>0</v>
      </c>
      <c r="X3213" s="36">
        <v>400</v>
      </c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15">
        <f t="shared" si="201"/>
        <v>400</v>
      </c>
      <c r="AK3213" s="14"/>
      <c r="AL3213" s="14"/>
      <c r="AM3213" s="14"/>
      <c r="AN3213" s="14"/>
      <c r="AO3213" s="14"/>
      <c r="AP3213" s="14"/>
      <c r="AQ3213" s="14"/>
      <c r="AR3213" s="14"/>
      <c r="AS3213" s="14"/>
      <c r="AT3213" s="14"/>
      <c r="AU3213" s="14"/>
      <c r="AV3213" s="14"/>
      <c r="AW3213" s="15"/>
      <c r="AX3213" s="16"/>
    </row>
    <row r="3214" spans="2:50" x14ac:dyDescent="0.2">
      <c r="B3214" s="7"/>
      <c r="C3214" s="8">
        <v>13718</v>
      </c>
      <c r="D3214" s="9" t="s">
        <v>452</v>
      </c>
      <c r="E3214" s="10" t="str">
        <f t="shared" si="197"/>
        <v>Rancho Upácuaro No. 78</v>
      </c>
      <c r="F3214" s="10" t="str">
        <f t="shared" si="198"/>
        <v>Villaseñor Carranza</v>
      </c>
      <c r="G3214" s="8">
        <v>1</v>
      </c>
      <c r="H3214" s="11">
        <v>4400</v>
      </c>
      <c r="I3214" s="12">
        <v>42764</v>
      </c>
      <c r="J3214" s="35">
        <f t="shared" si="199"/>
        <v>0</v>
      </c>
      <c r="K3214" s="36"/>
      <c r="L3214" s="36"/>
      <c r="M3214" s="36"/>
      <c r="N3214" s="36"/>
      <c r="O3214" s="36"/>
      <c r="P3214" s="36"/>
      <c r="Q3214" s="36"/>
      <c r="R3214" s="36"/>
      <c r="S3214" s="36"/>
      <c r="T3214" s="36"/>
      <c r="U3214" s="36"/>
      <c r="V3214" s="36"/>
      <c r="W3214" s="15">
        <f t="shared" si="200"/>
        <v>0</v>
      </c>
      <c r="X3214" s="36">
        <v>400</v>
      </c>
      <c r="Y3214" s="36">
        <v>400</v>
      </c>
      <c r="Z3214" s="36">
        <v>400</v>
      </c>
      <c r="AA3214" s="36">
        <v>400</v>
      </c>
      <c r="AB3214" s="36">
        <v>400</v>
      </c>
      <c r="AC3214" s="36">
        <v>400</v>
      </c>
      <c r="AD3214" s="36">
        <v>400</v>
      </c>
      <c r="AE3214" s="36">
        <v>400</v>
      </c>
      <c r="AF3214" s="36">
        <v>400</v>
      </c>
      <c r="AG3214" s="36">
        <v>400</v>
      </c>
      <c r="AH3214" s="36">
        <v>400</v>
      </c>
      <c r="AI3214" s="36"/>
      <c r="AJ3214" s="15">
        <f t="shared" si="201"/>
        <v>4400</v>
      </c>
      <c r="AK3214" s="14"/>
      <c r="AL3214" s="14"/>
      <c r="AM3214" s="14"/>
      <c r="AN3214" s="14"/>
      <c r="AO3214" s="14"/>
      <c r="AP3214" s="14"/>
      <c r="AQ3214" s="14"/>
      <c r="AR3214" s="14"/>
      <c r="AS3214" s="14"/>
      <c r="AT3214" s="14"/>
      <c r="AU3214" s="14"/>
      <c r="AV3214" s="14"/>
      <c r="AW3214" s="15"/>
      <c r="AX3214" s="16" t="s">
        <v>3363</v>
      </c>
    </row>
    <row r="3215" spans="2:50" x14ac:dyDescent="0.2">
      <c r="B3215" s="7"/>
      <c r="C3215" s="8">
        <v>13719</v>
      </c>
      <c r="D3215" s="9" t="s">
        <v>817</v>
      </c>
      <c r="E3215" s="10" t="str">
        <f t="shared" si="197"/>
        <v>Rancho Estanzuela No. 7, B</v>
      </c>
      <c r="F3215" s="10" t="str">
        <f t="shared" si="198"/>
        <v>Camargo Romero</v>
      </c>
      <c r="G3215" s="8">
        <v>1</v>
      </c>
      <c r="H3215" s="11">
        <v>200</v>
      </c>
      <c r="I3215" s="12">
        <v>42764</v>
      </c>
      <c r="J3215" s="35">
        <f t="shared" si="199"/>
        <v>0</v>
      </c>
      <c r="K3215" s="36"/>
      <c r="L3215" s="36"/>
      <c r="M3215" s="36"/>
      <c r="N3215" s="36"/>
      <c r="O3215" s="36"/>
      <c r="P3215" s="36"/>
      <c r="Q3215" s="36"/>
      <c r="R3215" s="36"/>
      <c r="S3215" s="36"/>
      <c r="T3215" s="36"/>
      <c r="U3215" s="36"/>
      <c r="V3215" s="36"/>
      <c r="W3215" s="15">
        <f t="shared" si="200"/>
        <v>0</v>
      </c>
      <c r="X3215" s="36">
        <v>200</v>
      </c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15">
        <f t="shared" si="201"/>
        <v>200</v>
      </c>
      <c r="AK3215" s="14"/>
      <c r="AL3215" s="14"/>
      <c r="AM3215" s="14"/>
      <c r="AN3215" s="14"/>
      <c r="AO3215" s="14"/>
      <c r="AP3215" s="14"/>
      <c r="AQ3215" s="14"/>
      <c r="AR3215" s="14"/>
      <c r="AS3215" s="14"/>
      <c r="AT3215" s="14"/>
      <c r="AU3215" s="14"/>
      <c r="AV3215" s="14"/>
      <c r="AW3215" s="15"/>
      <c r="AX3215" s="16"/>
    </row>
    <row r="3216" spans="2:50" x14ac:dyDescent="0.2">
      <c r="B3216" s="7"/>
      <c r="C3216" s="8">
        <v>13719</v>
      </c>
      <c r="D3216" s="9" t="s">
        <v>817</v>
      </c>
      <c r="E3216" s="10" t="str">
        <f t="shared" si="197"/>
        <v>Rancho Estanzuela No. 7, B</v>
      </c>
      <c r="F3216" s="10" t="str">
        <f t="shared" si="198"/>
        <v>Camargo Romero</v>
      </c>
      <c r="G3216" s="8">
        <v>3</v>
      </c>
      <c r="H3216" s="11">
        <v>200</v>
      </c>
      <c r="I3216" s="12">
        <v>42764</v>
      </c>
      <c r="J3216" s="35">
        <f t="shared" si="199"/>
        <v>0</v>
      </c>
      <c r="K3216" s="36"/>
      <c r="L3216" s="36"/>
      <c r="M3216" s="36"/>
      <c r="N3216" s="36"/>
      <c r="O3216" s="36"/>
      <c r="P3216" s="36"/>
      <c r="Q3216" s="36"/>
      <c r="R3216" s="36"/>
      <c r="S3216" s="36"/>
      <c r="T3216" s="36"/>
      <c r="U3216" s="36"/>
      <c r="V3216" s="36"/>
      <c r="W3216" s="15">
        <f t="shared" si="200"/>
        <v>0</v>
      </c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15">
        <f t="shared" si="201"/>
        <v>0</v>
      </c>
      <c r="AK3216" s="14"/>
      <c r="AL3216" s="14"/>
      <c r="AM3216" s="14"/>
      <c r="AN3216" s="14"/>
      <c r="AO3216" s="14"/>
      <c r="AP3216" s="14"/>
      <c r="AQ3216" s="14"/>
      <c r="AR3216" s="14"/>
      <c r="AS3216" s="14"/>
      <c r="AT3216" s="14"/>
      <c r="AU3216" s="14"/>
      <c r="AV3216" s="14"/>
      <c r="AW3216" s="15"/>
      <c r="AX3216" s="16"/>
    </row>
    <row r="3217" spans="2:50" x14ac:dyDescent="0.2">
      <c r="B3217" s="7"/>
      <c r="C3217" s="8">
        <v>13720</v>
      </c>
      <c r="D3217" s="9" t="s">
        <v>473</v>
      </c>
      <c r="E3217" s="10" t="str">
        <f t="shared" si="197"/>
        <v>Rancho Zinamba No. 14</v>
      </c>
      <c r="F3217" s="10" t="str">
        <f t="shared" si="198"/>
        <v>Gutiérrez García</v>
      </c>
      <c r="G3217" s="8">
        <v>1</v>
      </c>
      <c r="H3217" s="11">
        <v>400</v>
      </c>
      <c r="I3217" s="12">
        <v>42764</v>
      </c>
      <c r="J3217" s="35">
        <f t="shared" si="199"/>
        <v>0</v>
      </c>
      <c r="K3217" s="36"/>
      <c r="L3217" s="36"/>
      <c r="M3217" s="36"/>
      <c r="N3217" s="36"/>
      <c r="O3217" s="36"/>
      <c r="P3217" s="36"/>
      <c r="Q3217" s="36"/>
      <c r="R3217" s="36"/>
      <c r="S3217" s="36"/>
      <c r="T3217" s="36"/>
      <c r="U3217" s="36"/>
      <c r="V3217" s="36"/>
      <c r="W3217" s="15">
        <f t="shared" si="200"/>
        <v>0</v>
      </c>
      <c r="X3217" s="36">
        <v>400</v>
      </c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15">
        <f t="shared" si="201"/>
        <v>400</v>
      </c>
      <c r="AK3217" s="14"/>
      <c r="AL3217" s="14"/>
      <c r="AM3217" s="14"/>
      <c r="AN3217" s="14"/>
      <c r="AO3217" s="14"/>
      <c r="AP3217" s="14"/>
      <c r="AQ3217" s="14"/>
      <c r="AR3217" s="14"/>
      <c r="AS3217" s="14"/>
      <c r="AT3217" s="14"/>
      <c r="AU3217" s="14"/>
      <c r="AV3217" s="14"/>
      <c r="AW3217" s="15"/>
      <c r="AX3217" s="16"/>
    </row>
    <row r="3218" spans="2:50" x14ac:dyDescent="0.2">
      <c r="B3218" s="7"/>
      <c r="C3218" s="8">
        <v>13721</v>
      </c>
      <c r="D3218" s="9" t="s">
        <v>655</v>
      </c>
      <c r="E3218" s="10" t="str">
        <f>IF(D3218=0,"",VLOOKUP(D3218,BASE,2,FALSE))</f>
        <v>Rancho La Cuchilla No. 115</v>
      </c>
      <c r="F3218" s="10" t="str">
        <f>IF(D3218=0,"",VLOOKUP(D3218,BASE,3,FALSE))</f>
        <v>Alfaro</v>
      </c>
      <c r="G3218" s="8">
        <v>1</v>
      </c>
      <c r="H3218" s="11">
        <v>800</v>
      </c>
      <c r="I3218" s="12">
        <v>42764</v>
      </c>
      <c r="J3218" s="35">
        <f>IF(G3218=1,SUM(W3218,AJ3218,-H3218),0)</f>
        <v>0</v>
      </c>
      <c r="K3218" s="36"/>
      <c r="L3218" s="36"/>
      <c r="M3218" s="36"/>
      <c r="N3218" s="36"/>
      <c r="O3218" s="36"/>
      <c r="P3218" s="36"/>
      <c r="Q3218" s="36"/>
      <c r="R3218" s="36"/>
      <c r="S3218" s="36"/>
      <c r="T3218" s="36">
        <v>400</v>
      </c>
      <c r="U3218" s="36">
        <v>400</v>
      </c>
      <c r="V3218" s="36"/>
      <c r="W3218" s="15">
        <f>SUM(K3218:V3218)</f>
        <v>800</v>
      </c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15">
        <f>SUM(X3218:AI3218)</f>
        <v>0</v>
      </c>
      <c r="AK3218" s="14"/>
      <c r="AL3218" s="14"/>
      <c r="AM3218" s="14"/>
      <c r="AN3218" s="14"/>
      <c r="AO3218" s="14"/>
      <c r="AP3218" s="14"/>
      <c r="AQ3218" s="14"/>
      <c r="AR3218" s="14"/>
      <c r="AS3218" s="14"/>
      <c r="AT3218" s="14"/>
      <c r="AU3218" s="14"/>
      <c r="AV3218" s="14"/>
      <c r="AW3218" s="15"/>
      <c r="AX3218" s="16"/>
    </row>
    <row r="3219" spans="2:50" x14ac:dyDescent="0.2">
      <c r="B3219" s="7"/>
      <c r="C3219" s="8">
        <v>13722</v>
      </c>
      <c r="D3219" s="9" t="s">
        <v>911</v>
      </c>
      <c r="E3219" s="10" t="str">
        <f t="shared" si="197"/>
        <v>Rancho Estanzuela No. 19</v>
      </c>
      <c r="F3219" s="10" t="str">
        <f t="shared" si="198"/>
        <v>Robles</v>
      </c>
      <c r="G3219" s="8">
        <v>1</v>
      </c>
      <c r="H3219" s="11">
        <v>800</v>
      </c>
      <c r="I3219" s="12">
        <v>42764</v>
      </c>
      <c r="J3219" s="35">
        <f t="shared" si="199"/>
        <v>0</v>
      </c>
      <c r="K3219" s="36"/>
      <c r="L3219" s="36"/>
      <c r="M3219" s="36"/>
      <c r="N3219" s="36"/>
      <c r="O3219" s="36"/>
      <c r="P3219" s="36"/>
      <c r="Q3219" s="36"/>
      <c r="R3219" s="36"/>
      <c r="S3219" s="36"/>
      <c r="T3219" s="36"/>
      <c r="U3219" s="36"/>
      <c r="V3219" s="36"/>
      <c r="W3219" s="15">
        <f t="shared" si="200"/>
        <v>0</v>
      </c>
      <c r="X3219" s="36">
        <v>400</v>
      </c>
      <c r="Y3219" s="36">
        <v>400</v>
      </c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15">
        <f t="shared" si="201"/>
        <v>800</v>
      </c>
      <c r="AK3219" s="14"/>
      <c r="AL3219" s="14"/>
      <c r="AM3219" s="14"/>
      <c r="AN3219" s="14"/>
      <c r="AO3219" s="14"/>
      <c r="AP3219" s="14"/>
      <c r="AQ3219" s="14"/>
      <c r="AR3219" s="14"/>
      <c r="AS3219" s="14"/>
      <c r="AT3219" s="14"/>
      <c r="AU3219" s="14"/>
      <c r="AV3219" s="14"/>
      <c r="AW3219" s="15"/>
      <c r="AX3219" s="16"/>
    </row>
    <row r="3220" spans="2:50" x14ac:dyDescent="0.2">
      <c r="B3220" s="7"/>
      <c r="C3220" s="8">
        <v>13723</v>
      </c>
      <c r="D3220" s="9" t="s">
        <v>159</v>
      </c>
      <c r="E3220" s="10" t="str">
        <f t="shared" si="197"/>
        <v>Rancho Zinamba No. 24</v>
      </c>
      <c r="F3220" s="10" t="str">
        <f t="shared" si="198"/>
        <v>Monroy García</v>
      </c>
      <c r="G3220" s="8">
        <v>1</v>
      </c>
      <c r="H3220" s="11">
        <v>400</v>
      </c>
      <c r="I3220" s="12">
        <v>42764</v>
      </c>
      <c r="J3220" s="35">
        <f t="shared" si="199"/>
        <v>0</v>
      </c>
      <c r="K3220" s="36"/>
      <c r="L3220" s="36"/>
      <c r="M3220" s="36"/>
      <c r="N3220" s="36"/>
      <c r="O3220" s="36"/>
      <c r="P3220" s="36"/>
      <c r="Q3220" s="36"/>
      <c r="R3220" s="36"/>
      <c r="S3220" s="36"/>
      <c r="T3220" s="36"/>
      <c r="U3220" s="36"/>
      <c r="V3220" s="36"/>
      <c r="W3220" s="15">
        <f t="shared" si="200"/>
        <v>0</v>
      </c>
      <c r="X3220" s="36">
        <v>400</v>
      </c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15">
        <f t="shared" si="201"/>
        <v>400</v>
      </c>
      <c r="AK3220" s="14"/>
      <c r="AL3220" s="14"/>
      <c r="AM3220" s="14"/>
      <c r="AN3220" s="14"/>
      <c r="AO3220" s="14"/>
      <c r="AP3220" s="14"/>
      <c r="AQ3220" s="14"/>
      <c r="AR3220" s="14"/>
      <c r="AS3220" s="14"/>
      <c r="AT3220" s="14"/>
      <c r="AU3220" s="14"/>
      <c r="AV3220" s="14"/>
      <c r="AW3220" s="15"/>
      <c r="AX3220" s="16"/>
    </row>
    <row r="3221" spans="2:50" x14ac:dyDescent="0.2">
      <c r="B3221" s="7"/>
      <c r="C3221" s="8">
        <v>13724</v>
      </c>
      <c r="D3221" s="9" t="s">
        <v>977</v>
      </c>
      <c r="E3221" s="10" t="str">
        <f t="shared" si="197"/>
        <v>Rancho Landero No. 34</v>
      </c>
      <c r="F3221" s="10" t="str">
        <f t="shared" si="198"/>
        <v>Barro</v>
      </c>
      <c r="G3221" s="8">
        <v>1</v>
      </c>
      <c r="H3221" s="11">
        <v>400</v>
      </c>
      <c r="I3221" s="12">
        <v>42764</v>
      </c>
      <c r="J3221" s="35">
        <f t="shared" si="199"/>
        <v>0</v>
      </c>
      <c r="K3221" s="36"/>
      <c r="L3221" s="36"/>
      <c r="M3221" s="36"/>
      <c r="N3221" s="36"/>
      <c r="O3221" s="36"/>
      <c r="P3221" s="36"/>
      <c r="Q3221" s="36"/>
      <c r="R3221" s="36"/>
      <c r="S3221" s="36"/>
      <c r="T3221" s="36"/>
      <c r="U3221" s="36"/>
      <c r="V3221" s="36"/>
      <c r="W3221" s="15">
        <f t="shared" si="200"/>
        <v>0</v>
      </c>
      <c r="X3221" s="36">
        <v>400</v>
      </c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15">
        <f t="shared" si="201"/>
        <v>400</v>
      </c>
      <c r="AK3221" s="14"/>
      <c r="AL3221" s="14"/>
      <c r="AM3221" s="14"/>
      <c r="AN3221" s="14"/>
      <c r="AO3221" s="14"/>
      <c r="AP3221" s="14"/>
      <c r="AQ3221" s="14"/>
      <c r="AR3221" s="14"/>
      <c r="AS3221" s="14"/>
      <c r="AT3221" s="14"/>
      <c r="AU3221" s="14"/>
      <c r="AV3221" s="14"/>
      <c r="AW3221" s="15"/>
      <c r="AX3221" s="16"/>
    </row>
    <row r="3222" spans="2:50" x14ac:dyDescent="0.2">
      <c r="B3222" s="7"/>
      <c r="C3222" s="8">
        <v>13725</v>
      </c>
      <c r="D3222" s="9" t="s">
        <v>977</v>
      </c>
      <c r="E3222" s="10" t="str">
        <f t="shared" ref="E3222:E3229" si="202">IF(D3222=0,"",VLOOKUP(D3222,BASE,2,FALSE))</f>
        <v>Rancho Landero No. 34</v>
      </c>
      <c r="F3222" s="10" t="str">
        <f t="shared" ref="F3222:F3229" si="203">IF(D3222=0,"",VLOOKUP(D3222,BASE,3,FALSE))</f>
        <v>Barro</v>
      </c>
      <c r="G3222" s="8">
        <v>5</v>
      </c>
      <c r="H3222" s="11">
        <v>150</v>
      </c>
      <c r="I3222" s="12">
        <v>42764</v>
      </c>
      <c r="J3222" s="35">
        <f t="shared" ref="J3222:J3229" si="204">IF(G3222=1,SUM(W3222,AJ3222,-H3222),0)</f>
        <v>0</v>
      </c>
      <c r="K3222" s="36"/>
      <c r="L3222" s="36"/>
      <c r="M3222" s="36"/>
      <c r="N3222" s="36"/>
      <c r="O3222" s="36"/>
      <c r="P3222" s="36"/>
      <c r="Q3222" s="36"/>
      <c r="R3222" s="36"/>
      <c r="S3222" s="36"/>
      <c r="T3222" s="36"/>
      <c r="U3222" s="36"/>
      <c r="V3222" s="36"/>
      <c r="W3222" s="15">
        <f t="shared" ref="W3222:W3229" si="205">SUM(K3222:V3222)</f>
        <v>0</v>
      </c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15">
        <f t="shared" ref="AJ3222:AJ3229" si="206">SUM(X3222:AI3222)</f>
        <v>0</v>
      </c>
      <c r="AK3222" s="14"/>
      <c r="AL3222" s="14"/>
      <c r="AM3222" s="14"/>
      <c r="AN3222" s="14"/>
      <c r="AO3222" s="14"/>
      <c r="AP3222" s="14"/>
      <c r="AQ3222" s="14"/>
      <c r="AR3222" s="14"/>
      <c r="AS3222" s="14"/>
      <c r="AT3222" s="14"/>
      <c r="AU3222" s="14"/>
      <c r="AV3222" s="14"/>
      <c r="AW3222" s="15"/>
      <c r="AX3222" s="16"/>
    </row>
    <row r="3223" spans="2:50" x14ac:dyDescent="0.2">
      <c r="B3223" s="7"/>
      <c r="C3223" s="8">
        <v>13726</v>
      </c>
      <c r="D3223" s="9" t="s">
        <v>419</v>
      </c>
      <c r="E3223" s="10" t="str">
        <f t="shared" si="202"/>
        <v>Rancho Zinamba No. 6</v>
      </c>
      <c r="F3223" s="10" t="str">
        <f t="shared" si="203"/>
        <v>Villafaña</v>
      </c>
      <c r="G3223" s="8">
        <v>1</v>
      </c>
      <c r="H3223" s="11">
        <v>4400</v>
      </c>
      <c r="I3223" s="12">
        <v>42764</v>
      </c>
      <c r="J3223" s="35">
        <f t="shared" si="204"/>
        <v>0</v>
      </c>
      <c r="K3223" s="36"/>
      <c r="L3223" s="36"/>
      <c r="M3223" s="36"/>
      <c r="N3223" s="36"/>
      <c r="O3223" s="36"/>
      <c r="P3223" s="36"/>
      <c r="Q3223" s="36"/>
      <c r="R3223" s="36"/>
      <c r="S3223" s="36"/>
      <c r="T3223" s="36"/>
      <c r="U3223" s="36"/>
      <c r="V3223" s="36"/>
      <c r="W3223" s="15">
        <f t="shared" si="205"/>
        <v>0</v>
      </c>
      <c r="X3223" s="36">
        <v>400</v>
      </c>
      <c r="Y3223" s="36">
        <v>400</v>
      </c>
      <c r="Z3223" s="36">
        <v>400</v>
      </c>
      <c r="AA3223" s="36">
        <v>400</v>
      </c>
      <c r="AB3223" s="36">
        <v>400</v>
      </c>
      <c r="AC3223" s="36">
        <v>400</v>
      </c>
      <c r="AD3223" s="36">
        <v>400</v>
      </c>
      <c r="AE3223" s="36">
        <v>400</v>
      </c>
      <c r="AF3223" s="36">
        <v>400</v>
      </c>
      <c r="AG3223" s="36">
        <v>400</v>
      </c>
      <c r="AH3223" s="36">
        <v>400</v>
      </c>
      <c r="AI3223" s="36"/>
      <c r="AJ3223" s="15">
        <f t="shared" si="206"/>
        <v>4400</v>
      </c>
      <c r="AK3223" s="14"/>
      <c r="AL3223" s="14"/>
      <c r="AM3223" s="14"/>
      <c r="AN3223" s="14"/>
      <c r="AO3223" s="14"/>
      <c r="AP3223" s="14"/>
      <c r="AQ3223" s="14"/>
      <c r="AR3223" s="14"/>
      <c r="AS3223" s="14"/>
      <c r="AT3223" s="14"/>
      <c r="AU3223" s="14"/>
      <c r="AV3223" s="14"/>
      <c r="AW3223" s="15"/>
      <c r="AX3223" s="16" t="s">
        <v>3363</v>
      </c>
    </row>
    <row r="3224" spans="2:50" x14ac:dyDescent="0.2">
      <c r="B3224" s="7"/>
      <c r="C3224" s="8">
        <v>13727</v>
      </c>
      <c r="D3224" s="9" t="s">
        <v>957</v>
      </c>
      <c r="E3224" s="10" t="str">
        <f t="shared" si="202"/>
        <v>Rancho La Cuchilla No. 148</v>
      </c>
      <c r="F3224" s="10" t="str">
        <f t="shared" si="203"/>
        <v>Vázquez Vázquez</v>
      </c>
      <c r="G3224" s="8">
        <v>4</v>
      </c>
      <c r="H3224" s="11">
        <v>200</v>
      </c>
      <c r="I3224" s="12">
        <v>42764</v>
      </c>
      <c r="J3224" s="35">
        <f t="shared" si="204"/>
        <v>0</v>
      </c>
      <c r="K3224" s="36"/>
      <c r="L3224" s="36"/>
      <c r="M3224" s="36"/>
      <c r="N3224" s="36"/>
      <c r="O3224" s="36"/>
      <c r="P3224" s="36"/>
      <c r="Q3224" s="36"/>
      <c r="R3224" s="36"/>
      <c r="S3224" s="36"/>
      <c r="T3224" s="36"/>
      <c r="U3224" s="36"/>
      <c r="V3224" s="36"/>
      <c r="W3224" s="15">
        <f t="shared" si="205"/>
        <v>0</v>
      </c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15">
        <f t="shared" si="206"/>
        <v>0</v>
      </c>
      <c r="AK3224" s="14"/>
      <c r="AL3224" s="14"/>
      <c r="AM3224" s="14"/>
      <c r="AN3224" s="14"/>
      <c r="AO3224" s="14"/>
      <c r="AP3224" s="14"/>
      <c r="AQ3224" s="14"/>
      <c r="AR3224" s="14"/>
      <c r="AS3224" s="14"/>
      <c r="AT3224" s="14"/>
      <c r="AU3224" s="14"/>
      <c r="AV3224" s="14"/>
      <c r="AW3224" s="15"/>
      <c r="AX3224" s="16" t="s">
        <v>3463</v>
      </c>
    </row>
    <row r="3225" spans="2:50" x14ac:dyDescent="0.2">
      <c r="B3225" s="7"/>
      <c r="C3225" s="8">
        <v>13728</v>
      </c>
      <c r="D3225" s="9" t="s">
        <v>112</v>
      </c>
      <c r="E3225" s="10" t="str">
        <f t="shared" si="202"/>
        <v>Rancho Estanzuela No. 129</v>
      </c>
      <c r="F3225" s="10" t="str">
        <f t="shared" si="203"/>
        <v>Sta. María Mendoza</v>
      </c>
      <c r="G3225" s="8">
        <v>1</v>
      </c>
      <c r="H3225" s="11">
        <v>250</v>
      </c>
      <c r="I3225" s="12">
        <v>42764</v>
      </c>
      <c r="J3225" s="35">
        <f t="shared" si="204"/>
        <v>0</v>
      </c>
      <c r="K3225" s="36"/>
      <c r="L3225" s="36"/>
      <c r="M3225" s="36"/>
      <c r="N3225" s="36"/>
      <c r="O3225" s="36"/>
      <c r="P3225" s="36"/>
      <c r="Q3225" s="36"/>
      <c r="R3225" s="36"/>
      <c r="S3225" s="36"/>
      <c r="T3225" s="36"/>
      <c r="U3225" s="36"/>
      <c r="V3225" s="36"/>
      <c r="W3225" s="15">
        <f t="shared" si="205"/>
        <v>0</v>
      </c>
      <c r="X3225" s="36">
        <v>250</v>
      </c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15">
        <f t="shared" si="206"/>
        <v>250</v>
      </c>
      <c r="AK3225" s="14"/>
      <c r="AL3225" s="14"/>
      <c r="AM3225" s="14"/>
      <c r="AN3225" s="14"/>
      <c r="AO3225" s="14"/>
      <c r="AP3225" s="14"/>
      <c r="AQ3225" s="14"/>
      <c r="AR3225" s="14"/>
      <c r="AS3225" s="14"/>
      <c r="AT3225" s="14"/>
      <c r="AU3225" s="14"/>
      <c r="AV3225" s="14"/>
      <c r="AW3225" s="15"/>
      <c r="AX3225" s="16"/>
    </row>
    <row r="3226" spans="2:50" x14ac:dyDescent="0.2">
      <c r="B3226" s="7"/>
      <c r="C3226" s="8">
        <v>13729</v>
      </c>
      <c r="D3226" s="9" t="s">
        <v>337</v>
      </c>
      <c r="E3226" s="10" t="str">
        <f t="shared" si="202"/>
        <v>Rancho La Cuchilla No. 96</v>
      </c>
      <c r="F3226" s="10" t="str">
        <f t="shared" si="203"/>
        <v>Valdez Álvarez</v>
      </c>
      <c r="G3226" s="8">
        <v>4</v>
      </c>
      <c r="H3226" s="11">
        <v>200</v>
      </c>
      <c r="I3226" s="12">
        <v>42764</v>
      </c>
      <c r="J3226" s="35">
        <f t="shared" si="204"/>
        <v>0</v>
      </c>
      <c r="K3226" s="36"/>
      <c r="L3226" s="36"/>
      <c r="M3226" s="36"/>
      <c r="N3226" s="36"/>
      <c r="O3226" s="36"/>
      <c r="P3226" s="36"/>
      <c r="Q3226" s="36"/>
      <c r="R3226" s="36"/>
      <c r="S3226" s="36"/>
      <c r="T3226" s="36"/>
      <c r="U3226" s="36"/>
      <c r="V3226" s="36"/>
      <c r="W3226" s="15">
        <f t="shared" si="205"/>
        <v>0</v>
      </c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15">
        <f t="shared" si="206"/>
        <v>0</v>
      </c>
      <c r="AK3226" s="14"/>
      <c r="AL3226" s="14"/>
      <c r="AM3226" s="14"/>
      <c r="AN3226" s="14"/>
      <c r="AO3226" s="14"/>
      <c r="AP3226" s="14"/>
      <c r="AQ3226" s="14"/>
      <c r="AR3226" s="14"/>
      <c r="AS3226" s="14"/>
      <c r="AT3226" s="14"/>
      <c r="AU3226" s="14"/>
      <c r="AV3226" s="14"/>
      <c r="AW3226" s="15"/>
      <c r="AX3226" s="16" t="s">
        <v>3460</v>
      </c>
    </row>
    <row r="3227" spans="2:50" x14ac:dyDescent="0.2">
      <c r="B3227" s="7"/>
      <c r="C3227" s="8">
        <v>13729</v>
      </c>
      <c r="D3227" s="9" t="s">
        <v>337</v>
      </c>
      <c r="E3227" s="10" t="str">
        <f t="shared" si="202"/>
        <v>Rancho La Cuchilla No. 96</v>
      </c>
      <c r="F3227" s="10" t="str">
        <f t="shared" si="203"/>
        <v>Valdez Álvarez</v>
      </c>
      <c r="G3227" s="8">
        <v>5</v>
      </c>
      <c r="H3227" s="11">
        <v>50</v>
      </c>
      <c r="I3227" s="12">
        <v>42764</v>
      </c>
      <c r="J3227" s="35">
        <f t="shared" si="204"/>
        <v>0</v>
      </c>
      <c r="K3227" s="36"/>
      <c r="L3227" s="36"/>
      <c r="M3227" s="36"/>
      <c r="N3227" s="36"/>
      <c r="O3227" s="36"/>
      <c r="P3227" s="36"/>
      <c r="Q3227" s="36"/>
      <c r="R3227" s="36"/>
      <c r="S3227" s="36"/>
      <c r="T3227" s="36"/>
      <c r="U3227" s="36"/>
      <c r="V3227" s="36"/>
      <c r="W3227" s="15">
        <f t="shared" si="205"/>
        <v>0</v>
      </c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15">
        <f t="shared" si="206"/>
        <v>0</v>
      </c>
      <c r="AK3227" s="14"/>
      <c r="AL3227" s="14"/>
      <c r="AM3227" s="14"/>
      <c r="AN3227" s="14"/>
      <c r="AO3227" s="14"/>
      <c r="AP3227" s="14"/>
      <c r="AQ3227" s="14"/>
      <c r="AR3227" s="14"/>
      <c r="AS3227" s="14"/>
      <c r="AT3227" s="14"/>
      <c r="AU3227" s="14"/>
      <c r="AV3227" s="14"/>
      <c r="AW3227" s="15"/>
      <c r="AX3227" s="16"/>
    </row>
    <row r="3228" spans="2:50" x14ac:dyDescent="0.2">
      <c r="B3228" s="7"/>
      <c r="C3228" s="8">
        <v>13730</v>
      </c>
      <c r="D3228" s="9" t="s">
        <v>428</v>
      </c>
      <c r="E3228" s="10" t="str">
        <f t="shared" si="202"/>
        <v>Rancho Upácuaro No. 86</v>
      </c>
      <c r="F3228" s="10" t="str">
        <f t="shared" si="203"/>
        <v>López Canseco</v>
      </c>
      <c r="G3228" s="8">
        <v>1</v>
      </c>
      <c r="H3228" s="11">
        <v>4400</v>
      </c>
      <c r="I3228" s="12">
        <v>42764</v>
      </c>
      <c r="J3228" s="35">
        <f t="shared" si="204"/>
        <v>0</v>
      </c>
      <c r="K3228" s="36"/>
      <c r="L3228" s="36"/>
      <c r="M3228" s="36"/>
      <c r="N3228" s="36"/>
      <c r="O3228" s="36"/>
      <c r="P3228" s="36"/>
      <c r="Q3228" s="36"/>
      <c r="R3228" s="36"/>
      <c r="S3228" s="36"/>
      <c r="T3228" s="36"/>
      <c r="U3228" s="36"/>
      <c r="V3228" s="36"/>
      <c r="W3228" s="15">
        <f t="shared" si="205"/>
        <v>0</v>
      </c>
      <c r="X3228" s="36">
        <v>400</v>
      </c>
      <c r="Y3228" s="36">
        <v>400</v>
      </c>
      <c r="Z3228" s="36">
        <v>400</v>
      </c>
      <c r="AA3228" s="36">
        <v>400</v>
      </c>
      <c r="AB3228" s="36">
        <v>400</v>
      </c>
      <c r="AC3228" s="36">
        <v>400</v>
      </c>
      <c r="AD3228" s="36">
        <v>400</v>
      </c>
      <c r="AE3228" s="36">
        <v>400</v>
      </c>
      <c r="AF3228" s="36">
        <v>400</v>
      </c>
      <c r="AG3228" s="36">
        <v>400</v>
      </c>
      <c r="AH3228" s="36">
        <v>400</v>
      </c>
      <c r="AI3228" s="36"/>
      <c r="AJ3228" s="15">
        <f t="shared" si="206"/>
        <v>4400</v>
      </c>
      <c r="AK3228" s="14"/>
      <c r="AL3228" s="14"/>
      <c r="AM3228" s="14"/>
      <c r="AN3228" s="14"/>
      <c r="AO3228" s="14"/>
      <c r="AP3228" s="14"/>
      <c r="AQ3228" s="14"/>
      <c r="AR3228" s="14"/>
      <c r="AS3228" s="14"/>
      <c r="AT3228" s="14"/>
      <c r="AU3228" s="14"/>
      <c r="AV3228" s="14"/>
      <c r="AW3228" s="15"/>
      <c r="AX3228" s="16" t="s">
        <v>3363</v>
      </c>
    </row>
    <row r="3229" spans="2:50" x14ac:dyDescent="0.2">
      <c r="B3229" s="7"/>
      <c r="C3229" s="8">
        <v>13731</v>
      </c>
      <c r="D3229" s="9" t="s">
        <v>810</v>
      </c>
      <c r="E3229" s="10" t="str">
        <f t="shared" si="202"/>
        <v>Rancho La Cuchilla No. 90</v>
      </c>
      <c r="F3229" s="10" t="str">
        <f t="shared" si="203"/>
        <v>Porras Fuentes</v>
      </c>
      <c r="G3229" s="8">
        <v>5</v>
      </c>
      <c r="H3229" s="11">
        <v>50</v>
      </c>
      <c r="I3229" s="12">
        <v>42764</v>
      </c>
      <c r="J3229" s="35">
        <f t="shared" si="204"/>
        <v>0</v>
      </c>
      <c r="K3229" s="36"/>
      <c r="L3229" s="36"/>
      <c r="M3229" s="36"/>
      <c r="N3229" s="36"/>
      <c r="O3229" s="36"/>
      <c r="P3229" s="36"/>
      <c r="Q3229" s="36"/>
      <c r="R3229" s="36"/>
      <c r="S3229" s="36"/>
      <c r="T3229" s="36"/>
      <c r="U3229" s="36"/>
      <c r="V3229" s="36"/>
      <c r="W3229" s="15">
        <f t="shared" si="205"/>
        <v>0</v>
      </c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15">
        <f t="shared" si="206"/>
        <v>0</v>
      </c>
      <c r="AK3229" s="14"/>
      <c r="AL3229" s="14"/>
      <c r="AM3229" s="14"/>
      <c r="AN3229" s="14"/>
      <c r="AO3229" s="14"/>
      <c r="AP3229" s="14"/>
      <c r="AQ3229" s="14"/>
      <c r="AR3229" s="14"/>
      <c r="AS3229" s="14"/>
      <c r="AT3229" s="14"/>
      <c r="AU3229" s="14"/>
      <c r="AV3229" s="14"/>
      <c r="AW3229" s="15"/>
      <c r="AX3229" s="16"/>
    </row>
    <row r="3230" spans="2:50" x14ac:dyDescent="0.2">
      <c r="B3230" s="7"/>
      <c r="C3230" s="8">
        <v>13732</v>
      </c>
      <c r="D3230" s="9" t="s">
        <v>404</v>
      </c>
      <c r="E3230" s="10" t="str">
        <f t="shared" ref="E3230:E3239" si="207">IF(D3230=0,"",VLOOKUP(D3230,BASE,2,FALSE))</f>
        <v>Rancho La Cuchilla No. 89</v>
      </c>
      <c r="F3230" s="10" t="str">
        <f t="shared" ref="F3230:F3239" si="208">IF(D3230=0,"",VLOOKUP(D3230,BASE,3,FALSE))</f>
        <v>Gálvez</v>
      </c>
      <c r="G3230" s="8">
        <v>1</v>
      </c>
      <c r="H3230" s="11">
        <v>400</v>
      </c>
      <c r="I3230" s="12">
        <v>42764</v>
      </c>
      <c r="J3230" s="35">
        <f t="shared" ref="J3230:J3239" si="209">IF(G3230=1,SUM(W3230,AJ3230,-H3230),0)</f>
        <v>0</v>
      </c>
      <c r="K3230" s="36"/>
      <c r="L3230" s="36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  <c r="W3230" s="15">
        <f t="shared" ref="W3230:W3239" si="210">SUM(K3230:V3230)</f>
        <v>0</v>
      </c>
      <c r="X3230" s="36">
        <v>400</v>
      </c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15">
        <f t="shared" ref="AJ3230:AJ3239" si="211">SUM(X3230:AI3230)</f>
        <v>400</v>
      </c>
      <c r="AK3230" s="14"/>
      <c r="AL3230" s="14"/>
      <c r="AM3230" s="14"/>
      <c r="AN3230" s="14"/>
      <c r="AO3230" s="14"/>
      <c r="AP3230" s="14"/>
      <c r="AQ3230" s="14"/>
      <c r="AR3230" s="14"/>
      <c r="AS3230" s="14"/>
      <c r="AT3230" s="14"/>
      <c r="AU3230" s="14"/>
      <c r="AV3230" s="14"/>
      <c r="AW3230" s="15"/>
      <c r="AX3230" s="16"/>
    </row>
    <row r="3231" spans="2:50" x14ac:dyDescent="0.2">
      <c r="B3231" s="7"/>
      <c r="C3231" s="8">
        <v>13733</v>
      </c>
      <c r="D3231" s="9" t="s">
        <v>565</v>
      </c>
      <c r="E3231" s="10" t="str">
        <f t="shared" si="207"/>
        <v>Rancho Zinamba No. 62</v>
      </c>
      <c r="F3231" s="10" t="str">
        <f t="shared" si="208"/>
        <v>Martínez León</v>
      </c>
      <c r="G3231" s="8">
        <v>1</v>
      </c>
      <c r="H3231" s="11">
        <v>500</v>
      </c>
      <c r="I3231" s="12">
        <v>42764</v>
      </c>
      <c r="J3231" s="35">
        <f t="shared" si="209"/>
        <v>0</v>
      </c>
      <c r="K3231" s="36"/>
      <c r="L3231" s="36"/>
      <c r="M3231" s="36"/>
      <c r="N3231" s="36"/>
      <c r="O3231" s="36"/>
      <c r="P3231" s="36"/>
      <c r="Q3231" s="36"/>
      <c r="R3231" s="36"/>
      <c r="S3231" s="36"/>
      <c r="T3231" s="36"/>
      <c r="U3231" s="36"/>
      <c r="V3231" s="36">
        <v>250</v>
      </c>
      <c r="W3231" s="15">
        <f t="shared" si="210"/>
        <v>250</v>
      </c>
      <c r="X3231" s="36">
        <v>250</v>
      </c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15">
        <f t="shared" si="211"/>
        <v>250</v>
      </c>
      <c r="AK3231" s="14"/>
      <c r="AL3231" s="14"/>
      <c r="AM3231" s="14"/>
      <c r="AN3231" s="14"/>
      <c r="AO3231" s="14"/>
      <c r="AP3231" s="14"/>
      <c r="AQ3231" s="14"/>
      <c r="AR3231" s="14"/>
      <c r="AS3231" s="14"/>
      <c r="AT3231" s="14"/>
      <c r="AU3231" s="14"/>
      <c r="AV3231" s="14"/>
      <c r="AW3231" s="15"/>
      <c r="AX3231" s="16"/>
    </row>
    <row r="3232" spans="2:50" x14ac:dyDescent="0.2">
      <c r="B3232" s="7"/>
      <c r="C3232" s="8">
        <v>13734</v>
      </c>
      <c r="D3232" s="9" t="s">
        <v>968</v>
      </c>
      <c r="E3232" s="10" t="str">
        <f t="shared" si="207"/>
        <v>Rancho La Cuchilla No. 121</v>
      </c>
      <c r="F3232" s="10" t="str">
        <f t="shared" si="208"/>
        <v>Ramírez Márquez</v>
      </c>
      <c r="G3232" s="8">
        <v>1</v>
      </c>
      <c r="H3232" s="11">
        <v>1200</v>
      </c>
      <c r="I3232" s="12">
        <v>42764</v>
      </c>
      <c r="J3232" s="35">
        <f t="shared" si="209"/>
        <v>0</v>
      </c>
      <c r="K3232" s="36"/>
      <c r="L3232" s="36"/>
      <c r="M3232" s="36"/>
      <c r="N3232" s="36"/>
      <c r="O3232" s="36"/>
      <c r="P3232" s="36"/>
      <c r="Q3232" s="36"/>
      <c r="R3232" s="36"/>
      <c r="S3232" s="36"/>
      <c r="T3232" s="36">
        <v>400</v>
      </c>
      <c r="U3232" s="36">
        <v>400</v>
      </c>
      <c r="V3232" s="36">
        <v>400</v>
      </c>
      <c r="W3232" s="15">
        <f t="shared" si="210"/>
        <v>1200</v>
      </c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15">
        <f t="shared" si="211"/>
        <v>0</v>
      </c>
      <c r="AK3232" s="14"/>
      <c r="AL3232" s="14"/>
      <c r="AM3232" s="14"/>
      <c r="AN3232" s="14"/>
      <c r="AO3232" s="14"/>
      <c r="AP3232" s="14"/>
      <c r="AQ3232" s="14"/>
      <c r="AR3232" s="14"/>
      <c r="AS3232" s="14"/>
      <c r="AT3232" s="14"/>
      <c r="AU3232" s="14"/>
      <c r="AV3232" s="14"/>
      <c r="AW3232" s="15"/>
      <c r="AX3232" s="16"/>
    </row>
    <row r="3233" spans="1:50" x14ac:dyDescent="0.2">
      <c r="B3233" s="7"/>
      <c r="C3233" s="8">
        <v>13735</v>
      </c>
      <c r="D3233" s="9" t="s">
        <v>617</v>
      </c>
      <c r="E3233" s="10" t="str">
        <f t="shared" si="207"/>
        <v>Rancho Zinamba No. 50</v>
      </c>
      <c r="F3233" s="10" t="str">
        <f t="shared" si="208"/>
        <v>Del Castillo</v>
      </c>
      <c r="G3233" s="8">
        <v>1</v>
      </c>
      <c r="H3233" s="11">
        <v>400</v>
      </c>
      <c r="I3233" s="12">
        <v>42764</v>
      </c>
      <c r="J3233" s="35">
        <f t="shared" si="209"/>
        <v>0</v>
      </c>
      <c r="K3233" s="36"/>
      <c r="L3233" s="36"/>
      <c r="M3233" s="36"/>
      <c r="N3233" s="36"/>
      <c r="O3233" s="36"/>
      <c r="P3233" s="36"/>
      <c r="Q3233" s="36"/>
      <c r="R3233" s="36"/>
      <c r="S3233" s="36"/>
      <c r="T3233" s="36"/>
      <c r="U3233" s="36"/>
      <c r="V3233" s="36"/>
      <c r="W3233" s="15">
        <f t="shared" si="210"/>
        <v>0</v>
      </c>
      <c r="X3233" s="36">
        <v>400</v>
      </c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15">
        <f t="shared" si="211"/>
        <v>400</v>
      </c>
      <c r="AK3233" s="14"/>
      <c r="AL3233" s="14"/>
      <c r="AM3233" s="14"/>
      <c r="AN3233" s="14"/>
      <c r="AO3233" s="14"/>
      <c r="AP3233" s="14"/>
      <c r="AQ3233" s="14"/>
      <c r="AR3233" s="14"/>
      <c r="AS3233" s="14"/>
      <c r="AT3233" s="14"/>
      <c r="AU3233" s="14"/>
      <c r="AV3233" s="14"/>
      <c r="AW3233" s="15"/>
      <c r="AX3233" s="16"/>
    </row>
    <row r="3234" spans="1:50" x14ac:dyDescent="0.2">
      <c r="B3234" s="7"/>
      <c r="C3234" s="8">
        <v>13736</v>
      </c>
      <c r="D3234" s="9" t="s">
        <v>843</v>
      </c>
      <c r="E3234" s="10" t="str">
        <f t="shared" si="207"/>
        <v>Rancho Landero No. 12</v>
      </c>
      <c r="F3234" s="10" t="str">
        <f t="shared" si="208"/>
        <v>Guzmán Silva</v>
      </c>
      <c r="G3234" s="8">
        <v>1</v>
      </c>
      <c r="H3234" s="11">
        <v>400</v>
      </c>
      <c r="I3234" s="12">
        <v>42764</v>
      </c>
      <c r="J3234" s="35">
        <f t="shared" si="209"/>
        <v>0</v>
      </c>
      <c r="K3234" s="36"/>
      <c r="L3234" s="36"/>
      <c r="M3234" s="36"/>
      <c r="N3234" s="36"/>
      <c r="O3234" s="36"/>
      <c r="P3234" s="36"/>
      <c r="Q3234" s="36"/>
      <c r="R3234" s="36"/>
      <c r="S3234" s="36"/>
      <c r="T3234" s="36"/>
      <c r="U3234" s="36"/>
      <c r="V3234" s="36"/>
      <c r="W3234" s="15">
        <f t="shared" si="210"/>
        <v>0</v>
      </c>
      <c r="X3234" s="36">
        <v>200</v>
      </c>
      <c r="Y3234" s="36">
        <v>200</v>
      </c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15">
        <f t="shared" si="211"/>
        <v>400</v>
      </c>
      <c r="AK3234" s="14"/>
      <c r="AL3234" s="14"/>
      <c r="AM3234" s="14"/>
      <c r="AN3234" s="14"/>
      <c r="AO3234" s="14"/>
      <c r="AP3234" s="14"/>
      <c r="AQ3234" s="14"/>
      <c r="AR3234" s="14"/>
      <c r="AS3234" s="14"/>
      <c r="AT3234" s="14"/>
      <c r="AU3234" s="14"/>
      <c r="AV3234" s="14"/>
      <c r="AW3234" s="15"/>
      <c r="AX3234" s="316">
        <f>SUM(H3171:H3234)</f>
        <v>45750</v>
      </c>
    </row>
    <row r="3235" spans="1:50" x14ac:dyDescent="0.2">
      <c r="B3235" s="7"/>
      <c r="C3235" s="8">
        <v>13737</v>
      </c>
      <c r="D3235" s="9" t="s">
        <v>376</v>
      </c>
      <c r="E3235" s="10" t="str">
        <f t="shared" si="207"/>
        <v>Rancho Estanzuela No. 33</v>
      </c>
      <c r="F3235" s="10" t="str">
        <f t="shared" si="208"/>
        <v>Arauz</v>
      </c>
      <c r="G3235" s="8">
        <v>1</v>
      </c>
      <c r="H3235" s="315">
        <v>400</v>
      </c>
      <c r="I3235" s="12">
        <v>42765</v>
      </c>
      <c r="J3235" s="35">
        <f t="shared" si="209"/>
        <v>0</v>
      </c>
      <c r="K3235" s="36"/>
      <c r="L3235" s="36"/>
      <c r="M3235" s="36"/>
      <c r="N3235" s="36"/>
      <c r="O3235" s="36"/>
      <c r="P3235" s="36"/>
      <c r="Q3235" s="36"/>
      <c r="R3235" s="36"/>
      <c r="S3235" s="36"/>
      <c r="T3235" s="36"/>
      <c r="U3235" s="36"/>
      <c r="V3235" s="36"/>
      <c r="W3235" s="15">
        <f t="shared" si="210"/>
        <v>0</v>
      </c>
      <c r="X3235" s="36">
        <v>400</v>
      </c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15">
        <f t="shared" si="211"/>
        <v>400</v>
      </c>
      <c r="AK3235" s="14"/>
      <c r="AL3235" s="14"/>
      <c r="AM3235" s="14"/>
      <c r="AN3235" s="14"/>
      <c r="AO3235" s="14"/>
      <c r="AP3235" s="14"/>
      <c r="AQ3235" s="14"/>
      <c r="AR3235" s="14"/>
      <c r="AS3235" s="14"/>
      <c r="AT3235" s="14"/>
      <c r="AU3235" s="14"/>
      <c r="AV3235" s="14"/>
      <c r="AW3235" s="15"/>
      <c r="AX3235" s="16"/>
    </row>
    <row r="3236" spans="1:50" x14ac:dyDescent="0.2">
      <c r="B3236" s="7"/>
      <c r="C3236" s="8">
        <v>13738</v>
      </c>
      <c r="D3236" s="9" t="s">
        <v>376</v>
      </c>
      <c r="E3236" s="10" t="str">
        <f t="shared" si="207"/>
        <v>Rancho Estanzuela No. 33</v>
      </c>
      <c r="F3236" s="10" t="str">
        <f t="shared" si="208"/>
        <v>Arauz</v>
      </c>
      <c r="G3236" s="8">
        <v>5</v>
      </c>
      <c r="H3236" s="11">
        <v>50</v>
      </c>
      <c r="I3236" s="12">
        <v>42765</v>
      </c>
      <c r="J3236" s="35">
        <f t="shared" si="209"/>
        <v>0</v>
      </c>
      <c r="K3236" s="36"/>
      <c r="L3236" s="36"/>
      <c r="M3236" s="36"/>
      <c r="N3236" s="36"/>
      <c r="O3236" s="36"/>
      <c r="P3236" s="36"/>
      <c r="Q3236" s="36"/>
      <c r="R3236" s="36"/>
      <c r="S3236" s="36"/>
      <c r="T3236" s="36"/>
      <c r="U3236" s="36"/>
      <c r="V3236" s="36"/>
      <c r="W3236" s="15">
        <f t="shared" si="210"/>
        <v>0</v>
      </c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15">
        <f t="shared" si="211"/>
        <v>0</v>
      </c>
      <c r="AK3236" s="14"/>
      <c r="AL3236" s="14"/>
      <c r="AM3236" s="14"/>
      <c r="AN3236" s="14"/>
      <c r="AO3236" s="14"/>
      <c r="AP3236" s="14"/>
      <c r="AQ3236" s="14"/>
      <c r="AR3236" s="14"/>
      <c r="AS3236" s="14"/>
      <c r="AT3236" s="14"/>
      <c r="AU3236" s="14"/>
      <c r="AV3236" s="14"/>
      <c r="AW3236" s="15"/>
      <c r="AX3236" s="16"/>
    </row>
    <row r="3237" spans="1:50" x14ac:dyDescent="0.2">
      <c r="B3237" s="7"/>
      <c r="C3237" s="8">
        <v>13739</v>
      </c>
      <c r="D3237" s="9" t="s">
        <v>1346</v>
      </c>
      <c r="E3237" s="10" t="str">
        <f t="shared" si="207"/>
        <v>Rancho Estanzuela No. 123</v>
      </c>
      <c r="F3237" s="10" t="str">
        <f t="shared" si="208"/>
        <v>Bueno Rendón</v>
      </c>
      <c r="G3237" s="8">
        <v>1</v>
      </c>
      <c r="H3237" s="11">
        <v>200</v>
      </c>
      <c r="I3237" s="12">
        <v>42765</v>
      </c>
      <c r="J3237" s="35">
        <f t="shared" si="209"/>
        <v>0</v>
      </c>
      <c r="K3237" s="36"/>
      <c r="L3237" s="36"/>
      <c r="M3237" s="36"/>
      <c r="N3237" s="36"/>
      <c r="O3237" s="36"/>
      <c r="P3237" s="36"/>
      <c r="Q3237" s="36"/>
      <c r="R3237" s="36"/>
      <c r="S3237" s="36"/>
      <c r="T3237" s="36"/>
      <c r="U3237" s="36"/>
      <c r="V3237" s="36"/>
      <c r="W3237" s="15">
        <f t="shared" si="210"/>
        <v>0</v>
      </c>
      <c r="X3237" s="36">
        <v>200</v>
      </c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15">
        <f t="shared" si="211"/>
        <v>200</v>
      </c>
      <c r="AK3237" s="14"/>
      <c r="AL3237" s="14"/>
      <c r="AM3237" s="14"/>
      <c r="AN3237" s="14"/>
      <c r="AO3237" s="14"/>
      <c r="AP3237" s="14"/>
      <c r="AQ3237" s="14"/>
      <c r="AR3237" s="14"/>
      <c r="AS3237" s="14"/>
      <c r="AT3237" s="14"/>
      <c r="AU3237" s="14"/>
      <c r="AV3237" s="14"/>
      <c r="AW3237" s="15"/>
      <c r="AX3237" s="16"/>
    </row>
    <row r="3238" spans="1:50" x14ac:dyDescent="0.2">
      <c r="B3238" s="7"/>
      <c r="C3238" s="8">
        <v>13740</v>
      </c>
      <c r="D3238" s="9" t="s">
        <v>1346</v>
      </c>
      <c r="E3238" s="10" t="str">
        <f t="shared" si="207"/>
        <v>Rancho Estanzuela No. 123</v>
      </c>
      <c r="F3238" s="10" t="str">
        <f t="shared" si="208"/>
        <v>Bueno Rendón</v>
      </c>
      <c r="G3238" s="8">
        <v>5</v>
      </c>
      <c r="H3238" s="11">
        <v>100</v>
      </c>
      <c r="I3238" s="12">
        <v>42765</v>
      </c>
      <c r="J3238" s="35">
        <f t="shared" si="209"/>
        <v>0</v>
      </c>
      <c r="K3238" s="36"/>
      <c r="L3238" s="36"/>
      <c r="M3238" s="36"/>
      <c r="N3238" s="36"/>
      <c r="O3238" s="36"/>
      <c r="P3238" s="36"/>
      <c r="Q3238" s="36"/>
      <c r="R3238" s="36"/>
      <c r="S3238" s="36"/>
      <c r="T3238" s="36"/>
      <c r="U3238" s="36"/>
      <c r="V3238" s="36"/>
      <c r="W3238" s="15">
        <f t="shared" si="210"/>
        <v>0</v>
      </c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15">
        <f t="shared" si="211"/>
        <v>0</v>
      </c>
      <c r="AK3238" s="14"/>
      <c r="AL3238" s="14"/>
      <c r="AM3238" s="14"/>
      <c r="AN3238" s="14"/>
      <c r="AO3238" s="14"/>
      <c r="AP3238" s="14"/>
      <c r="AQ3238" s="14"/>
      <c r="AR3238" s="14"/>
      <c r="AS3238" s="14"/>
      <c r="AT3238" s="14"/>
      <c r="AU3238" s="14"/>
      <c r="AV3238" s="14"/>
      <c r="AW3238" s="15"/>
      <c r="AX3238" s="16"/>
    </row>
    <row r="3239" spans="1:50" x14ac:dyDescent="0.2">
      <c r="B3239" s="7"/>
      <c r="C3239" s="8">
        <v>13741</v>
      </c>
      <c r="D3239" s="9" t="s">
        <v>485</v>
      </c>
      <c r="E3239" s="10" t="str">
        <f t="shared" si="207"/>
        <v>Rancho Estanzuela No. 111</v>
      </c>
      <c r="F3239" s="10" t="str">
        <f t="shared" si="208"/>
        <v>Flores Pérez</v>
      </c>
      <c r="G3239" s="8">
        <v>1</v>
      </c>
      <c r="H3239" s="11">
        <v>400</v>
      </c>
      <c r="I3239" s="12">
        <v>42765</v>
      </c>
      <c r="J3239" s="35">
        <f t="shared" si="209"/>
        <v>0</v>
      </c>
      <c r="K3239" s="36"/>
      <c r="L3239" s="36"/>
      <c r="M3239" s="36"/>
      <c r="N3239" s="36"/>
      <c r="O3239" s="36"/>
      <c r="P3239" s="36"/>
      <c r="Q3239" s="36"/>
      <c r="R3239" s="36"/>
      <c r="S3239" s="36"/>
      <c r="T3239" s="36"/>
      <c r="U3239" s="36"/>
      <c r="V3239" s="36"/>
      <c r="W3239" s="15">
        <f t="shared" si="210"/>
        <v>0</v>
      </c>
      <c r="X3239" s="36">
        <v>400</v>
      </c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15">
        <f t="shared" si="211"/>
        <v>400</v>
      </c>
      <c r="AK3239" s="14"/>
      <c r="AL3239" s="14"/>
      <c r="AM3239" s="14"/>
      <c r="AN3239" s="14"/>
      <c r="AO3239" s="14"/>
      <c r="AP3239" s="14"/>
      <c r="AQ3239" s="14"/>
      <c r="AR3239" s="14"/>
      <c r="AS3239" s="14"/>
      <c r="AT3239" s="14"/>
      <c r="AU3239" s="14"/>
      <c r="AV3239" s="14"/>
      <c r="AW3239" s="15"/>
      <c r="AX3239" s="16"/>
    </row>
    <row r="3240" spans="1:50" x14ac:dyDescent="0.2">
      <c r="B3240" s="7"/>
      <c r="C3240" s="8">
        <v>13742</v>
      </c>
      <c r="D3240" s="9" t="s">
        <v>205</v>
      </c>
      <c r="E3240" s="10" t="str">
        <f t="shared" ref="E3240:E3248" si="212">IF(D3240=0,"",VLOOKUP(D3240,BASE,2,FALSE))</f>
        <v>Rancho Landero No. 1, A</v>
      </c>
      <c r="F3240" s="10" t="str">
        <f t="shared" ref="F3240:F3248" si="213">IF(D3240=0,"",VLOOKUP(D3240,BASE,3,FALSE))</f>
        <v>Ebysos</v>
      </c>
      <c r="G3240" s="8">
        <v>1</v>
      </c>
      <c r="H3240" s="11">
        <v>600</v>
      </c>
      <c r="I3240" s="12">
        <v>42766</v>
      </c>
      <c r="J3240" s="35">
        <f t="shared" ref="J3240:J3248" si="214">IF(G3240=1,SUM(W3240,AJ3240,-H3240),0)</f>
        <v>0</v>
      </c>
      <c r="K3240" s="36"/>
      <c r="L3240" s="36"/>
      <c r="M3240" s="36"/>
      <c r="N3240" s="36"/>
      <c r="O3240" s="36"/>
      <c r="P3240" s="36"/>
      <c r="Q3240" s="36"/>
      <c r="R3240" s="36"/>
      <c r="S3240" s="36"/>
      <c r="T3240" s="36"/>
      <c r="U3240" s="36"/>
      <c r="V3240" s="36"/>
      <c r="W3240" s="15">
        <f t="shared" ref="W3240:W3248" si="215">SUM(K3240:V3240)</f>
        <v>0</v>
      </c>
      <c r="X3240" s="36">
        <v>600</v>
      </c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15">
        <f t="shared" ref="AJ3240:AJ3248" si="216">SUM(X3240:AI3240)</f>
        <v>600</v>
      </c>
      <c r="AK3240" s="14"/>
      <c r="AL3240" s="14"/>
      <c r="AM3240" s="14"/>
      <c r="AN3240" s="14"/>
      <c r="AO3240" s="14"/>
      <c r="AP3240" s="14"/>
      <c r="AQ3240" s="14"/>
      <c r="AR3240" s="14"/>
      <c r="AS3240" s="14"/>
      <c r="AT3240" s="14"/>
      <c r="AU3240" s="14"/>
      <c r="AV3240" s="14"/>
      <c r="AW3240" s="15"/>
      <c r="AX3240" s="16"/>
    </row>
    <row r="3241" spans="1:50" x14ac:dyDescent="0.2">
      <c r="B3241" s="7"/>
      <c r="C3241" s="8">
        <v>13743</v>
      </c>
      <c r="D3241" s="9" t="s">
        <v>843</v>
      </c>
      <c r="E3241" s="10" t="str">
        <f t="shared" si="212"/>
        <v>Rancho Landero No. 12</v>
      </c>
      <c r="F3241" s="10" t="str">
        <f t="shared" si="213"/>
        <v>Guzmán Silva</v>
      </c>
      <c r="G3241" s="8">
        <v>1</v>
      </c>
      <c r="H3241" s="11">
        <v>1000</v>
      </c>
      <c r="I3241" s="12">
        <v>42766</v>
      </c>
      <c r="J3241" s="35">
        <f t="shared" si="214"/>
        <v>0</v>
      </c>
      <c r="K3241" s="36"/>
      <c r="L3241" s="36"/>
      <c r="M3241" s="36"/>
      <c r="N3241" s="36"/>
      <c r="O3241" s="36"/>
      <c r="P3241" s="36"/>
      <c r="Q3241" s="36"/>
      <c r="R3241" s="36">
        <v>200</v>
      </c>
      <c r="S3241" s="36">
        <v>200</v>
      </c>
      <c r="T3241" s="36">
        <v>200</v>
      </c>
      <c r="U3241" s="36">
        <v>200</v>
      </c>
      <c r="V3241" s="36">
        <v>200</v>
      </c>
      <c r="W3241" s="15">
        <f t="shared" si="215"/>
        <v>1000</v>
      </c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15">
        <f t="shared" si="216"/>
        <v>0</v>
      </c>
      <c r="AK3241" s="14"/>
      <c r="AL3241" s="14"/>
      <c r="AM3241" s="14"/>
      <c r="AN3241" s="14"/>
      <c r="AO3241" s="14"/>
      <c r="AP3241" s="14"/>
      <c r="AQ3241" s="14"/>
      <c r="AR3241" s="14"/>
      <c r="AS3241" s="14"/>
      <c r="AT3241" s="14"/>
      <c r="AU3241" s="14"/>
      <c r="AV3241" s="14"/>
      <c r="AW3241" s="15"/>
      <c r="AX3241" s="316">
        <f>SUM(H3235:H3241)</f>
        <v>2750</v>
      </c>
    </row>
    <row r="3242" spans="1:50" x14ac:dyDescent="0.2">
      <c r="A3242" s="320" t="s">
        <v>2878</v>
      </c>
      <c r="B3242" s="7"/>
      <c r="C3242" s="8">
        <v>13802</v>
      </c>
      <c r="D3242" s="9" t="s">
        <v>211</v>
      </c>
      <c r="E3242" s="10" t="str">
        <f t="shared" si="212"/>
        <v>Rancho Upácuaro No. 46</v>
      </c>
      <c r="F3242" s="10" t="str">
        <f t="shared" si="213"/>
        <v>Fuentes</v>
      </c>
      <c r="G3242" s="8">
        <v>1</v>
      </c>
      <c r="H3242" s="11">
        <v>300</v>
      </c>
      <c r="I3242" s="12">
        <v>42739</v>
      </c>
      <c r="J3242" s="35">
        <f t="shared" si="214"/>
        <v>0</v>
      </c>
      <c r="K3242" s="36"/>
      <c r="L3242" s="36"/>
      <c r="M3242" s="36"/>
      <c r="N3242" s="36"/>
      <c r="O3242" s="36"/>
      <c r="P3242" s="36"/>
      <c r="Q3242" s="36"/>
      <c r="R3242" s="36"/>
      <c r="S3242" s="36"/>
      <c r="T3242" s="36"/>
      <c r="U3242" s="36"/>
      <c r="V3242" s="36"/>
      <c r="W3242" s="15">
        <f t="shared" si="215"/>
        <v>0</v>
      </c>
      <c r="X3242" s="36">
        <v>300</v>
      </c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15">
        <f t="shared" si="216"/>
        <v>300</v>
      </c>
      <c r="AK3242" s="14"/>
      <c r="AL3242" s="14"/>
      <c r="AM3242" s="14"/>
      <c r="AN3242" s="14"/>
      <c r="AO3242" s="14"/>
      <c r="AP3242" s="14"/>
      <c r="AQ3242" s="14"/>
      <c r="AR3242" s="14"/>
      <c r="AS3242" s="14"/>
      <c r="AT3242" s="14"/>
      <c r="AU3242" s="14"/>
      <c r="AV3242" s="14"/>
      <c r="AW3242" s="15"/>
      <c r="AX3242" s="16"/>
    </row>
    <row r="3243" spans="1:50" x14ac:dyDescent="0.2">
      <c r="B3243" s="7"/>
      <c r="C3243" s="8">
        <v>13805</v>
      </c>
      <c r="D3243" s="9" t="s">
        <v>208</v>
      </c>
      <c r="E3243" s="10" t="str">
        <f t="shared" si="212"/>
        <v>Rancho La Cuchilla No. 29</v>
      </c>
      <c r="F3243" s="10" t="str">
        <f t="shared" si="213"/>
        <v>Vega Sánchez C.</v>
      </c>
      <c r="G3243" s="8">
        <v>1</v>
      </c>
      <c r="H3243" s="11">
        <v>1200</v>
      </c>
      <c r="I3243" s="12">
        <v>42744</v>
      </c>
      <c r="J3243" s="35">
        <f t="shared" si="214"/>
        <v>0</v>
      </c>
      <c r="K3243" s="36"/>
      <c r="L3243" s="36"/>
      <c r="M3243" s="36"/>
      <c r="N3243" s="36"/>
      <c r="O3243" s="36"/>
      <c r="P3243" s="36"/>
      <c r="Q3243" s="36">
        <v>400</v>
      </c>
      <c r="R3243" s="36">
        <v>400</v>
      </c>
      <c r="S3243" s="36">
        <v>400</v>
      </c>
      <c r="T3243" s="36"/>
      <c r="U3243" s="36"/>
      <c r="V3243" s="36"/>
      <c r="W3243" s="15">
        <f t="shared" si="215"/>
        <v>1200</v>
      </c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15">
        <f t="shared" si="216"/>
        <v>0</v>
      </c>
      <c r="AK3243" s="14"/>
      <c r="AL3243" s="14"/>
      <c r="AM3243" s="14"/>
      <c r="AN3243" s="14"/>
      <c r="AO3243" s="14"/>
      <c r="AP3243" s="14"/>
      <c r="AQ3243" s="14"/>
      <c r="AR3243" s="14"/>
      <c r="AS3243" s="14"/>
      <c r="AT3243" s="14"/>
      <c r="AU3243" s="14"/>
      <c r="AV3243" s="14"/>
      <c r="AW3243" s="15"/>
      <c r="AX3243" s="16"/>
    </row>
    <row r="3244" spans="1:50" x14ac:dyDescent="0.2">
      <c r="B3244" s="7"/>
      <c r="C3244" s="8"/>
      <c r="D3244" s="9" t="s">
        <v>806</v>
      </c>
      <c r="E3244" s="10" t="str">
        <f>IF(D3244=0,"",VLOOKUP(D3244,BASE,2,FALSE))</f>
        <v>Rancho Estanzuela No. 130, A</v>
      </c>
      <c r="F3244" s="10" t="str">
        <f>IF(D3244=0,"",VLOOKUP(D3244,BASE,3,FALSE))</f>
        <v>Colegio Carmel</v>
      </c>
      <c r="G3244" s="8">
        <v>1</v>
      </c>
      <c r="H3244" s="11">
        <v>11000</v>
      </c>
      <c r="I3244" s="12">
        <v>42755</v>
      </c>
      <c r="J3244" s="35">
        <f>IF(G3244=1,SUM(W3244,AJ3244,-H3244),0)</f>
        <v>0</v>
      </c>
      <c r="K3244" s="36"/>
      <c r="L3244" s="36"/>
      <c r="M3244" s="36"/>
      <c r="N3244" s="36"/>
      <c r="O3244" s="36"/>
      <c r="P3244" s="36"/>
      <c r="Q3244" s="36"/>
      <c r="R3244" s="36"/>
      <c r="S3244" s="36"/>
      <c r="T3244" s="36"/>
      <c r="U3244" s="36"/>
      <c r="V3244" s="36"/>
      <c r="W3244" s="15">
        <f>SUM(K3244:V3244)</f>
        <v>0</v>
      </c>
      <c r="X3244" s="36">
        <v>11000</v>
      </c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15">
        <f>SUM(X3244:AI3244)</f>
        <v>11000</v>
      </c>
      <c r="AK3244" s="14"/>
      <c r="AL3244" s="14"/>
      <c r="AM3244" s="14"/>
      <c r="AN3244" s="14"/>
      <c r="AO3244" s="14"/>
      <c r="AP3244" s="14"/>
      <c r="AQ3244" s="14"/>
      <c r="AR3244" s="14"/>
      <c r="AS3244" s="14"/>
      <c r="AT3244" s="14"/>
      <c r="AU3244" s="14"/>
      <c r="AV3244" s="14"/>
      <c r="AW3244" s="15"/>
      <c r="AX3244" s="16"/>
    </row>
    <row r="3245" spans="1:50" x14ac:dyDescent="0.2">
      <c r="A3245" s="2"/>
      <c r="B3245" s="7"/>
      <c r="C3245" s="8">
        <v>13831</v>
      </c>
      <c r="D3245" s="9" t="s">
        <v>571</v>
      </c>
      <c r="E3245" s="10" t="str">
        <f t="shared" si="212"/>
        <v>Rancho Estanzuela No. 15, A</v>
      </c>
      <c r="F3245" s="10" t="str">
        <f t="shared" si="213"/>
        <v>González</v>
      </c>
      <c r="G3245" s="8">
        <v>1</v>
      </c>
      <c r="H3245" s="11">
        <v>400</v>
      </c>
      <c r="I3245" s="12">
        <v>42765</v>
      </c>
      <c r="J3245" s="35">
        <f t="shared" si="214"/>
        <v>0</v>
      </c>
      <c r="K3245" s="36"/>
      <c r="L3245" s="36"/>
      <c r="M3245" s="36"/>
      <c r="N3245" s="36"/>
      <c r="O3245" s="36"/>
      <c r="P3245" s="36"/>
      <c r="Q3245" s="36"/>
      <c r="R3245" s="36"/>
      <c r="S3245" s="36"/>
      <c r="T3245" s="36"/>
      <c r="U3245" s="36"/>
      <c r="V3245" s="36">
        <v>200</v>
      </c>
      <c r="W3245" s="15">
        <f t="shared" si="215"/>
        <v>200</v>
      </c>
      <c r="X3245" s="36">
        <v>200</v>
      </c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15">
        <f t="shared" si="216"/>
        <v>200</v>
      </c>
      <c r="AK3245" s="14"/>
      <c r="AL3245" s="14"/>
      <c r="AM3245" s="14"/>
      <c r="AN3245" s="14"/>
      <c r="AO3245" s="14"/>
      <c r="AP3245" s="14"/>
      <c r="AQ3245" s="14"/>
      <c r="AR3245" s="14"/>
      <c r="AS3245" s="14"/>
      <c r="AT3245" s="14"/>
      <c r="AU3245" s="14"/>
      <c r="AV3245" s="14"/>
      <c r="AW3245" s="15"/>
      <c r="AX3245" s="316">
        <f>SUM(H2977:H3245)</f>
        <v>217985</v>
      </c>
    </row>
    <row r="3246" spans="1:50" ht="22.5" x14ac:dyDescent="0.2">
      <c r="B3246" s="3" t="s">
        <v>1</v>
      </c>
      <c r="C3246" s="3" t="s">
        <v>2</v>
      </c>
      <c r="D3246" s="3" t="s">
        <v>3</v>
      </c>
      <c r="E3246" s="337" t="s">
        <v>4</v>
      </c>
      <c r="F3246" s="337" t="s">
        <v>5</v>
      </c>
      <c r="G3246" s="3" t="s">
        <v>6</v>
      </c>
      <c r="H3246" s="3" t="s">
        <v>7</v>
      </c>
      <c r="I3246" s="3" t="s">
        <v>8</v>
      </c>
      <c r="J3246" s="337" t="s">
        <v>9</v>
      </c>
      <c r="K3246" s="4" t="s">
        <v>10</v>
      </c>
      <c r="L3246" s="4" t="s">
        <v>11</v>
      </c>
      <c r="M3246" s="4" t="s">
        <v>12</v>
      </c>
      <c r="N3246" s="4" t="s">
        <v>13</v>
      </c>
      <c r="O3246" s="4" t="s">
        <v>14</v>
      </c>
      <c r="P3246" s="4" t="s">
        <v>15</v>
      </c>
      <c r="Q3246" s="4" t="s">
        <v>16</v>
      </c>
      <c r="R3246" s="4" t="s">
        <v>17</v>
      </c>
      <c r="S3246" s="4" t="s">
        <v>18</v>
      </c>
      <c r="T3246" s="4" t="s">
        <v>19</v>
      </c>
      <c r="U3246" s="4" t="s">
        <v>20</v>
      </c>
      <c r="V3246" s="4" t="s">
        <v>21</v>
      </c>
      <c r="W3246" s="338" t="s">
        <v>22</v>
      </c>
      <c r="X3246" s="4" t="s">
        <v>23</v>
      </c>
      <c r="Y3246" s="4" t="s">
        <v>24</v>
      </c>
      <c r="Z3246" s="4" t="s">
        <v>25</v>
      </c>
      <c r="AA3246" s="4" t="s">
        <v>26</v>
      </c>
      <c r="AB3246" s="4" t="s">
        <v>27</v>
      </c>
      <c r="AC3246" s="4" t="s">
        <v>28</v>
      </c>
      <c r="AD3246" s="4" t="s">
        <v>29</v>
      </c>
      <c r="AE3246" s="4" t="s">
        <v>30</v>
      </c>
      <c r="AF3246" s="4" t="s">
        <v>31</v>
      </c>
      <c r="AG3246" s="4" t="s">
        <v>32</v>
      </c>
      <c r="AH3246" s="4" t="s">
        <v>33</v>
      </c>
      <c r="AI3246" s="4" t="s">
        <v>34</v>
      </c>
      <c r="AJ3246" s="338" t="s">
        <v>35</v>
      </c>
      <c r="AK3246" s="4" t="s">
        <v>4607</v>
      </c>
      <c r="AL3246" s="4" t="s">
        <v>4608</v>
      </c>
      <c r="AM3246" s="4" t="s">
        <v>4609</v>
      </c>
      <c r="AN3246" s="4" t="s">
        <v>4610</v>
      </c>
      <c r="AO3246" s="4" t="s">
        <v>4611</v>
      </c>
      <c r="AP3246" s="4" t="s">
        <v>4612</v>
      </c>
      <c r="AQ3246" s="4" t="s">
        <v>4613</v>
      </c>
      <c r="AR3246" s="4" t="s">
        <v>4614</v>
      </c>
      <c r="AS3246" s="4" t="s">
        <v>4615</v>
      </c>
      <c r="AT3246" s="4" t="s">
        <v>4616</v>
      </c>
      <c r="AU3246" s="4" t="s">
        <v>4617</v>
      </c>
      <c r="AV3246" s="4" t="s">
        <v>4618</v>
      </c>
      <c r="AW3246" s="338" t="s">
        <v>4619</v>
      </c>
      <c r="AX3246" s="6" t="s">
        <v>36</v>
      </c>
    </row>
    <row r="3247" spans="1:50" x14ac:dyDescent="0.2">
      <c r="B3247" s="7"/>
      <c r="C3247" s="8">
        <v>13744</v>
      </c>
      <c r="D3247" s="9" t="s">
        <v>1170</v>
      </c>
      <c r="E3247" s="10" t="str">
        <f t="shared" si="212"/>
        <v>Rancho La Cuchilla No. 117</v>
      </c>
      <c r="F3247" s="10" t="str">
        <f t="shared" si="213"/>
        <v>Gómez</v>
      </c>
      <c r="G3247" s="8">
        <v>1</v>
      </c>
      <c r="H3247" s="315">
        <v>800</v>
      </c>
      <c r="I3247" s="12">
        <v>42767</v>
      </c>
      <c r="J3247" s="35">
        <f t="shared" si="214"/>
        <v>0</v>
      </c>
      <c r="K3247" s="36"/>
      <c r="L3247" s="36"/>
      <c r="M3247" s="36"/>
      <c r="N3247" s="36"/>
      <c r="O3247" s="36"/>
      <c r="P3247" s="36"/>
      <c r="Q3247" s="36">
        <v>400</v>
      </c>
      <c r="R3247" s="36">
        <v>400</v>
      </c>
      <c r="S3247" s="36"/>
      <c r="T3247" s="36"/>
      <c r="U3247" s="36"/>
      <c r="V3247" s="36"/>
      <c r="W3247" s="15">
        <f t="shared" si="215"/>
        <v>800</v>
      </c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15">
        <f t="shared" si="216"/>
        <v>0</v>
      </c>
      <c r="AK3247" s="14"/>
      <c r="AL3247" s="14"/>
      <c r="AM3247" s="14"/>
      <c r="AN3247" s="14"/>
      <c r="AO3247" s="14"/>
      <c r="AP3247" s="14"/>
      <c r="AQ3247" s="14"/>
      <c r="AR3247" s="14"/>
      <c r="AS3247" s="14"/>
      <c r="AT3247" s="14"/>
      <c r="AU3247" s="14"/>
      <c r="AV3247" s="14"/>
      <c r="AW3247" s="15"/>
      <c r="AX3247" s="16"/>
    </row>
    <row r="3248" spans="1:50" x14ac:dyDescent="0.2">
      <c r="B3248" s="7"/>
      <c r="C3248" s="8">
        <v>13745</v>
      </c>
      <c r="D3248" s="9" t="s">
        <v>220</v>
      </c>
      <c r="E3248" s="10" t="str">
        <f t="shared" si="212"/>
        <v>Rancho Recoveco No. 3</v>
      </c>
      <c r="F3248" s="10" t="str">
        <f t="shared" si="213"/>
        <v>Garduño</v>
      </c>
      <c r="G3248" s="8">
        <v>1</v>
      </c>
      <c r="H3248" s="11">
        <v>300</v>
      </c>
      <c r="I3248" s="12">
        <v>42768</v>
      </c>
      <c r="J3248" s="35">
        <f t="shared" si="214"/>
        <v>0</v>
      </c>
      <c r="K3248" s="36"/>
      <c r="L3248" s="36"/>
      <c r="M3248" s="36"/>
      <c r="N3248" s="36"/>
      <c r="O3248" s="36"/>
      <c r="P3248" s="36"/>
      <c r="Q3248" s="36"/>
      <c r="R3248" s="36"/>
      <c r="S3248" s="36"/>
      <c r="T3248" s="36"/>
      <c r="U3248" s="36"/>
      <c r="V3248" s="36"/>
      <c r="W3248" s="15">
        <f t="shared" si="215"/>
        <v>0</v>
      </c>
      <c r="X3248" s="36">
        <v>300</v>
      </c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15">
        <f t="shared" si="216"/>
        <v>300</v>
      </c>
      <c r="AK3248" s="14"/>
      <c r="AL3248" s="14"/>
      <c r="AM3248" s="14"/>
      <c r="AN3248" s="14"/>
      <c r="AO3248" s="14"/>
      <c r="AP3248" s="14"/>
      <c r="AQ3248" s="14"/>
      <c r="AR3248" s="14"/>
      <c r="AS3248" s="14"/>
      <c r="AT3248" s="14"/>
      <c r="AU3248" s="14"/>
      <c r="AV3248" s="14"/>
      <c r="AW3248" s="15"/>
      <c r="AX3248" s="16"/>
    </row>
    <row r="3249" spans="2:50" x14ac:dyDescent="0.2">
      <c r="B3249" s="7"/>
      <c r="C3249" s="8">
        <v>13746</v>
      </c>
      <c r="D3249" s="9" t="s">
        <v>1203</v>
      </c>
      <c r="E3249" s="10" t="str">
        <f t="shared" ref="E3249:E3258" si="217">IF(D3249=0,"",VLOOKUP(D3249,BASE,2,FALSE))</f>
        <v>Rancho Landero No. 92</v>
      </c>
      <c r="F3249" s="10" t="str">
        <f t="shared" ref="F3249:F3258" si="218">IF(D3249=0,"",VLOOKUP(D3249,BASE,3,FALSE))</f>
        <v>Ruiz Velasco</v>
      </c>
      <c r="G3249" s="8">
        <v>1</v>
      </c>
      <c r="H3249" s="11">
        <v>600</v>
      </c>
      <c r="I3249" s="12">
        <v>42771</v>
      </c>
      <c r="J3249" s="35">
        <f t="shared" ref="J3249:J3258" si="219">IF(G3249=1,SUM(W3249,AJ3249,-H3249),0)</f>
        <v>0</v>
      </c>
      <c r="K3249" s="36"/>
      <c r="L3249" s="36"/>
      <c r="M3249" s="36"/>
      <c r="N3249" s="36"/>
      <c r="O3249" s="36"/>
      <c r="P3249" s="36"/>
      <c r="Q3249" s="36"/>
      <c r="R3249" s="36"/>
      <c r="S3249" s="36"/>
      <c r="T3249" s="36"/>
      <c r="U3249" s="36"/>
      <c r="V3249" s="36">
        <v>300</v>
      </c>
      <c r="W3249" s="15">
        <f t="shared" ref="W3249:W3258" si="220">SUM(K3249:V3249)</f>
        <v>300</v>
      </c>
      <c r="X3249" s="36">
        <v>300</v>
      </c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15">
        <f t="shared" ref="AJ3249:AJ3258" si="221">SUM(X3249:AI3249)</f>
        <v>300</v>
      </c>
      <c r="AK3249" s="14"/>
      <c r="AL3249" s="14"/>
      <c r="AM3249" s="14"/>
      <c r="AN3249" s="14"/>
      <c r="AO3249" s="14"/>
      <c r="AP3249" s="14"/>
      <c r="AQ3249" s="14"/>
      <c r="AR3249" s="14"/>
      <c r="AS3249" s="14"/>
      <c r="AT3249" s="14"/>
      <c r="AU3249" s="14"/>
      <c r="AV3249" s="14"/>
      <c r="AW3249" s="15"/>
      <c r="AX3249" s="16"/>
    </row>
    <row r="3250" spans="2:50" x14ac:dyDescent="0.2">
      <c r="B3250" s="7"/>
      <c r="C3250" s="8">
        <v>13747</v>
      </c>
      <c r="D3250" s="9" t="s">
        <v>235</v>
      </c>
      <c r="E3250" s="10" t="str">
        <f t="shared" si="217"/>
        <v>Rancho La Cuchilla No. 43, A</v>
      </c>
      <c r="F3250" s="10" t="str">
        <f t="shared" si="218"/>
        <v>De la Rosa</v>
      </c>
      <c r="G3250" s="8">
        <v>1</v>
      </c>
      <c r="H3250" s="11">
        <v>400</v>
      </c>
      <c r="I3250" s="12">
        <v>42771</v>
      </c>
      <c r="J3250" s="35">
        <f t="shared" si="219"/>
        <v>0</v>
      </c>
      <c r="K3250" s="36"/>
      <c r="L3250" s="36"/>
      <c r="M3250" s="36"/>
      <c r="N3250" s="36"/>
      <c r="O3250" s="36"/>
      <c r="P3250" s="36"/>
      <c r="Q3250" s="36"/>
      <c r="R3250" s="36"/>
      <c r="S3250" s="36"/>
      <c r="T3250" s="36"/>
      <c r="U3250" s="36"/>
      <c r="V3250" s="36"/>
      <c r="W3250" s="15">
        <f t="shared" si="220"/>
        <v>0</v>
      </c>
      <c r="X3250" s="36">
        <v>400</v>
      </c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15">
        <f t="shared" si="221"/>
        <v>400</v>
      </c>
      <c r="AK3250" s="14"/>
      <c r="AL3250" s="14"/>
      <c r="AM3250" s="14"/>
      <c r="AN3250" s="14"/>
      <c r="AO3250" s="14"/>
      <c r="AP3250" s="14"/>
      <c r="AQ3250" s="14"/>
      <c r="AR3250" s="14"/>
      <c r="AS3250" s="14"/>
      <c r="AT3250" s="14"/>
      <c r="AU3250" s="14"/>
      <c r="AV3250" s="14"/>
      <c r="AW3250" s="15"/>
      <c r="AX3250" s="16"/>
    </row>
    <row r="3251" spans="2:50" x14ac:dyDescent="0.2">
      <c r="B3251" s="7"/>
      <c r="C3251" s="8">
        <v>13748</v>
      </c>
      <c r="D3251" s="9" t="s">
        <v>1203</v>
      </c>
      <c r="E3251" s="10" t="str">
        <f t="shared" si="217"/>
        <v>Rancho Landero No. 92</v>
      </c>
      <c r="F3251" s="10" t="str">
        <f t="shared" si="218"/>
        <v>Ruiz Velasco</v>
      </c>
      <c r="G3251" s="8">
        <v>4</v>
      </c>
      <c r="H3251" s="11">
        <v>200</v>
      </c>
      <c r="I3251" s="12">
        <v>42771</v>
      </c>
      <c r="J3251" s="35">
        <f t="shared" si="219"/>
        <v>0</v>
      </c>
      <c r="K3251" s="36"/>
      <c r="L3251" s="36"/>
      <c r="M3251" s="36"/>
      <c r="N3251" s="36"/>
      <c r="O3251" s="36"/>
      <c r="P3251" s="36"/>
      <c r="Q3251" s="36"/>
      <c r="R3251" s="36"/>
      <c r="S3251" s="36"/>
      <c r="T3251" s="36"/>
      <c r="U3251" s="36"/>
      <c r="V3251" s="36"/>
      <c r="W3251" s="15">
        <f t="shared" si="220"/>
        <v>0</v>
      </c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15">
        <f t="shared" si="221"/>
        <v>0</v>
      </c>
      <c r="AK3251" s="14"/>
      <c r="AL3251" s="14"/>
      <c r="AM3251" s="14"/>
      <c r="AN3251" s="14"/>
      <c r="AO3251" s="14"/>
      <c r="AP3251" s="14"/>
      <c r="AQ3251" s="14"/>
      <c r="AR3251" s="14"/>
      <c r="AS3251" s="14"/>
      <c r="AT3251" s="14"/>
      <c r="AU3251" s="14"/>
      <c r="AV3251" s="14"/>
      <c r="AW3251" s="15"/>
      <c r="AX3251" s="16" t="s">
        <v>3512</v>
      </c>
    </row>
    <row r="3252" spans="2:50" x14ac:dyDescent="0.2">
      <c r="B3252" s="7"/>
      <c r="C3252" s="8">
        <v>13749</v>
      </c>
      <c r="D3252" s="9" t="s">
        <v>156</v>
      </c>
      <c r="E3252" s="10" t="str">
        <f t="shared" si="217"/>
        <v>Rancho Zinamba No. 80</v>
      </c>
      <c r="F3252" s="10" t="str">
        <f t="shared" si="218"/>
        <v>Vázquez</v>
      </c>
      <c r="G3252" s="8">
        <v>1</v>
      </c>
      <c r="H3252" s="11">
        <v>300</v>
      </c>
      <c r="I3252" s="12">
        <v>42771</v>
      </c>
      <c r="J3252" s="35">
        <f t="shared" si="219"/>
        <v>0</v>
      </c>
      <c r="K3252" s="36"/>
      <c r="L3252" s="36"/>
      <c r="M3252" s="36"/>
      <c r="N3252" s="36"/>
      <c r="O3252" s="36"/>
      <c r="P3252" s="36"/>
      <c r="Q3252" s="36"/>
      <c r="R3252" s="36"/>
      <c r="S3252" s="36"/>
      <c r="T3252" s="36"/>
      <c r="U3252" s="36"/>
      <c r="V3252" s="36"/>
      <c r="W3252" s="15">
        <f t="shared" si="220"/>
        <v>0</v>
      </c>
      <c r="X3252" s="36"/>
      <c r="Y3252" s="36">
        <v>300</v>
      </c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15">
        <f t="shared" si="221"/>
        <v>300</v>
      </c>
      <c r="AK3252" s="14"/>
      <c r="AL3252" s="14"/>
      <c r="AM3252" s="14"/>
      <c r="AN3252" s="14"/>
      <c r="AO3252" s="14"/>
      <c r="AP3252" s="14"/>
      <c r="AQ3252" s="14"/>
      <c r="AR3252" s="14"/>
      <c r="AS3252" s="14"/>
      <c r="AT3252" s="14"/>
      <c r="AU3252" s="14"/>
      <c r="AV3252" s="14"/>
      <c r="AW3252" s="15"/>
      <c r="AX3252" s="16"/>
    </row>
    <row r="3253" spans="2:50" x14ac:dyDescent="0.2">
      <c r="B3253" s="7"/>
      <c r="C3253" s="8">
        <v>13750</v>
      </c>
      <c r="D3253" s="9" t="s">
        <v>820</v>
      </c>
      <c r="E3253" s="10" t="str">
        <f t="shared" si="217"/>
        <v>Rancho Zinamba No. 84</v>
      </c>
      <c r="F3253" s="10" t="str">
        <f t="shared" si="218"/>
        <v>Lobato</v>
      </c>
      <c r="G3253" s="8">
        <v>1</v>
      </c>
      <c r="H3253" s="11">
        <v>300</v>
      </c>
      <c r="I3253" s="12">
        <v>42771</v>
      </c>
      <c r="J3253" s="35">
        <f t="shared" si="219"/>
        <v>0</v>
      </c>
      <c r="K3253" s="36"/>
      <c r="L3253" s="36"/>
      <c r="M3253" s="36"/>
      <c r="N3253" s="36"/>
      <c r="O3253" s="36"/>
      <c r="P3253" s="36"/>
      <c r="Q3253" s="36"/>
      <c r="R3253" s="36"/>
      <c r="S3253" s="36"/>
      <c r="T3253" s="36"/>
      <c r="U3253" s="36"/>
      <c r="V3253" s="36"/>
      <c r="W3253" s="15">
        <f t="shared" si="220"/>
        <v>0</v>
      </c>
      <c r="X3253" s="36">
        <v>300</v>
      </c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15">
        <f t="shared" si="221"/>
        <v>300</v>
      </c>
      <c r="AK3253" s="14"/>
      <c r="AL3253" s="14"/>
      <c r="AM3253" s="14"/>
      <c r="AN3253" s="14"/>
      <c r="AO3253" s="14"/>
      <c r="AP3253" s="14"/>
      <c r="AQ3253" s="14"/>
      <c r="AR3253" s="14"/>
      <c r="AS3253" s="14"/>
      <c r="AT3253" s="14"/>
      <c r="AU3253" s="14"/>
      <c r="AV3253" s="14"/>
      <c r="AW3253" s="15"/>
      <c r="AX3253" s="16"/>
    </row>
    <row r="3254" spans="2:50" x14ac:dyDescent="0.2">
      <c r="B3254" s="7"/>
      <c r="C3254" s="8">
        <v>13751</v>
      </c>
      <c r="D3254" s="9" t="s">
        <v>241</v>
      </c>
      <c r="E3254" s="10" t="str">
        <f t="shared" si="217"/>
        <v>Rancho La Cuchilla No. 81, A</v>
      </c>
      <c r="F3254" s="10" t="str">
        <f t="shared" si="218"/>
        <v>Barrientos López</v>
      </c>
      <c r="G3254" s="8">
        <v>1</v>
      </c>
      <c r="H3254" s="11">
        <v>400</v>
      </c>
      <c r="I3254" s="12">
        <v>42771</v>
      </c>
      <c r="J3254" s="35">
        <f t="shared" si="219"/>
        <v>0</v>
      </c>
      <c r="K3254" s="36"/>
      <c r="L3254" s="36"/>
      <c r="M3254" s="36"/>
      <c r="N3254" s="36"/>
      <c r="O3254" s="36"/>
      <c r="P3254" s="36"/>
      <c r="Q3254" s="36"/>
      <c r="R3254" s="36"/>
      <c r="S3254" s="36"/>
      <c r="T3254" s="36"/>
      <c r="U3254" s="36"/>
      <c r="V3254" s="36"/>
      <c r="W3254" s="15">
        <f t="shared" si="220"/>
        <v>0</v>
      </c>
      <c r="X3254" s="36"/>
      <c r="Y3254" s="36">
        <v>400</v>
      </c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15">
        <f t="shared" si="221"/>
        <v>400</v>
      </c>
      <c r="AK3254" s="14"/>
      <c r="AL3254" s="14"/>
      <c r="AM3254" s="14"/>
      <c r="AN3254" s="14"/>
      <c r="AO3254" s="14"/>
      <c r="AP3254" s="14"/>
      <c r="AQ3254" s="14"/>
      <c r="AR3254" s="14"/>
      <c r="AS3254" s="14"/>
      <c r="AT3254" s="14"/>
      <c r="AU3254" s="14"/>
      <c r="AV3254" s="14"/>
      <c r="AW3254" s="15"/>
      <c r="AX3254" s="16"/>
    </row>
    <row r="3255" spans="2:50" x14ac:dyDescent="0.2">
      <c r="B3255" s="7"/>
      <c r="C3255" s="8">
        <v>13752</v>
      </c>
      <c r="D3255" s="9" t="s">
        <v>280</v>
      </c>
      <c r="E3255" s="10" t="str">
        <f t="shared" si="217"/>
        <v>Rancho La Cuchilla No. 40</v>
      </c>
      <c r="F3255" s="10" t="str">
        <f t="shared" si="218"/>
        <v>López Pico</v>
      </c>
      <c r="G3255" s="8">
        <v>1</v>
      </c>
      <c r="H3255" s="11">
        <v>400</v>
      </c>
      <c r="I3255" s="12">
        <v>42771</v>
      </c>
      <c r="J3255" s="35">
        <f t="shared" si="219"/>
        <v>0</v>
      </c>
      <c r="K3255" s="36"/>
      <c r="L3255" s="36"/>
      <c r="M3255" s="36"/>
      <c r="N3255" s="36"/>
      <c r="O3255" s="36"/>
      <c r="P3255" s="36"/>
      <c r="Q3255" s="36"/>
      <c r="R3255" s="36"/>
      <c r="S3255" s="36"/>
      <c r="T3255" s="36"/>
      <c r="U3255" s="36"/>
      <c r="V3255" s="36"/>
      <c r="W3255" s="15">
        <f t="shared" si="220"/>
        <v>0</v>
      </c>
      <c r="X3255" s="36"/>
      <c r="Y3255" s="36">
        <v>400</v>
      </c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15">
        <f t="shared" si="221"/>
        <v>400</v>
      </c>
      <c r="AK3255" s="14"/>
      <c r="AL3255" s="14"/>
      <c r="AM3255" s="14"/>
      <c r="AN3255" s="14"/>
      <c r="AO3255" s="14"/>
      <c r="AP3255" s="14"/>
      <c r="AQ3255" s="14"/>
      <c r="AR3255" s="14"/>
      <c r="AS3255" s="14"/>
      <c r="AT3255" s="14"/>
      <c r="AU3255" s="14"/>
      <c r="AV3255" s="14"/>
      <c r="AW3255" s="15"/>
      <c r="AX3255" s="16"/>
    </row>
    <row r="3256" spans="2:50" x14ac:dyDescent="0.2">
      <c r="B3256" s="7"/>
      <c r="C3256" s="8">
        <v>13753</v>
      </c>
      <c r="D3256" s="9" t="s">
        <v>831</v>
      </c>
      <c r="E3256" s="10" t="str">
        <f t="shared" si="217"/>
        <v>Rancho Upácuaro No. 80</v>
      </c>
      <c r="F3256" s="10" t="str">
        <f t="shared" si="218"/>
        <v>De los Ríos</v>
      </c>
      <c r="G3256" s="8">
        <v>1</v>
      </c>
      <c r="H3256" s="11">
        <v>400</v>
      </c>
      <c r="I3256" s="12">
        <v>42771</v>
      </c>
      <c r="J3256" s="35">
        <f t="shared" si="219"/>
        <v>0</v>
      </c>
      <c r="K3256" s="36"/>
      <c r="L3256" s="36"/>
      <c r="M3256" s="36"/>
      <c r="N3256" s="36"/>
      <c r="O3256" s="36"/>
      <c r="P3256" s="36"/>
      <c r="Q3256" s="36"/>
      <c r="R3256" s="36"/>
      <c r="S3256" s="36"/>
      <c r="T3256" s="36"/>
      <c r="U3256" s="36"/>
      <c r="V3256" s="36"/>
      <c r="W3256" s="15">
        <f t="shared" si="220"/>
        <v>0</v>
      </c>
      <c r="X3256" s="36"/>
      <c r="Y3256" s="36">
        <v>400</v>
      </c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15">
        <f t="shared" si="221"/>
        <v>400</v>
      </c>
      <c r="AK3256" s="14"/>
      <c r="AL3256" s="14"/>
      <c r="AM3256" s="14"/>
      <c r="AN3256" s="14"/>
      <c r="AO3256" s="14"/>
      <c r="AP3256" s="14"/>
      <c r="AQ3256" s="14"/>
      <c r="AR3256" s="14"/>
      <c r="AS3256" s="14"/>
      <c r="AT3256" s="14"/>
      <c r="AU3256" s="14"/>
      <c r="AV3256" s="14"/>
      <c r="AW3256" s="15"/>
      <c r="AX3256" s="16"/>
    </row>
    <row r="3257" spans="2:50" x14ac:dyDescent="0.2">
      <c r="B3257" s="7"/>
      <c r="C3257" s="8">
        <v>13754</v>
      </c>
      <c r="D3257" s="9" t="s">
        <v>803</v>
      </c>
      <c r="E3257" s="10" t="str">
        <f t="shared" si="217"/>
        <v>Rancho La Cuchilla No. 36</v>
      </c>
      <c r="F3257" s="10" t="str">
        <f t="shared" si="218"/>
        <v>Castillo</v>
      </c>
      <c r="G3257" s="8">
        <v>1</v>
      </c>
      <c r="H3257" s="11">
        <v>1200</v>
      </c>
      <c r="I3257" s="12">
        <v>42771</v>
      </c>
      <c r="J3257" s="35">
        <f t="shared" si="219"/>
        <v>0</v>
      </c>
      <c r="K3257" s="36"/>
      <c r="L3257" s="36"/>
      <c r="M3257" s="36"/>
      <c r="N3257" s="36"/>
      <c r="O3257" s="36"/>
      <c r="P3257" s="36"/>
      <c r="Q3257" s="36"/>
      <c r="R3257" s="36"/>
      <c r="S3257" s="36"/>
      <c r="T3257" s="36"/>
      <c r="U3257" s="36"/>
      <c r="V3257" s="36">
        <v>400</v>
      </c>
      <c r="W3257" s="15">
        <f t="shared" si="220"/>
        <v>400</v>
      </c>
      <c r="X3257" s="36">
        <v>400</v>
      </c>
      <c r="Y3257" s="36">
        <v>400</v>
      </c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15">
        <f t="shared" si="221"/>
        <v>800</v>
      </c>
      <c r="AK3257" s="14"/>
      <c r="AL3257" s="14"/>
      <c r="AM3257" s="14"/>
      <c r="AN3257" s="14"/>
      <c r="AO3257" s="14"/>
      <c r="AP3257" s="14"/>
      <c r="AQ3257" s="14"/>
      <c r="AR3257" s="14"/>
      <c r="AS3257" s="14"/>
      <c r="AT3257" s="14"/>
      <c r="AU3257" s="14"/>
      <c r="AV3257" s="14"/>
      <c r="AW3257" s="15"/>
      <c r="AX3257" s="16"/>
    </row>
    <row r="3258" spans="2:50" x14ac:dyDescent="0.2">
      <c r="B3258" s="7"/>
      <c r="C3258" s="8">
        <v>13755</v>
      </c>
      <c r="D3258" s="9" t="s">
        <v>803</v>
      </c>
      <c r="E3258" s="10" t="str">
        <f t="shared" si="217"/>
        <v>Rancho La Cuchilla No. 36</v>
      </c>
      <c r="F3258" s="10" t="str">
        <f t="shared" si="218"/>
        <v>Castillo</v>
      </c>
      <c r="G3258" s="8">
        <v>5</v>
      </c>
      <c r="H3258" s="11">
        <v>100</v>
      </c>
      <c r="I3258" s="12">
        <v>42771</v>
      </c>
      <c r="J3258" s="35">
        <f t="shared" si="219"/>
        <v>0</v>
      </c>
      <c r="K3258" s="36"/>
      <c r="L3258" s="36"/>
      <c r="M3258" s="36"/>
      <c r="N3258" s="36"/>
      <c r="O3258" s="36"/>
      <c r="P3258" s="36"/>
      <c r="Q3258" s="36"/>
      <c r="R3258" s="36"/>
      <c r="S3258" s="36"/>
      <c r="T3258" s="36"/>
      <c r="U3258" s="36"/>
      <c r="V3258" s="36"/>
      <c r="W3258" s="15">
        <f t="shared" si="220"/>
        <v>0</v>
      </c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15">
        <f t="shared" si="221"/>
        <v>0</v>
      </c>
      <c r="AK3258" s="14"/>
      <c r="AL3258" s="14"/>
      <c r="AM3258" s="14"/>
      <c r="AN3258" s="14"/>
      <c r="AO3258" s="14"/>
      <c r="AP3258" s="14"/>
      <c r="AQ3258" s="14"/>
      <c r="AR3258" s="14"/>
      <c r="AS3258" s="14"/>
      <c r="AT3258" s="14"/>
      <c r="AU3258" s="14"/>
      <c r="AV3258" s="14"/>
      <c r="AW3258" s="15"/>
      <c r="AX3258" s="16"/>
    </row>
    <row r="3259" spans="2:50" x14ac:dyDescent="0.2">
      <c r="B3259" s="7"/>
      <c r="C3259" s="8">
        <v>13756</v>
      </c>
      <c r="D3259" s="9" t="s">
        <v>343</v>
      </c>
      <c r="E3259" s="10" t="str">
        <f t="shared" ref="E3259:E3293" si="222">IF(D3259=0,"",VLOOKUP(D3259,BASE,2,FALSE))</f>
        <v>Rancho Upácuaro No. 88</v>
      </c>
      <c r="F3259" s="10" t="str">
        <f t="shared" ref="F3259:F3293" si="223">IF(D3259=0,"",VLOOKUP(D3259,BASE,3,FALSE))</f>
        <v>Millán Núñez</v>
      </c>
      <c r="G3259" s="8">
        <v>1</v>
      </c>
      <c r="H3259" s="11">
        <v>800</v>
      </c>
      <c r="I3259" s="12">
        <v>42771</v>
      </c>
      <c r="J3259" s="35">
        <f t="shared" ref="J3259:J3293" si="224">IF(G3259=1,SUM(W3259,AJ3259,-H3259),0)</f>
        <v>0</v>
      </c>
      <c r="K3259" s="36"/>
      <c r="L3259" s="36"/>
      <c r="M3259" s="36"/>
      <c r="N3259" s="36"/>
      <c r="O3259" s="36"/>
      <c r="P3259" s="36"/>
      <c r="Q3259" s="36"/>
      <c r="R3259" s="36"/>
      <c r="S3259" s="36"/>
      <c r="T3259" s="36"/>
      <c r="U3259" s="36"/>
      <c r="V3259" s="36"/>
      <c r="W3259" s="15">
        <f t="shared" ref="W3259:W3293" si="225">SUM(K3259:V3259)</f>
        <v>0</v>
      </c>
      <c r="X3259" s="36">
        <v>400</v>
      </c>
      <c r="Y3259" s="36">
        <v>400</v>
      </c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15">
        <f t="shared" ref="AJ3259:AJ3293" si="226">SUM(X3259:AI3259)</f>
        <v>800</v>
      </c>
      <c r="AK3259" s="14"/>
      <c r="AL3259" s="14"/>
      <c r="AM3259" s="14"/>
      <c r="AN3259" s="14"/>
      <c r="AO3259" s="14"/>
      <c r="AP3259" s="14"/>
      <c r="AQ3259" s="14"/>
      <c r="AR3259" s="14"/>
      <c r="AS3259" s="14"/>
      <c r="AT3259" s="14"/>
      <c r="AU3259" s="14"/>
      <c r="AV3259" s="14"/>
      <c r="AW3259" s="15"/>
      <c r="AX3259" s="16"/>
    </row>
    <row r="3260" spans="2:50" x14ac:dyDescent="0.2">
      <c r="B3260" s="7"/>
      <c r="C3260" s="8">
        <v>13757</v>
      </c>
      <c r="D3260" s="9" t="s">
        <v>678</v>
      </c>
      <c r="E3260" s="10" t="str">
        <f>IF(D3260=0,"",VLOOKUP(D3260,BASE,2,FALSE))</f>
        <v>Rancho Upácuaro No. 76</v>
      </c>
      <c r="F3260" s="10" t="str">
        <f t="shared" si="223"/>
        <v>Ruiz de San Pedro</v>
      </c>
      <c r="G3260" s="8">
        <v>1</v>
      </c>
      <c r="H3260" s="11">
        <v>400</v>
      </c>
      <c r="I3260" s="12">
        <v>42771</v>
      </c>
      <c r="J3260" s="35">
        <f t="shared" si="224"/>
        <v>0</v>
      </c>
      <c r="K3260" s="36"/>
      <c r="L3260" s="36"/>
      <c r="M3260" s="36"/>
      <c r="N3260" s="36"/>
      <c r="O3260" s="36"/>
      <c r="P3260" s="36"/>
      <c r="Q3260" s="36"/>
      <c r="R3260" s="36"/>
      <c r="S3260" s="36"/>
      <c r="T3260" s="36"/>
      <c r="U3260" s="36"/>
      <c r="V3260" s="36"/>
      <c r="W3260" s="15">
        <f t="shared" si="225"/>
        <v>0</v>
      </c>
      <c r="X3260" s="36"/>
      <c r="Y3260" s="36">
        <v>400</v>
      </c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15">
        <f t="shared" si="226"/>
        <v>400</v>
      </c>
      <c r="AK3260" s="14"/>
      <c r="AL3260" s="14"/>
      <c r="AM3260" s="14"/>
      <c r="AN3260" s="14"/>
      <c r="AO3260" s="14"/>
      <c r="AP3260" s="14"/>
      <c r="AQ3260" s="14"/>
      <c r="AR3260" s="14"/>
      <c r="AS3260" s="14"/>
      <c r="AT3260" s="14"/>
      <c r="AU3260" s="14"/>
      <c r="AV3260" s="14"/>
      <c r="AW3260" s="15"/>
      <c r="AX3260" s="16"/>
    </row>
    <row r="3261" spans="2:50" x14ac:dyDescent="0.2">
      <c r="B3261" s="7"/>
      <c r="C3261" s="8">
        <v>13758</v>
      </c>
      <c r="D3261" s="9" t="s">
        <v>97</v>
      </c>
      <c r="E3261" s="10" t="str">
        <f>IF(D3261=0,"",VLOOKUP(D3261,BASE,2,FALSE))</f>
        <v>Rancho La Cuchilla No. 78</v>
      </c>
      <c r="F3261" s="10" t="str">
        <f t="shared" si="223"/>
        <v>García</v>
      </c>
      <c r="G3261" s="8">
        <v>1</v>
      </c>
      <c r="H3261" s="11">
        <v>400</v>
      </c>
      <c r="I3261" s="12">
        <v>42771</v>
      </c>
      <c r="J3261" s="35">
        <f t="shared" si="224"/>
        <v>0</v>
      </c>
      <c r="K3261" s="36"/>
      <c r="L3261" s="36"/>
      <c r="M3261" s="36"/>
      <c r="N3261" s="36"/>
      <c r="O3261" s="36"/>
      <c r="P3261" s="36"/>
      <c r="Q3261" s="36"/>
      <c r="R3261" s="36"/>
      <c r="S3261" s="36"/>
      <c r="T3261" s="36"/>
      <c r="U3261" s="36"/>
      <c r="V3261" s="36"/>
      <c r="W3261" s="15">
        <f t="shared" si="225"/>
        <v>0</v>
      </c>
      <c r="X3261" s="36"/>
      <c r="Y3261" s="36">
        <v>400</v>
      </c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15">
        <f t="shared" si="226"/>
        <v>400</v>
      </c>
      <c r="AK3261" s="14"/>
      <c r="AL3261" s="14"/>
      <c r="AM3261" s="14"/>
      <c r="AN3261" s="14"/>
      <c r="AO3261" s="14"/>
      <c r="AP3261" s="14"/>
      <c r="AQ3261" s="14"/>
      <c r="AR3261" s="14"/>
      <c r="AS3261" s="14"/>
      <c r="AT3261" s="14"/>
      <c r="AU3261" s="14"/>
      <c r="AV3261" s="14"/>
      <c r="AW3261" s="15"/>
      <c r="AX3261" s="16"/>
    </row>
    <row r="3262" spans="2:50" x14ac:dyDescent="0.2">
      <c r="B3262" s="7"/>
      <c r="C3262" s="8">
        <v>13759</v>
      </c>
      <c r="D3262" s="9" t="s">
        <v>94</v>
      </c>
      <c r="E3262" s="10" t="str">
        <f t="shared" si="222"/>
        <v>Rancho Landero No. 42</v>
      </c>
      <c r="F3262" s="10" t="str">
        <f t="shared" si="223"/>
        <v>Ávila Fidel</v>
      </c>
      <c r="G3262" s="8">
        <v>1</v>
      </c>
      <c r="H3262" s="11">
        <v>400</v>
      </c>
      <c r="I3262" s="12">
        <v>42771</v>
      </c>
      <c r="J3262" s="35">
        <f t="shared" si="224"/>
        <v>0</v>
      </c>
      <c r="K3262" s="36"/>
      <c r="L3262" s="36"/>
      <c r="M3262" s="36"/>
      <c r="N3262" s="36"/>
      <c r="O3262" s="36"/>
      <c r="P3262" s="36"/>
      <c r="Q3262" s="36"/>
      <c r="R3262" s="36"/>
      <c r="S3262" s="36"/>
      <c r="T3262" s="36"/>
      <c r="U3262" s="36"/>
      <c r="V3262" s="36"/>
      <c r="W3262" s="15">
        <f t="shared" si="225"/>
        <v>0</v>
      </c>
      <c r="X3262" s="36"/>
      <c r="Y3262" s="36">
        <v>400</v>
      </c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15">
        <f t="shared" si="226"/>
        <v>400</v>
      </c>
      <c r="AK3262" s="14"/>
      <c r="AL3262" s="14"/>
      <c r="AM3262" s="14"/>
      <c r="AN3262" s="14"/>
      <c r="AO3262" s="14"/>
      <c r="AP3262" s="14"/>
      <c r="AQ3262" s="14"/>
      <c r="AR3262" s="14"/>
      <c r="AS3262" s="14"/>
      <c r="AT3262" s="14"/>
      <c r="AU3262" s="14"/>
      <c r="AV3262" s="14"/>
      <c r="AW3262" s="15"/>
      <c r="AX3262" s="16"/>
    </row>
    <row r="3263" spans="2:50" x14ac:dyDescent="0.2">
      <c r="B3263" s="7"/>
      <c r="C3263" s="8">
        <v>13760</v>
      </c>
      <c r="D3263" s="9" t="s">
        <v>899</v>
      </c>
      <c r="E3263" s="10" t="str">
        <f t="shared" si="222"/>
        <v>Rancho Landero No. 8</v>
      </c>
      <c r="F3263" s="10" t="str">
        <f t="shared" si="223"/>
        <v>Garces Suarez</v>
      </c>
      <c r="G3263" s="8">
        <v>1</v>
      </c>
      <c r="H3263" s="11">
        <v>400</v>
      </c>
      <c r="I3263" s="12">
        <v>42771</v>
      </c>
      <c r="J3263" s="35">
        <f t="shared" si="224"/>
        <v>0</v>
      </c>
      <c r="K3263" s="36"/>
      <c r="L3263" s="36"/>
      <c r="M3263" s="36"/>
      <c r="N3263" s="36"/>
      <c r="O3263" s="36"/>
      <c r="P3263" s="36"/>
      <c r="Q3263" s="36"/>
      <c r="R3263" s="36"/>
      <c r="S3263" s="36"/>
      <c r="T3263" s="36"/>
      <c r="U3263" s="36"/>
      <c r="V3263" s="36"/>
      <c r="W3263" s="15">
        <f t="shared" si="225"/>
        <v>0</v>
      </c>
      <c r="X3263" s="36"/>
      <c r="Y3263" s="36">
        <v>400</v>
      </c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15">
        <f t="shared" si="226"/>
        <v>400</v>
      </c>
      <c r="AK3263" s="14"/>
      <c r="AL3263" s="14"/>
      <c r="AM3263" s="14"/>
      <c r="AN3263" s="14"/>
      <c r="AO3263" s="14"/>
      <c r="AP3263" s="14"/>
      <c r="AQ3263" s="14"/>
      <c r="AR3263" s="14"/>
      <c r="AS3263" s="14"/>
      <c r="AT3263" s="14"/>
      <c r="AU3263" s="14"/>
      <c r="AV3263" s="14"/>
      <c r="AW3263" s="15"/>
      <c r="AX3263" s="16"/>
    </row>
    <row r="3264" spans="2:50" x14ac:dyDescent="0.2">
      <c r="B3264" s="7"/>
      <c r="C3264" s="8">
        <v>13761</v>
      </c>
      <c r="D3264" s="9" t="s">
        <v>331</v>
      </c>
      <c r="E3264" s="10" t="str">
        <f t="shared" si="222"/>
        <v>Rancho Recoveco No. 197</v>
      </c>
      <c r="F3264" s="10" t="str">
        <f t="shared" si="223"/>
        <v>Colín González</v>
      </c>
      <c r="G3264" s="8">
        <v>1</v>
      </c>
      <c r="H3264" s="11">
        <v>400</v>
      </c>
      <c r="I3264" s="12">
        <v>42771</v>
      </c>
      <c r="J3264" s="35">
        <f t="shared" si="224"/>
        <v>0</v>
      </c>
      <c r="K3264" s="36"/>
      <c r="L3264" s="36"/>
      <c r="M3264" s="36"/>
      <c r="N3264" s="36"/>
      <c r="O3264" s="36"/>
      <c r="P3264" s="36"/>
      <c r="Q3264" s="36"/>
      <c r="R3264" s="36"/>
      <c r="S3264" s="36"/>
      <c r="T3264" s="36"/>
      <c r="U3264" s="36"/>
      <c r="V3264" s="36"/>
      <c r="W3264" s="15">
        <f t="shared" si="225"/>
        <v>0</v>
      </c>
      <c r="X3264" s="36"/>
      <c r="Y3264" s="36">
        <v>400</v>
      </c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15">
        <f t="shared" si="226"/>
        <v>400</v>
      </c>
      <c r="AK3264" s="14"/>
      <c r="AL3264" s="14"/>
      <c r="AM3264" s="14"/>
      <c r="AN3264" s="14"/>
      <c r="AO3264" s="14"/>
      <c r="AP3264" s="14"/>
      <c r="AQ3264" s="14"/>
      <c r="AR3264" s="14"/>
      <c r="AS3264" s="14"/>
      <c r="AT3264" s="14"/>
      <c r="AU3264" s="14"/>
      <c r="AV3264" s="14"/>
      <c r="AW3264" s="15"/>
      <c r="AX3264" s="16"/>
    </row>
    <row r="3265" spans="2:50" x14ac:dyDescent="0.2">
      <c r="B3265" s="7"/>
      <c r="C3265" s="8">
        <v>13762</v>
      </c>
      <c r="D3265" s="9" t="s">
        <v>879</v>
      </c>
      <c r="E3265" s="10" t="str">
        <f t="shared" si="222"/>
        <v>Rancho Estopila No. 44_5</v>
      </c>
      <c r="F3265" s="10" t="str">
        <f t="shared" si="223"/>
        <v>Maya</v>
      </c>
      <c r="G3265" s="8">
        <v>1</v>
      </c>
      <c r="H3265" s="11">
        <v>600</v>
      </c>
      <c r="I3265" s="12">
        <v>42771</v>
      </c>
      <c r="J3265" s="35">
        <f t="shared" si="224"/>
        <v>0</v>
      </c>
      <c r="K3265" s="36"/>
      <c r="L3265" s="36"/>
      <c r="M3265" s="36"/>
      <c r="N3265" s="36"/>
      <c r="O3265" s="36"/>
      <c r="P3265" s="36"/>
      <c r="Q3265" s="36"/>
      <c r="R3265" s="36"/>
      <c r="S3265" s="36"/>
      <c r="T3265" s="36">
        <v>200</v>
      </c>
      <c r="U3265" s="36">
        <v>200</v>
      </c>
      <c r="V3265" s="36">
        <v>200</v>
      </c>
      <c r="W3265" s="15">
        <f t="shared" si="225"/>
        <v>600</v>
      </c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15">
        <f t="shared" si="226"/>
        <v>0</v>
      </c>
      <c r="AK3265" s="14"/>
      <c r="AL3265" s="14"/>
      <c r="AM3265" s="14"/>
      <c r="AN3265" s="14"/>
      <c r="AO3265" s="14"/>
      <c r="AP3265" s="14"/>
      <c r="AQ3265" s="14"/>
      <c r="AR3265" s="14"/>
      <c r="AS3265" s="14"/>
      <c r="AT3265" s="14"/>
      <c r="AU3265" s="14"/>
      <c r="AV3265" s="14"/>
      <c r="AW3265" s="15"/>
      <c r="AX3265" s="16"/>
    </row>
    <row r="3266" spans="2:50" x14ac:dyDescent="0.2">
      <c r="B3266" s="7"/>
      <c r="C3266" s="8">
        <v>13763</v>
      </c>
      <c r="D3266" s="9" t="s">
        <v>74</v>
      </c>
      <c r="E3266" s="10" t="str">
        <f t="shared" si="222"/>
        <v>Rancho Estanzuela No. 9, B</v>
      </c>
      <c r="F3266" s="10" t="str">
        <f t="shared" si="223"/>
        <v>Velasco Rojas</v>
      </c>
      <c r="G3266" s="8">
        <v>1</v>
      </c>
      <c r="H3266" s="11">
        <v>2200</v>
      </c>
      <c r="I3266" s="12">
        <v>42771</v>
      </c>
      <c r="J3266" s="35">
        <f t="shared" si="224"/>
        <v>0</v>
      </c>
      <c r="K3266" s="36"/>
      <c r="L3266" s="36"/>
      <c r="M3266" s="36"/>
      <c r="N3266" s="36"/>
      <c r="O3266" s="36"/>
      <c r="P3266" s="36"/>
      <c r="Q3266" s="36"/>
      <c r="R3266" s="36"/>
      <c r="S3266" s="36"/>
      <c r="T3266" s="36"/>
      <c r="U3266" s="36"/>
      <c r="V3266" s="36"/>
      <c r="W3266" s="15">
        <f t="shared" si="225"/>
        <v>0</v>
      </c>
      <c r="X3266" s="36">
        <v>200</v>
      </c>
      <c r="Y3266" s="36">
        <v>200</v>
      </c>
      <c r="Z3266" s="36">
        <v>200</v>
      </c>
      <c r="AA3266" s="36">
        <v>200</v>
      </c>
      <c r="AB3266" s="36">
        <v>200</v>
      </c>
      <c r="AC3266" s="36">
        <v>200</v>
      </c>
      <c r="AD3266" s="36">
        <v>200</v>
      </c>
      <c r="AE3266" s="36">
        <v>200</v>
      </c>
      <c r="AF3266" s="36">
        <v>200</v>
      </c>
      <c r="AG3266" s="36">
        <v>200</v>
      </c>
      <c r="AH3266" s="36">
        <v>200</v>
      </c>
      <c r="AI3266" s="36"/>
      <c r="AJ3266" s="15">
        <f t="shared" si="226"/>
        <v>2200</v>
      </c>
      <c r="AK3266" s="14"/>
      <c r="AL3266" s="14"/>
      <c r="AM3266" s="14"/>
      <c r="AN3266" s="14"/>
      <c r="AO3266" s="14"/>
      <c r="AP3266" s="14"/>
      <c r="AQ3266" s="14"/>
      <c r="AR3266" s="14"/>
      <c r="AS3266" s="14"/>
      <c r="AT3266" s="14"/>
      <c r="AU3266" s="14"/>
      <c r="AV3266" s="14"/>
      <c r="AW3266" s="15"/>
      <c r="AX3266" s="16" t="s">
        <v>3363</v>
      </c>
    </row>
    <row r="3267" spans="2:50" x14ac:dyDescent="0.2">
      <c r="B3267" s="7"/>
      <c r="C3267" s="8">
        <v>13764</v>
      </c>
      <c r="D3267" s="9" t="s">
        <v>719</v>
      </c>
      <c r="E3267" s="10" t="str">
        <f t="shared" si="222"/>
        <v>Rancho Estanzuela No. 119, 1</v>
      </c>
      <c r="F3267" s="10" t="str">
        <f t="shared" si="223"/>
        <v>Crespo</v>
      </c>
      <c r="G3267" s="8">
        <v>1</v>
      </c>
      <c r="H3267" s="11">
        <v>400</v>
      </c>
      <c r="I3267" s="12">
        <v>42771</v>
      </c>
      <c r="J3267" s="35">
        <f t="shared" si="224"/>
        <v>0</v>
      </c>
      <c r="K3267" s="36"/>
      <c r="L3267" s="36"/>
      <c r="M3267" s="36"/>
      <c r="N3267" s="36"/>
      <c r="O3267" s="36"/>
      <c r="P3267" s="36"/>
      <c r="Q3267" s="36"/>
      <c r="R3267" s="36"/>
      <c r="S3267" s="36"/>
      <c r="T3267" s="36"/>
      <c r="U3267" s="36"/>
      <c r="V3267" s="36"/>
      <c r="W3267" s="15">
        <f t="shared" si="225"/>
        <v>0</v>
      </c>
      <c r="X3267" s="36">
        <v>200</v>
      </c>
      <c r="Y3267" s="36">
        <v>200</v>
      </c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15">
        <f t="shared" si="226"/>
        <v>400</v>
      </c>
      <c r="AK3267" s="14"/>
      <c r="AL3267" s="14"/>
      <c r="AM3267" s="14"/>
      <c r="AN3267" s="14"/>
      <c r="AO3267" s="14"/>
      <c r="AP3267" s="14"/>
      <c r="AQ3267" s="14"/>
      <c r="AR3267" s="14"/>
      <c r="AS3267" s="14"/>
      <c r="AT3267" s="14"/>
      <c r="AU3267" s="14"/>
      <c r="AV3267" s="14"/>
      <c r="AW3267" s="15"/>
      <c r="AX3267" s="16"/>
    </row>
    <row r="3268" spans="2:50" x14ac:dyDescent="0.2">
      <c r="B3268" s="7"/>
      <c r="C3268" s="8">
        <v>13765</v>
      </c>
      <c r="D3268" s="9"/>
      <c r="E3268" s="10" t="str">
        <f t="shared" si="222"/>
        <v/>
      </c>
      <c r="F3268" s="10" t="str">
        <f t="shared" si="223"/>
        <v/>
      </c>
      <c r="G3268" s="8">
        <v>8</v>
      </c>
      <c r="H3268" s="11"/>
      <c r="I3268" s="12"/>
      <c r="J3268" s="35">
        <f t="shared" si="224"/>
        <v>0</v>
      </c>
      <c r="K3268" s="36"/>
      <c r="L3268" s="36"/>
      <c r="M3268" s="36"/>
      <c r="N3268" s="36"/>
      <c r="O3268" s="36"/>
      <c r="P3268" s="36"/>
      <c r="Q3268" s="36"/>
      <c r="R3268" s="36"/>
      <c r="S3268" s="36"/>
      <c r="T3268" s="36"/>
      <c r="U3268" s="36"/>
      <c r="V3268" s="36"/>
      <c r="W3268" s="15">
        <f t="shared" si="225"/>
        <v>0</v>
      </c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15">
        <f t="shared" si="226"/>
        <v>0</v>
      </c>
      <c r="AK3268" s="14"/>
      <c r="AL3268" s="14"/>
      <c r="AM3268" s="14"/>
      <c r="AN3268" s="14"/>
      <c r="AO3268" s="14"/>
      <c r="AP3268" s="14"/>
      <c r="AQ3268" s="14"/>
      <c r="AR3268" s="14"/>
      <c r="AS3268" s="14"/>
      <c r="AT3268" s="14"/>
      <c r="AU3268" s="14"/>
      <c r="AV3268" s="14"/>
      <c r="AW3268" s="15"/>
      <c r="AX3268" s="16"/>
    </row>
    <row r="3269" spans="2:50" x14ac:dyDescent="0.2">
      <c r="B3269" s="7"/>
      <c r="C3269" s="8">
        <v>13766</v>
      </c>
      <c r="D3269" s="9" t="s">
        <v>455</v>
      </c>
      <c r="E3269" s="10" t="str">
        <f t="shared" si="222"/>
        <v>Rancho Zinamba No. 38</v>
      </c>
      <c r="F3269" s="10" t="str">
        <f t="shared" si="223"/>
        <v>Ramírez Díaz</v>
      </c>
      <c r="G3269" s="8">
        <v>1</v>
      </c>
      <c r="H3269" s="11">
        <v>400</v>
      </c>
      <c r="I3269" s="12">
        <v>42771</v>
      </c>
      <c r="J3269" s="35">
        <f t="shared" si="224"/>
        <v>0</v>
      </c>
      <c r="K3269" s="36"/>
      <c r="L3269" s="36"/>
      <c r="M3269" s="36"/>
      <c r="N3269" s="36"/>
      <c r="O3269" s="36"/>
      <c r="P3269" s="36"/>
      <c r="Q3269" s="36"/>
      <c r="R3269" s="36"/>
      <c r="S3269" s="36"/>
      <c r="T3269" s="36"/>
      <c r="U3269" s="36"/>
      <c r="V3269" s="36"/>
      <c r="W3269" s="15">
        <f t="shared" si="225"/>
        <v>0</v>
      </c>
      <c r="X3269" s="36"/>
      <c r="Y3269" s="36">
        <v>400</v>
      </c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15">
        <f t="shared" si="226"/>
        <v>400</v>
      </c>
      <c r="AK3269" s="14"/>
      <c r="AL3269" s="14"/>
      <c r="AM3269" s="14"/>
      <c r="AN3269" s="14"/>
      <c r="AO3269" s="14"/>
      <c r="AP3269" s="14"/>
      <c r="AQ3269" s="14"/>
      <c r="AR3269" s="14"/>
      <c r="AS3269" s="14"/>
      <c r="AT3269" s="14"/>
      <c r="AU3269" s="14"/>
      <c r="AV3269" s="14"/>
      <c r="AW3269" s="15"/>
      <c r="AX3269" s="16"/>
    </row>
    <row r="3270" spans="2:50" x14ac:dyDescent="0.2">
      <c r="B3270" s="7"/>
      <c r="C3270" s="8">
        <v>13767</v>
      </c>
      <c r="D3270" s="9" t="s">
        <v>1017</v>
      </c>
      <c r="E3270" s="10" t="str">
        <f t="shared" si="222"/>
        <v>Rancho Estanzuela No. 119, 3</v>
      </c>
      <c r="F3270" s="10" t="str">
        <f t="shared" si="223"/>
        <v>Montecillo</v>
      </c>
      <c r="G3270" s="8">
        <v>1</v>
      </c>
      <c r="H3270" s="11">
        <v>600</v>
      </c>
      <c r="I3270" s="12">
        <v>42771</v>
      </c>
      <c r="J3270" s="35">
        <f t="shared" si="224"/>
        <v>0</v>
      </c>
      <c r="K3270" s="36"/>
      <c r="L3270" s="36"/>
      <c r="M3270" s="36"/>
      <c r="N3270" s="36"/>
      <c r="O3270" s="36"/>
      <c r="P3270" s="36"/>
      <c r="Q3270" s="36"/>
      <c r="R3270" s="36"/>
      <c r="S3270" s="36"/>
      <c r="T3270" s="36"/>
      <c r="U3270" s="36"/>
      <c r="V3270" s="36">
        <v>200</v>
      </c>
      <c r="W3270" s="15">
        <f t="shared" si="225"/>
        <v>200</v>
      </c>
      <c r="X3270" s="36">
        <v>200</v>
      </c>
      <c r="Y3270" s="36">
        <v>200</v>
      </c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15">
        <f t="shared" si="226"/>
        <v>400</v>
      </c>
      <c r="AK3270" s="14"/>
      <c r="AL3270" s="14"/>
      <c r="AM3270" s="14"/>
      <c r="AN3270" s="14"/>
      <c r="AO3270" s="14"/>
      <c r="AP3270" s="14"/>
      <c r="AQ3270" s="14"/>
      <c r="AR3270" s="14"/>
      <c r="AS3270" s="14"/>
      <c r="AT3270" s="14"/>
      <c r="AU3270" s="14"/>
      <c r="AV3270" s="14"/>
      <c r="AW3270" s="15"/>
      <c r="AX3270" s="16"/>
    </row>
    <row r="3271" spans="2:50" x14ac:dyDescent="0.2">
      <c r="B3271" s="7"/>
      <c r="C3271" s="8">
        <v>13768</v>
      </c>
      <c r="D3271" s="9" t="s">
        <v>100</v>
      </c>
      <c r="E3271" s="10" t="str">
        <f t="shared" si="222"/>
        <v>Rancho Upácuaro No. 32</v>
      </c>
      <c r="F3271" s="10" t="str">
        <f t="shared" si="223"/>
        <v>Sairafi Carmen</v>
      </c>
      <c r="G3271" s="8">
        <v>1</v>
      </c>
      <c r="H3271" s="11">
        <v>400</v>
      </c>
      <c r="I3271" s="12">
        <v>42771</v>
      </c>
      <c r="J3271" s="35">
        <f t="shared" si="224"/>
        <v>0</v>
      </c>
      <c r="K3271" s="36"/>
      <c r="L3271" s="36"/>
      <c r="M3271" s="36"/>
      <c r="N3271" s="36"/>
      <c r="O3271" s="36"/>
      <c r="P3271" s="36"/>
      <c r="Q3271" s="36"/>
      <c r="R3271" s="36"/>
      <c r="S3271" s="36"/>
      <c r="T3271" s="36"/>
      <c r="U3271" s="36"/>
      <c r="V3271" s="36"/>
      <c r="W3271" s="15">
        <f t="shared" si="225"/>
        <v>0</v>
      </c>
      <c r="X3271" s="36"/>
      <c r="Y3271" s="36">
        <v>400</v>
      </c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15">
        <f t="shared" si="226"/>
        <v>400</v>
      </c>
      <c r="AK3271" s="14"/>
      <c r="AL3271" s="14"/>
      <c r="AM3271" s="14"/>
      <c r="AN3271" s="14"/>
      <c r="AO3271" s="14"/>
      <c r="AP3271" s="14"/>
      <c r="AQ3271" s="14"/>
      <c r="AR3271" s="14"/>
      <c r="AS3271" s="14"/>
      <c r="AT3271" s="14"/>
      <c r="AU3271" s="14"/>
      <c r="AV3271" s="14"/>
      <c r="AW3271" s="15"/>
      <c r="AX3271" s="16"/>
    </row>
    <row r="3272" spans="2:50" x14ac:dyDescent="0.2">
      <c r="B3272" s="7"/>
      <c r="C3272" s="8">
        <v>13769</v>
      </c>
      <c r="D3272" s="9" t="s">
        <v>119</v>
      </c>
      <c r="E3272" s="10" t="str">
        <f t="shared" si="222"/>
        <v>Rancho Landero No. 25</v>
      </c>
      <c r="F3272" s="10" t="str">
        <f t="shared" si="223"/>
        <v>Escamilla Martínez</v>
      </c>
      <c r="G3272" s="8">
        <v>1</v>
      </c>
      <c r="H3272" s="11">
        <v>800</v>
      </c>
      <c r="I3272" s="12">
        <v>42771</v>
      </c>
      <c r="J3272" s="35">
        <f t="shared" si="224"/>
        <v>0</v>
      </c>
      <c r="K3272" s="36"/>
      <c r="L3272" s="36"/>
      <c r="M3272" s="36"/>
      <c r="N3272" s="36"/>
      <c r="O3272" s="36"/>
      <c r="P3272" s="36"/>
      <c r="Q3272" s="36"/>
      <c r="R3272" s="36"/>
      <c r="S3272" s="36"/>
      <c r="T3272" s="36"/>
      <c r="U3272" s="36"/>
      <c r="V3272" s="36">
        <v>400</v>
      </c>
      <c r="W3272" s="15">
        <f t="shared" si="225"/>
        <v>400</v>
      </c>
      <c r="X3272" s="36">
        <v>400</v>
      </c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15">
        <f t="shared" si="226"/>
        <v>400</v>
      </c>
      <c r="AK3272" s="14"/>
      <c r="AL3272" s="14"/>
      <c r="AM3272" s="14"/>
      <c r="AN3272" s="14"/>
      <c r="AO3272" s="14"/>
      <c r="AP3272" s="14"/>
      <c r="AQ3272" s="14"/>
      <c r="AR3272" s="14"/>
      <c r="AS3272" s="14"/>
      <c r="AT3272" s="14"/>
      <c r="AU3272" s="14"/>
      <c r="AV3272" s="14"/>
      <c r="AW3272" s="15"/>
      <c r="AX3272" s="16"/>
    </row>
    <row r="3273" spans="2:50" x14ac:dyDescent="0.2">
      <c r="B3273" s="7"/>
      <c r="C3273" s="8">
        <v>13770</v>
      </c>
      <c r="D3273" s="9" t="s">
        <v>259</v>
      </c>
      <c r="E3273" s="10" t="str">
        <f t="shared" si="222"/>
        <v>Rancho Estanzuela No. 55</v>
      </c>
      <c r="F3273" s="10" t="str">
        <f t="shared" si="223"/>
        <v>Rodríguez Acevedo</v>
      </c>
      <c r="G3273" s="8">
        <v>1</v>
      </c>
      <c r="H3273" s="11">
        <v>800</v>
      </c>
      <c r="I3273" s="12">
        <v>42771</v>
      </c>
      <c r="J3273" s="35">
        <f t="shared" si="224"/>
        <v>0</v>
      </c>
      <c r="K3273" s="36"/>
      <c r="L3273" s="36"/>
      <c r="M3273" s="36"/>
      <c r="N3273" s="36"/>
      <c r="O3273" s="36"/>
      <c r="P3273" s="36"/>
      <c r="Q3273" s="36"/>
      <c r="R3273" s="36"/>
      <c r="S3273" s="36"/>
      <c r="T3273" s="36"/>
      <c r="U3273" s="36"/>
      <c r="V3273" s="36"/>
      <c r="W3273" s="15">
        <f t="shared" si="225"/>
        <v>0</v>
      </c>
      <c r="X3273" s="36">
        <v>400</v>
      </c>
      <c r="Y3273" s="36">
        <v>400</v>
      </c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15">
        <f t="shared" si="226"/>
        <v>800</v>
      </c>
      <c r="AK3273" s="14"/>
      <c r="AL3273" s="14"/>
      <c r="AM3273" s="14"/>
      <c r="AN3273" s="14"/>
      <c r="AO3273" s="14"/>
      <c r="AP3273" s="14"/>
      <c r="AQ3273" s="14"/>
      <c r="AR3273" s="14"/>
      <c r="AS3273" s="14"/>
      <c r="AT3273" s="14"/>
      <c r="AU3273" s="14"/>
      <c r="AV3273" s="14"/>
      <c r="AW3273" s="15"/>
      <c r="AX3273" s="16"/>
    </row>
    <row r="3274" spans="2:50" x14ac:dyDescent="0.2">
      <c r="B3274" s="7"/>
      <c r="C3274" s="8">
        <v>13771</v>
      </c>
      <c r="D3274" s="9" t="s">
        <v>431</v>
      </c>
      <c r="E3274" s="10" t="str">
        <f t="shared" si="222"/>
        <v>Rancho Landero No. 63</v>
      </c>
      <c r="F3274" s="10" t="str">
        <f t="shared" si="223"/>
        <v>Hernández Chávez</v>
      </c>
      <c r="G3274" s="8">
        <v>1</v>
      </c>
      <c r="H3274" s="11">
        <v>400</v>
      </c>
      <c r="I3274" s="12">
        <v>42771</v>
      </c>
      <c r="J3274" s="35">
        <f t="shared" si="224"/>
        <v>0</v>
      </c>
      <c r="K3274" s="36"/>
      <c r="L3274" s="36"/>
      <c r="M3274" s="36"/>
      <c r="N3274" s="36"/>
      <c r="O3274" s="36"/>
      <c r="P3274" s="36"/>
      <c r="Q3274" s="36"/>
      <c r="R3274" s="36"/>
      <c r="S3274" s="36"/>
      <c r="T3274" s="36"/>
      <c r="U3274" s="36"/>
      <c r="V3274" s="36"/>
      <c r="W3274" s="15">
        <f t="shared" si="225"/>
        <v>0</v>
      </c>
      <c r="X3274" s="36">
        <v>400</v>
      </c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15">
        <f t="shared" si="226"/>
        <v>400</v>
      </c>
      <c r="AK3274" s="14"/>
      <c r="AL3274" s="14"/>
      <c r="AM3274" s="14"/>
      <c r="AN3274" s="14"/>
      <c r="AO3274" s="14"/>
      <c r="AP3274" s="14"/>
      <c r="AQ3274" s="14"/>
      <c r="AR3274" s="14"/>
      <c r="AS3274" s="14"/>
      <c r="AT3274" s="14"/>
      <c r="AU3274" s="14"/>
      <c r="AV3274" s="14"/>
      <c r="AW3274" s="15"/>
      <c r="AX3274" s="16"/>
    </row>
    <row r="3275" spans="2:50" x14ac:dyDescent="0.2">
      <c r="B3275" s="7"/>
      <c r="C3275" s="8">
        <v>13771</v>
      </c>
      <c r="D3275" s="9" t="s">
        <v>431</v>
      </c>
      <c r="E3275" s="10" t="str">
        <f t="shared" si="222"/>
        <v>Rancho Landero No. 63</v>
      </c>
      <c r="F3275" s="10" t="str">
        <f t="shared" si="223"/>
        <v>Hernández Chávez</v>
      </c>
      <c r="G3275" s="8">
        <v>5</v>
      </c>
      <c r="H3275" s="11">
        <v>50</v>
      </c>
      <c r="I3275" s="12">
        <v>42771</v>
      </c>
      <c r="J3275" s="35">
        <f t="shared" si="224"/>
        <v>0</v>
      </c>
      <c r="K3275" s="36"/>
      <c r="L3275" s="36"/>
      <c r="M3275" s="36"/>
      <c r="N3275" s="36"/>
      <c r="O3275" s="36"/>
      <c r="P3275" s="36"/>
      <c r="Q3275" s="36"/>
      <c r="R3275" s="36"/>
      <c r="S3275" s="36"/>
      <c r="T3275" s="36"/>
      <c r="U3275" s="36"/>
      <c r="V3275" s="36"/>
      <c r="W3275" s="15">
        <f t="shared" si="225"/>
        <v>0</v>
      </c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15">
        <f t="shared" si="226"/>
        <v>0</v>
      </c>
      <c r="AK3275" s="14"/>
      <c r="AL3275" s="14"/>
      <c r="AM3275" s="14"/>
      <c r="AN3275" s="14"/>
      <c r="AO3275" s="14"/>
      <c r="AP3275" s="14"/>
      <c r="AQ3275" s="14"/>
      <c r="AR3275" s="14"/>
      <c r="AS3275" s="14"/>
      <c r="AT3275" s="14"/>
      <c r="AU3275" s="14"/>
      <c r="AV3275" s="14"/>
      <c r="AW3275" s="15"/>
      <c r="AX3275" s="16"/>
    </row>
    <row r="3276" spans="2:50" x14ac:dyDescent="0.2">
      <c r="B3276" s="7"/>
      <c r="C3276" s="8">
        <v>13772</v>
      </c>
      <c r="D3276" s="9" t="s">
        <v>292</v>
      </c>
      <c r="E3276" s="10" t="str">
        <f t="shared" si="222"/>
        <v>Rancho Upácuaro No. 140</v>
      </c>
      <c r="F3276" s="10" t="str">
        <f t="shared" si="223"/>
        <v>Gozain</v>
      </c>
      <c r="G3276" s="8">
        <v>1</v>
      </c>
      <c r="H3276" s="11">
        <v>400</v>
      </c>
      <c r="I3276" s="12">
        <v>42771</v>
      </c>
      <c r="J3276" s="35">
        <f t="shared" si="224"/>
        <v>0</v>
      </c>
      <c r="K3276" s="36"/>
      <c r="L3276" s="36"/>
      <c r="M3276" s="36"/>
      <c r="N3276" s="36"/>
      <c r="O3276" s="36"/>
      <c r="P3276" s="36"/>
      <c r="Q3276" s="36"/>
      <c r="R3276" s="36"/>
      <c r="S3276" s="36"/>
      <c r="T3276" s="36"/>
      <c r="U3276" s="36"/>
      <c r="V3276" s="36"/>
      <c r="W3276" s="15">
        <f t="shared" si="225"/>
        <v>0</v>
      </c>
      <c r="X3276" s="36"/>
      <c r="Y3276" s="36">
        <v>400</v>
      </c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15">
        <f t="shared" si="226"/>
        <v>400</v>
      </c>
      <c r="AK3276" s="14"/>
      <c r="AL3276" s="14"/>
      <c r="AM3276" s="14"/>
      <c r="AN3276" s="14"/>
      <c r="AO3276" s="14"/>
      <c r="AP3276" s="14"/>
      <c r="AQ3276" s="14"/>
      <c r="AR3276" s="14"/>
      <c r="AS3276" s="14"/>
      <c r="AT3276" s="14"/>
      <c r="AU3276" s="14"/>
      <c r="AV3276" s="14"/>
      <c r="AW3276" s="15"/>
      <c r="AX3276" s="16"/>
    </row>
    <row r="3277" spans="2:50" x14ac:dyDescent="0.2">
      <c r="B3277" s="7"/>
      <c r="C3277" s="8">
        <v>13773</v>
      </c>
      <c r="D3277" s="9" t="s">
        <v>129</v>
      </c>
      <c r="E3277" s="10" t="str">
        <f t="shared" si="222"/>
        <v>Rancho Zinamba No. 44</v>
      </c>
      <c r="F3277" s="10" t="str">
        <f t="shared" si="223"/>
        <v>Canales</v>
      </c>
      <c r="G3277" s="8">
        <v>1</v>
      </c>
      <c r="H3277" s="11">
        <v>400</v>
      </c>
      <c r="I3277" s="12">
        <v>42771</v>
      </c>
      <c r="J3277" s="35">
        <f t="shared" si="224"/>
        <v>0</v>
      </c>
      <c r="K3277" s="36"/>
      <c r="L3277" s="36"/>
      <c r="M3277" s="36"/>
      <c r="N3277" s="36"/>
      <c r="O3277" s="36"/>
      <c r="P3277" s="36"/>
      <c r="Q3277" s="36"/>
      <c r="R3277" s="36"/>
      <c r="S3277" s="36"/>
      <c r="T3277" s="36"/>
      <c r="U3277" s="36"/>
      <c r="V3277" s="36"/>
      <c r="W3277" s="15">
        <f t="shared" si="225"/>
        <v>0</v>
      </c>
      <c r="X3277" s="36"/>
      <c r="Y3277" s="36">
        <v>400</v>
      </c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15">
        <f t="shared" si="226"/>
        <v>400</v>
      </c>
      <c r="AK3277" s="14"/>
      <c r="AL3277" s="14"/>
      <c r="AM3277" s="14"/>
      <c r="AN3277" s="14"/>
      <c r="AO3277" s="14"/>
      <c r="AP3277" s="14"/>
      <c r="AQ3277" s="14"/>
      <c r="AR3277" s="14"/>
      <c r="AS3277" s="14"/>
      <c r="AT3277" s="14"/>
      <c r="AU3277" s="14"/>
      <c r="AV3277" s="14"/>
      <c r="AW3277" s="15"/>
      <c r="AX3277" s="16"/>
    </row>
    <row r="3278" spans="2:50" x14ac:dyDescent="0.2">
      <c r="B3278" s="7"/>
      <c r="C3278" s="8">
        <v>13774</v>
      </c>
      <c r="D3278" s="9" t="s">
        <v>461</v>
      </c>
      <c r="E3278" s="10" t="str">
        <f t="shared" si="222"/>
        <v>Rancho Upácuaro No. 93</v>
      </c>
      <c r="F3278" s="10" t="str">
        <f t="shared" si="223"/>
        <v>Elizalde</v>
      </c>
      <c r="G3278" s="8">
        <v>1</v>
      </c>
      <c r="H3278" s="11">
        <v>1200</v>
      </c>
      <c r="I3278" s="12">
        <v>42771</v>
      </c>
      <c r="J3278" s="35">
        <f t="shared" si="224"/>
        <v>0</v>
      </c>
      <c r="K3278" s="36"/>
      <c r="L3278" s="36"/>
      <c r="M3278" s="36"/>
      <c r="N3278" s="36"/>
      <c r="O3278" s="36"/>
      <c r="P3278" s="36"/>
      <c r="Q3278" s="36"/>
      <c r="R3278" s="36"/>
      <c r="S3278" s="36"/>
      <c r="T3278" s="36">
        <v>400</v>
      </c>
      <c r="U3278" s="36">
        <v>400</v>
      </c>
      <c r="V3278" s="36">
        <v>400</v>
      </c>
      <c r="W3278" s="15">
        <f t="shared" si="225"/>
        <v>1200</v>
      </c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15">
        <f t="shared" si="226"/>
        <v>0</v>
      </c>
      <c r="AK3278" s="14"/>
      <c r="AL3278" s="14"/>
      <c r="AM3278" s="14"/>
      <c r="AN3278" s="14"/>
      <c r="AO3278" s="14"/>
      <c r="AP3278" s="14"/>
      <c r="AQ3278" s="14"/>
      <c r="AR3278" s="14"/>
      <c r="AS3278" s="14"/>
      <c r="AT3278" s="14"/>
      <c r="AU3278" s="14"/>
      <c r="AV3278" s="14"/>
      <c r="AW3278" s="15"/>
      <c r="AX3278" s="16"/>
    </row>
    <row r="3279" spans="2:50" x14ac:dyDescent="0.2">
      <c r="B3279" s="7"/>
      <c r="C3279" s="8">
        <v>13775</v>
      </c>
      <c r="D3279" s="9" t="s">
        <v>1170</v>
      </c>
      <c r="E3279" s="10" t="str">
        <f t="shared" si="222"/>
        <v>Rancho La Cuchilla No. 117</v>
      </c>
      <c r="F3279" s="10" t="str">
        <f t="shared" si="223"/>
        <v>Gómez</v>
      </c>
      <c r="G3279" s="8">
        <v>1</v>
      </c>
      <c r="H3279" s="11">
        <v>400</v>
      </c>
      <c r="I3279" s="12">
        <v>42771</v>
      </c>
      <c r="J3279" s="35">
        <f t="shared" si="224"/>
        <v>0</v>
      </c>
      <c r="K3279" s="36"/>
      <c r="L3279" s="36"/>
      <c r="M3279" s="36"/>
      <c r="N3279" s="36"/>
      <c r="O3279" s="36"/>
      <c r="P3279" s="36"/>
      <c r="Q3279" s="36"/>
      <c r="R3279" s="36">
        <v>400</v>
      </c>
      <c r="S3279" s="36"/>
      <c r="T3279" s="36"/>
      <c r="U3279" s="36"/>
      <c r="V3279" s="36"/>
      <c r="W3279" s="15">
        <f t="shared" si="225"/>
        <v>400</v>
      </c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15">
        <f t="shared" si="226"/>
        <v>0</v>
      </c>
      <c r="AK3279" s="14"/>
      <c r="AL3279" s="14"/>
      <c r="AM3279" s="14"/>
      <c r="AN3279" s="14"/>
      <c r="AO3279" s="14"/>
      <c r="AP3279" s="14"/>
      <c r="AQ3279" s="14"/>
      <c r="AR3279" s="14"/>
      <c r="AS3279" s="14"/>
      <c r="AT3279" s="14"/>
      <c r="AU3279" s="14"/>
      <c r="AV3279" s="14"/>
      <c r="AW3279" s="15"/>
      <c r="AX3279" s="16"/>
    </row>
    <row r="3280" spans="2:50" x14ac:dyDescent="0.2">
      <c r="B3280" s="7"/>
      <c r="C3280" s="8">
        <v>13776</v>
      </c>
      <c r="D3280" s="9" t="s">
        <v>620</v>
      </c>
      <c r="E3280" s="10" t="str">
        <f t="shared" si="222"/>
        <v>Rancho La Cuchilla No. 32</v>
      </c>
      <c r="F3280" s="10" t="str">
        <f t="shared" si="223"/>
        <v>Hernández</v>
      </c>
      <c r="G3280" s="8">
        <v>5</v>
      </c>
      <c r="H3280" s="11">
        <v>50</v>
      </c>
      <c r="I3280" s="12">
        <v>42771</v>
      </c>
      <c r="J3280" s="35">
        <f t="shared" si="224"/>
        <v>0</v>
      </c>
      <c r="K3280" s="36"/>
      <c r="L3280" s="36"/>
      <c r="M3280" s="36"/>
      <c r="N3280" s="36"/>
      <c r="O3280" s="36"/>
      <c r="P3280" s="36"/>
      <c r="Q3280" s="36"/>
      <c r="R3280" s="36"/>
      <c r="S3280" s="36"/>
      <c r="T3280" s="36"/>
      <c r="U3280" s="36"/>
      <c r="V3280" s="36"/>
      <c r="W3280" s="15">
        <f t="shared" si="225"/>
        <v>0</v>
      </c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15">
        <f t="shared" si="226"/>
        <v>0</v>
      </c>
      <c r="AK3280" s="14"/>
      <c r="AL3280" s="14"/>
      <c r="AM3280" s="14"/>
      <c r="AN3280" s="14"/>
      <c r="AO3280" s="14"/>
      <c r="AP3280" s="14"/>
      <c r="AQ3280" s="14"/>
      <c r="AR3280" s="14"/>
      <c r="AS3280" s="14"/>
      <c r="AT3280" s="14"/>
      <c r="AU3280" s="14"/>
      <c r="AV3280" s="14"/>
      <c r="AW3280" s="15"/>
      <c r="AX3280" s="16"/>
    </row>
    <row r="3281" spans="2:50" x14ac:dyDescent="0.2">
      <c r="B3281" s="7"/>
      <c r="C3281" s="8">
        <v>13777</v>
      </c>
      <c r="D3281" s="9" t="s">
        <v>238</v>
      </c>
      <c r="E3281" s="10" t="str">
        <f t="shared" si="222"/>
        <v>Rancho La Cuchilla No. 43, B</v>
      </c>
      <c r="F3281" s="10" t="str">
        <f t="shared" si="223"/>
        <v>Luna Albertano</v>
      </c>
      <c r="G3281" s="8">
        <v>1</v>
      </c>
      <c r="H3281" s="11">
        <v>125</v>
      </c>
      <c r="I3281" s="12">
        <v>42771</v>
      </c>
      <c r="J3281" s="35">
        <f t="shared" si="224"/>
        <v>0</v>
      </c>
      <c r="K3281" s="36"/>
      <c r="L3281" s="36"/>
      <c r="M3281" s="36"/>
      <c r="N3281" s="36"/>
      <c r="O3281" s="36"/>
      <c r="P3281" s="36"/>
      <c r="Q3281" s="36"/>
      <c r="R3281" s="36"/>
      <c r="S3281" s="36"/>
      <c r="T3281" s="36"/>
      <c r="U3281" s="36"/>
      <c r="V3281" s="36"/>
      <c r="W3281" s="15">
        <f t="shared" si="225"/>
        <v>0</v>
      </c>
      <c r="X3281" s="36"/>
      <c r="Y3281" s="36">
        <v>125</v>
      </c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15">
        <f t="shared" si="226"/>
        <v>125</v>
      </c>
      <c r="AK3281" s="14"/>
      <c r="AL3281" s="14"/>
      <c r="AM3281" s="14"/>
      <c r="AN3281" s="14"/>
      <c r="AO3281" s="14"/>
      <c r="AP3281" s="14"/>
      <c r="AQ3281" s="14"/>
      <c r="AR3281" s="14"/>
      <c r="AS3281" s="14"/>
      <c r="AT3281" s="14"/>
      <c r="AU3281" s="14"/>
      <c r="AV3281" s="14"/>
      <c r="AW3281" s="15"/>
      <c r="AX3281" s="16"/>
    </row>
    <row r="3282" spans="2:50" x14ac:dyDescent="0.2">
      <c r="B3282" s="7"/>
      <c r="C3282" s="8">
        <v>13778</v>
      </c>
      <c r="D3282" s="9" t="s">
        <v>608</v>
      </c>
      <c r="E3282" s="10" t="str">
        <f t="shared" si="222"/>
        <v>Rancho Upácuaro No. 146</v>
      </c>
      <c r="F3282" s="10" t="str">
        <f t="shared" si="223"/>
        <v>Islas</v>
      </c>
      <c r="G3282" s="8">
        <v>1</v>
      </c>
      <c r="H3282" s="11">
        <v>800</v>
      </c>
      <c r="I3282" s="12">
        <v>42771</v>
      </c>
      <c r="J3282" s="35">
        <f t="shared" si="224"/>
        <v>0</v>
      </c>
      <c r="K3282" s="36"/>
      <c r="L3282" s="36"/>
      <c r="M3282" s="36"/>
      <c r="N3282" s="36"/>
      <c r="O3282" s="36"/>
      <c r="P3282" s="36"/>
      <c r="Q3282" s="36"/>
      <c r="R3282" s="36"/>
      <c r="S3282" s="36"/>
      <c r="T3282" s="36"/>
      <c r="U3282" s="36">
        <v>400</v>
      </c>
      <c r="V3282" s="36">
        <v>400</v>
      </c>
      <c r="W3282" s="15">
        <f t="shared" si="225"/>
        <v>800</v>
      </c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15">
        <f t="shared" si="226"/>
        <v>0</v>
      </c>
      <c r="AK3282" s="14"/>
      <c r="AL3282" s="14"/>
      <c r="AM3282" s="14"/>
      <c r="AN3282" s="14"/>
      <c r="AO3282" s="14"/>
      <c r="AP3282" s="14"/>
      <c r="AQ3282" s="14"/>
      <c r="AR3282" s="14"/>
      <c r="AS3282" s="14"/>
      <c r="AT3282" s="14"/>
      <c r="AU3282" s="14"/>
      <c r="AV3282" s="14"/>
      <c r="AW3282" s="15"/>
      <c r="AX3282" s="16"/>
    </row>
    <row r="3283" spans="2:50" x14ac:dyDescent="0.2">
      <c r="B3283" s="7"/>
      <c r="C3283" s="8">
        <v>13779</v>
      </c>
      <c r="D3283" s="9" t="s">
        <v>268</v>
      </c>
      <c r="E3283" s="10" t="str">
        <f t="shared" si="222"/>
        <v>Rancho Landero No. 90</v>
      </c>
      <c r="F3283" s="10" t="str">
        <f t="shared" si="223"/>
        <v>Córdova Reséndiz</v>
      </c>
      <c r="G3283" s="8">
        <v>1</v>
      </c>
      <c r="H3283" s="11">
        <v>300</v>
      </c>
      <c r="I3283" s="12">
        <v>42771</v>
      </c>
      <c r="J3283" s="35">
        <f t="shared" si="224"/>
        <v>0</v>
      </c>
      <c r="K3283" s="36"/>
      <c r="L3283" s="36"/>
      <c r="M3283" s="36"/>
      <c r="N3283" s="36"/>
      <c r="O3283" s="36"/>
      <c r="P3283" s="36"/>
      <c r="Q3283" s="36"/>
      <c r="R3283" s="36"/>
      <c r="S3283" s="36"/>
      <c r="T3283" s="36"/>
      <c r="U3283" s="36"/>
      <c r="V3283" s="36"/>
      <c r="W3283" s="15">
        <f t="shared" si="225"/>
        <v>0</v>
      </c>
      <c r="X3283" s="36"/>
      <c r="Y3283" s="36">
        <v>300</v>
      </c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15">
        <f t="shared" si="226"/>
        <v>300</v>
      </c>
      <c r="AK3283" s="14"/>
      <c r="AL3283" s="14"/>
      <c r="AM3283" s="14"/>
      <c r="AN3283" s="14"/>
      <c r="AO3283" s="14"/>
      <c r="AP3283" s="14"/>
      <c r="AQ3283" s="14"/>
      <c r="AR3283" s="14"/>
      <c r="AS3283" s="14"/>
      <c r="AT3283" s="14"/>
      <c r="AU3283" s="14"/>
      <c r="AV3283" s="14"/>
      <c r="AW3283" s="15"/>
      <c r="AX3283" s="16"/>
    </row>
    <row r="3284" spans="2:50" x14ac:dyDescent="0.2">
      <c r="B3284" s="7"/>
      <c r="C3284" s="8">
        <v>13780</v>
      </c>
      <c r="D3284" s="9" t="s">
        <v>810</v>
      </c>
      <c r="E3284" s="10" t="str">
        <f t="shared" si="222"/>
        <v>Rancho La Cuchilla No. 90</v>
      </c>
      <c r="F3284" s="10" t="str">
        <f t="shared" si="223"/>
        <v>Porras Fuentes</v>
      </c>
      <c r="G3284" s="8">
        <v>1</v>
      </c>
      <c r="H3284" s="11">
        <v>1000</v>
      </c>
      <c r="I3284" s="12">
        <v>42771</v>
      </c>
      <c r="J3284" s="35">
        <f t="shared" si="224"/>
        <v>0</v>
      </c>
      <c r="K3284" s="36"/>
      <c r="L3284" s="36"/>
      <c r="M3284" s="36"/>
      <c r="N3284" s="36"/>
      <c r="O3284" s="36"/>
      <c r="P3284" s="36"/>
      <c r="Q3284" s="36"/>
      <c r="R3284" s="36"/>
      <c r="S3284" s="36"/>
      <c r="T3284" s="36"/>
      <c r="U3284" s="36"/>
      <c r="V3284" s="36"/>
      <c r="W3284" s="15">
        <f t="shared" si="225"/>
        <v>0</v>
      </c>
      <c r="X3284" s="36">
        <v>200</v>
      </c>
      <c r="Y3284" s="36">
        <v>200</v>
      </c>
      <c r="Z3284" s="36">
        <v>200</v>
      </c>
      <c r="AA3284" s="36">
        <v>200</v>
      </c>
      <c r="AB3284" s="36">
        <v>200</v>
      </c>
      <c r="AC3284" s="36"/>
      <c r="AD3284" s="36"/>
      <c r="AE3284" s="36"/>
      <c r="AF3284" s="36"/>
      <c r="AG3284" s="36"/>
      <c r="AH3284" s="36"/>
      <c r="AI3284" s="36"/>
      <c r="AJ3284" s="15">
        <f t="shared" si="226"/>
        <v>1000</v>
      </c>
      <c r="AK3284" s="14"/>
      <c r="AL3284" s="14"/>
      <c r="AM3284" s="14"/>
      <c r="AN3284" s="14"/>
      <c r="AO3284" s="14"/>
      <c r="AP3284" s="14"/>
      <c r="AQ3284" s="14"/>
      <c r="AR3284" s="14"/>
      <c r="AS3284" s="14"/>
      <c r="AT3284" s="14"/>
      <c r="AU3284" s="14"/>
      <c r="AV3284" s="14"/>
      <c r="AW3284" s="15"/>
      <c r="AX3284" s="16"/>
    </row>
    <row r="3285" spans="2:50" x14ac:dyDescent="0.2">
      <c r="B3285" s="7"/>
      <c r="C3285" s="8">
        <v>13781</v>
      </c>
      <c r="D3285" s="9" t="s">
        <v>126</v>
      </c>
      <c r="E3285" s="10" t="str">
        <f t="shared" si="222"/>
        <v>Rancho Estanzuela No. 65</v>
      </c>
      <c r="F3285" s="10" t="str">
        <f t="shared" si="223"/>
        <v>López Becerril</v>
      </c>
      <c r="G3285" s="8">
        <v>1</v>
      </c>
      <c r="H3285" s="11">
        <v>400</v>
      </c>
      <c r="I3285" s="12">
        <v>42771</v>
      </c>
      <c r="J3285" s="35">
        <f t="shared" si="224"/>
        <v>0</v>
      </c>
      <c r="K3285" s="36"/>
      <c r="L3285" s="36"/>
      <c r="M3285" s="36"/>
      <c r="N3285" s="36"/>
      <c r="O3285" s="36"/>
      <c r="P3285" s="36"/>
      <c r="Q3285" s="36"/>
      <c r="R3285" s="36"/>
      <c r="S3285" s="36"/>
      <c r="T3285" s="36"/>
      <c r="U3285" s="36"/>
      <c r="V3285" s="36"/>
      <c r="W3285" s="15">
        <f t="shared" si="225"/>
        <v>0</v>
      </c>
      <c r="X3285" s="36">
        <v>400</v>
      </c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15">
        <f t="shared" si="226"/>
        <v>400</v>
      </c>
      <c r="AK3285" s="14"/>
      <c r="AL3285" s="14"/>
      <c r="AM3285" s="14"/>
      <c r="AN3285" s="14"/>
      <c r="AO3285" s="14"/>
      <c r="AP3285" s="14"/>
      <c r="AQ3285" s="14"/>
      <c r="AR3285" s="14"/>
      <c r="AS3285" s="14"/>
      <c r="AT3285" s="14"/>
      <c r="AU3285" s="14"/>
      <c r="AV3285" s="14"/>
      <c r="AW3285" s="15"/>
      <c r="AX3285" s="16"/>
    </row>
    <row r="3286" spans="2:50" x14ac:dyDescent="0.2">
      <c r="B3286" s="7"/>
      <c r="C3286" s="8">
        <v>13782</v>
      </c>
      <c r="D3286" s="9" t="s">
        <v>123</v>
      </c>
      <c r="E3286" s="10" t="str">
        <f t="shared" si="222"/>
        <v>Rancho Recoveco No. 175, B</v>
      </c>
      <c r="F3286" s="10" t="str">
        <f t="shared" si="223"/>
        <v>García Calderón</v>
      </c>
      <c r="G3286" s="8">
        <v>1</v>
      </c>
      <c r="H3286" s="11">
        <v>250</v>
      </c>
      <c r="I3286" s="12">
        <v>42771</v>
      </c>
      <c r="J3286" s="35">
        <f t="shared" si="224"/>
        <v>0</v>
      </c>
      <c r="K3286" s="36"/>
      <c r="L3286" s="36"/>
      <c r="M3286" s="36"/>
      <c r="N3286" s="36"/>
      <c r="O3286" s="36"/>
      <c r="P3286" s="36"/>
      <c r="Q3286" s="36"/>
      <c r="R3286" s="36"/>
      <c r="S3286" s="36"/>
      <c r="T3286" s="36"/>
      <c r="U3286" s="36"/>
      <c r="V3286" s="36"/>
      <c r="W3286" s="15">
        <f t="shared" si="225"/>
        <v>0</v>
      </c>
      <c r="X3286" s="36"/>
      <c r="Y3286" s="36">
        <v>250</v>
      </c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15">
        <f t="shared" si="226"/>
        <v>250</v>
      </c>
      <c r="AK3286" s="14"/>
      <c r="AL3286" s="14"/>
      <c r="AM3286" s="14"/>
      <c r="AN3286" s="14"/>
      <c r="AO3286" s="14"/>
      <c r="AP3286" s="14"/>
      <c r="AQ3286" s="14"/>
      <c r="AR3286" s="14"/>
      <c r="AS3286" s="14"/>
      <c r="AT3286" s="14"/>
      <c r="AU3286" s="14"/>
      <c r="AV3286" s="14"/>
      <c r="AW3286" s="15"/>
      <c r="AX3286" s="16"/>
    </row>
    <row r="3287" spans="2:50" x14ac:dyDescent="0.2">
      <c r="B3287" s="7"/>
      <c r="C3287" s="8">
        <v>13783</v>
      </c>
      <c r="D3287" s="9" t="s">
        <v>652</v>
      </c>
      <c r="E3287" s="10" t="str">
        <f t="shared" si="222"/>
        <v>Rancho Zinamba No. 74</v>
      </c>
      <c r="F3287" s="10" t="str">
        <f t="shared" si="223"/>
        <v>García Castellanos</v>
      </c>
      <c r="G3287" s="8">
        <v>1</v>
      </c>
      <c r="H3287" s="11">
        <v>400</v>
      </c>
      <c r="I3287" s="12">
        <v>42771</v>
      </c>
      <c r="J3287" s="35">
        <f t="shared" si="224"/>
        <v>0</v>
      </c>
      <c r="K3287" s="36"/>
      <c r="L3287" s="36"/>
      <c r="M3287" s="36"/>
      <c r="N3287" s="36"/>
      <c r="O3287" s="36"/>
      <c r="P3287" s="36"/>
      <c r="Q3287" s="36"/>
      <c r="R3287" s="36"/>
      <c r="S3287" s="36"/>
      <c r="T3287" s="36"/>
      <c r="U3287" s="36"/>
      <c r="V3287" s="36">
        <v>400</v>
      </c>
      <c r="W3287" s="15">
        <f t="shared" si="225"/>
        <v>400</v>
      </c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15">
        <f t="shared" si="226"/>
        <v>0</v>
      </c>
      <c r="AK3287" s="14"/>
      <c r="AL3287" s="14"/>
      <c r="AM3287" s="14"/>
      <c r="AN3287" s="14"/>
      <c r="AO3287" s="14"/>
      <c r="AP3287" s="14"/>
      <c r="AQ3287" s="14"/>
      <c r="AR3287" s="14"/>
      <c r="AS3287" s="14"/>
      <c r="AT3287" s="14"/>
      <c r="AU3287" s="14"/>
      <c r="AV3287" s="14"/>
      <c r="AW3287" s="15"/>
      <c r="AX3287" s="16"/>
    </row>
    <row r="3288" spans="2:50" x14ac:dyDescent="0.2">
      <c r="B3288" s="7"/>
      <c r="C3288" s="8">
        <v>13784</v>
      </c>
      <c r="D3288" s="9" t="s">
        <v>62</v>
      </c>
      <c r="E3288" s="10" t="str">
        <f t="shared" si="222"/>
        <v>Rancho Romeral No. 10, A</v>
      </c>
      <c r="F3288" s="10" t="str">
        <f t="shared" si="223"/>
        <v>Casillas Álvarez</v>
      </c>
      <c r="G3288" s="8">
        <v>1</v>
      </c>
      <c r="H3288" s="11">
        <v>400</v>
      </c>
      <c r="I3288" s="12">
        <v>42771</v>
      </c>
      <c r="J3288" s="35">
        <f t="shared" si="224"/>
        <v>0</v>
      </c>
      <c r="K3288" s="36"/>
      <c r="L3288" s="36"/>
      <c r="M3288" s="36"/>
      <c r="N3288" s="36"/>
      <c r="O3288" s="36"/>
      <c r="P3288" s="36"/>
      <c r="Q3288" s="36"/>
      <c r="R3288" s="36"/>
      <c r="S3288" s="36"/>
      <c r="T3288" s="36"/>
      <c r="U3288" s="36"/>
      <c r="V3288" s="36"/>
      <c r="W3288" s="15">
        <f t="shared" si="225"/>
        <v>0</v>
      </c>
      <c r="X3288" s="36"/>
      <c r="Y3288" s="36"/>
      <c r="Z3288" s="36">
        <v>200</v>
      </c>
      <c r="AA3288" s="36">
        <v>200</v>
      </c>
      <c r="AB3288" s="36"/>
      <c r="AC3288" s="36"/>
      <c r="AD3288" s="36"/>
      <c r="AE3288" s="36"/>
      <c r="AF3288" s="36"/>
      <c r="AG3288" s="36"/>
      <c r="AH3288" s="36"/>
      <c r="AI3288" s="36"/>
      <c r="AJ3288" s="15">
        <f t="shared" si="226"/>
        <v>400</v>
      </c>
      <c r="AK3288" s="14"/>
      <c r="AL3288" s="14"/>
      <c r="AM3288" s="14"/>
      <c r="AN3288" s="14"/>
      <c r="AO3288" s="14"/>
      <c r="AP3288" s="14"/>
      <c r="AQ3288" s="14"/>
      <c r="AR3288" s="14"/>
      <c r="AS3288" s="14"/>
      <c r="AT3288" s="14"/>
      <c r="AU3288" s="14"/>
      <c r="AV3288" s="14"/>
      <c r="AW3288" s="15"/>
      <c r="AX3288" s="16"/>
    </row>
    <row r="3289" spans="2:50" x14ac:dyDescent="0.2">
      <c r="B3289" s="7"/>
      <c r="C3289" s="8">
        <v>13785</v>
      </c>
      <c r="D3289" s="9" t="s">
        <v>171</v>
      </c>
      <c r="E3289" s="10" t="str">
        <f t="shared" si="222"/>
        <v>Rancho La Cuchilla No. 72</v>
      </c>
      <c r="F3289" s="10" t="str">
        <f t="shared" si="223"/>
        <v>Ortiz González</v>
      </c>
      <c r="G3289" s="8">
        <v>1</v>
      </c>
      <c r="H3289" s="11">
        <v>400</v>
      </c>
      <c r="I3289" s="12">
        <v>42771</v>
      </c>
      <c r="J3289" s="35">
        <f t="shared" si="224"/>
        <v>0</v>
      </c>
      <c r="K3289" s="36"/>
      <c r="L3289" s="36"/>
      <c r="M3289" s="36"/>
      <c r="N3289" s="36"/>
      <c r="O3289" s="36"/>
      <c r="P3289" s="36"/>
      <c r="Q3289" s="36"/>
      <c r="R3289" s="36"/>
      <c r="S3289" s="36"/>
      <c r="T3289" s="36"/>
      <c r="U3289" s="36"/>
      <c r="V3289" s="36"/>
      <c r="W3289" s="15">
        <f t="shared" si="225"/>
        <v>0</v>
      </c>
      <c r="X3289" s="36"/>
      <c r="Y3289" s="36">
        <v>400</v>
      </c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15">
        <f t="shared" si="226"/>
        <v>400</v>
      </c>
      <c r="AK3289" s="14"/>
      <c r="AL3289" s="14"/>
      <c r="AM3289" s="14"/>
      <c r="AN3289" s="14"/>
      <c r="AO3289" s="14"/>
      <c r="AP3289" s="14"/>
      <c r="AQ3289" s="14"/>
      <c r="AR3289" s="14"/>
      <c r="AS3289" s="14"/>
      <c r="AT3289" s="14"/>
      <c r="AU3289" s="14"/>
      <c r="AV3289" s="14"/>
      <c r="AW3289" s="15"/>
      <c r="AX3289" s="16"/>
    </row>
    <row r="3290" spans="2:50" x14ac:dyDescent="0.2">
      <c r="B3290" s="7"/>
      <c r="C3290" s="8">
        <v>13786</v>
      </c>
      <c r="D3290" s="9" t="s">
        <v>425</v>
      </c>
      <c r="E3290" s="10" t="str">
        <f t="shared" si="222"/>
        <v>Rancho La Cuchilla No. 120</v>
      </c>
      <c r="F3290" s="10" t="str">
        <f t="shared" si="223"/>
        <v>Pozos Vilchis</v>
      </c>
      <c r="G3290" s="8">
        <v>1</v>
      </c>
      <c r="H3290" s="11">
        <v>400</v>
      </c>
      <c r="I3290" s="12">
        <v>42771</v>
      </c>
      <c r="J3290" s="35">
        <f t="shared" si="224"/>
        <v>0</v>
      </c>
      <c r="K3290" s="36"/>
      <c r="L3290" s="36"/>
      <c r="M3290" s="36"/>
      <c r="N3290" s="36"/>
      <c r="O3290" s="36"/>
      <c r="P3290" s="36"/>
      <c r="Q3290" s="36"/>
      <c r="R3290" s="36"/>
      <c r="S3290" s="36"/>
      <c r="T3290" s="36"/>
      <c r="U3290" s="36"/>
      <c r="V3290" s="36"/>
      <c r="W3290" s="15">
        <f t="shared" si="225"/>
        <v>0</v>
      </c>
      <c r="X3290" s="36"/>
      <c r="Y3290" s="36">
        <v>400</v>
      </c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15">
        <f t="shared" si="226"/>
        <v>400</v>
      </c>
      <c r="AK3290" s="14"/>
      <c r="AL3290" s="14"/>
      <c r="AM3290" s="14"/>
      <c r="AN3290" s="14"/>
      <c r="AO3290" s="14"/>
      <c r="AP3290" s="14"/>
      <c r="AQ3290" s="14"/>
      <c r="AR3290" s="14"/>
      <c r="AS3290" s="14"/>
      <c r="AT3290" s="14"/>
      <c r="AU3290" s="14"/>
      <c r="AV3290" s="14"/>
      <c r="AW3290" s="15"/>
      <c r="AX3290" s="16"/>
    </row>
    <row r="3291" spans="2:50" x14ac:dyDescent="0.2">
      <c r="B3291" s="7"/>
      <c r="C3291" s="8">
        <v>13787</v>
      </c>
      <c r="D3291" s="9" t="s">
        <v>109</v>
      </c>
      <c r="E3291" s="10" t="str">
        <f t="shared" si="222"/>
        <v>Rancho Estanzuela No. 31</v>
      </c>
      <c r="F3291" s="10" t="str">
        <f t="shared" si="223"/>
        <v>Chávez Valdés</v>
      </c>
      <c r="G3291" s="8">
        <v>3</v>
      </c>
      <c r="H3291" s="11">
        <v>200</v>
      </c>
      <c r="I3291" s="12">
        <v>42771</v>
      </c>
      <c r="J3291" s="35">
        <f t="shared" si="224"/>
        <v>0</v>
      </c>
      <c r="K3291" s="36"/>
      <c r="L3291" s="36"/>
      <c r="M3291" s="36"/>
      <c r="N3291" s="36"/>
      <c r="O3291" s="36"/>
      <c r="P3291" s="36"/>
      <c r="Q3291" s="36"/>
      <c r="R3291" s="36"/>
      <c r="S3291" s="36"/>
      <c r="T3291" s="36"/>
      <c r="U3291" s="36"/>
      <c r="V3291" s="36"/>
      <c r="W3291" s="15">
        <f t="shared" si="225"/>
        <v>0</v>
      </c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15">
        <f t="shared" si="226"/>
        <v>0</v>
      </c>
      <c r="AK3291" s="14"/>
      <c r="AL3291" s="14"/>
      <c r="AM3291" s="14"/>
      <c r="AN3291" s="14"/>
      <c r="AO3291" s="14"/>
      <c r="AP3291" s="14"/>
      <c r="AQ3291" s="14"/>
      <c r="AR3291" s="14"/>
      <c r="AS3291" s="14"/>
      <c r="AT3291" s="14"/>
      <c r="AU3291" s="14"/>
      <c r="AV3291" s="14"/>
      <c r="AW3291" s="15"/>
      <c r="AX3291" s="16"/>
    </row>
    <row r="3292" spans="2:50" x14ac:dyDescent="0.2">
      <c r="B3292" s="7"/>
      <c r="C3292" s="8">
        <v>13787</v>
      </c>
      <c r="D3292" s="9" t="s">
        <v>109</v>
      </c>
      <c r="E3292" s="10" t="str">
        <f t="shared" si="222"/>
        <v>Rancho Estanzuela No. 31</v>
      </c>
      <c r="F3292" s="10" t="str">
        <f t="shared" si="223"/>
        <v>Chávez Valdés</v>
      </c>
      <c r="G3292" s="8">
        <v>4</v>
      </c>
      <c r="H3292" s="11">
        <v>200</v>
      </c>
      <c r="I3292" s="12">
        <v>42771</v>
      </c>
      <c r="J3292" s="35">
        <f t="shared" si="224"/>
        <v>0</v>
      </c>
      <c r="K3292" s="36"/>
      <c r="L3292" s="36"/>
      <c r="M3292" s="36"/>
      <c r="N3292" s="36"/>
      <c r="O3292" s="36"/>
      <c r="P3292" s="36"/>
      <c r="Q3292" s="36"/>
      <c r="R3292" s="36"/>
      <c r="S3292" s="36"/>
      <c r="T3292" s="36"/>
      <c r="U3292" s="36"/>
      <c r="V3292" s="36"/>
      <c r="W3292" s="15">
        <f t="shared" si="225"/>
        <v>0</v>
      </c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15">
        <f t="shared" si="226"/>
        <v>0</v>
      </c>
      <c r="AK3292" s="14"/>
      <c r="AL3292" s="14"/>
      <c r="AM3292" s="14"/>
      <c r="AN3292" s="14"/>
      <c r="AO3292" s="14"/>
      <c r="AP3292" s="14"/>
      <c r="AQ3292" s="14"/>
      <c r="AR3292" s="14"/>
      <c r="AS3292" s="14"/>
      <c r="AT3292" s="14"/>
      <c r="AU3292" s="14"/>
      <c r="AV3292" s="14"/>
      <c r="AW3292" s="15"/>
      <c r="AX3292" s="16" t="s">
        <v>3513</v>
      </c>
    </row>
    <row r="3293" spans="2:50" x14ac:dyDescent="0.2">
      <c r="B3293" s="7"/>
      <c r="C3293" s="8">
        <v>13788</v>
      </c>
      <c r="D3293" s="9" t="s">
        <v>476</v>
      </c>
      <c r="E3293" s="10" t="str">
        <f t="shared" si="222"/>
        <v>Rancho Upácuaro No. 33</v>
      </c>
      <c r="F3293" s="10" t="str">
        <f t="shared" si="223"/>
        <v>Ulloa Miranda</v>
      </c>
      <c r="G3293" s="8">
        <v>1</v>
      </c>
      <c r="H3293" s="11">
        <v>400</v>
      </c>
      <c r="I3293" s="12">
        <v>42771</v>
      </c>
      <c r="J3293" s="35">
        <f t="shared" si="224"/>
        <v>0</v>
      </c>
      <c r="K3293" s="36"/>
      <c r="L3293" s="36"/>
      <c r="M3293" s="36"/>
      <c r="N3293" s="36"/>
      <c r="O3293" s="36"/>
      <c r="P3293" s="36"/>
      <c r="Q3293" s="36"/>
      <c r="R3293" s="36"/>
      <c r="S3293" s="36"/>
      <c r="T3293" s="36"/>
      <c r="U3293" s="36"/>
      <c r="V3293" s="36"/>
      <c r="W3293" s="15">
        <f t="shared" si="225"/>
        <v>0</v>
      </c>
      <c r="X3293" s="36"/>
      <c r="Y3293" s="36">
        <v>400</v>
      </c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15">
        <f t="shared" si="226"/>
        <v>400</v>
      </c>
      <c r="AK3293" s="14"/>
      <c r="AL3293" s="14"/>
      <c r="AM3293" s="14"/>
      <c r="AN3293" s="14"/>
      <c r="AO3293" s="14"/>
      <c r="AP3293" s="14"/>
      <c r="AQ3293" s="14"/>
      <c r="AR3293" s="14"/>
      <c r="AS3293" s="14"/>
      <c r="AT3293" s="14"/>
      <c r="AU3293" s="14"/>
      <c r="AV3293" s="14"/>
      <c r="AW3293" s="15"/>
      <c r="AX3293" s="16"/>
    </row>
    <row r="3294" spans="2:50" x14ac:dyDescent="0.2">
      <c r="B3294" s="7"/>
      <c r="C3294" s="8">
        <v>13789</v>
      </c>
      <c r="D3294" s="9" t="s">
        <v>514</v>
      </c>
      <c r="E3294" s="10" t="str">
        <f t="shared" ref="E3294:E3301" si="227">IF(D3294=0,"",VLOOKUP(D3294,BASE,2,FALSE))</f>
        <v>Rancho Upácuaro No. 114</v>
      </c>
      <c r="F3294" s="10" t="str">
        <f t="shared" ref="F3294:F3301" si="228">IF(D3294=0,"",VLOOKUP(D3294,BASE,3,FALSE))</f>
        <v>Hernández Cornejo</v>
      </c>
      <c r="G3294" s="8">
        <v>1</v>
      </c>
      <c r="H3294" s="11">
        <v>400</v>
      </c>
      <c r="I3294" s="12">
        <v>42771</v>
      </c>
      <c r="J3294" s="35">
        <f t="shared" ref="J3294:J3301" si="229">IF(G3294=1,SUM(W3294,AJ3294,-H3294),0)</f>
        <v>0</v>
      </c>
      <c r="K3294" s="36"/>
      <c r="L3294" s="36"/>
      <c r="M3294" s="36"/>
      <c r="N3294" s="36"/>
      <c r="O3294" s="36"/>
      <c r="P3294" s="36"/>
      <c r="Q3294" s="36"/>
      <c r="R3294" s="36"/>
      <c r="S3294" s="36"/>
      <c r="T3294" s="36"/>
      <c r="U3294" s="36"/>
      <c r="V3294" s="36"/>
      <c r="W3294" s="15">
        <f t="shared" ref="W3294:W3301" si="230">SUM(K3294:V3294)</f>
        <v>0</v>
      </c>
      <c r="X3294" s="36">
        <v>400</v>
      </c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15">
        <f t="shared" ref="AJ3294:AJ3301" si="231">SUM(X3294:AI3294)</f>
        <v>400</v>
      </c>
      <c r="AK3294" s="14"/>
      <c r="AL3294" s="14"/>
      <c r="AM3294" s="14"/>
      <c r="AN3294" s="14"/>
      <c r="AO3294" s="14"/>
      <c r="AP3294" s="14"/>
      <c r="AQ3294" s="14"/>
      <c r="AR3294" s="14"/>
      <c r="AS3294" s="14"/>
      <c r="AT3294" s="14"/>
      <c r="AU3294" s="14"/>
      <c r="AV3294" s="14"/>
      <c r="AW3294" s="15"/>
      <c r="AX3294" s="16"/>
    </row>
    <row r="3295" spans="2:50" x14ac:dyDescent="0.2">
      <c r="B3295" s="7"/>
      <c r="C3295" s="8">
        <v>13790</v>
      </c>
      <c r="D3295" s="9" t="s">
        <v>244</v>
      </c>
      <c r="E3295" s="10" t="str">
        <f t="shared" si="227"/>
        <v>Rancho La Cuchilla No. 28</v>
      </c>
      <c r="F3295" s="10" t="str">
        <f t="shared" si="228"/>
        <v>Prado de los S.</v>
      </c>
      <c r="G3295" s="8">
        <v>1</v>
      </c>
      <c r="H3295" s="11">
        <v>4400</v>
      </c>
      <c r="I3295" s="12">
        <v>42771</v>
      </c>
      <c r="J3295" s="35">
        <f t="shared" si="229"/>
        <v>0</v>
      </c>
      <c r="K3295" s="36"/>
      <c r="L3295" s="36"/>
      <c r="M3295" s="36"/>
      <c r="N3295" s="36"/>
      <c r="O3295" s="36"/>
      <c r="P3295" s="36"/>
      <c r="Q3295" s="36"/>
      <c r="R3295" s="36"/>
      <c r="S3295" s="36"/>
      <c r="T3295" s="36"/>
      <c r="U3295" s="36"/>
      <c r="V3295" s="36"/>
      <c r="W3295" s="15">
        <f t="shared" si="230"/>
        <v>0</v>
      </c>
      <c r="X3295" s="36">
        <v>400</v>
      </c>
      <c r="Y3295" s="36">
        <v>400</v>
      </c>
      <c r="Z3295" s="36">
        <v>400</v>
      </c>
      <c r="AA3295" s="36">
        <v>400</v>
      </c>
      <c r="AB3295" s="36">
        <v>400</v>
      </c>
      <c r="AC3295" s="36">
        <v>400</v>
      </c>
      <c r="AD3295" s="36">
        <v>400</v>
      </c>
      <c r="AE3295" s="36">
        <v>400</v>
      </c>
      <c r="AF3295" s="36">
        <v>400</v>
      </c>
      <c r="AG3295" s="36">
        <v>400</v>
      </c>
      <c r="AH3295" s="36">
        <v>400</v>
      </c>
      <c r="AI3295" s="36"/>
      <c r="AJ3295" s="15">
        <f t="shared" si="231"/>
        <v>4400</v>
      </c>
      <c r="AK3295" s="14"/>
      <c r="AL3295" s="14"/>
      <c r="AM3295" s="14"/>
      <c r="AN3295" s="14"/>
      <c r="AO3295" s="14"/>
      <c r="AP3295" s="14"/>
      <c r="AQ3295" s="14"/>
      <c r="AR3295" s="14"/>
      <c r="AS3295" s="14"/>
      <c r="AT3295" s="14"/>
      <c r="AU3295" s="14"/>
      <c r="AV3295" s="14"/>
      <c r="AW3295" s="15"/>
      <c r="AX3295" s="16" t="s">
        <v>3363</v>
      </c>
    </row>
    <row r="3296" spans="2:50" x14ac:dyDescent="0.2">
      <c r="B3296" s="7"/>
      <c r="C3296" s="8">
        <v>13791</v>
      </c>
      <c r="D3296" s="9" t="s">
        <v>693</v>
      </c>
      <c r="E3296" s="10" t="str">
        <f t="shared" si="227"/>
        <v>Rancho Romeral No. 9, B</v>
      </c>
      <c r="F3296" s="10" t="str">
        <f t="shared" si="228"/>
        <v>Morales Macías</v>
      </c>
      <c r="G3296" s="8">
        <v>1</v>
      </c>
      <c r="H3296" s="11">
        <v>300</v>
      </c>
      <c r="I3296" s="12">
        <v>42771</v>
      </c>
      <c r="J3296" s="35">
        <f t="shared" si="229"/>
        <v>0</v>
      </c>
      <c r="K3296" s="36"/>
      <c r="L3296" s="36"/>
      <c r="M3296" s="36"/>
      <c r="N3296" s="36"/>
      <c r="O3296" s="36"/>
      <c r="P3296" s="36"/>
      <c r="Q3296" s="36"/>
      <c r="R3296" s="36"/>
      <c r="S3296" s="36"/>
      <c r="T3296" s="36"/>
      <c r="U3296" s="36"/>
      <c r="V3296" s="36"/>
      <c r="W3296" s="15">
        <f t="shared" si="230"/>
        <v>0</v>
      </c>
      <c r="X3296" s="36">
        <v>150</v>
      </c>
      <c r="Y3296" s="36">
        <v>150</v>
      </c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15">
        <f t="shared" si="231"/>
        <v>300</v>
      </c>
      <c r="AK3296" s="14"/>
      <c r="AL3296" s="14"/>
      <c r="AM3296" s="14"/>
      <c r="AN3296" s="14"/>
      <c r="AO3296" s="14"/>
      <c r="AP3296" s="14"/>
      <c r="AQ3296" s="14"/>
      <c r="AR3296" s="14"/>
      <c r="AS3296" s="14"/>
      <c r="AT3296" s="14"/>
      <c r="AU3296" s="14"/>
      <c r="AV3296" s="14"/>
      <c r="AW3296" s="15"/>
      <c r="AX3296" s="16"/>
    </row>
    <row r="3297" spans="2:50" x14ac:dyDescent="0.2">
      <c r="B3297" s="7"/>
      <c r="C3297" s="8">
        <v>13792</v>
      </c>
      <c r="D3297" s="9" t="s">
        <v>328</v>
      </c>
      <c r="E3297" s="10" t="str">
        <f t="shared" si="227"/>
        <v>Rancho La Cuchilla No. 130</v>
      </c>
      <c r="F3297" s="10" t="str">
        <f t="shared" si="228"/>
        <v>Gonzalez</v>
      </c>
      <c r="G3297" s="8">
        <v>1</v>
      </c>
      <c r="H3297" s="11">
        <v>400</v>
      </c>
      <c r="I3297" s="12">
        <v>42771</v>
      </c>
      <c r="J3297" s="35">
        <f t="shared" si="229"/>
        <v>0</v>
      </c>
      <c r="K3297" s="36"/>
      <c r="L3297" s="36"/>
      <c r="M3297" s="36"/>
      <c r="N3297" s="36"/>
      <c r="O3297" s="36"/>
      <c r="P3297" s="36"/>
      <c r="Q3297" s="36"/>
      <c r="R3297" s="36"/>
      <c r="S3297" s="36"/>
      <c r="T3297" s="36"/>
      <c r="U3297" s="36"/>
      <c r="V3297" s="36"/>
      <c r="W3297" s="15">
        <f t="shared" si="230"/>
        <v>0</v>
      </c>
      <c r="X3297" s="36"/>
      <c r="Y3297" s="36">
        <v>400</v>
      </c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15">
        <f t="shared" si="231"/>
        <v>400</v>
      </c>
      <c r="AK3297" s="14"/>
      <c r="AL3297" s="14"/>
      <c r="AM3297" s="14"/>
      <c r="AN3297" s="14"/>
      <c r="AO3297" s="14"/>
      <c r="AP3297" s="14"/>
      <c r="AQ3297" s="14"/>
      <c r="AR3297" s="14"/>
      <c r="AS3297" s="14"/>
      <c r="AT3297" s="14"/>
      <c r="AU3297" s="14"/>
      <c r="AV3297" s="14"/>
      <c r="AW3297" s="15"/>
      <c r="AX3297" s="16"/>
    </row>
    <row r="3298" spans="2:50" x14ac:dyDescent="0.2">
      <c r="B3298" s="7"/>
      <c r="C3298" s="8">
        <v>13793</v>
      </c>
      <c r="D3298" s="9" t="s">
        <v>663</v>
      </c>
      <c r="E3298" s="10" t="str">
        <f t="shared" si="227"/>
        <v>Rancho Romeral No. 23, B</v>
      </c>
      <c r="F3298" s="10" t="str">
        <f t="shared" si="228"/>
        <v>Castillo Avila</v>
      </c>
      <c r="G3298" s="8">
        <v>1</v>
      </c>
      <c r="H3298" s="11">
        <v>800</v>
      </c>
      <c r="I3298" s="12">
        <v>42771</v>
      </c>
      <c r="J3298" s="35">
        <f t="shared" si="229"/>
        <v>0</v>
      </c>
      <c r="K3298" s="36"/>
      <c r="L3298" s="36"/>
      <c r="M3298" s="36"/>
      <c r="N3298" s="36"/>
      <c r="O3298" s="36"/>
      <c r="P3298" s="36"/>
      <c r="Q3298" s="36"/>
      <c r="R3298" s="36"/>
      <c r="S3298" s="36"/>
      <c r="T3298" s="36"/>
      <c r="U3298" s="36">
        <v>400</v>
      </c>
      <c r="V3298" s="36">
        <v>400</v>
      </c>
      <c r="W3298" s="15">
        <f t="shared" si="230"/>
        <v>800</v>
      </c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15">
        <f t="shared" si="231"/>
        <v>0</v>
      </c>
      <c r="AK3298" s="14"/>
      <c r="AL3298" s="14"/>
      <c r="AM3298" s="14"/>
      <c r="AN3298" s="14"/>
      <c r="AO3298" s="14"/>
      <c r="AP3298" s="14"/>
      <c r="AQ3298" s="14"/>
      <c r="AR3298" s="14"/>
      <c r="AS3298" s="14"/>
      <c r="AT3298" s="14"/>
      <c r="AU3298" s="14"/>
      <c r="AV3298" s="14"/>
      <c r="AW3298" s="15"/>
      <c r="AX3298" s="16"/>
    </row>
    <row r="3299" spans="2:50" x14ac:dyDescent="0.2">
      <c r="B3299" s="7"/>
      <c r="C3299" s="8">
        <v>13794</v>
      </c>
      <c r="D3299" s="9" t="s">
        <v>313</v>
      </c>
      <c r="E3299" s="10" t="str">
        <f t="shared" si="227"/>
        <v>Rancho La Cuchilla No. 87</v>
      </c>
      <c r="F3299" s="10" t="str">
        <f t="shared" si="228"/>
        <v>Villanueva S.</v>
      </c>
      <c r="G3299" s="8">
        <v>1</v>
      </c>
      <c r="H3299" s="11">
        <v>400</v>
      </c>
      <c r="I3299" s="12">
        <v>42771</v>
      </c>
      <c r="J3299" s="35">
        <f t="shared" si="229"/>
        <v>0</v>
      </c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36"/>
      <c r="V3299" s="36"/>
      <c r="W3299" s="15">
        <f t="shared" si="230"/>
        <v>0</v>
      </c>
      <c r="X3299" s="36"/>
      <c r="Y3299" s="36">
        <v>400</v>
      </c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15">
        <f t="shared" si="231"/>
        <v>400</v>
      </c>
      <c r="AK3299" s="14"/>
      <c r="AL3299" s="14"/>
      <c r="AM3299" s="14"/>
      <c r="AN3299" s="14"/>
      <c r="AO3299" s="14"/>
      <c r="AP3299" s="14"/>
      <c r="AQ3299" s="14"/>
      <c r="AR3299" s="14"/>
      <c r="AS3299" s="14"/>
      <c r="AT3299" s="14"/>
      <c r="AU3299" s="14"/>
      <c r="AV3299" s="14"/>
      <c r="AW3299" s="15"/>
      <c r="AX3299" s="16"/>
    </row>
    <row r="3300" spans="2:50" x14ac:dyDescent="0.2">
      <c r="B3300" s="7"/>
      <c r="C3300" s="8">
        <v>13795</v>
      </c>
      <c r="D3300" s="9" t="s">
        <v>663</v>
      </c>
      <c r="E3300" s="10" t="str">
        <f t="shared" si="227"/>
        <v>Rancho Romeral No. 23, B</v>
      </c>
      <c r="F3300" s="10" t="str">
        <f t="shared" si="228"/>
        <v>Castillo Avila</v>
      </c>
      <c r="G3300" s="8">
        <v>1</v>
      </c>
      <c r="H3300" s="11">
        <v>4400</v>
      </c>
      <c r="I3300" s="12">
        <v>42771</v>
      </c>
      <c r="J3300" s="35">
        <f t="shared" si="229"/>
        <v>0</v>
      </c>
      <c r="K3300" s="36"/>
      <c r="L3300" s="36"/>
      <c r="M3300" s="36"/>
      <c r="N3300" s="36"/>
      <c r="O3300" s="36"/>
      <c r="P3300" s="36"/>
      <c r="Q3300" s="36"/>
      <c r="R3300" s="36"/>
      <c r="S3300" s="36"/>
      <c r="T3300" s="36"/>
      <c r="U3300" s="36"/>
      <c r="V3300" s="36"/>
      <c r="W3300" s="15">
        <f t="shared" si="230"/>
        <v>0</v>
      </c>
      <c r="X3300" s="36">
        <v>400</v>
      </c>
      <c r="Y3300" s="36">
        <v>400</v>
      </c>
      <c r="Z3300" s="36">
        <v>400</v>
      </c>
      <c r="AA3300" s="36">
        <v>400</v>
      </c>
      <c r="AB3300" s="36">
        <v>400</v>
      </c>
      <c r="AC3300" s="36">
        <v>400</v>
      </c>
      <c r="AD3300" s="36">
        <v>400</v>
      </c>
      <c r="AE3300" s="36">
        <v>400</v>
      </c>
      <c r="AF3300" s="36">
        <v>400</v>
      </c>
      <c r="AG3300" s="36">
        <v>400</v>
      </c>
      <c r="AH3300" s="36">
        <v>400</v>
      </c>
      <c r="AI3300" s="36"/>
      <c r="AJ3300" s="15">
        <f t="shared" si="231"/>
        <v>4400</v>
      </c>
      <c r="AK3300" s="14"/>
      <c r="AL3300" s="14"/>
      <c r="AM3300" s="14"/>
      <c r="AN3300" s="14"/>
      <c r="AO3300" s="14"/>
      <c r="AP3300" s="14"/>
      <c r="AQ3300" s="14"/>
      <c r="AR3300" s="14"/>
      <c r="AS3300" s="14"/>
      <c r="AT3300" s="14"/>
      <c r="AU3300" s="14"/>
      <c r="AV3300" s="14"/>
      <c r="AW3300" s="15"/>
      <c r="AX3300" s="16" t="s">
        <v>3363</v>
      </c>
    </row>
    <row r="3301" spans="2:50" x14ac:dyDescent="0.2">
      <c r="B3301" s="7"/>
      <c r="C3301" s="8">
        <v>13796</v>
      </c>
      <c r="D3301" s="9" t="s">
        <v>562</v>
      </c>
      <c r="E3301" s="10" t="str">
        <f t="shared" si="227"/>
        <v>Rancho Upácuaro No. 87</v>
      </c>
      <c r="F3301" s="10" t="str">
        <f t="shared" si="228"/>
        <v>Rodríguez Parés</v>
      </c>
      <c r="G3301" s="8">
        <v>1</v>
      </c>
      <c r="H3301" s="11">
        <v>800</v>
      </c>
      <c r="I3301" s="12">
        <v>42771</v>
      </c>
      <c r="J3301" s="35">
        <f t="shared" si="229"/>
        <v>0</v>
      </c>
      <c r="K3301" s="36"/>
      <c r="L3301" s="36"/>
      <c r="M3301" s="36"/>
      <c r="N3301" s="36"/>
      <c r="O3301" s="36"/>
      <c r="P3301" s="36"/>
      <c r="Q3301" s="36"/>
      <c r="R3301" s="36"/>
      <c r="S3301" s="36"/>
      <c r="T3301" s="36"/>
      <c r="U3301" s="36"/>
      <c r="V3301" s="36"/>
      <c r="W3301" s="15">
        <f t="shared" si="230"/>
        <v>0</v>
      </c>
      <c r="X3301" s="36">
        <v>400</v>
      </c>
      <c r="Y3301" s="36">
        <v>400</v>
      </c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15">
        <f t="shared" si="231"/>
        <v>800</v>
      </c>
      <c r="AK3301" s="14"/>
      <c r="AL3301" s="14"/>
      <c r="AM3301" s="14"/>
      <c r="AN3301" s="14"/>
      <c r="AO3301" s="14"/>
      <c r="AP3301" s="14"/>
      <c r="AQ3301" s="14"/>
      <c r="AR3301" s="14"/>
      <c r="AS3301" s="14"/>
      <c r="AT3301" s="14"/>
      <c r="AU3301" s="14"/>
      <c r="AV3301" s="14"/>
      <c r="AW3301" s="15"/>
      <c r="AX3301" s="16"/>
    </row>
    <row r="3302" spans="2:50" x14ac:dyDescent="0.2">
      <c r="B3302" s="7"/>
      <c r="C3302" s="8">
        <v>13796</v>
      </c>
      <c r="D3302" s="9" t="s">
        <v>562</v>
      </c>
      <c r="E3302" s="10" t="str">
        <f t="shared" ref="E3302:E3307" si="232">IF(D3302=0,"",VLOOKUP(D3302,BASE,2,FALSE))</f>
        <v>Rancho Upácuaro No. 87</v>
      </c>
      <c r="F3302" s="10" t="str">
        <f t="shared" ref="F3302:F3307" si="233">IF(D3302=0,"",VLOOKUP(D3302,BASE,3,FALSE))</f>
        <v>Rodríguez Parés</v>
      </c>
      <c r="G3302" s="8">
        <v>5</v>
      </c>
      <c r="H3302" s="11">
        <v>50</v>
      </c>
      <c r="I3302" s="12">
        <v>42771</v>
      </c>
      <c r="J3302" s="35">
        <f t="shared" ref="J3302:J3307" si="234">IF(G3302=1,SUM(W3302,AJ3302,-H3302),0)</f>
        <v>0</v>
      </c>
      <c r="K3302" s="36"/>
      <c r="L3302" s="36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  <c r="W3302" s="15">
        <f t="shared" ref="W3302:W3307" si="235">SUM(K3302:V3302)</f>
        <v>0</v>
      </c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15">
        <f t="shared" ref="AJ3302:AJ3307" si="236">SUM(X3302:AI3302)</f>
        <v>0</v>
      </c>
      <c r="AK3302" s="14"/>
      <c r="AL3302" s="14"/>
      <c r="AM3302" s="14"/>
      <c r="AN3302" s="14"/>
      <c r="AO3302" s="14"/>
      <c r="AP3302" s="14"/>
      <c r="AQ3302" s="14"/>
      <c r="AR3302" s="14"/>
      <c r="AS3302" s="14"/>
      <c r="AT3302" s="14"/>
      <c r="AU3302" s="14"/>
      <c r="AV3302" s="14"/>
      <c r="AW3302" s="15"/>
      <c r="AX3302" s="16"/>
    </row>
    <row r="3303" spans="2:50" x14ac:dyDescent="0.2">
      <c r="B3303" s="7"/>
      <c r="C3303" s="8">
        <v>13797</v>
      </c>
      <c r="D3303" s="9" t="s">
        <v>150</v>
      </c>
      <c r="E3303" s="10" t="str">
        <f t="shared" si="232"/>
        <v>Rancho La Cuchilla No. 33</v>
      </c>
      <c r="F3303" s="10" t="str">
        <f t="shared" si="233"/>
        <v>Tanús</v>
      </c>
      <c r="G3303" s="8">
        <v>1</v>
      </c>
      <c r="H3303" s="11">
        <v>400</v>
      </c>
      <c r="I3303" s="12">
        <v>42771</v>
      </c>
      <c r="J3303" s="35">
        <f t="shared" si="234"/>
        <v>0</v>
      </c>
      <c r="K3303" s="36"/>
      <c r="L3303" s="36"/>
      <c r="M3303" s="36"/>
      <c r="N3303" s="36"/>
      <c r="O3303" s="36"/>
      <c r="P3303" s="36"/>
      <c r="Q3303" s="36"/>
      <c r="R3303" s="36"/>
      <c r="S3303" s="36"/>
      <c r="T3303" s="36"/>
      <c r="U3303" s="36"/>
      <c r="V3303" s="36"/>
      <c r="W3303" s="15">
        <f t="shared" si="235"/>
        <v>0</v>
      </c>
      <c r="X3303" s="36"/>
      <c r="Y3303" s="36">
        <v>400</v>
      </c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15">
        <f t="shared" si="236"/>
        <v>400</v>
      </c>
      <c r="AK3303" s="14"/>
      <c r="AL3303" s="14"/>
      <c r="AM3303" s="14"/>
      <c r="AN3303" s="14"/>
      <c r="AO3303" s="14"/>
      <c r="AP3303" s="14"/>
      <c r="AQ3303" s="14"/>
      <c r="AR3303" s="14"/>
      <c r="AS3303" s="14"/>
      <c r="AT3303" s="14"/>
      <c r="AU3303" s="14"/>
      <c r="AV3303" s="14"/>
      <c r="AW3303" s="15"/>
      <c r="AX3303" s="16"/>
    </row>
    <row r="3304" spans="2:50" x14ac:dyDescent="0.2">
      <c r="B3304" s="7"/>
      <c r="C3304" s="8">
        <v>13798</v>
      </c>
      <c r="D3304" s="9" t="s">
        <v>3178</v>
      </c>
      <c r="E3304" s="10" t="str">
        <f t="shared" si="232"/>
        <v>Rancho La Cuchilla No. 103</v>
      </c>
      <c r="F3304" s="10" t="str">
        <f t="shared" si="233"/>
        <v>Bernal</v>
      </c>
      <c r="G3304" s="8">
        <v>1</v>
      </c>
      <c r="H3304" s="11">
        <v>500</v>
      </c>
      <c r="I3304" s="12">
        <v>42771</v>
      </c>
      <c r="J3304" s="35">
        <f t="shared" si="234"/>
        <v>0</v>
      </c>
      <c r="K3304" s="36"/>
      <c r="L3304" s="36"/>
      <c r="M3304" s="36"/>
      <c r="N3304" s="36"/>
      <c r="O3304" s="36"/>
      <c r="P3304" s="36"/>
      <c r="Q3304" s="36"/>
      <c r="R3304" s="36"/>
      <c r="S3304" s="36"/>
      <c r="T3304" s="36"/>
      <c r="U3304" s="36"/>
      <c r="V3304" s="36"/>
      <c r="W3304" s="15">
        <f t="shared" si="235"/>
        <v>0</v>
      </c>
      <c r="X3304" s="36"/>
      <c r="Y3304" s="36">
        <v>500</v>
      </c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15">
        <f t="shared" si="236"/>
        <v>500</v>
      </c>
      <c r="AK3304" s="14"/>
      <c r="AL3304" s="14"/>
      <c r="AM3304" s="14"/>
      <c r="AN3304" s="14"/>
      <c r="AO3304" s="14"/>
      <c r="AP3304" s="14"/>
      <c r="AQ3304" s="14"/>
      <c r="AR3304" s="14"/>
      <c r="AS3304" s="14"/>
      <c r="AT3304" s="14"/>
      <c r="AU3304" s="14"/>
      <c r="AV3304" s="14"/>
      <c r="AW3304" s="15"/>
      <c r="AX3304" s="316">
        <f>SUM(H3247:H3304)</f>
        <v>35425</v>
      </c>
    </row>
    <row r="3305" spans="2:50" x14ac:dyDescent="0.2">
      <c r="B3305" s="7"/>
      <c r="C3305" s="8">
        <v>13799</v>
      </c>
      <c r="D3305" s="9" t="s">
        <v>202</v>
      </c>
      <c r="E3305" s="10" t="str">
        <f t="shared" si="232"/>
        <v>Rancho Estanzuela No. 25</v>
      </c>
      <c r="F3305" s="10" t="str">
        <f t="shared" si="233"/>
        <v>Contreras Figueroa</v>
      </c>
      <c r="G3305" s="8">
        <v>1</v>
      </c>
      <c r="H3305" s="315">
        <v>400</v>
      </c>
      <c r="I3305" s="12">
        <v>42773</v>
      </c>
      <c r="J3305" s="35">
        <f t="shared" si="234"/>
        <v>0</v>
      </c>
      <c r="K3305" s="36"/>
      <c r="L3305" s="36"/>
      <c r="M3305" s="36"/>
      <c r="N3305" s="36"/>
      <c r="O3305" s="36"/>
      <c r="P3305" s="36"/>
      <c r="Q3305" s="36"/>
      <c r="R3305" s="36"/>
      <c r="S3305" s="36"/>
      <c r="T3305" s="36"/>
      <c r="U3305" s="36"/>
      <c r="V3305" s="36"/>
      <c r="W3305" s="15">
        <f t="shared" si="235"/>
        <v>0</v>
      </c>
      <c r="X3305" s="36"/>
      <c r="Y3305" s="36">
        <v>400</v>
      </c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15">
        <f t="shared" si="236"/>
        <v>400</v>
      </c>
      <c r="AK3305" s="14"/>
      <c r="AL3305" s="14"/>
      <c r="AM3305" s="14"/>
      <c r="AN3305" s="14"/>
      <c r="AO3305" s="14"/>
      <c r="AP3305" s="14"/>
      <c r="AQ3305" s="14"/>
      <c r="AR3305" s="14"/>
      <c r="AS3305" s="14"/>
      <c r="AT3305" s="14"/>
      <c r="AU3305" s="14"/>
      <c r="AV3305" s="14"/>
      <c r="AW3305" s="15"/>
      <c r="AX3305" s="16"/>
    </row>
    <row r="3306" spans="2:50" x14ac:dyDescent="0.2">
      <c r="B3306" s="7"/>
      <c r="C3306" s="8">
        <v>13800</v>
      </c>
      <c r="D3306" s="9" t="s">
        <v>611</v>
      </c>
      <c r="E3306" s="10" t="str">
        <f t="shared" si="232"/>
        <v>Rancho Estanzuela No. 47</v>
      </c>
      <c r="F3306" s="10" t="str">
        <f t="shared" si="233"/>
        <v>Bussey García</v>
      </c>
      <c r="G3306" s="8">
        <v>1</v>
      </c>
      <c r="H3306" s="11">
        <v>800</v>
      </c>
      <c r="I3306" s="12">
        <v>42773</v>
      </c>
      <c r="J3306" s="35">
        <f t="shared" si="234"/>
        <v>0</v>
      </c>
      <c r="K3306" s="36"/>
      <c r="L3306" s="36"/>
      <c r="M3306" s="36"/>
      <c r="N3306" s="36"/>
      <c r="O3306" s="36"/>
      <c r="P3306" s="36"/>
      <c r="Q3306" s="36"/>
      <c r="R3306" s="36"/>
      <c r="S3306" s="36"/>
      <c r="T3306" s="36"/>
      <c r="U3306" s="36"/>
      <c r="V3306" s="36"/>
      <c r="W3306" s="15">
        <f t="shared" si="235"/>
        <v>0</v>
      </c>
      <c r="X3306" s="36">
        <v>400</v>
      </c>
      <c r="Y3306" s="36">
        <v>400</v>
      </c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15">
        <f t="shared" si="236"/>
        <v>800</v>
      </c>
      <c r="AK3306" s="14"/>
      <c r="AL3306" s="14"/>
      <c r="AM3306" s="14"/>
      <c r="AN3306" s="14"/>
      <c r="AO3306" s="14"/>
      <c r="AP3306" s="14"/>
      <c r="AQ3306" s="14"/>
      <c r="AR3306" s="14"/>
      <c r="AS3306" s="14"/>
      <c r="AT3306" s="14"/>
      <c r="AU3306" s="14"/>
      <c r="AV3306" s="14"/>
      <c r="AW3306" s="15"/>
      <c r="AX3306" s="16"/>
    </row>
    <row r="3307" spans="2:50" x14ac:dyDescent="0.2">
      <c r="B3307" s="7"/>
      <c r="C3307" s="8">
        <v>13801</v>
      </c>
      <c r="D3307" s="9" t="s">
        <v>199</v>
      </c>
      <c r="E3307" s="10" t="str">
        <f t="shared" si="232"/>
        <v>Rancho Estanzuela No. 135</v>
      </c>
      <c r="F3307" s="10" t="str">
        <f t="shared" si="233"/>
        <v>Iglesias</v>
      </c>
      <c r="G3307" s="8">
        <v>1</v>
      </c>
      <c r="H3307" s="11">
        <v>400</v>
      </c>
      <c r="I3307" s="12">
        <v>42775</v>
      </c>
      <c r="J3307" s="35">
        <f t="shared" si="234"/>
        <v>0</v>
      </c>
      <c r="K3307" s="36"/>
      <c r="L3307" s="36"/>
      <c r="M3307" s="36"/>
      <c r="N3307" s="36"/>
      <c r="O3307" s="36"/>
      <c r="P3307" s="36"/>
      <c r="Q3307" s="36"/>
      <c r="R3307" s="36"/>
      <c r="S3307" s="36"/>
      <c r="T3307" s="36"/>
      <c r="U3307" s="36"/>
      <c r="V3307" s="36"/>
      <c r="W3307" s="15">
        <f t="shared" si="235"/>
        <v>0</v>
      </c>
      <c r="X3307" s="36">
        <v>400</v>
      </c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15">
        <f t="shared" si="236"/>
        <v>400</v>
      </c>
      <c r="AK3307" s="14"/>
      <c r="AL3307" s="14"/>
      <c r="AM3307" s="14"/>
      <c r="AN3307" s="14"/>
      <c r="AO3307" s="14"/>
      <c r="AP3307" s="14"/>
      <c r="AQ3307" s="14"/>
      <c r="AR3307" s="14"/>
      <c r="AS3307" s="14"/>
      <c r="AT3307" s="14"/>
      <c r="AU3307" s="14"/>
      <c r="AV3307" s="14"/>
      <c r="AW3307" s="15"/>
      <c r="AX3307" s="16"/>
    </row>
    <row r="3308" spans="2:50" x14ac:dyDescent="0.2">
      <c r="B3308" s="7" t="s">
        <v>3523</v>
      </c>
      <c r="C3308" s="8">
        <v>13802</v>
      </c>
      <c r="D3308" s="9" t="s">
        <v>211</v>
      </c>
      <c r="E3308" s="10" t="str">
        <f t="shared" ref="E3308:E3319" si="237">IF(D3308=0,"",VLOOKUP(D3308,BASE,2,FALSE))</f>
        <v>Rancho Upácuaro No. 46</v>
      </c>
      <c r="F3308" s="10" t="str">
        <f t="shared" ref="F3308:F3319" si="238">IF(D3308=0,"",VLOOKUP(D3308,BASE,3,FALSE))</f>
        <v>Fuentes</v>
      </c>
      <c r="G3308" s="8"/>
      <c r="H3308" s="11"/>
      <c r="I3308" s="12"/>
      <c r="J3308" s="35">
        <f t="shared" ref="J3308:J3319" si="239">IF(G3308=1,SUM(W3308,AJ3308,-H3308),0)</f>
        <v>0</v>
      </c>
      <c r="K3308" s="36"/>
      <c r="L3308" s="36"/>
      <c r="M3308" s="36"/>
      <c r="N3308" s="36"/>
      <c r="O3308" s="36"/>
      <c r="P3308" s="36"/>
      <c r="Q3308" s="36"/>
      <c r="R3308" s="36"/>
      <c r="S3308" s="36"/>
      <c r="T3308" s="36"/>
      <c r="U3308" s="36"/>
      <c r="V3308" s="36"/>
      <c r="W3308" s="15">
        <f t="shared" ref="W3308:W3319" si="240">SUM(K3308:V3308)</f>
        <v>0</v>
      </c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15">
        <f t="shared" ref="AJ3308:AJ3319" si="241">SUM(X3308:AI3308)</f>
        <v>0</v>
      </c>
      <c r="AK3308" s="14"/>
      <c r="AL3308" s="14"/>
      <c r="AM3308" s="14"/>
      <c r="AN3308" s="14"/>
      <c r="AO3308" s="14"/>
      <c r="AP3308" s="14"/>
      <c r="AQ3308" s="14"/>
      <c r="AR3308" s="14"/>
      <c r="AS3308" s="14"/>
      <c r="AT3308" s="14"/>
      <c r="AU3308" s="14"/>
      <c r="AV3308" s="14"/>
      <c r="AW3308" s="15"/>
      <c r="AX3308" s="16"/>
    </row>
    <row r="3309" spans="2:50" x14ac:dyDescent="0.2">
      <c r="B3309" s="7"/>
      <c r="C3309" s="8">
        <v>13803</v>
      </c>
      <c r="D3309" s="9"/>
      <c r="E3309" s="10" t="str">
        <f t="shared" si="237"/>
        <v/>
      </c>
      <c r="F3309" s="10" t="str">
        <f t="shared" si="238"/>
        <v/>
      </c>
      <c r="G3309" s="8">
        <v>8</v>
      </c>
      <c r="H3309" s="11"/>
      <c r="I3309" s="12"/>
      <c r="J3309" s="35">
        <f t="shared" si="239"/>
        <v>0</v>
      </c>
      <c r="K3309" s="36"/>
      <c r="L3309" s="36"/>
      <c r="M3309" s="36"/>
      <c r="N3309" s="36"/>
      <c r="O3309" s="36"/>
      <c r="P3309" s="36"/>
      <c r="Q3309" s="36"/>
      <c r="R3309" s="36"/>
      <c r="S3309" s="36"/>
      <c r="T3309" s="36"/>
      <c r="U3309" s="36"/>
      <c r="V3309" s="36"/>
      <c r="W3309" s="15">
        <f t="shared" si="240"/>
        <v>0</v>
      </c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15">
        <f t="shared" si="241"/>
        <v>0</v>
      </c>
      <c r="AK3309" s="14"/>
      <c r="AL3309" s="14"/>
      <c r="AM3309" s="14"/>
      <c r="AN3309" s="14"/>
      <c r="AO3309" s="14"/>
      <c r="AP3309" s="14"/>
      <c r="AQ3309" s="14"/>
      <c r="AR3309" s="14"/>
      <c r="AS3309" s="14"/>
      <c r="AT3309" s="14"/>
      <c r="AU3309" s="14"/>
      <c r="AV3309" s="14"/>
      <c r="AW3309" s="15"/>
      <c r="AX3309" s="16"/>
    </row>
    <row r="3310" spans="2:50" x14ac:dyDescent="0.2">
      <c r="B3310" s="7"/>
      <c r="C3310" s="8">
        <v>13804</v>
      </c>
      <c r="D3310" s="9"/>
      <c r="E3310" s="10" t="str">
        <f t="shared" si="237"/>
        <v/>
      </c>
      <c r="F3310" s="10" t="str">
        <f t="shared" si="238"/>
        <v/>
      </c>
      <c r="G3310" s="8">
        <v>8</v>
      </c>
      <c r="H3310" s="11"/>
      <c r="I3310" s="12"/>
      <c r="J3310" s="35">
        <f t="shared" si="239"/>
        <v>0</v>
      </c>
      <c r="K3310" s="36"/>
      <c r="L3310" s="36"/>
      <c r="M3310" s="36"/>
      <c r="N3310" s="36"/>
      <c r="O3310" s="36"/>
      <c r="P3310" s="36"/>
      <c r="Q3310" s="36"/>
      <c r="R3310" s="36"/>
      <c r="S3310" s="36"/>
      <c r="T3310" s="36"/>
      <c r="U3310" s="36"/>
      <c r="V3310" s="36"/>
      <c r="W3310" s="15">
        <f t="shared" si="240"/>
        <v>0</v>
      </c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15">
        <f t="shared" si="241"/>
        <v>0</v>
      </c>
      <c r="AK3310" s="14"/>
      <c r="AL3310" s="14"/>
      <c r="AM3310" s="14"/>
      <c r="AN3310" s="14"/>
      <c r="AO3310" s="14"/>
      <c r="AP3310" s="14"/>
      <c r="AQ3310" s="14"/>
      <c r="AR3310" s="14"/>
      <c r="AS3310" s="14"/>
      <c r="AT3310" s="14"/>
      <c r="AU3310" s="14"/>
      <c r="AV3310" s="14"/>
      <c r="AW3310" s="15"/>
      <c r="AX3310" s="16"/>
    </row>
    <row r="3311" spans="2:50" x14ac:dyDescent="0.2">
      <c r="B3311" s="7" t="s">
        <v>3523</v>
      </c>
      <c r="C3311" s="8">
        <v>13805</v>
      </c>
      <c r="D3311" s="9" t="s">
        <v>208</v>
      </c>
      <c r="E3311" s="10" t="str">
        <f t="shared" si="237"/>
        <v>Rancho La Cuchilla No. 29</v>
      </c>
      <c r="F3311" s="10" t="str">
        <f t="shared" si="238"/>
        <v>Vega Sánchez C.</v>
      </c>
      <c r="G3311" s="8"/>
      <c r="H3311" s="11"/>
      <c r="I3311" s="12"/>
      <c r="J3311" s="35">
        <f t="shared" si="239"/>
        <v>0</v>
      </c>
      <c r="K3311" s="36"/>
      <c r="L3311" s="36"/>
      <c r="M3311" s="36"/>
      <c r="N3311" s="36"/>
      <c r="O3311" s="36"/>
      <c r="P3311" s="36"/>
      <c r="Q3311" s="36"/>
      <c r="R3311" s="36"/>
      <c r="S3311" s="36"/>
      <c r="T3311" s="36"/>
      <c r="U3311" s="36"/>
      <c r="V3311" s="36"/>
      <c r="W3311" s="15">
        <f t="shared" si="240"/>
        <v>0</v>
      </c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15">
        <f t="shared" si="241"/>
        <v>0</v>
      </c>
      <c r="AK3311" s="14"/>
      <c r="AL3311" s="14"/>
      <c r="AM3311" s="14"/>
      <c r="AN3311" s="14"/>
      <c r="AO3311" s="14"/>
      <c r="AP3311" s="14"/>
      <c r="AQ3311" s="14"/>
      <c r="AR3311" s="14"/>
      <c r="AS3311" s="14"/>
      <c r="AT3311" s="14"/>
      <c r="AU3311" s="14"/>
      <c r="AV3311" s="14"/>
      <c r="AW3311" s="15"/>
      <c r="AX3311" s="16"/>
    </row>
    <row r="3312" spans="2:50" x14ac:dyDescent="0.2">
      <c r="B3312" s="7"/>
      <c r="C3312" s="8">
        <v>13806</v>
      </c>
      <c r="D3312" s="9" t="s">
        <v>1276</v>
      </c>
      <c r="E3312" s="10" t="str">
        <f t="shared" si="237"/>
        <v>Rancho La Cuchilla No. 63</v>
      </c>
      <c r="F3312" s="10" t="str">
        <f t="shared" si="238"/>
        <v>Díaz de la Rosa</v>
      </c>
      <c r="G3312" s="8">
        <v>1</v>
      </c>
      <c r="H3312" s="11">
        <v>200</v>
      </c>
      <c r="I3312" s="12">
        <v>42775</v>
      </c>
      <c r="J3312" s="35">
        <f t="shared" si="239"/>
        <v>0</v>
      </c>
      <c r="K3312" s="36"/>
      <c r="L3312" s="36"/>
      <c r="M3312" s="36"/>
      <c r="N3312" s="36"/>
      <c r="O3312" s="36"/>
      <c r="P3312" s="36"/>
      <c r="Q3312" s="36"/>
      <c r="R3312" s="36"/>
      <c r="S3312" s="36"/>
      <c r="T3312" s="36"/>
      <c r="U3312" s="36"/>
      <c r="V3312" s="36"/>
      <c r="W3312" s="15">
        <f t="shared" si="240"/>
        <v>0</v>
      </c>
      <c r="X3312" s="36"/>
      <c r="Y3312" s="36">
        <v>200</v>
      </c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15">
        <f t="shared" si="241"/>
        <v>200</v>
      </c>
      <c r="AK3312" s="14"/>
      <c r="AL3312" s="14"/>
      <c r="AM3312" s="14"/>
      <c r="AN3312" s="14"/>
      <c r="AO3312" s="14"/>
      <c r="AP3312" s="14"/>
      <c r="AQ3312" s="14"/>
      <c r="AR3312" s="14"/>
      <c r="AS3312" s="14"/>
      <c r="AT3312" s="14"/>
      <c r="AU3312" s="14"/>
      <c r="AV3312" s="14"/>
      <c r="AW3312" s="15"/>
      <c r="AX3312" s="16"/>
    </row>
    <row r="3313" spans="2:50" x14ac:dyDescent="0.2">
      <c r="B3313" s="7"/>
      <c r="C3313" s="8">
        <v>13806</v>
      </c>
      <c r="D3313" s="9" t="s">
        <v>1276</v>
      </c>
      <c r="E3313" s="10" t="str">
        <f t="shared" si="237"/>
        <v>Rancho La Cuchilla No. 63</v>
      </c>
      <c r="F3313" s="10" t="str">
        <f t="shared" si="238"/>
        <v>Díaz de la Rosa</v>
      </c>
      <c r="G3313" s="8">
        <v>4</v>
      </c>
      <c r="H3313" s="11">
        <v>200</v>
      </c>
      <c r="I3313" s="12">
        <v>42775</v>
      </c>
      <c r="J3313" s="35">
        <f t="shared" si="239"/>
        <v>0</v>
      </c>
      <c r="K3313" s="36"/>
      <c r="L3313" s="36"/>
      <c r="M3313" s="36"/>
      <c r="N3313" s="36"/>
      <c r="O3313" s="36"/>
      <c r="P3313" s="36"/>
      <c r="Q3313" s="36"/>
      <c r="R3313" s="36"/>
      <c r="S3313" s="36"/>
      <c r="T3313" s="36"/>
      <c r="U3313" s="36"/>
      <c r="V3313" s="36"/>
      <c r="W3313" s="15">
        <f t="shared" si="240"/>
        <v>0</v>
      </c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15">
        <f t="shared" si="241"/>
        <v>0</v>
      </c>
      <c r="AK3313" s="14"/>
      <c r="AL3313" s="14"/>
      <c r="AM3313" s="14"/>
      <c r="AN3313" s="14"/>
      <c r="AO3313" s="14"/>
      <c r="AP3313" s="14"/>
      <c r="AQ3313" s="14"/>
      <c r="AR3313" s="14"/>
      <c r="AS3313" s="14"/>
      <c r="AT3313" s="14"/>
      <c r="AU3313" s="14"/>
      <c r="AV3313" s="14"/>
      <c r="AW3313" s="15"/>
      <c r="AX3313" s="16" t="s">
        <v>3524</v>
      </c>
    </row>
    <row r="3314" spans="2:50" x14ac:dyDescent="0.2">
      <c r="B3314" s="7"/>
      <c r="C3314" s="8">
        <v>13806</v>
      </c>
      <c r="D3314" s="9" t="s">
        <v>1276</v>
      </c>
      <c r="E3314" s="10" t="str">
        <f t="shared" si="237"/>
        <v>Rancho La Cuchilla No. 63</v>
      </c>
      <c r="F3314" s="10" t="str">
        <f t="shared" si="238"/>
        <v>Díaz de la Rosa</v>
      </c>
      <c r="G3314" s="8">
        <v>5</v>
      </c>
      <c r="H3314" s="11">
        <v>150</v>
      </c>
      <c r="I3314" s="12">
        <v>42775</v>
      </c>
      <c r="J3314" s="35">
        <f t="shared" si="239"/>
        <v>0</v>
      </c>
      <c r="K3314" s="36"/>
      <c r="L3314" s="36"/>
      <c r="M3314" s="36"/>
      <c r="N3314" s="36"/>
      <c r="O3314" s="36"/>
      <c r="P3314" s="36"/>
      <c r="Q3314" s="36"/>
      <c r="R3314" s="36"/>
      <c r="S3314" s="36"/>
      <c r="T3314" s="36"/>
      <c r="U3314" s="36"/>
      <c r="V3314" s="36"/>
      <c r="W3314" s="15">
        <f t="shared" si="240"/>
        <v>0</v>
      </c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15">
        <f t="shared" si="241"/>
        <v>0</v>
      </c>
      <c r="AK3314" s="14"/>
      <c r="AL3314" s="14"/>
      <c r="AM3314" s="14"/>
      <c r="AN3314" s="14"/>
      <c r="AO3314" s="14"/>
      <c r="AP3314" s="14"/>
      <c r="AQ3314" s="14"/>
      <c r="AR3314" s="14"/>
      <c r="AS3314" s="14"/>
      <c r="AT3314" s="14"/>
      <c r="AU3314" s="14"/>
      <c r="AV3314" s="14"/>
      <c r="AW3314" s="15"/>
      <c r="AX3314" s="16"/>
    </row>
    <row r="3315" spans="2:50" x14ac:dyDescent="0.2">
      <c r="B3315" s="7"/>
      <c r="C3315" s="8">
        <v>13807</v>
      </c>
      <c r="D3315" s="9" t="s">
        <v>772</v>
      </c>
      <c r="E3315" s="10" t="str">
        <f t="shared" si="237"/>
        <v>Rancho La Cuchilla No. 79</v>
      </c>
      <c r="F3315" s="10" t="str">
        <f t="shared" si="238"/>
        <v>De la Rosa</v>
      </c>
      <c r="G3315" s="8">
        <v>1</v>
      </c>
      <c r="H3315" s="11">
        <v>200</v>
      </c>
      <c r="I3315" s="12">
        <v>42775</v>
      </c>
      <c r="J3315" s="35">
        <f t="shared" si="239"/>
        <v>0</v>
      </c>
      <c r="K3315" s="36"/>
      <c r="L3315" s="36"/>
      <c r="M3315" s="36"/>
      <c r="N3315" s="36"/>
      <c r="O3315" s="36"/>
      <c r="P3315" s="36"/>
      <c r="Q3315" s="36"/>
      <c r="R3315" s="36"/>
      <c r="S3315" s="36"/>
      <c r="T3315" s="36"/>
      <c r="U3315" s="36"/>
      <c r="V3315" s="36"/>
      <c r="W3315" s="15">
        <f t="shared" si="240"/>
        <v>0</v>
      </c>
      <c r="X3315" s="36"/>
      <c r="Y3315" s="36">
        <v>200</v>
      </c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15">
        <f t="shared" si="241"/>
        <v>200</v>
      </c>
      <c r="AK3315" s="14"/>
      <c r="AL3315" s="14"/>
      <c r="AM3315" s="14"/>
      <c r="AN3315" s="14"/>
      <c r="AO3315" s="14"/>
      <c r="AP3315" s="14"/>
      <c r="AQ3315" s="14"/>
      <c r="AR3315" s="14"/>
      <c r="AS3315" s="14"/>
      <c r="AT3315" s="14"/>
      <c r="AU3315" s="14"/>
      <c r="AV3315" s="14"/>
      <c r="AW3315" s="15"/>
      <c r="AX3315" s="16"/>
    </row>
    <row r="3316" spans="2:50" x14ac:dyDescent="0.2">
      <c r="B3316" s="7"/>
      <c r="C3316" s="8">
        <v>13807</v>
      </c>
      <c r="D3316" s="9" t="s">
        <v>772</v>
      </c>
      <c r="E3316" s="10" t="str">
        <f t="shared" si="237"/>
        <v>Rancho La Cuchilla No. 79</v>
      </c>
      <c r="F3316" s="10" t="str">
        <f t="shared" si="238"/>
        <v>De la Rosa</v>
      </c>
      <c r="G3316" s="8">
        <v>4</v>
      </c>
      <c r="H3316" s="11">
        <v>200</v>
      </c>
      <c r="I3316" s="12">
        <v>42775</v>
      </c>
      <c r="J3316" s="35">
        <f t="shared" si="239"/>
        <v>0</v>
      </c>
      <c r="K3316" s="36"/>
      <c r="L3316" s="36"/>
      <c r="M3316" s="36"/>
      <c r="N3316" s="36"/>
      <c r="O3316" s="36"/>
      <c r="P3316" s="36"/>
      <c r="Q3316" s="36"/>
      <c r="R3316" s="36"/>
      <c r="S3316" s="36"/>
      <c r="T3316" s="36"/>
      <c r="U3316" s="36"/>
      <c r="V3316" s="36"/>
      <c r="W3316" s="15">
        <f t="shared" si="240"/>
        <v>0</v>
      </c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15">
        <f t="shared" si="241"/>
        <v>0</v>
      </c>
      <c r="AK3316" s="14"/>
      <c r="AL3316" s="14"/>
      <c r="AM3316" s="14"/>
      <c r="AN3316" s="14"/>
      <c r="AO3316" s="14"/>
      <c r="AP3316" s="14"/>
      <c r="AQ3316" s="14"/>
      <c r="AR3316" s="14"/>
      <c r="AS3316" s="14"/>
      <c r="AT3316" s="14"/>
      <c r="AU3316" s="14"/>
      <c r="AV3316" s="14"/>
      <c r="AW3316" s="15"/>
      <c r="AX3316" s="16"/>
    </row>
    <row r="3317" spans="2:50" x14ac:dyDescent="0.2">
      <c r="B3317" s="7"/>
      <c r="C3317" s="8">
        <v>13807</v>
      </c>
      <c r="D3317" s="9" t="s">
        <v>772</v>
      </c>
      <c r="E3317" s="10" t="str">
        <f t="shared" si="237"/>
        <v>Rancho La Cuchilla No. 79</v>
      </c>
      <c r="F3317" s="10" t="str">
        <f t="shared" si="238"/>
        <v>De la Rosa</v>
      </c>
      <c r="G3317" s="8">
        <v>5</v>
      </c>
      <c r="H3317" s="11">
        <v>100</v>
      </c>
      <c r="I3317" s="12">
        <v>42775</v>
      </c>
      <c r="J3317" s="35">
        <f t="shared" si="239"/>
        <v>0</v>
      </c>
      <c r="K3317" s="36"/>
      <c r="L3317" s="36"/>
      <c r="M3317" s="36"/>
      <c r="N3317" s="36"/>
      <c r="O3317" s="36"/>
      <c r="P3317" s="36"/>
      <c r="Q3317" s="36"/>
      <c r="R3317" s="36"/>
      <c r="S3317" s="36"/>
      <c r="T3317" s="36"/>
      <c r="U3317" s="36"/>
      <c r="V3317" s="36"/>
      <c r="W3317" s="15">
        <f t="shared" si="240"/>
        <v>0</v>
      </c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15">
        <f t="shared" si="241"/>
        <v>0</v>
      </c>
      <c r="AK3317" s="14"/>
      <c r="AL3317" s="14"/>
      <c r="AM3317" s="14"/>
      <c r="AN3317" s="14"/>
      <c r="AO3317" s="14"/>
      <c r="AP3317" s="14"/>
      <c r="AQ3317" s="14"/>
      <c r="AR3317" s="14"/>
      <c r="AS3317" s="14"/>
      <c r="AT3317" s="14"/>
      <c r="AU3317" s="14"/>
      <c r="AV3317" s="14"/>
      <c r="AW3317" s="15"/>
      <c r="AX3317" s="16"/>
    </row>
    <row r="3318" spans="2:50" x14ac:dyDescent="0.2">
      <c r="B3318" s="7"/>
      <c r="C3318" s="8">
        <v>13808</v>
      </c>
      <c r="D3318" s="9" t="s">
        <v>226</v>
      </c>
      <c r="E3318" s="10" t="str">
        <f t="shared" si="237"/>
        <v>Rancho Landero No. 31</v>
      </c>
      <c r="F3318" s="10" t="str">
        <f t="shared" si="238"/>
        <v>Díaz Hernández</v>
      </c>
      <c r="G3318" s="8">
        <v>1</v>
      </c>
      <c r="H3318" s="11">
        <v>200</v>
      </c>
      <c r="I3318" s="12">
        <v>42775</v>
      </c>
      <c r="J3318" s="35">
        <f t="shared" si="239"/>
        <v>0</v>
      </c>
      <c r="K3318" s="36"/>
      <c r="L3318" s="36"/>
      <c r="M3318" s="36"/>
      <c r="N3318" s="36"/>
      <c r="O3318" s="36"/>
      <c r="P3318" s="36"/>
      <c r="Q3318" s="36"/>
      <c r="R3318" s="36"/>
      <c r="S3318" s="36"/>
      <c r="T3318" s="36"/>
      <c r="U3318" s="36"/>
      <c r="V3318" s="36"/>
      <c r="W3318" s="15">
        <f t="shared" si="240"/>
        <v>0</v>
      </c>
      <c r="X3318" s="36"/>
      <c r="Y3318" s="36">
        <v>200</v>
      </c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15">
        <f t="shared" si="241"/>
        <v>200</v>
      </c>
      <c r="AK3318" s="14"/>
      <c r="AL3318" s="14"/>
      <c r="AM3318" s="14"/>
      <c r="AN3318" s="14"/>
      <c r="AO3318" s="14"/>
      <c r="AP3318" s="14"/>
      <c r="AQ3318" s="14"/>
      <c r="AR3318" s="14"/>
      <c r="AS3318" s="14"/>
      <c r="AT3318" s="14"/>
      <c r="AU3318" s="14"/>
      <c r="AV3318" s="14"/>
      <c r="AW3318" s="15"/>
      <c r="AX3318" s="16"/>
    </row>
    <row r="3319" spans="2:50" x14ac:dyDescent="0.2">
      <c r="B3319" s="7"/>
      <c r="C3319" s="8">
        <v>13809</v>
      </c>
      <c r="D3319" s="9" t="s">
        <v>217</v>
      </c>
      <c r="E3319" s="10" t="str">
        <f t="shared" si="237"/>
        <v>Rancho Recoveco No. 173</v>
      </c>
      <c r="F3319" s="10" t="str">
        <f t="shared" si="238"/>
        <v>Velarde</v>
      </c>
      <c r="G3319" s="8">
        <v>1</v>
      </c>
      <c r="H3319" s="11">
        <v>600</v>
      </c>
      <c r="I3319" s="12">
        <v>42776</v>
      </c>
      <c r="J3319" s="35">
        <f t="shared" si="239"/>
        <v>0</v>
      </c>
      <c r="K3319" s="36"/>
      <c r="L3319" s="36"/>
      <c r="M3319" s="36"/>
      <c r="N3319" s="36"/>
      <c r="O3319" s="36"/>
      <c r="P3319" s="36"/>
      <c r="Q3319" s="36"/>
      <c r="R3319" s="36"/>
      <c r="S3319" s="36"/>
      <c r="T3319" s="36"/>
      <c r="U3319" s="36"/>
      <c r="V3319" s="36"/>
      <c r="W3319" s="15">
        <f t="shared" si="240"/>
        <v>0</v>
      </c>
      <c r="X3319" s="36"/>
      <c r="Y3319" s="36">
        <v>300</v>
      </c>
      <c r="Z3319" s="36">
        <v>300</v>
      </c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15">
        <f t="shared" si="241"/>
        <v>600</v>
      </c>
      <c r="AK3319" s="14"/>
      <c r="AL3319" s="14"/>
      <c r="AM3319" s="14"/>
      <c r="AN3319" s="14"/>
      <c r="AO3319" s="14"/>
      <c r="AP3319" s="14"/>
      <c r="AQ3319" s="14"/>
      <c r="AR3319" s="14"/>
      <c r="AS3319" s="14"/>
      <c r="AT3319" s="14"/>
      <c r="AU3319" s="14"/>
      <c r="AV3319" s="14"/>
      <c r="AW3319" s="15"/>
      <c r="AX3319" s="16"/>
    </row>
    <row r="3320" spans="2:50" x14ac:dyDescent="0.2">
      <c r="B3320" s="7"/>
      <c r="C3320" s="8">
        <v>13810</v>
      </c>
      <c r="D3320" s="9"/>
      <c r="E3320" s="10" t="str">
        <f t="shared" ref="E3320:E3341" si="242">IF(D3320=0,"",VLOOKUP(D3320,BASE,2,FALSE))</f>
        <v/>
      </c>
      <c r="F3320" s="10" t="str">
        <f t="shared" ref="F3320:F3341" si="243">IF(D3320=0,"",VLOOKUP(D3320,BASE,3,FALSE))</f>
        <v/>
      </c>
      <c r="G3320" s="8">
        <v>8</v>
      </c>
      <c r="H3320" s="11"/>
      <c r="I3320" s="12"/>
      <c r="J3320" s="35">
        <f t="shared" ref="J3320:J3341" si="244">IF(G3320=1,SUM(W3320,AJ3320,-H3320),0)</f>
        <v>0</v>
      </c>
      <c r="K3320" s="36"/>
      <c r="L3320" s="36"/>
      <c r="M3320" s="36"/>
      <c r="N3320" s="36"/>
      <c r="O3320" s="36"/>
      <c r="P3320" s="36"/>
      <c r="Q3320" s="36"/>
      <c r="R3320" s="36"/>
      <c r="S3320" s="36"/>
      <c r="T3320" s="36"/>
      <c r="U3320" s="36"/>
      <c r="V3320" s="36"/>
      <c r="W3320" s="15">
        <f t="shared" ref="W3320:W3341" si="245">SUM(K3320:V3320)</f>
        <v>0</v>
      </c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15">
        <f t="shared" ref="AJ3320:AJ3341" si="246">SUM(X3320:AI3320)</f>
        <v>0</v>
      </c>
      <c r="AK3320" s="14"/>
      <c r="AL3320" s="14"/>
      <c r="AM3320" s="14"/>
      <c r="AN3320" s="14"/>
      <c r="AO3320" s="14"/>
      <c r="AP3320" s="14"/>
      <c r="AQ3320" s="14"/>
      <c r="AR3320" s="14"/>
      <c r="AS3320" s="14"/>
      <c r="AT3320" s="14"/>
      <c r="AU3320" s="14"/>
      <c r="AV3320" s="14"/>
      <c r="AW3320" s="15"/>
      <c r="AX3320" s="16"/>
    </row>
    <row r="3321" spans="2:50" x14ac:dyDescent="0.2">
      <c r="B3321" s="7"/>
      <c r="C3321" s="8">
        <v>13811</v>
      </c>
      <c r="D3321" s="9" t="s">
        <v>256</v>
      </c>
      <c r="E3321" s="10" t="str">
        <f t="shared" si="242"/>
        <v>Rancho Recoveco No. 179</v>
      </c>
      <c r="F3321" s="10" t="str">
        <f t="shared" si="243"/>
        <v>Flores Delgado</v>
      </c>
      <c r="G3321" s="8">
        <v>1</v>
      </c>
      <c r="H3321" s="11">
        <v>600</v>
      </c>
      <c r="I3321" s="12">
        <v>42776</v>
      </c>
      <c r="J3321" s="35">
        <f t="shared" si="244"/>
        <v>0</v>
      </c>
      <c r="K3321" s="36"/>
      <c r="L3321" s="36"/>
      <c r="M3321" s="36"/>
      <c r="N3321" s="36"/>
      <c r="O3321" s="36"/>
      <c r="P3321" s="36"/>
      <c r="Q3321" s="36"/>
      <c r="R3321" s="36"/>
      <c r="S3321" s="36"/>
      <c r="T3321" s="36"/>
      <c r="U3321" s="36"/>
      <c r="V3321" s="36"/>
      <c r="W3321" s="15">
        <f t="shared" si="245"/>
        <v>0</v>
      </c>
      <c r="X3321" s="36">
        <v>300</v>
      </c>
      <c r="Y3321" s="36">
        <v>300</v>
      </c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15">
        <f t="shared" si="246"/>
        <v>600</v>
      </c>
      <c r="AK3321" s="14"/>
      <c r="AL3321" s="14"/>
      <c r="AM3321" s="14"/>
      <c r="AN3321" s="14"/>
      <c r="AO3321" s="14"/>
      <c r="AP3321" s="14"/>
      <c r="AQ3321" s="14"/>
      <c r="AR3321" s="14"/>
      <c r="AS3321" s="14"/>
      <c r="AT3321" s="14"/>
      <c r="AU3321" s="14"/>
      <c r="AV3321" s="14"/>
      <c r="AW3321" s="15"/>
      <c r="AX3321" s="16"/>
    </row>
    <row r="3322" spans="2:50" x14ac:dyDescent="0.2">
      <c r="B3322" s="7"/>
      <c r="C3322" s="8">
        <v>13812</v>
      </c>
      <c r="D3322" s="9" t="s">
        <v>322</v>
      </c>
      <c r="E3322" s="10" t="str">
        <f t="shared" si="242"/>
        <v>Rancho Zinamba No. 8</v>
      </c>
      <c r="F3322" s="10" t="str">
        <f t="shared" si="243"/>
        <v>Florido</v>
      </c>
      <c r="G3322" s="8">
        <v>1</v>
      </c>
      <c r="H3322" s="11">
        <v>400</v>
      </c>
      <c r="I3322" s="12">
        <v>42778</v>
      </c>
      <c r="J3322" s="35">
        <f t="shared" si="244"/>
        <v>0</v>
      </c>
      <c r="K3322" s="36"/>
      <c r="L3322" s="36"/>
      <c r="M3322" s="36"/>
      <c r="N3322" s="36"/>
      <c r="O3322" s="36"/>
      <c r="P3322" s="36"/>
      <c r="Q3322" s="36"/>
      <c r="R3322" s="36"/>
      <c r="S3322" s="36"/>
      <c r="T3322" s="36"/>
      <c r="U3322" s="36"/>
      <c r="V3322" s="36"/>
      <c r="W3322" s="15">
        <f t="shared" si="245"/>
        <v>0</v>
      </c>
      <c r="X3322" s="36">
        <v>400</v>
      </c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15">
        <f t="shared" si="246"/>
        <v>400</v>
      </c>
      <c r="AK3322" s="14"/>
      <c r="AL3322" s="14"/>
      <c r="AM3322" s="14"/>
      <c r="AN3322" s="14"/>
      <c r="AO3322" s="14"/>
      <c r="AP3322" s="14"/>
      <c r="AQ3322" s="14"/>
      <c r="AR3322" s="14"/>
      <c r="AS3322" s="14"/>
      <c r="AT3322" s="14"/>
      <c r="AU3322" s="14"/>
      <c r="AV3322" s="14"/>
      <c r="AW3322" s="15"/>
      <c r="AX3322" s="16"/>
    </row>
    <row r="3323" spans="2:50" x14ac:dyDescent="0.2">
      <c r="B3323" s="7"/>
      <c r="C3323" s="8">
        <v>13813</v>
      </c>
      <c r="D3323" s="9" t="s">
        <v>387</v>
      </c>
      <c r="E3323" s="10" t="str">
        <f t="shared" si="242"/>
        <v>Rancho Upácuaro No. 69</v>
      </c>
      <c r="F3323" s="10" t="str">
        <f t="shared" si="243"/>
        <v>Gómez</v>
      </c>
      <c r="G3323" s="8">
        <v>1</v>
      </c>
      <c r="H3323" s="11">
        <v>800</v>
      </c>
      <c r="I3323" s="12">
        <v>42778</v>
      </c>
      <c r="J3323" s="35">
        <f t="shared" si="244"/>
        <v>0</v>
      </c>
      <c r="K3323" s="36"/>
      <c r="L3323" s="36"/>
      <c r="M3323" s="36"/>
      <c r="N3323" s="36"/>
      <c r="O3323" s="36"/>
      <c r="P3323" s="36"/>
      <c r="Q3323" s="36"/>
      <c r="R3323" s="36"/>
      <c r="S3323" s="36"/>
      <c r="T3323" s="36"/>
      <c r="U3323" s="36"/>
      <c r="V3323" s="36"/>
      <c r="W3323" s="15">
        <f t="shared" si="245"/>
        <v>0</v>
      </c>
      <c r="X3323" s="36">
        <v>400</v>
      </c>
      <c r="Y3323" s="36">
        <v>400</v>
      </c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15">
        <f t="shared" si="246"/>
        <v>800</v>
      </c>
      <c r="AK3323" s="14"/>
      <c r="AL3323" s="14"/>
      <c r="AM3323" s="14"/>
      <c r="AN3323" s="14"/>
      <c r="AO3323" s="14"/>
      <c r="AP3323" s="14"/>
      <c r="AQ3323" s="14"/>
      <c r="AR3323" s="14"/>
      <c r="AS3323" s="14"/>
      <c r="AT3323" s="14"/>
      <c r="AU3323" s="14"/>
      <c r="AV3323" s="14"/>
      <c r="AW3323" s="15"/>
      <c r="AX3323" s="16"/>
    </row>
    <row r="3324" spans="2:50" x14ac:dyDescent="0.2">
      <c r="B3324" s="7"/>
      <c r="C3324" s="8">
        <v>13814</v>
      </c>
      <c r="D3324" s="9" t="s">
        <v>307</v>
      </c>
      <c r="E3324" s="10" t="str">
        <f t="shared" si="242"/>
        <v>Rancho Landero No. 83</v>
      </c>
      <c r="F3324" s="10" t="str">
        <f t="shared" si="243"/>
        <v>Aguilar</v>
      </c>
      <c r="G3324" s="8">
        <v>1</v>
      </c>
      <c r="H3324" s="11">
        <v>350</v>
      </c>
      <c r="I3324" s="12">
        <v>42778</v>
      </c>
      <c r="J3324" s="35">
        <f t="shared" si="244"/>
        <v>0</v>
      </c>
      <c r="K3324" s="36"/>
      <c r="L3324" s="36"/>
      <c r="M3324" s="36"/>
      <c r="N3324" s="36"/>
      <c r="O3324" s="36"/>
      <c r="P3324" s="36"/>
      <c r="Q3324" s="36"/>
      <c r="R3324" s="36"/>
      <c r="S3324" s="36"/>
      <c r="T3324" s="36"/>
      <c r="U3324" s="36"/>
      <c r="V3324" s="36"/>
      <c r="W3324" s="15">
        <f t="shared" si="245"/>
        <v>0</v>
      </c>
      <c r="X3324" s="36"/>
      <c r="Y3324" s="36">
        <v>350</v>
      </c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15">
        <f t="shared" si="246"/>
        <v>350</v>
      </c>
      <c r="AK3324" s="14"/>
      <c r="AL3324" s="14"/>
      <c r="AM3324" s="14"/>
      <c r="AN3324" s="14"/>
      <c r="AO3324" s="14"/>
      <c r="AP3324" s="14"/>
      <c r="AQ3324" s="14"/>
      <c r="AR3324" s="14"/>
      <c r="AS3324" s="14"/>
      <c r="AT3324" s="14"/>
      <c r="AU3324" s="14"/>
      <c r="AV3324" s="14"/>
      <c r="AW3324" s="15"/>
      <c r="AX3324" s="16"/>
    </row>
    <row r="3325" spans="2:50" x14ac:dyDescent="0.2">
      <c r="B3325" s="7"/>
      <c r="C3325" s="8">
        <v>13815</v>
      </c>
      <c r="D3325" s="9" t="s">
        <v>963</v>
      </c>
      <c r="E3325" s="10" t="str">
        <f t="shared" si="242"/>
        <v>Rancho La Cuchilla No. 47</v>
      </c>
      <c r="F3325" s="10" t="str">
        <f t="shared" si="243"/>
        <v>López</v>
      </c>
      <c r="G3325" s="8">
        <v>1</v>
      </c>
      <c r="H3325" s="11">
        <v>400</v>
      </c>
      <c r="I3325" s="12">
        <v>42778</v>
      </c>
      <c r="J3325" s="35">
        <f t="shared" si="244"/>
        <v>0</v>
      </c>
      <c r="K3325" s="36"/>
      <c r="L3325" s="36"/>
      <c r="M3325" s="36"/>
      <c r="N3325" s="36"/>
      <c r="O3325" s="36"/>
      <c r="P3325" s="36"/>
      <c r="Q3325" s="36"/>
      <c r="R3325" s="36"/>
      <c r="S3325" s="36"/>
      <c r="T3325" s="36"/>
      <c r="U3325" s="36"/>
      <c r="V3325" s="36"/>
      <c r="W3325" s="15">
        <f t="shared" si="245"/>
        <v>0</v>
      </c>
      <c r="X3325" s="36"/>
      <c r="Y3325" s="36">
        <v>400</v>
      </c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15">
        <f t="shared" si="246"/>
        <v>400</v>
      </c>
      <c r="AK3325" s="14"/>
      <c r="AL3325" s="14"/>
      <c r="AM3325" s="14"/>
      <c r="AN3325" s="14"/>
      <c r="AO3325" s="14"/>
      <c r="AP3325" s="14"/>
      <c r="AQ3325" s="14"/>
      <c r="AR3325" s="14"/>
      <c r="AS3325" s="14"/>
      <c r="AT3325" s="14"/>
      <c r="AU3325" s="14"/>
      <c r="AV3325" s="14"/>
      <c r="AW3325" s="15"/>
      <c r="AX3325" s="16"/>
    </row>
    <row r="3326" spans="2:50" x14ac:dyDescent="0.2">
      <c r="B3326" s="7"/>
      <c r="C3326" s="8">
        <v>13816</v>
      </c>
      <c r="D3326" s="9" t="s">
        <v>544</v>
      </c>
      <c r="E3326" s="10" t="str">
        <f t="shared" si="242"/>
        <v>Rancho Estanzuela No. 89</v>
      </c>
      <c r="F3326" s="10" t="str">
        <f t="shared" si="243"/>
        <v>Romero Ortiz</v>
      </c>
      <c r="G3326" s="8">
        <v>1</v>
      </c>
      <c r="H3326" s="11">
        <v>400</v>
      </c>
      <c r="I3326" s="12">
        <v>42778</v>
      </c>
      <c r="J3326" s="35">
        <f t="shared" si="244"/>
        <v>0</v>
      </c>
      <c r="K3326" s="36"/>
      <c r="L3326" s="36"/>
      <c r="M3326" s="36"/>
      <c r="N3326" s="36"/>
      <c r="O3326" s="36"/>
      <c r="P3326" s="36"/>
      <c r="Q3326" s="36"/>
      <c r="R3326" s="36"/>
      <c r="S3326" s="36"/>
      <c r="T3326" s="36"/>
      <c r="U3326" s="36"/>
      <c r="V3326" s="36"/>
      <c r="W3326" s="15">
        <f t="shared" si="245"/>
        <v>0</v>
      </c>
      <c r="X3326" s="36"/>
      <c r="Y3326" s="36">
        <v>400</v>
      </c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15">
        <f t="shared" si="246"/>
        <v>400</v>
      </c>
      <c r="AK3326" s="14"/>
      <c r="AL3326" s="14"/>
      <c r="AM3326" s="14"/>
      <c r="AN3326" s="14"/>
      <c r="AO3326" s="14"/>
      <c r="AP3326" s="14"/>
      <c r="AQ3326" s="14"/>
      <c r="AR3326" s="14"/>
      <c r="AS3326" s="14"/>
      <c r="AT3326" s="14"/>
      <c r="AU3326" s="14"/>
      <c r="AV3326" s="14"/>
      <c r="AW3326" s="15"/>
      <c r="AX3326" s="16"/>
    </row>
    <row r="3327" spans="2:50" x14ac:dyDescent="0.2">
      <c r="B3327" s="7"/>
      <c r="C3327" s="8">
        <v>13817</v>
      </c>
      <c r="D3327" s="9" t="s">
        <v>479</v>
      </c>
      <c r="E3327" s="10" t="str">
        <f t="shared" si="242"/>
        <v>Rancho Zinamba No. 68</v>
      </c>
      <c r="F3327" s="10" t="str">
        <f t="shared" si="243"/>
        <v>Rivera Villicaña</v>
      </c>
      <c r="G3327" s="8">
        <v>1</v>
      </c>
      <c r="H3327" s="11">
        <v>300</v>
      </c>
      <c r="I3327" s="12">
        <v>42778</v>
      </c>
      <c r="J3327" s="35">
        <f t="shared" si="244"/>
        <v>0</v>
      </c>
      <c r="K3327" s="36"/>
      <c r="L3327" s="36"/>
      <c r="M3327" s="36"/>
      <c r="N3327" s="36"/>
      <c r="O3327" s="36"/>
      <c r="P3327" s="36"/>
      <c r="Q3327" s="36"/>
      <c r="R3327" s="36"/>
      <c r="S3327" s="36"/>
      <c r="T3327" s="36"/>
      <c r="U3327" s="36"/>
      <c r="V3327" s="36"/>
      <c r="W3327" s="15">
        <f t="shared" si="245"/>
        <v>0</v>
      </c>
      <c r="X3327" s="36"/>
      <c r="Y3327" s="36">
        <v>300</v>
      </c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15">
        <f t="shared" si="246"/>
        <v>300</v>
      </c>
      <c r="AK3327" s="14"/>
      <c r="AL3327" s="14"/>
      <c r="AM3327" s="14"/>
      <c r="AN3327" s="14"/>
      <c r="AO3327" s="14"/>
      <c r="AP3327" s="14"/>
      <c r="AQ3327" s="14"/>
      <c r="AR3327" s="14"/>
      <c r="AS3327" s="14"/>
      <c r="AT3327" s="14"/>
      <c r="AU3327" s="14"/>
      <c r="AV3327" s="14"/>
      <c r="AW3327" s="15"/>
      <c r="AX3327" s="16"/>
    </row>
    <row r="3328" spans="2:50" x14ac:dyDescent="0.2">
      <c r="B3328" s="7"/>
      <c r="C3328" s="8">
        <v>13818</v>
      </c>
      <c r="D3328" s="9" t="s">
        <v>398</v>
      </c>
      <c r="E3328" s="10" t="str">
        <f t="shared" si="242"/>
        <v>Rancho Estanzuela No. 151</v>
      </c>
      <c r="F3328" s="10" t="str">
        <f t="shared" si="243"/>
        <v>Pérez Salazar</v>
      </c>
      <c r="G3328" s="8">
        <v>1</v>
      </c>
      <c r="H3328" s="11">
        <v>400</v>
      </c>
      <c r="I3328" s="12">
        <v>42778</v>
      </c>
      <c r="J3328" s="35">
        <f t="shared" si="244"/>
        <v>0</v>
      </c>
      <c r="K3328" s="36"/>
      <c r="L3328" s="36"/>
      <c r="M3328" s="36"/>
      <c r="N3328" s="36"/>
      <c r="O3328" s="36"/>
      <c r="P3328" s="36"/>
      <c r="Q3328" s="36"/>
      <c r="R3328" s="36"/>
      <c r="S3328" s="36"/>
      <c r="T3328" s="36"/>
      <c r="U3328" s="36"/>
      <c r="V3328" s="36"/>
      <c r="W3328" s="15">
        <f t="shared" si="245"/>
        <v>0</v>
      </c>
      <c r="X3328" s="36"/>
      <c r="Y3328" s="36">
        <v>400</v>
      </c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15">
        <f t="shared" si="246"/>
        <v>400</v>
      </c>
      <c r="AK3328" s="14"/>
      <c r="AL3328" s="14"/>
      <c r="AM3328" s="14"/>
      <c r="AN3328" s="14"/>
      <c r="AO3328" s="14"/>
      <c r="AP3328" s="14"/>
      <c r="AQ3328" s="14"/>
      <c r="AR3328" s="14"/>
      <c r="AS3328" s="14"/>
      <c r="AT3328" s="14"/>
      <c r="AU3328" s="14"/>
      <c r="AV3328" s="14"/>
      <c r="AW3328" s="15"/>
      <c r="AX3328" s="16"/>
    </row>
    <row r="3329" spans="2:50" x14ac:dyDescent="0.2">
      <c r="B3329" s="7"/>
      <c r="C3329" s="8">
        <v>13819</v>
      </c>
      <c r="D3329" s="9" t="s">
        <v>523</v>
      </c>
      <c r="E3329" s="10" t="str">
        <f t="shared" si="242"/>
        <v>Rancho Estanzuela No. 139</v>
      </c>
      <c r="F3329" s="10" t="str">
        <f t="shared" si="243"/>
        <v xml:space="preserve">Ortiz   </v>
      </c>
      <c r="G3329" s="8">
        <v>1</v>
      </c>
      <c r="H3329" s="11">
        <v>400</v>
      </c>
      <c r="I3329" s="12">
        <v>42778</v>
      </c>
      <c r="J3329" s="35">
        <f t="shared" si="244"/>
        <v>0</v>
      </c>
      <c r="K3329" s="36"/>
      <c r="L3329" s="36"/>
      <c r="M3329" s="36"/>
      <c r="N3329" s="36"/>
      <c r="O3329" s="36"/>
      <c r="P3329" s="36"/>
      <c r="Q3329" s="36"/>
      <c r="R3329" s="36"/>
      <c r="S3329" s="36"/>
      <c r="T3329" s="36"/>
      <c r="U3329" s="36"/>
      <c r="V3329" s="36"/>
      <c r="W3329" s="15">
        <f t="shared" si="245"/>
        <v>0</v>
      </c>
      <c r="X3329" s="36">
        <v>400</v>
      </c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15">
        <f t="shared" si="246"/>
        <v>400</v>
      </c>
      <c r="AK3329" s="14"/>
      <c r="AL3329" s="14"/>
      <c r="AM3329" s="14"/>
      <c r="AN3329" s="14"/>
      <c r="AO3329" s="14"/>
      <c r="AP3329" s="14"/>
      <c r="AQ3329" s="14"/>
      <c r="AR3329" s="14"/>
      <c r="AS3329" s="14"/>
      <c r="AT3329" s="14"/>
      <c r="AU3329" s="14"/>
      <c r="AV3329" s="14"/>
      <c r="AW3329" s="15"/>
      <c r="AX3329" s="16"/>
    </row>
    <row r="3330" spans="2:50" x14ac:dyDescent="0.2">
      <c r="B3330" s="7"/>
      <c r="C3330" s="8">
        <v>13820</v>
      </c>
      <c r="D3330" s="9" t="s">
        <v>1029</v>
      </c>
      <c r="E3330" s="10" t="str">
        <f t="shared" si="242"/>
        <v>Rancho La Cuchilla No. 134</v>
      </c>
      <c r="F3330" s="10" t="str">
        <f t="shared" si="243"/>
        <v>Moreno Sánchez</v>
      </c>
      <c r="G3330" s="8">
        <v>1</v>
      </c>
      <c r="H3330" s="11">
        <v>800</v>
      </c>
      <c r="I3330" s="12">
        <v>42778</v>
      </c>
      <c r="J3330" s="35">
        <f t="shared" si="244"/>
        <v>0</v>
      </c>
      <c r="K3330" s="36"/>
      <c r="L3330" s="36"/>
      <c r="M3330" s="36"/>
      <c r="N3330" s="36"/>
      <c r="O3330" s="36"/>
      <c r="P3330" s="36"/>
      <c r="Q3330" s="36"/>
      <c r="R3330" s="36"/>
      <c r="S3330" s="36"/>
      <c r="T3330" s="36"/>
      <c r="U3330" s="36"/>
      <c r="V3330" s="36"/>
      <c r="W3330" s="15">
        <f t="shared" si="245"/>
        <v>0</v>
      </c>
      <c r="X3330" s="36">
        <v>400</v>
      </c>
      <c r="Y3330" s="36">
        <v>400</v>
      </c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15">
        <f t="shared" si="246"/>
        <v>800</v>
      </c>
      <c r="AK3330" s="14"/>
      <c r="AL3330" s="14"/>
      <c r="AM3330" s="14"/>
      <c r="AN3330" s="14"/>
      <c r="AO3330" s="14"/>
      <c r="AP3330" s="14"/>
      <c r="AQ3330" s="14"/>
      <c r="AR3330" s="14"/>
      <c r="AS3330" s="14"/>
      <c r="AT3330" s="14"/>
      <c r="AU3330" s="14"/>
      <c r="AV3330" s="14"/>
      <c r="AW3330" s="15"/>
      <c r="AX3330" s="16"/>
    </row>
    <row r="3331" spans="2:50" x14ac:dyDescent="0.2">
      <c r="B3331" s="7"/>
      <c r="C3331" s="8">
        <v>13821</v>
      </c>
      <c r="D3331" s="9" t="s">
        <v>109</v>
      </c>
      <c r="E3331" s="10" t="str">
        <f t="shared" si="242"/>
        <v>Rancho Estanzuela No. 31</v>
      </c>
      <c r="F3331" s="10" t="str">
        <f t="shared" si="243"/>
        <v>Chávez Valdés</v>
      </c>
      <c r="G3331" s="8">
        <v>1</v>
      </c>
      <c r="H3331" s="11">
        <v>400</v>
      </c>
      <c r="I3331" s="12">
        <v>42778</v>
      </c>
      <c r="J3331" s="35">
        <f t="shared" si="244"/>
        <v>0</v>
      </c>
      <c r="K3331" s="36"/>
      <c r="L3331" s="36"/>
      <c r="M3331" s="36"/>
      <c r="N3331" s="36"/>
      <c r="O3331" s="36"/>
      <c r="P3331" s="36"/>
      <c r="Q3331" s="36"/>
      <c r="R3331" s="36"/>
      <c r="S3331" s="36"/>
      <c r="T3331" s="36"/>
      <c r="U3331" s="36"/>
      <c r="V3331" s="36"/>
      <c r="W3331" s="15">
        <f t="shared" si="245"/>
        <v>0</v>
      </c>
      <c r="X3331" s="36">
        <v>400</v>
      </c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15">
        <f t="shared" si="246"/>
        <v>400</v>
      </c>
      <c r="AK3331" s="14"/>
      <c r="AL3331" s="14"/>
      <c r="AM3331" s="14"/>
      <c r="AN3331" s="14"/>
      <c r="AO3331" s="14"/>
      <c r="AP3331" s="14"/>
      <c r="AQ3331" s="14"/>
      <c r="AR3331" s="14"/>
      <c r="AS3331" s="14"/>
      <c r="AT3331" s="14"/>
      <c r="AU3331" s="14"/>
      <c r="AV3331" s="14"/>
      <c r="AW3331" s="15"/>
      <c r="AX3331" s="16"/>
    </row>
    <row r="3332" spans="2:50" x14ac:dyDescent="0.2">
      <c r="B3332" s="7"/>
      <c r="C3332" s="8">
        <v>13822</v>
      </c>
      <c r="D3332" s="9" t="s">
        <v>301</v>
      </c>
      <c r="E3332" s="10" t="str">
        <f t="shared" si="242"/>
        <v>Rancho Upácuaro No. 51, 2</v>
      </c>
      <c r="F3332" s="10" t="str">
        <f t="shared" si="243"/>
        <v>Santoyo</v>
      </c>
      <c r="G3332" s="8">
        <v>1</v>
      </c>
      <c r="H3332" s="11">
        <v>200</v>
      </c>
      <c r="I3332" s="12">
        <v>42778</v>
      </c>
      <c r="J3332" s="35">
        <f t="shared" si="244"/>
        <v>0</v>
      </c>
      <c r="K3332" s="36"/>
      <c r="L3332" s="36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  <c r="W3332" s="15">
        <f t="shared" si="245"/>
        <v>0</v>
      </c>
      <c r="X3332" s="36"/>
      <c r="Y3332" s="36">
        <v>200</v>
      </c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15">
        <f t="shared" si="246"/>
        <v>200</v>
      </c>
      <c r="AK3332" s="14"/>
      <c r="AL3332" s="14"/>
      <c r="AM3332" s="14"/>
      <c r="AN3332" s="14"/>
      <c r="AO3332" s="14"/>
      <c r="AP3332" s="14"/>
      <c r="AQ3332" s="14"/>
      <c r="AR3332" s="14"/>
      <c r="AS3332" s="14"/>
      <c r="AT3332" s="14"/>
      <c r="AU3332" s="14"/>
      <c r="AV3332" s="14"/>
      <c r="AW3332" s="15"/>
      <c r="AX3332" s="16"/>
    </row>
    <row r="3333" spans="2:50" x14ac:dyDescent="0.2">
      <c r="B3333" s="7"/>
      <c r="C3333" s="8">
        <v>13823</v>
      </c>
      <c r="D3333" s="9" t="s">
        <v>740</v>
      </c>
      <c r="E3333" s="10" t="str">
        <f t="shared" si="242"/>
        <v>Rancho Upácuaro No. 65</v>
      </c>
      <c r="F3333" s="10" t="str">
        <f t="shared" si="243"/>
        <v>Cruz González</v>
      </c>
      <c r="G3333" s="8">
        <v>1</v>
      </c>
      <c r="H3333" s="11">
        <v>800</v>
      </c>
      <c r="I3333" s="12">
        <v>42778</v>
      </c>
      <c r="J3333" s="35">
        <f t="shared" si="244"/>
        <v>0</v>
      </c>
      <c r="K3333" s="36"/>
      <c r="L3333" s="36"/>
      <c r="M3333" s="36"/>
      <c r="N3333" s="36"/>
      <c r="O3333" s="36"/>
      <c r="P3333" s="36"/>
      <c r="Q3333" s="36"/>
      <c r="R3333" s="36"/>
      <c r="S3333" s="36"/>
      <c r="T3333" s="36"/>
      <c r="U3333" s="36"/>
      <c r="V3333" s="36"/>
      <c r="W3333" s="15">
        <f t="shared" si="245"/>
        <v>0</v>
      </c>
      <c r="X3333" s="36">
        <v>400</v>
      </c>
      <c r="Y3333" s="36">
        <v>400</v>
      </c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15">
        <f t="shared" si="246"/>
        <v>800</v>
      </c>
      <c r="AK3333" s="14"/>
      <c r="AL3333" s="14"/>
      <c r="AM3333" s="14"/>
      <c r="AN3333" s="14"/>
      <c r="AO3333" s="14"/>
      <c r="AP3333" s="14"/>
      <c r="AQ3333" s="14"/>
      <c r="AR3333" s="14"/>
      <c r="AS3333" s="14"/>
      <c r="AT3333" s="14"/>
      <c r="AU3333" s="14"/>
      <c r="AV3333" s="14"/>
      <c r="AW3333" s="15"/>
      <c r="AX3333" s="16"/>
    </row>
    <row r="3334" spans="2:50" x14ac:dyDescent="0.2">
      <c r="B3334" s="7"/>
      <c r="C3334" s="8">
        <v>13824</v>
      </c>
      <c r="D3334" s="9" t="s">
        <v>153</v>
      </c>
      <c r="E3334" s="10" t="str">
        <f t="shared" si="242"/>
        <v>Rancho La Cuchilla No. 92</v>
      </c>
      <c r="F3334" s="10" t="str">
        <f t="shared" si="243"/>
        <v>Cabrera</v>
      </c>
      <c r="G3334" s="8">
        <v>1</v>
      </c>
      <c r="H3334" s="11">
        <v>400</v>
      </c>
      <c r="I3334" s="12">
        <v>42778</v>
      </c>
      <c r="J3334" s="35">
        <f t="shared" si="244"/>
        <v>0</v>
      </c>
      <c r="K3334" s="36"/>
      <c r="L3334" s="36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  <c r="W3334" s="15">
        <f t="shared" si="245"/>
        <v>0</v>
      </c>
      <c r="X3334" s="36"/>
      <c r="Y3334" s="36">
        <v>400</v>
      </c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15">
        <f t="shared" si="246"/>
        <v>400</v>
      </c>
      <c r="AK3334" s="14"/>
      <c r="AL3334" s="14"/>
      <c r="AM3334" s="14"/>
      <c r="AN3334" s="14"/>
      <c r="AO3334" s="14"/>
      <c r="AP3334" s="14"/>
      <c r="AQ3334" s="14"/>
      <c r="AR3334" s="14"/>
      <c r="AS3334" s="14"/>
      <c r="AT3334" s="14"/>
      <c r="AU3334" s="14"/>
      <c r="AV3334" s="14"/>
      <c r="AW3334" s="15"/>
      <c r="AX3334" s="16"/>
    </row>
    <row r="3335" spans="2:50" x14ac:dyDescent="0.2">
      <c r="B3335" s="7"/>
      <c r="C3335" s="8">
        <v>13825</v>
      </c>
      <c r="D3335" s="9" t="s">
        <v>716</v>
      </c>
      <c r="E3335" s="10" t="str">
        <f t="shared" si="242"/>
        <v>Rancho Landero No. 20</v>
      </c>
      <c r="F3335" s="10" t="str">
        <f t="shared" si="243"/>
        <v>Velasco</v>
      </c>
      <c r="G3335" s="8">
        <v>1</v>
      </c>
      <c r="H3335" s="11">
        <v>300</v>
      </c>
      <c r="I3335" s="12">
        <v>42778</v>
      </c>
      <c r="J3335" s="35">
        <f t="shared" si="244"/>
        <v>0</v>
      </c>
      <c r="K3335" s="36"/>
      <c r="L3335" s="36"/>
      <c r="M3335" s="36"/>
      <c r="N3335" s="36"/>
      <c r="O3335" s="36"/>
      <c r="P3335" s="36"/>
      <c r="Q3335" s="36"/>
      <c r="R3335" s="36"/>
      <c r="S3335" s="36"/>
      <c r="T3335" s="36"/>
      <c r="U3335" s="36"/>
      <c r="V3335" s="36"/>
      <c r="W3335" s="15">
        <f t="shared" si="245"/>
        <v>0</v>
      </c>
      <c r="X3335" s="36"/>
      <c r="Y3335" s="36">
        <v>300</v>
      </c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15">
        <f t="shared" si="246"/>
        <v>300</v>
      </c>
      <c r="AK3335" s="14"/>
      <c r="AL3335" s="14"/>
      <c r="AM3335" s="14"/>
      <c r="AN3335" s="14"/>
      <c r="AO3335" s="14"/>
      <c r="AP3335" s="14"/>
      <c r="AQ3335" s="14"/>
      <c r="AR3335" s="14"/>
      <c r="AS3335" s="14"/>
      <c r="AT3335" s="14"/>
      <c r="AU3335" s="14"/>
      <c r="AV3335" s="14"/>
      <c r="AW3335" s="15"/>
      <c r="AX3335" s="16"/>
    </row>
    <row r="3336" spans="2:50" x14ac:dyDescent="0.2">
      <c r="B3336" s="7"/>
      <c r="C3336" s="8">
        <v>13826</v>
      </c>
      <c r="D3336" s="9" t="s">
        <v>696</v>
      </c>
      <c r="E3336" s="10" t="str">
        <f t="shared" si="242"/>
        <v>Rancho Upácuaro No. 64</v>
      </c>
      <c r="F3336" s="10" t="str">
        <f t="shared" si="243"/>
        <v>Méndez Oliva</v>
      </c>
      <c r="G3336" s="8">
        <v>1</v>
      </c>
      <c r="H3336" s="11">
        <v>300</v>
      </c>
      <c r="I3336" s="12">
        <v>42778</v>
      </c>
      <c r="J3336" s="35">
        <f t="shared" si="244"/>
        <v>0</v>
      </c>
      <c r="K3336" s="36"/>
      <c r="L3336" s="36"/>
      <c r="M3336" s="36"/>
      <c r="N3336" s="36"/>
      <c r="O3336" s="36"/>
      <c r="P3336" s="36"/>
      <c r="Q3336" s="36"/>
      <c r="R3336" s="36"/>
      <c r="S3336" s="36"/>
      <c r="T3336" s="36"/>
      <c r="U3336" s="36"/>
      <c r="V3336" s="36"/>
      <c r="W3336" s="15">
        <f t="shared" si="245"/>
        <v>0</v>
      </c>
      <c r="X3336" s="36"/>
      <c r="Y3336" s="36">
        <v>300</v>
      </c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15">
        <f t="shared" si="246"/>
        <v>300</v>
      </c>
      <c r="AK3336" s="14"/>
      <c r="AL3336" s="14"/>
      <c r="AM3336" s="14"/>
      <c r="AN3336" s="14"/>
      <c r="AO3336" s="14"/>
      <c r="AP3336" s="14"/>
      <c r="AQ3336" s="14"/>
      <c r="AR3336" s="14"/>
      <c r="AS3336" s="14"/>
      <c r="AT3336" s="14"/>
      <c r="AU3336" s="14"/>
      <c r="AV3336" s="14"/>
      <c r="AW3336" s="15"/>
      <c r="AX3336" s="16"/>
    </row>
    <row r="3337" spans="2:50" x14ac:dyDescent="0.2">
      <c r="B3337" s="7"/>
      <c r="C3337" s="8">
        <v>13827</v>
      </c>
      <c r="D3337" s="9" t="s">
        <v>384</v>
      </c>
      <c r="E3337" s="10" t="str">
        <f t="shared" si="242"/>
        <v>Rancho Zinamba No. 88</v>
      </c>
      <c r="F3337" s="10" t="str">
        <f t="shared" si="243"/>
        <v>Martínez</v>
      </c>
      <c r="G3337" s="8">
        <v>1</v>
      </c>
      <c r="H3337" s="11">
        <v>600</v>
      </c>
      <c r="I3337" s="12">
        <v>42778</v>
      </c>
      <c r="J3337" s="35">
        <f t="shared" si="244"/>
        <v>0</v>
      </c>
      <c r="K3337" s="36"/>
      <c r="L3337" s="36"/>
      <c r="M3337" s="36"/>
      <c r="N3337" s="36"/>
      <c r="O3337" s="36"/>
      <c r="P3337" s="36"/>
      <c r="Q3337" s="36"/>
      <c r="R3337" s="36"/>
      <c r="S3337" s="36"/>
      <c r="T3337" s="36"/>
      <c r="U3337" s="36"/>
      <c r="V3337" s="36"/>
      <c r="W3337" s="15">
        <f t="shared" si="245"/>
        <v>0</v>
      </c>
      <c r="X3337" s="36">
        <v>300</v>
      </c>
      <c r="Y3337" s="36">
        <v>300</v>
      </c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15">
        <f t="shared" si="246"/>
        <v>600</v>
      </c>
      <c r="AK3337" s="14"/>
      <c r="AL3337" s="14"/>
      <c r="AM3337" s="14"/>
      <c r="AN3337" s="14"/>
      <c r="AO3337" s="14"/>
      <c r="AP3337" s="14"/>
      <c r="AQ3337" s="14"/>
      <c r="AR3337" s="14"/>
      <c r="AS3337" s="14"/>
      <c r="AT3337" s="14"/>
      <c r="AU3337" s="14"/>
      <c r="AV3337" s="14"/>
      <c r="AW3337" s="15"/>
      <c r="AX3337" s="16"/>
    </row>
    <row r="3338" spans="2:50" x14ac:dyDescent="0.2">
      <c r="B3338" s="7"/>
      <c r="C3338" s="8">
        <v>13828</v>
      </c>
      <c r="D3338" s="9" t="s">
        <v>1299</v>
      </c>
      <c r="E3338" s="10" t="str">
        <f t="shared" si="242"/>
        <v>Rancho La Cuchilla No. 107</v>
      </c>
      <c r="F3338" s="10" t="str">
        <f t="shared" si="243"/>
        <v>Quiñones, Eduardo</v>
      </c>
      <c r="G3338" s="8">
        <v>1</v>
      </c>
      <c r="H3338" s="11">
        <v>400</v>
      </c>
      <c r="I3338" s="12">
        <v>42778</v>
      </c>
      <c r="J3338" s="35">
        <f t="shared" si="244"/>
        <v>0</v>
      </c>
      <c r="K3338" s="36"/>
      <c r="L3338" s="36"/>
      <c r="M3338" s="36"/>
      <c r="N3338" s="36"/>
      <c r="O3338" s="36"/>
      <c r="P3338" s="36"/>
      <c r="Q3338" s="36"/>
      <c r="R3338" s="36"/>
      <c r="S3338" s="36"/>
      <c r="T3338" s="36"/>
      <c r="U3338" s="36"/>
      <c r="V3338" s="36"/>
      <c r="W3338" s="15">
        <f t="shared" si="245"/>
        <v>0</v>
      </c>
      <c r="X3338" s="36"/>
      <c r="Y3338" s="36">
        <v>400</v>
      </c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15">
        <f t="shared" si="246"/>
        <v>400</v>
      </c>
      <c r="AK3338" s="14"/>
      <c r="AL3338" s="14"/>
      <c r="AM3338" s="14"/>
      <c r="AN3338" s="14"/>
      <c r="AO3338" s="14"/>
      <c r="AP3338" s="14"/>
      <c r="AQ3338" s="14"/>
      <c r="AR3338" s="14"/>
      <c r="AS3338" s="14"/>
      <c r="AT3338" s="14"/>
      <c r="AU3338" s="14"/>
      <c r="AV3338" s="14"/>
      <c r="AW3338" s="15"/>
      <c r="AX3338" s="16"/>
    </row>
    <row r="3339" spans="2:50" x14ac:dyDescent="0.2">
      <c r="B3339" s="7"/>
      <c r="C3339" s="8">
        <v>13829</v>
      </c>
      <c r="D3339" s="9" t="s">
        <v>625</v>
      </c>
      <c r="E3339" s="10" t="str">
        <f t="shared" si="242"/>
        <v>Rancho Upácuaro No. 60</v>
      </c>
      <c r="F3339" s="10" t="str">
        <f t="shared" si="243"/>
        <v>Zavala</v>
      </c>
      <c r="G3339" s="8">
        <v>1</v>
      </c>
      <c r="H3339" s="11">
        <v>1000</v>
      </c>
      <c r="I3339" s="12">
        <v>42778</v>
      </c>
      <c r="J3339" s="35">
        <f t="shared" si="244"/>
        <v>0</v>
      </c>
      <c r="K3339" s="36"/>
      <c r="L3339" s="36"/>
      <c r="M3339" s="36"/>
      <c r="N3339" s="36"/>
      <c r="O3339" s="36"/>
      <c r="P3339" s="36"/>
      <c r="Q3339" s="36"/>
      <c r="R3339" s="36"/>
      <c r="S3339" s="36"/>
      <c r="T3339" s="36"/>
      <c r="U3339" s="36"/>
      <c r="V3339" s="36">
        <v>200</v>
      </c>
      <c r="W3339" s="15">
        <f t="shared" si="245"/>
        <v>200</v>
      </c>
      <c r="X3339" s="36">
        <v>400</v>
      </c>
      <c r="Y3339" s="36">
        <v>400</v>
      </c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15">
        <f t="shared" si="246"/>
        <v>800</v>
      </c>
      <c r="AK3339" s="14"/>
      <c r="AL3339" s="14"/>
      <c r="AM3339" s="14"/>
      <c r="AN3339" s="14"/>
      <c r="AO3339" s="14"/>
      <c r="AP3339" s="14"/>
      <c r="AQ3339" s="14"/>
      <c r="AR3339" s="14"/>
      <c r="AS3339" s="14"/>
      <c r="AT3339" s="14"/>
      <c r="AU3339" s="14"/>
      <c r="AV3339" s="14"/>
      <c r="AW3339" s="15"/>
      <c r="AX3339" s="16"/>
    </row>
    <row r="3340" spans="2:50" x14ac:dyDescent="0.2">
      <c r="B3340" s="7"/>
      <c r="C3340" s="8">
        <v>13830</v>
      </c>
      <c r="D3340" s="9" t="s">
        <v>434</v>
      </c>
      <c r="E3340" s="10" t="str">
        <f t="shared" si="242"/>
        <v>Rancho La Cuchilla No. 55</v>
      </c>
      <c r="F3340" s="10" t="str">
        <f t="shared" si="243"/>
        <v>López Velázquez</v>
      </c>
      <c r="G3340" s="8">
        <v>1</v>
      </c>
      <c r="H3340" s="11">
        <v>400</v>
      </c>
      <c r="I3340" s="12">
        <v>42778</v>
      </c>
      <c r="J3340" s="35">
        <f t="shared" si="244"/>
        <v>0</v>
      </c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15">
        <f t="shared" si="245"/>
        <v>0</v>
      </c>
      <c r="X3340" s="36">
        <v>400</v>
      </c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15">
        <f t="shared" si="246"/>
        <v>400</v>
      </c>
      <c r="AK3340" s="14"/>
      <c r="AL3340" s="14"/>
      <c r="AM3340" s="14"/>
      <c r="AN3340" s="14"/>
      <c r="AO3340" s="14"/>
      <c r="AP3340" s="14"/>
      <c r="AQ3340" s="14"/>
      <c r="AR3340" s="14"/>
      <c r="AS3340" s="14"/>
      <c r="AT3340" s="14"/>
      <c r="AU3340" s="14"/>
      <c r="AV3340" s="14"/>
      <c r="AW3340" s="15"/>
      <c r="AX3340" s="16"/>
    </row>
    <row r="3341" spans="2:50" x14ac:dyDescent="0.2">
      <c r="B3341" s="7" t="s">
        <v>3523</v>
      </c>
      <c r="C3341" s="8">
        <v>13831</v>
      </c>
      <c r="D3341" s="9" t="s">
        <v>571</v>
      </c>
      <c r="E3341" s="10" t="str">
        <f t="shared" si="242"/>
        <v>Rancho Estanzuela No. 15, A</v>
      </c>
      <c r="F3341" s="10" t="str">
        <f t="shared" si="243"/>
        <v>González</v>
      </c>
      <c r="G3341" s="8"/>
      <c r="H3341" s="11"/>
      <c r="I3341" s="12"/>
      <c r="J3341" s="35">
        <f t="shared" si="244"/>
        <v>0</v>
      </c>
      <c r="K3341" s="36"/>
      <c r="L3341" s="36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  <c r="W3341" s="15">
        <f t="shared" si="245"/>
        <v>0</v>
      </c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15">
        <f t="shared" si="246"/>
        <v>0</v>
      </c>
      <c r="AK3341" s="14"/>
      <c r="AL3341" s="14"/>
      <c r="AM3341" s="14"/>
      <c r="AN3341" s="14"/>
      <c r="AO3341" s="14"/>
      <c r="AP3341" s="14"/>
      <c r="AQ3341" s="14"/>
      <c r="AR3341" s="14"/>
      <c r="AS3341" s="14"/>
      <c r="AT3341" s="14"/>
      <c r="AU3341" s="14"/>
      <c r="AV3341" s="14"/>
      <c r="AW3341" s="15"/>
      <c r="AX3341" s="16"/>
    </row>
    <row r="3342" spans="2:50" x14ac:dyDescent="0.2">
      <c r="B3342" s="7"/>
      <c r="C3342" s="8">
        <v>13832</v>
      </c>
      <c r="D3342" s="9" t="s">
        <v>571</v>
      </c>
      <c r="E3342" s="10" t="str">
        <f t="shared" ref="E3342:E3375" si="247">IF(D3342=0,"",VLOOKUP(D3342,BASE,2,FALSE))</f>
        <v>Rancho Estanzuela No. 15, A</v>
      </c>
      <c r="F3342" s="10" t="str">
        <f t="shared" ref="F3342:F3375" si="248">IF(D3342=0,"",VLOOKUP(D3342,BASE,3,FALSE))</f>
        <v>González</v>
      </c>
      <c r="G3342" s="8">
        <v>4</v>
      </c>
      <c r="H3342" s="11">
        <v>200</v>
      </c>
      <c r="I3342" s="12">
        <v>42778</v>
      </c>
      <c r="J3342" s="35">
        <f t="shared" ref="J3342:J3375" si="249">IF(G3342=1,SUM(W3342,AJ3342,-H3342),0)</f>
        <v>0</v>
      </c>
      <c r="K3342" s="36"/>
      <c r="L3342" s="36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  <c r="W3342" s="15">
        <f t="shared" ref="W3342:W3375" si="250">SUM(K3342:V3342)</f>
        <v>0</v>
      </c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15">
        <f t="shared" ref="AJ3342:AJ3375" si="251">SUM(X3342:AI3342)</f>
        <v>0</v>
      </c>
      <c r="AK3342" s="14"/>
      <c r="AL3342" s="14"/>
      <c r="AM3342" s="14"/>
      <c r="AN3342" s="14"/>
      <c r="AO3342" s="14"/>
      <c r="AP3342" s="14"/>
      <c r="AQ3342" s="14"/>
      <c r="AR3342" s="14"/>
      <c r="AS3342" s="14"/>
      <c r="AT3342" s="14"/>
      <c r="AU3342" s="14"/>
      <c r="AV3342" s="14"/>
      <c r="AW3342" s="15"/>
      <c r="AX3342" s="16" t="s">
        <v>3525</v>
      </c>
    </row>
    <row r="3343" spans="2:50" x14ac:dyDescent="0.2">
      <c r="B3343" s="7"/>
      <c r="C3343" s="8">
        <v>13833</v>
      </c>
      <c r="D3343" s="9" t="s">
        <v>458</v>
      </c>
      <c r="E3343" s="10" t="str">
        <f t="shared" si="247"/>
        <v>Rancho Estanzuela No. 143, B</v>
      </c>
      <c r="F3343" s="10" t="str">
        <f t="shared" si="248"/>
        <v>López</v>
      </c>
      <c r="G3343" s="8">
        <v>1</v>
      </c>
      <c r="H3343" s="11">
        <v>400</v>
      </c>
      <c r="I3343" s="12">
        <v>42778</v>
      </c>
      <c r="J3343" s="35">
        <f t="shared" si="249"/>
        <v>0</v>
      </c>
      <c r="K3343" s="36"/>
      <c r="L3343" s="36"/>
      <c r="M3343" s="36"/>
      <c r="N3343" s="36"/>
      <c r="O3343" s="36"/>
      <c r="P3343" s="36"/>
      <c r="Q3343" s="36"/>
      <c r="R3343" s="36"/>
      <c r="S3343" s="36"/>
      <c r="T3343" s="36"/>
      <c r="U3343" s="36"/>
      <c r="V3343" s="36"/>
      <c r="W3343" s="15">
        <f t="shared" si="250"/>
        <v>0</v>
      </c>
      <c r="X3343" s="36"/>
      <c r="Y3343" s="36">
        <v>400</v>
      </c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15">
        <f t="shared" si="251"/>
        <v>400</v>
      </c>
      <c r="AK3343" s="14"/>
      <c r="AL3343" s="14"/>
      <c r="AM3343" s="14"/>
      <c r="AN3343" s="14"/>
      <c r="AO3343" s="14"/>
      <c r="AP3343" s="14"/>
      <c r="AQ3343" s="14"/>
      <c r="AR3343" s="14"/>
      <c r="AS3343" s="14"/>
      <c r="AT3343" s="14"/>
      <c r="AU3343" s="14"/>
      <c r="AV3343" s="14"/>
      <c r="AW3343" s="15"/>
      <c r="AX3343" s="16"/>
    </row>
    <row r="3344" spans="2:50" x14ac:dyDescent="0.2">
      <c r="B3344" s="7"/>
      <c r="C3344" s="8">
        <v>13834</v>
      </c>
      <c r="D3344" s="9" t="s">
        <v>395</v>
      </c>
      <c r="E3344" s="10" t="str">
        <f t="shared" si="247"/>
        <v>Rancho Landero No. 7</v>
      </c>
      <c r="F3344" s="10" t="str">
        <f t="shared" si="248"/>
        <v>Robles</v>
      </c>
      <c r="G3344" s="8">
        <v>1</v>
      </c>
      <c r="H3344" s="11">
        <v>200</v>
      </c>
      <c r="I3344" s="12">
        <v>42778</v>
      </c>
      <c r="J3344" s="35">
        <f t="shared" si="249"/>
        <v>0</v>
      </c>
      <c r="K3344" s="36"/>
      <c r="L3344" s="36"/>
      <c r="M3344" s="36"/>
      <c r="N3344" s="36"/>
      <c r="O3344" s="36"/>
      <c r="P3344" s="36"/>
      <c r="Q3344" s="36"/>
      <c r="R3344" s="36"/>
      <c r="S3344" s="36"/>
      <c r="T3344" s="36"/>
      <c r="U3344" s="36"/>
      <c r="V3344" s="36"/>
      <c r="W3344" s="15">
        <f t="shared" si="250"/>
        <v>0</v>
      </c>
      <c r="X3344" s="36"/>
      <c r="Y3344" s="36">
        <v>200</v>
      </c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15">
        <f t="shared" si="251"/>
        <v>200</v>
      </c>
      <c r="AK3344" s="14"/>
      <c r="AL3344" s="14"/>
      <c r="AM3344" s="14"/>
      <c r="AN3344" s="14"/>
      <c r="AO3344" s="14"/>
      <c r="AP3344" s="14"/>
      <c r="AQ3344" s="14"/>
      <c r="AR3344" s="14"/>
      <c r="AS3344" s="14"/>
      <c r="AT3344" s="14"/>
      <c r="AU3344" s="14"/>
      <c r="AV3344" s="14"/>
      <c r="AW3344" s="15"/>
      <c r="AX3344" s="16"/>
    </row>
    <row r="3345" spans="2:50" x14ac:dyDescent="0.2">
      <c r="B3345" s="7"/>
      <c r="C3345" s="8">
        <v>13835</v>
      </c>
      <c r="D3345" s="9" t="s">
        <v>407</v>
      </c>
      <c r="E3345" s="10" t="str">
        <f t="shared" si="247"/>
        <v>Rancho Estanzuela No. 99</v>
      </c>
      <c r="F3345" s="10" t="str">
        <f t="shared" si="248"/>
        <v>García López</v>
      </c>
      <c r="G3345" s="8">
        <v>1</v>
      </c>
      <c r="H3345" s="11">
        <v>400</v>
      </c>
      <c r="I3345" s="12">
        <v>42778</v>
      </c>
      <c r="J3345" s="35">
        <f t="shared" si="249"/>
        <v>0</v>
      </c>
      <c r="K3345" s="36"/>
      <c r="L3345" s="36"/>
      <c r="M3345" s="36"/>
      <c r="N3345" s="36"/>
      <c r="O3345" s="36"/>
      <c r="P3345" s="36"/>
      <c r="Q3345" s="36"/>
      <c r="R3345" s="36"/>
      <c r="S3345" s="36"/>
      <c r="T3345" s="36"/>
      <c r="U3345" s="36"/>
      <c r="V3345" s="36"/>
      <c r="W3345" s="15">
        <f t="shared" si="250"/>
        <v>0</v>
      </c>
      <c r="X3345" s="36"/>
      <c r="Y3345" s="36">
        <v>400</v>
      </c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15">
        <f t="shared" si="251"/>
        <v>400</v>
      </c>
      <c r="AK3345" s="14"/>
      <c r="AL3345" s="14"/>
      <c r="AM3345" s="14"/>
      <c r="AN3345" s="14"/>
      <c r="AO3345" s="14"/>
      <c r="AP3345" s="14"/>
      <c r="AQ3345" s="14"/>
      <c r="AR3345" s="14"/>
      <c r="AS3345" s="14"/>
      <c r="AT3345" s="14"/>
      <c r="AU3345" s="14"/>
      <c r="AV3345" s="14"/>
      <c r="AW3345" s="15"/>
      <c r="AX3345" s="16"/>
    </row>
    <row r="3346" spans="2:50" x14ac:dyDescent="0.2">
      <c r="B3346" s="7"/>
      <c r="C3346" s="8">
        <v>13836</v>
      </c>
      <c r="D3346" s="9" t="s">
        <v>681</v>
      </c>
      <c r="E3346" s="10" t="str">
        <f t="shared" si="247"/>
        <v>Rancho Landero No. 87</v>
      </c>
      <c r="F3346" s="10" t="str">
        <f t="shared" si="248"/>
        <v>Fey Lafferla</v>
      </c>
      <c r="G3346" s="8">
        <v>1</v>
      </c>
      <c r="H3346" s="11">
        <v>600</v>
      </c>
      <c r="I3346" s="12">
        <v>42778</v>
      </c>
      <c r="J3346" s="35">
        <f t="shared" si="249"/>
        <v>0</v>
      </c>
      <c r="K3346" s="36"/>
      <c r="L3346" s="36"/>
      <c r="M3346" s="36"/>
      <c r="N3346" s="36"/>
      <c r="O3346" s="36"/>
      <c r="P3346" s="36"/>
      <c r="Q3346" s="36"/>
      <c r="R3346" s="36"/>
      <c r="S3346" s="36"/>
      <c r="T3346" s="36"/>
      <c r="U3346" s="36"/>
      <c r="V3346" s="36"/>
      <c r="W3346" s="15">
        <f t="shared" si="250"/>
        <v>0</v>
      </c>
      <c r="X3346" s="36">
        <v>300</v>
      </c>
      <c r="Y3346" s="36">
        <v>300</v>
      </c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15">
        <f t="shared" si="251"/>
        <v>600</v>
      </c>
      <c r="AK3346" s="14"/>
      <c r="AL3346" s="14"/>
      <c r="AM3346" s="14"/>
      <c r="AN3346" s="14"/>
      <c r="AO3346" s="14"/>
      <c r="AP3346" s="14"/>
      <c r="AQ3346" s="14"/>
      <c r="AR3346" s="14"/>
      <c r="AS3346" s="14"/>
      <c r="AT3346" s="14"/>
      <c r="AU3346" s="14"/>
      <c r="AV3346" s="14"/>
      <c r="AW3346" s="15"/>
      <c r="AX3346" s="16"/>
    </row>
    <row r="3347" spans="2:50" x14ac:dyDescent="0.2">
      <c r="B3347" s="7"/>
      <c r="C3347" s="8">
        <v>13837</v>
      </c>
      <c r="D3347" s="9" t="s">
        <v>141</v>
      </c>
      <c r="E3347" s="10" t="str">
        <f t="shared" si="247"/>
        <v>Rancho Estanzuela No. 91</v>
      </c>
      <c r="F3347" s="10" t="str">
        <f t="shared" si="248"/>
        <v>Lobato Hernàndez</v>
      </c>
      <c r="G3347" s="8">
        <v>1</v>
      </c>
      <c r="H3347" s="11">
        <v>1200</v>
      </c>
      <c r="I3347" s="12">
        <v>42778</v>
      </c>
      <c r="J3347" s="35">
        <f t="shared" si="249"/>
        <v>0</v>
      </c>
      <c r="K3347" s="36"/>
      <c r="L3347" s="36"/>
      <c r="M3347" s="36"/>
      <c r="N3347" s="36"/>
      <c r="O3347" s="36"/>
      <c r="P3347" s="36"/>
      <c r="Q3347" s="36"/>
      <c r="R3347" s="36"/>
      <c r="S3347" s="36"/>
      <c r="T3347" s="36"/>
      <c r="U3347" s="36"/>
      <c r="V3347" s="36"/>
      <c r="W3347" s="15">
        <f t="shared" si="250"/>
        <v>0</v>
      </c>
      <c r="X3347" s="36">
        <v>400</v>
      </c>
      <c r="Y3347" s="36">
        <v>400</v>
      </c>
      <c r="Z3347" s="36">
        <v>400</v>
      </c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15">
        <f t="shared" si="251"/>
        <v>1200</v>
      </c>
      <c r="AK3347" s="14"/>
      <c r="AL3347" s="14"/>
      <c r="AM3347" s="14"/>
      <c r="AN3347" s="14"/>
      <c r="AO3347" s="14"/>
      <c r="AP3347" s="14"/>
      <c r="AQ3347" s="14"/>
      <c r="AR3347" s="14"/>
      <c r="AS3347" s="14"/>
      <c r="AT3347" s="14"/>
      <c r="AU3347" s="14"/>
      <c r="AV3347" s="14"/>
      <c r="AW3347" s="15"/>
      <c r="AX3347" s="16"/>
    </row>
    <row r="3348" spans="2:50" x14ac:dyDescent="0.2">
      <c r="B3348" s="7"/>
      <c r="C3348" s="8">
        <v>13838</v>
      </c>
      <c r="D3348" s="9" t="s">
        <v>168</v>
      </c>
      <c r="E3348" s="10" t="str">
        <f t="shared" si="247"/>
        <v>Rancho Upácuaro No. 73, A</v>
      </c>
      <c r="F3348" s="10" t="str">
        <f t="shared" si="248"/>
        <v>Ortega</v>
      </c>
      <c r="G3348" s="8">
        <v>1</v>
      </c>
      <c r="H3348" s="11">
        <v>200</v>
      </c>
      <c r="I3348" s="12">
        <v>42778</v>
      </c>
      <c r="J3348" s="35">
        <f t="shared" si="249"/>
        <v>0</v>
      </c>
      <c r="K3348" s="36"/>
      <c r="L3348" s="36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  <c r="W3348" s="15">
        <f t="shared" si="250"/>
        <v>0</v>
      </c>
      <c r="X3348" s="36">
        <v>200</v>
      </c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15">
        <f t="shared" si="251"/>
        <v>200</v>
      </c>
      <c r="AK3348" s="14"/>
      <c r="AL3348" s="14"/>
      <c r="AM3348" s="14"/>
      <c r="AN3348" s="14"/>
      <c r="AO3348" s="14"/>
      <c r="AP3348" s="14"/>
      <c r="AQ3348" s="14"/>
      <c r="AR3348" s="14"/>
      <c r="AS3348" s="14"/>
      <c r="AT3348" s="14"/>
      <c r="AU3348" s="14"/>
      <c r="AV3348" s="14"/>
      <c r="AW3348" s="15"/>
      <c r="AX3348" s="16"/>
    </row>
    <row r="3349" spans="2:50" x14ac:dyDescent="0.2">
      <c r="B3349" s="7"/>
      <c r="C3349" s="8">
        <v>13839</v>
      </c>
      <c r="D3349" s="9" t="s">
        <v>168</v>
      </c>
      <c r="E3349" s="10" t="str">
        <f t="shared" si="247"/>
        <v>Rancho Upácuaro No. 73, A</v>
      </c>
      <c r="F3349" s="10" t="str">
        <f t="shared" si="248"/>
        <v>Ortega</v>
      </c>
      <c r="G3349" s="8">
        <v>3</v>
      </c>
      <c r="H3349" s="11">
        <v>160</v>
      </c>
      <c r="I3349" s="12">
        <v>42778</v>
      </c>
      <c r="J3349" s="35">
        <f t="shared" si="249"/>
        <v>0</v>
      </c>
      <c r="K3349" s="36"/>
      <c r="L3349" s="36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  <c r="W3349" s="15">
        <f t="shared" si="250"/>
        <v>0</v>
      </c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15">
        <f t="shared" si="251"/>
        <v>0</v>
      </c>
      <c r="AK3349" s="14"/>
      <c r="AL3349" s="14"/>
      <c r="AM3349" s="14"/>
      <c r="AN3349" s="14"/>
      <c r="AO3349" s="14"/>
      <c r="AP3349" s="14"/>
      <c r="AQ3349" s="14"/>
      <c r="AR3349" s="14"/>
      <c r="AS3349" s="14"/>
      <c r="AT3349" s="14"/>
      <c r="AU3349" s="14"/>
      <c r="AV3349" s="14"/>
      <c r="AW3349" s="15"/>
      <c r="AX3349" s="16"/>
    </row>
    <row r="3350" spans="2:50" x14ac:dyDescent="0.2">
      <c r="B3350" s="7"/>
      <c r="C3350" s="8">
        <v>13840</v>
      </c>
      <c r="D3350" s="9" t="s">
        <v>192</v>
      </c>
      <c r="E3350" s="10" t="str">
        <f t="shared" si="247"/>
        <v>Rancho Landero No. 77</v>
      </c>
      <c r="F3350" s="10" t="str">
        <f t="shared" si="248"/>
        <v>Muñoz</v>
      </c>
      <c r="G3350" s="8">
        <v>1</v>
      </c>
      <c r="H3350" s="11">
        <v>800</v>
      </c>
      <c r="I3350" s="12">
        <v>42778</v>
      </c>
      <c r="J3350" s="35">
        <f t="shared" si="249"/>
        <v>0</v>
      </c>
      <c r="K3350" s="36"/>
      <c r="L3350" s="36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  <c r="W3350" s="15">
        <f t="shared" si="250"/>
        <v>0</v>
      </c>
      <c r="X3350" s="36">
        <v>400</v>
      </c>
      <c r="Y3350" s="36">
        <v>400</v>
      </c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15">
        <f t="shared" si="251"/>
        <v>800</v>
      </c>
      <c r="AK3350" s="14"/>
      <c r="AL3350" s="14"/>
      <c r="AM3350" s="14"/>
      <c r="AN3350" s="14"/>
      <c r="AO3350" s="14"/>
      <c r="AP3350" s="14"/>
      <c r="AQ3350" s="14"/>
      <c r="AR3350" s="14"/>
      <c r="AS3350" s="14"/>
      <c r="AT3350" s="14"/>
      <c r="AU3350" s="14"/>
      <c r="AV3350" s="14"/>
      <c r="AW3350" s="15"/>
      <c r="AX3350" s="16"/>
    </row>
    <row r="3351" spans="2:50" x14ac:dyDescent="0.2">
      <c r="B3351" s="7"/>
      <c r="C3351" s="8">
        <v>13841</v>
      </c>
      <c r="D3351" s="9" t="s">
        <v>174</v>
      </c>
      <c r="E3351" s="10" t="str">
        <f t="shared" si="247"/>
        <v>Rancho Upácuaro No. 18</v>
      </c>
      <c r="F3351" s="10" t="str">
        <f t="shared" si="248"/>
        <v>Guzmán</v>
      </c>
      <c r="G3351" s="8">
        <v>1</v>
      </c>
      <c r="H3351" s="11">
        <v>300</v>
      </c>
      <c r="I3351" s="12">
        <v>42778</v>
      </c>
      <c r="J3351" s="35">
        <f t="shared" si="249"/>
        <v>0</v>
      </c>
      <c r="K3351" s="36"/>
      <c r="L3351" s="36"/>
      <c r="M3351" s="36"/>
      <c r="N3351" s="36"/>
      <c r="O3351" s="36"/>
      <c r="P3351" s="36"/>
      <c r="Q3351" s="36"/>
      <c r="R3351" s="36"/>
      <c r="S3351" s="36"/>
      <c r="T3351" s="36"/>
      <c r="U3351" s="36"/>
      <c r="V3351" s="36"/>
      <c r="W3351" s="15">
        <f t="shared" si="250"/>
        <v>0</v>
      </c>
      <c r="X3351" s="36"/>
      <c r="Y3351" s="36">
        <v>300</v>
      </c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15">
        <f t="shared" si="251"/>
        <v>300</v>
      </c>
      <c r="AK3351" s="14"/>
      <c r="AL3351" s="14"/>
      <c r="AM3351" s="14"/>
      <c r="AN3351" s="14"/>
      <c r="AO3351" s="14"/>
      <c r="AP3351" s="14"/>
      <c r="AQ3351" s="14"/>
      <c r="AR3351" s="14"/>
      <c r="AS3351" s="14"/>
      <c r="AT3351" s="14"/>
      <c r="AU3351" s="14"/>
      <c r="AV3351" s="14"/>
      <c r="AW3351" s="15"/>
      <c r="AX3351" s="16"/>
    </row>
    <row r="3352" spans="2:50" x14ac:dyDescent="0.2">
      <c r="B3352" s="7"/>
      <c r="C3352" s="8">
        <v>13842</v>
      </c>
      <c r="D3352" s="9" t="s">
        <v>165</v>
      </c>
      <c r="E3352" s="10" t="str">
        <f t="shared" si="247"/>
        <v>Rancho Upácuaro No. 23</v>
      </c>
      <c r="F3352" s="10" t="str">
        <f t="shared" si="248"/>
        <v>Gutièrrez Muñòz</v>
      </c>
      <c r="G3352" s="8">
        <v>1</v>
      </c>
      <c r="H3352" s="11">
        <v>700</v>
      </c>
      <c r="I3352" s="12">
        <v>42778</v>
      </c>
      <c r="J3352" s="35">
        <f t="shared" si="249"/>
        <v>0</v>
      </c>
      <c r="K3352" s="36"/>
      <c r="L3352" s="36"/>
      <c r="M3352" s="36"/>
      <c r="N3352" s="36"/>
      <c r="O3352" s="36"/>
      <c r="P3352" s="36"/>
      <c r="Q3352" s="36"/>
      <c r="R3352" s="36"/>
      <c r="S3352" s="36"/>
      <c r="T3352" s="36"/>
      <c r="U3352" s="36"/>
      <c r="V3352" s="36"/>
      <c r="W3352" s="15">
        <f t="shared" si="250"/>
        <v>0</v>
      </c>
      <c r="X3352" s="36"/>
      <c r="Y3352" s="36">
        <v>350</v>
      </c>
      <c r="Z3352" s="36">
        <v>350</v>
      </c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15">
        <f t="shared" si="251"/>
        <v>700</v>
      </c>
      <c r="AK3352" s="14"/>
      <c r="AL3352" s="14"/>
      <c r="AM3352" s="14"/>
      <c r="AN3352" s="14"/>
      <c r="AO3352" s="14"/>
      <c r="AP3352" s="14"/>
      <c r="AQ3352" s="14"/>
      <c r="AR3352" s="14"/>
      <c r="AS3352" s="14"/>
      <c r="AT3352" s="14"/>
      <c r="AU3352" s="14"/>
      <c r="AV3352" s="14"/>
      <c r="AW3352" s="15"/>
      <c r="AX3352" s="16"/>
    </row>
    <row r="3353" spans="2:50" x14ac:dyDescent="0.2">
      <c r="B3353" s="7"/>
      <c r="C3353" s="8">
        <v>13843</v>
      </c>
      <c r="D3353" s="9" t="s">
        <v>1206</v>
      </c>
      <c r="E3353" s="10" t="str">
        <f t="shared" si="247"/>
        <v>Rancho Landero No. 2,1</v>
      </c>
      <c r="F3353" s="10" t="str">
        <f t="shared" si="248"/>
        <v>Zamora Vera</v>
      </c>
      <c r="G3353" s="8">
        <v>1</v>
      </c>
      <c r="H3353" s="11">
        <v>450</v>
      </c>
      <c r="I3353" s="12">
        <v>42778</v>
      </c>
      <c r="J3353" s="35">
        <f t="shared" si="249"/>
        <v>0</v>
      </c>
      <c r="K3353" s="36"/>
      <c r="L3353" s="36"/>
      <c r="M3353" s="36"/>
      <c r="N3353" s="36"/>
      <c r="O3353" s="36"/>
      <c r="P3353" s="36"/>
      <c r="Q3353" s="36"/>
      <c r="R3353" s="36"/>
      <c r="S3353" s="36"/>
      <c r="T3353" s="36"/>
      <c r="U3353" s="36">
        <v>150</v>
      </c>
      <c r="V3353" s="36">
        <v>150</v>
      </c>
      <c r="W3353" s="15">
        <f t="shared" si="250"/>
        <v>300</v>
      </c>
      <c r="X3353" s="36">
        <v>150</v>
      </c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15">
        <f t="shared" si="251"/>
        <v>150</v>
      </c>
      <c r="AK3353" s="14"/>
      <c r="AL3353" s="14"/>
      <c r="AM3353" s="14"/>
      <c r="AN3353" s="14"/>
      <c r="AO3353" s="14"/>
      <c r="AP3353" s="14"/>
      <c r="AQ3353" s="14"/>
      <c r="AR3353" s="14"/>
      <c r="AS3353" s="14"/>
      <c r="AT3353" s="14"/>
      <c r="AU3353" s="14"/>
      <c r="AV3353" s="14"/>
      <c r="AW3353" s="15"/>
      <c r="AX3353" s="16"/>
    </row>
    <row r="3354" spans="2:50" x14ac:dyDescent="0.2">
      <c r="B3354" s="7"/>
      <c r="C3354" s="8">
        <v>13844</v>
      </c>
      <c r="D3354" s="9" t="s">
        <v>1206</v>
      </c>
      <c r="E3354" s="10" t="str">
        <f t="shared" si="247"/>
        <v>Rancho Landero No. 2,1</v>
      </c>
      <c r="F3354" s="10" t="str">
        <f t="shared" si="248"/>
        <v>Zamora Vera</v>
      </c>
      <c r="G3354" s="8">
        <v>5</v>
      </c>
      <c r="H3354" s="11">
        <v>50</v>
      </c>
      <c r="I3354" s="12">
        <v>42778</v>
      </c>
      <c r="J3354" s="35">
        <f t="shared" si="249"/>
        <v>0</v>
      </c>
      <c r="K3354" s="36"/>
      <c r="L3354" s="36"/>
      <c r="M3354" s="36"/>
      <c r="N3354" s="36"/>
      <c r="O3354" s="36"/>
      <c r="P3354" s="36"/>
      <c r="Q3354" s="36"/>
      <c r="R3354" s="36"/>
      <c r="S3354" s="36"/>
      <c r="T3354" s="36"/>
      <c r="U3354" s="36"/>
      <c r="V3354" s="36"/>
      <c r="W3354" s="15">
        <f t="shared" si="250"/>
        <v>0</v>
      </c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15">
        <f t="shared" si="251"/>
        <v>0</v>
      </c>
      <c r="AK3354" s="14"/>
      <c r="AL3354" s="14"/>
      <c r="AM3354" s="14"/>
      <c r="AN3354" s="14"/>
      <c r="AO3354" s="14"/>
      <c r="AP3354" s="14"/>
      <c r="AQ3354" s="14"/>
      <c r="AR3354" s="14"/>
      <c r="AS3354" s="14"/>
      <c r="AT3354" s="14"/>
      <c r="AU3354" s="14"/>
      <c r="AV3354" s="14"/>
      <c r="AW3354" s="15"/>
      <c r="AX3354" s="16"/>
    </row>
    <row r="3355" spans="2:50" x14ac:dyDescent="0.2">
      <c r="B3355" s="7"/>
      <c r="C3355" s="8">
        <v>13845</v>
      </c>
      <c r="D3355" s="9" t="s">
        <v>577</v>
      </c>
      <c r="E3355" s="10" t="str">
        <f t="shared" si="247"/>
        <v>Rancho La Cuchilla No. 46</v>
      </c>
      <c r="F3355" s="10" t="str">
        <f t="shared" si="248"/>
        <v>Cruz López</v>
      </c>
      <c r="G3355" s="8">
        <v>1</v>
      </c>
      <c r="H3355" s="11">
        <v>1200</v>
      </c>
      <c r="I3355" s="12">
        <v>42778</v>
      </c>
      <c r="J3355" s="35">
        <f t="shared" si="249"/>
        <v>0</v>
      </c>
      <c r="K3355" s="36"/>
      <c r="L3355" s="36"/>
      <c r="M3355" s="36"/>
      <c r="N3355" s="36"/>
      <c r="O3355" s="36"/>
      <c r="P3355" s="36"/>
      <c r="Q3355" s="36"/>
      <c r="R3355" s="36"/>
      <c r="S3355" s="36"/>
      <c r="T3355" s="36"/>
      <c r="U3355" s="36"/>
      <c r="V3355" s="36"/>
      <c r="W3355" s="15">
        <f t="shared" si="250"/>
        <v>0</v>
      </c>
      <c r="X3355" s="36">
        <v>400</v>
      </c>
      <c r="Y3355" s="36">
        <v>400</v>
      </c>
      <c r="Z3355" s="36">
        <v>400</v>
      </c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15">
        <f t="shared" si="251"/>
        <v>1200</v>
      </c>
      <c r="AK3355" s="14"/>
      <c r="AL3355" s="14"/>
      <c r="AM3355" s="14"/>
      <c r="AN3355" s="14"/>
      <c r="AO3355" s="14"/>
      <c r="AP3355" s="14"/>
      <c r="AQ3355" s="14"/>
      <c r="AR3355" s="14"/>
      <c r="AS3355" s="14"/>
      <c r="AT3355" s="14"/>
      <c r="AU3355" s="14"/>
      <c r="AV3355" s="14"/>
      <c r="AW3355" s="15"/>
      <c r="AX3355" s="16"/>
    </row>
    <row r="3356" spans="2:50" x14ac:dyDescent="0.2">
      <c r="B3356" s="7"/>
      <c r="C3356" s="8">
        <v>13846</v>
      </c>
      <c r="D3356" s="9" t="s">
        <v>705</v>
      </c>
      <c r="E3356" s="10" t="str">
        <f t="shared" si="247"/>
        <v>Rancho La Cuchilla No. 75</v>
      </c>
      <c r="F3356" s="10" t="str">
        <f t="shared" si="248"/>
        <v>Sosa Lucio</v>
      </c>
      <c r="G3356" s="8">
        <v>1</v>
      </c>
      <c r="H3356" s="11">
        <v>300</v>
      </c>
      <c r="I3356" s="12">
        <v>42778</v>
      </c>
      <c r="J3356" s="35">
        <f t="shared" si="249"/>
        <v>0</v>
      </c>
      <c r="K3356" s="36"/>
      <c r="L3356" s="36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  <c r="W3356" s="15">
        <f t="shared" si="250"/>
        <v>0</v>
      </c>
      <c r="X3356" s="36"/>
      <c r="Y3356" s="36">
        <v>300</v>
      </c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15">
        <f t="shared" si="251"/>
        <v>300</v>
      </c>
      <c r="AK3356" s="14"/>
      <c r="AL3356" s="14"/>
      <c r="AM3356" s="14"/>
      <c r="AN3356" s="14"/>
      <c r="AO3356" s="14"/>
      <c r="AP3356" s="14"/>
      <c r="AQ3356" s="14"/>
      <c r="AR3356" s="14"/>
      <c r="AS3356" s="14"/>
      <c r="AT3356" s="14"/>
      <c r="AU3356" s="14"/>
      <c r="AV3356" s="14"/>
      <c r="AW3356" s="15"/>
      <c r="AX3356" s="316">
        <f>SUM(H3305:H3356)</f>
        <v>20260</v>
      </c>
    </row>
    <row r="3357" spans="2:50" x14ac:dyDescent="0.2">
      <c r="B3357" s="7"/>
      <c r="C3357" s="8">
        <v>13847</v>
      </c>
      <c r="D3357" s="9" t="s">
        <v>358</v>
      </c>
      <c r="E3357" s="10" t="str">
        <f t="shared" si="247"/>
        <v>Rancho Landero No. 2, 4</v>
      </c>
      <c r="F3357" s="10" t="str">
        <f t="shared" si="248"/>
        <v>Astudillo Ramírez</v>
      </c>
      <c r="G3357" s="8">
        <v>4</v>
      </c>
      <c r="H3357" s="315">
        <v>200</v>
      </c>
      <c r="I3357" s="12">
        <v>42778</v>
      </c>
      <c r="J3357" s="35">
        <f t="shared" si="249"/>
        <v>0</v>
      </c>
      <c r="K3357" s="36"/>
      <c r="L3357" s="36"/>
      <c r="M3357" s="36"/>
      <c r="N3357" s="36"/>
      <c r="O3357" s="36"/>
      <c r="P3357" s="36"/>
      <c r="Q3357" s="36"/>
      <c r="R3357" s="36"/>
      <c r="S3357" s="36"/>
      <c r="T3357" s="36"/>
      <c r="U3357" s="36"/>
      <c r="V3357" s="36"/>
      <c r="W3357" s="15">
        <f t="shared" si="250"/>
        <v>0</v>
      </c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15">
        <f t="shared" si="251"/>
        <v>0</v>
      </c>
      <c r="AK3357" s="14"/>
      <c r="AL3357" s="14"/>
      <c r="AM3357" s="14"/>
      <c r="AN3357" s="14"/>
      <c r="AO3357" s="14"/>
      <c r="AP3357" s="14"/>
      <c r="AQ3357" s="14"/>
      <c r="AR3357" s="14"/>
      <c r="AS3357" s="14"/>
      <c r="AT3357" s="14"/>
      <c r="AU3357" s="14"/>
      <c r="AV3357" s="14"/>
      <c r="AW3357" s="15"/>
      <c r="AX3357" s="16" t="s">
        <v>3526</v>
      </c>
    </row>
    <row r="3358" spans="2:50" x14ac:dyDescent="0.2">
      <c r="B3358" s="7"/>
      <c r="C3358" s="8">
        <v>13848</v>
      </c>
      <c r="D3358" s="9" t="s">
        <v>1032</v>
      </c>
      <c r="E3358" s="10" t="str">
        <f t="shared" si="247"/>
        <v>Rancho Estanzuela No. 157, 1</v>
      </c>
      <c r="F3358" s="10" t="str">
        <f t="shared" si="248"/>
        <v>Anzures</v>
      </c>
      <c r="G3358" s="8">
        <v>1</v>
      </c>
      <c r="H3358" s="11">
        <v>900</v>
      </c>
      <c r="I3358" s="12">
        <v>42782</v>
      </c>
      <c r="J3358" s="35">
        <f t="shared" si="249"/>
        <v>0</v>
      </c>
      <c r="K3358" s="36"/>
      <c r="L3358" s="36"/>
      <c r="M3358" s="36"/>
      <c r="N3358" s="36"/>
      <c r="O3358" s="36"/>
      <c r="P3358" s="36"/>
      <c r="Q3358" s="36">
        <v>150</v>
      </c>
      <c r="R3358" s="36">
        <v>150</v>
      </c>
      <c r="S3358" s="36">
        <v>150</v>
      </c>
      <c r="T3358" s="36">
        <v>150</v>
      </c>
      <c r="U3358" s="36">
        <v>150</v>
      </c>
      <c r="V3358" s="36">
        <v>150</v>
      </c>
      <c r="W3358" s="15">
        <f t="shared" si="250"/>
        <v>900</v>
      </c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15">
        <f t="shared" si="251"/>
        <v>0</v>
      </c>
      <c r="AK3358" s="14"/>
      <c r="AL3358" s="14"/>
      <c r="AM3358" s="14"/>
      <c r="AN3358" s="14"/>
      <c r="AO3358" s="14"/>
      <c r="AP3358" s="14"/>
      <c r="AQ3358" s="14"/>
      <c r="AR3358" s="14"/>
      <c r="AS3358" s="14"/>
      <c r="AT3358" s="14"/>
      <c r="AU3358" s="14"/>
      <c r="AV3358" s="14"/>
      <c r="AW3358" s="15"/>
      <c r="AX3358" s="16"/>
    </row>
    <row r="3359" spans="2:50" x14ac:dyDescent="0.2">
      <c r="B3359" s="7"/>
      <c r="C3359" s="8">
        <v>13848</v>
      </c>
      <c r="D3359" s="9" t="s">
        <v>926</v>
      </c>
      <c r="E3359" s="10" t="str">
        <f t="shared" si="247"/>
        <v>Rancho Estanzuela No. 157, 2</v>
      </c>
      <c r="F3359" s="10" t="str">
        <f t="shared" si="248"/>
        <v>Arias</v>
      </c>
      <c r="G3359" s="8">
        <v>1</v>
      </c>
      <c r="H3359" s="11">
        <v>900</v>
      </c>
      <c r="I3359" s="12">
        <v>42782</v>
      </c>
      <c r="J3359" s="35">
        <f t="shared" si="249"/>
        <v>0</v>
      </c>
      <c r="K3359" s="36"/>
      <c r="L3359" s="36"/>
      <c r="M3359" s="36"/>
      <c r="N3359" s="36"/>
      <c r="O3359" s="36"/>
      <c r="P3359" s="36"/>
      <c r="Q3359" s="36">
        <v>150</v>
      </c>
      <c r="R3359" s="36">
        <v>150</v>
      </c>
      <c r="S3359" s="36">
        <v>150</v>
      </c>
      <c r="T3359" s="36">
        <v>150</v>
      </c>
      <c r="U3359" s="36">
        <v>150</v>
      </c>
      <c r="V3359" s="36">
        <v>150</v>
      </c>
      <c r="W3359" s="15">
        <f t="shared" si="250"/>
        <v>900</v>
      </c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15">
        <f t="shared" si="251"/>
        <v>0</v>
      </c>
      <c r="AK3359" s="14"/>
      <c r="AL3359" s="14"/>
      <c r="AM3359" s="14"/>
      <c r="AN3359" s="14"/>
      <c r="AO3359" s="14"/>
      <c r="AP3359" s="14"/>
      <c r="AQ3359" s="14"/>
      <c r="AR3359" s="14"/>
      <c r="AS3359" s="14"/>
      <c r="AT3359" s="14"/>
      <c r="AU3359" s="14"/>
      <c r="AV3359" s="14"/>
      <c r="AW3359" s="15"/>
      <c r="AX3359" s="16"/>
    </row>
    <row r="3360" spans="2:50" x14ac:dyDescent="0.2">
      <c r="B3360" s="7"/>
      <c r="C3360" s="8">
        <v>13848</v>
      </c>
      <c r="D3360" s="9" t="s">
        <v>929</v>
      </c>
      <c r="E3360" s="10" t="str">
        <f t="shared" si="247"/>
        <v>Rancho Estanzuela No. 157, 3</v>
      </c>
      <c r="F3360" s="10" t="str">
        <f t="shared" si="248"/>
        <v>Valdez</v>
      </c>
      <c r="G3360" s="8">
        <v>1</v>
      </c>
      <c r="H3360" s="11">
        <v>900</v>
      </c>
      <c r="I3360" s="12">
        <v>42782</v>
      </c>
      <c r="J3360" s="35">
        <f t="shared" si="249"/>
        <v>0</v>
      </c>
      <c r="K3360" s="36"/>
      <c r="L3360" s="36"/>
      <c r="M3360" s="36"/>
      <c r="N3360" s="36"/>
      <c r="O3360" s="36"/>
      <c r="P3360" s="36"/>
      <c r="Q3360" s="36">
        <v>150</v>
      </c>
      <c r="R3360" s="36">
        <v>150</v>
      </c>
      <c r="S3360" s="36">
        <v>150</v>
      </c>
      <c r="T3360" s="36">
        <v>150</v>
      </c>
      <c r="U3360" s="36">
        <v>150</v>
      </c>
      <c r="V3360" s="36">
        <v>150</v>
      </c>
      <c r="W3360" s="15">
        <f t="shared" si="250"/>
        <v>900</v>
      </c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15">
        <f t="shared" si="251"/>
        <v>0</v>
      </c>
      <c r="AK3360" s="14"/>
      <c r="AL3360" s="14"/>
      <c r="AM3360" s="14"/>
      <c r="AN3360" s="14"/>
      <c r="AO3360" s="14"/>
      <c r="AP3360" s="14"/>
      <c r="AQ3360" s="14"/>
      <c r="AR3360" s="14"/>
      <c r="AS3360" s="14"/>
      <c r="AT3360" s="14"/>
      <c r="AU3360" s="14"/>
      <c r="AV3360" s="14"/>
      <c r="AW3360" s="15"/>
      <c r="AX3360" s="16"/>
    </row>
    <row r="3361" spans="2:50" x14ac:dyDescent="0.2">
      <c r="B3361" s="7"/>
      <c r="C3361" s="8">
        <v>13849</v>
      </c>
      <c r="D3361" s="9" t="s">
        <v>1032</v>
      </c>
      <c r="E3361" s="10" t="str">
        <f t="shared" si="247"/>
        <v>Rancho Estanzuela No. 157, 1</v>
      </c>
      <c r="F3361" s="10" t="str">
        <f t="shared" si="248"/>
        <v>Anzures</v>
      </c>
      <c r="G3361" s="8">
        <v>5</v>
      </c>
      <c r="H3361" s="11">
        <v>50</v>
      </c>
      <c r="I3361" s="12">
        <v>42782</v>
      </c>
      <c r="J3361" s="35">
        <f t="shared" si="249"/>
        <v>0</v>
      </c>
      <c r="K3361" s="36"/>
      <c r="L3361" s="36"/>
      <c r="M3361" s="36"/>
      <c r="N3361" s="36"/>
      <c r="O3361" s="36"/>
      <c r="P3361" s="36"/>
      <c r="Q3361" s="36"/>
      <c r="R3361" s="36"/>
      <c r="S3361" s="36"/>
      <c r="T3361" s="36"/>
      <c r="U3361" s="36"/>
      <c r="V3361" s="36"/>
      <c r="W3361" s="15">
        <f t="shared" si="250"/>
        <v>0</v>
      </c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15">
        <f t="shared" si="251"/>
        <v>0</v>
      </c>
      <c r="AK3361" s="14"/>
      <c r="AL3361" s="14"/>
      <c r="AM3361" s="14"/>
      <c r="AN3361" s="14"/>
      <c r="AO3361" s="14"/>
      <c r="AP3361" s="14"/>
      <c r="AQ3361" s="14"/>
      <c r="AR3361" s="14"/>
      <c r="AS3361" s="14"/>
      <c r="AT3361" s="14"/>
      <c r="AU3361" s="14"/>
      <c r="AV3361" s="14"/>
      <c r="AW3361" s="15"/>
      <c r="AX3361" s="16"/>
    </row>
    <row r="3362" spans="2:50" x14ac:dyDescent="0.2">
      <c r="B3362" s="7"/>
      <c r="C3362" s="8">
        <v>13850</v>
      </c>
      <c r="D3362" s="9" t="s">
        <v>473</v>
      </c>
      <c r="E3362" s="10" t="str">
        <f t="shared" si="247"/>
        <v>Rancho Zinamba No. 14</v>
      </c>
      <c r="F3362" s="10" t="str">
        <f t="shared" si="248"/>
        <v>Gutiérrez García</v>
      </c>
      <c r="G3362" s="8">
        <v>1</v>
      </c>
      <c r="H3362" s="11">
        <v>400</v>
      </c>
      <c r="I3362" s="12">
        <v>42785</v>
      </c>
      <c r="J3362" s="35">
        <f t="shared" si="249"/>
        <v>0</v>
      </c>
      <c r="K3362" s="36"/>
      <c r="L3362" s="36"/>
      <c r="M3362" s="36"/>
      <c r="N3362" s="36"/>
      <c r="O3362" s="36"/>
      <c r="P3362" s="36"/>
      <c r="Q3362" s="36"/>
      <c r="R3362" s="36"/>
      <c r="S3362" s="36"/>
      <c r="T3362" s="36"/>
      <c r="U3362" s="36"/>
      <c r="V3362" s="36"/>
      <c r="W3362" s="15">
        <f t="shared" si="250"/>
        <v>0</v>
      </c>
      <c r="X3362" s="36"/>
      <c r="Y3362" s="36">
        <v>400</v>
      </c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15">
        <f t="shared" si="251"/>
        <v>400</v>
      </c>
      <c r="AK3362" s="14"/>
      <c r="AL3362" s="14"/>
      <c r="AM3362" s="14"/>
      <c r="AN3362" s="14"/>
      <c r="AO3362" s="14"/>
      <c r="AP3362" s="14"/>
      <c r="AQ3362" s="14"/>
      <c r="AR3362" s="14"/>
      <c r="AS3362" s="14"/>
      <c r="AT3362" s="14"/>
      <c r="AU3362" s="14"/>
      <c r="AV3362" s="14"/>
      <c r="AW3362" s="15"/>
      <c r="AX3362" s="16"/>
    </row>
    <row r="3363" spans="2:50" x14ac:dyDescent="0.2">
      <c r="B3363" s="7"/>
      <c r="C3363" s="8">
        <v>13851</v>
      </c>
      <c r="D3363" s="9" t="s">
        <v>316</v>
      </c>
      <c r="E3363" s="10" t="str">
        <f t="shared" si="247"/>
        <v>Rancho Estanzuela No. 147, 1</v>
      </c>
      <c r="F3363" s="10" t="str">
        <f t="shared" si="248"/>
        <v>De la Rosa Enrique</v>
      </c>
      <c r="G3363" s="8">
        <v>1</v>
      </c>
      <c r="H3363" s="11">
        <v>400</v>
      </c>
      <c r="I3363" s="12">
        <v>42785</v>
      </c>
      <c r="J3363" s="35">
        <f t="shared" si="249"/>
        <v>0</v>
      </c>
      <c r="K3363" s="36"/>
      <c r="L3363" s="36"/>
      <c r="M3363" s="36"/>
      <c r="N3363" s="36"/>
      <c r="O3363" s="36"/>
      <c r="P3363" s="36"/>
      <c r="Q3363" s="36"/>
      <c r="R3363" s="36"/>
      <c r="S3363" s="36"/>
      <c r="T3363" s="36">
        <v>100</v>
      </c>
      <c r="U3363" s="36">
        <v>100</v>
      </c>
      <c r="V3363" s="36">
        <v>100</v>
      </c>
      <c r="W3363" s="15">
        <f t="shared" si="250"/>
        <v>300</v>
      </c>
      <c r="X3363" s="36">
        <v>100</v>
      </c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15">
        <f t="shared" si="251"/>
        <v>100</v>
      </c>
      <c r="AK3363" s="14"/>
      <c r="AL3363" s="14"/>
      <c r="AM3363" s="14"/>
      <c r="AN3363" s="14"/>
      <c r="AO3363" s="14"/>
      <c r="AP3363" s="14"/>
      <c r="AQ3363" s="14"/>
      <c r="AR3363" s="14"/>
      <c r="AS3363" s="14"/>
      <c r="AT3363" s="14"/>
      <c r="AU3363" s="14"/>
      <c r="AV3363" s="14"/>
      <c r="AW3363" s="15"/>
      <c r="AX3363" s="16"/>
    </row>
    <row r="3364" spans="2:50" x14ac:dyDescent="0.2">
      <c r="B3364" s="7"/>
      <c r="C3364" s="8">
        <v>13852</v>
      </c>
      <c r="D3364" s="9" t="s">
        <v>319</v>
      </c>
      <c r="E3364" s="10" t="str">
        <f t="shared" si="247"/>
        <v>Rancho Estanzuela No. 147, 2</v>
      </c>
      <c r="F3364" s="10" t="str">
        <f t="shared" si="248"/>
        <v>Figueroa</v>
      </c>
      <c r="G3364" s="8">
        <v>1</v>
      </c>
      <c r="H3364" s="11">
        <v>400</v>
      </c>
      <c r="I3364" s="12">
        <v>42785</v>
      </c>
      <c r="J3364" s="35">
        <f t="shared" si="249"/>
        <v>0</v>
      </c>
      <c r="K3364" s="36"/>
      <c r="L3364" s="36"/>
      <c r="M3364" s="36"/>
      <c r="N3364" s="36"/>
      <c r="O3364" s="36"/>
      <c r="P3364" s="36"/>
      <c r="Q3364" s="36"/>
      <c r="R3364" s="36"/>
      <c r="S3364" s="36"/>
      <c r="T3364" s="36">
        <v>100</v>
      </c>
      <c r="U3364" s="36">
        <v>100</v>
      </c>
      <c r="V3364" s="36">
        <v>100</v>
      </c>
      <c r="W3364" s="15">
        <f t="shared" si="250"/>
        <v>300</v>
      </c>
      <c r="X3364" s="36">
        <v>100</v>
      </c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15">
        <f t="shared" si="251"/>
        <v>100</v>
      </c>
      <c r="AK3364" s="14"/>
      <c r="AL3364" s="14"/>
      <c r="AM3364" s="14"/>
      <c r="AN3364" s="14"/>
      <c r="AO3364" s="14"/>
      <c r="AP3364" s="14"/>
      <c r="AQ3364" s="14"/>
      <c r="AR3364" s="14"/>
      <c r="AS3364" s="14"/>
      <c r="AT3364" s="14"/>
      <c r="AU3364" s="14"/>
      <c r="AV3364" s="14"/>
      <c r="AW3364" s="15"/>
      <c r="AX3364" s="16"/>
    </row>
    <row r="3365" spans="2:50" x14ac:dyDescent="0.2">
      <c r="B3365" s="7"/>
      <c r="C3365" s="8">
        <v>13853</v>
      </c>
      <c r="D3365" s="9" t="s">
        <v>905</v>
      </c>
      <c r="E3365" s="10" t="str">
        <f t="shared" si="247"/>
        <v>Rancho Landero No. 81</v>
      </c>
      <c r="F3365" s="10" t="str">
        <f t="shared" si="248"/>
        <v>Cebrían Saldaña</v>
      </c>
      <c r="G3365" s="8">
        <v>1</v>
      </c>
      <c r="H3365" s="11">
        <v>400</v>
      </c>
      <c r="I3365" s="12">
        <v>42785</v>
      </c>
      <c r="J3365" s="35">
        <f t="shared" si="249"/>
        <v>0</v>
      </c>
      <c r="K3365" s="36"/>
      <c r="L3365" s="36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15">
        <f t="shared" si="250"/>
        <v>0</v>
      </c>
      <c r="X3365" s="36"/>
      <c r="Y3365" s="36">
        <v>200</v>
      </c>
      <c r="Z3365" s="36">
        <v>200</v>
      </c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15">
        <f t="shared" si="251"/>
        <v>400</v>
      </c>
      <c r="AK3365" s="14"/>
      <c r="AL3365" s="14"/>
      <c r="AM3365" s="14"/>
      <c r="AN3365" s="14"/>
      <c r="AO3365" s="14"/>
      <c r="AP3365" s="14"/>
      <c r="AQ3365" s="14"/>
      <c r="AR3365" s="14"/>
      <c r="AS3365" s="14"/>
      <c r="AT3365" s="14"/>
      <c r="AU3365" s="14"/>
      <c r="AV3365" s="14"/>
      <c r="AW3365" s="15"/>
      <c r="AX3365" s="16"/>
    </row>
    <row r="3366" spans="2:50" x14ac:dyDescent="0.2">
      <c r="B3366" s="7"/>
      <c r="C3366" s="8">
        <v>13854</v>
      </c>
      <c r="D3366" s="9" t="s">
        <v>820</v>
      </c>
      <c r="E3366" s="10" t="str">
        <f t="shared" si="247"/>
        <v>Rancho Zinamba No. 84</v>
      </c>
      <c r="F3366" s="10" t="str">
        <f t="shared" si="248"/>
        <v>Lobato</v>
      </c>
      <c r="G3366" s="8">
        <v>1</v>
      </c>
      <c r="H3366" s="11">
        <v>300</v>
      </c>
      <c r="I3366" s="12">
        <v>42785</v>
      </c>
      <c r="J3366" s="35">
        <f t="shared" si="249"/>
        <v>0</v>
      </c>
      <c r="K3366" s="36"/>
      <c r="L3366" s="36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15">
        <f t="shared" si="250"/>
        <v>0</v>
      </c>
      <c r="X3366" s="36"/>
      <c r="Y3366" s="36">
        <v>300</v>
      </c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15">
        <f t="shared" si="251"/>
        <v>300</v>
      </c>
      <c r="AK3366" s="14"/>
      <c r="AL3366" s="14"/>
      <c r="AM3366" s="14"/>
      <c r="AN3366" s="14"/>
      <c r="AO3366" s="14"/>
      <c r="AP3366" s="14"/>
      <c r="AQ3366" s="14"/>
      <c r="AR3366" s="14"/>
      <c r="AS3366" s="14"/>
      <c r="AT3366" s="14"/>
      <c r="AU3366" s="14"/>
      <c r="AV3366" s="14"/>
      <c r="AW3366" s="15"/>
      <c r="AX3366" s="16"/>
    </row>
    <row r="3367" spans="2:50" x14ac:dyDescent="0.2">
      <c r="B3367" s="7"/>
      <c r="C3367" s="8">
        <v>13854</v>
      </c>
      <c r="D3367" s="9" t="s">
        <v>820</v>
      </c>
      <c r="E3367" s="10" t="str">
        <f t="shared" si="247"/>
        <v>Rancho Zinamba No. 84</v>
      </c>
      <c r="F3367" s="10" t="str">
        <f t="shared" si="248"/>
        <v>Lobato</v>
      </c>
      <c r="G3367" s="8">
        <v>3</v>
      </c>
      <c r="H3367" s="11">
        <v>200</v>
      </c>
      <c r="I3367" s="12">
        <v>42785</v>
      </c>
      <c r="J3367" s="35">
        <f t="shared" si="249"/>
        <v>0</v>
      </c>
      <c r="K3367" s="36"/>
      <c r="L3367" s="36"/>
      <c r="M3367" s="36"/>
      <c r="N3367" s="36"/>
      <c r="O3367" s="36"/>
      <c r="P3367" s="36"/>
      <c r="Q3367" s="36"/>
      <c r="R3367" s="36"/>
      <c r="S3367" s="36"/>
      <c r="T3367" s="36"/>
      <c r="U3367" s="36"/>
      <c r="V3367" s="36"/>
      <c r="W3367" s="15">
        <f t="shared" si="250"/>
        <v>0</v>
      </c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15">
        <f t="shared" si="251"/>
        <v>0</v>
      </c>
      <c r="AK3367" s="14"/>
      <c r="AL3367" s="14"/>
      <c r="AM3367" s="14"/>
      <c r="AN3367" s="14"/>
      <c r="AO3367" s="14"/>
      <c r="AP3367" s="14"/>
      <c r="AQ3367" s="14"/>
      <c r="AR3367" s="14"/>
      <c r="AS3367" s="14"/>
      <c r="AT3367" s="14"/>
      <c r="AU3367" s="14"/>
      <c r="AV3367" s="14"/>
      <c r="AW3367" s="15"/>
      <c r="AX3367" s="16"/>
    </row>
    <row r="3368" spans="2:50" x14ac:dyDescent="0.2">
      <c r="B3368" s="7"/>
      <c r="C3368" s="8">
        <v>13855</v>
      </c>
      <c r="D3368" s="9" t="s">
        <v>271</v>
      </c>
      <c r="E3368" s="10" t="str">
        <f t="shared" si="247"/>
        <v>Rancho Landero No. 76</v>
      </c>
      <c r="F3368" s="10" t="str">
        <f t="shared" si="248"/>
        <v>Ugarte</v>
      </c>
      <c r="G3368" s="8">
        <v>1</v>
      </c>
      <c r="H3368" s="11">
        <v>400</v>
      </c>
      <c r="I3368" s="12">
        <v>42785</v>
      </c>
      <c r="J3368" s="35">
        <f t="shared" si="249"/>
        <v>0</v>
      </c>
      <c r="K3368" s="36"/>
      <c r="L3368" s="36"/>
      <c r="M3368" s="36"/>
      <c r="N3368" s="36"/>
      <c r="O3368" s="36"/>
      <c r="P3368" s="36"/>
      <c r="Q3368" s="36"/>
      <c r="R3368" s="36"/>
      <c r="S3368" s="36"/>
      <c r="T3368" s="36"/>
      <c r="U3368" s="36"/>
      <c r="V3368" s="36"/>
      <c r="W3368" s="15">
        <f t="shared" si="250"/>
        <v>0</v>
      </c>
      <c r="X3368" s="36"/>
      <c r="Y3368" s="36">
        <v>400</v>
      </c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15">
        <f t="shared" si="251"/>
        <v>400</v>
      </c>
      <c r="AK3368" s="14"/>
      <c r="AL3368" s="14"/>
      <c r="AM3368" s="14"/>
      <c r="AN3368" s="14"/>
      <c r="AO3368" s="14"/>
      <c r="AP3368" s="14"/>
      <c r="AQ3368" s="14"/>
      <c r="AR3368" s="14"/>
      <c r="AS3368" s="14"/>
      <c r="AT3368" s="14"/>
      <c r="AU3368" s="14"/>
      <c r="AV3368" s="14"/>
      <c r="AW3368" s="15"/>
      <c r="AX3368" s="16"/>
    </row>
    <row r="3369" spans="2:50" x14ac:dyDescent="0.2">
      <c r="B3369" s="7"/>
      <c r="C3369" s="8">
        <v>13856</v>
      </c>
      <c r="D3369" s="9" t="s">
        <v>277</v>
      </c>
      <c r="E3369" s="10" t="str">
        <f t="shared" si="247"/>
        <v>Rancho Estanzuela No. 7, A</v>
      </c>
      <c r="F3369" s="10" t="str">
        <f t="shared" si="248"/>
        <v>Herrera Izquierdo</v>
      </c>
      <c r="G3369" s="8">
        <v>1</v>
      </c>
      <c r="H3369" s="11">
        <v>400</v>
      </c>
      <c r="I3369" s="12">
        <v>42785</v>
      </c>
      <c r="J3369" s="35">
        <f t="shared" si="249"/>
        <v>0</v>
      </c>
      <c r="K3369" s="36"/>
      <c r="L3369" s="36"/>
      <c r="M3369" s="36"/>
      <c r="N3369" s="36"/>
      <c r="O3369" s="36"/>
      <c r="P3369" s="36"/>
      <c r="Q3369" s="36"/>
      <c r="R3369" s="36"/>
      <c r="S3369" s="36"/>
      <c r="T3369" s="36"/>
      <c r="U3369" s="36"/>
      <c r="V3369" s="36"/>
      <c r="W3369" s="15">
        <f t="shared" si="250"/>
        <v>0</v>
      </c>
      <c r="X3369" s="36">
        <v>200</v>
      </c>
      <c r="Y3369" s="36">
        <v>200</v>
      </c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15">
        <f t="shared" si="251"/>
        <v>400</v>
      </c>
      <c r="AK3369" s="14"/>
      <c r="AL3369" s="14"/>
      <c r="AM3369" s="14"/>
      <c r="AN3369" s="14"/>
      <c r="AO3369" s="14"/>
      <c r="AP3369" s="14"/>
      <c r="AQ3369" s="14"/>
      <c r="AR3369" s="14"/>
      <c r="AS3369" s="14"/>
      <c r="AT3369" s="14"/>
      <c r="AU3369" s="14"/>
      <c r="AV3369" s="14"/>
      <c r="AW3369" s="15"/>
      <c r="AX3369" s="16"/>
    </row>
    <row r="3370" spans="2:50" x14ac:dyDescent="0.2">
      <c r="B3370" s="7"/>
      <c r="C3370" s="8">
        <v>13857</v>
      </c>
      <c r="D3370" s="9" t="s">
        <v>109</v>
      </c>
      <c r="E3370" s="10" t="str">
        <f t="shared" si="247"/>
        <v>Rancho Estanzuela No. 31</v>
      </c>
      <c r="F3370" s="10" t="str">
        <f t="shared" si="248"/>
        <v>Chávez Valdés</v>
      </c>
      <c r="G3370" s="8">
        <v>4</v>
      </c>
      <c r="H3370" s="11">
        <v>200</v>
      </c>
      <c r="I3370" s="12">
        <v>42785</v>
      </c>
      <c r="J3370" s="35">
        <f t="shared" si="249"/>
        <v>0</v>
      </c>
      <c r="K3370" s="36"/>
      <c r="L3370" s="36"/>
      <c r="M3370" s="36"/>
      <c r="N3370" s="36"/>
      <c r="O3370" s="36"/>
      <c r="P3370" s="36"/>
      <c r="Q3370" s="36"/>
      <c r="R3370" s="36"/>
      <c r="S3370" s="36"/>
      <c r="T3370" s="36"/>
      <c r="U3370" s="36"/>
      <c r="V3370" s="36"/>
      <c r="W3370" s="15">
        <f t="shared" si="250"/>
        <v>0</v>
      </c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15">
        <f t="shared" si="251"/>
        <v>0</v>
      </c>
      <c r="AK3370" s="14"/>
      <c r="AL3370" s="14"/>
      <c r="AM3370" s="14"/>
      <c r="AN3370" s="14"/>
      <c r="AO3370" s="14"/>
      <c r="AP3370" s="14"/>
      <c r="AQ3370" s="14"/>
      <c r="AR3370" s="14"/>
      <c r="AS3370" s="14"/>
      <c r="AT3370" s="14"/>
      <c r="AU3370" s="14"/>
      <c r="AV3370" s="14"/>
      <c r="AW3370" s="15"/>
      <c r="AX3370" s="16"/>
    </row>
    <row r="3371" spans="2:50" x14ac:dyDescent="0.2">
      <c r="B3371" s="7"/>
      <c r="C3371" s="8">
        <v>13858</v>
      </c>
      <c r="D3371" s="9" t="s">
        <v>769</v>
      </c>
      <c r="E3371" s="10" t="str">
        <f t="shared" si="247"/>
        <v>Rancho La Cuchilla No. 66</v>
      </c>
      <c r="F3371" s="10" t="str">
        <f t="shared" si="248"/>
        <v>Prieto</v>
      </c>
      <c r="G3371" s="8">
        <v>1</v>
      </c>
      <c r="H3371" s="11">
        <v>400</v>
      </c>
      <c r="I3371" s="12">
        <v>42785</v>
      </c>
      <c r="J3371" s="35">
        <f t="shared" si="249"/>
        <v>0</v>
      </c>
      <c r="K3371" s="36"/>
      <c r="L3371" s="36"/>
      <c r="M3371" s="36"/>
      <c r="N3371" s="36"/>
      <c r="O3371" s="36"/>
      <c r="P3371" s="36"/>
      <c r="Q3371" s="36"/>
      <c r="R3371" s="36"/>
      <c r="S3371" s="36"/>
      <c r="T3371" s="36"/>
      <c r="U3371" s="36"/>
      <c r="V3371" s="36"/>
      <c r="W3371" s="15">
        <f t="shared" si="250"/>
        <v>0</v>
      </c>
      <c r="X3371" s="36"/>
      <c r="Y3371" s="36">
        <v>400</v>
      </c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15">
        <f t="shared" si="251"/>
        <v>400</v>
      </c>
      <c r="AK3371" s="14"/>
      <c r="AL3371" s="14"/>
      <c r="AM3371" s="14"/>
      <c r="AN3371" s="14"/>
      <c r="AO3371" s="14"/>
      <c r="AP3371" s="14"/>
      <c r="AQ3371" s="14"/>
      <c r="AR3371" s="14"/>
      <c r="AS3371" s="14"/>
      <c r="AT3371" s="14"/>
      <c r="AU3371" s="14"/>
      <c r="AV3371" s="14"/>
      <c r="AW3371" s="15"/>
      <c r="AX3371" s="16"/>
    </row>
    <row r="3372" spans="2:50" x14ac:dyDescent="0.2">
      <c r="B3372" s="7"/>
      <c r="C3372" s="8">
        <v>13859</v>
      </c>
      <c r="D3372" s="9" t="s">
        <v>1137</v>
      </c>
      <c r="E3372" s="10" t="str">
        <f t="shared" si="247"/>
        <v>Rancho La Cuchilla No. 7, 101</v>
      </c>
      <c r="F3372" s="10" t="str">
        <f t="shared" si="248"/>
        <v>Olivares</v>
      </c>
      <c r="G3372" s="8">
        <v>1</v>
      </c>
      <c r="H3372" s="11">
        <v>100</v>
      </c>
      <c r="I3372" s="12">
        <v>42785</v>
      </c>
      <c r="J3372" s="35">
        <f t="shared" si="249"/>
        <v>0</v>
      </c>
      <c r="K3372" s="36"/>
      <c r="L3372" s="36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  <c r="W3372" s="15">
        <f t="shared" si="250"/>
        <v>0</v>
      </c>
      <c r="X3372" s="36"/>
      <c r="Y3372" s="36">
        <v>100</v>
      </c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15">
        <f t="shared" si="251"/>
        <v>100</v>
      </c>
      <c r="AK3372" s="14"/>
      <c r="AL3372" s="14"/>
      <c r="AM3372" s="14"/>
      <c r="AN3372" s="14"/>
      <c r="AO3372" s="14"/>
      <c r="AP3372" s="14"/>
      <c r="AQ3372" s="14"/>
      <c r="AR3372" s="14"/>
      <c r="AS3372" s="14"/>
      <c r="AT3372" s="14"/>
      <c r="AU3372" s="14"/>
      <c r="AV3372" s="14"/>
      <c r="AW3372" s="15"/>
      <c r="AX3372" s="16"/>
    </row>
    <row r="3373" spans="2:50" x14ac:dyDescent="0.2">
      <c r="B3373" s="7"/>
      <c r="C3373" s="8">
        <v>13860</v>
      </c>
      <c r="D3373" s="9" t="s">
        <v>3527</v>
      </c>
      <c r="E3373" s="10" t="str">
        <f t="shared" si="247"/>
        <v>Rancho Estopila No. 44_6</v>
      </c>
      <c r="F3373" s="10" t="str">
        <f t="shared" si="248"/>
        <v>González Ramos</v>
      </c>
      <c r="G3373" s="8">
        <v>1</v>
      </c>
      <c r="H3373" s="11">
        <v>200</v>
      </c>
      <c r="I3373" s="12">
        <v>42785</v>
      </c>
      <c r="J3373" s="35">
        <f t="shared" si="249"/>
        <v>0</v>
      </c>
      <c r="K3373" s="36"/>
      <c r="L3373" s="36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  <c r="W3373" s="15">
        <f t="shared" si="250"/>
        <v>0</v>
      </c>
      <c r="X3373" s="36"/>
      <c r="Y3373" s="36">
        <v>200</v>
      </c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15">
        <f t="shared" si="251"/>
        <v>200</v>
      </c>
      <c r="AK3373" s="14"/>
      <c r="AL3373" s="14"/>
      <c r="AM3373" s="14"/>
      <c r="AN3373" s="14"/>
      <c r="AO3373" s="14"/>
      <c r="AP3373" s="14"/>
      <c r="AQ3373" s="14"/>
      <c r="AR3373" s="14"/>
      <c r="AS3373" s="14"/>
      <c r="AT3373" s="14"/>
      <c r="AU3373" s="14"/>
      <c r="AV3373" s="14"/>
      <c r="AW3373" s="15"/>
      <c r="AX3373" s="16"/>
    </row>
    <row r="3374" spans="2:50" x14ac:dyDescent="0.2">
      <c r="B3374" s="7"/>
      <c r="C3374" s="8">
        <v>13861</v>
      </c>
      <c r="D3374" s="9" t="s">
        <v>568</v>
      </c>
      <c r="E3374" s="10" t="str">
        <f t="shared" si="247"/>
        <v>Rancho Landero No. 95</v>
      </c>
      <c r="F3374" s="10" t="str">
        <f t="shared" si="248"/>
        <v>Rivas Rangel</v>
      </c>
      <c r="G3374" s="8">
        <v>1</v>
      </c>
      <c r="H3374" s="11">
        <v>400</v>
      </c>
      <c r="I3374" s="12">
        <v>42785</v>
      </c>
      <c r="J3374" s="35">
        <f t="shared" si="249"/>
        <v>0</v>
      </c>
      <c r="K3374" s="36"/>
      <c r="L3374" s="36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  <c r="W3374" s="15">
        <f t="shared" si="250"/>
        <v>0</v>
      </c>
      <c r="X3374" s="36"/>
      <c r="Y3374" s="36">
        <v>400</v>
      </c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15">
        <f t="shared" si="251"/>
        <v>400</v>
      </c>
      <c r="AK3374" s="14"/>
      <c r="AL3374" s="14"/>
      <c r="AM3374" s="14"/>
      <c r="AN3374" s="14"/>
      <c r="AO3374" s="14"/>
      <c r="AP3374" s="14"/>
      <c r="AQ3374" s="14"/>
      <c r="AR3374" s="14"/>
      <c r="AS3374" s="14"/>
      <c r="AT3374" s="14"/>
      <c r="AU3374" s="14"/>
      <c r="AV3374" s="14"/>
      <c r="AW3374" s="15"/>
      <c r="AX3374" s="16"/>
    </row>
    <row r="3375" spans="2:50" x14ac:dyDescent="0.2">
      <c r="B3375" s="7"/>
      <c r="C3375" s="8">
        <v>13862</v>
      </c>
      <c r="D3375" s="9" t="s">
        <v>3527</v>
      </c>
      <c r="E3375" s="10" t="str">
        <f t="shared" si="247"/>
        <v>Rancho Estopila No. 44_6</v>
      </c>
      <c r="F3375" s="10" t="str">
        <f t="shared" si="248"/>
        <v>González Ramos</v>
      </c>
      <c r="G3375" s="8">
        <v>3</v>
      </c>
      <c r="H3375" s="11">
        <v>200</v>
      </c>
      <c r="I3375" s="12">
        <v>42785</v>
      </c>
      <c r="J3375" s="35">
        <f t="shared" si="249"/>
        <v>0</v>
      </c>
      <c r="K3375" s="36"/>
      <c r="L3375" s="36"/>
      <c r="M3375" s="36"/>
      <c r="N3375" s="36"/>
      <c r="O3375" s="36"/>
      <c r="P3375" s="36"/>
      <c r="Q3375" s="36"/>
      <c r="R3375" s="36"/>
      <c r="S3375" s="36"/>
      <c r="T3375" s="36"/>
      <c r="U3375" s="36"/>
      <c r="V3375" s="36"/>
      <c r="W3375" s="15">
        <f t="shared" si="250"/>
        <v>0</v>
      </c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15">
        <f t="shared" si="251"/>
        <v>0</v>
      </c>
      <c r="AK3375" s="14"/>
      <c r="AL3375" s="14"/>
      <c r="AM3375" s="14"/>
      <c r="AN3375" s="14"/>
      <c r="AO3375" s="14"/>
      <c r="AP3375" s="14"/>
      <c r="AQ3375" s="14"/>
      <c r="AR3375" s="14"/>
      <c r="AS3375" s="14"/>
      <c r="AT3375" s="14"/>
      <c r="AU3375" s="14"/>
      <c r="AV3375" s="14"/>
      <c r="AW3375" s="15"/>
      <c r="AX3375" s="16"/>
    </row>
    <row r="3376" spans="2:50" x14ac:dyDescent="0.2">
      <c r="B3376" s="7"/>
      <c r="C3376" s="8">
        <v>13862</v>
      </c>
      <c r="D3376" s="9" t="s">
        <v>3527</v>
      </c>
      <c r="E3376" s="10" t="str">
        <f t="shared" ref="E3376:E3439" si="252">IF(D3376=0,"",VLOOKUP(D3376,BASE,2,FALSE))</f>
        <v>Rancho Estopila No. 44_6</v>
      </c>
      <c r="F3376" s="10" t="str">
        <f t="shared" ref="F3376:F3439" si="253">IF(D3376=0,"",VLOOKUP(D3376,BASE,3,FALSE))</f>
        <v>González Ramos</v>
      </c>
      <c r="G3376" s="8">
        <v>5</v>
      </c>
      <c r="H3376" s="11">
        <v>100</v>
      </c>
      <c r="I3376" s="12">
        <v>42785</v>
      </c>
      <c r="J3376" s="35">
        <f t="shared" ref="J3376:J3439" si="254">IF(G3376=1,SUM(W3376,AJ3376,-H3376),0)</f>
        <v>0</v>
      </c>
      <c r="K3376" s="36"/>
      <c r="L3376" s="36"/>
      <c r="M3376" s="36"/>
      <c r="N3376" s="36"/>
      <c r="O3376" s="36"/>
      <c r="P3376" s="36"/>
      <c r="Q3376" s="36"/>
      <c r="R3376" s="36"/>
      <c r="S3376" s="36"/>
      <c r="T3376" s="36"/>
      <c r="U3376" s="36"/>
      <c r="V3376" s="36"/>
      <c r="W3376" s="15">
        <f t="shared" ref="W3376:W3439" si="255">SUM(K3376:V3376)</f>
        <v>0</v>
      </c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15">
        <f t="shared" ref="AJ3376:AJ3439" si="256">SUM(X3376:AI3376)</f>
        <v>0</v>
      </c>
      <c r="AK3376" s="14"/>
      <c r="AL3376" s="14"/>
      <c r="AM3376" s="14"/>
      <c r="AN3376" s="14"/>
      <c r="AO3376" s="14"/>
      <c r="AP3376" s="14"/>
      <c r="AQ3376" s="14"/>
      <c r="AR3376" s="14"/>
      <c r="AS3376" s="14"/>
      <c r="AT3376" s="14"/>
      <c r="AU3376" s="14"/>
      <c r="AV3376" s="14"/>
      <c r="AW3376" s="15"/>
      <c r="AX3376" s="16"/>
    </row>
    <row r="3377" spans="2:50" x14ac:dyDescent="0.2">
      <c r="B3377" s="7"/>
      <c r="C3377" s="8">
        <v>13863</v>
      </c>
      <c r="D3377" s="9" t="s">
        <v>1110</v>
      </c>
      <c r="E3377" s="10" t="str">
        <f t="shared" si="252"/>
        <v>Rancho Upácuaro No. 103</v>
      </c>
      <c r="F3377" s="10" t="str">
        <f t="shared" si="253"/>
        <v>Alfaro</v>
      </c>
      <c r="G3377" s="8">
        <v>7</v>
      </c>
      <c r="H3377" s="11">
        <v>1500</v>
      </c>
      <c r="I3377" s="12">
        <v>42785</v>
      </c>
      <c r="J3377" s="35">
        <f t="shared" si="254"/>
        <v>0</v>
      </c>
      <c r="K3377" s="36"/>
      <c r="L3377" s="36"/>
      <c r="M3377" s="36"/>
      <c r="N3377" s="36"/>
      <c r="O3377" s="36"/>
      <c r="P3377" s="36"/>
      <c r="Q3377" s="36"/>
      <c r="R3377" s="36"/>
      <c r="S3377" s="36"/>
      <c r="T3377" s="36"/>
      <c r="U3377" s="36"/>
      <c r="V3377" s="36"/>
      <c r="W3377" s="15">
        <f t="shared" si="255"/>
        <v>0</v>
      </c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15">
        <f t="shared" si="256"/>
        <v>0</v>
      </c>
      <c r="AK3377" s="14"/>
      <c r="AL3377" s="14"/>
      <c r="AM3377" s="14"/>
      <c r="AN3377" s="14"/>
      <c r="AO3377" s="14"/>
      <c r="AP3377" s="14"/>
      <c r="AQ3377" s="14"/>
      <c r="AR3377" s="14"/>
      <c r="AS3377" s="14"/>
      <c r="AT3377" s="14"/>
      <c r="AU3377" s="14"/>
      <c r="AV3377" s="14"/>
      <c r="AW3377" s="15"/>
      <c r="AX3377" s="16" t="s">
        <v>3531</v>
      </c>
    </row>
    <row r="3378" spans="2:50" x14ac:dyDescent="0.2">
      <c r="B3378" s="7"/>
      <c r="C3378" s="8">
        <v>13864</v>
      </c>
      <c r="D3378" s="9" t="s">
        <v>763</v>
      </c>
      <c r="E3378" s="10" t="str">
        <f t="shared" si="252"/>
        <v>Rancho Estanzuela No. 79</v>
      </c>
      <c r="F3378" s="10" t="str">
        <f t="shared" si="253"/>
        <v>Mendoza</v>
      </c>
      <c r="G3378" s="8">
        <v>1</v>
      </c>
      <c r="H3378" s="11">
        <v>800</v>
      </c>
      <c r="I3378" s="12">
        <v>42785</v>
      </c>
      <c r="J3378" s="35">
        <f t="shared" si="254"/>
        <v>0</v>
      </c>
      <c r="K3378" s="36"/>
      <c r="L3378" s="36"/>
      <c r="M3378" s="36"/>
      <c r="N3378" s="36"/>
      <c r="O3378" s="36"/>
      <c r="P3378" s="36"/>
      <c r="Q3378" s="36"/>
      <c r="R3378" s="36"/>
      <c r="S3378" s="36"/>
      <c r="T3378" s="36"/>
      <c r="U3378" s="36"/>
      <c r="V3378" s="36"/>
      <c r="W3378" s="15">
        <f t="shared" si="255"/>
        <v>0</v>
      </c>
      <c r="X3378" s="36">
        <v>400</v>
      </c>
      <c r="Y3378" s="36">
        <v>400</v>
      </c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15">
        <f t="shared" si="256"/>
        <v>800</v>
      </c>
      <c r="AK3378" s="14"/>
      <c r="AL3378" s="14"/>
      <c r="AM3378" s="14"/>
      <c r="AN3378" s="14"/>
      <c r="AO3378" s="14"/>
      <c r="AP3378" s="14"/>
      <c r="AQ3378" s="14"/>
      <c r="AR3378" s="14"/>
      <c r="AS3378" s="14"/>
      <c r="AT3378" s="14"/>
      <c r="AU3378" s="14"/>
      <c r="AV3378" s="14"/>
      <c r="AW3378" s="15"/>
      <c r="AX3378" s="16"/>
    </row>
    <row r="3379" spans="2:50" x14ac:dyDescent="0.2">
      <c r="B3379" s="7"/>
      <c r="C3379" s="8">
        <v>13865</v>
      </c>
      <c r="D3379" s="9" t="s">
        <v>1167</v>
      </c>
      <c r="E3379" s="10" t="str">
        <f t="shared" si="252"/>
        <v>Rancho Landero No. 53</v>
      </c>
      <c r="F3379" s="10" t="str">
        <f t="shared" si="253"/>
        <v>Hernàndez Martìnez</v>
      </c>
      <c r="G3379" s="8">
        <v>1</v>
      </c>
      <c r="H3379" s="11">
        <v>800</v>
      </c>
      <c r="I3379" s="12">
        <v>42785</v>
      </c>
      <c r="J3379" s="35">
        <f t="shared" si="254"/>
        <v>0</v>
      </c>
      <c r="K3379" s="36"/>
      <c r="L3379" s="36"/>
      <c r="M3379" s="36"/>
      <c r="N3379" s="36"/>
      <c r="O3379" s="36"/>
      <c r="P3379" s="36"/>
      <c r="Q3379" s="36"/>
      <c r="R3379" s="36"/>
      <c r="S3379" s="36"/>
      <c r="T3379" s="36"/>
      <c r="U3379" s="36"/>
      <c r="V3379" s="36"/>
      <c r="W3379" s="15">
        <f t="shared" si="255"/>
        <v>0</v>
      </c>
      <c r="X3379" s="36">
        <v>400</v>
      </c>
      <c r="Y3379" s="36">
        <v>400</v>
      </c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15">
        <f t="shared" si="256"/>
        <v>800</v>
      </c>
      <c r="AK3379" s="14"/>
      <c r="AL3379" s="14"/>
      <c r="AM3379" s="14"/>
      <c r="AN3379" s="14"/>
      <c r="AO3379" s="14"/>
      <c r="AP3379" s="14"/>
      <c r="AQ3379" s="14"/>
      <c r="AR3379" s="14"/>
      <c r="AS3379" s="14"/>
      <c r="AT3379" s="14"/>
      <c r="AU3379" s="14"/>
      <c r="AV3379" s="14"/>
      <c r="AW3379" s="15"/>
      <c r="AX3379" s="16"/>
    </row>
    <row r="3380" spans="2:50" x14ac:dyDescent="0.2">
      <c r="B3380" s="7"/>
      <c r="C3380" s="8">
        <v>13866</v>
      </c>
      <c r="D3380" s="9" t="s">
        <v>725</v>
      </c>
      <c r="E3380" s="10" t="str">
        <f t="shared" si="252"/>
        <v>Rancho Zinamba No. 34</v>
      </c>
      <c r="F3380" s="10" t="str">
        <f t="shared" si="253"/>
        <v>Torres Zavala</v>
      </c>
      <c r="G3380" s="8">
        <v>1</v>
      </c>
      <c r="H3380" s="11">
        <v>400</v>
      </c>
      <c r="I3380" s="12">
        <v>42785</v>
      </c>
      <c r="J3380" s="35">
        <f t="shared" si="254"/>
        <v>0</v>
      </c>
      <c r="K3380" s="36"/>
      <c r="L3380" s="36"/>
      <c r="M3380" s="36"/>
      <c r="N3380" s="36"/>
      <c r="O3380" s="36"/>
      <c r="P3380" s="36"/>
      <c r="Q3380" s="36"/>
      <c r="R3380" s="36"/>
      <c r="S3380" s="36"/>
      <c r="T3380" s="36"/>
      <c r="U3380" s="36"/>
      <c r="V3380" s="36"/>
      <c r="W3380" s="15">
        <f t="shared" si="255"/>
        <v>0</v>
      </c>
      <c r="X3380" s="36">
        <v>400</v>
      </c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15">
        <f t="shared" si="256"/>
        <v>400</v>
      </c>
      <c r="AK3380" s="14"/>
      <c r="AL3380" s="14"/>
      <c r="AM3380" s="14"/>
      <c r="AN3380" s="14"/>
      <c r="AO3380" s="14"/>
      <c r="AP3380" s="14"/>
      <c r="AQ3380" s="14"/>
      <c r="AR3380" s="14"/>
      <c r="AS3380" s="14"/>
      <c r="AT3380" s="14"/>
      <c r="AU3380" s="14"/>
      <c r="AV3380" s="14"/>
      <c r="AW3380" s="15"/>
      <c r="AX3380" s="16"/>
    </row>
    <row r="3381" spans="2:50" x14ac:dyDescent="0.2">
      <c r="B3381" s="7"/>
      <c r="C3381" s="8">
        <v>13867</v>
      </c>
      <c r="D3381" s="9" t="s">
        <v>672</v>
      </c>
      <c r="E3381" s="10" t="str">
        <f t="shared" si="252"/>
        <v>Rancho Estanzuela No. 11, B</v>
      </c>
      <c r="F3381" s="10" t="str">
        <f t="shared" si="253"/>
        <v>Gómez Miguel</v>
      </c>
      <c r="G3381" s="8">
        <v>1</v>
      </c>
      <c r="H3381" s="11">
        <v>400</v>
      </c>
      <c r="I3381" s="12">
        <v>42785</v>
      </c>
      <c r="J3381" s="35">
        <f t="shared" si="254"/>
        <v>0</v>
      </c>
      <c r="K3381" s="36"/>
      <c r="L3381" s="36"/>
      <c r="M3381" s="36"/>
      <c r="N3381" s="36"/>
      <c r="O3381" s="36"/>
      <c r="P3381" s="36"/>
      <c r="Q3381" s="36"/>
      <c r="R3381" s="36"/>
      <c r="S3381" s="36"/>
      <c r="T3381" s="36"/>
      <c r="U3381" s="36"/>
      <c r="V3381" s="36"/>
      <c r="W3381" s="15">
        <f t="shared" si="255"/>
        <v>0</v>
      </c>
      <c r="X3381" s="36">
        <v>200</v>
      </c>
      <c r="Y3381" s="36">
        <v>200</v>
      </c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15">
        <f t="shared" si="256"/>
        <v>400</v>
      </c>
      <c r="AK3381" s="14"/>
      <c r="AL3381" s="14"/>
      <c r="AM3381" s="14"/>
      <c r="AN3381" s="14"/>
      <c r="AO3381" s="14"/>
      <c r="AP3381" s="14"/>
      <c r="AQ3381" s="14"/>
      <c r="AR3381" s="14"/>
      <c r="AS3381" s="14"/>
      <c r="AT3381" s="14"/>
      <c r="AU3381" s="14"/>
      <c r="AV3381" s="14"/>
      <c r="AW3381" s="15"/>
      <c r="AX3381" s="16"/>
    </row>
    <row r="3382" spans="2:50" x14ac:dyDescent="0.2">
      <c r="B3382" s="7"/>
      <c r="C3382" s="8">
        <v>13868</v>
      </c>
      <c r="D3382" s="9" t="s">
        <v>583</v>
      </c>
      <c r="E3382" s="10" t="str">
        <f t="shared" si="252"/>
        <v>Rancho La Cuchilla No. 111</v>
      </c>
      <c r="F3382" s="10" t="str">
        <f t="shared" si="253"/>
        <v>García Santos Ofelia</v>
      </c>
      <c r="G3382" s="8">
        <v>1</v>
      </c>
      <c r="H3382" s="11">
        <v>200</v>
      </c>
      <c r="I3382" s="12">
        <v>42785</v>
      </c>
      <c r="J3382" s="35">
        <f t="shared" si="254"/>
        <v>0</v>
      </c>
      <c r="K3382" s="36"/>
      <c r="L3382" s="36"/>
      <c r="M3382" s="36"/>
      <c r="N3382" s="36"/>
      <c r="O3382" s="36"/>
      <c r="P3382" s="36"/>
      <c r="Q3382" s="36"/>
      <c r="R3382" s="36"/>
      <c r="S3382" s="36"/>
      <c r="T3382" s="36"/>
      <c r="U3382" s="36"/>
      <c r="V3382" s="36"/>
      <c r="W3382" s="15">
        <f t="shared" si="255"/>
        <v>0</v>
      </c>
      <c r="X3382" s="36"/>
      <c r="Y3382" s="36">
        <v>200</v>
      </c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15">
        <f t="shared" si="256"/>
        <v>200</v>
      </c>
      <c r="AK3382" s="14"/>
      <c r="AL3382" s="14"/>
      <c r="AM3382" s="14"/>
      <c r="AN3382" s="14"/>
      <c r="AO3382" s="14"/>
      <c r="AP3382" s="14"/>
      <c r="AQ3382" s="14"/>
      <c r="AR3382" s="14"/>
      <c r="AS3382" s="14"/>
      <c r="AT3382" s="14"/>
      <c r="AU3382" s="14"/>
      <c r="AV3382" s="14"/>
      <c r="AW3382" s="15"/>
      <c r="AX3382" s="16"/>
    </row>
    <row r="3383" spans="2:50" x14ac:dyDescent="0.2">
      <c r="B3383" s="7"/>
      <c r="C3383" s="8">
        <v>13869</v>
      </c>
      <c r="D3383" s="9" t="s">
        <v>361</v>
      </c>
      <c r="E3383" s="10" t="str">
        <f t="shared" si="252"/>
        <v>Rancho Upácuaro No. 101</v>
      </c>
      <c r="F3383" s="10" t="str">
        <f t="shared" si="253"/>
        <v>Chávez, Arturo</v>
      </c>
      <c r="G3383" s="8">
        <v>1</v>
      </c>
      <c r="H3383" s="11">
        <v>400</v>
      </c>
      <c r="I3383" s="12">
        <v>42785</v>
      </c>
      <c r="J3383" s="35">
        <f t="shared" si="254"/>
        <v>0</v>
      </c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  <c r="W3383" s="15">
        <f t="shared" si="255"/>
        <v>0</v>
      </c>
      <c r="X3383" s="36"/>
      <c r="Y3383" s="36">
        <v>400</v>
      </c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15">
        <f t="shared" si="256"/>
        <v>400</v>
      </c>
      <c r="AK3383" s="14"/>
      <c r="AL3383" s="14"/>
      <c r="AM3383" s="14"/>
      <c r="AN3383" s="14"/>
      <c r="AO3383" s="14"/>
      <c r="AP3383" s="14"/>
      <c r="AQ3383" s="14"/>
      <c r="AR3383" s="14"/>
      <c r="AS3383" s="14"/>
      <c r="AT3383" s="14"/>
      <c r="AU3383" s="14"/>
      <c r="AV3383" s="14"/>
      <c r="AW3383" s="15"/>
      <c r="AX3383" s="16"/>
    </row>
    <row r="3384" spans="2:50" x14ac:dyDescent="0.2">
      <c r="B3384" s="7"/>
      <c r="C3384" s="8">
        <v>13869</v>
      </c>
      <c r="D3384" s="9" t="s">
        <v>361</v>
      </c>
      <c r="E3384" s="10" t="str">
        <f t="shared" si="252"/>
        <v>Rancho Upácuaro No. 101</v>
      </c>
      <c r="F3384" s="10" t="str">
        <f t="shared" si="253"/>
        <v>Chávez, Arturo</v>
      </c>
      <c r="G3384" s="8">
        <v>4</v>
      </c>
      <c r="H3384" s="11">
        <v>200</v>
      </c>
      <c r="I3384" s="12">
        <v>42785</v>
      </c>
      <c r="J3384" s="35">
        <f t="shared" si="254"/>
        <v>0</v>
      </c>
      <c r="K3384" s="36"/>
      <c r="L3384" s="36"/>
      <c r="M3384" s="36"/>
      <c r="N3384" s="36"/>
      <c r="O3384" s="36"/>
      <c r="P3384" s="36"/>
      <c r="Q3384" s="36"/>
      <c r="R3384" s="36"/>
      <c r="S3384" s="36"/>
      <c r="T3384" s="36"/>
      <c r="U3384" s="36"/>
      <c r="V3384" s="36"/>
      <c r="W3384" s="15">
        <f t="shared" si="255"/>
        <v>0</v>
      </c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15">
        <f t="shared" si="256"/>
        <v>0</v>
      </c>
      <c r="AK3384" s="14"/>
      <c r="AL3384" s="14"/>
      <c r="AM3384" s="14"/>
      <c r="AN3384" s="14"/>
      <c r="AO3384" s="14"/>
      <c r="AP3384" s="14"/>
      <c r="AQ3384" s="14"/>
      <c r="AR3384" s="14"/>
      <c r="AS3384" s="14"/>
      <c r="AT3384" s="14"/>
      <c r="AU3384" s="14"/>
      <c r="AV3384" s="14"/>
      <c r="AW3384" s="15"/>
      <c r="AX3384" s="16"/>
    </row>
    <row r="3385" spans="2:50" x14ac:dyDescent="0.2">
      <c r="B3385" s="7"/>
      <c r="C3385" s="8">
        <v>13869</v>
      </c>
      <c r="D3385" s="9" t="s">
        <v>361</v>
      </c>
      <c r="E3385" s="10" t="str">
        <f t="shared" si="252"/>
        <v>Rancho Upácuaro No. 101</v>
      </c>
      <c r="F3385" s="10" t="str">
        <f t="shared" si="253"/>
        <v>Chávez, Arturo</v>
      </c>
      <c r="G3385" s="8">
        <v>7</v>
      </c>
      <c r="H3385" s="11">
        <v>25</v>
      </c>
      <c r="I3385" s="12">
        <v>42785</v>
      </c>
      <c r="J3385" s="35">
        <f t="shared" si="254"/>
        <v>0</v>
      </c>
      <c r="K3385" s="36"/>
      <c r="L3385" s="36"/>
      <c r="M3385" s="36"/>
      <c r="N3385" s="36"/>
      <c r="O3385" s="36"/>
      <c r="P3385" s="36"/>
      <c r="Q3385" s="36"/>
      <c r="R3385" s="36"/>
      <c r="S3385" s="36"/>
      <c r="T3385" s="36"/>
      <c r="U3385" s="36"/>
      <c r="V3385" s="36"/>
      <c r="W3385" s="15">
        <f t="shared" si="255"/>
        <v>0</v>
      </c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15">
        <f t="shared" si="256"/>
        <v>0</v>
      </c>
      <c r="AK3385" s="14"/>
      <c r="AL3385" s="14"/>
      <c r="AM3385" s="14"/>
      <c r="AN3385" s="14"/>
      <c r="AO3385" s="14"/>
      <c r="AP3385" s="14"/>
      <c r="AQ3385" s="14"/>
      <c r="AR3385" s="14"/>
      <c r="AS3385" s="14"/>
      <c r="AT3385" s="14"/>
      <c r="AU3385" s="14"/>
      <c r="AV3385" s="14"/>
      <c r="AW3385" s="15"/>
      <c r="AX3385" s="16" t="s">
        <v>3532</v>
      </c>
    </row>
    <row r="3386" spans="2:50" x14ac:dyDescent="0.2">
      <c r="B3386" s="7"/>
      <c r="C3386" s="8">
        <v>13870</v>
      </c>
      <c r="D3386" s="9" t="s">
        <v>449</v>
      </c>
      <c r="E3386" s="10" t="str">
        <f t="shared" si="252"/>
        <v>Rancho La Cuchilla No. 132</v>
      </c>
      <c r="F3386" s="10" t="str">
        <f t="shared" si="253"/>
        <v>Téllez Girón</v>
      </c>
      <c r="G3386" s="8">
        <v>1</v>
      </c>
      <c r="H3386" s="11">
        <v>600</v>
      </c>
      <c r="I3386" s="12">
        <v>42785</v>
      </c>
      <c r="J3386" s="35">
        <f t="shared" si="254"/>
        <v>0</v>
      </c>
      <c r="K3386" s="36"/>
      <c r="L3386" s="36"/>
      <c r="M3386" s="36"/>
      <c r="N3386" s="36"/>
      <c r="O3386" s="36"/>
      <c r="P3386" s="36"/>
      <c r="Q3386" s="36"/>
      <c r="R3386" s="36"/>
      <c r="S3386" s="36"/>
      <c r="T3386" s="36"/>
      <c r="U3386" s="36"/>
      <c r="V3386" s="36"/>
      <c r="W3386" s="15">
        <f t="shared" si="255"/>
        <v>0</v>
      </c>
      <c r="X3386" s="36">
        <v>300</v>
      </c>
      <c r="Y3386" s="36">
        <v>300</v>
      </c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15">
        <f t="shared" si="256"/>
        <v>600</v>
      </c>
      <c r="AK3386" s="14"/>
      <c r="AL3386" s="14"/>
      <c r="AM3386" s="14"/>
      <c r="AN3386" s="14"/>
      <c r="AO3386" s="14"/>
      <c r="AP3386" s="14"/>
      <c r="AQ3386" s="14"/>
      <c r="AR3386" s="14"/>
      <c r="AS3386" s="14"/>
      <c r="AT3386" s="14"/>
      <c r="AU3386" s="14"/>
      <c r="AV3386" s="14"/>
      <c r="AW3386" s="15"/>
      <c r="AX3386" s="16"/>
    </row>
    <row r="3387" spans="2:50" x14ac:dyDescent="0.2">
      <c r="B3387" s="7"/>
      <c r="C3387" s="8">
        <v>13871</v>
      </c>
      <c r="D3387" s="9" t="s">
        <v>708</v>
      </c>
      <c r="E3387" s="10" t="str">
        <f t="shared" si="252"/>
        <v>Rancho Landero No. 21</v>
      </c>
      <c r="F3387" s="10" t="str">
        <f t="shared" si="253"/>
        <v>Meza</v>
      </c>
      <c r="G3387" s="8">
        <v>1</v>
      </c>
      <c r="H3387" s="11">
        <v>800</v>
      </c>
      <c r="I3387" s="12">
        <v>42785</v>
      </c>
      <c r="J3387" s="35">
        <f t="shared" si="254"/>
        <v>0</v>
      </c>
      <c r="K3387" s="36"/>
      <c r="L3387" s="36"/>
      <c r="M3387" s="36"/>
      <c r="N3387" s="36"/>
      <c r="O3387" s="36"/>
      <c r="P3387" s="36"/>
      <c r="Q3387" s="36"/>
      <c r="R3387" s="36"/>
      <c r="S3387" s="36"/>
      <c r="T3387" s="36"/>
      <c r="U3387" s="36"/>
      <c r="V3387" s="36"/>
      <c r="W3387" s="15">
        <f t="shared" si="255"/>
        <v>0</v>
      </c>
      <c r="X3387" s="36">
        <v>400</v>
      </c>
      <c r="Y3387" s="36">
        <v>400</v>
      </c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15">
        <f t="shared" si="256"/>
        <v>800</v>
      </c>
      <c r="AK3387" s="14"/>
      <c r="AL3387" s="14"/>
      <c r="AM3387" s="14"/>
      <c r="AN3387" s="14"/>
      <c r="AO3387" s="14"/>
      <c r="AP3387" s="14"/>
      <c r="AQ3387" s="14"/>
      <c r="AR3387" s="14"/>
      <c r="AS3387" s="14"/>
      <c r="AT3387" s="14"/>
      <c r="AU3387" s="14"/>
      <c r="AV3387" s="14"/>
      <c r="AW3387" s="15"/>
      <c r="AX3387" s="16"/>
    </row>
    <row r="3388" spans="2:50" x14ac:dyDescent="0.2">
      <c r="B3388" s="7"/>
      <c r="C3388" s="8">
        <v>13872</v>
      </c>
      <c r="D3388" s="9" t="s">
        <v>777</v>
      </c>
      <c r="E3388" s="10" t="str">
        <f t="shared" si="252"/>
        <v>Rancho Zinamba No. 76</v>
      </c>
      <c r="F3388" s="10" t="str">
        <f t="shared" si="253"/>
        <v>Márquez</v>
      </c>
      <c r="G3388" s="8">
        <v>1</v>
      </c>
      <c r="H3388" s="11">
        <v>4400</v>
      </c>
      <c r="I3388" s="12">
        <v>42785</v>
      </c>
      <c r="J3388" s="35">
        <f t="shared" si="254"/>
        <v>0</v>
      </c>
      <c r="K3388" s="36"/>
      <c r="L3388" s="36"/>
      <c r="M3388" s="36"/>
      <c r="N3388" s="36"/>
      <c r="O3388" s="36"/>
      <c r="P3388" s="36"/>
      <c r="Q3388" s="36"/>
      <c r="R3388" s="36"/>
      <c r="S3388" s="36"/>
      <c r="T3388" s="36"/>
      <c r="U3388" s="36"/>
      <c r="V3388" s="36"/>
      <c r="W3388" s="15">
        <f t="shared" si="255"/>
        <v>0</v>
      </c>
      <c r="X3388" s="36">
        <v>400</v>
      </c>
      <c r="Y3388" s="36">
        <v>400</v>
      </c>
      <c r="Z3388" s="36">
        <v>400</v>
      </c>
      <c r="AA3388" s="36">
        <v>400</v>
      </c>
      <c r="AB3388" s="36">
        <v>400</v>
      </c>
      <c r="AC3388" s="36">
        <v>400</v>
      </c>
      <c r="AD3388" s="36">
        <v>400</v>
      </c>
      <c r="AE3388" s="36">
        <v>400</v>
      </c>
      <c r="AF3388" s="36">
        <v>400</v>
      </c>
      <c r="AG3388" s="36">
        <v>400</v>
      </c>
      <c r="AH3388" s="36">
        <v>400</v>
      </c>
      <c r="AI3388" s="36"/>
      <c r="AJ3388" s="15">
        <f t="shared" si="256"/>
        <v>4400</v>
      </c>
      <c r="AK3388" s="14"/>
      <c r="AL3388" s="14"/>
      <c r="AM3388" s="14"/>
      <c r="AN3388" s="14"/>
      <c r="AO3388" s="14"/>
      <c r="AP3388" s="14"/>
      <c r="AQ3388" s="14"/>
      <c r="AR3388" s="14"/>
      <c r="AS3388" s="14"/>
      <c r="AT3388" s="14"/>
      <c r="AU3388" s="14"/>
      <c r="AV3388" s="14"/>
      <c r="AW3388" s="15"/>
      <c r="AX3388" s="16"/>
    </row>
    <row r="3389" spans="2:50" x14ac:dyDescent="0.2">
      <c r="B3389" s="7"/>
      <c r="C3389" s="8">
        <v>13873</v>
      </c>
      <c r="D3389" s="9" t="s">
        <v>935</v>
      </c>
      <c r="E3389" s="10" t="str">
        <f t="shared" si="252"/>
        <v>Rancho Landero No. 39</v>
      </c>
      <c r="F3389" s="10" t="str">
        <f t="shared" si="253"/>
        <v>Soto del Cueto</v>
      </c>
      <c r="G3389" s="8">
        <v>1</v>
      </c>
      <c r="H3389" s="11">
        <v>750</v>
      </c>
      <c r="I3389" s="12">
        <v>42785</v>
      </c>
      <c r="J3389" s="35">
        <f t="shared" si="254"/>
        <v>0</v>
      </c>
      <c r="K3389" s="36"/>
      <c r="L3389" s="36"/>
      <c r="M3389" s="36"/>
      <c r="N3389" s="36"/>
      <c r="O3389" s="36"/>
      <c r="P3389" s="36"/>
      <c r="Q3389" s="36"/>
      <c r="R3389" s="36"/>
      <c r="S3389" s="36"/>
      <c r="T3389" s="36"/>
      <c r="U3389" s="36">
        <v>250</v>
      </c>
      <c r="V3389" s="36">
        <v>250</v>
      </c>
      <c r="W3389" s="15">
        <f t="shared" si="255"/>
        <v>500</v>
      </c>
      <c r="X3389" s="36">
        <v>250</v>
      </c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15">
        <f t="shared" si="256"/>
        <v>250</v>
      </c>
      <c r="AK3389" s="14"/>
      <c r="AL3389" s="14"/>
      <c r="AM3389" s="14"/>
      <c r="AN3389" s="14"/>
      <c r="AO3389" s="14"/>
      <c r="AP3389" s="14"/>
      <c r="AQ3389" s="14"/>
      <c r="AR3389" s="14"/>
      <c r="AS3389" s="14"/>
      <c r="AT3389" s="14"/>
      <c r="AU3389" s="14"/>
      <c r="AV3389" s="14"/>
      <c r="AW3389" s="15"/>
      <c r="AX3389" s="16"/>
    </row>
    <row r="3390" spans="2:50" x14ac:dyDescent="0.2">
      <c r="B3390" s="7"/>
      <c r="C3390" s="8">
        <v>13874</v>
      </c>
      <c r="D3390" s="9" t="s">
        <v>941</v>
      </c>
      <c r="E3390" s="10" t="str">
        <f t="shared" si="252"/>
        <v>Rancho Landero No. 29</v>
      </c>
      <c r="F3390" s="10" t="str">
        <f t="shared" si="253"/>
        <v>Ulrich Cervantes</v>
      </c>
      <c r="G3390" s="8">
        <v>1</v>
      </c>
      <c r="H3390" s="11">
        <v>200</v>
      </c>
      <c r="I3390" s="12">
        <v>42785</v>
      </c>
      <c r="J3390" s="35">
        <f t="shared" si="254"/>
        <v>0</v>
      </c>
      <c r="K3390" s="36"/>
      <c r="L3390" s="36"/>
      <c r="M3390" s="36"/>
      <c r="N3390" s="36"/>
      <c r="O3390" s="36"/>
      <c r="P3390" s="36"/>
      <c r="Q3390" s="36"/>
      <c r="R3390" s="36"/>
      <c r="S3390" s="36"/>
      <c r="T3390" s="36"/>
      <c r="U3390" s="36"/>
      <c r="V3390" s="36"/>
      <c r="W3390" s="15">
        <f t="shared" si="255"/>
        <v>0</v>
      </c>
      <c r="X3390" s="36">
        <v>200</v>
      </c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15">
        <f t="shared" si="256"/>
        <v>200</v>
      </c>
      <c r="AK3390" s="14"/>
      <c r="AL3390" s="14"/>
      <c r="AM3390" s="14"/>
      <c r="AN3390" s="14"/>
      <c r="AO3390" s="14"/>
      <c r="AP3390" s="14"/>
      <c r="AQ3390" s="14"/>
      <c r="AR3390" s="14"/>
      <c r="AS3390" s="14"/>
      <c r="AT3390" s="14"/>
      <c r="AU3390" s="14"/>
      <c r="AV3390" s="14"/>
      <c r="AW3390" s="15"/>
      <c r="AX3390" s="16"/>
    </row>
    <row r="3391" spans="2:50" x14ac:dyDescent="0.2">
      <c r="B3391" s="7"/>
      <c r="C3391" s="8">
        <v>13875</v>
      </c>
      <c r="D3391" s="9" t="s">
        <v>661</v>
      </c>
      <c r="E3391" s="10" t="str">
        <f t="shared" si="252"/>
        <v>Rancho Landero No. 101</v>
      </c>
      <c r="F3391" s="10" t="str">
        <f t="shared" si="253"/>
        <v>Ramírez</v>
      </c>
      <c r="G3391" s="8">
        <v>1</v>
      </c>
      <c r="H3391" s="11">
        <v>2000</v>
      </c>
      <c r="I3391" s="12">
        <v>42785</v>
      </c>
      <c r="J3391" s="35">
        <f t="shared" si="254"/>
        <v>0</v>
      </c>
      <c r="K3391" s="36"/>
      <c r="L3391" s="36"/>
      <c r="M3391" s="36"/>
      <c r="N3391" s="36"/>
      <c r="O3391" s="36"/>
      <c r="P3391" s="36"/>
      <c r="Q3391" s="36"/>
      <c r="R3391" s="36"/>
      <c r="S3391" s="36"/>
      <c r="T3391" s="36"/>
      <c r="U3391" s="36"/>
      <c r="V3391" s="36">
        <v>400</v>
      </c>
      <c r="W3391" s="15">
        <f t="shared" si="255"/>
        <v>400</v>
      </c>
      <c r="X3391" s="36">
        <v>400</v>
      </c>
      <c r="Y3391" s="36">
        <v>400</v>
      </c>
      <c r="Z3391" s="36">
        <v>400</v>
      </c>
      <c r="AA3391" s="36">
        <v>400</v>
      </c>
      <c r="AB3391" s="36"/>
      <c r="AC3391" s="36"/>
      <c r="AD3391" s="36"/>
      <c r="AE3391" s="36"/>
      <c r="AF3391" s="36"/>
      <c r="AG3391" s="36"/>
      <c r="AH3391" s="36"/>
      <c r="AI3391" s="36"/>
      <c r="AJ3391" s="15">
        <f t="shared" si="256"/>
        <v>1600</v>
      </c>
      <c r="AK3391" s="14"/>
      <c r="AL3391" s="14"/>
      <c r="AM3391" s="14"/>
      <c r="AN3391" s="14"/>
      <c r="AO3391" s="14"/>
      <c r="AP3391" s="14"/>
      <c r="AQ3391" s="14"/>
      <c r="AR3391" s="14"/>
      <c r="AS3391" s="14"/>
      <c r="AT3391" s="14"/>
      <c r="AU3391" s="14"/>
      <c r="AV3391" s="14"/>
      <c r="AW3391" s="15"/>
      <c r="AX3391" s="16"/>
    </row>
    <row r="3392" spans="2:50" x14ac:dyDescent="0.2">
      <c r="B3392" s="7"/>
      <c r="C3392" s="8">
        <v>13876</v>
      </c>
      <c r="D3392" s="9"/>
      <c r="E3392" s="10" t="str">
        <f t="shared" si="252"/>
        <v/>
      </c>
      <c r="F3392" s="10" t="str">
        <f t="shared" si="253"/>
        <v/>
      </c>
      <c r="G3392" s="8">
        <v>8</v>
      </c>
      <c r="H3392" s="11"/>
      <c r="I3392" s="12"/>
      <c r="J3392" s="35">
        <f t="shared" si="254"/>
        <v>0</v>
      </c>
      <c r="K3392" s="36"/>
      <c r="L3392" s="36"/>
      <c r="M3392" s="36"/>
      <c r="N3392" s="36"/>
      <c r="O3392" s="36"/>
      <c r="P3392" s="36"/>
      <c r="Q3392" s="36"/>
      <c r="R3392" s="36"/>
      <c r="S3392" s="36"/>
      <c r="T3392" s="36"/>
      <c r="U3392" s="36"/>
      <c r="V3392" s="36"/>
      <c r="W3392" s="15">
        <f t="shared" si="255"/>
        <v>0</v>
      </c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15">
        <f t="shared" si="256"/>
        <v>0</v>
      </c>
      <c r="AK3392" s="14"/>
      <c r="AL3392" s="14"/>
      <c r="AM3392" s="14"/>
      <c r="AN3392" s="14"/>
      <c r="AO3392" s="14"/>
      <c r="AP3392" s="14"/>
      <c r="AQ3392" s="14"/>
      <c r="AR3392" s="14"/>
      <c r="AS3392" s="14"/>
      <c r="AT3392" s="14"/>
      <c r="AU3392" s="14"/>
      <c r="AV3392" s="14"/>
      <c r="AW3392" s="15"/>
      <c r="AX3392" s="16"/>
    </row>
    <row r="3393" spans="2:50" x14ac:dyDescent="0.2">
      <c r="B3393" s="7"/>
      <c r="C3393" s="8">
        <v>13877</v>
      </c>
      <c r="D3393" s="9" t="s">
        <v>614</v>
      </c>
      <c r="E3393" s="10" t="str">
        <f t="shared" si="252"/>
        <v>Rancho La Cuchilla No. 82</v>
      </c>
      <c r="F3393" s="10" t="str">
        <f t="shared" si="253"/>
        <v>Cruz</v>
      </c>
      <c r="G3393" s="8">
        <v>1</v>
      </c>
      <c r="H3393" s="11">
        <v>800</v>
      </c>
      <c r="I3393" s="12">
        <v>42785</v>
      </c>
      <c r="J3393" s="35">
        <f t="shared" si="254"/>
        <v>0</v>
      </c>
      <c r="K3393" s="36"/>
      <c r="L3393" s="36"/>
      <c r="M3393" s="36"/>
      <c r="N3393" s="36"/>
      <c r="O3393" s="36"/>
      <c r="P3393" s="36"/>
      <c r="Q3393" s="36"/>
      <c r="R3393" s="36"/>
      <c r="S3393" s="36"/>
      <c r="T3393" s="36"/>
      <c r="U3393" s="36"/>
      <c r="V3393" s="36"/>
      <c r="W3393" s="15">
        <f t="shared" si="255"/>
        <v>0</v>
      </c>
      <c r="X3393" s="36">
        <v>400</v>
      </c>
      <c r="Y3393" s="36">
        <v>400</v>
      </c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15">
        <f t="shared" si="256"/>
        <v>800</v>
      </c>
      <c r="AK3393" s="14"/>
      <c r="AL3393" s="14"/>
      <c r="AM3393" s="14"/>
      <c r="AN3393" s="14"/>
      <c r="AO3393" s="14"/>
      <c r="AP3393" s="14"/>
      <c r="AQ3393" s="14"/>
      <c r="AR3393" s="14"/>
      <c r="AS3393" s="14"/>
      <c r="AT3393" s="14"/>
      <c r="AU3393" s="14"/>
      <c r="AV3393" s="14"/>
      <c r="AW3393" s="15"/>
      <c r="AX3393" s="16"/>
    </row>
    <row r="3394" spans="2:50" x14ac:dyDescent="0.2">
      <c r="B3394" s="7"/>
      <c r="C3394" s="8">
        <v>13878</v>
      </c>
      <c r="D3394" s="9" t="s">
        <v>864</v>
      </c>
      <c r="E3394" s="10" t="str">
        <f t="shared" si="252"/>
        <v>Rancho Upácuaro No. 40</v>
      </c>
      <c r="F3394" s="10" t="str">
        <f t="shared" si="253"/>
        <v>López Ramírez</v>
      </c>
      <c r="G3394" s="8">
        <v>1</v>
      </c>
      <c r="H3394" s="11">
        <v>900</v>
      </c>
      <c r="I3394" s="12">
        <v>42785</v>
      </c>
      <c r="J3394" s="35">
        <f t="shared" si="254"/>
        <v>0</v>
      </c>
      <c r="K3394" s="36"/>
      <c r="L3394" s="36"/>
      <c r="M3394" s="36"/>
      <c r="N3394" s="36"/>
      <c r="O3394" s="36"/>
      <c r="P3394" s="36"/>
      <c r="Q3394" s="36"/>
      <c r="R3394" s="36"/>
      <c r="S3394" s="36"/>
      <c r="T3394" s="36">
        <v>300</v>
      </c>
      <c r="U3394" s="36">
        <v>300</v>
      </c>
      <c r="V3394" s="36">
        <v>300</v>
      </c>
      <c r="W3394" s="15">
        <f t="shared" si="255"/>
        <v>900</v>
      </c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15">
        <f t="shared" si="256"/>
        <v>0</v>
      </c>
      <c r="AK3394" s="14"/>
      <c r="AL3394" s="14"/>
      <c r="AM3394" s="14"/>
      <c r="AN3394" s="14"/>
      <c r="AO3394" s="14"/>
      <c r="AP3394" s="14"/>
      <c r="AQ3394" s="14"/>
      <c r="AR3394" s="14"/>
      <c r="AS3394" s="14"/>
      <c r="AT3394" s="14"/>
      <c r="AU3394" s="14"/>
      <c r="AV3394" s="14"/>
      <c r="AW3394" s="15"/>
      <c r="AX3394" s="16"/>
    </row>
    <row r="3395" spans="2:50" x14ac:dyDescent="0.2">
      <c r="B3395" s="7"/>
      <c r="C3395" s="8">
        <v>13879</v>
      </c>
      <c r="D3395" s="9" t="s">
        <v>893</v>
      </c>
      <c r="E3395" s="10" t="str">
        <f t="shared" si="252"/>
        <v>Rancho Upácuaro No. 136</v>
      </c>
      <c r="F3395" s="10" t="str">
        <f t="shared" si="253"/>
        <v>López Lena</v>
      </c>
      <c r="G3395" s="8">
        <v>1</v>
      </c>
      <c r="H3395" s="11">
        <v>800</v>
      </c>
      <c r="I3395" s="12">
        <v>42785</v>
      </c>
      <c r="J3395" s="35">
        <f t="shared" si="254"/>
        <v>0</v>
      </c>
      <c r="K3395" s="36"/>
      <c r="L3395" s="36"/>
      <c r="M3395" s="36"/>
      <c r="N3395" s="36"/>
      <c r="O3395" s="36"/>
      <c r="P3395" s="36"/>
      <c r="Q3395" s="36"/>
      <c r="R3395" s="36"/>
      <c r="S3395" s="36"/>
      <c r="T3395" s="36"/>
      <c r="U3395" s="36"/>
      <c r="V3395" s="36"/>
      <c r="W3395" s="15">
        <f t="shared" si="255"/>
        <v>0</v>
      </c>
      <c r="X3395" s="36">
        <v>400</v>
      </c>
      <c r="Y3395" s="36">
        <v>400</v>
      </c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15">
        <f t="shared" si="256"/>
        <v>800</v>
      </c>
      <c r="AK3395" s="14"/>
      <c r="AL3395" s="14"/>
      <c r="AM3395" s="14"/>
      <c r="AN3395" s="14"/>
      <c r="AO3395" s="14"/>
      <c r="AP3395" s="14"/>
      <c r="AQ3395" s="14"/>
      <c r="AR3395" s="14"/>
      <c r="AS3395" s="14"/>
      <c r="AT3395" s="14"/>
      <c r="AU3395" s="14"/>
      <c r="AV3395" s="14"/>
      <c r="AW3395" s="15"/>
      <c r="AX3395" s="16"/>
    </row>
    <row r="3396" spans="2:50" x14ac:dyDescent="0.2">
      <c r="B3396" s="7"/>
      <c r="C3396" s="8">
        <v>13880</v>
      </c>
      <c r="D3396" s="9" t="s">
        <v>87</v>
      </c>
      <c r="E3396" s="10" t="str">
        <f t="shared" si="252"/>
        <v>Rancho Zinamba No. 36</v>
      </c>
      <c r="F3396" s="10" t="str">
        <f t="shared" si="253"/>
        <v>Rodríguez Ortiz</v>
      </c>
      <c r="G3396" s="8">
        <v>1</v>
      </c>
      <c r="H3396" s="11">
        <v>400</v>
      </c>
      <c r="I3396" s="12">
        <v>42785</v>
      </c>
      <c r="J3396" s="35">
        <f t="shared" si="254"/>
        <v>0</v>
      </c>
      <c r="K3396" s="36"/>
      <c r="L3396" s="36"/>
      <c r="M3396" s="36"/>
      <c r="N3396" s="36"/>
      <c r="O3396" s="36"/>
      <c r="P3396" s="36"/>
      <c r="Q3396" s="36"/>
      <c r="R3396" s="36"/>
      <c r="S3396" s="36"/>
      <c r="T3396" s="36"/>
      <c r="U3396" s="36"/>
      <c r="V3396" s="36"/>
      <c r="W3396" s="15">
        <f t="shared" si="255"/>
        <v>0</v>
      </c>
      <c r="X3396" s="36"/>
      <c r="Y3396" s="36">
        <v>400</v>
      </c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15">
        <f t="shared" si="256"/>
        <v>400</v>
      </c>
      <c r="AK3396" s="14"/>
      <c r="AL3396" s="14"/>
      <c r="AM3396" s="14"/>
      <c r="AN3396" s="14"/>
      <c r="AO3396" s="14"/>
      <c r="AP3396" s="14"/>
      <c r="AQ3396" s="14"/>
      <c r="AR3396" s="14"/>
      <c r="AS3396" s="14"/>
      <c r="AT3396" s="14"/>
      <c r="AU3396" s="14"/>
      <c r="AV3396" s="14"/>
      <c r="AW3396" s="15"/>
      <c r="AX3396" s="16"/>
    </row>
    <row r="3397" spans="2:50" x14ac:dyDescent="0.2">
      <c r="B3397" s="7"/>
      <c r="C3397" s="8">
        <v>13881</v>
      </c>
      <c r="D3397" s="9" t="s">
        <v>834</v>
      </c>
      <c r="E3397" s="10" t="str">
        <f t="shared" si="252"/>
        <v>Rancho Upácuaro No. 110</v>
      </c>
      <c r="F3397" s="10" t="str">
        <f t="shared" si="253"/>
        <v>Ruiz Mijangos</v>
      </c>
      <c r="G3397" s="8">
        <v>1</v>
      </c>
      <c r="H3397" s="11">
        <v>300</v>
      </c>
      <c r="I3397" s="12">
        <v>42785</v>
      </c>
      <c r="J3397" s="35">
        <f t="shared" si="254"/>
        <v>0</v>
      </c>
      <c r="K3397" s="36"/>
      <c r="L3397" s="36"/>
      <c r="M3397" s="36"/>
      <c r="N3397" s="36"/>
      <c r="O3397" s="36"/>
      <c r="P3397" s="36"/>
      <c r="Q3397" s="36"/>
      <c r="R3397" s="36"/>
      <c r="S3397" s="36"/>
      <c r="T3397" s="36"/>
      <c r="U3397" s="36"/>
      <c r="V3397" s="36"/>
      <c r="W3397" s="15">
        <f t="shared" si="255"/>
        <v>0</v>
      </c>
      <c r="X3397" s="36">
        <v>300</v>
      </c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15">
        <f t="shared" si="256"/>
        <v>300</v>
      </c>
      <c r="AK3397" s="14"/>
      <c r="AL3397" s="14"/>
      <c r="AM3397" s="14"/>
      <c r="AN3397" s="14"/>
      <c r="AO3397" s="14"/>
      <c r="AP3397" s="14"/>
      <c r="AQ3397" s="14"/>
      <c r="AR3397" s="14"/>
      <c r="AS3397" s="14"/>
      <c r="AT3397" s="14"/>
      <c r="AU3397" s="14"/>
      <c r="AV3397" s="14"/>
      <c r="AW3397" s="15"/>
      <c r="AX3397" s="16"/>
    </row>
    <row r="3398" spans="2:50" x14ac:dyDescent="0.2">
      <c r="B3398" s="7"/>
      <c r="C3398" s="8">
        <v>13882</v>
      </c>
      <c r="D3398" s="9" t="s">
        <v>902</v>
      </c>
      <c r="E3398" s="10" t="str">
        <f t="shared" si="252"/>
        <v>Rancho Romeral No. 33</v>
      </c>
      <c r="F3398" s="10" t="str">
        <f t="shared" si="253"/>
        <v>Juárez Alva</v>
      </c>
      <c r="G3398" s="8">
        <v>1</v>
      </c>
      <c r="H3398" s="11">
        <v>400</v>
      </c>
      <c r="I3398" s="12">
        <v>42785</v>
      </c>
      <c r="J3398" s="35">
        <f t="shared" si="254"/>
        <v>0</v>
      </c>
      <c r="K3398" s="36"/>
      <c r="L3398" s="36"/>
      <c r="M3398" s="36"/>
      <c r="N3398" s="36"/>
      <c r="O3398" s="36"/>
      <c r="P3398" s="36"/>
      <c r="Q3398" s="36"/>
      <c r="R3398" s="36"/>
      <c r="S3398" s="36"/>
      <c r="T3398" s="36"/>
      <c r="U3398" s="36"/>
      <c r="V3398" s="36">
        <v>400</v>
      </c>
      <c r="W3398" s="15">
        <f t="shared" si="255"/>
        <v>400</v>
      </c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15">
        <f t="shared" si="256"/>
        <v>0</v>
      </c>
      <c r="AK3398" s="14"/>
      <c r="AL3398" s="14"/>
      <c r="AM3398" s="14"/>
      <c r="AN3398" s="14"/>
      <c r="AO3398" s="14"/>
      <c r="AP3398" s="14"/>
      <c r="AQ3398" s="14"/>
      <c r="AR3398" s="14"/>
      <c r="AS3398" s="14"/>
      <c r="AT3398" s="14"/>
      <c r="AU3398" s="14"/>
      <c r="AV3398" s="14"/>
      <c r="AW3398" s="15"/>
      <c r="AX3398" s="16"/>
    </row>
    <row r="3399" spans="2:50" x14ac:dyDescent="0.2">
      <c r="B3399" s="7"/>
      <c r="C3399" s="8">
        <v>13863</v>
      </c>
      <c r="D3399" s="9" t="s">
        <v>902</v>
      </c>
      <c r="E3399" s="10" t="str">
        <f t="shared" si="252"/>
        <v>Rancho Romeral No. 33</v>
      </c>
      <c r="F3399" s="10" t="str">
        <f t="shared" si="253"/>
        <v>Juárez Alva</v>
      </c>
      <c r="G3399" s="8">
        <v>5</v>
      </c>
      <c r="H3399" s="11">
        <v>50</v>
      </c>
      <c r="I3399" s="12">
        <v>42785</v>
      </c>
      <c r="J3399" s="35">
        <f t="shared" si="254"/>
        <v>0</v>
      </c>
      <c r="K3399" s="36"/>
      <c r="L3399" s="36"/>
      <c r="M3399" s="36"/>
      <c r="N3399" s="36"/>
      <c r="O3399" s="36"/>
      <c r="P3399" s="36"/>
      <c r="Q3399" s="36"/>
      <c r="R3399" s="36"/>
      <c r="S3399" s="36"/>
      <c r="T3399" s="36"/>
      <c r="U3399" s="36"/>
      <c r="V3399" s="36"/>
      <c r="W3399" s="15">
        <f t="shared" si="255"/>
        <v>0</v>
      </c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15">
        <f t="shared" si="256"/>
        <v>0</v>
      </c>
      <c r="AK3399" s="14"/>
      <c r="AL3399" s="14"/>
      <c r="AM3399" s="14"/>
      <c r="AN3399" s="14"/>
      <c r="AO3399" s="14"/>
      <c r="AP3399" s="14"/>
      <c r="AQ3399" s="14"/>
      <c r="AR3399" s="14"/>
      <c r="AS3399" s="14"/>
      <c r="AT3399" s="14"/>
      <c r="AU3399" s="14"/>
      <c r="AV3399" s="14"/>
      <c r="AW3399" s="15"/>
      <c r="AX3399" s="16"/>
    </row>
    <row r="3400" spans="2:50" x14ac:dyDescent="0.2">
      <c r="B3400" s="7"/>
      <c r="C3400" s="8">
        <v>13884</v>
      </c>
      <c r="D3400" s="9" t="s">
        <v>731</v>
      </c>
      <c r="E3400" s="10" t="str">
        <f t="shared" si="252"/>
        <v>Rancho Estanzuela No. 133</v>
      </c>
      <c r="F3400" s="10" t="str">
        <f t="shared" si="253"/>
        <v>Hernández Salazar</v>
      </c>
      <c r="G3400" s="8">
        <v>1</v>
      </c>
      <c r="H3400" s="11">
        <v>600</v>
      </c>
      <c r="I3400" s="12">
        <v>42785</v>
      </c>
      <c r="J3400" s="35">
        <f t="shared" si="254"/>
        <v>0</v>
      </c>
      <c r="K3400" s="36"/>
      <c r="L3400" s="36"/>
      <c r="M3400" s="36"/>
      <c r="N3400" s="36"/>
      <c r="O3400" s="36"/>
      <c r="P3400" s="36"/>
      <c r="Q3400" s="36"/>
      <c r="R3400" s="36"/>
      <c r="S3400" s="36"/>
      <c r="T3400" s="36"/>
      <c r="U3400" s="36"/>
      <c r="V3400" s="36">
        <v>300</v>
      </c>
      <c r="W3400" s="15">
        <f t="shared" si="255"/>
        <v>300</v>
      </c>
      <c r="X3400" s="36">
        <v>300</v>
      </c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15">
        <f t="shared" si="256"/>
        <v>300</v>
      </c>
      <c r="AK3400" s="14"/>
      <c r="AL3400" s="14"/>
      <c r="AM3400" s="14"/>
      <c r="AN3400" s="14"/>
      <c r="AO3400" s="14"/>
      <c r="AP3400" s="14"/>
      <c r="AQ3400" s="14"/>
      <c r="AR3400" s="14"/>
      <c r="AS3400" s="14"/>
      <c r="AT3400" s="14"/>
      <c r="AU3400" s="14"/>
      <c r="AV3400" s="14"/>
      <c r="AW3400" s="15"/>
      <c r="AX3400" s="16"/>
    </row>
    <row r="3401" spans="2:50" x14ac:dyDescent="0.2">
      <c r="B3401" s="7"/>
      <c r="C3401" s="8">
        <v>13885</v>
      </c>
      <c r="D3401" s="9" t="s">
        <v>655</v>
      </c>
      <c r="E3401" s="10" t="str">
        <f t="shared" si="252"/>
        <v>Rancho La Cuchilla No. 115</v>
      </c>
      <c r="F3401" s="10" t="str">
        <f t="shared" si="253"/>
        <v>Alfaro</v>
      </c>
      <c r="G3401" s="8">
        <v>1</v>
      </c>
      <c r="H3401" s="11">
        <v>400</v>
      </c>
      <c r="I3401" s="12">
        <v>42785</v>
      </c>
      <c r="J3401" s="35">
        <f t="shared" si="254"/>
        <v>0</v>
      </c>
      <c r="K3401" s="36"/>
      <c r="L3401" s="36"/>
      <c r="M3401" s="36"/>
      <c r="N3401" s="36"/>
      <c r="O3401" s="36"/>
      <c r="P3401" s="36"/>
      <c r="Q3401" s="36"/>
      <c r="R3401" s="36"/>
      <c r="S3401" s="36"/>
      <c r="T3401" s="36"/>
      <c r="U3401" s="36"/>
      <c r="V3401" s="36">
        <v>400</v>
      </c>
      <c r="W3401" s="15">
        <f t="shared" si="255"/>
        <v>400</v>
      </c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15">
        <f t="shared" si="256"/>
        <v>0</v>
      </c>
      <c r="AK3401" s="14"/>
      <c r="AL3401" s="14"/>
      <c r="AM3401" s="14"/>
      <c r="AN3401" s="14"/>
      <c r="AO3401" s="14"/>
      <c r="AP3401" s="14"/>
      <c r="AQ3401" s="14"/>
      <c r="AR3401" s="14"/>
      <c r="AS3401" s="14"/>
      <c r="AT3401" s="14"/>
      <c r="AU3401" s="14"/>
      <c r="AV3401" s="14"/>
      <c r="AW3401" s="15"/>
      <c r="AX3401" s="16"/>
    </row>
    <row r="3402" spans="2:50" x14ac:dyDescent="0.2">
      <c r="B3402" s="7"/>
      <c r="C3402" s="8">
        <v>13886</v>
      </c>
      <c r="D3402" s="9" t="s">
        <v>491</v>
      </c>
      <c r="E3402" s="10" t="str">
        <f t="shared" si="252"/>
        <v>Rancho Landero No. 70</v>
      </c>
      <c r="F3402" s="10" t="str">
        <f t="shared" si="253"/>
        <v>Olguín</v>
      </c>
      <c r="G3402" s="8">
        <v>1</v>
      </c>
      <c r="H3402" s="11">
        <v>1200</v>
      </c>
      <c r="I3402" s="12">
        <v>42785</v>
      </c>
      <c r="J3402" s="35">
        <f t="shared" si="254"/>
        <v>0</v>
      </c>
      <c r="K3402" s="36"/>
      <c r="L3402" s="36"/>
      <c r="M3402" s="36"/>
      <c r="N3402" s="36"/>
      <c r="O3402" s="36"/>
      <c r="P3402" s="36"/>
      <c r="Q3402" s="36"/>
      <c r="R3402" s="36"/>
      <c r="S3402" s="36"/>
      <c r="T3402" s="36"/>
      <c r="U3402" s="36"/>
      <c r="V3402" s="36"/>
      <c r="W3402" s="15">
        <f t="shared" si="255"/>
        <v>0</v>
      </c>
      <c r="X3402" s="36">
        <v>100</v>
      </c>
      <c r="Y3402" s="36">
        <v>100</v>
      </c>
      <c r="Z3402" s="36">
        <v>100</v>
      </c>
      <c r="AA3402" s="36">
        <v>100</v>
      </c>
      <c r="AB3402" s="36">
        <v>100</v>
      </c>
      <c r="AC3402" s="36">
        <v>100</v>
      </c>
      <c r="AD3402" s="36">
        <v>100</v>
      </c>
      <c r="AE3402" s="36">
        <v>100</v>
      </c>
      <c r="AF3402" s="36">
        <v>100</v>
      </c>
      <c r="AG3402" s="36">
        <v>100</v>
      </c>
      <c r="AH3402" s="36">
        <v>100</v>
      </c>
      <c r="AI3402" s="36">
        <v>100</v>
      </c>
      <c r="AJ3402" s="15">
        <f t="shared" si="256"/>
        <v>1200</v>
      </c>
      <c r="AK3402" s="14"/>
      <c r="AL3402" s="14"/>
      <c r="AM3402" s="14"/>
      <c r="AN3402" s="14"/>
      <c r="AO3402" s="14"/>
      <c r="AP3402" s="14"/>
      <c r="AQ3402" s="14"/>
      <c r="AR3402" s="14"/>
      <c r="AS3402" s="14"/>
      <c r="AT3402" s="14"/>
      <c r="AU3402" s="14"/>
      <c r="AV3402" s="14"/>
      <c r="AW3402" s="15"/>
      <c r="AX3402" s="16"/>
    </row>
    <row r="3403" spans="2:50" x14ac:dyDescent="0.2">
      <c r="B3403" s="7"/>
      <c r="C3403" s="8">
        <v>13887</v>
      </c>
      <c r="D3403" s="9" t="s">
        <v>780</v>
      </c>
      <c r="E3403" s="10" t="str">
        <f t="shared" si="252"/>
        <v>Rancho Landero No. 72</v>
      </c>
      <c r="F3403" s="10" t="str">
        <f t="shared" si="253"/>
        <v>Olguín</v>
      </c>
      <c r="G3403" s="8">
        <v>1</v>
      </c>
      <c r="H3403" s="11">
        <v>1200</v>
      </c>
      <c r="I3403" s="12">
        <v>42785</v>
      </c>
      <c r="J3403" s="35">
        <f t="shared" si="254"/>
        <v>0</v>
      </c>
      <c r="K3403" s="36"/>
      <c r="L3403" s="36"/>
      <c r="M3403" s="36"/>
      <c r="N3403" s="36"/>
      <c r="O3403" s="36"/>
      <c r="P3403" s="36"/>
      <c r="Q3403" s="36"/>
      <c r="R3403" s="36"/>
      <c r="S3403" s="36"/>
      <c r="T3403" s="36"/>
      <c r="U3403" s="36"/>
      <c r="V3403" s="36"/>
      <c r="W3403" s="15">
        <f t="shared" si="255"/>
        <v>0</v>
      </c>
      <c r="X3403" s="36">
        <v>100</v>
      </c>
      <c r="Y3403" s="36">
        <v>100</v>
      </c>
      <c r="Z3403" s="36">
        <v>100</v>
      </c>
      <c r="AA3403" s="36">
        <v>100</v>
      </c>
      <c r="AB3403" s="36">
        <v>100</v>
      </c>
      <c r="AC3403" s="36">
        <v>100</v>
      </c>
      <c r="AD3403" s="36">
        <v>100</v>
      </c>
      <c r="AE3403" s="36">
        <v>100</v>
      </c>
      <c r="AF3403" s="36">
        <v>100</v>
      </c>
      <c r="AG3403" s="36">
        <v>100</v>
      </c>
      <c r="AH3403" s="36">
        <v>100</v>
      </c>
      <c r="AI3403" s="36">
        <v>100</v>
      </c>
      <c r="AJ3403" s="15">
        <f t="shared" si="256"/>
        <v>1200</v>
      </c>
      <c r="AK3403" s="14"/>
      <c r="AL3403" s="14"/>
      <c r="AM3403" s="14"/>
      <c r="AN3403" s="14"/>
      <c r="AO3403" s="14"/>
      <c r="AP3403" s="14"/>
      <c r="AQ3403" s="14"/>
      <c r="AR3403" s="14"/>
      <c r="AS3403" s="14"/>
      <c r="AT3403" s="14"/>
      <c r="AU3403" s="14"/>
      <c r="AV3403" s="14"/>
      <c r="AW3403" s="15"/>
      <c r="AX3403" s="16"/>
    </row>
    <row r="3404" spans="2:50" x14ac:dyDescent="0.2">
      <c r="B3404" s="7"/>
      <c r="C3404" s="8">
        <v>13888</v>
      </c>
      <c r="D3404" s="9" t="s">
        <v>364</v>
      </c>
      <c r="E3404" s="10" t="str">
        <f t="shared" si="252"/>
        <v>Rancho Landero No. 37</v>
      </c>
      <c r="F3404" s="10" t="str">
        <f t="shared" si="253"/>
        <v>Hernández</v>
      </c>
      <c r="G3404" s="8">
        <v>1</v>
      </c>
      <c r="H3404" s="11">
        <v>900</v>
      </c>
      <c r="I3404" s="12">
        <v>42785</v>
      </c>
      <c r="J3404" s="35">
        <f t="shared" si="254"/>
        <v>0</v>
      </c>
      <c r="K3404" s="36"/>
      <c r="L3404" s="36"/>
      <c r="M3404" s="36"/>
      <c r="N3404" s="36"/>
      <c r="O3404" s="36"/>
      <c r="P3404" s="36"/>
      <c r="Q3404" s="36"/>
      <c r="R3404" s="36"/>
      <c r="S3404" s="36"/>
      <c r="T3404" s="36"/>
      <c r="U3404" s="36"/>
      <c r="V3404" s="36">
        <v>300</v>
      </c>
      <c r="W3404" s="15">
        <f t="shared" si="255"/>
        <v>300</v>
      </c>
      <c r="X3404" s="36">
        <v>300</v>
      </c>
      <c r="Y3404" s="36">
        <v>300</v>
      </c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15">
        <f t="shared" si="256"/>
        <v>600</v>
      </c>
      <c r="AK3404" s="14"/>
      <c r="AL3404" s="14"/>
      <c r="AM3404" s="14"/>
      <c r="AN3404" s="14"/>
      <c r="AO3404" s="14"/>
      <c r="AP3404" s="14"/>
      <c r="AQ3404" s="14"/>
      <c r="AR3404" s="14"/>
      <c r="AS3404" s="14"/>
      <c r="AT3404" s="14"/>
      <c r="AU3404" s="14"/>
      <c r="AV3404" s="14"/>
      <c r="AW3404" s="15"/>
      <c r="AX3404" s="16"/>
    </row>
    <row r="3405" spans="2:50" x14ac:dyDescent="0.2">
      <c r="B3405" s="7"/>
      <c r="C3405" s="8">
        <v>13889</v>
      </c>
      <c r="D3405" s="9" t="s">
        <v>364</v>
      </c>
      <c r="E3405" s="10" t="str">
        <f t="shared" si="252"/>
        <v>Rancho Landero No. 37</v>
      </c>
      <c r="F3405" s="10" t="str">
        <f t="shared" si="253"/>
        <v>Hernández</v>
      </c>
      <c r="G3405" s="8">
        <v>5</v>
      </c>
      <c r="H3405" s="11">
        <v>50</v>
      </c>
      <c r="I3405" s="12">
        <v>42785</v>
      </c>
      <c r="J3405" s="35">
        <f t="shared" si="254"/>
        <v>0</v>
      </c>
      <c r="K3405" s="36"/>
      <c r="L3405" s="36"/>
      <c r="M3405" s="36"/>
      <c r="N3405" s="36"/>
      <c r="O3405" s="36"/>
      <c r="P3405" s="36"/>
      <c r="Q3405" s="36"/>
      <c r="R3405" s="36"/>
      <c r="S3405" s="36"/>
      <c r="T3405" s="36"/>
      <c r="U3405" s="36"/>
      <c r="V3405" s="36"/>
      <c r="W3405" s="15">
        <f t="shared" si="255"/>
        <v>0</v>
      </c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15">
        <f t="shared" si="256"/>
        <v>0</v>
      </c>
      <c r="AK3405" s="14"/>
      <c r="AL3405" s="14"/>
      <c r="AM3405" s="14"/>
      <c r="AN3405" s="14"/>
      <c r="AO3405" s="14"/>
      <c r="AP3405" s="14"/>
      <c r="AQ3405" s="14"/>
      <c r="AR3405" s="14"/>
      <c r="AS3405" s="14"/>
      <c r="AT3405" s="14"/>
      <c r="AU3405" s="14"/>
      <c r="AV3405" s="14"/>
      <c r="AW3405" s="15"/>
      <c r="AX3405" s="16"/>
    </row>
    <row r="3406" spans="2:50" x14ac:dyDescent="0.2">
      <c r="B3406" s="7"/>
      <c r="C3406" s="8">
        <v>13890</v>
      </c>
      <c r="D3406" s="9" t="s">
        <v>1039</v>
      </c>
      <c r="E3406" s="10" t="str">
        <f t="shared" si="252"/>
        <v>Rancho Upácuaro No. 77</v>
      </c>
      <c r="F3406" s="10" t="str">
        <f t="shared" si="253"/>
        <v>Alvarado</v>
      </c>
      <c r="G3406" s="8">
        <v>1</v>
      </c>
      <c r="H3406" s="11">
        <v>400</v>
      </c>
      <c r="I3406" s="12">
        <v>42785</v>
      </c>
      <c r="J3406" s="35">
        <f t="shared" si="254"/>
        <v>0</v>
      </c>
      <c r="K3406" s="36"/>
      <c r="L3406" s="36"/>
      <c r="M3406" s="36"/>
      <c r="N3406" s="36"/>
      <c r="O3406" s="36"/>
      <c r="P3406" s="36"/>
      <c r="Q3406" s="36"/>
      <c r="R3406" s="36"/>
      <c r="S3406" s="36"/>
      <c r="T3406" s="36"/>
      <c r="U3406" s="36"/>
      <c r="V3406" s="36"/>
      <c r="W3406" s="15">
        <f t="shared" si="255"/>
        <v>0</v>
      </c>
      <c r="X3406" s="36">
        <v>400</v>
      </c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15">
        <f t="shared" si="256"/>
        <v>400</v>
      </c>
      <c r="AK3406" s="14"/>
      <c r="AL3406" s="14"/>
      <c r="AM3406" s="14"/>
      <c r="AN3406" s="14"/>
      <c r="AO3406" s="14"/>
      <c r="AP3406" s="14"/>
      <c r="AQ3406" s="14"/>
      <c r="AR3406" s="14"/>
      <c r="AS3406" s="14"/>
      <c r="AT3406" s="14"/>
      <c r="AU3406" s="14"/>
      <c r="AV3406" s="14"/>
      <c r="AW3406" s="15"/>
      <c r="AX3406" s="16"/>
    </row>
    <row r="3407" spans="2:50" x14ac:dyDescent="0.2">
      <c r="B3407" s="7"/>
      <c r="C3407" s="8">
        <v>13891</v>
      </c>
      <c r="D3407" s="9" t="s">
        <v>1092</v>
      </c>
      <c r="E3407" s="10" t="str">
        <f t="shared" si="252"/>
        <v>Rancho Estanzuela No. 9, A</v>
      </c>
      <c r="F3407" s="10" t="str">
        <f t="shared" si="253"/>
        <v>Castañeda</v>
      </c>
      <c r="G3407" s="8">
        <v>1</v>
      </c>
      <c r="H3407" s="11">
        <v>400</v>
      </c>
      <c r="I3407" s="12">
        <v>42785</v>
      </c>
      <c r="J3407" s="35">
        <f t="shared" si="254"/>
        <v>0</v>
      </c>
      <c r="K3407" s="36"/>
      <c r="L3407" s="36"/>
      <c r="M3407" s="36"/>
      <c r="N3407" s="36"/>
      <c r="O3407" s="36"/>
      <c r="P3407" s="36"/>
      <c r="Q3407" s="36"/>
      <c r="R3407" s="36"/>
      <c r="S3407" s="36"/>
      <c r="T3407" s="36"/>
      <c r="U3407" s="36"/>
      <c r="V3407" s="36"/>
      <c r="W3407" s="15">
        <f t="shared" si="255"/>
        <v>0</v>
      </c>
      <c r="X3407" s="36">
        <v>200</v>
      </c>
      <c r="Y3407" s="36">
        <v>200</v>
      </c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15">
        <f t="shared" si="256"/>
        <v>400</v>
      </c>
      <c r="AK3407" s="14"/>
      <c r="AL3407" s="14"/>
      <c r="AM3407" s="14"/>
      <c r="AN3407" s="14"/>
      <c r="AO3407" s="14"/>
      <c r="AP3407" s="14"/>
      <c r="AQ3407" s="14"/>
      <c r="AR3407" s="14"/>
      <c r="AS3407" s="14"/>
      <c r="AT3407" s="14"/>
      <c r="AU3407" s="14"/>
      <c r="AV3407" s="14"/>
      <c r="AW3407" s="15"/>
      <c r="AX3407" s="316">
        <f>SUM(H3357:H3407)</f>
        <v>29725</v>
      </c>
    </row>
    <row r="3408" spans="2:50" x14ac:dyDescent="0.2">
      <c r="B3408" s="7"/>
      <c r="C3408" s="8">
        <v>13892</v>
      </c>
      <c r="D3408" s="9" t="s">
        <v>488</v>
      </c>
      <c r="E3408" s="10" t="str">
        <f t="shared" si="252"/>
        <v>Rancho Landero No. 85</v>
      </c>
      <c r="F3408" s="10" t="str">
        <f t="shared" si="253"/>
        <v>Martínez Olague</v>
      </c>
      <c r="G3408" s="8">
        <v>1</v>
      </c>
      <c r="H3408" s="315">
        <v>400</v>
      </c>
      <c r="I3408" s="12">
        <v>42787</v>
      </c>
      <c r="J3408" s="35">
        <f t="shared" si="254"/>
        <v>0</v>
      </c>
      <c r="K3408" s="36"/>
      <c r="L3408" s="36"/>
      <c r="M3408" s="36"/>
      <c r="N3408" s="36"/>
      <c r="O3408" s="36"/>
      <c r="P3408" s="36"/>
      <c r="Q3408" s="36"/>
      <c r="R3408" s="36"/>
      <c r="S3408" s="36"/>
      <c r="T3408" s="36"/>
      <c r="U3408" s="36"/>
      <c r="V3408" s="36"/>
      <c r="W3408" s="15">
        <f t="shared" si="255"/>
        <v>0</v>
      </c>
      <c r="X3408" s="36"/>
      <c r="Y3408" s="36">
        <v>400</v>
      </c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15">
        <f t="shared" si="256"/>
        <v>400</v>
      </c>
      <c r="AK3408" s="14"/>
      <c r="AL3408" s="14"/>
      <c r="AM3408" s="14"/>
      <c r="AN3408" s="14"/>
      <c r="AO3408" s="14"/>
      <c r="AP3408" s="14"/>
      <c r="AQ3408" s="14"/>
      <c r="AR3408" s="14"/>
      <c r="AS3408" s="14"/>
      <c r="AT3408" s="14"/>
      <c r="AU3408" s="14"/>
      <c r="AV3408" s="14"/>
      <c r="AW3408" s="15"/>
      <c r="AX3408" s="16"/>
    </row>
    <row r="3409" spans="2:50" x14ac:dyDescent="0.2">
      <c r="B3409" s="7"/>
      <c r="C3409" s="8">
        <v>13893</v>
      </c>
      <c r="D3409" s="9" t="s">
        <v>1417</v>
      </c>
      <c r="E3409" s="10" t="str">
        <f t="shared" si="252"/>
        <v>Rancho Upácuaro No. 34</v>
      </c>
      <c r="F3409" s="10" t="str">
        <f t="shared" si="253"/>
        <v>Gómez González</v>
      </c>
      <c r="G3409" s="8">
        <v>1</v>
      </c>
      <c r="H3409" s="11">
        <v>300</v>
      </c>
      <c r="I3409" s="12">
        <v>42788</v>
      </c>
      <c r="J3409" s="35">
        <f t="shared" si="254"/>
        <v>0</v>
      </c>
      <c r="K3409" s="36"/>
      <c r="L3409" s="36"/>
      <c r="M3409" s="36"/>
      <c r="N3409" s="36"/>
      <c r="O3409" s="36"/>
      <c r="P3409" s="36"/>
      <c r="Q3409" s="36"/>
      <c r="R3409" s="36"/>
      <c r="S3409" s="36"/>
      <c r="T3409" s="36"/>
      <c r="U3409" s="36"/>
      <c r="V3409" s="36"/>
      <c r="W3409" s="15">
        <f t="shared" si="255"/>
        <v>0</v>
      </c>
      <c r="X3409" s="36"/>
      <c r="Y3409" s="36">
        <v>300</v>
      </c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15">
        <f t="shared" si="256"/>
        <v>300</v>
      </c>
      <c r="AK3409" s="14"/>
      <c r="AL3409" s="14"/>
      <c r="AM3409" s="14"/>
      <c r="AN3409" s="14"/>
      <c r="AO3409" s="14"/>
      <c r="AP3409" s="14"/>
      <c r="AQ3409" s="14"/>
      <c r="AR3409" s="14"/>
      <c r="AS3409" s="14"/>
      <c r="AT3409" s="14"/>
      <c r="AU3409" s="14"/>
      <c r="AV3409" s="14"/>
      <c r="AW3409" s="15"/>
      <c r="AX3409" s="16"/>
    </row>
    <row r="3410" spans="2:50" x14ac:dyDescent="0.2">
      <c r="B3410" s="7"/>
      <c r="C3410" s="8">
        <v>13893</v>
      </c>
      <c r="D3410" s="9" t="s">
        <v>1417</v>
      </c>
      <c r="E3410" s="10" t="str">
        <f t="shared" si="252"/>
        <v>Rancho Upácuaro No. 34</v>
      </c>
      <c r="F3410" s="10" t="str">
        <f t="shared" si="253"/>
        <v>Gómez González</v>
      </c>
      <c r="G3410" s="8">
        <v>5</v>
      </c>
      <c r="H3410" s="11">
        <v>50</v>
      </c>
      <c r="I3410" s="12">
        <v>42788</v>
      </c>
      <c r="J3410" s="35">
        <f t="shared" si="254"/>
        <v>0</v>
      </c>
      <c r="K3410" s="36"/>
      <c r="L3410" s="36"/>
      <c r="M3410" s="36"/>
      <c r="N3410" s="36"/>
      <c r="O3410" s="36"/>
      <c r="P3410" s="36"/>
      <c r="Q3410" s="36"/>
      <c r="R3410" s="36"/>
      <c r="S3410" s="36"/>
      <c r="T3410" s="36"/>
      <c r="U3410" s="36"/>
      <c r="V3410" s="36"/>
      <c r="W3410" s="15">
        <f t="shared" si="255"/>
        <v>0</v>
      </c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15">
        <f t="shared" si="256"/>
        <v>0</v>
      </c>
      <c r="AK3410" s="14"/>
      <c r="AL3410" s="14"/>
      <c r="AM3410" s="14"/>
      <c r="AN3410" s="14"/>
      <c r="AO3410" s="14"/>
      <c r="AP3410" s="14"/>
      <c r="AQ3410" s="14"/>
      <c r="AR3410" s="14"/>
      <c r="AS3410" s="14"/>
      <c r="AT3410" s="14"/>
      <c r="AU3410" s="14"/>
      <c r="AV3410" s="14"/>
      <c r="AW3410" s="15"/>
      <c r="AX3410" s="16"/>
    </row>
    <row r="3411" spans="2:50" x14ac:dyDescent="0.2">
      <c r="B3411" s="7"/>
      <c r="C3411" s="8">
        <v>13894</v>
      </c>
      <c r="D3411" s="9" t="s">
        <v>598</v>
      </c>
      <c r="E3411" s="10" t="str">
        <f t="shared" si="252"/>
        <v>Rancho Estanzuela No. 21</v>
      </c>
      <c r="F3411" s="10" t="str">
        <f t="shared" si="253"/>
        <v>Morales</v>
      </c>
      <c r="G3411" s="8">
        <v>1</v>
      </c>
      <c r="H3411" s="11">
        <v>800</v>
      </c>
      <c r="I3411" s="12">
        <v>42788</v>
      </c>
      <c r="J3411" s="35">
        <f t="shared" si="254"/>
        <v>0</v>
      </c>
      <c r="K3411" s="36"/>
      <c r="L3411" s="36"/>
      <c r="M3411" s="36"/>
      <c r="N3411" s="36"/>
      <c r="O3411" s="36"/>
      <c r="P3411" s="36"/>
      <c r="Q3411" s="36"/>
      <c r="R3411" s="36"/>
      <c r="S3411" s="36"/>
      <c r="T3411" s="36"/>
      <c r="U3411" s="36"/>
      <c r="V3411" s="36"/>
      <c r="W3411" s="15">
        <f t="shared" si="255"/>
        <v>0</v>
      </c>
      <c r="X3411" s="36">
        <v>400</v>
      </c>
      <c r="Y3411" s="36">
        <v>400</v>
      </c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15">
        <f t="shared" si="256"/>
        <v>800</v>
      </c>
      <c r="AK3411" s="14"/>
      <c r="AL3411" s="14"/>
      <c r="AM3411" s="14"/>
      <c r="AN3411" s="14"/>
      <c r="AO3411" s="14"/>
      <c r="AP3411" s="14"/>
      <c r="AQ3411" s="14"/>
      <c r="AR3411" s="14"/>
      <c r="AS3411" s="14"/>
      <c r="AT3411" s="14"/>
      <c r="AU3411" s="14"/>
      <c r="AV3411" s="14"/>
      <c r="AW3411" s="15"/>
      <c r="AX3411" s="16"/>
    </row>
    <row r="3412" spans="2:50" x14ac:dyDescent="0.2">
      <c r="B3412" s="7"/>
      <c r="C3412" s="8">
        <v>13895</v>
      </c>
      <c r="D3412" s="9" t="s">
        <v>443</v>
      </c>
      <c r="E3412" s="10" t="str">
        <f t="shared" si="252"/>
        <v>Rancho Landero No. 11</v>
      </c>
      <c r="F3412" s="10" t="str">
        <f t="shared" si="253"/>
        <v>Reyes Robles</v>
      </c>
      <c r="G3412" s="8">
        <v>7</v>
      </c>
      <c r="H3412" s="11">
        <v>100</v>
      </c>
      <c r="I3412" s="12">
        <v>42789</v>
      </c>
      <c r="J3412" s="35">
        <f t="shared" si="254"/>
        <v>0</v>
      </c>
      <c r="K3412" s="36"/>
      <c r="L3412" s="36"/>
      <c r="M3412" s="36"/>
      <c r="N3412" s="36"/>
      <c r="O3412" s="36"/>
      <c r="P3412" s="36"/>
      <c r="Q3412" s="36"/>
      <c r="R3412" s="36"/>
      <c r="S3412" s="36"/>
      <c r="T3412" s="36"/>
      <c r="U3412" s="36"/>
      <c r="V3412" s="36"/>
      <c r="W3412" s="15">
        <f t="shared" si="255"/>
        <v>0</v>
      </c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15">
        <f t="shared" si="256"/>
        <v>0</v>
      </c>
      <c r="AK3412" s="14"/>
      <c r="AL3412" s="14"/>
      <c r="AM3412" s="14"/>
      <c r="AN3412" s="14"/>
      <c r="AO3412" s="14"/>
      <c r="AP3412" s="14"/>
      <c r="AQ3412" s="14"/>
      <c r="AR3412" s="14"/>
      <c r="AS3412" s="14"/>
      <c r="AT3412" s="14"/>
      <c r="AU3412" s="14"/>
      <c r="AV3412" s="14"/>
      <c r="AW3412" s="15"/>
      <c r="AX3412" s="16" t="s">
        <v>3533</v>
      </c>
    </row>
    <row r="3413" spans="2:50" x14ac:dyDescent="0.2">
      <c r="B3413" s="7"/>
      <c r="C3413" s="8">
        <v>13896</v>
      </c>
      <c r="D3413" s="9" t="s">
        <v>115</v>
      </c>
      <c r="E3413" s="10" t="str">
        <f t="shared" si="252"/>
        <v>Rancho Estanzuela No. 127</v>
      </c>
      <c r="F3413" s="10" t="str">
        <f t="shared" si="253"/>
        <v>Luna Zepeda</v>
      </c>
      <c r="G3413" s="8">
        <v>3</v>
      </c>
      <c r="H3413" s="11">
        <v>200</v>
      </c>
      <c r="I3413" s="12">
        <v>42789</v>
      </c>
      <c r="J3413" s="35">
        <f t="shared" si="254"/>
        <v>0</v>
      </c>
      <c r="K3413" s="36"/>
      <c r="L3413" s="36"/>
      <c r="M3413" s="36"/>
      <c r="N3413" s="36"/>
      <c r="O3413" s="36"/>
      <c r="P3413" s="36"/>
      <c r="Q3413" s="36"/>
      <c r="R3413" s="36"/>
      <c r="S3413" s="36"/>
      <c r="T3413" s="36"/>
      <c r="U3413" s="36"/>
      <c r="V3413" s="36"/>
      <c r="W3413" s="15">
        <f t="shared" si="255"/>
        <v>0</v>
      </c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15">
        <f t="shared" si="256"/>
        <v>0</v>
      </c>
      <c r="AK3413" s="14"/>
      <c r="AL3413" s="14"/>
      <c r="AM3413" s="14"/>
      <c r="AN3413" s="14"/>
      <c r="AO3413" s="14"/>
      <c r="AP3413" s="14"/>
      <c r="AQ3413" s="14"/>
      <c r="AR3413" s="14"/>
      <c r="AS3413" s="14"/>
      <c r="AT3413" s="14"/>
      <c r="AU3413" s="14"/>
      <c r="AV3413" s="14"/>
      <c r="AW3413" s="15"/>
      <c r="AX3413" s="16"/>
    </row>
    <row r="3414" spans="2:50" x14ac:dyDescent="0.2">
      <c r="B3414" s="7"/>
      <c r="C3414" s="8">
        <v>13897</v>
      </c>
      <c r="D3414" s="9" t="s">
        <v>1346</v>
      </c>
      <c r="E3414" s="10" t="str">
        <f t="shared" si="252"/>
        <v>Rancho Estanzuela No. 123</v>
      </c>
      <c r="F3414" s="10" t="str">
        <f t="shared" si="253"/>
        <v>Bueno Rendón</v>
      </c>
      <c r="G3414" s="8">
        <v>1</v>
      </c>
      <c r="H3414" s="11">
        <v>200</v>
      </c>
      <c r="I3414" s="12">
        <v>42789</v>
      </c>
      <c r="J3414" s="35">
        <f t="shared" si="254"/>
        <v>0</v>
      </c>
      <c r="K3414" s="36"/>
      <c r="L3414" s="36"/>
      <c r="M3414" s="36"/>
      <c r="N3414" s="36"/>
      <c r="O3414" s="36"/>
      <c r="P3414" s="36"/>
      <c r="Q3414" s="36"/>
      <c r="R3414" s="36"/>
      <c r="S3414" s="36"/>
      <c r="T3414" s="36"/>
      <c r="U3414" s="36"/>
      <c r="V3414" s="36"/>
      <c r="W3414" s="15">
        <f t="shared" si="255"/>
        <v>0</v>
      </c>
      <c r="X3414" s="36"/>
      <c r="Y3414" s="36">
        <v>200</v>
      </c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15">
        <f t="shared" si="256"/>
        <v>200</v>
      </c>
      <c r="AK3414" s="14"/>
      <c r="AL3414" s="14"/>
      <c r="AM3414" s="14"/>
      <c r="AN3414" s="14"/>
      <c r="AO3414" s="14"/>
      <c r="AP3414" s="14"/>
      <c r="AQ3414" s="14"/>
      <c r="AR3414" s="14"/>
      <c r="AS3414" s="14"/>
      <c r="AT3414" s="14"/>
      <c r="AU3414" s="14"/>
      <c r="AV3414" s="14"/>
      <c r="AW3414" s="15"/>
      <c r="AX3414" s="16"/>
    </row>
    <row r="3415" spans="2:50" x14ac:dyDescent="0.2">
      <c r="B3415" s="7"/>
      <c r="C3415" s="8">
        <v>13898</v>
      </c>
      <c r="D3415" s="9" t="s">
        <v>669</v>
      </c>
      <c r="E3415" s="10" t="str">
        <f t="shared" si="252"/>
        <v>Rancho Landero No. 24</v>
      </c>
      <c r="F3415" s="10" t="str">
        <f t="shared" si="253"/>
        <v>Vázquez Peralta</v>
      </c>
      <c r="G3415" s="8">
        <v>1</v>
      </c>
      <c r="H3415" s="11">
        <v>800</v>
      </c>
      <c r="I3415" s="12">
        <v>42790</v>
      </c>
      <c r="J3415" s="35">
        <f t="shared" si="254"/>
        <v>0</v>
      </c>
      <c r="K3415" s="36"/>
      <c r="L3415" s="36"/>
      <c r="M3415" s="36"/>
      <c r="N3415" s="36"/>
      <c r="O3415" s="36"/>
      <c r="P3415" s="36"/>
      <c r="Q3415" s="36"/>
      <c r="R3415" s="36"/>
      <c r="S3415" s="36"/>
      <c r="T3415" s="36"/>
      <c r="U3415" s="36"/>
      <c r="V3415" s="36"/>
      <c r="W3415" s="15">
        <f t="shared" si="255"/>
        <v>0</v>
      </c>
      <c r="X3415" s="36">
        <v>400</v>
      </c>
      <c r="Y3415" s="36">
        <v>400</v>
      </c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15">
        <f t="shared" si="256"/>
        <v>800</v>
      </c>
      <c r="AK3415" s="14"/>
      <c r="AL3415" s="14"/>
      <c r="AM3415" s="14"/>
      <c r="AN3415" s="14"/>
      <c r="AO3415" s="14"/>
      <c r="AP3415" s="14"/>
      <c r="AQ3415" s="14"/>
      <c r="AR3415" s="14"/>
      <c r="AS3415" s="14"/>
      <c r="AT3415" s="14"/>
      <c r="AU3415" s="14"/>
      <c r="AV3415" s="14"/>
      <c r="AW3415" s="15"/>
      <c r="AX3415" s="16"/>
    </row>
    <row r="3416" spans="2:50" x14ac:dyDescent="0.2">
      <c r="B3416" s="7"/>
      <c r="C3416" s="8">
        <v>13899</v>
      </c>
      <c r="D3416" s="9" t="s">
        <v>669</v>
      </c>
      <c r="E3416" s="10" t="str">
        <f t="shared" si="252"/>
        <v>Rancho Landero No. 24</v>
      </c>
      <c r="F3416" s="10" t="str">
        <f t="shared" si="253"/>
        <v>Vázquez Peralta</v>
      </c>
      <c r="G3416" s="8">
        <v>7</v>
      </c>
      <c r="H3416" s="11">
        <v>100</v>
      </c>
      <c r="I3416" s="12">
        <v>42790</v>
      </c>
      <c r="J3416" s="35">
        <f t="shared" si="254"/>
        <v>0</v>
      </c>
      <c r="K3416" s="36"/>
      <c r="L3416" s="36"/>
      <c r="M3416" s="36"/>
      <c r="N3416" s="36"/>
      <c r="O3416" s="36"/>
      <c r="P3416" s="36"/>
      <c r="Q3416" s="36"/>
      <c r="R3416" s="36"/>
      <c r="S3416" s="36"/>
      <c r="T3416" s="36"/>
      <c r="U3416" s="36"/>
      <c r="V3416" s="36"/>
      <c r="W3416" s="15">
        <f t="shared" si="255"/>
        <v>0</v>
      </c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15">
        <f t="shared" si="256"/>
        <v>0</v>
      </c>
      <c r="AK3416" s="14"/>
      <c r="AL3416" s="14"/>
      <c r="AM3416" s="14"/>
      <c r="AN3416" s="14"/>
      <c r="AO3416" s="14"/>
      <c r="AP3416" s="14"/>
      <c r="AQ3416" s="14"/>
      <c r="AR3416" s="14"/>
      <c r="AS3416" s="14"/>
      <c r="AT3416" s="14"/>
      <c r="AU3416" s="14"/>
      <c r="AV3416" s="14"/>
      <c r="AW3416" s="15"/>
      <c r="AX3416" s="16" t="s">
        <v>3533</v>
      </c>
    </row>
    <row r="3417" spans="2:50" x14ac:dyDescent="0.2">
      <c r="B3417" s="7"/>
      <c r="C3417" s="8">
        <v>13900</v>
      </c>
      <c r="D3417" s="9" t="s">
        <v>1422</v>
      </c>
      <c r="E3417" s="10" t="str">
        <f t="shared" si="252"/>
        <v>Rancho Upácuaro No. 48</v>
      </c>
      <c r="F3417" s="10" t="str">
        <f t="shared" si="253"/>
        <v>Bernal</v>
      </c>
      <c r="G3417" s="8">
        <v>7</v>
      </c>
      <c r="H3417" s="11">
        <v>100</v>
      </c>
      <c r="I3417" s="12">
        <v>42792</v>
      </c>
      <c r="J3417" s="35">
        <f t="shared" si="254"/>
        <v>0</v>
      </c>
      <c r="K3417" s="36"/>
      <c r="L3417" s="36"/>
      <c r="M3417" s="36"/>
      <c r="N3417" s="36"/>
      <c r="O3417" s="36"/>
      <c r="P3417" s="36"/>
      <c r="Q3417" s="36"/>
      <c r="R3417" s="36"/>
      <c r="S3417" s="36"/>
      <c r="T3417" s="36"/>
      <c r="U3417" s="36"/>
      <c r="V3417" s="36"/>
      <c r="W3417" s="15">
        <f t="shared" si="255"/>
        <v>0</v>
      </c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15">
        <f t="shared" si="256"/>
        <v>0</v>
      </c>
      <c r="AK3417" s="14"/>
      <c r="AL3417" s="14"/>
      <c r="AM3417" s="14"/>
      <c r="AN3417" s="14"/>
      <c r="AO3417" s="14"/>
      <c r="AP3417" s="14"/>
      <c r="AQ3417" s="14"/>
      <c r="AR3417" s="14"/>
      <c r="AS3417" s="14"/>
      <c r="AT3417" s="14"/>
      <c r="AU3417" s="14"/>
      <c r="AV3417" s="14"/>
      <c r="AW3417" s="15"/>
      <c r="AX3417" s="16" t="s">
        <v>3533</v>
      </c>
    </row>
    <row r="3418" spans="2:50" x14ac:dyDescent="0.2">
      <c r="B3418" s="7"/>
      <c r="C3418" s="8">
        <v>13901</v>
      </c>
      <c r="D3418" s="9" t="s">
        <v>687</v>
      </c>
      <c r="E3418" s="10" t="str">
        <f t="shared" si="252"/>
        <v>Rancho Upácuaro No. 21</v>
      </c>
      <c r="F3418" s="10" t="str">
        <f t="shared" si="253"/>
        <v>Fierro Betancourt</v>
      </c>
      <c r="G3418" s="8">
        <v>1</v>
      </c>
      <c r="H3418" s="11">
        <v>600</v>
      </c>
      <c r="I3418" s="12">
        <v>42792</v>
      </c>
      <c r="J3418" s="35">
        <f t="shared" si="254"/>
        <v>0</v>
      </c>
      <c r="K3418" s="36"/>
      <c r="L3418" s="36"/>
      <c r="M3418" s="36"/>
      <c r="N3418" s="36"/>
      <c r="O3418" s="36"/>
      <c r="P3418" s="36"/>
      <c r="Q3418" s="36"/>
      <c r="R3418" s="36"/>
      <c r="S3418" s="36"/>
      <c r="T3418" s="36"/>
      <c r="U3418" s="36"/>
      <c r="V3418" s="36"/>
      <c r="W3418" s="15">
        <f t="shared" si="255"/>
        <v>0</v>
      </c>
      <c r="X3418" s="36">
        <v>200</v>
      </c>
      <c r="Y3418" s="36">
        <v>200</v>
      </c>
      <c r="Z3418" s="36">
        <v>200</v>
      </c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15">
        <f t="shared" si="256"/>
        <v>600</v>
      </c>
      <c r="AK3418" s="14"/>
      <c r="AL3418" s="14"/>
      <c r="AM3418" s="14"/>
      <c r="AN3418" s="14"/>
      <c r="AO3418" s="14"/>
      <c r="AP3418" s="14"/>
      <c r="AQ3418" s="14"/>
      <c r="AR3418" s="14"/>
      <c r="AS3418" s="14"/>
      <c r="AT3418" s="14"/>
      <c r="AU3418" s="14"/>
      <c r="AV3418" s="14"/>
      <c r="AW3418" s="15"/>
      <c r="AX3418" s="16"/>
    </row>
    <row r="3419" spans="2:50" x14ac:dyDescent="0.2">
      <c r="B3419" s="7"/>
      <c r="C3419" s="8">
        <v>13901</v>
      </c>
      <c r="D3419" s="9" t="s">
        <v>687</v>
      </c>
      <c r="E3419" s="10" t="str">
        <f t="shared" si="252"/>
        <v>Rancho Upácuaro No. 21</v>
      </c>
      <c r="F3419" s="10" t="str">
        <f t="shared" si="253"/>
        <v>Fierro Betancourt</v>
      </c>
      <c r="G3419" s="8">
        <v>7</v>
      </c>
      <c r="H3419" s="11">
        <v>100</v>
      </c>
      <c r="I3419" s="12">
        <v>42792</v>
      </c>
      <c r="J3419" s="35">
        <f t="shared" si="254"/>
        <v>0</v>
      </c>
      <c r="K3419" s="36"/>
      <c r="L3419" s="36"/>
      <c r="M3419" s="36"/>
      <c r="N3419" s="36"/>
      <c r="O3419" s="36"/>
      <c r="P3419" s="36"/>
      <c r="Q3419" s="36"/>
      <c r="R3419" s="36"/>
      <c r="S3419" s="36"/>
      <c r="T3419" s="36"/>
      <c r="U3419" s="36"/>
      <c r="V3419" s="36"/>
      <c r="W3419" s="15">
        <f t="shared" si="255"/>
        <v>0</v>
      </c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15">
        <f t="shared" si="256"/>
        <v>0</v>
      </c>
      <c r="AK3419" s="14"/>
      <c r="AL3419" s="14"/>
      <c r="AM3419" s="14"/>
      <c r="AN3419" s="14"/>
      <c r="AO3419" s="14"/>
      <c r="AP3419" s="14"/>
      <c r="AQ3419" s="14"/>
      <c r="AR3419" s="14"/>
      <c r="AS3419" s="14"/>
      <c r="AT3419" s="14"/>
      <c r="AU3419" s="14"/>
      <c r="AV3419" s="14"/>
      <c r="AW3419" s="15"/>
      <c r="AX3419" s="16" t="s">
        <v>3533</v>
      </c>
    </row>
    <row r="3420" spans="2:50" x14ac:dyDescent="0.2">
      <c r="B3420" s="7"/>
      <c r="C3420" s="8">
        <v>13902</v>
      </c>
      <c r="D3420" s="9" t="s">
        <v>428</v>
      </c>
      <c r="E3420" s="10" t="str">
        <f t="shared" si="252"/>
        <v>Rancho Upácuaro No. 86</v>
      </c>
      <c r="F3420" s="10" t="str">
        <f t="shared" si="253"/>
        <v>López Canseco</v>
      </c>
      <c r="G3420" s="8">
        <v>4</v>
      </c>
      <c r="H3420" s="11">
        <v>400</v>
      </c>
      <c r="I3420" s="12">
        <v>42792</v>
      </c>
      <c r="J3420" s="35">
        <f t="shared" si="254"/>
        <v>0</v>
      </c>
      <c r="K3420" s="36"/>
      <c r="L3420" s="36"/>
      <c r="M3420" s="36"/>
      <c r="N3420" s="36"/>
      <c r="O3420" s="36"/>
      <c r="P3420" s="36"/>
      <c r="Q3420" s="36"/>
      <c r="R3420" s="36"/>
      <c r="S3420" s="36"/>
      <c r="T3420" s="36"/>
      <c r="U3420" s="36"/>
      <c r="V3420" s="36"/>
      <c r="W3420" s="15">
        <f t="shared" si="255"/>
        <v>0</v>
      </c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15">
        <f t="shared" si="256"/>
        <v>0</v>
      </c>
      <c r="AK3420" s="14"/>
      <c r="AL3420" s="14"/>
      <c r="AM3420" s="14"/>
      <c r="AN3420" s="14"/>
      <c r="AO3420" s="14"/>
      <c r="AP3420" s="14"/>
      <c r="AQ3420" s="14"/>
      <c r="AR3420" s="14"/>
      <c r="AS3420" s="14"/>
      <c r="AT3420" s="14"/>
      <c r="AU3420" s="14"/>
      <c r="AV3420" s="14"/>
      <c r="AW3420" s="15"/>
      <c r="AX3420" s="16" t="s">
        <v>3534</v>
      </c>
    </row>
    <row r="3421" spans="2:50" x14ac:dyDescent="0.2">
      <c r="B3421" s="7"/>
      <c r="C3421" s="8">
        <v>13902</v>
      </c>
      <c r="D3421" s="9" t="s">
        <v>428</v>
      </c>
      <c r="E3421" s="10" t="str">
        <f t="shared" si="252"/>
        <v>Rancho Upácuaro No. 86</v>
      </c>
      <c r="F3421" s="10" t="str">
        <f t="shared" si="253"/>
        <v>López Canseco</v>
      </c>
      <c r="G3421" s="8">
        <v>7</v>
      </c>
      <c r="H3421" s="11">
        <v>25</v>
      </c>
      <c r="I3421" s="12">
        <v>42792</v>
      </c>
      <c r="J3421" s="35">
        <f t="shared" si="254"/>
        <v>0</v>
      </c>
      <c r="K3421" s="36"/>
      <c r="L3421" s="36"/>
      <c r="M3421" s="36"/>
      <c r="N3421" s="36"/>
      <c r="O3421" s="36"/>
      <c r="P3421" s="36"/>
      <c r="Q3421" s="36"/>
      <c r="R3421" s="36"/>
      <c r="S3421" s="36"/>
      <c r="T3421" s="36"/>
      <c r="U3421" s="36"/>
      <c r="V3421" s="36"/>
      <c r="W3421" s="15">
        <f t="shared" si="255"/>
        <v>0</v>
      </c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15">
        <f t="shared" si="256"/>
        <v>0</v>
      </c>
      <c r="AK3421" s="14"/>
      <c r="AL3421" s="14"/>
      <c r="AM3421" s="14"/>
      <c r="AN3421" s="14"/>
      <c r="AO3421" s="14"/>
      <c r="AP3421" s="14"/>
      <c r="AQ3421" s="14"/>
      <c r="AR3421" s="14"/>
      <c r="AS3421" s="14"/>
      <c r="AT3421" s="14"/>
      <c r="AU3421" s="14"/>
      <c r="AV3421" s="14"/>
      <c r="AW3421" s="15"/>
      <c r="AX3421" s="16" t="s">
        <v>3535</v>
      </c>
    </row>
    <row r="3422" spans="2:50" x14ac:dyDescent="0.2">
      <c r="B3422" s="7"/>
      <c r="C3422" s="8">
        <v>13903</v>
      </c>
      <c r="D3422" s="9" t="s">
        <v>271</v>
      </c>
      <c r="E3422" s="10" t="str">
        <f t="shared" si="252"/>
        <v>Rancho Landero No. 76</v>
      </c>
      <c r="F3422" s="10" t="str">
        <f t="shared" si="253"/>
        <v>Ugarte</v>
      </c>
      <c r="G3422" s="8">
        <v>1</v>
      </c>
      <c r="H3422" s="11">
        <v>400</v>
      </c>
      <c r="I3422" s="12">
        <v>42792</v>
      </c>
      <c r="J3422" s="35">
        <f t="shared" si="254"/>
        <v>0</v>
      </c>
      <c r="K3422" s="36"/>
      <c r="L3422" s="36"/>
      <c r="M3422" s="36"/>
      <c r="N3422" s="36"/>
      <c r="O3422" s="36"/>
      <c r="P3422" s="36"/>
      <c r="Q3422" s="36"/>
      <c r="R3422" s="36"/>
      <c r="S3422" s="36"/>
      <c r="T3422" s="36"/>
      <c r="U3422" s="36"/>
      <c r="V3422" s="36"/>
      <c r="W3422" s="15">
        <f t="shared" si="255"/>
        <v>0</v>
      </c>
      <c r="X3422" s="36"/>
      <c r="Y3422" s="36"/>
      <c r="Z3422" s="36">
        <v>400</v>
      </c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15">
        <f t="shared" si="256"/>
        <v>400</v>
      </c>
      <c r="AK3422" s="14"/>
      <c r="AL3422" s="14"/>
      <c r="AM3422" s="14"/>
      <c r="AN3422" s="14"/>
      <c r="AO3422" s="14"/>
      <c r="AP3422" s="14"/>
      <c r="AQ3422" s="14"/>
      <c r="AR3422" s="14"/>
      <c r="AS3422" s="14"/>
      <c r="AT3422" s="14"/>
      <c r="AU3422" s="14"/>
      <c r="AV3422" s="14"/>
      <c r="AW3422" s="15"/>
      <c r="AX3422" s="16"/>
    </row>
    <row r="3423" spans="2:50" x14ac:dyDescent="0.2">
      <c r="B3423" s="7"/>
      <c r="C3423" s="8">
        <v>13903</v>
      </c>
      <c r="D3423" s="9" t="s">
        <v>271</v>
      </c>
      <c r="E3423" s="10" t="str">
        <f t="shared" si="252"/>
        <v>Rancho Landero No. 76</v>
      </c>
      <c r="F3423" s="10" t="str">
        <f t="shared" si="253"/>
        <v>Ugarte</v>
      </c>
      <c r="G3423" s="8">
        <v>7</v>
      </c>
      <c r="H3423" s="11">
        <v>100</v>
      </c>
      <c r="I3423" s="12">
        <v>42792</v>
      </c>
      <c r="J3423" s="35">
        <f t="shared" si="254"/>
        <v>0</v>
      </c>
      <c r="K3423" s="36"/>
      <c r="L3423" s="36"/>
      <c r="M3423" s="36"/>
      <c r="N3423" s="36"/>
      <c r="O3423" s="36"/>
      <c r="P3423" s="36"/>
      <c r="Q3423" s="36"/>
      <c r="R3423" s="36"/>
      <c r="S3423" s="36"/>
      <c r="T3423" s="36"/>
      <c r="U3423" s="36"/>
      <c r="V3423" s="36"/>
      <c r="W3423" s="15">
        <f t="shared" si="255"/>
        <v>0</v>
      </c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15">
        <f t="shared" si="256"/>
        <v>0</v>
      </c>
      <c r="AK3423" s="14"/>
      <c r="AL3423" s="14"/>
      <c r="AM3423" s="14"/>
      <c r="AN3423" s="14"/>
      <c r="AO3423" s="14"/>
      <c r="AP3423" s="14"/>
      <c r="AQ3423" s="14"/>
      <c r="AR3423" s="14"/>
      <c r="AS3423" s="14"/>
      <c r="AT3423" s="14"/>
      <c r="AU3423" s="14"/>
      <c r="AV3423" s="14"/>
      <c r="AW3423" s="15"/>
      <c r="AX3423" s="16" t="s">
        <v>3533</v>
      </c>
    </row>
    <row r="3424" spans="2:50" x14ac:dyDescent="0.2">
      <c r="B3424" s="7"/>
      <c r="C3424" s="8">
        <v>13904</v>
      </c>
      <c r="D3424" s="9" t="s">
        <v>100</v>
      </c>
      <c r="E3424" s="10" t="str">
        <f t="shared" si="252"/>
        <v>Rancho Upácuaro No. 32</v>
      </c>
      <c r="F3424" s="10" t="str">
        <f t="shared" si="253"/>
        <v>Sairafi Carmen</v>
      </c>
      <c r="G3424" s="8">
        <v>7</v>
      </c>
      <c r="H3424" s="11">
        <v>100</v>
      </c>
      <c r="I3424" s="12">
        <v>42792</v>
      </c>
      <c r="J3424" s="35">
        <f t="shared" si="254"/>
        <v>0</v>
      </c>
      <c r="K3424" s="36"/>
      <c r="L3424" s="36"/>
      <c r="M3424" s="36"/>
      <c r="N3424" s="36"/>
      <c r="O3424" s="36"/>
      <c r="P3424" s="36"/>
      <c r="Q3424" s="36"/>
      <c r="R3424" s="36"/>
      <c r="S3424" s="36"/>
      <c r="T3424" s="36"/>
      <c r="U3424" s="36"/>
      <c r="V3424" s="36"/>
      <c r="W3424" s="15">
        <f t="shared" si="255"/>
        <v>0</v>
      </c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15">
        <f t="shared" si="256"/>
        <v>0</v>
      </c>
      <c r="AK3424" s="14"/>
      <c r="AL3424" s="14"/>
      <c r="AM3424" s="14"/>
      <c r="AN3424" s="14"/>
      <c r="AO3424" s="14"/>
      <c r="AP3424" s="14"/>
      <c r="AQ3424" s="14"/>
      <c r="AR3424" s="14"/>
      <c r="AS3424" s="14"/>
      <c r="AT3424" s="14"/>
      <c r="AU3424" s="14"/>
      <c r="AV3424" s="14"/>
      <c r="AW3424" s="15"/>
      <c r="AX3424" s="16" t="s">
        <v>3533</v>
      </c>
    </row>
    <row r="3425" spans="2:50" x14ac:dyDescent="0.2">
      <c r="B3425" s="7"/>
      <c r="C3425" s="8">
        <v>13905</v>
      </c>
      <c r="D3425" s="9" t="s">
        <v>643</v>
      </c>
      <c r="E3425" s="10" t="str">
        <f t="shared" si="252"/>
        <v>Rancho Upácuaro No. 90</v>
      </c>
      <c r="F3425" s="10" t="str">
        <f t="shared" si="253"/>
        <v>Moreno Calderón</v>
      </c>
      <c r="G3425" s="8">
        <v>1</v>
      </c>
      <c r="H3425" s="11">
        <v>800</v>
      </c>
      <c r="I3425" s="12">
        <v>42792</v>
      </c>
      <c r="J3425" s="35">
        <f t="shared" si="254"/>
        <v>0</v>
      </c>
      <c r="K3425" s="36"/>
      <c r="L3425" s="36"/>
      <c r="M3425" s="36"/>
      <c r="N3425" s="36"/>
      <c r="O3425" s="36"/>
      <c r="P3425" s="36"/>
      <c r="Q3425" s="36"/>
      <c r="R3425" s="36"/>
      <c r="S3425" s="36"/>
      <c r="T3425" s="36"/>
      <c r="U3425" s="36">
        <v>200</v>
      </c>
      <c r="V3425" s="36">
        <v>200</v>
      </c>
      <c r="W3425" s="15">
        <f t="shared" si="255"/>
        <v>400</v>
      </c>
      <c r="X3425" s="36">
        <v>200</v>
      </c>
      <c r="Y3425" s="36">
        <v>200</v>
      </c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15">
        <f t="shared" si="256"/>
        <v>400</v>
      </c>
      <c r="AK3425" s="14"/>
      <c r="AL3425" s="14"/>
      <c r="AM3425" s="14"/>
      <c r="AN3425" s="14"/>
      <c r="AO3425" s="14"/>
      <c r="AP3425" s="14"/>
      <c r="AQ3425" s="14"/>
      <c r="AR3425" s="14"/>
      <c r="AS3425" s="14"/>
      <c r="AT3425" s="14"/>
      <c r="AU3425" s="14"/>
      <c r="AV3425" s="14"/>
      <c r="AW3425" s="15"/>
      <c r="AX3425" s="16"/>
    </row>
    <row r="3426" spans="2:50" x14ac:dyDescent="0.2">
      <c r="B3426" s="7"/>
      <c r="C3426" s="8">
        <v>13905</v>
      </c>
      <c r="D3426" s="9" t="s">
        <v>643</v>
      </c>
      <c r="E3426" s="10" t="str">
        <f t="shared" si="252"/>
        <v>Rancho Upácuaro No. 90</v>
      </c>
      <c r="F3426" s="10" t="str">
        <f t="shared" si="253"/>
        <v>Moreno Calderón</v>
      </c>
      <c r="G3426" s="8">
        <v>7</v>
      </c>
      <c r="H3426" s="11">
        <v>100</v>
      </c>
      <c r="I3426" s="12">
        <v>42792</v>
      </c>
      <c r="J3426" s="35">
        <f t="shared" si="254"/>
        <v>0</v>
      </c>
      <c r="K3426" s="36"/>
      <c r="L3426" s="36"/>
      <c r="M3426" s="36"/>
      <c r="N3426" s="36"/>
      <c r="O3426" s="36"/>
      <c r="P3426" s="36"/>
      <c r="Q3426" s="36"/>
      <c r="R3426" s="36"/>
      <c r="S3426" s="36"/>
      <c r="T3426" s="36"/>
      <c r="U3426" s="36"/>
      <c r="V3426" s="36"/>
      <c r="W3426" s="15">
        <f t="shared" si="255"/>
        <v>0</v>
      </c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15">
        <f t="shared" si="256"/>
        <v>0</v>
      </c>
      <c r="AK3426" s="14"/>
      <c r="AL3426" s="14"/>
      <c r="AM3426" s="14"/>
      <c r="AN3426" s="14"/>
      <c r="AO3426" s="14"/>
      <c r="AP3426" s="14"/>
      <c r="AQ3426" s="14"/>
      <c r="AR3426" s="14"/>
      <c r="AS3426" s="14"/>
      <c r="AT3426" s="14"/>
      <c r="AU3426" s="14"/>
      <c r="AV3426" s="14"/>
      <c r="AW3426" s="15"/>
      <c r="AX3426" s="16" t="s">
        <v>3533</v>
      </c>
    </row>
    <row r="3427" spans="2:50" x14ac:dyDescent="0.2">
      <c r="B3427" s="7"/>
      <c r="C3427" s="8">
        <v>13906</v>
      </c>
      <c r="D3427" s="9" t="s">
        <v>643</v>
      </c>
      <c r="E3427" s="10" t="str">
        <f t="shared" si="252"/>
        <v>Rancho Upácuaro No. 90</v>
      </c>
      <c r="F3427" s="10" t="str">
        <f t="shared" si="253"/>
        <v>Moreno Calderón</v>
      </c>
      <c r="G3427" s="8">
        <v>4</v>
      </c>
      <c r="H3427" s="11">
        <v>200</v>
      </c>
      <c r="I3427" s="12">
        <v>42792</v>
      </c>
      <c r="J3427" s="35">
        <f t="shared" si="254"/>
        <v>0</v>
      </c>
      <c r="K3427" s="36"/>
      <c r="L3427" s="36"/>
      <c r="M3427" s="36"/>
      <c r="N3427" s="36"/>
      <c r="O3427" s="36"/>
      <c r="P3427" s="36"/>
      <c r="Q3427" s="36"/>
      <c r="R3427" s="36"/>
      <c r="S3427" s="36"/>
      <c r="T3427" s="36"/>
      <c r="U3427" s="36"/>
      <c r="V3427" s="36"/>
      <c r="W3427" s="15">
        <f t="shared" si="255"/>
        <v>0</v>
      </c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15">
        <f t="shared" si="256"/>
        <v>0</v>
      </c>
      <c r="AK3427" s="14"/>
      <c r="AL3427" s="14"/>
      <c r="AM3427" s="14"/>
      <c r="AN3427" s="14"/>
      <c r="AO3427" s="14"/>
      <c r="AP3427" s="14"/>
      <c r="AQ3427" s="14"/>
      <c r="AR3427" s="14"/>
      <c r="AS3427" s="14"/>
      <c r="AT3427" s="14"/>
      <c r="AU3427" s="14"/>
      <c r="AV3427" s="14"/>
      <c r="AW3427" s="15"/>
      <c r="AX3427" s="16" t="s">
        <v>3536</v>
      </c>
    </row>
    <row r="3428" spans="2:50" x14ac:dyDescent="0.2">
      <c r="B3428" s="7"/>
      <c r="C3428" s="8">
        <v>13907</v>
      </c>
      <c r="D3428" s="9" t="s">
        <v>162</v>
      </c>
      <c r="E3428" s="10" t="str">
        <f t="shared" si="252"/>
        <v>Rancho La Cuchilla No. 20</v>
      </c>
      <c r="F3428" s="10" t="str">
        <f t="shared" si="253"/>
        <v>Sánchez López</v>
      </c>
      <c r="G3428" s="8">
        <v>1</v>
      </c>
      <c r="H3428" s="11">
        <v>800</v>
      </c>
      <c r="I3428" s="12">
        <v>42792</v>
      </c>
      <c r="J3428" s="35">
        <f t="shared" si="254"/>
        <v>0</v>
      </c>
      <c r="K3428" s="36"/>
      <c r="L3428" s="36"/>
      <c r="M3428" s="36"/>
      <c r="N3428" s="36"/>
      <c r="O3428" s="36"/>
      <c r="P3428" s="36"/>
      <c r="Q3428" s="36"/>
      <c r="R3428" s="36"/>
      <c r="S3428" s="36"/>
      <c r="T3428" s="36"/>
      <c r="U3428" s="36"/>
      <c r="V3428" s="36"/>
      <c r="W3428" s="15">
        <f t="shared" si="255"/>
        <v>0</v>
      </c>
      <c r="X3428" s="36"/>
      <c r="Y3428" s="36"/>
      <c r="Z3428" s="36">
        <v>400</v>
      </c>
      <c r="AA3428" s="36">
        <v>400</v>
      </c>
      <c r="AB3428" s="36"/>
      <c r="AC3428" s="36"/>
      <c r="AD3428" s="36"/>
      <c r="AE3428" s="36"/>
      <c r="AF3428" s="36"/>
      <c r="AG3428" s="36"/>
      <c r="AH3428" s="36"/>
      <c r="AI3428" s="36"/>
      <c r="AJ3428" s="15">
        <f t="shared" si="256"/>
        <v>800</v>
      </c>
      <c r="AK3428" s="14"/>
      <c r="AL3428" s="14"/>
      <c r="AM3428" s="14"/>
      <c r="AN3428" s="14"/>
      <c r="AO3428" s="14"/>
      <c r="AP3428" s="14"/>
      <c r="AQ3428" s="14"/>
      <c r="AR3428" s="14"/>
      <c r="AS3428" s="14"/>
      <c r="AT3428" s="14"/>
      <c r="AU3428" s="14"/>
      <c r="AV3428" s="14"/>
      <c r="AW3428" s="15"/>
      <c r="AX3428" s="16"/>
    </row>
    <row r="3429" spans="2:50" x14ac:dyDescent="0.2">
      <c r="B3429" s="7"/>
      <c r="C3429" s="8">
        <v>13908</v>
      </c>
      <c r="D3429" s="9" t="s">
        <v>162</v>
      </c>
      <c r="E3429" s="10" t="str">
        <f t="shared" si="252"/>
        <v>Rancho La Cuchilla No. 20</v>
      </c>
      <c r="F3429" s="10" t="str">
        <f t="shared" si="253"/>
        <v>Sánchez López</v>
      </c>
      <c r="G3429" s="8">
        <v>7</v>
      </c>
      <c r="H3429" s="11">
        <v>100</v>
      </c>
      <c r="I3429" s="12">
        <v>42792</v>
      </c>
      <c r="J3429" s="35">
        <f t="shared" si="254"/>
        <v>0</v>
      </c>
      <c r="K3429" s="36"/>
      <c r="L3429" s="36"/>
      <c r="M3429" s="36"/>
      <c r="N3429" s="36"/>
      <c r="O3429" s="36"/>
      <c r="P3429" s="36"/>
      <c r="Q3429" s="36"/>
      <c r="R3429" s="36"/>
      <c r="S3429" s="36"/>
      <c r="T3429" s="36"/>
      <c r="U3429" s="36"/>
      <c r="V3429" s="36"/>
      <c r="W3429" s="15">
        <f t="shared" si="255"/>
        <v>0</v>
      </c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15">
        <f t="shared" si="256"/>
        <v>0</v>
      </c>
      <c r="AK3429" s="14"/>
      <c r="AL3429" s="14"/>
      <c r="AM3429" s="14"/>
      <c r="AN3429" s="14"/>
      <c r="AO3429" s="14"/>
      <c r="AP3429" s="14"/>
      <c r="AQ3429" s="14"/>
      <c r="AR3429" s="14"/>
      <c r="AS3429" s="14"/>
      <c r="AT3429" s="14"/>
      <c r="AU3429" s="14"/>
      <c r="AV3429" s="14"/>
      <c r="AW3429" s="15"/>
      <c r="AX3429" s="16" t="s">
        <v>3533</v>
      </c>
    </row>
    <row r="3430" spans="2:50" x14ac:dyDescent="0.2">
      <c r="B3430" s="7"/>
      <c r="C3430" s="8">
        <v>13909</v>
      </c>
      <c r="D3430" s="9" t="s">
        <v>186</v>
      </c>
      <c r="E3430" s="10" t="str">
        <f t="shared" si="252"/>
        <v>Rancho Upácuaro No. 100</v>
      </c>
      <c r="F3430" s="10" t="str">
        <f t="shared" si="253"/>
        <v>Valdez</v>
      </c>
      <c r="G3430" s="8">
        <v>1</v>
      </c>
      <c r="H3430" s="11">
        <v>400</v>
      </c>
      <c r="I3430" s="12">
        <v>42792</v>
      </c>
      <c r="J3430" s="35">
        <f t="shared" si="254"/>
        <v>0</v>
      </c>
      <c r="K3430" s="36"/>
      <c r="L3430" s="36"/>
      <c r="M3430" s="36"/>
      <c r="N3430" s="36"/>
      <c r="O3430" s="36"/>
      <c r="P3430" s="36"/>
      <c r="Q3430" s="36"/>
      <c r="R3430" s="36"/>
      <c r="S3430" s="36"/>
      <c r="T3430" s="36"/>
      <c r="U3430" s="36"/>
      <c r="V3430" s="36"/>
      <c r="W3430" s="15">
        <f t="shared" si="255"/>
        <v>0</v>
      </c>
      <c r="X3430" s="36"/>
      <c r="Y3430" s="36">
        <v>400</v>
      </c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15">
        <f t="shared" si="256"/>
        <v>400</v>
      </c>
      <c r="AK3430" s="14"/>
      <c r="AL3430" s="14"/>
      <c r="AM3430" s="14"/>
      <c r="AN3430" s="14"/>
      <c r="AO3430" s="14"/>
      <c r="AP3430" s="14"/>
      <c r="AQ3430" s="14"/>
      <c r="AR3430" s="14"/>
      <c r="AS3430" s="14"/>
      <c r="AT3430" s="14"/>
      <c r="AU3430" s="14"/>
      <c r="AV3430" s="14"/>
      <c r="AW3430" s="15"/>
      <c r="AX3430" s="16"/>
    </row>
    <row r="3431" spans="2:50" x14ac:dyDescent="0.2">
      <c r="B3431" s="7"/>
      <c r="C3431" s="8">
        <v>13909</v>
      </c>
      <c r="D3431" s="9" t="s">
        <v>186</v>
      </c>
      <c r="E3431" s="10" t="str">
        <f t="shared" si="252"/>
        <v>Rancho Upácuaro No. 100</v>
      </c>
      <c r="F3431" s="10" t="str">
        <f t="shared" si="253"/>
        <v>Valdez</v>
      </c>
      <c r="G3431" s="8">
        <v>7</v>
      </c>
      <c r="H3431" s="11">
        <v>100</v>
      </c>
      <c r="I3431" s="12">
        <v>42792</v>
      </c>
      <c r="J3431" s="35">
        <f t="shared" si="254"/>
        <v>0</v>
      </c>
      <c r="K3431" s="36"/>
      <c r="L3431" s="36"/>
      <c r="M3431" s="36"/>
      <c r="N3431" s="36"/>
      <c r="O3431" s="36"/>
      <c r="P3431" s="36"/>
      <c r="Q3431" s="36"/>
      <c r="R3431" s="36"/>
      <c r="S3431" s="36"/>
      <c r="T3431" s="36"/>
      <c r="U3431" s="36"/>
      <c r="V3431" s="36"/>
      <c r="W3431" s="15">
        <f t="shared" si="255"/>
        <v>0</v>
      </c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15">
        <f t="shared" si="256"/>
        <v>0</v>
      </c>
      <c r="AK3431" s="14"/>
      <c r="AL3431" s="14"/>
      <c r="AM3431" s="14"/>
      <c r="AN3431" s="14"/>
      <c r="AO3431" s="14"/>
      <c r="AP3431" s="14"/>
      <c r="AQ3431" s="14"/>
      <c r="AR3431" s="14"/>
      <c r="AS3431" s="14"/>
      <c r="AT3431" s="14"/>
      <c r="AU3431" s="14"/>
      <c r="AV3431" s="14"/>
      <c r="AW3431" s="15"/>
      <c r="AX3431" s="16" t="s">
        <v>3533</v>
      </c>
    </row>
    <row r="3432" spans="2:50" x14ac:dyDescent="0.2">
      <c r="B3432" s="7"/>
      <c r="C3432" s="8">
        <v>13910</v>
      </c>
      <c r="D3432" s="9"/>
      <c r="E3432" s="10" t="str">
        <f t="shared" si="252"/>
        <v/>
      </c>
      <c r="F3432" s="10" t="str">
        <f t="shared" si="253"/>
        <v/>
      </c>
      <c r="G3432" s="8">
        <v>8</v>
      </c>
      <c r="H3432" s="11"/>
      <c r="I3432" s="12"/>
      <c r="J3432" s="35">
        <f t="shared" si="254"/>
        <v>0</v>
      </c>
      <c r="K3432" s="36"/>
      <c r="L3432" s="36"/>
      <c r="M3432" s="36"/>
      <c r="N3432" s="36"/>
      <c r="O3432" s="36"/>
      <c r="P3432" s="36"/>
      <c r="Q3432" s="36"/>
      <c r="R3432" s="36"/>
      <c r="S3432" s="36"/>
      <c r="T3432" s="36"/>
      <c r="U3432" s="36"/>
      <c r="V3432" s="36"/>
      <c r="W3432" s="15">
        <f t="shared" si="255"/>
        <v>0</v>
      </c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15">
        <f t="shared" si="256"/>
        <v>0</v>
      </c>
      <c r="AK3432" s="14"/>
      <c r="AL3432" s="14"/>
      <c r="AM3432" s="14"/>
      <c r="AN3432" s="14"/>
      <c r="AO3432" s="14"/>
      <c r="AP3432" s="14"/>
      <c r="AQ3432" s="14"/>
      <c r="AR3432" s="14"/>
      <c r="AS3432" s="14"/>
      <c r="AT3432" s="14"/>
      <c r="AU3432" s="14"/>
      <c r="AV3432" s="14"/>
      <c r="AW3432" s="15"/>
      <c r="AX3432" s="16"/>
    </row>
    <row r="3433" spans="2:50" x14ac:dyDescent="0.2">
      <c r="B3433" s="7"/>
      <c r="C3433" s="8">
        <v>13911</v>
      </c>
      <c r="D3433" s="9" t="s">
        <v>728</v>
      </c>
      <c r="E3433" s="10" t="str">
        <f t="shared" si="252"/>
        <v>Rancho Estanzuela No. 77</v>
      </c>
      <c r="F3433" s="10" t="str">
        <f t="shared" si="253"/>
        <v>De la Rosa Rico</v>
      </c>
      <c r="G3433" s="8">
        <v>1</v>
      </c>
      <c r="H3433" s="11">
        <v>800</v>
      </c>
      <c r="I3433" s="12">
        <v>42792</v>
      </c>
      <c r="J3433" s="35">
        <f t="shared" si="254"/>
        <v>0</v>
      </c>
      <c r="K3433" s="36"/>
      <c r="L3433" s="36"/>
      <c r="M3433" s="36"/>
      <c r="N3433" s="36"/>
      <c r="O3433" s="36"/>
      <c r="P3433" s="36"/>
      <c r="Q3433" s="36"/>
      <c r="R3433" s="36"/>
      <c r="S3433" s="36"/>
      <c r="T3433" s="36"/>
      <c r="U3433" s="36"/>
      <c r="V3433" s="36"/>
      <c r="W3433" s="15">
        <f t="shared" si="255"/>
        <v>0</v>
      </c>
      <c r="X3433" s="36">
        <v>400</v>
      </c>
      <c r="Y3433" s="36">
        <v>400</v>
      </c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15">
        <f t="shared" si="256"/>
        <v>800</v>
      </c>
      <c r="AK3433" s="14"/>
      <c r="AL3433" s="14"/>
      <c r="AM3433" s="14"/>
      <c r="AN3433" s="14"/>
      <c r="AO3433" s="14"/>
      <c r="AP3433" s="14"/>
      <c r="AQ3433" s="14"/>
      <c r="AR3433" s="14"/>
      <c r="AS3433" s="14"/>
      <c r="AT3433" s="14"/>
      <c r="AU3433" s="14"/>
      <c r="AV3433" s="14"/>
      <c r="AW3433" s="15"/>
      <c r="AX3433" s="16"/>
    </row>
    <row r="3434" spans="2:50" x14ac:dyDescent="0.2">
      <c r="B3434" s="7"/>
      <c r="C3434" s="8">
        <v>13911</v>
      </c>
      <c r="D3434" s="9" t="s">
        <v>728</v>
      </c>
      <c r="E3434" s="10" t="str">
        <f t="shared" si="252"/>
        <v>Rancho Estanzuela No. 77</v>
      </c>
      <c r="F3434" s="10" t="str">
        <f t="shared" si="253"/>
        <v>De la Rosa Rico</v>
      </c>
      <c r="G3434" s="8">
        <v>7</v>
      </c>
      <c r="H3434" s="11">
        <v>100</v>
      </c>
      <c r="I3434" s="12">
        <v>42792</v>
      </c>
      <c r="J3434" s="35">
        <f t="shared" si="254"/>
        <v>0</v>
      </c>
      <c r="K3434" s="36"/>
      <c r="L3434" s="36"/>
      <c r="M3434" s="36"/>
      <c r="N3434" s="36"/>
      <c r="O3434" s="36"/>
      <c r="P3434" s="36"/>
      <c r="Q3434" s="36"/>
      <c r="R3434" s="36"/>
      <c r="S3434" s="36"/>
      <c r="T3434" s="36"/>
      <c r="U3434" s="36"/>
      <c r="V3434" s="36"/>
      <c r="W3434" s="15">
        <f t="shared" si="255"/>
        <v>0</v>
      </c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15">
        <f t="shared" si="256"/>
        <v>0</v>
      </c>
      <c r="AK3434" s="14"/>
      <c r="AL3434" s="14"/>
      <c r="AM3434" s="14"/>
      <c r="AN3434" s="14"/>
      <c r="AO3434" s="14"/>
      <c r="AP3434" s="14"/>
      <c r="AQ3434" s="14"/>
      <c r="AR3434" s="14"/>
      <c r="AS3434" s="14"/>
      <c r="AT3434" s="14"/>
      <c r="AU3434" s="14"/>
      <c r="AV3434" s="14"/>
      <c r="AW3434" s="15"/>
      <c r="AX3434" s="16" t="s">
        <v>3533</v>
      </c>
    </row>
    <row r="3435" spans="2:50" x14ac:dyDescent="0.2">
      <c r="B3435" s="7"/>
      <c r="C3435" s="8">
        <v>13912</v>
      </c>
      <c r="D3435" s="9" t="s">
        <v>81</v>
      </c>
      <c r="E3435" s="10" t="str">
        <f t="shared" si="252"/>
        <v>Rancho Estanzuela No. 3</v>
      </c>
      <c r="F3435" s="10" t="str">
        <f t="shared" si="253"/>
        <v>Villanueva Nájera</v>
      </c>
      <c r="G3435" s="8">
        <v>7</v>
      </c>
      <c r="H3435" s="11">
        <v>100</v>
      </c>
      <c r="I3435" s="12">
        <v>42792</v>
      </c>
      <c r="J3435" s="35">
        <f t="shared" si="254"/>
        <v>0</v>
      </c>
      <c r="K3435" s="36"/>
      <c r="L3435" s="36"/>
      <c r="M3435" s="36"/>
      <c r="N3435" s="36"/>
      <c r="O3435" s="36"/>
      <c r="P3435" s="36"/>
      <c r="Q3435" s="36"/>
      <c r="R3435" s="36"/>
      <c r="S3435" s="36"/>
      <c r="T3435" s="36"/>
      <c r="U3435" s="36"/>
      <c r="V3435" s="36"/>
      <c r="W3435" s="15">
        <f t="shared" si="255"/>
        <v>0</v>
      </c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15">
        <f t="shared" si="256"/>
        <v>0</v>
      </c>
      <c r="AK3435" s="14"/>
      <c r="AL3435" s="14"/>
      <c r="AM3435" s="14"/>
      <c r="AN3435" s="14"/>
      <c r="AO3435" s="14"/>
      <c r="AP3435" s="14"/>
      <c r="AQ3435" s="14"/>
      <c r="AR3435" s="14"/>
      <c r="AS3435" s="14"/>
      <c r="AT3435" s="14"/>
      <c r="AU3435" s="14"/>
      <c r="AV3435" s="14"/>
      <c r="AW3435" s="15"/>
      <c r="AX3435" s="16" t="s">
        <v>3533</v>
      </c>
    </row>
    <row r="3436" spans="2:50" x14ac:dyDescent="0.2">
      <c r="B3436" s="7"/>
      <c r="C3436" s="8">
        <v>13913</v>
      </c>
      <c r="D3436" s="9" t="s">
        <v>538</v>
      </c>
      <c r="E3436" s="10" t="str">
        <f t="shared" si="252"/>
        <v>Rancho Landero No. 73</v>
      </c>
      <c r="F3436" s="10" t="str">
        <f t="shared" si="253"/>
        <v>Islas Palacios</v>
      </c>
      <c r="G3436" s="8">
        <v>1</v>
      </c>
      <c r="H3436" s="11">
        <v>400</v>
      </c>
      <c r="I3436" s="12">
        <v>42792</v>
      </c>
      <c r="J3436" s="35">
        <f t="shared" si="254"/>
        <v>0</v>
      </c>
      <c r="K3436" s="36"/>
      <c r="L3436" s="36"/>
      <c r="M3436" s="36"/>
      <c r="N3436" s="36"/>
      <c r="O3436" s="36"/>
      <c r="P3436" s="36"/>
      <c r="Q3436" s="36"/>
      <c r="R3436" s="36"/>
      <c r="S3436" s="36"/>
      <c r="T3436" s="36"/>
      <c r="U3436" s="36"/>
      <c r="V3436" s="36"/>
      <c r="W3436" s="15">
        <f t="shared" si="255"/>
        <v>0</v>
      </c>
      <c r="X3436" s="36"/>
      <c r="Y3436" s="36">
        <v>400</v>
      </c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15">
        <f t="shared" si="256"/>
        <v>400</v>
      </c>
      <c r="AK3436" s="14"/>
      <c r="AL3436" s="14"/>
      <c r="AM3436" s="14"/>
      <c r="AN3436" s="14"/>
      <c r="AO3436" s="14"/>
      <c r="AP3436" s="14"/>
      <c r="AQ3436" s="14"/>
      <c r="AR3436" s="14"/>
      <c r="AS3436" s="14"/>
      <c r="AT3436" s="14"/>
      <c r="AU3436" s="14"/>
      <c r="AV3436" s="14"/>
      <c r="AW3436" s="15"/>
      <c r="AX3436" s="16"/>
    </row>
    <row r="3437" spans="2:50" x14ac:dyDescent="0.2">
      <c r="B3437" s="7"/>
      <c r="C3437" s="8">
        <v>13913</v>
      </c>
      <c r="D3437" s="9" t="s">
        <v>538</v>
      </c>
      <c r="E3437" s="10" t="str">
        <f t="shared" si="252"/>
        <v>Rancho Landero No. 73</v>
      </c>
      <c r="F3437" s="10" t="str">
        <f t="shared" si="253"/>
        <v>Islas Palacios</v>
      </c>
      <c r="G3437" s="8">
        <v>7</v>
      </c>
      <c r="H3437" s="11">
        <v>100</v>
      </c>
      <c r="I3437" s="12">
        <v>42792</v>
      </c>
      <c r="J3437" s="35">
        <f t="shared" si="254"/>
        <v>0</v>
      </c>
      <c r="K3437" s="36"/>
      <c r="L3437" s="36"/>
      <c r="M3437" s="36"/>
      <c r="N3437" s="36"/>
      <c r="O3437" s="36"/>
      <c r="P3437" s="36"/>
      <c r="Q3437" s="36"/>
      <c r="R3437" s="36"/>
      <c r="S3437" s="36"/>
      <c r="T3437" s="36"/>
      <c r="U3437" s="36"/>
      <c r="V3437" s="36"/>
      <c r="W3437" s="15">
        <f t="shared" si="255"/>
        <v>0</v>
      </c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15">
        <f t="shared" si="256"/>
        <v>0</v>
      </c>
      <c r="AK3437" s="14"/>
      <c r="AL3437" s="14"/>
      <c r="AM3437" s="14"/>
      <c r="AN3437" s="14"/>
      <c r="AO3437" s="14"/>
      <c r="AP3437" s="14"/>
      <c r="AQ3437" s="14"/>
      <c r="AR3437" s="14"/>
      <c r="AS3437" s="14"/>
      <c r="AT3437" s="14"/>
      <c r="AU3437" s="14"/>
      <c r="AV3437" s="14"/>
      <c r="AW3437" s="15"/>
      <c r="AX3437" s="16" t="s">
        <v>3533</v>
      </c>
    </row>
    <row r="3438" spans="2:50" x14ac:dyDescent="0.2">
      <c r="B3438" s="7"/>
      <c r="C3438" s="8">
        <v>13914</v>
      </c>
      <c r="D3438" s="9" t="s">
        <v>583</v>
      </c>
      <c r="E3438" s="10" t="str">
        <f t="shared" si="252"/>
        <v>Rancho La Cuchilla No. 111</v>
      </c>
      <c r="F3438" s="10" t="str">
        <f t="shared" si="253"/>
        <v>García Santos Ofelia</v>
      </c>
      <c r="G3438" s="8">
        <v>7</v>
      </c>
      <c r="H3438" s="11">
        <v>100</v>
      </c>
      <c r="I3438" s="12">
        <v>42792</v>
      </c>
      <c r="J3438" s="35">
        <f t="shared" si="254"/>
        <v>0</v>
      </c>
      <c r="K3438" s="36"/>
      <c r="L3438" s="36"/>
      <c r="M3438" s="36"/>
      <c r="N3438" s="36"/>
      <c r="O3438" s="36"/>
      <c r="P3438" s="36"/>
      <c r="Q3438" s="36"/>
      <c r="R3438" s="36"/>
      <c r="S3438" s="36"/>
      <c r="T3438" s="36"/>
      <c r="U3438" s="36"/>
      <c r="V3438" s="36"/>
      <c r="W3438" s="15">
        <f t="shared" si="255"/>
        <v>0</v>
      </c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15">
        <f t="shared" si="256"/>
        <v>0</v>
      </c>
      <c r="AK3438" s="14"/>
      <c r="AL3438" s="14"/>
      <c r="AM3438" s="14"/>
      <c r="AN3438" s="14"/>
      <c r="AO3438" s="14"/>
      <c r="AP3438" s="14"/>
      <c r="AQ3438" s="14"/>
      <c r="AR3438" s="14"/>
      <c r="AS3438" s="14"/>
      <c r="AT3438" s="14"/>
      <c r="AU3438" s="14"/>
      <c r="AV3438" s="14"/>
      <c r="AW3438" s="15"/>
      <c r="AX3438" s="16" t="s">
        <v>3533</v>
      </c>
    </row>
    <row r="3439" spans="2:50" x14ac:dyDescent="0.2">
      <c r="B3439" s="7"/>
      <c r="C3439" s="8">
        <v>13915</v>
      </c>
      <c r="D3439" s="9" t="s">
        <v>696</v>
      </c>
      <c r="E3439" s="10" t="str">
        <f t="shared" si="252"/>
        <v>Rancho Upácuaro No. 64</v>
      </c>
      <c r="F3439" s="10" t="str">
        <f t="shared" si="253"/>
        <v>Méndez Oliva</v>
      </c>
      <c r="G3439" s="8">
        <v>7</v>
      </c>
      <c r="H3439" s="11">
        <v>100</v>
      </c>
      <c r="I3439" s="12">
        <v>42792</v>
      </c>
      <c r="J3439" s="35">
        <f t="shared" si="254"/>
        <v>0</v>
      </c>
      <c r="K3439" s="36"/>
      <c r="L3439" s="36"/>
      <c r="M3439" s="36"/>
      <c r="N3439" s="36"/>
      <c r="O3439" s="36"/>
      <c r="P3439" s="36"/>
      <c r="Q3439" s="36"/>
      <c r="R3439" s="36"/>
      <c r="S3439" s="36"/>
      <c r="T3439" s="36"/>
      <c r="U3439" s="36"/>
      <c r="V3439" s="36"/>
      <c r="W3439" s="15">
        <f t="shared" si="255"/>
        <v>0</v>
      </c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15">
        <f t="shared" si="256"/>
        <v>0</v>
      </c>
      <c r="AK3439" s="14"/>
      <c r="AL3439" s="14"/>
      <c r="AM3439" s="14"/>
      <c r="AN3439" s="14"/>
      <c r="AO3439" s="14"/>
      <c r="AP3439" s="14"/>
      <c r="AQ3439" s="14"/>
      <c r="AR3439" s="14"/>
      <c r="AS3439" s="14"/>
      <c r="AT3439" s="14"/>
      <c r="AU3439" s="14"/>
      <c r="AV3439" s="14"/>
      <c r="AW3439" s="15"/>
      <c r="AX3439" s="16" t="s">
        <v>3533</v>
      </c>
    </row>
    <row r="3440" spans="2:50" x14ac:dyDescent="0.2">
      <c r="B3440" s="7"/>
      <c r="C3440" s="8">
        <v>13916</v>
      </c>
      <c r="D3440" s="9" t="s">
        <v>431</v>
      </c>
      <c r="E3440" s="10" t="str">
        <f t="shared" ref="E3440:E3453" si="257">IF(D3440=0,"",VLOOKUP(D3440,BASE,2,FALSE))</f>
        <v>Rancho Landero No. 63</v>
      </c>
      <c r="F3440" s="10" t="str">
        <f t="shared" ref="F3440:F3453" si="258">IF(D3440=0,"",VLOOKUP(D3440,BASE,3,FALSE))</f>
        <v>Hernández Chávez</v>
      </c>
      <c r="G3440" s="8">
        <v>1</v>
      </c>
      <c r="H3440" s="11">
        <v>400</v>
      </c>
      <c r="I3440" s="12">
        <v>42792</v>
      </c>
      <c r="J3440" s="35">
        <f t="shared" ref="J3440:J3453" si="259">IF(G3440=1,SUM(W3440,AJ3440,-H3440),0)</f>
        <v>0</v>
      </c>
      <c r="K3440" s="36"/>
      <c r="L3440" s="36"/>
      <c r="M3440" s="36"/>
      <c r="N3440" s="36"/>
      <c r="O3440" s="36"/>
      <c r="P3440" s="36"/>
      <c r="Q3440" s="36"/>
      <c r="R3440" s="36"/>
      <c r="S3440" s="36"/>
      <c r="T3440" s="36"/>
      <c r="U3440" s="36"/>
      <c r="V3440" s="36"/>
      <c r="W3440" s="15">
        <f t="shared" ref="W3440:W3453" si="260">SUM(K3440:V3440)</f>
        <v>0</v>
      </c>
      <c r="X3440" s="36"/>
      <c r="Y3440" s="36">
        <v>400</v>
      </c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15">
        <f t="shared" ref="AJ3440:AJ3453" si="261">SUM(X3440:AI3440)</f>
        <v>400</v>
      </c>
      <c r="AK3440" s="14"/>
      <c r="AL3440" s="14"/>
      <c r="AM3440" s="14"/>
      <c r="AN3440" s="14"/>
      <c r="AO3440" s="14"/>
      <c r="AP3440" s="14"/>
      <c r="AQ3440" s="14"/>
      <c r="AR3440" s="14"/>
      <c r="AS3440" s="14"/>
      <c r="AT3440" s="14"/>
      <c r="AU3440" s="14"/>
      <c r="AV3440" s="14"/>
      <c r="AW3440" s="15"/>
      <c r="AX3440" s="16"/>
    </row>
    <row r="3441" spans="2:50" x14ac:dyDescent="0.2">
      <c r="B3441" s="7"/>
      <c r="C3441" s="8">
        <v>13916</v>
      </c>
      <c r="D3441" s="9" t="s">
        <v>431</v>
      </c>
      <c r="E3441" s="10" t="str">
        <f t="shared" si="257"/>
        <v>Rancho Landero No. 63</v>
      </c>
      <c r="F3441" s="10" t="str">
        <f t="shared" si="258"/>
        <v>Hernández Chávez</v>
      </c>
      <c r="G3441" s="8">
        <v>7</v>
      </c>
      <c r="H3441" s="11">
        <v>100</v>
      </c>
      <c r="I3441" s="12">
        <v>42792</v>
      </c>
      <c r="J3441" s="35">
        <f t="shared" si="259"/>
        <v>0</v>
      </c>
      <c r="K3441" s="36"/>
      <c r="L3441" s="36"/>
      <c r="M3441" s="36"/>
      <c r="N3441" s="36"/>
      <c r="O3441" s="36"/>
      <c r="P3441" s="36"/>
      <c r="Q3441" s="36"/>
      <c r="R3441" s="36"/>
      <c r="S3441" s="36"/>
      <c r="T3441" s="36"/>
      <c r="U3441" s="36"/>
      <c r="V3441" s="36"/>
      <c r="W3441" s="15">
        <f t="shared" si="260"/>
        <v>0</v>
      </c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15">
        <f t="shared" si="261"/>
        <v>0</v>
      </c>
      <c r="AK3441" s="14"/>
      <c r="AL3441" s="14"/>
      <c r="AM3441" s="14"/>
      <c r="AN3441" s="14"/>
      <c r="AO3441" s="14"/>
      <c r="AP3441" s="14"/>
      <c r="AQ3441" s="14"/>
      <c r="AR3441" s="14"/>
      <c r="AS3441" s="14"/>
      <c r="AT3441" s="14"/>
      <c r="AU3441" s="14"/>
      <c r="AV3441" s="14"/>
      <c r="AW3441" s="15"/>
      <c r="AX3441" s="16" t="s">
        <v>3533</v>
      </c>
    </row>
    <row r="3442" spans="2:50" x14ac:dyDescent="0.2">
      <c r="B3442" s="7"/>
      <c r="C3442" s="8">
        <v>13917</v>
      </c>
      <c r="D3442" s="9" t="s">
        <v>292</v>
      </c>
      <c r="E3442" s="10" t="str">
        <f t="shared" si="257"/>
        <v>Rancho Upácuaro No. 140</v>
      </c>
      <c r="F3442" s="10" t="str">
        <f t="shared" si="258"/>
        <v>Gozain</v>
      </c>
      <c r="G3442" s="8">
        <v>1</v>
      </c>
      <c r="H3442" s="11">
        <v>400</v>
      </c>
      <c r="I3442" s="12">
        <v>42792</v>
      </c>
      <c r="J3442" s="35">
        <f t="shared" si="259"/>
        <v>0</v>
      </c>
      <c r="K3442" s="36"/>
      <c r="L3442" s="36"/>
      <c r="M3442" s="36"/>
      <c r="N3442" s="36"/>
      <c r="O3442" s="36"/>
      <c r="P3442" s="36"/>
      <c r="Q3442" s="36"/>
      <c r="R3442" s="36"/>
      <c r="S3442" s="36"/>
      <c r="T3442" s="36"/>
      <c r="U3442" s="36"/>
      <c r="V3442" s="36"/>
      <c r="W3442" s="15">
        <f t="shared" si="260"/>
        <v>0</v>
      </c>
      <c r="X3442" s="36"/>
      <c r="Y3442" s="36"/>
      <c r="Z3442" s="36">
        <v>400</v>
      </c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15">
        <f t="shared" si="261"/>
        <v>400</v>
      </c>
      <c r="AK3442" s="14"/>
      <c r="AL3442" s="14"/>
      <c r="AM3442" s="14"/>
      <c r="AN3442" s="14"/>
      <c r="AO3442" s="14"/>
      <c r="AP3442" s="14"/>
      <c r="AQ3442" s="14"/>
      <c r="AR3442" s="14"/>
      <c r="AS3442" s="14"/>
      <c r="AT3442" s="14"/>
      <c r="AU3442" s="14"/>
      <c r="AV3442" s="14"/>
      <c r="AW3442" s="15"/>
      <c r="AX3442" s="16"/>
    </row>
    <row r="3443" spans="2:50" x14ac:dyDescent="0.2">
      <c r="B3443" s="7"/>
      <c r="C3443" s="8">
        <v>13917</v>
      </c>
      <c r="D3443" s="9" t="s">
        <v>292</v>
      </c>
      <c r="E3443" s="10" t="str">
        <f t="shared" si="257"/>
        <v>Rancho Upácuaro No. 140</v>
      </c>
      <c r="F3443" s="10" t="str">
        <f t="shared" si="258"/>
        <v>Gozain</v>
      </c>
      <c r="G3443" s="8">
        <v>7</v>
      </c>
      <c r="H3443" s="11">
        <v>100</v>
      </c>
      <c r="I3443" s="12">
        <v>42792</v>
      </c>
      <c r="J3443" s="35">
        <f t="shared" si="259"/>
        <v>0</v>
      </c>
      <c r="K3443" s="36"/>
      <c r="L3443" s="36"/>
      <c r="M3443" s="36"/>
      <c r="N3443" s="36"/>
      <c r="O3443" s="36"/>
      <c r="P3443" s="36"/>
      <c r="Q3443" s="36"/>
      <c r="R3443" s="36"/>
      <c r="S3443" s="36"/>
      <c r="T3443" s="36"/>
      <c r="U3443" s="36"/>
      <c r="V3443" s="36"/>
      <c r="W3443" s="15">
        <f t="shared" si="260"/>
        <v>0</v>
      </c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15">
        <f t="shared" si="261"/>
        <v>0</v>
      </c>
      <c r="AK3443" s="14"/>
      <c r="AL3443" s="14"/>
      <c r="AM3443" s="14"/>
      <c r="AN3443" s="14"/>
      <c r="AO3443" s="14"/>
      <c r="AP3443" s="14"/>
      <c r="AQ3443" s="14"/>
      <c r="AR3443" s="14"/>
      <c r="AS3443" s="14"/>
      <c r="AT3443" s="14"/>
      <c r="AU3443" s="14"/>
      <c r="AV3443" s="14"/>
      <c r="AW3443" s="15"/>
      <c r="AX3443" s="16" t="s">
        <v>3533</v>
      </c>
    </row>
    <row r="3444" spans="2:50" x14ac:dyDescent="0.2">
      <c r="B3444" s="7"/>
      <c r="C3444" s="8">
        <v>13918</v>
      </c>
      <c r="D3444" s="9" t="s">
        <v>455</v>
      </c>
      <c r="E3444" s="10" t="str">
        <f t="shared" si="257"/>
        <v>Rancho Zinamba No. 38</v>
      </c>
      <c r="F3444" s="10" t="str">
        <f t="shared" si="258"/>
        <v>Ramírez Díaz</v>
      </c>
      <c r="G3444" s="8">
        <v>1</v>
      </c>
      <c r="H3444" s="11">
        <v>400</v>
      </c>
      <c r="I3444" s="12">
        <v>42792</v>
      </c>
      <c r="J3444" s="35">
        <f t="shared" si="259"/>
        <v>0</v>
      </c>
      <c r="K3444" s="36"/>
      <c r="L3444" s="36"/>
      <c r="M3444" s="36"/>
      <c r="N3444" s="36"/>
      <c r="O3444" s="36"/>
      <c r="P3444" s="36"/>
      <c r="Q3444" s="36"/>
      <c r="R3444" s="36"/>
      <c r="S3444" s="36"/>
      <c r="T3444" s="36"/>
      <c r="U3444" s="36"/>
      <c r="V3444" s="36"/>
      <c r="W3444" s="15">
        <f t="shared" si="260"/>
        <v>0</v>
      </c>
      <c r="X3444" s="36"/>
      <c r="Y3444" s="36"/>
      <c r="Z3444" s="36">
        <v>400</v>
      </c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15">
        <f t="shared" si="261"/>
        <v>400</v>
      </c>
      <c r="AK3444" s="14"/>
      <c r="AL3444" s="14"/>
      <c r="AM3444" s="14"/>
      <c r="AN3444" s="14"/>
      <c r="AO3444" s="14"/>
      <c r="AP3444" s="14"/>
      <c r="AQ3444" s="14"/>
      <c r="AR3444" s="14"/>
      <c r="AS3444" s="14"/>
      <c r="AT3444" s="14"/>
      <c r="AU3444" s="14"/>
      <c r="AV3444" s="14"/>
      <c r="AW3444" s="15"/>
      <c r="AX3444" s="16"/>
    </row>
    <row r="3445" spans="2:50" x14ac:dyDescent="0.2">
      <c r="B3445" s="7"/>
      <c r="C3445" s="8">
        <v>13918</v>
      </c>
      <c r="D3445" s="9" t="s">
        <v>455</v>
      </c>
      <c r="E3445" s="10" t="str">
        <f t="shared" si="257"/>
        <v>Rancho Zinamba No. 38</v>
      </c>
      <c r="F3445" s="10" t="str">
        <f t="shared" si="258"/>
        <v>Ramírez Díaz</v>
      </c>
      <c r="G3445" s="8">
        <v>7</v>
      </c>
      <c r="H3445" s="11">
        <v>100</v>
      </c>
      <c r="I3445" s="12">
        <v>42792</v>
      </c>
      <c r="J3445" s="35">
        <f t="shared" si="259"/>
        <v>0</v>
      </c>
      <c r="K3445" s="36"/>
      <c r="L3445" s="36"/>
      <c r="M3445" s="36"/>
      <c r="N3445" s="36"/>
      <c r="O3445" s="36"/>
      <c r="P3445" s="36"/>
      <c r="Q3445" s="36"/>
      <c r="R3445" s="36"/>
      <c r="S3445" s="36"/>
      <c r="T3445" s="36"/>
      <c r="U3445" s="36"/>
      <c r="V3445" s="36"/>
      <c r="W3445" s="15">
        <f t="shared" si="260"/>
        <v>0</v>
      </c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15">
        <f t="shared" si="261"/>
        <v>0</v>
      </c>
      <c r="AK3445" s="14"/>
      <c r="AL3445" s="14"/>
      <c r="AM3445" s="14"/>
      <c r="AN3445" s="14"/>
      <c r="AO3445" s="14"/>
      <c r="AP3445" s="14"/>
      <c r="AQ3445" s="14"/>
      <c r="AR3445" s="14"/>
      <c r="AS3445" s="14"/>
      <c r="AT3445" s="14"/>
      <c r="AU3445" s="14"/>
      <c r="AV3445" s="14"/>
      <c r="AW3445" s="15"/>
      <c r="AX3445" s="16" t="s">
        <v>3533</v>
      </c>
    </row>
    <row r="3446" spans="2:50" x14ac:dyDescent="0.2">
      <c r="B3446" s="7"/>
      <c r="C3446" s="8">
        <v>13919</v>
      </c>
      <c r="D3446" s="9" t="s">
        <v>404</v>
      </c>
      <c r="E3446" s="10" t="str">
        <f t="shared" si="257"/>
        <v>Rancho La Cuchilla No. 89</v>
      </c>
      <c r="F3446" s="10" t="str">
        <f t="shared" si="258"/>
        <v>Gálvez</v>
      </c>
      <c r="G3446" s="8">
        <v>1</v>
      </c>
      <c r="H3446" s="11">
        <v>400</v>
      </c>
      <c r="I3446" s="12">
        <v>42792</v>
      </c>
      <c r="J3446" s="35">
        <f t="shared" si="259"/>
        <v>0</v>
      </c>
      <c r="K3446" s="36"/>
      <c r="L3446" s="36"/>
      <c r="M3446" s="36"/>
      <c r="N3446" s="36"/>
      <c r="O3446" s="36"/>
      <c r="P3446" s="36"/>
      <c r="Q3446" s="36"/>
      <c r="R3446" s="36"/>
      <c r="S3446" s="36"/>
      <c r="T3446" s="36"/>
      <c r="U3446" s="36"/>
      <c r="V3446" s="36"/>
      <c r="W3446" s="15">
        <f t="shared" si="260"/>
        <v>0</v>
      </c>
      <c r="X3446" s="36"/>
      <c r="Y3446" s="36">
        <v>400</v>
      </c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15">
        <f t="shared" si="261"/>
        <v>400</v>
      </c>
      <c r="AK3446" s="14"/>
      <c r="AL3446" s="14"/>
      <c r="AM3446" s="14"/>
      <c r="AN3446" s="14"/>
      <c r="AO3446" s="14"/>
      <c r="AP3446" s="14"/>
      <c r="AQ3446" s="14"/>
      <c r="AR3446" s="14"/>
      <c r="AS3446" s="14"/>
      <c r="AT3446" s="14"/>
      <c r="AU3446" s="14"/>
      <c r="AV3446" s="14"/>
      <c r="AW3446" s="15"/>
      <c r="AX3446" s="16"/>
    </row>
    <row r="3447" spans="2:50" x14ac:dyDescent="0.2">
      <c r="B3447" s="7"/>
      <c r="C3447" s="8">
        <v>13920</v>
      </c>
      <c r="D3447" s="9" t="s">
        <v>277</v>
      </c>
      <c r="E3447" s="10" t="str">
        <f t="shared" si="257"/>
        <v>Rancho Estanzuela No. 7, A</v>
      </c>
      <c r="F3447" s="10" t="str">
        <f t="shared" si="258"/>
        <v>Herrera Izquierdo</v>
      </c>
      <c r="G3447" s="8">
        <v>7</v>
      </c>
      <c r="H3447" s="11">
        <v>100</v>
      </c>
      <c r="I3447" s="12">
        <v>42792</v>
      </c>
      <c r="J3447" s="35">
        <f t="shared" si="259"/>
        <v>0</v>
      </c>
      <c r="K3447" s="36"/>
      <c r="L3447" s="36"/>
      <c r="M3447" s="36"/>
      <c r="N3447" s="36"/>
      <c r="O3447" s="36"/>
      <c r="P3447" s="36"/>
      <c r="Q3447" s="36"/>
      <c r="R3447" s="36"/>
      <c r="S3447" s="36"/>
      <c r="T3447" s="36"/>
      <c r="U3447" s="36"/>
      <c r="V3447" s="36"/>
      <c r="W3447" s="15">
        <f t="shared" si="260"/>
        <v>0</v>
      </c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15">
        <f t="shared" si="261"/>
        <v>0</v>
      </c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14"/>
      <c r="AV3447" s="14"/>
      <c r="AW3447" s="15"/>
      <c r="AX3447" s="16" t="s">
        <v>3533</v>
      </c>
    </row>
    <row r="3448" spans="2:50" x14ac:dyDescent="0.2">
      <c r="B3448" s="7"/>
      <c r="C3448" s="8">
        <v>13921</v>
      </c>
      <c r="D3448" s="9" t="s">
        <v>761</v>
      </c>
      <c r="E3448" s="10" t="str">
        <f t="shared" si="257"/>
        <v>Rancho Recoveco No. 187</v>
      </c>
      <c r="F3448" s="10" t="str">
        <f t="shared" si="258"/>
        <v>Moreno</v>
      </c>
      <c r="G3448" s="8">
        <v>1</v>
      </c>
      <c r="H3448" s="11">
        <v>1200</v>
      </c>
      <c r="I3448" s="12">
        <v>42792</v>
      </c>
      <c r="J3448" s="35">
        <f t="shared" si="259"/>
        <v>0</v>
      </c>
      <c r="K3448" s="36"/>
      <c r="L3448" s="36"/>
      <c r="M3448" s="36"/>
      <c r="N3448" s="36"/>
      <c r="O3448" s="36"/>
      <c r="P3448" s="36"/>
      <c r="Q3448" s="36"/>
      <c r="R3448" s="36"/>
      <c r="S3448" s="36"/>
      <c r="T3448" s="36"/>
      <c r="U3448" s="36"/>
      <c r="V3448" s="36">
        <v>400</v>
      </c>
      <c r="W3448" s="15">
        <f t="shared" si="260"/>
        <v>400</v>
      </c>
      <c r="X3448" s="36">
        <v>400</v>
      </c>
      <c r="Y3448" s="36">
        <v>400</v>
      </c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15">
        <f t="shared" si="261"/>
        <v>800</v>
      </c>
      <c r="AK3448" s="14"/>
      <c r="AL3448" s="14"/>
      <c r="AM3448" s="14"/>
      <c r="AN3448" s="14"/>
      <c r="AO3448" s="14"/>
      <c r="AP3448" s="14"/>
      <c r="AQ3448" s="14"/>
      <c r="AR3448" s="14"/>
      <c r="AS3448" s="14"/>
      <c r="AT3448" s="14"/>
      <c r="AU3448" s="14"/>
      <c r="AV3448" s="14"/>
      <c r="AW3448" s="15"/>
      <c r="AX3448" s="16"/>
    </row>
    <row r="3449" spans="2:50" x14ac:dyDescent="0.2">
      <c r="B3449" s="7"/>
      <c r="C3449" s="8">
        <v>13921</v>
      </c>
      <c r="D3449" s="9" t="s">
        <v>761</v>
      </c>
      <c r="E3449" s="10" t="str">
        <f t="shared" si="257"/>
        <v>Rancho Recoveco No. 187</v>
      </c>
      <c r="F3449" s="10" t="str">
        <f t="shared" si="258"/>
        <v>Moreno</v>
      </c>
      <c r="G3449" s="8">
        <v>7</v>
      </c>
      <c r="H3449" s="11">
        <v>100</v>
      </c>
      <c r="I3449" s="12">
        <v>42792</v>
      </c>
      <c r="J3449" s="35">
        <f t="shared" si="259"/>
        <v>0</v>
      </c>
      <c r="K3449" s="36"/>
      <c r="L3449" s="36"/>
      <c r="M3449" s="36"/>
      <c r="N3449" s="36"/>
      <c r="O3449" s="36"/>
      <c r="P3449" s="36"/>
      <c r="Q3449" s="36"/>
      <c r="R3449" s="36"/>
      <c r="S3449" s="36"/>
      <c r="T3449" s="36"/>
      <c r="U3449" s="36"/>
      <c r="V3449" s="36"/>
      <c r="W3449" s="15">
        <f t="shared" si="260"/>
        <v>0</v>
      </c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15">
        <f t="shared" si="261"/>
        <v>0</v>
      </c>
      <c r="AK3449" s="14"/>
      <c r="AL3449" s="14"/>
      <c r="AM3449" s="14"/>
      <c r="AN3449" s="14"/>
      <c r="AO3449" s="14"/>
      <c r="AP3449" s="14"/>
      <c r="AQ3449" s="14"/>
      <c r="AR3449" s="14"/>
      <c r="AS3449" s="14"/>
      <c r="AT3449" s="14"/>
      <c r="AU3449" s="14"/>
      <c r="AV3449" s="14"/>
      <c r="AW3449" s="15"/>
      <c r="AX3449" s="16" t="s">
        <v>3533</v>
      </c>
    </row>
    <row r="3450" spans="2:50" x14ac:dyDescent="0.2">
      <c r="B3450" s="7"/>
      <c r="C3450" s="8">
        <v>13922</v>
      </c>
      <c r="D3450" s="9" t="s">
        <v>132</v>
      </c>
      <c r="E3450" s="10" t="str">
        <f t="shared" si="257"/>
        <v>Rancho La Cuchilla No. 129</v>
      </c>
      <c r="F3450" s="10" t="str">
        <f t="shared" si="258"/>
        <v>Gamboa Rueda</v>
      </c>
      <c r="G3450" s="8">
        <v>1</v>
      </c>
      <c r="H3450" s="11">
        <v>300</v>
      </c>
      <c r="I3450" s="12" t="s">
        <v>3537</v>
      </c>
      <c r="J3450" s="35">
        <f t="shared" si="259"/>
        <v>0</v>
      </c>
      <c r="K3450" s="36"/>
      <c r="L3450" s="36"/>
      <c r="M3450" s="36"/>
      <c r="N3450" s="36"/>
      <c r="O3450" s="36"/>
      <c r="P3450" s="36"/>
      <c r="Q3450" s="36"/>
      <c r="R3450" s="36"/>
      <c r="S3450" s="36"/>
      <c r="T3450" s="36"/>
      <c r="U3450" s="36"/>
      <c r="V3450" s="36"/>
      <c r="W3450" s="15">
        <f t="shared" si="260"/>
        <v>0</v>
      </c>
      <c r="X3450" s="36"/>
      <c r="Y3450" s="36">
        <v>300</v>
      </c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15">
        <f t="shared" si="261"/>
        <v>300</v>
      </c>
      <c r="AK3450" s="14"/>
      <c r="AL3450" s="14"/>
      <c r="AM3450" s="14"/>
      <c r="AN3450" s="14"/>
      <c r="AO3450" s="14"/>
      <c r="AP3450" s="14"/>
      <c r="AQ3450" s="14"/>
      <c r="AR3450" s="14"/>
      <c r="AS3450" s="14"/>
      <c r="AT3450" s="14"/>
      <c r="AU3450" s="14"/>
      <c r="AV3450" s="14"/>
      <c r="AW3450" s="15"/>
      <c r="AX3450" s="16"/>
    </row>
    <row r="3451" spans="2:50" x14ac:dyDescent="0.2">
      <c r="B3451" s="7"/>
      <c r="C3451" s="8">
        <v>13922</v>
      </c>
      <c r="D3451" s="9" t="s">
        <v>132</v>
      </c>
      <c r="E3451" s="10" t="str">
        <f t="shared" si="257"/>
        <v>Rancho La Cuchilla No. 129</v>
      </c>
      <c r="F3451" s="10" t="str">
        <f t="shared" si="258"/>
        <v>Gamboa Rueda</v>
      </c>
      <c r="G3451" s="8">
        <v>7</v>
      </c>
      <c r="H3451" s="11">
        <v>100</v>
      </c>
      <c r="I3451" s="12">
        <v>42792</v>
      </c>
      <c r="J3451" s="35">
        <f t="shared" si="259"/>
        <v>0</v>
      </c>
      <c r="K3451" s="36"/>
      <c r="L3451" s="36"/>
      <c r="M3451" s="36"/>
      <c r="N3451" s="36"/>
      <c r="O3451" s="36"/>
      <c r="P3451" s="36"/>
      <c r="Q3451" s="36"/>
      <c r="R3451" s="36"/>
      <c r="S3451" s="36"/>
      <c r="T3451" s="36"/>
      <c r="U3451" s="36"/>
      <c r="V3451" s="36"/>
      <c r="W3451" s="15">
        <f t="shared" si="260"/>
        <v>0</v>
      </c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15">
        <f t="shared" si="261"/>
        <v>0</v>
      </c>
      <c r="AK3451" s="14"/>
      <c r="AL3451" s="14"/>
      <c r="AM3451" s="14"/>
      <c r="AN3451" s="14"/>
      <c r="AO3451" s="14"/>
      <c r="AP3451" s="14"/>
      <c r="AQ3451" s="14"/>
      <c r="AR3451" s="14"/>
      <c r="AS3451" s="14"/>
      <c r="AT3451" s="14"/>
      <c r="AU3451" s="14"/>
      <c r="AV3451" s="14"/>
      <c r="AW3451" s="15"/>
      <c r="AX3451" s="16" t="s">
        <v>3533</v>
      </c>
    </row>
    <row r="3452" spans="2:50" x14ac:dyDescent="0.2">
      <c r="B3452" s="7"/>
      <c r="C3452" s="8">
        <v>13923</v>
      </c>
      <c r="D3452" s="9" t="s">
        <v>605</v>
      </c>
      <c r="E3452" s="10" t="str">
        <f t="shared" si="257"/>
        <v>Rancho Upácuaro No. 50</v>
      </c>
      <c r="F3452" s="10" t="str">
        <f t="shared" si="258"/>
        <v>Rivera Rodríguez</v>
      </c>
      <c r="G3452" s="8">
        <v>1</v>
      </c>
      <c r="H3452" s="11">
        <v>900</v>
      </c>
      <c r="I3452" s="12">
        <v>42792</v>
      </c>
      <c r="J3452" s="35">
        <f t="shared" si="259"/>
        <v>0</v>
      </c>
      <c r="K3452" s="36"/>
      <c r="L3452" s="36"/>
      <c r="M3452" s="36"/>
      <c r="N3452" s="36"/>
      <c r="O3452" s="36"/>
      <c r="P3452" s="36"/>
      <c r="Q3452" s="36"/>
      <c r="R3452" s="36"/>
      <c r="S3452" s="36"/>
      <c r="T3452" s="36"/>
      <c r="U3452" s="36"/>
      <c r="V3452" s="36"/>
      <c r="W3452" s="15">
        <f t="shared" si="260"/>
        <v>0</v>
      </c>
      <c r="X3452" s="36"/>
      <c r="Y3452" s="36"/>
      <c r="Z3452" s="36">
        <v>300</v>
      </c>
      <c r="AA3452" s="36">
        <v>300</v>
      </c>
      <c r="AB3452" s="36">
        <v>300</v>
      </c>
      <c r="AC3452" s="36"/>
      <c r="AD3452" s="36"/>
      <c r="AE3452" s="36"/>
      <c r="AF3452" s="36"/>
      <c r="AG3452" s="36"/>
      <c r="AH3452" s="36"/>
      <c r="AI3452" s="36"/>
      <c r="AJ3452" s="15">
        <f t="shared" si="261"/>
        <v>900</v>
      </c>
      <c r="AK3452" s="14"/>
      <c r="AL3452" s="14"/>
      <c r="AM3452" s="14"/>
      <c r="AN3452" s="14"/>
      <c r="AO3452" s="14"/>
      <c r="AP3452" s="14"/>
      <c r="AQ3452" s="14"/>
      <c r="AR3452" s="14"/>
      <c r="AS3452" s="14"/>
      <c r="AT3452" s="14"/>
      <c r="AU3452" s="14"/>
      <c r="AV3452" s="14"/>
      <c r="AW3452" s="15"/>
      <c r="AX3452" s="16"/>
    </row>
    <row r="3453" spans="2:50" x14ac:dyDescent="0.2">
      <c r="B3453" s="7"/>
      <c r="C3453" s="8">
        <v>13923</v>
      </c>
      <c r="D3453" s="9" t="s">
        <v>605</v>
      </c>
      <c r="E3453" s="10" t="str">
        <f t="shared" si="257"/>
        <v>Rancho Upácuaro No. 50</v>
      </c>
      <c r="F3453" s="10" t="str">
        <f t="shared" si="258"/>
        <v>Rivera Rodríguez</v>
      </c>
      <c r="G3453" s="8">
        <v>7</v>
      </c>
      <c r="H3453" s="11">
        <v>100</v>
      </c>
      <c r="I3453" s="12">
        <v>42792</v>
      </c>
      <c r="J3453" s="35">
        <f t="shared" si="259"/>
        <v>0</v>
      </c>
      <c r="K3453" s="36"/>
      <c r="L3453" s="36"/>
      <c r="M3453" s="36"/>
      <c r="N3453" s="36"/>
      <c r="O3453" s="36"/>
      <c r="P3453" s="36"/>
      <c r="Q3453" s="36"/>
      <c r="R3453" s="36"/>
      <c r="S3453" s="36"/>
      <c r="T3453" s="36"/>
      <c r="U3453" s="36"/>
      <c r="V3453" s="36"/>
      <c r="W3453" s="15">
        <f t="shared" si="260"/>
        <v>0</v>
      </c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15">
        <f t="shared" si="261"/>
        <v>0</v>
      </c>
      <c r="AK3453" s="14"/>
      <c r="AL3453" s="14"/>
      <c r="AM3453" s="14"/>
      <c r="AN3453" s="14"/>
      <c r="AO3453" s="14"/>
      <c r="AP3453" s="14"/>
      <c r="AQ3453" s="14"/>
      <c r="AR3453" s="14"/>
      <c r="AS3453" s="14"/>
      <c r="AT3453" s="14"/>
      <c r="AU3453" s="14"/>
      <c r="AV3453" s="14"/>
      <c r="AW3453" s="15"/>
      <c r="AX3453" s="16" t="s">
        <v>3533</v>
      </c>
    </row>
    <row r="3454" spans="2:50" x14ac:dyDescent="0.2">
      <c r="B3454" s="7"/>
      <c r="C3454" s="8">
        <v>13924</v>
      </c>
      <c r="D3454" s="9" t="s">
        <v>797</v>
      </c>
      <c r="E3454" s="10" t="str">
        <f t="shared" ref="E3454:E3502" si="262">IF(D3454=0,"",VLOOKUP(D3454,BASE,2,FALSE))</f>
        <v>Rancho Recoveco No. 195</v>
      </c>
      <c r="F3454" s="10" t="str">
        <f t="shared" ref="F3454:F3502" si="263">IF(D3454=0,"",VLOOKUP(D3454,BASE,3,FALSE))</f>
        <v>Sandoval</v>
      </c>
      <c r="G3454" s="8">
        <v>1</v>
      </c>
      <c r="H3454" s="11">
        <v>800</v>
      </c>
      <c r="I3454" s="12">
        <v>42792</v>
      </c>
      <c r="J3454" s="35">
        <f t="shared" ref="J3454:J3502" si="264">IF(G3454=1,SUM(W3454,AJ3454,-H3454),0)</f>
        <v>0</v>
      </c>
      <c r="K3454" s="36"/>
      <c r="L3454" s="36"/>
      <c r="M3454" s="36"/>
      <c r="N3454" s="36"/>
      <c r="O3454" s="36"/>
      <c r="P3454" s="36"/>
      <c r="Q3454" s="36"/>
      <c r="R3454" s="36"/>
      <c r="S3454" s="36"/>
      <c r="T3454" s="36"/>
      <c r="U3454" s="36"/>
      <c r="V3454" s="36"/>
      <c r="W3454" s="15">
        <f t="shared" ref="W3454:W3502" si="265">SUM(K3454:V3454)</f>
        <v>0</v>
      </c>
      <c r="X3454" s="36">
        <v>400</v>
      </c>
      <c r="Y3454" s="36">
        <v>400</v>
      </c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15">
        <f t="shared" ref="AJ3454:AJ3502" si="266">SUM(X3454:AI3454)</f>
        <v>800</v>
      </c>
      <c r="AK3454" s="14"/>
      <c r="AL3454" s="14"/>
      <c r="AM3454" s="14"/>
      <c r="AN3454" s="14"/>
      <c r="AO3454" s="14"/>
      <c r="AP3454" s="14"/>
      <c r="AQ3454" s="14"/>
      <c r="AR3454" s="14"/>
      <c r="AS3454" s="14"/>
      <c r="AT3454" s="14"/>
      <c r="AU3454" s="14"/>
      <c r="AV3454" s="14"/>
      <c r="AW3454" s="15"/>
      <c r="AX3454" s="16"/>
    </row>
    <row r="3455" spans="2:50" x14ac:dyDescent="0.2">
      <c r="B3455" s="7"/>
      <c r="C3455" s="8">
        <v>13924</v>
      </c>
      <c r="D3455" s="9" t="s">
        <v>797</v>
      </c>
      <c r="E3455" s="10" t="str">
        <f t="shared" si="262"/>
        <v>Rancho Recoveco No. 195</v>
      </c>
      <c r="F3455" s="10" t="str">
        <f t="shared" si="263"/>
        <v>Sandoval</v>
      </c>
      <c r="G3455" s="8">
        <v>7</v>
      </c>
      <c r="H3455" s="11">
        <v>100</v>
      </c>
      <c r="I3455" s="12">
        <v>42792</v>
      </c>
      <c r="J3455" s="35">
        <f t="shared" si="264"/>
        <v>0</v>
      </c>
      <c r="K3455" s="36"/>
      <c r="L3455" s="36"/>
      <c r="M3455" s="36"/>
      <c r="N3455" s="36"/>
      <c r="O3455" s="36"/>
      <c r="P3455" s="36"/>
      <c r="Q3455" s="36"/>
      <c r="R3455" s="36"/>
      <c r="S3455" s="36"/>
      <c r="T3455" s="36"/>
      <c r="U3455" s="36"/>
      <c r="V3455" s="36"/>
      <c r="W3455" s="15">
        <f t="shared" si="265"/>
        <v>0</v>
      </c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15">
        <f t="shared" si="266"/>
        <v>0</v>
      </c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14"/>
      <c r="AV3455" s="14"/>
      <c r="AW3455" s="15"/>
      <c r="AX3455" s="16" t="s">
        <v>3533</v>
      </c>
    </row>
    <row r="3456" spans="2:50" x14ac:dyDescent="0.2">
      <c r="B3456" s="7"/>
      <c r="C3456" s="8">
        <v>13925</v>
      </c>
      <c r="D3456" s="9" t="s">
        <v>3178</v>
      </c>
      <c r="E3456" s="10" t="str">
        <f t="shared" si="262"/>
        <v>Rancho La Cuchilla No. 103</v>
      </c>
      <c r="F3456" s="10" t="str">
        <f t="shared" si="263"/>
        <v>Bernal</v>
      </c>
      <c r="G3456" s="8">
        <v>7</v>
      </c>
      <c r="H3456" s="11">
        <v>100</v>
      </c>
      <c r="I3456" s="12">
        <v>42792</v>
      </c>
      <c r="J3456" s="35">
        <f t="shared" si="264"/>
        <v>0</v>
      </c>
      <c r="K3456" s="36"/>
      <c r="L3456" s="36"/>
      <c r="M3456" s="36"/>
      <c r="N3456" s="36"/>
      <c r="O3456" s="36"/>
      <c r="P3456" s="36"/>
      <c r="Q3456" s="36"/>
      <c r="R3456" s="36"/>
      <c r="S3456" s="36"/>
      <c r="T3456" s="36"/>
      <c r="U3456" s="36"/>
      <c r="V3456" s="36"/>
      <c r="W3456" s="15">
        <f t="shared" si="265"/>
        <v>0</v>
      </c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15">
        <f t="shared" si="266"/>
        <v>0</v>
      </c>
      <c r="AK3456" s="14"/>
      <c r="AL3456" s="14"/>
      <c r="AM3456" s="14"/>
      <c r="AN3456" s="14"/>
      <c r="AO3456" s="14"/>
      <c r="AP3456" s="14"/>
      <c r="AQ3456" s="14"/>
      <c r="AR3456" s="14"/>
      <c r="AS3456" s="14"/>
      <c r="AT3456" s="14"/>
      <c r="AU3456" s="14"/>
      <c r="AV3456" s="14"/>
      <c r="AW3456" s="15"/>
      <c r="AX3456" s="16" t="s">
        <v>3533</v>
      </c>
    </row>
    <row r="3457" spans="2:50" x14ac:dyDescent="0.2">
      <c r="B3457" s="7"/>
      <c r="C3457" s="8">
        <v>13926</v>
      </c>
      <c r="D3457" s="9" t="s">
        <v>509</v>
      </c>
      <c r="E3457" s="10" t="str">
        <f t="shared" si="262"/>
        <v>Rancho La Cuchilla No. 77</v>
      </c>
      <c r="F3457" s="10" t="str">
        <f t="shared" si="263"/>
        <v>Loperena</v>
      </c>
      <c r="G3457" s="8">
        <v>1</v>
      </c>
      <c r="H3457" s="11">
        <v>900</v>
      </c>
      <c r="I3457" s="12">
        <v>42792</v>
      </c>
      <c r="J3457" s="35">
        <f t="shared" si="264"/>
        <v>0</v>
      </c>
      <c r="K3457" s="36"/>
      <c r="L3457" s="36"/>
      <c r="M3457" s="36"/>
      <c r="N3457" s="36"/>
      <c r="O3457" s="36"/>
      <c r="P3457" s="36"/>
      <c r="Q3457" s="36"/>
      <c r="R3457" s="36"/>
      <c r="S3457" s="36"/>
      <c r="T3457" s="36"/>
      <c r="U3457" s="36"/>
      <c r="V3457" s="36">
        <v>300</v>
      </c>
      <c r="W3457" s="15">
        <f>SUM(K3457:V3457)</f>
        <v>300</v>
      </c>
      <c r="X3457" s="36">
        <v>300</v>
      </c>
      <c r="Y3457" s="36">
        <v>300</v>
      </c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15">
        <f t="shared" si="266"/>
        <v>600</v>
      </c>
      <c r="AK3457" s="14"/>
      <c r="AL3457" s="14"/>
      <c r="AM3457" s="14"/>
      <c r="AN3457" s="14"/>
      <c r="AO3457" s="14"/>
      <c r="AP3457" s="14"/>
      <c r="AQ3457" s="14"/>
      <c r="AR3457" s="14"/>
      <c r="AS3457" s="14"/>
      <c r="AT3457" s="14"/>
      <c r="AU3457" s="14"/>
      <c r="AV3457" s="14"/>
      <c r="AW3457" s="15"/>
      <c r="AX3457" s="16"/>
    </row>
    <row r="3458" spans="2:50" x14ac:dyDescent="0.2">
      <c r="B3458" s="7"/>
      <c r="C3458" s="8">
        <v>13926</v>
      </c>
      <c r="D3458" s="9" t="s">
        <v>509</v>
      </c>
      <c r="E3458" s="10" t="str">
        <f t="shared" si="262"/>
        <v>Rancho La Cuchilla No. 77</v>
      </c>
      <c r="F3458" s="10" t="str">
        <f t="shared" si="263"/>
        <v>Loperena</v>
      </c>
      <c r="G3458" s="8">
        <v>7</v>
      </c>
      <c r="H3458" s="11">
        <v>100</v>
      </c>
      <c r="I3458" s="12">
        <v>42792</v>
      </c>
      <c r="J3458" s="35">
        <f t="shared" si="264"/>
        <v>0</v>
      </c>
      <c r="K3458" s="36"/>
      <c r="L3458" s="36"/>
      <c r="M3458" s="36"/>
      <c r="N3458" s="36"/>
      <c r="O3458" s="36"/>
      <c r="P3458" s="36"/>
      <c r="Q3458" s="36"/>
      <c r="R3458" s="36"/>
      <c r="S3458" s="36"/>
      <c r="T3458" s="36"/>
      <c r="U3458" s="36"/>
      <c r="V3458" s="36"/>
      <c r="W3458" s="15">
        <f t="shared" si="265"/>
        <v>0</v>
      </c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15">
        <f t="shared" si="266"/>
        <v>0</v>
      </c>
      <c r="AK3458" s="14"/>
      <c r="AL3458" s="14"/>
      <c r="AM3458" s="14"/>
      <c r="AN3458" s="14"/>
      <c r="AO3458" s="14"/>
      <c r="AP3458" s="14"/>
      <c r="AQ3458" s="14"/>
      <c r="AR3458" s="14"/>
      <c r="AS3458" s="14"/>
      <c r="AT3458" s="14"/>
      <c r="AU3458" s="14"/>
      <c r="AV3458" s="14"/>
      <c r="AW3458" s="15"/>
      <c r="AX3458" s="16" t="s">
        <v>3533</v>
      </c>
    </row>
    <row r="3459" spans="2:50" x14ac:dyDescent="0.2">
      <c r="B3459" s="7"/>
      <c r="C3459" s="8">
        <v>13927</v>
      </c>
      <c r="D3459" s="9" t="s">
        <v>965</v>
      </c>
      <c r="E3459" s="10" t="str">
        <f t="shared" si="262"/>
        <v>Rancho La Cuchilla No. 52</v>
      </c>
      <c r="F3459" s="10" t="str">
        <f t="shared" si="263"/>
        <v>Velázquez</v>
      </c>
      <c r="G3459" s="8">
        <v>1</v>
      </c>
      <c r="H3459" s="11">
        <v>400</v>
      </c>
      <c r="I3459" s="12">
        <v>42792</v>
      </c>
      <c r="J3459" s="35">
        <f t="shared" si="264"/>
        <v>0</v>
      </c>
      <c r="K3459" s="36"/>
      <c r="L3459" s="36"/>
      <c r="M3459" s="36"/>
      <c r="N3459" s="36"/>
      <c r="O3459" s="36"/>
      <c r="P3459" s="36"/>
      <c r="Q3459" s="36"/>
      <c r="R3459" s="36"/>
      <c r="S3459" s="36"/>
      <c r="T3459" s="36"/>
      <c r="U3459" s="36"/>
      <c r="V3459" s="36"/>
      <c r="W3459" s="15">
        <f t="shared" si="265"/>
        <v>0</v>
      </c>
      <c r="X3459" s="36"/>
      <c r="Y3459" s="36">
        <v>400</v>
      </c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15">
        <f t="shared" si="266"/>
        <v>400</v>
      </c>
      <c r="AK3459" s="14"/>
      <c r="AL3459" s="14"/>
      <c r="AM3459" s="14"/>
      <c r="AN3459" s="14"/>
      <c r="AO3459" s="14"/>
      <c r="AP3459" s="14"/>
      <c r="AQ3459" s="14"/>
      <c r="AR3459" s="14"/>
      <c r="AS3459" s="14"/>
      <c r="AT3459" s="14"/>
      <c r="AU3459" s="14"/>
      <c r="AV3459" s="14"/>
      <c r="AW3459" s="15"/>
      <c r="AX3459" s="16"/>
    </row>
    <row r="3460" spans="2:50" x14ac:dyDescent="0.2">
      <c r="B3460" s="7"/>
      <c r="C3460" s="8">
        <v>13927</v>
      </c>
      <c r="D3460" s="9" t="s">
        <v>965</v>
      </c>
      <c r="E3460" s="10" t="str">
        <f t="shared" si="262"/>
        <v>Rancho La Cuchilla No. 52</v>
      </c>
      <c r="F3460" s="10" t="str">
        <f t="shared" si="263"/>
        <v>Velázquez</v>
      </c>
      <c r="G3460" s="8">
        <v>7</v>
      </c>
      <c r="H3460" s="11">
        <v>100</v>
      </c>
      <c r="I3460" s="12">
        <v>42792</v>
      </c>
      <c r="J3460" s="35">
        <f t="shared" si="264"/>
        <v>0</v>
      </c>
      <c r="K3460" s="36"/>
      <c r="L3460" s="36"/>
      <c r="M3460" s="36"/>
      <c r="N3460" s="36"/>
      <c r="O3460" s="36"/>
      <c r="P3460" s="36"/>
      <c r="Q3460" s="36"/>
      <c r="R3460" s="36"/>
      <c r="S3460" s="36"/>
      <c r="T3460" s="36"/>
      <c r="U3460" s="36"/>
      <c r="V3460" s="36"/>
      <c r="W3460" s="15">
        <f t="shared" si="265"/>
        <v>0</v>
      </c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15">
        <f t="shared" si="266"/>
        <v>0</v>
      </c>
      <c r="AK3460" s="14"/>
      <c r="AL3460" s="14"/>
      <c r="AM3460" s="14"/>
      <c r="AN3460" s="14"/>
      <c r="AO3460" s="14"/>
      <c r="AP3460" s="14"/>
      <c r="AQ3460" s="14"/>
      <c r="AR3460" s="14"/>
      <c r="AS3460" s="14"/>
      <c r="AT3460" s="14"/>
      <c r="AU3460" s="14"/>
      <c r="AV3460" s="14"/>
      <c r="AW3460" s="15"/>
      <c r="AX3460" s="16" t="s">
        <v>3533</v>
      </c>
    </row>
    <row r="3461" spans="2:50" x14ac:dyDescent="0.2">
      <c r="B3461" s="7"/>
      <c r="C3461" s="8">
        <v>13928</v>
      </c>
      <c r="D3461" s="9" t="s">
        <v>716</v>
      </c>
      <c r="E3461" s="10" t="str">
        <f t="shared" si="262"/>
        <v>Rancho Landero No. 20</v>
      </c>
      <c r="F3461" s="10" t="str">
        <f t="shared" si="263"/>
        <v>Velasco</v>
      </c>
      <c r="G3461" s="8">
        <v>1</v>
      </c>
      <c r="H3461" s="11">
        <v>300</v>
      </c>
      <c r="I3461" s="12">
        <v>42792</v>
      </c>
      <c r="J3461" s="35">
        <f t="shared" si="264"/>
        <v>0</v>
      </c>
      <c r="K3461" s="36"/>
      <c r="L3461" s="36"/>
      <c r="M3461" s="36"/>
      <c r="N3461" s="36"/>
      <c r="O3461" s="36"/>
      <c r="P3461" s="36"/>
      <c r="Q3461" s="36"/>
      <c r="R3461" s="36"/>
      <c r="S3461" s="36"/>
      <c r="T3461" s="36"/>
      <c r="U3461" s="36"/>
      <c r="V3461" s="36"/>
      <c r="W3461" s="15">
        <f t="shared" si="265"/>
        <v>0</v>
      </c>
      <c r="X3461" s="36"/>
      <c r="Y3461" s="36"/>
      <c r="Z3461" s="36">
        <v>300</v>
      </c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15">
        <f t="shared" si="266"/>
        <v>300</v>
      </c>
      <c r="AK3461" s="14"/>
      <c r="AL3461" s="14"/>
      <c r="AM3461" s="14"/>
      <c r="AN3461" s="14"/>
      <c r="AO3461" s="14"/>
      <c r="AP3461" s="14"/>
      <c r="AQ3461" s="14"/>
      <c r="AR3461" s="14"/>
      <c r="AS3461" s="14"/>
      <c r="AT3461" s="14"/>
      <c r="AU3461" s="14"/>
      <c r="AV3461" s="14"/>
      <c r="AW3461" s="15"/>
      <c r="AX3461" s="16"/>
    </row>
    <row r="3462" spans="2:50" x14ac:dyDescent="0.2">
      <c r="B3462" s="7"/>
      <c r="C3462" s="8">
        <v>13928</v>
      </c>
      <c r="D3462" s="9" t="s">
        <v>716</v>
      </c>
      <c r="E3462" s="10" t="str">
        <f t="shared" si="262"/>
        <v>Rancho Landero No. 20</v>
      </c>
      <c r="F3462" s="10" t="str">
        <f t="shared" si="263"/>
        <v>Velasco</v>
      </c>
      <c r="G3462" s="8">
        <v>7</v>
      </c>
      <c r="H3462" s="11">
        <v>100</v>
      </c>
      <c r="I3462" s="12">
        <v>42792</v>
      </c>
      <c r="J3462" s="35">
        <f t="shared" si="264"/>
        <v>0</v>
      </c>
      <c r="K3462" s="36"/>
      <c r="L3462" s="36"/>
      <c r="M3462" s="36"/>
      <c r="N3462" s="36"/>
      <c r="O3462" s="36"/>
      <c r="P3462" s="36"/>
      <c r="Q3462" s="36"/>
      <c r="R3462" s="36"/>
      <c r="S3462" s="36"/>
      <c r="T3462" s="36"/>
      <c r="U3462" s="36"/>
      <c r="V3462" s="36"/>
      <c r="W3462" s="15">
        <f t="shared" si="265"/>
        <v>0</v>
      </c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15">
        <f t="shared" si="266"/>
        <v>0</v>
      </c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14"/>
      <c r="AV3462" s="14"/>
      <c r="AW3462" s="15"/>
      <c r="AX3462" s="16" t="s">
        <v>3533</v>
      </c>
    </row>
    <row r="3463" spans="2:50" x14ac:dyDescent="0.2">
      <c r="B3463" s="7"/>
      <c r="C3463" s="8">
        <v>13929</v>
      </c>
      <c r="D3463" s="9" t="s">
        <v>512</v>
      </c>
      <c r="E3463" s="10" t="str">
        <f t="shared" si="262"/>
        <v>Rancho Landero No. 35</v>
      </c>
      <c r="F3463" s="10" t="str">
        <f t="shared" si="263"/>
        <v>Loperena</v>
      </c>
      <c r="G3463" s="8">
        <v>1</v>
      </c>
      <c r="H3463" s="11">
        <v>1600</v>
      </c>
      <c r="I3463" s="12">
        <v>42792</v>
      </c>
      <c r="J3463" s="35">
        <f t="shared" si="264"/>
        <v>0</v>
      </c>
      <c r="K3463" s="36"/>
      <c r="L3463" s="36"/>
      <c r="M3463" s="36"/>
      <c r="N3463" s="36"/>
      <c r="O3463" s="36"/>
      <c r="P3463" s="36"/>
      <c r="Q3463" s="36"/>
      <c r="R3463" s="36"/>
      <c r="S3463" s="36"/>
      <c r="T3463" s="36"/>
      <c r="U3463" s="36">
        <v>400</v>
      </c>
      <c r="V3463" s="36">
        <v>400</v>
      </c>
      <c r="W3463" s="15">
        <f t="shared" si="265"/>
        <v>800</v>
      </c>
      <c r="X3463" s="36">
        <v>400</v>
      </c>
      <c r="Y3463" s="36">
        <v>400</v>
      </c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15">
        <f t="shared" si="266"/>
        <v>800</v>
      </c>
      <c r="AK3463" s="14"/>
      <c r="AL3463" s="14"/>
      <c r="AM3463" s="14"/>
      <c r="AN3463" s="14"/>
      <c r="AO3463" s="14"/>
      <c r="AP3463" s="14"/>
      <c r="AQ3463" s="14"/>
      <c r="AR3463" s="14"/>
      <c r="AS3463" s="14"/>
      <c r="AT3463" s="14"/>
      <c r="AU3463" s="14"/>
      <c r="AV3463" s="14"/>
      <c r="AW3463" s="15"/>
      <c r="AX3463" s="16"/>
    </row>
    <row r="3464" spans="2:50" x14ac:dyDescent="0.2">
      <c r="B3464" s="7"/>
      <c r="C3464" s="8">
        <v>13929</v>
      </c>
      <c r="D3464" s="9" t="s">
        <v>512</v>
      </c>
      <c r="E3464" s="10" t="str">
        <f t="shared" si="262"/>
        <v>Rancho Landero No. 35</v>
      </c>
      <c r="F3464" s="10" t="str">
        <f t="shared" si="263"/>
        <v>Loperena</v>
      </c>
      <c r="G3464" s="8">
        <v>5</v>
      </c>
      <c r="H3464" s="11">
        <v>50</v>
      </c>
      <c r="I3464" s="12">
        <v>42792</v>
      </c>
      <c r="J3464" s="35">
        <f t="shared" si="264"/>
        <v>0</v>
      </c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  <c r="W3464" s="15">
        <f t="shared" si="265"/>
        <v>0</v>
      </c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15">
        <f t="shared" si="266"/>
        <v>0</v>
      </c>
      <c r="AK3464" s="14"/>
      <c r="AL3464" s="14"/>
      <c r="AM3464" s="14"/>
      <c r="AN3464" s="14"/>
      <c r="AO3464" s="14"/>
      <c r="AP3464" s="14"/>
      <c r="AQ3464" s="14"/>
      <c r="AR3464" s="14"/>
      <c r="AS3464" s="14"/>
      <c r="AT3464" s="14"/>
      <c r="AU3464" s="14"/>
      <c r="AV3464" s="14"/>
      <c r="AW3464" s="15"/>
      <c r="AX3464" s="16"/>
    </row>
    <row r="3465" spans="2:50" x14ac:dyDescent="0.2">
      <c r="B3465" s="7"/>
      <c r="C3465" s="8">
        <v>13929</v>
      </c>
      <c r="D3465" s="9" t="s">
        <v>512</v>
      </c>
      <c r="E3465" s="10" t="str">
        <f t="shared" si="262"/>
        <v>Rancho Landero No. 35</v>
      </c>
      <c r="F3465" s="10" t="str">
        <f t="shared" si="263"/>
        <v>Loperena</v>
      </c>
      <c r="G3465" s="8">
        <v>7</v>
      </c>
      <c r="H3465" s="11">
        <v>100</v>
      </c>
      <c r="I3465" s="12">
        <v>42792</v>
      </c>
      <c r="J3465" s="35">
        <f t="shared" si="264"/>
        <v>0</v>
      </c>
      <c r="K3465" s="36"/>
      <c r="L3465" s="36"/>
      <c r="M3465" s="36"/>
      <c r="N3465" s="36"/>
      <c r="O3465" s="36"/>
      <c r="P3465" s="36"/>
      <c r="Q3465" s="36"/>
      <c r="R3465" s="36"/>
      <c r="S3465" s="36"/>
      <c r="T3465" s="36"/>
      <c r="U3465" s="36"/>
      <c r="V3465" s="36"/>
      <c r="W3465" s="15">
        <f t="shared" si="265"/>
        <v>0</v>
      </c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15">
        <f t="shared" si="266"/>
        <v>0</v>
      </c>
      <c r="AK3465" s="14"/>
      <c r="AL3465" s="14"/>
      <c r="AM3465" s="14"/>
      <c r="AN3465" s="14"/>
      <c r="AO3465" s="14"/>
      <c r="AP3465" s="14"/>
      <c r="AQ3465" s="14"/>
      <c r="AR3465" s="14"/>
      <c r="AS3465" s="14"/>
      <c r="AT3465" s="14"/>
      <c r="AU3465" s="14"/>
      <c r="AV3465" s="14"/>
      <c r="AW3465" s="15"/>
      <c r="AX3465" s="16" t="s">
        <v>3533</v>
      </c>
    </row>
    <row r="3466" spans="2:50" x14ac:dyDescent="0.2">
      <c r="B3466" s="7"/>
      <c r="C3466" s="8">
        <v>13930</v>
      </c>
      <c r="D3466" s="9" t="s">
        <v>512</v>
      </c>
      <c r="E3466" s="10" t="str">
        <f t="shared" si="262"/>
        <v>Rancho Landero No. 35</v>
      </c>
      <c r="F3466" s="10" t="str">
        <f t="shared" si="263"/>
        <v>Loperena</v>
      </c>
      <c r="G3466" s="8">
        <v>3</v>
      </c>
      <c r="H3466" s="11">
        <v>200</v>
      </c>
      <c r="I3466" s="12">
        <v>42792</v>
      </c>
      <c r="J3466" s="35">
        <f t="shared" si="264"/>
        <v>0</v>
      </c>
      <c r="K3466" s="36"/>
      <c r="L3466" s="36"/>
      <c r="M3466" s="36"/>
      <c r="N3466" s="36"/>
      <c r="O3466" s="36"/>
      <c r="P3466" s="36"/>
      <c r="Q3466" s="36"/>
      <c r="R3466" s="36"/>
      <c r="S3466" s="36"/>
      <c r="T3466" s="36"/>
      <c r="U3466" s="36"/>
      <c r="V3466" s="36"/>
      <c r="W3466" s="15">
        <f t="shared" si="265"/>
        <v>0</v>
      </c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15">
        <f t="shared" si="266"/>
        <v>0</v>
      </c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14"/>
      <c r="AV3466" s="14"/>
      <c r="AW3466" s="15"/>
      <c r="AX3466" s="16"/>
    </row>
    <row r="3467" spans="2:50" x14ac:dyDescent="0.2">
      <c r="B3467" s="7"/>
      <c r="C3467" s="8">
        <v>13931</v>
      </c>
      <c r="D3467" s="9" t="s">
        <v>250</v>
      </c>
      <c r="E3467" s="10" t="str">
        <f t="shared" si="262"/>
        <v>Rancho La Cuchilla No. 74</v>
      </c>
      <c r="F3467" s="10" t="str">
        <f t="shared" si="263"/>
        <v>Gil</v>
      </c>
      <c r="G3467" s="8">
        <v>1</v>
      </c>
      <c r="H3467" s="11">
        <v>1200</v>
      </c>
      <c r="I3467" s="12">
        <v>42792</v>
      </c>
      <c r="J3467" s="35">
        <f t="shared" si="264"/>
        <v>0</v>
      </c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36"/>
      <c r="V3467" s="36"/>
      <c r="W3467" s="15">
        <f t="shared" si="265"/>
        <v>0</v>
      </c>
      <c r="X3467" s="36">
        <v>400</v>
      </c>
      <c r="Y3467" s="36">
        <v>400</v>
      </c>
      <c r="Z3467" s="36">
        <v>400</v>
      </c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15">
        <f t="shared" si="266"/>
        <v>1200</v>
      </c>
      <c r="AK3467" s="14"/>
      <c r="AL3467" s="14"/>
      <c r="AM3467" s="14"/>
      <c r="AN3467" s="14"/>
      <c r="AO3467" s="14"/>
      <c r="AP3467" s="14"/>
      <c r="AQ3467" s="14"/>
      <c r="AR3467" s="14"/>
      <c r="AS3467" s="14"/>
      <c r="AT3467" s="14"/>
      <c r="AU3467" s="14"/>
      <c r="AV3467" s="14"/>
      <c r="AW3467" s="15"/>
      <c r="AX3467" s="16"/>
    </row>
    <row r="3468" spans="2:50" x14ac:dyDescent="0.2">
      <c r="B3468" s="7"/>
      <c r="C3468" s="8">
        <v>13931</v>
      </c>
      <c r="D3468" s="9" t="s">
        <v>250</v>
      </c>
      <c r="E3468" s="10" t="str">
        <f t="shared" si="262"/>
        <v>Rancho La Cuchilla No. 74</v>
      </c>
      <c r="F3468" s="10" t="str">
        <f t="shared" si="263"/>
        <v>Gil</v>
      </c>
      <c r="G3468" s="8">
        <v>7</v>
      </c>
      <c r="H3468" s="11">
        <v>100</v>
      </c>
      <c r="I3468" s="12">
        <v>42792</v>
      </c>
      <c r="J3468" s="35">
        <f t="shared" si="264"/>
        <v>0</v>
      </c>
      <c r="K3468" s="36"/>
      <c r="L3468" s="36"/>
      <c r="M3468" s="36"/>
      <c r="N3468" s="36"/>
      <c r="O3468" s="36"/>
      <c r="P3468" s="36"/>
      <c r="Q3468" s="36"/>
      <c r="R3468" s="36"/>
      <c r="S3468" s="36"/>
      <c r="T3468" s="36"/>
      <c r="U3468" s="36"/>
      <c r="V3468" s="36"/>
      <c r="W3468" s="15">
        <f t="shared" si="265"/>
        <v>0</v>
      </c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15">
        <f t="shared" si="266"/>
        <v>0</v>
      </c>
      <c r="AK3468" s="14"/>
      <c r="AL3468" s="14"/>
      <c r="AM3468" s="14"/>
      <c r="AN3468" s="14"/>
      <c r="AO3468" s="14"/>
      <c r="AP3468" s="14"/>
      <c r="AQ3468" s="14"/>
      <c r="AR3468" s="14"/>
      <c r="AS3468" s="14"/>
      <c r="AT3468" s="14"/>
      <c r="AU3468" s="14"/>
      <c r="AV3468" s="14"/>
      <c r="AW3468" s="15"/>
      <c r="AX3468" s="16" t="s">
        <v>3533</v>
      </c>
    </row>
    <row r="3469" spans="2:50" x14ac:dyDescent="0.2">
      <c r="B3469" s="7"/>
      <c r="C3469" s="8">
        <v>13932</v>
      </c>
      <c r="D3469" s="9" t="s">
        <v>262</v>
      </c>
      <c r="E3469" s="10" t="str">
        <f t="shared" si="262"/>
        <v>Rancho Recoveco No. 1</v>
      </c>
      <c r="F3469" s="10" t="str">
        <f t="shared" si="263"/>
        <v>Díaz</v>
      </c>
      <c r="G3469" s="8">
        <v>1</v>
      </c>
      <c r="H3469" s="11">
        <v>600</v>
      </c>
      <c r="I3469" s="12">
        <v>42792</v>
      </c>
      <c r="J3469" s="35">
        <f t="shared" si="264"/>
        <v>0</v>
      </c>
      <c r="K3469" s="36"/>
      <c r="L3469" s="36"/>
      <c r="M3469" s="36"/>
      <c r="N3469" s="36"/>
      <c r="O3469" s="36"/>
      <c r="P3469" s="36"/>
      <c r="Q3469" s="36"/>
      <c r="R3469" s="36"/>
      <c r="S3469" s="36"/>
      <c r="T3469" s="36"/>
      <c r="U3469" s="36"/>
      <c r="V3469" s="36"/>
      <c r="W3469" s="15">
        <f t="shared" si="265"/>
        <v>0</v>
      </c>
      <c r="X3469" s="36"/>
      <c r="Y3469" s="36">
        <v>300</v>
      </c>
      <c r="Z3469" s="36">
        <v>300</v>
      </c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15">
        <f t="shared" si="266"/>
        <v>600</v>
      </c>
      <c r="AK3469" s="14"/>
      <c r="AL3469" s="14"/>
      <c r="AM3469" s="14"/>
      <c r="AN3469" s="14"/>
      <c r="AO3469" s="14"/>
      <c r="AP3469" s="14"/>
      <c r="AQ3469" s="14"/>
      <c r="AR3469" s="14"/>
      <c r="AS3469" s="14"/>
      <c r="AT3469" s="14"/>
      <c r="AU3469" s="14"/>
      <c r="AV3469" s="14"/>
      <c r="AW3469" s="15"/>
      <c r="AX3469" s="16"/>
    </row>
    <row r="3470" spans="2:50" x14ac:dyDescent="0.2">
      <c r="B3470" s="7"/>
      <c r="C3470" s="8">
        <v>13933</v>
      </c>
      <c r="D3470" s="9" t="s">
        <v>51</v>
      </c>
      <c r="E3470" s="10" t="str">
        <f t="shared" si="262"/>
        <v>Rancho Landero No. 22</v>
      </c>
      <c r="F3470" s="10" t="str">
        <f t="shared" si="263"/>
        <v>Reyes</v>
      </c>
      <c r="G3470" s="8">
        <v>1</v>
      </c>
      <c r="H3470" s="11">
        <v>500</v>
      </c>
      <c r="I3470" s="12">
        <v>42792</v>
      </c>
      <c r="J3470" s="35">
        <f t="shared" si="264"/>
        <v>0</v>
      </c>
      <c r="K3470" s="36"/>
      <c r="L3470" s="36"/>
      <c r="M3470" s="36"/>
      <c r="N3470" s="36"/>
      <c r="O3470" s="36"/>
      <c r="P3470" s="36"/>
      <c r="Q3470" s="36"/>
      <c r="R3470" s="36"/>
      <c r="S3470" s="36"/>
      <c r="T3470" s="36"/>
      <c r="U3470" s="36"/>
      <c r="V3470" s="36"/>
      <c r="W3470" s="15">
        <f t="shared" si="265"/>
        <v>0</v>
      </c>
      <c r="X3470" s="36"/>
      <c r="Y3470" s="36">
        <v>250</v>
      </c>
      <c r="Z3470" s="36">
        <v>250</v>
      </c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15">
        <f t="shared" si="266"/>
        <v>500</v>
      </c>
      <c r="AK3470" s="14"/>
      <c r="AL3470" s="14"/>
      <c r="AM3470" s="14"/>
      <c r="AN3470" s="14"/>
      <c r="AO3470" s="14"/>
      <c r="AP3470" s="14"/>
      <c r="AQ3470" s="14"/>
      <c r="AR3470" s="14"/>
      <c r="AS3470" s="14"/>
      <c r="AT3470" s="14"/>
      <c r="AU3470" s="14"/>
      <c r="AV3470" s="14"/>
      <c r="AW3470" s="15"/>
      <c r="AX3470" s="16"/>
    </row>
    <row r="3471" spans="2:50" x14ac:dyDescent="0.2">
      <c r="B3471" s="7"/>
      <c r="C3471" s="8">
        <v>13933</v>
      </c>
      <c r="D3471" s="9" t="s">
        <v>51</v>
      </c>
      <c r="E3471" s="10" t="str">
        <f t="shared" si="262"/>
        <v>Rancho Landero No. 22</v>
      </c>
      <c r="F3471" s="10" t="str">
        <f t="shared" si="263"/>
        <v>Reyes</v>
      </c>
      <c r="G3471" s="8">
        <v>7</v>
      </c>
      <c r="H3471" s="11">
        <v>100</v>
      </c>
      <c r="I3471" s="12">
        <v>42792</v>
      </c>
      <c r="J3471" s="35">
        <f t="shared" si="264"/>
        <v>0</v>
      </c>
      <c r="K3471" s="36"/>
      <c r="L3471" s="36"/>
      <c r="M3471" s="36"/>
      <c r="N3471" s="36"/>
      <c r="O3471" s="36"/>
      <c r="P3471" s="36"/>
      <c r="Q3471" s="36"/>
      <c r="R3471" s="36"/>
      <c r="S3471" s="36"/>
      <c r="T3471" s="36"/>
      <c r="U3471" s="36"/>
      <c r="V3471" s="36"/>
      <c r="W3471" s="15">
        <f t="shared" si="265"/>
        <v>0</v>
      </c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15">
        <f t="shared" si="266"/>
        <v>0</v>
      </c>
      <c r="AK3471" s="14"/>
      <c r="AL3471" s="14"/>
      <c r="AM3471" s="14"/>
      <c r="AN3471" s="14"/>
      <c r="AO3471" s="14"/>
      <c r="AP3471" s="14"/>
      <c r="AQ3471" s="14"/>
      <c r="AR3471" s="14"/>
      <c r="AS3471" s="14"/>
      <c r="AT3471" s="14"/>
      <c r="AU3471" s="14"/>
      <c r="AV3471" s="14"/>
      <c r="AW3471" s="15"/>
      <c r="AX3471" s="16" t="s">
        <v>3533</v>
      </c>
    </row>
    <row r="3472" spans="2:50" x14ac:dyDescent="0.2">
      <c r="B3472" s="7"/>
      <c r="C3472" s="8">
        <v>13934</v>
      </c>
      <c r="D3472" s="9" t="s">
        <v>535</v>
      </c>
      <c r="E3472" s="10" t="str">
        <f t="shared" si="262"/>
        <v>Rancho Upácuaro No. 142</v>
      </c>
      <c r="F3472" s="10" t="str">
        <f t="shared" si="263"/>
        <v>Fierro Villaneda</v>
      </c>
      <c r="G3472" s="8">
        <v>5</v>
      </c>
      <c r="H3472" s="11">
        <v>50</v>
      </c>
      <c r="I3472" s="12">
        <v>42792</v>
      </c>
      <c r="J3472" s="35">
        <f t="shared" si="264"/>
        <v>0</v>
      </c>
      <c r="K3472" s="36"/>
      <c r="L3472" s="36"/>
      <c r="M3472" s="36"/>
      <c r="N3472" s="36"/>
      <c r="O3472" s="36"/>
      <c r="P3472" s="36"/>
      <c r="Q3472" s="36"/>
      <c r="R3472" s="36"/>
      <c r="S3472" s="36"/>
      <c r="T3472" s="36"/>
      <c r="U3472" s="36"/>
      <c r="V3472" s="36"/>
      <c r="W3472" s="15">
        <f t="shared" si="265"/>
        <v>0</v>
      </c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15">
        <f t="shared" si="266"/>
        <v>0</v>
      </c>
      <c r="AK3472" s="14"/>
      <c r="AL3472" s="14"/>
      <c r="AM3472" s="14"/>
      <c r="AN3472" s="14"/>
      <c r="AO3472" s="14"/>
      <c r="AP3472" s="14"/>
      <c r="AQ3472" s="14"/>
      <c r="AR3472" s="14"/>
      <c r="AS3472" s="14"/>
      <c r="AT3472" s="14"/>
      <c r="AU3472" s="14"/>
      <c r="AV3472" s="14"/>
      <c r="AW3472" s="15"/>
      <c r="AX3472" s="16"/>
    </row>
    <row r="3473" spans="2:51" x14ac:dyDescent="0.2">
      <c r="B3473" s="7"/>
      <c r="C3473" s="8">
        <v>13934</v>
      </c>
      <c r="D3473" s="9" t="s">
        <v>535</v>
      </c>
      <c r="E3473" s="10" t="str">
        <f t="shared" si="262"/>
        <v>Rancho Upácuaro No. 142</v>
      </c>
      <c r="F3473" s="10" t="str">
        <f t="shared" si="263"/>
        <v>Fierro Villaneda</v>
      </c>
      <c r="G3473" s="8">
        <v>7</v>
      </c>
      <c r="H3473" s="11">
        <v>100</v>
      </c>
      <c r="I3473" s="12">
        <v>42792</v>
      </c>
      <c r="J3473" s="35">
        <f t="shared" si="264"/>
        <v>0</v>
      </c>
      <c r="K3473" s="36"/>
      <c r="L3473" s="36"/>
      <c r="M3473" s="36"/>
      <c r="N3473" s="36"/>
      <c r="O3473" s="36"/>
      <c r="P3473" s="36"/>
      <c r="Q3473" s="36"/>
      <c r="R3473" s="36"/>
      <c r="S3473" s="36"/>
      <c r="T3473" s="36"/>
      <c r="U3473" s="36"/>
      <c r="V3473" s="36"/>
      <c r="W3473" s="15">
        <f t="shared" si="265"/>
        <v>0</v>
      </c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15">
        <f t="shared" si="266"/>
        <v>0</v>
      </c>
      <c r="AK3473" s="14"/>
      <c r="AL3473" s="14"/>
      <c r="AM3473" s="14"/>
      <c r="AN3473" s="14"/>
      <c r="AO3473" s="14"/>
      <c r="AP3473" s="14"/>
      <c r="AQ3473" s="14"/>
      <c r="AR3473" s="14"/>
      <c r="AS3473" s="14"/>
      <c r="AT3473" s="14"/>
      <c r="AU3473" s="14"/>
      <c r="AV3473" s="14"/>
      <c r="AW3473" s="15"/>
      <c r="AX3473" s="16" t="s">
        <v>3533</v>
      </c>
    </row>
    <row r="3474" spans="2:51" x14ac:dyDescent="0.2">
      <c r="B3474" s="7"/>
      <c r="C3474" s="8">
        <v>13935</v>
      </c>
      <c r="D3474" s="9" t="s">
        <v>337</v>
      </c>
      <c r="E3474" s="10" t="str">
        <f t="shared" si="262"/>
        <v>Rancho La Cuchilla No. 96</v>
      </c>
      <c r="F3474" s="10" t="str">
        <f t="shared" si="263"/>
        <v>Valdez Álvarez</v>
      </c>
      <c r="G3474" s="8">
        <v>7</v>
      </c>
      <c r="H3474" s="11">
        <v>100</v>
      </c>
      <c r="I3474" s="12">
        <v>42792</v>
      </c>
      <c r="J3474" s="35">
        <f t="shared" si="264"/>
        <v>0</v>
      </c>
      <c r="K3474" s="36"/>
      <c r="L3474" s="36"/>
      <c r="M3474" s="36"/>
      <c r="N3474" s="36"/>
      <c r="O3474" s="36"/>
      <c r="P3474" s="36"/>
      <c r="Q3474" s="36"/>
      <c r="R3474" s="36"/>
      <c r="S3474" s="36"/>
      <c r="T3474" s="36"/>
      <c r="U3474" s="36"/>
      <c r="V3474" s="36"/>
      <c r="W3474" s="15">
        <f t="shared" si="265"/>
        <v>0</v>
      </c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15">
        <f t="shared" si="266"/>
        <v>0</v>
      </c>
      <c r="AK3474" s="14"/>
      <c r="AL3474" s="14"/>
      <c r="AM3474" s="14"/>
      <c r="AN3474" s="14"/>
      <c r="AO3474" s="14"/>
      <c r="AP3474" s="14"/>
      <c r="AQ3474" s="14"/>
      <c r="AR3474" s="14"/>
      <c r="AS3474" s="14"/>
      <c r="AT3474" s="14"/>
      <c r="AU3474" s="14"/>
      <c r="AV3474" s="14"/>
      <c r="AW3474" s="15"/>
      <c r="AX3474" s="16" t="s">
        <v>3533</v>
      </c>
    </row>
    <row r="3475" spans="2:51" x14ac:dyDescent="0.2">
      <c r="B3475" s="7"/>
      <c r="C3475" s="8">
        <v>13936</v>
      </c>
      <c r="D3475" s="9" t="s">
        <v>126</v>
      </c>
      <c r="E3475" s="10" t="str">
        <f t="shared" si="262"/>
        <v>Rancho Estanzuela No. 65</v>
      </c>
      <c r="F3475" s="10" t="str">
        <f t="shared" si="263"/>
        <v>López Becerril</v>
      </c>
      <c r="G3475" s="8">
        <v>1</v>
      </c>
      <c r="H3475" s="11">
        <v>400</v>
      </c>
      <c r="I3475" s="12">
        <v>42792</v>
      </c>
      <c r="J3475" s="35">
        <f t="shared" si="264"/>
        <v>0</v>
      </c>
      <c r="K3475" s="36"/>
      <c r="L3475" s="36"/>
      <c r="M3475" s="36"/>
      <c r="N3475" s="36"/>
      <c r="O3475" s="36"/>
      <c r="P3475" s="36"/>
      <c r="Q3475" s="36"/>
      <c r="R3475" s="36"/>
      <c r="S3475" s="36"/>
      <c r="T3475" s="36"/>
      <c r="U3475" s="36"/>
      <c r="V3475" s="36"/>
      <c r="W3475" s="15">
        <f t="shared" si="265"/>
        <v>0</v>
      </c>
      <c r="X3475" s="36"/>
      <c r="Y3475" s="36">
        <v>400</v>
      </c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15">
        <f t="shared" si="266"/>
        <v>400</v>
      </c>
      <c r="AK3475" s="14"/>
      <c r="AL3475" s="14"/>
      <c r="AM3475" s="14"/>
      <c r="AN3475" s="14"/>
      <c r="AO3475" s="14"/>
      <c r="AP3475" s="14"/>
      <c r="AQ3475" s="14"/>
      <c r="AR3475" s="14"/>
      <c r="AS3475" s="14"/>
      <c r="AT3475" s="14"/>
      <c r="AU3475" s="14"/>
      <c r="AV3475" s="14"/>
      <c r="AW3475" s="15"/>
      <c r="AX3475" s="16"/>
    </row>
    <row r="3476" spans="2:51" x14ac:dyDescent="0.2">
      <c r="B3476" s="7"/>
      <c r="C3476" s="8">
        <v>13937</v>
      </c>
      <c r="D3476" s="9" t="s">
        <v>840</v>
      </c>
      <c r="E3476" s="10" t="str">
        <f t="shared" si="262"/>
        <v>Rancho Landero No. 33</v>
      </c>
      <c r="F3476" s="10" t="str">
        <f t="shared" si="263"/>
        <v>González Uribe</v>
      </c>
      <c r="G3476" s="8">
        <v>7</v>
      </c>
      <c r="H3476" s="11">
        <v>100</v>
      </c>
      <c r="I3476" s="12">
        <v>42792</v>
      </c>
      <c r="J3476" s="35">
        <f t="shared" si="264"/>
        <v>0</v>
      </c>
      <c r="K3476" s="36"/>
      <c r="L3476" s="36"/>
      <c r="M3476" s="36"/>
      <c r="N3476" s="36"/>
      <c r="O3476" s="36"/>
      <c r="P3476" s="36"/>
      <c r="Q3476" s="36"/>
      <c r="R3476" s="36"/>
      <c r="S3476" s="36"/>
      <c r="T3476" s="36"/>
      <c r="U3476" s="36"/>
      <c r="V3476" s="36"/>
      <c r="W3476" s="15">
        <f t="shared" si="265"/>
        <v>0</v>
      </c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15">
        <f t="shared" si="266"/>
        <v>0</v>
      </c>
      <c r="AK3476" s="14"/>
      <c r="AL3476" s="14"/>
      <c r="AM3476" s="14"/>
      <c r="AN3476" s="14"/>
      <c r="AO3476" s="14"/>
      <c r="AP3476" s="14"/>
      <c r="AQ3476" s="14"/>
      <c r="AR3476" s="14"/>
      <c r="AS3476" s="14"/>
      <c r="AT3476" s="14"/>
      <c r="AU3476" s="14"/>
      <c r="AV3476" s="14"/>
      <c r="AW3476" s="15"/>
      <c r="AX3476" s="16" t="s">
        <v>3533</v>
      </c>
    </row>
    <row r="3477" spans="2:51" x14ac:dyDescent="0.2">
      <c r="B3477" s="7"/>
      <c r="C3477" s="8">
        <v>13938</v>
      </c>
      <c r="D3477" s="9" t="s">
        <v>896</v>
      </c>
      <c r="E3477" s="10" t="str">
        <f t="shared" si="262"/>
        <v>Rancho La Cuchilla No. 7, 102</v>
      </c>
      <c r="F3477" s="10" t="str">
        <f t="shared" si="263"/>
        <v>García Moreno</v>
      </c>
      <c r="G3477" s="8">
        <v>1</v>
      </c>
      <c r="H3477" s="11">
        <v>600</v>
      </c>
      <c r="I3477" s="12">
        <v>42792</v>
      </c>
      <c r="J3477" s="35">
        <f t="shared" si="264"/>
        <v>0</v>
      </c>
      <c r="K3477" s="36"/>
      <c r="L3477" s="36"/>
      <c r="M3477" s="36"/>
      <c r="N3477" s="36"/>
      <c r="O3477" s="36"/>
      <c r="P3477" s="36"/>
      <c r="Q3477" s="36"/>
      <c r="R3477" s="36"/>
      <c r="S3477" s="36">
        <v>100</v>
      </c>
      <c r="T3477" s="36">
        <v>100</v>
      </c>
      <c r="U3477" s="36">
        <v>100</v>
      </c>
      <c r="V3477" s="36">
        <v>100</v>
      </c>
      <c r="W3477" s="15">
        <f t="shared" si="265"/>
        <v>400</v>
      </c>
      <c r="X3477" s="36">
        <v>100</v>
      </c>
      <c r="Y3477" s="36">
        <v>100</v>
      </c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15">
        <f t="shared" si="266"/>
        <v>200</v>
      </c>
      <c r="AK3477" s="14"/>
      <c r="AL3477" s="14"/>
      <c r="AM3477" s="14"/>
      <c r="AN3477" s="14"/>
      <c r="AO3477" s="14"/>
      <c r="AP3477" s="14"/>
      <c r="AQ3477" s="14"/>
      <c r="AR3477" s="14"/>
      <c r="AS3477" s="14"/>
      <c r="AT3477" s="14"/>
      <c r="AU3477" s="14"/>
      <c r="AV3477" s="14"/>
      <c r="AW3477" s="15"/>
      <c r="AX3477" s="16"/>
    </row>
    <row r="3478" spans="2:51" x14ac:dyDescent="0.2">
      <c r="B3478" s="7"/>
      <c r="C3478" s="8">
        <v>13938</v>
      </c>
      <c r="D3478" s="9" t="s">
        <v>896</v>
      </c>
      <c r="E3478" s="10" t="str">
        <f t="shared" si="262"/>
        <v>Rancho La Cuchilla No. 7, 102</v>
      </c>
      <c r="F3478" s="10" t="str">
        <f t="shared" si="263"/>
        <v>García Moreno</v>
      </c>
      <c r="G3478" s="8">
        <v>7</v>
      </c>
      <c r="H3478" s="11">
        <v>100</v>
      </c>
      <c r="I3478" s="12">
        <v>42792</v>
      </c>
      <c r="J3478" s="35">
        <f t="shared" si="264"/>
        <v>0</v>
      </c>
      <c r="K3478" s="36"/>
      <c r="L3478" s="36"/>
      <c r="M3478" s="36"/>
      <c r="N3478" s="36"/>
      <c r="O3478" s="36"/>
      <c r="P3478" s="36"/>
      <c r="Q3478" s="36"/>
      <c r="R3478" s="36"/>
      <c r="S3478" s="36"/>
      <c r="T3478" s="36"/>
      <c r="U3478" s="36"/>
      <c r="V3478" s="36"/>
      <c r="W3478" s="15">
        <f t="shared" si="265"/>
        <v>0</v>
      </c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15">
        <f t="shared" si="266"/>
        <v>0</v>
      </c>
      <c r="AK3478" s="14"/>
      <c r="AL3478" s="14"/>
      <c r="AM3478" s="14"/>
      <c r="AN3478" s="14"/>
      <c r="AO3478" s="14"/>
      <c r="AP3478" s="14"/>
      <c r="AQ3478" s="14"/>
      <c r="AR3478" s="14"/>
      <c r="AS3478" s="14"/>
      <c r="AT3478" s="14"/>
      <c r="AU3478" s="14"/>
      <c r="AV3478" s="14"/>
      <c r="AW3478" s="15"/>
      <c r="AX3478" s="16" t="s">
        <v>3533</v>
      </c>
    </row>
    <row r="3479" spans="2:51" x14ac:dyDescent="0.2">
      <c r="B3479" s="7"/>
      <c r="C3479" s="8">
        <v>13939</v>
      </c>
      <c r="D3479" s="9" t="s">
        <v>882</v>
      </c>
      <c r="E3479" s="10" t="str">
        <f t="shared" si="262"/>
        <v>Rancho Upácuaro No. 54</v>
      </c>
      <c r="F3479" s="10" t="str">
        <f t="shared" si="263"/>
        <v>García Rueda</v>
      </c>
      <c r="G3479" s="8">
        <v>1</v>
      </c>
      <c r="H3479" s="11">
        <v>600</v>
      </c>
      <c r="I3479" s="12">
        <v>42792</v>
      </c>
      <c r="J3479" s="35">
        <f t="shared" si="264"/>
        <v>0</v>
      </c>
      <c r="K3479" s="36"/>
      <c r="L3479" s="36"/>
      <c r="M3479" s="36"/>
      <c r="N3479" s="36"/>
      <c r="O3479" s="36"/>
      <c r="P3479" s="36"/>
      <c r="Q3479" s="36"/>
      <c r="R3479" s="36"/>
      <c r="S3479" s="36"/>
      <c r="T3479" s="36"/>
      <c r="U3479" s="36"/>
      <c r="V3479" s="36"/>
      <c r="W3479" s="15">
        <f t="shared" si="265"/>
        <v>0</v>
      </c>
      <c r="X3479" s="36">
        <v>200</v>
      </c>
      <c r="Y3479" s="36">
        <v>200</v>
      </c>
      <c r="Z3479" s="36">
        <v>200</v>
      </c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15">
        <f t="shared" si="266"/>
        <v>600</v>
      </c>
      <c r="AK3479" s="14"/>
      <c r="AL3479" s="14"/>
      <c r="AM3479" s="14"/>
      <c r="AN3479" s="14"/>
      <c r="AO3479" s="14"/>
      <c r="AP3479" s="14"/>
      <c r="AQ3479" s="14"/>
      <c r="AR3479" s="14"/>
      <c r="AS3479" s="14"/>
      <c r="AT3479" s="14"/>
      <c r="AU3479" s="14"/>
      <c r="AV3479" s="14"/>
      <c r="AW3479" s="15"/>
      <c r="AX3479" s="16"/>
    </row>
    <row r="3480" spans="2:51" x14ac:dyDescent="0.2">
      <c r="B3480" s="7"/>
      <c r="C3480" s="8">
        <v>13939</v>
      </c>
      <c r="D3480" s="9" t="s">
        <v>882</v>
      </c>
      <c r="E3480" s="10" t="str">
        <f t="shared" si="262"/>
        <v>Rancho Upácuaro No. 54</v>
      </c>
      <c r="F3480" s="10" t="str">
        <f t="shared" si="263"/>
        <v>García Rueda</v>
      </c>
      <c r="G3480" s="8">
        <v>7</v>
      </c>
      <c r="H3480" s="11">
        <v>100</v>
      </c>
      <c r="I3480" s="12" t="s">
        <v>3538</v>
      </c>
      <c r="J3480" s="35">
        <f t="shared" si="264"/>
        <v>0</v>
      </c>
      <c r="K3480" s="36"/>
      <c r="L3480" s="36"/>
      <c r="M3480" s="36"/>
      <c r="N3480" s="36"/>
      <c r="O3480" s="36"/>
      <c r="P3480" s="36"/>
      <c r="Q3480" s="36"/>
      <c r="R3480" s="36"/>
      <c r="S3480" s="36"/>
      <c r="T3480" s="36"/>
      <c r="U3480" s="36"/>
      <c r="V3480" s="36"/>
      <c r="W3480" s="15">
        <f t="shared" si="265"/>
        <v>0</v>
      </c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15">
        <f t="shared" si="266"/>
        <v>0</v>
      </c>
      <c r="AK3480" s="14"/>
      <c r="AL3480" s="14"/>
      <c r="AM3480" s="14"/>
      <c r="AN3480" s="14"/>
      <c r="AO3480" s="14"/>
      <c r="AP3480" s="14"/>
      <c r="AQ3480" s="14"/>
      <c r="AR3480" s="14"/>
      <c r="AS3480" s="14"/>
      <c r="AT3480" s="14"/>
      <c r="AU3480" s="14"/>
      <c r="AV3480" s="14"/>
      <c r="AW3480" s="15"/>
      <c r="AX3480" s="16" t="s">
        <v>3533</v>
      </c>
    </row>
    <row r="3481" spans="2:51" x14ac:dyDescent="0.2">
      <c r="B3481" s="7"/>
      <c r="C3481" s="8">
        <v>13940</v>
      </c>
      <c r="D3481" s="9" t="s">
        <v>283</v>
      </c>
      <c r="E3481" s="10" t="str">
        <f t="shared" si="262"/>
        <v>Rancho Estanzuela No. 115</v>
      </c>
      <c r="F3481" s="10" t="str">
        <f t="shared" si="263"/>
        <v>Frías Solórzano</v>
      </c>
      <c r="G3481" s="8">
        <v>1</v>
      </c>
      <c r="H3481" s="11">
        <v>750</v>
      </c>
      <c r="I3481" s="12">
        <v>42792</v>
      </c>
      <c r="J3481" s="35">
        <f t="shared" si="264"/>
        <v>0</v>
      </c>
      <c r="K3481" s="36"/>
      <c r="L3481" s="36"/>
      <c r="M3481" s="36"/>
      <c r="N3481" s="36"/>
      <c r="O3481" s="36"/>
      <c r="P3481" s="36"/>
      <c r="Q3481" s="36"/>
      <c r="R3481" s="36"/>
      <c r="S3481" s="36"/>
      <c r="T3481" s="36"/>
      <c r="U3481" s="36"/>
      <c r="V3481" s="36"/>
      <c r="W3481" s="15">
        <f t="shared" si="265"/>
        <v>0</v>
      </c>
      <c r="X3481" s="36"/>
      <c r="Y3481" s="36">
        <v>250</v>
      </c>
      <c r="Z3481" s="36">
        <v>250</v>
      </c>
      <c r="AA3481" s="36">
        <v>250</v>
      </c>
      <c r="AB3481" s="36"/>
      <c r="AC3481" s="36"/>
      <c r="AD3481" s="36"/>
      <c r="AE3481" s="36"/>
      <c r="AF3481" s="36"/>
      <c r="AG3481" s="36"/>
      <c r="AH3481" s="36"/>
      <c r="AI3481" s="36"/>
      <c r="AJ3481" s="15">
        <f t="shared" si="266"/>
        <v>750</v>
      </c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14"/>
      <c r="AV3481" s="14"/>
      <c r="AW3481" s="15"/>
      <c r="AX3481" s="16"/>
    </row>
    <row r="3482" spans="2:51" x14ac:dyDescent="0.2">
      <c r="B3482" s="7"/>
      <c r="C3482" s="8">
        <v>13941</v>
      </c>
      <c r="D3482" s="9" t="s">
        <v>301</v>
      </c>
      <c r="E3482" s="10" t="str">
        <f t="shared" si="262"/>
        <v>Rancho Upácuaro No. 51, 2</v>
      </c>
      <c r="F3482" s="10" t="str">
        <f t="shared" si="263"/>
        <v>Santoyo</v>
      </c>
      <c r="G3482" s="8">
        <v>7</v>
      </c>
      <c r="H3482" s="11">
        <v>100</v>
      </c>
      <c r="I3482" s="12">
        <v>42792</v>
      </c>
      <c r="J3482" s="35">
        <f t="shared" si="264"/>
        <v>0</v>
      </c>
      <c r="K3482" s="36"/>
      <c r="L3482" s="36"/>
      <c r="M3482" s="36"/>
      <c r="N3482" s="36"/>
      <c r="O3482" s="36"/>
      <c r="P3482" s="36"/>
      <c r="Q3482" s="36"/>
      <c r="R3482" s="36"/>
      <c r="S3482" s="36"/>
      <c r="T3482" s="36"/>
      <c r="U3482" s="36"/>
      <c r="V3482" s="36"/>
      <c r="W3482" s="15">
        <f t="shared" si="265"/>
        <v>0</v>
      </c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15">
        <f t="shared" si="266"/>
        <v>0</v>
      </c>
      <c r="AK3482" s="14"/>
      <c r="AL3482" s="14"/>
      <c r="AM3482" s="14"/>
      <c r="AN3482" s="14"/>
      <c r="AO3482" s="14"/>
      <c r="AP3482" s="14"/>
      <c r="AQ3482" s="14"/>
      <c r="AR3482" s="14"/>
      <c r="AS3482" s="14"/>
      <c r="AT3482" s="14"/>
      <c r="AU3482" s="14"/>
      <c r="AV3482" s="14"/>
      <c r="AW3482" s="15"/>
      <c r="AX3482" s="16" t="s">
        <v>3533</v>
      </c>
    </row>
    <row r="3483" spans="2:51" x14ac:dyDescent="0.2">
      <c r="B3483" s="7"/>
      <c r="C3483" s="8">
        <v>13942</v>
      </c>
      <c r="D3483" s="9" t="s">
        <v>159</v>
      </c>
      <c r="E3483" s="10" t="str">
        <f t="shared" si="262"/>
        <v>Rancho Zinamba No. 24</v>
      </c>
      <c r="F3483" s="10" t="str">
        <f t="shared" si="263"/>
        <v>Monroy García</v>
      </c>
      <c r="G3483" s="8">
        <v>1</v>
      </c>
      <c r="H3483" s="11">
        <v>400</v>
      </c>
      <c r="I3483" s="12">
        <v>42792</v>
      </c>
      <c r="J3483" s="35">
        <f t="shared" si="264"/>
        <v>0</v>
      </c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36"/>
      <c r="V3483" s="36"/>
      <c r="W3483" s="15">
        <f t="shared" si="265"/>
        <v>0</v>
      </c>
      <c r="X3483" s="36"/>
      <c r="Y3483" s="36">
        <v>400</v>
      </c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15">
        <f t="shared" si="266"/>
        <v>400</v>
      </c>
      <c r="AK3483" s="14"/>
      <c r="AL3483" s="14"/>
      <c r="AM3483" s="14"/>
      <c r="AN3483" s="14"/>
      <c r="AO3483" s="14"/>
      <c r="AP3483" s="14"/>
      <c r="AQ3483" s="14"/>
      <c r="AR3483" s="14"/>
      <c r="AS3483" s="14"/>
      <c r="AT3483" s="14"/>
      <c r="AU3483" s="14"/>
      <c r="AV3483" s="14"/>
      <c r="AW3483" s="15"/>
      <c r="AX3483" s="16"/>
    </row>
    <row r="3484" spans="2:51" x14ac:dyDescent="0.2">
      <c r="B3484" s="7"/>
      <c r="C3484" s="8">
        <v>13942</v>
      </c>
      <c r="D3484" s="9" t="s">
        <v>159</v>
      </c>
      <c r="E3484" s="10" t="str">
        <f t="shared" si="262"/>
        <v>Rancho Zinamba No. 24</v>
      </c>
      <c r="F3484" s="10" t="str">
        <f t="shared" si="263"/>
        <v>Monroy García</v>
      </c>
      <c r="G3484" s="8">
        <v>7</v>
      </c>
      <c r="H3484" s="11">
        <v>100</v>
      </c>
      <c r="I3484" s="12">
        <v>42792</v>
      </c>
      <c r="J3484" s="35">
        <f t="shared" si="264"/>
        <v>0</v>
      </c>
      <c r="K3484" s="36"/>
      <c r="L3484" s="36"/>
      <c r="M3484" s="36"/>
      <c r="N3484" s="36"/>
      <c r="O3484" s="36"/>
      <c r="P3484" s="36"/>
      <c r="Q3484" s="36"/>
      <c r="R3484" s="36"/>
      <c r="S3484" s="36"/>
      <c r="T3484" s="36"/>
      <c r="U3484" s="36"/>
      <c r="V3484" s="36"/>
      <c r="W3484" s="15">
        <f t="shared" si="265"/>
        <v>0</v>
      </c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15">
        <f t="shared" si="266"/>
        <v>0</v>
      </c>
      <c r="AK3484" s="14"/>
      <c r="AL3484" s="14"/>
      <c r="AM3484" s="14"/>
      <c r="AN3484" s="14"/>
      <c r="AO3484" s="14"/>
      <c r="AP3484" s="14"/>
      <c r="AQ3484" s="14"/>
      <c r="AR3484" s="14"/>
      <c r="AS3484" s="14"/>
      <c r="AT3484" s="14"/>
      <c r="AU3484" s="14"/>
      <c r="AV3484" s="14"/>
      <c r="AW3484" s="15"/>
      <c r="AX3484" s="16" t="s">
        <v>3533</v>
      </c>
      <c r="AY3484" s="112">
        <f>SUM(H3408:H3484)</f>
        <v>24525</v>
      </c>
    </row>
    <row r="3485" spans="2:51" x14ac:dyDescent="0.2">
      <c r="B3485" s="7"/>
      <c r="C3485" s="8">
        <v>13943</v>
      </c>
      <c r="D3485" s="9" t="s">
        <v>559</v>
      </c>
      <c r="E3485" s="10" t="str">
        <f t="shared" si="262"/>
        <v>Rancho Estanzuela No. 149</v>
      </c>
      <c r="F3485" s="10" t="str">
        <f t="shared" si="263"/>
        <v>Sala</v>
      </c>
      <c r="G3485" s="8">
        <v>7</v>
      </c>
      <c r="H3485" s="315">
        <v>100</v>
      </c>
      <c r="I3485" s="12">
        <v>42792</v>
      </c>
      <c r="J3485" s="35">
        <f t="shared" si="264"/>
        <v>0</v>
      </c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15">
        <f t="shared" si="265"/>
        <v>0</v>
      </c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15">
        <f t="shared" si="266"/>
        <v>0</v>
      </c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14"/>
      <c r="AV3485" s="14"/>
      <c r="AW3485" s="15"/>
      <c r="AX3485" s="16" t="s">
        <v>3533</v>
      </c>
      <c r="AY3485" s="112">
        <f>SUM(H3485:H3488)</f>
        <v>400</v>
      </c>
    </row>
    <row r="3486" spans="2:51" x14ac:dyDescent="0.2">
      <c r="B3486" s="7"/>
      <c r="C3486" s="8">
        <v>13944</v>
      </c>
      <c r="D3486" s="9" t="s">
        <v>208</v>
      </c>
      <c r="E3486" s="10" t="str">
        <f t="shared" si="262"/>
        <v>Rancho La Cuchilla No. 29</v>
      </c>
      <c r="F3486" s="10" t="str">
        <f t="shared" si="263"/>
        <v>Vega Sánchez C.</v>
      </c>
      <c r="G3486" s="8">
        <v>4</v>
      </c>
      <c r="H3486" s="11">
        <v>200</v>
      </c>
      <c r="I3486" s="12">
        <v>42792</v>
      </c>
      <c r="J3486" s="35">
        <f t="shared" si="264"/>
        <v>0</v>
      </c>
      <c r="K3486" s="36"/>
      <c r="L3486" s="36"/>
      <c r="M3486" s="36"/>
      <c r="N3486" s="36"/>
      <c r="O3486" s="36"/>
      <c r="P3486" s="36"/>
      <c r="Q3486" s="36"/>
      <c r="R3486" s="36"/>
      <c r="S3486" s="36"/>
      <c r="T3486" s="36"/>
      <c r="U3486" s="36"/>
      <c r="V3486" s="36"/>
      <c r="W3486" s="15">
        <f t="shared" si="265"/>
        <v>0</v>
      </c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15">
        <f t="shared" si="266"/>
        <v>0</v>
      </c>
      <c r="AK3486" s="14"/>
      <c r="AL3486" s="14"/>
      <c r="AM3486" s="14"/>
      <c r="AN3486" s="14"/>
      <c r="AO3486" s="14"/>
      <c r="AP3486" s="14"/>
      <c r="AQ3486" s="14"/>
      <c r="AR3486" s="14"/>
      <c r="AS3486" s="14"/>
      <c r="AT3486" s="14"/>
      <c r="AU3486" s="14"/>
      <c r="AV3486" s="14"/>
      <c r="AW3486" s="15"/>
      <c r="AX3486" s="16" t="s">
        <v>3539</v>
      </c>
      <c r="AY3486" s="112">
        <f>SUM(AY3484:AY3485)</f>
        <v>24925</v>
      </c>
    </row>
    <row r="3487" spans="2:51" x14ac:dyDescent="0.2">
      <c r="B3487" s="7"/>
      <c r="C3487" s="8">
        <v>13945</v>
      </c>
      <c r="D3487" s="9"/>
      <c r="E3487" s="10" t="str">
        <f t="shared" si="262"/>
        <v/>
      </c>
      <c r="F3487" s="10" t="str">
        <f t="shared" si="263"/>
        <v/>
      </c>
      <c r="G3487" s="8">
        <v>8</v>
      </c>
      <c r="H3487" s="11"/>
      <c r="I3487" s="12"/>
      <c r="J3487" s="35">
        <f t="shared" si="264"/>
        <v>0</v>
      </c>
      <c r="K3487" s="36"/>
      <c r="L3487" s="36"/>
      <c r="M3487" s="36"/>
      <c r="N3487" s="36"/>
      <c r="O3487" s="36"/>
      <c r="P3487" s="36"/>
      <c r="Q3487" s="36"/>
      <c r="R3487" s="36"/>
      <c r="S3487" s="36"/>
      <c r="T3487" s="36"/>
      <c r="U3487" s="36"/>
      <c r="V3487" s="36"/>
      <c r="W3487" s="15">
        <f t="shared" si="265"/>
        <v>0</v>
      </c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15">
        <f t="shared" si="266"/>
        <v>0</v>
      </c>
      <c r="AK3487" s="14"/>
      <c r="AL3487" s="14"/>
      <c r="AM3487" s="14"/>
      <c r="AN3487" s="14"/>
      <c r="AO3487" s="14"/>
      <c r="AP3487" s="14"/>
      <c r="AQ3487" s="14"/>
      <c r="AR3487" s="14"/>
      <c r="AS3487" s="14"/>
      <c r="AT3487" s="14"/>
      <c r="AU3487" s="14"/>
      <c r="AV3487" s="14"/>
      <c r="AW3487" s="15"/>
      <c r="AX3487" s="16"/>
    </row>
    <row r="3488" spans="2:51" x14ac:dyDescent="0.2">
      <c r="B3488" s="7"/>
      <c r="C3488" s="8">
        <v>13946</v>
      </c>
      <c r="D3488" s="9" t="s">
        <v>887</v>
      </c>
      <c r="E3488" s="10" t="str">
        <f t="shared" si="262"/>
        <v>Rancho Estopila No. 44_4</v>
      </c>
      <c r="F3488" s="10" t="str">
        <f t="shared" si="263"/>
        <v>Acroy Mendoza</v>
      </c>
      <c r="G3488" s="8">
        <v>7</v>
      </c>
      <c r="H3488" s="11">
        <v>100</v>
      </c>
      <c r="I3488" s="12">
        <v>42794</v>
      </c>
      <c r="J3488" s="35">
        <f t="shared" si="264"/>
        <v>0</v>
      </c>
      <c r="K3488" s="36"/>
      <c r="L3488" s="36"/>
      <c r="M3488" s="36"/>
      <c r="N3488" s="36"/>
      <c r="O3488" s="36"/>
      <c r="P3488" s="36"/>
      <c r="Q3488" s="36"/>
      <c r="R3488" s="36"/>
      <c r="S3488" s="36"/>
      <c r="T3488" s="36"/>
      <c r="U3488" s="36"/>
      <c r="V3488" s="36"/>
      <c r="W3488" s="15">
        <f t="shared" si="265"/>
        <v>0</v>
      </c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15">
        <f t="shared" si="266"/>
        <v>0</v>
      </c>
      <c r="AK3488" s="14"/>
      <c r="AL3488" s="14"/>
      <c r="AM3488" s="14"/>
      <c r="AN3488" s="14"/>
      <c r="AO3488" s="14"/>
      <c r="AP3488" s="14"/>
      <c r="AQ3488" s="14"/>
      <c r="AR3488" s="14"/>
      <c r="AS3488" s="14"/>
      <c r="AT3488" s="14"/>
      <c r="AU3488" s="14"/>
      <c r="AV3488" s="14"/>
      <c r="AW3488" s="15"/>
      <c r="AX3488" s="16" t="s">
        <v>3533</v>
      </c>
    </row>
    <row r="3489" spans="1:50" x14ac:dyDescent="0.2">
      <c r="A3489" s="320" t="s">
        <v>2879</v>
      </c>
      <c r="B3489" s="7" t="s">
        <v>3523</v>
      </c>
      <c r="C3489" s="8">
        <v>13947</v>
      </c>
      <c r="D3489" s="9" t="s">
        <v>211</v>
      </c>
      <c r="E3489" s="10" t="str">
        <f t="shared" si="262"/>
        <v>Rancho Upácuaro No. 46</v>
      </c>
      <c r="F3489" s="10" t="str">
        <f t="shared" si="263"/>
        <v>Fuentes</v>
      </c>
      <c r="G3489" s="8">
        <v>1</v>
      </c>
      <c r="H3489" s="11">
        <v>300</v>
      </c>
      <c r="I3489" s="12">
        <v>42770</v>
      </c>
      <c r="J3489" s="35">
        <f t="shared" si="264"/>
        <v>0</v>
      </c>
      <c r="K3489" s="36"/>
      <c r="L3489" s="36"/>
      <c r="M3489" s="36"/>
      <c r="N3489" s="36"/>
      <c r="O3489" s="36"/>
      <c r="P3489" s="36"/>
      <c r="Q3489" s="36"/>
      <c r="R3489" s="36"/>
      <c r="S3489" s="36"/>
      <c r="T3489" s="36"/>
      <c r="U3489" s="36"/>
      <c r="V3489" s="36"/>
      <c r="W3489" s="15">
        <f t="shared" si="265"/>
        <v>0</v>
      </c>
      <c r="X3489" s="36"/>
      <c r="Y3489" s="36">
        <v>300</v>
      </c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15">
        <f t="shared" si="266"/>
        <v>300</v>
      </c>
      <c r="AK3489" s="14"/>
      <c r="AL3489" s="14"/>
      <c r="AM3489" s="14"/>
      <c r="AN3489" s="14"/>
      <c r="AO3489" s="14"/>
      <c r="AP3489" s="14"/>
      <c r="AQ3489" s="14"/>
      <c r="AR3489" s="14"/>
      <c r="AS3489" s="14"/>
      <c r="AT3489" s="14"/>
      <c r="AU3489" s="14"/>
      <c r="AV3489" s="14"/>
      <c r="AW3489" s="15"/>
      <c r="AX3489" s="16"/>
    </row>
    <row r="3490" spans="1:50" x14ac:dyDescent="0.2">
      <c r="B3490" s="7"/>
      <c r="C3490" s="8">
        <v>13948</v>
      </c>
      <c r="D3490" s="9" t="s">
        <v>208</v>
      </c>
      <c r="E3490" s="10" t="str">
        <f t="shared" si="262"/>
        <v>Rancho La Cuchilla No. 29</v>
      </c>
      <c r="F3490" s="10" t="str">
        <f t="shared" si="263"/>
        <v>Vega Sánchez C.</v>
      </c>
      <c r="G3490" s="8">
        <v>1</v>
      </c>
      <c r="H3490" s="11">
        <v>1200</v>
      </c>
      <c r="I3490" s="12">
        <v>42775</v>
      </c>
      <c r="J3490" s="35">
        <f t="shared" si="264"/>
        <v>0</v>
      </c>
      <c r="K3490" s="36"/>
      <c r="L3490" s="36"/>
      <c r="M3490" s="36"/>
      <c r="N3490" s="36"/>
      <c r="O3490" s="36"/>
      <c r="P3490" s="36"/>
      <c r="Q3490" s="36"/>
      <c r="R3490" s="36"/>
      <c r="S3490" s="36"/>
      <c r="T3490" s="36">
        <v>400</v>
      </c>
      <c r="U3490" s="36">
        <v>400</v>
      </c>
      <c r="V3490" s="36">
        <v>400</v>
      </c>
      <c r="W3490" s="15">
        <f t="shared" si="265"/>
        <v>1200</v>
      </c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15">
        <f t="shared" si="266"/>
        <v>0</v>
      </c>
      <c r="AK3490" s="14"/>
      <c r="AL3490" s="14"/>
      <c r="AM3490" s="14"/>
      <c r="AN3490" s="14"/>
      <c r="AO3490" s="14"/>
      <c r="AP3490" s="14"/>
      <c r="AQ3490" s="14"/>
      <c r="AR3490" s="14"/>
      <c r="AS3490" s="14"/>
      <c r="AT3490" s="14"/>
      <c r="AU3490" s="14"/>
      <c r="AV3490" s="14"/>
      <c r="AW3490" s="15"/>
      <c r="AX3490" s="16"/>
    </row>
    <row r="3491" spans="1:50" x14ac:dyDescent="0.2">
      <c r="B3491" s="7"/>
      <c r="C3491" s="8"/>
      <c r="D3491" s="9" t="s">
        <v>806</v>
      </c>
      <c r="E3491" s="10" t="str">
        <f t="shared" si="262"/>
        <v>Rancho Estanzuela No. 130, A</v>
      </c>
      <c r="F3491" s="10" t="str">
        <f t="shared" si="263"/>
        <v>Colegio Carmel</v>
      </c>
      <c r="G3491" s="8">
        <v>1</v>
      </c>
      <c r="H3491" s="11">
        <v>11000</v>
      </c>
      <c r="I3491" s="12">
        <v>42793</v>
      </c>
      <c r="J3491" s="35">
        <f t="shared" si="264"/>
        <v>0</v>
      </c>
      <c r="K3491" s="36"/>
      <c r="L3491" s="36"/>
      <c r="M3491" s="36"/>
      <c r="N3491" s="36"/>
      <c r="O3491" s="36"/>
      <c r="P3491" s="36"/>
      <c r="Q3491" s="36"/>
      <c r="R3491" s="36"/>
      <c r="S3491" s="36"/>
      <c r="T3491" s="36"/>
      <c r="U3491" s="36"/>
      <c r="V3491" s="36"/>
      <c r="W3491" s="15">
        <f t="shared" si="265"/>
        <v>0</v>
      </c>
      <c r="X3491" s="36"/>
      <c r="Y3491" s="36">
        <v>11000</v>
      </c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15">
        <f t="shared" si="266"/>
        <v>11000</v>
      </c>
      <c r="AK3491" s="14"/>
      <c r="AL3491" s="14"/>
      <c r="AM3491" s="14"/>
      <c r="AN3491" s="14"/>
      <c r="AO3491" s="14"/>
      <c r="AP3491" s="14"/>
      <c r="AQ3491" s="14"/>
      <c r="AR3491" s="14"/>
      <c r="AS3491" s="14"/>
      <c r="AT3491" s="14"/>
      <c r="AU3491" s="14"/>
      <c r="AV3491" s="14"/>
      <c r="AW3491" s="15"/>
      <c r="AX3491" s="316">
        <f>SUM(H3247:H3491)</f>
        <v>122835</v>
      </c>
    </row>
    <row r="3492" spans="1:50" ht="22.5" x14ac:dyDescent="0.2">
      <c r="A3492" s="2"/>
      <c r="B3492" s="3" t="s">
        <v>1</v>
      </c>
      <c r="C3492" s="3" t="s">
        <v>2</v>
      </c>
      <c r="D3492" s="3" t="s">
        <v>3</v>
      </c>
      <c r="E3492" s="337" t="s">
        <v>4</v>
      </c>
      <c r="F3492" s="337" t="s">
        <v>5</v>
      </c>
      <c r="G3492" s="3" t="s">
        <v>6</v>
      </c>
      <c r="H3492" s="3" t="s">
        <v>7</v>
      </c>
      <c r="I3492" s="3" t="s">
        <v>8</v>
      </c>
      <c r="J3492" s="337" t="s">
        <v>9</v>
      </c>
      <c r="K3492" s="4" t="s">
        <v>10</v>
      </c>
      <c r="L3492" s="4" t="s">
        <v>11</v>
      </c>
      <c r="M3492" s="4" t="s">
        <v>12</v>
      </c>
      <c r="N3492" s="4" t="s">
        <v>13</v>
      </c>
      <c r="O3492" s="4" t="s">
        <v>14</v>
      </c>
      <c r="P3492" s="4" t="s">
        <v>15</v>
      </c>
      <c r="Q3492" s="4" t="s">
        <v>16</v>
      </c>
      <c r="R3492" s="4" t="s">
        <v>17</v>
      </c>
      <c r="S3492" s="4" t="s">
        <v>18</v>
      </c>
      <c r="T3492" s="4" t="s">
        <v>19</v>
      </c>
      <c r="U3492" s="4" t="s">
        <v>20</v>
      </c>
      <c r="V3492" s="4" t="s">
        <v>21</v>
      </c>
      <c r="W3492" s="338" t="s">
        <v>22</v>
      </c>
      <c r="X3492" s="4" t="s">
        <v>23</v>
      </c>
      <c r="Y3492" s="4" t="s">
        <v>24</v>
      </c>
      <c r="Z3492" s="4" t="s">
        <v>25</v>
      </c>
      <c r="AA3492" s="4" t="s">
        <v>26</v>
      </c>
      <c r="AB3492" s="4" t="s">
        <v>27</v>
      </c>
      <c r="AC3492" s="4" t="s">
        <v>28</v>
      </c>
      <c r="AD3492" s="4" t="s">
        <v>29</v>
      </c>
      <c r="AE3492" s="4" t="s">
        <v>30</v>
      </c>
      <c r="AF3492" s="4" t="s">
        <v>31</v>
      </c>
      <c r="AG3492" s="4" t="s">
        <v>32</v>
      </c>
      <c r="AH3492" s="4" t="s">
        <v>33</v>
      </c>
      <c r="AI3492" s="4" t="s">
        <v>34</v>
      </c>
      <c r="AJ3492" s="338" t="s">
        <v>35</v>
      </c>
      <c r="AK3492" s="4" t="s">
        <v>4607</v>
      </c>
      <c r="AL3492" s="4" t="s">
        <v>4608</v>
      </c>
      <c r="AM3492" s="4" t="s">
        <v>4609</v>
      </c>
      <c r="AN3492" s="4" t="s">
        <v>4610</v>
      </c>
      <c r="AO3492" s="4" t="s">
        <v>4611</v>
      </c>
      <c r="AP3492" s="4" t="s">
        <v>4612</v>
      </c>
      <c r="AQ3492" s="4" t="s">
        <v>4613</v>
      </c>
      <c r="AR3492" s="4" t="s">
        <v>4614</v>
      </c>
      <c r="AS3492" s="4" t="s">
        <v>4615</v>
      </c>
      <c r="AT3492" s="4" t="s">
        <v>4616</v>
      </c>
      <c r="AU3492" s="4" t="s">
        <v>4617</v>
      </c>
      <c r="AV3492" s="4" t="s">
        <v>4618</v>
      </c>
      <c r="AW3492" s="338" t="s">
        <v>4619</v>
      </c>
      <c r="AX3492" s="6" t="s">
        <v>36</v>
      </c>
    </row>
    <row r="3493" spans="1:50" x14ac:dyDescent="0.2">
      <c r="B3493" s="7"/>
      <c r="C3493" s="8">
        <v>13949</v>
      </c>
      <c r="D3493" s="9" t="s">
        <v>106</v>
      </c>
      <c r="E3493" s="10" t="str">
        <f t="shared" si="262"/>
        <v>Rancho La Cuchilla No. 45</v>
      </c>
      <c r="F3493" s="10" t="str">
        <f t="shared" si="263"/>
        <v>Estévez Hernández</v>
      </c>
      <c r="G3493" s="8">
        <v>5</v>
      </c>
      <c r="H3493" s="11">
        <v>50</v>
      </c>
      <c r="I3493" s="12">
        <v>42796</v>
      </c>
      <c r="J3493" s="35">
        <f t="shared" si="264"/>
        <v>0</v>
      </c>
      <c r="K3493" s="36"/>
      <c r="L3493" s="36"/>
      <c r="M3493" s="36"/>
      <c r="N3493" s="36"/>
      <c r="O3493" s="36"/>
      <c r="P3493" s="36"/>
      <c r="Q3493" s="36"/>
      <c r="R3493" s="36"/>
      <c r="S3493" s="36"/>
      <c r="T3493" s="36"/>
      <c r="U3493" s="36"/>
      <c r="V3493" s="36"/>
      <c r="W3493" s="15">
        <f t="shared" si="265"/>
        <v>0</v>
      </c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15">
        <f t="shared" si="266"/>
        <v>0</v>
      </c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14"/>
      <c r="AV3493" s="14"/>
      <c r="AW3493" s="15"/>
      <c r="AX3493" s="16"/>
    </row>
    <row r="3494" spans="1:50" x14ac:dyDescent="0.2">
      <c r="B3494" s="7"/>
      <c r="C3494" s="8">
        <v>13950</v>
      </c>
      <c r="D3494" s="9" t="s">
        <v>90</v>
      </c>
      <c r="E3494" s="10" t="str">
        <f t="shared" si="262"/>
        <v>Rancho Estanzuela No. 69</v>
      </c>
      <c r="F3494" s="10" t="str">
        <f t="shared" si="263"/>
        <v>Apaez</v>
      </c>
      <c r="G3494" s="8">
        <v>7</v>
      </c>
      <c r="H3494" s="11">
        <v>100</v>
      </c>
      <c r="I3494" s="12">
        <v>42796</v>
      </c>
      <c r="J3494" s="35">
        <f t="shared" si="264"/>
        <v>0</v>
      </c>
      <c r="K3494" s="36"/>
      <c r="L3494" s="36"/>
      <c r="M3494" s="36"/>
      <c r="N3494" s="36"/>
      <c r="O3494" s="36"/>
      <c r="P3494" s="36"/>
      <c r="Q3494" s="36"/>
      <c r="R3494" s="36"/>
      <c r="S3494" s="36"/>
      <c r="T3494" s="36"/>
      <c r="U3494" s="36"/>
      <c r="V3494" s="36"/>
      <c r="W3494" s="15">
        <f t="shared" si="265"/>
        <v>0</v>
      </c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15">
        <f t="shared" si="266"/>
        <v>0</v>
      </c>
      <c r="AK3494" s="14"/>
      <c r="AL3494" s="14"/>
      <c r="AM3494" s="14"/>
      <c r="AN3494" s="14"/>
      <c r="AO3494" s="14"/>
      <c r="AP3494" s="14"/>
      <c r="AQ3494" s="14"/>
      <c r="AR3494" s="14"/>
      <c r="AS3494" s="14"/>
      <c r="AT3494" s="14"/>
      <c r="AU3494" s="14"/>
      <c r="AV3494" s="14"/>
      <c r="AW3494" s="15"/>
      <c r="AX3494" s="16" t="s">
        <v>3533</v>
      </c>
    </row>
    <row r="3495" spans="1:50" x14ac:dyDescent="0.2">
      <c r="B3495" s="7"/>
      <c r="C3495" s="8">
        <v>13951</v>
      </c>
      <c r="D3495" s="9" t="s">
        <v>611</v>
      </c>
      <c r="E3495" s="10" t="str">
        <f t="shared" si="262"/>
        <v>Rancho Estanzuela No. 47</v>
      </c>
      <c r="F3495" s="10" t="str">
        <f t="shared" si="263"/>
        <v>Bussey García</v>
      </c>
      <c r="G3495" s="8">
        <v>7</v>
      </c>
      <c r="H3495" s="11">
        <v>100</v>
      </c>
      <c r="I3495" s="12">
        <v>42796</v>
      </c>
      <c r="J3495" s="35">
        <f t="shared" si="264"/>
        <v>0</v>
      </c>
      <c r="K3495" s="36"/>
      <c r="L3495" s="36"/>
      <c r="M3495" s="36"/>
      <c r="N3495" s="36"/>
      <c r="O3495" s="36"/>
      <c r="P3495" s="36"/>
      <c r="Q3495" s="36"/>
      <c r="R3495" s="36"/>
      <c r="S3495" s="36"/>
      <c r="T3495" s="36"/>
      <c r="U3495" s="36"/>
      <c r="V3495" s="36"/>
      <c r="W3495" s="15">
        <f t="shared" si="265"/>
        <v>0</v>
      </c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15">
        <f t="shared" si="266"/>
        <v>0</v>
      </c>
      <c r="AK3495" s="14"/>
      <c r="AL3495" s="14"/>
      <c r="AM3495" s="14"/>
      <c r="AN3495" s="14"/>
      <c r="AO3495" s="14"/>
      <c r="AP3495" s="14"/>
      <c r="AQ3495" s="14"/>
      <c r="AR3495" s="14"/>
      <c r="AS3495" s="14"/>
      <c r="AT3495" s="14"/>
      <c r="AU3495" s="14"/>
      <c r="AV3495" s="14"/>
      <c r="AW3495" s="15"/>
      <c r="AX3495" s="16" t="s">
        <v>3533</v>
      </c>
    </row>
    <row r="3496" spans="1:50" x14ac:dyDescent="0.2">
      <c r="B3496" s="7"/>
      <c r="C3496" s="8">
        <v>13952</v>
      </c>
      <c r="D3496" s="9" t="s">
        <v>199</v>
      </c>
      <c r="E3496" s="10" t="str">
        <f t="shared" si="262"/>
        <v>Rancho Estanzuela No. 135</v>
      </c>
      <c r="F3496" s="10" t="str">
        <f t="shared" si="263"/>
        <v>Iglesias</v>
      </c>
      <c r="G3496" s="8">
        <v>7</v>
      </c>
      <c r="H3496" s="11">
        <v>100</v>
      </c>
      <c r="I3496" s="12">
        <v>42796</v>
      </c>
      <c r="J3496" s="35">
        <f t="shared" si="264"/>
        <v>0</v>
      </c>
      <c r="K3496" s="36"/>
      <c r="L3496" s="36"/>
      <c r="M3496" s="36"/>
      <c r="N3496" s="36"/>
      <c r="O3496" s="36"/>
      <c r="P3496" s="36"/>
      <c r="Q3496" s="36"/>
      <c r="R3496" s="36"/>
      <c r="S3496" s="36"/>
      <c r="T3496" s="36"/>
      <c r="U3496" s="36"/>
      <c r="V3496" s="36"/>
      <c r="W3496" s="15">
        <f t="shared" si="265"/>
        <v>0</v>
      </c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15">
        <f t="shared" si="266"/>
        <v>0</v>
      </c>
      <c r="AK3496" s="14"/>
      <c r="AL3496" s="14"/>
      <c r="AM3496" s="14"/>
      <c r="AN3496" s="14"/>
      <c r="AO3496" s="14"/>
      <c r="AP3496" s="14"/>
      <c r="AQ3496" s="14"/>
      <c r="AR3496" s="14"/>
      <c r="AS3496" s="14"/>
      <c r="AT3496" s="14"/>
      <c r="AU3496" s="14"/>
      <c r="AV3496" s="14"/>
      <c r="AW3496" s="15"/>
      <c r="AX3496" s="16" t="s">
        <v>3533</v>
      </c>
    </row>
    <row r="3497" spans="1:50" x14ac:dyDescent="0.2">
      <c r="B3497" s="7"/>
      <c r="C3497" s="8">
        <v>13953</v>
      </c>
      <c r="D3497" s="9" t="s">
        <v>199</v>
      </c>
      <c r="E3497" s="10" t="str">
        <f t="shared" si="262"/>
        <v>Rancho Estanzuela No. 135</v>
      </c>
      <c r="F3497" s="10" t="str">
        <f t="shared" si="263"/>
        <v>Iglesias</v>
      </c>
      <c r="G3497" s="8">
        <v>1</v>
      </c>
      <c r="H3497" s="11">
        <v>400</v>
      </c>
      <c r="I3497" s="12">
        <v>42796</v>
      </c>
      <c r="J3497" s="35">
        <f t="shared" si="264"/>
        <v>0</v>
      </c>
      <c r="K3497" s="36"/>
      <c r="L3497" s="36"/>
      <c r="M3497" s="36"/>
      <c r="N3497" s="36"/>
      <c r="O3497" s="36"/>
      <c r="P3497" s="36"/>
      <c r="Q3497" s="36"/>
      <c r="R3497" s="36"/>
      <c r="S3497" s="36"/>
      <c r="T3497" s="36"/>
      <c r="U3497" s="36"/>
      <c r="V3497" s="36"/>
      <c r="W3497" s="15">
        <f t="shared" si="265"/>
        <v>0</v>
      </c>
      <c r="X3497" s="36"/>
      <c r="Y3497" s="36">
        <v>400</v>
      </c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15">
        <f t="shared" si="266"/>
        <v>400</v>
      </c>
      <c r="AK3497" s="14"/>
      <c r="AL3497" s="14"/>
      <c r="AM3497" s="14"/>
      <c r="AN3497" s="14"/>
      <c r="AO3497" s="14"/>
      <c r="AP3497" s="14"/>
      <c r="AQ3497" s="14"/>
      <c r="AR3497" s="14"/>
      <c r="AS3497" s="14"/>
      <c r="AT3497" s="14"/>
      <c r="AU3497" s="14"/>
      <c r="AV3497" s="14"/>
      <c r="AW3497" s="15"/>
      <c r="AX3497" s="16"/>
    </row>
    <row r="3498" spans="1:50" x14ac:dyDescent="0.2">
      <c r="B3498" s="7"/>
      <c r="C3498" s="8">
        <v>13954</v>
      </c>
      <c r="D3498" s="9" t="s">
        <v>807</v>
      </c>
      <c r="E3498" s="10" t="str">
        <f t="shared" si="262"/>
        <v>Rancho La Cuchilla No. 61</v>
      </c>
      <c r="F3498" s="10" t="str">
        <f t="shared" si="263"/>
        <v>Rivera</v>
      </c>
      <c r="G3498" s="8">
        <v>1</v>
      </c>
      <c r="H3498" s="11">
        <v>400</v>
      </c>
      <c r="I3498" s="12">
        <v>42798</v>
      </c>
      <c r="J3498" s="35">
        <f t="shared" si="264"/>
        <v>0</v>
      </c>
      <c r="K3498" s="36"/>
      <c r="L3498" s="36"/>
      <c r="M3498" s="36"/>
      <c r="N3498" s="36"/>
      <c r="O3498" s="36"/>
      <c r="P3498" s="36"/>
      <c r="Q3498" s="36"/>
      <c r="R3498" s="36"/>
      <c r="S3498" s="36"/>
      <c r="T3498" s="36"/>
      <c r="U3498" s="36"/>
      <c r="V3498" s="36"/>
      <c r="W3498" s="15">
        <f t="shared" si="265"/>
        <v>0</v>
      </c>
      <c r="X3498" s="36">
        <v>200</v>
      </c>
      <c r="Y3498" s="36">
        <v>200</v>
      </c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15">
        <f t="shared" si="266"/>
        <v>400</v>
      </c>
      <c r="AK3498" s="14"/>
      <c r="AL3498" s="14"/>
      <c r="AM3498" s="14"/>
      <c r="AN3498" s="14"/>
      <c r="AO3498" s="14"/>
      <c r="AP3498" s="14"/>
      <c r="AQ3498" s="14"/>
      <c r="AR3498" s="14"/>
      <c r="AS3498" s="14"/>
      <c r="AT3498" s="14"/>
      <c r="AU3498" s="14"/>
      <c r="AV3498" s="14"/>
      <c r="AW3498" s="15"/>
      <c r="AX3498" s="16"/>
    </row>
    <row r="3499" spans="1:50" x14ac:dyDescent="0.2">
      <c r="B3499" s="7"/>
      <c r="C3499" s="8">
        <v>13954</v>
      </c>
      <c r="D3499" s="9" t="s">
        <v>807</v>
      </c>
      <c r="E3499" s="10" t="str">
        <f t="shared" si="262"/>
        <v>Rancho La Cuchilla No. 61</v>
      </c>
      <c r="F3499" s="10" t="str">
        <f t="shared" si="263"/>
        <v>Rivera</v>
      </c>
      <c r="G3499" s="8">
        <v>7</v>
      </c>
      <c r="H3499" s="11">
        <v>100</v>
      </c>
      <c r="I3499" s="12">
        <v>42798</v>
      </c>
      <c r="J3499" s="35">
        <f t="shared" si="264"/>
        <v>0</v>
      </c>
      <c r="K3499" s="36"/>
      <c r="L3499" s="36"/>
      <c r="M3499" s="36"/>
      <c r="N3499" s="36"/>
      <c r="O3499" s="36"/>
      <c r="P3499" s="36"/>
      <c r="Q3499" s="36"/>
      <c r="R3499" s="36"/>
      <c r="S3499" s="36"/>
      <c r="T3499" s="36"/>
      <c r="U3499" s="36"/>
      <c r="V3499" s="36"/>
      <c r="W3499" s="15">
        <f t="shared" si="265"/>
        <v>0</v>
      </c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15">
        <f t="shared" si="266"/>
        <v>0</v>
      </c>
      <c r="AK3499" s="14"/>
      <c r="AL3499" s="14"/>
      <c r="AM3499" s="14"/>
      <c r="AN3499" s="14"/>
      <c r="AO3499" s="14"/>
      <c r="AP3499" s="14"/>
      <c r="AQ3499" s="14"/>
      <c r="AR3499" s="14"/>
      <c r="AS3499" s="14"/>
      <c r="AT3499" s="14"/>
      <c r="AU3499" s="14"/>
      <c r="AV3499" s="14"/>
      <c r="AW3499" s="15"/>
      <c r="AX3499" s="16" t="s">
        <v>3533</v>
      </c>
    </row>
    <row r="3500" spans="1:50" x14ac:dyDescent="0.2">
      <c r="B3500" s="7"/>
      <c r="C3500" s="8">
        <v>13955</v>
      </c>
      <c r="D3500" s="9" t="s">
        <v>226</v>
      </c>
      <c r="E3500" s="10" t="str">
        <f t="shared" si="262"/>
        <v>Rancho Landero No. 31</v>
      </c>
      <c r="F3500" s="10" t="str">
        <f t="shared" si="263"/>
        <v>Díaz Hernández</v>
      </c>
      <c r="G3500" s="8">
        <v>1</v>
      </c>
      <c r="H3500" s="11">
        <v>200</v>
      </c>
      <c r="I3500" s="12">
        <v>42798</v>
      </c>
      <c r="J3500" s="35">
        <f t="shared" si="264"/>
        <v>0</v>
      </c>
      <c r="K3500" s="36"/>
      <c r="L3500" s="36"/>
      <c r="M3500" s="36"/>
      <c r="N3500" s="36"/>
      <c r="O3500" s="36"/>
      <c r="P3500" s="36"/>
      <c r="Q3500" s="36"/>
      <c r="R3500" s="36"/>
      <c r="S3500" s="36"/>
      <c r="T3500" s="36"/>
      <c r="U3500" s="36"/>
      <c r="V3500" s="36"/>
      <c r="W3500" s="15">
        <f t="shared" si="265"/>
        <v>0</v>
      </c>
      <c r="X3500" s="36"/>
      <c r="Y3500" s="36"/>
      <c r="Z3500" s="36">
        <v>200</v>
      </c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15">
        <f t="shared" si="266"/>
        <v>200</v>
      </c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14"/>
      <c r="AV3500" s="14"/>
      <c r="AW3500" s="15"/>
      <c r="AX3500" s="16"/>
    </row>
    <row r="3501" spans="1:50" x14ac:dyDescent="0.2">
      <c r="B3501" s="7"/>
      <c r="C3501" s="8">
        <v>13955</v>
      </c>
      <c r="D3501" s="9" t="s">
        <v>226</v>
      </c>
      <c r="E3501" s="10" t="str">
        <f t="shared" si="262"/>
        <v>Rancho Landero No. 31</v>
      </c>
      <c r="F3501" s="10" t="str">
        <f t="shared" si="263"/>
        <v>Díaz Hernández</v>
      </c>
      <c r="G3501" s="8">
        <v>7</v>
      </c>
      <c r="H3501" s="11">
        <v>100</v>
      </c>
      <c r="I3501" s="12">
        <v>42798</v>
      </c>
      <c r="J3501" s="35">
        <f t="shared" si="264"/>
        <v>0</v>
      </c>
      <c r="K3501" s="36"/>
      <c r="L3501" s="36"/>
      <c r="M3501" s="36"/>
      <c r="N3501" s="36"/>
      <c r="O3501" s="36"/>
      <c r="P3501" s="36"/>
      <c r="Q3501" s="36"/>
      <c r="R3501" s="36"/>
      <c r="S3501" s="36"/>
      <c r="T3501" s="36"/>
      <c r="U3501" s="36"/>
      <c r="V3501" s="36"/>
      <c r="W3501" s="15">
        <f t="shared" si="265"/>
        <v>0</v>
      </c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15">
        <f t="shared" si="266"/>
        <v>0</v>
      </c>
      <c r="AK3501" s="14"/>
      <c r="AL3501" s="14"/>
      <c r="AM3501" s="14"/>
      <c r="AN3501" s="14"/>
      <c r="AO3501" s="14"/>
      <c r="AP3501" s="14"/>
      <c r="AQ3501" s="14"/>
      <c r="AR3501" s="14"/>
      <c r="AS3501" s="14"/>
      <c r="AT3501" s="14"/>
      <c r="AU3501" s="14"/>
      <c r="AV3501" s="14"/>
      <c r="AW3501" s="15"/>
      <c r="AX3501" s="16" t="s">
        <v>3533</v>
      </c>
    </row>
    <row r="3502" spans="1:50" x14ac:dyDescent="0.2">
      <c r="B3502" s="7"/>
      <c r="C3502" s="8">
        <v>13956</v>
      </c>
      <c r="D3502" s="9" t="s">
        <v>100</v>
      </c>
      <c r="E3502" s="10" t="str">
        <f t="shared" si="262"/>
        <v>Rancho Upácuaro No. 32</v>
      </c>
      <c r="F3502" s="10" t="str">
        <f t="shared" si="263"/>
        <v>Sairafi Carmen</v>
      </c>
      <c r="G3502" s="8">
        <v>1</v>
      </c>
      <c r="H3502" s="11">
        <v>400</v>
      </c>
      <c r="I3502" s="12">
        <v>42799</v>
      </c>
      <c r="J3502" s="35">
        <f t="shared" si="264"/>
        <v>0</v>
      </c>
      <c r="K3502" s="36"/>
      <c r="L3502" s="36"/>
      <c r="M3502" s="36"/>
      <c r="N3502" s="36"/>
      <c r="O3502" s="36"/>
      <c r="P3502" s="36"/>
      <c r="Q3502" s="36"/>
      <c r="R3502" s="36"/>
      <c r="S3502" s="36"/>
      <c r="T3502" s="36"/>
      <c r="U3502" s="36"/>
      <c r="V3502" s="36"/>
      <c r="W3502" s="15">
        <f t="shared" si="265"/>
        <v>0</v>
      </c>
      <c r="X3502" s="36"/>
      <c r="Y3502" s="36"/>
      <c r="Z3502" s="36">
        <v>400</v>
      </c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15">
        <f t="shared" si="266"/>
        <v>400</v>
      </c>
      <c r="AK3502" s="14"/>
      <c r="AL3502" s="14"/>
      <c r="AM3502" s="14"/>
      <c r="AN3502" s="14"/>
      <c r="AO3502" s="14"/>
      <c r="AP3502" s="14"/>
      <c r="AQ3502" s="14"/>
      <c r="AR3502" s="14"/>
      <c r="AS3502" s="14"/>
      <c r="AT3502" s="14"/>
      <c r="AU3502" s="14"/>
      <c r="AV3502" s="14"/>
      <c r="AW3502" s="15"/>
      <c r="AX3502" s="16"/>
    </row>
    <row r="3503" spans="1:50" x14ac:dyDescent="0.2">
      <c r="B3503" s="7"/>
      <c r="C3503" s="8">
        <v>13957</v>
      </c>
      <c r="D3503" s="9" t="s">
        <v>295</v>
      </c>
      <c r="E3503" s="10" t="str">
        <f t="shared" ref="E3503:E3566" si="267">IF(D3503=0,"",VLOOKUP(D3503,BASE,2,FALSE))</f>
        <v>Rancho Landero No. 99</v>
      </c>
      <c r="F3503" s="10" t="str">
        <f t="shared" ref="F3503:F3566" si="268">IF(D3503=0,"",VLOOKUP(D3503,BASE,3,FALSE))</f>
        <v>Rangel</v>
      </c>
      <c r="G3503" s="8">
        <v>1</v>
      </c>
      <c r="H3503" s="11">
        <v>300</v>
      </c>
      <c r="I3503" s="12">
        <v>42799</v>
      </c>
      <c r="J3503" s="35">
        <f t="shared" ref="J3503:J3566" si="269">IF(G3503=1,SUM(W3503,AJ3503,-H3503),0)</f>
        <v>0</v>
      </c>
      <c r="K3503" s="36"/>
      <c r="L3503" s="36"/>
      <c r="M3503" s="36"/>
      <c r="N3503" s="36"/>
      <c r="O3503" s="36"/>
      <c r="P3503" s="36"/>
      <c r="Q3503" s="36"/>
      <c r="R3503" s="36"/>
      <c r="S3503" s="36"/>
      <c r="T3503" s="36"/>
      <c r="U3503" s="36"/>
      <c r="V3503" s="36"/>
      <c r="W3503" s="15">
        <f t="shared" ref="W3503:W3566" si="270">SUM(K3503:V3503)</f>
        <v>0</v>
      </c>
      <c r="X3503" s="36"/>
      <c r="Y3503" s="36">
        <v>300</v>
      </c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15">
        <f t="shared" ref="AJ3503:AJ3566" si="271">SUM(X3503:AI3503)</f>
        <v>300</v>
      </c>
      <c r="AK3503" s="14"/>
      <c r="AL3503" s="14"/>
      <c r="AM3503" s="14"/>
      <c r="AN3503" s="14"/>
      <c r="AO3503" s="14"/>
      <c r="AP3503" s="14"/>
      <c r="AQ3503" s="14"/>
      <c r="AR3503" s="14"/>
      <c r="AS3503" s="14"/>
      <c r="AT3503" s="14"/>
      <c r="AU3503" s="14"/>
      <c r="AV3503" s="14"/>
      <c r="AW3503" s="15"/>
      <c r="AX3503" s="16"/>
    </row>
    <row r="3504" spans="1:50" x14ac:dyDescent="0.2">
      <c r="B3504" s="7"/>
      <c r="C3504" s="8">
        <v>13958</v>
      </c>
      <c r="D3504" s="9" t="s">
        <v>94</v>
      </c>
      <c r="E3504" s="10" t="str">
        <f t="shared" si="267"/>
        <v>Rancho Landero No. 42</v>
      </c>
      <c r="F3504" s="10" t="str">
        <f t="shared" si="268"/>
        <v>Ávila Fidel</v>
      </c>
      <c r="G3504" s="8">
        <v>1</v>
      </c>
      <c r="H3504" s="11">
        <v>400</v>
      </c>
      <c r="I3504" s="12">
        <v>42799</v>
      </c>
      <c r="J3504" s="35">
        <f t="shared" si="269"/>
        <v>0</v>
      </c>
      <c r="K3504" s="36"/>
      <c r="L3504" s="36"/>
      <c r="M3504" s="36"/>
      <c r="N3504" s="36"/>
      <c r="O3504" s="36"/>
      <c r="P3504" s="36"/>
      <c r="Q3504" s="36"/>
      <c r="R3504" s="36"/>
      <c r="S3504" s="36"/>
      <c r="T3504" s="36"/>
      <c r="U3504" s="36"/>
      <c r="V3504" s="36"/>
      <c r="W3504" s="15">
        <f t="shared" si="270"/>
        <v>0</v>
      </c>
      <c r="X3504" s="36"/>
      <c r="Y3504" s="36"/>
      <c r="Z3504" s="36">
        <v>400</v>
      </c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15">
        <f t="shared" si="271"/>
        <v>400</v>
      </c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14"/>
      <c r="AV3504" s="14"/>
      <c r="AW3504" s="15"/>
      <c r="AX3504" s="16"/>
    </row>
    <row r="3505" spans="2:50" x14ac:dyDescent="0.2">
      <c r="B3505" s="7"/>
      <c r="C3505" s="8">
        <v>13958</v>
      </c>
      <c r="D3505" s="9" t="s">
        <v>94</v>
      </c>
      <c r="E3505" s="10" t="str">
        <f t="shared" si="267"/>
        <v>Rancho Landero No. 42</v>
      </c>
      <c r="F3505" s="10" t="str">
        <f t="shared" si="268"/>
        <v>Ávila Fidel</v>
      </c>
      <c r="G3505" s="8">
        <v>7</v>
      </c>
      <c r="H3505" s="11">
        <v>100</v>
      </c>
      <c r="I3505" s="12">
        <v>42799</v>
      </c>
      <c r="J3505" s="35">
        <f t="shared" si="269"/>
        <v>0</v>
      </c>
      <c r="K3505" s="36"/>
      <c r="L3505" s="36"/>
      <c r="M3505" s="36"/>
      <c r="N3505" s="36"/>
      <c r="O3505" s="36"/>
      <c r="P3505" s="36"/>
      <c r="Q3505" s="36"/>
      <c r="R3505" s="36"/>
      <c r="S3505" s="36"/>
      <c r="T3505" s="36"/>
      <c r="U3505" s="36"/>
      <c r="V3505" s="36"/>
      <c r="W3505" s="15">
        <f t="shared" si="270"/>
        <v>0</v>
      </c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15">
        <f t="shared" si="271"/>
        <v>0</v>
      </c>
      <c r="AK3505" s="14"/>
      <c r="AL3505" s="14"/>
      <c r="AM3505" s="14"/>
      <c r="AN3505" s="14"/>
      <c r="AO3505" s="14"/>
      <c r="AP3505" s="14"/>
      <c r="AQ3505" s="14"/>
      <c r="AR3505" s="14"/>
      <c r="AS3505" s="14"/>
      <c r="AT3505" s="14"/>
      <c r="AU3505" s="14"/>
      <c r="AV3505" s="14"/>
      <c r="AW3505" s="15"/>
      <c r="AX3505" s="16" t="s">
        <v>3533</v>
      </c>
    </row>
    <row r="3506" spans="2:50" x14ac:dyDescent="0.2">
      <c r="B3506" s="7"/>
      <c r="C3506" s="8">
        <v>13959</v>
      </c>
      <c r="D3506" s="9" t="s">
        <v>550</v>
      </c>
      <c r="E3506" s="10" t="str">
        <f t="shared" si="267"/>
        <v>Rancho Landero No. 89</v>
      </c>
      <c r="F3506" s="10" t="str">
        <f t="shared" si="268"/>
        <v>Del Pozo Solís</v>
      </c>
      <c r="G3506" s="8">
        <v>1</v>
      </c>
      <c r="H3506" s="11">
        <v>250</v>
      </c>
      <c r="I3506" s="12">
        <v>42799</v>
      </c>
      <c r="J3506" s="35">
        <f t="shared" si="269"/>
        <v>0</v>
      </c>
      <c r="K3506" s="36"/>
      <c r="L3506" s="36"/>
      <c r="M3506" s="36"/>
      <c r="N3506" s="36"/>
      <c r="O3506" s="36"/>
      <c r="P3506" s="36"/>
      <c r="Q3506" s="36"/>
      <c r="R3506" s="36"/>
      <c r="S3506" s="36"/>
      <c r="T3506" s="36"/>
      <c r="U3506" s="36"/>
      <c r="V3506" s="36"/>
      <c r="W3506" s="15">
        <f t="shared" si="270"/>
        <v>0</v>
      </c>
      <c r="X3506" s="36"/>
      <c r="Y3506" s="36"/>
      <c r="Z3506" s="36">
        <v>250</v>
      </c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15">
        <f t="shared" si="271"/>
        <v>250</v>
      </c>
      <c r="AK3506" s="14"/>
      <c r="AL3506" s="14"/>
      <c r="AM3506" s="14"/>
      <c r="AN3506" s="14"/>
      <c r="AO3506" s="14"/>
      <c r="AP3506" s="14"/>
      <c r="AQ3506" s="14"/>
      <c r="AR3506" s="14"/>
      <c r="AS3506" s="14"/>
      <c r="AT3506" s="14"/>
      <c r="AU3506" s="14"/>
      <c r="AV3506" s="14"/>
      <c r="AW3506" s="15"/>
      <c r="AX3506" s="16"/>
    </row>
    <row r="3507" spans="2:50" x14ac:dyDescent="0.2">
      <c r="B3507" s="7"/>
      <c r="C3507" s="8">
        <v>13959</v>
      </c>
      <c r="D3507" s="9" t="s">
        <v>550</v>
      </c>
      <c r="E3507" s="10" t="str">
        <f t="shared" si="267"/>
        <v>Rancho Landero No. 89</v>
      </c>
      <c r="F3507" s="10" t="str">
        <f t="shared" si="268"/>
        <v>Del Pozo Solís</v>
      </c>
      <c r="G3507" s="8">
        <v>7</v>
      </c>
      <c r="H3507" s="11">
        <v>100</v>
      </c>
      <c r="I3507" s="12">
        <v>42799</v>
      </c>
      <c r="J3507" s="35">
        <f t="shared" si="269"/>
        <v>0</v>
      </c>
      <c r="K3507" s="36"/>
      <c r="L3507" s="36"/>
      <c r="M3507" s="36"/>
      <c r="N3507" s="36"/>
      <c r="O3507" s="36"/>
      <c r="P3507" s="36"/>
      <c r="Q3507" s="36"/>
      <c r="R3507" s="36"/>
      <c r="S3507" s="36"/>
      <c r="T3507" s="36"/>
      <c r="U3507" s="36"/>
      <c r="V3507" s="36"/>
      <c r="W3507" s="15">
        <f t="shared" si="270"/>
        <v>0</v>
      </c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15">
        <f t="shared" si="271"/>
        <v>0</v>
      </c>
      <c r="AK3507" s="14"/>
      <c r="AL3507" s="14"/>
      <c r="AM3507" s="14"/>
      <c r="AN3507" s="14"/>
      <c r="AO3507" s="14"/>
      <c r="AP3507" s="14"/>
      <c r="AQ3507" s="14"/>
      <c r="AR3507" s="14"/>
      <c r="AS3507" s="14"/>
      <c r="AT3507" s="14"/>
      <c r="AU3507" s="14"/>
      <c r="AV3507" s="14"/>
      <c r="AW3507" s="15"/>
      <c r="AX3507" s="16" t="s">
        <v>3533</v>
      </c>
    </row>
    <row r="3508" spans="2:50" x14ac:dyDescent="0.2">
      <c r="B3508" s="7"/>
      <c r="C3508" s="8">
        <v>13960</v>
      </c>
      <c r="D3508" s="9" t="s">
        <v>298</v>
      </c>
      <c r="E3508" s="10" t="str">
        <f t="shared" si="267"/>
        <v>Rancho Landero No. 94</v>
      </c>
      <c r="F3508" s="10" t="str">
        <f t="shared" si="268"/>
        <v>Medina</v>
      </c>
      <c r="G3508" s="8">
        <v>1</v>
      </c>
      <c r="H3508" s="11">
        <v>450</v>
      </c>
      <c r="I3508" s="12">
        <v>42799</v>
      </c>
      <c r="J3508" s="35">
        <f t="shared" si="269"/>
        <v>0</v>
      </c>
      <c r="K3508" s="36"/>
      <c r="L3508" s="36"/>
      <c r="M3508" s="36"/>
      <c r="N3508" s="36"/>
      <c r="O3508" s="36"/>
      <c r="P3508" s="36"/>
      <c r="Q3508" s="36"/>
      <c r="R3508" s="36"/>
      <c r="S3508" s="36"/>
      <c r="T3508" s="36">
        <v>150</v>
      </c>
      <c r="U3508" s="36">
        <v>150</v>
      </c>
      <c r="V3508" s="36">
        <v>150</v>
      </c>
      <c r="W3508" s="15">
        <f t="shared" si="270"/>
        <v>450</v>
      </c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15">
        <f t="shared" si="271"/>
        <v>0</v>
      </c>
      <c r="AK3508" s="14"/>
      <c r="AL3508" s="14"/>
      <c r="AM3508" s="14"/>
      <c r="AN3508" s="14"/>
      <c r="AO3508" s="14"/>
      <c r="AP3508" s="14"/>
      <c r="AQ3508" s="14"/>
      <c r="AR3508" s="14"/>
      <c r="AS3508" s="14"/>
      <c r="AT3508" s="14"/>
      <c r="AU3508" s="14"/>
      <c r="AV3508" s="14"/>
      <c r="AW3508" s="15"/>
      <c r="AX3508" s="16"/>
    </row>
    <row r="3509" spans="2:50" x14ac:dyDescent="0.2">
      <c r="B3509" s="7"/>
      <c r="C3509" s="8">
        <v>13961</v>
      </c>
      <c r="D3509" s="9" t="s">
        <v>301</v>
      </c>
      <c r="E3509" s="10" t="str">
        <f t="shared" si="267"/>
        <v>Rancho Upácuaro No. 51, 2</v>
      </c>
      <c r="F3509" s="10" t="str">
        <f t="shared" si="268"/>
        <v>Santoyo</v>
      </c>
      <c r="G3509" s="8">
        <v>1</v>
      </c>
      <c r="H3509" s="11">
        <v>200</v>
      </c>
      <c r="I3509" s="12">
        <v>42799</v>
      </c>
      <c r="J3509" s="35">
        <f t="shared" si="269"/>
        <v>0</v>
      </c>
      <c r="K3509" s="36"/>
      <c r="L3509" s="36"/>
      <c r="M3509" s="36"/>
      <c r="N3509" s="36"/>
      <c r="O3509" s="36"/>
      <c r="P3509" s="36"/>
      <c r="Q3509" s="36"/>
      <c r="R3509" s="36"/>
      <c r="S3509" s="36"/>
      <c r="T3509" s="36"/>
      <c r="U3509" s="36"/>
      <c r="V3509" s="36"/>
      <c r="W3509" s="15">
        <f t="shared" si="270"/>
        <v>0</v>
      </c>
      <c r="X3509" s="36"/>
      <c r="Y3509" s="36"/>
      <c r="Z3509" s="36">
        <v>200</v>
      </c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15">
        <f t="shared" si="271"/>
        <v>200</v>
      </c>
      <c r="AK3509" s="14"/>
      <c r="AL3509" s="14"/>
      <c r="AM3509" s="14"/>
      <c r="AN3509" s="14"/>
      <c r="AO3509" s="14"/>
      <c r="AP3509" s="14"/>
      <c r="AQ3509" s="14"/>
      <c r="AR3509" s="14"/>
      <c r="AS3509" s="14"/>
      <c r="AT3509" s="14"/>
      <c r="AU3509" s="14"/>
      <c r="AV3509" s="14"/>
      <c r="AW3509" s="15"/>
      <c r="AX3509" s="16"/>
    </row>
    <row r="3510" spans="2:50" x14ac:dyDescent="0.2">
      <c r="B3510" s="7"/>
      <c r="C3510" s="8">
        <v>13962</v>
      </c>
      <c r="D3510" s="9" t="s">
        <v>298</v>
      </c>
      <c r="E3510" s="10" t="str">
        <f t="shared" si="267"/>
        <v>Rancho Landero No. 94</v>
      </c>
      <c r="F3510" s="10" t="str">
        <f t="shared" si="268"/>
        <v>Medina</v>
      </c>
      <c r="G3510" s="8">
        <v>1</v>
      </c>
      <c r="H3510" s="11">
        <v>300</v>
      </c>
      <c r="I3510" s="12">
        <v>42799</v>
      </c>
      <c r="J3510" s="35">
        <f t="shared" si="269"/>
        <v>0</v>
      </c>
      <c r="K3510" s="36"/>
      <c r="L3510" s="36"/>
      <c r="M3510" s="36"/>
      <c r="N3510" s="36"/>
      <c r="O3510" s="36"/>
      <c r="P3510" s="36"/>
      <c r="Q3510" s="36"/>
      <c r="R3510" s="36"/>
      <c r="S3510" s="36"/>
      <c r="T3510" s="36"/>
      <c r="U3510" s="36"/>
      <c r="V3510" s="36"/>
      <c r="W3510" s="15">
        <f t="shared" si="270"/>
        <v>0</v>
      </c>
      <c r="X3510" s="36">
        <v>150</v>
      </c>
      <c r="Y3510" s="36">
        <v>150</v>
      </c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15">
        <f t="shared" si="271"/>
        <v>300</v>
      </c>
      <c r="AK3510" s="14"/>
      <c r="AL3510" s="14"/>
      <c r="AM3510" s="14"/>
      <c r="AN3510" s="14"/>
      <c r="AO3510" s="14"/>
      <c r="AP3510" s="14"/>
      <c r="AQ3510" s="14"/>
      <c r="AR3510" s="14"/>
      <c r="AS3510" s="14"/>
      <c r="AT3510" s="14"/>
      <c r="AU3510" s="14"/>
      <c r="AV3510" s="14"/>
      <c r="AW3510" s="15"/>
      <c r="AX3510" s="16"/>
    </row>
    <row r="3511" spans="2:50" x14ac:dyDescent="0.2">
      <c r="B3511" s="7"/>
      <c r="C3511" s="8">
        <v>13962</v>
      </c>
      <c r="D3511" s="9" t="s">
        <v>298</v>
      </c>
      <c r="E3511" s="10" t="str">
        <f t="shared" si="267"/>
        <v>Rancho Landero No. 94</v>
      </c>
      <c r="F3511" s="10" t="str">
        <f t="shared" si="268"/>
        <v>Medina</v>
      </c>
      <c r="G3511" s="8">
        <v>7</v>
      </c>
      <c r="H3511" s="11">
        <v>100</v>
      </c>
      <c r="I3511" s="12">
        <v>42799</v>
      </c>
      <c r="J3511" s="35">
        <f t="shared" si="269"/>
        <v>0</v>
      </c>
      <c r="K3511" s="36"/>
      <c r="L3511" s="36"/>
      <c r="M3511" s="36"/>
      <c r="N3511" s="36"/>
      <c r="O3511" s="36"/>
      <c r="P3511" s="36"/>
      <c r="Q3511" s="36"/>
      <c r="R3511" s="36"/>
      <c r="S3511" s="36"/>
      <c r="T3511" s="36"/>
      <c r="U3511" s="36"/>
      <c r="V3511" s="36"/>
      <c r="W3511" s="15">
        <f t="shared" si="270"/>
        <v>0</v>
      </c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15">
        <f t="shared" si="271"/>
        <v>0</v>
      </c>
      <c r="AK3511" s="14"/>
      <c r="AL3511" s="14"/>
      <c r="AM3511" s="14"/>
      <c r="AN3511" s="14"/>
      <c r="AO3511" s="14"/>
      <c r="AP3511" s="14"/>
      <c r="AQ3511" s="14"/>
      <c r="AR3511" s="14"/>
      <c r="AS3511" s="14"/>
      <c r="AT3511" s="14"/>
      <c r="AU3511" s="14"/>
      <c r="AV3511" s="14"/>
      <c r="AW3511" s="15"/>
      <c r="AX3511" s="16" t="s">
        <v>3533</v>
      </c>
    </row>
    <row r="3512" spans="2:50" x14ac:dyDescent="0.2">
      <c r="B3512" s="7"/>
      <c r="C3512" s="8">
        <v>13963</v>
      </c>
      <c r="D3512" s="9" t="s">
        <v>328</v>
      </c>
      <c r="E3512" s="10" t="str">
        <f t="shared" si="267"/>
        <v>Rancho La Cuchilla No. 130</v>
      </c>
      <c r="F3512" s="10" t="str">
        <f t="shared" si="268"/>
        <v>Gonzalez</v>
      </c>
      <c r="G3512" s="8">
        <v>1</v>
      </c>
      <c r="H3512" s="11">
        <v>400</v>
      </c>
      <c r="I3512" s="12">
        <v>42799</v>
      </c>
      <c r="J3512" s="35">
        <f t="shared" si="269"/>
        <v>0</v>
      </c>
      <c r="K3512" s="36"/>
      <c r="L3512" s="36"/>
      <c r="M3512" s="36"/>
      <c r="N3512" s="36"/>
      <c r="O3512" s="36"/>
      <c r="P3512" s="36"/>
      <c r="Q3512" s="36"/>
      <c r="R3512" s="36"/>
      <c r="S3512" s="36"/>
      <c r="T3512" s="36"/>
      <c r="U3512" s="36"/>
      <c r="V3512" s="36"/>
      <c r="W3512" s="15">
        <f t="shared" si="270"/>
        <v>0</v>
      </c>
      <c r="X3512" s="36"/>
      <c r="Y3512" s="36"/>
      <c r="Z3512" s="36">
        <v>400</v>
      </c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15">
        <f t="shared" si="271"/>
        <v>400</v>
      </c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14"/>
      <c r="AV3512" s="14"/>
      <c r="AW3512" s="15"/>
      <c r="AX3512" s="16"/>
    </row>
    <row r="3513" spans="2:50" x14ac:dyDescent="0.2">
      <c r="B3513" s="7"/>
      <c r="C3513" s="8">
        <v>13963</v>
      </c>
      <c r="D3513" s="9" t="s">
        <v>328</v>
      </c>
      <c r="E3513" s="10" t="str">
        <f t="shared" si="267"/>
        <v>Rancho La Cuchilla No. 130</v>
      </c>
      <c r="F3513" s="10" t="str">
        <f t="shared" si="268"/>
        <v>Gonzalez</v>
      </c>
      <c r="G3513" s="8">
        <v>7</v>
      </c>
      <c r="H3513" s="11">
        <v>100</v>
      </c>
      <c r="I3513" s="12">
        <v>42799</v>
      </c>
      <c r="J3513" s="35">
        <f t="shared" si="269"/>
        <v>0</v>
      </c>
      <c r="K3513" s="36"/>
      <c r="L3513" s="36"/>
      <c r="M3513" s="36"/>
      <c r="N3513" s="36"/>
      <c r="O3513" s="36"/>
      <c r="P3513" s="36"/>
      <c r="Q3513" s="36"/>
      <c r="R3513" s="36"/>
      <c r="S3513" s="36"/>
      <c r="T3513" s="36"/>
      <c r="U3513" s="36"/>
      <c r="V3513" s="36"/>
      <c r="W3513" s="15">
        <f t="shared" si="270"/>
        <v>0</v>
      </c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15">
        <f t="shared" si="271"/>
        <v>0</v>
      </c>
      <c r="AK3513" s="14"/>
      <c r="AL3513" s="14"/>
      <c r="AM3513" s="14"/>
      <c r="AN3513" s="14"/>
      <c r="AO3513" s="14"/>
      <c r="AP3513" s="14"/>
      <c r="AQ3513" s="14"/>
      <c r="AR3513" s="14"/>
      <c r="AS3513" s="14"/>
      <c r="AT3513" s="14"/>
      <c r="AU3513" s="14"/>
      <c r="AV3513" s="14"/>
      <c r="AW3513" s="15"/>
      <c r="AX3513" s="16" t="s">
        <v>3533</v>
      </c>
    </row>
    <row r="3514" spans="2:50" x14ac:dyDescent="0.2">
      <c r="B3514" s="7"/>
      <c r="C3514" s="8">
        <v>13964</v>
      </c>
      <c r="D3514" s="9" t="s">
        <v>794</v>
      </c>
      <c r="E3514" s="10" t="str">
        <f t="shared" si="267"/>
        <v>Rancho Landero No. 18</v>
      </c>
      <c r="F3514" s="10" t="str">
        <f t="shared" si="268"/>
        <v>Rosado</v>
      </c>
      <c r="G3514" s="8">
        <v>1</v>
      </c>
      <c r="H3514" s="11">
        <v>300</v>
      </c>
      <c r="I3514" s="12">
        <v>42799</v>
      </c>
      <c r="J3514" s="35">
        <f t="shared" si="269"/>
        <v>0</v>
      </c>
      <c r="K3514" s="36"/>
      <c r="L3514" s="36"/>
      <c r="M3514" s="36"/>
      <c r="N3514" s="36"/>
      <c r="O3514" s="36"/>
      <c r="P3514" s="36"/>
      <c r="Q3514" s="36"/>
      <c r="R3514" s="36"/>
      <c r="S3514" s="36"/>
      <c r="T3514" s="36"/>
      <c r="U3514" s="36"/>
      <c r="V3514" s="36"/>
      <c r="W3514" s="15">
        <f t="shared" si="270"/>
        <v>0</v>
      </c>
      <c r="X3514" s="36"/>
      <c r="Y3514" s="36">
        <v>300</v>
      </c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15">
        <f t="shared" si="271"/>
        <v>300</v>
      </c>
      <c r="AK3514" s="14"/>
      <c r="AL3514" s="14"/>
      <c r="AM3514" s="14"/>
      <c r="AN3514" s="14"/>
      <c r="AO3514" s="14"/>
      <c r="AP3514" s="14"/>
      <c r="AQ3514" s="14"/>
      <c r="AR3514" s="14"/>
      <c r="AS3514" s="14"/>
      <c r="AT3514" s="14"/>
      <c r="AU3514" s="14"/>
      <c r="AV3514" s="14"/>
      <c r="AW3514" s="15"/>
      <c r="AX3514" s="16"/>
    </row>
    <row r="3515" spans="2:50" x14ac:dyDescent="0.2">
      <c r="B3515" s="7"/>
      <c r="C3515" s="8">
        <v>13964</v>
      </c>
      <c r="D3515" s="9" t="s">
        <v>794</v>
      </c>
      <c r="E3515" s="10" t="str">
        <f t="shared" si="267"/>
        <v>Rancho Landero No. 18</v>
      </c>
      <c r="F3515" s="10" t="str">
        <f t="shared" si="268"/>
        <v>Rosado</v>
      </c>
      <c r="G3515" s="8">
        <v>7</v>
      </c>
      <c r="H3515" s="11">
        <v>100</v>
      </c>
      <c r="I3515" s="12">
        <v>42799</v>
      </c>
      <c r="J3515" s="35">
        <f t="shared" si="269"/>
        <v>0</v>
      </c>
      <c r="K3515" s="36"/>
      <c r="L3515" s="36"/>
      <c r="M3515" s="36"/>
      <c r="N3515" s="36"/>
      <c r="O3515" s="36"/>
      <c r="P3515" s="36"/>
      <c r="Q3515" s="36"/>
      <c r="R3515" s="36"/>
      <c r="S3515" s="36"/>
      <c r="T3515" s="36"/>
      <c r="U3515" s="36"/>
      <c r="V3515" s="36"/>
      <c r="W3515" s="15">
        <f t="shared" si="270"/>
        <v>0</v>
      </c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15">
        <f t="shared" si="271"/>
        <v>0</v>
      </c>
      <c r="AK3515" s="14"/>
      <c r="AL3515" s="14"/>
      <c r="AM3515" s="14"/>
      <c r="AN3515" s="14"/>
      <c r="AO3515" s="14"/>
      <c r="AP3515" s="14"/>
      <c r="AQ3515" s="14"/>
      <c r="AR3515" s="14"/>
      <c r="AS3515" s="14"/>
      <c r="AT3515" s="14"/>
      <c r="AU3515" s="14"/>
      <c r="AV3515" s="14"/>
      <c r="AW3515" s="15"/>
      <c r="AX3515" s="16" t="s">
        <v>3533</v>
      </c>
    </row>
    <row r="3516" spans="2:50" x14ac:dyDescent="0.2">
      <c r="B3516" s="7"/>
      <c r="C3516" s="8">
        <v>13965</v>
      </c>
      <c r="D3516" s="9" t="s">
        <v>637</v>
      </c>
      <c r="E3516" s="10" t="str">
        <f t="shared" si="267"/>
        <v>Rancho Recoveco No. 193</v>
      </c>
      <c r="F3516" s="10" t="str">
        <f t="shared" si="268"/>
        <v>Salazar Pérez</v>
      </c>
      <c r="G3516" s="8">
        <v>1</v>
      </c>
      <c r="H3516" s="11">
        <v>800</v>
      </c>
      <c r="I3516" s="12">
        <v>42799</v>
      </c>
      <c r="J3516" s="35">
        <f t="shared" si="269"/>
        <v>0</v>
      </c>
      <c r="K3516" s="36"/>
      <c r="L3516" s="36"/>
      <c r="M3516" s="36"/>
      <c r="N3516" s="36"/>
      <c r="O3516" s="36"/>
      <c r="P3516" s="36"/>
      <c r="Q3516" s="36"/>
      <c r="R3516" s="36"/>
      <c r="S3516" s="36"/>
      <c r="T3516" s="36"/>
      <c r="U3516" s="36"/>
      <c r="V3516" s="36"/>
      <c r="W3516" s="15">
        <f t="shared" si="270"/>
        <v>0</v>
      </c>
      <c r="X3516" s="36"/>
      <c r="Y3516" s="36">
        <v>400</v>
      </c>
      <c r="Z3516" s="36">
        <v>400</v>
      </c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15">
        <f t="shared" si="271"/>
        <v>800</v>
      </c>
      <c r="AK3516" s="14"/>
      <c r="AL3516" s="14"/>
      <c r="AM3516" s="14"/>
      <c r="AN3516" s="14"/>
      <c r="AO3516" s="14"/>
      <c r="AP3516" s="14"/>
      <c r="AQ3516" s="14"/>
      <c r="AR3516" s="14"/>
      <c r="AS3516" s="14"/>
      <c r="AT3516" s="14"/>
      <c r="AU3516" s="14"/>
      <c r="AV3516" s="14"/>
      <c r="AW3516" s="15"/>
      <c r="AX3516" s="16"/>
    </row>
    <row r="3517" spans="2:50" x14ac:dyDescent="0.2">
      <c r="B3517" s="7"/>
      <c r="C3517" s="8">
        <v>13965</v>
      </c>
      <c r="D3517" s="9" t="s">
        <v>637</v>
      </c>
      <c r="E3517" s="10" t="str">
        <f t="shared" si="267"/>
        <v>Rancho Recoveco No. 193</v>
      </c>
      <c r="F3517" s="10" t="str">
        <f t="shared" si="268"/>
        <v>Salazar Pérez</v>
      </c>
      <c r="G3517" s="8">
        <v>5</v>
      </c>
      <c r="H3517" s="11">
        <v>50</v>
      </c>
      <c r="I3517" s="12">
        <v>42799</v>
      </c>
      <c r="J3517" s="35">
        <f t="shared" si="269"/>
        <v>0</v>
      </c>
      <c r="K3517" s="36"/>
      <c r="L3517" s="36"/>
      <c r="M3517" s="36"/>
      <c r="N3517" s="36"/>
      <c r="O3517" s="36"/>
      <c r="P3517" s="36"/>
      <c r="Q3517" s="36"/>
      <c r="R3517" s="36"/>
      <c r="S3517" s="36"/>
      <c r="T3517" s="36"/>
      <c r="U3517" s="36"/>
      <c r="V3517" s="36"/>
      <c r="W3517" s="15">
        <f t="shared" si="270"/>
        <v>0</v>
      </c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15">
        <f t="shared" si="271"/>
        <v>0</v>
      </c>
      <c r="AK3517" s="14"/>
      <c r="AL3517" s="14"/>
      <c r="AM3517" s="14"/>
      <c r="AN3517" s="14"/>
      <c r="AO3517" s="14"/>
      <c r="AP3517" s="14"/>
      <c r="AQ3517" s="14"/>
      <c r="AR3517" s="14"/>
      <c r="AS3517" s="14"/>
      <c r="AT3517" s="14"/>
      <c r="AU3517" s="14"/>
      <c r="AV3517" s="14"/>
      <c r="AW3517" s="15"/>
      <c r="AX3517" s="16"/>
    </row>
    <row r="3518" spans="2:50" x14ac:dyDescent="0.2">
      <c r="B3518" s="7"/>
      <c r="C3518" s="8">
        <v>13965</v>
      </c>
      <c r="D3518" s="9" t="s">
        <v>637</v>
      </c>
      <c r="E3518" s="10" t="str">
        <f t="shared" si="267"/>
        <v>Rancho Recoveco No. 193</v>
      </c>
      <c r="F3518" s="10" t="str">
        <f t="shared" si="268"/>
        <v>Salazar Pérez</v>
      </c>
      <c r="G3518" s="8">
        <v>7</v>
      </c>
      <c r="H3518" s="11">
        <v>100</v>
      </c>
      <c r="I3518" s="12">
        <v>42799</v>
      </c>
      <c r="J3518" s="35">
        <f t="shared" si="269"/>
        <v>0</v>
      </c>
      <c r="K3518" s="36"/>
      <c r="L3518" s="36"/>
      <c r="M3518" s="36"/>
      <c r="N3518" s="36"/>
      <c r="O3518" s="36"/>
      <c r="P3518" s="36"/>
      <c r="Q3518" s="36"/>
      <c r="R3518" s="36"/>
      <c r="S3518" s="36"/>
      <c r="T3518" s="36"/>
      <c r="U3518" s="36"/>
      <c r="V3518" s="36"/>
      <c r="W3518" s="15">
        <f t="shared" si="270"/>
        <v>0</v>
      </c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15">
        <f t="shared" si="271"/>
        <v>0</v>
      </c>
      <c r="AK3518" s="14"/>
      <c r="AL3518" s="14"/>
      <c r="AM3518" s="14"/>
      <c r="AN3518" s="14"/>
      <c r="AO3518" s="14"/>
      <c r="AP3518" s="14"/>
      <c r="AQ3518" s="14"/>
      <c r="AR3518" s="14"/>
      <c r="AS3518" s="14"/>
      <c r="AT3518" s="14"/>
      <c r="AU3518" s="14"/>
      <c r="AV3518" s="14"/>
      <c r="AW3518" s="15"/>
      <c r="AX3518" s="16" t="s">
        <v>3533</v>
      </c>
    </row>
    <row r="3519" spans="2:50" x14ac:dyDescent="0.2">
      <c r="B3519" s="7"/>
      <c r="C3519" s="8">
        <v>13966</v>
      </c>
      <c r="D3519" s="9" t="s">
        <v>247</v>
      </c>
      <c r="E3519" s="10" t="str">
        <f t="shared" si="267"/>
        <v>Rancho Landero No. 91</v>
      </c>
      <c r="F3519" s="10" t="str">
        <f t="shared" si="268"/>
        <v>Llaca</v>
      </c>
      <c r="G3519" s="8">
        <v>1</v>
      </c>
      <c r="H3519" s="11">
        <v>800</v>
      </c>
      <c r="I3519" s="12">
        <v>42799</v>
      </c>
      <c r="J3519" s="35">
        <f t="shared" si="269"/>
        <v>0</v>
      </c>
      <c r="K3519" s="36"/>
      <c r="L3519" s="36"/>
      <c r="M3519" s="36"/>
      <c r="N3519" s="36"/>
      <c r="O3519" s="36"/>
      <c r="P3519" s="36"/>
      <c r="Q3519" s="36"/>
      <c r="R3519" s="36"/>
      <c r="S3519" s="36"/>
      <c r="T3519" s="36"/>
      <c r="U3519" s="36"/>
      <c r="V3519" s="36"/>
      <c r="W3519" s="15">
        <f t="shared" si="270"/>
        <v>0</v>
      </c>
      <c r="X3519" s="36"/>
      <c r="Y3519" s="36"/>
      <c r="Z3519" s="36">
        <v>400</v>
      </c>
      <c r="AA3519" s="36">
        <v>400</v>
      </c>
      <c r="AB3519" s="36"/>
      <c r="AC3519" s="36"/>
      <c r="AD3519" s="36"/>
      <c r="AE3519" s="36"/>
      <c r="AF3519" s="36"/>
      <c r="AG3519" s="36"/>
      <c r="AH3519" s="36"/>
      <c r="AI3519" s="36"/>
      <c r="AJ3519" s="15">
        <f t="shared" si="271"/>
        <v>800</v>
      </c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14"/>
      <c r="AV3519" s="14"/>
      <c r="AW3519" s="15"/>
      <c r="AX3519" s="16"/>
    </row>
    <row r="3520" spans="2:50" x14ac:dyDescent="0.2">
      <c r="B3520" s="7"/>
      <c r="C3520" s="8">
        <v>13966</v>
      </c>
      <c r="D3520" s="9" t="s">
        <v>247</v>
      </c>
      <c r="E3520" s="10" t="str">
        <f t="shared" si="267"/>
        <v>Rancho Landero No. 91</v>
      </c>
      <c r="F3520" s="10" t="str">
        <f t="shared" si="268"/>
        <v>Llaca</v>
      </c>
      <c r="G3520" s="8">
        <v>7</v>
      </c>
      <c r="H3520" s="11">
        <v>100</v>
      </c>
      <c r="I3520" s="12">
        <v>42799</v>
      </c>
      <c r="J3520" s="35">
        <f t="shared" si="269"/>
        <v>0</v>
      </c>
      <c r="K3520" s="36"/>
      <c r="L3520" s="36"/>
      <c r="M3520" s="36"/>
      <c r="N3520" s="36"/>
      <c r="O3520" s="36"/>
      <c r="P3520" s="36"/>
      <c r="Q3520" s="36"/>
      <c r="R3520" s="36"/>
      <c r="S3520" s="36"/>
      <c r="T3520" s="36"/>
      <c r="U3520" s="36"/>
      <c r="V3520" s="36"/>
      <c r="W3520" s="15">
        <f t="shared" si="270"/>
        <v>0</v>
      </c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15">
        <f t="shared" si="271"/>
        <v>0</v>
      </c>
      <c r="AK3520" s="14"/>
      <c r="AL3520" s="14"/>
      <c r="AM3520" s="14"/>
      <c r="AN3520" s="14"/>
      <c r="AO3520" s="14"/>
      <c r="AP3520" s="14"/>
      <c r="AQ3520" s="14"/>
      <c r="AR3520" s="14"/>
      <c r="AS3520" s="14"/>
      <c r="AT3520" s="14"/>
      <c r="AU3520" s="14"/>
      <c r="AV3520" s="14"/>
      <c r="AW3520" s="15"/>
      <c r="AX3520" s="16" t="s">
        <v>3533</v>
      </c>
    </row>
    <row r="3521" spans="2:50" x14ac:dyDescent="0.2">
      <c r="B3521" s="7"/>
      <c r="C3521" s="8">
        <v>13967</v>
      </c>
      <c r="D3521" s="9" t="s">
        <v>678</v>
      </c>
      <c r="E3521" s="10" t="str">
        <f t="shared" si="267"/>
        <v>Rancho Upácuaro No. 76</v>
      </c>
      <c r="F3521" s="10" t="str">
        <f t="shared" si="268"/>
        <v>Ruiz de San Pedro</v>
      </c>
      <c r="G3521" s="8">
        <v>1</v>
      </c>
      <c r="H3521" s="11">
        <v>400</v>
      </c>
      <c r="I3521" s="12">
        <v>42799</v>
      </c>
      <c r="J3521" s="35">
        <f t="shared" si="269"/>
        <v>0</v>
      </c>
      <c r="K3521" s="36"/>
      <c r="L3521" s="36"/>
      <c r="M3521" s="36"/>
      <c r="N3521" s="36"/>
      <c r="O3521" s="36"/>
      <c r="P3521" s="36"/>
      <c r="Q3521" s="36"/>
      <c r="R3521" s="36"/>
      <c r="S3521" s="36"/>
      <c r="T3521" s="36"/>
      <c r="U3521" s="36"/>
      <c r="V3521" s="36"/>
      <c r="W3521" s="15">
        <f t="shared" si="270"/>
        <v>0</v>
      </c>
      <c r="X3521" s="36"/>
      <c r="Y3521" s="36"/>
      <c r="Z3521" s="36">
        <v>400</v>
      </c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15">
        <f t="shared" si="271"/>
        <v>400</v>
      </c>
      <c r="AK3521" s="14"/>
      <c r="AL3521" s="14"/>
      <c r="AM3521" s="14"/>
      <c r="AN3521" s="14"/>
      <c r="AO3521" s="14"/>
      <c r="AP3521" s="14"/>
      <c r="AQ3521" s="14"/>
      <c r="AR3521" s="14"/>
      <c r="AS3521" s="14"/>
      <c r="AT3521" s="14"/>
      <c r="AU3521" s="14"/>
      <c r="AV3521" s="14"/>
      <c r="AW3521" s="15"/>
      <c r="AX3521" s="16"/>
    </row>
    <row r="3522" spans="2:50" x14ac:dyDescent="0.2">
      <c r="B3522" s="7"/>
      <c r="C3522" s="8">
        <v>13967</v>
      </c>
      <c r="D3522" s="9" t="s">
        <v>678</v>
      </c>
      <c r="E3522" s="10" t="str">
        <f t="shared" si="267"/>
        <v>Rancho Upácuaro No. 76</v>
      </c>
      <c r="F3522" s="10" t="str">
        <f t="shared" si="268"/>
        <v>Ruiz de San Pedro</v>
      </c>
      <c r="G3522" s="8">
        <v>7</v>
      </c>
      <c r="H3522" s="11">
        <v>100</v>
      </c>
      <c r="I3522" s="12">
        <v>42799</v>
      </c>
      <c r="J3522" s="35">
        <f t="shared" si="269"/>
        <v>0</v>
      </c>
      <c r="K3522" s="36"/>
      <c r="L3522" s="36"/>
      <c r="M3522" s="36"/>
      <c r="N3522" s="36"/>
      <c r="O3522" s="36"/>
      <c r="P3522" s="36"/>
      <c r="Q3522" s="36"/>
      <c r="R3522" s="36"/>
      <c r="S3522" s="36"/>
      <c r="T3522" s="36"/>
      <c r="U3522" s="36"/>
      <c r="V3522" s="36"/>
      <c r="W3522" s="15">
        <f t="shared" si="270"/>
        <v>0</v>
      </c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15">
        <f t="shared" si="271"/>
        <v>0</v>
      </c>
      <c r="AK3522" s="14"/>
      <c r="AL3522" s="14"/>
      <c r="AM3522" s="14"/>
      <c r="AN3522" s="14"/>
      <c r="AO3522" s="14"/>
      <c r="AP3522" s="14"/>
      <c r="AQ3522" s="14"/>
      <c r="AR3522" s="14"/>
      <c r="AS3522" s="14"/>
      <c r="AT3522" s="14"/>
      <c r="AU3522" s="14"/>
      <c r="AV3522" s="14"/>
      <c r="AW3522" s="15"/>
      <c r="AX3522" s="16" t="s">
        <v>3533</v>
      </c>
    </row>
    <row r="3523" spans="2:50" x14ac:dyDescent="0.2">
      <c r="B3523" s="7"/>
      <c r="C3523" s="8">
        <v>13968</v>
      </c>
      <c r="D3523" s="9" t="s">
        <v>84</v>
      </c>
      <c r="E3523" s="10" t="str">
        <f t="shared" si="267"/>
        <v>Rancho La Cuchilla No. 139</v>
      </c>
      <c r="F3523" s="10" t="str">
        <f t="shared" si="268"/>
        <v>Garcia</v>
      </c>
      <c r="G3523" s="8">
        <v>1</v>
      </c>
      <c r="H3523" s="11">
        <v>200</v>
      </c>
      <c r="I3523" s="12">
        <v>42799</v>
      </c>
      <c r="J3523" s="35">
        <f t="shared" si="269"/>
        <v>0</v>
      </c>
      <c r="K3523" s="36"/>
      <c r="L3523" s="36"/>
      <c r="M3523" s="36"/>
      <c r="N3523" s="36"/>
      <c r="O3523" s="36"/>
      <c r="P3523" s="36"/>
      <c r="Q3523" s="36"/>
      <c r="R3523" s="36"/>
      <c r="S3523" s="36"/>
      <c r="T3523" s="36"/>
      <c r="U3523" s="36"/>
      <c r="V3523" s="36"/>
      <c r="W3523" s="15">
        <f t="shared" si="270"/>
        <v>0</v>
      </c>
      <c r="X3523" s="36"/>
      <c r="Y3523" s="36"/>
      <c r="Z3523" s="36">
        <v>200</v>
      </c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15">
        <f t="shared" si="271"/>
        <v>200</v>
      </c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14"/>
      <c r="AV3523" s="14"/>
      <c r="AW3523" s="15"/>
      <c r="AX3523" s="16"/>
    </row>
    <row r="3524" spans="2:50" x14ac:dyDescent="0.2">
      <c r="B3524" s="7"/>
      <c r="C3524" s="8">
        <v>13968</v>
      </c>
      <c r="D3524" s="9" t="s">
        <v>84</v>
      </c>
      <c r="E3524" s="10" t="str">
        <f t="shared" si="267"/>
        <v>Rancho La Cuchilla No. 139</v>
      </c>
      <c r="F3524" s="10" t="str">
        <f t="shared" si="268"/>
        <v>Garcia</v>
      </c>
      <c r="G3524" s="8">
        <v>7</v>
      </c>
      <c r="H3524" s="11">
        <v>100</v>
      </c>
      <c r="I3524" s="12">
        <v>42799</v>
      </c>
      <c r="J3524" s="35">
        <f t="shared" si="269"/>
        <v>0</v>
      </c>
      <c r="K3524" s="36"/>
      <c r="L3524" s="36"/>
      <c r="M3524" s="36"/>
      <c r="N3524" s="36"/>
      <c r="O3524" s="36"/>
      <c r="P3524" s="36"/>
      <c r="Q3524" s="36"/>
      <c r="R3524" s="36"/>
      <c r="S3524" s="36"/>
      <c r="T3524" s="36"/>
      <c r="U3524" s="36"/>
      <c r="V3524" s="36"/>
      <c r="W3524" s="15">
        <f t="shared" si="270"/>
        <v>0</v>
      </c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15">
        <f t="shared" si="271"/>
        <v>0</v>
      </c>
      <c r="AK3524" s="14"/>
      <c r="AL3524" s="14"/>
      <c r="AM3524" s="14"/>
      <c r="AN3524" s="14"/>
      <c r="AO3524" s="14"/>
      <c r="AP3524" s="14"/>
      <c r="AQ3524" s="14"/>
      <c r="AR3524" s="14"/>
      <c r="AS3524" s="14"/>
      <c r="AT3524" s="14"/>
      <c r="AU3524" s="14"/>
      <c r="AV3524" s="14"/>
      <c r="AW3524" s="15"/>
      <c r="AX3524" s="16" t="s">
        <v>3533</v>
      </c>
    </row>
    <row r="3525" spans="2:50" x14ac:dyDescent="0.2">
      <c r="B3525" s="7"/>
      <c r="C3525" s="8">
        <v>13969</v>
      </c>
      <c r="D3525" s="9" t="s">
        <v>640</v>
      </c>
      <c r="E3525" s="10" t="str">
        <f t="shared" si="267"/>
        <v>Rancho Estopila No. 22, A</v>
      </c>
      <c r="F3525" s="10" t="str">
        <f t="shared" si="268"/>
        <v>Ayala Carranza</v>
      </c>
      <c r="G3525" s="8">
        <v>1</v>
      </c>
      <c r="H3525" s="11">
        <v>200</v>
      </c>
      <c r="I3525" s="12">
        <v>42799</v>
      </c>
      <c r="J3525" s="35">
        <f t="shared" si="269"/>
        <v>0</v>
      </c>
      <c r="K3525" s="36"/>
      <c r="L3525" s="36"/>
      <c r="M3525" s="36"/>
      <c r="N3525" s="36"/>
      <c r="O3525" s="36"/>
      <c r="P3525" s="36"/>
      <c r="Q3525" s="36"/>
      <c r="R3525" s="36"/>
      <c r="S3525" s="36"/>
      <c r="T3525" s="36"/>
      <c r="U3525" s="36"/>
      <c r="V3525" s="36"/>
      <c r="W3525" s="15">
        <f t="shared" si="270"/>
        <v>0</v>
      </c>
      <c r="X3525" s="36"/>
      <c r="Y3525" s="36">
        <v>200</v>
      </c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15">
        <f t="shared" si="271"/>
        <v>200</v>
      </c>
      <c r="AK3525" s="14"/>
      <c r="AL3525" s="14"/>
      <c r="AM3525" s="14"/>
      <c r="AN3525" s="14"/>
      <c r="AO3525" s="14"/>
      <c r="AP3525" s="14"/>
      <c r="AQ3525" s="14"/>
      <c r="AR3525" s="14"/>
      <c r="AS3525" s="14"/>
      <c r="AT3525" s="14"/>
      <c r="AU3525" s="14"/>
      <c r="AV3525" s="14"/>
      <c r="AW3525" s="15"/>
      <c r="AX3525" s="16"/>
    </row>
    <row r="3526" spans="2:50" x14ac:dyDescent="0.2">
      <c r="B3526" s="7"/>
      <c r="C3526" s="8">
        <v>13970</v>
      </c>
      <c r="D3526" s="9" t="s">
        <v>238</v>
      </c>
      <c r="E3526" s="10" t="str">
        <f t="shared" si="267"/>
        <v>Rancho La Cuchilla No. 43, B</v>
      </c>
      <c r="F3526" s="10" t="str">
        <f t="shared" si="268"/>
        <v>Luna Albertano</v>
      </c>
      <c r="G3526" s="8">
        <v>1</v>
      </c>
      <c r="H3526" s="11">
        <v>125</v>
      </c>
      <c r="I3526" s="12">
        <v>42799</v>
      </c>
      <c r="J3526" s="35">
        <f t="shared" si="269"/>
        <v>0</v>
      </c>
      <c r="K3526" s="36"/>
      <c r="L3526" s="36"/>
      <c r="M3526" s="36"/>
      <c r="N3526" s="36"/>
      <c r="O3526" s="36"/>
      <c r="P3526" s="36"/>
      <c r="Q3526" s="36"/>
      <c r="R3526" s="36"/>
      <c r="S3526" s="36"/>
      <c r="T3526" s="36"/>
      <c r="U3526" s="36"/>
      <c r="V3526" s="36"/>
      <c r="W3526" s="15">
        <f t="shared" si="270"/>
        <v>0</v>
      </c>
      <c r="X3526" s="36"/>
      <c r="Y3526" s="36"/>
      <c r="Z3526" s="36">
        <v>125</v>
      </c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15">
        <f t="shared" si="271"/>
        <v>125</v>
      </c>
      <c r="AK3526" s="14"/>
      <c r="AL3526" s="14"/>
      <c r="AM3526" s="14"/>
      <c r="AN3526" s="14"/>
      <c r="AO3526" s="14"/>
      <c r="AP3526" s="14"/>
      <c r="AQ3526" s="14"/>
      <c r="AR3526" s="14"/>
      <c r="AS3526" s="14"/>
      <c r="AT3526" s="14"/>
      <c r="AU3526" s="14"/>
      <c r="AV3526" s="14"/>
      <c r="AW3526" s="15"/>
      <c r="AX3526" s="16"/>
    </row>
    <row r="3527" spans="2:50" x14ac:dyDescent="0.2">
      <c r="B3527" s="7"/>
      <c r="C3527" s="8">
        <v>13971</v>
      </c>
      <c r="D3527" s="9" t="s">
        <v>675</v>
      </c>
      <c r="E3527" s="10" t="str">
        <f t="shared" si="267"/>
        <v>Rancho Estanzuela No. 155</v>
      </c>
      <c r="F3527" s="10" t="str">
        <f t="shared" si="268"/>
        <v>Anchondo Valerio</v>
      </c>
      <c r="G3527" s="8">
        <v>5</v>
      </c>
      <c r="H3527" s="11">
        <v>100</v>
      </c>
      <c r="I3527" s="12">
        <v>42799</v>
      </c>
      <c r="J3527" s="35">
        <f t="shared" si="269"/>
        <v>0</v>
      </c>
      <c r="K3527" s="36"/>
      <c r="L3527" s="36"/>
      <c r="M3527" s="36"/>
      <c r="N3527" s="36"/>
      <c r="O3527" s="36"/>
      <c r="P3527" s="36"/>
      <c r="Q3527" s="36"/>
      <c r="R3527" s="36"/>
      <c r="S3527" s="36"/>
      <c r="T3527" s="36"/>
      <c r="U3527" s="36"/>
      <c r="V3527" s="36"/>
      <c r="W3527" s="15">
        <f t="shared" si="270"/>
        <v>0</v>
      </c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15">
        <f t="shared" si="271"/>
        <v>0</v>
      </c>
      <c r="AK3527" s="14"/>
      <c r="AL3527" s="14"/>
      <c r="AM3527" s="14"/>
      <c r="AN3527" s="14"/>
      <c r="AO3527" s="14"/>
      <c r="AP3527" s="14"/>
      <c r="AQ3527" s="14"/>
      <c r="AR3527" s="14"/>
      <c r="AS3527" s="14"/>
      <c r="AT3527" s="14"/>
      <c r="AU3527" s="14"/>
      <c r="AV3527" s="14"/>
      <c r="AW3527" s="15"/>
      <c r="AX3527" s="16"/>
    </row>
    <row r="3528" spans="2:50" x14ac:dyDescent="0.2">
      <c r="B3528" s="7"/>
      <c r="C3528" s="8">
        <v>13971</v>
      </c>
      <c r="D3528" s="9" t="s">
        <v>675</v>
      </c>
      <c r="E3528" s="10" t="str">
        <f t="shared" si="267"/>
        <v>Rancho Estanzuela No. 155</v>
      </c>
      <c r="F3528" s="10" t="str">
        <f t="shared" si="268"/>
        <v>Anchondo Valerio</v>
      </c>
      <c r="G3528" s="8">
        <v>7</v>
      </c>
      <c r="H3528" s="11">
        <v>75</v>
      </c>
      <c r="I3528" s="12">
        <v>42799</v>
      </c>
      <c r="J3528" s="35">
        <f t="shared" si="269"/>
        <v>0</v>
      </c>
      <c r="K3528" s="36"/>
      <c r="L3528" s="36"/>
      <c r="M3528" s="36"/>
      <c r="N3528" s="36"/>
      <c r="O3528" s="36"/>
      <c r="P3528" s="36"/>
      <c r="Q3528" s="36"/>
      <c r="R3528" s="36"/>
      <c r="S3528" s="36"/>
      <c r="T3528" s="36"/>
      <c r="U3528" s="36"/>
      <c r="V3528" s="36"/>
      <c r="W3528" s="15">
        <f t="shared" si="270"/>
        <v>0</v>
      </c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15">
        <f t="shared" si="271"/>
        <v>0</v>
      </c>
      <c r="AK3528" s="14"/>
      <c r="AL3528" s="14"/>
      <c r="AM3528" s="14"/>
      <c r="AN3528" s="14"/>
      <c r="AO3528" s="14"/>
      <c r="AP3528" s="14"/>
      <c r="AQ3528" s="14"/>
      <c r="AR3528" s="14"/>
      <c r="AS3528" s="14"/>
      <c r="AT3528" s="14"/>
      <c r="AU3528" s="14"/>
      <c r="AV3528" s="14"/>
      <c r="AW3528" s="15"/>
      <c r="AX3528" s="16" t="s">
        <v>3540</v>
      </c>
    </row>
    <row r="3529" spans="2:50" x14ac:dyDescent="0.2">
      <c r="B3529" s="7"/>
      <c r="C3529" s="8">
        <v>13971</v>
      </c>
      <c r="D3529" s="9" t="s">
        <v>675</v>
      </c>
      <c r="E3529" s="10" t="str">
        <f t="shared" si="267"/>
        <v>Rancho Estanzuela No. 155</v>
      </c>
      <c r="F3529" s="10" t="str">
        <f t="shared" si="268"/>
        <v>Anchondo Valerio</v>
      </c>
      <c r="G3529" s="8">
        <v>7</v>
      </c>
      <c r="H3529" s="11">
        <v>100</v>
      </c>
      <c r="I3529" s="12">
        <v>42799</v>
      </c>
      <c r="J3529" s="35">
        <f t="shared" si="269"/>
        <v>0</v>
      </c>
      <c r="K3529" s="36"/>
      <c r="L3529" s="36"/>
      <c r="M3529" s="36"/>
      <c r="N3529" s="36"/>
      <c r="O3529" s="36"/>
      <c r="P3529" s="36"/>
      <c r="Q3529" s="36"/>
      <c r="R3529" s="36"/>
      <c r="S3529" s="36"/>
      <c r="T3529" s="36"/>
      <c r="U3529" s="36"/>
      <c r="V3529" s="36"/>
      <c r="W3529" s="15">
        <f t="shared" si="270"/>
        <v>0</v>
      </c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15">
        <f t="shared" si="271"/>
        <v>0</v>
      </c>
      <c r="AK3529" s="14"/>
      <c r="AL3529" s="14"/>
      <c r="AM3529" s="14"/>
      <c r="AN3529" s="14"/>
      <c r="AO3529" s="14"/>
      <c r="AP3529" s="14"/>
      <c r="AQ3529" s="14"/>
      <c r="AR3529" s="14"/>
      <c r="AS3529" s="14"/>
      <c r="AT3529" s="14"/>
      <c r="AU3529" s="14"/>
      <c r="AV3529" s="14"/>
      <c r="AW3529" s="15"/>
      <c r="AX3529" s="16" t="s">
        <v>3533</v>
      </c>
    </row>
    <row r="3530" spans="2:50" x14ac:dyDescent="0.2">
      <c r="B3530" s="7"/>
      <c r="C3530" s="8">
        <v>13972</v>
      </c>
      <c r="D3530" s="9" t="s">
        <v>617</v>
      </c>
      <c r="E3530" s="10" t="str">
        <f t="shared" si="267"/>
        <v>Rancho Zinamba No. 50</v>
      </c>
      <c r="F3530" s="10" t="str">
        <f t="shared" si="268"/>
        <v>Del Castillo</v>
      </c>
      <c r="G3530" s="8">
        <v>1</v>
      </c>
      <c r="H3530" s="11">
        <v>400</v>
      </c>
      <c r="I3530" s="12">
        <v>42799</v>
      </c>
      <c r="J3530" s="35">
        <f t="shared" si="269"/>
        <v>0</v>
      </c>
      <c r="K3530" s="36"/>
      <c r="L3530" s="36"/>
      <c r="M3530" s="36"/>
      <c r="N3530" s="36"/>
      <c r="O3530" s="36"/>
      <c r="P3530" s="36"/>
      <c r="Q3530" s="36"/>
      <c r="R3530" s="36"/>
      <c r="S3530" s="36"/>
      <c r="T3530" s="36"/>
      <c r="U3530" s="36"/>
      <c r="V3530" s="36"/>
      <c r="W3530" s="15">
        <f t="shared" si="270"/>
        <v>0</v>
      </c>
      <c r="X3530" s="36"/>
      <c r="Y3530" s="36">
        <v>400</v>
      </c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15">
        <f t="shared" si="271"/>
        <v>400</v>
      </c>
      <c r="AK3530" s="14"/>
      <c r="AL3530" s="14"/>
      <c r="AM3530" s="14"/>
      <c r="AN3530" s="14"/>
      <c r="AO3530" s="14"/>
      <c r="AP3530" s="14"/>
      <c r="AQ3530" s="14"/>
      <c r="AR3530" s="14"/>
      <c r="AS3530" s="14"/>
      <c r="AT3530" s="14"/>
      <c r="AU3530" s="14"/>
      <c r="AV3530" s="14"/>
      <c r="AW3530" s="15"/>
      <c r="AX3530" s="16"/>
    </row>
    <row r="3531" spans="2:50" x14ac:dyDescent="0.2">
      <c r="B3531" s="7"/>
      <c r="C3531" s="8">
        <v>13972</v>
      </c>
      <c r="D3531" s="9" t="s">
        <v>617</v>
      </c>
      <c r="E3531" s="10" t="str">
        <f t="shared" si="267"/>
        <v>Rancho Zinamba No. 50</v>
      </c>
      <c r="F3531" s="10" t="str">
        <f t="shared" si="268"/>
        <v>Del Castillo</v>
      </c>
      <c r="G3531" s="8">
        <v>7</v>
      </c>
      <c r="H3531" s="11">
        <v>100</v>
      </c>
      <c r="I3531" s="12">
        <v>42799</v>
      </c>
      <c r="J3531" s="35">
        <f t="shared" si="269"/>
        <v>0</v>
      </c>
      <c r="K3531" s="36"/>
      <c r="L3531" s="36"/>
      <c r="M3531" s="36"/>
      <c r="N3531" s="36"/>
      <c r="O3531" s="36"/>
      <c r="P3531" s="36"/>
      <c r="Q3531" s="36"/>
      <c r="R3531" s="36"/>
      <c r="S3531" s="36"/>
      <c r="T3531" s="36"/>
      <c r="U3531" s="36"/>
      <c r="V3531" s="36"/>
      <c r="W3531" s="15">
        <f t="shared" si="270"/>
        <v>0</v>
      </c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15">
        <f t="shared" si="271"/>
        <v>0</v>
      </c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14"/>
      <c r="AV3531" s="14"/>
      <c r="AW3531" s="15"/>
      <c r="AX3531" s="16" t="s">
        <v>3533</v>
      </c>
    </row>
    <row r="3532" spans="2:50" x14ac:dyDescent="0.2">
      <c r="B3532" s="7"/>
      <c r="C3532" s="8">
        <v>13973</v>
      </c>
      <c r="D3532" s="9" t="s">
        <v>899</v>
      </c>
      <c r="E3532" s="10" t="str">
        <f t="shared" si="267"/>
        <v>Rancho Landero No. 8</v>
      </c>
      <c r="F3532" s="10" t="str">
        <f t="shared" si="268"/>
        <v>Garces Suarez</v>
      </c>
      <c r="G3532" s="8">
        <v>1</v>
      </c>
      <c r="H3532" s="11">
        <v>400</v>
      </c>
      <c r="I3532" s="12">
        <v>42799</v>
      </c>
      <c r="J3532" s="35">
        <f t="shared" si="269"/>
        <v>0</v>
      </c>
      <c r="K3532" s="36"/>
      <c r="L3532" s="36"/>
      <c r="M3532" s="36"/>
      <c r="N3532" s="36"/>
      <c r="O3532" s="36"/>
      <c r="P3532" s="36"/>
      <c r="Q3532" s="36"/>
      <c r="R3532" s="36"/>
      <c r="S3532" s="36"/>
      <c r="T3532" s="36"/>
      <c r="U3532" s="36"/>
      <c r="V3532" s="36"/>
      <c r="W3532" s="15">
        <f t="shared" si="270"/>
        <v>0</v>
      </c>
      <c r="X3532" s="36"/>
      <c r="Y3532" s="36"/>
      <c r="Z3532" s="36">
        <v>400</v>
      </c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15">
        <f t="shared" si="271"/>
        <v>400</v>
      </c>
      <c r="AK3532" s="14"/>
      <c r="AL3532" s="14"/>
      <c r="AM3532" s="14"/>
      <c r="AN3532" s="14"/>
      <c r="AO3532" s="14"/>
      <c r="AP3532" s="14"/>
      <c r="AQ3532" s="14"/>
      <c r="AR3532" s="14"/>
      <c r="AS3532" s="14"/>
      <c r="AT3532" s="14"/>
      <c r="AU3532" s="14"/>
      <c r="AV3532" s="14"/>
      <c r="AW3532" s="15"/>
      <c r="AX3532" s="16"/>
    </row>
    <row r="3533" spans="2:50" x14ac:dyDescent="0.2">
      <c r="B3533" s="7"/>
      <c r="C3533" s="8">
        <v>13974</v>
      </c>
      <c r="D3533" s="9" t="s">
        <v>497</v>
      </c>
      <c r="E3533" s="10" t="str">
        <f t="shared" si="267"/>
        <v>Rancho La Cuchilla No. 94</v>
      </c>
      <c r="F3533" s="10" t="str">
        <f t="shared" si="268"/>
        <v>Sánchez Márquez</v>
      </c>
      <c r="G3533" s="8">
        <v>1</v>
      </c>
      <c r="H3533" s="11">
        <v>800</v>
      </c>
      <c r="I3533" s="12">
        <v>42799</v>
      </c>
      <c r="J3533" s="35">
        <f t="shared" si="269"/>
        <v>0</v>
      </c>
      <c r="K3533" s="36"/>
      <c r="L3533" s="36"/>
      <c r="M3533" s="36"/>
      <c r="N3533" s="36"/>
      <c r="O3533" s="36"/>
      <c r="P3533" s="36"/>
      <c r="Q3533" s="36"/>
      <c r="R3533" s="36"/>
      <c r="S3533" s="36"/>
      <c r="T3533" s="36"/>
      <c r="U3533" s="36"/>
      <c r="V3533" s="36"/>
      <c r="W3533" s="15">
        <f t="shared" si="270"/>
        <v>0</v>
      </c>
      <c r="X3533" s="36"/>
      <c r="Y3533" s="36"/>
      <c r="Z3533" s="36">
        <v>400</v>
      </c>
      <c r="AA3533" s="36">
        <v>400</v>
      </c>
      <c r="AB3533" s="36"/>
      <c r="AC3533" s="36"/>
      <c r="AD3533" s="36"/>
      <c r="AE3533" s="36"/>
      <c r="AF3533" s="36"/>
      <c r="AG3533" s="36"/>
      <c r="AH3533" s="36"/>
      <c r="AI3533" s="36"/>
      <c r="AJ3533" s="15">
        <f t="shared" si="271"/>
        <v>800</v>
      </c>
      <c r="AK3533" s="14"/>
      <c r="AL3533" s="14"/>
      <c r="AM3533" s="14"/>
      <c r="AN3533" s="14"/>
      <c r="AO3533" s="14"/>
      <c r="AP3533" s="14"/>
      <c r="AQ3533" s="14"/>
      <c r="AR3533" s="14"/>
      <c r="AS3533" s="14"/>
      <c r="AT3533" s="14"/>
      <c r="AU3533" s="14"/>
      <c r="AV3533" s="14"/>
      <c r="AW3533" s="15"/>
      <c r="AX3533" s="16"/>
    </row>
    <row r="3534" spans="2:50" x14ac:dyDescent="0.2">
      <c r="B3534" s="7"/>
      <c r="C3534" s="8">
        <v>13974</v>
      </c>
      <c r="D3534" s="9" t="s">
        <v>497</v>
      </c>
      <c r="E3534" s="10" t="str">
        <f t="shared" si="267"/>
        <v>Rancho La Cuchilla No. 94</v>
      </c>
      <c r="F3534" s="10" t="str">
        <f t="shared" si="268"/>
        <v>Sánchez Márquez</v>
      </c>
      <c r="G3534" s="8">
        <v>7</v>
      </c>
      <c r="H3534" s="11">
        <v>100</v>
      </c>
      <c r="I3534" s="12">
        <v>42799</v>
      </c>
      <c r="J3534" s="35">
        <f t="shared" si="269"/>
        <v>0</v>
      </c>
      <c r="K3534" s="36"/>
      <c r="L3534" s="36"/>
      <c r="M3534" s="36"/>
      <c r="N3534" s="36"/>
      <c r="O3534" s="36"/>
      <c r="P3534" s="36"/>
      <c r="Q3534" s="36"/>
      <c r="R3534" s="36"/>
      <c r="S3534" s="36"/>
      <c r="T3534" s="36"/>
      <c r="U3534" s="36"/>
      <c r="V3534" s="36"/>
      <c r="W3534" s="15">
        <f t="shared" si="270"/>
        <v>0</v>
      </c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15">
        <f t="shared" si="271"/>
        <v>0</v>
      </c>
      <c r="AK3534" s="14"/>
      <c r="AL3534" s="14"/>
      <c r="AM3534" s="14"/>
      <c r="AN3534" s="14"/>
      <c r="AO3534" s="14"/>
      <c r="AP3534" s="14"/>
      <c r="AQ3534" s="14"/>
      <c r="AR3534" s="14"/>
      <c r="AS3534" s="14"/>
      <c r="AT3534" s="14"/>
      <c r="AU3534" s="14"/>
      <c r="AV3534" s="14"/>
      <c r="AW3534" s="15"/>
      <c r="AX3534" s="16" t="s">
        <v>3533</v>
      </c>
    </row>
    <row r="3535" spans="2:50" x14ac:dyDescent="0.2">
      <c r="B3535" s="7"/>
      <c r="C3535" s="8">
        <v>13975</v>
      </c>
      <c r="D3535" s="9" t="s">
        <v>434</v>
      </c>
      <c r="E3535" s="10" t="str">
        <f t="shared" si="267"/>
        <v>Rancho La Cuchilla No. 55</v>
      </c>
      <c r="F3535" s="10" t="str">
        <f t="shared" si="268"/>
        <v>López Velázquez</v>
      </c>
      <c r="G3535" s="8">
        <v>1</v>
      </c>
      <c r="H3535" s="11">
        <v>800</v>
      </c>
      <c r="I3535" s="12">
        <v>42799</v>
      </c>
      <c r="J3535" s="35">
        <f t="shared" si="269"/>
        <v>0</v>
      </c>
      <c r="K3535" s="36"/>
      <c r="L3535" s="36"/>
      <c r="M3535" s="36"/>
      <c r="N3535" s="36"/>
      <c r="O3535" s="36"/>
      <c r="P3535" s="36"/>
      <c r="Q3535" s="36"/>
      <c r="R3535" s="36"/>
      <c r="S3535" s="36"/>
      <c r="T3535" s="36"/>
      <c r="U3535" s="36"/>
      <c r="V3535" s="36"/>
      <c r="W3535" s="15">
        <f t="shared" si="270"/>
        <v>0</v>
      </c>
      <c r="X3535" s="36"/>
      <c r="Y3535" s="36">
        <v>400</v>
      </c>
      <c r="Z3535" s="36">
        <v>400</v>
      </c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15">
        <f t="shared" si="271"/>
        <v>800</v>
      </c>
      <c r="AK3535" s="14"/>
      <c r="AL3535" s="14"/>
      <c r="AM3535" s="14"/>
      <c r="AN3535" s="14"/>
      <c r="AO3535" s="14"/>
      <c r="AP3535" s="14"/>
      <c r="AQ3535" s="14"/>
      <c r="AR3535" s="14"/>
      <c r="AS3535" s="14"/>
      <c r="AT3535" s="14"/>
      <c r="AU3535" s="14"/>
      <c r="AV3535" s="14"/>
      <c r="AW3535" s="15"/>
      <c r="AX3535" s="16"/>
    </row>
    <row r="3536" spans="2:50" x14ac:dyDescent="0.2">
      <c r="B3536" s="7"/>
      <c r="C3536" s="8">
        <v>13976</v>
      </c>
      <c r="D3536" s="9" t="s">
        <v>622</v>
      </c>
      <c r="E3536" s="10" t="str">
        <f t="shared" si="267"/>
        <v>Rancho Recoveco No. 175</v>
      </c>
      <c r="F3536" s="10" t="str">
        <f t="shared" si="268"/>
        <v>Ramírez</v>
      </c>
      <c r="G3536" s="8">
        <v>1</v>
      </c>
      <c r="H3536" s="11">
        <v>2000</v>
      </c>
      <c r="I3536" s="12">
        <v>42799</v>
      </c>
      <c r="J3536" s="35">
        <f t="shared" si="269"/>
        <v>0</v>
      </c>
      <c r="K3536" s="36"/>
      <c r="L3536" s="36"/>
      <c r="M3536" s="36"/>
      <c r="N3536" s="36"/>
      <c r="O3536" s="36"/>
      <c r="P3536" s="36"/>
      <c r="Q3536" s="36"/>
      <c r="R3536" s="36"/>
      <c r="S3536" s="36"/>
      <c r="T3536" s="36"/>
      <c r="U3536" s="36">
        <v>400</v>
      </c>
      <c r="V3536" s="36">
        <v>400</v>
      </c>
      <c r="W3536" s="15">
        <f t="shared" si="270"/>
        <v>800</v>
      </c>
      <c r="X3536" s="36">
        <v>400</v>
      </c>
      <c r="Y3536" s="36">
        <v>400</v>
      </c>
      <c r="Z3536" s="36">
        <v>400</v>
      </c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15">
        <f t="shared" si="271"/>
        <v>1200</v>
      </c>
      <c r="AK3536" s="14"/>
      <c r="AL3536" s="14"/>
      <c r="AM3536" s="14"/>
      <c r="AN3536" s="14"/>
      <c r="AO3536" s="14"/>
      <c r="AP3536" s="14"/>
      <c r="AQ3536" s="14"/>
      <c r="AR3536" s="14"/>
      <c r="AS3536" s="14"/>
      <c r="AT3536" s="14"/>
      <c r="AU3536" s="14"/>
      <c r="AV3536" s="14"/>
      <c r="AW3536" s="15"/>
      <c r="AX3536" s="16"/>
    </row>
    <row r="3537" spans="2:50" x14ac:dyDescent="0.2">
      <c r="B3537" s="7"/>
      <c r="C3537" s="8">
        <v>13977</v>
      </c>
      <c r="D3537" s="9" t="s">
        <v>349</v>
      </c>
      <c r="E3537" s="10" t="str">
        <f t="shared" si="267"/>
        <v>Rancho La Cuchilla No. 15</v>
      </c>
      <c r="F3537" s="10" t="str">
        <f t="shared" si="268"/>
        <v>Guerrero Ponce</v>
      </c>
      <c r="G3537" s="8">
        <v>1</v>
      </c>
      <c r="H3537" s="11">
        <v>300</v>
      </c>
      <c r="I3537" s="12">
        <v>42799</v>
      </c>
      <c r="J3537" s="35">
        <f t="shared" si="269"/>
        <v>0</v>
      </c>
      <c r="K3537" s="36"/>
      <c r="L3537" s="36"/>
      <c r="M3537" s="36"/>
      <c r="N3537" s="36"/>
      <c r="O3537" s="36"/>
      <c r="P3537" s="36"/>
      <c r="Q3537" s="36"/>
      <c r="R3537" s="36"/>
      <c r="S3537" s="36"/>
      <c r="T3537" s="36"/>
      <c r="U3537" s="36"/>
      <c r="V3537" s="36"/>
      <c r="W3537" s="15">
        <f t="shared" si="270"/>
        <v>0</v>
      </c>
      <c r="X3537" s="36">
        <v>300</v>
      </c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15">
        <f t="shared" si="271"/>
        <v>300</v>
      </c>
      <c r="AK3537" s="14"/>
      <c r="AL3537" s="14"/>
      <c r="AM3537" s="14"/>
      <c r="AN3537" s="14"/>
      <c r="AO3537" s="14"/>
      <c r="AP3537" s="14"/>
      <c r="AQ3537" s="14"/>
      <c r="AR3537" s="14"/>
      <c r="AS3537" s="14"/>
      <c r="AT3537" s="14"/>
      <c r="AU3537" s="14"/>
      <c r="AV3537" s="14"/>
      <c r="AW3537" s="15"/>
      <c r="AX3537" s="16"/>
    </row>
    <row r="3538" spans="2:50" x14ac:dyDescent="0.2">
      <c r="B3538" s="7"/>
      <c r="C3538" s="8">
        <v>13978</v>
      </c>
      <c r="D3538" s="9" t="s">
        <v>150</v>
      </c>
      <c r="E3538" s="10" t="str">
        <f t="shared" si="267"/>
        <v>Rancho La Cuchilla No. 33</v>
      </c>
      <c r="F3538" s="10" t="str">
        <f t="shared" si="268"/>
        <v>Tanús</v>
      </c>
      <c r="G3538" s="8">
        <v>1</v>
      </c>
      <c r="H3538" s="11">
        <v>400</v>
      </c>
      <c r="I3538" s="12">
        <v>42799</v>
      </c>
      <c r="J3538" s="35">
        <f t="shared" si="269"/>
        <v>0</v>
      </c>
      <c r="K3538" s="36"/>
      <c r="L3538" s="36"/>
      <c r="M3538" s="36"/>
      <c r="N3538" s="36"/>
      <c r="O3538" s="36"/>
      <c r="P3538" s="36"/>
      <c r="Q3538" s="36"/>
      <c r="R3538" s="36"/>
      <c r="S3538" s="36"/>
      <c r="T3538" s="36"/>
      <c r="U3538" s="36"/>
      <c r="V3538" s="36"/>
      <c r="W3538" s="15">
        <f t="shared" si="270"/>
        <v>0</v>
      </c>
      <c r="X3538" s="36"/>
      <c r="Y3538" s="36"/>
      <c r="Z3538" s="36">
        <v>400</v>
      </c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15">
        <f t="shared" si="271"/>
        <v>400</v>
      </c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14"/>
      <c r="AV3538" s="14"/>
      <c r="AW3538" s="15"/>
      <c r="AX3538" s="16"/>
    </row>
    <row r="3539" spans="2:50" x14ac:dyDescent="0.2">
      <c r="B3539" s="7"/>
      <c r="C3539" s="8">
        <v>13978</v>
      </c>
      <c r="D3539" s="9" t="s">
        <v>150</v>
      </c>
      <c r="E3539" s="10" t="str">
        <f t="shared" si="267"/>
        <v>Rancho La Cuchilla No. 33</v>
      </c>
      <c r="F3539" s="10" t="str">
        <f t="shared" si="268"/>
        <v>Tanús</v>
      </c>
      <c r="G3539" s="8">
        <v>7</v>
      </c>
      <c r="H3539" s="11">
        <v>100</v>
      </c>
      <c r="I3539" s="12">
        <v>42799</v>
      </c>
      <c r="J3539" s="35">
        <f t="shared" si="269"/>
        <v>0</v>
      </c>
      <c r="K3539" s="36"/>
      <c r="L3539" s="36"/>
      <c r="M3539" s="36"/>
      <c r="N3539" s="36"/>
      <c r="O3539" s="36"/>
      <c r="P3539" s="36"/>
      <c r="Q3539" s="36"/>
      <c r="R3539" s="36"/>
      <c r="S3539" s="36"/>
      <c r="T3539" s="36"/>
      <c r="U3539" s="36"/>
      <c r="V3539" s="36"/>
      <c r="W3539" s="15">
        <f t="shared" si="270"/>
        <v>0</v>
      </c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15">
        <f t="shared" si="271"/>
        <v>0</v>
      </c>
      <c r="AK3539" s="14"/>
      <c r="AL3539" s="14"/>
      <c r="AM3539" s="14"/>
      <c r="AN3539" s="14"/>
      <c r="AO3539" s="14"/>
      <c r="AP3539" s="14"/>
      <c r="AQ3539" s="14"/>
      <c r="AR3539" s="14"/>
      <c r="AS3539" s="14"/>
      <c r="AT3539" s="14"/>
      <c r="AU3539" s="14"/>
      <c r="AV3539" s="14"/>
      <c r="AW3539" s="15"/>
      <c r="AX3539" s="16" t="s">
        <v>3533</v>
      </c>
    </row>
    <row r="3540" spans="2:50" x14ac:dyDescent="0.2">
      <c r="B3540" s="7"/>
      <c r="C3540" s="8">
        <v>13979</v>
      </c>
      <c r="D3540" s="9" t="s">
        <v>407</v>
      </c>
      <c r="E3540" s="10" t="str">
        <f t="shared" si="267"/>
        <v>Rancho Estanzuela No. 99</v>
      </c>
      <c r="F3540" s="10" t="str">
        <f t="shared" si="268"/>
        <v>García López</v>
      </c>
      <c r="G3540" s="8">
        <v>1</v>
      </c>
      <c r="H3540" s="11">
        <v>400</v>
      </c>
      <c r="I3540" s="12">
        <v>42799</v>
      </c>
      <c r="J3540" s="35">
        <f t="shared" si="269"/>
        <v>0</v>
      </c>
      <c r="K3540" s="36"/>
      <c r="L3540" s="36"/>
      <c r="M3540" s="36"/>
      <c r="N3540" s="36"/>
      <c r="O3540" s="36"/>
      <c r="P3540" s="36"/>
      <c r="Q3540" s="36"/>
      <c r="R3540" s="36"/>
      <c r="S3540" s="36"/>
      <c r="T3540" s="36"/>
      <c r="U3540" s="36"/>
      <c r="V3540" s="36"/>
      <c r="W3540" s="15">
        <f t="shared" si="270"/>
        <v>0</v>
      </c>
      <c r="X3540" s="36"/>
      <c r="Y3540" s="36"/>
      <c r="Z3540" s="36">
        <v>400</v>
      </c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15">
        <f t="shared" si="271"/>
        <v>400</v>
      </c>
      <c r="AK3540" s="14"/>
      <c r="AL3540" s="14"/>
      <c r="AM3540" s="14"/>
      <c r="AN3540" s="14"/>
      <c r="AO3540" s="14"/>
      <c r="AP3540" s="14"/>
      <c r="AQ3540" s="14"/>
      <c r="AR3540" s="14"/>
      <c r="AS3540" s="14"/>
      <c r="AT3540" s="14"/>
      <c r="AU3540" s="14"/>
      <c r="AV3540" s="14"/>
      <c r="AW3540" s="15"/>
      <c r="AX3540" s="16"/>
    </row>
    <row r="3541" spans="2:50" x14ac:dyDescent="0.2">
      <c r="B3541" s="7"/>
      <c r="C3541" s="8">
        <v>13979</v>
      </c>
      <c r="D3541" s="9" t="s">
        <v>407</v>
      </c>
      <c r="E3541" s="10" t="str">
        <f t="shared" si="267"/>
        <v>Rancho Estanzuela No. 99</v>
      </c>
      <c r="F3541" s="10" t="str">
        <f t="shared" si="268"/>
        <v>García López</v>
      </c>
      <c r="G3541" s="8">
        <v>7</v>
      </c>
      <c r="H3541" s="11">
        <v>100</v>
      </c>
      <c r="I3541" s="12">
        <v>42799</v>
      </c>
      <c r="J3541" s="35">
        <f t="shared" si="269"/>
        <v>0</v>
      </c>
      <c r="K3541" s="36"/>
      <c r="L3541" s="36"/>
      <c r="M3541" s="36"/>
      <c r="N3541" s="36"/>
      <c r="O3541" s="36"/>
      <c r="P3541" s="36"/>
      <c r="Q3541" s="36"/>
      <c r="R3541" s="36"/>
      <c r="S3541" s="36"/>
      <c r="T3541" s="36"/>
      <c r="U3541" s="36"/>
      <c r="V3541" s="36"/>
      <c r="W3541" s="15">
        <f t="shared" si="270"/>
        <v>0</v>
      </c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15">
        <f t="shared" si="271"/>
        <v>0</v>
      </c>
      <c r="AK3541" s="14"/>
      <c r="AL3541" s="14"/>
      <c r="AM3541" s="14"/>
      <c r="AN3541" s="14"/>
      <c r="AO3541" s="14"/>
      <c r="AP3541" s="14"/>
      <c r="AQ3541" s="14"/>
      <c r="AR3541" s="14"/>
      <c r="AS3541" s="14"/>
      <c r="AT3541" s="14"/>
      <c r="AU3541" s="14"/>
      <c r="AV3541" s="14"/>
      <c r="AW3541" s="15"/>
      <c r="AX3541" s="16" t="s">
        <v>3533</v>
      </c>
    </row>
    <row r="3542" spans="2:50" x14ac:dyDescent="0.2">
      <c r="B3542" s="7"/>
      <c r="C3542" s="8">
        <v>13980</v>
      </c>
      <c r="D3542" s="9" t="s">
        <v>325</v>
      </c>
      <c r="E3542" s="10" t="str">
        <f t="shared" si="267"/>
        <v>Rancho Upácuaro No. 120</v>
      </c>
      <c r="F3542" s="10" t="str">
        <f t="shared" si="268"/>
        <v>Rayas Rivera</v>
      </c>
      <c r="G3542" s="8">
        <v>1</v>
      </c>
      <c r="H3542" s="11">
        <v>400</v>
      </c>
      <c r="I3542" s="12">
        <v>42799</v>
      </c>
      <c r="J3542" s="35">
        <f t="shared" si="269"/>
        <v>0</v>
      </c>
      <c r="K3542" s="36"/>
      <c r="L3542" s="36"/>
      <c r="M3542" s="36"/>
      <c r="N3542" s="36"/>
      <c r="O3542" s="36"/>
      <c r="P3542" s="36"/>
      <c r="Q3542" s="36"/>
      <c r="R3542" s="36"/>
      <c r="S3542" s="36"/>
      <c r="T3542" s="36"/>
      <c r="U3542" s="36"/>
      <c r="V3542" s="36"/>
      <c r="W3542" s="15">
        <f t="shared" si="270"/>
        <v>0</v>
      </c>
      <c r="X3542" s="36"/>
      <c r="Y3542" s="36"/>
      <c r="Z3542" s="36">
        <v>400</v>
      </c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15">
        <f t="shared" si="271"/>
        <v>400</v>
      </c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14"/>
      <c r="AV3542" s="14"/>
      <c r="AW3542" s="15"/>
      <c r="AX3542" s="16"/>
    </row>
    <row r="3543" spans="2:50" x14ac:dyDescent="0.2">
      <c r="B3543" s="7"/>
      <c r="C3543" s="8">
        <v>13980</v>
      </c>
      <c r="D3543" s="9" t="s">
        <v>325</v>
      </c>
      <c r="E3543" s="10" t="str">
        <f t="shared" si="267"/>
        <v>Rancho Upácuaro No. 120</v>
      </c>
      <c r="F3543" s="10" t="str">
        <f t="shared" si="268"/>
        <v>Rayas Rivera</v>
      </c>
      <c r="G3543" s="8">
        <v>7</v>
      </c>
      <c r="H3543" s="11">
        <v>100</v>
      </c>
      <c r="I3543" s="12">
        <v>42799</v>
      </c>
      <c r="J3543" s="35">
        <f t="shared" si="269"/>
        <v>0</v>
      </c>
      <c r="K3543" s="36"/>
      <c r="L3543" s="36"/>
      <c r="M3543" s="36"/>
      <c r="N3543" s="36"/>
      <c r="O3543" s="36"/>
      <c r="P3543" s="36"/>
      <c r="Q3543" s="36"/>
      <c r="R3543" s="36"/>
      <c r="S3543" s="36"/>
      <c r="T3543" s="36"/>
      <c r="U3543" s="36"/>
      <c r="V3543" s="36"/>
      <c r="W3543" s="15">
        <f t="shared" si="270"/>
        <v>0</v>
      </c>
      <c r="X3543" s="36"/>
      <c r="Y3543" s="36"/>
      <c r="Z3543" s="36">
        <v>100</v>
      </c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15">
        <f t="shared" si="271"/>
        <v>100</v>
      </c>
      <c r="AK3543" s="14"/>
      <c r="AL3543" s="14"/>
      <c r="AM3543" s="14"/>
      <c r="AN3543" s="14"/>
      <c r="AO3543" s="14"/>
      <c r="AP3543" s="14"/>
      <c r="AQ3543" s="14"/>
      <c r="AR3543" s="14"/>
      <c r="AS3543" s="14"/>
      <c r="AT3543" s="14"/>
      <c r="AU3543" s="14"/>
      <c r="AV3543" s="14"/>
      <c r="AW3543" s="15"/>
      <c r="AX3543" s="16"/>
    </row>
    <row r="3544" spans="2:50" x14ac:dyDescent="0.2">
      <c r="B3544" s="7"/>
      <c r="C3544" s="8">
        <v>13981</v>
      </c>
      <c r="D3544" s="9" t="s">
        <v>87</v>
      </c>
      <c r="E3544" s="10" t="str">
        <f t="shared" si="267"/>
        <v>Rancho Zinamba No. 36</v>
      </c>
      <c r="F3544" s="10" t="str">
        <f t="shared" si="268"/>
        <v>Rodríguez Ortiz</v>
      </c>
      <c r="G3544" s="8">
        <v>1</v>
      </c>
      <c r="H3544" s="11">
        <v>400</v>
      </c>
      <c r="I3544" s="12">
        <v>42799</v>
      </c>
      <c r="J3544" s="35">
        <f t="shared" si="269"/>
        <v>0</v>
      </c>
      <c r="K3544" s="36"/>
      <c r="L3544" s="36"/>
      <c r="M3544" s="36"/>
      <c r="N3544" s="36"/>
      <c r="O3544" s="36"/>
      <c r="P3544" s="36"/>
      <c r="Q3544" s="36"/>
      <c r="R3544" s="36"/>
      <c r="S3544" s="36"/>
      <c r="T3544" s="36"/>
      <c r="U3544" s="36"/>
      <c r="V3544" s="36"/>
      <c r="W3544" s="15">
        <f t="shared" si="270"/>
        <v>0</v>
      </c>
      <c r="X3544" s="36"/>
      <c r="Y3544" s="36"/>
      <c r="Z3544" s="36">
        <v>400</v>
      </c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15">
        <f t="shared" si="271"/>
        <v>400</v>
      </c>
      <c r="AK3544" s="14"/>
      <c r="AL3544" s="14"/>
      <c r="AM3544" s="14"/>
      <c r="AN3544" s="14"/>
      <c r="AO3544" s="14"/>
      <c r="AP3544" s="14"/>
      <c r="AQ3544" s="14"/>
      <c r="AR3544" s="14"/>
      <c r="AS3544" s="14"/>
      <c r="AT3544" s="14"/>
      <c r="AU3544" s="14"/>
      <c r="AV3544" s="14"/>
      <c r="AW3544" s="15"/>
      <c r="AX3544" s="16"/>
    </row>
    <row r="3545" spans="2:50" x14ac:dyDescent="0.2">
      <c r="B3545" s="7"/>
      <c r="C3545" s="8">
        <v>13982</v>
      </c>
      <c r="D3545" s="9" t="s">
        <v>395</v>
      </c>
      <c r="E3545" s="10" t="str">
        <f t="shared" si="267"/>
        <v>Rancho Landero No. 7</v>
      </c>
      <c r="F3545" s="10" t="str">
        <f t="shared" si="268"/>
        <v>Robles</v>
      </c>
      <c r="G3545" s="8">
        <v>1</v>
      </c>
      <c r="H3545" s="11">
        <v>200</v>
      </c>
      <c r="I3545" s="12">
        <v>42799</v>
      </c>
      <c r="J3545" s="35">
        <f t="shared" si="269"/>
        <v>0</v>
      </c>
      <c r="K3545" s="36"/>
      <c r="L3545" s="36"/>
      <c r="M3545" s="36"/>
      <c r="N3545" s="36"/>
      <c r="O3545" s="36"/>
      <c r="P3545" s="36"/>
      <c r="Q3545" s="36"/>
      <c r="R3545" s="36"/>
      <c r="S3545" s="36"/>
      <c r="T3545" s="36"/>
      <c r="U3545" s="36"/>
      <c r="V3545" s="36"/>
      <c r="W3545" s="15">
        <f t="shared" si="270"/>
        <v>0</v>
      </c>
      <c r="X3545" s="36"/>
      <c r="Y3545" s="36"/>
      <c r="Z3545" s="36">
        <v>200</v>
      </c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15">
        <f t="shared" si="271"/>
        <v>200</v>
      </c>
      <c r="AK3545" s="14"/>
      <c r="AL3545" s="14"/>
      <c r="AM3545" s="14"/>
      <c r="AN3545" s="14"/>
      <c r="AO3545" s="14"/>
      <c r="AP3545" s="14"/>
      <c r="AQ3545" s="14"/>
      <c r="AR3545" s="14"/>
      <c r="AS3545" s="14"/>
      <c r="AT3545" s="14"/>
      <c r="AU3545" s="14"/>
      <c r="AV3545" s="14"/>
      <c r="AW3545" s="15"/>
      <c r="AX3545" s="16"/>
    </row>
    <row r="3546" spans="2:50" x14ac:dyDescent="0.2">
      <c r="B3546" s="7"/>
      <c r="C3546" s="8">
        <v>13982</v>
      </c>
      <c r="D3546" s="9" t="s">
        <v>395</v>
      </c>
      <c r="E3546" s="10" t="str">
        <f t="shared" si="267"/>
        <v>Rancho Landero No. 7</v>
      </c>
      <c r="F3546" s="10" t="str">
        <f t="shared" si="268"/>
        <v>Robles</v>
      </c>
      <c r="G3546" s="8">
        <v>7</v>
      </c>
      <c r="H3546" s="11">
        <v>100</v>
      </c>
      <c r="I3546" s="12">
        <v>42799</v>
      </c>
      <c r="J3546" s="35">
        <f t="shared" si="269"/>
        <v>0</v>
      </c>
      <c r="K3546" s="36"/>
      <c r="L3546" s="36"/>
      <c r="M3546" s="36"/>
      <c r="N3546" s="36"/>
      <c r="O3546" s="36"/>
      <c r="P3546" s="36"/>
      <c r="Q3546" s="36"/>
      <c r="R3546" s="36"/>
      <c r="S3546" s="36"/>
      <c r="T3546" s="36"/>
      <c r="U3546" s="36"/>
      <c r="V3546" s="36"/>
      <c r="W3546" s="15">
        <f t="shared" si="270"/>
        <v>0</v>
      </c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15">
        <f t="shared" si="271"/>
        <v>0</v>
      </c>
      <c r="AK3546" s="14"/>
      <c r="AL3546" s="14"/>
      <c r="AM3546" s="14"/>
      <c r="AN3546" s="14"/>
      <c r="AO3546" s="14"/>
      <c r="AP3546" s="14"/>
      <c r="AQ3546" s="14"/>
      <c r="AR3546" s="14"/>
      <c r="AS3546" s="14"/>
      <c r="AT3546" s="14"/>
      <c r="AU3546" s="14"/>
      <c r="AV3546" s="14"/>
      <c r="AW3546" s="15"/>
      <c r="AX3546" s="16" t="s">
        <v>3533</v>
      </c>
    </row>
    <row r="3547" spans="2:50" x14ac:dyDescent="0.2">
      <c r="B3547" s="7"/>
      <c r="C3547" s="8">
        <v>13983</v>
      </c>
      <c r="D3547" s="9" t="s">
        <v>147</v>
      </c>
      <c r="E3547" s="10" t="str">
        <f t="shared" si="267"/>
        <v>Rancho Upácuaro No. 37</v>
      </c>
      <c r="F3547" s="10" t="str">
        <f t="shared" si="268"/>
        <v>García Valdés</v>
      </c>
      <c r="G3547" s="8">
        <v>7</v>
      </c>
      <c r="H3547" s="11">
        <v>100</v>
      </c>
      <c r="I3547" s="12">
        <v>42799</v>
      </c>
      <c r="J3547" s="35">
        <f t="shared" si="269"/>
        <v>0</v>
      </c>
      <c r="K3547" s="36"/>
      <c r="L3547" s="36"/>
      <c r="M3547" s="36"/>
      <c r="N3547" s="36"/>
      <c r="O3547" s="36"/>
      <c r="P3547" s="36"/>
      <c r="Q3547" s="36"/>
      <c r="R3547" s="36"/>
      <c r="S3547" s="36"/>
      <c r="T3547" s="36"/>
      <c r="U3547" s="36"/>
      <c r="V3547" s="36"/>
      <c r="W3547" s="15">
        <f t="shared" si="270"/>
        <v>0</v>
      </c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15">
        <f t="shared" si="271"/>
        <v>0</v>
      </c>
      <c r="AK3547" s="14"/>
      <c r="AL3547" s="14"/>
      <c r="AM3547" s="14"/>
      <c r="AN3547" s="14"/>
      <c r="AO3547" s="14"/>
      <c r="AP3547" s="14"/>
      <c r="AQ3547" s="14"/>
      <c r="AR3547" s="14"/>
      <c r="AS3547" s="14"/>
      <c r="AT3547" s="14"/>
      <c r="AU3547" s="14"/>
      <c r="AV3547" s="14"/>
      <c r="AW3547" s="15"/>
      <c r="AX3547" s="16" t="s">
        <v>3533</v>
      </c>
    </row>
    <row r="3548" spans="2:50" x14ac:dyDescent="0.2">
      <c r="B3548" s="7"/>
      <c r="C3548" s="8">
        <v>13984</v>
      </c>
      <c r="D3548" s="9" t="s">
        <v>280</v>
      </c>
      <c r="E3548" s="10" t="str">
        <f t="shared" si="267"/>
        <v>Rancho La Cuchilla No. 40</v>
      </c>
      <c r="F3548" s="10" t="str">
        <f t="shared" si="268"/>
        <v>López Pico</v>
      </c>
      <c r="G3548" s="8">
        <v>1</v>
      </c>
      <c r="H3548" s="11">
        <v>400</v>
      </c>
      <c r="I3548" s="12">
        <v>42799</v>
      </c>
      <c r="J3548" s="35">
        <f t="shared" si="269"/>
        <v>0</v>
      </c>
      <c r="K3548" s="36"/>
      <c r="L3548" s="36"/>
      <c r="M3548" s="36"/>
      <c r="N3548" s="36"/>
      <c r="O3548" s="36"/>
      <c r="P3548" s="36"/>
      <c r="Q3548" s="36"/>
      <c r="R3548" s="36"/>
      <c r="S3548" s="36"/>
      <c r="T3548" s="36"/>
      <c r="U3548" s="36"/>
      <c r="V3548" s="36"/>
      <c r="W3548" s="15">
        <f t="shared" si="270"/>
        <v>0</v>
      </c>
      <c r="X3548" s="36"/>
      <c r="Y3548" s="36"/>
      <c r="Z3548" s="36">
        <v>400</v>
      </c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15">
        <f t="shared" si="271"/>
        <v>400</v>
      </c>
      <c r="AK3548" s="14"/>
      <c r="AL3548" s="14"/>
      <c r="AM3548" s="14"/>
      <c r="AN3548" s="14"/>
      <c r="AO3548" s="14"/>
      <c r="AP3548" s="14"/>
      <c r="AQ3548" s="14"/>
      <c r="AR3548" s="14"/>
      <c r="AS3548" s="14"/>
      <c r="AT3548" s="14"/>
      <c r="AU3548" s="14"/>
      <c r="AV3548" s="14"/>
      <c r="AW3548" s="15"/>
      <c r="AX3548" s="16"/>
    </row>
    <row r="3549" spans="2:50" x14ac:dyDescent="0.2">
      <c r="B3549" s="7"/>
      <c r="C3549" s="8">
        <v>13985</v>
      </c>
      <c r="D3549" s="9" t="s">
        <v>840</v>
      </c>
      <c r="E3549" s="10" t="str">
        <f t="shared" si="267"/>
        <v>Rancho Landero No. 33</v>
      </c>
      <c r="F3549" s="10" t="str">
        <f t="shared" si="268"/>
        <v>González Uribe</v>
      </c>
      <c r="G3549" s="8">
        <v>1</v>
      </c>
      <c r="H3549" s="11">
        <v>800</v>
      </c>
      <c r="I3549" s="12">
        <v>42799</v>
      </c>
      <c r="J3549" s="35">
        <f t="shared" si="269"/>
        <v>0</v>
      </c>
      <c r="K3549" s="36"/>
      <c r="L3549" s="36"/>
      <c r="M3549" s="36"/>
      <c r="N3549" s="36"/>
      <c r="O3549" s="36"/>
      <c r="P3549" s="36"/>
      <c r="Q3549" s="36"/>
      <c r="R3549" s="36"/>
      <c r="S3549" s="36"/>
      <c r="T3549" s="36"/>
      <c r="U3549" s="36"/>
      <c r="V3549" s="36"/>
      <c r="W3549" s="15">
        <f t="shared" si="270"/>
        <v>0</v>
      </c>
      <c r="X3549" s="36">
        <v>400</v>
      </c>
      <c r="Y3549" s="36">
        <v>400</v>
      </c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15">
        <f t="shared" si="271"/>
        <v>800</v>
      </c>
      <c r="AK3549" s="14"/>
      <c r="AL3549" s="14"/>
      <c r="AM3549" s="14"/>
      <c r="AN3549" s="14"/>
      <c r="AO3549" s="14"/>
      <c r="AP3549" s="14"/>
      <c r="AQ3549" s="14"/>
      <c r="AR3549" s="14"/>
      <c r="AS3549" s="14"/>
      <c r="AT3549" s="14"/>
      <c r="AU3549" s="14"/>
      <c r="AV3549" s="14"/>
      <c r="AW3549" s="15"/>
      <c r="AX3549" s="16"/>
    </row>
    <row r="3550" spans="2:50" x14ac:dyDescent="0.2">
      <c r="B3550" s="7"/>
      <c r="C3550" s="8">
        <v>13986</v>
      </c>
      <c r="D3550" s="9" t="s">
        <v>112</v>
      </c>
      <c r="E3550" s="10" t="str">
        <f t="shared" si="267"/>
        <v>Rancho Estanzuela No. 129</v>
      </c>
      <c r="F3550" s="10" t="str">
        <f t="shared" si="268"/>
        <v>Sta. María Mendoza</v>
      </c>
      <c r="G3550" s="8">
        <v>1</v>
      </c>
      <c r="H3550" s="11">
        <v>250</v>
      </c>
      <c r="I3550" s="12">
        <v>42799</v>
      </c>
      <c r="J3550" s="35">
        <f t="shared" si="269"/>
        <v>0</v>
      </c>
      <c r="K3550" s="36"/>
      <c r="L3550" s="36"/>
      <c r="M3550" s="36"/>
      <c r="N3550" s="36"/>
      <c r="O3550" s="36"/>
      <c r="P3550" s="36"/>
      <c r="Q3550" s="36"/>
      <c r="R3550" s="36"/>
      <c r="S3550" s="36"/>
      <c r="T3550" s="36"/>
      <c r="U3550" s="36"/>
      <c r="V3550" s="36"/>
      <c r="W3550" s="15">
        <f t="shared" si="270"/>
        <v>0</v>
      </c>
      <c r="X3550" s="36"/>
      <c r="Y3550" s="36">
        <v>250</v>
      </c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15">
        <f t="shared" si="271"/>
        <v>250</v>
      </c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14"/>
      <c r="AV3550" s="14"/>
      <c r="AW3550" s="15"/>
      <c r="AX3550" s="16"/>
    </row>
    <row r="3551" spans="2:50" x14ac:dyDescent="0.2">
      <c r="B3551" s="7"/>
      <c r="C3551" s="8">
        <v>13987</v>
      </c>
      <c r="D3551" s="9" t="s">
        <v>310</v>
      </c>
      <c r="E3551" s="10" t="str">
        <f t="shared" si="267"/>
        <v>Rancho Recoveco No. 181</v>
      </c>
      <c r="F3551" s="10" t="str">
        <f t="shared" si="268"/>
        <v>Castillo</v>
      </c>
      <c r="G3551" s="8">
        <v>1</v>
      </c>
      <c r="H3551" s="11">
        <v>400</v>
      </c>
      <c r="I3551" s="12">
        <v>42799</v>
      </c>
      <c r="J3551" s="35">
        <f t="shared" si="269"/>
        <v>0</v>
      </c>
      <c r="K3551" s="36"/>
      <c r="L3551" s="36"/>
      <c r="M3551" s="36"/>
      <c r="N3551" s="36"/>
      <c r="O3551" s="36"/>
      <c r="P3551" s="36"/>
      <c r="Q3551" s="36"/>
      <c r="R3551" s="36"/>
      <c r="S3551" s="36"/>
      <c r="T3551" s="36"/>
      <c r="U3551" s="36"/>
      <c r="V3551" s="36"/>
      <c r="W3551" s="15">
        <f t="shared" si="270"/>
        <v>0</v>
      </c>
      <c r="X3551" s="36"/>
      <c r="Y3551" s="36">
        <v>400</v>
      </c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15">
        <f t="shared" si="271"/>
        <v>400</v>
      </c>
      <c r="AK3551" s="14"/>
      <c r="AL3551" s="14"/>
      <c r="AM3551" s="14"/>
      <c r="AN3551" s="14"/>
      <c r="AO3551" s="14"/>
      <c r="AP3551" s="14"/>
      <c r="AQ3551" s="14"/>
      <c r="AR3551" s="14"/>
      <c r="AS3551" s="14"/>
      <c r="AT3551" s="14"/>
      <c r="AU3551" s="14"/>
      <c r="AV3551" s="14"/>
      <c r="AW3551" s="15"/>
      <c r="AX3551" s="16"/>
    </row>
    <row r="3552" spans="2:50" x14ac:dyDescent="0.2">
      <c r="B3552" s="7"/>
      <c r="C3552" s="8">
        <v>13987</v>
      </c>
      <c r="D3552" s="9" t="s">
        <v>310</v>
      </c>
      <c r="E3552" s="10" t="str">
        <f t="shared" si="267"/>
        <v>Rancho Recoveco No. 181</v>
      </c>
      <c r="F3552" s="10" t="str">
        <f t="shared" si="268"/>
        <v>Castillo</v>
      </c>
      <c r="G3552" s="8">
        <v>7</v>
      </c>
      <c r="H3552" s="11">
        <v>100</v>
      </c>
      <c r="I3552" s="12">
        <v>42799</v>
      </c>
      <c r="J3552" s="35">
        <f t="shared" si="269"/>
        <v>0</v>
      </c>
      <c r="K3552" s="36"/>
      <c r="L3552" s="36"/>
      <c r="M3552" s="36"/>
      <c r="N3552" s="36"/>
      <c r="O3552" s="36"/>
      <c r="P3552" s="36"/>
      <c r="Q3552" s="36"/>
      <c r="R3552" s="36"/>
      <c r="S3552" s="36"/>
      <c r="T3552" s="36"/>
      <c r="U3552" s="36"/>
      <c r="V3552" s="36"/>
      <c r="W3552" s="15">
        <f t="shared" si="270"/>
        <v>0</v>
      </c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15">
        <f t="shared" si="271"/>
        <v>0</v>
      </c>
      <c r="AK3552" s="14"/>
      <c r="AL3552" s="14"/>
      <c r="AM3552" s="14"/>
      <c r="AN3552" s="14"/>
      <c r="AO3552" s="14"/>
      <c r="AP3552" s="14"/>
      <c r="AQ3552" s="14"/>
      <c r="AR3552" s="14"/>
      <c r="AS3552" s="14"/>
      <c r="AT3552" s="14"/>
      <c r="AU3552" s="14"/>
      <c r="AV3552" s="14"/>
      <c r="AW3552" s="15"/>
      <c r="AX3552" s="16" t="s">
        <v>3533</v>
      </c>
    </row>
    <row r="3553" spans="2:50" x14ac:dyDescent="0.2">
      <c r="B3553" s="7"/>
      <c r="C3553" s="8">
        <v>13988</v>
      </c>
      <c r="D3553" s="9" t="s">
        <v>280</v>
      </c>
      <c r="E3553" s="10" t="str">
        <f t="shared" si="267"/>
        <v>Rancho La Cuchilla No. 40</v>
      </c>
      <c r="F3553" s="10" t="str">
        <f t="shared" si="268"/>
        <v>López Pico</v>
      </c>
      <c r="G3553" s="8">
        <v>7</v>
      </c>
      <c r="H3553" s="11">
        <v>100</v>
      </c>
      <c r="I3553" s="12">
        <v>42799</v>
      </c>
      <c r="J3553" s="35">
        <f t="shared" si="269"/>
        <v>0</v>
      </c>
      <c r="K3553" s="36"/>
      <c r="L3553" s="36"/>
      <c r="M3553" s="36"/>
      <c r="N3553" s="36"/>
      <c r="O3553" s="36"/>
      <c r="P3553" s="36"/>
      <c r="Q3553" s="36"/>
      <c r="R3553" s="36"/>
      <c r="S3553" s="36"/>
      <c r="T3553" s="36"/>
      <c r="U3553" s="36"/>
      <c r="V3553" s="36"/>
      <c r="W3553" s="15">
        <f t="shared" si="270"/>
        <v>0</v>
      </c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15">
        <f t="shared" si="271"/>
        <v>0</v>
      </c>
      <c r="AK3553" s="14"/>
      <c r="AL3553" s="14"/>
      <c r="AM3553" s="14"/>
      <c r="AN3553" s="14"/>
      <c r="AO3553" s="14"/>
      <c r="AP3553" s="14"/>
      <c r="AQ3553" s="14"/>
      <c r="AR3553" s="14"/>
      <c r="AS3553" s="14"/>
      <c r="AT3553" s="14"/>
      <c r="AU3553" s="14"/>
      <c r="AV3553" s="14"/>
      <c r="AW3553" s="15"/>
      <c r="AX3553" s="16" t="s">
        <v>3533</v>
      </c>
    </row>
    <row r="3554" spans="2:50" x14ac:dyDescent="0.2">
      <c r="B3554" s="7"/>
      <c r="C3554" s="8">
        <v>13989</v>
      </c>
      <c r="D3554" s="9" t="s">
        <v>911</v>
      </c>
      <c r="E3554" s="10" t="str">
        <f t="shared" si="267"/>
        <v>Rancho Estanzuela No. 19</v>
      </c>
      <c r="F3554" s="10" t="str">
        <f t="shared" si="268"/>
        <v>Robles</v>
      </c>
      <c r="G3554" s="8">
        <v>1</v>
      </c>
      <c r="H3554" s="11">
        <v>400</v>
      </c>
      <c r="I3554" s="12">
        <v>42799</v>
      </c>
      <c r="J3554" s="35">
        <f t="shared" si="269"/>
        <v>0</v>
      </c>
      <c r="K3554" s="36"/>
      <c r="L3554" s="36"/>
      <c r="M3554" s="36"/>
      <c r="N3554" s="36"/>
      <c r="O3554" s="36"/>
      <c r="P3554" s="36"/>
      <c r="Q3554" s="36"/>
      <c r="R3554" s="36"/>
      <c r="S3554" s="36"/>
      <c r="T3554" s="36"/>
      <c r="U3554" s="36"/>
      <c r="V3554" s="36"/>
      <c r="W3554" s="15">
        <f t="shared" si="270"/>
        <v>0</v>
      </c>
      <c r="X3554" s="36"/>
      <c r="Y3554" s="36"/>
      <c r="Z3554" s="36">
        <v>400</v>
      </c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15">
        <f t="shared" si="271"/>
        <v>400</v>
      </c>
      <c r="AK3554" s="14"/>
      <c r="AL3554" s="14"/>
      <c r="AM3554" s="14"/>
      <c r="AN3554" s="14"/>
      <c r="AO3554" s="14"/>
      <c r="AP3554" s="14"/>
      <c r="AQ3554" s="14"/>
      <c r="AR3554" s="14"/>
      <c r="AS3554" s="14"/>
      <c r="AT3554" s="14"/>
      <c r="AU3554" s="14"/>
      <c r="AV3554" s="14"/>
      <c r="AW3554" s="15"/>
      <c r="AX3554" s="16"/>
    </row>
    <row r="3555" spans="2:50" x14ac:dyDescent="0.2">
      <c r="B3555" s="7"/>
      <c r="C3555" s="8">
        <v>13989</v>
      </c>
      <c r="D3555" s="9" t="s">
        <v>911</v>
      </c>
      <c r="E3555" s="10" t="str">
        <f t="shared" si="267"/>
        <v>Rancho Estanzuela No. 19</v>
      </c>
      <c r="F3555" s="10" t="str">
        <f t="shared" si="268"/>
        <v>Robles</v>
      </c>
      <c r="G3555" s="8">
        <v>7</v>
      </c>
      <c r="H3555" s="11">
        <v>100</v>
      </c>
      <c r="I3555" s="12">
        <v>42799</v>
      </c>
      <c r="J3555" s="35">
        <f t="shared" si="269"/>
        <v>0</v>
      </c>
      <c r="K3555" s="36"/>
      <c r="L3555" s="36"/>
      <c r="M3555" s="36"/>
      <c r="N3555" s="36"/>
      <c r="O3555" s="36"/>
      <c r="P3555" s="36"/>
      <c r="Q3555" s="36"/>
      <c r="R3555" s="36"/>
      <c r="S3555" s="36"/>
      <c r="T3555" s="36"/>
      <c r="U3555" s="36"/>
      <c r="V3555" s="36"/>
      <c r="W3555" s="15">
        <f t="shared" si="270"/>
        <v>0</v>
      </c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15">
        <f t="shared" si="271"/>
        <v>0</v>
      </c>
      <c r="AK3555" s="14"/>
      <c r="AL3555" s="14"/>
      <c r="AM3555" s="14"/>
      <c r="AN3555" s="14"/>
      <c r="AO3555" s="14"/>
      <c r="AP3555" s="14"/>
      <c r="AQ3555" s="14"/>
      <c r="AR3555" s="14"/>
      <c r="AS3555" s="14"/>
      <c r="AT3555" s="14"/>
      <c r="AU3555" s="14"/>
      <c r="AV3555" s="14"/>
      <c r="AW3555" s="15"/>
      <c r="AX3555" s="16" t="s">
        <v>3533</v>
      </c>
    </row>
    <row r="3556" spans="2:50" x14ac:dyDescent="0.2">
      <c r="B3556" s="7"/>
      <c r="C3556" s="8">
        <v>13990</v>
      </c>
      <c r="D3556" s="9" t="s">
        <v>649</v>
      </c>
      <c r="E3556" s="10" t="str">
        <f t="shared" si="267"/>
        <v>Rancho Estanzuela No. 57</v>
      </c>
      <c r="F3556" s="10" t="str">
        <f t="shared" si="268"/>
        <v>Olivares</v>
      </c>
      <c r="G3556" s="8">
        <v>1</v>
      </c>
      <c r="H3556" s="11">
        <v>600</v>
      </c>
      <c r="I3556" s="12">
        <v>42799</v>
      </c>
      <c r="J3556" s="35">
        <f t="shared" si="269"/>
        <v>0</v>
      </c>
      <c r="K3556" s="36"/>
      <c r="L3556" s="36"/>
      <c r="M3556" s="36"/>
      <c r="N3556" s="36"/>
      <c r="O3556" s="36"/>
      <c r="P3556" s="36"/>
      <c r="Q3556" s="36"/>
      <c r="R3556" s="36"/>
      <c r="S3556" s="36"/>
      <c r="T3556" s="36"/>
      <c r="U3556" s="36"/>
      <c r="V3556" s="36"/>
      <c r="W3556" s="15">
        <f t="shared" si="270"/>
        <v>0</v>
      </c>
      <c r="X3556" s="36"/>
      <c r="Y3556" s="36">
        <v>300</v>
      </c>
      <c r="Z3556" s="36">
        <v>300</v>
      </c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15">
        <f t="shared" si="271"/>
        <v>600</v>
      </c>
      <c r="AK3556" s="14"/>
      <c r="AL3556" s="14"/>
      <c r="AM3556" s="14"/>
      <c r="AN3556" s="14"/>
      <c r="AO3556" s="14"/>
      <c r="AP3556" s="14"/>
      <c r="AQ3556" s="14"/>
      <c r="AR3556" s="14"/>
      <c r="AS3556" s="14"/>
      <c r="AT3556" s="14"/>
      <c r="AU3556" s="14"/>
      <c r="AV3556" s="14"/>
      <c r="AW3556" s="15"/>
      <c r="AX3556" s="16"/>
    </row>
    <row r="3557" spans="2:50" x14ac:dyDescent="0.2">
      <c r="B3557" s="7"/>
      <c r="C3557" s="8">
        <v>13991</v>
      </c>
      <c r="D3557" s="9" t="s">
        <v>523</v>
      </c>
      <c r="E3557" s="10" t="str">
        <f t="shared" si="267"/>
        <v>Rancho Estanzuela No. 139</v>
      </c>
      <c r="F3557" s="10" t="str">
        <f t="shared" si="268"/>
        <v xml:space="preserve">Ortiz   </v>
      </c>
      <c r="G3557" s="8">
        <v>1</v>
      </c>
      <c r="H3557" s="11">
        <v>400</v>
      </c>
      <c r="I3557" s="12">
        <v>42799</v>
      </c>
      <c r="J3557" s="35">
        <f t="shared" si="269"/>
        <v>0</v>
      </c>
      <c r="K3557" s="36"/>
      <c r="L3557" s="36"/>
      <c r="M3557" s="36"/>
      <c r="N3557" s="36"/>
      <c r="O3557" s="36"/>
      <c r="P3557" s="36"/>
      <c r="Q3557" s="36"/>
      <c r="R3557" s="36"/>
      <c r="S3557" s="36"/>
      <c r="T3557" s="36"/>
      <c r="U3557" s="36"/>
      <c r="V3557" s="36"/>
      <c r="W3557" s="15">
        <f t="shared" si="270"/>
        <v>0</v>
      </c>
      <c r="X3557" s="36"/>
      <c r="Y3557" s="36">
        <v>400</v>
      </c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15">
        <f t="shared" si="271"/>
        <v>400</v>
      </c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14"/>
      <c r="AV3557" s="14"/>
      <c r="AW3557" s="15"/>
      <c r="AX3557" s="16"/>
    </row>
    <row r="3558" spans="2:50" x14ac:dyDescent="0.2">
      <c r="B3558" s="7"/>
      <c r="C3558" s="8">
        <v>13991</v>
      </c>
      <c r="D3558" s="9" t="s">
        <v>523</v>
      </c>
      <c r="E3558" s="10" t="str">
        <f t="shared" si="267"/>
        <v>Rancho Estanzuela No. 139</v>
      </c>
      <c r="F3558" s="10" t="str">
        <f t="shared" si="268"/>
        <v xml:space="preserve">Ortiz   </v>
      </c>
      <c r="G3558" s="8">
        <v>7</v>
      </c>
      <c r="H3558" s="11">
        <v>100</v>
      </c>
      <c r="I3558" s="12">
        <v>42799</v>
      </c>
      <c r="J3558" s="35">
        <f t="shared" si="269"/>
        <v>0</v>
      </c>
      <c r="K3558" s="36"/>
      <c r="L3558" s="36"/>
      <c r="M3558" s="36"/>
      <c r="N3558" s="36"/>
      <c r="O3558" s="36"/>
      <c r="P3558" s="36"/>
      <c r="Q3558" s="36"/>
      <c r="R3558" s="36"/>
      <c r="S3558" s="36"/>
      <c r="T3558" s="36"/>
      <c r="U3558" s="36"/>
      <c r="V3558" s="36"/>
      <c r="W3558" s="15">
        <f t="shared" si="270"/>
        <v>0</v>
      </c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15">
        <f t="shared" si="271"/>
        <v>0</v>
      </c>
      <c r="AK3558" s="14"/>
      <c r="AL3558" s="14"/>
      <c r="AM3558" s="14"/>
      <c r="AN3558" s="14"/>
      <c r="AO3558" s="14"/>
      <c r="AP3558" s="14"/>
      <c r="AQ3558" s="14"/>
      <c r="AR3558" s="14"/>
      <c r="AS3558" s="14"/>
      <c r="AT3558" s="14"/>
      <c r="AU3558" s="14"/>
      <c r="AV3558" s="14"/>
      <c r="AW3558" s="15"/>
      <c r="AX3558" s="16" t="s">
        <v>3533</v>
      </c>
    </row>
    <row r="3559" spans="2:50" x14ac:dyDescent="0.2">
      <c r="B3559" s="7"/>
      <c r="C3559" s="8">
        <v>13992</v>
      </c>
      <c r="D3559" s="9" t="s">
        <v>568</v>
      </c>
      <c r="E3559" s="10" t="str">
        <f t="shared" si="267"/>
        <v>Rancho Landero No. 95</v>
      </c>
      <c r="F3559" s="10" t="str">
        <f t="shared" si="268"/>
        <v>Rivas Rangel</v>
      </c>
      <c r="G3559" s="8">
        <v>1</v>
      </c>
      <c r="H3559" s="11">
        <v>400</v>
      </c>
      <c r="I3559" s="12">
        <v>42799</v>
      </c>
      <c r="J3559" s="35">
        <f t="shared" si="269"/>
        <v>0</v>
      </c>
      <c r="K3559" s="36"/>
      <c r="L3559" s="36"/>
      <c r="M3559" s="36"/>
      <c r="N3559" s="36"/>
      <c r="O3559" s="36"/>
      <c r="P3559" s="36"/>
      <c r="Q3559" s="36"/>
      <c r="R3559" s="36"/>
      <c r="S3559" s="36"/>
      <c r="T3559" s="36"/>
      <c r="U3559" s="36"/>
      <c r="V3559" s="36"/>
      <c r="W3559" s="15">
        <f t="shared" si="270"/>
        <v>0</v>
      </c>
      <c r="X3559" s="36"/>
      <c r="Y3559" s="36"/>
      <c r="Z3559" s="36">
        <v>400</v>
      </c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15">
        <f t="shared" si="271"/>
        <v>400</v>
      </c>
      <c r="AK3559" s="14"/>
      <c r="AL3559" s="14"/>
      <c r="AM3559" s="14"/>
      <c r="AN3559" s="14"/>
      <c r="AO3559" s="14"/>
      <c r="AP3559" s="14"/>
      <c r="AQ3559" s="14"/>
      <c r="AR3559" s="14"/>
      <c r="AS3559" s="14"/>
      <c r="AT3559" s="14"/>
      <c r="AU3559" s="14"/>
      <c r="AV3559" s="14"/>
      <c r="AW3559" s="15"/>
      <c r="AX3559" s="16"/>
    </row>
    <row r="3560" spans="2:50" x14ac:dyDescent="0.2">
      <c r="B3560" s="7"/>
      <c r="C3560" s="8">
        <v>13992</v>
      </c>
      <c r="D3560" s="9" t="s">
        <v>568</v>
      </c>
      <c r="E3560" s="10" t="str">
        <f t="shared" si="267"/>
        <v>Rancho Landero No. 95</v>
      </c>
      <c r="F3560" s="10" t="str">
        <f t="shared" si="268"/>
        <v>Rivas Rangel</v>
      </c>
      <c r="G3560" s="8">
        <v>7</v>
      </c>
      <c r="H3560" s="11">
        <v>100</v>
      </c>
      <c r="I3560" s="12">
        <v>42799</v>
      </c>
      <c r="J3560" s="35">
        <f t="shared" si="269"/>
        <v>0</v>
      </c>
      <c r="K3560" s="36"/>
      <c r="L3560" s="36"/>
      <c r="M3560" s="36"/>
      <c r="N3560" s="36"/>
      <c r="O3560" s="36"/>
      <c r="P3560" s="36"/>
      <c r="Q3560" s="36"/>
      <c r="R3560" s="36"/>
      <c r="S3560" s="36"/>
      <c r="T3560" s="36"/>
      <c r="U3560" s="36"/>
      <c r="V3560" s="36"/>
      <c r="W3560" s="15">
        <f t="shared" si="270"/>
        <v>0</v>
      </c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15">
        <f t="shared" si="271"/>
        <v>0</v>
      </c>
      <c r="AK3560" s="14"/>
      <c r="AL3560" s="14"/>
      <c r="AM3560" s="14"/>
      <c r="AN3560" s="14"/>
      <c r="AO3560" s="14"/>
      <c r="AP3560" s="14"/>
      <c r="AQ3560" s="14"/>
      <c r="AR3560" s="14"/>
      <c r="AS3560" s="14"/>
      <c r="AT3560" s="14"/>
      <c r="AU3560" s="14"/>
      <c r="AV3560" s="14"/>
      <c r="AW3560" s="15"/>
      <c r="AX3560" s="16" t="s">
        <v>3533</v>
      </c>
    </row>
    <row r="3561" spans="2:50" x14ac:dyDescent="0.2">
      <c r="B3561" s="7"/>
      <c r="C3561" s="8">
        <v>13993</v>
      </c>
      <c r="D3561" s="9" t="s">
        <v>156</v>
      </c>
      <c r="E3561" s="10" t="str">
        <f t="shared" si="267"/>
        <v>Rancho Zinamba No. 80</v>
      </c>
      <c r="F3561" s="10" t="str">
        <f t="shared" si="268"/>
        <v>Vázquez</v>
      </c>
      <c r="G3561" s="8">
        <v>1</v>
      </c>
      <c r="H3561" s="11">
        <v>300</v>
      </c>
      <c r="I3561" s="12">
        <v>42799</v>
      </c>
      <c r="J3561" s="35">
        <f t="shared" si="269"/>
        <v>0</v>
      </c>
      <c r="K3561" s="36"/>
      <c r="L3561" s="36"/>
      <c r="M3561" s="36"/>
      <c r="N3561" s="36"/>
      <c r="O3561" s="36"/>
      <c r="P3561" s="36"/>
      <c r="Q3561" s="36"/>
      <c r="R3561" s="36"/>
      <c r="S3561" s="36"/>
      <c r="T3561" s="36"/>
      <c r="U3561" s="36"/>
      <c r="V3561" s="36"/>
      <c r="W3561" s="15">
        <f t="shared" si="270"/>
        <v>0</v>
      </c>
      <c r="X3561" s="36"/>
      <c r="Y3561" s="36"/>
      <c r="Z3561" s="36">
        <v>300</v>
      </c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15">
        <f t="shared" si="271"/>
        <v>300</v>
      </c>
      <c r="AK3561" s="14"/>
      <c r="AL3561" s="14"/>
      <c r="AM3561" s="14"/>
      <c r="AN3561" s="14"/>
      <c r="AO3561" s="14"/>
      <c r="AP3561" s="14"/>
      <c r="AQ3561" s="14"/>
      <c r="AR3561" s="14"/>
      <c r="AS3561" s="14"/>
      <c r="AT3561" s="14"/>
      <c r="AU3561" s="14"/>
      <c r="AV3561" s="14"/>
      <c r="AW3561" s="15"/>
      <c r="AX3561" s="16"/>
    </row>
    <row r="3562" spans="2:50" x14ac:dyDescent="0.2">
      <c r="B3562" s="7"/>
      <c r="C3562" s="8">
        <v>13994</v>
      </c>
      <c r="D3562" s="9" t="s">
        <v>135</v>
      </c>
      <c r="E3562" s="10" t="str">
        <f t="shared" si="267"/>
        <v>Rancho Upácuaro No. 70</v>
      </c>
      <c r="F3562" s="10" t="str">
        <f t="shared" si="268"/>
        <v>Ramírez Tejeda</v>
      </c>
      <c r="G3562" s="8">
        <v>1</v>
      </c>
      <c r="H3562" s="11">
        <v>300</v>
      </c>
      <c r="I3562" s="12">
        <v>42799</v>
      </c>
      <c r="J3562" s="35">
        <f t="shared" si="269"/>
        <v>0</v>
      </c>
      <c r="K3562" s="36"/>
      <c r="L3562" s="36"/>
      <c r="M3562" s="36"/>
      <c r="N3562" s="36"/>
      <c r="O3562" s="36"/>
      <c r="P3562" s="36"/>
      <c r="Q3562" s="36"/>
      <c r="R3562" s="36"/>
      <c r="S3562" s="36"/>
      <c r="T3562" s="36"/>
      <c r="U3562" s="36"/>
      <c r="V3562" s="36"/>
      <c r="W3562" s="15">
        <f t="shared" si="270"/>
        <v>0</v>
      </c>
      <c r="X3562" s="36"/>
      <c r="Y3562" s="36"/>
      <c r="Z3562" s="36">
        <v>300</v>
      </c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15">
        <f t="shared" si="271"/>
        <v>300</v>
      </c>
      <c r="AK3562" s="14"/>
      <c r="AL3562" s="14"/>
      <c r="AM3562" s="14"/>
      <c r="AN3562" s="14"/>
      <c r="AO3562" s="14"/>
      <c r="AP3562" s="14"/>
      <c r="AQ3562" s="14"/>
      <c r="AR3562" s="14"/>
      <c r="AS3562" s="14"/>
      <c r="AT3562" s="14"/>
      <c r="AU3562" s="14"/>
      <c r="AV3562" s="14"/>
      <c r="AW3562" s="15"/>
      <c r="AX3562" s="16"/>
    </row>
    <row r="3563" spans="2:50" x14ac:dyDescent="0.2">
      <c r="B3563" s="7"/>
      <c r="C3563" s="8">
        <v>13994</v>
      </c>
      <c r="D3563" s="9" t="s">
        <v>135</v>
      </c>
      <c r="E3563" s="10" t="str">
        <f t="shared" si="267"/>
        <v>Rancho Upácuaro No. 70</v>
      </c>
      <c r="F3563" s="10" t="str">
        <f t="shared" si="268"/>
        <v>Ramírez Tejeda</v>
      </c>
      <c r="G3563" s="8">
        <v>7</v>
      </c>
      <c r="H3563" s="11">
        <v>100</v>
      </c>
      <c r="I3563" s="12">
        <v>42799</v>
      </c>
      <c r="J3563" s="35">
        <f t="shared" si="269"/>
        <v>0</v>
      </c>
      <c r="K3563" s="36"/>
      <c r="L3563" s="36"/>
      <c r="M3563" s="36"/>
      <c r="N3563" s="36"/>
      <c r="O3563" s="36"/>
      <c r="P3563" s="36"/>
      <c r="Q3563" s="36"/>
      <c r="R3563" s="36"/>
      <c r="S3563" s="36"/>
      <c r="T3563" s="36"/>
      <c r="U3563" s="36"/>
      <c r="V3563" s="36"/>
      <c r="W3563" s="15">
        <f t="shared" si="270"/>
        <v>0</v>
      </c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15">
        <f t="shared" si="271"/>
        <v>0</v>
      </c>
      <c r="AK3563" s="14"/>
      <c r="AL3563" s="14"/>
      <c r="AM3563" s="14"/>
      <c r="AN3563" s="14"/>
      <c r="AO3563" s="14"/>
      <c r="AP3563" s="14"/>
      <c r="AQ3563" s="14"/>
      <c r="AR3563" s="14"/>
      <c r="AS3563" s="14"/>
      <c r="AT3563" s="14"/>
      <c r="AU3563" s="14"/>
      <c r="AV3563" s="14"/>
      <c r="AW3563" s="15"/>
      <c r="AX3563" s="16" t="s">
        <v>3533</v>
      </c>
    </row>
    <row r="3564" spans="2:50" x14ac:dyDescent="0.2">
      <c r="B3564" s="7"/>
      <c r="C3564" s="8">
        <v>13995</v>
      </c>
      <c r="D3564" s="9" t="s">
        <v>129</v>
      </c>
      <c r="E3564" s="10" t="str">
        <f t="shared" si="267"/>
        <v>Rancho Zinamba No. 44</v>
      </c>
      <c r="F3564" s="10" t="str">
        <f t="shared" si="268"/>
        <v>Canales</v>
      </c>
      <c r="G3564" s="8">
        <v>1</v>
      </c>
      <c r="H3564" s="11">
        <v>400</v>
      </c>
      <c r="I3564" s="12">
        <v>42799</v>
      </c>
      <c r="J3564" s="35">
        <f t="shared" si="269"/>
        <v>0</v>
      </c>
      <c r="K3564" s="36"/>
      <c r="L3564" s="36"/>
      <c r="M3564" s="36"/>
      <c r="N3564" s="36"/>
      <c r="O3564" s="36"/>
      <c r="P3564" s="36"/>
      <c r="Q3564" s="36"/>
      <c r="R3564" s="36"/>
      <c r="S3564" s="36"/>
      <c r="T3564" s="36"/>
      <c r="U3564" s="36"/>
      <c r="V3564" s="36"/>
      <c r="W3564" s="15">
        <f t="shared" si="270"/>
        <v>0</v>
      </c>
      <c r="X3564" s="36"/>
      <c r="Y3564" s="36"/>
      <c r="Z3564" s="36">
        <v>400</v>
      </c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15">
        <f t="shared" si="271"/>
        <v>400</v>
      </c>
      <c r="AK3564" s="14"/>
      <c r="AL3564" s="14"/>
      <c r="AM3564" s="14"/>
      <c r="AN3564" s="14"/>
      <c r="AO3564" s="14"/>
      <c r="AP3564" s="14"/>
      <c r="AQ3564" s="14"/>
      <c r="AR3564" s="14"/>
      <c r="AS3564" s="14"/>
      <c r="AT3564" s="14"/>
      <c r="AU3564" s="14"/>
      <c r="AV3564" s="14"/>
      <c r="AW3564" s="15"/>
      <c r="AX3564" s="16"/>
    </row>
    <row r="3565" spans="2:50" x14ac:dyDescent="0.2">
      <c r="B3565" s="7"/>
      <c r="C3565" s="8">
        <v>13995</v>
      </c>
      <c r="D3565" s="9" t="s">
        <v>129</v>
      </c>
      <c r="E3565" s="10" t="str">
        <f t="shared" si="267"/>
        <v>Rancho Zinamba No. 44</v>
      </c>
      <c r="F3565" s="10" t="str">
        <f t="shared" si="268"/>
        <v>Canales</v>
      </c>
      <c r="G3565" s="8">
        <v>7</v>
      </c>
      <c r="H3565" s="11">
        <v>100</v>
      </c>
      <c r="I3565" s="12">
        <v>42799</v>
      </c>
      <c r="J3565" s="35">
        <f t="shared" si="269"/>
        <v>0</v>
      </c>
      <c r="K3565" s="36"/>
      <c r="L3565" s="36"/>
      <c r="M3565" s="36"/>
      <c r="N3565" s="36"/>
      <c r="O3565" s="36"/>
      <c r="P3565" s="36"/>
      <c r="Q3565" s="36"/>
      <c r="R3565" s="36"/>
      <c r="S3565" s="36"/>
      <c r="T3565" s="36"/>
      <c r="U3565" s="36"/>
      <c r="V3565" s="36"/>
      <c r="W3565" s="15">
        <f t="shared" si="270"/>
        <v>0</v>
      </c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15">
        <f t="shared" si="271"/>
        <v>0</v>
      </c>
      <c r="AK3565" s="14"/>
      <c r="AL3565" s="14"/>
      <c r="AM3565" s="14"/>
      <c r="AN3565" s="14"/>
      <c r="AO3565" s="14"/>
      <c r="AP3565" s="14"/>
      <c r="AQ3565" s="14"/>
      <c r="AR3565" s="14"/>
      <c r="AS3565" s="14"/>
      <c r="AT3565" s="14"/>
      <c r="AU3565" s="14"/>
      <c r="AV3565" s="14"/>
      <c r="AW3565" s="15"/>
      <c r="AX3565" s="16" t="s">
        <v>3533</v>
      </c>
    </row>
    <row r="3566" spans="2:50" x14ac:dyDescent="0.2">
      <c r="B3566" s="7"/>
      <c r="C3566" s="8">
        <v>13996</v>
      </c>
      <c r="D3566" s="9" t="s">
        <v>458</v>
      </c>
      <c r="E3566" s="10" t="str">
        <f t="shared" si="267"/>
        <v>Rancho Estanzuela No. 143, B</v>
      </c>
      <c r="F3566" s="10" t="str">
        <f t="shared" si="268"/>
        <v>López</v>
      </c>
      <c r="G3566" s="8">
        <v>1</v>
      </c>
      <c r="H3566" s="11">
        <v>400</v>
      </c>
      <c r="I3566" s="12">
        <v>42799</v>
      </c>
      <c r="J3566" s="35">
        <f t="shared" si="269"/>
        <v>0</v>
      </c>
      <c r="K3566" s="36"/>
      <c r="L3566" s="36"/>
      <c r="M3566" s="36"/>
      <c r="N3566" s="36"/>
      <c r="O3566" s="36"/>
      <c r="P3566" s="36"/>
      <c r="Q3566" s="36"/>
      <c r="R3566" s="36"/>
      <c r="S3566" s="36"/>
      <c r="T3566" s="36"/>
      <c r="U3566" s="36"/>
      <c r="V3566" s="36"/>
      <c r="W3566" s="15">
        <f t="shared" si="270"/>
        <v>0</v>
      </c>
      <c r="X3566" s="36"/>
      <c r="Y3566" s="36"/>
      <c r="Z3566" s="36">
        <v>400</v>
      </c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15">
        <f t="shared" si="271"/>
        <v>400</v>
      </c>
      <c r="AK3566" s="14"/>
      <c r="AL3566" s="14"/>
      <c r="AM3566" s="14"/>
      <c r="AN3566" s="14"/>
      <c r="AO3566" s="14"/>
      <c r="AP3566" s="14"/>
      <c r="AQ3566" s="14"/>
      <c r="AR3566" s="14"/>
      <c r="AS3566" s="14"/>
      <c r="AT3566" s="14"/>
      <c r="AU3566" s="14"/>
      <c r="AV3566" s="14"/>
      <c r="AW3566" s="15"/>
      <c r="AX3566" s="16"/>
    </row>
    <row r="3567" spans="2:50" x14ac:dyDescent="0.2">
      <c r="B3567" s="7"/>
      <c r="C3567" s="8">
        <v>13997</v>
      </c>
      <c r="D3567" s="9" t="s">
        <v>174</v>
      </c>
      <c r="E3567" s="10" t="str">
        <f t="shared" ref="E3567:E3592" si="272">IF(D3567=0,"",VLOOKUP(D3567,BASE,2,FALSE))</f>
        <v>Rancho Upácuaro No. 18</v>
      </c>
      <c r="F3567" s="10" t="str">
        <f t="shared" ref="F3567:F3592" si="273">IF(D3567=0,"",VLOOKUP(D3567,BASE,3,FALSE))</f>
        <v>Guzmán</v>
      </c>
      <c r="G3567" s="8">
        <v>1</v>
      </c>
      <c r="H3567" s="11">
        <v>300</v>
      </c>
      <c r="I3567" s="12">
        <v>42799</v>
      </c>
      <c r="J3567" s="35">
        <f t="shared" ref="J3567:J3592" si="274">IF(G3567=1,SUM(W3567,AJ3567,-H3567),0)</f>
        <v>0</v>
      </c>
      <c r="K3567" s="36"/>
      <c r="L3567" s="36"/>
      <c r="M3567" s="36"/>
      <c r="N3567" s="36"/>
      <c r="O3567" s="36"/>
      <c r="P3567" s="36"/>
      <c r="Q3567" s="36"/>
      <c r="R3567" s="36"/>
      <c r="S3567" s="36"/>
      <c r="T3567" s="36"/>
      <c r="U3567" s="36"/>
      <c r="V3567" s="36"/>
      <c r="W3567" s="15">
        <f t="shared" ref="W3567:W3592" si="275">SUM(K3567:V3567)</f>
        <v>0</v>
      </c>
      <c r="X3567" s="36"/>
      <c r="Y3567" s="36"/>
      <c r="Z3567" s="36">
        <v>300</v>
      </c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15">
        <f t="shared" ref="AJ3567:AJ3592" si="276">SUM(X3567:AI3567)</f>
        <v>300</v>
      </c>
      <c r="AK3567" s="14"/>
      <c r="AL3567" s="14"/>
      <c r="AM3567" s="14"/>
      <c r="AN3567" s="14"/>
      <c r="AO3567" s="14"/>
      <c r="AP3567" s="14"/>
      <c r="AQ3567" s="14"/>
      <c r="AR3567" s="14"/>
      <c r="AS3567" s="14"/>
      <c r="AT3567" s="14"/>
      <c r="AU3567" s="14"/>
      <c r="AV3567" s="14"/>
      <c r="AW3567" s="15"/>
      <c r="AX3567" s="16"/>
    </row>
    <row r="3568" spans="2:50" x14ac:dyDescent="0.2">
      <c r="B3568" s="7"/>
      <c r="C3568" s="8">
        <v>13997</v>
      </c>
      <c r="D3568" s="9" t="s">
        <v>174</v>
      </c>
      <c r="E3568" s="10" t="str">
        <f t="shared" si="272"/>
        <v>Rancho Upácuaro No. 18</v>
      </c>
      <c r="F3568" s="10" t="str">
        <f t="shared" si="273"/>
        <v>Guzmán</v>
      </c>
      <c r="G3568" s="8">
        <v>7</v>
      </c>
      <c r="H3568" s="11">
        <v>100</v>
      </c>
      <c r="I3568" s="12">
        <v>42799</v>
      </c>
      <c r="J3568" s="35">
        <f t="shared" si="274"/>
        <v>0</v>
      </c>
      <c r="K3568" s="36"/>
      <c r="L3568" s="36"/>
      <c r="M3568" s="36"/>
      <c r="N3568" s="36"/>
      <c r="O3568" s="36"/>
      <c r="P3568" s="36"/>
      <c r="Q3568" s="36"/>
      <c r="R3568" s="36"/>
      <c r="S3568" s="36"/>
      <c r="T3568" s="36"/>
      <c r="U3568" s="36"/>
      <c r="V3568" s="36"/>
      <c r="W3568" s="15">
        <f t="shared" si="275"/>
        <v>0</v>
      </c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15">
        <f t="shared" si="276"/>
        <v>0</v>
      </c>
      <c r="AK3568" s="14"/>
      <c r="AL3568" s="14"/>
      <c r="AM3568" s="14"/>
      <c r="AN3568" s="14"/>
      <c r="AO3568" s="14"/>
      <c r="AP3568" s="14"/>
      <c r="AQ3568" s="14"/>
      <c r="AR3568" s="14"/>
      <c r="AS3568" s="14"/>
      <c r="AT3568" s="14"/>
      <c r="AU3568" s="14"/>
      <c r="AV3568" s="14"/>
      <c r="AW3568" s="15"/>
      <c r="AX3568" s="16" t="s">
        <v>3533</v>
      </c>
    </row>
    <row r="3569" spans="2:50" x14ac:dyDescent="0.2">
      <c r="B3569" s="7"/>
      <c r="C3569" s="8">
        <v>13998</v>
      </c>
      <c r="D3569" s="9" t="s">
        <v>265</v>
      </c>
      <c r="E3569" s="10" t="str">
        <f t="shared" si="272"/>
        <v>Rancho Upácuaro No. 85</v>
      </c>
      <c r="F3569" s="10" t="str">
        <f t="shared" si="273"/>
        <v>Del Toro Huerta</v>
      </c>
      <c r="G3569" s="8">
        <v>1</v>
      </c>
      <c r="H3569" s="11">
        <v>1200</v>
      </c>
      <c r="I3569" s="12">
        <v>42799</v>
      </c>
      <c r="J3569" s="35">
        <f t="shared" si="274"/>
        <v>0</v>
      </c>
      <c r="K3569" s="36"/>
      <c r="L3569" s="36"/>
      <c r="M3569" s="36"/>
      <c r="N3569" s="36"/>
      <c r="O3569" s="36"/>
      <c r="P3569" s="36"/>
      <c r="Q3569" s="36"/>
      <c r="R3569" s="36"/>
      <c r="S3569" s="36"/>
      <c r="T3569" s="36"/>
      <c r="U3569" s="36"/>
      <c r="V3569" s="36"/>
      <c r="W3569" s="15">
        <f t="shared" si="275"/>
        <v>0</v>
      </c>
      <c r="X3569" s="36">
        <v>400</v>
      </c>
      <c r="Y3569" s="36">
        <v>400</v>
      </c>
      <c r="Z3569" s="36">
        <v>400</v>
      </c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15">
        <f t="shared" si="276"/>
        <v>1200</v>
      </c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14"/>
      <c r="AV3569" s="14"/>
      <c r="AW3569" s="15"/>
      <c r="AX3569" s="16"/>
    </row>
    <row r="3570" spans="2:50" x14ac:dyDescent="0.2">
      <c r="B3570" s="7"/>
      <c r="C3570" s="8">
        <v>13998</v>
      </c>
      <c r="D3570" s="9" t="s">
        <v>265</v>
      </c>
      <c r="E3570" s="10" t="str">
        <f t="shared" si="272"/>
        <v>Rancho Upácuaro No. 85</v>
      </c>
      <c r="F3570" s="10" t="str">
        <f t="shared" si="273"/>
        <v>Del Toro Huerta</v>
      </c>
      <c r="G3570" s="8">
        <v>7</v>
      </c>
      <c r="H3570" s="11">
        <v>100</v>
      </c>
      <c r="I3570" s="12">
        <v>42799</v>
      </c>
      <c r="J3570" s="35">
        <f t="shared" si="274"/>
        <v>0</v>
      </c>
      <c r="K3570" s="36"/>
      <c r="L3570" s="36"/>
      <c r="M3570" s="36"/>
      <c r="N3570" s="36"/>
      <c r="O3570" s="36"/>
      <c r="P3570" s="36"/>
      <c r="Q3570" s="36"/>
      <c r="R3570" s="36"/>
      <c r="S3570" s="36"/>
      <c r="T3570" s="36"/>
      <c r="U3570" s="36"/>
      <c r="V3570" s="36"/>
      <c r="W3570" s="15">
        <f t="shared" si="275"/>
        <v>0</v>
      </c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15">
        <f t="shared" si="276"/>
        <v>0</v>
      </c>
      <c r="AK3570" s="14"/>
      <c r="AL3570" s="14"/>
      <c r="AM3570" s="14"/>
      <c r="AN3570" s="14"/>
      <c r="AO3570" s="14"/>
      <c r="AP3570" s="14"/>
      <c r="AQ3570" s="14"/>
      <c r="AR3570" s="14"/>
      <c r="AS3570" s="14"/>
      <c r="AT3570" s="14"/>
      <c r="AU3570" s="14"/>
      <c r="AV3570" s="14"/>
      <c r="AW3570" s="15"/>
      <c r="AX3570" s="16" t="s">
        <v>3533</v>
      </c>
    </row>
    <row r="3571" spans="2:50" x14ac:dyDescent="0.2">
      <c r="B3571" s="7"/>
      <c r="C3571" s="8">
        <v>13999</v>
      </c>
      <c r="D3571" s="9" t="s">
        <v>268</v>
      </c>
      <c r="E3571" s="10" t="str">
        <f t="shared" si="272"/>
        <v>Rancho Landero No. 90</v>
      </c>
      <c r="F3571" s="10" t="str">
        <f t="shared" si="273"/>
        <v>Córdova Reséndiz</v>
      </c>
      <c r="G3571" s="8">
        <v>1</v>
      </c>
      <c r="H3571" s="11">
        <v>300</v>
      </c>
      <c r="I3571" s="12">
        <v>42799</v>
      </c>
      <c r="J3571" s="35">
        <f t="shared" si="274"/>
        <v>0</v>
      </c>
      <c r="K3571" s="36"/>
      <c r="L3571" s="36"/>
      <c r="M3571" s="36"/>
      <c r="N3571" s="36"/>
      <c r="O3571" s="36"/>
      <c r="P3571" s="36"/>
      <c r="Q3571" s="36"/>
      <c r="R3571" s="36"/>
      <c r="S3571" s="36"/>
      <c r="T3571" s="36"/>
      <c r="U3571" s="36"/>
      <c r="V3571" s="36"/>
      <c r="W3571" s="15">
        <f t="shared" si="275"/>
        <v>0</v>
      </c>
      <c r="X3571" s="36"/>
      <c r="Y3571" s="36"/>
      <c r="Z3571" s="36">
        <v>300</v>
      </c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15">
        <f t="shared" si="276"/>
        <v>300</v>
      </c>
      <c r="AK3571" s="14"/>
      <c r="AL3571" s="14"/>
      <c r="AM3571" s="14"/>
      <c r="AN3571" s="14"/>
      <c r="AO3571" s="14"/>
      <c r="AP3571" s="14"/>
      <c r="AQ3571" s="14"/>
      <c r="AR3571" s="14"/>
      <c r="AS3571" s="14"/>
      <c r="AT3571" s="14"/>
      <c r="AU3571" s="14"/>
      <c r="AV3571" s="14"/>
      <c r="AW3571" s="15"/>
      <c r="AX3571" s="16"/>
    </row>
    <row r="3572" spans="2:50" x14ac:dyDescent="0.2">
      <c r="B3572" s="7"/>
      <c r="C3572" s="8">
        <v>13999</v>
      </c>
      <c r="D3572" s="9" t="s">
        <v>268</v>
      </c>
      <c r="E3572" s="10" t="str">
        <f t="shared" si="272"/>
        <v>Rancho Landero No. 90</v>
      </c>
      <c r="F3572" s="10" t="str">
        <f t="shared" si="273"/>
        <v>Córdova Reséndiz</v>
      </c>
      <c r="G3572" s="8">
        <v>7</v>
      </c>
      <c r="H3572" s="11">
        <v>100</v>
      </c>
      <c r="I3572" s="12">
        <v>42799</v>
      </c>
      <c r="J3572" s="35">
        <f t="shared" si="274"/>
        <v>0</v>
      </c>
      <c r="K3572" s="36"/>
      <c r="L3572" s="36"/>
      <c r="M3572" s="36"/>
      <c r="N3572" s="36"/>
      <c r="O3572" s="36"/>
      <c r="P3572" s="36"/>
      <c r="Q3572" s="36"/>
      <c r="R3572" s="36"/>
      <c r="S3572" s="36"/>
      <c r="T3572" s="36"/>
      <c r="U3572" s="36"/>
      <c r="V3572" s="36"/>
      <c r="W3572" s="15">
        <f t="shared" si="275"/>
        <v>0</v>
      </c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15">
        <f t="shared" si="276"/>
        <v>0</v>
      </c>
      <c r="AK3572" s="14"/>
      <c r="AL3572" s="14"/>
      <c r="AM3572" s="14"/>
      <c r="AN3572" s="14"/>
      <c r="AO3572" s="14"/>
      <c r="AP3572" s="14"/>
      <c r="AQ3572" s="14"/>
      <c r="AR3572" s="14"/>
      <c r="AS3572" s="14"/>
      <c r="AT3572" s="14"/>
      <c r="AU3572" s="14"/>
      <c r="AV3572" s="14"/>
      <c r="AW3572" s="15"/>
      <c r="AX3572" s="16" t="s">
        <v>3533</v>
      </c>
    </row>
    <row r="3573" spans="2:50" x14ac:dyDescent="0.2">
      <c r="B3573" s="7"/>
      <c r="C3573" s="8">
        <v>14000</v>
      </c>
      <c r="D3573" s="9" t="s">
        <v>562</v>
      </c>
      <c r="E3573" s="10" t="str">
        <f t="shared" si="272"/>
        <v>Rancho Upácuaro No. 87</v>
      </c>
      <c r="F3573" s="10" t="str">
        <f t="shared" si="273"/>
        <v>Rodríguez Parés</v>
      </c>
      <c r="G3573" s="8">
        <v>1</v>
      </c>
      <c r="H3573" s="11">
        <v>400</v>
      </c>
      <c r="I3573" s="12">
        <v>42799</v>
      </c>
      <c r="J3573" s="35">
        <f t="shared" si="274"/>
        <v>0</v>
      </c>
      <c r="K3573" s="36"/>
      <c r="L3573" s="36"/>
      <c r="M3573" s="36"/>
      <c r="N3573" s="36"/>
      <c r="O3573" s="36"/>
      <c r="P3573" s="36"/>
      <c r="Q3573" s="36"/>
      <c r="R3573" s="36"/>
      <c r="S3573" s="36"/>
      <c r="T3573" s="36"/>
      <c r="U3573" s="36"/>
      <c r="V3573" s="36"/>
      <c r="W3573" s="15">
        <f t="shared" si="275"/>
        <v>0</v>
      </c>
      <c r="X3573" s="36"/>
      <c r="Y3573" s="36"/>
      <c r="Z3573" s="36">
        <v>400</v>
      </c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15">
        <f t="shared" si="276"/>
        <v>400</v>
      </c>
      <c r="AK3573" s="14"/>
      <c r="AL3573" s="14"/>
      <c r="AM3573" s="14"/>
      <c r="AN3573" s="14"/>
      <c r="AO3573" s="14"/>
      <c r="AP3573" s="14"/>
      <c r="AQ3573" s="14"/>
      <c r="AR3573" s="14"/>
      <c r="AS3573" s="14"/>
      <c r="AT3573" s="14"/>
      <c r="AU3573" s="14"/>
      <c r="AV3573" s="14"/>
      <c r="AW3573" s="15"/>
      <c r="AX3573" s="16"/>
    </row>
    <row r="3574" spans="2:50" x14ac:dyDescent="0.2">
      <c r="B3574" s="7"/>
      <c r="C3574" s="8">
        <v>14000</v>
      </c>
      <c r="D3574" s="9" t="s">
        <v>562</v>
      </c>
      <c r="E3574" s="10" t="str">
        <f t="shared" si="272"/>
        <v>Rancho Upácuaro No. 87</v>
      </c>
      <c r="F3574" s="10" t="str">
        <f t="shared" si="273"/>
        <v>Rodríguez Parés</v>
      </c>
      <c r="G3574" s="8">
        <v>7</v>
      </c>
      <c r="H3574" s="11">
        <v>100</v>
      </c>
      <c r="I3574" s="12">
        <v>42799</v>
      </c>
      <c r="J3574" s="35">
        <f t="shared" si="274"/>
        <v>0</v>
      </c>
      <c r="K3574" s="36"/>
      <c r="L3574" s="36"/>
      <c r="M3574" s="36"/>
      <c r="N3574" s="36"/>
      <c r="O3574" s="36"/>
      <c r="P3574" s="36"/>
      <c r="Q3574" s="36"/>
      <c r="R3574" s="36"/>
      <c r="S3574" s="36"/>
      <c r="T3574" s="36"/>
      <c r="U3574" s="36"/>
      <c r="V3574" s="36"/>
      <c r="W3574" s="15">
        <f t="shared" si="275"/>
        <v>0</v>
      </c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15">
        <f t="shared" si="276"/>
        <v>0</v>
      </c>
      <c r="AK3574" s="14"/>
      <c r="AL3574" s="14"/>
      <c r="AM3574" s="14"/>
      <c r="AN3574" s="14"/>
      <c r="AO3574" s="14"/>
      <c r="AP3574" s="14"/>
      <c r="AQ3574" s="14"/>
      <c r="AR3574" s="14"/>
      <c r="AS3574" s="14"/>
      <c r="AT3574" s="14"/>
      <c r="AU3574" s="14"/>
      <c r="AV3574" s="14"/>
      <c r="AW3574" s="15"/>
      <c r="AX3574" s="16" t="s">
        <v>3533</v>
      </c>
    </row>
    <row r="3575" spans="2:50" x14ac:dyDescent="0.2">
      <c r="B3575" s="7"/>
      <c r="C3575" s="8">
        <v>14001</v>
      </c>
      <c r="D3575" s="9" t="s">
        <v>119</v>
      </c>
      <c r="E3575" s="10" t="str">
        <f t="shared" si="272"/>
        <v>Rancho Landero No. 25</v>
      </c>
      <c r="F3575" s="10" t="str">
        <f t="shared" si="273"/>
        <v>Escamilla Martínez</v>
      </c>
      <c r="G3575" s="8">
        <v>1</v>
      </c>
      <c r="H3575" s="11">
        <v>400</v>
      </c>
      <c r="I3575" s="12">
        <v>42799</v>
      </c>
      <c r="J3575" s="35">
        <f t="shared" si="274"/>
        <v>0</v>
      </c>
      <c r="K3575" s="36"/>
      <c r="L3575" s="36"/>
      <c r="M3575" s="36"/>
      <c r="N3575" s="36"/>
      <c r="O3575" s="36"/>
      <c r="P3575" s="36"/>
      <c r="Q3575" s="36"/>
      <c r="R3575" s="36"/>
      <c r="S3575" s="36"/>
      <c r="T3575" s="36"/>
      <c r="U3575" s="36"/>
      <c r="V3575" s="36"/>
      <c r="W3575" s="15">
        <f t="shared" si="275"/>
        <v>0</v>
      </c>
      <c r="X3575" s="36"/>
      <c r="Y3575" s="36">
        <v>400</v>
      </c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15">
        <f t="shared" si="276"/>
        <v>400</v>
      </c>
      <c r="AK3575" s="14"/>
      <c r="AL3575" s="14"/>
      <c r="AM3575" s="14"/>
      <c r="AN3575" s="14"/>
      <c r="AO3575" s="14"/>
      <c r="AP3575" s="14"/>
      <c r="AQ3575" s="14"/>
      <c r="AR3575" s="14"/>
      <c r="AS3575" s="14"/>
      <c r="AT3575" s="14"/>
      <c r="AU3575" s="14"/>
      <c r="AV3575" s="14"/>
      <c r="AW3575" s="15"/>
      <c r="AX3575" s="16"/>
    </row>
    <row r="3576" spans="2:50" x14ac:dyDescent="0.2">
      <c r="B3576" s="7"/>
      <c r="C3576" s="8">
        <v>14001</v>
      </c>
      <c r="D3576" s="9" t="s">
        <v>119</v>
      </c>
      <c r="E3576" s="10" t="str">
        <f t="shared" si="272"/>
        <v>Rancho Landero No. 25</v>
      </c>
      <c r="F3576" s="10" t="str">
        <f t="shared" si="273"/>
        <v>Escamilla Martínez</v>
      </c>
      <c r="G3576" s="8">
        <v>7</v>
      </c>
      <c r="H3576" s="11">
        <v>100</v>
      </c>
      <c r="I3576" s="12">
        <v>42799</v>
      </c>
      <c r="J3576" s="35">
        <f t="shared" si="274"/>
        <v>0</v>
      </c>
      <c r="K3576" s="36"/>
      <c r="L3576" s="36"/>
      <c r="M3576" s="36"/>
      <c r="N3576" s="36"/>
      <c r="O3576" s="36"/>
      <c r="P3576" s="36"/>
      <c r="Q3576" s="36"/>
      <c r="R3576" s="36"/>
      <c r="S3576" s="36"/>
      <c r="T3576" s="36"/>
      <c r="U3576" s="36"/>
      <c r="V3576" s="36"/>
      <c r="W3576" s="15">
        <f t="shared" si="275"/>
        <v>0</v>
      </c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15">
        <f t="shared" si="276"/>
        <v>0</v>
      </c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14"/>
      <c r="AV3576" s="14"/>
      <c r="AW3576" s="15"/>
      <c r="AX3576" s="16" t="s">
        <v>3533</v>
      </c>
    </row>
    <row r="3577" spans="2:50" x14ac:dyDescent="0.2">
      <c r="B3577" s="7"/>
      <c r="C3577" s="8">
        <v>14002</v>
      </c>
      <c r="D3577" s="9" t="s">
        <v>646</v>
      </c>
      <c r="E3577" s="10" t="str">
        <f t="shared" si="272"/>
        <v>Rancho Landero No. 84</v>
      </c>
      <c r="F3577" s="10" t="str">
        <f t="shared" si="273"/>
        <v>Alcántara</v>
      </c>
      <c r="G3577" s="8">
        <v>1</v>
      </c>
      <c r="H3577" s="11">
        <v>750</v>
      </c>
      <c r="I3577" s="12">
        <v>42799</v>
      </c>
      <c r="J3577" s="35">
        <f t="shared" si="274"/>
        <v>0</v>
      </c>
      <c r="K3577" s="36"/>
      <c r="L3577" s="36"/>
      <c r="M3577" s="36"/>
      <c r="N3577" s="36"/>
      <c r="O3577" s="36"/>
      <c r="P3577" s="36"/>
      <c r="Q3577" s="36"/>
      <c r="R3577" s="36"/>
      <c r="S3577" s="36"/>
      <c r="T3577" s="36"/>
      <c r="U3577" s="36"/>
      <c r="V3577" s="36"/>
      <c r="W3577" s="15">
        <f t="shared" si="275"/>
        <v>0</v>
      </c>
      <c r="X3577" s="36">
        <v>250</v>
      </c>
      <c r="Y3577" s="36">
        <v>250</v>
      </c>
      <c r="Z3577" s="36">
        <v>250</v>
      </c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15">
        <f t="shared" si="276"/>
        <v>750</v>
      </c>
      <c r="AK3577" s="14"/>
      <c r="AL3577" s="14"/>
      <c r="AM3577" s="14"/>
      <c r="AN3577" s="14"/>
      <c r="AO3577" s="14"/>
      <c r="AP3577" s="14"/>
      <c r="AQ3577" s="14"/>
      <c r="AR3577" s="14"/>
      <c r="AS3577" s="14"/>
      <c r="AT3577" s="14"/>
      <c r="AU3577" s="14"/>
      <c r="AV3577" s="14"/>
      <c r="AW3577" s="15"/>
      <c r="AX3577" s="16"/>
    </row>
    <row r="3578" spans="2:50" x14ac:dyDescent="0.2">
      <c r="B3578" s="7"/>
      <c r="C3578" s="8">
        <v>14002</v>
      </c>
      <c r="D3578" s="9" t="s">
        <v>646</v>
      </c>
      <c r="E3578" s="10" t="str">
        <f t="shared" si="272"/>
        <v>Rancho Landero No. 84</v>
      </c>
      <c r="F3578" s="10" t="str">
        <f t="shared" si="273"/>
        <v>Alcántara</v>
      </c>
      <c r="G3578" s="8">
        <v>5</v>
      </c>
      <c r="H3578" s="11">
        <v>100</v>
      </c>
      <c r="I3578" s="12">
        <v>42799</v>
      </c>
      <c r="J3578" s="35">
        <f t="shared" si="274"/>
        <v>0</v>
      </c>
      <c r="K3578" s="36"/>
      <c r="L3578" s="36"/>
      <c r="M3578" s="36"/>
      <c r="N3578" s="36"/>
      <c r="O3578" s="36"/>
      <c r="P3578" s="36"/>
      <c r="Q3578" s="36"/>
      <c r="R3578" s="36"/>
      <c r="S3578" s="36"/>
      <c r="T3578" s="36"/>
      <c r="U3578" s="36"/>
      <c r="V3578" s="36"/>
      <c r="W3578" s="15">
        <f t="shared" si="275"/>
        <v>0</v>
      </c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15">
        <f t="shared" si="276"/>
        <v>0</v>
      </c>
      <c r="AK3578" s="14"/>
      <c r="AL3578" s="14"/>
      <c r="AM3578" s="14"/>
      <c r="AN3578" s="14"/>
      <c r="AO3578" s="14"/>
      <c r="AP3578" s="14"/>
      <c r="AQ3578" s="14"/>
      <c r="AR3578" s="14"/>
      <c r="AS3578" s="14"/>
      <c r="AT3578" s="14"/>
      <c r="AU3578" s="14"/>
      <c r="AV3578" s="14"/>
      <c r="AW3578" s="15"/>
      <c r="AX3578" s="16"/>
    </row>
    <row r="3579" spans="2:50" x14ac:dyDescent="0.2">
      <c r="B3579" s="7"/>
      <c r="C3579" s="8">
        <v>14003</v>
      </c>
      <c r="D3579" s="9" t="s">
        <v>3178</v>
      </c>
      <c r="E3579" s="10" t="str">
        <f t="shared" si="272"/>
        <v>Rancho La Cuchilla No. 103</v>
      </c>
      <c r="F3579" s="10" t="str">
        <f t="shared" si="273"/>
        <v>Bernal</v>
      </c>
      <c r="G3579" s="8">
        <v>1</v>
      </c>
      <c r="H3579" s="11">
        <v>500</v>
      </c>
      <c r="I3579" s="12">
        <v>42799</v>
      </c>
      <c r="J3579" s="35">
        <f t="shared" si="274"/>
        <v>0</v>
      </c>
      <c r="K3579" s="36"/>
      <c r="L3579" s="36"/>
      <c r="M3579" s="36"/>
      <c r="N3579" s="36"/>
      <c r="O3579" s="36"/>
      <c r="P3579" s="36"/>
      <c r="Q3579" s="36"/>
      <c r="R3579" s="36"/>
      <c r="S3579" s="36"/>
      <c r="T3579" s="36"/>
      <c r="U3579" s="36"/>
      <c r="V3579" s="36"/>
      <c r="W3579" s="15">
        <f t="shared" si="275"/>
        <v>0</v>
      </c>
      <c r="X3579" s="36"/>
      <c r="Y3579" s="36"/>
      <c r="Z3579" s="36">
        <v>500</v>
      </c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15">
        <f t="shared" si="276"/>
        <v>500</v>
      </c>
      <c r="AK3579" s="14"/>
      <c r="AL3579" s="14"/>
      <c r="AM3579" s="14"/>
      <c r="AN3579" s="14"/>
      <c r="AO3579" s="14"/>
      <c r="AP3579" s="14"/>
      <c r="AQ3579" s="14"/>
      <c r="AR3579" s="14"/>
      <c r="AS3579" s="14"/>
      <c r="AT3579" s="14"/>
      <c r="AU3579" s="14"/>
      <c r="AV3579" s="14"/>
      <c r="AW3579" s="15"/>
      <c r="AX3579" s="16"/>
    </row>
    <row r="3580" spans="2:50" x14ac:dyDescent="0.2">
      <c r="B3580" s="7"/>
      <c r="C3580" s="8">
        <v>14004</v>
      </c>
      <c r="D3580" s="9" t="s">
        <v>313</v>
      </c>
      <c r="E3580" s="10" t="str">
        <f t="shared" si="272"/>
        <v>Rancho La Cuchilla No. 87</v>
      </c>
      <c r="F3580" s="10" t="str">
        <f t="shared" si="273"/>
        <v>Villanueva S.</v>
      </c>
      <c r="G3580" s="8">
        <v>1</v>
      </c>
      <c r="H3580" s="11">
        <v>400</v>
      </c>
      <c r="I3580" s="12">
        <v>42799</v>
      </c>
      <c r="J3580" s="35">
        <f t="shared" si="274"/>
        <v>0</v>
      </c>
      <c r="K3580" s="36"/>
      <c r="L3580" s="36"/>
      <c r="M3580" s="36"/>
      <c r="N3580" s="36"/>
      <c r="O3580" s="36"/>
      <c r="P3580" s="36"/>
      <c r="Q3580" s="36"/>
      <c r="R3580" s="36"/>
      <c r="S3580" s="36"/>
      <c r="T3580" s="36"/>
      <c r="U3580" s="36"/>
      <c r="V3580" s="36"/>
      <c r="W3580" s="15">
        <f t="shared" si="275"/>
        <v>0</v>
      </c>
      <c r="X3580" s="36"/>
      <c r="Y3580" s="36"/>
      <c r="Z3580" s="36">
        <v>400</v>
      </c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15">
        <f t="shared" si="276"/>
        <v>400</v>
      </c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14"/>
      <c r="AV3580" s="14"/>
      <c r="AW3580" s="15"/>
      <c r="AX3580" s="16"/>
    </row>
    <row r="3581" spans="2:50" x14ac:dyDescent="0.2">
      <c r="B3581" s="7"/>
      <c r="C3581" s="8">
        <v>14004</v>
      </c>
      <c r="D3581" s="9" t="s">
        <v>313</v>
      </c>
      <c r="E3581" s="10" t="str">
        <f t="shared" si="272"/>
        <v>Rancho La Cuchilla No. 87</v>
      </c>
      <c r="F3581" s="10" t="str">
        <f t="shared" si="273"/>
        <v>Villanueva S.</v>
      </c>
      <c r="G3581" s="8">
        <v>7</v>
      </c>
      <c r="H3581" s="11">
        <v>100</v>
      </c>
      <c r="I3581" s="12">
        <v>42799</v>
      </c>
      <c r="J3581" s="35">
        <f t="shared" si="274"/>
        <v>0</v>
      </c>
      <c r="K3581" s="36"/>
      <c r="L3581" s="36"/>
      <c r="M3581" s="36"/>
      <c r="N3581" s="36"/>
      <c r="O3581" s="36"/>
      <c r="P3581" s="36"/>
      <c r="Q3581" s="36"/>
      <c r="R3581" s="36"/>
      <c r="S3581" s="36"/>
      <c r="T3581" s="36"/>
      <c r="U3581" s="36"/>
      <c r="V3581" s="36"/>
      <c r="W3581" s="15">
        <f t="shared" si="275"/>
        <v>0</v>
      </c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15">
        <f t="shared" si="276"/>
        <v>0</v>
      </c>
      <c r="AK3581" s="14"/>
      <c r="AL3581" s="14"/>
      <c r="AM3581" s="14"/>
      <c r="AN3581" s="14"/>
      <c r="AO3581" s="14"/>
      <c r="AP3581" s="14"/>
      <c r="AQ3581" s="14"/>
      <c r="AR3581" s="14"/>
      <c r="AS3581" s="14"/>
      <c r="AT3581" s="14"/>
      <c r="AU3581" s="14"/>
      <c r="AV3581" s="14"/>
      <c r="AW3581" s="15"/>
      <c r="AX3581" s="16" t="s">
        <v>3533</v>
      </c>
    </row>
    <row r="3582" spans="2:50" x14ac:dyDescent="0.2">
      <c r="B3582" s="7"/>
      <c r="C3582" s="8">
        <v>14005</v>
      </c>
      <c r="D3582" s="9" t="s">
        <v>153</v>
      </c>
      <c r="E3582" s="10" t="str">
        <f t="shared" si="272"/>
        <v>Rancho La Cuchilla No. 92</v>
      </c>
      <c r="F3582" s="10" t="str">
        <f t="shared" si="273"/>
        <v>Cabrera</v>
      </c>
      <c r="G3582" s="8">
        <v>1</v>
      </c>
      <c r="H3582" s="11">
        <v>400</v>
      </c>
      <c r="I3582" s="12">
        <v>42799</v>
      </c>
      <c r="J3582" s="35">
        <f t="shared" si="274"/>
        <v>0</v>
      </c>
      <c r="K3582" s="36"/>
      <c r="L3582" s="36"/>
      <c r="M3582" s="36"/>
      <c r="N3582" s="36"/>
      <c r="O3582" s="36"/>
      <c r="P3582" s="36"/>
      <c r="Q3582" s="36"/>
      <c r="R3582" s="36"/>
      <c r="S3582" s="36"/>
      <c r="T3582" s="36"/>
      <c r="U3582" s="36"/>
      <c r="V3582" s="36"/>
      <c r="W3582" s="15">
        <f t="shared" si="275"/>
        <v>0</v>
      </c>
      <c r="X3582" s="36"/>
      <c r="Y3582" s="36"/>
      <c r="Z3582" s="36">
        <v>400</v>
      </c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15">
        <f t="shared" si="276"/>
        <v>400</v>
      </c>
      <c r="AK3582" s="14"/>
      <c r="AL3582" s="14"/>
      <c r="AM3582" s="14"/>
      <c r="AN3582" s="14"/>
      <c r="AO3582" s="14"/>
      <c r="AP3582" s="14"/>
      <c r="AQ3582" s="14"/>
      <c r="AR3582" s="14"/>
      <c r="AS3582" s="14"/>
      <c r="AT3582" s="14"/>
      <c r="AU3582" s="14"/>
      <c r="AV3582" s="14"/>
      <c r="AW3582" s="15"/>
      <c r="AX3582" s="16"/>
    </row>
    <row r="3583" spans="2:50" x14ac:dyDescent="0.2">
      <c r="B3583" s="7"/>
      <c r="C3583" s="8">
        <v>14005</v>
      </c>
      <c r="D3583" s="9" t="s">
        <v>153</v>
      </c>
      <c r="E3583" s="10" t="str">
        <f t="shared" si="272"/>
        <v>Rancho La Cuchilla No. 92</v>
      </c>
      <c r="F3583" s="10" t="str">
        <f t="shared" si="273"/>
        <v>Cabrera</v>
      </c>
      <c r="G3583" s="8">
        <v>7</v>
      </c>
      <c r="H3583" s="11">
        <v>100</v>
      </c>
      <c r="I3583" s="12">
        <v>42799</v>
      </c>
      <c r="J3583" s="35">
        <f t="shared" si="274"/>
        <v>0</v>
      </c>
      <c r="K3583" s="36"/>
      <c r="L3583" s="36"/>
      <c r="M3583" s="36"/>
      <c r="N3583" s="36"/>
      <c r="O3583" s="36"/>
      <c r="P3583" s="36"/>
      <c r="Q3583" s="36"/>
      <c r="R3583" s="36"/>
      <c r="S3583" s="36"/>
      <c r="T3583" s="36"/>
      <c r="U3583" s="36"/>
      <c r="V3583" s="36"/>
      <c r="W3583" s="15">
        <f t="shared" si="275"/>
        <v>0</v>
      </c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15">
        <f t="shared" si="276"/>
        <v>0</v>
      </c>
      <c r="AK3583" s="14"/>
      <c r="AL3583" s="14"/>
      <c r="AM3583" s="14"/>
      <c r="AN3583" s="14"/>
      <c r="AO3583" s="14"/>
      <c r="AP3583" s="14"/>
      <c r="AQ3583" s="14"/>
      <c r="AR3583" s="14"/>
      <c r="AS3583" s="14"/>
      <c r="AT3583" s="14"/>
      <c r="AU3583" s="14"/>
      <c r="AV3583" s="14"/>
      <c r="AW3583" s="15"/>
      <c r="AX3583" s="16" t="s">
        <v>3533</v>
      </c>
    </row>
    <row r="3584" spans="2:50" x14ac:dyDescent="0.2">
      <c r="B3584" s="7"/>
      <c r="C3584" s="8">
        <v>14006</v>
      </c>
      <c r="D3584" s="9" t="s">
        <v>171</v>
      </c>
      <c r="E3584" s="10" t="str">
        <f t="shared" si="272"/>
        <v>Rancho La Cuchilla No. 72</v>
      </c>
      <c r="F3584" s="10" t="str">
        <f t="shared" si="273"/>
        <v>Ortiz González</v>
      </c>
      <c r="G3584" s="8">
        <v>1</v>
      </c>
      <c r="H3584" s="11">
        <v>400</v>
      </c>
      <c r="I3584" s="12">
        <v>42799</v>
      </c>
      <c r="J3584" s="35">
        <f t="shared" si="274"/>
        <v>0</v>
      </c>
      <c r="K3584" s="36"/>
      <c r="L3584" s="36"/>
      <c r="M3584" s="36"/>
      <c r="N3584" s="36"/>
      <c r="O3584" s="36"/>
      <c r="P3584" s="36"/>
      <c r="Q3584" s="36"/>
      <c r="R3584" s="36"/>
      <c r="S3584" s="36"/>
      <c r="T3584" s="36"/>
      <c r="U3584" s="36"/>
      <c r="V3584" s="36"/>
      <c r="W3584" s="15">
        <f t="shared" si="275"/>
        <v>0</v>
      </c>
      <c r="X3584" s="36"/>
      <c r="Y3584" s="36"/>
      <c r="Z3584" s="36">
        <v>400</v>
      </c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15">
        <f t="shared" si="276"/>
        <v>400</v>
      </c>
      <c r="AK3584" s="14"/>
      <c r="AL3584" s="14"/>
      <c r="AM3584" s="14"/>
      <c r="AN3584" s="14"/>
      <c r="AO3584" s="14"/>
      <c r="AP3584" s="14"/>
      <c r="AQ3584" s="14"/>
      <c r="AR3584" s="14"/>
      <c r="AS3584" s="14"/>
      <c r="AT3584" s="14"/>
      <c r="AU3584" s="14"/>
      <c r="AV3584" s="14"/>
      <c r="AW3584" s="15"/>
      <c r="AX3584" s="16"/>
    </row>
    <row r="3585" spans="2:50" x14ac:dyDescent="0.2">
      <c r="B3585" s="7"/>
      <c r="C3585" s="8">
        <v>14006</v>
      </c>
      <c r="D3585" s="9" t="s">
        <v>171</v>
      </c>
      <c r="E3585" s="10" t="str">
        <f t="shared" si="272"/>
        <v>Rancho La Cuchilla No. 72</v>
      </c>
      <c r="F3585" s="10" t="str">
        <f t="shared" si="273"/>
        <v>Ortiz González</v>
      </c>
      <c r="G3585" s="8">
        <v>7</v>
      </c>
      <c r="H3585" s="11">
        <v>100</v>
      </c>
      <c r="I3585" s="12">
        <v>42799</v>
      </c>
      <c r="J3585" s="35">
        <f t="shared" si="274"/>
        <v>0</v>
      </c>
      <c r="K3585" s="36"/>
      <c r="L3585" s="36"/>
      <c r="M3585" s="36"/>
      <c r="N3585" s="36"/>
      <c r="O3585" s="36"/>
      <c r="P3585" s="36"/>
      <c r="Q3585" s="36"/>
      <c r="R3585" s="36"/>
      <c r="S3585" s="36"/>
      <c r="T3585" s="36"/>
      <c r="U3585" s="36"/>
      <c r="V3585" s="36"/>
      <c r="W3585" s="15">
        <f t="shared" si="275"/>
        <v>0</v>
      </c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15">
        <f t="shared" si="276"/>
        <v>0</v>
      </c>
      <c r="AK3585" s="14"/>
      <c r="AL3585" s="14"/>
      <c r="AM3585" s="14"/>
      <c r="AN3585" s="14"/>
      <c r="AO3585" s="14"/>
      <c r="AP3585" s="14"/>
      <c r="AQ3585" s="14"/>
      <c r="AR3585" s="14"/>
      <c r="AS3585" s="14"/>
      <c r="AT3585" s="14"/>
      <c r="AU3585" s="14"/>
      <c r="AV3585" s="14"/>
      <c r="AW3585" s="15"/>
      <c r="AX3585" s="16" t="s">
        <v>3533</v>
      </c>
    </row>
    <row r="3586" spans="2:50" x14ac:dyDescent="0.2">
      <c r="B3586" s="7"/>
      <c r="C3586" s="8">
        <v>14007</v>
      </c>
      <c r="D3586" s="9" t="s">
        <v>583</v>
      </c>
      <c r="E3586" s="10" t="str">
        <f t="shared" si="272"/>
        <v>Rancho La Cuchilla No. 111</v>
      </c>
      <c r="F3586" s="10" t="str">
        <f t="shared" si="273"/>
        <v>García Santos Ofelia</v>
      </c>
      <c r="G3586" s="8">
        <v>1</v>
      </c>
      <c r="H3586" s="11">
        <v>200</v>
      </c>
      <c r="I3586" s="12">
        <v>42799</v>
      </c>
      <c r="J3586" s="35">
        <f t="shared" si="274"/>
        <v>0</v>
      </c>
      <c r="K3586" s="36"/>
      <c r="L3586" s="36"/>
      <c r="M3586" s="36"/>
      <c r="N3586" s="36"/>
      <c r="O3586" s="36"/>
      <c r="P3586" s="36"/>
      <c r="Q3586" s="36"/>
      <c r="R3586" s="36"/>
      <c r="S3586" s="36"/>
      <c r="T3586" s="36"/>
      <c r="U3586" s="36"/>
      <c r="V3586" s="36"/>
      <c r="W3586" s="15">
        <f t="shared" si="275"/>
        <v>0</v>
      </c>
      <c r="X3586" s="36"/>
      <c r="Y3586" s="36"/>
      <c r="Z3586" s="36">
        <v>200</v>
      </c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15">
        <f t="shared" si="276"/>
        <v>200</v>
      </c>
      <c r="AK3586" s="14"/>
      <c r="AL3586" s="14"/>
      <c r="AM3586" s="14"/>
      <c r="AN3586" s="14"/>
      <c r="AO3586" s="14"/>
      <c r="AP3586" s="14"/>
      <c r="AQ3586" s="14"/>
      <c r="AR3586" s="14"/>
      <c r="AS3586" s="14"/>
      <c r="AT3586" s="14"/>
      <c r="AU3586" s="14"/>
      <c r="AV3586" s="14"/>
      <c r="AW3586" s="15"/>
      <c r="AX3586" s="16"/>
    </row>
    <row r="3587" spans="2:50" x14ac:dyDescent="0.2">
      <c r="B3587" s="7"/>
      <c r="C3587" s="8">
        <v>14008</v>
      </c>
      <c r="D3587" s="9" t="s">
        <v>476</v>
      </c>
      <c r="E3587" s="10" t="str">
        <f t="shared" si="272"/>
        <v>Rancho Upácuaro No. 33</v>
      </c>
      <c r="F3587" s="10" t="str">
        <f t="shared" si="273"/>
        <v>Ulloa Miranda</v>
      </c>
      <c r="G3587" s="8">
        <v>1</v>
      </c>
      <c r="H3587" s="11">
        <v>400</v>
      </c>
      <c r="I3587" s="12">
        <v>42799</v>
      </c>
      <c r="J3587" s="35">
        <f t="shared" si="274"/>
        <v>0</v>
      </c>
      <c r="K3587" s="36"/>
      <c r="L3587" s="36"/>
      <c r="M3587" s="36"/>
      <c r="N3587" s="36"/>
      <c r="O3587" s="36"/>
      <c r="P3587" s="36"/>
      <c r="Q3587" s="36"/>
      <c r="R3587" s="36"/>
      <c r="S3587" s="36"/>
      <c r="T3587" s="36"/>
      <c r="U3587" s="36"/>
      <c r="V3587" s="36"/>
      <c r="W3587" s="15">
        <f t="shared" si="275"/>
        <v>0</v>
      </c>
      <c r="X3587" s="36"/>
      <c r="Y3587" s="36"/>
      <c r="Z3587" s="36">
        <v>400</v>
      </c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15">
        <f t="shared" si="276"/>
        <v>400</v>
      </c>
      <c r="AK3587" s="14"/>
      <c r="AL3587" s="14"/>
      <c r="AM3587" s="14"/>
      <c r="AN3587" s="14"/>
      <c r="AO3587" s="14"/>
      <c r="AP3587" s="14"/>
      <c r="AQ3587" s="14"/>
      <c r="AR3587" s="14"/>
      <c r="AS3587" s="14"/>
      <c r="AT3587" s="14"/>
      <c r="AU3587" s="14"/>
      <c r="AV3587" s="14"/>
      <c r="AW3587" s="15"/>
      <c r="AX3587" s="16"/>
    </row>
    <row r="3588" spans="2:50" x14ac:dyDescent="0.2">
      <c r="B3588" s="7"/>
      <c r="C3588" s="8">
        <v>14008</v>
      </c>
      <c r="D3588" s="9" t="s">
        <v>476</v>
      </c>
      <c r="E3588" s="10" t="str">
        <f t="shared" si="272"/>
        <v>Rancho Upácuaro No. 33</v>
      </c>
      <c r="F3588" s="10" t="str">
        <f t="shared" si="273"/>
        <v>Ulloa Miranda</v>
      </c>
      <c r="G3588" s="8">
        <v>7</v>
      </c>
      <c r="H3588" s="11">
        <v>100</v>
      </c>
      <c r="I3588" s="12">
        <v>42799</v>
      </c>
      <c r="J3588" s="35">
        <f t="shared" si="274"/>
        <v>0</v>
      </c>
      <c r="K3588" s="36"/>
      <c r="L3588" s="36"/>
      <c r="M3588" s="36"/>
      <c r="N3588" s="36"/>
      <c r="O3588" s="36"/>
      <c r="P3588" s="36"/>
      <c r="Q3588" s="36"/>
      <c r="R3588" s="36"/>
      <c r="S3588" s="36"/>
      <c r="T3588" s="36"/>
      <c r="U3588" s="36"/>
      <c r="V3588" s="36"/>
      <c r="W3588" s="15">
        <f t="shared" si="275"/>
        <v>0</v>
      </c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15">
        <f t="shared" si="276"/>
        <v>0</v>
      </c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14"/>
      <c r="AV3588" s="14"/>
      <c r="AW3588" s="15"/>
      <c r="AX3588" s="16" t="s">
        <v>3533</v>
      </c>
    </row>
    <row r="3589" spans="2:50" x14ac:dyDescent="0.2">
      <c r="B3589" s="7"/>
      <c r="C3589" s="8">
        <v>14009</v>
      </c>
      <c r="D3589" s="9" t="s">
        <v>749</v>
      </c>
      <c r="E3589" s="10" t="str">
        <f t="shared" si="272"/>
        <v>Rancho Landero No. 96</v>
      </c>
      <c r="F3589" s="10" t="str">
        <f t="shared" si="273"/>
        <v>Espinoza Aguirre</v>
      </c>
      <c r="G3589" s="8">
        <v>1</v>
      </c>
      <c r="H3589" s="11">
        <v>1200</v>
      </c>
      <c r="I3589" s="12">
        <v>42799</v>
      </c>
      <c r="J3589" s="35">
        <f t="shared" si="274"/>
        <v>0</v>
      </c>
      <c r="K3589" s="36"/>
      <c r="L3589" s="36"/>
      <c r="M3589" s="36"/>
      <c r="N3589" s="36"/>
      <c r="O3589" s="36"/>
      <c r="P3589" s="36"/>
      <c r="Q3589" s="36"/>
      <c r="R3589" s="36"/>
      <c r="S3589" s="36"/>
      <c r="T3589" s="36"/>
      <c r="U3589" s="36"/>
      <c r="V3589" s="36"/>
      <c r="W3589" s="15">
        <f t="shared" si="275"/>
        <v>0</v>
      </c>
      <c r="X3589" s="36">
        <v>400</v>
      </c>
      <c r="Y3589" s="36">
        <v>400</v>
      </c>
      <c r="Z3589" s="36">
        <v>400</v>
      </c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15">
        <f t="shared" si="276"/>
        <v>1200</v>
      </c>
      <c r="AK3589" s="14"/>
      <c r="AL3589" s="14"/>
      <c r="AM3589" s="14"/>
      <c r="AN3589" s="14"/>
      <c r="AO3589" s="14"/>
      <c r="AP3589" s="14"/>
      <c r="AQ3589" s="14"/>
      <c r="AR3589" s="14"/>
      <c r="AS3589" s="14"/>
      <c r="AT3589" s="14"/>
      <c r="AU3589" s="14"/>
      <c r="AV3589" s="14"/>
      <c r="AW3589" s="15"/>
      <c r="AX3589" s="16"/>
    </row>
    <row r="3590" spans="2:50" x14ac:dyDescent="0.2">
      <c r="B3590" s="7"/>
      <c r="C3590" s="8">
        <v>14009</v>
      </c>
      <c r="D3590" s="9" t="s">
        <v>749</v>
      </c>
      <c r="E3590" s="10" t="str">
        <f t="shared" si="272"/>
        <v>Rancho Landero No. 96</v>
      </c>
      <c r="F3590" s="10" t="str">
        <f t="shared" si="273"/>
        <v>Espinoza Aguirre</v>
      </c>
      <c r="G3590" s="8">
        <v>7</v>
      </c>
      <c r="H3590" s="11">
        <v>100</v>
      </c>
      <c r="I3590" s="12">
        <v>42799</v>
      </c>
      <c r="J3590" s="35">
        <f t="shared" si="274"/>
        <v>0</v>
      </c>
      <c r="K3590" s="36"/>
      <c r="L3590" s="36"/>
      <c r="M3590" s="36"/>
      <c r="N3590" s="36"/>
      <c r="O3590" s="36"/>
      <c r="P3590" s="36"/>
      <c r="Q3590" s="36"/>
      <c r="R3590" s="36"/>
      <c r="S3590" s="36"/>
      <c r="T3590" s="36"/>
      <c r="U3590" s="36"/>
      <c r="V3590" s="36"/>
      <c r="W3590" s="15">
        <f t="shared" si="275"/>
        <v>0</v>
      </c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15">
        <f t="shared" si="276"/>
        <v>0</v>
      </c>
      <c r="AK3590" s="14"/>
      <c r="AL3590" s="14"/>
      <c r="AM3590" s="14"/>
      <c r="AN3590" s="14"/>
      <c r="AO3590" s="14"/>
      <c r="AP3590" s="14"/>
      <c r="AQ3590" s="14"/>
      <c r="AR3590" s="14"/>
      <c r="AS3590" s="14"/>
      <c r="AT3590" s="14"/>
      <c r="AU3590" s="14"/>
      <c r="AV3590" s="14"/>
      <c r="AW3590" s="15"/>
      <c r="AX3590" s="16" t="s">
        <v>3533</v>
      </c>
    </row>
    <row r="3591" spans="2:50" x14ac:dyDescent="0.2">
      <c r="B3591" s="7"/>
      <c r="C3591" s="8">
        <v>14010</v>
      </c>
      <c r="D3591" s="9" t="s">
        <v>828</v>
      </c>
      <c r="E3591" s="10" t="str">
        <f t="shared" si="272"/>
        <v>Rancho Upácuaro No. 130</v>
      </c>
      <c r="F3591" s="10" t="str">
        <f t="shared" si="273"/>
        <v>Rodríguez Álvarez</v>
      </c>
      <c r="G3591" s="8">
        <v>1</v>
      </c>
      <c r="H3591" s="11">
        <v>400</v>
      </c>
      <c r="I3591" s="12">
        <v>42799</v>
      </c>
      <c r="J3591" s="35">
        <f t="shared" si="274"/>
        <v>0</v>
      </c>
      <c r="K3591" s="36"/>
      <c r="L3591" s="36"/>
      <c r="M3591" s="36"/>
      <c r="N3591" s="36"/>
      <c r="O3591" s="36"/>
      <c r="P3591" s="36"/>
      <c r="Q3591" s="36"/>
      <c r="R3591" s="36"/>
      <c r="S3591" s="36"/>
      <c r="T3591" s="36"/>
      <c r="U3591" s="36"/>
      <c r="V3591" s="36"/>
      <c r="W3591" s="15">
        <f t="shared" si="275"/>
        <v>0</v>
      </c>
      <c r="X3591" s="36">
        <v>200</v>
      </c>
      <c r="Y3591" s="36">
        <v>200</v>
      </c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15">
        <f t="shared" si="276"/>
        <v>400</v>
      </c>
      <c r="AK3591" s="14"/>
      <c r="AL3591" s="14"/>
      <c r="AM3591" s="14"/>
      <c r="AN3591" s="14"/>
      <c r="AO3591" s="14"/>
      <c r="AP3591" s="14"/>
      <c r="AQ3591" s="14"/>
      <c r="AR3591" s="14"/>
      <c r="AS3591" s="14"/>
      <c r="AT3591" s="14"/>
      <c r="AU3591" s="14"/>
      <c r="AV3591" s="14"/>
      <c r="AW3591" s="15"/>
      <c r="AX3591" s="16"/>
    </row>
    <row r="3592" spans="2:50" x14ac:dyDescent="0.2">
      <c r="B3592" s="7"/>
      <c r="C3592" s="8">
        <v>14010</v>
      </c>
      <c r="D3592" s="9" t="s">
        <v>828</v>
      </c>
      <c r="E3592" s="10" t="str">
        <f t="shared" si="272"/>
        <v>Rancho Upácuaro No. 130</v>
      </c>
      <c r="F3592" s="10" t="str">
        <f t="shared" si="273"/>
        <v>Rodríguez Álvarez</v>
      </c>
      <c r="G3592" s="8">
        <v>7</v>
      </c>
      <c r="H3592" s="11">
        <v>100</v>
      </c>
      <c r="I3592" s="12">
        <v>42799</v>
      </c>
      <c r="J3592" s="35">
        <f t="shared" si="274"/>
        <v>0</v>
      </c>
      <c r="K3592" s="36"/>
      <c r="L3592" s="36"/>
      <c r="M3592" s="36"/>
      <c r="N3592" s="36"/>
      <c r="O3592" s="36"/>
      <c r="P3592" s="36"/>
      <c r="Q3592" s="36"/>
      <c r="R3592" s="36"/>
      <c r="S3592" s="36"/>
      <c r="T3592" s="36"/>
      <c r="U3592" s="36"/>
      <c r="V3592" s="36"/>
      <c r="W3592" s="15">
        <f t="shared" si="275"/>
        <v>0</v>
      </c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15">
        <f t="shared" si="276"/>
        <v>0</v>
      </c>
      <c r="AK3592" s="14"/>
      <c r="AL3592" s="14"/>
      <c r="AM3592" s="14"/>
      <c r="AN3592" s="14"/>
      <c r="AO3592" s="14"/>
      <c r="AP3592" s="14"/>
      <c r="AQ3592" s="14"/>
      <c r="AR3592" s="14"/>
      <c r="AS3592" s="14"/>
      <c r="AT3592" s="14"/>
      <c r="AU3592" s="14"/>
      <c r="AV3592" s="14"/>
      <c r="AW3592" s="15"/>
      <c r="AX3592" s="16" t="s">
        <v>3533</v>
      </c>
    </row>
    <row r="3593" spans="2:50" x14ac:dyDescent="0.2">
      <c r="B3593" s="7"/>
      <c r="C3593" s="8">
        <v>14011</v>
      </c>
      <c r="D3593" s="9" t="s">
        <v>652</v>
      </c>
      <c r="E3593" s="10" t="str">
        <f t="shared" ref="E3593:E3604" si="277">IF(D3593=0,"",VLOOKUP(D3593,BASE,2,FALSE))</f>
        <v>Rancho Zinamba No. 74</v>
      </c>
      <c r="F3593" s="10" t="str">
        <f t="shared" ref="F3593:F3604" si="278">IF(D3593=0,"",VLOOKUP(D3593,BASE,3,FALSE))</f>
        <v>García Castellanos</v>
      </c>
      <c r="G3593" s="8">
        <v>1</v>
      </c>
      <c r="H3593" s="11">
        <v>400</v>
      </c>
      <c r="I3593" s="12">
        <v>42799</v>
      </c>
      <c r="J3593" s="35">
        <f t="shared" ref="J3593:J3604" si="279">IF(G3593=1,SUM(W3593,AJ3593,-H3593),0)</f>
        <v>0</v>
      </c>
      <c r="K3593" s="36"/>
      <c r="L3593" s="36"/>
      <c r="M3593" s="36"/>
      <c r="N3593" s="36"/>
      <c r="O3593" s="36"/>
      <c r="P3593" s="36"/>
      <c r="Q3593" s="36"/>
      <c r="R3593" s="36"/>
      <c r="S3593" s="36"/>
      <c r="T3593" s="36"/>
      <c r="U3593" s="36"/>
      <c r="V3593" s="36"/>
      <c r="W3593" s="15">
        <f t="shared" ref="W3593:W3604" si="280">SUM(K3593:V3593)</f>
        <v>0</v>
      </c>
      <c r="X3593" s="36">
        <v>400</v>
      </c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15">
        <f t="shared" ref="AJ3593:AJ3604" si="281">SUM(X3593:AI3593)</f>
        <v>400</v>
      </c>
      <c r="AK3593" s="14"/>
      <c r="AL3593" s="14"/>
      <c r="AM3593" s="14"/>
      <c r="AN3593" s="14"/>
      <c r="AO3593" s="14"/>
      <c r="AP3593" s="14"/>
      <c r="AQ3593" s="14"/>
      <c r="AR3593" s="14"/>
      <c r="AS3593" s="14"/>
      <c r="AT3593" s="14"/>
      <c r="AU3593" s="14"/>
      <c r="AV3593" s="14"/>
      <c r="AW3593" s="15"/>
      <c r="AX3593" s="16"/>
    </row>
    <row r="3594" spans="2:50" x14ac:dyDescent="0.2">
      <c r="B3594" s="7"/>
      <c r="C3594" s="8">
        <v>14011</v>
      </c>
      <c r="D3594" s="9" t="s">
        <v>652</v>
      </c>
      <c r="E3594" s="10" t="str">
        <f t="shared" si="277"/>
        <v>Rancho Zinamba No. 74</v>
      </c>
      <c r="F3594" s="10" t="str">
        <f t="shared" si="278"/>
        <v>García Castellanos</v>
      </c>
      <c r="G3594" s="8">
        <v>7</v>
      </c>
      <c r="H3594" s="11">
        <v>100</v>
      </c>
      <c r="I3594" s="12">
        <v>42799</v>
      </c>
      <c r="J3594" s="35">
        <f t="shared" si="279"/>
        <v>0</v>
      </c>
      <c r="K3594" s="36"/>
      <c r="L3594" s="36"/>
      <c r="M3594" s="36"/>
      <c r="N3594" s="36"/>
      <c r="O3594" s="36"/>
      <c r="P3594" s="36"/>
      <c r="Q3594" s="36"/>
      <c r="R3594" s="36"/>
      <c r="S3594" s="36"/>
      <c r="T3594" s="36"/>
      <c r="U3594" s="36"/>
      <c r="V3594" s="36"/>
      <c r="W3594" s="15">
        <f t="shared" si="280"/>
        <v>0</v>
      </c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15">
        <f t="shared" si="281"/>
        <v>0</v>
      </c>
      <c r="AK3594" s="14"/>
      <c r="AL3594" s="14"/>
      <c r="AM3594" s="14"/>
      <c r="AN3594" s="14"/>
      <c r="AO3594" s="14"/>
      <c r="AP3594" s="14"/>
      <c r="AQ3594" s="14"/>
      <c r="AR3594" s="14"/>
      <c r="AS3594" s="14"/>
      <c r="AT3594" s="14"/>
      <c r="AU3594" s="14"/>
      <c r="AV3594" s="14"/>
      <c r="AW3594" s="15"/>
      <c r="AX3594" s="16" t="s">
        <v>3533</v>
      </c>
    </row>
    <row r="3595" spans="2:50" x14ac:dyDescent="0.2">
      <c r="B3595" s="7"/>
      <c r="C3595" s="8">
        <v>14012</v>
      </c>
      <c r="D3595" s="9" t="s">
        <v>652</v>
      </c>
      <c r="E3595" s="10" t="str">
        <f t="shared" si="277"/>
        <v>Rancho Zinamba No. 74</v>
      </c>
      <c r="F3595" s="10" t="str">
        <f t="shared" si="278"/>
        <v>García Castellanos</v>
      </c>
      <c r="G3595" s="8">
        <v>4</v>
      </c>
      <c r="H3595" s="11">
        <v>200</v>
      </c>
      <c r="I3595" s="12">
        <v>42799</v>
      </c>
      <c r="J3595" s="35">
        <f t="shared" si="279"/>
        <v>0</v>
      </c>
      <c r="K3595" s="36"/>
      <c r="L3595" s="36"/>
      <c r="M3595" s="36"/>
      <c r="N3595" s="36"/>
      <c r="O3595" s="36"/>
      <c r="P3595" s="36"/>
      <c r="Q3595" s="36"/>
      <c r="R3595" s="36"/>
      <c r="S3595" s="36"/>
      <c r="T3595" s="36"/>
      <c r="U3595" s="36"/>
      <c r="V3595" s="36"/>
      <c r="W3595" s="15">
        <f t="shared" si="280"/>
        <v>0</v>
      </c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15">
        <f t="shared" si="281"/>
        <v>0</v>
      </c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14"/>
      <c r="AV3595" s="14"/>
      <c r="AW3595" s="15"/>
      <c r="AX3595" s="16" t="s">
        <v>3541</v>
      </c>
    </row>
    <row r="3596" spans="2:50" x14ac:dyDescent="0.2">
      <c r="B3596" s="7"/>
      <c r="C3596" s="8">
        <v>14013</v>
      </c>
      <c r="D3596" s="9" t="s">
        <v>97</v>
      </c>
      <c r="E3596" s="10" t="str">
        <f t="shared" si="277"/>
        <v>Rancho La Cuchilla No. 78</v>
      </c>
      <c r="F3596" s="10" t="str">
        <f t="shared" si="278"/>
        <v>García</v>
      </c>
      <c r="G3596" s="8">
        <v>1</v>
      </c>
      <c r="H3596" s="11">
        <v>400</v>
      </c>
      <c r="I3596" s="12">
        <v>42799</v>
      </c>
      <c r="J3596" s="35">
        <f t="shared" si="279"/>
        <v>0</v>
      </c>
      <c r="K3596" s="36"/>
      <c r="L3596" s="36"/>
      <c r="M3596" s="36"/>
      <c r="N3596" s="36"/>
      <c r="O3596" s="36"/>
      <c r="P3596" s="36"/>
      <c r="Q3596" s="36"/>
      <c r="R3596" s="36"/>
      <c r="S3596" s="36"/>
      <c r="T3596" s="36"/>
      <c r="U3596" s="36"/>
      <c r="V3596" s="36"/>
      <c r="W3596" s="15">
        <f t="shared" si="280"/>
        <v>0</v>
      </c>
      <c r="X3596" s="36"/>
      <c r="Y3596" s="36"/>
      <c r="Z3596" s="36">
        <v>400</v>
      </c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15">
        <f t="shared" si="281"/>
        <v>400</v>
      </c>
      <c r="AK3596" s="14"/>
      <c r="AL3596" s="14"/>
      <c r="AM3596" s="14"/>
      <c r="AN3596" s="14"/>
      <c r="AO3596" s="14"/>
      <c r="AP3596" s="14"/>
      <c r="AQ3596" s="14"/>
      <c r="AR3596" s="14"/>
      <c r="AS3596" s="14"/>
      <c r="AT3596" s="14"/>
      <c r="AU3596" s="14"/>
      <c r="AV3596" s="14"/>
      <c r="AW3596" s="15"/>
      <c r="AX3596" s="16"/>
    </row>
    <row r="3597" spans="2:50" x14ac:dyDescent="0.2">
      <c r="B3597" s="7"/>
      <c r="C3597" s="8">
        <v>14013</v>
      </c>
      <c r="D3597" s="9" t="s">
        <v>97</v>
      </c>
      <c r="E3597" s="10" t="str">
        <f t="shared" si="277"/>
        <v>Rancho La Cuchilla No. 78</v>
      </c>
      <c r="F3597" s="10" t="str">
        <f t="shared" si="278"/>
        <v>García</v>
      </c>
      <c r="G3597" s="8">
        <v>7</v>
      </c>
      <c r="H3597" s="11">
        <v>100</v>
      </c>
      <c r="I3597" s="12">
        <v>42799</v>
      </c>
      <c r="J3597" s="35">
        <f t="shared" si="279"/>
        <v>0</v>
      </c>
      <c r="K3597" s="36"/>
      <c r="L3597" s="36"/>
      <c r="M3597" s="36"/>
      <c r="N3597" s="36"/>
      <c r="O3597" s="36"/>
      <c r="P3597" s="36"/>
      <c r="Q3597" s="36"/>
      <c r="R3597" s="36"/>
      <c r="S3597" s="36"/>
      <c r="T3597" s="36"/>
      <c r="U3597" s="36"/>
      <c r="V3597" s="36"/>
      <c r="W3597" s="15">
        <f t="shared" si="280"/>
        <v>0</v>
      </c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15">
        <f t="shared" si="281"/>
        <v>0</v>
      </c>
      <c r="AK3597" s="14"/>
      <c r="AL3597" s="14"/>
      <c r="AM3597" s="14"/>
      <c r="AN3597" s="14"/>
      <c r="AO3597" s="14"/>
      <c r="AP3597" s="14"/>
      <c r="AQ3597" s="14"/>
      <c r="AR3597" s="14"/>
      <c r="AS3597" s="14"/>
      <c r="AT3597" s="14"/>
      <c r="AU3597" s="14"/>
      <c r="AV3597" s="14"/>
      <c r="AW3597" s="15"/>
      <c r="AX3597" s="16"/>
    </row>
    <row r="3598" spans="2:50" x14ac:dyDescent="0.2">
      <c r="B3598" s="7"/>
      <c r="C3598" s="8">
        <v>14014</v>
      </c>
      <c r="D3598" s="9" t="s">
        <v>661</v>
      </c>
      <c r="E3598" s="10" t="str">
        <f t="shared" si="277"/>
        <v>Rancho Landero No. 101</v>
      </c>
      <c r="F3598" s="10" t="str">
        <f t="shared" si="278"/>
        <v>Ramírez</v>
      </c>
      <c r="G3598" s="8">
        <v>1</v>
      </c>
      <c r="H3598" s="11">
        <v>2800</v>
      </c>
      <c r="I3598" s="12">
        <v>42799</v>
      </c>
      <c r="J3598" s="35">
        <f t="shared" si="279"/>
        <v>0</v>
      </c>
      <c r="K3598" s="36"/>
      <c r="L3598" s="36"/>
      <c r="M3598" s="36"/>
      <c r="N3598" s="36"/>
      <c r="O3598" s="36"/>
      <c r="P3598" s="36"/>
      <c r="Q3598" s="36"/>
      <c r="R3598" s="36"/>
      <c r="S3598" s="36"/>
      <c r="T3598" s="36"/>
      <c r="U3598" s="36"/>
      <c r="V3598" s="36"/>
      <c r="W3598" s="15">
        <f t="shared" si="280"/>
        <v>0</v>
      </c>
      <c r="X3598" s="36"/>
      <c r="Y3598" s="36"/>
      <c r="Z3598" s="36"/>
      <c r="AA3598" s="36"/>
      <c r="AB3598" s="36">
        <v>400</v>
      </c>
      <c r="AC3598" s="36">
        <v>400</v>
      </c>
      <c r="AD3598" s="36">
        <v>400</v>
      </c>
      <c r="AE3598" s="36">
        <v>400</v>
      </c>
      <c r="AF3598" s="36">
        <v>400</v>
      </c>
      <c r="AG3598" s="36">
        <v>400</v>
      </c>
      <c r="AH3598" s="36">
        <v>400</v>
      </c>
      <c r="AI3598" s="36"/>
      <c r="AJ3598" s="15">
        <f t="shared" si="281"/>
        <v>2800</v>
      </c>
      <c r="AK3598" s="14"/>
      <c r="AL3598" s="14"/>
      <c r="AM3598" s="14"/>
      <c r="AN3598" s="14"/>
      <c r="AO3598" s="14"/>
      <c r="AP3598" s="14"/>
      <c r="AQ3598" s="14"/>
      <c r="AR3598" s="14"/>
      <c r="AS3598" s="14"/>
      <c r="AT3598" s="14"/>
      <c r="AU3598" s="14"/>
      <c r="AV3598" s="14"/>
      <c r="AW3598" s="15"/>
      <c r="AX3598" s="16" t="s">
        <v>3542</v>
      </c>
    </row>
    <row r="3599" spans="2:50" x14ac:dyDescent="0.2">
      <c r="B3599" s="7"/>
      <c r="C3599" s="8">
        <v>14015</v>
      </c>
      <c r="D3599" s="9" t="s">
        <v>661</v>
      </c>
      <c r="E3599" s="10" t="str">
        <f t="shared" si="277"/>
        <v>Rancho Landero No. 101</v>
      </c>
      <c r="F3599" s="10" t="str">
        <f t="shared" si="278"/>
        <v>Ramírez</v>
      </c>
      <c r="G3599" s="8">
        <v>4</v>
      </c>
      <c r="H3599" s="11">
        <v>200</v>
      </c>
      <c r="I3599" s="12">
        <v>42799</v>
      </c>
      <c r="J3599" s="35">
        <f t="shared" si="279"/>
        <v>0</v>
      </c>
      <c r="K3599" s="36"/>
      <c r="L3599" s="36"/>
      <c r="M3599" s="36"/>
      <c r="N3599" s="36"/>
      <c r="O3599" s="36"/>
      <c r="P3599" s="36"/>
      <c r="Q3599" s="36"/>
      <c r="R3599" s="36"/>
      <c r="S3599" s="36"/>
      <c r="T3599" s="36"/>
      <c r="U3599" s="36"/>
      <c r="V3599" s="36"/>
      <c r="W3599" s="15">
        <f t="shared" si="280"/>
        <v>0</v>
      </c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15">
        <f t="shared" si="281"/>
        <v>0</v>
      </c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14"/>
      <c r="AV3599" s="14"/>
      <c r="AW3599" s="15"/>
      <c r="AX3599" s="16" t="s">
        <v>3543</v>
      </c>
    </row>
    <row r="3600" spans="2:50" x14ac:dyDescent="0.2">
      <c r="B3600" s="7"/>
      <c r="C3600" s="8">
        <v>14015</v>
      </c>
      <c r="D3600" s="9" t="s">
        <v>661</v>
      </c>
      <c r="E3600" s="10" t="str">
        <f t="shared" si="277"/>
        <v>Rancho Landero No. 101</v>
      </c>
      <c r="F3600" s="10" t="str">
        <f t="shared" si="278"/>
        <v>Ramírez</v>
      </c>
      <c r="G3600" s="8">
        <v>7</v>
      </c>
      <c r="H3600" s="11">
        <v>100</v>
      </c>
      <c r="I3600" s="12">
        <v>42799</v>
      </c>
      <c r="J3600" s="35">
        <f t="shared" si="279"/>
        <v>0</v>
      </c>
      <c r="K3600" s="36"/>
      <c r="L3600" s="36"/>
      <c r="M3600" s="36"/>
      <c r="N3600" s="36"/>
      <c r="O3600" s="36"/>
      <c r="P3600" s="36"/>
      <c r="Q3600" s="36"/>
      <c r="R3600" s="36"/>
      <c r="S3600" s="36"/>
      <c r="T3600" s="36"/>
      <c r="U3600" s="36"/>
      <c r="V3600" s="36"/>
      <c r="W3600" s="15">
        <f t="shared" si="280"/>
        <v>0</v>
      </c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15">
        <f t="shared" si="281"/>
        <v>0</v>
      </c>
      <c r="AK3600" s="14"/>
      <c r="AL3600" s="14"/>
      <c r="AM3600" s="14"/>
      <c r="AN3600" s="14"/>
      <c r="AO3600" s="14"/>
      <c r="AP3600" s="14"/>
      <c r="AQ3600" s="14"/>
      <c r="AR3600" s="14"/>
      <c r="AS3600" s="14"/>
      <c r="AT3600" s="14"/>
      <c r="AU3600" s="14"/>
      <c r="AV3600" s="14"/>
      <c r="AW3600" s="15"/>
      <c r="AX3600" s="16" t="s">
        <v>3533</v>
      </c>
    </row>
    <row r="3601" spans="2:51" x14ac:dyDescent="0.2">
      <c r="B3601" s="7"/>
      <c r="C3601" s="8">
        <v>14016</v>
      </c>
      <c r="D3601" s="9" t="s">
        <v>1323</v>
      </c>
      <c r="E3601" s="10" t="str">
        <f t="shared" si="277"/>
        <v>Rancho Estanzuela No. 5, A</v>
      </c>
      <c r="F3601" s="10" t="str">
        <f t="shared" si="278"/>
        <v>Zapata</v>
      </c>
      <c r="G3601" s="8">
        <v>1</v>
      </c>
      <c r="H3601" s="11">
        <v>400</v>
      </c>
      <c r="I3601" s="12">
        <v>42799</v>
      </c>
      <c r="J3601" s="35">
        <f t="shared" si="279"/>
        <v>0</v>
      </c>
      <c r="K3601" s="36"/>
      <c r="L3601" s="36"/>
      <c r="M3601" s="36"/>
      <c r="N3601" s="36"/>
      <c r="O3601" s="36"/>
      <c r="P3601" s="36"/>
      <c r="Q3601" s="36"/>
      <c r="R3601" s="36"/>
      <c r="S3601" s="36"/>
      <c r="T3601" s="36"/>
      <c r="U3601" s="36"/>
      <c r="V3601" s="36"/>
      <c r="W3601" s="15">
        <f t="shared" si="280"/>
        <v>0</v>
      </c>
      <c r="X3601" s="36">
        <v>200</v>
      </c>
      <c r="Y3601" s="36">
        <v>200</v>
      </c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15">
        <f t="shared" si="281"/>
        <v>400</v>
      </c>
      <c r="AK3601" s="14"/>
      <c r="AL3601" s="14"/>
      <c r="AM3601" s="14"/>
      <c r="AN3601" s="14"/>
      <c r="AO3601" s="14"/>
      <c r="AP3601" s="14"/>
      <c r="AQ3601" s="14"/>
      <c r="AR3601" s="14"/>
      <c r="AS3601" s="14"/>
      <c r="AT3601" s="14"/>
      <c r="AU3601" s="14"/>
      <c r="AV3601" s="14"/>
      <c r="AW3601" s="15"/>
      <c r="AX3601" s="16"/>
    </row>
    <row r="3602" spans="2:51" x14ac:dyDescent="0.2">
      <c r="B3602" s="7"/>
      <c r="C3602" s="8">
        <v>14016</v>
      </c>
      <c r="D3602" s="9" t="s">
        <v>1323</v>
      </c>
      <c r="E3602" s="10" t="str">
        <f t="shared" si="277"/>
        <v>Rancho Estanzuela No. 5, A</v>
      </c>
      <c r="F3602" s="10" t="str">
        <f t="shared" si="278"/>
        <v>Zapata</v>
      </c>
      <c r="G3602" s="8">
        <v>3</v>
      </c>
      <c r="H3602" s="11">
        <v>200</v>
      </c>
      <c r="I3602" s="12">
        <v>42799</v>
      </c>
      <c r="J3602" s="35">
        <f t="shared" si="279"/>
        <v>0</v>
      </c>
      <c r="K3602" s="36"/>
      <c r="L3602" s="36"/>
      <c r="M3602" s="36"/>
      <c r="N3602" s="36"/>
      <c r="O3602" s="36"/>
      <c r="P3602" s="36"/>
      <c r="Q3602" s="36"/>
      <c r="R3602" s="36"/>
      <c r="S3602" s="36"/>
      <c r="T3602" s="36"/>
      <c r="U3602" s="36"/>
      <c r="V3602" s="36"/>
      <c r="W3602" s="15">
        <f t="shared" si="280"/>
        <v>0</v>
      </c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15">
        <f t="shared" si="281"/>
        <v>0</v>
      </c>
      <c r="AK3602" s="14"/>
      <c r="AL3602" s="14"/>
      <c r="AM3602" s="14"/>
      <c r="AN3602" s="14"/>
      <c r="AO3602" s="14"/>
      <c r="AP3602" s="14"/>
      <c r="AQ3602" s="14"/>
      <c r="AR3602" s="14"/>
      <c r="AS3602" s="14"/>
      <c r="AT3602" s="14"/>
      <c r="AU3602" s="14"/>
      <c r="AV3602" s="14"/>
      <c r="AW3602" s="15"/>
      <c r="AX3602" s="16"/>
    </row>
    <row r="3603" spans="2:51" x14ac:dyDescent="0.2">
      <c r="B3603" s="7"/>
      <c r="C3603" s="8">
        <v>14017</v>
      </c>
      <c r="D3603" s="9" t="s">
        <v>416</v>
      </c>
      <c r="E3603" s="10" t="str">
        <f t="shared" si="277"/>
        <v>Rancho La Cuchilla No. 112, PB</v>
      </c>
      <c r="F3603" s="10" t="str">
        <f t="shared" si="278"/>
        <v>Soreque</v>
      </c>
      <c r="G3603" s="8">
        <v>1</v>
      </c>
      <c r="H3603" s="11">
        <v>400</v>
      </c>
      <c r="I3603" s="12">
        <v>42799</v>
      </c>
      <c r="J3603" s="35">
        <f t="shared" si="279"/>
        <v>0</v>
      </c>
      <c r="K3603" s="36"/>
      <c r="L3603" s="36"/>
      <c r="M3603" s="36"/>
      <c r="N3603" s="36"/>
      <c r="O3603" s="36"/>
      <c r="P3603" s="36"/>
      <c r="Q3603" s="36"/>
      <c r="R3603" s="36"/>
      <c r="S3603" s="36"/>
      <c r="T3603" s="36"/>
      <c r="U3603" s="36"/>
      <c r="V3603" s="36"/>
      <c r="W3603" s="15">
        <f t="shared" si="280"/>
        <v>0</v>
      </c>
      <c r="X3603" s="36"/>
      <c r="Y3603" s="36">
        <v>200</v>
      </c>
      <c r="Z3603" s="36">
        <v>200</v>
      </c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15">
        <f t="shared" si="281"/>
        <v>400</v>
      </c>
      <c r="AK3603" s="14"/>
      <c r="AL3603" s="14"/>
      <c r="AM3603" s="14"/>
      <c r="AN3603" s="14"/>
      <c r="AO3603" s="14"/>
      <c r="AP3603" s="14"/>
      <c r="AQ3603" s="14"/>
      <c r="AR3603" s="14"/>
      <c r="AS3603" s="14"/>
      <c r="AT3603" s="14"/>
      <c r="AU3603" s="14"/>
      <c r="AV3603" s="14"/>
      <c r="AW3603" s="15"/>
      <c r="AX3603" s="16"/>
    </row>
    <row r="3604" spans="2:51" x14ac:dyDescent="0.2">
      <c r="B3604" s="7"/>
      <c r="C3604" s="8">
        <v>14018</v>
      </c>
      <c r="D3604" s="9" t="s">
        <v>817</v>
      </c>
      <c r="E3604" s="10" t="str">
        <f t="shared" si="277"/>
        <v>Rancho Estanzuela No. 7, B</v>
      </c>
      <c r="F3604" s="10" t="str">
        <f t="shared" si="278"/>
        <v>Camargo Romero</v>
      </c>
      <c r="G3604" s="8">
        <v>1</v>
      </c>
      <c r="H3604" s="11">
        <v>400</v>
      </c>
      <c r="I3604" s="12">
        <v>42799</v>
      </c>
      <c r="J3604" s="35">
        <f t="shared" si="279"/>
        <v>0</v>
      </c>
      <c r="K3604" s="36"/>
      <c r="L3604" s="36"/>
      <c r="M3604" s="36"/>
      <c r="N3604" s="36"/>
      <c r="O3604" s="36"/>
      <c r="P3604" s="36"/>
      <c r="Q3604" s="36"/>
      <c r="R3604" s="36"/>
      <c r="S3604" s="36"/>
      <c r="T3604" s="36"/>
      <c r="U3604" s="36"/>
      <c r="V3604" s="36"/>
      <c r="W3604" s="15">
        <f t="shared" si="280"/>
        <v>0</v>
      </c>
      <c r="X3604" s="36"/>
      <c r="Y3604" s="36">
        <v>200</v>
      </c>
      <c r="Z3604" s="36">
        <v>200</v>
      </c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15">
        <f t="shared" si="281"/>
        <v>400</v>
      </c>
      <c r="AK3604" s="14"/>
      <c r="AL3604" s="14"/>
      <c r="AM3604" s="14"/>
      <c r="AN3604" s="14"/>
      <c r="AO3604" s="14"/>
      <c r="AP3604" s="14"/>
      <c r="AQ3604" s="14"/>
      <c r="AR3604" s="14"/>
      <c r="AS3604" s="14"/>
      <c r="AT3604" s="14"/>
      <c r="AU3604" s="14"/>
      <c r="AV3604" s="14"/>
      <c r="AW3604" s="15"/>
      <c r="AX3604" s="16"/>
    </row>
    <row r="3605" spans="2:51" x14ac:dyDescent="0.2">
      <c r="B3605" s="7"/>
      <c r="C3605" s="8">
        <v>14018</v>
      </c>
      <c r="D3605" s="9" t="s">
        <v>817</v>
      </c>
      <c r="E3605" s="10" t="str">
        <f t="shared" ref="E3605:E3638" si="282">IF(D3605=0,"",VLOOKUP(D3605,BASE,2,FALSE))</f>
        <v>Rancho Estanzuela No. 7, B</v>
      </c>
      <c r="F3605" s="10" t="str">
        <f t="shared" ref="F3605:F3638" si="283">IF(D3605=0,"",VLOOKUP(D3605,BASE,3,FALSE))</f>
        <v>Camargo Romero</v>
      </c>
      <c r="G3605" s="8">
        <v>7</v>
      </c>
      <c r="H3605" s="11">
        <v>100</v>
      </c>
      <c r="I3605" s="12">
        <v>42799</v>
      </c>
      <c r="J3605" s="35">
        <f t="shared" ref="J3605:J3638" si="284">IF(G3605=1,SUM(W3605,AJ3605,-H3605),0)</f>
        <v>0</v>
      </c>
      <c r="K3605" s="36"/>
      <c r="L3605" s="36"/>
      <c r="M3605" s="36"/>
      <c r="N3605" s="36"/>
      <c r="O3605" s="36"/>
      <c r="P3605" s="36"/>
      <c r="Q3605" s="36"/>
      <c r="R3605" s="36"/>
      <c r="S3605" s="36"/>
      <c r="T3605" s="36"/>
      <c r="U3605" s="36"/>
      <c r="V3605" s="36"/>
      <c r="W3605" s="15">
        <f t="shared" ref="W3605:W3638" si="285">SUM(K3605:V3605)</f>
        <v>0</v>
      </c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15">
        <f t="shared" ref="AJ3605:AJ3638" si="286">SUM(X3605:AI3605)</f>
        <v>0</v>
      </c>
      <c r="AK3605" s="14"/>
      <c r="AL3605" s="14"/>
      <c r="AM3605" s="14"/>
      <c r="AN3605" s="14"/>
      <c r="AO3605" s="14"/>
      <c r="AP3605" s="14"/>
      <c r="AQ3605" s="14"/>
      <c r="AR3605" s="14"/>
      <c r="AS3605" s="14"/>
      <c r="AT3605" s="14"/>
      <c r="AU3605" s="14"/>
      <c r="AV3605" s="14"/>
      <c r="AW3605" s="15"/>
      <c r="AX3605" s="16"/>
    </row>
    <row r="3606" spans="2:51" x14ac:dyDescent="0.2">
      <c r="B3606" s="7"/>
      <c r="C3606" s="8">
        <v>14019</v>
      </c>
      <c r="D3606" s="9" t="s">
        <v>823</v>
      </c>
      <c r="E3606" s="10" t="str">
        <f t="shared" si="282"/>
        <v>Rancho La Cuchilla No. 122</v>
      </c>
      <c r="F3606" s="10" t="str">
        <f t="shared" si="283"/>
        <v>Mendoza</v>
      </c>
      <c r="G3606" s="8">
        <v>1</v>
      </c>
      <c r="H3606" s="11">
        <v>400</v>
      </c>
      <c r="I3606" s="12">
        <v>42799</v>
      </c>
      <c r="J3606" s="35">
        <f t="shared" si="284"/>
        <v>0</v>
      </c>
      <c r="K3606" s="36"/>
      <c r="L3606" s="36"/>
      <c r="M3606" s="36"/>
      <c r="N3606" s="36"/>
      <c r="O3606" s="36"/>
      <c r="P3606" s="36"/>
      <c r="Q3606" s="36"/>
      <c r="R3606" s="36"/>
      <c r="S3606" s="36"/>
      <c r="T3606" s="36"/>
      <c r="U3606" s="36"/>
      <c r="V3606" s="36"/>
      <c r="W3606" s="15">
        <f t="shared" si="285"/>
        <v>0</v>
      </c>
      <c r="X3606" s="36"/>
      <c r="Y3606" s="36">
        <v>200</v>
      </c>
      <c r="Z3606" s="36">
        <v>200</v>
      </c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15">
        <f t="shared" si="286"/>
        <v>400</v>
      </c>
      <c r="AK3606" s="14"/>
      <c r="AL3606" s="14"/>
      <c r="AM3606" s="14"/>
      <c r="AN3606" s="14"/>
      <c r="AO3606" s="14"/>
      <c r="AP3606" s="14"/>
      <c r="AQ3606" s="14"/>
      <c r="AR3606" s="14"/>
      <c r="AS3606" s="14"/>
      <c r="AT3606" s="14"/>
      <c r="AU3606" s="14"/>
      <c r="AV3606" s="14"/>
      <c r="AW3606" s="15"/>
      <c r="AX3606" s="16"/>
    </row>
    <row r="3607" spans="2:51" x14ac:dyDescent="0.2">
      <c r="B3607" s="7"/>
      <c r="C3607" s="8">
        <v>14019</v>
      </c>
      <c r="D3607" s="9" t="s">
        <v>823</v>
      </c>
      <c r="E3607" s="10" t="str">
        <f t="shared" si="282"/>
        <v>Rancho La Cuchilla No. 122</v>
      </c>
      <c r="F3607" s="10" t="str">
        <f t="shared" si="283"/>
        <v>Mendoza</v>
      </c>
      <c r="G3607" s="8">
        <v>7</v>
      </c>
      <c r="H3607" s="11">
        <v>100</v>
      </c>
      <c r="I3607" s="12">
        <v>42799</v>
      </c>
      <c r="J3607" s="35">
        <f t="shared" si="284"/>
        <v>0</v>
      </c>
      <c r="K3607" s="36"/>
      <c r="L3607" s="36"/>
      <c r="M3607" s="36"/>
      <c r="N3607" s="36"/>
      <c r="O3607" s="36"/>
      <c r="P3607" s="36"/>
      <c r="Q3607" s="36"/>
      <c r="R3607" s="36"/>
      <c r="S3607" s="36"/>
      <c r="T3607" s="36"/>
      <c r="U3607" s="36"/>
      <c r="V3607" s="36"/>
      <c r="W3607" s="15">
        <f t="shared" si="285"/>
        <v>0</v>
      </c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15">
        <f t="shared" si="286"/>
        <v>0</v>
      </c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14"/>
      <c r="AV3607" s="14"/>
      <c r="AW3607" s="15"/>
      <c r="AX3607" s="16" t="s">
        <v>3533</v>
      </c>
    </row>
    <row r="3608" spans="2:51" x14ac:dyDescent="0.2">
      <c r="B3608" s="7"/>
      <c r="C3608" s="8">
        <v>14020</v>
      </c>
      <c r="D3608" s="9" t="s">
        <v>1046</v>
      </c>
      <c r="E3608" s="10" t="str">
        <f t="shared" si="282"/>
        <v>Rancho Zinamba No. 40</v>
      </c>
      <c r="F3608" s="10" t="str">
        <f t="shared" si="283"/>
        <v>Correa Rojas</v>
      </c>
      <c r="G3608" s="8">
        <v>1</v>
      </c>
      <c r="H3608" s="11">
        <v>100</v>
      </c>
      <c r="I3608" s="12">
        <v>42799</v>
      </c>
      <c r="J3608" s="35">
        <f t="shared" si="284"/>
        <v>0</v>
      </c>
      <c r="K3608" s="36"/>
      <c r="L3608" s="36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  <c r="W3608" s="15">
        <f t="shared" si="285"/>
        <v>0</v>
      </c>
      <c r="X3608" s="36"/>
      <c r="Y3608" s="36"/>
      <c r="Z3608" s="36">
        <v>100</v>
      </c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15">
        <f t="shared" si="286"/>
        <v>100</v>
      </c>
      <c r="AK3608" s="14"/>
      <c r="AL3608" s="14"/>
      <c r="AM3608" s="14"/>
      <c r="AN3608" s="14"/>
      <c r="AO3608" s="14"/>
      <c r="AP3608" s="14"/>
      <c r="AQ3608" s="14"/>
      <c r="AR3608" s="14"/>
      <c r="AS3608" s="14"/>
      <c r="AT3608" s="14"/>
      <c r="AU3608" s="14"/>
      <c r="AV3608" s="14"/>
      <c r="AW3608" s="15"/>
      <c r="AX3608" s="16"/>
    </row>
    <row r="3609" spans="2:51" x14ac:dyDescent="0.2">
      <c r="B3609" s="7"/>
      <c r="C3609" s="8">
        <v>14021</v>
      </c>
      <c r="D3609" s="9" t="s">
        <v>103</v>
      </c>
      <c r="E3609" s="10" t="str">
        <f t="shared" si="282"/>
        <v>Rancho La Cuchilla No. 41</v>
      </c>
      <c r="F3609" s="10" t="str">
        <f t="shared" si="283"/>
        <v>Arriaga Lemus</v>
      </c>
      <c r="G3609" s="8">
        <v>1</v>
      </c>
      <c r="H3609" s="11">
        <v>400</v>
      </c>
      <c r="I3609" s="12">
        <v>42799</v>
      </c>
      <c r="J3609" s="35">
        <f t="shared" si="284"/>
        <v>0</v>
      </c>
      <c r="K3609" s="36"/>
      <c r="L3609" s="36"/>
      <c r="M3609" s="36"/>
      <c r="N3609" s="36"/>
      <c r="O3609" s="36"/>
      <c r="P3609" s="36"/>
      <c r="Q3609" s="36"/>
      <c r="R3609" s="36"/>
      <c r="S3609" s="36"/>
      <c r="T3609" s="36"/>
      <c r="U3609" s="36"/>
      <c r="V3609" s="36"/>
      <c r="W3609" s="15">
        <f t="shared" si="285"/>
        <v>0</v>
      </c>
      <c r="X3609" s="36"/>
      <c r="Y3609" s="36">
        <v>400</v>
      </c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15">
        <f t="shared" si="286"/>
        <v>400</v>
      </c>
      <c r="AK3609" s="14"/>
      <c r="AL3609" s="14"/>
      <c r="AM3609" s="14"/>
      <c r="AN3609" s="14"/>
      <c r="AO3609" s="14"/>
      <c r="AP3609" s="14"/>
      <c r="AQ3609" s="14"/>
      <c r="AR3609" s="14"/>
      <c r="AS3609" s="14"/>
      <c r="AT3609" s="14"/>
      <c r="AU3609" s="14"/>
      <c r="AV3609" s="14"/>
      <c r="AW3609" s="15"/>
      <c r="AX3609" s="16"/>
    </row>
    <row r="3610" spans="2:51" x14ac:dyDescent="0.2">
      <c r="B3610" s="7"/>
      <c r="C3610" s="8">
        <v>14022</v>
      </c>
      <c r="D3610" s="9" t="s">
        <v>1095</v>
      </c>
      <c r="E3610" s="10" t="str">
        <f t="shared" si="282"/>
        <v>Rancho La Cuchilla No. 35</v>
      </c>
      <c r="F3610" s="10" t="str">
        <f t="shared" si="283"/>
        <v>Mendoza</v>
      </c>
      <c r="G3610" s="8">
        <v>1</v>
      </c>
      <c r="H3610" s="11">
        <v>500</v>
      </c>
      <c r="I3610" s="12">
        <v>42799</v>
      </c>
      <c r="J3610" s="35">
        <f t="shared" si="284"/>
        <v>0</v>
      </c>
      <c r="K3610" s="36"/>
      <c r="L3610" s="36"/>
      <c r="M3610" s="36"/>
      <c r="N3610" s="36"/>
      <c r="O3610" s="36"/>
      <c r="P3610" s="36"/>
      <c r="Q3610" s="36"/>
      <c r="R3610" s="36"/>
      <c r="S3610" s="36"/>
      <c r="T3610" s="36"/>
      <c r="U3610" s="36"/>
      <c r="V3610" s="36"/>
      <c r="W3610" s="15">
        <f t="shared" si="285"/>
        <v>0</v>
      </c>
      <c r="X3610" s="36">
        <v>250</v>
      </c>
      <c r="Y3610" s="36">
        <v>250</v>
      </c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15">
        <f t="shared" si="286"/>
        <v>500</v>
      </c>
      <c r="AK3610" s="14"/>
      <c r="AL3610" s="14"/>
      <c r="AM3610" s="14"/>
      <c r="AN3610" s="14"/>
      <c r="AO3610" s="14"/>
      <c r="AP3610" s="14"/>
      <c r="AQ3610" s="14"/>
      <c r="AR3610" s="14"/>
      <c r="AS3610" s="14"/>
      <c r="AT3610" s="14"/>
      <c r="AU3610" s="14"/>
      <c r="AV3610" s="14"/>
      <c r="AW3610" s="15"/>
      <c r="AX3610" s="16"/>
    </row>
    <row r="3611" spans="2:51" x14ac:dyDescent="0.2">
      <c r="B3611" s="7"/>
      <c r="C3611" s="8">
        <v>14022</v>
      </c>
      <c r="D3611" s="9" t="s">
        <v>1095</v>
      </c>
      <c r="E3611" s="10" t="str">
        <f t="shared" si="282"/>
        <v>Rancho La Cuchilla No. 35</v>
      </c>
      <c r="F3611" s="10" t="str">
        <f t="shared" si="283"/>
        <v>Mendoza</v>
      </c>
      <c r="G3611" s="8">
        <v>4</v>
      </c>
      <c r="H3611" s="11">
        <v>200</v>
      </c>
      <c r="I3611" s="12">
        <v>42799</v>
      </c>
      <c r="J3611" s="35">
        <f t="shared" si="284"/>
        <v>0</v>
      </c>
      <c r="K3611" s="36"/>
      <c r="L3611" s="36"/>
      <c r="M3611" s="36"/>
      <c r="N3611" s="36"/>
      <c r="O3611" s="36"/>
      <c r="P3611" s="36"/>
      <c r="Q3611" s="36"/>
      <c r="R3611" s="36"/>
      <c r="S3611" s="36"/>
      <c r="T3611" s="36"/>
      <c r="U3611" s="36"/>
      <c r="V3611" s="36"/>
      <c r="W3611" s="15">
        <f t="shared" si="285"/>
        <v>0</v>
      </c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15">
        <f t="shared" si="286"/>
        <v>0</v>
      </c>
      <c r="AK3611" s="14"/>
      <c r="AL3611" s="14"/>
      <c r="AM3611" s="14"/>
      <c r="AN3611" s="14"/>
      <c r="AO3611" s="14"/>
      <c r="AP3611" s="14"/>
      <c r="AQ3611" s="14"/>
      <c r="AR3611" s="14"/>
      <c r="AS3611" s="14"/>
      <c r="AT3611" s="14"/>
      <c r="AU3611" s="14"/>
      <c r="AV3611" s="14"/>
      <c r="AW3611" s="15"/>
      <c r="AX3611" s="16" t="s">
        <v>3544</v>
      </c>
    </row>
    <row r="3612" spans="2:51" x14ac:dyDescent="0.2">
      <c r="B3612" s="7"/>
      <c r="C3612" s="8">
        <v>14023</v>
      </c>
      <c r="D3612" s="9" t="s">
        <v>1070</v>
      </c>
      <c r="E3612" s="10" t="str">
        <f t="shared" si="282"/>
        <v>Rancho La Cuchilla No. 58</v>
      </c>
      <c r="F3612" s="10" t="str">
        <f t="shared" si="283"/>
        <v>Serdán</v>
      </c>
      <c r="G3612" s="8">
        <v>1</v>
      </c>
      <c r="H3612" s="11">
        <v>2200</v>
      </c>
      <c r="I3612" s="12">
        <v>42799</v>
      </c>
      <c r="J3612" s="35">
        <f t="shared" si="284"/>
        <v>0</v>
      </c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  <c r="W3612" s="15">
        <f t="shared" si="285"/>
        <v>0</v>
      </c>
      <c r="X3612" s="36">
        <v>200</v>
      </c>
      <c r="Y3612" s="36">
        <v>200</v>
      </c>
      <c r="Z3612" s="36">
        <v>200</v>
      </c>
      <c r="AA3612" s="36">
        <v>200</v>
      </c>
      <c r="AB3612" s="36">
        <v>200</v>
      </c>
      <c r="AC3612" s="36">
        <v>200</v>
      </c>
      <c r="AD3612" s="36">
        <v>200</v>
      </c>
      <c r="AE3612" s="36">
        <v>200</v>
      </c>
      <c r="AF3612" s="36">
        <v>200</v>
      </c>
      <c r="AG3612" s="36">
        <v>200</v>
      </c>
      <c r="AH3612" s="36">
        <v>200</v>
      </c>
      <c r="AI3612" s="36"/>
      <c r="AJ3612" s="15">
        <f t="shared" si="286"/>
        <v>2200</v>
      </c>
      <c r="AK3612" s="14"/>
      <c r="AL3612" s="14"/>
      <c r="AM3612" s="14"/>
      <c r="AN3612" s="14"/>
      <c r="AO3612" s="14"/>
      <c r="AP3612" s="14"/>
      <c r="AQ3612" s="14"/>
      <c r="AR3612" s="14"/>
      <c r="AS3612" s="14"/>
      <c r="AT3612" s="14"/>
      <c r="AU3612" s="14"/>
      <c r="AV3612" s="14"/>
      <c r="AW3612" s="15"/>
      <c r="AX3612" s="16" t="s">
        <v>3545</v>
      </c>
    </row>
    <row r="3613" spans="2:51" x14ac:dyDescent="0.2">
      <c r="B3613" s="7"/>
      <c r="C3613" s="8">
        <v>14024</v>
      </c>
      <c r="D3613" s="9" t="s">
        <v>286</v>
      </c>
      <c r="E3613" s="10" t="str">
        <f t="shared" si="282"/>
        <v>Rancho Zinamba No. 20</v>
      </c>
      <c r="F3613" s="10" t="str">
        <f t="shared" si="283"/>
        <v>Cruz Vallejo</v>
      </c>
      <c r="G3613" s="8">
        <v>1</v>
      </c>
      <c r="H3613" s="11">
        <v>400</v>
      </c>
      <c r="I3613" s="12">
        <v>42799</v>
      </c>
      <c r="J3613" s="35">
        <f t="shared" si="284"/>
        <v>0</v>
      </c>
      <c r="K3613" s="36"/>
      <c r="L3613" s="36"/>
      <c r="M3613" s="36"/>
      <c r="N3613" s="36"/>
      <c r="O3613" s="36"/>
      <c r="P3613" s="36"/>
      <c r="Q3613" s="36"/>
      <c r="R3613" s="36"/>
      <c r="S3613" s="36"/>
      <c r="T3613" s="36"/>
      <c r="U3613" s="36"/>
      <c r="V3613" s="36"/>
      <c r="W3613" s="15">
        <f t="shared" si="285"/>
        <v>0</v>
      </c>
      <c r="X3613" s="36"/>
      <c r="Y3613" s="36"/>
      <c r="Z3613" s="36">
        <v>400</v>
      </c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15">
        <f t="shared" si="286"/>
        <v>400</v>
      </c>
      <c r="AK3613" s="14"/>
      <c r="AL3613" s="14"/>
      <c r="AM3613" s="14"/>
      <c r="AN3613" s="14"/>
      <c r="AO3613" s="14"/>
      <c r="AP3613" s="14"/>
      <c r="AQ3613" s="14"/>
      <c r="AR3613" s="14"/>
      <c r="AS3613" s="14"/>
      <c r="AT3613" s="14"/>
      <c r="AU3613" s="14"/>
      <c r="AV3613" s="14"/>
      <c r="AW3613" s="15"/>
      <c r="AX3613" s="16"/>
    </row>
    <row r="3614" spans="2:51" x14ac:dyDescent="0.2">
      <c r="B3614" s="7"/>
      <c r="C3614" s="8">
        <v>14024</v>
      </c>
      <c r="D3614" s="9" t="s">
        <v>286</v>
      </c>
      <c r="E3614" s="10" t="str">
        <f t="shared" si="282"/>
        <v>Rancho Zinamba No. 20</v>
      </c>
      <c r="F3614" s="10" t="str">
        <f t="shared" si="283"/>
        <v>Cruz Vallejo</v>
      </c>
      <c r="G3614" s="8">
        <v>7</v>
      </c>
      <c r="H3614" s="11">
        <v>100</v>
      </c>
      <c r="I3614" s="12">
        <v>42799</v>
      </c>
      <c r="J3614" s="35">
        <f t="shared" si="284"/>
        <v>0</v>
      </c>
      <c r="K3614" s="36"/>
      <c r="L3614" s="36"/>
      <c r="M3614" s="36"/>
      <c r="N3614" s="36"/>
      <c r="O3614" s="36"/>
      <c r="P3614" s="36"/>
      <c r="Q3614" s="36"/>
      <c r="R3614" s="36"/>
      <c r="S3614" s="36"/>
      <c r="T3614" s="36"/>
      <c r="U3614" s="36"/>
      <c r="V3614" s="36"/>
      <c r="W3614" s="15">
        <f t="shared" si="285"/>
        <v>0</v>
      </c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15">
        <f t="shared" si="286"/>
        <v>0</v>
      </c>
      <c r="AK3614" s="14"/>
      <c r="AL3614" s="14"/>
      <c r="AM3614" s="14"/>
      <c r="AN3614" s="14"/>
      <c r="AO3614" s="14"/>
      <c r="AP3614" s="14"/>
      <c r="AQ3614" s="14"/>
      <c r="AR3614" s="14"/>
      <c r="AS3614" s="14"/>
      <c r="AT3614" s="14"/>
      <c r="AU3614" s="14"/>
      <c r="AV3614" s="14"/>
      <c r="AW3614" s="15"/>
      <c r="AX3614" s="16" t="s">
        <v>3533</v>
      </c>
    </row>
    <row r="3615" spans="2:51" x14ac:dyDescent="0.2">
      <c r="B3615" s="7"/>
      <c r="C3615" s="8">
        <v>14025</v>
      </c>
      <c r="D3615" s="9" t="s">
        <v>180</v>
      </c>
      <c r="E3615" s="10" t="str">
        <f t="shared" si="282"/>
        <v>Rancho Landero No. 80</v>
      </c>
      <c r="F3615" s="10" t="str">
        <f t="shared" si="283"/>
        <v>Caballero</v>
      </c>
      <c r="G3615" s="8">
        <v>1</v>
      </c>
      <c r="H3615" s="11">
        <v>400</v>
      </c>
      <c r="I3615" s="12">
        <v>42799</v>
      </c>
      <c r="J3615" s="35">
        <f t="shared" si="284"/>
        <v>0</v>
      </c>
      <c r="K3615" s="36"/>
      <c r="L3615" s="36"/>
      <c r="M3615" s="36"/>
      <c r="N3615" s="36"/>
      <c r="O3615" s="36"/>
      <c r="P3615" s="36"/>
      <c r="Q3615" s="36"/>
      <c r="R3615" s="36"/>
      <c r="S3615" s="36"/>
      <c r="T3615" s="36"/>
      <c r="U3615" s="36"/>
      <c r="V3615" s="36"/>
      <c r="W3615" s="15">
        <f t="shared" si="285"/>
        <v>0</v>
      </c>
      <c r="X3615" s="36"/>
      <c r="Y3615" s="36"/>
      <c r="Z3615" s="36">
        <v>400</v>
      </c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15">
        <f t="shared" si="286"/>
        <v>400</v>
      </c>
      <c r="AK3615" s="14"/>
      <c r="AL3615" s="14"/>
      <c r="AM3615" s="14"/>
      <c r="AN3615" s="14"/>
      <c r="AO3615" s="14"/>
      <c r="AP3615" s="14"/>
      <c r="AQ3615" s="14"/>
      <c r="AR3615" s="14"/>
      <c r="AS3615" s="14"/>
      <c r="AT3615" s="14"/>
      <c r="AU3615" s="14"/>
      <c r="AV3615" s="14"/>
      <c r="AW3615" s="15"/>
      <c r="AX3615" s="16"/>
    </row>
    <row r="3616" spans="2:51" x14ac:dyDescent="0.2">
      <c r="B3616" s="7"/>
      <c r="C3616" s="8">
        <v>14025</v>
      </c>
      <c r="D3616" s="9" t="s">
        <v>180</v>
      </c>
      <c r="E3616" s="10" t="str">
        <f t="shared" si="282"/>
        <v>Rancho Landero No. 80</v>
      </c>
      <c r="F3616" s="10" t="str">
        <f t="shared" si="283"/>
        <v>Caballero</v>
      </c>
      <c r="G3616" s="8">
        <v>7</v>
      </c>
      <c r="H3616" s="11">
        <v>100</v>
      </c>
      <c r="I3616" s="12">
        <v>42799</v>
      </c>
      <c r="J3616" s="35">
        <f t="shared" si="284"/>
        <v>0</v>
      </c>
      <c r="K3616" s="36"/>
      <c r="L3616" s="36"/>
      <c r="M3616" s="36"/>
      <c r="N3616" s="36"/>
      <c r="O3616" s="36"/>
      <c r="P3616" s="36"/>
      <c r="Q3616" s="36"/>
      <c r="R3616" s="36"/>
      <c r="S3616" s="36"/>
      <c r="T3616" s="36"/>
      <c r="U3616" s="36"/>
      <c r="V3616" s="36"/>
      <c r="W3616" s="15">
        <f t="shared" si="285"/>
        <v>0</v>
      </c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15">
        <f t="shared" si="286"/>
        <v>0</v>
      </c>
      <c r="AK3616" s="14"/>
      <c r="AL3616" s="14"/>
      <c r="AM3616" s="14"/>
      <c r="AN3616" s="14"/>
      <c r="AO3616" s="14"/>
      <c r="AP3616" s="14"/>
      <c r="AQ3616" s="14"/>
      <c r="AR3616" s="14"/>
      <c r="AS3616" s="14"/>
      <c r="AT3616" s="14"/>
      <c r="AU3616" s="14"/>
      <c r="AV3616" s="14"/>
      <c r="AW3616" s="15"/>
      <c r="AX3616" s="16" t="s">
        <v>3533</v>
      </c>
      <c r="AY3616" s="112">
        <f>SUM(H3493:H3616)</f>
        <v>40400</v>
      </c>
    </row>
    <row r="3617" spans="2:50" x14ac:dyDescent="0.2">
      <c r="B3617" s="7"/>
      <c r="C3617" s="8">
        <v>14026</v>
      </c>
      <c r="D3617" s="9" t="s">
        <v>205</v>
      </c>
      <c r="E3617" s="10" t="str">
        <f t="shared" si="282"/>
        <v>Rancho Landero No. 1, A</v>
      </c>
      <c r="F3617" s="10" t="str">
        <f t="shared" si="283"/>
        <v>Ebysos</v>
      </c>
      <c r="G3617" s="8">
        <v>1</v>
      </c>
      <c r="H3617" s="315">
        <v>600</v>
      </c>
      <c r="I3617" s="12">
        <v>42800</v>
      </c>
      <c r="J3617" s="35">
        <f t="shared" si="284"/>
        <v>0</v>
      </c>
      <c r="K3617" s="36"/>
      <c r="L3617" s="36"/>
      <c r="M3617" s="36"/>
      <c r="N3617" s="36"/>
      <c r="O3617" s="36"/>
      <c r="P3617" s="36"/>
      <c r="Q3617" s="36"/>
      <c r="R3617" s="36"/>
      <c r="S3617" s="36"/>
      <c r="T3617" s="36"/>
      <c r="U3617" s="36"/>
      <c r="V3617" s="36"/>
      <c r="W3617" s="15">
        <f t="shared" si="285"/>
        <v>0</v>
      </c>
      <c r="X3617" s="36"/>
      <c r="Y3617" s="36">
        <v>600</v>
      </c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15">
        <f t="shared" si="286"/>
        <v>600</v>
      </c>
      <c r="AK3617" s="14"/>
      <c r="AL3617" s="14"/>
      <c r="AM3617" s="14"/>
      <c r="AN3617" s="14"/>
      <c r="AO3617" s="14"/>
      <c r="AP3617" s="14"/>
      <c r="AQ3617" s="14"/>
      <c r="AR3617" s="14"/>
      <c r="AS3617" s="14"/>
      <c r="AT3617" s="14"/>
      <c r="AU3617" s="14"/>
      <c r="AV3617" s="14"/>
      <c r="AW3617" s="15"/>
      <c r="AX3617" s="16"/>
    </row>
    <row r="3618" spans="2:50" x14ac:dyDescent="0.2">
      <c r="B3618" s="7"/>
      <c r="C3618" s="8">
        <v>14027</v>
      </c>
      <c r="D3618" s="9" t="s">
        <v>205</v>
      </c>
      <c r="E3618" s="10" t="str">
        <f t="shared" si="282"/>
        <v>Rancho Landero No. 1, A</v>
      </c>
      <c r="F3618" s="10" t="str">
        <f t="shared" si="283"/>
        <v>Ebysos</v>
      </c>
      <c r="G3618" s="8">
        <v>7</v>
      </c>
      <c r="H3618" s="11">
        <v>100</v>
      </c>
      <c r="I3618" s="12">
        <v>42800</v>
      </c>
      <c r="J3618" s="35">
        <f t="shared" si="284"/>
        <v>0</v>
      </c>
      <c r="K3618" s="36"/>
      <c r="L3618" s="36"/>
      <c r="M3618" s="36"/>
      <c r="N3618" s="36"/>
      <c r="O3618" s="36"/>
      <c r="P3618" s="36"/>
      <c r="Q3618" s="36"/>
      <c r="R3618" s="36"/>
      <c r="S3618" s="36"/>
      <c r="T3618" s="36"/>
      <c r="U3618" s="36"/>
      <c r="V3618" s="36"/>
      <c r="W3618" s="15">
        <f t="shared" si="285"/>
        <v>0</v>
      </c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15">
        <f t="shared" si="286"/>
        <v>0</v>
      </c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14"/>
      <c r="AV3618" s="14"/>
      <c r="AW3618" s="15"/>
      <c r="AX3618" s="16" t="s">
        <v>3533</v>
      </c>
    </row>
    <row r="3619" spans="2:50" x14ac:dyDescent="0.2">
      <c r="B3619" s="7"/>
      <c r="C3619" s="8">
        <v>14028</v>
      </c>
      <c r="D3619" s="9" t="s">
        <v>1346</v>
      </c>
      <c r="E3619" s="10" t="str">
        <f t="shared" si="282"/>
        <v>Rancho Estanzuela No. 123</v>
      </c>
      <c r="F3619" s="10" t="str">
        <f t="shared" si="283"/>
        <v>Bueno Rendón</v>
      </c>
      <c r="G3619" s="8">
        <v>1</v>
      </c>
      <c r="H3619" s="11">
        <v>200</v>
      </c>
      <c r="I3619" s="12">
        <v>42804</v>
      </c>
      <c r="J3619" s="35">
        <f t="shared" si="284"/>
        <v>0</v>
      </c>
      <c r="K3619" s="36"/>
      <c r="L3619" s="36"/>
      <c r="M3619" s="36"/>
      <c r="N3619" s="36"/>
      <c r="O3619" s="36"/>
      <c r="P3619" s="36"/>
      <c r="Q3619" s="36"/>
      <c r="R3619" s="36"/>
      <c r="S3619" s="36"/>
      <c r="T3619" s="36"/>
      <c r="U3619" s="36"/>
      <c r="V3619" s="36"/>
      <c r="W3619" s="15">
        <f t="shared" si="285"/>
        <v>0</v>
      </c>
      <c r="X3619" s="36"/>
      <c r="Y3619" s="36"/>
      <c r="Z3619" s="36">
        <v>200</v>
      </c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15">
        <f t="shared" si="286"/>
        <v>200</v>
      </c>
      <c r="AK3619" s="14"/>
      <c r="AL3619" s="14"/>
      <c r="AM3619" s="14"/>
      <c r="AN3619" s="14"/>
      <c r="AO3619" s="14"/>
      <c r="AP3619" s="14"/>
      <c r="AQ3619" s="14"/>
      <c r="AR3619" s="14"/>
      <c r="AS3619" s="14"/>
      <c r="AT3619" s="14"/>
      <c r="AU3619" s="14"/>
      <c r="AV3619" s="14"/>
      <c r="AW3619" s="15"/>
      <c r="AX3619" s="16"/>
    </row>
    <row r="3620" spans="2:50" x14ac:dyDescent="0.2">
      <c r="B3620" s="7"/>
      <c r="C3620" s="8">
        <v>14029</v>
      </c>
      <c r="D3620" s="9"/>
      <c r="E3620" s="10" t="str">
        <f t="shared" si="282"/>
        <v/>
      </c>
      <c r="F3620" s="10" t="str">
        <f t="shared" si="283"/>
        <v/>
      </c>
      <c r="G3620" s="8">
        <v>8</v>
      </c>
      <c r="H3620" s="11"/>
      <c r="I3620" s="12"/>
      <c r="J3620" s="35">
        <f t="shared" si="284"/>
        <v>0</v>
      </c>
      <c r="K3620" s="36"/>
      <c r="L3620" s="36"/>
      <c r="M3620" s="36"/>
      <c r="N3620" s="36"/>
      <c r="O3620" s="36"/>
      <c r="P3620" s="36"/>
      <c r="Q3620" s="36"/>
      <c r="R3620" s="36"/>
      <c r="S3620" s="36"/>
      <c r="T3620" s="36"/>
      <c r="U3620" s="36"/>
      <c r="V3620" s="36"/>
      <c r="W3620" s="15">
        <f t="shared" si="285"/>
        <v>0</v>
      </c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15">
        <f t="shared" si="286"/>
        <v>0</v>
      </c>
      <c r="AK3620" s="14"/>
      <c r="AL3620" s="14"/>
      <c r="AM3620" s="14"/>
      <c r="AN3620" s="14"/>
      <c r="AO3620" s="14"/>
      <c r="AP3620" s="14"/>
      <c r="AQ3620" s="14"/>
      <c r="AR3620" s="14"/>
      <c r="AS3620" s="14"/>
      <c r="AT3620" s="14"/>
      <c r="AU3620" s="14"/>
      <c r="AV3620" s="14"/>
      <c r="AW3620" s="15"/>
      <c r="AX3620" s="16"/>
    </row>
    <row r="3621" spans="2:50" x14ac:dyDescent="0.2">
      <c r="B3621" s="7"/>
      <c r="C3621" s="8">
        <v>14030</v>
      </c>
      <c r="D3621" s="9" t="s">
        <v>44</v>
      </c>
      <c r="E3621" s="10" t="str">
        <f t="shared" si="282"/>
        <v>Rancho Landero No. 14</v>
      </c>
      <c r="F3621" s="10" t="str">
        <f t="shared" si="283"/>
        <v xml:space="preserve">Castrejón  </v>
      </c>
      <c r="G3621" s="8">
        <v>5</v>
      </c>
      <c r="H3621" s="11">
        <v>100</v>
      </c>
      <c r="I3621" s="12">
        <v>42804</v>
      </c>
      <c r="J3621" s="35">
        <f t="shared" si="284"/>
        <v>0</v>
      </c>
      <c r="K3621" s="36"/>
      <c r="L3621" s="36"/>
      <c r="M3621" s="36"/>
      <c r="N3621" s="36"/>
      <c r="O3621" s="36"/>
      <c r="P3621" s="36"/>
      <c r="Q3621" s="36"/>
      <c r="R3621" s="36"/>
      <c r="S3621" s="36"/>
      <c r="T3621" s="36"/>
      <c r="U3621" s="36"/>
      <c r="V3621" s="36"/>
      <c r="W3621" s="15">
        <f t="shared" si="285"/>
        <v>0</v>
      </c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15">
        <f t="shared" si="286"/>
        <v>0</v>
      </c>
      <c r="AK3621" s="14"/>
      <c r="AL3621" s="14"/>
      <c r="AM3621" s="14"/>
      <c r="AN3621" s="14"/>
      <c r="AO3621" s="14"/>
      <c r="AP3621" s="14"/>
      <c r="AQ3621" s="14"/>
      <c r="AR3621" s="14"/>
      <c r="AS3621" s="14"/>
      <c r="AT3621" s="14"/>
      <c r="AU3621" s="14"/>
      <c r="AV3621" s="14"/>
      <c r="AW3621" s="15"/>
      <c r="AX3621" s="16"/>
    </row>
    <row r="3622" spans="2:50" x14ac:dyDescent="0.2">
      <c r="B3622" s="7"/>
      <c r="C3622" s="8">
        <v>14031</v>
      </c>
      <c r="D3622" s="9" t="s">
        <v>44</v>
      </c>
      <c r="E3622" s="10" t="str">
        <f t="shared" si="282"/>
        <v>Rancho Landero No. 14</v>
      </c>
      <c r="F3622" s="10" t="str">
        <f t="shared" si="283"/>
        <v xml:space="preserve">Castrejón  </v>
      </c>
      <c r="G3622" s="8">
        <v>7</v>
      </c>
      <c r="H3622" s="11">
        <v>100</v>
      </c>
      <c r="I3622" s="12">
        <v>42804</v>
      </c>
      <c r="J3622" s="35">
        <f t="shared" si="284"/>
        <v>0</v>
      </c>
      <c r="K3622" s="36"/>
      <c r="L3622" s="36"/>
      <c r="M3622" s="36"/>
      <c r="N3622" s="36"/>
      <c r="O3622" s="36"/>
      <c r="P3622" s="36"/>
      <c r="Q3622" s="36"/>
      <c r="R3622" s="36"/>
      <c r="S3622" s="36"/>
      <c r="T3622" s="36"/>
      <c r="U3622" s="36"/>
      <c r="V3622" s="36"/>
      <c r="W3622" s="15">
        <f t="shared" si="285"/>
        <v>0</v>
      </c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15">
        <f t="shared" si="286"/>
        <v>0</v>
      </c>
      <c r="AK3622" s="14"/>
      <c r="AL3622" s="14"/>
      <c r="AM3622" s="14"/>
      <c r="AN3622" s="14"/>
      <c r="AO3622" s="14"/>
      <c r="AP3622" s="14"/>
      <c r="AQ3622" s="14"/>
      <c r="AR3622" s="14"/>
      <c r="AS3622" s="14"/>
      <c r="AT3622" s="14"/>
      <c r="AU3622" s="14"/>
      <c r="AV3622" s="14"/>
      <c r="AW3622" s="15"/>
      <c r="AX3622" s="16" t="s">
        <v>3533</v>
      </c>
    </row>
    <row r="3623" spans="2:50" x14ac:dyDescent="0.2">
      <c r="B3623" s="7"/>
      <c r="C3623" s="8">
        <v>14032</v>
      </c>
      <c r="D3623" s="9" t="s">
        <v>387</v>
      </c>
      <c r="E3623" s="10" t="str">
        <f t="shared" si="282"/>
        <v>Rancho Upácuaro No. 69</v>
      </c>
      <c r="F3623" s="10" t="str">
        <f t="shared" si="283"/>
        <v>Gómez</v>
      </c>
      <c r="G3623" s="8">
        <v>1</v>
      </c>
      <c r="H3623" s="11">
        <v>400</v>
      </c>
      <c r="I3623" s="12">
        <v>42806</v>
      </c>
      <c r="J3623" s="35">
        <f t="shared" si="284"/>
        <v>0</v>
      </c>
      <c r="K3623" s="36"/>
      <c r="L3623" s="36"/>
      <c r="M3623" s="36"/>
      <c r="N3623" s="36"/>
      <c r="O3623" s="36"/>
      <c r="P3623" s="36"/>
      <c r="Q3623" s="36"/>
      <c r="R3623" s="36"/>
      <c r="S3623" s="36"/>
      <c r="T3623" s="36"/>
      <c r="U3623" s="36"/>
      <c r="V3623" s="36"/>
      <c r="W3623" s="15">
        <f t="shared" si="285"/>
        <v>0</v>
      </c>
      <c r="X3623" s="36"/>
      <c r="Y3623" s="36"/>
      <c r="Z3623" s="36">
        <v>400</v>
      </c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15">
        <f t="shared" si="286"/>
        <v>400</v>
      </c>
      <c r="AK3623" s="14"/>
      <c r="AL3623" s="14"/>
      <c r="AM3623" s="14"/>
      <c r="AN3623" s="14"/>
      <c r="AO3623" s="14"/>
      <c r="AP3623" s="14"/>
      <c r="AQ3623" s="14"/>
      <c r="AR3623" s="14"/>
      <c r="AS3623" s="14"/>
      <c r="AT3623" s="14"/>
      <c r="AU3623" s="14"/>
      <c r="AV3623" s="14"/>
      <c r="AW3623" s="15"/>
      <c r="AX3623" s="16"/>
    </row>
    <row r="3624" spans="2:50" x14ac:dyDescent="0.2">
      <c r="B3624" s="7"/>
      <c r="C3624" s="8">
        <v>14032</v>
      </c>
      <c r="D3624" s="9" t="s">
        <v>387</v>
      </c>
      <c r="E3624" s="10" t="str">
        <f t="shared" si="282"/>
        <v>Rancho Upácuaro No. 69</v>
      </c>
      <c r="F3624" s="10" t="str">
        <f t="shared" si="283"/>
        <v>Gómez</v>
      </c>
      <c r="G3624" s="8">
        <v>7</v>
      </c>
      <c r="H3624" s="11">
        <v>100</v>
      </c>
      <c r="I3624" s="12">
        <v>42806</v>
      </c>
      <c r="J3624" s="35">
        <f t="shared" si="284"/>
        <v>0</v>
      </c>
      <c r="K3624" s="36"/>
      <c r="L3624" s="36"/>
      <c r="M3624" s="36"/>
      <c r="N3624" s="36"/>
      <c r="O3624" s="36"/>
      <c r="P3624" s="36"/>
      <c r="Q3624" s="36"/>
      <c r="R3624" s="36"/>
      <c r="S3624" s="36"/>
      <c r="T3624" s="36"/>
      <c r="U3624" s="36"/>
      <c r="V3624" s="36"/>
      <c r="W3624" s="15">
        <f t="shared" si="285"/>
        <v>0</v>
      </c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15">
        <f t="shared" si="286"/>
        <v>0</v>
      </c>
      <c r="AK3624" s="14"/>
      <c r="AL3624" s="14"/>
      <c r="AM3624" s="14"/>
      <c r="AN3624" s="14"/>
      <c r="AO3624" s="14"/>
      <c r="AP3624" s="14"/>
      <c r="AQ3624" s="14"/>
      <c r="AR3624" s="14"/>
      <c r="AS3624" s="14"/>
      <c r="AT3624" s="14"/>
      <c r="AU3624" s="14"/>
      <c r="AV3624" s="14"/>
      <c r="AW3624" s="15"/>
      <c r="AX3624" s="16" t="s">
        <v>3533</v>
      </c>
    </row>
    <row r="3625" spans="2:50" x14ac:dyDescent="0.2">
      <c r="B3625" s="7"/>
      <c r="C3625" s="8">
        <v>14033</v>
      </c>
      <c r="D3625" s="9" t="s">
        <v>343</v>
      </c>
      <c r="E3625" s="10" t="str">
        <f t="shared" si="282"/>
        <v>Rancho Upácuaro No. 88</v>
      </c>
      <c r="F3625" s="10" t="str">
        <f t="shared" si="283"/>
        <v>Millán Núñez</v>
      </c>
      <c r="G3625" s="8">
        <v>1</v>
      </c>
      <c r="H3625" s="11">
        <v>400</v>
      </c>
      <c r="I3625" s="12">
        <v>42806</v>
      </c>
      <c r="J3625" s="35">
        <f t="shared" si="284"/>
        <v>0</v>
      </c>
      <c r="K3625" s="36"/>
      <c r="L3625" s="36"/>
      <c r="M3625" s="36"/>
      <c r="N3625" s="36"/>
      <c r="O3625" s="36"/>
      <c r="P3625" s="36"/>
      <c r="Q3625" s="36"/>
      <c r="R3625" s="36"/>
      <c r="S3625" s="36"/>
      <c r="T3625" s="36"/>
      <c r="U3625" s="36"/>
      <c r="V3625" s="36"/>
      <c r="W3625" s="15">
        <f t="shared" si="285"/>
        <v>0</v>
      </c>
      <c r="X3625" s="36"/>
      <c r="Y3625" s="36"/>
      <c r="Z3625" s="36">
        <v>400</v>
      </c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15">
        <f t="shared" si="286"/>
        <v>400</v>
      </c>
      <c r="AK3625" s="14"/>
      <c r="AL3625" s="14"/>
      <c r="AM3625" s="14"/>
      <c r="AN3625" s="14"/>
      <c r="AO3625" s="14"/>
      <c r="AP3625" s="14"/>
      <c r="AQ3625" s="14"/>
      <c r="AR3625" s="14"/>
      <c r="AS3625" s="14"/>
      <c r="AT3625" s="14"/>
      <c r="AU3625" s="14"/>
      <c r="AV3625" s="14"/>
      <c r="AW3625" s="15"/>
      <c r="AX3625" s="16"/>
    </row>
    <row r="3626" spans="2:50" x14ac:dyDescent="0.2">
      <c r="B3626" s="7"/>
      <c r="C3626" s="8">
        <v>14033</v>
      </c>
      <c r="D3626" s="9" t="s">
        <v>343</v>
      </c>
      <c r="E3626" s="10" t="str">
        <f t="shared" si="282"/>
        <v>Rancho Upácuaro No. 88</v>
      </c>
      <c r="F3626" s="10" t="str">
        <f t="shared" si="283"/>
        <v>Millán Núñez</v>
      </c>
      <c r="G3626" s="8">
        <v>7</v>
      </c>
      <c r="H3626" s="11">
        <v>100</v>
      </c>
      <c r="I3626" s="12">
        <v>42806</v>
      </c>
      <c r="J3626" s="35">
        <f t="shared" si="284"/>
        <v>0</v>
      </c>
      <c r="K3626" s="36"/>
      <c r="L3626" s="36"/>
      <c r="M3626" s="36"/>
      <c r="N3626" s="36"/>
      <c r="O3626" s="36"/>
      <c r="P3626" s="36"/>
      <c r="Q3626" s="36"/>
      <c r="R3626" s="36"/>
      <c r="S3626" s="36"/>
      <c r="T3626" s="36"/>
      <c r="U3626" s="36"/>
      <c r="V3626" s="36"/>
      <c r="W3626" s="15">
        <f t="shared" si="285"/>
        <v>0</v>
      </c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15">
        <f t="shared" si="286"/>
        <v>0</v>
      </c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14"/>
      <c r="AV3626" s="14"/>
      <c r="AW3626" s="15"/>
      <c r="AX3626" s="16" t="s">
        <v>3533</v>
      </c>
    </row>
    <row r="3627" spans="2:50" x14ac:dyDescent="0.2">
      <c r="B3627" s="7"/>
      <c r="C3627" s="8">
        <v>14034</v>
      </c>
      <c r="D3627" s="9" t="s">
        <v>452</v>
      </c>
      <c r="E3627" s="10" t="str">
        <f t="shared" si="282"/>
        <v>Rancho Upácuaro No. 78</v>
      </c>
      <c r="F3627" s="10" t="str">
        <f t="shared" si="283"/>
        <v>Villaseñor Carranza</v>
      </c>
      <c r="G3627" s="8">
        <v>7</v>
      </c>
      <c r="H3627" s="11">
        <v>100</v>
      </c>
      <c r="I3627" s="12">
        <v>42806</v>
      </c>
      <c r="J3627" s="35">
        <f t="shared" si="284"/>
        <v>0</v>
      </c>
      <c r="K3627" s="36"/>
      <c r="L3627" s="36"/>
      <c r="M3627" s="36"/>
      <c r="N3627" s="36"/>
      <c r="O3627" s="36"/>
      <c r="P3627" s="36"/>
      <c r="Q3627" s="36"/>
      <c r="R3627" s="36"/>
      <c r="S3627" s="36"/>
      <c r="T3627" s="36"/>
      <c r="U3627" s="36"/>
      <c r="V3627" s="36"/>
      <c r="W3627" s="15">
        <f t="shared" si="285"/>
        <v>0</v>
      </c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15">
        <f t="shared" si="286"/>
        <v>0</v>
      </c>
      <c r="AK3627" s="14"/>
      <c r="AL3627" s="14"/>
      <c r="AM3627" s="14"/>
      <c r="AN3627" s="14"/>
      <c r="AO3627" s="14"/>
      <c r="AP3627" s="14"/>
      <c r="AQ3627" s="14"/>
      <c r="AR3627" s="14"/>
      <c r="AS3627" s="14"/>
      <c r="AT3627" s="14"/>
      <c r="AU3627" s="14"/>
      <c r="AV3627" s="14"/>
      <c r="AW3627" s="15"/>
      <c r="AX3627" s="16" t="s">
        <v>3533</v>
      </c>
    </row>
    <row r="3628" spans="2:50" x14ac:dyDescent="0.2">
      <c r="B3628" s="7"/>
      <c r="C3628" s="8">
        <v>14035</v>
      </c>
      <c r="D3628" s="9" t="s">
        <v>307</v>
      </c>
      <c r="E3628" s="10" t="str">
        <f t="shared" si="282"/>
        <v>Rancho Landero No. 83</v>
      </c>
      <c r="F3628" s="10" t="str">
        <f t="shared" si="283"/>
        <v>Aguilar</v>
      </c>
      <c r="G3628" s="8">
        <v>1</v>
      </c>
      <c r="H3628" s="11">
        <v>350</v>
      </c>
      <c r="I3628" s="12">
        <v>42806</v>
      </c>
      <c r="J3628" s="35">
        <f t="shared" si="284"/>
        <v>0</v>
      </c>
      <c r="K3628" s="36"/>
      <c r="L3628" s="36"/>
      <c r="M3628" s="36"/>
      <c r="N3628" s="36"/>
      <c r="O3628" s="36"/>
      <c r="P3628" s="36"/>
      <c r="Q3628" s="36"/>
      <c r="R3628" s="36"/>
      <c r="S3628" s="36"/>
      <c r="T3628" s="36"/>
      <c r="U3628" s="36"/>
      <c r="V3628" s="36"/>
      <c r="W3628" s="15">
        <f t="shared" si="285"/>
        <v>0</v>
      </c>
      <c r="X3628" s="36"/>
      <c r="Y3628" s="36"/>
      <c r="Z3628" s="36">
        <v>350</v>
      </c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15">
        <f t="shared" si="286"/>
        <v>350</v>
      </c>
      <c r="AK3628" s="14"/>
      <c r="AL3628" s="14"/>
      <c r="AM3628" s="14"/>
      <c r="AN3628" s="14"/>
      <c r="AO3628" s="14"/>
      <c r="AP3628" s="14"/>
      <c r="AQ3628" s="14"/>
      <c r="AR3628" s="14"/>
      <c r="AS3628" s="14"/>
      <c r="AT3628" s="14"/>
      <c r="AU3628" s="14"/>
      <c r="AV3628" s="14"/>
      <c r="AW3628" s="15"/>
      <c r="AX3628" s="16"/>
    </row>
    <row r="3629" spans="2:50" x14ac:dyDescent="0.2">
      <c r="B3629" s="7"/>
      <c r="C3629" s="8">
        <v>14036</v>
      </c>
      <c r="D3629" s="9" t="s">
        <v>398</v>
      </c>
      <c r="E3629" s="10" t="str">
        <f t="shared" si="282"/>
        <v>Rancho Estanzuela No. 151</v>
      </c>
      <c r="F3629" s="10" t="str">
        <f t="shared" si="283"/>
        <v>Pérez Salazar</v>
      </c>
      <c r="G3629" s="8">
        <v>1</v>
      </c>
      <c r="H3629" s="11">
        <v>400</v>
      </c>
      <c r="I3629" s="12">
        <v>42806</v>
      </c>
      <c r="J3629" s="35">
        <f t="shared" si="284"/>
        <v>0</v>
      </c>
      <c r="K3629" s="36"/>
      <c r="L3629" s="36"/>
      <c r="M3629" s="36"/>
      <c r="N3629" s="36"/>
      <c r="O3629" s="36"/>
      <c r="P3629" s="36"/>
      <c r="Q3629" s="36"/>
      <c r="R3629" s="36"/>
      <c r="S3629" s="36"/>
      <c r="T3629" s="36"/>
      <c r="U3629" s="36"/>
      <c r="V3629" s="36"/>
      <c r="W3629" s="15">
        <f t="shared" si="285"/>
        <v>0</v>
      </c>
      <c r="X3629" s="36"/>
      <c r="Y3629" s="36"/>
      <c r="Z3629" s="36">
        <v>400</v>
      </c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15">
        <f t="shared" si="286"/>
        <v>400</v>
      </c>
      <c r="AK3629" s="14"/>
      <c r="AL3629" s="14"/>
      <c r="AM3629" s="14"/>
      <c r="AN3629" s="14"/>
      <c r="AO3629" s="14"/>
      <c r="AP3629" s="14"/>
      <c r="AQ3629" s="14"/>
      <c r="AR3629" s="14"/>
      <c r="AS3629" s="14"/>
      <c r="AT3629" s="14"/>
      <c r="AU3629" s="14"/>
      <c r="AV3629" s="14"/>
      <c r="AW3629" s="15"/>
      <c r="AX3629" s="16"/>
    </row>
    <row r="3630" spans="2:50" x14ac:dyDescent="0.2">
      <c r="B3630" s="7"/>
      <c r="C3630" s="8">
        <v>14036</v>
      </c>
      <c r="D3630" s="9" t="s">
        <v>398</v>
      </c>
      <c r="E3630" s="10" t="str">
        <f t="shared" si="282"/>
        <v>Rancho Estanzuela No. 151</v>
      </c>
      <c r="F3630" s="10" t="str">
        <f t="shared" si="283"/>
        <v>Pérez Salazar</v>
      </c>
      <c r="G3630" s="8">
        <v>7</v>
      </c>
      <c r="H3630" s="11">
        <v>100</v>
      </c>
      <c r="I3630" s="12">
        <v>42806</v>
      </c>
      <c r="J3630" s="35">
        <f t="shared" si="284"/>
        <v>0</v>
      </c>
      <c r="K3630" s="36"/>
      <c r="L3630" s="36"/>
      <c r="M3630" s="36"/>
      <c r="N3630" s="36"/>
      <c r="O3630" s="36"/>
      <c r="P3630" s="36"/>
      <c r="Q3630" s="36"/>
      <c r="R3630" s="36"/>
      <c r="S3630" s="36"/>
      <c r="T3630" s="36"/>
      <c r="U3630" s="36"/>
      <c r="V3630" s="36"/>
      <c r="W3630" s="15">
        <f t="shared" si="285"/>
        <v>0</v>
      </c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15">
        <f t="shared" si="286"/>
        <v>0</v>
      </c>
      <c r="AK3630" s="14"/>
      <c r="AL3630" s="14"/>
      <c r="AM3630" s="14"/>
      <c r="AN3630" s="14"/>
      <c r="AO3630" s="14"/>
      <c r="AP3630" s="14"/>
      <c r="AQ3630" s="14"/>
      <c r="AR3630" s="14"/>
      <c r="AS3630" s="14"/>
      <c r="AT3630" s="14"/>
      <c r="AU3630" s="14"/>
      <c r="AV3630" s="14"/>
      <c r="AW3630" s="15"/>
      <c r="AX3630" s="16" t="s">
        <v>3533</v>
      </c>
    </row>
    <row r="3631" spans="2:50" x14ac:dyDescent="0.2">
      <c r="B3631" s="7"/>
      <c r="C3631" s="8">
        <v>14037</v>
      </c>
      <c r="D3631" s="9" t="s">
        <v>520</v>
      </c>
      <c r="E3631" s="10" t="str">
        <f t="shared" si="282"/>
        <v>Rancho Landero No. 38</v>
      </c>
      <c r="F3631" s="10" t="str">
        <f t="shared" si="283"/>
        <v>Sánchez Peña</v>
      </c>
      <c r="G3631" s="8">
        <v>1</v>
      </c>
      <c r="H3631" s="11">
        <v>800</v>
      </c>
      <c r="I3631" s="12">
        <v>42806</v>
      </c>
      <c r="J3631" s="35">
        <f t="shared" si="284"/>
        <v>0</v>
      </c>
      <c r="K3631" s="36"/>
      <c r="L3631" s="36"/>
      <c r="M3631" s="36"/>
      <c r="N3631" s="36"/>
      <c r="O3631" s="36"/>
      <c r="P3631" s="36"/>
      <c r="Q3631" s="36"/>
      <c r="R3631" s="36"/>
      <c r="S3631" s="36"/>
      <c r="T3631" s="36"/>
      <c r="U3631" s="36"/>
      <c r="V3631" s="36"/>
      <c r="W3631" s="15">
        <f t="shared" si="285"/>
        <v>0</v>
      </c>
      <c r="X3631" s="36"/>
      <c r="Y3631" s="36"/>
      <c r="Z3631" s="36">
        <v>400</v>
      </c>
      <c r="AA3631" s="36">
        <v>400</v>
      </c>
      <c r="AB3631" s="36"/>
      <c r="AC3631" s="36"/>
      <c r="AD3631" s="36"/>
      <c r="AE3631" s="36"/>
      <c r="AF3631" s="36"/>
      <c r="AG3631" s="36"/>
      <c r="AH3631" s="36"/>
      <c r="AI3631" s="36"/>
      <c r="AJ3631" s="15">
        <f t="shared" si="286"/>
        <v>800</v>
      </c>
      <c r="AK3631" s="14"/>
      <c r="AL3631" s="14"/>
      <c r="AM3631" s="14"/>
      <c r="AN3631" s="14"/>
      <c r="AO3631" s="14"/>
      <c r="AP3631" s="14"/>
      <c r="AQ3631" s="14"/>
      <c r="AR3631" s="14"/>
      <c r="AS3631" s="14"/>
      <c r="AT3631" s="14"/>
      <c r="AU3631" s="14"/>
      <c r="AV3631" s="14"/>
      <c r="AW3631" s="15"/>
      <c r="AX3631" s="16"/>
    </row>
    <row r="3632" spans="2:50" x14ac:dyDescent="0.2">
      <c r="B3632" s="7"/>
      <c r="C3632" s="8">
        <v>14037</v>
      </c>
      <c r="D3632" s="9" t="s">
        <v>520</v>
      </c>
      <c r="E3632" s="10" t="str">
        <f t="shared" si="282"/>
        <v>Rancho Landero No. 38</v>
      </c>
      <c r="F3632" s="10" t="str">
        <f t="shared" si="283"/>
        <v>Sánchez Peña</v>
      </c>
      <c r="G3632" s="8">
        <v>7</v>
      </c>
      <c r="H3632" s="11">
        <v>100</v>
      </c>
      <c r="I3632" s="12">
        <v>42806</v>
      </c>
      <c r="J3632" s="35">
        <f t="shared" si="284"/>
        <v>0</v>
      </c>
      <c r="K3632" s="36"/>
      <c r="L3632" s="36"/>
      <c r="M3632" s="36"/>
      <c r="N3632" s="36"/>
      <c r="O3632" s="36"/>
      <c r="P3632" s="36"/>
      <c r="Q3632" s="36"/>
      <c r="R3632" s="36"/>
      <c r="S3632" s="36"/>
      <c r="T3632" s="36"/>
      <c r="U3632" s="36"/>
      <c r="V3632" s="36"/>
      <c r="W3632" s="15">
        <f t="shared" si="285"/>
        <v>0</v>
      </c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15">
        <f t="shared" si="286"/>
        <v>0</v>
      </c>
      <c r="AK3632" s="14"/>
      <c r="AL3632" s="14"/>
      <c r="AM3632" s="14"/>
      <c r="AN3632" s="14"/>
      <c r="AO3632" s="14"/>
      <c r="AP3632" s="14"/>
      <c r="AQ3632" s="14"/>
      <c r="AR3632" s="14"/>
      <c r="AS3632" s="14"/>
      <c r="AT3632" s="14"/>
      <c r="AU3632" s="14"/>
      <c r="AV3632" s="14"/>
      <c r="AW3632" s="15"/>
      <c r="AX3632" s="16" t="s">
        <v>3533</v>
      </c>
    </row>
    <row r="3633" spans="2:50" x14ac:dyDescent="0.2">
      <c r="B3633" s="7"/>
      <c r="C3633" s="8">
        <v>14038</v>
      </c>
      <c r="D3633" s="9" t="s">
        <v>696</v>
      </c>
      <c r="E3633" s="10" t="str">
        <f t="shared" si="282"/>
        <v>Rancho Upácuaro No. 64</v>
      </c>
      <c r="F3633" s="10" t="str">
        <f t="shared" si="283"/>
        <v>Méndez Oliva</v>
      </c>
      <c r="G3633" s="8">
        <v>1</v>
      </c>
      <c r="H3633" s="11">
        <v>300</v>
      </c>
      <c r="I3633" s="12">
        <v>42806</v>
      </c>
      <c r="J3633" s="35">
        <f t="shared" si="284"/>
        <v>0</v>
      </c>
      <c r="K3633" s="36"/>
      <c r="L3633" s="36"/>
      <c r="M3633" s="36"/>
      <c r="N3633" s="36"/>
      <c r="O3633" s="36"/>
      <c r="P3633" s="36"/>
      <c r="Q3633" s="36"/>
      <c r="R3633" s="36"/>
      <c r="S3633" s="36"/>
      <c r="T3633" s="36"/>
      <c r="U3633" s="36"/>
      <c r="V3633" s="36"/>
      <c r="W3633" s="15">
        <f t="shared" si="285"/>
        <v>0</v>
      </c>
      <c r="X3633" s="36"/>
      <c r="Y3633" s="36"/>
      <c r="Z3633" s="36">
        <v>300</v>
      </c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15">
        <f t="shared" si="286"/>
        <v>300</v>
      </c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14"/>
      <c r="AV3633" s="14"/>
      <c r="AW3633" s="15"/>
      <c r="AX3633" s="16"/>
    </row>
    <row r="3634" spans="2:50" x14ac:dyDescent="0.2">
      <c r="B3634" s="7"/>
      <c r="C3634" s="8">
        <v>14039</v>
      </c>
      <c r="D3634" s="9" t="s">
        <v>103</v>
      </c>
      <c r="E3634" s="10" t="str">
        <f t="shared" si="282"/>
        <v>Rancho La Cuchilla No. 41</v>
      </c>
      <c r="F3634" s="10" t="str">
        <f t="shared" si="283"/>
        <v>Arriaga Lemus</v>
      </c>
      <c r="G3634" s="8">
        <v>7</v>
      </c>
      <c r="H3634" s="11">
        <v>100</v>
      </c>
      <c r="I3634" s="12">
        <v>42806</v>
      </c>
      <c r="J3634" s="35">
        <f t="shared" si="284"/>
        <v>0</v>
      </c>
      <c r="K3634" s="36"/>
      <c r="L3634" s="36"/>
      <c r="M3634" s="36"/>
      <c r="N3634" s="36"/>
      <c r="O3634" s="36"/>
      <c r="P3634" s="36"/>
      <c r="Q3634" s="36"/>
      <c r="R3634" s="36"/>
      <c r="S3634" s="36"/>
      <c r="T3634" s="36"/>
      <c r="U3634" s="36"/>
      <c r="V3634" s="36"/>
      <c r="W3634" s="15">
        <f t="shared" si="285"/>
        <v>0</v>
      </c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15">
        <f t="shared" si="286"/>
        <v>0</v>
      </c>
      <c r="AK3634" s="14"/>
      <c r="AL3634" s="14"/>
      <c r="AM3634" s="14"/>
      <c r="AN3634" s="14"/>
      <c r="AO3634" s="14"/>
      <c r="AP3634" s="14"/>
      <c r="AQ3634" s="14"/>
      <c r="AR3634" s="14"/>
      <c r="AS3634" s="14"/>
      <c r="AT3634" s="14"/>
      <c r="AU3634" s="14"/>
      <c r="AV3634" s="14"/>
      <c r="AW3634" s="15"/>
      <c r="AX3634" s="16" t="s">
        <v>3533</v>
      </c>
    </row>
    <row r="3635" spans="2:50" x14ac:dyDescent="0.2">
      <c r="B3635" s="7"/>
      <c r="C3635" s="8">
        <v>14040</v>
      </c>
      <c r="D3635" s="9" t="s">
        <v>605</v>
      </c>
      <c r="E3635" s="10" t="str">
        <f t="shared" si="282"/>
        <v>Rancho Upácuaro No. 50</v>
      </c>
      <c r="F3635" s="10" t="str">
        <f t="shared" si="283"/>
        <v>Rivera Rodríguez</v>
      </c>
      <c r="G3635" s="8">
        <v>1</v>
      </c>
      <c r="H3635" s="11">
        <v>300</v>
      </c>
      <c r="I3635" s="12">
        <v>42806</v>
      </c>
      <c r="J3635" s="35">
        <f t="shared" si="284"/>
        <v>0</v>
      </c>
      <c r="K3635" s="36"/>
      <c r="L3635" s="36"/>
      <c r="M3635" s="36"/>
      <c r="N3635" s="36"/>
      <c r="O3635" s="36"/>
      <c r="P3635" s="36"/>
      <c r="Q3635" s="36"/>
      <c r="R3635" s="36"/>
      <c r="S3635" s="36"/>
      <c r="T3635" s="36"/>
      <c r="U3635" s="36"/>
      <c r="V3635" s="36"/>
      <c r="W3635" s="15">
        <f t="shared" si="285"/>
        <v>0</v>
      </c>
      <c r="X3635" s="36"/>
      <c r="Y3635" s="36"/>
      <c r="Z3635" s="36"/>
      <c r="AA3635" s="36"/>
      <c r="AB3635" s="36"/>
      <c r="AC3635" s="36">
        <v>300</v>
      </c>
      <c r="AD3635" s="36"/>
      <c r="AE3635" s="36"/>
      <c r="AF3635" s="36"/>
      <c r="AG3635" s="36"/>
      <c r="AH3635" s="36"/>
      <c r="AI3635" s="36"/>
      <c r="AJ3635" s="15">
        <f t="shared" si="286"/>
        <v>300</v>
      </c>
      <c r="AK3635" s="14"/>
      <c r="AL3635" s="14"/>
      <c r="AM3635" s="14"/>
      <c r="AN3635" s="14"/>
      <c r="AO3635" s="14"/>
      <c r="AP3635" s="14"/>
      <c r="AQ3635" s="14"/>
      <c r="AR3635" s="14"/>
      <c r="AS3635" s="14"/>
      <c r="AT3635" s="14"/>
      <c r="AU3635" s="14"/>
      <c r="AV3635" s="14"/>
      <c r="AW3635" s="15"/>
      <c r="AX3635" s="16"/>
    </row>
    <row r="3636" spans="2:50" x14ac:dyDescent="0.2">
      <c r="B3636" s="7"/>
      <c r="C3636" s="8">
        <v>14040</v>
      </c>
      <c r="D3636" s="9" t="s">
        <v>605</v>
      </c>
      <c r="E3636" s="10" t="str">
        <f t="shared" si="282"/>
        <v>Rancho Upácuaro No. 50</v>
      </c>
      <c r="F3636" s="10" t="str">
        <f t="shared" si="283"/>
        <v>Rivera Rodríguez</v>
      </c>
      <c r="G3636" s="8">
        <v>4</v>
      </c>
      <c r="H3636" s="11">
        <v>200</v>
      </c>
      <c r="I3636" s="12">
        <v>42806</v>
      </c>
      <c r="J3636" s="35">
        <f t="shared" si="284"/>
        <v>0</v>
      </c>
      <c r="K3636" s="36"/>
      <c r="L3636" s="36"/>
      <c r="M3636" s="36"/>
      <c r="N3636" s="36"/>
      <c r="O3636" s="36"/>
      <c r="P3636" s="36"/>
      <c r="Q3636" s="36"/>
      <c r="R3636" s="36"/>
      <c r="S3636" s="36"/>
      <c r="T3636" s="36"/>
      <c r="U3636" s="36"/>
      <c r="V3636" s="36"/>
      <c r="W3636" s="15">
        <f t="shared" si="285"/>
        <v>0</v>
      </c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15">
        <f t="shared" si="286"/>
        <v>0</v>
      </c>
      <c r="AK3636" s="14"/>
      <c r="AL3636" s="14"/>
      <c r="AM3636" s="14"/>
      <c r="AN3636" s="14"/>
      <c r="AO3636" s="14"/>
      <c r="AP3636" s="14"/>
      <c r="AQ3636" s="14"/>
      <c r="AR3636" s="14"/>
      <c r="AS3636" s="14"/>
      <c r="AT3636" s="14"/>
      <c r="AU3636" s="14"/>
      <c r="AV3636" s="14"/>
      <c r="AW3636" s="15"/>
      <c r="AX3636" s="16" t="s">
        <v>3693</v>
      </c>
    </row>
    <row r="3637" spans="2:50" x14ac:dyDescent="0.2">
      <c r="B3637" s="7"/>
      <c r="C3637" s="8">
        <v>14040</v>
      </c>
      <c r="D3637" s="9" t="s">
        <v>605</v>
      </c>
      <c r="E3637" s="10" t="str">
        <f t="shared" si="282"/>
        <v>Rancho Upácuaro No. 50</v>
      </c>
      <c r="F3637" s="10" t="str">
        <f t="shared" si="283"/>
        <v>Rivera Rodríguez</v>
      </c>
      <c r="G3637" s="8">
        <v>5</v>
      </c>
      <c r="H3637" s="11">
        <v>50</v>
      </c>
      <c r="I3637" s="12">
        <v>42806</v>
      </c>
      <c r="J3637" s="35">
        <f t="shared" si="284"/>
        <v>0</v>
      </c>
      <c r="K3637" s="36"/>
      <c r="L3637" s="36"/>
      <c r="M3637" s="36"/>
      <c r="N3637" s="36"/>
      <c r="O3637" s="36"/>
      <c r="P3637" s="36"/>
      <c r="Q3637" s="36"/>
      <c r="R3637" s="36"/>
      <c r="S3637" s="36"/>
      <c r="T3637" s="36"/>
      <c r="U3637" s="36"/>
      <c r="V3637" s="36"/>
      <c r="W3637" s="15">
        <f t="shared" si="285"/>
        <v>0</v>
      </c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15">
        <f t="shared" si="286"/>
        <v>0</v>
      </c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14"/>
      <c r="AV3637" s="14"/>
      <c r="AW3637" s="15"/>
      <c r="AX3637" s="16"/>
    </row>
    <row r="3638" spans="2:50" x14ac:dyDescent="0.2">
      <c r="B3638" s="7"/>
      <c r="C3638" s="8">
        <v>14040</v>
      </c>
      <c r="D3638" s="9" t="s">
        <v>605</v>
      </c>
      <c r="E3638" s="10" t="str">
        <f t="shared" si="282"/>
        <v>Rancho Upácuaro No. 50</v>
      </c>
      <c r="F3638" s="10" t="str">
        <f t="shared" si="283"/>
        <v>Rivera Rodríguez</v>
      </c>
      <c r="G3638" s="8">
        <v>7</v>
      </c>
      <c r="H3638" s="11">
        <v>25</v>
      </c>
      <c r="I3638" s="12">
        <v>42806</v>
      </c>
      <c r="J3638" s="35">
        <f t="shared" si="284"/>
        <v>0</v>
      </c>
      <c r="K3638" s="36"/>
      <c r="L3638" s="36"/>
      <c r="M3638" s="36"/>
      <c r="N3638" s="36"/>
      <c r="O3638" s="36"/>
      <c r="P3638" s="36"/>
      <c r="Q3638" s="36"/>
      <c r="R3638" s="36"/>
      <c r="S3638" s="36"/>
      <c r="T3638" s="36"/>
      <c r="U3638" s="36"/>
      <c r="V3638" s="36"/>
      <c r="W3638" s="15">
        <f t="shared" si="285"/>
        <v>0</v>
      </c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15">
        <f t="shared" si="286"/>
        <v>0</v>
      </c>
      <c r="AK3638" s="14"/>
      <c r="AL3638" s="14"/>
      <c r="AM3638" s="14"/>
      <c r="AN3638" s="14"/>
      <c r="AO3638" s="14"/>
      <c r="AP3638" s="14"/>
      <c r="AQ3638" s="14"/>
      <c r="AR3638" s="14"/>
      <c r="AS3638" s="14"/>
      <c r="AT3638" s="14"/>
      <c r="AU3638" s="14"/>
      <c r="AV3638" s="14"/>
      <c r="AW3638" s="15"/>
      <c r="AX3638" s="16" t="s">
        <v>3694</v>
      </c>
    </row>
    <row r="3639" spans="2:50" x14ac:dyDescent="0.2">
      <c r="B3639" s="7"/>
      <c r="C3639" s="8">
        <v>14041</v>
      </c>
      <c r="D3639" s="9" t="s">
        <v>437</v>
      </c>
      <c r="E3639" s="10" t="str">
        <f t="shared" ref="E3639:E3653" si="287">IF(D3639=0,"",VLOOKUP(D3639,BASE,2,FALSE))</f>
        <v>Rancho Upácuaro No. 47</v>
      </c>
      <c r="F3639" s="10" t="str">
        <f t="shared" ref="F3639:F3653" si="288">IF(D3639=0,"",VLOOKUP(D3639,BASE,3,FALSE))</f>
        <v>Flores Muñoz</v>
      </c>
      <c r="G3639" s="8">
        <v>1</v>
      </c>
      <c r="H3639" s="11">
        <v>800</v>
      </c>
      <c r="I3639" s="12">
        <v>42806</v>
      </c>
      <c r="J3639" s="35">
        <f t="shared" ref="J3639:J3653" si="289">IF(G3639=1,SUM(W3639,AJ3639,-H3639),0)</f>
        <v>0</v>
      </c>
      <c r="K3639" s="36"/>
      <c r="L3639" s="36"/>
      <c r="M3639" s="36"/>
      <c r="N3639" s="36"/>
      <c r="O3639" s="36"/>
      <c r="P3639" s="36"/>
      <c r="Q3639" s="36"/>
      <c r="R3639" s="36"/>
      <c r="S3639" s="36"/>
      <c r="T3639" s="36"/>
      <c r="U3639" s="36"/>
      <c r="V3639" s="36"/>
      <c r="W3639" s="15">
        <f t="shared" ref="W3639:W3653" si="290">SUM(K3639:V3639)</f>
        <v>0</v>
      </c>
      <c r="X3639" s="36"/>
      <c r="Y3639" s="36">
        <v>400</v>
      </c>
      <c r="Z3639" s="36">
        <v>400</v>
      </c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15">
        <f t="shared" ref="AJ3639:AJ3653" si="291">SUM(X3639:AI3639)</f>
        <v>800</v>
      </c>
      <c r="AK3639" s="14"/>
      <c r="AL3639" s="14"/>
      <c r="AM3639" s="14"/>
      <c r="AN3639" s="14"/>
      <c r="AO3639" s="14"/>
      <c r="AP3639" s="14"/>
      <c r="AQ3639" s="14"/>
      <c r="AR3639" s="14"/>
      <c r="AS3639" s="14"/>
      <c r="AT3639" s="14"/>
      <c r="AU3639" s="14"/>
      <c r="AV3639" s="14"/>
      <c r="AW3639" s="15"/>
      <c r="AX3639" s="16"/>
    </row>
    <row r="3640" spans="2:50" x14ac:dyDescent="0.2">
      <c r="B3640" s="7"/>
      <c r="C3640" s="8">
        <v>14041</v>
      </c>
      <c r="D3640" s="9" t="s">
        <v>437</v>
      </c>
      <c r="E3640" s="10" t="str">
        <f t="shared" si="287"/>
        <v>Rancho Upácuaro No. 47</v>
      </c>
      <c r="F3640" s="10" t="str">
        <f t="shared" si="288"/>
        <v>Flores Muñoz</v>
      </c>
      <c r="G3640" s="8">
        <v>7</v>
      </c>
      <c r="H3640" s="11">
        <v>100</v>
      </c>
      <c r="I3640" s="12">
        <v>42806</v>
      </c>
      <c r="J3640" s="35">
        <f t="shared" si="289"/>
        <v>0</v>
      </c>
      <c r="K3640" s="36"/>
      <c r="L3640" s="36"/>
      <c r="M3640" s="36"/>
      <c r="N3640" s="36"/>
      <c r="O3640" s="36"/>
      <c r="P3640" s="36"/>
      <c r="Q3640" s="36"/>
      <c r="R3640" s="36"/>
      <c r="S3640" s="36"/>
      <c r="T3640" s="36"/>
      <c r="U3640" s="36"/>
      <c r="V3640" s="36"/>
      <c r="W3640" s="15">
        <f t="shared" si="290"/>
        <v>0</v>
      </c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15">
        <f t="shared" si="291"/>
        <v>0</v>
      </c>
      <c r="AK3640" s="14"/>
      <c r="AL3640" s="14"/>
      <c r="AM3640" s="14"/>
      <c r="AN3640" s="14"/>
      <c r="AO3640" s="14"/>
      <c r="AP3640" s="14"/>
      <c r="AQ3640" s="14"/>
      <c r="AR3640" s="14"/>
      <c r="AS3640" s="14"/>
      <c r="AT3640" s="14"/>
      <c r="AU3640" s="14"/>
      <c r="AV3640" s="14"/>
      <c r="AW3640" s="15"/>
      <c r="AX3640" s="16" t="s">
        <v>3533</v>
      </c>
    </row>
    <row r="3641" spans="2:50" x14ac:dyDescent="0.2">
      <c r="B3641" s="7"/>
      <c r="C3641" s="8">
        <v>14042</v>
      </c>
      <c r="D3641" s="9" t="s">
        <v>785</v>
      </c>
      <c r="E3641" s="10" t="str">
        <f t="shared" si="287"/>
        <v>Rancho Estanzuela No. 61</v>
      </c>
      <c r="F3641" s="10" t="str">
        <f t="shared" si="288"/>
        <v>González Almazán</v>
      </c>
      <c r="G3641" s="8">
        <v>1</v>
      </c>
      <c r="H3641" s="11">
        <v>200</v>
      </c>
      <c r="I3641" s="12">
        <v>42806</v>
      </c>
      <c r="J3641" s="35">
        <f t="shared" si="289"/>
        <v>0</v>
      </c>
      <c r="K3641" s="36"/>
      <c r="L3641" s="36"/>
      <c r="M3641" s="36"/>
      <c r="N3641" s="36"/>
      <c r="O3641" s="36"/>
      <c r="P3641" s="36"/>
      <c r="Q3641" s="36"/>
      <c r="R3641" s="36"/>
      <c r="S3641" s="36"/>
      <c r="T3641" s="36"/>
      <c r="U3641" s="36"/>
      <c r="V3641" s="36"/>
      <c r="W3641" s="15">
        <f t="shared" si="290"/>
        <v>0</v>
      </c>
      <c r="X3641" s="36"/>
      <c r="Y3641" s="36">
        <v>200</v>
      </c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15">
        <f t="shared" si="291"/>
        <v>200</v>
      </c>
      <c r="AK3641" s="14"/>
      <c r="AL3641" s="14"/>
      <c r="AM3641" s="14"/>
      <c r="AN3641" s="14"/>
      <c r="AO3641" s="14"/>
      <c r="AP3641" s="14"/>
      <c r="AQ3641" s="14"/>
      <c r="AR3641" s="14"/>
      <c r="AS3641" s="14"/>
      <c r="AT3641" s="14"/>
      <c r="AU3641" s="14"/>
      <c r="AV3641" s="14"/>
      <c r="AW3641" s="15"/>
      <c r="AX3641" s="16"/>
    </row>
    <row r="3642" spans="2:50" x14ac:dyDescent="0.2">
      <c r="B3642" s="7"/>
      <c r="C3642" s="8">
        <v>14043</v>
      </c>
      <c r="D3642" s="9" t="s">
        <v>123</v>
      </c>
      <c r="E3642" s="10" t="str">
        <f t="shared" si="287"/>
        <v>Rancho Recoveco No. 175, B</v>
      </c>
      <c r="F3642" s="10" t="str">
        <f t="shared" si="288"/>
        <v>García Calderón</v>
      </c>
      <c r="G3642" s="8">
        <v>1</v>
      </c>
      <c r="H3642" s="11">
        <v>250</v>
      </c>
      <c r="I3642" s="12">
        <v>42806</v>
      </c>
      <c r="J3642" s="35">
        <f t="shared" si="289"/>
        <v>0</v>
      </c>
      <c r="K3642" s="36"/>
      <c r="L3642" s="36"/>
      <c r="M3642" s="36"/>
      <c r="N3642" s="36"/>
      <c r="O3642" s="36"/>
      <c r="P3642" s="36"/>
      <c r="Q3642" s="36"/>
      <c r="R3642" s="36"/>
      <c r="S3642" s="36"/>
      <c r="T3642" s="36"/>
      <c r="U3642" s="36"/>
      <c r="V3642" s="36"/>
      <c r="W3642" s="15">
        <f t="shared" si="290"/>
        <v>0</v>
      </c>
      <c r="X3642" s="36"/>
      <c r="Y3642" s="36"/>
      <c r="Z3642" s="36">
        <v>250</v>
      </c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15">
        <f t="shared" si="291"/>
        <v>250</v>
      </c>
      <c r="AK3642" s="14"/>
      <c r="AL3642" s="14"/>
      <c r="AM3642" s="14"/>
      <c r="AN3642" s="14"/>
      <c r="AO3642" s="14"/>
      <c r="AP3642" s="14"/>
      <c r="AQ3642" s="14"/>
      <c r="AR3642" s="14"/>
      <c r="AS3642" s="14"/>
      <c r="AT3642" s="14"/>
      <c r="AU3642" s="14"/>
      <c r="AV3642" s="14"/>
      <c r="AW3642" s="15"/>
      <c r="AX3642" s="16"/>
    </row>
    <row r="3643" spans="2:50" x14ac:dyDescent="0.2">
      <c r="B3643" s="7"/>
      <c r="C3643" s="8">
        <v>14043</v>
      </c>
      <c r="D3643" s="9" t="s">
        <v>123</v>
      </c>
      <c r="E3643" s="10" t="str">
        <f t="shared" si="287"/>
        <v>Rancho Recoveco No. 175, B</v>
      </c>
      <c r="F3643" s="10" t="str">
        <f t="shared" si="288"/>
        <v>García Calderón</v>
      </c>
      <c r="G3643" s="8">
        <v>7</v>
      </c>
      <c r="H3643" s="11">
        <v>100</v>
      </c>
      <c r="I3643" s="12">
        <v>42806</v>
      </c>
      <c r="J3643" s="35">
        <f t="shared" si="289"/>
        <v>0</v>
      </c>
      <c r="K3643" s="36"/>
      <c r="L3643" s="36"/>
      <c r="M3643" s="36"/>
      <c r="N3643" s="36"/>
      <c r="O3643" s="36"/>
      <c r="P3643" s="36"/>
      <c r="Q3643" s="36"/>
      <c r="R3643" s="36"/>
      <c r="S3643" s="36"/>
      <c r="T3643" s="36"/>
      <c r="U3643" s="36"/>
      <c r="V3643" s="36"/>
      <c r="W3643" s="15">
        <f t="shared" si="290"/>
        <v>0</v>
      </c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15">
        <f t="shared" si="291"/>
        <v>0</v>
      </c>
      <c r="AK3643" s="14"/>
      <c r="AL3643" s="14"/>
      <c r="AM3643" s="14"/>
      <c r="AN3643" s="14"/>
      <c r="AO3643" s="14"/>
      <c r="AP3643" s="14"/>
      <c r="AQ3643" s="14"/>
      <c r="AR3643" s="14"/>
      <c r="AS3643" s="14"/>
      <c r="AT3643" s="14"/>
      <c r="AU3643" s="14"/>
      <c r="AV3643" s="14"/>
      <c r="AW3643" s="15"/>
      <c r="AX3643" s="16" t="s">
        <v>3533</v>
      </c>
    </row>
    <row r="3644" spans="2:50" x14ac:dyDescent="0.2">
      <c r="B3644" s="7"/>
      <c r="C3644" s="8">
        <v>14044</v>
      </c>
      <c r="D3644" s="9" t="s">
        <v>1029</v>
      </c>
      <c r="E3644" s="10" t="str">
        <f t="shared" si="287"/>
        <v>Rancho La Cuchilla No. 134</v>
      </c>
      <c r="F3644" s="10" t="str">
        <f t="shared" si="288"/>
        <v>Moreno Sánchez</v>
      </c>
      <c r="G3644" s="8">
        <v>1</v>
      </c>
      <c r="H3644" s="11">
        <v>400</v>
      </c>
      <c r="I3644" s="12">
        <v>42806</v>
      </c>
      <c r="J3644" s="35">
        <f t="shared" si="289"/>
        <v>0</v>
      </c>
      <c r="K3644" s="36"/>
      <c r="L3644" s="36"/>
      <c r="M3644" s="36"/>
      <c r="N3644" s="36"/>
      <c r="O3644" s="36"/>
      <c r="P3644" s="36"/>
      <c r="Q3644" s="36"/>
      <c r="R3644" s="36"/>
      <c r="S3644" s="36"/>
      <c r="T3644" s="36"/>
      <c r="U3644" s="36"/>
      <c r="V3644" s="36"/>
      <c r="W3644" s="15">
        <f t="shared" si="290"/>
        <v>0</v>
      </c>
      <c r="X3644" s="36"/>
      <c r="Y3644" s="36"/>
      <c r="Z3644" s="36">
        <v>400</v>
      </c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15">
        <f t="shared" si="291"/>
        <v>400</v>
      </c>
      <c r="AK3644" s="14"/>
      <c r="AL3644" s="14"/>
      <c r="AM3644" s="14"/>
      <c r="AN3644" s="14"/>
      <c r="AO3644" s="14"/>
      <c r="AP3644" s="14"/>
      <c r="AQ3644" s="14"/>
      <c r="AR3644" s="14"/>
      <c r="AS3644" s="14"/>
      <c r="AT3644" s="14"/>
      <c r="AU3644" s="14"/>
      <c r="AV3644" s="14"/>
      <c r="AW3644" s="15"/>
      <c r="AX3644" s="16"/>
    </row>
    <row r="3645" spans="2:50" x14ac:dyDescent="0.2">
      <c r="B3645" s="7"/>
      <c r="C3645" s="8">
        <v>14044</v>
      </c>
      <c r="D3645" s="9" t="s">
        <v>1029</v>
      </c>
      <c r="E3645" s="10" t="str">
        <f t="shared" si="287"/>
        <v>Rancho La Cuchilla No. 134</v>
      </c>
      <c r="F3645" s="10" t="str">
        <f t="shared" si="288"/>
        <v>Moreno Sánchez</v>
      </c>
      <c r="G3645" s="8">
        <v>7</v>
      </c>
      <c r="H3645" s="11">
        <v>100</v>
      </c>
      <c r="I3645" s="12">
        <v>42806</v>
      </c>
      <c r="J3645" s="35">
        <f t="shared" si="289"/>
        <v>0</v>
      </c>
      <c r="K3645" s="36"/>
      <c r="L3645" s="36"/>
      <c r="M3645" s="36"/>
      <c r="N3645" s="36"/>
      <c r="O3645" s="36"/>
      <c r="P3645" s="36"/>
      <c r="Q3645" s="36"/>
      <c r="R3645" s="36"/>
      <c r="S3645" s="36"/>
      <c r="T3645" s="36"/>
      <c r="U3645" s="36"/>
      <c r="V3645" s="36"/>
      <c r="W3645" s="15">
        <f t="shared" si="290"/>
        <v>0</v>
      </c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15">
        <f t="shared" si="291"/>
        <v>0</v>
      </c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14"/>
      <c r="AV3645" s="14"/>
      <c r="AW3645" s="15"/>
      <c r="AX3645" s="16" t="s">
        <v>3533</v>
      </c>
    </row>
    <row r="3646" spans="2:50" x14ac:dyDescent="0.2">
      <c r="B3646" s="7"/>
      <c r="C3646" s="8">
        <v>14045</v>
      </c>
      <c r="D3646" s="9" t="s">
        <v>202</v>
      </c>
      <c r="E3646" s="10" t="str">
        <f t="shared" si="287"/>
        <v>Rancho Estanzuela No. 25</v>
      </c>
      <c r="F3646" s="10" t="str">
        <f t="shared" si="288"/>
        <v>Contreras Figueroa</v>
      </c>
      <c r="G3646" s="8">
        <v>1</v>
      </c>
      <c r="H3646" s="11">
        <v>400</v>
      </c>
      <c r="I3646" s="12">
        <v>42806</v>
      </c>
      <c r="J3646" s="35">
        <f t="shared" si="289"/>
        <v>0</v>
      </c>
      <c r="K3646" s="36"/>
      <c r="L3646" s="36"/>
      <c r="M3646" s="36"/>
      <c r="N3646" s="36"/>
      <c r="O3646" s="36"/>
      <c r="P3646" s="36"/>
      <c r="Q3646" s="36"/>
      <c r="R3646" s="36"/>
      <c r="S3646" s="36"/>
      <c r="T3646" s="36"/>
      <c r="U3646" s="36"/>
      <c r="V3646" s="36"/>
      <c r="W3646" s="15">
        <f t="shared" si="290"/>
        <v>0</v>
      </c>
      <c r="X3646" s="36"/>
      <c r="Y3646" s="36"/>
      <c r="Z3646" s="36">
        <v>400</v>
      </c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15">
        <f t="shared" si="291"/>
        <v>400</v>
      </c>
      <c r="AK3646" s="14"/>
      <c r="AL3646" s="14"/>
      <c r="AM3646" s="14"/>
      <c r="AN3646" s="14"/>
      <c r="AO3646" s="14"/>
      <c r="AP3646" s="14"/>
      <c r="AQ3646" s="14"/>
      <c r="AR3646" s="14"/>
      <c r="AS3646" s="14"/>
      <c r="AT3646" s="14"/>
      <c r="AU3646" s="14"/>
      <c r="AV3646" s="14"/>
      <c r="AW3646" s="15"/>
      <c r="AX3646" s="16"/>
    </row>
    <row r="3647" spans="2:50" x14ac:dyDescent="0.2">
      <c r="B3647" s="7"/>
      <c r="C3647" s="8">
        <v>14045</v>
      </c>
      <c r="D3647" s="9" t="s">
        <v>202</v>
      </c>
      <c r="E3647" s="10" t="str">
        <f t="shared" si="287"/>
        <v>Rancho Estanzuela No. 25</v>
      </c>
      <c r="F3647" s="10" t="str">
        <f t="shared" si="288"/>
        <v>Contreras Figueroa</v>
      </c>
      <c r="G3647" s="8">
        <v>7</v>
      </c>
      <c r="H3647" s="11">
        <v>100</v>
      </c>
      <c r="I3647" s="12">
        <v>42806</v>
      </c>
      <c r="J3647" s="35">
        <f t="shared" si="289"/>
        <v>0</v>
      </c>
      <c r="K3647" s="36"/>
      <c r="L3647" s="36"/>
      <c r="M3647" s="36"/>
      <c r="N3647" s="36"/>
      <c r="O3647" s="36"/>
      <c r="P3647" s="36"/>
      <c r="Q3647" s="36"/>
      <c r="R3647" s="36"/>
      <c r="S3647" s="36"/>
      <c r="T3647" s="36"/>
      <c r="U3647" s="36"/>
      <c r="V3647" s="36"/>
      <c r="W3647" s="15">
        <f t="shared" si="290"/>
        <v>0</v>
      </c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15">
        <f t="shared" si="291"/>
        <v>0</v>
      </c>
      <c r="AK3647" s="14"/>
      <c r="AL3647" s="14"/>
      <c r="AM3647" s="14"/>
      <c r="AN3647" s="14"/>
      <c r="AO3647" s="14"/>
      <c r="AP3647" s="14"/>
      <c r="AQ3647" s="14"/>
      <c r="AR3647" s="14"/>
      <c r="AS3647" s="14"/>
      <c r="AT3647" s="14"/>
      <c r="AU3647" s="14"/>
      <c r="AV3647" s="14"/>
      <c r="AW3647" s="15"/>
      <c r="AX3647" s="16" t="s">
        <v>3533</v>
      </c>
    </row>
    <row r="3648" spans="2:50" x14ac:dyDescent="0.2">
      <c r="B3648" s="7"/>
      <c r="C3648" s="8">
        <v>14046</v>
      </c>
      <c r="D3648" s="9" t="s">
        <v>183</v>
      </c>
      <c r="E3648" s="10" t="str">
        <f t="shared" si="287"/>
        <v>Rancho La Cuchilla No. 54</v>
      </c>
      <c r="F3648" s="10" t="str">
        <f t="shared" si="288"/>
        <v>Mendoza León</v>
      </c>
      <c r="G3648" s="8">
        <v>1</v>
      </c>
      <c r="H3648" s="11">
        <v>800</v>
      </c>
      <c r="I3648" s="12">
        <v>42806</v>
      </c>
      <c r="J3648" s="35">
        <f t="shared" si="289"/>
        <v>0</v>
      </c>
      <c r="K3648" s="36"/>
      <c r="L3648" s="36"/>
      <c r="M3648" s="36"/>
      <c r="N3648" s="36"/>
      <c r="O3648" s="36"/>
      <c r="P3648" s="36"/>
      <c r="Q3648" s="36"/>
      <c r="R3648" s="36"/>
      <c r="S3648" s="36"/>
      <c r="T3648" s="36"/>
      <c r="U3648" s="36"/>
      <c r="V3648" s="36"/>
      <c r="W3648" s="15">
        <f t="shared" si="290"/>
        <v>0</v>
      </c>
      <c r="X3648" s="36">
        <v>400</v>
      </c>
      <c r="Y3648" s="36">
        <v>400</v>
      </c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15">
        <f t="shared" si="291"/>
        <v>800</v>
      </c>
      <c r="AK3648" s="14"/>
      <c r="AL3648" s="14"/>
      <c r="AM3648" s="14"/>
      <c r="AN3648" s="14"/>
      <c r="AO3648" s="14"/>
      <c r="AP3648" s="14"/>
      <c r="AQ3648" s="14"/>
      <c r="AR3648" s="14"/>
      <c r="AS3648" s="14"/>
      <c r="AT3648" s="14"/>
      <c r="AU3648" s="14"/>
      <c r="AV3648" s="14"/>
      <c r="AW3648" s="15"/>
      <c r="AX3648" s="16"/>
    </row>
    <row r="3649" spans="2:50" x14ac:dyDescent="0.2">
      <c r="B3649" s="7"/>
      <c r="C3649" s="8">
        <v>14046</v>
      </c>
      <c r="D3649" s="9" t="s">
        <v>183</v>
      </c>
      <c r="E3649" s="10" t="str">
        <f t="shared" si="287"/>
        <v>Rancho La Cuchilla No. 54</v>
      </c>
      <c r="F3649" s="10" t="str">
        <f t="shared" si="288"/>
        <v>Mendoza León</v>
      </c>
      <c r="G3649" s="8">
        <v>7</v>
      </c>
      <c r="H3649" s="11">
        <v>100</v>
      </c>
      <c r="I3649" s="12">
        <v>42806</v>
      </c>
      <c r="J3649" s="35">
        <f t="shared" si="289"/>
        <v>0</v>
      </c>
      <c r="K3649" s="36"/>
      <c r="L3649" s="36"/>
      <c r="M3649" s="36"/>
      <c r="N3649" s="36"/>
      <c r="O3649" s="36"/>
      <c r="P3649" s="36"/>
      <c r="Q3649" s="36"/>
      <c r="R3649" s="36"/>
      <c r="S3649" s="36"/>
      <c r="T3649" s="36"/>
      <c r="U3649" s="36"/>
      <c r="V3649" s="36"/>
      <c r="W3649" s="15">
        <f t="shared" si="290"/>
        <v>0</v>
      </c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15">
        <f t="shared" si="291"/>
        <v>0</v>
      </c>
      <c r="AK3649" s="14"/>
      <c r="AL3649" s="14"/>
      <c r="AM3649" s="14"/>
      <c r="AN3649" s="14"/>
      <c r="AO3649" s="14"/>
      <c r="AP3649" s="14"/>
      <c r="AQ3649" s="14"/>
      <c r="AR3649" s="14"/>
      <c r="AS3649" s="14"/>
      <c r="AT3649" s="14"/>
      <c r="AU3649" s="14"/>
      <c r="AV3649" s="14"/>
      <c r="AW3649" s="15"/>
      <c r="AX3649" s="16" t="s">
        <v>3533</v>
      </c>
    </row>
    <row r="3650" spans="2:50" x14ac:dyDescent="0.2">
      <c r="B3650" s="7"/>
      <c r="C3650" s="8">
        <v>14047</v>
      </c>
      <c r="D3650" s="9" t="s">
        <v>1299</v>
      </c>
      <c r="E3650" s="10" t="str">
        <f t="shared" si="287"/>
        <v>Rancho La Cuchilla No. 107</v>
      </c>
      <c r="F3650" s="10" t="str">
        <f t="shared" si="288"/>
        <v>Quiñones, Eduardo</v>
      </c>
      <c r="G3650" s="8">
        <v>1</v>
      </c>
      <c r="H3650" s="11">
        <v>400</v>
      </c>
      <c r="I3650" s="12">
        <v>42806</v>
      </c>
      <c r="J3650" s="35">
        <f t="shared" si="289"/>
        <v>0</v>
      </c>
      <c r="K3650" s="36"/>
      <c r="L3650" s="36"/>
      <c r="M3650" s="36"/>
      <c r="N3650" s="36"/>
      <c r="O3650" s="36"/>
      <c r="P3650" s="36"/>
      <c r="Q3650" s="36"/>
      <c r="R3650" s="36"/>
      <c r="S3650" s="36"/>
      <c r="T3650" s="36"/>
      <c r="U3650" s="36"/>
      <c r="V3650" s="36"/>
      <c r="W3650" s="15">
        <f t="shared" si="290"/>
        <v>0</v>
      </c>
      <c r="X3650" s="36"/>
      <c r="Y3650" s="36"/>
      <c r="Z3650" s="36">
        <v>400</v>
      </c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15">
        <f t="shared" si="291"/>
        <v>400</v>
      </c>
      <c r="AK3650" s="14"/>
      <c r="AL3650" s="14"/>
      <c r="AM3650" s="14"/>
      <c r="AN3650" s="14"/>
      <c r="AO3650" s="14"/>
      <c r="AP3650" s="14"/>
      <c r="AQ3650" s="14"/>
      <c r="AR3650" s="14"/>
      <c r="AS3650" s="14"/>
      <c r="AT3650" s="14"/>
      <c r="AU3650" s="14"/>
      <c r="AV3650" s="14"/>
      <c r="AW3650" s="15"/>
      <c r="AX3650" s="16"/>
    </row>
    <row r="3651" spans="2:50" x14ac:dyDescent="0.2">
      <c r="B3651" s="7"/>
      <c r="C3651" s="8">
        <v>14047</v>
      </c>
      <c r="D3651" s="9" t="s">
        <v>1299</v>
      </c>
      <c r="E3651" s="10" t="str">
        <f t="shared" si="287"/>
        <v>Rancho La Cuchilla No. 107</v>
      </c>
      <c r="F3651" s="10" t="str">
        <f t="shared" si="288"/>
        <v>Quiñones, Eduardo</v>
      </c>
      <c r="G3651" s="8">
        <v>7</v>
      </c>
      <c r="H3651" s="11">
        <v>100</v>
      </c>
      <c r="I3651" s="12">
        <v>42806</v>
      </c>
      <c r="J3651" s="35">
        <f t="shared" si="289"/>
        <v>0</v>
      </c>
      <c r="K3651" s="36"/>
      <c r="L3651" s="36"/>
      <c r="M3651" s="36"/>
      <c r="N3651" s="36"/>
      <c r="O3651" s="36"/>
      <c r="P3651" s="36"/>
      <c r="Q3651" s="36"/>
      <c r="R3651" s="36"/>
      <c r="S3651" s="36"/>
      <c r="T3651" s="36"/>
      <c r="U3651" s="36"/>
      <c r="V3651" s="36"/>
      <c r="W3651" s="15">
        <f t="shared" si="290"/>
        <v>0</v>
      </c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15">
        <f t="shared" si="291"/>
        <v>0</v>
      </c>
      <c r="AK3651" s="14"/>
      <c r="AL3651" s="14"/>
      <c r="AM3651" s="14"/>
      <c r="AN3651" s="14"/>
      <c r="AO3651" s="14"/>
      <c r="AP3651" s="14"/>
      <c r="AQ3651" s="14"/>
      <c r="AR3651" s="14"/>
      <c r="AS3651" s="14"/>
      <c r="AT3651" s="14"/>
      <c r="AU3651" s="14"/>
      <c r="AV3651" s="14"/>
      <c r="AW3651" s="15"/>
      <c r="AX3651" s="16" t="s">
        <v>3533</v>
      </c>
    </row>
    <row r="3652" spans="2:50" x14ac:dyDescent="0.2">
      <c r="B3652" s="7"/>
      <c r="C3652" s="8">
        <v>14048</v>
      </c>
      <c r="D3652" s="9" t="s">
        <v>479</v>
      </c>
      <c r="E3652" s="10" t="str">
        <f t="shared" si="287"/>
        <v>Rancho Zinamba No. 68</v>
      </c>
      <c r="F3652" s="10" t="str">
        <f t="shared" si="288"/>
        <v>Rivera Villicaña</v>
      </c>
      <c r="G3652" s="8">
        <v>1</v>
      </c>
      <c r="H3652" s="11">
        <v>300</v>
      </c>
      <c r="I3652" s="12">
        <v>42806</v>
      </c>
      <c r="J3652" s="35">
        <f t="shared" si="289"/>
        <v>0</v>
      </c>
      <c r="K3652" s="36"/>
      <c r="L3652" s="36"/>
      <c r="M3652" s="36"/>
      <c r="N3652" s="36"/>
      <c r="O3652" s="36"/>
      <c r="P3652" s="36"/>
      <c r="Q3652" s="36"/>
      <c r="R3652" s="36"/>
      <c r="S3652" s="36"/>
      <c r="T3652" s="36"/>
      <c r="U3652" s="36"/>
      <c r="V3652" s="36"/>
      <c r="W3652" s="15">
        <f t="shared" si="290"/>
        <v>0</v>
      </c>
      <c r="X3652" s="36"/>
      <c r="Y3652" s="36"/>
      <c r="Z3652" s="36">
        <v>300</v>
      </c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15">
        <f t="shared" si="291"/>
        <v>300</v>
      </c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14"/>
      <c r="AV3652" s="14"/>
      <c r="AW3652" s="15"/>
      <c r="AX3652" s="16"/>
    </row>
    <row r="3653" spans="2:50" x14ac:dyDescent="0.2">
      <c r="B3653" s="7"/>
      <c r="C3653" s="8">
        <v>14049</v>
      </c>
      <c r="D3653" s="9" t="s">
        <v>346</v>
      </c>
      <c r="E3653" s="10" t="str">
        <f t="shared" si="287"/>
        <v>Rancho Upácuaro No. 108</v>
      </c>
      <c r="F3653" s="10" t="str">
        <f t="shared" si="288"/>
        <v>Mejía</v>
      </c>
      <c r="G3653" s="8">
        <v>1</v>
      </c>
      <c r="H3653" s="11">
        <v>600</v>
      </c>
      <c r="I3653" s="12">
        <v>42806</v>
      </c>
      <c r="J3653" s="35">
        <f t="shared" si="289"/>
        <v>0</v>
      </c>
      <c r="K3653" s="36"/>
      <c r="L3653" s="36"/>
      <c r="M3653" s="36"/>
      <c r="N3653" s="36"/>
      <c r="O3653" s="36"/>
      <c r="P3653" s="36"/>
      <c r="Q3653" s="36"/>
      <c r="R3653" s="36"/>
      <c r="S3653" s="36"/>
      <c r="T3653" s="36"/>
      <c r="U3653" s="36"/>
      <c r="V3653" s="36"/>
      <c r="W3653" s="15">
        <f t="shared" si="290"/>
        <v>0</v>
      </c>
      <c r="X3653" s="36"/>
      <c r="Y3653" s="36">
        <v>300</v>
      </c>
      <c r="Z3653" s="36">
        <v>300</v>
      </c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15">
        <f t="shared" si="291"/>
        <v>600</v>
      </c>
      <c r="AK3653" s="14"/>
      <c r="AL3653" s="14"/>
      <c r="AM3653" s="14"/>
      <c r="AN3653" s="14"/>
      <c r="AO3653" s="14"/>
      <c r="AP3653" s="14"/>
      <c r="AQ3653" s="14"/>
      <c r="AR3653" s="14"/>
      <c r="AS3653" s="14"/>
      <c r="AT3653" s="14"/>
      <c r="AU3653" s="14"/>
      <c r="AV3653" s="14"/>
      <c r="AW3653" s="15"/>
      <c r="AX3653" s="16"/>
    </row>
    <row r="3654" spans="2:50" x14ac:dyDescent="0.2">
      <c r="B3654" s="7"/>
      <c r="C3654" s="8">
        <v>14050</v>
      </c>
      <c r="D3654" s="9" t="s">
        <v>346</v>
      </c>
      <c r="E3654" s="10" t="str">
        <f t="shared" ref="E3654:E3666" si="292">IF(D3654=0,"",VLOOKUP(D3654,BASE,2,FALSE))</f>
        <v>Rancho Upácuaro No. 108</v>
      </c>
      <c r="F3654" s="10" t="str">
        <f t="shared" ref="F3654:F3666" si="293">IF(D3654=0,"",VLOOKUP(D3654,BASE,3,FALSE))</f>
        <v>Mejía</v>
      </c>
      <c r="G3654" s="8">
        <v>5</v>
      </c>
      <c r="H3654" s="11">
        <v>200</v>
      </c>
      <c r="I3654" s="12">
        <v>42806</v>
      </c>
      <c r="J3654" s="35">
        <f t="shared" ref="J3654:J3666" si="294">IF(G3654=1,SUM(W3654,AJ3654,-H3654),0)</f>
        <v>0</v>
      </c>
      <c r="K3654" s="36"/>
      <c r="L3654" s="36"/>
      <c r="M3654" s="36"/>
      <c r="N3654" s="36"/>
      <c r="O3654" s="36"/>
      <c r="P3654" s="36"/>
      <c r="Q3654" s="36"/>
      <c r="R3654" s="36"/>
      <c r="S3654" s="36"/>
      <c r="T3654" s="36"/>
      <c r="U3654" s="36"/>
      <c r="V3654" s="36"/>
      <c r="W3654" s="15">
        <f t="shared" ref="W3654:W3666" si="295">SUM(K3654:V3654)</f>
        <v>0</v>
      </c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15">
        <f t="shared" ref="AJ3654:AJ3666" si="296">SUM(X3654:AI3654)</f>
        <v>0</v>
      </c>
      <c r="AK3654" s="14"/>
      <c r="AL3654" s="14"/>
      <c r="AM3654" s="14"/>
      <c r="AN3654" s="14"/>
      <c r="AO3654" s="14"/>
      <c r="AP3654" s="14"/>
      <c r="AQ3654" s="14"/>
      <c r="AR3654" s="14"/>
      <c r="AS3654" s="14"/>
      <c r="AT3654" s="14"/>
      <c r="AU3654" s="14"/>
      <c r="AV3654" s="14"/>
      <c r="AW3654" s="15"/>
      <c r="AX3654" s="16" t="s">
        <v>3741</v>
      </c>
    </row>
    <row r="3655" spans="2:50" x14ac:dyDescent="0.2">
      <c r="B3655" s="7"/>
      <c r="C3655" s="8">
        <v>14051</v>
      </c>
      <c r="D3655" s="9" t="s">
        <v>229</v>
      </c>
      <c r="E3655" s="10" t="str">
        <f t="shared" si="292"/>
        <v>Rancho La Cuchilla No. 14</v>
      </c>
      <c r="F3655" s="10" t="str">
        <f t="shared" si="293"/>
        <v>Chávez Lara</v>
      </c>
      <c r="G3655" s="8">
        <v>7</v>
      </c>
      <c r="H3655" s="11">
        <v>100</v>
      </c>
      <c r="I3655" s="12">
        <v>42806</v>
      </c>
      <c r="J3655" s="35">
        <f t="shared" si="294"/>
        <v>0</v>
      </c>
      <c r="K3655" s="36"/>
      <c r="L3655" s="36"/>
      <c r="M3655" s="36"/>
      <c r="N3655" s="36"/>
      <c r="O3655" s="36"/>
      <c r="P3655" s="36"/>
      <c r="Q3655" s="36"/>
      <c r="R3655" s="36"/>
      <c r="S3655" s="36"/>
      <c r="T3655" s="36"/>
      <c r="U3655" s="36"/>
      <c r="V3655" s="36"/>
      <c r="W3655" s="15">
        <f t="shared" si="295"/>
        <v>0</v>
      </c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15">
        <f t="shared" si="296"/>
        <v>0</v>
      </c>
      <c r="AK3655" s="14"/>
      <c r="AL3655" s="14"/>
      <c r="AM3655" s="14"/>
      <c r="AN3655" s="14"/>
      <c r="AO3655" s="14"/>
      <c r="AP3655" s="14"/>
      <c r="AQ3655" s="14"/>
      <c r="AR3655" s="14"/>
      <c r="AS3655" s="14"/>
      <c r="AT3655" s="14"/>
      <c r="AU3655" s="14"/>
      <c r="AV3655" s="14"/>
      <c r="AW3655" s="15"/>
      <c r="AX3655" s="16" t="s">
        <v>3533</v>
      </c>
    </row>
    <row r="3656" spans="2:50" x14ac:dyDescent="0.2">
      <c r="B3656" s="7"/>
      <c r="C3656" s="8">
        <v>14052</v>
      </c>
      <c r="D3656" s="9" t="s">
        <v>858</v>
      </c>
      <c r="E3656" s="10" t="str">
        <f t="shared" si="292"/>
        <v>Rancho Landero No. 45</v>
      </c>
      <c r="F3656" s="10" t="str">
        <f t="shared" si="293"/>
        <v>Solano</v>
      </c>
      <c r="G3656" s="8">
        <v>1</v>
      </c>
      <c r="H3656" s="11">
        <v>2000</v>
      </c>
      <c r="I3656" s="12">
        <v>42806</v>
      </c>
      <c r="J3656" s="35">
        <f t="shared" si="294"/>
        <v>0</v>
      </c>
      <c r="K3656" s="36"/>
      <c r="L3656" s="36"/>
      <c r="M3656" s="36"/>
      <c r="N3656" s="36"/>
      <c r="O3656" s="36"/>
      <c r="P3656" s="36"/>
      <c r="Q3656" s="36"/>
      <c r="R3656" s="36"/>
      <c r="S3656" s="36"/>
      <c r="T3656" s="36"/>
      <c r="U3656" s="36"/>
      <c r="V3656" s="36"/>
      <c r="W3656" s="15">
        <f t="shared" si="295"/>
        <v>0</v>
      </c>
      <c r="X3656" s="36"/>
      <c r="Y3656" s="36"/>
      <c r="Z3656" s="36">
        <v>400</v>
      </c>
      <c r="AA3656" s="36">
        <v>400</v>
      </c>
      <c r="AB3656" s="36">
        <v>400</v>
      </c>
      <c r="AC3656" s="36">
        <v>400</v>
      </c>
      <c r="AD3656" s="36">
        <v>400</v>
      </c>
      <c r="AE3656" s="36"/>
      <c r="AF3656" s="36"/>
      <c r="AG3656" s="36"/>
      <c r="AH3656" s="36"/>
      <c r="AI3656" s="36"/>
      <c r="AJ3656" s="15">
        <f t="shared" si="296"/>
        <v>2000</v>
      </c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14"/>
      <c r="AV3656" s="14"/>
      <c r="AW3656" s="15"/>
      <c r="AX3656" s="16"/>
    </row>
    <row r="3657" spans="2:50" x14ac:dyDescent="0.2">
      <c r="B3657" s="7"/>
      <c r="C3657" s="8">
        <v>14052</v>
      </c>
      <c r="D3657" s="9" t="s">
        <v>858</v>
      </c>
      <c r="E3657" s="10" t="str">
        <f t="shared" si="292"/>
        <v>Rancho Landero No. 45</v>
      </c>
      <c r="F3657" s="10" t="str">
        <f t="shared" si="293"/>
        <v>Solano</v>
      </c>
      <c r="G3657" s="8">
        <v>7</v>
      </c>
      <c r="H3657" s="11">
        <v>100</v>
      </c>
      <c r="I3657" s="12">
        <v>42806</v>
      </c>
      <c r="J3657" s="35">
        <f t="shared" si="294"/>
        <v>0</v>
      </c>
      <c r="K3657" s="36"/>
      <c r="L3657" s="36"/>
      <c r="M3657" s="36"/>
      <c r="N3657" s="36"/>
      <c r="O3657" s="36"/>
      <c r="P3657" s="36"/>
      <c r="Q3657" s="36"/>
      <c r="R3657" s="36"/>
      <c r="S3657" s="36"/>
      <c r="T3657" s="36"/>
      <c r="U3657" s="36"/>
      <c r="V3657" s="36"/>
      <c r="W3657" s="15">
        <f t="shared" si="295"/>
        <v>0</v>
      </c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15">
        <f t="shared" si="296"/>
        <v>0</v>
      </c>
      <c r="AK3657" s="14"/>
      <c r="AL3657" s="14"/>
      <c r="AM3657" s="14"/>
      <c r="AN3657" s="14"/>
      <c r="AO3657" s="14"/>
      <c r="AP3657" s="14"/>
      <c r="AQ3657" s="14"/>
      <c r="AR3657" s="14"/>
      <c r="AS3657" s="14"/>
      <c r="AT3657" s="14"/>
      <c r="AU3657" s="14"/>
      <c r="AV3657" s="14"/>
      <c r="AW3657" s="15"/>
      <c r="AX3657" s="16" t="s">
        <v>3533</v>
      </c>
    </row>
    <row r="3658" spans="2:50" x14ac:dyDescent="0.2">
      <c r="B3658" s="7"/>
      <c r="C3658" s="8">
        <v>14053</v>
      </c>
      <c r="D3658" s="9" t="s">
        <v>592</v>
      </c>
      <c r="E3658" s="10" t="str">
        <f t="shared" si="292"/>
        <v>Rancho Landero No. 30</v>
      </c>
      <c r="F3658" s="10" t="str">
        <f t="shared" si="293"/>
        <v>Torres Guzmán</v>
      </c>
      <c r="G3658" s="8">
        <v>1</v>
      </c>
      <c r="H3658" s="11">
        <v>900</v>
      </c>
      <c r="I3658" s="12">
        <v>42806</v>
      </c>
      <c r="J3658" s="35">
        <f t="shared" si="294"/>
        <v>0</v>
      </c>
      <c r="K3658" s="36"/>
      <c r="L3658" s="36"/>
      <c r="M3658" s="36"/>
      <c r="N3658" s="36"/>
      <c r="O3658" s="36"/>
      <c r="P3658" s="36"/>
      <c r="Q3658" s="36"/>
      <c r="R3658" s="36"/>
      <c r="S3658" s="36"/>
      <c r="T3658" s="36"/>
      <c r="U3658" s="36"/>
      <c r="V3658" s="36"/>
      <c r="W3658" s="15">
        <f t="shared" si="295"/>
        <v>0</v>
      </c>
      <c r="X3658" s="36">
        <v>300</v>
      </c>
      <c r="Y3658" s="36">
        <v>300</v>
      </c>
      <c r="Z3658" s="36">
        <v>300</v>
      </c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15">
        <f t="shared" si="296"/>
        <v>900</v>
      </c>
      <c r="AK3658" s="14"/>
      <c r="AL3658" s="14"/>
      <c r="AM3658" s="14"/>
      <c r="AN3658" s="14"/>
      <c r="AO3658" s="14"/>
      <c r="AP3658" s="14"/>
      <c r="AQ3658" s="14"/>
      <c r="AR3658" s="14"/>
      <c r="AS3658" s="14"/>
      <c r="AT3658" s="14"/>
      <c r="AU3658" s="14"/>
      <c r="AV3658" s="14"/>
      <c r="AW3658" s="15"/>
      <c r="AX3658" s="316">
        <f>SUM(H3617:H3658)</f>
        <v>12975</v>
      </c>
    </row>
    <row r="3659" spans="2:50" x14ac:dyDescent="0.2">
      <c r="B3659" s="7"/>
      <c r="C3659" s="8">
        <v>14054</v>
      </c>
      <c r="D3659" s="9" t="s">
        <v>177</v>
      </c>
      <c r="E3659" s="10" t="str">
        <f t="shared" si="292"/>
        <v>Rancho Landero No. 71</v>
      </c>
      <c r="F3659" s="10" t="str">
        <f t="shared" si="293"/>
        <v xml:space="preserve">Luna  </v>
      </c>
      <c r="G3659" s="8">
        <v>1</v>
      </c>
      <c r="H3659" s="315">
        <v>400</v>
      </c>
      <c r="I3659" s="12">
        <v>42807</v>
      </c>
      <c r="J3659" s="35">
        <f t="shared" si="294"/>
        <v>0</v>
      </c>
      <c r="K3659" s="36"/>
      <c r="L3659" s="36"/>
      <c r="M3659" s="36"/>
      <c r="N3659" s="36"/>
      <c r="O3659" s="36"/>
      <c r="P3659" s="36"/>
      <c r="Q3659" s="36"/>
      <c r="R3659" s="36"/>
      <c r="S3659" s="36"/>
      <c r="T3659" s="36"/>
      <c r="U3659" s="36"/>
      <c r="V3659" s="36"/>
      <c r="W3659" s="15">
        <f t="shared" si="295"/>
        <v>0</v>
      </c>
      <c r="X3659" s="36"/>
      <c r="Y3659" s="36"/>
      <c r="Z3659" s="36">
        <v>400</v>
      </c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15">
        <f t="shared" si="296"/>
        <v>400</v>
      </c>
      <c r="AK3659" s="14"/>
      <c r="AL3659" s="14"/>
      <c r="AM3659" s="14"/>
      <c r="AN3659" s="14"/>
      <c r="AO3659" s="14"/>
      <c r="AP3659" s="14"/>
      <c r="AQ3659" s="14"/>
      <c r="AR3659" s="14"/>
      <c r="AS3659" s="14"/>
      <c r="AT3659" s="14"/>
      <c r="AU3659" s="14"/>
      <c r="AV3659" s="14"/>
      <c r="AW3659" s="15"/>
      <c r="AX3659" s="16"/>
    </row>
    <row r="3660" spans="2:50" x14ac:dyDescent="0.2">
      <c r="B3660" s="7"/>
      <c r="C3660" s="8">
        <v>14055</v>
      </c>
      <c r="D3660" s="9" t="s">
        <v>1167</v>
      </c>
      <c r="E3660" s="10" t="str">
        <f t="shared" si="292"/>
        <v>Rancho Landero No. 53</v>
      </c>
      <c r="F3660" s="10" t="str">
        <f t="shared" si="293"/>
        <v>Hernàndez Martìnez</v>
      </c>
      <c r="G3660" s="8">
        <v>3</v>
      </c>
      <c r="H3660" s="11">
        <v>200</v>
      </c>
      <c r="I3660" s="12">
        <v>42807</v>
      </c>
      <c r="J3660" s="35">
        <f t="shared" si="294"/>
        <v>0</v>
      </c>
      <c r="K3660" s="36"/>
      <c r="L3660" s="36"/>
      <c r="M3660" s="36"/>
      <c r="N3660" s="36"/>
      <c r="O3660" s="36"/>
      <c r="P3660" s="36"/>
      <c r="Q3660" s="36"/>
      <c r="R3660" s="36"/>
      <c r="S3660" s="36"/>
      <c r="T3660" s="36"/>
      <c r="U3660" s="36"/>
      <c r="V3660" s="36"/>
      <c r="W3660" s="15">
        <f t="shared" si="295"/>
        <v>0</v>
      </c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15">
        <f t="shared" si="296"/>
        <v>0</v>
      </c>
      <c r="AK3660" s="14"/>
      <c r="AL3660" s="14"/>
      <c r="AM3660" s="14"/>
      <c r="AN3660" s="14"/>
      <c r="AO3660" s="14"/>
      <c r="AP3660" s="14"/>
      <c r="AQ3660" s="14"/>
      <c r="AR3660" s="14"/>
      <c r="AS3660" s="14"/>
      <c r="AT3660" s="14"/>
      <c r="AU3660" s="14"/>
      <c r="AV3660" s="14"/>
      <c r="AW3660" s="15"/>
      <c r="AX3660" s="16"/>
    </row>
    <row r="3661" spans="2:50" x14ac:dyDescent="0.2">
      <c r="B3661" s="7"/>
      <c r="C3661" s="8">
        <v>14056</v>
      </c>
      <c r="D3661" s="9" t="s">
        <v>223</v>
      </c>
      <c r="E3661" s="10" t="str">
        <f t="shared" si="292"/>
        <v>Rancho Landero No. 26</v>
      </c>
      <c r="F3661" s="10" t="str">
        <f t="shared" si="293"/>
        <v>Balderas Martínez</v>
      </c>
      <c r="G3661" s="8">
        <v>1</v>
      </c>
      <c r="H3661" s="11">
        <v>550</v>
      </c>
      <c r="I3661" s="12">
        <v>42807</v>
      </c>
      <c r="J3661" s="35">
        <f t="shared" si="294"/>
        <v>0</v>
      </c>
      <c r="K3661" s="36"/>
      <c r="L3661" s="36"/>
      <c r="M3661" s="36"/>
      <c r="N3661" s="36"/>
      <c r="O3661" s="36"/>
      <c r="P3661" s="36"/>
      <c r="Q3661" s="36"/>
      <c r="R3661" s="36"/>
      <c r="S3661" s="36"/>
      <c r="T3661" s="36"/>
      <c r="U3661" s="36"/>
      <c r="V3661" s="36"/>
      <c r="W3661" s="15">
        <f t="shared" si="295"/>
        <v>0</v>
      </c>
      <c r="X3661" s="36">
        <v>150</v>
      </c>
      <c r="Y3661" s="36">
        <v>200</v>
      </c>
      <c r="Z3661" s="36">
        <v>200</v>
      </c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15">
        <f t="shared" si="296"/>
        <v>550</v>
      </c>
      <c r="AK3661" s="14"/>
      <c r="AL3661" s="14"/>
      <c r="AM3661" s="14"/>
      <c r="AN3661" s="14"/>
      <c r="AO3661" s="14"/>
      <c r="AP3661" s="14"/>
      <c r="AQ3661" s="14"/>
      <c r="AR3661" s="14"/>
      <c r="AS3661" s="14"/>
      <c r="AT3661" s="14"/>
      <c r="AU3661" s="14"/>
      <c r="AV3661" s="14"/>
      <c r="AW3661" s="15"/>
      <c r="AX3661" s="16"/>
    </row>
    <row r="3662" spans="2:50" x14ac:dyDescent="0.2">
      <c r="B3662" s="7"/>
      <c r="C3662" s="8">
        <v>14057</v>
      </c>
      <c r="D3662" s="9" t="s">
        <v>380</v>
      </c>
      <c r="E3662" s="10" t="str">
        <f t="shared" si="292"/>
        <v>Rancho Zinamba No. 10</v>
      </c>
      <c r="F3662" s="10" t="str">
        <f t="shared" si="293"/>
        <v>Roy Sánchez</v>
      </c>
      <c r="G3662" s="8">
        <v>1</v>
      </c>
      <c r="H3662" s="11">
        <v>1800</v>
      </c>
      <c r="I3662" s="12">
        <v>42808</v>
      </c>
      <c r="J3662" s="35">
        <f t="shared" si="294"/>
        <v>0</v>
      </c>
      <c r="K3662" s="36"/>
      <c r="L3662" s="36"/>
      <c r="M3662" s="36"/>
      <c r="N3662" s="36"/>
      <c r="O3662" s="36"/>
      <c r="P3662" s="36"/>
      <c r="Q3662" s="36"/>
      <c r="R3662" s="36"/>
      <c r="S3662" s="36"/>
      <c r="T3662" s="36"/>
      <c r="U3662" s="36"/>
      <c r="V3662" s="36"/>
      <c r="W3662" s="15">
        <f t="shared" si="295"/>
        <v>0</v>
      </c>
      <c r="X3662" s="36">
        <v>300</v>
      </c>
      <c r="Y3662" s="36">
        <v>300</v>
      </c>
      <c r="Z3662" s="36">
        <v>300</v>
      </c>
      <c r="AA3662" s="36">
        <v>300</v>
      </c>
      <c r="AB3662" s="36">
        <v>300</v>
      </c>
      <c r="AC3662" s="36">
        <v>300</v>
      </c>
      <c r="AD3662" s="36"/>
      <c r="AE3662" s="36"/>
      <c r="AF3662" s="36"/>
      <c r="AG3662" s="36"/>
      <c r="AH3662" s="36"/>
      <c r="AI3662" s="36"/>
      <c r="AJ3662" s="15">
        <f t="shared" si="296"/>
        <v>1800</v>
      </c>
      <c r="AK3662" s="14"/>
      <c r="AL3662" s="14"/>
      <c r="AM3662" s="14"/>
      <c r="AN3662" s="14"/>
      <c r="AO3662" s="14"/>
      <c r="AP3662" s="14"/>
      <c r="AQ3662" s="14"/>
      <c r="AR3662" s="14"/>
      <c r="AS3662" s="14"/>
      <c r="AT3662" s="14"/>
      <c r="AU3662" s="14"/>
      <c r="AV3662" s="14"/>
      <c r="AW3662" s="15"/>
      <c r="AX3662" s="16"/>
    </row>
    <row r="3663" spans="2:50" x14ac:dyDescent="0.2">
      <c r="B3663" s="7"/>
      <c r="C3663" s="8">
        <v>14058</v>
      </c>
      <c r="D3663" s="9" t="s">
        <v>177</v>
      </c>
      <c r="E3663" s="10" t="str">
        <f t="shared" si="292"/>
        <v>Rancho Landero No. 71</v>
      </c>
      <c r="F3663" s="10" t="str">
        <f t="shared" si="293"/>
        <v xml:space="preserve">Luna  </v>
      </c>
      <c r="G3663" s="8">
        <v>7</v>
      </c>
      <c r="H3663" s="11">
        <v>100</v>
      </c>
      <c r="I3663" s="12">
        <v>42808</v>
      </c>
      <c r="J3663" s="35">
        <f t="shared" si="294"/>
        <v>0</v>
      </c>
      <c r="K3663" s="36"/>
      <c r="L3663" s="36"/>
      <c r="M3663" s="36"/>
      <c r="N3663" s="36"/>
      <c r="O3663" s="36"/>
      <c r="P3663" s="36"/>
      <c r="Q3663" s="36"/>
      <c r="R3663" s="36"/>
      <c r="S3663" s="36"/>
      <c r="T3663" s="36"/>
      <c r="U3663" s="36"/>
      <c r="V3663" s="36"/>
      <c r="W3663" s="15">
        <f t="shared" si="295"/>
        <v>0</v>
      </c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15">
        <f t="shared" si="296"/>
        <v>0</v>
      </c>
      <c r="AK3663" s="14"/>
      <c r="AL3663" s="14"/>
      <c r="AM3663" s="14"/>
      <c r="AN3663" s="14"/>
      <c r="AO3663" s="14"/>
      <c r="AP3663" s="14"/>
      <c r="AQ3663" s="14"/>
      <c r="AR3663" s="14"/>
      <c r="AS3663" s="14"/>
      <c r="AT3663" s="14"/>
      <c r="AU3663" s="14"/>
      <c r="AV3663" s="14"/>
      <c r="AW3663" s="15"/>
      <c r="AX3663" s="16" t="s">
        <v>3533</v>
      </c>
    </row>
    <row r="3664" spans="2:50" x14ac:dyDescent="0.2">
      <c r="B3664" s="7"/>
      <c r="C3664" s="8">
        <v>14059</v>
      </c>
      <c r="D3664" s="9" t="s">
        <v>177</v>
      </c>
      <c r="E3664" s="10" t="str">
        <f t="shared" si="292"/>
        <v>Rancho Landero No. 71</v>
      </c>
      <c r="F3664" s="10" t="str">
        <f t="shared" si="293"/>
        <v xml:space="preserve">Luna  </v>
      </c>
      <c r="G3664" s="8">
        <v>3</v>
      </c>
      <c r="H3664" s="11">
        <v>200</v>
      </c>
      <c r="I3664" s="12">
        <v>42808</v>
      </c>
      <c r="J3664" s="35">
        <f t="shared" si="294"/>
        <v>0</v>
      </c>
      <c r="K3664" s="36"/>
      <c r="L3664" s="36"/>
      <c r="M3664" s="36"/>
      <c r="N3664" s="36"/>
      <c r="O3664" s="36"/>
      <c r="P3664" s="36"/>
      <c r="Q3664" s="36"/>
      <c r="R3664" s="36"/>
      <c r="S3664" s="36"/>
      <c r="T3664" s="36"/>
      <c r="U3664" s="36"/>
      <c r="V3664" s="36"/>
      <c r="W3664" s="15">
        <f t="shared" si="295"/>
        <v>0</v>
      </c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15">
        <f t="shared" si="296"/>
        <v>0</v>
      </c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14"/>
      <c r="AV3664" s="14"/>
      <c r="AW3664" s="15"/>
      <c r="AX3664" s="16"/>
    </row>
    <row r="3665" spans="2:50" x14ac:dyDescent="0.2">
      <c r="B3665" s="7"/>
      <c r="C3665" s="8">
        <v>14060</v>
      </c>
      <c r="D3665" s="9" t="s">
        <v>256</v>
      </c>
      <c r="E3665" s="10" t="str">
        <f t="shared" si="292"/>
        <v>Rancho Recoveco No. 179</v>
      </c>
      <c r="F3665" s="10" t="str">
        <f t="shared" si="293"/>
        <v>Flores Delgado</v>
      </c>
      <c r="G3665" s="8">
        <v>1</v>
      </c>
      <c r="H3665" s="11">
        <v>300</v>
      </c>
      <c r="I3665" s="12">
        <v>42808</v>
      </c>
      <c r="J3665" s="35">
        <f t="shared" si="294"/>
        <v>0</v>
      </c>
      <c r="K3665" s="36"/>
      <c r="L3665" s="36"/>
      <c r="M3665" s="36"/>
      <c r="N3665" s="36"/>
      <c r="O3665" s="36"/>
      <c r="P3665" s="36"/>
      <c r="Q3665" s="36"/>
      <c r="R3665" s="36"/>
      <c r="S3665" s="36"/>
      <c r="T3665" s="36"/>
      <c r="U3665" s="36"/>
      <c r="V3665" s="36"/>
      <c r="W3665" s="15">
        <f t="shared" si="295"/>
        <v>0</v>
      </c>
      <c r="X3665" s="36"/>
      <c r="Y3665" s="36"/>
      <c r="Z3665" s="36">
        <v>300</v>
      </c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15">
        <f t="shared" si="296"/>
        <v>300</v>
      </c>
      <c r="AK3665" s="14"/>
      <c r="AL3665" s="14"/>
      <c r="AM3665" s="14"/>
      <c r="AN3665" s="14"/>
      <c r="AO3665" s="14"/>
      <c r="AP3665" s="14"/>
      <c r="AQ3665" s="14"/>
      <c r="AR3665" s="14"/>
      <c r="AS3665" s="14"/>
      <c r="AT3665" s="14"/>
      <c r="AU3665" s="14"/>
      <c r="AV3665" s="14"/>
      <c r="AW3665" s="15"/>
      <c r="AX3665" s="16"/>
    </row>
    <row r="3666" spans="2:50" x14ac:dyDescent="0.2">
      <c r="B3666" s="7"/>
      <c r="C3666" s="8">
        <v>14061</v>
      </c>
      <c r="D3666" s="9" t="s">
        <v>202</v>
      </c>
      <c r="E3666" s="10" t="str">
        <f t="shared" si="292"/>
        <v>Rancho Estanzuela No. 25</v>
      </c>
      <c r="F3666" s="10" t="str">
        <f t="shared" si="293"/>
        <v>Contreras Figueroa</v>
      </c>
      <c r="G3666" s="8">
        <v>3</v>
      </c>
      <c r="H3666" s="11">
        <v>200</v>
      </c>
      <c r="I3666" s="12">
        <v>42808</v>
      </c>
      <c r="J3666" s="35">
        <f t="shared" si="294"/>
        <v>0</v>
      </c>
      <c r="K3666" s="36"/>
      <c r="L3666" s="36"/>
      <c r="M3666" s="36"/>
      <c r="N3666" s="36"/>
      <c r="O3666" s="36"/>
      <c r="P3666" s="36"/>
      <c r="Q3666" s="36"/>
      <c r="R3666" s="36"/>
      <c r="S3666" s="36"/>
      <c r="T3666" s="36"/>
      <c r="U3666" s="36"/>
      <c r="V3666" s="36"/>
      <c r="W3666" s="15">
        <f t="shared" si="295"/>
        <v>0</v>
      </c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15">
        <f t="shared" si="296"/>
        <v>0</v>
      </c>
      <c r="AK3666" s="14"/>
      <c r="AL3666" s="14"/>
      <c r="AM3666" s="14"/>
      <c r="AN3666" s="14"/>
      <c r="AO3666" s="14"/>
      <c r="AP3666" s="14"/>
      <c r="AQ3666" s="14"/>
      <c r="AR3666" s="14"/>
      <c r="AS3666" s="14"/>
      <c r="AT3666" s="14"/>
      <c r="AU3666" s="14"/>
      <c r="AV3666" s="14"/>
      <c r="AW3666" s="15"/>
      <c r="AX3666" s="16"/>
    </row>
    <row r="3667" spans="2:50" x14ac:dyDescent="0.2">
      <c r="B3667" s="7"/>
      <c r="C3667" s="8">
        <v>14062</v>
      </c>
      <c r="D3667" s="9" t="s">
        <v>220</v>
      </c>
      <c r="E3667" s="10" t="str">
        <f t="shared" ref="E3667:E3685" si="297">IF(D3667=0,"",VLOOKUP(D3667,BASE,2,FALSE))</f>
        <v>Rancho Recoveco No. 3</v>
      </c>
      <c r="F3667" s="10" t="str">
        <f t="shared" ref="F3667:F3685" si="298">IF(D3667=0,"",VLOOKUP(D3667,BASE,3,FALSE))</f>
        <v>Garduño</v>
      </c>
      <c r="G3667" s="8">
        <v>1</v>
      </c>
      <c r="H3667" s="11">
        <v>600</v>
      </c>
      <c r="I3667" s="12">
        <v>42808</v>
      </c>
      <c r="J3667" s="35">
        <f t="shared" ref="J3667:J3685" si="299">IF(G3667=1,SUM(W3667,AJ3667,-H3667),0)</f>
        <v>0</v>
      </c>
      <c r="K3667" s="36"/>
      <c r="L3667" s="36"/>
      <c r="M3667" s="36"/>
      <c r="N3667" s="36"/>
      <c r="O3667" s="36"/>
      <c r="P3667" s="36"/>
      <c r="Q3667" s="36"/>
      <c r="R3667" s="36"/>
      <c r="S3667" s="36"/>
      <c r="T3667" s="36"/>
      <c r="U3667" s="36"/>
      <c r="V3667" s="36"/>
      <c r="W3667" s="15">
        <f t="shared" ref="W3667:W3685" si="300">SUM(K3667:V3667)</f>
        <v>0</v>
      </c>
      <c r="X3667" s="36"/>
      <c r="Y3667" s="36">
        <v>300</v>
      </c>
      <c r="Z3667" s="36">
        <v>300</v>
      </c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15">
        <f t="shared" ref="AJ3667:AJ3685" si="301">SUM(X3667:AI3667)</f>
        <v>600</v>
      </c>
      <c r="AK3667" s="14"/>
      <c r="AL3667" s="14"/>
      <c r="AM3667" s="14"/>
      <c r="AN3667" s="14"/>
      <c r="AO3667" s="14"/>
      <c r="AP3667" s="14"/>
      <c r="AQ3667" s="14"/>
      <c r="AR3667" s="14"/>
      <c r="AS3667" s="14"/>
      <c r="AT3667" s="14"/>
      <c r="AU3667" s="14"/>
      <c r="AV3667" s="14"/>
      <c r="AW3667" s="15"/>
      <c r="AX3667" s="16"/>
    </row>
    <row r="3668" spans="2:50" x14ac:dyDescent="0.2">
      <c r="B3668" s="7"/>
      <c r="C3668" s="8">
        <v>14062</v>
      </c>
      <c r="D3668" s="9" t="s">
        <v>220</v>
      </c>
      <c r="E3668" s="10" t="str">
        <f t="shared" si="297"/>
        <v>Rancho Recoveco No. 3</v>
      </c>
      <c r="F3668" s="10" t="str">
        <f t="shared" si="298"/>
        <v>Garduño</v>
      </c>
      <c r="G3668" s="8">
        <v>7</v>
      </c>
      <c r="H3668" s="11">
        <v>100</v>
      </c>
      <c r="I3668" s="12">
        <v>42808</v>
      </c>
      <c r="J3668" s="35">
        <f t="shared" si="299"/>
        <v>0</v>
      </c>
      <c r="K3668" s="36"/>
      <c r="L3668" s="36"/>
      <c r="M3668" s="36"/>
      <c r="N3668" s="36"/>
      <c r="O3668" s="36"/>
      <c r="P3668" s="36"/>
      <c r="Q3668" s="36"/>
      <c r="R3668" s="36"/>
      <c r="S3668" s="36"/>
      <c r="T3668" s="36"/>
      <c r="U3668" s="36"/>
      <c r="V3668" s="36"/>
      <c r="W3668" s="15">
        <f t="shared" si="300"/>
        <v>0</v>
      </c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15">
        <f t="shared" si="301"/>
        <v>0</v>
      </c>
      <c r="AK3668" s="14"/>
      <c r="AL3668" s="14"/>
      <c r="AM3668" s="14"/>
      <c r="AN3668" s="14"/>
      <c r="AO3668" s="14"/>
      <c r="AP3668" s="14"/>
      <c r="AQ3668" s="14"/>
      <c r="AR3668" s="14"/>
      <c r="AS3668" s="14"/>
      <c r="AT3668" s="14"/>
      <c r="AU3668" s="14"/>
      <c r="AV3668" s="14"/>
      <c r="AW3668" s="15"/>
      <c r="AX3668" s="16" t="s">
        <v>3533</v>
      </c>
    </row>
    <row r="3669" spans="2:50" x14ac:dyDescent="0.2">
      <c r="B3669" s="7"/>
      <c r="C3669" s="8">
        <v>14063</v>
      </c>
      <c r="D3669" s="9" t="s">
        <v>514</v>
      </c>
      <c r="E3669" s="10" t="str">
        <f t="shared" si="297"/>
        <v>Rancho Upácuaro No. 114</v>
      </c>
      <c r="F3669" s="10" t="str">
        <f t="shared" si="298"/>
        <v>Hernández Cornejo</v>
      </c>
      <c r="G3669" s="8">
        <v>1</v>
      </c>
      <c r="H3669" s="11">
        <v>400</v>
      </c>
      <c r="I3669" s="12">
        <v>42808</v>
      </c>
      <c r="J3669" s="35">
        <f t="shared" si="299"/>
        <v>0</v>
      </c>
      <c r="K3669" s="36"/>
      <c r="L3669" s="36"/>
      <c r="M3669" s="36"/>
      <c r="N3669" s="36"/>
      <c r="O3669" s="36"/>
      <c r="P3669" s="36"/>
      <c r="Q3669" s="36"/>
      <c r="R3669" s="36"/>
      <c r="S3669" s="36"/>
      <c r="T3669" s="36"/>
      <c r="U3669" s="36"/>
      <c r="V3669" s="36"/>
      <c r="W3669" s="15">
        <f t="shared" si="300"/>
        <v>0</v>
      </c>
      <c r="X3669" s="36"/>
      <c r="Y3669" s="36">
        <v>400</v>
      </c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15">
        <f t="shared" si="301"/>
        <v>400</v>
      </c>
      <c r="AK3669" s="14"/>
      <c r="AL3669" s="14"/>
      <c r="AM3669" s="14"/>
      <c r="AN3669" s="14"/>
      <c r="AO3669" s="14"/>
      <c r="AP3669" s="14"/>
      <c r="AQ3669" s="14"/>
      <c r="AR3669" s="14"/>
      <c r="AS3669" s="14"/>
      <c r="AT3669" s="14"/>
      <c r="AU3669" s="14"/>
      <c r="AV3669" s="14"/>
      <c r="AW3669" s="15"/>
      <c r="AX3669" s="16"/>
    </row>
    <row r="3670" spans="2:50" x14ac:dyDescent="0.2">
      <c r="B3670" s="7"/>
      <c r="C3670" s="8">
        <v>14064</v>
      </c>
      <c r="D3670" s="9" t="s">
        <v>1206</v>
      </c>
      <c r="E3670" s="10" t="str">
        <f t="shared" si="297"/>
        <v>Rancho Landero No. 2,1</v>
      </c>
      <c r="F3670" s="10" t="str">
        <f t="shared" si="298"/>
        <v>Zamora Vera</v>
      </c>
      <c r="G3670" s="8">
        <v>1</v>
      </c>
      <c r="H3670" s="11">
        <v>300</v>
      </c>
      <c r="I3670" s="12">
        <v>42813</v>
      </c>
      <c r="J3670" s="35">
        <f t="shared" si="299"/>
        <v>0</v>
      </c>
      <c r="K3670" s="36"/>
      <c r="L3670" s="36"/>
      <c r="M3670" s="36"/>
      <c r="N3670" s="36"/>
      <c r="O3670" s="36"/>
      <c r="P3670" s="36"/>
      <c r="Q3670" s="36"/>
      <c r="R3670" s="36"/>
      <c r="S3670" s="36"/>
      <c r="T3670" s="36"/>
      <c r="U3670" s="36"/>
      <c r="V3670" s="36"/>
      <c r="W3670" s="15">
        <f t="shared" si="300"/>
        <v>0</v>
      </c>
      <c r="X3670" s="36"/>
      <c r="Y3670" s="36">
        <v>150</v>
      </c>
      <c r="Z3670" s="36">
        <v>150</v>
      </c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15">
        <f t="shared" si="301"/>
        <v>300</v>
      </c>
      <c r="AK3670" s="14"/>
      <c r="AL3670" s="14"/>
      <c r="AM3670" s="14"/>
      <c r="AN3670" s="14"/>
      <c r="AO3670" s="14"/>
      <c r="AP3670" s="14"/>
      <c r="AQ3670" s="14"/>
      <c r="AR3670" s="14"/>
      <c r="AS3670" s="14"/>
      <c r="AT3670" s="14"/>
      <c r="AU3670" s="14"/>
      <c r="AV3670" s="14"/>
      <c r="AW3670" s="15"/>
      <c r="AX3670" s="16"/>
    </row>
    <row r="3671" spans="2:50" x14ac:dyDescent="0.2">
      <c r="B3671" s="7"/>
      <c r="C3671" s="8">
        <v>14065</v>
      </c>
      <c r="D3671" s="9" t="s">
        <v>640</v>
      </c>
      <c r="E3671" s="10" t="str">
        <f t="shared" si="297"/>
        <v>Rancho Estopila No. 22, A</v>
      </c>
      <c r="F3671" s="10" t="str">
        <f t="shared" si="298"/>
        <v>Ayala Carranza</v>
      </c>
      <c r="G3671" s="8">
        <v>1</v>
      </c>
      <c r="H3671" s="11">
        <v>200</v>
      </c>
      <c r="I3671" s="12">
        <v>42813</v>
      </c>
      <c r="J3671" s="35">
        <f t="shared" si="299"/>
        <v>0</v>
      </c>
      <c r="K3671" s="36"/>
      <c r="L3671" s="36"/>
      <c r="M3671" s="36"/>
      <c r="N3671" s="36"/>
      <c r="O3671" s="36"/>
      <c r="P3671" s="36"/>
      <c r="Q3671" s="36"/>
      <c r="R3671" s="36"/>
      <c r="S3671" s="36"/>
      <c r="T3671" s="36"/>
      <c r="U3671" s="36"/>
      <c r="V3671" s="36"/>
      <c r="W3671" s="15">
        <f t="shared" si="300"/>
        <v>0</v>
      </c>
      <c r="X3671" s="36"/>
      <c r="Y3671" s="36"/>
      <c r="Z3671" s="36">
        <v>200</v>
      </c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15">
        <f t="shared" si="301"/>
        <v>200</v>
      </c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14"/>
      <c r="AV3671" s="14"/>
      <c r="AW3671" s="15"/>
      <c r="AX3671" s="16"/>
    </row>
    <row r="3672" spans="2:50" x14ac:dyDescent="0.2">
      <c r="B3672" s="7"/>
      <c r="C3672" s="8">
        <v>14065</v>
      </c>
      <c r="D3672" s="9" t="s">
        <v>3740</v>
      </c>
      <c r="E3672" s="10" t="str">
        <f t="shared" si="297"/>
        <v>Rancho Landero No. 65</v>
      </c>
      <c r="F3672" s="10" t="str">
        <f t="shared" si="298"/>
        <v>Alpizar</v>
      </c>
      <c r="G3672" s="8">
        <v>7</v>
      </c>
      <c r="H3672" s="11">
        <v>100</v>
      </c>
      <c r="I3672" s="12">
        <v>42813</v>
      </c>
      <c r="J3672" s="35">
        <f t="shared" si="299"/>
        <v>0</v>
      </c>
      <c r="K3672" s="36"/>
      <c r="L3672" s="36"/>
      <c r="M3672" s="36"/>
      <c r="N3672" s="36"/>
      <c r="O3672" s="36"/>
      <c r="P3672" s="36"/>
      <c r="Q3672" s="36"/>
      <c r="R3672" s="36"/>
      <c r="S3672" s="36"/>
      <c r="T3672" s="36"/>
      <c r="U3672" s="36"/>
      <c r="V3672" s="36"/>
      <c r="W3672" s="15">
        <f t="shared" si="300"/>
        <v>0</v>
      </c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15">
        <f t="shared" si="301"/>
        <v>0</v>
      </c>
      <c r="AK3672" s="14"/>
      <c r="AL3672" s="14"/>
      <c r="AM3672" s="14"/>
      <c r="AN3672" s="14"/>
      <c r="AO3672" s="14"/>
      <c r="AP3672" s="14"/>
      <c r="AQ3672" s="14"/>
      <c r="AR3672" s="14"/>
      <c r="AS3672" s="14"/>
      <c r="AT3672" s="14"/>
      <c r="AU3672" s="14"/>
      <c r="AV3672" s="14"/>
      <c r="AW3672" s="15"/>
      <c r="AX3672" s="16" t="s">
        <v>3533</v>
      </c>
    </row>
    <row r="3673" spans="2:50" x14ac:dyDescent="0.2">
      <c r="B3673" s="7"/>
      <c r="C3673" s="8">
        <v>14066</v>
      </c>
      <c r="D3673" s="9" t="s">
        <v>684</v>
      </c>
      <c r="E3673" s="10" t="str">
        <f t="shared" si="297"/>
        <v>Rancho Landero No. 65</v>
      </c>
      <c r="F3673" s="10" t="str">
        <f t="shared" si="298"/>
        <v>Alpizar</v>
      </c>
      <c r="G3673" s="8">
        <v>1</v>
      </c>
      <c r="H3673" s="11">
        <v>800</v>
      </c>
      <c r="I3673" s="12">
        <v>42813</v>
      </c>
      <c r="J3673" s="35">
        <f t="shared" si="299"/>
        <v>0</v>
      </c>
      <c r="K3673" s="36"/>
      <c r="L3673" s="36"/>
      <c r="M3673" s="36"/>
      <c r="N3673" s="36"/>
      <c r="O3673" s="36"/>
      <c r="P3673" s="36"/>
      <c r="Q3673" s="36"/>
      <c r="R3673" s="36"/>
      <c r="S3673" s="36"/>
      <c r="T3673" s="36"/>
      <c r="U3673" s="36"/>
      <c r="V3673" s="36"/>
      <c r="W3673" s="15">
        <f t="shared" si="300"/>
        <v>0</v>
      </c>
      <c r="X3673" s="36"/>
      <c r="Y3673" s="36">
        <v>400</v>
      </c>
      <c r="Z3673" s="36">
        <v>400</v>
      </c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15">
        <f t="shared" si="301"/>
        <v>800</v>
      </c>
      <c r="AK3673" s="14"/>
      <c r="AL3673" s="14"/>
      <c r="AM3673" s="14"/>
      <c r="AN3673" s="14"/>
      <c r="AO3673" s="14"/>
      <c r="AP3673" s="14"/>
      <c r="AQ3673" s="14"/>
      <c r="AR3673" s="14"/>
      <c r="AS3673" s="14"/>
      <c r="AT3673" s="14"/>
      <c r="AU3673" s="14"/>
      <c r="AV3673" s="14"/>
      <c r="AW3673" s="15"/>
      <c r="AX3673" s="16"/>
    </row>
    <row r="3674" spans="2:50" x14ac:dyDescent="0.2">
      <c r="B3674" s="7"/>
      <c r="C3674" s="8">
        <v>14066</v>
      </c>
      <c r="D3674" s="9" t="s">
        <v>684</v>
      </c>
      <c r="E3674" s="10" t="str">
        <f t="shared" si="297"/>
        <v>Rancho Landero No. 65</v>
      </c>
      <c r="F3674" s="10" t="str">
        <f t="shared" si="298"/>
        <v>Alpizar</v>
      </c>
      <c r="G3674" s="8">
        <v>7</v>
      </c>
      <c r="H3674" s="11">
        <v>100</v>
      </c>
      <c r="I3674" s="12">
        <v>42813</v>
      </c>
      <c r="J3674" s="35">
        <f t="shared" si="299"/>
        <v>0</v>
      </c>
      <c r="K3674" s="36"/>
      <c r="L3674" s="36"/>
      <c r="M3674" s="36"/>
      <c r="N3674" s="36"/>
      <c r="O3674" s="36"/>
      <c r="P3674" s="36"/>
      <c r="Q3674" s="36"/>
      <c r="R3674" s="36"/>
      <c r="S3674" s="36"/>
      <c r="T3674" s="36"/>
      <c r="U3674" s="36"/>
      <c r="V3674" s="36"/>
      <c r="W3674" s="15">
        <f t="shared" si="300"/>
        <v>0</v>
      </c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15">
        <f t="shared" si="301"/>
        <v>0</v>
      </c>
      <c r="AK3674" s="14"/>
      <c r="AL3674" s="14"/>
      <c r="AM3674" s="14"/>
      <c r="AN3674" s="14"/>
      <c r="AO3674" s="14"/>
      <c r="AP3674" s="14"/>
      <c r="AQ3674" s="14"/>
      <c r="AR3674" s="14"/>
      <c r="AS3674" s="14"/>
      <c r="AT3674" s="14"/>
      <c r="AU3674" s="14"/>
      <c r="AV3674" s="14"/>
      <c r="AW3674" s="15"/>
      <c r="AX3674" s="16" t="s">
        <v>3533</v>
      </c>
    </row>
    <row r="3675" spans="2:50" x14ac:dyDescent="0.2">
      <c r="B3675" s="7"/>
      <c r="C3675" s="8">
        <v>14067</v>
      </c>
      <c r="D3675" s="9" t="s">
        <v>259</v>
      </c>
      <c r="E3675" s="10" t="str">
        <f t="shared" si="297"/>
        <v>Rancho Estanzuela No. 55</v>
      </c>
      <c r="F3675" s="10" t="str">
        <f t="shared" si="298"/>
        <v>Rodríguez Acevedo</v>
      </c>
      <c r="G3675" s="8">
        <v>1</v>
      </c>
      <c r="H3675" s="11">
        <v>400</v>
      </c>
      <c r="I3675" s="12">
        <v>42813</v>
      </c>
      <c r="J3675" s="35">
        <f t="shared" si="299"/>
        <v>0</v>
      </c>
      <c r="K3675" s="36"/>
      <c r="L3675" s="36"/>
      <c r="M3675" s="36"/>
      <c r="N3675" s="36"/>
      <c r="O3675" s="36"/>
      <c r="P3675" s="36"/>
      <c r="Q3675" s="36"/>
      <c r="R3675" s="36"/>
      <c r="S3675" s="36"/>
      <c r="T3675" s="36"/>
      <c r="U3675" s="36"/>
      <c r="V3675" s="36"/>
      <c r="W3675" s="15">
        <f t="shared" si="300"/>
        <v>0</v>
      </c>
      <c r="X3675" s="36"/>
      <c r="Y3675" s="36"/>
      <c r="Z3675" s="36">
        <v>400</v>
      </c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15">
        <f t="shared" si="301"/>
        <v>400</v>
      </c>
      <c r="AK3675" s="14"/>
      <c r="AL3675" s="14"/>
      <c r="AM3675" s="14"/>
      <c r="AN3675" s="14"/>
      <c r="AO3675" s="14"/>
      <c r="AP3675" s="14"/>
      <c r="AQ3675" s="14"/>
      <c r="AR3675" s="14"/>
      <c r="AS3675" s="14"/>
      <c r="AT3675" s="14"/>
      <c r="AU3675" s="14"/>
      <c r="AV3675" s="14"/>
      <c r="AW3675" s="15"/>
      <c r="AX3675" s="16"/>
    </row>
    <row r="3676" spans="2:50" x14ac:dyDescent="0.2">
      <c r="B3676" s="7"/>
      <c r="C3676" s="8">
        <v>14067</v>
      </c>
      <c r="D3676" s="9" t="s">
        <v>259</v>
      </c>
      <c r="E3676" s="10" t="str">
        <f t="shared" si="297"/>
        <v>Rancho Estanzuela No. 55</v>
      </c>
      <c r="F3676" s="10" t="str">
        <f t="shared" si="298"/>
        <v>Rodríguez Acevedo</v>
      </c>
      <c r="G3676" s="8">
        <v>7</v>
      </c>
      <c r="H3676" s="11">
        <v>100</v>
      </c>
      <c r="I3676" s="12">
        <v>42813</v>
      </c>
      <c r="J3676" s="35">
        <f t="shared" si="299"/>
        <v>0</v>
      </c>
      <c r="K3676" s="36"/>
      <c r="L3676" s="36"/>
      <c r="M3676" s="36"/>
      <c r="N3676" s="36"/>
      <c r="O3676" s="36"/>
      <c r="P3676" s="36"/>
      <c r="Q3676" s="36"/>
      <c r="R3676" s="36"/>
      <c r="S3676" s="36"/>
      <c r="T3676" s="36"/>
      <c r="U3676" s="36"/>
      <c r="V3676" s="36"/>
      <c r="W3676" s="15">
        <f t="shared" si="300"/>
        <v>0</v>
      </c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15">
        <f t="shared" si="301"/>
        <v>0</v>
      </c>
      <c r="AK3676" s="14"/>
      <c r="AL3676" s="14"/>
      <c r="AM3676" s="14"/>
      <c r="AN3676" s="14"/>
      <c r="AO3676" s="14"/>
      <c r="AP3676" s="14"/>
      <c r="AQ3676" s="14"/>
      <c r="AR3676" s="14"/>
      <c r="AS3676" s="14"/>
      <c r="AT3676" s="14"/>
      <c r="AU3676" s="14"/>
      <c r="AV3676" s="14"/>
      <c r="AW3676" s="15"/>
      <c r="AX3676" s="16" t="s">
        <v>3533</v>
      </c>
    </row>
    <row r="3677" spans="2:50" x14ac:dyDescent="0.2">
      <c r="B3677" s="7"/>
      <c r="C3677" s="8">
        <v>14068</v>
      </c>
      <c r="D3677" s="9" t="s">
        <v>109</v>
      </c>
      <c r="E3677" s="10" t="str">
        <f t="shared" si="297"/>
        <v>Rancho Estanzuela No. 31</v>
      </c>
      <c r="F3677" s="10" t="str">
        <f t="shared" si="298"/>
        <v>Chávez Valdés</v>
      </c>
      <c r="G3677" s="8">
        <v>1</v>
      </c>
      <c r="H3677" s="11">
        <v>400</v>
      </c>
      <c r="I3677" s="12">
        <v>42813</v>
      </c>
      <c r="J3677" s="35">
        <f t="shared" si="299"/>
        <v>0</v>
      </c>
      <c r="K3677" s="36"/>
      <c r="L3677" s="36"/>
      <c r="M3677" s="36"/>
      <c r="N3677" s="36"/>
      <c r="O3677" s="36"/>
      <c r="P3677" s="36"/>
      <c r="Q3677" s="36"/>
      <c r="R3677" s="36"/>
      <c r="S3677" s="36"/>
      <c r="T3677" s="36"/>
      <c r="U3677" s="36"/>
      <c r="V3677" s="36"/>
      <c r="W3677" s="15">
        <f t="shared" si="300"/>
        <v>0</v>
      </c>
      <c r="X3677" s="36"/>
      <c r="Y3677" s="36">
        <v>400</v>
      </c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15">
        <f t="shared" si="301"/>
        <v>400</v>
      </c>
      <c r="AK3677" s="14"/>
      <c r="AL3677" s="14"/>
      <c r="AM3677" s="14"/>
      <c r="AN3677" s="14"/>
      <c r="AO3677" s="14"/>
      <c r="AP3677" s="14"/>
      <c r="AQ3677" s="14"/>
      <c r="AR3677" s="14"/>
      <c r="AS3677" s="14"/>
      <c r="AT3677" s="14"/>
      <c r="AU3677" s="14"/>
      <c r="AV3677" s="14"/>
      <c r="AW3677" s="15"/>
      <c r="AX3677" s="16"/>
    </row>
    <row r="3678" spans="2:50" x14ac:dyDescent="0.2">
      <c r="B3678" s="7"/>
      <c r="C3678" s="8">
        <v>14068</v>
      </c>
      <c r="D3678" s="9" t="s">
        <v>109</v>
      </c>
      <c r="E3678" s="10" t="str">
        <f t="shared" si="297"/>
        <v>Rancho Estanzuela No. 31</v>
      </c>
      <c r="F3678" s="10" t="str">
        <f t="shared" si="298"/>
        <v>Chávez Valdés</v>
      </c>
      <c r="G3678" s="8">
        <v>7</v>
      </c>
      <c r="H3678" s="11">
        <v>100</v>
      </c>
      <c r="I3678" s="12">
        <v>42813</v>
      </c>
      <c r="J3678" s="35">
        <f t="shared" si="299"/>
        <v>0</v>
      </c>
      <c r="K3678" s="36"/>
      <c r="L3678" s="36"/>
      <c r="M3678" s="36"/>
      <c r="N3678" s="36"/>
      <c r="O3678" s="36"/>
      <c r="P3678" s="36"/>
      <c r="Q3678" s="36"/>
      <c r="R3678" s="36"/>
      <c r="S3678" s="36"/>
      <c r="T3678" s="36"/>
      <c r="U3678" s="36"/>
      <c r="V3678" s="36"/>
      <c r="W3678" s="15">
        <f t="shared" si="300"/>
        <v>0</v>
      </c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15">
        <f t="shared" si="301"/>
        <v>0</v>
      </c>
      <c r="AK3678" s="14"/>
      <c r="AL3678" s="14"/>
      <c r="AM3678" s="14"/>
      <c r="AN3678" s="14"/>
      <c r="AO3678" s="14"/>
      <c r="AP3678" s="14"/>
      <c r="AQ3678" s="14"/>
      <c r="AR3678" s="14"/>
      <c r="AS3678" s="14"/>
      <c r="AT3678" s="14"/>
      <c r="AU3678" s="14"/>
      <c r="AV3678" s="14"/>
      <c r="AW3678" s="15"/>
      <c r="AX3678" s="16" t="s">
        <v>3533</v>
      </c>
    </row>
    <row r="3679" spans="2:50" x14ac:dyDescent="0.2">
      <c r="B3679" s="7"/>
      <c r="C3679" s="8">
        <v>14069</v>
      </c>
      <c r="D3679" s="9" t="s">
        <v>631</v>
      </c>
      <c r="E3679" s="10" t="str">
        <f t="shared" si="297"/>
        <v>Rancho Romeral No. 10, B</v>
      </c>
      <c r="F3679" s="10" t="str">
        <f t="shared" si="298"/>
        <v>López Castellano</v>
      </c>
      <c r="G3679" s="8">
        <v>1</v>
      </c>
      <c r="H3679" s="11">
        <v>600</v>
      </c>
      <c r="I3679" s="12">
        <v>42813</v>
      </c>
      <c r="J3679" s="35">
        <f t="shared" si="299"/>
        <v>0</v>
      </c>
      <c r="K3679" s="36"/>
      <c r="L3679" s="36"/>
      <c r="M3679" s="36"/>
      <c r="N3679" s="36"/>
      <c r="O3679" s="36"/>
      <c r="P3679" s="36"/>
      <c r="Q3679" s="36"/>
      <c r="R3679" s="36"/>
      <c r="S3679" s="36"/>
      <c r="T3679" s="36"/>
      <c r="U3679" s="36"/>
      <c r="V3679" s="36"/>
      <c r="W3679" s="15">
        <f t="shared" si="300"/>
        <v>0</v>
      </c>
      <c r="X3679" s="36"/>
      <c r="Y3679" s="36">
        <v>300</v>
      </c>
      <c r="Z3679" s="36">
        <v>300</v>
      </c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15">
        <f t="shared" si="301"/>
        <v>600</v>
      </c>
      <c r="AK3679" s="14"/>
      <c r="AL3679" s="14"/>
      <c r="AM3679" s="14"/>
      <c r="AN3679" s="14"/>
      <c r="AO3679" s="14"/>
      <c r="AP3679" s="14"/>
      <c r="AQ3679" s="14"/>
      <c r="AR3679" s="14"/>
      <c r="AS3679" s="14"/>
      <c r="AT3679" s="14"/>
      <c r="AU3679" s="14"/>
      <c r="AV3679" s="14"/>
      <c r="AW3679" s="15"/>
      <c r="AX3679" s="16"/>
    </row>
    <row r="3680" spans="2:50" x14ac:dyDescent="0.2">
      <c r="B3680" s="7"/>
      <c r="C3680" s="8">
        <v>14069</v>
      </c>
      <c r="D3680" s="9" t="s">
        <v>631</v>
      </c>
      <c r="E3680" s="10" t="str">
        <f t="shared" si="297"/>
        <v>Rancho Romeral No. 10, B</v>
      </c>
      <c r="F3680" s="10" t="str">
        <f t="shared" si="298"/>
        <v>López Castellano</v>
      </c>
      <c r="G3680" s="8">
        <v>7</v>
      </c>
      <c r="H3680" s="11">
        <v>100</v>
      </c>
      <c r="I3680" s="12">
        <v>42813</v>
      </c>
      <c r="J3680" s="35">
        <f t="shared" si="299"/>
        <v>0</v>
      </c>
      <c r="K3680" s="36"/>
      <c r="L3680" s="36"/>
      <c r="M3680" s="36"/>
      <c r="N3680" s="36"/>
      <c r="O3680" s="36"/>
      <c r="P3680" s="36"/>
      <c r="Q3680" s="36"/>
      <c r="R3680" s="36"/>
      <c r="S3680" s="36"/>
      <c r="T3680" s="36"/>
      <c r="U3680" s="36"/>
      <c r="V3680" s="36"/>
      <c r="W3680" s="15">
        <f t="shared" si="300"/>
        <v>0</v>
      </c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15">
        <f t="shared" si="301"/>
        <v>0</v>
      </c>
      <c r="AK3680" s="14"/>
      <c r="AL3680" s="14"/>
      <c r="AM3680" s="14"/>
      <c r="AN3680" s="14"/>
      <c r="AO3680" s="14"/>
      <c r="AP3680" s="14"/>
      <c r="AQ3680" s="14"/>
      <c r="AR3680" s="14"/>
      <c r="AS3680" s="14"/>
      <c r="AT3680" s="14"/>
      <c r="AU3680" s="14"/>
      <c r="AV3680" s="14"/>
      <c r="AW3680" s="15"/>
      <c r="AX3680" s="16" t="s">
        <v>3533</v>
      </c>
    </row>
    <row r="3681" spans="2:50" x14ac:dyDescent="0.2">
      <c r="B3681" s="7"/>
      <c r="C3681" s="8">
        <v>14070</v>
      </c>
      <c r="D3681" s="9" t="s">
        <v>544</v>
      </c>
      <c r="E3681" s="10" t="str">
        <f t="shared" si="297"/>
        <v>Rancho Estanzuela No. 89</v>
      </c>
      <c r="F3681" s="10" t="str">
        <f t="shared" si="298"/>
        <v>Romero Ortiz</v>
      </c>
      <c r="G3681" s="8">
        <v>1</v>
      </c>
      <c r="H3681" s="11">
        <v>400</v>
      </c>
      <c r="I3681" s="12">
        <v>42813</v>
      </c>
      <c r="J3681" s="35">
        <f t="shared" si="299"/>
        <v>0</v>
      </c>
      <c r="K3681" s="36"/>
      <c r="L3681" s="36"/>
      <c r="M3681" s="36"/>
      <c r="N3681" s="36"/>
      <c r="O3681" s="36"/>
      <c r="P3681" s="36"/>
      <c r="Q3681" s="36"/>
      <c r="R3681" s="36"/>
      <c r="S3681" s="36"/>
      <c r="T3681" s="36"/>
      <c r="U3681" s="36"/>
      <c r="V3681" s="36"/>
      <c r="W3681" s="15">
        <f t="shared" si="300"/>
        <v>0</v>
      </c>
      <c r="X3681" s="36"/>
      <c r="Y3681" s="36"/>
      <c r="Z3681" s="36">
        <v>400</v>
      </c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15">
        <f t="shared" si="301"/>
        <v>400</v>
      </c>
      <c r="AK3681" s="14"/>
      <c r="AL3681" s="14"/>
      <c r="AM3681" s="14"/>
      <c r="AN3681" s="14"/>
      <c r="AO3681" s="14"/>
      <c r="AP3681" s="14"/>
      <c r="AQ3681" s="14"/>
      <c r="AR3681" s="14"/>
      <c r="AS3681" s="14"/>
      <c r="AT3681" s="14"/>
      <c r="AU3681" s="14"/>
      <c r="AV3681" s="14"/>
      <c r="AW3681" s="15"/>
      <c r="AX3681" s="16"/>
    </row>
    <row r="3682" spans="2:50" x14ac:dyDescent="0.2">
      <c r="B3682" s="7"/>
      <c r="C3682" s="8">
        <v>14070</v>
      </c>
      <c r="D3682" s="9" t="s">
        <v>544</v>
      </c>
      <c r="E3682" s="10" t="str">
        <f t="shared" si="297"/>
        <v>Rancho Estanzuela No. 89</v>
      </c>
      <c r="F3682" s="10" t="str">
        <f t="shared" si="298"/>
        <v>Romero Ortiz</v>
      </c>
      <c r="G3682" s="8">
        <v>7</v>
      </c>
      <c r="H3682" s="11">
        <v>100</v>
      </c>
      <c r="I3682" s="12">
        <v>42813</v>
      </c>
      <c r="J3682" s="35">
        <f t="shared" si="299"/>
        <v>0</v>
      </c>
      <c r="K3682" s="36"/>
      <c r="L3682" s="36"/>
      <c r="M3682" s="36"/>
      <c r="N3682" s="36"/>
      <c r="O3682" s="36"/>
      <c r="P3682" s="36"/>
      <c r="Q3682" s="36"/>
      <c r="R3682" s="36"/>
      <c r="S3682" s="36"/>
      <c r="T3682" s="36"/>
      <c r="U3682" s="36"/>
      <c r="V3682" s="36"/>
      <c r="W3682" s="15">
        <f t="shared" si="300"/>
        <v>0</v>
      </c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15">
        <f t="shared" si="301"/>
        <v>0</v>
      </c>
      <c r="AK3682" s="14"/>
      <c r="AL3682" s="14"/>
      <c r="AM3682" s="14"/>
      <c r="AN3682" s="14"/>
      <c r="AO3682" s="14"/>
      <c r="AP3682" s="14"/>
      <c r="AQ3682" s="14"/>
      <c r="AR3682" s="14"/>
      <c r="AS3682" s="14"/>
      <c r="AT3682" s="14"/>
      <c r="AU3682" s="14"/>
      <c r="AV3682" s="14"/>
      <c r="AW3682" s="15"/>
      <c r="AX3682" s="16" t="s">
        <v>3533</v>
      </c>
    </row>
    <row r="3683" spans="2:50" x14ac:dyDescent="0.2">
      <c r="B3683" s="7"/>
      <c r="C3683" s="8">
        <v>14071</v>
      </c>
      <c r="D3683" s="9" t="s">
        <v>235</v>
      </c>
      <c r="E3683" s="10" t="str">
        <f t="shared" si="297"/>
        <v>Rancho La Cuchilla No. 43, A</v>
      </c>
      <c r="F3683" s="10" t="str">
        <f t="shared" si="298"/>
        <v>De la Rosa</v>
      </c>
      <c r="G3683" s="8">
        <v>1</v>
      </c>
      <c r="H3683" s="11">
        <v>400</v>
      </c>
      <c r="I3683" s="12">
        <v>42813</v>
      </c>
      <c r="J3683" s="35">
        <f t="shared" si="299"/>
        <v>0</v>
      </c>
      <c r="K3683" s="36"/>
      <c r="L3683" s="36"/>
      <c r="M3683" s="36"/>
      <c r="N3683" s="36"/>
      <c r="O3683" s="36"/>
      <c r="P3683" s="36"/>
      <c r="Q3683" s="36"/>
      <c r="R3683" s="36"/>
      <c r="S3683" s="36"/>
      <c r="T3683" s="36"/>
      <c r="U3683" s="36"/>
      <c r="V3683" s="36"/>
      <c r="W3683" s="15">
        <f t="shared" si="300"/>
        <v>0</v>
      </c>
      <c r="X3683" s="36"/>
      <c r="Y3683" s="36">
        <v>400</v>
      </c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15">
        <f t="shared" si="301"/>
        <v>400</v>
      </c>
      <c r="AK3683" s="14"/>
      <c r="AL3683" s="14"/>
      <c r="AM3683" s="14"/>
      <c r="AN3683" s="14"/>
      <c r="AO3683" s="14"/>
      <c r="AP3683" s="14"/>
      <c r="AQ3683" s="14"/>
      <c r="AR3683" s="14"/>
      <c r="AS3683" s="14"/>
      <c r="AT3683" s="14"/>
      <c r="AU3683" s="14"/>
      <c r="AV3683" s="14"/>
      <c r="AW3683" s="15"/>
      <c r="AX3683" s="16"/>
    </row>
    <row r="3684" spans="2:50" x14ac:dyDescent="0.2">
      <c r="B3684" s="7"/>
      <c r="C3684" s="8">
        <v>14071</v>
      </c>
      <c r="D3684" s="9" t="s">
        <v>235</v>
      </c>
      <c r="E3684" s="10" t="str">
        <f t="shared" si="297"/>
        <v>Rancho La Cuchilla No. 43, A</v>
      </c>
      <c r="F3684" s="10" t="str">
        <f t="shared" si="298"/>
        <v>De la Rosa</v>
      </c>
      <c r="G3684" s="8">
        <v>7</v>
      </c>
      <c r="H3684" s="11">
        <v>100</v>
      </c>
      <c r="I3684" s="12">
        <v>42813</v>
      </c>
      <c r="J3684" s="35">
        <f t="shared" si="299"/>
        <v>0</v>
      </c>
      <c r="K3684" s="36"/>
      <c r="L3684" s="36"/>
      <c r="M3684" s="36"/>
      <c r="N3684" s="36"/>
      <c r="O3684" s="36"/>
      <c r="P3684" s="36"/>
      <c r="Q3684" s="36"/>
      <c r="R3684" s="36"/>
      <c r="S3684" s="36"/>
      <c r="T3684" s="36"/>
      <c r="U3684" s="36"/>
      <c r="V3684" s="36"/>
      <c r="W3684" s="15">
        <f t="shared" si="300"/>
        <v>0</v>
      </c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15">
        <f t="shared" si="301"/>
        <v>0</v>
      </c>
      <c r="AK3684" s="14"/>
      <c r="AL3684" s="14"/>
      <c r="AM3684" s="14"/>
      <c r="AN3684" s="14"/>
      <c r="AO3684" s="14"/>
      <c r="AP3684" s="14"/>
      <c r="AQ3684" s="14"/>
      <c r="AR3684" s="14"/>
      <c r="AS3684" s="14"/>
      <c r="AT3684" s="14"/>
      <c r="AU3684" s="14"/>
      <c r="AV3684" s="14"/>
      <c r="AW3684" s="15"/>
      <c r="AX3684" s="16" t="s">
        <v>3533</v>
      </c>
    </row>
    <row r="3685" spans="2:50" x14ac:dyDescent="0.2">
      <c r="B3685" s="7"/>
      <c r="C3685" s="8">
        <v>14072</v>
      </c>
      <c r="D3685" s="9" t="s">
        <v>586</v>
      </c>
      <c r="E3685" s="10" t="str">
        <f t="shared" si="297"/>
        <v>Rancho Estanzuela No. 161, 1</v>
      </c>
      <c r="F3685" s="10" t="str">
        <f t="shared" si="298"/>
        <v>Guevara</v>
      </c>
      <c r="G3685" s="8">
        <v>1</v>
      </c>
      <c r="H3685" s="11">
        <v>200</v>
      </c>
      <c r="I3685" s="12">
        <v>42813</v>
      </c>
      <c r="J3685" s="35">
        <f t="shared" si="299"/>
        <v>0</v>
      </c>
      <c r="K3685" s="36"/>
      <c r="L3685" s="36"/>
      <c r="M3685" s="36"/>
      <c r="N3685" s="36"/>
      <c r="O3685" s="36"/>
      <c r="P3685" s="36"/>
      <c r="Q3685" s="36"/>
      <c r="R3685" s="36"/>
      <c r="S3685" s="36"/>
      <c r="T3685" s="36"/>
      <c r="U3685" s="36"/>
      <c r="V3685" s="36"/>
      <c r="W3685" s="15">
        <f t="shared" si="300"/>
        <v>0</v>
      </c>
      <c r="X3685" s="36"/>
      <c r="Y3685" s="36">
        <v>200</v>
      </c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15">
        <f t="shared" si="301"/>
        <v>200</v>
      </c>
      <c r="AK3685" s="14"/>
      <c r="AL3685" s="14"/>
      <c r="AM3685" s="14"/>
      <c r="AN3685" s="14"/>
      <c r="AO3685" s="14"/>
      <c r="AP3685" s="14"/>
      <c r="AQ3685" s="14"/>
      <c r="AR3685" s="14"/>
      <c r="AS3685" s="14"/>
      <c r="AT3685" s="14"/>
      <c r="AU3685" s="14"/>
      <c r="AV3685" s="14"/>
      <c r="AW3685" s="15"/>
      <c r="AX3685" s="16"/>
    </row>
    <row r="3686" spans="2:50" x14ac:dyDescent="0.2">
      <c r="B3686" s="7"/>
      <c r="C3686" s="8">
        <v>14072</v>
      </c>
      <c r="D3686" s="9" t="s">
        <v>586</v>
      </c>
      <c r="E3686" s="10" t="str">
        <f t="shared" ref="E3686:E3701" si="302">IF(D3686=0,"",VLOOKUP(D3686,BASE,2,FALSE))</f>
        <v>Rancho Estanzuela No. 161, 1</v>
      </c>
      <c r="F3686" s="10" t="str">
        <f t="shared" ref="F3686:F3701" si="303">IF(D3686=0,"",VLOOKUP(D3686,BASE,3,FALSE))</f>
        <v>Guevara</v>
      </c>
      <c r="G3686" s="8">
        <v>3</v>
      </c>
      <c r="H3686" s="11">
        <v>200</v>
      </c>
      <c r="I3686" s="12">
        <v>42813</v>
      </c>
      <c r="J3686" s="35">
        <f t="shared" ref="J3686:J3701" si="304">IF(G3686=1,SUM(W3686,AJ3686,-H3686),0)</f>
        <v>0</v>
      </c>
      <c r="K3686" s="36"/>
      <c r="L3686" s="36"/>
      <c r="M3686" s="36"/>
      <c r="N3686" s="36"/>
      <c r="O3686" s="36"/>
      <c r="P3686" s="36"/>
      <c r="Q3686" s="36"/>
      <c r="R3686" s="36"/>
      <c r="S3686" s="36"/>
      <c r="T3686" s="36"/>
      <c r="U3686" s="36"/>
      <c r="V3686" s="36"/>
      <c r="W3686" s="15">
        <f t="shared" ref="W3686:W3701" si="305">SUM(K3686:V3686)</f>
        <v>0</v>
      </c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15">
        <f t="shared" ref="AJ3686:AJ3701" si="306">SUM(X3686:AI3686)</f>
        <v>0</v>
      </c>
      <c r="AK3686" s="14"/>
      <c r="AL3686" s="14"/>
      <c r="AM3686" s="14"/>
      <c r="AN3686" s="14"/>
      <c r="AO3686" s="14"/>
      <c r="AP3686" s="14"/>
      <c r="AQ3686" s="14"/>
      <c r="AR3686" s="14"/>
      <c r="AS3686" s="14"/>
      <c r="AT3686" s="14"/>
      <c r="AU3686" s="14"/>
      <c r="AV3686" s="14"/>
      <c r="AW3686" s="15"/>
      <c r="AX3686" s="16"/>
    </row>
    <row r="3687" spans="2:50" x14ac:dyDescent="0.2">
      <c r="B3687" s="7"/>
      <c r="C3687" s="8">
        <v>14073</v>
      </c>
      <c r="D3687" s="9" t="s">
        <v>1267</v>
      </c>
      <c r="E3687" s="10" t="str">
        <f t="shared" si="302"/>
        <v>Rancho La Cuchilla No. 31</v>
      </c>
      <c r="F3687" s="10" t="str">
        <f t="shared" si="303"/>
        <v>Lince</v>
      </c>
      <c r="G3687" s="8">
        <v>1</v>
      </c>
      <c r="H3687" s="11">
        <v>900</v>
      </c>
      <c r="I3687" s="12">
        <v>42813</v>
      </c>
      <c r="J3687" s="35">
        <f t="shared" si="304"/>
        <v>0</v>
      </c>
      <c r="K3687" s="36"/>
      <c r="L3687" s="36"/>
      <c r="M3687" s="36"/>
      <c r="N3687" s="36"/>
      <c r="O3687" s="36"/>
      <c r="P3687" s="36"/>
      <c r="Q3687" s="36"/>
      <c r="R3687" s="36"/>
      <c r="S3687" s="36"/>
      <c r="T3687" s="36"/>
      <c r="U3687" s="36"/>
      <c r="V3687" s="36"/>
      <c r="W3687" s="15">
        <f t="shared" si="305"/>
        <v>0</v>
      </c>
      <c r="X3687" s="36">
        <v>300</v>
      </c>
      <c r="Y3687" s="36">
        <v>300</v>
      </c>
      <c r="Z3687" s="36">
        <v>300</v>
      </c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15">
        <f t="shared" si="306"/>
        <v>900</v>
      </c>
      <c r="AK3687" s="14"/>
      <c r="AL3687" s="14"/>
      <c r="AM3687" s="14"/>
      <c r="AN3687" s="14"/>
      <c r="AO3687" s="14"/>
      <c r="AP3687" s="14"/>
      <c r="AQ3687" s="14"/>
      <c r="AR3687" s="14"/>
      <c r="AS3687" s="14"/>
      <c r="AT3687" s="14"/>
      <c r="AU3687" s="14"/>
      <c r="AV3687" s="14"/>
      <c r="AW3687" s="15"/>
      <c r="AX3687" s="16"/>
    </row>
    <row r="3688" spans="2:50" x14ac:dyDescent="0.2">
      <c r="B3688" s="7"/>
      <c r="C3688" s="8">
        <v>14074</v>
      </c>
      <c r="D3688" s="9" t="s">
        <v>425</v>
      </c>
      <c r="E3688" s="10" t="str">
        <f t="shared" si="302"/>
        <v>Rancho La Cuchilla No. 120</v>
      </c>
      <c r="F3688" s="10" t="str">
        <f t="shared" si="303"/>
        <v>Pozos Vilchis</v>
      </c>
      <c r="G3688" s="8">
        <v>1</v>
      </c>
      <c r="H3688" s="11">
        <v>400</v>
      </c>
      <c r="I3688" s="12">
        <v>42813</v>
      </c>
      <c r="J3688" s="35">
        <f t="shared" si="304"/>
        <v>0</v>
      </c>
      <c r="K3688" s="36"/>
      <c r="L3688" s="36"/>
      <c r="M3688" s="36"/>
      <c r="N3688" s="36"/>
      <c r="O3688" s="36"/>
      <c r="P3688" s="36"/>
      <c r="Q3688" s="36"/>
      <c r="R3688" s="36"/>
      <c r="S3688" s="36"/>
      <c r="T3688" s="36"/>
      <c r="U3688" s="36"/>
      <c r="V3688" s="36"/>
      <c r="W3688" s="15">
        <f t="shared" si="305"/>
        <v>0</v>
      </c>
      <c r="X3688" s="36"/>
      <c r="Y3688" s="36"/>
      <c r="Z3688" s="36">
        <v>400</v>
      </c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15">
        <f t="shared" si="306"/>
        <v>400</v>
      </c>
      <c r="AK3688" s="14"/>
      <c r="AL3688" s="14"/>
      <c r="AM3688" s="14"/>
      <c r="AN3688" s="14"/>
      <c r="AO3688" s="14"/>
      <c r="AP3688" s="14"/>
      <c r="AQ3688" s="14"/>
      <c r="AR3688" s="14"/>
      <c r="AS3688" s="14"/>
      <c r="AT3688" s="14"/>
      <c r="AU3688" s="14"/>
      <c r="AV3688" s="14"/>
      <c r="AW3688" s="15"/>
      <c r="AX3688" s="16"/>
    </row>
    <row r="3689" spans="2:50" x14ac:dyDescent="0.2">
      <c r="B3689" s="7"/>
      <c r="C3689" s="8">
        <v>14075</v>
      </c>
      <c r="D3689" s="9" t="s">
        <v>440</v>
      </c>
      <c r="E3689" s="10" t="str">
        <f t="shared" si="302"/>
        <v>Rancho Estanzuela No. 159</v>
      </c>
      <c r="F3689" s="10" t="str">
        <f t="shared" si="303"/>
        <v>Silva</v>
      </c>
      <c r="G3689" s="8">
        <v>1</v>
      </c>
      <c r="H3689" s="11">
        <v>300</v>
      </c>
      <c r="I3689" s="12">
        <v>42813</v>
      </c>
      <c r="J3689" s="35">
        <f t="shared" si="304"/>
        <v>0</v>
      </c>
      <c r="K3689" s="36"/>
      <c r="L3689" s="36"/>
      <c r="M3689" s="36"/>
      <c r="N3689" s="36"/>
      <c r="O3689" s="36"/>
      <c r="P3689" s="36"/>
      <c r="Q3689" s="36"/>
      <c r="R3689" s="36"/>
      <c r="S3689" s="36"/>
      <c r="T3689" s="36"/>
      <c r="U3689" s="36"/>
      <c r="V3689" s="36"/>
      <c r="W3689" s="15">
        <f t="shared" si="305"/>
        <v>0</v>
      </c>
      <c r="X3689" s="36"/>
      <c r="Y3689" s="36">
        <v>300</v>
      </c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15">
        <f t="shared" si="306"/>
        <v>300</v>
      </c>
      <c r="AK3689" s="14"/>
      <c r="AL3689" s="14"/>
      <c r="AM3689" s="14"/>
      <c r="AN3689" s="14"/>
      <c r="AO3689" s="14"/>
      <c r="AP3689" s="14"/>
      <c r="AQ3689" s="14"/>
      <c r="AR3689" s="14"/>
      <c r="AS3689" s="14"/>
      <c r="AT3689" s="14"/>
      <c r="AU3689" s="14"/>
      <c r="AV3689" s="14"/>
      <c r="AW3689" s="15"/>
      <c r="AX3689" s="16"/>
    </row>
    <row r="3690" spans="2:50" x14ac:dyDescent="0.2">
      <c r="B3690" s="7"/>
      <c r="C3690" s="8">
        <v>14075</v>
      </c>
      <c r="D3690" s="9" t="s">
        <v>440</v>
      </c>
      <c r="E3690" s="10" t="str">
        <f t="shared" si="302"/>
        <v>Rancho Estanzuela No. 159</v>
      </c>
      <c r="F3690" s="10" t="str">
        <f t="shared" si="303"/>
        <v>Silva</v>
      </c>
      <c r="G3690" s="8">
        <v>7</v>
      </c>
      <c r="H3690" s="11">
        <v>100</v>
      </c>
      <c r="I3690" s="12">
        <v>42813</v>
      </c>
      <c r="J3690" s="35">
        <f t="shared" si="304"/>
        <v>0</v>
      </c>
      <c r="K3690" s="36"/>
      <c r="L3690" s="36"/>
      <c r="M3690" s="36"/>
      <c r="N3690" s="36"/>
      <c r="O3690" s="36"/>
      <c r="P3690" s="36"/>
      <c r="Q3690" s="36"/>
      <c r="R3690" s="36"/>
      <c r="S3690" s="36"/>
      <c r="T3690" s="36"/>
      <c r="U3690" s="36"/>
      <c r="V3690" s="36"/>
      <c r="W3690" s="15">
        <f t="shared" si="305"/>
        <v>0</v>
      </c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15">
        <f t="shared" si="306"/>
        <v>0</v>
      </c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5"/>
      <c r="AX3690" s="16" t="s">
        <v>3533</v>
      </c>
    </row>
    <row r="3691" spans="2:50" x14ac:dyDescent="0.2">
      <c r="B3691" s="7"/>
      <c r="C3691" s="8">
        <v>14076</v>
      </c>
      <c r="D3691" s="9" t="s">
        <v>440</v>
      </c>
      <c r="E3691" s="10" t="str">
        <f t="shared" si="302"/>
        <v>Rancho Estanzuela No. 159</v>
      </c>
      <c r="F3691" s="10" t="str">
        <f t="shared" si="303"/>
        <v>Silva</v>
      </c>
      <c r="G3691" s="8">
        <v>1</v>
      </c>
      <c r="H3691" s="11">
        <v>300</v>
      </c>
      <c r="I3691" s="12">
        <v>42813</v>
      </c>
      <c r="J3691" s="35">
        <f t="shared" si="304"/>
        <v>0</v>
      </c>
      <c r="K3691" s="36"/>
      <c r="L3691" s="36"/>
      <c r="M3691" s="36"/>
      <c r="N3691" s="36"/>
      <c r="O3691" s="36"/>
      <c r="P3691" s="36"/>
      <c r="Q3691" s="36"/>
      <c r="R3691" s="36"/>
      <c r="S3691" s="36"/>
      <c r="T3691" s="36"/>
      <c r="U3691" s="36"/>
      <c r="V3691" s="36"/>
      <c r="W3691" s="15">
        <f t="shared" si="305"/>
        <v>0</v>
      </c>
      <c r="X3691" s="36"/>
      <c r="Y3691" s="36"/>
      <c r="Z3691" s="36">
        <v>300</v>
      </c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15">
        <f t="shared" si="306"/>
        <v>300</v>
      </c>
      <c r="AK3691" s="14"/>
      <c r="AL3691" s="14"/>
      <c r="AM3691" s="14"/>
      <c r="AN3691" s="14"/>
      <c r="AO3691" s="14"/>
      <c r="AP3691" s="14"/>
      <c r="AQ3691" s="14"/>
      <c r="AR3691" s="14"/>
      <c r="AS3691" s="14"/>
      <c r="AT3691" s="14"/>
      <c r="AU3691" s="14"/>
      <c r="AV3691" s="14"/>
      <c r="AW3691" s="15"/>
      <c r="AX3691" s="16"/>
    </row>
    <row r="3692" spans="2:50" x14ac:dyDescent="0.2">
      <c r="B3692" s="7"/>
      <c r="C3692" s="8">
        <v>14077</v>
      </c>
      <c r="D3692" s="9" t="s">
        <v>705</v>
      </c>
      <c r="E3692" s="10" t="str">
        <f t="shared" si="302"/>
        <v>Rancho La Cuchilla No. 75</v>
      </c>
      <c r="F3692" s="10" t="str">
        <f t="shared" si="303"/>
        <v>Sosa Lucio</v>
      </c>
      <c r="G3692" s="8">
        <v>1</v>
      </c>
      <c r="H3692" s="11">
        <v>300</v>
      </c>
      <c r="I3692" s="12">
        <v>42813</v>
      </c>
      <c r="J3692" s="35">
        <f t="shared" si="304"/>
        <v>0</v>
      </c>
      <c r="K3692" s="36"/>
      <c r="L3692" s="36"/>
      <c r="M3692" s="36"/>
      <c r="N3692" s="36"/>
      <c r="O3692" s="36"/>
      <c r="P3692" s="36"/>
      <c r="Q3692" s="36"/>
      <c r="R3692" s="36"/>
      <c r="S3692" s="36"/>
      <c r="T3692" s="36"/>
      <c r="U3692" s="36"/>
      <c r="V3692" s="36"/>
      <c r="W3692" s="15">
        <f t="shared" si="305"/>
        <v>0</v>
      </c>
      <c r="X3692" s="36"/>
      <c r="Y3692" s="36"/>
      <c r="Z3692" s="36">
        <v>300</v>
      </c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15">
        <f t="shared" si="306"/>
        <v>300</v>
      </c>
      <c r="AK3692" s="14"/>
      <c r="AL3692" s="14"/>
      <c r="AM3692" s="14"/>
      <c r="AN3692" s="14"/>
      <c r="AO3692" s="14"/>
      <c r="AP3692" s="14"/>
      <c r="AQ3692" s="14"/>
      <c r="AR3692" s="14"/>
      <c r="AS3692" s="14"/>
      <c r="AT3692" s="14"/>
      <c r="AU3692" s="14"/>
      <c r="AV3692" s="14"/>
      <c r="AW3692" s="15"/>
      <c r="AX3692" s="16"/>
    </row>
    <row r="3693" spans="2:50" x14ac:dyDescent="0.2">
      <c r="B3693" s="7"/>
      <c r="C3693" s="8">
        <v>14078</v>
      </c>
      <c r="D3693" s="9" t="s">
        <v>349</v>
      </c>
      <c r="E3693" s="10" t="str">
        <f t="shared" si="302"/>
        <v>Rancho La Cuchilla No. 15</v>
      </c>
      <c r="F3693" s="10" t="str">
        <f t="shared" si="303"/>
        <v>Guerrero Ponce</v>
      </c>
      <c r="G3693" s="8">
        <v>1</v>
      </c>
      <c r="H3693" s="11">
        <v>600</v>
      </c>
      <c r="I3693" s="12">
        <v>42813</v>
      </c>
      <c r="J3693" s="35">
        <f t="shared" si="304"/>
        <v>0</v>
      </c>
      <c r="K3693" s="36"/>
      <c r="L3693" s="36"/>
      <c r="M3693" s="36"/>
      <c r="N3693" s="36"/>
      <c r="O3693" s="36"/>
      <c r="P3693" s="36"/>
      <c r="Q3693" s="36"/>
      <c r="R3693" s="36"/>
      <c r="S3693" s="36"/>
      <c r="T3693" s="36"/>
      <c r="U3693" s="36"/>
      <c r="V3693" s="36"/>
      <c r="W3693" s="15">
        <f t="shared" si="305"/>
        <v>0</v>
      </c>
      <c r="X3693" s="36"/>
      <c r="Y3693" s="36">
        <v>300</v>
      </c>
      <c r="Z3693" s="36">
        <v>300</v>
      </c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15">
        <f t="shared" si="306"/>
        <v>600</v>
      </c>
      <c r="AK3693" s="14"/>
      <c r="AL3693" s="14"/>
      <c r="AM3693" s="14"/>
      <c r="AN3693" s="14"/>
      <c r="AO3693" s="14"/>
      <c r="AP3693" s="14"/>
      <c r="AQ3693" s="14"/>
      <c r="AR3693" s="14"/>
      <c r="AS3693" s="14"/>
      <c r="AT3693" s="14"/>
      <c r="AU3693" s="14"/>
      <c r="AV3693" s="14"/>
      <c r="AW3693" s="15"/>
      <c r="AX3693" s="16"/>
    </row>
    <row r="3694" spans="2:50" x14ac:dyDescent="0.2">
      <c r="B3694" s="7"/>
      <c r="C3694" s="8">
        <v>14079</v>
      </c>
      <c r="D3694" s="9" t="s">
        <v>1020</v>
      </c>
      <c r="E3694" s="10" t="str">
        <f t="shared" si="302"/>
        <v>Rancho Landero No. 52</v>
      </c>
      <c r="F3694" s="10" t="str">
        <f t="shared" si="303"/>
        <v>Feregrino</v>
      </c>
      <c r="G3694" s="8">
        <v>1</v>
      </c>
      <c r="H3694" s="11">
        <v>1600</v>
      </c>
      <c r="I3694" s="12">
        <v>42813</v>
      </c>
      <c r="J3694" s="35">
        <f t="shared" si="304"/>
        <v>0</v>
      </c>
      <c r="K3694" s="36"/>
      <c r="L3694" s="36"/>
      <c r="M3694" s="36"/>
      <c r="N3694" s="36"/>
      <c r="O3694" s="36"/>
      <c r="P3694" s="36"/>
      <c r="Q3694" s="36"/>
      <c r="R3694" s="36"/>
      <c r="S3694" s="36"/>
      <c r="T3694" s="36"/>
      <c r="U3694" s="36"/>
      <c r="V3694" s="36">
        <v>400</v>
      </c>
      <c r="W3694" s="15">
        <f t="shared" si="305"/>
        <v>400</v>
      </c>
      <c r="X3694" s="36">
        <v>400</v>
      </c>
      <c r="Y3694" s="36">
        <v>400</v>
      </c>
      <c r="Z3694" s="36">
        <v>400</v>
      </c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15">
        <f t="shared" si="306"/>
        <v>1200</v>
      </c>
      <c r="AK3694" s="14"/>
      <c r="AL3694" s="14"/>
      <c r="AM3694" s="14"/>
      <c r="AN3694" s="14"/>
      <c r="AO3694" s="14"/>
      <c r="AP3694" s="14"/>
      <c r="AQ3694" s="14"/>
      <c r="AR3694" s="14"/>
      <c r="AS3694" s="14"/>
      <c r="AT3694" s="14"/>
      <c r="AU3694" s="14"/>
      <c r="AV3694" s="14"/>
      <c r="AW3694" s="15"/>
      <c r="AX3694" s="16"/>
    </row>
    <row r="3695" spans="2:50" x14ac:dyDescent="0.2">
      <c r="B3695" s="7"/>
      <c r="C3695" s="8">
        <v>14080</v>
      </c>
      <c r="D3695" s="9" t="s">
        <v>277</v>
      </c>
      <c r="E3695" s="10" t="str">
        <f t="shared" si="302"/>
        <v>Rancho Estanzuela No. 7, A</v>
      </c>
      <c r="F3695" s="10" t="str">
        <f t="shared" si="303"/>
        <v>Herrera Izquierdo</v>
      </c>
      <c r="G3695" s="8">
        <v>1</v>
      </c>
      <c r="H3695" s="11">
        <v>200</v>
      </c>
      <c r="I3695" s="12">
        <v>42813</v>
      </c>
      <c r="J3695" s="35">
        <f t="shared" si="304"/>
        <v>0</v>
      </c>
      <c r="K3695" s="36"/>
      <c r="L3695" s="36"/>
      <c r="M3695" s="36"/>
      <c r="N3695" s="36"/>
      <c r="O3695" s="36"/>
      <c r="P3695" s="36"/>
      <c r="Q3695" s="36"/>
      <c r="R3695" s="36"/>
      <c r="S3695" s="36"/>
      <c r="T3695" s="36"/>
      <c r="U3695" s="36"/>
      <c r="V3695" s="36"/>
      <c r="W3695" s="15">
        <f t="shared" si="305"/>
        <v>0</v>
      </c>
      <c r="X3695" s="36"/>
      <c r="Y3695" s="36"/>
      <c r="Z3695" s="36">
        <v>200</v>
      </c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15">
        <f t="shared" si="306"/>
        <v>200</v>
      </c>
      <c r="AK3695" s="14"/>
      <c r="AL3695" s="14"/>
      <c r="AM3695" s="14"/>
      <c r="AN3695" s="14"/>
      <c r="AO3695" s="14"/>
      <c r="AP3695" s="14"/>
      <c r="AQ3695" s="14"/>
      <c r="AR3695" s="14"/>
      <c r="AS3695" s="14"/>
      <c r="AT3695" s="14"/>
      <c r="AU3695" s="14"/>
      <c r="AV3695" s="14"/>
      <c r="AW3695" s="15"/>
      <c r="AX3695" s="16"/>
    </row>
    <row r="3696" spans="2:50" x14ac:dyDescent="0.2">
      <c r="B3696" s="7"/>
      <c r="C3696" s="8">
        <v>14081</v>
      </c>
      <c r="D3696" s="9" t="s">
        <v>574</v>
      </c>
      <c r="E3696" s="10" t="str">
        <f t="shared" si="302"/>
        <v xml:space="preserve">Rancho Upácuaro No. 94 </v>
      </c>
      <c r="F3696" s="10" t="str">
        <f t="shared" si="303"/>
        <v>Juárez Patiño</v>
      </c>
      <c r="G3696" s="8">
        <v>3</v>
      </c>
      <c r="H3696" s="11">
        <v>200</v>
      </c>
      <c r="I3696" s="12">
        <v>42813</v>
      </c>
      <c r="J3696" s="35">
        <f t="shared" si="304"/>
        <v>0</v>
      </c>
      <c r="K3696" s="36"/>
      <c r="L3696" s="36"/>
      <c r="M3696" s="36"/>
      <c r="N3696" s="36"/>
      <c r="O3696" s="36"/>
      <c r="P3696" s="36"/>
      <c r="Q3696" s="36"/>
      <c r="R3696" s="36"/>
      <c r="S3696" s="36"/>
      <c r="T3696" s="36"/>
      <c r="U3696" s="36"/>
      <c r="V3696" s="36"/>
      <c r="W3696" s="15">
        <f t="shared" si="305"/>
        <v>0</v>
      </c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15">
        <f t="shared" si="306"/>
        <v>0</v>
      </c>
      <c r="AK3696" s="14"/>
      <c r="AL3696" s="14"/>
      <c r="AM3696" s="14"/>
      <c r="AN3696" s="14"/>
      <c r="AO3696" s="14"/>
      <c r="AP3696" s="14"/>
      <c r="AQ3696" s="14"/>
      <c r="AR3696" s="14"/>
      <c r="AS3696" s="14"/>
      <c r="AT3696" s="14"/>
      <c r="AU3696" s="14"/>
      <c r="AV3696" s="14"/>
      <c r="AW3696" s="15"/>
      <c r="AX3696" s="16"/>
    </row>
    <row r="3697" spans="2:51" x14ac:dyDescent="0.2">
      <c r="B3697" s="7"/>
      <c r="C3697" s="8">
        <v>14082</v>
      </c>
      <c r="D3697" s="9" t="s">
        <v>743</v>
      </c>
      <c r="E3697" s="10" t="str">
        <f t="shared" si="302"/>
        <v>Rancho Upácuaro No. 106</v>
      </c>
      <c r="F3697" s="10" t="str">
        <f t="shared" si="303"/>
        <v>Hernández Sánchez</v>
      </c>
      <c r="G3697" s="8">
        <v>1</v>
      </c>
      <c r="H3697" s="11">
        <v>800</v>
      </c>
      <c r="I3697" s="12">
        <v>42813</v>
      </c>
      <c r="J3697" s="35">
        <f t="shared" si="304"/>
        <v>0</v>
      </c>
      <c r="K3697" s="36"/>
      <c r="L3697" s="36"/>
      <c r="M3697" s="36"/>
      <c r="N3697" s="36"/>
      <c r="O3697" s="36"/>
      <c r="P3697" s="36"/>
      <c r="Q3697" s="36"/>
      <c r="R3697" s="36"/>
      <c r="S3697" s="36"/>
      <c r="T3697" s="36">
        <v>400</v>
      </c>
      <c r="U3697" s="36">
        <v>400</v>
      </c>
      <c r="V3697" s="36"/>
      <c r="W3697" s="15">
        <f t="shared" si="305"/>
        <v>800</v>
      </c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15">
        <f t="shared" si="306"/>
        <v>0</v>
      </c>
      <c r="AK3697" s="14"/>
      <c r="AL3697" s="14"/>
      <c r="AM3697" s="14"/>
      <c r="AN3697" s="14"/>
      <c r="AO3697" s="14"/>
      <c r="AP3697" s="14"/>
      <c r="AQ3697" s="14"/>
      <c r="AR3697" s="14"/>
      <c r="AS3697" s="14"/>
      <c r="AT3697" s="14"/>
      <c r="AU3697" s="14"/>
      <c r="AV3697" s="14"/>
      <c r="AW3697" s="15"/>
      <c r="AX3697" s="16"/>
    </row>
    <row r="3698" spans="2:51" x14ac:dyDescent="0.2">
      <c r="B3698" s="7"/>
      <c r="C3698" s="8">
        <v>14083</v>
      </c>
      <c r="D3698" s="9" t="s">
        <v>743</v>
      </c>
      <c r="E3698" s="10" t="str">
        <f t="shared" si="302"/>
        <v>Rancho Upácuaro No. 106</v>
      </c>
      <c r="F3698" s="10" t="str">
        <f t="shared" si="303"/>
        <v>Hernández Sánchez</v>
      </c>
      <c r="G3698" s="8">
        <v>1</v>
      </c>
      <c r="H3698" s="11">
        <v>400</v>
      </c>
      <c r="I3698" s="12">
        <v>42813</v>
      </c>
      <c r="J3698" s="35">
        <f t="shared" si="304"/>
        <v>0</v>
      </c>
      <c r="K3698" s="36"/>
      <c r="L3698" s="36"/>
      <c r="M3698" s="36"/>
      <c r="N3698" s="36"/>
      <c r="O3698" s="36"/>
      <c r="P3698" s="36"/>
      <c r="Q3698" s="36"/>
      <c r="R3698" s="36"/>
      <c r="S3698" s="36"/>
      <c r="T3698" s="36"/>
      <c r="U3698" s="36"/>
      <c r="V3698" s="36">
        <v>400</v>
      </c>
      <c r="W3698" s="15">
        <f t="shared" si="305"/>
        <v>400</v>
      </c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15">
        <f t="shared" si="306"/>
        <v>0</v>
      </c>
      <c r="AK3698" s="14"/>
      <c r="AL3698" s="14"/>
      <c r="AM3698" s="14"/>
      <c r="AN3698" s="14"/>
      <c r="AO3698" s="14"/>
      <c r="AP3698" s="14"/>
      <c r="AQ3698" s="14"/>
      <c r="AR3698" s="14"/>
      <c r="AS3698" s="14"/>
      <c r="AT3698" s="14"/>
      <c r="AU3698" s="14"/>
      <c r="AV3698" s="14"/>
      <c r="AW3698" s="15"/>
      <c r="AX3698" s="16"/>
    </row>
    <row r="3699" spans="2:51" x14ac:dyDescent="0.2">
      <c r="B3699" s="7"/>
      <c r="C3699" s="8">
        <v>14083</v>
      </c>
      <c r="D3699" s="9" t="s">
        <v>743</v>
      </c>
      <c r="E3699" s="10" t="str">
        <f t="shared" si="302"/>
        <v>Rancho Upácuaro No. 106</v>
      </c>
      <c r="F3699" s="10" t="str">
        <f t="shared" si="303"/>
        <v>Hernández Sánchez</v>
      </c>
      <c r="G3699" s="8">
        <v>7</v>
      </c>
      <c r="H3699" s="11">
        <v>100</v>
      </c>
      <c r="I3699" s="12">
        <v>42813</v>
      </c>
      <c r="J3699" s="35">
        <f t="shared" si="304"/>
        <v>0</v>
      </c>
      <c r="K3699" s="36"/>
      <c r="L3699" s="36"/>
      <c r="M3699" s="36"/>
      <c r="N3699" s="36"/>
      <c r="O3699" s="36"/>
      <c r="P3699" s="36"/>
      <c r="Q3699" s="36"/>
      <c r="R3699" s="36"/>
      <c r="S3699" s="36"/>
      <c r="T3699" s="36"/>
      <c r="U3699" s="36"/>
      <c r="V3699" s="36"/>
      <c r="W3699" s="15">
        <f t="shared" si="305"/>
        <v>0</v>
      </c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15">
        <f t="shared" si="306"/>
        <v>0</v>
      </c>
      <c r="AK3699" s="14"/>
      <c r="AL3699" s="14"/>
      <c r="AM3699" s="14"/>
      <c r="AN3699" s="14"/>
      <c r="AO3699" s="14"/>
      <c r="AP3699" s="14"/>
      <c r="AQ3699" s="14"/>
      <c r="AR3699" s="14"/>
      <c r="AS3699" s="14"/>
      <c r="AT3699" s="14"/>
      <c r="AU3699" s="14"/>
      <c r="AV3699" s="14"/>
      <c r="AW3699" s="15"/>
      <c r="AX3699" s="16" t="s">
        <v>3533</v>
      </c>
    </row>
    <row r="3700" spans="2:51" x14ac:dyDescent="0.2">
      <c r="B3700" s="7"/>
      <c r="C3700" s="8">
        <v>14084</v>
      </c>
      <c r="D3700" s="9" t="s">
        <v>1299</v>
      </c>
      <c r="E3700" s="10" t="str">
        <f t="shared" si="302"/>
        <v>Rancho La Cuchilla No. 107</v>
      </c>
      <c r="F3700" s="10" t="str">
        <f t="shared" si="303"/>
        <v>Quiñones, Eduardo</v>
      </c>
      <c r="G3700" s="8">
        <v>3</v>
      </c>
      <c r="H3700" s="11">
        <v>200</v>
      </c>
      <c r="I3700" s="12">
        <v>42813</v>
      </c>
      <c r="J3700" s="35">
        <f t="shared" si="304"/>
        <v>0</v>
      </c>
      <c r="K3700" s="36"/>
      <c r="L3700" s="36"/>
      <c r="M3700" s="36"/>
      <c r="N3700" s="36"/>
      <c r="O3700" s="36"/>
      <c r="P3700" s="36"/>
      <c r="Q3700" s="36"/>
      <c r="R3700" s="36"/>
      <c r="S3700" s="36"/>
      <c r="T3700" s="36"/>
      <c r="U3700" s="36"/>
      <c r="V3700" s="36"/>
      <c r="W3700" s="15">
        <f t="shared" si="305"/>
        <v>0</v>
      </c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15">
        <f t="shared" si="306"/>
        <v>0</v>
      </c>
      <c r="AK3700" s="14"/>
      <c r="AL3700" s="14"/>
      <c r="AM3700" s="14"/>
      <c r="AN3700" s="14"/>
      <c r="AO3700" s="14"/>
      <c r="AP3700" s="14"/>
      <c r="AQ3700" s="14"/>
      <c r="AR3700" s="14"/>
      <c r="AS3700" s="14"/>
      <c r="AT3700" s="14"/>
      <c r="AU3700" s="14"/>
      <c r="AV3700" s="14"/>
      <c r="AW3700" s="15"/>
      <c r="AX3700" s="16"/>
    </row>
    <row r="3701" spans="2:51" x14ac:dyDescent="0.2">
      <c r="B3701" s="7"/>
      <c r="C3701" s="8">
        <v>14085</v>
      </c>
      <c r="D3701" s="9" t="s">
        <v>1017</v>
      </c>
      <c r="E3701" s="10" t="str">
        <f t="shared" si="302"/>
        <v>Rancho Estanzuela No. 119, 3</v>
      </c>
      <c r="F3701" s="10" t="str">
        <f t="shared" si="303"/>
        <v>Montecillo</v>
      </c>
      <c r="G3701" s="8">
        <v>1</v>
      </c>
      <c r="H3701" s="11">
        <v>200</v>
      </c>
      <c r="I3701" s="12">
        <v>42813</v>
      </c>
      <c r="J3701" s="35">
        <f t="shared" si="304"/>
        <v>0</v>
      </c>
      <c r="K3701" s="36"/>
      <c r="L3701" s="36"/>
      <c r="M3701" s="36"/>
      <c r="N3701" s="36"/>
      <c r="O3701" s="36"/>
      <c r="P3701" s="36"/>
      <c r="Q3701" s="36"/>
      <c r="R3701" s="36"/>
      <c r="S3701" s="36"/>
      <c r="T3701" s="36"/>
      <c r="U3701" s="36"/>
      <c r="V3701" s="36"/>
      <c r="W3701" s="15">
        <f t="shared" si="305"/>
        <v>0</v>
      </c>
      <c r="X3701" s="36"/>
      <c r="Y3701" s="36"/>
      <c r="Z3701" s="36">
        <v>200</v>
      </c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15">
        <f t="shared" si="306"/>
        <v>200</v>
      </c>
      <c r="AK3701" s="14"/>
      <c r="AL3701" s="14"/>
      <c r="AM3701" s="14"/>
      <c r="AN3701" s="14"/>
      <c r="AO3701" s="14"/>
      <c r="AP3701" s="14"/>
      <c r="AQ3701" s="14"/>
      <c r="AR3701" s="14"/>
      <c r="AS3701" s="14"/>
      <c r="AT3701" s="14"/>
      <c r="AU3701" s="14"/>
      <c r="AV3701" s="14"/>
      <c r="AW3701" s="15"/>
      <c r="AX3701" s="16"/>
    </row>
    <row r="3702" spans="2:51" x14ac:dyDescent="0.2">
      <c r="B3702" s="7"/>
      <c r="C3702" s="8">
        <v>14085</v>
      </c>
      <c r="D3702" s="9" t="s">
        <v>1017</v>
      </c>
      <c r="E3702" s="10" t="str">
        <f t="shared" ref="E3702:E3713" si="307">IF(D3702=0,"",VLOOKUP(D3702,BASE,2,FALSE))</f>
        <v>Rancho Estanzuela No. 119, 3</v>
      </c>
      <c r="F3702" s="10" t="str">
        <f t="shared" ref="F3702:F3713" si="308">IF(D3702=0,"",VLOOKUP(D3702,BASE,3,FALSE))</f>
        <v>Montecillo</v>
      </c>
      <c r="G3702" s="8">
        <v>7</v>
      </c>
      <c r="H3702" s="11">
        <v>100</v>
      </c>
      <c r="I3702" s="12">
        <v>42813</v>
      </c>
      <c r="J3702" s="35">
        <f t="shared" ref="J3702:J3713" si="309">IF(G3702=1,SUM(W3702,AJ3702,-H3702),0)</f>
        <v>0</v>
      </c>
      <c r="K3702" s="36"/>
      <c r="L3702" s="36"/>
      <c r="M3702" s="36"/>
      <c r="N3702" s="36"/>
      <c r="O3702" s="36"/>
      <c r="P3702" s="36"/>
      <c r="Q3702" s="36"/>
      <c r="R3702" s="36"/>
      <c r="S3702" s="36"/>
      <c r="T3702" s="36"/>
      <c r="U3702" s="36"/>
      <c r="V3702" s="36"/>
      <c r="W3702" s="15">
        <f t="shared" ref="W3702:W3713" si="310">SUM(K3702:V3702)</f>
        <v>0</v>
      </c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15">
        <f t="shared" ref="AJ3702:AJ3713" si="311">SUM(X3702:AI3702)</f>
        <v>0</v>
      </c>
      <c r="AK3702" s="14"/>
      <c r="AL3702" s="14"/>
      <c r="AM3702" s="14"/>
      <c r="AN3702" s="14"/>
      <c r="AO3702" s="14"/>
      <c r="AP3702" s="14"/>
      <c r="AQ3702" s="14"/>
      <c r="AR3702" s="14"/>
      <c r="AS3702" s="14"/>
      <c r="AT3702" s="14"/>
      <c r="AU3702" s="14"/>
      <c r="AV3702" s="14"/>
      <c r="AW3702" s="15"/>
      <c r="AX3702" s="16" t="s">
        <v>3533</v>
      </c>
    </row>
    <row r="3703" spans="2:51" x14ac:dyDescent="0.2">
      <c r="B3703" s="7"/>
      <c r="C3703" s="8">
        <v>14086</v>
      </c>
      <c r="D3703" s="9" t="s">
        <v>229</v>
      </c>
      <c r="E3703" s="10" t="str">
        <f t="shared" si="307"/>
        <v>Rancho La Cuchilla No. 14</v>
      </c>
      <c r="F3703" s="10" t="str">
        <f t="shared" si="308"/>
        <v>Chávez Lara</v>
      </c>
      <c r="G3703" s="8">
        <v>3</v>
      </c>
      <c r="H3703" s="11">
        <v>200</v>
      </c>
      <c r="I3703" s="12">
        <v>42813</v>
      </c>
      <c r="J3703" s="35">
        <f t="shared" si="309"/>
        <v>0</v>
      </c>
      <c r="K3703" s="36"/>
      <c r="L3703" s="36"/>
      <c r="M3703" s="36"/>
      <c r="N3703" s="36"/>
      <c r="O3703" s="36"/>
      <c r="P3703" s="36"/>
      <c r="Q3703" s="36"/>
      <c r="R3703" s="36"/>
      <c r="S3703" s="36"/>
      <c r="T3703" s="36"/>
      <c r="U3703" s="36"/>
      <c r="V3703" s="36"/>
      <c r="W3703" s="15">
        <f t="shared" si="310"/>
        <v>0</v>
      </c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15">
        <f t="shared" si="311"/>
        <v>0</v>
      </c>
      <c r="AK3703" s="14"/>
      <c r="AL3703" s="14"/>
      <c r="AM3703" s="14"/>
      <c r="AN3703" s="14"/>
      <c r="AO3703" s="14"/>
      <c r="AP3703" s="14"/>
      <c r="AQ3703" s="14"/>
      <c r="AR3703" s="14"/>
      <c r="AS3703" s="14"/>
      <c r="AT3703" s="14"/>
      <c r="AU3703" s="14"/>
      <c r="AV3703" s="14"/>
      <c r="AW3703" s="15"/>
      <c r="AX3703" s="16"/>
    </row>
    <row r="3704" spans="2:51" x14ac:dyDescent="0.2">
      <c r="B3704" s="7"/>
      <c r="C3704" s="8">
        <v>14087</v>
      </c>
      <c r="D3704" s="9" t="s">
        <v>541</v>
      </c>
      <c r="E3704" s="10" t="str">
        <f t="shared" si="307"/>
        <v>Rancho Estanzuela No. 103, B</v>
      </c>
      <c r="F3704" s="10" t="str">
        <f t="shared" si="308"/>
        <v>Olivares Flores</v>
      </c>
      <c r="G3704" s="8">
        <v>1</v>
      </c>
      <c r="H3704" s="11">
        <v>800</v>
      </c>
      <c r="I3704" s="12">
        <v>42813</v>
      </c>
      <c r="J3704" s="35">
        <f t="shared" si="309"/>
        <v>0</v>
      </c>
      <c r="K3704" s="36"/>
      <c r="L3704" s="36"/>
      <c r="M3704" s="36"/>
      <c r="N3704" s="36"/>
      <c r="O3704" s="36"/>
      <c r="P3704" s="36"/>
      <c r="Q3704" s="36"/>
      <c r="R3704" s="36"/>
      <c r="S3704" s="36"/>
      <c r="T3704" s="36"/>
      <c r="U3704" s="36"/>
      <c r="V3704" s="36"/>
      <c r="W3704" s="15">
        <f t="shared" si="310"/>
        <v>0</v>
      </c>
      <c r="X3704" s="36"/>
      <c r="Y3704" s="36"/>
      <c r="Z3704" s="36">
        <v>400</v>
      </c>
      <c r="AA3704" s="36">
        <v>400</v>
      </c>
      <c r="AB3704" s="36"/>
      <c r="AC3704" s="36"/>
      <c r="AD3704" s="36"/>
      <c r="AE3704" s="36"/>
      <c r="AF3704" s="36"/>
      <c r="AG3704" s="36"/>
      <c r="AH3704" s="36"/>
      <c r="AI3704" s="36"/>
      <c r="AJ3704" s="15">
        <f t="shared" si="311"/>
        <v>800</v>
      </c>
      <c r="AK3704" s="14"/>
      <c r="AL3704" s="14"/>
      <c r="AM3704" s="14"/>
      <c r="AN3704" s="14"/>
      <c r="AO3704" s="14"/>
      <c r="AP3704" s="14"/>
      <c r="AQ3704" s="14"/>
      <c r="AR3704" s="14"/>
      <c r="AS3704" s="14"/>
      <c r="AT3704" s="14"/>
      <c r="AU3704" s="14"/>
      <c r="AV3704" s="14"/>
      <c r="AW3704" s="15"/>
      <c r="AX3704" s="16"/>
    </row>
    <row r="3705" spans="2:51" x14ac:dyDescent="0.2">
      <c r="B3705" s="7"/>
      <c r="C3705" s="8">
        <v>14088</v>
      </c>
      <c r="D3705" s="9" t="s">
        <v>774</v>
      </c>
      <c r="E3705" s="10" t="str">
        <f t="shared" si="307"/>
        <v>Rancho Landero No. 40</v>
      </c>
      <c r="F3705" s="10" t="str">
        <f t="shared" si="308"/>
        <v>Almaguer Mireles</v>
      </c>
      <c r="G3705" s="8">
        <v>1</v>
      </c>
      <c r="H3705" s="11">
        <v>1200</v>
      </c>
      <c r="I3705" s="12">
        <v>42813</v>
      </c>
      <c r="J3705" s="35">
        <f t="shared" si="309"/>
        <v>0</v>
      </c>
      <c r="K3705" s="36"/>
      <c r="L3705" s="36"/>
      <c r="M3705" s="36"/>
      <c r="N3705" s="36"/>
      <c r="O3705" s="36"/>
      <c r="P3705" s="36"/>
      <c r="Q3705" s="36"/>
      <c r="R3705" s="36"/>
      <c r="S3705" s="36"/>
      <c r="T3705" s="36"/>
      <c r="U3705" s="36">
        <v>400</v>
      </c>
      <c r="V3705" s="36">
        <v>400</v>
      </c>
      <c r="W3705" s="15">
        <f t="shared" si="310"/>
        <v>800</v>
      </c>
      <c r="X3705" s="36">
        <v>400</v>
      </c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15">
        <f t="shared" si="311"/>
        <v>400</v>
      </c>
      <c r="AK3705" s="14"/>
      <c r="AL3705" s="14"/>
      <c r="AM3705" s="14"/>
      <c r="AN3705" s="14"/>
      <c r="AO3705" s="14"/>
      <c r="AP3705" s="14"/>
      <c r="AQ3705" s="14"/>
      <c r="AR3705" s="14"/>
      <c r="AS3705" s="14"/>
      <c r="AT3705" s="14"/>
      <c r="AU3705" s="14"/>
      <c r="AV3705" s="14"/>
      <c r="AW3705" s="15"/>
      <c r="AX3705" s="16"/>
    </row>
    <row r="3706" spans="2:51" x14ac:dyDescent="0.2">
      <c r="B3706" s="7"/>
      <c r="C3706" s="8">
        <v>14088</v>
      </c>
      <c r="D3706" s="9" t="s">
        <v>774</v>
      </c>
      <c r="E3706" s="10" t="str">
        <f t="shared" si="307"/>
        <v>Rancho Landero No. 40</v>
      </c>
      <c r="F3706" s="10" t="str">
        <f t="shared" si="308"/>
        <v>Almaguer Mireles</v>
      </c>
      <c r="G3706" s="8">
        <v>7</v>
      </c>
      <c r="H3706" s="11">
        <v>100</v>
      </c>
      <c r="I3706" s="12">
        <v>42813</v>
      </c>
      <c r="J3706" s="35">
        <f t="shared" si="309"/>
        <v>0</v>
      </c>
      <c r="K3706" s="36"/>
      <c r="L3706" s="36"/>
      <c r="M3706" s="36"/>
      <c r="N3706" s="36"/>
      <c r="O3706" s="36"/>
      <c r="P3706" s="36"/>
      <c r="Q3706" s="36"/>
      <c r="R3706" s="36"/>
      <c r="S3706" s="36"/>
      <c r="T3706" s="36"/>
      <c r="U3706" s="36"/>
      <c r="V3706" s="36"/>
      <c r="W3706" s="15">
        <f t="shared" si="310"/>
        <v>0</v>
      </c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15">
        <f t="shared" si="311"/>
        <v>0</v>
      </c>
      <c r="AK3706" s="14"/>
      <c r="AL3706" s="14"/>
      <c r="AM3706" s="14"/>
      <c r="AN3706" s="14"/>
      <c r="AO3706" s="14"/>
      <c r="AP3706" s="14"/>
      <c r="AQ3706" s="14"/>
      <c r="AR3706" s="14"/>
      <c r="AS3706" s="14"/>
      <c r="AT3706" s="14"/>
      <c r="AU3706" s="14"/>
      <c r="AV3706" s="14"/>
      <c r="AW3706" s="15"/>
      <c r="AX3706" s="16" t="s">
        <v>3533</v>
      </c>
    </row>
    <row r="3707" spans="2:51" x14ac:dyDescent="0.2">
      <c r="B3707" s="7"/>
      <c r="C3707" s="8">
        <v>14089</v>
      </c>
      <c r="D3707" s="9" t="s">
        <v>1039</v>
      </c>
      <c r="E3707" s="10" t="str">
        <f t="shared" si="307"/>
        <v>Rancho Upácuaro No. 77</v>
      </c>
      <c r="F3707" s="10" t="str">
        <f t="shared" si="308"/>
        <v>Alvarado</v>
      </c>
      <c r="G3707" s="8">
        <v>1</v>
      </c>
      <c r="H3707" s="11">
        <v>400</v>
      </c>
      <c r="I3707" s="12">
        <v>42813</v>
      </c>
      <c r="J3707" s="35">
        <f t="shared" si="309"/>
        <v>0</v>
      </c>
      <c r="K3707" s="36"/>
      <c r="L3707" s="36"/>
      <c r="M3707" s="36"/>
      <c r="N3707" s="36"/>
      <c r="O3707" s="36"/>
      <c r="P3707" s="36"/>
      <c r="Q3707" s="36"/>
      <c r="R3707" s="36"/>
      <c r="S3707" s="36"/>
      <c r="T3707" s="36"/>
      <c r="U3707" s="36"/>
      <c r="V3707" s="36"/>
      <c r="W3707" s="15">
        <f t="shared" si="310"/>
        <v>0</v>
      </c>
      <c r="X3707" s="36"/>
      <c r="Y3707" s="36">
        <v>400</v>
      </c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15">
        <f t="shared" si="311"/>
        <v>400</v>
      </c>
      <c r="AK3707" s="14"/>
      <c r="AL3707" s="14"/>
      <c r="AM3707" s="14"/>
      <c r="AN3707" s="14"/>
      <c r="AO3707" s="14"/>
      <c r="AP3707" s="14"/>
      <c r="AQ3707" s="14"/>
      <c r="AR3707" s="14"/>
      <c r="AS3707" s="14"/>
      <c r="AT3707" s="14"/>
      <c r="AU3707" s="14"/>
      <c r="AV3707" s="14"/>
      <c r="AW3707" s="15"/>
      <c r="AX3707" s="16"/>
    </row>
    <row r="3708" spans="2:51" x14ac:dyDescent="0.2">
      <c r="B3708" s="7"/>
      <c r="C3708" s="8">
        <v>14090</v>
      </c>
      <c r="D3708" s="9" t="s">
        <v>950</v>
      </c>
      <c r="E3708" s="10" t="str">
        <f t="shared" si="307"/>
        <v>Rancho La Cuchilla No. 93</v>
      </c>
      <c r="F3708" s="10" t="str">
        <f t="shared" si="308"/>
        <v>Alcántara Silva</v>
      </c>
      <c r="G3708" s="8">
        <v>1</v>
      </c>
      <c r="H3708" s="11">
        <v>400</v>
      </c>
      <c r="I3708" s="12">
        <v>42813</v>
      </c>
      <c r="J3708" s="35">
        <f t="shared" si="309"/>
        <v>0</v>
      </c>
      <c r="K3708" s="36"/>
      <c r="L3708" s="36"/>
      <c r="M3708" s="36"/>
      <c r="N3708" s="36"/>
      <c r="O3708" s="36"/>
      <c r="P3708" s="36"/>
      <c r="Q3708" s="36"/>
      <c r="R3708" s="36"/>
      <c r="S3708" s="36"/>
      <c r="T3708" s="36"/>
      <c r="U3708" s="36"/>
      <c r="V3708" s="36"/>
      <c r="W3708" s="15">
        <f t="shared" si="310"/>
        <v>0</v>
      </c>
      <c r="X3708" s="36"/>
      <c r="Y3708" s="36">
        <v>400</v>
      </c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15">
        <f t="shared" si="311"/>
        <v>400</v>
      </c>
      <c r="AK3708" s="14"/>
      <c r="AL3708" s="14"/>
      <c r="AM3708" s="14"/>
      <c r="AN3708" s="14"/>
      <c r="AO3708" s="14"/>
      <c r="AP3708" s="14"/>
      <c r="AQ3708" s="14"/>
      <c r="AR3708" s="14"/>
      <c r="AS3708" s="14"/>
      <c r="AT3708" s="14"/>
      <c r="AU3708" s="14"/>
      <c r="AV3708" s="14"/>
      <c r="AW3708" s="15"/>
      <c r="AX3708" s="16"/>
    </row>
    <row r="3709" spans="2:51" x14ac:dyDescent="0.2">
      <c r="B3709" s="7"/>
      <c r="C3709" s="8">
        <v>14090</v>
      </c>
      <c r="D3709" s="9" t="s">
        <v>950</v>
      </c>
      <c r="E3709" s="10" t="str">
        <f t="shared" si="307"/>
        <v>Rancho La Cuchilla No. 93</v>
      </c>
      <c r="F3709" s="10" t="str">
        <f t="shared" si="308"/>
        <v>Alcántara Silva</v>
      </c>
      <c r="G3709" s="8">
        <v>7</v>
      </c>
      <c r="H3709" s="11">
        <v>100</v>
      </c>
      <c r="I3709" s="12">
        <v>42813</v>
      </c>
      <c r="J3709" s="35">
        <f t="shared" si="309"/>
        <v>0</v>
      </c>
      <c r="K3709" s="36"/>
      <c r="L3709" s="36"/>
      <c r="M3709" s="36"/>
      <c r="N3709" s="36"/>
      <c r="O3709" s="36"/>
      <c r="P3709" s="36"/>
      <c r="Q3709" s="36"/>
      <c r="R3709" s="36"/>
      <c r="S3709" s="36"/>
      <c r="T3709" s="36"/>
      <c r="U3709" s="36"/>
      <c r="V3709" s="36"/>
      <c r="W3709" s="15">
        <f t="shared" si="310"/>
        <v>0</v>
      </c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15">
        <f t="shared" si="311"/>
        <v>0</v>
      </c>
      <c r="AK3709" s="14"/>
      <c r="AL3709" s="14"/>
      <c r="AM3709" s="14"/>
      <c r="AN3709" s="14"/>
      <c r="AO3709" s="14"/>
      <c r="AP3709" s="14"/>
      <c r="AQ3709" s="14"/>
      <c r="AR3709" s="14"/>
      <c r="AS3709" s="14"/>
      <c r="AT3709" s="14"/>
      <c r="AU3709" s="14"/>
      <c r="AV3709" s="14"/>
      <c r="AW3709" s="15"/>
      <c r="AX3709" s="16" t="s">
        <v>3533</v>
      </c>
      <c r="AY3709" s="112">
        <f>SUM(H3659:H3709)</f>
        <v>19350</v>
      </c>
    </row>
    <row r="3710" spans="2:51" x14ac:dyDescent="0.2">
      <c r="B3710" s="7"/>
      <c r="C3710" s="8">
        <v>14091</v>
      </c>
      <c r="D3710" s="9" t="s">
        <v>373</v>
      </c>
      <c r="E3710" s="10" t="str">
        <f t="shared" si="307"/>
        <v>Rancho Upácuaro No. 118</v>
      </c>
      <c r="F3710" s="10" t="str">
        <f t="shared" si="308"/>
        <v>Siegrist</v>
      </c>
      <c r="G3710" s="318">
        <v>1</v>
      </c>
      <c r="H3710" s="315">
        <v>1200</v>
      </c>
      <c r="I3710" s="12">
        <v>42817</v>
      </c>
      <c r="J3710" s="35">
        <f t="shared" si="309"/>
        <v>0</v>
      </c>
      <c r="K3710" s="36"/>
      <c r="L3710" s="36"/>
      <c r="M3710" s="36"/>
      <c r="N3710" s="36"/>
      <c r="O3710" s="36"/>
      <c r="P3710" s="36"/>
      <c r="Q3710" s="36"/>
      <c r="R3710" s="36"/>
      <c r="S3710" s="36"/>
      <c r="T3710" s="36"/>
      <c r="U3710" s="36"/>
      <c r="V3710" s="36"/>
      <c r="W3710" s="15">
        <f t="shared" si="310"/>
        <v>0</v>
      </c>
      <c r="X3710" s="36">
        <v>400</v>
      </c>
      <c r="Y3710" s="36">
        <v>400</v>
      </c>
      <c r="Z3710" s="36">
        <v>400</v>
      </c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15">
        <f t="shared" si="311"/>
        <v>1200</v>
      </c>
      <c r="AK3710" s="14"/>
      <c r="AL3710" s="14"/>
      <c r="AM3710" s="14"/>
      <c r="AN3710" s="14"/>
      <c r="AO3710" s="14"/>
      <c r="AP3710" s="14"/>
      <c r="AQ3710" s="14"/>
      <c r="AR3710" s="14"/>
      <c r="AS3710" s="14"/>
      <c r="AT3710" s="14"/>
      <c r="AU3710" s="14"/>
      <c r="AV3710" s="14"/>
      <c r="AW3710" s="15"/>
      <c r="AX3710" s="16"/>
    </row>
    <row r="3711" spans="2:51" x14ac:dyDescent="0.2">
      <c r="B3711" s="7"/>
      <c r="C3711" s="8">
        <v>14091</v>
      </c>
      <c r="D3711" s="9" t="s">
        <v>373</v>
      </c>
      <c r="E3711" s="10" t="str">
        <f t="shared" si="307"/>
        <v>Rancho Upácuaro No. 118</v>
      </c>
      <c r="F3711" s="10" t="str">
        <f t="shared" si="308"/>
        <v>Siegrist</v>
      </c>
      <c r="G3711" s="8">
        <v>7</v>
      </c>
      <c r="H3711" s="11">
        <v>100</v>
      </c>
      <c r="I3711" s="12">
        <v>42817</v>
      </c>
      <c r="J3711" s="35">
        <f t="shared" si="309"/>
        <v>0</v>
      </c>
      <c r="K3711" s="36"/>
      <c r="L3711" s="36"/>
      <c r="M3711" s="36"/>
      <c r="N3711" s="36"/>
      <c r="O3711" s="36"/>
      <c r="P3711" s="36"/>
      <c r="Q3711" s="36"/>
      <c r="R3711" s="36"/>
      <c r="S3711" s="36"/>
      <c r="T3711" s="36"/>
      <c r="U3711" s="36"/>
      <c r="V3711" s="36"/>
      <c r="W3711" s="15">
        <f t="shared" si="310"/>
        <v>0</v>
      </c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15">
        <f t="shared" si="311"/>
        <v>0</v>
      </c>
      <c r="AK3711" s="14"/>
      <c r="AL3711" s="14"/>
      <c r="AM3711" s="14"/>
      <c r="AN3711" s="14"/>
      <c r="AO3711" s="14"/>
      <c r="AP3711" s="14"/>
      <c r="AQ3711" s="14"/>
      <c r="AR3711" s="14"/>
      <c r="AS3711" s="14"/>
      <c r="AT3711" s="14"/>
      <c r="AU3711" s="14"/>
      <c r="AV3711" s="14"/>
      <c r="AW3711" s="15"/>
      <c r="AX3711" s="16" t="s">
        <v>3533</v>
      </c>
    </row>
    <row r="3712" spans="2:51" x14ac:dyDescent="0.2">
      <c r="B3712" s="7"/>
      <c r="C3712" s="8">
        <v>14092</v>
      </c>
      <c r="D3712" s="9" t="s">
        <v>831</v>
      </c>
      <c r="E3712" s="10" t="str">
        <f t="shared" si="307"/>
        <v>Rancho Upácuaro No. 80</v>
      </c>
      <c r="F3712" s="10" t="str">
        <f t="shared" si="308"/>
        <v>De los Ríos</v>
      </c>
      <c r="G3712" s="8">
        <v>1</v>
      </c>
      <c r="H3712" s="11">
        <v>400</v>
      </c>
      <c r="I3712" s="12">
        <v>42820</v>
      </c>
      <c r="J3712" s="35">
        <f t="shared" si="309"/>
        <v>0</v>
      </c>
      <c r="K3712" s="36"/>
      <c r="L3712" s="36"/>
      <c r="M3712" s="36"/>
      <c r="N3712" s="36"/>
      <c r="O3712" s="36"/>
      <c r="P3712" s="36"/>
      <c r="Q3712" s="36"/>
      <c r="R3712" s="36"/>
      <c r="S3712" s="36"/>
      <c r="T3712" s="36"/>
      <c r="U3712" s="36"/>
      <c r="V3712" s="36"/>
      <c r="W3712" s="15">
        <f t="shared" si="310"/>
        <v>0</v>
      </c>
      <c r="X3712" s="36"/>
      <c r="Y3712" s="36"/>
      <c r="Z3712" s="36">
        <v>400</v>
      </c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15">
        <f t="shared" si="311"/>
        <v>400</v>
      </c>
      <c r="AK3712" s="14"/>
      <c r="AL3712" s="14"/>
      <c r="AM3712" s="14"/>
      <c r="AN3712" s="14"/>
      <c r="AO3712" s="14"/>
      <c r="AP3712" s="14"/>
      <c r="AQ3712" s="14"/>
      <c r="AR3712" s="14"/>
      <c r="AS3712" s="14"/>
      <c r="AT3712" s="14"/>
      <c r="AU3712" s="14"/>
      <c r="AV3712" s="14"/>
      <c r="AW3712" s="15"/>
      <c r="AX3712" s="16"/>
    </row>
    <row r="3713" spans="2:50" x14ac:dyDescent="0.2">
      <c r="B3713" s="7"/>
      <c r="C3713" s="8">
        <v>14092</v>
      </c>
      <c r="D3713" s="9" t="s">
        <v>831</v>
      </c>
      <c r="E3713" s="10" t="str">
        <f t="shared" si="307"/>
        <v>Rancho Upácuaro No. 80</v>
      </c>
      <c r="F3713" s="10" t="str">
        <f t="shared" si="308"/>
        <v>De los Ríos</v>
      </c>
      <c r="G3713" s="8">
        <v>7</v>
      </c>
      <c r="H3713" s="11">
        <v>100</v>
      </c>
      <c r="I3713" s="12">
        <v>42820</v>
      </c>
      <c r="J3713" s="35">
        <f t="shared" si="309"/>
        <v>0</v>
      </c>
      <c r="K3713" s="36"/>
      <c r="L3713" s="36"/>
      <c r="M3713" s="36"/>
      <c r="N3713" s="36"/>
      <c r="O3713" s="36"/>
      <c r="P3713" s="36"/>
      <c r="Q3713" s="36"/>
      <c r="R3713" s="36"/>
      <c r="S3713" s="36"/>
      <c r="T3713" s="36"/>
      <c r="U3713" s="36"/>
      <c r="V3713" s="36"/>
      <c r="W3713" s="15">
        <f t="shared" si="310"/>
        <v>0</v>
      </c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15">
        <f t="shared" si="311"/>
        <v>0</v>
      </c>
      <c r="AK3713" s="14"/>
      <c r="AL3713" s="14"/>
      <c r="AM3713" s="14"/>
      <c r="AN3713" s="14"/>
      <c r="AO3713" s="14"/>
      <c r="AP3713" s="14"/>
      <c r="AQ3713" s="14"/>
      <c r="AR3713" s="14"/>
      <c r="AS3713" s="14"/>
      <c r="AT3713" s="14"/>
      <c r="AU3713" s="14"/>
      <c r="AV3713" s="14"/>
      <c r="AW3713" s="15"/>
      <c r="AX3713" s="16" t="s">
        <v>3533</v>
      </c>
    </row>
    <row r="3714" spans="2:50" x14ac:dyDescent="0.2">
      <c r="B3714" s="7"/>
      <c r="C3714" s="8">
        <v>14093</v>
      </c>
      <c r="D3714" s="9" t="s">
        <v>488</v>
      </c>
      <c r="E3714" s="10" t="str">
        <f t="shared" ref="E3714:E3760" si="312">IF(D3714=0,"",VLOOKUP(D3714,BASE,2,FALSE))</f>
        <v>Rancho Landero No. 85</v>
      </c>
      <c r="F3714" s="10" t="str">
        <f t="shared" ref="F3714:F3760" si="313">IF(D3714=0,"",VLOOKUP(D3714,BASE,3,FALSE))</f>
        <v>Martínez Olague</v>
      </c>
      <c r="G3714" s="8">
        <v>1</v>
      </c>
      <c r="H3714" s="11">
        <v>400</v>
      </c>
      <c r="I3714" s="12">
        <v>42820</v>
      </c>
      <c r="J3714" s="35">
        <f t="shared" ref="J3714:J3760" si="314">IF(G3714=1,SUM(W3714,AJ3714,-H3714),0)</f>
        <v>0</v>
      </c>
      <c r="K3714" s="36"/>
      <c r="L3714" s="36"/>
      <c r="M3714" s="36"/>
      <c r="N3714" s="36"/>
      <c r="O3714" s="36"/>
      <c r="P3714" s="36"/>
      <c r="Q3714" s="36"/>
      <c r="R3714" s="36"/>
      <c r="S3714" s="36"/>
      <c r="T3714" s="36"/>
      <c r="U3714" s="36"/>
      <c r="V3714" s="36"/>
      <c r="W3714" s="15">
        <f t="shared" ref="W3714:W3760" si="315">SUM(K3714:V3714)</f>
        <v>0</v>
      </c>
      <c r="X3714" s="36"/>
      <c r="Y3714" s="36"/>
      <c r="Z3714" s="36">
        <v>400</v>
      </c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15">
        <f t="shared" ref="AJ3714:AJ3760" si="316">SUM(X3714:AI3714)</f>
        <v>400</v>
      </c>
      <c r="AK3714" s="14"/>
      <c r="AL3714" s="14"/>
      <c r="AM3714" s="14"/>
      <c r="AN3714" s="14"/>
      <c r="AO3714" s="14"/>
      <c r="AP3714" s="14"/>
      <c r="AQ3714" s="14"/>
      <c r="AR3714" s="14"/>
      <c r="AS3714" s="14"/>
      <c r="AT3714" s="14"/>
      <c r="AU3714" s="14"/>
      <c r="AV3714" s="14"/>
      <c r="AW3714" s="15"/>
      <c r="AX3714" s="16"/>
    </row>
    <row r="3715" spans="2:50" x14ac:dyDescent="0.2">
      <c r="B3715" s="7"/>
      <c r="C3715" s="8">
        <v>14093</v>
      </c>
      <c r="D3715" s="9" t="s">
        <v>488</v>
      </c>
      <c r="E3715" s="10" t="str">
        <f t="shared" si="312"/>
        <v>Rancho Landero No. 85</v>
      </c>
      <c r="F3715" s="10" t="str">
        <f t="shared" si="313"/>
        <v>Martínez Olague</v>
      </c>
      <c r="G3715" s="8">
        <v>7</v>
      </c>
      <c r="H3715" s="11">
        <v>100</v>
      </c>
      <c r="I3715" s="12">
        <v>42820</v>
      </c>
      <c r="J3715" s="35">
        <f t="shared" si="314"/>
        <v>0</v>
      </c>
      <c r="K3715" s="36"/>
      <c r="L3715" s="36"/>
      <c r="M3715" s="36"/>
      <c r="N3715" s="36"/>
      <c r="O3715" s="36"/>
      <c r="P3715" s="36"/>
      <c r="Q3715" s="36"/>
      <c r="R3715" s="36"/>
      <c r="S3715" s="36"/>
      <c r="T3715" s="36"/>
      <c r="U3715" s="36"/>
      <c r="V3715" s="36"/>
      <c r="W3715" s="15">
        <f t="shared" si="315"/>
        <v>0</v>
      </c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15">
        <f t="shared" si="316"/>
        <v>0</v>
      </c>
      <c r="AK3715" s="14"/>
      <c r="AL3715" s="14"/>
      <c r="AM3715" s="14"/>
      <c r="AN3715" s="14"/>
      <c r="AO3715" s="14"/>
      <c r="AP3715" s="14"/>
      <c r="AQ3715" s="14"/>
      <c r="AR3715" s="14"/>
      <c r="AS3715" s="14"/>
      <c r="AT3715" s="14"/>
      <c r="AU3715" s="14"/>
      <c r="AV3715" s="14"/>
      <c r="AW3715" s="15"/>
      <c r="AX3715" s="16" t="s">
        <v>3533</v>
      </c>
    </row>
    <row r="3716" spans="2:50" x14ac:dyDescent="0.2">
      <c r="B3716" s="7"/>
      <c r="C3716" s="8">
        <v>14094</v>
      </c>
      <c r="D3716" s="9" t="s">
        <v>1042</v>
      </c>
      <c r="E3716" s="10" t="str">
        <f t="shared" si="312"/>
        <v>Rancho Landero No. 74</v>
      </c>
      <c r="F3716" s="10" t="str">
        <f t="shared" si="313"/>
        <v>Rabadam</v>
      </c>
      <c r="G3716" s="8">
        <v>1</v>
      </c>
      <c r="H3716" s="11">
        <v>300</v>
      </c>
      <c r="I3716" s="12">
        <v>42820</v>
      </c>
      <c r="J3716" s="35">
        <f t="shared" si="314"/>
        <v>0</v>
      </c>
      <c r="K3716" s="36"/>
      <c r="L3716" s="36"/>
      <c r="M3716" s="36"/>
      <c r="N3716" s="36"/>
      <c r="O3716" s="36"/>
      <c r="P3716" s="36"/>
      <c r="Q3716" s="36"/>
      <c r="R3716" s="36"/>
      <c r="S3716" s="36"/>
      <c r="T3716" s="36"/>
      <c r="U3716" s="36">
        <v>100</v>
      </c>
      <c r="V3716" s="36">
        <v>100</v>
      </c>
      <c r="W3716" s="15">
        <f t="shared" si="315"/>
        <v>200</v>
      </c>
      <c r="X3716" s="36">
        <v>100</v>
      </c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15">
        <f t="shared" si="316"/>
        <v>100</v>
      </c>
      <c r="AK3716" s="14"/>
      <c r="AL3716" s="14"/>
      <c r="AM3716" s="14"/>
      <c r="AN3716" s="14"/>
      <c r="AO3716" s="14"/>
      <c r="AP3716" s="14"/>
      <c r="AQ3716" s="14"/>
      <c r="AR3716" s="14"/>
      <c r="AS3716" s="14"/>
      <c r="AT3716" s="14"/>
      <c r="AU3716" s="14"/>
      <c r="AV3716" s="14"/>
      <c r="AW3716" s="15"/>
      <c r="AX3716" s="16"/>
    </row>
    <row r="3717" spans="2:50" x14ac:dyDescent="0.2">
      <c r="B3717" s="7"/>
      <c r="C3717" s="8">
        <v>14095</v>
      </c>
      <c r="D3717" s="9" t="s">
        <v>241</v>
      </c>
      <c r="E3717" s="10" t="str">
        <f t="shared" si="312"/>
        <v>Rancho La Cuchilla No. 81, A</v>
      </c>
      <c r="F3717" s="10" t="str">
        <f t="shared" si="313"/>
        <v>Barrientos López</v>
      </c>
      <c r="G3717" s="8">
        <v>1</v>
      </c>
      <c r="H3717" s="11">
        <v>400</v>
      </c>
      <c r="I3717" s="12">
        <v>42820</v>
      </c>
      <c r="J3717" s="35">
        <f t="shared" si="314"/>
        <v>0</v>
      </c>
      <c r="K3717" s="36"/>
      <c r="L3717" s="36"/>
      <c r="M3717" s="36"/>
      <c r="N3717" s="36"/>
      <c r="O3717" s="36"/>
      <c r="P3717" s="36"/>
      <c r="Q3717" s="36"/>
      <c r="R3717" s="36"/>
      <c r="S3717" s="36"/>
      <c r="T3717" s="36"/>
      <c r="U3717" s="36"/>
      <c r="V3717" s="36"/>
      <c r="W3717" s="15">
        <f t="shared" si="315"/>
        <v>0</v>
      </c>
      <c r="X3717" s="36"/>
      <c r="Y3717" s="36"/>
      <c r="Z3717" s="36">
        <v>400</v>
      </c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15">
        <f t="shared" si="316"/>
        <v>400</v>
      </c>
      <c r="AK3717" s="14"/>
      <c r="AL3717" s="14"/>
      <c r="AM3717" s="14"/>
      <c r="AN3717" s="14"/>
      <c r="AO3717" s="14"/>
      <c r="AP3717" s="14"/>
      <c r="AQ3717" s="14"/>
      <c r="AR3717" s="14"/>
      <c r="AS3717" s="14"/>
      <c r="AT3717" s="14"/>
      <c r="AU3717" s="14"/>
      <c r="AV3717" s="14"/>
      <c r="AW3717" s="15"/>
      <c r="AX3717" s="16"/>
    </row>
    <row r="3718" spans="2:50" x14ac:dyDescent="0.2">
      <c r="B3718" s="7"/>
      <c r="C3718" s="8">
        <v>14096</v>
      </c>
      <c r="D3718" s="9" t="s">
        <v>322</v>
      </c>
      <c r="E3718" s="10" t="str">
        <f t="shared" si="312"/>
        <v>Rancho Zinamba No. 8</v>
      </c>
      <c r="F3718" s="10" t="str">
        <f t="shared" si="313"/>
        <v>Florido</v>
      </c>
      <c r="G3718" s="8">
        <v>1</v>
      </c>
      <c r="H3718" s="11">
        <v>400</v>
      </c>
      <c r="I3718" s="12">
        <v>42820</v>
      </c>
      <c r="J3718" s="35">
        <f t="shared" si="314"/>
        <v>0</v>
      </c>
      <c r="K3718" s="36"/>
      <c r="L3718" s="36"/>
      <c r="M3718" s="36"/>
      <c r="N3718" s="36"/>
      <c r="O3718" s="36"/>
      <c r="P3718" s="36"/>
      <c r="Q3718" s="36"/>
      <c r="R3718" s="36"/>
      <c r="S3718" s="36"/>
      <c r="T3718" s="36"/>
      <c r="U3718" s="36"/>
      <c r="V3718" s="36"/>
      <c r="W3718" s="15">
        <f t="shared" si="315"/>
        <v>0</v>
      </c>
      <c r="X3718" s="36"/>
      <c r="Y3718" s="36">
        <v>400</v>
      </c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15">
        <f t="shared" si="316"/>
        <v>400</v>
      </c>
      <c r="AK3718" s="14"/>
      <c r="AL3718" s="14"/>
      <c r="AM3718" s="14"/>
      <c r="AN3718" s="14"/>
      <c r="AO3718" s="14"/>
      <c r="AP3718" s="14"/>
      <c r="AQ3718" s="14"/>
      <c r="AR3718" s="14"/>
      <c r="AS3718" s="14"/>
      <c r="AT3718" s="14"/>
      <c r="AU3718" s="14"/>
      <c r="AV3718" s="14"/>
      <c r="AW3718" s="15"/>
      <c r="AX3718" s="16"/>
    </row>
    <row r="3719" spans="2:50" x14ac:dyDescent="0.2">
      <c r="B3719" s="7"/>
      <c r="C3719" s="8">
        <v>14096</v>
      </c>
      <c r="D3719" s="9" t="s">
        <v>322</v>
      </c>
      <c r="E3719" s="10" t="str">
        <f t="shared" si="312"/>
        <v>Rancho Zinamba No. 8</v>
      </c>
      <c r="F3719" s="10" t="str">
        <f t="shared" si="313"/>
        <v>Florido</v>
      </c>
      <c r="G3719" s="8">
        <v>7</v>
      </c>
      <c r="H3719" s="11">
        <v>100</v>
      </c>
      <c r="I3719" s="12">
        <v>42820</v>
      </c>
      <c r="J3719" s="35">
        <f t="shared" si="314"/>
        <v>0</v>
      </c>
      <c r="K3719" s="36"/>
      <c r="L3719" s="36"/>
      <c r="M3719" s="36"/>
      <c r="N3719" s="36"/>
      <c r="O3719" s="36"/>
      <c r="P3719" s="36"/>
      <c r="Q3719" s="36"/>
      <c r="R3719" s="36"/>
      <c r="S3719" s="36"/>
      <c r="T3719" s="36"/>
      <c r="U3719" s="36"/>
      <c r="V3719" s="36"/>
      <c r="W3719" s="15">
        <f t="shared" si="315"/>
        <v>0</v>
      </c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15">
        <f t="shared" si="316"/>
        <v>0</v>
      </c>
      <c r="AK3719" s="14"/>
      <c r="AL3719" s="14"/>
      <c r="AM3719" s="14"/>
      <c r="AN3719" s="14"/>
      <c r="AO3719" s="14"/>
      <c r="AP3719" s="14"/>
      <c r="AQ3719" s="14"/>
      <c r="AR3719" s="14"/>
      <c r="AS3719" s="14"/>
      <c r="AT3719" s="14"/>
      <c r="AU3719" s="14"/>
      <c r="AV3719" s="14"/>
      <c r="AW3719" s="15"/>
      <c r="AX3719" s="16" t="s">
        <v>3533</v>
      </c>
    </row>
    <row r="3720" spans="2:50" x14ac:dyDescent="0.2">
      <c r="B3720" s="7"/>
      <c r="C3720" s="8">
        <v>14097</v>
      </c>
      <c r="D3720" s="9" t="s">
        <v>929</v>
      </c>
      <c r="E3720" s="10" t="str">
        <f t="shared" si="312"/>
        <v>Rancho Estanzuela No. 157, 3</v>
      </c>
      <c r="F3720" s="10" t="str">
        <f t="shared" si="313"/>
        <v>Valdez</v>
      </c>
      <c r="G3720" s="8">
        <v>5</v>
      </c>
      <c r="H3720" s="11">
        <v>50</v>
      </c>
      <c r="I3720" s="12">
        <v>42820</v>
      </c>
      <c r="J3720" s="35">
        <f t="shared" si="314"/>
        <v>0</v>
      </c>
      <c r="K3720" s="36"/>
      <c r="L3720" s="36"/>
      <c r="M3720" s="36"/>
      <c r="N3720" s="36"/>
      <c r="O3720" s="36"/>
      <c r="P3720" s="36"/>
      <c r="Q3720" s="36"/>
      <c r="R3720" s="36"/>
      <c r="S3720" s="36"/>
      <c r="T3720" s="36"/>
      <c r="U3720" s="36"/>
      <c r="V3720" s="36"/>
      <c r="W3720" s="15">
        <f t="shared" si="315"/>
        <v>0</v>
      </c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15">
        <f t="shared" si="316"/>
        <v>0</v>
      </c>
      <c r="AK3720" s="14"/>
      <c r="AL3720" s="14"/>
      <c r="AM3720" s="14"/>
      <c r="AN3720" s="14"/>
      <c r="AO3720" s="14"/>
      <c r="AP3720" s="14"/>
      <c r="AQ3720" s="14"/>
      <c r="AR3720" s="14"/>
      <c r="AS3720" s="14"/>
      <c r="AT3720" s="14"/>
      <c r="AU3720" s="14"/>
      <c r="AV3720" s="14"/>
      <c r="AW3720" s="15"/>
      <c r="AX3720" s="16"/>
    </row>
    <row r="3721" spans="2:50" x14ac:dyDescent="0.2">
      <c r="B3721" s="7"/>
      <c r="C3721" s="8">
        <v>14098</v>
      </c>
      <c r="D3721" s="9" t="s">
        <v>1092</v>
      </c>
      <c r="E3721" s="10" t="str">
        <f t="shared" si="312"/>
        <v>Rancho Estanzuela No. 9, A</v>
      </c>
      <c r="F3721" s="10" t="str">
        <f t="shared" si="313"/>
        <v>Castañeda</v>
      </c>
      <c r="G3721" s="8">
        <v>1</v>
      </c>
      <c r="H3721" s="11">
        <v>200</v>
      </c>
      <c r="I3721" s="12">
        <v>42820</v>
      </c>
      <c r="J3721" s="35">
        <f t="shared" si="314"/>
        <v>0</v>
      </c>
      <c r="K3721" s="36"/>
      <c r="L3721" s="36"/>
      <c r="M3721" s="36"/>
      <c r="N3721" s="36"/>
      <c r="O3721" s="36"/>
      <c r="P3721" s="36"/>
      <c r="Q3721" s="36"/>
      <c r="R3721" s="36"/>
      <c r="S3721" s="36"/>
      <c r="T3721" s="36"/>
      <c r="U3721" s="36"/>
      <c r="V3721" s="36"/>
      <c r="W3721" s="15">
        <f t="shared" si="315"/>
        <v>0</v>
      </c>
      <c r="X3721" s="36"/>
      <c r="Y3721" s="36"/>
      <c r="Z3721" s="36">
        <v>200</v>
      </c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15">
        <f t="shared" si="316"/>
        <v>200</v>
      </c>
      <c r="AK3721" s="14"/>
      <c r="AL3721" s="14"/>
      <c r="AM3721" s="14"/>
      <c r="AN3721" s="14"/>
      <c r="AO3721" s="14"/>
      <c r="AP3721" s="14"/>
      <c r="AQ3721" s="14"/>
      <c r="AR3721" s="14"/>
      <c r="AS3721" s="14"/>
      <c r="AT3721" s="14"/>
      <c r="AU3721" s="14"/>
      <c r="AV3721" s="14"/>
      <c r="AW3721" s="15"/>
      <c r="AX3721" s="16"/>
    </row>
    <row r="3722" spans="2:50" x14ac:dyDescent="0.2">
      <c r="B3722" s="7"/>
      <c r="C3722" s="8">
        <v>14098</v>
      </c>
      <c r="D3722" s="9" t="s">
        <v>1092</v>
      </c>
      <c r="E3722" s="10" t="str">
        <f t="shared" si="312"/>
        <v>Rancho Estanzuela No. 9, A</v>
      </c>
      <c r="F3722" s="10" t="str">
        <f t="shared" si="313"/>
        <v>Castañeda</v>
      </c>
      <c r="G3722" s="8">
        <v>7</v>
      </c>
      <c r="H3722" s="11">
        <v>100</v>
      </c>
      <c r="I3722" s="12">
        <v>42820</v>
      </c>
      <c r="J3722" s="35">
        <f t="shared" si="314"/>
        <v>0</v>
      </c>
      <c r="K3722" s="36"/>
      <c r="L3722" s="36"/>
      <c r="M3722" s="36"/>
      <c r="N3722" s="36"/>
      <c r="O3722" s="36"/>
      <c r="P3722" s="36"/>
      <c r="Q3722" s="36"/>
      <c r="R3722" s="36"/>
      <c r="S3722" s="36"/>
      <c r="T3722" s="36"/>
      <c r="U3722" s="36"/>
      <c r="V3722" s="36"/>
      <c r="W3722" s="15">
        <f t="shared" si="315"/>
        <v>0</v>
      </c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15">
        <f t="shared" si="316"/>
        <v>0</v>
      </c>
      <c r="AK3722" s="14"/>
      <c r="AL3722" s="14"/>
      <c r="AM3722" s="14"/>
      <c r="AN3722" s="14"/>
      <c r="AO3722" s="14"/>
      <c r="AP3722" s="14"/>
      <c r="AQ3722" s="14"/>
      <c r="AR3722" s="14"/>
      <c r="AS3722" s="14"/>
      <c r="AT3722" s="14"/>
      <c r="AU3722" s="14"/>
      <c r="AV3722" s="14"/>
      <c r="AW3722" s="15"/>
      <c r="AX3722" s="16" t="s">
        <v>3533</v>
      </c>
    </row>
    <row r="3723" spans="2:50" x14ac:dyDescent="0.2">
      <c r="B3723" s="7"/>
      <c r="C3723" s="8">
        <v>14099</v>
      </c>
      <c r="D3723" s="9" t="s">
        <v>132</v>
      </c>
      <c r="E3723" s="10" t="str">
        <f t="shared" si="312"/>
        <v>Rancho La Cuchilla No. 129</v>
      </c>
      <c r="F3723" s="10" t="str">
        <f t="shared" si="313"/>
        <v>Gamboa Rueda</v>
      </c>
      <c r="G3723" s="8">
        <v>1</v>
      </c>
      <c r="H3723" s="11">
        <v>300</v>
      </c>
      <c r="I3723" s="12">
        <v>42820</v>
      </c>
      <c r="J3723" s="35">
        <f t="shared" si="314"/>
        <v>0</v>
      </c>
      <c r="K3723" s="36"/>
      <c r="L3723" s="36"/>
      <c r="M3723" s="36"/>
      <c r="N3723" s="36"/>
      <c r="O3723" s="36"/>
      <c r="P3723" s="36"/>
      <c r="Q3723" s="36"/>
      <c r="R3723" s="36"/>
      <c r="S3723" s="36"/>
      <c r="T3723" s="36"/>
      <c r="U3723" s="36"/>
      <c r="V3723" s="36"/>
      <c r="W3723" s="15">
        <f t="shared" si="315"/>
        <v>0</v>
      </c>
      <c r="X3723" s="36"/>
      <c r="Y3723" s="36"/>
      <c r="Z3723" s="36">
        <v>300</v>
      </c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15">
        <f t="shared" si="316"/>
        <v>300</v>
      </c>
      <c r="AK3723" s="14"/>
      <c r="AL3723" s="14"/>
      <c r="AM3723" s="14"/>
      <c r="AN3723" s="14"/>
      <c r="AO3723" s="14"/>
      <c r="AP3723" s="14"/>
      <c r="AQ3723" s="14"/>
      <c r="AR3723" s="14"/>
      <c r="AS3723" s="14"/>
      <c r="AT3723" s="14"/>
      <c r="AU3723" s="14"/>
      <c r="AV3723" s="14"/>
      <c r="AW3723" s="15"/>
      <c r="AX3723" s="16"/>
    </row>
    <row r="3724" spans="2:50" x14ac:dyDescent="0.2">
      <c r="B3724" s="7"/>
      <c r="C3724" s="8">
        <v>14100</v>
      </c>
      <c r="D3724" s="9" t="s">
        <v>608</v>
      </c>
      <c r="E3724" s="10" t="str">
        <f t="shared" si="312"/>
        <v>Rancho Upácuaro No. 146</v>
      </c>
      <c r="F3724" s="10" t="str">
        <f t="shared" si="313"/>
        <v>Islas</v>
      </c>
      <c r="G3724" s="8">
        <v>1</v>
      </c>
      <c r="H3724" s="11">
        <v>800</v>
      </c>
      <c r="I3724" s="12">
        <v>42820</v>
      </c>
      <c r="J3724" s="35">
        <f t="shared" si="314"/>
        <v>0</v>
      </c>
      <c r="K3724" s="36"/>
      <c r="L3724" s="36"/>
      <c r="M3724" s="36"/>
      <c r="N3724" s="36"/>
      <c r="O3724" s="36"/>
      <c r="P3724" s="36"/>
      <c r="Q3724" s="36"/>
      <c r="R3724" s="36"/>
      <c r="S3724" s="36"/>
      <c r="T3724" s="36"/>
      <c r="U3724" s="36"/>
      <c r="V3724" s="36"/>
      <c r="W3724" s="15">
        <f t="shared" si="315"/>
        <v>0</v>
      </c>
      <c r="X3724" s="36">
        <v>400</v>
      </c>
      <c r="Y3724" s="36">
        <v>400</v>
      </c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15">
        <f t="shared" si="316"/>
        <v>800</v>
      </c>
      <c r="AK3724" s="14"/>
      <c r="AL3724" s="14"/>
      <c r="AM3724" s="14"/>
      <c r="AN3724" s="14"/>
      <c r="AO3724" s="14"/>
      <c r="AP3724" s="14"/>
      <c r="AQ3724" s="14"/>
      <c r="AR3724" s="14"/>
      <c r="AS3724" s="14"/>
      <c r="AT3724" s="14"/>
      <c r="AU3724" s="14"/>
      <c r="AV3724" s="14"/>
      <c r="AW3724" s="15"/>
      <c r="AX3724" s="16"/>
    </row>
    <row r="3725" spans="2:50" x14ac:dyDescent="0.2">
      <c r="B3725" s="7"/>
      <c r="C3725" s="8">
        <v>14101</v>
      </c>
      <c r="D3725" s="9" t="s">
        <v>538</v>
      </c>
      <c r="E3725" s="10" t="str">
        <f t="shared" si="312"/>
        <v>Rancho Landero No. 73</v>
      </c>
      <c r="F3725" s="10" t="str">
        <f t="shared" si="313"/>
        <v>Islas Palacios</v>
      </c>
      <c r="G3725" s="8">
        <v>1</v>
      </c>
      <c r="H3725" s="11">
        <v>400</v>
      </c>
      <c r="I3725" s="12">
        <v>42820</v>
      </c>
      <c r="J3725" s="35">
        <f t="shared" si="314"/>
        <v>0</v>
      </c>
      <c r="K3725" s="36"/>
      <c r="L3725" s="36"/>
      <c r="M3725" s="36"/>
      <c r="N3725" s="36"/>
      <c r="O3725" s="36"/>
      <c r="P3725" s="36"/>
      <c r="Q3725" s="36"/>
      <c r="R3725" s="36"/>
      <c r="S3725" s="36"/>
      <c r="T3725" s="36"/>
      <c r="U3725" s="36"/>
      <c r="V3725" s="36"/>
      <c r="W3725" s="15">
        <f t="shared" si="315"/>
        <v>0</v>
      </c>
      <c r="X3725" s="36"/>
      <c r="Y3725" s="36"/>
      <c r="Z3725" s="36">
        <v>400</v>
      </c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15">
        <f t="shared" si="316"/>
        <v>400</v>
      </c>
      <c r="AK3725" s="14"/>
      <c r="AL3725" s="14"/>
      <c r="AM3725" s="14"/>
      <c r="AN3725" s="14"/>
      <c r="AO3725" s="14"/>
      <c r="AP3725" s="14"/>
      <c r="AQ3725" s="14"/>
      <c r="AR3725" s="14"/>
      <c r="AS3725" s="14"/>
      <c r="AT3725" s="14"/>
      <c r="AU3725" s="14"/>
      <c r="AV3725" s="14"/>
      <c r="AW3725" s="15"/>
      <c r="AX3725" s="16"/>
    </row>
    <row r="3726" spans="2:50" x14ac:dyDescent="0.2">
      <c r="B3726" s="7"/>
      <c r="C3726" s="8">
        <v>14102</v>
      </c>
      <c r="D3726" s="9" t="s">
        <v>876</v>
      </c>
      <c r="E3726" s="10" t="str">
        <f t="shared" si="312"/>
        <v>Rancho Estopila No. 44_3</v>
      </c>
      <c r="F3726" s="10" t="str">
        <f t="shared" si="313"/>
        <v>Martìnez</v>
      </c>
      <c r="G3726" s="8">
        <v>1</v>
      </c>
      <c r="H3726" s="11">
        <v>2200</v>
      </c>
      <c r="I3726" s="12">
        <v>42820</v>
      </c>
      <c r="J3726" s="35">
        <f t="shared" si="314"/>
        <v>0</v>
      </c>
      <c r="K3726" s="36"/>
      <c r="L3726" s="36"/>
      <c r="M3726" s="36"/>
      <c r="N3726" s="36"/>
      <c r="O3726" s="36"/>
      <c r="P3726" s="36"/>
      <c r="Q3726" s="36"/>
      <c r="R3726" s="36"/>
      <c r="S3726" s="36"/>
      <c r="T3726" s="36"/>
      <c r="U3726" s="36"/>
      <c r="V3726" s="36"/>
      <c r="W3726" s="15">
        <f t="shared" si="315"/>
        <v>0</v>
      </c>
      <c r="X3726" s="36">
        <v>200</v>
      </c>
      <c r="Y3726" s="36">
        <v>200</v>
      </c>
      <c r="Z3726" s="36">
        <v>200</v>
      </c>
      <c r="AA3726" s="36">
        <v>200</v>
      </c>
      <c r="AB3726" s="36">
        <v>200</v>
      </c>
      <c r="AC3726" s="36">
        <v>200</v>
      </c>
      <c r="AD3726" s="36">
        <v>200</v>
      </c>
      <c r="AE3726" s="36">
        <v>200</v>
      </c>
      <c r="AF3726" s="36">
        <v>200</v>
      </c>
      <c r="AG3726" s="36">
        <v>200</v>
      </c>
      <c r="AH3726" s="36">
        <v>200</v>
      </c>
      <c r="AI3726" s="36"/>
      <c r="AJ3726" s="15">
        <f t="shared" si="316"/>
        <v>2200</v>
      </c>
      <c r="AK3726" s="14"/>
      <c r="AL3726" s="14"/>
      <c r="AM3726" s="14"/>
      <c r="AN3726" s="14"/>
      <c r="AO3726" s="14"/>
      <c r="AP3726" s="14"/>
      <c r="AQ3726" s="14"/>
      <c r="AR3726" s="14"/>
      <c r="AS3726" s="14"/>
      <c r="AT3726" s="14"/>
      <c r="AU3726" s="14"/>
      <c r="AV3726" s="14"/>
      <c r="AW3726" s="15"/>
      <c r="AX3726" s="16" t="s">
        <v>3742</v>
      </c>
    </row>
    <row r="3727" spans="2:50" x14ac:dyDescent="0.2">
      <c r="B3727" s="7"/>
      <c r="C3727" s="8">
        <v>14102</v>
      </c>
      <c r="D3727" s="9" t="s">
        <v>876</v>
      </c>
      <c r="E3727" s="10" t="str">
        <f t="shared" si="312"/>
        <v>Rancho Estopila No. 44_3</v>
      </c>
      <c r="F3727" s="10" t="str">
        <f t="shared" si="313"/>
        <v>Martìnez</v>
      </c>
      <c r="G3727" s="8">
        <v>7</v>
      </c>
      <c r="H3727" s="11">
        <v>100</v>
      </c>
      <c r="I3727" s="12">
        <v>42820</v>
      </c>
      <c r="J3727" s="35">
        <f t="shared" si="314"/>
        <v>0</v>
      </c>
      <c r="K3727" s="36"/>
      <c r="L3727" s="36"/>
      <c r="M3727" s="36"/>
      <c r="N3727" s="36"/>
      <c r="O3727" s="36"/>
      <c r="P3727" s="36"/>
      <c r="Q3727" s="36"/>
      <c r="R3727" s="36"/>
      <c r="S3727" s="36"/>
      <c r="T3727" s="36"/>
      <c r="U3727" s="36"/>
      <c r="V3727" s="36"/>
      <c r="W3727" s="15">
        <f t="shared" si="315"/>
        <v>0</v>
      </c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15">
        <f t="shared" si="316"/>
        <v>0</v>
      </c>
      <c r="AK3727" s="14"/>
      <c r="AL3727" s="14"/>
      <c r="AM3727" s="14"/>
      <c r="AN3727" s="14"/>
      <c r="AO3727" s="14"/>
      <c r="AP3727" s="14"/>
      <c r="AQ3727" s="14"/>
      <c r="AR3727" s="14"/>
      <c r="AS3727" s="14"/>
      <c r="AT3727" s="14"/>
      <c r="AU3727" s="14"/>
      <c r="AV3727" s="14"/>
      <c r="AW3727" s="15"/>
      <c r="AX3727" s="16" t="s">
        <v>3533</v>
      </c>
    </row>
    <row r="3728" spans="2:50" x14ac:dyDescent="0.2">
      <c r="B3728" s="7"/>
      <c r="C3728" s="8">
        <v>14103</v>
      </c>
      <c r="D3728" s="9" t="s">
        <v>800</v>
      </c>
      <c r="E3728" s="10" t="str">
        <f t="shared" si="312"/>
        <v>Rancho Upácuaro No. 14</v>
      </c>
      <c r="F3728" s="10" t="str">
        <f t="shared" si="313"/>
        <v>Castillo Hernández</v>
      </c>
      <c r="G3728" s="8">
        <v>1</v>
      </c>
      <c r="H3728" s="11">
        <v>1200</v>
      </c>
      <c r="I3728" s="12">
        <v>42820</v>
      </c>
      <c r="J3728" s="35">
        <f t="shared" si="314"/>
        <v>0</v>
      </c>
      <c r="K3728" s="36"/>
      <c r="L3728" s="36"/>
      <c r="M3728" s="36"/>
      <c r="N3728" s="36"/>
      <c r="O3728" s="36"/>
      <c r="P3728" s="36"/>
      <c r="Q3728" s="36"/>
      <c r="R3728" s="36"/>
      <c r="S3728" s="36"/>
      <c r="T3728" s="36"/>
      <c r="U3728" s="36"/>
      <c r="V3728" s="36">
        <v>400</v>
      </c>
      <c r="W3728" s="15">
        <f t="shared" si="315"/>
        <v>400</v>
      </c>
      <c r="X3728" s="36">
        <v>400</v>
      </c>
      <c r="Y3728" s="36">
        <v>400</v>
      </c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15">
        <f t="shared" si="316"/>
        <v>800</v>
      </c>
      <c r="AK3728" s="14"/>
      <c r="AL3728" s="14"/>
      <c r="AM3728" s="14"/>
      <c r="AN3728" s="14"/>
      <c r="AO3728" s="14"/>
      <c r="AP3728" s="14"/>
      <c r="AQ3728" s="14"/>
      <c r="AR3728" s="14"/>
      <c r="AS3728" s="14"/>
      <c r="AT3728" s="14"/>
      <c r="AU3728" s="14"/>
      <c r="AV3728" s="14"/>
      <c r="AW3728" s="15"/>
      <c r="AX3728" s="16"/>
    </row>
    <row r="3729" spans="2:50" x14ac:dyDescent="0.2">
      <c r="B3729" s="7"/>
      <c r="C3729" s="8">
        <v>14104</v>
      </c>
      <c r="D3729" s="9" t="s">
        <v>186</v>
      </c>
      <c r="E3729" s="10" t="str">
        <f t="shared" si="312"/>
        <v>Rancho Upácuaro No. 100</v>
      </c>
      <c r="F3729" s="10" t="str">
        <f t="shared" si="313"/>
        <v>Valdez</v>
      </c>
      <c r="G3729" s="8">
        <v>1</v>
      </c>
      <c r="H3729" s="11">
        <v>400</v>
      </c>
      <c r="I3729" s="12">
        <v>42820</v>
      </c>
      <c r="J3729" s="35">
        <f t="shared" si="314"/>
        <v>0</v>
      </c>
      <c r="K3729" s="36"/>
      <c r="L3729" s="36"/>
      <c r="M3729" s="36"/>
      <c r="N3729" s="36"/>
      <c r="O3729" s="36"/>
      <c r="P3729" s="36"/>
      <c r="Q3729" s="36"/>
      <c r="R3729" s="36"/>
      <c r="S3729" s="36"/>
      <c r="T3729" s="36"/>
      <c r="U3729" s="36"/>
      <c r="V3729" s="36"/>
      <c r="W3729" s="15">
        <f t="shared" si="315"/>
        <v>0</v>
      </c>
      <c r="X3729" s="36"/>
      <c r="Y3729" s="36"/>
      <c r="Z3729" s="36">
        <v>400</v>
      </c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15">
        <f t="shared" si="316"/>
        <v>400</v>
      </c>
      <c r="AK3729" s="14"/>
      <c r="AL3729" s="14"/>
      <c r="AM3729" s="14"/>
      <c r="AN3729" s="14"/>
      <c r="AO3729" s="14"/>
      <c r="AP3729" s="14"/>
      <c r="AQ3729" s="14"/>
      <c r="AR3729" s="14"/>
      <c r="AS3729" s="14"/>
      <c r="AT3729" s="14"/>
      <c r="AU3729" s="14"/>
      <c r="AV3729" s="14"/>
      <c r="AW3729" s="15"/>
      <c r="AX3729" s="16"/>
    </row>
    <row r="3730" spans="2:50" x14ac:dyDescent="0.2">
      <c r="B3730" s="7"/>
      <c r="C3730" s="8">
        <v>14105</v>
      </c>
      <c r="D3730" s="9" t="s">
        <v>675</v>
      </c>
      <c r="E3730" s="10" t="str">
        <f t="shared" si="312"/>
        <v>Rancho Estanzuela No. 155</v>
      </c>
      <c r="F3730" s="10" t="str">
        <f t="shared" si="313"/>
        <v>Anchondo Valerio</v>
      </c>
      <c r="G3730" s="8">
        <v>4</v>
      </c>
      <c r="H3730" s="11">
        <v>200</v>
      </c>
      <c r="I3730" s="12">
        <v>42820</v>
      </c>
      <c r="J3730" s="35">
        <f t="shared" si="314"/>
        <v>0</v>
      </c>
      <c r="K3730" s="36"/>
      <c r="L3730" s="36"/>
      <c r="M3730" s="36"/>
      <c r="N3730" s="36"/>
      <c r="O3730" s="36"/>
      <c r="P3730" s="36"/>
      <c r="Q3730" s="36"/>
      <c r="R3730" s="36"/>
      <c r="S3730" s="36"/>
      <c r="T3730" s="36"/>
      <c r="U3730" s="36"/>
      <c r="V3730" s="36"/>
      <c r="W3730" s="15">
        <f t="shared" si="315"/>
        <v>0</v>
      </c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15">
        <f t="shared" si="316"/>
        <v>0</v>
      </c>
      <c r="AK3730" s="14"/>
      <c r="AL3730" s="14"/>
      <c r="AM3730" s="14"/>
      <c r="AN3730" s="14"/>
      <c r="AO3730" s="14"/>
      <c r="AP3730" s="14"/>
      <c r="AQ3730" s="14"/>
      <c r="AR3730" s="14"/>
      <c r="AS3730" s="14"/>
      <c r="AT3730" s="14"/>
      <c r="AU3730" s="14"/>
      <c r="AV3730" s="14"/>
      <c r="AW3730" s="15"/>
      <c r="AX3730" s="16"/>
    </row>
    <row r="3731" spans="2:50" x14ac:dyDescent="0.2">
      <c r="B3731" s="7"/>
      <c r="C3731" s="8">
        <v>14106</v>
      </c>
      <c r="D3731" s="9" t="s">
        <v>1085</v>
      </c>
      <c r="E3731" s="10" t="str">
        <f t="shared" si="312"/>
        <v>Rancho Landero No. 75</v>
      </c>
      <c r="F3731" s="10" t="str">
        <f t="shared" si="313"/>
        <v>López Fara</v>
      </c>
      <c r="G3731" s="8">
        <v>3</v>
      </c>
      <c r="H3731" s="11">
        <v>200</v>
      </c>
      <c r="I3731" s="12">
        <v>42820</v>
      </c>
      <c r="J3731" s="35">
        <f t="shared" si="314"/>
        <v>0</v>
      </c>
      <c r="K3731" s="36"/>
      <c r="L3731" s="36"/>
      <c r="M3731" s="36"/>
      <c r="N3731" s="36"/>
      <c r="O3731" s="36"/>
      <c r="P3731" s="36"/>
      <c r="Q3731" s="36"/>
      <c r="R3731" s="36"/>
      <c r="S3731" s="36"/>
      <c r="T3731" s="36"/>
      <c r="U3731" s="36"/>
      <c r="V3731" s="36"/>
      <c r="W3731" s="15">
        <f t="shared" si="315"/>
        <v>0</v>
      </c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15">
        <f t="shared" si="316"/>
        <v>0</v>
      </c>
      <c r="AK3731" s="14"/>
      <c r="AL3731" s="14"/>
      <c r="AM3731" s="14"/>
      <c r="AN3731" s="14"/>
      <c r="AO3731" s="14"/>
      <c r="AP3731" s="14"/>
      <c r="AQ3731" s="14"/>
      <c r="AR3731" s="14"/>
      <c r="AS3731" s="14"/>
      <c r="AT3731" s="14"/>
      <c r="AU3731" s="14"/>
      <c r="AV3731" s="14"/>
      <c r="AW3731" s="15"/>
      <c r="AX3731" s="16"/>
    </row>
    <row r="3732" spans="2:50" x14ac:dyDescent="0.2">
      <c r="B3732" s="7"/>
      <c r="C3732" s="8">
        <v>14107</v>
      </c>
      <c r="D3732" s="9" t="s">
        <v>791</v>
      </c>
      <c r="E3732" s="10" t="str">
        <f t="shared" si="312"/>
        <v>Rancho Upácuaro No. 116</v>
      </c>
      <c r="F3732" s="10" t="str">
        <f t="shared" si="313"/>
        <v>Zenteno</v>
      </c>
      <c r="G3732" s="8">
        <v>1</v>
      </c>
      <c r="H3732" s="11">
        <v>4400</v>
      </c>
      <c r="I3732" s="12">
        <v>42820</v>
      </c>
      <c r="J3732" s="35">
        <f t="shared" si="314"/>
        <v>0</v>
      </c>
      <c r="K3732" s="36"/>
      <c r="L3732" s="36"/>
      <c r="M3732" s="36"/>
      <c r="N3732" s="36"/>
      <c r="O3732" s="36"/>
      <c r="P3732" s="36">
        <v>400</v>
      </c>
      <c r="Q3732" s="36">
        <v>400</v>
      </c>
      <c r="R3732" s="36">
        <v>400</v>
      </c>
      <c r="S3732" s="36">
        <v>400</v>
      </c>
      <c r="T3732" s="36">
        <v>400</v>
      </c>
      <c r="U3732" s="36">
        <v>400</v>
      </c>
      <c r="V3732" s="36">
        <v>400</v>
      </c>
      <c r="W3732" s="15">
        <f t="shared" si="315"/>
        <v>2800</v>
      </c>
      <c r="X3732" s="36">
        <v>400</v>
      </c>
      <c r="Y3732" s="36">
        <v>400</v>
      </c>
      <c r="Z3732" s="36">
        <v>400</v>
      </c>
      <c r="AA3732" s="36">
        <v>400</v>
      </c>
      <c r="AB3732" s="36"/>
      <c r="AC3732" s="36"/>
      <c r="AD3732" s="36"/>
      <c r="AE3732" s="36"/>
      <c r="AF3732" s="36"/>
      <c r="AG3732" s="36"/>
      <c r="AH3732" s="36"/>
      <c r="AI3732" s="36"/>
      <c r="AJ3732" s="15">
        <f t="shared" si="316"/>
        <v>1600</v>
      </c>
      <c r="AK3732" s="14"/>
      <c r="AL3732" s="14"/>
      <c r="AM3732" s="14"/>
      <c r="AN3732" s="14"/>
      <c r="AO3732" s="14"/>
      <c r="AP3732" s="14"/>
      <c r="AQ3732" s="14"/>
      <c r="AR3732" s="14"/>
      <c r="AS3732" s="14"/>
      <c r="AT3732" s="14"/>
      <c r="AU3732" s="14"/>
      <c r="AV3732" s="14"/>
      <c r="AW3732" s="15"/>
      <c r="AX3732" s="16"/>
    </row>
    <row r="3733" spans="2:50" x14ac:dyDescent="0.2">
      <c r="B3733" s="7"/>
      <c r="C3733" s="8">
        <v>14108</v>
      </c>
      <c r="D3733" s="9" t="s">
        <v>398</v>
      </c>
      <c r="E3733" s="10" t="str">
        <f t="shared" si="312"/>
        <v>Rancho Estanzuela No. 151</v>
      </c>
      <c r="F3733" s="10" t="str">
        <f t="shared" si="313"/>
        <v>Pérez Salazar</v>
      </c>
      <c r="G3733" s="8">
        <v>5</v>
      </c>
      <c r="H3733" s="11">
        <v>50</v>
      </c>
      <c r="I3733" s="12">
        <v>42820</v>
      </c>
      <c r="J3733" s="35">
        <f t="shared" si="314"/>
        <v>0</v>
      </c>
      <c r="K3733" s="36"/>
      <c r="L3733" s="36"/>
      <c r="M3733" s="36"/>
      <c r="N3733" s="36"/>
      <c r="O3733" s="36"/>
      <c r="P3733" s="36"/>
      <c r="Q3733" s="36"/>
      <c r="R3733" s="36"/>
      <c r="S3733" s="36"/>
      <c r="T3733" s="36"/>
      <c r="U3733" s="36"/>
      <c r="V3733" s="36"/>
      <c r="W3733" s="15">
        <f t="shared" si="315"/>
        <v>0</v>
      </c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15">
        <f t="shared" si="316"/>
        <v>0</v>
      </c>
      <c r="AK3733" s="14"/>
      <c r="AL3733" s="14"/>
      <c r="AM3733" s="14"/>
      <c r="AN3733" s="14"/>
      <c r="AO3733" s="14"/>
      <c r="AP3733" s="14"/>
      <c r="AQ3733" s="14"/>
      <c r="AR3733" s="14"/>
      <c r="AS3733" s="14"/>
      <c r="AT3733" s="14"/>
      <c r="AU3733" s="14"/>
      <c r="AV3733" s="14"/>
      <c r="AW3733" s="15"/>
      <c r="AX3733" s="16"/>
    </row>
    <row r="3734" spans="2:50" x14ac:dyDescent="0.2">
      <c r="B3734" s="7"/>
      <c r="C3734" s="8">
        <v>14109</v>
      </c>
      <c r="D3734" s="9" t="s">
        <v>361</v>
      </c>
      <c r="E3734" s="10" t="str">
        <f t="shared" si="312"/>
        <v>Rancho Upácuaro No. 101</v>
      </c>
      <c r="F3734" s="10" t="str">
        <f t="shared" si="313"/>
        <v>Chávez, Arturo</v>
      </c>
      <c r="G3734" s="8">
        <v>1</v>
      </c>
      <c r="H3734" s="11">
        <v>400</v>
      </c>
      <c r="I3734" s="12">
        <v>42820</v>
      </c>
      <c r="J3734" s="35">
        <f t="shared" si="314"/>
        <v>0</v>
      </c>
      <c r="K3734" s="36"/>
      <c r="L3734" s="36"/>
      <c r="M3734" s="36"/>
      <c r="N3734" s="36"/>
      <c r="O3734" s="36"/>
      <c r="P3734" s="36"/>
      <c r="Q3734" s="36"/>
      <c r="R3734" s="36"/>
      <c r="S3734" s="36"/>
      <c r="T3734" s="36"/>
      <c r="U3734" s="36"/>
      <c r="V3734" s="36"/>
      <c r="W3734" s="15">
        <f t="shared" si="315"/>
        <v>0</v>
      </c>
      <c r="X3734" s="36"/>
      <c r="Y3734" s="36"/>
      <c r="Z3734" s="36">
        <v>400</v>
      </c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15">
        <f t="shared" si="316"/>
        <v>400</v>
      </c>
      <c r="AK3734" s="14"/>
      <c r="AL3734" s="14"/>
      <c r="AM3734" s="14"/>
      <c r="AN3734" s="14"/>
      <c r="AO3734" s="14"/>
      <c r="AP3734" s="14"/>
      <c r="AQ3734" s="14"/>
      <c r="AR3734" s="14"/>
      <c r="AS3734" s="14"/>
      <c r="AT3734" s="14"/>
      <c r="AU3734" s="14"/>
      <c r="AV3734" s="14"/>
      <c r="AW3734" s="15"/>
      <c r="AX3734" s="16"/>
    </row>
    <row r="3735" spans="2:50" x14ac:dyDescent="0.2">
      <c r="B3735" s="7"/>
      <c r="C3735" s="8">
        <v>14110</v>
      </c>
      <c r="D3735" s="9" t="s">
        <v>361</v>
      </c>
      <c r="E3735" s="10" t="str">
        <f t="shared" si="312"/>
        <v>Rancho Upácuaro No. 101</v>
      </c>
      <c r="F3735" s="10" t="str">
        <f t="shared" si="313"/>
        <v>Chávez, Arturo</v>
      </c>
      <c r="G3735" s="8">
        <v>7</v>
      </c>
      <c r="H3735" s="11">
        <v>100</v>
      </c>
      <c r="I3735" s="12">
        <v>42820</v>
      </c>
      <c r="J3735" s="35">
        <f t="shared" si="314"/>
        <v>0</v>
      </c>
      <c r="K3735" s="36"/>
      <c r="L3735" s="36"/>
      <c r="M3735" s="36"/>
      <c r="N3735" s="36"/>
      <c r="O3735" s="36"/>
      <c r="P3735" s="36"/>
      <c r="Q3735" s="36"/>
      <c r="R3735" s="36"/>
      <c r="S3735" s="36"/>
      <c r="T3735" s="36"/>
      <c r="U3735" s="36"/>
      <c r="V3735" s="36"/>
      <c r="W3735" s="15">
        <f t="shared" si="315"/>
        <v>0</v>
      </c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15">
        <f t="shared" si="316"/>
        <v>0</v>
      </c>
      <c r="AK3735" s="14"/>
      <c r="AL3735" s="14"/>
      <c r="AM3735" s="14"/>
      <c r="AN3735" s="14"/>
      <c r="AO3735" s="14"/>
      <c r="AP3735" s="14"/>
      <c r="AQ3735" s="14"/>
      <c r="AR3735" s="14"/>
      <c r="AS3735" s="14"/>
      <c r="AT3735" s="14"/>
      <c r="AU3735" s="14"/>
      <c r="AV3735" s="14"/>
      <c r="AW3735" s="15"/>
      <c r="AX3735" s="16" t="s">
        <v>3533</v>
      </c>
    </row>
    <row r="3736" spans="2:50" x14ac:dyDescent="0.2">
      <c r="B3736" s="7"/>
      <c r="C3736" s="8">
        <v>14111</v>
      </c>
      <c r="D3736" s="9" t="s">
        <v>250</v>
      </c>
      <c r="E3736" s="10" t="str">
        <f t="shared" si="312"/>
        <v>Rancho La Cuchilla No. 74</v>
      </c>
      <c r="F3736" s="10" t="str">
        <f t="shared" si="313"/>
        <v>Gil</v>
      </c>
      <c r="G3736" s="8">
        <v>1</v>
      </c>
      <c r="H3736" s="11">
        <v>400</v>
      </c>
      <c r="I3736" s="12">
        <v>42820</v>
      </c>
      <c r="J3736" s="35">
        <f t="shared" si="314"/>
        <v>0</v>
      </c>
      <c r="K3736" s="36"/>
      <c r="L3736" s="36"/>
      <c r="M3736" s="36"/>
      <c r="N3736" s="36"/>
      <c r="O3736" s="36"/>
      <c r="P3736" s="36"/>
      <c r="Q3736" s="36"/>
      <c r="R3736" s="36"/>
      <c r="S3736" s="36"/>
      <c r="T3736" s="36"/>
      <c r="U3736" s="36"/>
      <c r="V3736" s="36"/>
      <c r="W3736" s="15">
        <f t="shared" si="315"/>
        <v>0</v>
      </c>
      <c r="X3736" s="36"/>
      <c r="Y3736" s="36"/>
      <c r="Z3736" s="36"/>
      <c r="AA3736" s="36">
        <v>400</v>
      </c>
      <c r="AB3736" s="36"/>
      <c r="AC3736" s="36"/>
      <c r="AD3736" s="36"/>
      <c r="AE3736" s="36"/>
      <c r="AF3736" s="36"/>
      <c r="AG3736" s="36"/>
      <c r="AH3736" s="36"/>
      <c r="AI3736" s="36"/>
      <c r="AJ3736" s="15">
        <f t="shared" si="316"/>
        <v>400</v>
      </c>
      <c r="AK3736" s="14"/>
      <c r="AL3736" s="14"/>
      <c r="AM3736" s="14"/>
      <c r="AN3736" s="14"/>
      <c r="AO3736" s="14"/>
      <c r="AP3736" s="14"/>
      <c r="AQ3736" s="14"/>
      <c r="AR3736" s="14"/>
      <c r="AS3736" s="14"/>
      <c r="AT3736" s="14"/>
      <c r="AU3736" s="14"/>
      <c r="AV3736" s="14"/>
      <c r="AW3736" s="15"/>
      <c r="AX3736" s="16"/>
    </row>
    <row r="3737" spans="2:50" x14ac:dyDescent="0.2">
      <c r="B3737" s="7"/>
      <c r="C3737" s="8">
        <v>14112</v>
      </c>
      <c r="D3737" s="9" t="s">
        <v>485</v>
      </c>
      <c r="E3737" s="10" t="str">
        <f t="shared" si="312"/>
        <v>Rancho Estanzuela No. 111</v>
      </c>
      <c r="F3737" s="10" t="str">
        <f t="shared" si="313"/>
        <v>Flores Pérez</v>
      </c>
      <c r="G3737" s="8">
        <v>1</v>
      </c>
      <c r="H3737" s="11">
        <v>400</v>
      </c>
      <c r="I3737" s="12">
        <v>42820</v>
      </c>
      <c r="J3737" s="35">
        <f t="shared" si="314"/>
        <v>0</v>
      </c>
      <c r="K3737" s="36"/>
      <c r="L3737" s="36"/>
      <c r="M3737" s="36"/>
      <c r="N3737" s="36"/>
      <c r="O3737" s="36"/>
      <c r="P3737" s="36"/>
      <c r="Q3737" s="36"/>
      <c r="R3737" s="36"/>
      <c r="S3737" s="36"/>
      <c r="T3737" s="36"/>
      <c r="U3737" s="36"/>
      <c r="V3737" s="36"/>
      <c r="W3737" s="15">
        <f t="shared" si="315"/>
        <v>0</v>
      </c>
      <c r="X3737" s="36"/>
      <c r="Y3737" s="36">
        <v>400</v>
      </c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15">
        <f t="shared" si="316"/>
        <v>400</v>
      </c>
      <c r="AK3737" s="14"/>
      <c r="AL3737" s="14"/>
      <c r="AM3737" s="14"/>
      <c r="AN3737" s="14"/>
      <c r="AO3737" s="14"/>
      <c r="AP3737" s="14"/>
      <c r="AQ3737" s="14"/>
      <c r="AR3737" s="14"/>
      <c r="AS3737" s="14"/>
      <c r="AT3737" s="14"/>
      <c r="AU3737" s="14"/>
      <c r="AV3737" s="14"/>
      <c r="AW3737" s="15"/>
      <c r="AX3737" s="16"/>
    </row>
    <row r="3738" spans="2:50" x14ac:dyDescent="0.2">
      <c r="B3738" s="7"/>
      <c r="C3738" s="8">
        <v>14112</v>
      </c>
      <c r="D3738" s="9" t="s">
        <v>485</v>
      </c>
      <c r="E3738" s="10" t="str">
        <f t="shared" si="312"/>
        <v>Rancho Estanzuela No. 111</v>
      </c>
      <c r="F3738" s="10" t="str">
        <f t="shared" si="313"/>
        <v>Flores Pérez</v>
      </c>
      <c r="G3738" s="8">
        <v>7</v>
      </c>
      <c r="H3738" s="11">
        <v>100</v>
      </c>
      <c r="I3738" s="12">
        <v>42820</v>
      </c>
      <c r="J3738" s="35">
        <f t="shared" si="314"/>
        <v>0</v>
      </c>
      <c r="K3738" s="36"/>
      <c r="L3738" s="36"/>
      <c r="M3738" s="36"/>
      <c r="N3738" s="36"/>
      <c r="O3738" s="36"/>
      <c r="P3738" s="36"/>
      <c r="Q3738" s="36"/>
      <c r="R3738" s="36"/>
      <c r="S3738" s="36"/>
      <c r="T3738" s="36"/>
      <c r="U3738" s="36"/>
      <c r="V3738" s="36"/>
      <c r="W3738" s="15">
        <f t="shared" si="315"/>
        <v>0</v>
      </c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15">
        <f t="shared" si="316"/>
        <v>0</v>
      </c>
      <c r="AK3738" s="14"/>
      <c r="AL3738" s="14"/>
      <c r="AM3738" s="14"/>
      <c r="AN3738" s="14"/>
      <c r="AO3738" s="14"/>
      <c r="AP3738" s="14"/>
      <c r="AQ3738" s="14"/>
      <c r="AR3738" s="14"/>
      <c r="AS3738" s="14"/>
      <c r="AT3738" s="14"/>
      <c r="AU3738" s="14"/>
      <c r="AV3738" s="14"/>
      <c r="AW3738" s="15"/>
      <c r="AX3738" s="16" t="s">
        <v>3533</v>
      </c>
    </row>
    <row r="3739" spans="2:50" x14ac:dyDescent="0.2">
      <c r="B3739" s="7"/>
      <c r="C3739" s="8">
        <v>14113</v>
      </c>
      <c r="D3739" s="9" t="s">
        <v>797</v>
      </c>
      <c r="E3739" s="10" t="str">
        <f t="shared" si="312"/>
        <v>Rancho Recoveco No. 195</v>
      </c>
      <c r="F3739" s="10" t="str">
        <f t="shared" si="313"/>
        <v>Sandoval</v>
      </c>
      <c r="G3739" s="8">
        <v>1</v>
      </c>
      <c r="H3739" s="11">
        <v>400</v>
      </c>
      <c r="I3739" s="12">
        <v>42820</v>
      </c>
      <c r="J3739" s="35">
        <f t="shared" si="314"/>
        <v>0</v>
      </c>
      <c r="K3739" s="36"/>
      <c r="L3739" s="36"/>
      <c r="M3739" s="36"/>
      <c r="N3739" s="36"/>
      <c r="O3739" s="36"/>
      <c r="P3739" s="36"/>
      <c r="Q3739" s="36"/>
      <c r="R3739" s="36"/>
      <c r="S3739" s="36"/>
      <c r="T3739" s="36"/>
      <c r="U3739" s="36"/>
      <c r="V3739" s="36"/>
      <c r="W3739" s="15">
        <f t="shared" si="315"/>
        <v>0</v>
      </c>
      <c r="X3739" s="36"/>
      <c r="Y3739" s="36"/>
      <c r="Z3739" s="36">
        <v>400</v>
      </c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15">
        <f t="shared" si="316"/>
        <v>400</v>
      </c>
      <c r="AK3739" s="14"/>
      <c r="AL3739" s="14"/>
      <c r="AM3739" s="14"/>
      <c r="AN3739" s="14"/>
      <c r="AO3739" s="14"/>
      <c r="AP3739" s="14"/>
      <c r="AQ3739" s="14"/>
      <c r="AR3739" s="14"/>
      <c r="AS3739" s="14"/>
      <c r="AT3739" s="14"/>
      <c r="AU3739" s="14"/>
      <c r="AV3739" s="14"/>
      <c r="AW3739" s="15"/>
      <c r="AX3739" s="16"/>
    </row>
    <row r="3740" spans="2:50" x14ac:dyDescent="0.2">
      <c r="B3740" s="7"/>
      <c r="C3740" s="8">
        <v>14114</v>
      </c>
      <c r="D3740" s="9" t="s">
        <v>250</v>
      </c>
      <c r="E3740" s="10" t="str">
        <f t="shared" si="312"/>
        <v>Rancho La Cuchilla No. 74</v>
      </c>
      <c r="F3740" s="10" t="str">
        <f t="shared" si="313"/>
        <v>Gil</v>
      </c>
      <c r="G3740" s="8">
        <v>5</v>
      </c>
      <c r="H3740" s="11">
        <v>200</v>
      </c>
      <c r="I3740" s="12">
        <v>42820</v>
      </c>
      <c r="J3740" s="35">
        <f t="shared" si="314"/>
        <v>0</v>
      </c>
      <c r="K3740" s="36"/>
      <c r="L3740" s="36"/>
      <c r="M3740" s="36"/>
      <c r="N3740" s="36"/>
      <c r="O3740" s="36"/>
      <c r="P3740" s="36"/>
      <c r="Q3740" s="36"/>
      <c r="R3740" s="36"/>
      <c r="S3740" s="36"/>
      <c r="T3740" s="36"/>
      <c r="U3740" s="36"/>
      <c r="V3740" s="36"/>
      <c r="W3740" s="15">
        <f t="shared" si="315"/>
        <v>0</v>
      </c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15">
        <f t="shared" si="316"/>
        <v>0</v>
      </c>
      <c r="AK3740" s="14"/>
      <c r="AL3740" s="14"/>
      <c r="AM3740" s="14"/>
      <c r="AN3740" s="14"/>
      <c r="AO3740" s="14"/>
      <c r="AP3740" s="14"/>
      <c r="AQ3740" s="14"/>
      <c r="AR3740" s="14"/>
      <c r="AS3740" s="14"/>
      <c r="AT3740" s="14"/>
      <c r="AU3740" s="14"/>
      <c r="AV3740" s="14"/>
      <c r="AW3740" s="15"/>
      <c r="AX3740" s="16"/>
    </row>
    <row r="3741" spans="2:50" x14ac:dyDescent="0.2">
      <c r="B3741" s="7"/>
      <c r="C3741" s="8">
        <v>14115</v>
      </c>
      <c r="D3741" s="9" t="s">
        <v>404</v>
      </c>
      <c r="E3741" s="10" t="str">
        <f t="shared" si="312"/>
        <v>Rancho La Cuchilla No. 89</v>
      </c>
      <c r="F3741" s="10" t="str">
        <f t="shared" si="313"/>
        <v>Gálvez</v>
      </c>
      <c r="G3741" s="8">
        <v>1</v>
      </c>
      <c r="H3741" s="11">
        <v>400</v>
      </c>
      <c r="I3741" s="12">
        <v>42820</v>
      </c>
      <c r="J3741" s="35">
        <f t="shared" si="314"/>
        <v>0</v>
      </c>
      <c r="K3741" s="36"/>
      <c r="L3741" s="36"/>
      <c r="M3741" s="36"/>
      <c r="N3741" s="36"/>
      <c r="O3741" s="36"/>
      <c r="P3741" s="36"/>
      <c r="Q3741" s="36"/>
      <c r="R3741" s="36"/>
      <c r="S3741" s="36"/>
      <c r="T3741" s="36"/>
      <c r="U3741" s="36"/>
      <c r="V3741" s="36"/>
      <c r="W3741" s="15">
        <f t="shared" si="315"/>
        <v>0</v>
      </c>
      <c r="X3741" s="36"/>
      <c r="Y3741" s="36"/>
      <c r="Z3741" s="36">
        <v>400</v>
      </c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15">
        <f t="shared" si="316"/>
        <v>400</v>
      </c>
      <c r="AK3741" s="14"/>
      <c r="AL3741" s="14"/>
      <c r="AM3741" s="14"/>
      <c r="AN3741" s="14"/>
      <c r="AO3741" s="14"/>
      <c r="AP3741" s="14"/>
      <c r="AQ3741" s="14"/>
      <c r="AR3741" s="14"/>
      <c r="AS3741" s="14"/>
      <c r="AT3741" s="14"/>
      <c r="AU3741" s="14"/>
      <c r="AV3741" s="14"/>
      <c r="AW3741" s="15"/>
      <c r="AX3741" s="16"/>
    </row>
    <row r="3742" spans="2:50" x14ac:dyDescent="0.2">
      <c r="B3742" s="7"/>
      <c r="C3742" s="8">
        <v>14116</v>
      </c>
      <c r="D3742" s="9" t="s">
        <v>705</v>
      </c>
      <c r="E3742" s="10" t="str">
        <f t="shared" si="312"/>
        <v>Rancho La Cuchilla No. 75</v>
      </c>
      <c r="F3742" s="10" t="str">
        <f t="shared" si="313"/>
        <v>Sosa Lucio</v>
      </c>
      <c r="G3742" s="8">
        <v>3</v>
      </c>
      <c r="H3742" s="11">
        <v>200</v>
      </c>
      <c r="I3742" s="12">
        <v>42820</v>
      </c>
      <c r="J3742" s="35">
        <f t="shared" si="314"/>
        <v>0</v>
      </c>
      <c r="K3742" s="36"/>
      <c r="L3742" s="36"/>
      <c r="M3742" s="36"/>
      <c r="N3742" s="36"/>
      <c r="O3742" s="36"/>
      <c r="P3742" s="36"/>
      <c r="Q3742" s="36"/>
      <c r="R3742" s="36"/>
      <c r="S3742" s="36"/>
      <c r="T3742" s="36"/>
      <c r="U3742" s="36"/>
      <c r="V3742" s="36"/>
      <c r="W3742" s="15">
        <f t="shared" si="315"/>
        <v>0</v>
      </c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15">
        <f t="shared" si="316"/>
        <v>0</v>
      </c>
      <c r="AK3742" s="14"/>
      <c r="AL3742" s="14"/>
      <c r="AM3742" s="14"/>
      <c r="AN3742" s="14"/>
      <c r="AO3742" s="14"/>
      <c r="AP3742" s="14"/>
      <c r="AQ3742" s="14"/>
      <c r="AR3742" s="14"/>
      <c r="AS3742" s="14"/>
      <c r="AT3742" s="14"/>
      <c r="AU3742" s="14"/>
      <c r="AV3742" s="14"/>
      <c r="AW3742" s="15"/>
      <c r="AX3742" s="16"/>
    </row>
    <row r="3743" spans="2:50" x14ac:dyDescent="0.2">
      <c r="B3743" s="7"/>
      <c r="C3743" s="8">
        <v>14116</v>
      </c>
      <c r="D3743" s="9" t="s">
        <v>705</v>
      </c>
      <c r="E3743" s="10" t="str">
        <f t="shared" si="312"/>
        <v>Rancho La Cuchilla No. 75</v>
      </c>
      <c r="F3743" s="10" t="str">
        <f t="shared" si="313"/>
        <v>Sosa Lucio</v>
      </c>
      <c r="G3743" s="8">
        <v>7</v>
      </c>
      <c r="H3743" s="11">
        <v>100</v>
      </c>
      <c r="I3743" s="12">
        <v>42820</v>
      </c>
      <c r="J3743" s="35">
        <f t="shared" si="314"/>
        <v>0</v>
      </c>
      <c r="K3743" s="36"/>
      <c r="L3743" s="36"/>
      <c r="M3743" s="36"/>
      <c r="N3743" s="36"/>
      <c r="O3743" s="36"/>
      <c r="P3743" s="36"/>
      <c r="Q3743" s="36"/>
      <c r="R3743" s="36"/>
      <c r="S3743" s="36"/>
      <c r="T3743" s="36"/>
      <c r="U3743" s="36"/>
      <c r="V3743" s="36"/>
      <c r="W3743" s="15">
        <f t="shared" si="315"/>
        <v>0</v>
      </c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15">
        <f t="shared" si="316"/>
        <v>0</v>
      </c>
      <c r="AK3743" s="14"/>
      <c r="AL3743" s="14"/>
      <c r="AM3743" s="14"/>
      <c r="AN3743" s="14"/>
      <c r="AO3743" s="14"/>
      <c r="AP3743" s="14"/>
      <c r="AQ3743" s="14"/>
      <c r="AR3743" s="14"/>
      <c r="AS3743" s="14"/>
      <c r="AT3743" s="14"/>
      <c r="AU3743" s="14"/>
      <c r="AV3743" s="14"/>
      <c r="AW3743" s="15"/>
      <c r="AX3743" s="16" t="s">
        <v>3533</v>
      </c>
    </row>
    <row r="3744" spans="2:50" x14ac:dyDescent="0.2">
      <c r="B3744" s="7"/>
      <c r="C3744" s="8">
        <v>14117</v>
      </c>
      <c r="D3744" s="9" t="s">
        <v>159</v>
      </c>
      <c r="E3744" s="10" t="str">
        <f t="shared" si="312"/>
        <v>Rancho Zinamba No. 24</v>
      </c>
      <c r="F3744" s="10" t="str">
        <f t="shared" si="313"/>
        <v>Monroy García</v>
      </c>
      <c r="G3744" s="8">
        <v>1</v>
      </c>
      <c r="H3744" s="11">
        <v>400</v>
      </c>
      <c r="I3744" s="12">
        <v>42820</v>
      </c>
      <c r="J3744" s="35">
        <f t="shared" si="314"/>
        <v>0</v>
      </c>
      <c r="K3744" s="36"/>
      <c r="L3744" s="36"/>
      <c r="M3744" s="36"/>
      <c r="N3744" s="36"/>
      <c r="O3744" s="36"/>
      <c r="P3744" s="36"/>
      <c r="Q3744" s="36"/>
      <c r="R3744" s="36"/>
      <c r="S3744" s="36"/>
      <c r="T3744" s="36"/>
      <c r="U3744" s="36"/>
      <c r="V3744" s="36"/>
      <c r="W3744" s="15">
        <f t="shared" si="315"/>
        <v>0</v>
      </c>
      <c r="X3744" s="36"/>
      <c r="Y3744" s="36"/>
      <c r="Z3744" s="36">
        <v>400</v>
      </c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15">
        <f t="shared" si="316"/>
        <v>400</v>
      </c>
      <c r="AK3744" s="14"/>
      <c r="AL3744" s="14"/>
      <c r="AM3744" s="14"/>
      <c r="AN3744" s="14"/>
      <c r="AO3744" s="14"/>
      <c r="AP3744" s="14"/>
      <c r="AQ3744" s="14"/>
      <c r="AR3744" s="14"/>
      <c r="AS3744" s="14"/>
      <c r="AT3744" s="14"/>
      <c r="AU3744" s="14"/>
      <c r="AV3744" s="14"/>
      <c r="AW3744" s="15"/>
      <c r="AX3744" s="16"/>
    </row>
    <row r="3745" spans="2:50" x14ac:dyDescent="0.2">
      <c r="B3745" s="7"/>
      <c r="C3745" s="8">
        <v>14118</v>
      </c>
      <c r="D3745" s="9" t="s">
        <v>574</v>
      </c>
      <c r="E3745" s="10" t="str">
        <f t="shared" si="312"/>
        <v xml:space="preserve">Rancho Upácuaro No. 94 </v>
      </c>
      <c r="F3745" s="10" t="str">
        <f t="shared" si="313"/>
        <v>Juárez Patiño</v>
      </c>
      <c r="G3745" s="8">
        <v>1</v>
      </c>
      <c r="H3745" s="11">
        <v>1500</v>
      </c>
      <c r="I3745" s="12">
        <v>42820</v>
      </c>
      <c r="J3745" s="35">
        <f t="shared" si="314"/>
        <v>0</v>
      </c>
      <c r="K3745" s="36"/>
      <c r="L3745" s="36"/>
      <c r="M3745" s="36"/>
      <c r="N3745" s="36"/>
      <c r="O3745" s="36"/>
      <c r="P3745" s="36"/>
      <c r="Q3745" s="36"/>
      <c r="R3745" s="36"/>
      <c r="S3745" s="36"/>
      <c r="T3745" s="36">
        <v>300</v>
      </c>
      <c r="U3745" s="36">
        <v>300</v>
      </c>
      <c r="V3745" s="36">
        <v>300</v>
      </c>
      <c r="W3745" s="15">
        <f t="shared" si="315"/>
        <v>900</v>
      </c>
      <c r="X3745" s="36">
        <v>300</v>
      </c>
      <c r="Y3745" s="36">
        <v>300</v>
      </c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15">
        <f t="shared" si="316"/>
        <v>600</v>
      </c>
      <c r="AK3745" s="14"/>
      <c r="AL3745" s="14"/>
      <c r="AM3745" s="14"/>
      <c r="AN3745" s="14"/>
      <c r="AO3745" s="14"/>
      <c r="AP3745" s="14"/>
      <c r="AQ3745" s="14"/>
      <c r="AR3745" s="14"/>
      <c r="AS3745" s="14"/>
      <c r="AT3745" s="14"/>
      <c r="AU3745" s="14"/>
      <c r="AV3745" s="14"/>
      <c r="AW3745" s="15"/>
      <c r="AX3745" s="16"/>
    </row>
    <row r="3746" spans="2:50" x14ac:dyDescent="0.2">
      <c r="B3746" s="7"/>
      <c r="C3746" s="8">
        <v>14119</v>
      </c>
      <c r="D3746" s="9" t="s">
        <v>628</v>
      </c>
      <c r="E3746" s="10" t="str">
        <f t="shared" si="312"/>
        <v>Rancho Landero No. 51</v>
      </c>
      <c r="F3746" s="10" t="str">
        <f t="shared" si="313"/>
        <v>H. Robles Tamayo</v>
      </c>
      <c r="G3746" s="8">
        <v>1</v>
      </c>
      <c r="H3746" s="11">
        <v>800</v>
      </c>
      <c r="I3746" s="12">
        <v>42820</v>
      </c>
      <c r="J3746" s="35">
        <f t="shared" si="314"/>
        <v>0</v>
      </c>
      <c r="K3746" s="36"/>
      <c r="L3746" s="36"/>
      <c r="M3746" s="36"/>
      <c r="N3746" s="36"/>
      <c r="O3746" s="36"/>
      <c r="P3746" s="36"/>
      <c r="Q3746" s="36"/>
      <c r="R3746" s="36"/>
      <c r="S3746" s="36"/>
      <c r="T3746" s="36"/>
      <c r="U3746" s="36"/>
      <c r="V3746" s="36"/>
      <c r="W3746" s="15">
        <f t="shared" si="315"/>
        <v>0</v>
      </c>
      <c r="X3746" s="36"/>
      <c r="Y3746" s="36">
        <v>400</v>
      </c>
      <c r="Z3746" s="36">
        <v>400</v>
      </c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15">
        <f t="shared" si="316"/>
        <v>800</v>
      </c>
      <c r="AK3746" s="14"/>
      <c r="AL3746" s="14"/>
      <c r="AM3746" s="14"/>
      <c r="AN3746" s="14"/>
      <c r="AO3746" s="14"/>
      <c r="AP3746" s="14"/>
      <c r="AQ3746" s="14"/>
      <c r="AR3746" s="14"/>
      <c r="AS3746" s="14"/>
      <c r="AT3746" s="14"/>
      <c r="AU3746" s="14"/>
      <c r="AV3746" s="14"/>
      <c r="AW3746" s="15"/>
      <c r="AX3746" s="16"/>
    </row>
    <row r="3747" spans="2:50" x14ac:dyDescent="0.2">
      <c r="B3747" s="7"/>
      <c r="C3747" s="8">
        <v>14120</v>
      </c>
      <c r="D3747" s="9" t="s">
        <v>298</v>
      </c>
      <c r="E3747" s="10" t="str">
        <f t="shared" si="312"/>
        <v>Rancho Landero No. 94</v>
      </c>
      <c r="F3747" s="10" t="str">
        <f t="shared" si="313"/>
        <v>Medina</v>
      </c>
      <c r="G3747" s="8">
        <v>4</v>
      </c>
      <c r="H3747" s="11">
        <v>200</v>
      </c>
      <c r="I3747" s="12">
        <v>42820</v>
      </c>
      <c r="J3747" s="35">
        <f t="shared" si="314"/>
        <v>0</v>
      </c>
      <c r="K3747" s="36"/>
      <c r="L3747" s="36"/>
      <c r="M3747" s="36"/>
      <c r="N3747" s="36"/>
      <c r="O3747" s="36"/>
      <c r="P3747" s="36"/>
      <c r="Q3747" s="36"/>
      <c r="R3747" s="36"/>
      <c r="S3747" s="36"/>
      <c r="T3747" s="36"/>
      <c r="U3747" s="36"/>
      <c r="V3747" s="36"/>
      <c r="W3747" s="15">
        <f t="shared" si="315"/>
        <v>0</v>
      </c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15">
        <f t="shared" si="316"/>
        <v>0</v>
      </c>
      <c r="AK3747" s="14"/>
      <c r="AL3747" s="14"/>
      <c r="AM3747" s="14"/>
      <c r="AN3747" s="14"/>
      <c r="AO3747" s="14"/>
      <c r="AP3747" s="14"/>
      <c r="AQ3747" s="14"/>
      <c r="AR3747" s="14"/>
      <c r="AS3747" s="14"/>
      <c r="AT3747" s="14"/>
      <c r="AU3747" s="14"/>
      <c r="AV3747" s="14"/>
      <c r="AW3747" s="15"/>
      <c r="AX3747" s="16" t="s">
        <v>3743</v>
      </c>
    </row>
    <row r="3748" spans="2:50" x14ac:dyDescent="0.2">
      <c r="B3748" s="7"/>
      <c r="C3748" s="8">
        <v>14121</v>
      </c>
      <c r="D3748" s="9" t="s">
        <v>893</v>
      </c>
      <c r="E3748" s="10" t="str">
        <f t="shared" si="312"/>
        <v>Rancho Upácuaro No. 136</v>
      </c>
      <c r="F3748" s="10" t="str">
        <f t="shared" si="313"/>
        <v>López Lena</v>
      </c>
      <c r="G3748" s="8">
        <v>1</v>
      </c>
      <c r="H3748" s="11">
        <v>300</v>
      </c>
      <c r="I3748" s="12">
        <v>42820</v>
      </c>
      <c r="J3748" s="35">
        <f t="shared" si="314"/>
        <v>0</v>
      </c>
      <c r="K3748" s="36"/>
      <c r="L3748" s="36"/>
      <c r="M3748" s="36"/>
      <c r="N3748" s="36"/>
      <c r="O3748" s="36"/>
      <c r="P3748" s="36"/>
      <c r="Q3748" s="36"/>
      <c r="R3748" s="36"/>
      <c r="S3748" s="36"/>
      <c r="T3748" s="36"/>
      <c r="U3748" s="36"/>
      <c r="V3748" s="36"/>
      <c r="W3748" s="15">
        <f t="shared" si="315"/>
        <v>0</v>
      </c>
      <c r="X3748" s="36"/>
      <c r="Y3748" s="36"/>
      <c r="Z3748" s="36">
        <v>300</v>
      </c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15">
        <f t="shared" si="316"/>
        <v>300</v>
      </c>
      <c r="AK3748" s="14"/>
      <c r="AL3748" s="14"/>
      <c r="AM3748" s="14"/>
      <c r="AN3748" s="14"/>
      <c r="AO3748" s="14"/>
      <c r="AP3748" s="14"/>
      <c r="AQ3748" s="14"/>
      <c r="AR3748" s="14"/>
      <c r="AS3748" s="14"/>
      <c r="AT3748" s="14"/>
      <c r="AU3748" s="14"/>
      <c r="AV3748" s="14"/>
      <c r="AW3748" s="15"/>
      <c r="AX3748" s="16"/>
    </row>
    <row r="3749" spans="2:50" x14ac:dyDescent="0.2">
      <c r="B3749" s="7"/>
      <c r="C3749" s="8">
        <v>14121</v>
      </c>
      <c r="D3749" s="9" t="s">
        <v>893</v>
      </c>
      <c r="E3749" s="10" t="str">
        <f t="shared" si="312"/>
        <v>Rancho Upácuaro No. 136</v>
      </c>
      <c r="F3749" s="10" t="str">
        <f t="shared" si="313"/>
        <v>López Lena</v>
      </c>
      <c r="G3749" s="8">
        <v>7</v>
      </c>
      <c r="H3749" s="11">
        <v>100</v>
      </c>
      <c r="I3749" s="12">
        <v>42820</v>
      </c>
      <c r="J3749" s="35">
        <f t="shared" si="314"/>
        <v>0</v>
      </c>
      <c r="K3749" s="36"/>
      <c r="L3749" s="36"/>
      <c r="M3749" s="36"/>
      <c r="N3749" s="36"/>
      <c r="O3749" s="36"/>
      <c r="P3749" s="36"/>
      <c r="Q3749" s="36"/>
      <c r="R3749" s="36"/>
      <c r="S3749" s="36"/>
      <c r="T3749" s="36"/>
      <c r="U3749" s="36"/>
      <c r="V3749" s="36"/>
      <c r="W3749" s="15">
        <f t="shared" si="315"/>
        <v>0</v>
      </c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15">
        <f t="shared" si="316"/>
        <v>0</v>
      </c>
      <c r="AK3749" s="14"/>
      <c r="AL3749" s="14"/>
      <c r="AM3749" s="14"/>
      <c r="AN3749" s="14"/>
      <c r="AO3749" s="14"/>
      <c r="AP3749" s="14"/>
      <c r="AQ3749" s="14"/>
      <c r="AR3749" s="14"/>
      <c r="AS3749" s="14"/>
      <c r="AT3749" s="14"/>
      <c r="AU3749" s="14"/>
      <c r="AV3749" s="14"/>
      <c r="AW3749" s="15"/>
      <c r="AX3749" s="16" t="s">
        <v>3533</v>
      </c>
    </row>
    <row r="3750" spans="2:50" x14ac:dyDescent="0.2">
      <c r="B3750" s="7"/>
      <c r="C3750" s="8">
        <v>14122</v>
      </c>
      <c r="D3750" s="9" t="s">
        <v>401</v>
      </c>
      <c r="E3750" s="10" t="str">
        <f t="shared" si="312"/>
        <v>Rancho Landero No. 68</v>
      </c>
      <c r="F3750" s="10" t="str">
        <f t="shared" si="313"/>
        <v>Moreno</v>
      </c>
      <c r="G3750" s="8">
        <v>1</v>
      </c>
      <c r="H3750" s="11">
        <v>800</v>
      </c>
      <c r="I3750" s="12">
        <v>42820</v>
      </c>
      <c r="J3750" s="35">
        <f t="shared" si="314"/>
        <v>0</v>
      </c>
      <c r="K3750" s="36"/>
      <c r="L3750" s="36"/>
      <c r="M3750" s="36"/>
      <c r="N3750" s="36"/>
      <c r="O3750" s="36"/>
      <c r="P3750" s="36"/>
      <c r="Q3750" s="36"/>
      <c r="R3750" s="36"/>
      <c r="S3750" s="36"/>
      <c r="T3750" s="36"/>
      <c r="U3750" s="36"/>
      <c r="V3750" s="36"/>
      <c r="W3750" s="15">
        <f t="shared" si="315"/>
        <v>0</v>
      </c>
      <c r="X3750" s="36">
        <v>400</v>
      </c>
      <c r="Y3750" s="36">
        <v>400</v>
      </c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15">
        <f t="shared" si="316"/>
        <v>800</v>
      </c>
      <c r="AK3750" s="14"/>
      <c r="AL3750" s="14"/>
      <c r="AM3750" s="14"/>
      <c r="AN3750" s="14"/>
      <c r="AO3750" s="14"/>
      <c r="AP3750" s="14"/>
      <c r="AQ3750" s="14"/>
      <c r="AR3750" s="14"/>
      <c r="AS3750" s="14"/>
      <c r="AT3750" s="14"/>
      <c r="AU3750" s="14"/>
      <c r="AV3750" s="14"/>
      <c r="AW3750" s="15"/>
      <c r="AX3750" s="16" t="s">
        <v>3744</v>
      </c>
    </row>
    <row r="3751" spans="2:50" x14ac:dyDescent="0.2">
      <c r="B3751" s="7"/>
      <c r="C3751" s="8">
        <v>14122</v>
      </c>
      <c r="D3751" s="9" t="s">
        <v>401</v>
      </c>
      <c r="E3751" s="10" t="str">
        <f t="shared" si="312"/>
        <v>Rancho Landero No. 68</v>
      </c>
      <c r="F3751" s="10" t="str">
        <f t="shared" si="313"/>
        <v>Moreno</v>
      </c>
      <c r="G3751" s="8">
        <v>7</v>
      </c>
      <c r="H3751" s="11">
        <v>100</v>
      </c>
      <c r="I3751" s="12">
        <v>42820</v>
      </c>
      <c r="J3751" s="35">
        <f t="shared" si="314"/>
        <v>0</v>
      </c>
      <c r="K3751" s="36"/>
      <c r="L3751" s="36"/>
      <c r="M3751" s="36"/>
      <c r="N3751" s="36"/>
      <c r="O3751" s="36"/>
      <c r="P3751" s="36"/>
      <c r="Q3751" s="36"/>
      <c r="R3751" s="36"/>
      <c r="S3751" s="36"/>
      <c r="T3751" s="36"/>
      <c r="U3751" s="36"/>
      <c r="V3751" s="36"/>
      <c r="W3751" s="15">
        <f t="shared" si="315"/>
        <v>0</v>
      </c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15">
        <f t="shared" si="316"/>
        <v>0</v>
      </c>
      <c r="AK3751" s="14"/>
      <c r="AL3751" s="14"/>
      <c r="AM3751" s="14"/>
      <c r="AN3751" s="14"/>
      <c r="AO3751" s="14"/>
      <c r="AP3751" s="14"/>
      <c r="AQ3751" s="14"/>
      <c r="AR3751" s="14"/>
      <c r="AS3751" s="14"/>
      <c r="AT3751" s="14"/>
      <c r="AU3751" s="14"/>
      <c r="AV3751" s="14"/>
      <c r="AW3751" s="15"/>
      <c r="AX3751" s="16" t="s">
        <v>3533</v>
      </c>
    </row>
    <row r="3752" spans="2:50" x14ac:dyDescent="0.2">
      <c r="B3752" s="7"/>
      <c r="C3752" s="8">
        <v>14123</v>
      </c>
      <c r="D3752" s="9" t="s">
        <v>620</v>
      </c>
      <c r="E3752" s="10" t="str">
        <f t="shared" si="312"/>
        <v>Rancho La Cuchilla No. 32</v>
      </c>
      <c r="F3752" s="10" t="str">
        <f t="shared" si="313"/>
        <v>Hernández</v>
      </c>
      <c r="G3752" s="8">
        <v>1</v>
      </c>
      <c r="H3752" s="11">
        <v>800</v>
      </c>
      <c r="I3752" s="12">
        <v>42820</v>
      </c>
      <c r="J3752" s="35">
        <f t="shared" si="314"/>
        <v>0</v>
      </c>
      <c r="K3752" s="36"/>
      <c r="L3752" s="36"/>
      <c r="M3752" s="36"/>
      <c r="N3752" s="36"/>
      <c r="O3752" s="36"/>
      <c r="P3752" s="36"/>
      <c r="Q3752" s="36"/>
      <c r="R3752" s="36"/>
      <c r="S3752" s="36"/>
      <c r="T3752" s="36"/>
      <c r="U3752" s="36"/>
      <c r="V3752" s="36"/>
      <c r="W3752" s="15">
        <f t="shared" si="315"/>
        <v>0</v>
      </c>
      <c r="X3752" s="36"/>
      <c r="Y3752" s="36">
        <v>400</v>
      </c>
      <c r="Z3752" s="36">
        <v>400</v>
      </c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15">
        <f t="shared" si="316"/>
        <v>800</v>
      </c>
      <c r="AK3752" s="14"/>
      <c r="AL3752" s="14"/>
      <c r="AM3752" s="14"/>
      <c r="AN3752" s="14"/>
      <c r="AO3752" s="14"/>
      <c r="AP3752" s="14"/>
      <c r="AQ3752" s="14"/>
      <c r="AR3752" s="14"/>
      <c r="AS3752" s="14"/>
      <c r="AT3752" s="14"/>
      <c r="AU3752" s="14"/>
      <c r="AV3752" s="14"/>
      <c r="AW3752" s="15"/>
      <c r="AX3752" s="16"/>
    </row>
    <row r="3753" spans="2:50" x14ac:dyDescent="0.2">
      <c r="B3753" s="7"/>
      <c r="C3753" s="8">
        <v>14124</v>
      </c>
      <c r="D3753" s="9" t="s">
        <v>737</v>
      </c>
      <c r="E3753" s="10" t="str">
        <f t="shared" si="312"/>
        <v>Rancho Romeral No. 9, A</v>
      </c>
      <c r="F3753" s="10" t="str">
        <f t="shared" si="313"/>
        <v>Quiñones Hernández</v>
      </c>
      <c r="G3753" s="8">
        <v>1</v>
      </c>
      <c r="H3753" s="11">
        <v>800</v>
      </c>
      <c r="I3753" s="12">
        <v>42820</v>
      </c>
      <c r="J3753" s="35">
        <f t="shared" si="314"/>
        <v>0</v>
      </c>
      <c r="K3753" s="36"/>
      <c r="L3753" s="36"/>
      <c r="M3753" s="36"/>
      <c r="N3753" s="36"/>
      <c r="O3753" s="36"/>
      <c r="P3753" s="36"/>
      <c r="Q3753" s="36"/>
      <c r="R3753" s="36"/>
      <c r="S3753" s="36"/>
      <c r="T3753" s="36"/>
      <c r="U3753" s="36"/>
      <c r="V3753" s="36"/>
      <c r="W3753" s="15">
        <f t="shared" si="315"/>
        <v>0</v>
      </c>
      <c r="X3753" s="36"/>
      <c r="Y3753" s="36">
        <v>400</v>
      </c>
      <c r="Z3753" s="36">
        <v>400</v>
      </c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15">
        <f t="shared" si="316"/>
        <v>800</v>
      </c>
      <c r="AK3753" s="14"/>
      <c r="AL3753" s="14"/>
      <c r="AM3753" s="14"/>
      <c r="AN3753" s="14"/>
      <c r="AO3753" s="14"/>
      <c r="AP3753" s="14"/>
      <c r="AQ3753" s="14"/>
      <c r="AR3753" s="14"/>
      <c r="AS3753" s="14"/>
      <c r="AT3753" s="14"/>
      <c r="AU3753" s="14"/>
      <c r="AV3753" s="14"/>
      <c r="AW3753" s="15"/>
      <c r="AX3753" s="16"/>
    </row>
    <row r="3754" spans="2:50" x14ac:dyDescent="0.2">
      <c r="B3754" s="7"/>
      <c r="C3754" s="8">
        <v>14125</v>
      </c>
      <c r="D3754" s="9" t="s">
        <v>470</v>
      </c>
      <c r="E3754" s="10" t="str">
        <f t="shared" si="312"/>
        <v>Rancho Zinamba No. 42</v>
      </c>
      <c r="F3754" s="10" t="str">
        <f t="shared" si="313"/>
        <v>López Aldave</v>
      </c>
      <c r="G3754" s="8">
        <v>1</v>
      </c>
      <c r="H3754" s="11">
        <v>600</v>
      </c>
      <c r="I3754" s="12">
        <v>42820</v>
      </c>
      <c r="J3754" s="35">
        <f t="shared" si="314"/>
        <v>0</v>
      </c>
      <c r="K3754" s="36"/>
      <c r="L3754" s="36"/>
      <c r="M3754" s="36"/>
      <c r="N3754" s="36"/>
      <c r="O3754" s="36"/>
      <c r="P3754" s="36"/>
      <c r="Q3754" s="36"/>
      <c r="R3754" s="36"/>
      <c r="S3754" s="36"/>
      <c r="T3754" s="36"/>
      <c r="U3754" s="36"/>
      <c r="V3754" s="36"/>
      <c r="W3754" s="15">
        <f t="shared" si="315"/>
        <v>0</v>
      </c>
      <c r="X3754" s="36"/>
      <c r="Y3754" s="36"/>
      <c r="Z3754" s="36">
        <v>300</v>
      </c>
      <c r="AA3754" s="36">
        <v>300</v>
      </c>
      <c r="AB3754" s="36"/>
      <c r="AC3754" s="36"/>
      <c r="AD3754" s="36"/>
      <c r="AE3754" s="36"/>
      <c r="AF3754" s="36"/>
      <c r="AG3754" s="36"/>
      <c r="AH3754" s="36"/>
      <c r="AI3754" s="36"/>
      <c r="AJ3754" s="15">
        <f t="shared" si="316"/>
        <v>600</v>
      </c>
      <c r="AK3754" s="14"/>
      <c r="AL3754" s="14"/>
      <c r="AM3754" s="14"/>
      <c r="AN3754" s="14"/>
      <c r="AO3754" s="14"/>
      <c r="AP3754" s="14"/>
      <c r="AQ3754" s="14"/>
      <c r="AR3754" s="14"/>
      <c r="AS3754" s="14"/>
      <c r="AT3754" s="14"/>
      <c r="AU3754" s="14"/>
      <c r="AV3754" s="14"/>
      <c r="AW3754" s="15"/>
      <c r="AX3754" s="16"/>
    </row>
    <row r="3755" spans="2:50" x14ac:dyDescent="0.2">
      <c r="B3755" s="7"/>
      <c r="C3755" s="8">
        <v>14125</v>
      </c>
      <c r="D3755" s="9" t="s">
        <v>470</v>
      </c>
      <c r="E3755" s="10" t="str">
        <f t="shared" si="312"/>
        <v>Rancho Zinamba No. 42</v>
      </c>
      <c r="F3755" s="10" t="str">
        <f t="shared" si="313"/>
        <v>López Aldave</v>
      </c>
      <c r="G3755" s="8">
        <v>7</v>
      </c>
      <c r="H3755" s="11">
        <v>100</v>
      </c>
      <c r="I3755" s="12">
        <v>42820</v>
      </c>
      <c r="J3755" s="35">
        <f t="shared" si="314"/>
        <v>0</v>
      </c>
      <c r="K3755" s="36"/>
      <c r="L3755" s="36"/>
      <c r="M3755" s="36"/>
      <c r="N3755" s="36"/>
      <c r="O3755" s="36"/>
      <c r="P3755" s="36"/>
      <c r="Q3755" s="36"/>
      <c r="R3755" s="36"/>
      <c r="S3755" s="36"/>
      <c r="T3755" s="36"/>
      <c r="U3755" s="36"/>
      <c r="V3755" s="36"/>
      <c r="W3755" s="15">
        <f t="shared" si="315"/>
        <v>0</v>
      </c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15">
        <f t="shared" si="316"/>
        <v>0</v>
      </c>
      <c r="AK3755" s="14"/>
      <c r="AL3755" s="14"/>
      <c r="AM3755" s="14"/>
      <c r="AN3755" s="14"/>
      <c r="AO3755" s="14"/>
      <c r="AP3755" s="14"/>
      <c r="AQ3755" s="14"/>
      <c r="AR3755" s="14"/>
      <c r="AS3755" s="14"/>
      <c r="AT3755" s="14"/>
      <c r="AU3755" s="14"/>
      <c r="AV3755" s="14"/>
      <c r="AW3755" s="15"/>
      <c r="AX3755" s="16" t="s">
        <v>3533</v>
      </c>
    </row>
    <row r="3756" spans="2:50" x14ac:dyDescent="0.2">
      <c r="B3756" s="7"/>
      <c r="C3756" s="8">
        <v>14126</v>
      </c>
      <c r="D3756" s="9" t="s">
        <v>620</v>
      </c>
      <c r="E3756" s="10" t="str">
        <f t="shared" si="312"/>
        <v>Rancho La Cuchilla No. 32</v>
      </c>
      <c r="F3756" s="10" t="str">
        <f t="shared" si="313"/>
        <v>Hernández</v>
      </c>
      <c r="G3756" s="8">
        <v>5</v>
      </c>
      <c r="H3756" s="11">
        <v>50</v>
      </c>
      <c r="I3756" s="12">
        <v>42820</v>
      </c>
      <c r="J3756" s="35">
        <f t="shared" si="314"/>
        <v>0</v>
      </c>
      <c r="K3756" s="36"/>
      <c r="L3756" s="36"/>
      <c r="M3756" s="36"/>
      <c r="N3756" s="36"/>
      <c r="O3756" s="36"/>
      <c r="P3756" s="36"/>
      <c r="Q3756" s="36"/>
      <c r="R3756" s="36"/>
      <c r="S3756" s="36"/>
      <c r="T3756" s="36"/>
      <c r="U3756" s="36"/>
      <c r="V3756" s="36"/>
      <c r="W3756" s="15">
        <f t="shared" si="315"/>
        <v>0</v>
      </c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15">
        <f t="shared" si="316"/>
        <v>0</v>
      </c>
      <c r="AK3756" s="14"/>
      <c r="AL3756" s="14"/>
      <c r="AM3756" s="14"/>
      <c r="AN3756" s="14"/>
      <c r="AO3756" s="14"/>
      <c r="AP3756" s="14"/>
      <c r="AQ3756" s="14"/>
      <c r="AR3756" s="14"/>
      <c r="AS3756" s="14"/>
      <c r="AT3756" s="14"/>
      <c r="AU3756" s="14"/>
      <c r="AV3756" s="14"/>
      <c r="AW3756" s="15"/>
      <c r="AX3756" s="16"/>
    </row>
    <row r="3757" spans="2:50" x14ac:dyDescent="0.2">
      <c r="B3757" s="7"/>
      <c r="C3757" s="8">
        <v>14127</v>
      </c>
      <c r="D3757" s="9" t="s">
        <v>849</v>
      </c>
      <c r="E3757" s="10" t="str">
        <f t="shared" si="312"/>
        <v>Rancho La Cuchilla No. 127</v>
      </c>
      <c r="F3757" s="10" t="str">
        <f t="shared" si="313"/>
        <v>Quiñones</v>
      </c>
      <c r="G3757" s="8">
        <v>1</v>
      </c>
      <c r="H3757" s="11">
        <v>1500</v>
      </c>
      <c r="I3757" s="12">
        <v>42820</v>
      </c>
      <c r="J3757" s="35">
        <f t="shared" si="314"/>
        <v>0</v>
      </c>
      <c r="K3757" s="36"/>
      <c r="L3757" s="36"/>
      <c r="M3757" s="36"/>
      <c r="N3757" s="36"/>
      <c r="O3757" s="36"/>
      <c r="P3757" s="36"/>
      <c r="Q3757" s="36"/>
      <c r="R3757" s="36"/>
      <c r="S3757" s="36"/>
      <c r="T3757" s="36"/>
      <c r="U3757" s="36"/>
      <c r="V3757" s="36"/>
      <c r="W3757" s="15">
        <f t="shared" si="315"/>
        <v>0</v>
      </c>
      <c r="X3757" s="36">
        <v>300</v>
      </c>
      <c r="Y3757" s="36">
        <v>300</v>
      </c>
      <c r="Z3757" s="36">
        <v>300</v>
      </c>
      <c r="AA3757" s="36">
        <v>300</v>
      </c>
      <c r="AB3757" s="36">
        <v>300</v>
      </c>
      <c r="AC3757" s="36"/>
      <c r="AD3757" s="36"/>
      <c r="AE3757" s="36"/>
      <c r="AF3757" s="36"/>
      <c r="AG3757" s="36"/>
      <c r="AH3757" s="36"/>
      <c r="AI3757" s="36"/>
      <c r="AJ3757" s="15">
        <f t="shared" si="316"/>
        <v>1500</v>
      </c>
      <c r="AK3757" s="14"/>
      <c r="AL3757" s="14"/>
      <c r="AM3757" s="14"/>
      <c r="AN3757" s="14"/>
      <c r="AO3757" s="14"/>
      <c r="AP3757" s="14"/>
      <c r="AQ3757" s="14"/>
      <c r="AR3757" s="14"/>
      <c r="AS3757" s="14"/>
      <c r="AT3757" s="14"/>
      <c r="AU3757" s="14"/>
      <c r="AV3757" s="14"/>
      <c r="AW3757" s="15"/>
      <c r="AX3757" s="16"/>
    </row>
    <row r="3758" spans="2:50" x14ac:dyDescent="0.2">
      <c r="B3758" s="7"/>
      <c r="C3758" s="8">
        <v>14128</v>
      </c>
      <c r="D3758" s="9" t="s">
        <v>589</v>
      </c>
      <c r="E3758" s="10" t="str">
        <f t="shared" si="312"/>
        <v>Rancho La Cuchilla No. 149</v>
      </c>
      <c r="F3758" s="10" t="str">
        <f t="shared" si="313"/>
        <v>Montes Irineos</v>
      </c>
      <c r="G3758" s="8">
        <v>1</v>
      </c>
      <c r="H3758" s="11">
        <v>400</v>
      </c>
      <c r="I3758" s="12">
        <v>42820</v>
      </c>
      <c r="J3758" s="35">
        <f t="shared" si="314"/>
        <v>0</v>
      </c>
      <c r="K3758" s="36"/>
      <c r="L3758" s="36"/>
      <c r="M3758" s="36"/>
      <c r="N3758" s="36"/>
      <c r="O3758" s="36"/>
      <c r="P3758" s="36"/>
      <c r="Q3758" s="36"/>
      <c r="R3758" s="36"/>
      <c r="S3758" s="36"/>
      <c r="T3758" s="36"/>
      <c r="U3758" s="36"/>
      <c r="V3758" s="36"/>
      <c r="W3758" s="15">
        <f t="shared" si="315"/>
        <v>0</v>
      </c>
      <c r="X3758" s="36">
        <v>400</v>
      </c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15">
        <f t="shared" si="316"/>
        <v>400</v>
      </c>
      <c r="AK3758" s="14"/>
      <c r="AL3758" s="14"/>
      <c r="AM3758" s="14"/>
      <c r="AN3758" s="14"/>
      <c r="AO3758" s="14"/>
      <c r="AP3758" s="14"/>
      <c r="AQ3758" s="14"/>
      <c r="AR3758" s="14"/>
      <c r="AS3758" s="14"/>
      <c r="AT3758" s="14"/>
      <c r="AU3758" s="14"/>
      <c r="AV3758" s="14"/>
      <c r="AW3758" s="15"/>
      <c r="AX3758" s="16"/>
    </row>
    <row r="3759" spans="2:50" x14ac:dyDescent="0.2">
      <c r="B3759" s="7"/>
      <c r="C3759" s="8">
        <v>14128</v>
      </c>
      <c r="D3759" s="9" t="s">
        <v>589</v>
      </c>
      <c r="E3759" s="10" t="str">
        <f t="shared" si="312"/>
        <v>Rancho La Cuchilla No. 149</v>
      </c>
      <c r="F3759" s="10" t="str">
        <f t="shared" si="313"/>
        <v>Montes Irineos</v>
      </c>
      <c r="G3759" s="8">
        <v>7</v>
      </c>
      <c r="H3759" s="11">
        <v>100</v>
      </c>
      <c r="I3759" s="12">
        <v>42820</v>
      </c>
      <c r="J3759" s="35">
        <f t="shared" si="314"/>
        <v>0</v>
      </c>
      <c r="K3759" s="36"/>
      <c r="L3759" s="36"/>
      <c r="M3759" s="36"/>
      <c r="N3759" s="36"/>
      <c r="O3759" s="36"/>
      <c r="P3759" s="36"/>
      <c r="Q3759" s="36"/>
      <c r="R3759" s="36"/>
      <c r="S3759" s="36"/>
      <c r="T3759" s="36"/>
      <c r="U3759" s="36"/>
      <c r="V3759" s="36"/>
      <c r="W3759" s="15">
        <f t="shared" si="315"/>
        <v>0</v>
      </c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15">
        <f t="shared" si="316"/>
        <v>0</v>
      </c>
      <c r="AK3759" s="14"/>
      <c r="AL3759" s="14"/>
      <c r="AM3759" s="14"/>
      <c r="AN3759" s="14"/>
      <c r="AO3759" s="14"/>
      <c r="AP3759" s="14"/>
      <c r="AQ3759" s="14"/>
      <c r="AR3759" s="14"/>
      <c r="AS3759" s="14"/>
      <c r="AT3759" s="14"/>
      <c r="AU3759" s="14"/>
      <c r="AV3759" s="14"/>
      <c r="AW3759" s="15"/>
      <c r="AX3759" s="16" t="s">
        <v>3533</v>
      </c>
    </row>
    <row r="3760" spans="2:50" x14ac:dyDescent="0.2">
      <c r="B3760" s="7"/>
      <c r="C3760" s="8">
        <v>14129</v>
      </c>
      <c r="D3760" s="9" t="s">
        <v>1157</v>
      </c>
      <c r="E3760" s="10" t="str">
        <f t="shared" si="312"/>
        <v>Rancho Upácuaro No. 43</v>
      </c>
      <c r="F3760" s="10" t="str">
        <f t="shared" si="313"/>
        <v>Yolanda</v>
      </c>
      <c r="G3760" s="8">
        <v>1</v>
      </c>
      <c r="H3760" s="11">
        <v>600</v>
      </c>
      <c r="I3760" s="12">
        <v>42820</v>
      </c>
      <c r="J3760" s="35">
        <f t="shared" si="314"/>
        <v>0</v>
      </c>
      <c r="K3760" s="36"/>
      <c r="L3760" s="36"/>
      <c r="M3760" s="36"/>
      <c r="N3760" s="36"/>
      <c r="O3760" s="36"/>
      <c r="P3760" s="36"/>
      <c r="Q3760" s="36"/>
      <c r="R3760" s="36"/>
      <c r="S3760" s="36"/>
      <c r="T3760" s="36"/>
      <c r="U3760" s="36"/>
      <c r="V3760" s="36"/>
      <c r="W3760" s="15">
        <f t="shared" si="315"/>
        <v>0</v>
      </c>
      <c r="X3760" s="36">
        <v>200</v>
      </c>
      <c r="Y3760" s="36">
        <v>200</v>
      </c>
      <c r="Z3760" s="36">
        <v>200</v>
      </c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15">
        <f t="shared" si="316"/>
        <v>600</v>
      </c>
      <c r="AK3760" s="14"/>
      <c r="AL3760" s="14"/>
      <c r="AM3760" s="14"/>
      <c r="AN3760" s="14"/>
      <c r="AO3760" s="14"/>
      <c r="AP3760" s="14"/>
      <c r="AQ3760" s="14"/>
      <c r="AR3760" s="14"/>
      <c r="AS3760" s="14"/>
      <c r="AT3760" s="14"/>
      <c r="AU3760" s="14"/>
      <c r="AV3760" s="14"/>
      <c r="AW3760" s="15"/>
      <c r="AX3760" s="316">
        <f>SUM(H3710:H3760)</f>
        <v>25950</v>
      </c>
    </row>
    <row r="3761" spans="2:52" x14ac:dyDescent="0.2">
      <c r="B3761" s="7"/>
      <c r="C3761" s="8">
        <v>14130</v>
      </c>
      <c r="D3761" s="9" t="s">
        <v>416</v>
      </c>
      <c r="E3761" s="10" t="str">
        <f t="shared" ref="E3761:E3841" si="317">IF(D3761=0,"",VLOOKUP(D3761,BASE,2,FALSE))</f>
        <v>Rancho La Cuchilla No. 112, PB</v>
      </c>
      <c r="F3761" s="10" t="str">
        <f t="shared" ref="F3761:F3841" si="318">IF(D3761=0,"",VLOOKUP(D3761,BASE,3,FALSE))</f>
        <v>Soreque</v>
      </c>
      <c r="G3761" s="8">
        <v>5</v>
      </c>
      <c r="H3761" s="315">
        <v>50</v>
      </c>
      <c r="I3761" s="12">
        <v>42821</v>
      </c>
      <c r="J3761" s="35">
        <f t="shared" ref="J3761:J3841" si="319">IF(G3761=1,SUM(W3761,AJ3761,-H3761),0)</f>
        <v>0</v>
      </c>
      <c r="K3761" s="36"/>
      <c r="L3761" s="36"/>
      <c r="M3761" s="36"/>
      <c r="N3761" s="36"/>
      <c r="O3761" s="36"/>
      <c r="P3761" s="36"/>
      <c r="Q3761" s="36"/>
      <c r="R3761" s="36"/>
      <c r="S3761" s="36"/>
      <c r="T3761" s="36"/>
      <c r="U3761" s="36"/>
      <c r="V3761" s="36"/>
      <c r="W3761" s="15">
        <f t="shared" ref="W3761:W3841" si="320">SUM(K3761:V3761)</f>
        <v>0</v>
      </c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15">
        <f t="shared" ref="AJ3761:AJ3841" si="321">SUM(X3761:AI3761)</f>
        <v>0</v>
      </c>
      <c r="AK3761" s="14"/>
      <c r="AL3761" s="14"/>
      <c r="AM3761" s="14"/>
      <c r="AN3761" s="14"/>
      <c r="AO3761" s="14"/>
      <c r="AP3761" s="14"/>
      <c r="AQ3761" s="14"/>
      <c r="AR3761" s="14"/>
      <c r="AS3761" s="14"/>
      <c r="AT3761" s="14"/>
      <c r="AU3761" s="14"/>
      <c r="AV3761" s="14"/>
      <c r="AW3761" s="15"/>
      <c r="AX3761" s="16"/>
    </row>
    <row r="3762" spans="2:52" x14ac:dyDescent="0.2">
      <c r="B3762" s="7"/>
      <c r="C3762" s="8">
        <v>14131</v>
      </c>
      <c r="D3762" s="9" t="s">
        <v>503</v>
      </c>
      <c r="E3762" s="10" t="str">
        <f t="shared" si="317"/>
        <v>Rancho Landero No. 2, 2</v>
      </c>
      <c r="F3762" s="10" t="str">
        <f t="shared" si="318"/>
        <v>Sanchez</v>
      </c>
      <c r="G3762" s="8">
        <v>7</v>
      </c>
      <c r="H3762" s="11">
        <v>100</v>
      </c>
      <c r="I3762" s="12">
        <v>42822</v>
      </c>
      <c r="J3762" s="35">
        <f t="shared" si="319"/>
        <v>0</v>
      </c>
      <c r="K3762" s="36"/>
      <c r="L3762" s="36"/>
      <c r="M3762" s="36"/>
      <c r="N3762" s="36"/>
      <c r="O3762" s="36"/>
      <c r="P3762" s="36"/>
      <c r="Q3762" s="36"/>
      <c r="R3762" s="36"/>
      <c r="S3762" s="36"/>
      <c r="T3762" s="36"/>
      <c r="U3762" s="36"/>
      <c r="V3762" s="36"/>
      <c r="W3762" s="15">
        <f t="shared" si="320"/>
        <v>0</v>
      </c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15">
        <f t="shared" si="321"/>
        <v>0</v>
      </c>
      <c r="AK3762" s="14"/>
      <c r="AL3762" s="14"/>
      <c r="AM3762" s="14"/>
      <c r="AN3762" s="14"/>
      <c r="AO3762" s="14"/>
      <c r="AP3762" s="14"/>
      <c r="AQ3762" s="14"/>
      <c r="AR3762" s="14"/>
      <c r="AS3762" s="14"/>
      <c r="AT3762" s="14"/>
      <c r="AU3762" s="14"/>
      <c r="AV3762" s="14"/>
      <c r="AW3762" s="15"/>
      <c r="AX3762" s="16" t="s">
        <v>3533</v>
      </c>
    </row>
    <row r="3763" spans="2:52" x14ac:dyDescent="0.2">
      <c r="B3763" s="7"/>
      <c r="C3763" s="8">
        <v>14132</v>
      </c>
      <c r="D3763" s="9" t="s">
        <v>899</v>
      </c>
      <c r="E3763" s="10" t="str">
        <f t="shared" si="317"/>
        <v>Rancho Landero No. 8</v>
      </c>
      <c r="F3763" s="10" t="str">
        <f t="shared" si="318"/>
        <v>Garces Suarez</v>
      </c>
      <c r="G3763" s="8">
        <v>7</v>
      </c>
      <c r="H3763" s="11">
        <v>100</v>
      </c>
      <c r="I3763" s="12">
        <v>42822</v>
      </c>
      <c r="J3763" s="35">
        <f t="shared" si="319"/>
        <v>0</v>
      </c>
      <c r="K3763" s="36"/>
      <c r="L3763" s="36"/>
      <c r="M3763" s="36"/>
      <c r="N3763" s="36"/>
      <c r="O3763" s="36"/>
      <c r="P3763" s="36"/>
      <c r="Q3763" s="36"/>
      <c r="R3763" s="36"/>
      <c r="S3763" s="36"/>
      <c r="T3763" s="36"/>
      <c r="U3763" s="36"/>
      <c r="V3763" s="36"/>
      <c r="W3763" s="15">
        <f t="shared" si="320"/>
        <v>0</v>
      </c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15">
        <f t="shared" si="321"/>
        <v>0</v>
      </c>
      <c r="AK3763" s="14"/>
      <c r="AL3763" s="14"/>
      <c r="AM3763" s="14"/>
      <c r="AN3763" s="14"/>
      <c r="AO3763" s="14"/>
      <c r="AP3763" s="14"/>
      <c r="AQ3763" s="14"/>
      <c r="AR3763" s="14"/>
      <c r="AS3763" s="14"/>
      <c r="AT3763" s="14"/>
      <c r="AU3763" s="14"/>
      <c r="AV3763" s="14"/>
      <c r="AW3763" s="15"/>
      <c r="AX3763" s="16" t="s">
        <v>3533</v>
      </c>
    </row>
    <row r="3764" spans="2:52" x14ac:dyDescent="0.2">
      <c r="B3764" s="7"/>
      <c r="C3764" s="8">
        <v>14133</v>
      </c>
      <c r="D3764" s="9" t="s">
        <v>708</v>
      </c>
      <c r="E3764" s="10" t="str">
        <f t="shared" si="317"/>
        <v>Rancho Landero No. 21</v>
      </c>
      <c r="F3764" s="10" t="str">
        <f t="shared" si="318"/>
        <v>Meza</v>
      </c>
      <c r="G3764" s="8">
        <v>7</v>
      </c>
      <c r="H3764" s="11">
        <v>100</v>
      </c>
      <c r="I3764" s="12">
        <v>42822</v>
      </c>
      <c r="J3764" s="35">
        <f t="shared" si="319"/>
        <v>0</v>
      </c>
      <c r="K3764" s="36"/>
      <c r="L3764" s="36"/>
      <c r="M3764" s="36"/>
      <c r="N3764" s="36"/>
      <c r="O3764" s="36"/>
      <c r="P3764" s="36"/>
      <c r="Q3764" s="36"/>
      <c r="R3764" s="36"/>
      <c r="S3764" s="36"/>
      <c r="T3764" s="36"/>
      <c r="U3764" s="36"/>
      <c r="V3764" s="36"/>
      <c r="W3764" s="15">
        <f t="shared" si="320"/>
        <v>0</v>
      </c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15">
        <f t="shared" si="321"/>
        <v>0</v>
      </c>
      <c r="AK3764" s="14"/>
      <c r="AL3764" s="14"/>
      <c r="AM3764" s="14"/>
      <c r="AN3764" s="14"/>
      <c r="AO3764" s="14"/>
      <c r="AP3764" s="14"/>
      <c r="AQ3764" s="14"/>
      <c r="AR3764" s="14"/>
      <c r="AS3764" s="14"/>
      <c r="AT3764" s="14"/>
      <c r="AU3764" s="14"/>
      <c r="AV3764" s="14"/>
      <c r="AW3764" s="15"/>
      <c r="AX3764" s="16" t="s">
        <v>3533</v>
      </c>
    </row>
    <row r="3765" spans="2:52" x14ac:dyDescent="0.2">
      <c r="B3765" s="7"/>
      <c r="C3765" s="8">
        <v>14134</v>
      </c>
      <c r="D3765" s="9" t="s">
        <v>364</v>
      </c>
      <c r="E3765" s="10" t="str">
        <f t="shared" si="317"/>
        <v>Rancho Landero No. 37</v>
      </c>
      <c r="F3765" s="10" t="str">
        <f t="shared" si="318"/>
        <v>Hernández</v>
      </c>
      <c r="G3765" s="8">
        <v>7</v>
      </c>
      <c r="H3765" s="11">
        <v>100</v>
      </c>
      <c r="I3765" s="12">
        <v>42822</v>
      </c>
      <c r="J3765" s="35">
        <f t="shared" si="319"/>
        <v>0</v>
      </c>
      <c r="K3765" s="36"/>
      <c r="L3765" s="36"/>
      <c r="M3765" s="36"/>
      <c r="N3765" s="36"/>
      <c r="O3765" s="36"/>
      <c r="P3765" s="36"/>
      <c r="Q3765" s="36"/>
      <c r="R3765" s="36"/>
      <c r="S3765" s="36"/>
      <c r="T3765" s="36"/>
      <c r="U3765" s="36"/>
      <c r="V3765" s="36"/>
      <c r="W3765" s="15">
        <f t="shared" si="320"/>
        <v>0</v>
      </c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15">
        <f t="shared" si="321"/>
        <v>0</v>
      </c>
      <c r="AK3765" s="14"/>
      <c r="AL3765" s="14"/>
      <c r="AM3765" s="14"/>
      <c r="AN3765" s="14"/>
      <c r="AO3765" s="14"/>
      <c r="AP3765" s="14"/>
      <c r="AQ3765" s="14"/>
      <c r="AR3765" s="14"/>
      <c r="AS3765" s="14"/>
      <c r="AT3765" s="14"/>
      <c r="AU3765" s="14"/>
      <c r="AV3765" s="14"/>
      <c r="AW3765" s="15"/>
      <c r="AX3765" s="16" t="s">
        <v>3533</v>
      </c>
    </row>
    <row r="3766" spans="2:52" x14ac:dyDescent="0.2">
      <c r="B3766" s="7"/>
      <c r="C3766" s="8">
        <v>14135</v>
      </c>
      <c r="D3766" s="9" t="s">
        <v>628</v>
      </c>
      <c r="E3766" s="10" t="str">
        <f t="shared" si="317"/>
        <v>Rancho Landero No. 51</v>
      </c>
      <c r="F3766" s="10" t="str">
        <f t="shared" si="318"/>
        <v>H. Robles Tamayo</v>
      </c>
      <c r="G3766" s="8">
        <v>7</v>
      </c>
      <c r="H3766" s="11">
        <v>100</v>
      </c>
      <c r="I3766" s="12">
        <v>42822</v>
      </c>
      <c r="J3766" s="35">
        <f t="shared" si="319"/>
        <v>0</v>
      </c>
      <c r="K3766" s="36"/>
      <c r="L3766" s="36"/>
      <c r="M3766" s="36"/>
      <c r="N3766" s="36"/>
      <c r="O3766" s="36"/>
      <c r="P3766" s="36"/>
      <c r="Q3766" s="36"/>
      <c r="R3766" s="36"/>
      <c r="S3766" s="36"/>
      <c r="T3766" s="36"/>
      <c r="U3766" s="36"/>
      <c r="V3766" s="36"/>
      <c r="W3766" s="15">
        <f t="shared" si="320"/>
        <v>0</v>
      </c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15">
        <f t="shared" si="321"/>
        <v>0</v>
      </c>
      <c r="AK3766" s="14"/>
      <c r="AL3766" s="14"/>
      <c r="AM3766" s="14"/>
      <c r="AN3766" s="14"/>
      <c r="AO3766" s="14"/>
      <c r="AP3766" s="14"/>
      <c r="AQ3766" s="14"/>
      <c r="AR3766" s="14"/>
      <c r="AS3766" s="14"/>
      <c r="AT3766" s="14"/>
      <c r="AU3766" s="14"/>
      <c r="AV3766" s="14"/>
      <c r="AW3766" s="15"/>
      <c r="AX3766" s="16" t="s">
        <v>3533</v>
      </c>
    </row>
    <row r="3767" spans="2:52" x14ac:dyDescent="0.2">
      <c r="B3767" s="7"/>
      <c r="C3767" s="8">
        <v>14136</v>
      </c>
      <c r="D3767" s="9" t="s">
        <v>1391</v>
      </c>
      <c r="E3767" s="10" t="str">
        <f t="shared" ref="E3767:E3774" si="322">IF(D3767=0,"",VLOOKUP(D3767,BASE,2,FALSE))</f>
        <v>Rancho Landero No. 54, 1</v>
      </c>
      <c r="F3767" s="10" t="str">
        <f t="shared" ref="F3767:F3774" si="323">IF(D3767=0,"",VLOOKUP(D3767,BASE,3,FALSE))</f>
        <v>Montes de Oca</v>
      </c>
      <c r="G3767" s="8">
        <v>5</v>
      </c>
      <c r="H3767" s="11">
        <v>50</v>
      </c>
      <c r="I3767" s="12">
        <v>42822</v>
      </c>
      <c r="J3767" s="35">
        <f t="shared" ref="J3767:J3774" si="324">IF(G3767=1,SUM(W3767,AJ3767,-H3767),0)</f>
        <v>0</v>
      </c>
      <c r="K3767" s="36"/>
      <c r="L3767" s="36"/>
      <c r="M3767" s="36"/>
      <c r="N3767" s="36"/>
      <c r="O3767" s="36"/>
      <c r="P3767" s="36"/>
      <c r="Q3767" s="36"/>
      <c r="R3767" s="36"/>
      <c r="S3767" s="36"/>
      <c r="T3767" s="36"/>
      <c r="U3767" s="36"/>
      <c r="V3767" s="36"/>
      <c r="W3767" s="15">
        <f t="shared" ref="W3767:W3774" si="325">SUM(K3767:V3767)</f>
        <v>0</v>
      </c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15">
        <f t="shared" ref="AJ3767:AJ3774" si="326">SUM(X3767:AI3767)</f>
        <v>0</v>
      </c>
      <c r="AK3767" s="14"/>
      <c r="AL3767" s="14"/>
      <c r="AM3767" s="14"/>
      <c r="AN3767" s="14"/>
      <c r="AO3767" s="14"/>
      <c r="AP3767" s="14"/>
      <c r="AQ3767" s="14"/>
      <c r="AR3767" s="14"/>
      <c r="AS3767" s="14"/>
      <c r="AT3767" s="14"/>
      <c r="AU3767" s="14"/>
      <c r="AV3767" s="14"/>
      <c r="AW3767" s="15"/>
      <c r="AX3767" s="16"/>
    </row>
    <row r="3768" spans="2:52" x14ac:dyDescent="0.2">
      <c r="B3768" s="7"/>
      <c r="C3768" s="8">
        <v>14136</v>
      </c>
      <c r="D3768" s="9" t="s">
        <v>1391</v>
      </c>
      <c r="E3768" s="10" t="str">
        <f t="shared" si="322"/>
        <v>Rancho Landero No. 54, 1</v>
      </c>
      <c r="F3768" s="10" t="str">
        <f t="shared" si="323"/>
        <v>Montes de Oca</v>
      </c>
      <c r="G3768" s="8">
        <v>7</v>
      </c>
      <c r="H3768" s="11">
        <v>100</v>
      </c>
      <c r="I3768" s="12">
        <v>42822</v>
      </c>
      <c r="J3768" s="35">
        <f t="shared" si="324"/>
        <v>0</v>
      </c>
      <c r="K3768" s="36"/>
      <c r="L3768" s="36"/>
      <c r="M3768" s="36"/>
      <c r="N3768" s="36"/>
      <c r="O3768" s="36"/>
      <c r="P3768" s="36"/>
      <c r="Q3768" s="36"/>
      <c r="R3768" s="36"/>
      <c r="S3768" s="36"/>
      <c r="T3768" s="36"/>
      <c r="U3768" s="36"/>
      <c r="V3768" s="36"/>
      <c r="W3768" s="15">
        <f t="shared" si="325"/>
        <v>0</v>
      </c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15">
        <f t="shared" si="326"/>
        <v>0</v>
      </c>
      <c r="AK3768" s="14"/>
      <c r="AL3768" s="14"/>
      <c r="AM3768" s="14"/>
      <c r="AN3768" s="14"/>
      <c r="AO3768" s="14"/>
      <c r="AP3768" s="14"/>
      <c r="AQ3768" s="14"/>
      <c r="AR3768" s="14"/>
      <c r="AS3768" s="14"/>
      <c r="AT3768" s="14"/>
      <c r="AU3768" s="14"/>
      <c r="AV3768" s="14"/>
      <c r="AW3768" s="15"/>
      <c r="AX3768" s="16" t="s">
        <v>3533</v>
      </c>
    </row>
    <row r="3769" spans="2:52" x14ac:dyDescent="0.2">
      <c r="B3769" s="7"/>
      <c r="C3769" s="8">
        <v>14137</v>
      </c>
      <c r="D3769" s="9" t="s">
        <v>1085</v>
      </c>
      <c r="E3769" s="10" t="str">
        <f t="shared" si="322"/>
        <v>Rancho Landero No. 75</v>
      </c>
      <c r="F3769" s="10" t="str">
        <f t="shared" si="323"/>
        <v>López Fara</v>
      </c>
      <c r="G3769" s="8">
        <v>7</v>
      </c>
      <c r="H3769" s="11">
        <v>100</v>
      </c>
      <c r="I3769" s="12">
        <v>42822</v>
      </c>
      <c r="J3769" s="35">
        <f t="shared" si="324"/>
        <v>0</v>
      </c>
      <c r="K3769" s="36"/>
      <c r="L3769" s="36"/>
      <c r="M3769" s="36"/>
      <c r="N3769" s="36"/>
      <c r="O3769" s="36"/>
      <c r="P3769" s="36"/>
      <c r="Q3769" s="36"/>
      <c r="R3769" s="36"/>
      <c r="S3769" s="36"/>
      <c r="T3769" s="36"/>
      <c r="U3769" s="36"/>
      <c r="V3769" s="36"/>
      <c r="W3769" s="15">
        <f t="shared" si="325"/>
        <v>0</v>
      </c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15">
        <f t="shared" si="326"/>
        <v>0</v>
      </c>
      <c r="AK3769" s="14"/>
      <c r="AL3769" s="14"/>
      <c r="AM3769" s="14"/>
      <c r="AN3769" s="14"/>
      <c r="AO3769" s="14"/>
      <c r="AP3769" s="14"/>
      <c r="AQ3769" s="14"/>
      <c r="AR3769" s="14"/>
      <c r="AS3769" s="14"/>
      <c r="AT3769" s="14"/>
      <c r="AU3769" s="14"/>
      <c r="AV3769" s="14"/>
      <c r="AW3769" s="15"/>
      <c r="AX3769" s="16" t="s">
        <v>3533</v>
      </c>
    </row>
    <row r="3770" spans="2:52" x14ac:dyDescent="0.2">
      <c r="B3770" s="7"/>
      <c r="C3770" s="8">
        <v>14138</v>
      </c>
      <c r="D3770" s="9" t="s">
        <v>983</v>
      </c>
      <c r="E3770" s="10" t="str">
        <f t="shared" si="322"/>
        <v>Rancho Landero No. 93</v>
      </c>
      <c r="F3770" s="10" t="str">
        <f t="shared" si="323"/>
        <v>Ortega López</v>
      </c>
      <c r="G3770" s="8">
        <v>7</v>
      </c>
      <c r="H3770" s="11">
        <v>100</v>
      </c>
      <c r="I3770" s="12">
        <v>42822</v>
      </c>
      <c r="J3770" s="35">
        <f t="shared" si="324"/>
        <v>0</v>
      </c>
      <c r="K3770" s="36"/>
      <c r="L3770" s="36"/>
      <c r="M3770" s="36"/>
      <c r="N3770" s="36"/>
      <c r="O3770" s="36"/>
      <c r="P3770" s="36"/>
      <c r="Q3770" s="36"/>
      <c r="R3770" s="36"/>
      <c r="S3770" s="36"/>
      <c r="T3770" s="36"/>
      <c r="U3770" s="36"/>
      <c r="V3770" s="36"/>
      <c r="W3770" s="15">
        <f t="shared" si="325"/>
        <v>0</v>
      </c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15">
        <f t="shared" si="326"/>
        <v>0</v>
      </c>
      <c r="AK3770" s="14"/>
      <c r="AL3770" s="14"/>
      <c r="AM3770" s="14"/>
      <c r="AN3770" s="14"/>
      <c r="AO3770" s="14"/>
      <c r="AP3770" s="14"/>
      <c r="AQ3770" s="14"/>
      <c r="AR3770" s="14"/>
      <c r="AS3770" s="14"/>
      <c r="AT3770" s="14"/>
      <c r="AU3770" s="14"/>
      <c r="AV3770" s="14"/>
      <c r="AW3770" s="15"/>
      <c r="AX3770" s="16" t="s">
        <v>3533</v>
      </c>
      <c r="AZ3770" s="112">
        <f>SUM(H3761:H3770)</f>
        <v>900</v>
      </c>
    </row>
    <row r="3771" spans="2:52" x14ac:dyDescent="0.2">
      <c r="B3771" s="7"/>
      <c r="C3771" s="8">
        <v>14139</v>
      </c>
      <c r="D3771" s="9" t="s">
        <v>78</v>
      </c>
      <c r="E3771" s="10" t="str">
        <f t="shared" si="322"/>
        <v>Rancho Zinamba No. 12</v>
      </c>
      <c r="F3771" s="10" t="str">
        <f t="shared" si="323"/>
        <v>Ramírez Soto</v>
      </c>
      <c r="G3771" s="8">
        <v>4</v>
      </c>
      <c r="H3771" s="315">
        <v>200</v>
      </c>
      <c r="I3771" s="12">
        <v>42823</v>
      </c>
      <c r="J3771" s="35">
        <f t="shared" si="324"/>
        <v>0</v>
      </c>
      <c r="K3771" s="36"/>
      <c r="L3771" s="36"/>
      <c r="M3771" s="36"/>
      <c r="N3771" s="36"/>
      <c r="O3771" s="36"/>
      <c r="P3771" s="36"/>
      <c r="Q3771" s="36"/>
      <c r="R3771" s="36"/>
      <c r="S3771" s="36"/>
      <c r="T3771" s="36"/>
      <c r="U3771" s="36"/>
      <c r="V3771" s="36"/>
      <c r="W3771" s="15">
        <f t="shared" si="325"/>
        <v>0</v>
      </c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15">
        <f t="shared" si="326"/>
        <v>0</v>
      </c>
      <c r="AK3771" s="14"/>
      <c r="AL3771" s="14"/>
      <c r="AM3771" s="14"/>
      <c r="AN3771" s="14"/>
      <c r="AO3771" s="14"/>
      <c r="AP3771" s="14"/>
      <c r="AQ3771" s="14"/>
      <c r="AR3771" s="14"/>
      <c r="AS3771" s="14"/>
      <c r="AT3771" s="14"/>
      <c r="AU3771" s="14"/>
      <c r="AV3771" s="14"/>
      <c r="AW3771" s="15"/>
      <c r="AX3771" s="16" t="s">
        <v>3818</v>
      </c>
    </row>
    <row r="3772" spans="2:52" x14ac:dyDescent="0.2">
      <c r="B3772" s="7"/>
      <c r="C3772" s="8">
        <v>14140</v>
      </c>
      <c r="D3772" s="9" t="s">
        <v>1417</v>
      </c>
      <c r="E3772" s="10" t="str">
        <f t="shared" si="322"/>
        <v>Rancho Upácuaro No. 34</v>
      </c>
      <c r="F3772" s="10" t="str">
        <f t="shared" si="323"/>
        <v>Gómez González</v>
      </c>
      <c r="G3772" s="8">
        <v>1</v>
      </c>
      <c r="H3772" s="11">
        <v>300</v>
      </c>
      <c r="I3772" s="12">
        <v>42823</v>
      </c>
      <c r="J3772" s="35">
        <f t="shared" si="324"/>
        <v>0</v>
      </c>
      <c r="K3772" s="36"/>
      <c r="L3772" s="36"/>
      <c r="M3772" s="36"/>
      <c r="N3772" s="36"/>
      <c r="O3772" s="36"/>
      <c r="P3772" s="36"/>
      <c r="Q3772" s="36"/>
      <c r="R3772" s="36"/>
      <c r="S3772" s="36"/>
      <c r="T3772" s="36"/>
      <c r="U3772" s="36"/>
      <c r="V3772" s="36"/>
      <c r="W3772" s="15">
        <f t="shared" si="325"/>
        <v>0</v>
      </c>
      <c r="X3772" s="36"/>
      <c r="Y3772" s="36"/>
      <c r="Z3772" s="36">
        <v>300</v>
      </c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15">
        <f t="shared" si="326"/>
        <v>300</v>
      </c>
      <c r="AK3772" s="14"/>
      <c r="AL3772" s="14"/>
      <c r="AM3772" s="14"/>
      <c r="AN3772" s="14"/>
      <c r="AO3772" s="14"/>
      <c r="AP3772" s="14"/>
      <c r="AQ3772" s="14"/>
      <c r="AR3772" s="14"/>
      <c r="AS3772" s="14"/>
      <c r="AT3772" s="14"/>
      <c r="AU3772" s="14"/>
      <c r="AV3772" s="14"/>
      <c r="AW3772" s="15"/>
      <c r="AX3772" s="16"/>
    </row>
    <row r="3773" spans="2:52" x14ac:dyDescent="0.2">
      <c r="B3773" s="7"/>
      <c r="C3773" s="8">
        <v>14140</v>
      </c>
      <c r="D3773" s="9" t="s">
        <v>1417</v>
      </c>
      <c r="E3773" s="10" t="str">
        <f t="shared" si="322"/>
        <v>Rancho Upácuaro No. 34</v>
      </c>
      <c r="F3773" s="10" t="str">
        <f t="shared" si="323"/>
        <v>Gómez González</v>
      </c>
      <c r="G3773" s="8">
        <v>7</v>
      </c>
      <c r="H3773" s="11">
        <v>100</v>
      </c>
      <c r="I3773" s="12">
        <v>42823</v>
      </c>
      <c r="J3773" s="35">
        <f t="shared" si="324"/>
        <v>0</v>
      </c>
      <c r="K3773" s="36"/>
      <c r="L3773" s="36"/>
      <c r="M3773" s="36"/>
      <c r="N3773" s="36"/>
      <c r="O3773" s="36"/>
      <c r="P3773" s="36"/>
      <c r="Q3773" s="36"/>
      <c r="R3773" s="36"/>
      <c r="S3773" s="36"/>
      <c r="T3773" s="36"/>
      <c r="U3773" s="36"/>
      <c r="V3773" s="36"/>
      <c r="W3773" s="15">
        <f t="shared" si="325"/>
        <v>0</v>
      </c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15">
        <f t="shared" si="326"/>
        <v>0</v>
      </c>
      <c r="AK3773" s="14"/>
      <c r="AL3773" s="14"/>
      <c r="AM3773" s="14"/>
      <c r="AN3773" s="14"/>
      <c r="AO3773" s="14"/>
      <c r="AP3773" s="14"/>
      <c r="AQ3773" s="14"/>
      <c r="AR3773" s="14"/>
      <c r="AS3773" s="14"/>
      <c r="AT3773" s="14"/>
      <c r="AU3773" s="14"/>
      <c r="AV3773" s="14"/>
      <c r="AW3773" s="15"/>
      <c r="AX3773" s="16" t="s">
        <v>3533</v>
      </c>
    </row>
    <row r="3774" spans="2:52" x14ac:dyDescent="0.2">
      <c r="B3774" s="7"/>
      <c r="C3774" s="8">
        <v>14141</v>
      </c>
      <c r="D3774" s="9" t="s">
        <v>1181</v>
      </c>
      <c r="E3774" s="10" t="str">
        <f t="shared" si="322"/>
        <v>Rancho Upácuaro No. 31</v>
      </c>
      <c r="F3774" s="10" t="str">
        <f t="shared" si="323"/>
        <v>Gallardo Ávila</v>
      </c>
      <c r="G3774" s="8">
        <v>1</v>
      </c>
      <c r="H3774" s="11">
        <v>400</v>
      </c>
      <c r="I3774" s="12">
        <v>42823</v>
      </c>
      <c r="J3774" s="35">
        <f t="shared" si="324"/>
        <v>0</v>
      </c>
      <c r="K3774" s="36"/>
      <c r="L3774" s="36"/>
      <c r="M3774" s="36"/>
      <c r="N3774" s="36"/>
      <c r="O3774" s="36"/>
      <c r="P3774" s="36"/>
      <c r="Q3774" s="36"/>
      <c r="R3774" s="36"/>
      <c r="S3774" s="36"/>
      <c r="T3774" s="36"/>
      <c r="U3774" s="36"/>
      <c r="V3774" s="36"/>
      <c r="W3774" s="15">
        <f t="shared" si="325"/>
        <v>0</v>
      </c>
      <c r="X3774" s="36">
        <v>200</v>
      </c>
      <c r="Y3774" s="36">
        <v>200</v>
      </c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15">
        <f t="shared" si="326"/>
        <v>400</v>
      </c>
      <c r="AK3774" s="14"/>
      <c r="AL3774" s="14"/>
      <c r="AM3774" s="14"/>
      <c r="AN3774" s="14"/>
      <c r="AO3774" s="14"/>
      <c r="AP3774" s="14"/>
      <c r="AQ3774" s="14"/>
      <c r="AR3774" s="14"/>
      <c r="AS3774" s="14"/>
      <c r="AT3774" s="14"/>
      <c r="AU3774" s="14"/>
      <c r="AV3774" s="14"/>
      <c r="AW3774" s="15"/>
      <c r="AX3774" s="16"/>
    </row>
    <row r="3775" spans="2:52" x14ac:dyDescent="0.2">
      <c r="B3775" s="7"/>
      <c r="C3775" s="8">
        <v>14142</v>
      </c>
      <c r="D3775" s="9" t="s">
        <v>852</v>
      </c>
      <c r="E3775" s="10" t="str">
        <f t="shared" ref="E3775:E3783" si="327">IF(D3775=0,"",VLOOKUP(D3775,BASE,2,FALSE))</f>
        <v>Rancho La Cuchilla No. 97</v>
      </c>
      <c r="F3775" s="10" t="str">
        <f t="shared" ref="F3775:F3783" si="328">IF(D3775=0,"",VLOOKUP(D3775,BASE,3,FALSE))</f>
        <v>López Ruiz</v>
      </c>
      <c r="G3775" s="8">
        <v>1</v>
      </c>
      <c r="H3775" s="11">
        <v>900</v>
      </c>
      <c r="I3775" s="12">
        <v>42823</v>
      </c>
      <c r="J3775" s="35">
        <f t="shared" ref="J3775:J3783" si="329">IF(G3775=1,SUM(W3775,AJ3775,-H3775),0)</f>
        <v>0</v>
      </c>
      <c r="K3775" s="36"/>
      <c r="L3775" s="36"/>
      <c r="M3775" s="36"/>
      <c r="N3775" s="36"/>
      <c r="O3775" s="36"/>
      <c r="P3775" s="36"/>
      <c r="Q3775" s="36"/>
      <c r="R3775" s="36"/>
      <c r="S3775" s="36"/>
      <c r="T3775" s="36"/>
      <c r="U3775" s="36"/>
      <c r="V3775" s="36"/>
      <c r="W3775" s="15">
        <f t="shared" ref="W3775:W3783" si="330">SUM(K3775:V3775)</f>
        <v>0</v>
      </c>
      <c r="X3775" s="36">
        <v>300</v>
      </c>
      <c r="Y3775" s="36">
        <v>300</v>
      </c>
      <c r="Z3775" s="36">
        <v>300</v>
      </c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15">
        <f t="shared" ref="AJ3775:AJ3783" si="331">SUM(X3775:AI3775)</f>
        <v>900</v>
      </c>
      <c r="AK3775" s="14"/>
      <c r="AL3775" s="14"/>
      <c r="AM3775" s="14"/>
      <c r="AN3775" s="14"/>
      <c r="AO3775" s="14"/>
      <c r="AP3775" s="14"/>
      <c r="AQ3775" s="14"/>
      <c r="AR3775" s="14"/>
      <c r="AS3775" s="14"/>
      <c r="AT3775" s="14"/>
      <c r="AU3775" s="14"/>
      <c r="AV3775" s="14"/>
      <c r="AW3775" s="15"/>
      <c r="AX3775" s="16"/>
    </row>
    <row r="3776" spans="2:52" x14ac:dyDescent="0.2">
      <c r="B3776" s="7"/>
      <c r="C3776" s="8">
        <v>14143</v>
      </c>
      <c r="D3776" s="9" t="s">
        <v>186</v>
      </c>
      <c r="E3776" s="10" t="str">
        <f t="shared" si="327"/>
        <v>Rancho Upácuaro No. 100</v>
      </c>
      <c r="F3776" s="10" t="str">
        <f t="shared" si="328"/>
        <v>Valdez</v>
      </c>
      <c r="G3776" s="8">
        <v>7</v>
      </c>
      <c r="H3776" s="11">
        <v>50</v>
      </c>
      <c r="I3776" s="12">
        <v>42824</v>
      </c>
      <c r="J3776" s="35">
        <f t="shared" si="329"/>
        <v>0</v>
      </c>
      <c r="K3776" s="36"/>
      <c r="L3776" s="36"/>
      <c r="M3776" s="36"/>
      <c r="N3776" s="36"/>
      <c r="O3776" s="36"/>
      <c r="P3776" s="36"/>
      <c r="Q3776" s="36"/>
      <c r="R3776" s="36"/>
      <c r="S3776" s="36"/>
      <c r="T3776" s="36"/>
      <c r="U3776" s="36"/>
      <c r="V3776" s="36"/>
      <c r="W3776" s="15">
        <f t="shared" si="330"/>
        <v>0</v>
      </c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15">
        <f t="shared" si="331"/>
        <v>0</v>
      </c>
      <c r="AK3776" s="14"/>
      <c r="AL3776" s="14"/>
      <c r="AM3776" s="14"/>
      <c r="AN3776" s="14"/>
      <c r="AO3776" s="14"/>
      <c r="AP3776" s="14"/>
      <c r="AQ3776" s="14"/>
      <c r="AR3776" s="14"/>
      <c r="AS3776" s="14"/>
      <c r="AT3776" s="14"/>
      <c r="AU3776" s="14"/>
      <c r="AV3776" s="14"/>
      <c r="AW3776" s="15"/>
      <c r="AX3776" s="16" t="s">
        <v>3533</v>
      </c>
    </row>
    <row r="3777" spans="1:50" x14ac:dyDescent="0.2">
      <c r="B3777" s="7"/>
      <c r="C3777" s="8">
        <v>14144</v>
      </c>
      <c r="D3777" s="9" t="s">
        <v>1082</v>
      </c>
      <c r="E3777" s="10" t="str">
        <f t="shared" si="327"/>
        <v>Rancho Upácuaro No. 36</v>
      </c>
      <c r="F3777" s="10" t="str">
        <f t="shared" si="328"/>
        <v>Araiza</v>
      </c>
      <c r="G3777" s="8">
        <v>7</v>
      </c>
      <c r="H3777" s="11">
        <v>100</v>
      </c>
      <c r="I3777" s="12">
        <v>42824</v>
      </c>
      <c r="J3777" s="35">
        <f t="shared" si="329"/>
        <v>0</v>
      </c>
      <c r="K3777" s="36"/>
      <c r="L3777" s="36"/>
      <c r="M3777" s="36"/>
      <c r="N3777" s="36"/>
      <c r="O3777" s="36"/>
      <c r="P3777" s="36"/>
      <c r="Q3777" s="36"/>
      <c r="R3777" s="36"/>
      <c r="S3777" s="36"/>
      <c r="T3777" s="36"/>
      <c r="U3777" s="36"/>
      <c r="V3777" s="36"/>
      <c r="W3777" s="15">
        <f t="shared" si="330"/>
        <v>0</v>
      </c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15">
        <f t="shared" si="331"/>
        <v>0</v>
      </c>
      <c r="AK3777" s="14"/>
      <c r="AL3777" s="14"/>
      <c r="AM3777" s="14"/>
      <c r="AN3777" s="14"/>
      <c r="AO3777" s="14"/>
      <c r="AP3777" s="14"/>
      <c r="AQ3777" s="14"/>
      <c r="AR3777" s="14"/>
      <c r="AS3777" s="14"/>
      <c r="AT3777" s="14"/>
      <c r="AU3777" s="14"/>
      <c r="AV3777" s="14"/>
      <c r="AW3777" s="15"/>
      <c r="AX3777" s="16" t="s">
        <v>3533</v>
      </c>
    </row>
    <row r="3778" spans="1:50" x14ac:dyDescent="0.2">
      <c r="B3778" s="7"/>
      <c r="C3778" s="8">
        <v>14145</v>
      </c>
      <c r="D3778" s="9" t="s">
        <v>1411</v>
      </c>
      <c r="E3778" s="10" t="str">
        <f t="shared" si="327"/>
        <v>Rancho Upácuaro No. 20</v>
      </c>
      <c r="F3778" s="10" t="str">
        <f t="shared" si="328"/>
        <v>Villaseñor Jorge</v>
      </c>
      <c r="G3778" s="8">
        <v>7</v>
      </c>
      <c r="H3778" s="11">
        <v>100</v>
      </c>
      <c r="I3778" s="12">
        <v>42824</v>
      </c>
      <c r="J3778" s="35">
        <f t="shared" si="329"/>
        <v>0</v>
      </c>
      <c r="K3778" s="36"/>
      <c r="L3778" s="36"/>
      <c r="M3778" s="36"/>
      <c r="N3778" s="36"/>
      <c r="O3778" s="36"/>
      <c r="P3778" s="36"/>
      <c r="Q3778" s="36"/>
      <c r="R3778" s="36"/>
      <c r="S3778" s="36"/>
      <c r="T3778" s="36"/>
      <c r="U3778" s="36"/>
      <c r="V3778" s="36"/>
      <c r="W3778" s="15">
        <f t="shared" si="330"/>
        <v>0</v>
      </c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15">
        <f t="shared" si="331"/>
        <v>0</v>
      </c>
      <c r="AK3778" s="14"/>
      <c r="AL3778" s="14"/>
      <c r="AM3778" s="14"/>
      <c r="AN3778" s="14"/>
      <c r="AO3778" s="14"/>
      <c r="AP3778" s="14"/>
      <c r="AQ3778" s="14"/>
      <c r="AR3778" s="14"/>
      <c r="AS3778" s="14"/>
      <c r="AT3778" s="14"/>
      <c r="AU3778" s="14"/>
      <c r="AV3778" s="14"/>
      <c r="AW3778" s="15"/>
      <c r="AX3778" s="16" t="s">
        <v>3533</v>
      </c>
    </row>
    <row r="3779" spans="1:50" x14ac:dyDescent="0.2">
      <c r="B3779" s="7"/>
      <c r="C3779" s="8">
        <v>14146</v>
      </c>
      <c r="D3779" s="9" t="s">
        <v>410</v>
      </c>
      <c r="E3779" s="10" t="str">
        <f t="shared" si="327"/>
        <v>Rancho Upácuaro No. 7</v>
      </c>
      <c r="F3779" s="10" t="str">
        <f t="shared" si="328"/>
        <v xml:space="preserve">Troncoso </v>
      </c>
      <c r="G3779" s="8">
        <v>7</v>
      </c>
      <c r="H3779" s="11">
        <v>100</v>
      </c>
      <c r="I3779" s="12">
        <v>42824</v>
      </c>
      <c r="J3779" s="35">
        <f t="shared" si="329"/>
        <v>0</v>
      </c>
      <c r="K3779" s="36"/>
      <c r="L3779" s="36"/>
      <c r="M3779" s="36"/>
      <c r="N3779" s="36"/>
      <c r="O3779" s="36"/>
      <c r="P3779" s="36"/>
      <c r="Q3779" s="36"/>
      <c r="R3779" s="36"/>
      <c r="S3779" s="36"/>
      <c r="T3779" s="36"/>
      <c r="U3779" s="36"/>
      <c r="V3779" s="36"/>
      <c r="W3779" s="15">
        <f t="shared" si="330"/>
        <v>0</v>
      </c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15">
        <f t="shared" si="331"/>
        <v>0</v>
      </c>
      <c r="AK3779" s="14"/>
      <c r="AL3779" s="14"/>
      <c r="AM3779" s="14"/>
      <c r="AN3779" s="14"/>
      <c r="AO3779" s="14"/>
      <c r="AP3779" s="14"/>
      <c r="AQ3779" s="14"/>
      <c r="AR3779" s="14"/>
      <c r="AS3779" s="14"/>
      <c r="AT3779" s="14"/>
      <c r="AU3779" s="14"/>
      <c r="AV3779" s="14"/>
      <c r="AW3779" s="15"/>
      <c r="AX3779" s="16" t="s">
        <v>3533</v>
      </c>
    </row>
    <row r="3780" spans="1:50" x14ac:dyDescent="0.2">
      <c r="B3780" s="7"/>
      <c r="C3780" s="8">
        <v>14147</v>
      </c>
      <c r="D3780" s="9" t="s">
        <v>960</v>
      </c>
      <c r="E3780" s="10" t="str">
        <f t="shared" si="327"/>
        <v>Rancho Landero No. 28</v>
      </c>
      <c r="F3780" s="10" t="str">
        <f t="shared" si="328"/>
        <v>Hernàndez Orteales</v>
      </c>
      <c r="G3780" s="8">
        <v>7</v>
      </c>
      <c r="H3780" s="11">
        <v>4000</v>
      </c>
      <c r="I3780" s="12">
        <v>42824</v>
      </c>
      <c r="J3780" s="35">
        <f t="shared" si="329"/>
        <v>0</v>
      </c>
      <c r="K3780" s="36"/>
      <c r="L3780" s="36"/>
      <c r="M3780" s="36"/>
      <c r="N3780" s="36"/>
      <c r="O3780" s="36"/>
      <c r="P3780" s="36"/>
      <c r="Q3780" s="36"/>
      <c r="R3780" s="36"/>
      <c r="S3780" s="36"/>
      <c r="T3780" s="36"/>
      <c r="U3780" s="36"/>
      <c r="V3780" s="36"/>
      <c r="W3780" s="15">
        <f t="shared" si="330"/>
        <v>0</v>
      </c>
      <c r="X3780" s="36"/>
      <c r="Y3780" s="36"/>
      <c r="Z3780" s="36"/>
      <c r="AA3780" s="36"/>
      <c r="AB3780" s="36"/>
      <c r="AC3780" s="36"/>
      <c r="AD3780" s="36"/>
      <c r="AE3780" s="36"/>
      <c r="AF3780" s="36"/>
      <c r="AG3780" s="36"/>
      <c r="AH3780" s="36"/>
      <c r="AI3780" s="36"/>
      <c r="AJ3780" s="15">
        <f t="shared" si="331"/>
        <v>0</v>
      </c>
      <c r="AK3780" s="14"/>
      <c r="AL3780" s="14"/>
      <c r="AM3780" s="14"/>
      <c r="AN3780" s="14"/>
      <c r="AO3780" s="14"/>
      <c r="AP3780" s="14"/>
      <c r="AQ3780" s="14"/>
      <c r="AR3780" s="14"/>
      <c r="AS3780" s="14"/>
      <c r="AT3780" s="14"/>
      <c r="AU3780" s="14"/>
      <c r="AV3780" s="14"/>
      <c r="AW3780" s="15"/>
      <c r="AX3780" s="16" t="s">
        <v>3819</v>
      </c>
    </row>
    <row r="3781" spans="1:50" x14ac:dyDescent="0.2">
      <c r="A3781" s="320" t="s">
        <v>2880</v>
      </c>
      <c r="B3781" s="7"/>
      <c r="C3781" s="8">
        <v>14212</v>
      </c>
      <c r="D3781" s="9" t="s">
        <v>211</v>
      </c>
      <c r="E3781" s="10" t="str">
        <f t="shared" si="327"/>
        <v>Rancho Upácuaro No. 46</v>
      </c>
      <c r="F3781" s="10" t="str">
        <f t="shared" si="328"/>
        <v>Fuentes</v>
      </c>
      <c r="G3781" s="8">
        <v>1</v>
      </c>
      <c r="H3781" s="11">
        <v>300</v>
      </c>
      <c r="I3781" s="12">
        <v>42801</v>
      </c>
      <c r="J3781" s="35">
        <f t="shared" si="329"/>
        <v>0</v>
      </c>
      <c r="K3781" s="36"/>
      <c r="L3781" s="36"/>
      <c r="M3781" s="36"/>
      <c r="N3781" s="36"/>
      <c r="O3781" s="36"/>
      <c r="P3781" s="36"/>
      <c r="Q3781" s="36"/>
      <c r="R3781" s="36"/>
      <c r="S3781" s="36"/>
      <c r="T3781" s="36"/>
      <c r="U3781" s="36"/>
      <c r="V3781" s="36"/>
      <c r="W3781" s="15">
        <f t="shared" si="330"/>
        <v>0</v>
      </c>
      <c r="X3781" s="36"/>
      <c r="Y3781" s="36"/>
      <c r="Z3781" s="36">
        <v>300</v>
      </c>
      <c r="AA3781" s="36"/>
      <c r="AB3781" s="36"/>
      <c r="AC3781" s="36"/>
      <c r="AD3781" s="36"/>
      <c r="AE3781" s="36"/>
      <c r="AF3781" s="36"/>
      <c r="AG3781" s="36"/>
      <c r="AH3781" s="36"/>
      <c r="AI3781" s="36"/>
      <c r="AJ3781" s="15">
        <f t="shared" si="331"/>
        <v>300</v>
      </c>
      <c r="AK3781" s="14"/>
      <c r="AL3781" s="14"/>
      <c r="AM3781" s="14"/>
      <c r="AN3781" s="14"/>
      <c r="AO3781" s="14"/>
      <c r="AP3781" s="14"/>
      <c r="AQ3781" s="14"/>
      <c r="AR3781" s="14"/>
      <c r="AS3781" s="14"/>
      <c r="AT3781" s="14"/>
      <c r="AU3781" s="14"/>
      <c r="AV3781" s="14"/>
      <c r="AW3781" s="15"/>
      <c r="AX3781" s="16"/>
    </row>
    <row r="3782" spans="1:50" x14ac:dyDescent="0.2">
      <c r="B3782" s="7"/>
      <c r="C3782" s="8">
        <v>14213</v>
      </c>
      <c r="D3782" s="9" t="s">
        <v>208</v>
      </c>
      <c r="E3782" s="10" t="str">
        <f t="shared" si="327"/>
        <v>Rancho La Cuchilla No. 29</v>
      </c>
      <c r="F3782" s="10" t="str">
        <f t="shared" si="328"/>
        <v>Vega Sánchez C.</v>
      </c>
      <c r="G3782" s="8">
        <v>1</v>
      </c>
      <c r="H3782" s="11">
        <v>1200</v>
      </c>
      <c r="I3782" s="12">
        <v>42803</v>
      </c>
      <c r="J3782" s="35">
        <f t="shared" si="329"/>
        <v>0</v>
      </c>
      <c r="K3782" s="36"/>
      <c r="L3782" s="36"/>
      <c r="M3782" s="36"/>
      <c r="N3782" s="36"/>
      <c r="O3782" s="36"/>
      <c r="P3782" s="36"/>
      <c r="Q3782" s="36"/>
      <c r="R3782" s="36"/>
      <c r="S3782" s="36"/>
      <c r="T3782" s="36"/>
      <c r="U3782" s="36"/>
      <c r="V3782" s="36"/>
      <c r="W3782" s="15">
        <f t="shared" si="330"/>
        <v>0</v>
      </c>
      <c r="X3782" s="36">
        <v>400</v>
      </c>
      <c r="Y3782" s="36">
        <v>400</v>
      </c>
      <c r="Z3782" s="36">
        <v>400</v>
      </c>
      <c r="AA3782" s="36"/>
      <c r="AB3782" s="36"/>
      <c r="AC3782" s="36"/>
      <c r="AD3782" s="36"/>
      <c r="AE3782" s="36"/>
      <c r="AF3782" s="36"/>
      <c r="AG3782" s="36"/>
      <c r="AH3782" s="36"/>
      <c r="AI3782" s="36"/>
      <c r="AJ3782" s="15">
        <f t="shared" si="331"/>
        <v>1200</v>
      </c>
      <c r="AK3782" s="14"/>
      <c r="AL3782" s="14"/>
      <c r="AM3782" s="14"/>
      <c r="AN3782" s="14"/>
      <c r="AO3782" s="14"/>
      <c r="AP3782" s="14"/>
      <c r="AQ3782" s="14"/>
      <c r="AR3782" s="14"/>
      <c r="AS3782" s="14"/>
      <c r="AT3782" s="14"/>
      <c r="AU3782" s="14"/>
      <c r="AV3782" s="14"/>
      <c r="AW3782" s="15"/>
      <c r="AX3782" s="16"/>
    </row>
    <row r="3783" spans="1:50" x14ac:dyDescent="0.2">
      <c r="B3783" s="7"/>
      <c r="C3783" s="8">
        <v>14214</v>
      </c>
      <c r="D3783" s="9" t="s">
        <v>571</v>
      </c>
      <c r="E3783" s="10" t="str">
        <f t="shared" si="327"/>
        <v>Rancho Estanzuela No. 15, A</v>
      </c>
      <c r="F3783" s="10" t="str">
        <f t="shared" si="328"/>
        <v>González</v>
      </c>
      <c r="G3783" s="8">
        <v>1</v>
      </c>
      <c r="H3783" s="11">
        <v>200</v>
      </c>
      <c r="I3783" s="12">
        <v>42804</v>
      </c>
      <c r="J3783" s="35">
        <f t="shared" si="329"/>
        <v>0</v>
      </c>
      <c r="K3783" s="36"/>
      <c r="L3783" s="36"/>
      <c r="M3783" s="36"/>
      <c r="N3783" s="36"/>
      <c r="O3783" s="36"/>
      <c r="P3783" s="36"/>
      <c r="Q3783" s="36"/>
      <c r="R3783" s="36"/>
      <c r="S3783" s="36"/>
      <c r="T3783" s="36"/>
      <c r="U3783" s="36"/>
      <c r="V3783" s="36"/>
      <c r="W3783" s="15">
        <f t="shared" si="330"/>
        <v>0</v>
      </c>
      <c r="X3783" s="36"/>
      <c r="Y3783" s="36">
        <v>200</v>
      </c>
      <c r="Z3783" s="36"/>
      <c r="AA3783" s="36"/>
      <c r="AB3783" s="36"/>
      <c r="AC3783" s="36"/>
      <c r="AD3783" s="36"/>
      <c r="AE3783" s="36"/>
      <c r="AF3783" s="36"/>
      <c r="AG3783" s="36"/>
      <c r="AH3783" s="36"/>
      <c r="AI3783" s="36"/>
      <c r="AJ3783" s="15">
        <f t="shared" si="331"/>
        <v>200</v>
      </c>
      <c r="AK3783" s="14"/>
      <c r="AL3783" s="14"/>
      <c r="AM3783" s="14"/>
      <c r="AN3783" s="14"/>
      <c r="AO3783" s="14"/>
      <c r="AP3783" s="14"/>
      <c r="AQ3783" s="14"/>
      <c r="AR3783" s="14"/>
      <c r="AS3783" s="14"/>
      <c r="AT3783" s="14"/>
      <c r="AU3783" s="14"/>
      <c r="AV3783" s="14"/>
      <c r="AW3783" s="15"/>
      <c r="AX3783" s="16"/>
    </row>
    <row r="3784" spans="1:50" x14ac:dyDescent="0.2">
      <c r="B3784" s="7"/>
      <c r="C3784" s="8"/>
      <c r="D3784" s="9" t="s">
        <v>806</v>
      </c>
      <c r="E3784" s="10" t="str">
        <f t="shared" si="317"/>
        <v>Rancho Estanzuela No. 130, A</v>
      </c>
      <c r="F3784" s="10" t="str">
        <f t="shared" si="318"/>
        <v>Colegio Carmel</v>
      </c>
      <c r="G3784" s="8">
        <v>1</v>
      </c>
      <c r="H3784" s="11">
        <v>11000</v>
      </c>
      <c r="I3784" s="12">
        <v>42817</v>
      </c>
      <c r="J3784" s="35">
        <f t="shared" si="319"/>
        <v>0</v>
      </c>
      <c r="K3784" s="36"/>
      <c r="L3784" s="36"/>
      <c r="M3784" s="36"/>
      <c r="N3784" s="36"/>
      <c r="O3784" s="36"/>
      <c r="P3784" s="36"/>
      <c r="Q3784" s="36"/>
      <c r="R3784" s="36"/>
      <c r="S3784" s="36"/>
      <c r="T3784" s="36"/>
      <c r="U3784" s="36"/>
      <c r="V3784" s="36"/>
      <c r="W3784" s="15">
        <f t="shared" si="320"/>
        <v>0</v>
      </c>
      <c r="X3784" s="36"/>
      <c r="Y3784" s="36"/>
      <c r="Z3784" s="36">
        <v>11000</v>
      </c>
      <c r="AA3784" s="36"/>
      <c r="AB3784" s="36"/>
      <c r="AC3784" s="36"/>
      <c r="AD3784" s="36"/>
      <c r="AE3784" s="36"/>
      <c r="AF3784" s="36"/>
      <c r="AG3784" s="36"/>
      <c r="AH3784" s="36"/>
      <c r="AI3784" s="36"/>
      <c r="AJ3784" s="15">
        <f t="shared" si="321"/>
        <v>11000</v>
      </c>
      <c r="AK3784" s="14"/>
      <c r="AL3784" s="14"/>
      <c r="AM3784" s="14"/>
      <c r="AN3784" s="14"/>
      <c r="AO3784" s="14"/>
      <c r="AP3784" s="14"/>
      <c r="AQ3784" s="14"/>
      <c r="AR3784" s="14"/>
      <c r="AS3784" s="14"/>
      <c r="AT3784" s="14"/>
      <c r="AU3784" s="14"/>
      <c r="AV3784" s="14"/>
      <c r="AW3784" s="15"/>
      <c r="AX3784" s="16"/>
    </row>
    <row r="3785" spans="1:50" x14ac:dyDescent="0.2">
      <c r="B3785" s="7"/>
      <c r="C3785" s="8"/>
      <c r="D3785" s="9"/>
      <c r="E3785" s="10" t="str">
        <f t="shared" si="317"/>
        <v/>
      </c>
      <c r="F3785" s="10" t="str">
        <f t="shared" si="318"/>
        <v/>
      </c>
      <c r="G3785" s="8"/>
      <c r="H3785" s="11"/>
      <c r="I3785" s="12"/>
      <c r="J3785" s="35">
        <f t="shared" si="319"/>
        <v>0</v>
      </c>
      <c r="K3785" s="36"/>
      <c r="L3785" s="36"/>
      <c r="M3785" s="36"/>
      <c r="N3785" s="36"/>
      <c r="O3785" s="36"/>
      <c r="P3785" s="36"/>
      <c r="Q3785" s="36"/>
      <c r="R3785" s="36"/>
      <c r="S3785" s="36"/>
      <c r="T3785" s="36"/>
      <c r="U3785" s="36"/>
      <c r="V3785" s="36"/>
      <c r="W3785" s="15">
        <f t="shared" si="320"/>
        <v>0</v>
      </c>
      <c r="X3785" s="36"/>
      <c r="Y3785" s="36"/>
      <c r="Z3785" s="36"/>
      <c r="AA3785" s="36"/>
      <c r="AB3785" s="36"/>
      <c r="AC3785" s="36"/>
      <c r="AD3785" s="36"/>
      <c r="AE3785" s="36"/>
      <c r="AF3785" s="36"/>
      <c r="AG3785" s="36"/>
      <c r="AH3785" s="36"/>
      <c r="AI3785" s="36"/>
      <c r="AJ3785" s="15">
        <f t="shared" si="321"/>
        <v>0</v>
      </c>
      <c r="AK3785" s="14"/>
      <c r="AL3785" s="14"/>
      <c r="AM3785" s="14"/>
      <c r="AN3785" s="14"/>
      <c r="AO3785" s="14"/>
      <c r="AP3785" s="14"/>
      <c r="AQ3785" s="14"/>
      <c r="AR3785" s="14"/>
      <c r="AS3785" s="14"/>
      <c r="AT3785" s="14"/>
      <c r="AU3785" s="14"/>
      <c r="AV3785" s="14"/>
      <c r="AW3785" s="15"/>
      <c r="AX3785" s="16"/>
    </row>
    <row r="3786" spans="1:50" ht="22.5" x14ac:dyDescent="0.2">
      <c r="A3786" s="2"/>
      <c r="B3786" s="3" t="s">
        <v>1</v>
      </c>
      <c r="C3786" s="3" t="s">
        <v>2</v>
      </c>
      <c r="D3786" s="3" t="s">
        <v>3</v>
      </c>
      <c r="E3786" s="337" t="s">
        <v>4</v>
      </c>
      <c r="F3786" s="337" t="s">
        <v>5</v>
      </c>
      <c r="G3786" s="3" t="s">
        <v>6</v>
      </c>
      <c r="H3786" s="3" t="s">
        <v>7</v>
      </c>
      <c r="I3786" s="3" t="s">
        <v>8</v>
      </c>
      <c r="J3786" s="337" t="s">
        <v>9</v>
      </c>
      <c r="K3786" s="4" t="s">
        <v>10</v>
      </c>
      <c r="L3786" s="4" t="s">
        <v>11</v>
      </c>
      <c r="M3786" s="4" t="s">
        <v>12</v>
      </c>
      <c r="N3786" s="4" t="s">
        <v>13</v>
      </c>
      <c r="O3786" s="4" t="s">
        <v>14</v>
      </c>
      <c r="P3786" s="4" t="s">
        <v>15</v>
      </c>
      <c r="Q3786" s="4" t="s">
        <v>16</v>
      </c>
      <c r="R3786" s="4" t="s">
        <v>17</v>
      </c>
      <c r="S3786" s="4" t="s">
        <v>18</v>
      </c>
      <c r="T3786" s="4" t="s">
        <v>19</v>
      </c>
      <c r="U3786" s="4" t="s">
        <v>20</v>
      </c>
      <c r="V3786" s="4" t="s">
        <v>21</v>
      </c>
      <c r="W3786" s="338" t="s">
        <v>22</v>
      </c>
      <c r="X3786" s="4" t="s">
        <v>23</v>
      </c>
      <c r="Y3786" s="4" t="s">
        <v>24</v>
      </c>
      <c r="Z3786" s="4" t="s">
        <v>25</v>
      </c>
      <c r="AA3786" s="4" t="s">
        <v>26</v>
      </c>
      <c r="AB3786" s="4" t="s">
        <v>27</v>
      </c>
      <c r="AC3786" s="4" t="s">
        <v>28</v>
      </c>
      <c r="AD3786" s="4" t="s">
        <v>29</v>
      </c>
      <c r="AE3786" s="4" t="s">
        <v>30</v>
      </c>
      <c r="AF3786" s="4" t="s">
        <v>31</v>
      </c>
      <c r="AG3786" s="4" t="s">
        <v>32</v>
      </c>
      <c r="AH3786" s="4" t="s">
        <v>33</v>
      </c>
      <c r="AI3786" s="4" t="s">
        <v>34</v>
      </c>
      <c r="AJ3786" s="338" t="s">
        <v>35</v>
      </c>
      <c r="AK3786" s="4" t="s">
        <v>4607</v>
      </c>
      <c r="AL3786" s="4" t="s">
        <v>4608</v>
      </c>
      <c r="AM3786" s="4" t="s">
        <v>4609</v>
      </c>
      <c r="AN3786" s="4" t="s">
        <v>4610</v>
      </c>
      <c r="AO3786" s="4" t="s">
        <v>4611</v>
      </c>
      <c r="AP3786" s="4" t="s">
        <v>4612</v>
      </c>
      <c r="AQ3786" s="4" t="s">
        <v>4613</v>
      </c>
      <c r="AR3786" s="4" t="s">
        <v>4614</v>
      </c>
      <c r="AS3786" s="4" t="s">
        <v>4615</v>
      </c>
      <c r="AT3786" s="4" t="s">
        <v>4616</v>
      </c>
      <c r="AU3786" s="4" t="s">
        <v>4617</v>
      </c>
      <c r="AV3786" s="4" t="s">
        <v>4618</v>
      </c>
      <c r="AW3786" s="338" t="s">
        <v>4619</v>
      </c>
      <c r="AX3786" s="6" t="s">
        <v>36</v>
      </c>
    </row>
    <row r="3787" spans="1:50" x14ac:dyDescent="0.2">
      <c r="B3787" s="7"/>
      <c r="C3787" s="8">
        <v>14148</v>
      </c>
      <c r="D3787" s="9" t="s">
        <v>262</v>
      </c>
      <c r="E3787" s="10" t="str">
        <f t="shared" si="317"/>
        <v>Rancho Recoveco No. 1</v>
      </c>
      <c r="F3787" s="10" t="str">
        <f t="shared" si="318"/>
        <v>Díaz</v>
      </c>
      <c r="G3787" s="8">
        <v>1</v>
      </c>
      <c r="H3787" s="11">
        <v>300</v>
      </c>
      <c r="I3787" s="12">
        <v>42827</v>
      </c>
      <c r="J3787" s="35">
        <f t="shared" si="319"/>
        <v>0</v>
      </c>
      <c r="K3787" s="36"/>
      <c r="L3787" s="36"/>
      <c r="M3787" s="36"/>
      <c r="N3787" s="36"/>
      <c r="O3787" s="36"/>
      <c r="P3787" s="36"/>
      <c r="Q3787" s="36"/>
      <c r="R3787" s="36"/>
      <c r="S3787" s="36"/>
      <c r="T3787" s="36"/>
      <c r="U3787" s="36"/>
      <c r="V3787" s="36"/>
      <c r="W3787" s="15">
        <f t="shared" si="320"/>
        <v>0</v>
      </c>
      <c r="X3787" s="36"/>
      <c r="Y3787" s="36"/>
      <c r="Z3787" s="36"/>
      <c r="AA3787" s="36">
        <v>300</v>
      </c>
      <c r="AB3787" s="36"/>
      <c r="AC3787" s="36"/>
      <c r="AD3787" s="36"/>
      <c r="AE3787" s="36"/>
      <c r="AF3787" s="36"/>
      <c r="AG3787" s="36"/>
      <c r="AH3787" s="36"/>
      <c r="AI3787" s="36"/>
      <c r="AJ3787" s="15">
        <f t="shared" si="321"/>
        <v>300</v>
      </c>
      <c r="AK3787" s="14"/>
      <c r="AL3787" s="14"/>
      <c r="AM3787" s="14"/>
      <c r="AN3787" s="14"/>
      <c r="AO3787" s="14"/>
      <c r="AP3787" s="14"/>
      <c r="AQ3787" s="14"/>
      <c r="AR3787" s="14"/>
      <c r="AS3787" s="14"/>
      <c r="AT3787" s="14"/>
      <c r="AU3787" s="14"/>
      <c r="AV3787" s="14"/>
      <c r="AW3787" s="15"/>
      <c r="AX3787" s="16"/>
    </row>
    <row r="3788" spans="1:50" x14ac:dyDescent="0.2">
      <c r="B3788" s="7"/>
      <c r="C3788" s="8">
        <v>14149</v>
      </c>
      <c r="D3788" s="9" t="s">
        <v>262</v>
      </c>
      <c r="E3788" s="10" t="str">
        <f t="shared" si="317"/>
        <v>Rancho Recoveco No. 1</v>
      </c>
      <c r="F3788" s="10" t="str">
        <f t="shared" si="318"/>
        <v>Díaz</v>
      </c>
      <c r="G3788" s="8">
        <v>7</v>
      </c>
      <c r="H3788" s="11">
        <v>100</v>
      </c>
      <c r="I3788" s="12">
        <v>42827</v>
      </c>
      <c r="J3788" s="35">
        <f t="shared" si="319"/>
        <v>0</v>
      </c>
      <c r="K3788" s="36"/>
      <c r="L3788" s="36"/>
      <c r="M3788" s="36"/>
      <c r="N3788" s="36"/>
      <c r="O3788" s="36"/>
      <c r="P3788" s="36"/>
      <c r="Q3788" s="36"/>
      <c r="R3788" s="36"/>
      <c r="S3788" s="36"/>
      <c r="T3788" s="36"/>
      <c r="U3788" s="36"/>
      <c r="V3788" s="36"/>
      <c r="W3788" s="15">
        <f t="shared" si="320"/>
        <v>0</v>
      </c>
      <c r="X3788" s="36"/>
      <c r="Y3788" s="36"/>
      <c r="Z3788" s="36"/>
      <c r="AA3788" s="36"/>
      <c r="AB3788" s="36"/>
      <c r="AC3788" s="36"/>
      <c r="AD3788" s="36"/>
      <c r="AE3788" s="36"/>
      <c r="AF3788" s="36"/>
      <c r="AG3788" s="36"/>
      <c r="AH3788" s="36"/>
      <c r="AI3788" s="36"/>
      <c r="AJ3788" s="15">
        <f t="shared" si="321"/>
        <v>0</v>
      </c>
      <c r="AK3788" s="14"/>
      <c r="AL3788" s="14"/>
      <c r="AM3788" s="14"/>
      <c r="AN3788" s="14"/>
      <c r="AO3788" s="14"/>
      <c r="AP3788" s="14"/>
      <c r="AQ3788" s="14"/>
      <c r="AR3788" s="14"/>
      <c r="AS3788" s="14"/>
      <c r="AT3788" s="14"/>
      <c r="AU3788" s="14"/>
      <c r="AV3788" s="14"/>
      <c r="AW3788" s="15"/>
      <c r="AX3788" s="16" t="s">
        <v>3533</v>
      </c>
    </row>
    <row r="3789" spans="1:50" x14ac:dyDescent="0.2">
      <c r="B3789" s="7"/>
      <c r="C3789" s="8">
        <v>14150</v>
      </c>
      <c r="D3789" s="9" t="s">
        <v>265</v>
      </c>
      <c r="E3789" s="10" t="str">
        <f t="shared" si="317"/>
        <v>Rancho Upácuaro No. 85</v>
      </c>
      <c r="F3789" s="10" t="str">
        <f t="shared" si="318"/>
        <v>Del Toro Huerta</v>
      </c>
      <c r="G3789" s="8">
        <v>1</v>
      </c>
      <c r="H3789" s="11">
        <v>400</v>
      </c>
      <c r="I3789" s="12">
        <v>42827</v>
      </c>
      <c r="J3789" s="35">
        <f t="shared" si="319"/>
        <v>0</v>
      </c>
      <c r="K3789" s="36"/>
      <c r="L3789" s="36"/>
      <c r="M3789" s="36"/>
      <c r="N3789" s="36"/>
      <c r="O3789" s="36"/>
      <c r="P3789" s="36"/>
      <c r="Q3789" s="36"/>
      <c r="R3789" s="36"/>
      <c r="S3789" s="36"/>
      <c r="T3789" s="36"/>
      <c r="U3789" s="36"/>
      <c r="V3789" s="36"/>
      <c r="W3789" s="15">
        <f t="shared" si="320"/>
        <v>0</v>
      </c>
      <c r="X3789" s="36"/>
      <c r="Y3789" s="36"/>
      <c r="Z3789" s="36"/>
      <c r="AA3789" s="36">
        <v>400</v>
      </c>
      <c r="AB3789" s="36"/>
      <c r="AC3789" s="36"/>
      <c r="AD3789" s="36"/>
      <c r="AE3789" s="36"/>
      <c r="AF3789" s="36"/>
      <c r="AG3789" s="36"/>
      <c r="AH3789" s="36"/>
      <c r="AI3789" s="36"/>
      <c r="AJ3789" s="15">
        <f t="shared" si="321"/>
        <v>400</v>
      </c>
      <c r="AK3789" s="14"/>
      <c r="AL3789" s="14"/>
      <c r="AM3789" s="14"/>
      <c r="AN3789" s="14"/>
      <c r="AO3789" s="14"/>
      <c r="AP3789" s="14"/>
      <c r="AQ3789" s="14"/>
      <c r="AR3789" s="14"/>
      <c r="AS3789" s="14"/>
      <c r="AT3789" s="14"/>
      <c r="AU3789" s="14"/>
      <c r="AV3789" s="14"/>
      <c r="AW3789" s="15"/>
      <c r="AX3789" s="16"/>
    </row>
    <row r="3790" spans="1:50" x14ac:dyDescent="0.2">
      <c r="B3790" s="7"/>
      <c r="C3790" s="8">
        <v>14151</v>
      </c>
      <c r="D3790" s="9" t="s">
        <v>100</v>
      </c>
      <c r="E3790" s="10" t="str">
        <f t="shared" si="317"/>
        <v>Rancho Upácuaro No. 32</v>
      </c>
      <c r="F3790" s="10" t="str">
        <f t="shared" si="318"/>
        <v>Sairafi Carmen</v>
      </c>
      <c r="G3790" s="8">
        <v>1</v>
      </c>
      <c r="H3790" s="11">
        <v>400</v>
      </c>
      <c r="I3790" s="12">
        <v>42827</v>
      </c>
      <c r="J3790" s="35">
        <f t="shared" si="319"/>
        <v>0</v>
      </c>
      <c r="K3790" s="36"/>
      <c r="L3790" s="36"/>
      <c r="M3790" s="36"/>
      <c r="N3790" s="36"/>
      <c r="O3790" s="36"/>
      <c r="P3790" s="36"/>
      <c r="Q3790" s="36"/>
      <c r="R3790" s="36"/>
      <c r="S3790" s="36"/>
      <c r="T3790" s="36"/>
      <c r="U3790" s="36"/>
      <c r="V3790" s="36"/>
      <c r="W3790" s="15">
        <f t="shared" si="320"/>
        <v>0</v>
      </c>
      <c r="X3790" s="36"/>
      <c r="Y3790" s="36"/>
      <c r="Z3790" s="36"/>
      <c r="AA3790" s="36">
        <v>400</v>
      </c>
      <c r="AB3790" s="36"/>
      <c r="AC3790" s="36"/>
      <c r="AD3790" s="36"/>
      <c r="AE3790" s="36"/>
      <c r="AF3790" s="36"/>
      <c r="AG3790" s="36"/>
      <c r="AH3790" s="36"/>
      <c r="AI3790" s="36"/>
      <c r="AJ3790" s="15">
        <f t="shared" si="321"/>
        <v>400</v>
      </c>
      <c r="AK3790" s="14"/>
      <c r="AL3790" s="14"/>
      <c r="AM3790" s="14"/>
      <c r="AN3790" s="14"/>
      <c r="AO3790" s="14"/>
      <c r="AP3790" s="14"/>
      <c r="AQ3790" s="14"/>
      <c r="AR3790" s="14"/>
      <c r="AS3790" s="14"/>
      <c r="AT3790" s="14"/>
      <c r="AU3790" s="14"/>
      <c r="AV3790" s="14"/>
      <c r="AW3790" s="15"/>
      <c r="AX3790" s="16"/>
    </row>
    <row r="3791" spans="1:50" x14ac:dyDescent="0.2">
      <c r="B3791" s="7"/>
      <c r="C3791" s="8">
        <v>14152</v>
      </c>
      <c r="D3791" s="9" t="s">
        <v>589</v>
      </c>
      <c r="E3791" s="10" t="str">
        <f t="shared" si="317"/>
        <v>Rancho La Cuchilla No. 149</v>
      </c>
      <c r="F3791" s="10" t="str">
        <f t="shared" si="318"/>
        <v>Montes Irineos</v>
      </c>
      <c r="G3791" s="8">
        <v>1</v>
      </c>
      <c r="H3791" s="11">
        <v>400</v>
      </c>
      <c r="I3791" s="12">
        <v>42827</v>
      </c>
      <c r="J3791" s="35">
        <f t="shared" si="319"/>
        <v>0</v>
      </c>
      <c r="K3791" s="36"/>
      <c r="L3791" s="36"/>
      <c r="M3791" s="36"/>
      <c r="N3791" s="36"/>
      <c r="O3791" s="36"/>
      <c r="P3791" s="36"/>
      <c r="Q3791" s="36"/>
      <c r="R3791" s="36"/>
      <c r="S3791" s="36"/>
      <c r="T3791" s="36"/>
      <c r="U3791" s="36"/>
      <c r="V3791" s="36"/>
      <c r="W3791" s="15">
        <f t="shared" si="320"/>
        <v>0</v>
      </c>
      <c r="X3791" s="36"/>
      <c r="Y3791" s="36">
        <v>400</v>
      </c>
      <c r="Z3791" s="36"/>
      <c r="AA3791" s="36"/>
      <c r="AB3791" s="36"/>
      <c r="AC3791" s="36"/>
      <c r="AD3791" s="36"/>
      <c r="AE3791" s="36"/>
      <c r="AF3791" s="36"/>
      <c r="AG3791" s="36"/>
      <c r="AH3791" s="36"/>
      <c r="AI3791" s="36"/>
      <c r="AJ3791" s="15">
        <f t="shared" si="321"/>
        <v>400</v>
      </c>
      <c r="AK3791" s="14"/>
      <c r="AL3791" s="14"/>
      <c r="AM3791" s="14"/>
      <c r="AN3791" s="14"/>
      <c r="AO3791" s="14"/>
      <c r="AP3791" s="14"/>
      <c r="AQ3791" s="14"/>
      <c r="AR3791" s="14"/>
      <c r="AS3791" s="14"/>
      <c r="AT3791" s="14"/>
      <c r="AU3791" s="14"/>
      <c r="AV3791" s="14"/>
      <c r="AW3791" s="15"/>
      <c r="AX3791" s="16"/>
    </row>
    <row r="3792" spans="1:50" x14ac:dyDescent="0.2">
      <c r="B3792" s="7"/>
      <c r="C3792" s="8">
        <v>14153</v>
      </c>
      <c r="D3792" s="9" t="s">
        <v>304</v>
      </c>
      <c r="E3792" s="10" t="str">
        <f t="shared" si="317"/>
        <v>Rancho Upácuaro No. 8</v>
      </c>
      <c r="F3792" s="10" t="str">
        <f t="shared" si="318"/>
        <v>Ibarra</v>
      </c>
      <c r="G3792" s="8">
        <v>5</v>
      </c>
      <c r="H3792" s="11">
        <v>50</v>
      </c>
      <c r="I3792" s="12">
        <v>42827</v>
      </c>
      <c r="J3792" s="35">
        <f t="shared" si="319"/>
        <v>0</v>
      </c>
      <c r="K3792" s="36"/>
      <c r="L3792" s="36"/>
      <c r="M3792" s="36"/>
      <c r="N3792" s="36"/>
      <c r="O3792" s="36"/>
      <c r="P3792" s="36"/>
      <c r="Q3792" s="36"/>
      <c r="R3792" s="36"/>
      <c r="S3792" s="36"/>
      <c r="T3792" s="36"/>
      <c r="U3792" s="36"/>
      <c r="V3792" s="36"/>
      <c r="W3792" s="15">
        <f t="shared" si="320"/>
        <v>0</v>
      </c>
      <c r="X3792" s="36"/>
      <c r="Y3792" s="36"/>
      <c r="Z3792" s="36"/>
      <c r="AA3792" s="36"/>
      <c r="AB3792" s="36"/>
      <c r="AC3792" s="36"/>
      <c r="AD3792" s="36"/>
      <c r="AE3792" s="36"/>
      <c r="AF3792" s="36"/>
      <c r="AG3792" s="36"/>
      <c r="AH3792" s="36"/>
      <c r="AI3792" s="36"/>
      <c r="AJ3792" s="15">
        <f t="shared" si="321"/>
        <v>0</v>
      </c>
      <c r="AK3792" s="14"/>
      <c r="AL3792" s="14"/>
      <c r="AM3792" s="14"/>
      <c r="AN3792" s="14"/>
      <c r="AO3792" s="14"/>
      <c r="AP3792" s="14"/>
      <c r="AQ3792" s="14"/>
      <c r="AR3792" s="14"/>
      <c r="AS3792" s="14"/>
      <c r="AT3792" s="14"/>
      <c r="AU3792" s="14"/>
      <c r="AV3792" s="14"/>
      <c r="AW3792" s="15"/>
      <c r="AX3792" s="16"/>
    </row>
    <row r="3793" spans="2:50" x14ac:dyDescent="0.2">
      <c r="B3793" s="7"/>
      <c r="C3793" s="8">
        <v>14154</v>
      </c>
      <c r="D3793" s="9" t="s">
        <v>714</v>
      </c>
      <c r="E3793" s="10" t="str">
        <f t="shared" si="317"/>
        <v>Rancho Upácuaro No. 134</v>
      </c>
      <c r="F3793" s="10" t="str">
        <f t="shared" si="318"/>
        <v>Flores Pérez</v>
      </c>
      <c r="G3793" s="8">
        <v>1</v>
      </c>
      <c r="H3793" s="11">
        <v>800</v>
      </c>
      <c r="I3793" s="12">
        <v>42827</v>
      </c>
      <c r="J3793" s="35">
        <f t="shared" si="319"/>
        <v>0</v>
      </c>
      <c r="K3793" s="36"/>
      <c r="L3793" s="36"/>
      <c r="M3793" s="36"/>
      <c r="N3793" s="36"/>
      <c r="O3793" s="36"/>
      <c r="P3793" s="36"/>
      <c r="Q3793" s="36"/>
      <c r="R3793" s="36"/>
      <c r="S3793" s="36"/>
      <c r="T3793" s="36"/>
      <c r="U3793" s="36"/>
      <c r="V3793" s="36"/>
      <c r="W3793" s="15">
        <f t="shared" si="320"/>
        <v>0</v>
      </c>
      <c r="X3793" s="36"/>
      <c r="Y3793" s="36">
        <v>400</v>
      </c>
      <c r="Z3793" s="36">
        <v>400</v>
      </c>
      <c r="AA3793" s="36"/>
      <c r="AB3793" s="36"/>
      <c r="AC3793" s="36"/>
      <c r="AD3793" s="36"/>
      <c r="AE3793" s="36"/>
      <c r="AF3793" s="36"/>
      <c r="AG3793" s="36"/>
      <c r="AH3793" s="36"/>
      <c r="AI3793" s="36"/>
      <c r="AJ3793" s="15">
        <f t="shared" si="321"/>
        <v>800</v>
      </c>
      <c r="AK3793" s="14"/>
      <c r="AL3793" s="14"/>
      <c r="AM3793" s="14"/>
      <c r="AN3793" s="14"/>
      <c r="AO3793" s="14"/>
      <c r="AP3793" s="14"/>
      <c r="AQ3793" s="14"/>
      <c r="AR3793" s="14"/>
      <c r="AS3793" s="14"/>
      <c r="AT3793" s="14"/>
      <c r="AU3793" s="14"/>
      <c r="AV3793" s="14"/>
      <c r="AW3793" s="15"/>
      <c r="AX3793" s="16"/>
    </row>
    <row r="3794" spans="2:50" x14ac:dyDescent="0.2">
      <c r="B3794" s="7"/>
      <c r="C3794" s="8">
        <v>14155</v>
      </c>
      <c r="D3794" s="9" t="s">
        <v>965</v>
      </c>
      <c r="E3794" s="10" t="str">
        <f t="shared" si="317"/>
        <v>Rancho La Cuchilla No. 52</v>
      </c>
      <c r="F3794" s="10" t="str">
        <f t="shared" si="318"/>
        <v>Velázquez</v>
      </c>
      <c r="G3794" s="8">
        <v>1</v>
      </c>
      <c r="H3794" s="11">
        <v>400</v>
      </c>
      <c r="I3794" s="12">
        <v>42827</v>
      </c>
      <c r="J3794" s="35">
        <f t="shared" si="319"/>
        <v>0</v>
      </c>
      <c r="K3794" s="36"/>
      <c r="L3794" s="36"/>
      <c r="M3794" s="36"/>
      <c r="N3794" s="36"/>
      <c r="O3794" s="36"/>
      <c r="P3794" s="36"/>
      <c r="Q3794" s="36"/>
      <c r="R3794" s="36"/>
      <c r="S3794" s="36"/>
      <c r="T3794" s="36"/>
      <c r="U3794" s="36"/>
      <c r="V3794" s="36"/>
      <c r="W3794" s="15">
        <f t="shared" si="320"/>
        <v>0</v>
      </c>
      <c r="X3794" s="36"/>
      <c r="Y3794" s="36"/>
      <c r="Z3794" s="36">
        <v>400</v>
      </c>
      <c r="AA3794" s="36"/>
      <c r="AB3794" s="36"/>
      <c r="AC3794" s="36"/>
      <c r="AD3794" s="36"/>
      <c r="AE3794" s="36"/>
      <c r="AF3794" s="36"/>
      <c r="AG3794" s="36"/>
      <c r="AH3794" s="36"/>
      <c r="AI3794" s="36"/>
      <c r="AJ3794" s="15">
        <f t="shared" si="321"/>
        <v>400</v>
      </c>
      <c r="AK3794" s="14"/>
      <c r="AL3794" s="14"/>
      <c r="AM3794" s="14"/>
      <c r="AN3794" s="14"/>
      <c r="AO3794" s="14"/>
      <c r="AP3794" s="14"/>
      <c r="AQ3794" s="14"/>
      <c r="AR3794" s="14"/>
      <c r="AS3794" s="14"/>
      <c r="AT3794" s="14"/>
      <c r="AU3794" s="14"/>
      <c r="AV3794" s="14"/>
      <c r="AW3794" s="15"/>
      <c r="AX3794" s="16"/>
    </row>
    <row r="3795" spans="2:50" x14ac:dyDescent="0.2">
      <c r="B3795" s="7"/>
      <c r="C3795" s="8">
        <v>14156</v>
      </c>
      <c r="D3795" s="9" t="s">
        <v>3178</v>
      </c>
      <c r="E3795" s="10" t="str">
        <f t="shared" si="317"/>
        <v>Rancho La Cuchilla No. 103</v>
      </c>
      <c r="F3795" s="10" t="str">
        <f t="shared" si="318"/>
        <v>Bernal</v>
      </c>
      <c r="G3795" s="8">
        <v>1</v>
      </c>
      <c r="H3795" s="11">
        <v>500</v>
      </c>
      <c r="I3795" s="12">
        <v>42827</v>
      </c>
      <c r="J3795" s="35">
        <f t="shared" si="319"/>
        <v>0</v>
      </c>
      <c r="K3795" s="36"/>
      <c r="L3795" s="36"/>
      <c r="M3795" s="36"/>
      <c r="N3795" s="36"/>
      <c r="O3795" s="36"/>
      <c r="P3795" s="36"/>
      <c r="Q3795" s="36"/>
      <c r="R3795" s="36"/>
      <c r="S3795" s="36"/>
      <c r="T3795" s="36"/>
      <c r="U3795" s="36"/>
      <c r="V3795" s="36"/>
      <c r="W3795" s="15">
        <f t="shared" si="320"/>
        <v>0</v>
      </c>
      <c r="X3795" s="36"/>
      <c r="Y3795" s="36"/>
      <c r="Z3795" s="36"/>
      <c r="AA3795" s="36">
        <v>500</v>
      </c>
      <c r="AB3795" s="36"/>
      <c r="AC3795" s="36"/>
      <c r="AD3795" s="36"/>
      <c r="AE3795" s="36"/>
      <c r="AF3795" s="36"/>
      <c r="AG3795" s="36"/>
      <c r="AH3795" s="36"/>
      <c r="AI3795" s="36"/>
      <c r="AJ3795" s="15">
        <f t="shared" si="321"/>
        <v>500</v>
      </c>
      <c r="AK3795" s="14"/>
      <c r="AL3795" s="14"/>
      <c r="AM3795" s="14"/>
      <c r="AN3795" s="14"/>
      <c r="AO3795" s="14"/>
      <c r="AP3795" s="14"/>
      <c r="AQ3795" s="14"/>
      <c r="AR3795" s="14"/>
      <c r="AS3795" s="14"/>
      <c r="AT3795" s="14"/>
      <c r="AU3795" s="14"/>
      <c r="AV3795" s="14"/>
      <c r="AW3795" s="15"/>
      <c r="AX3795" s="16"/>
    </row>
    <row r="3796" spans="2:50" x14ac:dyDescent="0.2">
      <c r="B3796" s="7"/>
      <c r="C3796" s="8">
        <v>14157</v>
      </c>
      <c r="D3796" s="9" t="s">
        <v>586</v>
      </c>
      <c r="E3796" s="10" t="str">
        <f t="shared" si="317"/>
        <v>Rancho Estanzuela No. 161, 1</v>
      </c>
      <c r="F3796" s="10" t="str">
        <f t="shared" si="318"/>
        <v>Guevara</v>
      </c>
      <c r="G3796" s="8">
        <v>1</v>
      </c>
      <c r="H3796" s="11">
        <v>200</v>
      </c>
      <c r="I3796" s="12">
        <v>42827</v>
      </c>
      <c r="J3796" s="35">
        <f t="shared" si="319"/>
        <v>0</v>
      </c>
      <c r="K3796" s="36"/>
      <c r="L3796" s="36"/>
      <c r="M3796" s="36"/>
      <c r="N3796" s="36"/>
      <c r="O3796" s="36"/>
      <c r="P3796" s="36"/>
      <c r="Q3796" s="36"/>
      <c r="R3796" s="36"/>
      <c r="S3796" s="36"/>
      <c r="T3796" s="36"/>
      <c r="U3796" s="36"/>
      <c r="V3796" s="36"/>
      <c r="W3796" s="15">
        <f t="shared" si="320"/>
        <v>0</v>
      </c>
      <c r="X3796" s="36"/>
      <c r="Y3796" s="36"/>
      <c r="Z3796" s="36">
        <v>200</v>
      </c>
      <c r="AA3796" s="36"/>
      <c r="AB3796" s="36"/>
      <c r="AC3796" s="36"/>
      <c r="AD3796" s="36"/>
      <c r="AE3796" s="36"/>
      <c r="AF3796" s="36"/>
      <c r="AG3796" s="36"/>
      <c r="AH3796" s="36"/>
      <c r="AI3796" s="36"/>
      <c r="AJ3796" s="15">
        <f t="shared" si="321"/>
        <v>200</v>
      </c>
      <c r="AK3796" s="14"/>
      <c r="AL3796" s="14"/>
      <c r="AM3796" s="14"/>
      <c r="AN3796" s="14"/>
      <c r="AO3796" s="14"/>
      <c r="AP3796" s="14"/>
      <c r="AQ3796" s="14"/>
      <c r="AR3796" s="14"/>
      <c r="AS3796" s="14"/>
      <c r="AT3796" s="14"/>
      <c r="AU3796" s="14"/>
      <c r="AV3796" s="14"/>
      <c r="AW3796" s="15"/>
      <c r="AX3796" s="16"/>
    </row>
    <row r="3797" spans="2:50" x14ac:dyDescent="0.2">
      <c r="B3797" s="7"/>
      <c r="C3797" s="8">
        <v>14158</v>
      </c>
      <c r="D3797" s="9" t="s">
        <v>586</v>
      </c>
      <c r="E3797" s="10" t="str">
        <f t="shared" si="317"/>
        <v>Rancho Estanzuela No. 161, 1</v>
      </c>
      <c r="F3797" s="10" t="str">
        <f t="shared" si="318"/>
        <v>Guevara</v>
      </c>
      <c r="G3797" s="8">
        <v>1</v>
      </c>
      <c r="H3797" s="11">
        <v>200</v>
      </c>
      <c r="I3797" s="12">
        <v>42827</v>
      </c>
      <c r="J3797" s="35">
        <f t="shared" si="319"/>
        <v>0</v>
      </c>
      <c r="K3797" s="36"/>
      <c r="L3797" s="36"/>
      <c r="M3797" s="36"/>
      <c r="N3797" s="36"/>
      <c r="O3797" s="36"/>
      <c r="P3797" s="36"/>
      <c r="Q3797" s="36"/>
      <c r="R3797" s="36"/>
      <c r="S3797" s="36"/>
      <c r="T3797" s="36"/>
      <c r="U3797" s="36"/>
      <c r="V3797" s="36"/>
      <c r="W3797" s="15">
        <f t="shared" si="320"/>
        <v>0</v>
      </c>
      <c r="X3797" s="36"/>
      <c r="Y3797" s="36"/>
      <c r="Z3797" s="36"/>
      <c r="AA3797" s="36">
        <v>200</v>
      </c>
      <c r="AB3797" s="36"/>
      <c r="AC3797" s="36"/>
      <c r="AD3797" s="36"/>
      <c r="AE3797" s="36"/>
      <c r="AF3797" s="36"/>
      <c r="AG3797" s="36"/>
      <c r="AH3797" s="36"/>
      <c r="AI3797" s="36"/>
      <c r="AJ3797" s="15">
        <f t="shared" si="321"/>
        <v>200</v>
      </c>
      <c r="AK3797" s="14"/>
      <c r="AL3797" s="14"/>
      <c r="AM3797" s="14"/>
      <c r="AN3797" s="14"/>
      <c r="AO3797" s="14"/>
      <c r="AP3797" s="14"/>
      <c r="AQ3797" s="14"/>
      <c r="AR3797" s="14"/>
      <c r="AS3797" s="14"/>
      <c r="AT3797" s="14"/>
      <c r="AU3797" s="14"/>
      <c r="AV3797" s="14"/>
      <c r="AW3797" s="15"/>
      <c r="AX3797" s="16"/>
    </row>
    <row r="3798" spans="2:50" x14ac:dyDescent="0.2">
      <c r="B3798" s="7"/>
      <c r="C3798" s="8">
        <v>14159</v>
      </c>
      <c r="D3798" s="9" t="s">
        <v>678</v>
      </c>
      <c r="E3798" s="10" t="str">
        <f t="shared" si="317"/>
        <v>Rancho Upácuaro No. 76</v>
      </c>
      <c r="F3798" s="10" t="str">
        <f t="shared" si="318"/>
        <v>Ruiz de San Pedro</v>
      </c>
      <c r="G3798" s="8">
        <v>1</v>
      </c>
      <c r="H3798" s="11">
        <v>400</v>
      </c>
      <c r="I3798" s="12">
        <v>42827</v>
      </c>
      <c r="J3798" s="35">
        <f t="shared" si="319"/>
        <v>0</v>
      </c>
      <c r="K3798" s="36"/>
      <c r="L3798" s="36"/>
      <c r="M3798" s="36"/>
      <c r="N3798" s="36"/>
      <c r="O3798" s="36"/>
      <c r="P3798" s="36"/>
      <c r="Q3798" s="36"/>
      <c r="R3798" s="36"/>
      <c r="S3798" s="36"/>
      <c r="T3798" s="36"/>
      <c r="U3798" s="36"/>
      <c r="V3798" s="36"/>
      <c r="W3798" s="15">
        <f t="shared" si="320"/>
        <v>0</v>
      </c>
      <c r="X3798" s="36"/>
      <c r="Y3798" s="36"/>
      <c r="Z3798" s="36"/>
      <c r="AA3798" s="36">
        <v>400</v>
      </c>
      <c r="AB3798" s="36"/>
      <c r="AC3798" s="36"/>
      <c r="AD3798" s="36"/>
      <c r="AE3798" s="36"/>
      <c r="AF3798" s="36"/>
      <c r="AG3798" s="36"/>
      <c r="AH3798" s="36"/>
      <c r="AI3798" s="36"/>
      <c r="AJ3798" s="15">
        <f t="shared" si="321"/>
        <v>400</v>
      </c>
      <c r="AK3798" s="14"/>
      <c r="AL3798" s="14"/>
      <c r="AM3798" s="14"/>
      <c r="AN3798" s="14"/>
      <c r="AO3798" s="14"/>
      <c r="AP3798" s="14"/>
      <c r="AQ3798" s="14"/>
      <c r="AR3798" s="14"/>
      <c r="AS3798" s="14"/>
      <c r="AT3798" s="14"/>
      <c r="AU3798" s="14"/>
      <c r="AV3798" s="14"/>
      <c r="AW3798" s="15"/>
      <c r="AX3798" s="16"/>
    </row>
    <row r="3799" spans="2:50" x14ac:dyDescent="0.2">
      <c r="B3799" s="7"/>
      <c r="C3799" s="8">
        <v>14160</v>
      </c>
      <c r="D3799" s="9" t="s">
        <v>94</v>
      </c>
      <c r="E3799" s="10" t="str">
        <f t="shared" si="317"/>
        <v>Rancho Landero No. 42</v>
      </c>
      <c r="F3799" s="10" t="str">
        <f t="shared" si="318"/>
        <v>Ávila Fidel</v>
      </c>
      <c r="G3799" s="8">
        <v>1</v>
      </c>
      <c r="H3799" s="11">
        <v>400</v>
      </c>
      <c r="I3799" s="12">
        <v>42827</v>
      </c>
      <c r="J3799" s="35">
        <f t="shared" si="319"/>
        <v>0</v>
      </c>
      <c r="K3799" s="36"/>
      <c r="L3799" s="36"/>
      <c r="M3799" s="36"/>
      <c r="N3799" s="36"/>
      <c r="O3799" s="36"/>
      <c r="P3799" s="36"/>
      <c r="Q3799" s="36"/>
      <c r="R3799" s="36"/>
      <c r="S3799" s="36"/>
      <c r="T3799" s="36"/>
      <c r="U3799" s="36"/>
      <c r="V3799" s="36"/>
      <c r="W3799" s="15">
        <f t="shared" si="320"/>
        <v>0</v>
      </c>
      <c r="X3799" s="36"/>
      <c r="Y3799" s="36"/>
      <c r="Z3799" s="36"/>
      <c r="AA3799" s="36">
        <v>400</v>
      </c>
      <c r="AB3799" s="36"/>
      <c r="AC3799" s="36"/>
      <c r="AD3799" s="36"/>
      <c r="AE3799" s="36"/>
      <c r="AF3799" s="36"/>
      <c r="AG3799" s="36"/>
      <c r="AH3799" s="36"/>
      <c r="AI3799" s="36"/>
      <c r="AJ3799" s="15">
        <f t="shared" si="321"/>
        <v>400</v>
      </c>
      <c r="AK3799" s="14"/>
      <c r="AL3799" s="14"/>
      <c r="AM3799" s="14"/>
      <c r="AN3799" s="14"/>
      <c r="AO3799" s="14"/>
      <c r="AP3799" s="14"/>
      <c r="AQ3799" s="14"/>
      <c r="AR3799" s="14"/>
      <c r="AS3799" s="14"/>
      <c r="AT3799" s="14"/>
      <c r="AU3799" s="14"/>
      <c r="AV3799" s="14"/>
      <c r="AW3799" s="15"/>
      <c r="AX3799" s="16"/>
    </row>
    <row r="3800" spans="2:50" x14ac:dyDescent="0.2">
      <c r="B3800" s="7"/>
      <c r="C3800" s="8">
        <v>14161</v>
      </c>
      <c r="D3800" s="9" t="s">
        <v>681</v>
      </c>
      <c r="E3800" s="10" t="str">
        <f t="shared" si="317"/>
        <v>Rancho Landero No. 87</v>
      </c>
      <c r="F3800" s="10" t="str">
        <f t="shared" si="318"/>
        <v>Fey Lafferla</v>
      </c>
      <c r="G3800" s="8">
        <v>1</v>
      </c>
      <c r="H3800" s="11">
        <v>300</v>
      </c>
      <c r="I3800" s="12">
        <v>42827</v>
      </c>
      <c r="J3800" s="35">
        <f t="shared" si="319"/>
        <v>0</v>
      </c>
      <c r="K3800" s="36"/>
      <c r="L3800" s="36"/>
      <c r="M3800" s="36"/>
      <c r="N3800" s="36"/>
      <c r="O3800" s="36"/>
      <c r="P3800" s="36"/>
      <c r="Q3800" s="36"/>
      <c r="R3800" s="36"/>
      <c r="S3800" s="36"/>
      <c r="T3800" s="36"/>
      <c r="U3800" s="36"/>
      <c r="V3800" s="36"/>
      <c r="W3800" s="15">
        <f t="shared" si="320"/>
        <v>0</v>
      </c>
      <c r="X3800" s="36"/>
      <c r="Y3800" s="36"/>
      <c r="Z3800" s="36">
        <v>300</v>
      </c>
      <c r="AA3800" s="36"/>
      <c r="AB3800" s="36"/>
      <c r="AC3800" s="36"/>
      <c r="AD3800" s="36"/>
      <c r="AE3800" s="36"/>
      <c r="AF3800" s="36"/>
      <c r="AG3800" s="36"/>
      <c r="AH3800" s="36"/>
      <c r="AI3800" s="36"/>
      <c r="AJ3800" s="15">
        <f t="shared" si="321"/>
        <v>300</v>
      </c>
      <c r="AK3800" s="14"/>
      <c r="AL3800" s="14"/>
      <c r="AM3800" s="14"/>
      <c r="AN3800" s="14"/>
      <c r="AO3800" s="14"/>
      <c r="AP3800" s="14"/>
      <c r="AQ3800" s="14"/>
      <c r="AR3800" s="14"/>
      <c r="AS3800" s="14"/>
      <c r="AT3800" s="14"/>
      <c r="AU3800" s="14"/>
      <c r="AV3800" s="14"/>
      <c r="AW3800" s="15"/>
      <c r="AX3800" s="16"/>
    </row>
    <row r="3801" spans="2:50" x14ac:dyDescent="0.2">
      <c r="B3801" s="7"/>
      <c r="C3801" s="8">
        <v>14162</v>
      </c>
      <c r="D3801" s="9" t="s">
        <v>532</v>
      </c>
      <c r="E3801" s="10" t="str">
        <f t="shared" si="317"/>
        <v>Rancho Estanzuela No. 101</v>
      </c>
      <c r="F3801" s="10" t="str">
        <f t="shared" si="318"/>
        <v>Calderón Celis</v>
      </c>
      <c r="G3801" s="8">
        <v>1</v>
      </c>
      <c r="H3801" s="11">
        <v>400</v>
      </c>
      <c r="I3801" s="12">
        <v>42796</v>
      </c>
      <c r="J3801" s="35">
        <f t="shared" si="319"/>
        <v>0</v>
      </c>
      <c r="K3801" s="36"/>
      <c r="L3801" s="36"/>
      <c r="M3801" s="36"/>
      <c r="N3801" s="36"/>
      <c r="O3801" s="36"/>
      <c r="P3801" s="36"/>
      <c r="Q3801" s="36"/>
      <c r="R3801" s="36"/>
      <c r="S3801" s="36"/>
      <c r="T3801" s="36"/>
      <c r="U3801" s="36"/>
      <c r="V3801" s="36"/>
      <c r="W3801" s="15">
        <f t="shared" si="320"/>
        <v>0</v>
      </c>
      <c r="X3801" s="36"/>
      <c r="Y3801" s="36">
        <v>200</v>
      </c>
      <c r="Z3801" s="36">
        <v>200</v>
      </c>
      <c r="AA3801" s="36"/>
      <c r="AB3801" s="36"/>
      <c r="AC3801" s="36"/>
      <c r="AD3801" s="36"/>
      <c r="AE3801" s="36"/>
      <c r="AF3801" s="36"/>
      <c r="AG3801" s="36"/>
      <c r="AH3801" s="36"/>
      <c r="AI3801" s="36"/>
      <c r="AJ3801" s="15">
        <f t="shared" si="321"/>
        <v>400</v>
      </c>
      <c r="AK3801" s="14"/>
      <c r="AL3801" s="14"/>
      <c r="AM3801" s="14"/>
      <c r="AN3801" s="14"/>
      <c r="AO3801" s="14"/>
      <c r="AP3801" s="14"/>
      <c r="AQ3801" s="14"/>
      <c r="AR3801" s="14"/>
      <c r="AS3801" s="14"/>
      <c r="AT3801" s="14"/>
      <c r="AU3801" s="14"/>
      <c r="AV3801" s="14"/>
      <c r="AW3801" s="15"/>
      <c r="AX3801" s="16"/>
    </row>
    <row r="3802" spans="2:50" x14ac:dyDescent="0.2">
      <c r="B3802" s="7"/>
      <c r="C3802" s="8">
        <v>14163</v>
      </c>
      <c r="D3802" s="9" t="s">
        <v>174</v>
      </c>
      <c r="E3802" s="10" t="str">
        <f t="shared" si="317"/>
        <v>Rancho Upácuaro No. 18</v>
      </c>
      <c r="F3802" s="10" t="str">
        <f t="shared" si="318"/>
        <v>Guzmán</v>
      </c>
      <c r="G3802" s="8">
        <v>1</v>
      </c>
      <c r="H3802" s="11">
        <v>300</v>
      </c>
      <c r="I3802" s="12">
        <v>42827</v>
      </c>
      <c r="J3802" s="35">
        <f t="shared" si="319"/>
        <v>0</v>
      </c>
      <c r="K3802" s="36"/>
      <c r="L3802" s="36"/>
      <c r="M3802" s="36"/>
      <c r="N3802" s="36"/>
      <c r="O3802" s="36"/>
      <c r="P3802" s="36"/>
      <c r="Q3802" s="36"/>
      <c r="R3802" s="36"/>
      <c r="S3802" s="36"/>
      <c r="T3802" s="36"/>
      <c r="U3802" s="36"/>
      <c r="V3802" s="36"/>
      <c r="W3802" s="15">
        <f t="shared" si="320"/>
        <v>0</v>
      </c>
      <c r="X3802" s="36"/>
      <c r="Y3802" s="36"/>
      <c r="Z3802" s="36"/>
      <c r="AA3802" s="36">
        <v>300</v>
      </c>
      <c r="AB3802" s="36"/>
      <c r="AC3802" s="36"/>
      <c r="AD3802" s="36"/>
      <c r="AE3802" s="36"/>
      <c r="AF3802" s="36"/>
      <c r="AG3802" s="36"/>
      <c r="AH3802" s="36"/>
      <c r="AI3802" s="36"/>
      <c r="AJ3802" s="15">
        <f t="shared" si="321"/>
        <v>300</v>
      </c>
      <c r="AK3802" s="14"/>
      <c r="AL3802" s="14"/>
      <c r="AM3802" s="14"/>
      <c r="AN3802" s="14"/>
      <c r="AO3802" s="14"/>
      <c r="AP3802" s="14"/>
      <c r="AQ3802" s="14"/>
      <c r="AR3802" s="14"/>
      <c r="AS3802" s="14"/>
      <c r="AT3802" s="14"/>
      <c r="AU3802" s="14"/>
      <c r="AV3802" s="14"/>
      <c r="AW3802" s="15"/>
      <c r="AX3802" s="16"/>
    </row>
    <row r="3803" spans="2:50" x14ac:dyDescent="0.2">
      <c r="B3803" s="7"/>
      <c r="C3803" s="8">
        <v>14164</v>
      </c>
      <c r="D3803" s="9" t="s">
        <v>902</v>
      </c>
      <c r="E3803" s="10" t="str">
        <f t="shared" si="317"/>
        <v>Rancho Romeral No. 33</v>
      </c>
      <c r="F3803" s="10" t="str">
        <f t="shared" si="318"/>
        <v>Juárez Alva</v>
      </c>
      <c r="G3803" s="8">
        <v>1</v>
      </c>
      <c r="H3803" s="11">
        <v>4400</v>
      </c>
      <c r="I3803" s="12">
        <v>42827</v>
      </c>
      <c r="J3803" s="35">
        <f t="shared" si="319"/>
        <v>0</v>
      </c>
      <c r="K3803" s="36"/>
      <c r="L3803" s="36"/>
      <c r="M3803" s="36"/>
      <c r="N3803" s="36"/>
      <c r="O3803" s="36"/>
      <c r="P3803" s="36"/>
      <c r="Q3803" s="36"/>
      <c r="R3803" s="36"/>
      <c r="S3803" s="36"/>
      <c r="T3803" s="36"/>
      <c r="U3803" s="36"/>
      <c r="V3803" s="36"/>
      <c r="W3803" s="15">
        <f t="shared" si="320"/>
        <v>0</v>
      </c>
      <c r="X3803" s="36">
        <v>400</v>
      </c>
      <c r="Y3803" s="36">
        <v>400</v>
      </c>
      <c r="Z3803" s="36">
        <v>400</v>
      </c>
      <c r="AA3803" s="36">
        <v>400</v>
      </c>
      <c r="AB3803" s="36">
        <v>400</v>
      </c>
      <c r="AC3803" s="36">
        <v>400</v>
      </c>
      <c r="AD3803" s="36">
        <v>400</v>
      </c>
      <c r="AE3803" s="36">
        <v>400</v>
      </c>
      <c r="AF3803" s="36">
        <v>400</v>
      </c>
      <c r="AG3803" s="36">
        <v>400</v>
      </c>
      <c r="AH3803" s="36">
        <v>400</v>
      </c>
      <c r="AI3803" s="36"/>
      <c r="AJ3803" s="15">
        <f t="shared" si="321"/>
        <v>4400</v>
      </c>
      <c r="AK3803" s="14"/>
      <c r="AL3803" s="14"/>
      <c r="AM3803" s="14"/>
      <c r="AN3803" s="14"/>
      <c r="AO3803" s="14"/>
      <c r="AP3803" s="14"/>
      <c r="AQ3803" s="14"/>
      <c r="AR3803" s="14"/>
      <c r="AS3803" s="14"/>
      <c r="AT3803" s="14"/>
      <c r="AU3803" s="14"/>
      <c r="AV3803" s="14"/>
      <c r="AW3803" s="15"/>
      <c r="AX3803" s="16" t="s">
        <v>3176</v>
      </c>
    </row>
    <row r="3804" spans="2:50" x14ac:dyDescent="0.2">
      <c r="B3804" s="7"/>
      <c r="C3804" s="8">
        <v>14164</v>
      </c>
      <c r="D3804" s="9" t="s">
        <v>902</v>
      </c>
      <c r="E3804" s="10" t="str">
        <f t="shared" si="317"/>
        <v>Rancho Romeral No. 33</v>
      </c>
      <c r="F3804" s="10" t="str">
        <f t="shared" si="318"/>
        <v>Juárez Alva</v>
      </c>
      <c r="G3804" s="8">
        <v>7</v>
      </c>
      <c r="H3804" s="11">
        <v>100</v>
      </c>
      <c r="I3804" s="12">
        <v>42827</v>
      </c>
      <c r="J3804" s="35">
        <f t="shared" si="319"/>
        <v>0</v>
      </c>
      <c r="K3804" s="36"/>
      <c r="L3804" s="36"/>
      <c r="M3804" s="36"/>
      <c r="N3804" s="36"/>
      <c r="O3804" s="36"/>
      <c r="P3804" s="36"/>
      <c r="Q3804" s="36"/>
      <c r="R3804" s="36"/>
      <c r="S3804" s="36"/>
      <c r="T3804" s="36"/>
      <c r="U3804" s="36"/>
      <c r="V3804" s="36"/>
      <c r="W3804" s="15">
        <f t="shared" si="320"/>
        <v>0</v>
      </c>
      <c r="X3804" s="36"/>
      <c r="Y3804" s="36"/>
      <c r="Z3804" s="36"/>
      <c r="AA3804" s="36"/>
      <c r="AB3804" s="36"/>
      <c r="AC3804" s="36"/>
      <c r="AD3804" s="36"/>
      <c r="AE3804" s="36"/>
      <c r="AF3804" s="36"/>
      <c r="AG3804" s="36"/>
      <c r="AH3804" s="36"/>
      <c r="AI3804" s="36"/>
      <c r="AJ3804" s="15">
        <f t="shared" si="321"/>
        <v>0</v>
      </c>
      <c r="AK3804" s="14"/>
      <c r="AL3804" s="14"/>
      <c r="AM3804" s="14"/>
      <c r="AN3804" s="14"/>
      <c r="AO3804" s="14"/>
      <c r="AP3804" s="14"/>
      <c r="AQ3804" s="14"/>
      <c r="AR3804" s="14"/>
      <c r="AS3804" s="14"/>
      <c r="AT3804" s="14"/>
      <c r="AU3804" s="14"/>
      <c r="AV3804" s="14"/>
      <c r="AW3804" s="15"/>
      <c r="AX3804" s="16" t="s">
        <v>3533</v>
      </c>
    </row>
    <row r="3805" spans="2:50" x14ac:dyDescent="0.2">
      <c r="B3805" s="7"/>
      <c r="C3805" s="8">
        <v>14165</v>
      </c>
      <c r="D3805" s="9" t="s">
        <v>479</v>
      </c>
      <c r="E3805" s="10" t="str">
        <f t="shared" si="317"/>
        <v>Rancho Zinamba No. 68</v>
      </c>
      <c r="F3805" s="10" t="str">
        <f t="shared" si="318"/>
        <v>Rivera Villicaña</v>
      </c>
      <c r="G3805" s="8">
        <v>1</v>
      </c>
      <c r="H3805" s="11">
        <v>600</v>
      </c>
      <c r="I3805" s="12">
        <v>42827</v>
      </c>
      <c r="J3805" s="35">
        <f t="shared" si="319"/>
        <v>0</v>
      </c>
      <c r="K3805" s="36"/>
      <c r="L3805" s="36"/>
      <c r="M3805" s="36"/>
      <c r="N3805" s="36"/>
      <c r="O3805" s="36"/>
      <c r="P3805" s="36"/>
      <c r="Q3805" s="36"/>
      <c r="R3805" s="36"/>
      <c r="S3805" s="36"/>
      <c r="T3805" s="36"/>
      <c r="U3805" s="36"/>
      <c r="V3805" s="36"/>
      <c r="W3805" s="15">
        <f t="shared" si="320"/>
        <v>0</v>
      </c>
      <c r="X3805" s="36"/>
      <c r="Y3805" s="36"/>
      <c r="Z3805" s="36"/>
      <c r="AA3805" s="36">
        <v>300</v>
      </c>
      <c r="AB3805" s="36">
        <v>300</v>
      </c>
      <c r="AC3805" s="36"/>
      <c r="AD3805" s="36"/>
      <c r="AE3805" s="36"/>
      <c r="AF3805" s="36"/>
      <c r="AG3805" s="36"/>
      <c r="AH3805" s="36"/>
      <c r="AI3805" s="36"/>
      <c r="AJ3805" s="15">
        <f t="shared" si="321"/>
        <v>600</v>
      </c>
      <c r="AK3805" s="14"/>
      <c r="AL3805" s="14"/>
      <c r="AM3805" s="14"/>
      <c r="AN3805" s="14"/>
      <c r="AO3805" s="14"/>
      <c r="AP3805" s="14"/>
      <c r="AQ3805" s="14"/>
      <c r="AR3805" s="14"/>
      <c r="AS3805" s="14"/>
      <c r="AT3805" s="14"/>
      <c r="AU3805" s="14"/>
      <c r="AV3805" s="14"/>
      <c r="AW3805" s="15"/>
      <c r="AX3805" s="16"/>
    </row>
    <row r="3806" spans="2:50" x14ac:dyDescent="0.2">
      <c r="B3806" s="7"/>
      <c r="C3806" s="8">
        <v>14166</v>
      </c>
      <c r="D3806" s="9" t="s">
        <v>413</v>
      </c>
      <c r="E3806" s="10" t="str">
        <f t="shared" si="317"/>
        <v>Rancho Upácuaro No. 79</v>
      </c>
      <c r="F3806" s="10" t="str">
        <f t="shared" si="318"/>
        <v>Macías</v>
      </c>
      <c r="G3806" s="8">
        <v>1</v>
      </c>
      <c r="H3806" s="11">
        <v>1200</v>
      </c>
      <c r="I3806" s="12">
        <v>42827</v>
      </c>
      <c r="J3806" s="35">
        <f t="shared" si="319"/>
        <v>0</v>
      </c>
      <c r="K3806" s="36"/>
      <c r="L3806" s="36"/>
      <c r="M3806" s="36"/>
      <c r="N3806" s="36"/>
      <c r="O3806" s="36"/>
      <c r="P3806" s="36"/>
      <c r="Q3806" s="36"/>
      <c r="R3806" s="36"/>
      <c r="S3806" s="36"/>
      <c r="T3806" s="36"/>
      <c r="U3806" s="36"/>
      <c r="V3806" s="36"/>
      <c r="W3806" s="15">
        <f t="shared" si="320"/>
        <v>0</v>
      </c>
      <c r="X3806" s="36"/>
      <c r="Y3806" s="36"/>
      <c r="Z3806" s="36"/>
      <c r="AA3806" s="36">
        <v>400</v>
      </c>
      <c r="AB3806" s="36">
        <v>400</v>
      </c>
      <c r="AC3806" s="36">
        <v>400</v>
      </c>
      <c r="AD3806" s="36"/>
      <c r="AE3806" s="36"/>
      <c r="AF3806" s="36"/>
      <c r="AG3806" s="36"/>
      <c r="AH3806" s="36"/>
      <c r="AI3806" s="36"/>
      <c r="AJ3806" s="15">
        <f t="shared" si="321"/>
        <v>1200</v>
      </c>
      <c r="AK3806" s="14"/>
      <c r="AL3806" s="14"/>
      <c r="AM3806" s="14"/>
      <c r="AN3806" s="14"/>
      <c r="AO3806" s="14"/>
      <c r="AP3806" s="14"/>
      <c r="AQ3806" s="14"/>
      <c r="AR3806" s="14"/>
      <c r="AS3806" s="14"/>
      <c r="AT3806" s="14"/>
      <c r="AU3806" s="14"/>
      <c r="AV3806" s="14"/>
      <c r="AW3806" s="15"/>
      <c r="AX3806" s="16"/>
    </row>
    <row r="3807" spans="2:50" x14ac:dyDescent="0.2">
      <c r="B3807" s="7"/>
      <c r="C3807" s="8">
        <v>14167</v>
      </c>
      <c r="D3807" s="9" t="s">
        <v>413</v>
      </c>
      <c r="E3807" s="10" t="str">
        <f t="shared" si="317"/>
        <v>Rancho Upácuaro No. 79</v>
      </c>
      <c r="F3807" s="10" t="str">
        <f t="shared" si="318"/>
        <v>Macías</v>
      </c>
      <c r="G3807" s="8">
        <v>7</v>
      </c>
      <c r="H3807" s="11">
        <v>100</v>
      </c>
      <c r="I3807" s="12">
        <v>42827</v>
      </c>
      <c r="J3807" s="35">
        <f t="shared" si="319"/>
        <v>0</v>
      </c>
      <c r="K3807" s="36"/>
      <c r="L3807" s="36"/>
      <c r="M3807" s="36"/>
      <c r="N3807" s="36"/>
      <c r="O3807" s="36"/>
      <c r="P3807" s="36"/>
      <c r="Q3807" s="36"/>
      <c r="R3807" s="36"/>
      <c r="S3807" s="36"/>
      <c r="T3807" s="36"/>
      <c r="U3807" s="36"/>
      <c r="V3807" s="36"/>
      <c r="W3807" s="15">
        <f t="shared" si="320"/>
        <v>0</v>
      </c>
      <c r="X3807" s="36"/>
      <c r="Y3807" s="36"/>
      <c r="Z3807" s="36"/>
      <c r="AA3807" s="36"/>
      <c r="AB3807" s="36"/>
      <c r="AC3807" s="36"/>
      <c r="AD3807" s="36"/>
      <c r="AE3807" s="36"/>
      <c r="AF3807" s="36"/>
      <c r="AG3807" s="36"/>
      <c r="AH3807" s="36"/>
      <c r="AI3807" s="36"/>
      <c r="AJ3807" s="15">
        <f t="shared" si="321"/>
        <v>0</v>
      </c>
      <c r="AK3807" s="14"/>
      <c r="AL3807" s="14"/>
      <c r="AM3807" s="14"/>
      <c r="AN3807" s="14"/>
      <c r="AO3807" s="14"/>
      <c r="AP3807" s="14"/>
      <c r="AQ3807" s="14"/>
      <c r="AR3807" s="14"/>
      <c r="AS3807" s="14"/>
      <c r="AT3807" s="14"/>
      <c r="AU3807" s="14"/>
      <c r="AV3807" s="14"/>
      <c r="AW3807" s="15"/>
      <c r="AX3807" s="16" t="s">
        <v>3820</v>
      </c>
    </row>
    <row r="3808" spans="2:50" x14ac:dyDescent="0.2">
      <c r="B3808" s="7"/>
      <c r="C3808" s="8">
        <v>14168</v>
      </c>
      <c r="D3808" s="9" t="s">
        <v>109</v>
      </c>
      <c r="E3808" s="10" t="str">
        <f t="shared" si="317"/>
        <v>Rancho Estanzuela No. 31</v>
      </c>
      <c r="F3808" s="10" t="str">
        <f t="shared" si="318"/>
        <v>Chávez Valdés</v>
      </c>
      <c r="G3808" s="8">
        <v>1</v>
      </c>
      <c r="H3808" s="11">
        <v>400</v>
      </c>
      <c r="I3808" s="12">
        <v>42827</v>
      </c>
      <c r="J3808" s="35">
        <f t="shared" si="319"/>
        <v>0</v>
      </c>
      <c r="K3808" s="36"/>
      <c r="L3808" s="36"/>
      <c r="M3808" s="36"/>
      <c r="N3808" s="36"/>
      <c r="O3808" s="36"/>
      <c r="P3808" s="36"/>
      <c r="Q3808" s="36"/>
      <c r="R3808" s="36"/>
      <c r="S3808" s="36"/>
      <c r="T3808" s="36"/>
      <c r="U3808" s="36"/>
      <c r="V3808" s="36"/>
      <c r="W3808" s="15">
        <f t="shared" si="320"/>
        <v>0</v>
      </c>
      <c r="X3808" s="36"/>
      <c r="Y3808" s="36"/>
      <c r="Z3808" s="36">
        <v>400</v>
      </c>
      <c r="AA3808" s="36"/>
      <c r="AB3808" s="36"/>
      <c r="AC3808" s="36"/>
      <c r="AD3808" s="36"/>
      <c r="AE3808" s="36"/>
      <c r="AF3808" s="36"/>
      <c r="AG3808" s="36"/>
      <c r="AH3808" s="36"/>
      <c r="AI3808" s="36"/>
      <c r="AJ3808" s="15">
        <f t="shared" si="321"/>
        <v>400</v>
      </c>
      <c r="AK3808" s="14"/>
      <c r="AL3808" s="14"/>
      <c r="AM3808" s="14"/>
      <c r="AN3808" s="14"/>
      <c r="AO3808" s="14"/>
      <c r="AP3808" s="14"/>
      <c r="AQ3808" s="14"/>
      <c r="AR3808" s="14"/>
      <c r="AS3808" s="14"/>
      <c r="AT3808" s="14"/>
      <c r="AU3808" s="14"/>
      <c r="AV3808" s="14"/>
      <c r="AW3808" s="15"/>
      <c r="AX3808" s="16"/>
    </row>
    <row r="3809" spans="2:50" x14ac:dyDescent="0.2">
      <c r="B3809" s="7"/>
      <c r="C3809" s="8">
        <v>14169</v>
      </c>
      <c r="D3809" s="9" t="s">
        <v>514</v>
      </c>
      <c r="E3809" s="10" t="str">
        <f t="shared" si="317"/>
        <v>Rancho Upácuaro No. 114</v>
      </c>
      <c r="F3809" s="10" t="str">
        <f t="shared" si="318"/>
        <v>Hernández Cornejo</v>
      </c>
      <c r="G3809" s="8">
        <v>1</v>
      </c>
      <c r="H3809" s="11">
        <v>400</v>
      </c>
      <c r="I3809" s="12">
        <v>42827</v>
      </c>
      <c r="J3809" s="35">
        <f t="shared" si="319"/>
        <v>0</v>
      </c>
      <c r="K3809" s="36"/>
      <c r="L3809" s="36"/>
      <c r="M3809" s="36"/>
      <c r="N3809" s="36"/>
      <c r="O3809" s="36"/>
      <c r="P3809" s="36"/>
      <c r="Q3809" s="36"/>
      <c r="R3809" s="36"/>
      <c r="S3809" s="36"/>
      <c r="T3809" s="36"/>
      <c r="U3809" s="36"/>
      <c r="V3809" s="36"/>
      <c r="W3809" s="15">
        <f t="shared" si="320"/>
        <v>0</v>
      </c>
      <c r="X3809" s="36"/>
      <c r="Y3809" s="36"/>
      <c r="Z3809" s="36">
        <v>400</v>
      </c>
      <c r="AA3809" s="36"/>
      <c r="AB3809" s="36"/>
      <c r="AC3809" s="36"/>
      <c r="AD3809" s="36"/>
      <c r="AE3809" s="36"/>
      <c r="AF3809" s="36"/>
      <c r="AG3809" s="36"/>
      <c r="AH3809" s="36"/>
      <c r="AI3809" s="36"/>
      <c r="AJ3809" s="15">
        <f t="shared" si="321"/>
        <v>400</v>
      </c>
      <c r="AK3809" s="14"/>
      <c r="AL3809" s="14"/>
      <c r="AM3809" s="14"/>
      <c r="AN3809" s="14"/>
      <c r="AO3809" s="14"/>
      <c r="AP3809" s="14"/>
      <c r="AQ3809" s="14"/>
      <c r="AR3809" s="14"/>
      <c r="AS3809" s="14"/>
      <c r="AT3809" s="14"/>
      <c r="AU3809" s="14"/>
      <c r="AV3809" s="14"/>
      <c r="AW3809" s="15"/>
      <c r="AX3809" s="16"/>
    </row>
    <row r="3810" spans="2:50" x14ac:dyDescent="0.2">
      <c r="B3810" s="7"/>
      <c r="C3810" s="8">
        <v>14170</v>
      </c>
      <c r="D3810" s="9" t="s">
        <v>235</v>
      </c>
      <c r="E3810" s="10" t="str">
        <f t="shared" si="317"/>
        <v>Rancho La Cuchilla No. 43, A</v>
      </c>
      <c r="F3810" s="10" t="str">
        <f t="shared" si="318"/>
        <v>De la Rosa</v>
      </c>
      <c r="G3810" s="8">
        <v>1</v>
      </c>
      <c r="H3810" s="11">
        <v>400</v>
      </c>
      <c r="I3810" s="12">
        <v>42827</v>
      </c>
      <c r="J3810" s="35">
        <f t="shared" si="319"/>
        <v>0</v>
      </c>
      <c r="K3810" s="36"/>
      <c r="L3810" s="36"/>
      <c r="M3810" s="36"/>
      <c r="N3810" s="36"/>
      <c r="O3810" s="36"/>
      <c r="P3810" s="36"/>
      <c r="Q3810" s="36"/>
      <c r="R3810" s="36"/>
      <c r="S3810" s="36"/>
      <c r="T3810" s="36"/>
      <c r="U3810" s="36"/>
      <c r="V3810" s="36"/>
      <c r="W3810" s="15">
        <f t="shared" si="320"/>
        <v>0</v>
      </c>
      <c r="X3810" s="36"/>
      <c r="Y3810" s="36"/>
      <c r="Z3810" s="36">
        <v>400</v>
      </c>
      <c r="AA3810" s="36"/>
      <c r="AB3810" s="36"/>
      <c r="AC3810" s="36"/>
      <c r="AD3810" s="36"/>
      <c r="AE3810" s="36"/>
      <c r="AF3810" s="36"/>
      <c r="AG3810" s="36"/>
      <c r="AH3810" s="36"/>
      <c r="AI3810" s="36"/>
      <c r="AJ3810" s="15">
        <f t="shared" si="321"/>
        <v>400</v>
      </c>
      <c r="AK3810" s="14"/>
      <c r="AL3810" s="14"/>
      <c r="AM3810" s="14"/>
      <c r="AN3810" s="14"/>
      <c r="AO3810" s="14"/>
      <c r="AP3810" s="14"/>
      <c r="AQ3810" s="14"/>
      <c r="AR3810" s="14"/>
      <c r="AS3810" s="14"/>
      <c r="AT3810" s="14"/>
      <c r="AU3810" s="14"/>
      <c r="AV3810" s="14"/>
      <c r="AW3810" s="15"/>
      <c r="AX3810" s="16"/>
    </row>
    <row r="3811" spans="2:50" x14ac:dyDescent="0.2">
      <c r="B3811" s="7"/>
      <c r="C3811" s="8">
        <v>14171</v>
      </c>
      <c r="D3811" s="9" t="s">
        <v>1441</v>
      </c>
      <c r="E3811" s="10" t="str">
        <f t="shared" si="317"/>
        <v>Rancho Upácuaro No. 92</v>
      </c>
      <c r="F3811" s="10" t="str">
        <f t="shared" si="318"/>
        <v>Rosetti</v>
      </c>
      <c r="G3811" s="8">
        <v>7</v>
      </c>
      <c r="H3811" s="11">
        <v>100</v>
      </c>
      <c r="I3811" s="12">
        <v>42827</v>
      </c>
      <c r="J3811" s="35">
        <f t="shared" si="319"/>
        <v>0</v>
      </c>
      <c r="K3811" s="36"/>
      <c r="L3811" s="36"/>
      <c r="M3811" s="36"/>
      <c r="N3811" s="36"/>
      <c r="O3811" s="36"/>
      <c r="P3811" s="36"/>
      <c r="Q3811" s="36"/>
      <c r="R3811" s="36"/>
      <c r="S3811" s="36"/>
      <c r="T3811" s="36"/>
      <c r="U3811" s="36"/>
      <c r="V3811" s="36"/>
      <c r="W3811" s="15">
        <f t="shared" si="320"/>
        <v>0</v>
      </c>
      <c r="X3811" s="36"/>
      <c r="Y3811" s="36"/>
      <c r="Z3811" s="36"/>
      <c r="AA3811" s="36"/>
      <c r="AB3811" s="36"/>
      <c r="AC3811" s="36"/>
      <c r="AD3811" s="36"/>
      <c r="AE3811" s="36"/>
      <c r="AF3811" s="36"/>
      <c r="AG3811" s="36"/>
      <c r="AH3811" s="36"/>
      <c r="AI3811" s="36"/>
      <c r="AJ3811" s="15">
        <f t="shared" si="321"/>
        <v>0</v>
      </c>
      <c r="AK3811" s="14"/>
      <c r="AL3811" s="14"/>
      <c r="AM3811" s="14"/>
      <c r="AN3811" s="14"/>
      <c r="AO3811" s="14"/>
      <c r="AP3811" s="14"/>
      <c r="AQ3811" s="14"/>
      <c r="AR3811" s="14"/>
      <c r="AS3811" s="14"/>
      <c r="AT3811" s="14"/>
      <c r="AU3811" s="14"/>
      <c r="AV3811" s="14"/>
      <c r="AW3811" s="15"/>
      <c r="AX3811" s="16" t="s">
        <v>3533</v>
      </c>
    </row>
    <row r="3812" spans="2:50" x14ac:dyDescent="0.2">
      <c r="B3812" s="7"/>
      <c r="C3812" s="8">
        <v>14172</v>
      </c>
      <c r="D3812" s="9" t="s">
        <v>126</v>
      </c>
      <c r="E3812" s="10" t="str">
        <f t="shared" si="317"/>
        <v>Rancho Estanzuela No. 65</v>
      </c>
      <c r="F3812" s="10" t="str">
        <f t="shared" si="318"/>
        <v>López Becerril</v>
      </c>
      <c r="G3812" s="8">
        <v>1</v>
      </c>
      <c r="H3812" s="11">
        <v>400</v>
      </c>
      <c r="I3812" s="12">
        <v>42827</v>
      </c>
      <c r="J3812" s="35">
        <f t="shared" si="319"/>
        <v>0</v>
      </c>
      <c r="K3812" s="36"/>
      <c r="L3812" s="36"/>
      <c r="M3812" s="36"/>
      <c r="N3812" s="36"/>
      <c r="O3812" s="36"/>
      <c r="P3812" s="36"/>
      <c r="Q3812" s="36"/>
      <c r="R3812" s="36"/>
      <c r="S3812" s="36"/>
      <c r="T3812" s="36"/>
      <c r="U3812" s="36"/>
      <c r="V3812" s="36"/>
      <c r="W3812" s="15">
        <f t="shared" si="320"/>
        <v>0</v>
      </c>
      <c r="X3812" s="36"/>
      <c r="Y3812" s="36"/>
      <c r="Z3812" s="36">
        <v>400</v>
      </c>
      <c r="AA3812" s="36"/>
      <c r="AB3812" s="36"/>
      <c r="AC3812" s="36"/>
      <c r="AD3812" s="36"/>
      <c r="AE3812" s="36"/>
      <c r="AF3812" s="36"/>
      <c r="AG3812" s="36"/>
      <c r="AH3812" s="36"/>
      <c r="AI3812" s="36"/>
      <c r="AJ3812" s="15">
        <f t="shared" si="321"/>
        <v>400</v>
      </c>
      <c r="AK3812" s="14"/>
      <c r="AL3812" s="14"/>
      <c r="AM3812" s="14"/>
      <c r="AN3812" s="14"/>
      <c r="AO3812" s="14"/>
      <c r="AP3812" s="14"/>
      <c r="AQ3812" s="14"/>
      <c r="AR3812" s="14"/>
      <c r="AS3812" s="14"/>
      <c r="AT3812" s="14"/>
      <c r="AU3812" s="14"/>
      <c r="AV3812" s="14"/>
      <c r="AW3812" s="15"/>
      <c r="AX3812" s="16"/>
    </row>
    <row r="3813" spans="2:50" x14ac:dyDescent="0.2">
      <c r="B3813" s="7"/>
      <c r="C3813" s="8">
        <v>14173</v>
      </c>
      <c r="D3813" s="9" t="s">
        <v>763</v>
      </c>
      <c r="E3813" s="10" t="str">
        <f t="shared" si="317"/>
        <v>Rancho Estanzuela No. 79</v>
      </c>
      <c r="F3813" s="10" t="str">
        <f t="shared" si="318"/>
        <v>Mendoza</v>
      </c>
      <c r="G3813" s="8">
        <v>1</v>
      </c>
      <c r="H3813" s="11">
        <v>400</v>
      </c>
      <c r="I3813" s="12">
        <v>42827</v>
      </c>
      <c r="J3813" s="35">
        <f t="shared" si="319"/>
        <v>0</v>
      </c>
      <c r="K3813" s="36"/>
      <c r="L3813" s="36"/>
      <c r="M3813" s="36"/>
      <c r="N3813" s="36"/>
      <c r="O3813" s="36"/>
      <c r="P3813" s="36"/>
      <c r="Q3813" s="36"/>
      <c r="R3813" s="36"/>
      <c r="S3813" s="36"/>
      <c r="T3813" s="36"/>
      <c r="U3813" s="36"/>
      <c r="V3813" s="36"/>
      <c r="W3813" s="15">
        <f t="shared" si="320"/>
        <v>0</v>
      </c>
      <c r="X3813" s="36"/>
      <c r="Y3813" s="36"/>
      <c r="Z3813" s="36">
        <v>400</v>
      </c>
      <c r="AA3813" s="36"/>
      <c r="AB3813" s="36"/>
      <c r="AC3813" s="36"/>
      <c r="AD3813" s="36"/>
      <c r="AE3813" s="36"/>
      <c r="AF3813" s="36"/>
      <c r="AG3813" s="36"/>
      <c r="AH3813" s="36"/>
      <c r="AI3813" s="36"/>
      <c r="AJ3813" s="15">
        <f t="shared" si="321"/>
        <v>400</v>
      </c>
      <c r="AK3813" s="14"/>
      <c r="AL3813" s="14"/>
      <c r="AM3813" s="14"/>
      <c r="AN3813" s="14"/>
      <c r="AO3813" s="14"/>
      <c r="AP3813" s="14"/>
      <c r="AQ3813" s="14"/>
      <c r="AR3813" s="14"/>
      <c r="AS3813" s="14"/>
      <c r="AT3813" s="14"/>
      <c r="AU3813" s="14"/>
      <c r="AV3813" s="14"/>
      <c r="AW3813" s="15"/>
      <c r="AX3813" s="16"/>
    </row>
    <row r="3814" spans="2:50" x14ac:dyDescent="0.2">
      <c r="B3814" s="7"/>
      <c r="C3814" s="8">
        <v>14173</v>
      </c>
      <c r="D3814" s="9" t="s">
        <v>763</v>
      </c>
      <c r="E3814" s="10" t="str">
        <f t="shared" si="317"/>
        <v>Rancho Estanzuela No. 79</v>
      </c>
      <c r="F3814" s="10" t="str">
        <f t="shared" si="318"/>
        <v>Mendoza</v>
      </c>
      <c r="G3814" s="8">
        <v>7</v>
      </c>
      <c r="H3814" s="11">
        <v>100</v>
      </c>
      <c r="I3814" s="12">
        <v>42827</v>
      </c>
      <c r="J3814" s="35">
        <f t="shared" si="319"/>
        <v>0</v>
      </c>
      <c r="K3814" s="36"/>
      <c r="L3814" s="36"/>
      <c r="M3814" s="36"/>
      <c r="N3814" s="36"/>
      <c r="O3814" s="36"/>
      <c r="P3814" s="36"/>
      <c r="Q3814" s="36"/>
      <c r="R3814" s="36"/>
      <c r="S3814" s="36"/>
      <c r="T3814" s="36"/>
      <c r="U3814" s="36"/>
      <c r="V3814" s="36"/>
      <c r="W3814" s="15">
        <f t="shared" si="320"/>
        <v>0</v>
      </c>
      <c r="X3814" s="36"/>
      <c r="Y3814" s="36"/>
      <c r="Z3814" s="36"/>
      <c r="AA3814" s="36"/>
      <c r="AB3814" s="36"/>
      <c r="AC3814" s="36"/>
      <c r="AD3814" s="36"/>
      <c r="AE3814" s="36"/>
      <c r="AF3814" s="36"/>
      <c r="AG3814" s="36"/>
      <c r="AH3814" s="36"/>
      <c r="AI3814" s="36"/>
      <c r="AJ3814" s="15">
        <f t="shared" si="321"/>
        <v>0</v>
      </c>
      <c r="AK3814" s="14"/>
      <c r="AL3814" s="14"/>
      <c r="AM3814" s="14"/>
      <c r="AN3814" s="14"/>
      <c r="AO3814" s="14"/>
      <c r="AP3814" s="14"/>
      <c r="AQ3814" s="14"/>
      <c r="AR3814" s="14"/>
      <c r="AS3814" s="14"/>
      <c r="AT3814" s="14"/>
      <c r="AU3814" s="14"/>
      <c r="AV3814" s="14"/>
      <c r="AW3814" s="15"/>
      <c r="AX3814" s="16" t="s">
        <v>3533</v>
      </c>
    </row>
    <row r="3815" spans="2:50" x14ac:dyDescent="0.2">
      <c r="B3815" s="7"/>
      <c r="C3815" s="8">
        <v>14174</v>
      </c>
      <c r="D3815" s="9" t="s">
        <v>538</v>
      </c>
      <c r="E3815" s="10" t="str">
        <f t="shared" si="317"/>
        <v>Rancho Landero No. 73</v>
      </c>
      <c r="F3815" s="10" t="str">
        <f t="shared" si="318"/>
        <v>Islas Palacios</v>
      </c>
      <c r="G3815" s="8">
        <v>1</v>
      </c>
      <c r="H3815" s="11">
        <v>400</v>
      </c>
      <c r="I3815" s="12">
        <v>42827</v>
      </c>
      <c r="J3815" s="35">
        <f t="shared" si="319"/>
        <v>0</v>
      </c>
      <c r="K3815" s="36"/>
      <c r="L3815" s="36"/>
      <c r="M3815" s="36"/>
      <c r="N3815" s="36"/>
      <c r="O3815" s="36"/>
      <c r="P3815" s="36"/>
      <c r="Q3815" s="36"/>
      <c r="R3815" s="36"/>
      <c r="S3815" s="36"/>
      <c r="T3815" s="36"/>
      <c r="U3815" s="36"/>
      <c r="V3815" s="36"/>
      <c r="W3815" s="15">
        <f t="shared" si="320"/>
        <v>0</v>
      </c>
      <c r="X3815" s="36"/>
      <c r="Y3815" s="36"/>
      <c r="Z3815" s="36"/>
      <c r="AA3815" s="36">
        <v>400</v>
      </c>
      <c r="AB3815" s="36"/>
      <c r="AC3815" s="36"/>
      <c r="AD3815" s="36"/>
      <c r="AE3815" s="36"/>
      <c r="AF3815" s="36"/>
      <c r="AG3815" s="36"/>
      <c r="AH3815" s="36"/>
      <c r="AI3815" s="36"/>
      <c r="AJ3815" s="15">
        <f t="shared" si="321"/>
        <v>400</v>
      </c>
      <c r="AK3815" s="14"/>
      <c r="AL3815" s="14"/>
      <c r="AM3815" s="14"/>
      <c r="AN3815" s="14"/>
      <c r="AO3815" s="14"/>
      <c r="AP3815" s="14"/>
      <c r="AQ3815" s="14"/>
      <c r="AR3815" s="14"/>
      <c r="AS3815" s="14"/>
      <c r="AT3815" s="14"/>
      <c r="AU3815" s="14"/>
      <c r="AV3815" s="14"/>
      <c r="AW3815" s="15"/>
      <c r="AX3815" s="16"/>
    </row>
    <row r="3816" spans="2:50" x14ac:dyDescent="0.2">
      <c r="B3816" s="7"/>
      <c r="C3816" s="8">
        <v>14175</v>
      </c>
      <c r="D3816" s="9" t="s">
        <v>186</v>
      </c>
      <c r="E3816" s="10" t="str">
        <f t="shared" si="317"/>
        <v>Rancho Upácuaro No. 100</v>
      </c>
      <c r="F3816" s="10" t="str">
        <f t="shared" si="318"/>
        <v>Valdez</v>
      </c>
      <c r="G3816" s="8">
        <v>1</v>
      </c>
      <c r="H3816" s="11">
        <v>400</v>
      </c>
      <c r="I3816" s="12">
        <v>42827</v>
      </c>
      <c r="J3816" s="35">
        <f t="shared" si="319"/>
        <v>0</v>
      </c>
      <c r="K3816" s="36"/>
      <c r="L3816" s="36"/>
      <c r="M3816" s="36"/>
      <c r="N3816" s="36"/>
      <c r="O3816" s="36"/>
      <c r="P3816" s="36"/>
      <c r="Q3816" s="36"/>
      <c r="R3816" s="36"/>
      <c r="S3816" s="36"/>
      <c r="T3816" s="36"/>
      <c r="U3816" s="36"/>
      <c r="V3816" s="36"/>
      <c r="W3816" s="15">
        <f t="shared" si="320"/>
        <v>0</v>
      </c>
      <c r="X3816" s="36"/>
      <c r="Y3816" s="36"/>
      <c r="Z3816" s="36"/>
      <c r="AA3816" s="36">
        <v>400</v>
      </c>
      <c r="AB3816" s="36"/>
      <c r="AC3816" s="36"/>
      <c r="AD3816" s="36"/>
      <c r="AE3816" s="36"/>
      <c r="AF3816" s="36"/>
      <c r="AG3816" s="36"/>
      <c r="AH3816" s="36"/>
      <c r="AI3816" s="36"/>
      <c r="AJ3816" s="15">
        <f t="shared" si="321"/>
        <v>400</v>
      </c>
      <c r="AK3816" s="14"/>
      <c r="AL3816" s="14"/>
      <c r="AM3816" s="14"/>
      <c r="AN3816" s="14"/>
      <c r="AO3816" s="14"/>
      <c r="AP3816" s="14"/>
      <c r="AQ3816" s="14"/>
      <c r="AR3816" s="14"/>
      <c r="AS3816" s="14"/>
      <c r="AT3816" s="14"/>
      <c r="AU3816" s="14"/>
      <c r="AV3816" s="14"/>
      <c r="AW3816" s="15"/>
      <c r="AX3816" s="16"/>
    </row>
    <row r="3817" spans="2:50" x14ac:dyDescent="0.2">
      <c r="B3817" s="7"/>
      <c r="C3817" s="8">
        <v>14176</v>
      </c>
      <c r="D3817" s="9" t="s">
        <v>129</v>
      </c>
      <c r="E3817" s="10" t="str">
        <f t="shared" si="317"/>
        <v>Rancho Zinamba No. 44</v>
      </c>
      <c r="F3817" s="10" t="str">
        <f t="shared" si="318"/>
        <v>Canales</v>
      </c>
      <c r="G3817" s="8">
        <v>1</v>
      </c>
      <c r="H3817" s="11">
        <v>800</v>
      </c>
      <c r="I3817" s="12">
        <v>42827</v>
      </c>
      <c r="J3817" s="35">
        <f t="shared" si="319"/>
        <v>0</v>
      </c>
      <c r="K3817" s="36"/>
      <c r="L3817" s="36"/>
      <c r="M3817" s="36"/>
      <c r="N3817" s="36"/>
      <c r="O3817" s="36"/>
      <c r="P3817" s="36"/>
      <c r="Q3817" s="36"/>
      <c r="R3817" s="36"/>
      <c r="S3817" s="36"/>
      <c r="T3817" s="36"/>
      <c r="U3817" s="36"/>
      <c r="V3817" s="36"/>
      <c r="W3817" s="15">
        <f t="shared" si="320"/>
        <v>0</v>
      </c>
      <c r="X3817" s="36"/>
      <c r="Y3817" s="36"/>
      <c r="Z3817" s="36"/>
      <c r="AA3817" s="36">
        <v>400</v>
      </c>
      <c r="AB3817" s="36">
        <v>400</v>
      </c>
      <c r="AC3817" s="36"/>
      <c r="AD3817" s="36"/>
      <c r="AE3817" s="36"/>
      <c r="AF3817" s="36"/>
      <c r="AG3817" s="36"/>
      <c r="AH3817" s="36"/>
      <c r="AI3817" s="36"/>
      <c r="AJ3817" s="15">
        <f t="shared" si="321"/>
        <v>800</v>
      </c>
      <c r="AK3817" s="14"/>
      <c r="AL3817" s="14"/>
      <c r="AM3817" s="14"/>
      <c r="AN3817" s="14"/>
      <c r="AO3817" s="14"/>
      <c r="AP3817" s="14"/>
      <c r="AQ3817" s="14"/>
      <c r="AR3817" s="14"/>
      <c r="AS3817" s="14"/>
      <c r="AT3817" s="14"/>
      <c r="AU3817" s="14"/>
      <c r="AV3817" s="14"/>
      <c r="AW3817" s="15"/>
      <c r="AX3817" s="16"/>
    </row>
    <row r="3818" spans="2:50" x14ac:dyDescent="0.2">
      <c r="B3818" s="7"/>
      <c r="C3818" s="8">
        <v>14177</v>
      </c>
      <c r="D3818" s="9" t="s">
        <v>280</v>
      </c>
      <c r="E3818" s="10" t="str">
        <f t="shared" si="317"/>
        <v>Rancho La Cuchilla No. 40</v>
      </c>
      <c r="F3818" s="10" t="str">
        <f t="shared" si="318"/>
        <v>López Pico</v>
      </c>
      <c r="G3818" s="8">
        <v>1</v>
      </c>
      <c r="H3818" s="11">
        <v>400</v>
      </c>
      <c r="I3818" s="12">
        <v>42827</v>
      </c>
      <c r="J3818" s="35">
        <f t="shared" si="319"/>
        <v>0</v>
      </c>
      <c r="K3818" s="36"/>
      <c r="L3818" s="36"/>
      <c r="M3818" s="36"/>
      <c r="N3818" s="36"/>
      <c r="O3818" s="36"/>
      <c r="P3818" s="36"/>
      <c r="Q3818" s="36"/>
      <c r="R3818" s="36"/>
      <c r="S3818" s="36"/>
      <c r="T3818" s="36"/>
      <c r="U3818" s="36"/>
      <c r="V3818" s="36"/>
      <c r="W3818" s="15">
        <f t="shared" si="320"/>
        <v>0</v>
      </c>
      <c r="X3818" s="36"/>
      <c r="Y3818" s="36"/>
      <c r="Z3818" s="36"/>
      <c r="AA3818" s="36">
        <v>400</v>
      </c>
      <c r="AB3818" s="36"/>
      <c r="AC3818" s="36"/>
      <c r="AD3818" s="36"/>
      <c r="AE3818" s="36"/>
      <c r="AF3818" s="36"/>
      <c r="AG3818" s="36"/>
      <c r="AH3818" s="36"/>
      <c r="AI3818" s="36"/>
      <c r="AJ3818" s="15">
        <f t="shared" si="321"/>
        <v>400</v>
      </c>
      <c r="AK3818" s="14"/>
      <c r="AL3818" s="14"/>
      <c r="AM3818" s="14"/>
      <c r="AN3818" s="14"/>
      <c r="AO3818" s="14"/>
      <c r="AP3818" s="14"/>
      <c r="AQ3818" s="14"/>
      <c r="AR3818" s="14"/>
      <c r="AS3818" s="14"/>
      <c r="AT3818" s="14"/>
      <c r="AU3818" s="14"/>
      <c r="AV3818" s="14"/>
      <c r="AW3818" s="15"/>
      <c r="AX3818" s="16"/>
    </row>
    <row r="3819" spans="2:50" x14ac:dyDescent="0.2">
      <c r="B3819" s="7"/>
      <c r="C3819" s="8">
        <v>14178</v>
      </c>
      <c r="D3819" s="9" t="s">
        <v>769</v>
      </c>
      <c r="E3819" s="10" t="str">
        <f t="shared" si="317"/>
        <v>Rancho La Cuchilla No. 66</v>
      </c>
      <c r="F3819" s="10" t="str">
        <f t="shared" si="318"/>
        <v>Prieto</v>
      </c>
      <c r="G3819" s="8">
        <v>1</v>
      </c>
      <c r="H3819" s="11">
        <v>800</v>
      </c>
      <c r="I3819" s="12">
        <v>42827</v>
      </c>
      <c r="J3819" s="35">
        <f t="shared" si="319"/>
        <v>0</v>
      </c>
      <c r="K3819" s="36"/>
      <c r="L3819" s="36"/>
      <c r="M3819" s="36"/>
      <c r="N3819" s="36"/>
      <c r="O3819" s="36"/>
      <c r="P3819" s="36"/>
      <c r="Q3819" s="36"/>
      <c r="R3819" s="36"/>
      <c r="S3819" s="36"/>
      <c r="T3819" s="36"/>
      <c r="U3819" s="36"/>
      <c r="V3819" s="36"/>
      <c r="W3819" s="15">
        <f t="shared" si="320"/>
        <v>0</v>
      </c>
      <c r="X3819" s="36"/>
      <c r="Y3819" s="36"/>
      <c r="Z3819" s="36">
        <v>400</v>
      </c>
      <c r="AA3819" s="36">
        <v>400</v>
      </c>
      <c r="AB3819" s="36"/>
      <c r="AC3819" s="36"/>
      <c r="AD3819" s="36"/>
      <c r="AE3819" s="36"/>
      <c r="AF3819" s="36"/>
      <c r="AG3819" s="36"/>
      <c r="AH3819" s="36"/>
      <c r="AI3819" s="36"/>
      <c r="AJ3819" s="15">
        <f t="shared" si="321"/>
        <v>800</v>
      </c>
      <c r="AK3819" s="14"/>
      <c r="AL3819" s="14"/>
      <c r="AM3819" s="14"/>
      <c r="AN3819" s="14"/>
      <c r="AO3819" s="14"/>
      <c r="AP3819" s="14"/>
      <c r="AQ3819" s="14"/>
      <c r="AR3819" s="14"/>
      <c r="AS3819" s="14"/>
      <c r="AT3819" s="14"/>
      <c r="AU3819" s="14"/>
      <c r="AV3819" s="14"/>
      <c r="AW3819" s="15"/>
      <c r="AX3819" s="16"/>
    </row>
    <row r="3820" spans="2:50" x14ac:dyDescent="0.2">
      <c r="B3820" s="7"/>
      <c r="C3820" s="8">
        <v>14179</v>
      </c>
      <c r="D3820" s="9" t="s">
        <v>785</v>
      </c>
      <c r="E3820" s="10" t="str">
        <f t="shared" si="317"/>
        <v>Rancho Estanzuela No. 61</v>
      </c>
      <c r="F3820" s="10" t="str">
        <f t="shared" si="318"/>
        <v>González Almazán</v>
      </c>
      <c r="G3820" s="8">
        <v>1</v>
      </c>
      <c r="H3820" s="11">
        <v>200</v>
      </c>
      <c r="I3820" s="12">
        <v>42827</v>
      </c>
      <c r="J3820" s="35">
        <f t="shared" si="319"/>
        <v>0</v>
      </c>
      <c r="K3820" s="36"/>
      <c r="L3820" s="36"/>
      <c r="M3820" s="36"/>
      <c r="N3820" s="36"/>
      <c r="O3820" s="36"/>
      <c r="P3820" s="36"/>
      <c r="Q3820" s="36"/>
      <c r="R3820" s="36"/>
      <c r="S3820" s="36"/>
      <c r="T3820" s="36"/>
      <c r="U3820" s="36"/>
      <c r="V3820" s="36"/>
      <c r="W3820" s="15">
        <f t="shared" si="320"/>
        <v>0</v>
      </c>
      <c r="X3820" s="36"/>
      <c r="Y3820" s="36"/>
      <c r="Z3820" s="36">
        <v>200</v>
      </c>
      <c r="AA3820" s="36"/>
      <c r="AB3820" s="36"/>
      <c r="AC3820" s="36"/>
      <c r="AD3820" s="36"/>
      <c r="AE3820" s="36"/>
      <c r="AF3820" s="36"/>
      <c r="AG3820" s="36"/>
      <c r="AH3820" s="36"/>
      <c r="AI3820" s="36"/>
      <c r="AJ3820" s="15">
        <f t="shared" si="321"/>
        <v>200</v>
      </c>
      <c r="AK3820" s="14"/>
      <c r="AL3820" s="14"/>
      <c r="AM3820" s="14"/>
      <c r="AN3820" s="14"/>
      <c r="AO3820" s="14"/>
      <c r="AP3820" s="14"/>
      <c r="AQ3820" s="14"/>
      <c r="AR3820" s="14"/>
      <c r="AS3820" s="14"/>
      <c r="AT3820" s="14"/>
      <c r="AU3820" s="14"/>
      <c r="AV3820" s="14"/>
      <c r="AW3820" s="15"/>
      <c r="AX3820" s="16"/>
    </row>
    <row r="3821" spans="2:50" x14ac:dyDescent="0.2">
      <c r="B3821" s="7"/>
      <c r="C3821" s="8">
        <v>14180</v>
      </c>
      <c r="D3821" s="9" t="s">
        <v>1020</v>
      </c>
      <c r="E3821" s="10" t="str">
        <f t="shared" si="317"/>
        <v>Rancho Landero No. 52</v>
      </c>
      <c r="F3821" s="10" t="str">
        <f t="shared" si="318"/>
        <v>Feregrino</v>
      </c>
      <c r="G3821" s="8">
        <v>7</v>
      </c>
      <c r="H3821" s="11">
        <v>100</v>
      </c>
      <c r="I3821" s="12">
        <v>42827</v>
      </c>
      <c r="J3821" s="35">
        <f t="shared" si="319"/>
        <v>0</v>
      </c>
      <c r="K3821" s="36"/>
      <c r="L3821" s="36"/>
      <c r="M3821" s="36"/>
      <c r="N3821" s="36"/>
      <c r="O3821" s="36"/>
      <c r="P3821" s="36"/>
      <c r="Q3821" s="36"/>
      <c r="R3821" s="36"/>
      <c r="S3821" s="36"/>
      <c r="T3821" s="36"/>
      <c r="U3821" s="36"/>
      <c r="V3821" s="36"/>
      <c r="W3821" s="15">
        <f t="shared" si="320"/>
        <v>0</v>
      </c>
      <c r="X3821" s="36"/>
      <c r="Y3821" s="36"/>
      <c r="Z3821" s="36"/>
      <c r="AA3821" s="36"/>
      <c r="AB3821" s="36"/>
      <c r="AC3821" s="36"/>
      <c r="AD3821" s="36"/>
      <c r="AE3821" s="36"/>
      <c r="AF3821" s="36"/>
      <c r="AG3821" s="36"/>
      <c r="AH3821" s="36"/>
      <c r="AI3821" s="36"/>
      <c r="AJ3821" s="15">
        <f t="shared" si="321"/>
        <v>0</v>
      </c>
      <c r="AK3821" s="14"/>
      <c r="AL3821" s="14"/>
      <c r="AM3821" s="14"/>
      <c r="AN3821" s="14"/>
      <c r="AO3821" s="14"/>
      <c r="AP3821" s="14"/>
      <c r="AQ3821" s="14"/>
      <c r="AR3821" s="14"/>
      <c r="AS3821" s="14"/>
      <c r="AT3821" s="14"/>
      <c r="AU3821" s="14"/>
      <c r="AV3821" s="14"/>
      <c r="AW3821" s="15"/>
      <c r="AX3821" s="16" t="s">
        <v>3533</v>
      </c>
    </row>
    <row r="3822" spans="2:50" x14ac:dyDescent="0.2">
      <c r="B3822" s="7"/>
      <c r="C3822" s="8">
        <v>14181</v>
      </c>
      <c r="D3822" s="9" t="s">
        <v>935</v>
      </c>
      <c r="E3822" s="10" t="str">
        <f t="shared" si="317"/>
        <v>Rancho Landero No. 39</v>
      </c>
      <c r="F3822" s="10" t="str">
        <f t="shared" si="318"/>
        <v>Soto del Cueto</v>
      </c>
      <c r="G3822" s="8">
        <v>1</v>
      </c>
      <c r="H3822" s="11">
        <v>1000</v>
      </c>
      <c r="I3822" s="12">
        <v>42827</v>
      </c>
      <c r="J3822" s="35">
        <f t="shared" si="319"/>
        <v>0</v>
      </c>
      <c r="K3822" s="36"/>
      <c r="L3822" s="36"/>
      <c r="M3822" s="36"/>
      <c r="N3822" s="36"/>
      <c r="O3822" s="36"/>
      <c r="P3822" s="36"/>
      <c r="Q3822" s="36"/>
      <c r="R3822" s="36"/>
      <c r="S3822" s="36"/>
      <c r="T3822" s="36"/>
      <c r="U3822" s="36"/>
      <c r="V3822" s="36"/>
      <c r="W3822" s="15">
        <f t="shared" si="320"/>
        <v>0</v>
      </c>
      <c r="X3822" s="36"/>
      <c r="Y3822" s="36">
        <v>250</v>
      </c>
      <c r="Z3822" s="36">
        <v>250</v>
      </c>
      <c r="AA3822" s="36">
        <v>250</v>
      </c>
      <c r="AB3822" s="36">
        <v>250</v>
      </c>
      <c r="AC3822" s="36"/>
      <c r="AD3822" s="36"/>
      <c r="AE3822" s="36"/>
      <c r="AF3822" s="36"/>
      <c r="AG3822" s="36"/>
      <c r="AH3822" s="36"/>
      <c r="AI3822" s="36"/>
      <c r="AJ3822" s="15">
        <f t="shared" si="321"/>
        <v>1000</v>
      </c>
      <c r="AK3822" s="14"/>
      <c r="AL3822" s="14"/>
      <c r="AM3822" s="14"/>
      <c r="AN3822" s="14"/>
      <c r="AO3822" s="14"/>
      <c r="AP3822" s="14"/>
      <c r="AQ3822" s="14"/>
      <c r="AR3822" s="14"/>
      <c r="AS3822" s="14"/>
      <c r="AT3822" s="14"/>
      <c r="AU3822" s="14"/>
      <c r="AV3822" s="14"/>
      <c r="AW3822" s="15"/>
      <c r="AX3822" s="16"/>
    </row>
    <row r="3823" spans="2:50" x14ac:dyDescent="0.2">
      <c r="B3823" s="7"/>
      <c r="C3823" s="8">
        <v>14181</v>
      </c>
      <c r="D3823" s="9" t="s">
        <v>935</v>
      </c>
      <c r="E3823" s="10" t="str">
        <f t="shared" si="317"/>
        <v>Rancho Landero No. 39</v>
      </c>
      <c r="F3823" s="10" t="str">
        <f t="shared" si="318"/>
        <v>Soto del Cueto</v>
      </c>
      <c r="G3823" s="8">
        <v>7</v>
      </c>
      <c r="H3823" s="11">
        <v>100</v>
      </c>
      <c r="I3823" s="12">
        <v>42827</v>
      </c>
      <c r="J3823" s="35">
        <f t="shared" si="319"/>
        <v>0</v>
      </c>
      <c r="K3823" s="36"/>
      <c r="L3823" s="36"/>
      <c r="M3823" s="36"/>
      <c r="N3823" s="36"/>
      <c r="O3823" s="36"/>
      <c r="P3823" s="36"/>
      <c r="Q3823" s="36"/>
      <c r="R3823" s="36"/>
      <c r="S3823" s="36"/>
      <c r="T3823" s="36"/>
      <c r="U3823" s="36"/>
      <c r="V3823" s="36"/>
      <c r="W3823" s="15">
        <f t="shared" si="320"/>
        <v>0</v>
      </c>
      <c r="X3823" s="36"/>
      <c r="Y3823" s="36"/>
      <c r="Z3823" s="36"/>
      <c r="AA3823" s="36"/>
      <c r="AB3823" s="36"/>
      <c r="AC3823" s="36"/>
      <c r="AD3823" s="36"/>
      <c r="AE3823" s="36"/>
      <c r="AF3823" s="36"/>
      <c r="AG3823" s="36"/>
      <c r="AH3823" s="36"/>
      <c r="AI3823" s="36"/>
      <c r="AJ3823" s="15">
        <f t="shared" si="321"/>
        <v>0</v>
      </c>
      <c r="AK3823" s="14"/>
      <c r="AL3823" s="14"/>
      <c r="AM3823" s="14"/>
      <c r="AN3823" s="14"/>
      <c r="AO3823" s="14"/>
      <c r="AP3823" s="14"/>
      <c r="AQ3823" s="14"/>
      <c r="AR3823" s="14"/>
      <c r="AS3823" s="14"/>
      <c r="AT3823" s="14"/>
      <c r="AU3823" s="14"/>
      <c r="AV3823" s="14"/>
      <c r="AW3823" s="15"/>
      <c r="AX3823" s="16" t="s">
        <v>3533</v>
      </c>
    </row>
    <row r="3824" spans="2:50" x14ac:dyDescent="0.2">
      <c r="B3824" s="7"/>
      <c r="C3824" s="8">
        <v>14182</v>
      </c>
      <c r="D3824" s="9" t="s">
        <v>84</v>
      </c>
      <c r="E3824" s="10" t="str">
        <f t="shared" si="317"/>
        <v>Rancho La Cuchilla No. 139</v>
      </c>
      <c r="F3824" s="10" t="str">
        <f t="shared" si="318"/>
        <v>Garcia</v>
      </c>
      <c r="G3824" s="8">
        <v>1</v>
      </c>
      <c r="H3824" s="11">
        <v>200</v>
      </c>
      <c r="I3824" s="12">
        <v>42827</v>
      </c>
      <c r="J3824" s="35">
        <f t="shared" si="319"/>
        <v>0</v>
      </c>
      <c r="K3824" s="36"/>
      <c r="L3824" s="36"/>
      <c r="M3824" s="36"/>
      <c r="N3824" s="36"/>
      <c r="O3824" s="36"/>
      <c r="P3824" s="36"/>
      <c r="Q3824" s="36"/>
      <c r="R3824" s="36"/>
      <c r="S3824" s="36"/>
      <c r="T3824" s="36"/>
      <c r="U3824" s="36"/>
      <c r="V3824" s="36"/>
      <c r="W3824" s="15">
        <f t="shared" si="320"/>
        <v>0</v>
      </c>
      <c r="X3824" s="36"/>
      <c r="Y3824" s="36"/>
      <c r="Z3824" s="36"/>
      <c r="AA3824" s="36">
        <v>200</v>
      </c>
      <c r="AB3824" s="36"/>
      <c r="AC3824" s="36"/>
      <c r="AD3824" s="36"/>
      <c r="AE3824" s="36"/>
      <c r="AF3824" s="36"/>
      <c r="AG3824" s="36"/>
      <c r="AH3824" s="36"/>
      <c r="AI3824" s="36"/>
      <c r="AJ3824" s="15">
        <f t="shared" si="321"/>
        <v>200</v>
      </c>
      <c r="AK3824" s="14"/>
      <c r="AL3824" s="14"/>
      <c r="AM3824" s="14"/>
      <c r="AN3824" s="14"/>
      <c r="AO3824" s="14"/>
      <c r="AP3824" s="14"/>
      <c r="AQ3824" s="14"/>
      <c r="AR3824" s="14"/>
      <c r="AS3824" s="14"/>
      <c r="AT3824" s="14"/>
      <c r="AU3824" s="14"/>
      <c r="AV3824" s="14"/>
      <c r="AW3824" s="15"/>
      <c r="AX3824" s="16"/>
    </row>
    <row r="3825" spans="2:50" x14ac:dyDescent="0.2">
      <c r="B3825" s="7"/>
      <c r="C3825" s="8">
        <v>14183</v>
      </c>
      <c r="D3825" s="9" t="s">
        <v>725</v>
      </c>
      <c r="E3825" s="10" t="str">
        <f t="shared" si="317"/>
        <v>Rancho Zinamba No. 34</v>
      </c>
      <c r="F3825" s="10" t="str">
        <f t="shared" si="318"/>
        <v>Torres Zavala</v>
      </c>
      <c r="G3825" s="8">
        <v>1</v>
      </c>
      <c r="H3825" s="11">
        <v>400</v>
      </c>
      <c r="I3825" s="12">
        <v>42827</v>
      </c>
      <c r="J3825" s="35">
        <f t="shared" si="319"/>
        <v>0</v>
      </c>
      <c r="K3825" s="36"/>
      <c r="L3825" s="36"/>
      <c r="M3825" s="36"/>
      <c r="N3825" s="36"/>
      <c r="O3825" s="36"/>
      <c r="P3825" s="36"/>
      <c r="Q3825" s="36"/>
      <c r="R3825" s="36"/>
      <c r="S3825" s="36"/>
      <c r="T3825" s="36"/>
      <c r="U3825" s="36"/>
      <c r="V3825" s="36"/>
      <c r="W3825" s="15">
        <f t="shared" si="320"/>
        <v>0</v>
      </c>
      <c r="X3825" s="36"/>
      <c r="Y3825" s="36">
        <v>400</v>
      </c>
      <c r="Z3825" s="36"/>
      <c r="AA3825" s="36"/>
      <c r="AB3825" s="36"/>
      <c r="AC3825" s="36"/>
      <c r="AD3825" s="36"/>
      <c r="AE3825" s="36"/>
      <c r="AF3825" s="36"/>
      <c r="AG3825" s="36"/>
      <c r="AH3825" s="36"/>
      <c r="AI3825" s="36"/>
      <c r="AJ3825" s="15">
        <f t="shared" si="321"/>
        <v>400</v>
      </c>
      <c r="AK3825" s="14"/>
      <c r="AL3825" s="14"/>
      <c r="AM3825" s="14"/>
      <c r="AN3825" s="14"/>
      <c r="AO3825" s="14"/>
      <c r="AP3825" s="14"/>
      <c r="AQ3825" s="14"/>
      <c r="AR3825" s="14"/>
      <c r="AS3825" s="14"/>
      <c r="AT3825" s="14"/>
      <c r="AU3825" s="14"/>
      <c r="AV3825" s="14"/>
      <c r="AW3825" s="15"/>
      <c r="AX3825" s="16"/>
    </row>
    <row r="3826" spans="2:50" x14ac:dyDescent="0.2">
      <c r="B3826" s="7"/>
      <c r="C3826" s="8">
        <v>14184</v>
      </c>
      <c r="D3826" s="9" t="s">
        <v>766</v>
      </c>
      <c r="E3826" s="10" t="str">
        <f t="shared" si="317"/>
        <v>Rancho Landero No. 88</v>
      </c>
      <c r="F3826" s="10" t="str">
        <f t="shared" si="318"/>
        <v>Torres Raúl</v>
      </c>
      <c r="G3826" s="8">
        <v>1</v>
      </c>
      <c r="H3826" s="11">
        <v>1600</v>
      </c>
      <c r="I3826" s="12">
        <v>42827</v>
      </c>
      <c r="J3826" s="35">
        <f t="shared" si="319"/>
        <v>0</v>
      </c>
      <c r="K3826" s="36"/>
      <c r="L3826" s="36"/>
      <c r="M3826" s="36"/>
      <c r="N3826" s="36"/>
      <c r="O3826" s="36"/>
      <c r="P3826" s="36"/>
      <c r="Q3826" s="36"/>
      <c r="R3826" s="36"/>
      <c r="S3826" s="36"/>
      <c r="T3826" s="36"/>
      <c r="U3826" s="36"/>
      <c r="V3826" s="36"/>
      <c r="W3826" s="15">
        <f t="shared" si="320"/>
        <v>0</v>
      </c>
      <c r="X3826" s="36">
        <v>400</v>
      </c>
      <c r="Y3826" s="36">
        <v>400</v>
      </c>
      <c r="Z3826" s="36">
        <v>400</v>
      </c>
      <c r="AA3826" s="36">
        <v>400</v>
      </c>
      <c r="AB3826" s="36"/>
      <c r="AC3826" s="36"/>
      <c r="AD3826" s="36"/>
      <c r="AE3826" s="36"/>
      <c r="AF3826" s="36"/>
      <c r="AG3826" s="36"/>
      <c r="AH3826" s="36"/>
      <c r="AI3826" s="36"/>
      <c r="AJ3826" s="15">
        <f t="shared" si="321"/>
        <v>1600</v>
      </c>
      <c r="AK3826" s="14"/>
      <c r="AL3826" s="14"/>
      <c r="AM3826" s="14"/>
      <c r="AN3826" s="14"/>
      <c r="AO3826" s="14"/>
      <c r="AP3826" s="14"/>
      <c r="AQ3826" s="14"/>
      <c r="AR3826" s="14"/>
      <c r="AS3826" s="14"/>
      <c r="AT3826" s="14"/>
      <c r="AU3826" s="14"/>
      <c r="AV3826" s="14"/>
      <c r="AW3826" s="15"/>
      <c r="AX3826" s="16"/>
    </row>
    <row r="3827" spans="2:50" x14ac:dyDescent="0.2">
      <c r="B3827" s="7"/>
      <c r="C3827" s="8">
        <v>14185</v>
      </c>
      <c r="D3827" s="9" t="s">
        <v>295</v>
      </c>
      <c r="E3827" s="10" t="str">
        <f t="shared" si="317"/>
        <v>Rancho Landero No. 99</v>
      </c>
      <c r="F3827" s="10" t="str">
        <f t="shared" si="318"/>
        <v>Rangel</v>
      </c>
      <c r="G3827" s="8">
        <v>1</v>
      </c>
      <c r="H3827" s="11">
        <v>300</v>
      </c>
      <c r="I3827" s="12">
        <v>42827</v>
      </c>
      <c r="J3827" s="35">
        <f t="shared" si="319"/>
        <v>0</v>
      </c>
      <c r="K3827" s="36"/>
      <c r="L3827" s="36"/>
      <c r="M3827" s="36"/>
      <c r="N3827" s="36"/>
      <c r="O3827" s="36"/>
      <c r="P3827" s="36"/>
      <c r="Q3827" s="36"/>
      <c r="R3827" s="36"/>
      <c r="S3827" s="36"/>
      <c r="T3827" s="36"/>
      <c r="U3827" s="36"/>
      <c r="V3827" s="36"/>
      <c r="W3827" s="15">
        <f t="shared" si="320"/>
        <v>0</v>
      </c>
      <c r="X3827" s="36"/>
      <c r="Y3827" s="36"/>
      <c r="Z3827" s="36">
        <v>300</v>
      </c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15">
        <f t="shared" si="321"/>
        <v>300</v>
      </c>
      <c r="AK3827" s="14"/>
      <c r="AL3827" s="14"/>
      <c r="AM3827" s="14"/>
      <c r="AN3827" s="14"/>
      <c r="AO3827" s="14"/>
      <c r="AP3827" s="14"/>
      <c r="AQ3827" s="14"/>
      <c r="AR3827" s="14"/>
      <c r="AS3827" s="14"/>
      <c r="AT3827" s="14"/>
      <c r="AU3827" s="14"/>
      <c r="AV3827" s="14"/>
      <c r="AW3827" s="15"/>
      <c r="AX3827" s="16"/>
    </row>
    <row r="3828" spans="2:50" x14ac:dyDescent="0.2">
      <c r="B3828" s="7"/>
      <c r="C3828" s="8">
        <v>14186</v>
      </c>
      <c r="D3828" s="9" t="s">
        <v>416</v>
      </c>
      <c r="E3828" s="10" t="str">
        <f t="shared" si="317"/>
        <v>Rancho La Cuchilla No. 112, PB</v>
      </c>
      <c r="F3828" s="10" t="str">
        <f t="shared" si="318"/>
        <v>Soreque</v>
      </c>
      <c r="G3828" s="8">
        <v>1</v>
      </c>
      <c r="H3828" s="11">
        <v>200</v>
      </c>
      <c r="I3828" s="12">
        <v>42827</v>
      </c>
      <c r="J3828" s="35">
        <f t="shared" si="319"/>
        <v>0</v>
      </c>
      <c r="K3828" s="36"/>
      <c r="L3828" s="36"/>
      <c r="M3828" s="36"/>
      <c r="N3828" s="36"/>
      <c r="O3828" s="36"/>
      <c r="P3828" s="36"/>
      <c r="Q3828" s="36"/>
      <c r="R3828" s="36"/>
      <c r="S3828" s="36"/>
      <c r="T3828" s="36"/>
      <c r="U3828" s="36"/>
      <c r="V3828" s="36"/>
      <c r="W3828" s="15">
        <f t="shared" si="320"/>
        <v>0</v>
      </c>
      <c r="X3828" s="36"/>
      <c r="Y3828" s="36"/>
      <c r="Z3828" s="36"/>
      <c r="AA3828" s="36">
        <v>200</v>
      </c>
      <c r="AB3828" s="36"/>
      <c r="AC3828" s="36"/>
      <c r="AD3828" s="36"/>
      <c r="AE3828" s="36"/>
      <c r="AF3828" s="36"/>
      <c r="AG3828" s="36"/>
      <c r="AH3828" s="36"/>
      <c r="AI3828" s="36"/>
      <c r="AJ3828" s="15">
        <f t="shared" si="321"/>
        <v>200</v>
      </c>
      <c r="AK3828" s="14"/>
      <c r="AL3828" s="14"/>
      <c r="AM3828" s="14"/>
      <c r="AN3828" s="14"/>
      <c r="AO3828" s="14"/>
      <c r="AP3828" s="14"/>
      <c r="AQ3828" s="14"/>
      <c r="AR3828" s="14"/>
      <c r="AS3828" s="14"/>
      <c r="AT3828" s="14"/>
      <c r="AU3828" s="14"/>
      <c r="AV3828" s="14"/>
      <c r="AW3828" s="15"/>
      <c r="AX3828" s="16"/>
    </row>
    <row r="3829" spans="2:50" x14ac:dyDescent="0.2">
      <c r="B3829" s="7"/>
      <c r="C3829" s="8">
        <v>14187</v>
      </c>
      <c r="D3829" s="9" t="s">
        <v>123</v>
      </c>
      <c r="E3829" s="10" t="str">
        <f t="shared" si="317"/>
        <v>Rancho Recoveco No. 175, B</v>
      </c>
      <c r="F3829" s="10" t="str">
        <f t="shared" si="318"/>
        <v>García Calderón</v>
      </c>
      <c r="G3829" s="8">
        <v>1</v>
      </c>
      <c r="H3829" s="11">
        <v>250</v>
      </c>
      <c r="I3829" s="12">
        <v>42827</v>
      </c>
      <c r="J3829" s="35">
        <f t="shared" si="319"/>
        <v>0</v>
      </c>
      <c r="K3829" s="36"/>
      <c r="L3829" s="36"/>
      <c r="M3829" s="36"/>
      <c r="N3829" s="36"/>
      <c r="O3829" s="36"/>
      <c r="P3829" s="36"/>
      <c r="Q3829" s="36"/>
      <c r="R3829" s="36"/>
      <c r="S3829" s="36"/>
      <c r="T3829" s="36"/>
      <c r="U3829" s="36"/>
      <c r="V3829" s="36"/>
      <c r="W3829" s="15">
        <f t="shared" si="320"/>
        <v>0</v>
      </c>
      <c r="X3829" s="36"/>
      <c r="Y3829" s="36"/>
      <c r="Z3829" s="36"/>
      <c r="AA3829" s="36">
        <v>250</v>
      </c>
      <c r="AB3829" s="36"/>
      <c r="AC3829" s="36"/>
      <c r="AD3829" s="36"/>
      <c r="AE3829" s="36"/>
      <c r="AF3829" s="36"/>
      <c r="AG3829" s="36"/>
      <c r="AH3829" s="36"/>
      <c r="AI3829" s="36"/>
      <c r="AJ3829" s="15">
        <f t="shared" si="321"/>
        <v>250</v>
      </c>
      <c r="AK3829" s="14"/>
      <c r="AL3829" s="14"/>
      <c r="AM3829" s="14"/>
      <c r="AN3829" s="14"/>
      <c r="AO3829" s="14"/>
      <c r="AP3829" s="14"/>
      <c r="AQ3829" s="14"/>
      <c r="AR3829" s="14"/>
      <c r="AS3829" s="14"/>
      <c r="AT3829" s="14"/>
      <c r="AU3829" s="14"/>
      <c r="AV3829" s="14"/>
      <c r="AW3829" s="15"/>
      <c r="AX3829" s="16"/>
    </row>
    <row r="3830" spans="2:50" x14ac:dyDescent="0.2">
      <c r="B3830" s="7"/>
      <c r="C3830" s="8">
        <v>14188</v>
      </c>
      <c r="D3830" s="9" t="s">
        <v>807</v>
      </c>
      <c r="E3830" s="10" t="str">
        <f t="shared" si="317"/>
        <v>Rancho La Cuchilla No. 61</v>
      </c>
      <c r="F3830" s="10" t="str">
        <f t="shared" si="318"/>
        <v>Rivera</v>
      </c>
      <c r="G3830" s="8">
        <v>5</v>
      </c>
      <c r="H3830" s="11">
        <v>50</v>
      </c>
      <c r="I3830" s="12">
        <v>42827</v>
      </c>
      <c r="J3830" s="35">
        <f t="shared" si="319"/>
        <v>0</v>
      </c>
      <c r="K3830" s="36"/>
      <c r="L3830" s="36"/>
      <c r="M3830" s="36"/>
      <c r="N3830" s="36"/>
      <c r="O3830" s="36"/>
      <c r="P3830" s="36"/>
      <c r="Q3830" s="36"/>
      <c r="R3830" s="36"/>
      <c r="S3830" s="36"/>
      <c r="T3830" s="36"/>
      <c r="U3830" s="36"/>
      <c r="V3830" s="36"/>
      <c r="W3830" s="15">
        <f t="shared" si="320"/>
        <v>0</v>
      </c>
      <c r="X3830" s="36"/>
      <c r="Y3830" s="36"/>
      <c r="Z3830" s="36"/>
      <c r="AA3830" s="36"/>
      <c r="AB3830" s="36"/>
      <c r="AC3830" s="36"/>
      <c r="AD3830" s="36"/>
      <c r="AE3830" s="36"/>
      <c r="AF3830" s="36"/>
      <c r="AG3830" s="36"/>
      <c r="AH3830" s="36"/>
      <c r="AI3830" s="36"/>
      <c r="AJ3830" s="15">
        <f t="shared" si="321"/>
        <v>0</v>
      </c>
      <c r="AK3830" s="14"/>
      <c r="AL3830" s="14"/>
      <c r="AM3830" s="14"/>
      <c r="AN3830" s="14"/>
      <c r="AO3830" s="14"/>
      <c r="AP3830" s="14"/>
      <c r="AQ3830" s="14"/>
      <c r="AR3830" s="14"/>
      <c r="AS3830" s="14"/>
      <c r="AT3830" s="14"/>
      <c r="AU3830" s="14"/>
      <c r="AV3830" s="14"/>
      <c r="AW3830" s="15"/>
      <c r="AX3830" s="16"/>
    </row>
    <row r="3831" spans="2:50" x14ac:dyDescent="0.2">
      <c r="B3831" s="7"/>
      <c r="C3831" s="8">
        <v>14189</v>
      </c>
      <c r="D3831" s="9" t="s">
        <v>455</v>
      </c>
      <c r="E3831" s="10" t="str">
        <f t="shared" si="317"/>
        <v>Rancho Zinamba No. 38</v>
      </c>
      <c r="F3831" s="10" t="str">
        <f t="shared" si="318"/>
        <v>Ramírez Díaz</v>
      </c>
      <c r="G3831" s="8">
        <v>1</v>
      </c>
      <c r="H3831" s="11">
        <v>400</v>
      </c>
      <c r="I3831" s="12">
        <v>42827</v>
      </c>
      <c r="J3831" s="35">
        <f t="shared" si="319"/>
        <v>0</v>
      </c>
      <c r="K3831" s="36"/>
      <c r="L3831" s="36"/>
      <c r="M3831" s="36"/>
      <c r="N3831" s="36"/>
      <c r="O3831" s="36"/>
      <c r="P3831" s="36"/>
      <c r="Q3831" s="36"/>
      <c r="R3831" s="36"/>
      <c r="S3831" s="36"/>
      <c r="T3831" s="36"/>
      <c r="U3831" s="36"/>
      <c r="V3831" s="36"/>
      <c r="W3831" s="15">
        <f t="shared" si="320"/>
        <v>0</v>
      </c>
      <c r="X3831" s="36"/>
      <c r="Y3831" s="36"/>
      <c r="Z3831" s="36"/>
      <c r="AA3831" s="36">
        <v>400</v>
      </c>
      <c r="AB3831" s="36"/>
      <c r="AC3831" s="36"/>
      <c r="AD3831" s="36"/>
      <c r="AE3831" s="36"/>
      <c r="AF3831" s="36"/>
      <c r="AG3831" s="36"/>
      <c r="AH3831" s="36"/>
      <c r="AI3831" s="36"/>
      <c r="AJ3831" s="15">
        <f t="shared" si="321"/>
        <v>400</v>
      </c>
      <c r="AK3831" s="14"/>
      <c r="AL3831" s="14"/>
      <c r="AM3831" s="14"/>
      <c r="AN3831" s="14"/>
      <c r="AO3831" s="14"/>
      <c r="AP3831" s="14"/>
      <c r="AQ3831" s="14"/>
      <c r="AR3831" s="14"/>
      <c r="AS3831" s="14"/>
      <c r="AT3831" s="14"/>
      <c r="AU3831" s="14"/>
      <c r="AV3831" s="14"/>
      <c r="AW3831" s="15"/>
      <c r="AX3831" s="16"/>
    </row>
    <row r="3832" spans="2:50" x14ac:dyDescent="0.2">
      <c r="B3832" s="7"/>
      <c r="C3832" s="8">
        <v>14190</v>
      </c>
      <c r="D3832" s="9" t="s">
        <v>112</v>
      </c>
      <c r="E3832" s="10" t="str">
        <f t="shared" si="317"/>
        <v>Rancho Estanzuela No. 129</v>
      </c>
      <c r="F3832" s="10" t="str">
        <f t="shared" si="318"/>
        <v>Sta. María Mendoza</v>
      </c>
      <c r="G3832" s="8">
        <v>1</v>
      </c>
      <c r="H3832" s="11">
        <v>250</v>
      </c>
      <c r="I3832" s="12">
        <v>42827</v>
      </c>
      <c r="J3832" s="35">
        <f t="shared" si="319"/>
        <v>0</v>
      </c>
      <c r="K3832" s="36"/>
      <c r="L3832" s="36"/>
      <c r="M3832" s="36"/>
      <c r="N3832" s="36"/>
      <c r="O3832" s="36"/>
      <c r="P3832" s="36"/>
      <c r="Q3832" s="36"/>
      <c r="R3832" s="36"/>
      <c r="S3832" s="36"/>
      <c r="T3832" s="36"/>
      <c r="U3832" s="36"/>
      <c r="V3832" s="36"/>
      <c r="W3832" s="15">
        <f t="shared" si="320"/>
        <v>0</v>
      </c>
      <c r="X3832" s="36"/>
      <c r="Y3832" s="36"/>
      <c r="Z3832" s="36">
        <v>250</v>
      </c>
      <c r="AA3832" s="36"/>
      <c r="AB3832" s="36"/>
      <c r="AC3832" s="36"/>
      <c r="AD3832" s="36"/>
      <c r="AE3832" s="36"/>
      <c r="AF3832" s="36"/>
      <c r="AG3832" s="36"/>
      <c r="AH3832" s="36"/>
      <c r="AI3832" s="36"/>
      <c r="AJ3832" s="15">
        <f t="shared" si="321"/>
        <v>250</v>
      </c>
      <c r="AK3832" s="14"/>
      <c r="AL3832" s="14"/>
      <c r="AM3832" s="14"/>
      <c r="AN3832" s="14"/>
      <c r="AO3832" s="14"/>
      <c r="AP3832" s="14"/>
      <c r="AQ3832" s="14"/>
      <c r="AR3832" s="14"/>
      <c r="AS3832" s="14"/>
      <c r="AT3832" s="14"/>
      <c r="AU3832" s="14"/>
      <c r="AV3832" s="14"/>
      <c r="AW3832" s="15"/>
      <c r="AX3832" s="16"/>
    </row>
    <row r="3833" spans="2:50" x14ac:dyDescent="0.2">
      <c r="B3833" s="7"/>
      <c r="C3833" s="8">
        <v>14191</v>
      </c>
      <c r="D3833" s="9" t="s">
        <v>103</v>
      </c>
      <c r="E3833" s="10" t="str">
        <f t="shared" si="317"/>
        <v>Rancho La Cuchilla No. 41</v>
      </c>
      <c r="F3833" s="10" t="str">
        <f t="shared" si="318"/>
        <v>Arriaga Lemus</v>
      </c>
      <c r="G3833" s="8">
        <v>1</v>
      </c>
      <c r="H3833" s="11">
        <v>400</v>
      </c>
      <c r="I3833" s="12">
        <v>42827</v>
      </c>
      <c r="J3833" s="35">
        <f t="shared" si="319"/>
        <v>0</v>
      </c>
      <c r="K3833" s="36"/>
      <c r="L3833" s="36"/>
      <c r="M3833" s="36"/>
      <c r="N3833" s="36"/>
      <c r="O3833" s="36"/>
      <c r="P3833" s="36"/>
      <c r="Q3833" s="36"/>
      <c r="R3833" s="36"/>
      <c r="S3833" s="36"/>
      <c r="T3833" s="36"/>
      <c r="U3833" s="36"/>
      <c r="V3833" s="36"/>
      <c r="W3833" s="15">
        <f t="shared" si="320"/>
        <v>0</v>
      </c>
      <c r="X3833" s="36"/>
      <c r="Y3833" s="36"/>
      <c r="Z3833" s="36">
        <v>400</v>
      </c>
      <c r="AA3833" s="36"/>
      <c r="AB3833" s="36"/>
      <c r="AC3833" s="36"/>
      <c r="AD3833" s="36"/>
      <c r="AE3833" s="36"/>
      <c r="AF3833" s="36"/>
      <c r="AG3833" s="36"/>
      <c r="AH3833" s="36"/>
      <c r="AI3833" s="36"/>
      <c r="AJ3833" s="15">
        <f t="shared" si="321"/>
        <v>400</v>
      </c>
      <c r="AK3833" s="14"/>
      <c r="AL3833" s="14"/>
      <c r="AM3833" s="14"/>
      <c r="AN3833" s="14"/>
      <c r="AO3833" s="14"/>
      <c r="AP3833" s="14"/>
      <c r="AQ3833" s="14"/>
      <c r="AR3833" s="14"/>
      <c r="AS3833" s="14"/>
      <c r="AT3833" s="14"/>
      <c r="AU3833" s="14"/>
      <c r="AV3833" s="14"/>
      <c r="AW3833" s="15"/>
      <c r="AX3833" s="16"/>
    </row>
    <row r="3834" spans="2:50" x14ac:dyDescent="0.2">
      <c r="B3834" s="7"/>
      <c r="C3834" s="8">
        <v>14192</v>
      </c>
      <c r="D3834" s="9" t="s">
        <v>529</v>
      </c>
      <c r="E3834" s="10" t="str">
        <f t="shared" si="317"/>
        <v>Rancho Estanzuela No. 37</v>
      </c>
      <c r="F3834" s="10" t="str">
        <f t="shared" si="318"/>
        <v>Cabello Eduardo</v>
      </c>
      <c r="G3834" s="8">
        <v>1</v>
      </c>
      <c r="H3834" s="11">
        <v>2400</v>
      </c>
      <c r="I3834" s="12">
        <v>42827</v>
      </c>
      <c r="J3834" s="35">
        <f t="shared" si="319"/>
        <v>0</v>
      </c>
      <c r="K3834" s="36"/>
      <c r="L3834" s="36"/>
      <c r="M3834" s="36"/>
      <c r="N3834" s="36"/>
      <c r="O3834" s="36"/>
      <c r="P3834" s="36"/>
      <c r="Q3834" s="36"/>
      <c r="R3834" s="36"/>
      <c r="S3834" s="36"/>
      <c r="T3834" s="36">
        <v>400</v>
      </c>
      <c r="U3834" s="36">
        <v>400</v>
      </c>
      <c r="V3834" s="36">
        <v>400</v>
      </c>
      <c r="W3834" s="15">
        <f t="shared" si="320"/>
        <v>1200</v>
      </c>
      <c r="X3834" s="36">
        <v>400</v>
      </c>
      <c r="Y3834" s="36">
        <v>400</v>
      </c>
      <c r="Z3834" s="36">
        <v>400</v>
      </c>
      <c r="AA3834" s="36"/>
      <c r="AB3834" s="36"/>
      <c r="AC3834" s="36"/>
      <c r="AD3834" s="36"/>
      <c r="AE3834" s="36"/>
      <c r="AF3834" s="36"/>
      <c r="AG3834" s="36"/>
      <c r="AH3834" s="36"/>
      <c r="AI3834" s="36"/>
      <c r="AJ3834" s="15">
        <f t="shared" si="321"/>
        <v>1200</v>
      </c>
      <c r="AK3834" s="14"/>
      <c r="AL3834" s="14"/>
      <c r="AM3834" s="14"/>
      <c r="AN3834" s="14"/>
      <c r="AO3834" s="14"/>
      <c r="AP3834" s="14"/>
      <c r="AQ3834" s="14"/>
      <c r="AR3834" s="14"/>
      <c r="AS3834" s="14"/>
      <c r="AT3834" s="14"/>
      <c r="AU3834" s="14"/>
      <c r="AV3834" s="14"/>
      <c r="AW3834" s="15"/>
      <c r="AX3834" s="16" t="s">
        <v>3821</v>
      </c>
    </row>
    <row r="3835" spans="2:50" x14ac:dyDescent="0.2">
      <c r="B3835" s="7"/>
      <c r="C3835" s="8">
        <v>14193</v>
      </c>
      <c r="D3835" s="9" t="s">
        <v>171</v>
      </c>
      <c r="E3835" s="10" t="str">
        <f t="shared" si="317"/>
        <v>Rancho La Cuchilla No. 72</v>
      </c>
      <c r="F3835" s="10" t="str">
        <f t="shared" si="318"/>
        <v>Ortiz González</v>
      </c>
      <c r="G3835" s="8">
        <v>1</v>
      </c>
      <c r="H3835" s="11">
        <v>400</v>
      </c>
      <c r="I3835" s="12">
        <v>42827</v>
      </c>
      <c r="J3835" s="35">
        <f t="shared" si="319"/>
        <v>0</v>
      </c>
      <c r="K3835" s="36"/>
      <c r="L3835" s="36"/>
      <c r="M3835" s="36"/>
      <c r="N3835" s="36"/>
      <c r="O3835" s="36"/>
      <c r="P3835" s="36"/>
      <c r="Q3835" s="36"/>
      <c r="R3835" s="36"/>
      <c r="S3835" s="36"/>
      <c r="T3835" s="36"/>
      <c r="U3835" s="36"/>
      <c r="V3835" s="36"/>
      <c r="W3835" s="15">
        <f t="shared" si="320"/>
        <v>0</v>
      </c>
      <c r="X3835" s="36"/>
      <c r="Y3835" s="36"/>
      <c r="Z3835" s="36"/>
      <c r="AA3835" s="36">
        <v>400</v>
      </c>
      <c r="AB3835" s="36"/>
      <c r="AC3835" s="36"/>
      <c r="AD3835" s="36"/>
      <c r="AE3835" s="36"/>
      <c r="AF3835" s="36"/>
      <c r="AG3835" s="36"/>
      <c r="AH3835" s="36"/>
      <c r="AI3835" s="36"/>
      <c r="AJ3835" s="15">
        <f t="shared" si="321"/>
        <v>400</v>
      </c>
      <c r="AK3835" s="14"/>
      <c r="AL3835" s="14"/>
      <c r="AM3835" s="14"/>
      <c r="AN3835" s="14"/>
      <c r="AO3835" s="14"/>
      <c r="AP3835" s="14"/>
      <c r="AQ3835" s="14"/>
      <c r="AR3835" s="14"/>
      <c r="AS3835" s="14"/>
      <c r="AT3835" s="14"/>
      <c r="AU3835" s="14"/>
      <c r="AV3835" s="14"/>
      <c r="AW3835" s="15"/>
      <c r="AX3835" s="16"/>
    </row>
    <row r="3836" spans="2:50" x14ac:dyDescent="0.2">
      <c r="B3836" s="7"/>
      <c r="C3836" s="8">
        <v>14194</v>
      </c>
      <c r="D3836" s="9" t="s">
        <v>476</v>
      </c>
      <c r="E3836" s="10" t="str">
        <f t="shared" si="317"/>
        <v>Rancho Upácuaro No. 33</v>
      </c>
      <c r="F3836" s="10" t="str">
        <f t="shared" si="318"/>
        <v>Ulloa Miranda</v>
      </c>
      <c r="G3836" s="8">
        <v>1</v>
      </c>
      <c r="H3836" s="11">
        <v>400</v>
      </c>
      <c r="I3836" s="12">
        <v>42827</v>
      </c>
      <c r="J3836" s="35">
        <f t="shared" si="319"/>
        <v>0</v>
      </c>
      <c r="K3836" s="36"/>
      <c r="L3836" s="36"/>
      <c r="M3836" s="36"/>
      <c r="N3836" s="36"/>
      <c r="O3836" s="36"/>
      <c r="P3836" s="36"/>
      <c r="Q3836" s="36"/>
      <c r="R3836" s="36"/>
      <c r="S3836" s="36"/>
      <c r="T3836" s="36"/>
      <c r="U3836" s="36"/>
      <c r="V3836" s="36"/>
      <c r="W3836" s="15">
        <f t="shared" si="320"/>
        <v>0</v>
      </c>
      <c r="X3836" s="36"/>
      <c r="Y3836" s="36"/>
      <c r="Z3836" s="36"/>
      <c r="AA3836" s="36">
        <v>400</v>
      </c>
      <c r="AB3836" s="36"/>
      <c r="AC3836" s="36"/>
      <c r="AD3836" s="36"/>
      <c r="AE3836" s="36"/>
      <c r="AF3836" s="36"/>
      <c r="AG3836" s="36"/>
      <c r="AH3836" s="36"/>
      <c r="AI3836" s="36"/>
      <c r="AJ3836" s="15">
        <f t="shared" si="321"/>
        <v>400</v>
      </c>
      <c r="AK3836" s="14"/>
      <c r="AL3836" s="14"/>
      <c r="AM3836" s="14"/>
      <c r="AN3836" s="14"/>
      <c r="AO3836" s="14"/>
      <c r="AP3836" s="14"/>
      <c r="AQ3836" s="14"/>
      <c r="AR3836" s="14"/>
      <c r="AS3836" s="14"/>
      <c r="AT3836" s="14"/>
      <c r="AU3836" s="14"/>
      <c r="AV3836" s="14"/>
      <c r="AW3836" s="15"/>
      <c r="AX3836" s="16"/>
    </row>
    <row r="3837" spans="2:50" x14ac:dyDescent="0.2">
      <c r="B3837" s="7"/>
      <c r="C3837" s="8">
        <v>14195</v>
      </c>
      <c r="D3837" s="9" t="s">
        <v>687</v>
      </c>
      <c r="E3837" s="10" t="str">
        <f t="shared" si="317"/>
        <v>Rancho Upácuaro No. 21</v>
      </c>
      <c r="F3837" s="10" t="str">
        <f t="shared" si="318"/>
        <v>Fierro Betancourt</v>
      </c>
      <c r="G3837" s="8">
        <v>1</v>
      </c>
      <c r="H3837" s="11">
        <v>400</v>
      </c>
      <c r="I3837" s="12">
        <v>42827</v>
      </c>
      <c r="J3837" s="35">
        <f t="shared" si="319"/>
        <v>0</v>
      </c>
      <c r="K3837" s="36"/>
      <c r="L3837" s="36"/>
      <c r="M3837" s="36"/>
      <c r="N3837" s="36"/>
      <c r="O3837" s="36"/>
      <c r="P3837" s="36"/>
      <c r="Q3837" s="36"/>
      <c r="R3837" s="36"/>
      <c r="S3837" s="36"/>
      <c r="T3837" s="36"/>
      <c r="U3837" s="36"/>
      <c r="V3837" s="36"/>
      <c r="W3837" s="15">
        <f t="shared" si="320"/>
        <v>0</v>
      </c>
      <c r="X3837" s="36"/>
      <c r="Y3837" s="36"/>
      <c r="Z3837" s="36"/>
      <c r="AA3837" s="36">
        <v>200</v>
      </c>
      <c r="AB3837" s="36">
        <v>200</v>
      </c>
      <c r="AC3837" s="36"/>
      <c r="AD3837" s="36"/>
      <c r="AE3837" s="36"/>
      <c r="AF3837" s="36"/>
      <c r="AG3837" s="36"/>
      <c r="AH3837" s="36"/>
      <c r="AI3837" s="36"/>
      <c r="AJ3837" s="15">
        <f t="shared" si="321"/>
        <v>400</v>
      </c>
      <c r="AK3837" s="14"/>
      <c r="AL3837" s="14"/>
      <c r="AM3837" s="14"/>
      <c r="AN3837" s="14"/>
      <c r="AO3837" s="14"/>
      <c r="AP3837" s="14"/>
      <c r="AQ3837" s="14"/>
      <c r="AR3837" s="14"/>
      <c r="AS3837" s="14"/>
      <c r="AT3837" s="14"/>
      <c r="AU3837" s="14"/>
      <c r="AV3837" s="14"/>
      <c r="AW3837" s="15"/>
      <c r="AX3837" s="16"/>
    </row>
    <row r="3838" spans="2:50" x14ac:dyDescent="0.2">
      <c r="B3838" s="7"/>
      <c r="C3838" s="8">
        <v>14196</v>
      </c>
      <c r="D3838" s="9" t="s">
        <v>840</v>
      </c>
      <c r="E3838" s="10" t="str">
        <f t="shared" si="317"/>
        <v>Rancho Landero No. 33</v>
      </c>
      <c r="F3838" s="10" t="str">
        <f t="shared" si="318"/>
        <v>González Uribe</v>
      </c>
      <c r="G3838" s="8">
        <v>1</v>
      </c>
      <c r="H3838" s="11">
        <v>800</v>
      </c>
      <c r="I3838" s="12">
        <v>42827</v>
      </c>
      <c r="J3838" s="35">
        <f t="shared" si="319"/>
        <v>0</v>
      </c>
      <c r="K3838" s="36"/>
      <c r="L3838" s="36"/>
      <c r="M3838" s="36"/>
      <c r="N3838" s="36"/>
      <c r="O3838" s="36"/>
      <c r="P3838" s="36"/>
      <c r="Q3838" s="36"/>
      <c r="R3838" s="36"/>
      <c r="S3838" s="36"/>
      <c r="T3838" s="36"/>
      <c r="U3838" s="36"/>
      <c r="V3838" s="36"/>
      <c r="W3838" s="15">
        <f t="shared" si="320"/>
        <v>0</v>
      </c>
      <c r="X3838" s="36"/>
      <c r="Y3838" s="36"/>
      <c r="Z3838" s="36">
        <v>400</v>
      </c>
      <c r="AA3838" s="36">
        <v>400</v>
      </c>
      <c r="AB3838" s="36"/>
      <c r="AC3838" s="36"/>
      <c r="AD3838" s="36"/>
      <c r="AE3838" s="36"/>
      <c r="AF3838" s="36"/>
      <c r="AG3838" s="36"/>
      <c r="AH3838" s="36"/>
      <c r="AI3838" s="36"/>
      <c r="AJ3838" s="15">
        <f t="shared" si="321"/>
        <v>800</v>
      </c>
      <c r="AK3838" s="14"/>
      <c r="AL3838" s="14"/>
      <c r="AM3838" s="14"/>
      <c r="AN3838" s="14"/>
      <c r="AO3838" s="14"/>
      <c r="AP3838" s="14"/>
      <c r="AQ3838" s="14"/>
      <c r="AR3838" s="14"/>
      <c r="AS3838" s="14"/>
      <c r="AT3838" s="14"/>
      <c r="AU3838" s="14"/>
      <c r="AV3838" s="14"/>
      <c r="AW3838" s="15"/>
      <c r="AX3838" s="16"/>
    </row>
    <row r="3839" spans="2:50" x14ac:dyDescent="0.2">
      <c r="B3839" s="7"/>
      <c r="C3839" s="8">
        <v>14197</v>
      </c>
      <c r="D3839" s="9" t="s">
        <v>968</v>
      </c>
      <c r="E3839" s="10" t="str">
        <f t="shared" si="317"/>
        <v>Rancho La Cuchilla No. 121</v>
      </c>
      <c r="F3839" s="10" t="str">
        <f t="shared" si="318"/>
        <v>Ramírez Márquez</v>
      </c>
      <c r="G3839" s="8">
        <v>1</v>
      </c>
      <c r="H3839" s="11">
        <v>1200</v>
      </c>
      <c r="I3839" s="12">
        <v>42827</v>
      </c>
      <c r="J3839" s="35">
        <f t="shared" si="319"/>
        <v>0</v>
      </c>
      <c r="K3839" s="36"/>
      <c r="L3839" s="36"/>
      <c r="M3839" s="36"/>
      <c r="N3839" s="36"/>
      <c r="O3839" s="36"/>
      <c r="P3839" s="36"/>
      <c r="Q3839" s="36"/>
      <c r="R3839" s="36"/>
      <c r="S3839" s="36"/>
      <c r="T3839" s="36"/>
      <c r="U3839" s="36"/>
      <c r="V3839" s="36"/>
      <c r="W3839" s="15">
        <f t="shared" si="320"/>
        <v>0</v>
      </c>
      <c r="X3839" s="36">
        <v>400</v>
      </c>
      <c r="Y3839" s="36">
        <v>400</v>
      </c>
      <c r="Z3839" s="36">
        <v>400</v>
      </c>
      <c r="AA3839" s="36"/>
      <c r="AB3839" s="36"/>
      <c r="AC3839" s="36"/>
      <c r="AD3839" s="36"/>
      <c r="AE3839" s="36"/>
      <c r="AF3839" s="36"/>
      <c r="AG3839" s="36"/>
      <c r="AH3839" s="36"/>
      <c r="AI3839" s="36"/>
      <c r="AJ3839" s="15">
        <f t="shared" si="321"/>
        <v>1200</v>
      </c>
      <c r="AK3839" s="14"/>
      <c r="AL3839" s="14"/>
      <c r="AM3839" s="14"/>
      <c r="AN3839" s="14"/>
      <c r="AO3839" s="14"/>
      <c r="AP3839" s="14"/>
      <c r="AQ3839" s="14"/>
      <c r="AR3839" s="14"/>
      <c r="AS3839" s="14"/>
      <c r="AT3839" s="14"/>
      <c r="AU3839" s="14"/>
      <c r="AV3839" s="14"/>
      <c r="AW3839" s="15"/>
      <c r="AX3839" s="16"/>
    </row>
    <row r="3840" spans="2:50" x14ac:dyDescent="0.2">
      <c r="B3840" s="7"/>
      <c r="C3840" s="8">
        <v>14198</v>
      </c>
      <c r="D3840" s="9" t="s">
        <v>547</v>
      </c>
      <c r="E3840" s="10" t="str">
        <f t="shared" si="317"/>
        <v>Rancho Zinamba No. 72</v>
      </c>
      <c r="F3840" s="10" t="str">
        <f t="shared" si="318"/>
        <v>Romo de Vivar</v>
      </c>
      <c r="G3840" s="8">
        <v>1</v>
      </c>
      <c r="H3840" s="11">
        <v>400</v>
      </c>
      <c r="I3840" s="12">
        <v>42827</v>
      </c>
      <c r="J3840" s="35">
        <f t="shared" si="319"/>
        <v>0</v>
      </c>
      <c r="K3840" s="36"/>
      <c r="L3840" s="36"/>
      <c r="M3840" s="36"/>
      <c r="N3840" s="36"/>
      <c r="O3840" s="36"/>
      <c r="P3840" s="36"/>
      <c r="Q3840" s="36"/>
      <c r="R3840" s="36"/>
      <c r="S3840" s="36"/>
      <c r="T3840" s="36"/>
      <c r="U3840" s="36">
        <v>200</v>
      </c>
      <c r="V3840" s="36">
        <v>200</v>
      </c>
      <c r="W3840" s="15">
        <f t="shared" si="320"/>
        <v>400</v>
      </c>
      <c r="X3840" s="36"/>
      <c r="Y3840" s="36"/>
      <c r="Z3840" s="36"/>
      <c r="AA3840" s="36"/>
      <c r="AB3840" s="36"/>
      <c r="AC3840" s="36"/>
      <c r="AD3840" s="36"/>
      <c r="AE3840" s="36"/>
      <c r="AF3840" s="36"/>
      <c r="AG3840" s="36"/>
      <c r="AH3840" s="36"/>
      <c r="AI3840" s="36"/>
      <c r="AJ3840" s="15">
        <f t="shared" si="321"/>
        <v>0</v>
      </c>
      <c r="AK3840" s="14"/>
      <c r="AL3840" s="14"/>
      <c r="AM3840" s="14"/>
      <c r="AN3840" s="14"/>
      <c r="AO3840" s="14"/>
      <c r="AP3840" s="14"/>
      <c r="AQ3840" s="14"/>
      <c r="AR3840" s="14"/>
      <c r="AS3840" s="14"/>
      <c r="AT3840" s="14"/>
      <c r="AU3840" s="14"/>
      <c r="AV3840" s="14"/>
      <c r="AW3840" s="15"/>
      <c r="AX3840" s="316">
        <f>SUM(H3787:H3840)</f>
        <v>28400</v>
      </c>
    </row>
    <row r="3841" spans="2:50" x14ac:dyDescent="0.2">
      <c r="B3841" s="7"/>
      <c r="C3841" s="8">
        <v>14199</v>
      </c>
      <c r="D3841" s="9" t="s">
        <v>3852</v>
      </c>
      <c r="E3841" s="10" t="str">
        <f t="shared" si="317"/>
        <v>Rancho Estopila No. 44_2</v>
      </c>
      <c r="F3841" s="10" t="str">
        <f t="shared" si="318"/>
        <v>Blanca Herrera</v>
      </c>
      <c r="G3841" s="8">
        <v>1</v>
      </c>
      <c r="H3841" s="315">
        <v>200</v>
      </c>
      <c r="I3841" s="12">
        <v>42828</v>
      </c>
      <c r="J3841" s="35">
        <f t="shared" si="319"/>
        <v>0</v>
      </c>
      <c r="K3841" s="36"/>
      <c r="L3841" s="36"/>
      <c r="M3841" s="36"/>
      <c r="N3841" s="36"/>
      <c r="O3841" s="36"/>
      <c r="P3841" s="36"/>
      <c r="Q3841" s="36"/>
      <c r="R3841" s="36"/>
      <c r="S3841" s="36"/>
      <c r="T3841" s="36"/>
      <c r="U3841" s="36"/>
      <c r="V3841" s="36"/>
      <c r="W3841" s="15">
        <f t="shared" si="320"/>
        <v>0</v>
      </c>
      <c r="X3841" s="36"/>
      <c r="Y3841" s="36"/>
      <c r="Z3841" s="36"/>
      <c r="AA3841" s="36">
        <v>200</v>
      </c>
      <c r="AB3841" s="36"/>
      <c r="AC3841" s="36"/>
      <c r="AD3841" s="36"/>
      <c r="AE3841" s="36"/>
      <c r="AF3841" s="36"/>
      <c r="AG3841" s="36"/>
      <c r="AH3841" s="36"/>
      <c r="AI3841" s="36"/>
      <c r="AJ3841" s="15">
        <f t="shared" si="321"/>
        <v>200</v>
      </c>
      <c r="AK3841" s="14"/>
      <c r="AL3841" s="14"/>
      <c r="AM3841" s="14"/>
      <c r="AN3841" s="14"/>
      <c r="AO3841" s="14"/>
      <c r="AP3841" s="14"/>
      <c r="AQ3841" s="14"/>
      <c r="AR3841" s="14"/>
      <c r="AS3841" s="14"/>
      <c r="AT3841" s="14"/>
      <c r="AU3841" s="14"/>
      <c r="AV3841" s="14"/>
      <c r="AW3841" s="15"/>
      <c r="AX3841" s="16"/>
    </row>
    <row r="3842" spans="2:50" x14ac:dyDescent="0.2">
      <c r="B3842" s="7"/>
      <c r="C3842" s="8">
        <v>14199</v>
      </c>
      <c r="D3842" s="9" t="s">
        <v>3852</v>
      </c>
      <c r="E3842" s="10" t="str">
        <f t="shared" ref="E3842:E3860" si="332">IF(D3842=0,"",VLOOKUP(D3842,BASE,2,FALSE))</f>
        <v>Rancho Estopila No. 44_2</v>
      </c>
      <c r="F3842" s="10" t="str">
        <f t="shared" ref="F3842:F3860" si="333">IF(D3842=0,"",VLOOKUP(D3842,BASE,3,FALSE))</f>
        <v>Blanca Herrera</v>
      </c>
      <c r="G3842" s="8">
        <v>3</v>
      </c>
      <c r="H3842" s="11">
        <v>200</v>
      </c>
      <c r="I3842" s="12">
        <v>42828</v>
      </c>
      <c r="J3842" s="35">
        <f t="shared" ref="J3842:J3860" si="334">IF(G3842=1,SUM(W3842,AJ3842,-H3842),0)</f>
        <v>0</v>
      </c>
      <c r="K3842" s="36"/>
      <c r="L3842" s="36"/>
      <c r="M3842" s="36"/>
      <c r="N3842" s="36"/>
      <c r="O3842" s="36"/>
      <c r="P3842" s="36"/>
      <c r="Q3842" s="36"/>
      <c r="R3842" s="36"/>
      <c r="S3842" s="36"/>
      <c r="T3842" s="36"/>
      <c r="U3842" s="36"/>
      <c r="V3842" s="36"/>
      <c r="W3842" s="15">
        <f t="shared" ref="W3842:W3860" si="335">SUM(K3842:V3842)</f>
        <v>0</v>
      </c>
      <c r="X3842" s="36"/>
      <c r="Y3842" s="36"/>
      <c r="Z3842" s="36"/>
      <c r="AA3842" s="36"/>
      <c r="AB3842" s="36"/>
      <c r="AC3842" s="36"/>
      <c r="AD3842" s="36"/>
      <c r="AE3842" s="36"/>
      <c r="AF3842" s="36"/>
      <c r="AG3842" s="36"/>
      <c r="AH3842" s="36"/>
      <c r="AI3842" s="36"/>
      <c r="AJ3842" s="15">
        <f t="shared" ref="AJ3842:AJ3860" si="336">SUM(X3842:AI3842)</f>
        <v>0</v>
      </c>
      <c r="AK3842" s="14"/>
      <c r="AL3842" s="14"/>
      <c r="AM3842" s="14"/>
      <c r="AN3842" s="14"/>
      <c r="AO3842" s="14"/>
      <c r="AP3842" s="14"/>
      <c r="AQ3842" s="14"/>
      <c r="AR3842" s="14"/>
      <c r="AS3842" s="14"/>
      <c r="AT3842" s="14"/>
      <c r="AU3842" s="14"/>
      <c r="AV3842" s="14"/>
      <c r="AW3842" s="15"/>
      <c r="AX3842" s="16"/>
    </row>
    <row r="3843" spans="2:50" x14ac:dyDescent="0.2">
      <c r="B3843" s="7"/>
      <c r="C3843" s="8">
        <v>14199</v>
      </c>
      <c r="D3843" s="9" t="s">
        <v>3852</v>
      </c>
      <c r="E3843" s="10" t="str">
        <f t="shared" si="332"/>
        <v>Rancho Estopila No. 44_2</v>
      </c>
      <c r="F3843" s="10" t="str">
        <f t="shared" si="333"/>
        <v>Blanca Herrera</v>
      </c>
      <c r="G3843" s="8">
        <v>4</v>
      </c>
      <c r="H3843" s="11">
        <v>400</v>
      </c>
      <c r="I3843" s="12">
        <v>42828</v>
      </c>
      <c r="J3843" s="35">
        <f t="shared" si="334"/>
        <v>0</v>
      </c>
      <c r="K3843" s="36"/>
      <c r="L3843" s="36"/>
      <c r="M3843" s="36"/>
      <c r="N3843" s="36"/>
      <c r="O3843" s="36"/>
      <c r="P3843" s="36"/>
      <c r="Q3843" s="36"/>
      <c r="R3843" s="36"/>
      <c r="S3843" s="36"/>
      <c r="T3843" s="36"/>
      <c r="U3843" s="36"/>
      <c r="V3843" s="36"/>
      <c r="W3843" s="15">
        <f t="shared" si="335"/>
        <v>0</v>
      </c>
      <c r="X3843" s="36"/>
      <c r="Y3843" s="36"/>
      <c r="Z3843" s="36"/>
      <c r="AA3843" s="36"/>
      <c r="AB3843" s="36"/>
      <c r="AC3843" s="36"/>
      <c r="AD3843" s="36"/>
      <c r="AE3843" s="36"/>
      <c r="AF3843" s="36"/>
      <c r="AG3843" s="36"/>
      <c r="AH3843" s="36"/>
      <c r="AI3843" s="36"/>
      <c r="AJ3843" s="15">
        <f t="shared" si="336"/>
        <v>0</v>
      </c>
      <c r="AK3843" s="14"/>
      <c r="AL3843" s="14"/>
      <c r="AM3843" s="14"/>
      <c r="AN3843" s="14"/>
      <c r="AO3843" s="14"/>
      <c r="AP3843" s="14"/>
      <c r="AQ3843" s="14"/>
      <c r="AR3843" s="14"/>
      <c r="AS3843" s="14"/>
      <c r="AT3843" s="14"/>
      <c r="AU3843" s="14"/>
      <c r="AV3843" s="14"/>
      <c r="AW3843" s="15"/>
      <c r="AX3843" s="16" t="s">
        <v>3857</v>
      </c>
    </row>
    <row r="3844" spans="2:50" x14ac:dyDescent="0.2">
      <c r="B3844" s="7"/>
      <c r="C3844" s="8">
        <v>14199</v>
      </c>
      <c r="D3844" s="9" t="s">
        <v>3852</v>
      </c>
      <c r="E3844" s="10" t="str">
        <f t="shared" si="332"/>
        <v>Rancho Estopila No. 44_2</v>
      </c>
      <c r="F3844" s="10" t="str">
        <f t="shared" si="333"/>
        <v>Blanca Herrera</v>
      </c>
      <c r="G3844" s="8">
        <v>5</v>
      </c>
      <c r="H3844" s="11">
        <v>50</v>
      </c>
      <c r="I3844" s="12">
        <v>42828</v>
      </c>
      <c r="J3844" s="35">
        <f t="shared" si="334"/>
        <v>0</v>
      </c>
      <c r="K3844" s="36"/>
      <c r="L3844" s="36"/>
      <c r="M3844" s="36"/>
      <c r="N3844" s="36"/>
      <c r="O3844" s="36"/>
      <c r="P3844" s="36"/>
      <c r="Q3844" s="36"/>
      <c r="R3844" s="36"/>
      <c r="S3844" s="36"/>
      <c r="T3844" s="36"/>
      <c r="U3844" s="36"/>
      <c r="V3844" s="36"/>
      <c r="W3844" s="15">
        <f t="shared" si="335"/>
        <v>0</v>
      </c>
      <c r="X3844" s="36"/>
      <c r="Y3844" s="36"/>
      <c r="Z3844" s="36"/>
      <c r="AA3844" s="36"/>
      <c r="AB3844" s="36"/>
      <c r="AC3844" s="36"/>
      <c r="AD3844" s="36"/>
      <c r="AE3844" s="36"/>
      <c r="AF3844" s="36"/>
      <c r="AG3844" s="36"/>
      <c r="AH3844" s="36"/>
      <c r="AI3844" s="36"/>
      <c r="AJ3844" s="15">
        <f t="shared" si="336"/>
        <v>0</v>
      </c>
      <c r="AK3844" s="14"/>
      <c r="AL3844" s="14"/>
      <c r="AM3844" s="14"/>
      <c r="AN3844" s="14"/>
      <c r="AO3844" s="14"/>
      <c r="AP3844" s="14"/>
      <c r="AQ3844" s="14"/>
      <c r="AR3844" s="14"/>
      <c r="AS3844" s="14"/>
      <c r="AT3844" s="14"/>
      <c r="AU3844" s="14"/>
      <c r="AV3844" s="14"/>
      <c r="AW3844" s="15"/>
      <c r="AX3844" s="16"/>
    </row>
    <row r="3845" spans="2:50" x14ac:dyDescent="0.2">
      <c r="B3845" s="7"/>
      <c r="C3845" s="8">
        <v>14199</v>
      </c>
      <c r="D3845" s="9" t="s">
        <v>3852</v>
      </c>
      <c r="E3845" s="10" t="str">
        <f t="shared" si="332"/>
        <v>Rancho Estopila No. 44_2</v>
      </c>
      <c r="F3845" s="10" t="str">
        <f t="shared" si="333"/>
        <v>Blanca Herrera</v>
      </c>
      <c r="G3845" s="8">
        <v>7</v>
      </c>
      <c r="H3845" s="11">
        <v>100</v>
      </c>
      <c r="I3845" s="12">
        <v>42828</v>
      </c>
      <c r="J3845" s="35">
        <f t="shared" si="334"/>
        <v>0</v>
      </c>
      <c r="K3845" s="36"/>
      <c r="L3845" s="36"/>
      <c r="M3845" s="36"/>
      <c r="N3845" s="36"/>
      <c r="O3845" s="36"/>
      <c r="P3845" s="36"/>
      <c r="Q3845" s="36"/>
      <c r="R3845" s="36"/>
      <c r="S3845" s="36"/>
      <c r="T3845" s="36"/>
      <c r="U3845" s="36"/>
      <c r="V3845" s="36"/>
      <c r="W3845" s="15">
        <f t="shared" si="335"/>
        <v>0</v>
      </c>
      <c r="X3845" s="36"/>
      <c r="Y3845" s="36"/>
      <c r="Z3845" s="36"/>
      <c r="AA3845" s="36"/>
      <c r="AB3845" s="36"/>
      <c r="AC3845" s="36"/>
      <c r="AD3845" s="36"/>
      <c r="AE3845" s="36"/>
      <c r="AF3845" s="36"/>
      <c r="AG3845" s="36"/>
      <c r="AH3845" s="36"/>
      <c r="AI3845" s="36"/>
      <c r="AJ3845" s="15">
        <f t="shared" si="336"/>
        <v>0</v>
      </c>
      <c r="AK3845" s="14"/>
      <c r="AL3845" s="14"/>
      <c r="AM3845" s="14"/>
      <c r="AN3845" s="14"/>
      <c r="AO3845" s="14"/>
      <c r="AP3845" s="14"/>
      <c r="AQ3845" s="14"/>
      <c r="AR3845" s="14"/>
      <c r="AS3845" s="14"/>
      <c r="AT3845" s="14"/>
      <c r="AU3845" s="14"/>
      <c r="AV3845" s="14"/>
      <c r="AW3845" s="15"/>
      <c r="AX3845" s="16" t="s">
        <v>3858</v>
      </c>
    </row>
    <row r="3846" spans="2:50" x14ac:dyDescent="0.2">
      <c r="B3846" s="7"/>
      <c r="C3846" s="8">
        <v>14200</v>
      </c>
      <c r="D3846" s="9" t="s">
        <v>58</v>
      </c>
      <c r="E3846" s="10" t="str">
        <f t="shared" si="332"/>
        <v>Rancho Landero No. 19</v>
      </c>
      <c r="F3846" s="10" t="str">
        <f t="shared" si="333"/>
        <v>Becerril Amaya</v>
      </c>
      <c r="G3846" s="8">
        <v>7</v>
      </c>
      <c r="H3846" s="11">
        <v>100</v>
      </c>
      <c r="I3846" s="12">
        <v>42828</v>
      </c>
      <c r="J3846" s="35">
        <f t="shared" si="334"/>
        <v>0</v>
      </c>
      <c r="K3846" s="36"/>
      <c r="L3846" s="36"/>
      <c r="M3846" s="36"/>
      <c r="N3846" s="36"/>
      <c r="O3846" s="36"/>
      <c r="P3846" s="36"/>
      <c r="Q3846" s="36"/>
      <c r="R3846" s="36"/>
      <c r="S3846" s="36"/>
      <c r="T3846" s="36"/>
      <c r="U3846" s="36"/>
      <c r="V3846" s="36"/>
      <c r="W3846" s="15">
        <f t="shared" si="335"/>
        <v>0</v>
      </c>
      <c r="X3846" s="36"/>
      <c r="Y3846" s="36"/>
      <c r="Z3846" s="36"/>
      <c r="AA3846" s="36"/>
      <c r="AB3846" s="36"/>
      <c r="AC3846" s="36"/>
      <c r="AD3846" s="36"/>
      <c r="AE3846" s="36"/>
      <c r="AF3846" s="36"/>
      <c r="AG3846" s="36"/>
      <c r="AH3846" s="36"/>
      <c r="AI3846" s="36"/>
      <c r="AJ3846" s="15">
        <f t="shared" si="336"/>
        <v>0</v>
      </c>
      <c r="AK3846" s="14"/>
      <c r="AL3846" s="14"/>
      <c r="AM3846" s="14"/>
      <c r="AN3846" s="14"/>
      <c r="AO3846" s="14"/>
      <c r="AP3846" s="14"/>
      <c r="AQ3846" s="14"/>
      <c r="AR3846" s="14"/>
      <c r="AS3846" s="14"/>
      <c r="AT3846" s="14"/>
      <c r="AU3846" s="14"/>
      <c r="AV3846" s="14"/>
      <c r="AW3846" s="15"/>
      <c r="AX3846" s="16" t="s">
        <v>3858</v>
      </c>
    </row>
    <row r="3847" spans="2:50" x14ac:dyDescent="0.2">
      <c r="B3847" s="7"/>
      <c r="C3847" s="8">
        <v>14201</v>
      </c>
      <c r="D3847" s="9" t="s">
        <v>205</v>
      </c>
      <c r="E3847" s="10" t="str">
        <f t="shared" si="332"/>
        <v>Rancho Landero No. 1, A</v>
      </c>
      <c r="F3847" s="10" t="str">
        <f t="shared" si="333"/>
        <v>Ebysos</v>
      </c>
      <c r="G3847" s="8">
        <v>1</v>
      </c>
      <c r="H3847" s="11">
        <v>600</v>
      </c>
      <c r="I3847" s="12">
        <v>42829</v>
      </c>
      <c r="J3847" s="35">
        <f t="shared" si="334"/>
        <v>0</v>
      </c>
      <c r="K3847" s="36"/>
      <c r="L3847" s="36"/>
      <c r="M3847" s="36"/>
      <c r="N3847" s="36"/>
      <c r="O3847" s="36"/>
      <c r="P3847" s="36"/>
      <c r="Q3847" s="36"/>
      <c r="R3847" s="36"/>
      <c r="S3847" s="36"/>
      <c r="T3847" s="36"/>
      <c r="U3847" s="36"/>
      <c r="V3847" s="36"/>
      <c r="W3847" s="15">
        <f t="shared" si="335"/>
        <v>0</v>
      </c>
      <c r="X3847" s="36"/>
      <c r="Y3847" s="36"/>
      <c r="Z3847" s="36">
        <v>600</v>
      </c>
      <c r="AA3847" s="36"/>
      <c r="AB3847" s="36"/>
      <c r="AC3847" s="36"/>
      <c r="AD3847" s="36"/>
      <c r="AE3847" s="36"/>
      <c r="AF3847" s="36"/>
      <c r="AG3847" s="36"/>
      <c r="AH3847" s="36"/>
      <c r="AI3847" s="36"/>
      <c r="AJ3847" s="15">
        <f t="shared" si="336"/>
        <v>600</v>
      </c>
      <c r="AK3847" s="14"/>
      <c r="AL3847" s="14"/>
      <c r="AM3847" s="14"/>
      <c r="AN3847" s="14"/>
      <c r="AO3847" s="14"/>
      <c r="AP3847" s="14"/>
      <c r="AQ3847" s="14"/>
      <c r="AR3847" s="14"/>
      <c r="AS3847" s="14"/>
      <c r="AT3847" s="14"/>
      <c r="AU3847" s="14"/>
      <c r="AV3847" s="14"/>
      <c r="AW3847" s="15"/>
      <c r="AX3847" s="16"/>
    </row>
    <row r="3848" spans="2:50" x14ac:dyDescent="0.2">
      <c r="B3848" s="7"/>
      <c r="C3848" s="8">
        <v>14202</v>
      </c>
      <c r="D3848" s="9" t="s">
        <v>960</v>
      </c>
      <c r="E3848" s="10" t="str">
        <f t="shared" si="332"/>
        <v>Rancho Landero No. 28</v>
      </c>
      <c r="F3848" s="10" t="str">
        <f t="shared" si="333"/>
        <v>Hernàndez Orteales</v>
      </c>
      <c r="G3848" s="8">
        <v>7</v>
      </c>
      <c r="H3848" s="11">
        <v>4004</v>
      </c>
      <c r="I3848" s="12">
        <v>42830</v>
      </c>
      <c r="J3848" s="35">
        <f t="shared" si="334"/>
        <v>0</v>
      </c>
      <c r="K3848" s="36"/>
      <c r="L3848" s="36"/>
      <c r="M3848" s="36"/>
      <c r="N3848" s="36"/>
      <c r="O3848" s="36"/>
      <c r="P3848" s="36"/>
      <c r="Q3848" s="36"/>
      <c r="R3848" s="36"/>
      <c r="S3848" s="36"/>
      <c r="T3848" s="36"/>
      <c r="U3848" s="36"/>
      <c r="V3848" s="36"/>
      <c r="W3848" s="15">
        <f t="shared" si="335"/>
        <v>0</v>
      </c>
      <c r="X3848" s="36"/>
      <c r="Y3848" s="36"/>
      <c r="Z3848" s="36"/>
      <c r="AA3848" s="36"/>
      <c r="AB3848" s="36"/>
      <c r="AC3848" s="36"/>
      <c r="AD3848" s="36"/>
      <c r="AE3848" s="36"/>
      <c r="AF3848" s="36"/>
      <c r="AG3848" s="36"/>
      <c r="AH3848" s="36"/>
      <c r="AI3848" s="36"/>
      <c r="AJ3848" s="15">
        <f t="shared" si="336"/>
        <v>0</v>
      </c>
      <c r="AK3848" s="14"/>
      <c r="AL3848" s="14"/>
      <c r="AM3848" s="14"/>
      <c r="AN3848" s="14"/>
      <c r="AO3848" s="14"/>
      <c r="AP3848" s="14"/>
      <c r="AQ3848" s="14"/>
      <c r="AR3848" s="14"/>
      <c r="AS3848" s="14"/>
      <c r="AT3848" s="14"/>
      <c r="AU3848" s="14"/>
      <c r="AV3848" s="14"/>
      <c r="AW3848" s="15"/>
      <c r="AX3848" s="16" t="s">
        <v>3860</v>
      </c>
    </row>
    <row r="3849" spans="2:50" x14ac:dyDescent="0.2">
      <c r="B3849" s="7"/>
      <c r="C3849" s="8">
        <v>14203</v>
      </c>
      <c r="D3849" s="9" t="s">
        <v>168</v>
      </c>
      <c r="E3849" s="10" t="str">
        <f t="shared" si="332"/>
        <v>Rancho Upácuaro No. 73, A</v>
      </c>
      <c r="F3849" s="10" t="str">
        <f t="shared" si="333"/>
        <v>Ortega</v>
      </c>
      <c r="G3849" s="8">
        <v>7</v>
      </c>
      <c r="H3849" s="11">
        <v>100</v>
      </c>
      <c r="I3849" s="12">
        <v>42830</v>
      </c>
      <c r="J3849" s="35">
        <f t="shared" si="334"/>
        <v>0</v>
      </c>
      <c r="K3849" s="36"/>
      <c r="L3849" s="36"/>
      <c r="M3849" s="36"/>
      <c r="N3849" s="36"/>
      <c r="O3849" s="36"/>
      <c r="P3849" s="36"/>
      <c r="Q3849" s="36"/>
      <c r="R3849" s="36"/>
      <c r="S3849" s="36"/>
      <c r="T3849" s="36"/>
      <c r="U3849" s="36"/>
      <c r="V3849" s="36"/>
      <c r="W3849" s="15">
        <f t="shared" si="335"/>
        <v>0</v>
      </c>
      <c r="X3849" s="36"/>
      <c r="Y3849" s="36"/>
      <c r="Z3849" s="36"/>
      <c r="AA3849" s="36"/>
      <c r="AB3849" s="36"/>
      <c r="AC3849" s="36"/>
      <c r="AD3849" s="36"/>
      <c r="AE3849" s="36"/>
      <c r="AF3849" s="36"/>
      <c r="AG3849" s="36"/>
      <c r="AH3849" s="36"/>
      <c r="AI3849" s="36"/>
      <c r="AJ3849" s="15">
        <f t="shared" si="336"/>
        <v>0</v>
      </c>
      <c r="AK3849" s="14"/>
      <c r="AL3849" s="14"/>
      <c r="AM3849" s="14"/>
      <c r="AN3849" s="14"/>
      <c r="AO3849" s="14"/>
      <c r="AP3849" s="14"/>
      <c r="AQ3849" s="14"/>
      <c r="AR3849" s="14"/>
      <c r="AS3849" s="14"/>
      <c r="AT3849" s="14"/>
      <c r="AU3849" s="14"/>
      <c r="AV3849" s="14"/>
      <c r="AW3849" s="15"/>
      <c r="AX3849" s="16" t="s">
        <v>3858</v>
      </c>
    </row>
    <row r="3850" spans="2:50" x14ac:dyDescent="0.2">
      <c r="B3850" s="7"/>
      <c r="C3850" s="8">
        <v>14204</v>
      </c>
      <c r="D3850" s="9" t="s">
        <v>253</v>
      </c>
      <c r="E3850" s="10" t="str">
        <f t="shared" si="332"/>
        <v>Rancho Upácuaro No. 75</v>
      </c>
      <c r="F3850" s="10" t="str">
        <f t="shared" si="333"/>
        <v>Montaño Zetina</v>
      </c>
      <c r="G3850" s="8">
        <v>7</v>
      </c>
      <c r="H3850" s="11">
        <v>100</v>
      </c>
      <c r="I3850" s="12">
        <v>42830</v>
      </c>
      <c r="J3850" s="35">
        <f t="shared" si="334"/>
        <v>0</v>
      </c>
      <c r="K3850" s="36"/>
      <c r="L3850" s="36"/>
      <c r="M3850" s="36"/>
      <c r="N3850" s="36"/>
      <c r="O3850" s="36"/>
      <c r="P3850" s="36"/>
      <c r="Q3850" s="36"/>
      <c r="R3850" s="36"/>
      <c r="S3850" s="36"/>
      <c r="T3850" s="36"/>
      <c r="U3850" s="36"/>
      <c r="V3850" s="36"/>
      <c r="W3850" s="15">
        <f t="shared" si="335"/>
        <v>0</v>
      </c>
      <c r="X3850" s="36"/>
      <c r="Y3850" s="36"/>
      <c r="Z3850" s="36"/>
      <c r="AA3850" s="36"/>
      <c r="AB3850" s="36"/>
      <c r="AC3850" s="36"/>
      <c r="AD3850" s="36"/>
      <c r="AE3850" s="36"/>
      <c r="AF3850" s="36"/>
      <c r="AG3850" s="36"/>
      <c r="AH3850" s="36"/>
      <c r="AI3850" s="36"/>
      <c r="AJ3850" s="15">
        <f t="shared" si="336"/>
        <v>0</v>
      </c>
      <c r="AK3850" s="14"/>
      <c r="AL3850" s="14"/>
      <c r="AM3850" s="14"/>
      <c r="AN3850" s="14"/>
      <c r="AO3850" s="14"/>
      <c r="AP3850" s="14"/>
      <c r="AQ3850" s="14"/>
      <c r="AR3850" s="14"/>
      <c r="AS3850" s="14"/>
      <c r="AT3850" s="14"/>
      <c r="AU3850" s="14"/>
      <c r="AV3850" s="14"/>
      <c r="AW3850" s="15"/>
      <c r="AX3850" s="16" t="s">
        <v>3858</v>
      </c>
    </row>
    <row r="3851" spans="2:50" x14ac:dyDescent="0.2">
      <c r="B3851" s="7"/>
      <c r="C3851" s="8">
        <v>14205</v>
      </c>
      <c r="D3851" s="9" t="s">
        <v>574</v>
      </c>
      <c r="E3851" s="10" t="str">
        <f t="shared" si="332"/>
        <v xml:space="preserve">Rancho Upácuaro No. 94 </v>
      </c>
      <c r="F3851" s="10" t="str">
        <f t="shared" si="333"/>
        <v>Juárez Patiño</v>
      </c>
      <c r="G3851" s="8">
        <v>7</v>
      </c>
      <c r="H3851" s="11">
        <v>100</v>
      </c>
      <c r="I3851" s="12">
        <v>42830</v>
      </c>
      <c r="J3851" s="35">
        <f t="shared" si="334"/>
        <v>0</v>
      </c>
      <c r="K3851" s="36"/>
      <c r="L3851" s="36"/>
      <c r="M3851" s="36"/>
      <c r="N3851" s="36"/>
      <c r="O3851" s="36"/>
      <c r="P3851" s="36"/>
      <c r="Q3851" s="36"/>
      <c r="R3851" s="36"/>
      <c r="S3851" s="36"/>
      <c r="T3851" s="36"/>
      <c r="U3851" s="36"/>
      <c r="V3851" s="36"/>
      <c r="W3851" s="15">
        <f t="shared" si="335"/>
        <v>0</v>
      </c>
      <c r="X3851" s="36"/>
      <c r="Y3851" s="36"/>
      <c r="Z3851" s="36"/>
      <c r="AA3851" s="36"/>
      <c r="AB3851" s="36"/>
      <c r="AC3851" s="36"/>
      <c r="AD3851" s="36"/>
      <c r="AE3851" s="36"/>
      <c r="AF3851" s="36"/>
      <c r="AG3851" s="36"/>
      <c r="AH3851" s="36"/>
      <c r="AI3851" s="36"/>
      <c r="AJ3851" s="15">
        <f t="shared" si="336"/>
        <v>0</v>
      </c>
      <c r="AK3851" s="14"/>
      <c r="AL3851" s="14"/>
      <c r="AM3851" s="14"/>
      <c r="AN3851" s="14"/>
      <c r="AO3851" s="14"/>
      <c r="AP3851" s="14"/>
      <c r="AQ3851" s="14"/>
      <c r="AR3851" s="14"/>
      <c r="AS3851" s="14"/>
      <c r="AT3851" s="14"/>
      <c r="AU3851" s="14"/>
      <c r="AV3851" s="14"/>
      <c r="AW3851" s="15"/>
      <c r="AX3851" s="16" t="s">
        <v>3858</v>
      </c>
    </row>
    <row r="3852" spans="2:50" x14ac:dyDescent="0.2">
      <c r="B3852" s="7"/>
      <c r="C3852" s="8">
        <v>14206</v>
      </c>
      <c r="D3852" s="9" t="s">
        <v>1073</v>
      </c>
      <c r="E3852" s="10" t="str">
        <f t="shared" si="332"/>
        <v>Rancho Upácuaro No. 96</v>
      </c>
      <c r="F3852" s="10" t="str">
        <f t="shared" si="333"/>
        <v>Daza Gutiérrez</v>
      </c>
      <c r="G3852" s="8">
        <v>7</v>
      </c>
      <c r="H3852" s="11">
        <v>100</v>
      </c>
      <c r="I3852" s="12">
        <v>42830</v>
      </c>
      <c r="J3852" s="35">
        <f t="shared" si="334"/>
        <v>0</v>
      </c>
      <c r="K3852" s="36"/>
      <c r="L3852" s="36"/>
      <c r="M3852" s="36"/>
      <c r="N3852" s="36"/>
      <c r="O3852" s="36"/>
      <c r="P3852" s="36"/>
      <c r="Q3852" s="36"/>
      <c r="R3852" s="36"/>
      <c r="S3852" s="36"/>
      <c r="T3852" s="36"/>
      <c r="U3852" s="36"/>
      <c r="V3852" s="36"/>
      <c r="W3852" s="15">
        <f t="shared" si="335"/>
        <v>0</v>
      </c>
      <c r="X3852" s="36"/>
      <c r="Y3852" s="36"/>
      <c r="Z3852" s="36"/>
      <c r="AA3852" s="36"/>
      <c r="AB3852" s="36"/>
      <c r="AC3852" s="36"/>
      <c r="AD3852" s="36"/>
      <c r="AE3852" s="36"/>
      <c r="AF3852" s="36"/>
      <c r="AG3852" s="36"/>
      <c r="AH3852" s="36"/>
      <c r="AI3852" s="36"/>
      <c r="AJ3852" s="15">
        <f t="shared" si="336"/>
        <v>0</v>
      </c>
      <c r="AK3852" s="14"/>
      <c r="AL3852" s="14"/>
      <c r="AM3852" s="14"/>
      <c r="AN3852" s="14"/>
      <c r="AO3852" s="14"/>
      <c r="AP3852" s="14"/>
      <c r="AQ3852" s="14"/>
      <c r="AR3852" s="14"/>
      <c r="AS3852" s="14"/>
      <c r="AT3852" s="14"/>
      <c r="AU3852" s="14"/>
      <c r="AV3852" s="14"/>
      <c r="AW3852" s="15"/>
      <c r="AX3852" s="16" t="s">
        <v>3858</v>
      </c>
    </row>
    <row r="3853" spans="2:50" x14ac:dyDescent="0.2">
      <c r="B3853" s="7"/>
      <c r="C3853" s="8">
        <v>14207</v>
      </c>
      <c r="D3853" s="9" t="s">
        <v>514</v>
      </c>
      <c r="E3853" s="10" t="str">
        <f t="shared" si="332"/>
        <v>Rancho Upácuaro No. 114</v>
      </c>
      <c r="F3853" s="10" t="str">
        <f t="shared" si="333"/>
        <v>Hernández Cornejo</v>
      </c>
      <c r="G3853" s="8">
        <v>7</v>
      </c>
      <c r="H3853" s="11">
        <v>100</v>
      </c>
      <c r="I3853" s="12">
        <v>42830</v>
      </c>
      <c r="J3853" s="35">
        <f t="shared" si="334"/>
        <v>0</v>
      </c>
      <c r="K3853" s="36"/>
      <c r="L3853" s="36"/>
      <c r="M3853" s="36"/>
      <c r="N3853" s="36"/>
      <c r="O3853" s="36"/>
      <c r="P3853" s="36"/>
      <c r="Q3853" s="36"/>
      <c r="R3853" s="36"/>
      <c r="S3853" s="36"/>
      <c r="T3853" s="36"/>
      <c r="U3853" s="36"/>
      <c r="V3853" s="36"/>
      <c r="W3853" s="15">
        <f t="shared" si="335"/>
        <v>0</v>
      </c>
      <c r="X3853" s="36"/>
      <c r="Y3853" s="36"/>
      <c r="Z3853" s="36"/>
      <c r="AA3853" s="36"/>
      <c r="AB3853" s="36"/>
      <c r="AC3853" s="36"/>
      <c r="AD3853" s="36"/>
      <c r="AE3853" s="36"/>
      <c r="AF3853" s="36"/>
      <c r="AG3853" s="36"/>
      <c r="AH3853" s="36"/>
      <c r="AI3853" s="36"/>
      <c r="AJ3853" s="15">
        <f t="shared" si="336"/>
        <v>0</v>
      </c>
      <c r="AK3853" s="14"/>
      <c r="AL3853" s="14"/>
      <c r="AM3853" s="14"/>
      <c r="AN3853" s="14"/>
      <c r="AO3853" s="14"/>
      <c r="AP3853" s="14"/>
      <c r="AQ3853" s="14"/>
      <c r="AR3853" s="14"/>
      <c r="AS3853" s="14"/>
      <c r="AT3853" s="14"/>
      <c r="AU3853" s="14"/>
      <c r="AV3853" s="14"/>
      <c r="AW3853" s="15"/>
      <c r="AX3853" s="16" t="s">
        <v>3858</v>
      </c>
    </row>
    <row r="3854" spans="2:50" x14ac:dyDescent="0.2">
      <c r="B3854" s="7"/>
      <c r="C3854" s="8">
        <v>14208</v>
      </c>
      <c r="D3854" s="9" t="s">
        <v>458</v>
      </c>
      <c r="E3854" s="10" t="str">
        <f t="shared" si="332"/>
        <v>Rancho Estanzuela No. 143, B</v>
      </c>
      <c r="F3854" s="10" t="str">
        <f t="shared" si="333"/>
        <v>López</v>
      </c>
      <c r="G3854" s="8">
        <v>7</v>
      </c>
      <c r="H3854" s="11">
        <v>100</v>
      </c>
      <c r="I3854" s="12">
        <v>42830</v>
      </c>
      <c r="J3854" s="35">
        <f t="shared" si="334"/>
        <v>0</v>
      </c>
      <c r="K3854" s="36"/>
      <c r="L3854" s="36"/>
      <c r="M3854" s="36"/>
      <c r="N3854" s="36"/>
      <c r="O3854" s="36"/>
      <c r="P3854" s="36"/>
      <c r="Q3854" s="36"/>
      <c r="R3854" s="36"/>
      <c r="S3854" s="36"/>
      <c r="T3854" s="36"/>
      <c r="U3854" s="36"/>
      <c r="V3854" s="36"/>
      <c r="W3854" s="15">
        <f t="shared" si="335"/>
        <v>0</v>
      </c>
      <c r="X3854" s="36"/>
      <c r="Y3854" s="36"/>
      <c r="Z3854" s="36"/>
      <c r="AA3854" s="36"/>
      <c r="AB3854" s="36"/>
      <c r="AC3854" s="36"/>
      <c r="AD3854" s="36"/>
      <c r="AE3854" s="36"/>
      <c r="AF3854" s="36"/>
      <c r="AG3854" s="36"/>
      <c r="AH3854" s="36"/>
      <c r="AI3854" s="36"/>
      <c r="AJ3854" s="15">
        <f t="shared" si="336"/>
        <v>0</v>
      </c>
      <c r="AK3854" s="14"/>
      <c r="AL3854" s="14"/>
      <c r="AM3854" s="14"/>
      <c r="AN3854" s="14"/>
      <c r="AO3854" s="14"/>
      <c r="AP3854" s="14"/>
      <c r="AQ3854" s="14"/>
      <c r="AR3854" s="14"/>
      <c r="AS3854" s="14"/>
      <c r="AT3854" s="14"/>
      <c r="AU3854" s="14"/>
      <c r="AV3854" s="14"/>
      <c r="AW3854" s="15"/>
      <c r="AX3854" s="16" t="s">
        <v>3858</v>
      </c>
    </row>
    <row r="3855" spans="2:50" x14ac:dyDescent="0.2">
      <c r="B3855" s="7"/>
      <c r="C3855" s="8">
        <v>14209</v>
      </c>
      <c r="D3855" s="9" t="s">
        <v>980</v>
      </c>
      <c r="E3855" s="10" t="str">
        <f t="shared" si="332"/>
        <v>Rancho Estanzuela No. 141</v>
      </c>
      <c r="F3855" s="10" t="str">
        <f t="shared" si="333"/>
        <v>Castillo Toledano</v>
      </c>
      <c r="G3855" s="8">
        <v>7</v>
      </c>
      <c r="H3855" s="11">
        <v>100</v>
      </c>
      <c r="I3855" s="12">
        <v>42830</v>
      </c>
      <c r="J3855" s="35">
        <f t="shared" si="334"/>
        <v>0</v>
      </c>
      <c r="K3855" s="36"/>
      <c r="L3855" s="36"/>
      <c r="M3855" s="36"/>
      <c r="N3855" s="36"/>
      <c r="O3855" s="36"/>
      <c r="P3855" s="36"/>
      <c r="Q3855" s="36"/>
      <c r="R3855" s="36"/>
      <c r="S3855" s="36"/>
      <c r="T3855" s="36"/>
      <c r="U3855" s="36"/>
      <c r="V3855" s="36"/>
      <c r="W3855" s="15">
        <f t="shared" si="335"/>
        <v>0</v>
      </c>
      <c r="X3855" s="36"/>
      <c r="Y3855" s="36"/>
      <c r="Z3855" s="36"/>
      <c r="AA3855" s="36"/>
      <c r="AB3855" s="36"/>
      <c r="AC3855" s="36"/>
      <c r="AD3855" s="36"/>
      <c r="AE3855" s="36"/>
      <c r="AF3855" s="36"/>
      <c r="AG3855" s="36"/>
      <c r="AH3855" s="36"/>
      <c r="AI3855" s="36"/>
      <c r="AJ3855" s="15">
        <f t="shared" si="336"/>
        <v>0</v>
      </c>
      <c r="AK3855" s="14"/>
      <c r="AL3855" s="14"/>
      <c r="AM3855" s="14"/>
      <c r="AN3855" s="14"/>
      <c r="AO3855" s="14"/>
      <c r="AP3855" s="14"/>
      <c r="AQ3855" s="14"/>
      <c r="AR3855" s="14"/>
      <c r="AS3855" s="14"/>
      <c r="AT3855" s="14"/>
      <c r="AU3855" s="14"/>
      <c r="AV3855" s="14"/>
      <c r="AW3855" s="15"/>
      <c r="AX3855" s="16" t="s">
        <v>3858</v>
      </c>
    </row>
    <row r="3856" spans="2:50" x14ac:dyDescent="0.2">
      <c r="B3856" s="7"/>
      <c r="C3856" s="8">
        <v>14210</v>
      </c>
      <c r="D3856" s="9" t="s">
        <v>112</v>
      </c>
      <c r="E3856" s="10" t="str">
        <f t="shared" si="332"/>
        <v>Rancho Estanzuela No. 129</v>
      </c>
      <c r="F3856" s="10" t="str">
        <f t="shared" si="333"/>
        <v>Sta. María Mendoza</v>
      </c>
      <c r="G3856" s="8">
        <v>7</v>
      </c>
      <c r="H3856" s="11">
        <v>100</v>
      </c>
      <c r="I3856" s="12">
        <v>42830</v>
      </c>
      <c r="J3856" s="35">
        <f t="shared" si="334"/>
        <v>0</v>
      </c>
      <c r="K3856" s="36"/>
      <c r="L3856" s="36"/>
      <c r="M3856" s="36"/>
      <c r="N3856" s="36"/>
      <c r="O3856" s="36"/>
      <c r="P3856" s="36"/>
      <c r="Q3856" s="36"/>
      <c r="R3856" s="36"/>
      <c r="S3856" s="36"/>
      <c r="T3856" s="36"/>
      <c r="U3856" s="36"/>
      <c r="V3856" s="36"/>
      <c r="W3856" s="15">
        <f t="shared" si="335"/>
        <v>0</v>
      </c>
      <c r="X3856" s="36"/>
      <c r="Y3856" s="36"/>
      <c r="Z3856" s="36"/>
      <c r="AA3856" s="36"/>
      <c r="AB3856" s="36"/>
      <c r="AC3856" s="36"/>
      <c r="AD3856" s="36"/>
      <c r="AE3856" s="36"/>
      <c r="AF3856" s="36"/>
      <c r="AG3856" s="36"/>
      <c r="AH3856" s="36"/>
      <c r="AI3856" s="36"/>
      <c r="AJ3856" s="15">
        <f t="shared" si="336"/>
        <v>0</v>
      </c>
      <c r="AK3856" s="14"/>
      <c r="AL3856" s="14"/>
      <c r="AM3856" s="14"/>
      <c r="AN3856" s="14"/>
      <c r="AO3856" s="14"/>
      <c r="AP3856" s="14"/>
      <c r="AQ3856" s="14"/>
      <c r="AR3856" s="14"/>
      <c r="AS3856" s="14"/>
      <c r="AT3856" s="14"/>
      <c r="AU3856" s="14"/>
      <c r="AV3856" s="14"/>
      <c r="AW3856" s="15"/>
      <c r="AX3856" s="16" t="s">
        <v>3858</v>
      </c>
    </row>
    <row r="3857" spans="2:50" x14ac:dyDescent="0.2">
      <c r="B3857" s="7"/>
      <c r="C3857" s="8">
        <v>14211</v>
      </c>
      <c r="D3857" s="9" t="s">
        <v>283</v>
      </c>
      <c r="E3857" s="10" t="str">
        <f t="shared" si="332"/>
        <v>Rancho Estanzuela No. 115</v>
      </c>
      <c r="F3857" s="10" t="str">
        <f t="shared" si="333"/>
        <v>Frías Solórzano</v>
      </c>
      <c r="G3857" s="8">
        <v>7</v>
      </c>
      <c r="H3857" s="11">
        <v>100</v>
      </c>
      <c r="I3857" s="12">
        <v>42830</v>
      </c>
      <c r="J3857" s="35">
        <f t="shared" si="334"/>
        <v>0</v>
      </c>
      <c r="K3857" s="36"/>
      <c r="L3857" s="36"/>
      <c r="M3857" s="36"/>
      <c r="N3857" s="36"/>
      <c r="O3857" s="36"/>
      <c r="P3857" s="36"/>
      <c r="Q3857" s="36"/>
      <c r="R3857" s="36"/>
      <c r="S3857" s="36"/>
      <c r="T3857" s="36"/>
      <c r="U3857" s="36"/>
      <c r="V3857" s="36"/>
      <c r="W3857" s="15">
        <f t="shared" si="335"/>
        <v>0</v>
      </c>
      <c r="X3857" s="36"/>
      <c r="Y3857" s="36"/>
      <c r="Z3857" s="36"/>
      <c r="AA3857" s="36"/>
      <c r="AB3857" s="36"/>
      <c r="AC3857" s="36"/>
      <c r="AD3857" s="36"/>
      <c r="AE3857" s="36"/>
      <c r="AF3857" s="36"/>
      <c r="AG3857" s="36"/>
      <c r="AH3857" s="36"/>
      <c r="AI3857" s="36"/>
      <c r="AJ3857" s="15">
        <f t="shared" si="336"/>
        <v>0</v>
      </c>
      <c r="AK3857" s="14"/>
      <c r="AL3857" s="14"/>
      <c r="AM3857" s="14"/>
      <c r="AN3857" s="14"/>
      <c r="AO3857" s="14"/>
      <c r="AP3857" s="14"/>
      <c r="AQ3857" s="14"/>
      <c r="AR3857" s="14"/>
      <c r="AS3857" s="14"/>
      <c r="AT3857" s="14"/>
      <c r="AU3857" s="14"/>
      <c r="AV3857" s="14"/>
      <c r="AW3857" s="15"/>
      <c r="AX3857" s="16" t="s">
        <v>3858</v>
      </c>
    </row>
    <row r="3858" spans="2:50" x14ac:dyDescent="0.2">
      <c r="B3858" s="7" t="s">
        <v>3523</v>
      </c>
      <c r="C3858" s="8">
        <v>14212</v>
      </c>
      <c r="D3858" s="9" t="s">
        <v>211</v>
      </c>
      <c r="E3858" s="10" t="str">
        <f t="shared" si="332"/>
        <v>Rancho Upácuaro No. 46</v>
      </c>
      <c r="F3858" s="10" t="str">
        <f t="shared" si="333"/>
        <v>Fuentes</v>
      </c>
      <c r="G3858" s="8"/>
      <c r="H3858" s="11"/>
      <c r="I3858" s="12"/>
      <c r="J3858" s="35">
        <f t="shared" si="334"/>
        <v>0</v>
      </c>
      <c r="K3858" s="36"/>
      <c r="L3858" s="36"/>
      <c r="M3858" s="36"/>
      <c r="N3858" s="36"/>
      <c r="O3858" s="36"/>
      <c r="P3858" s="36"/>
      <c r="Q3858" s="36"/>
      <c r="R3858" s="36"/>
      <c r="S3858" s="36"/>
      <c r="T3858" s="36"/>
      <c r="U3858" s="36"/>
      <c r="V3858" s="36"/>
      <c r="W3858" s="15">
        <f t="shared" si="335"/>
        <v>0</v>
      </c>
      <c r="X3858" s="36"/>
      <c r="Y3858" s="36"/>
      <c r="Z3858" s="36"/>
      <c r="AA3858" s="36"/>
      <c r="AB3858" s="36"/>
      <c r="AC3858" s="36"/>
      <c r="AD3858" s="36"/>
      <c r="AE3858" s="36"/>
      <c r="AF3858" s="36"/>
      <c r="AG3858" s="36"/>
      <c r="AH3858" s="36"/>
      <c r="AI3858" s="36"/>
      <c r="AJ3858" s="15">
        <f t="shared" si="336"/>
        <v>0</v>
      </c>
      <c r="AK3858" s="14"/>
      <c r="AL3858" s="14"/>
      <c r="AM3858" s="14"/>
      <c r="AN3858" s="14"/>
      <c r="AO3858" s="14"/>
      <c r="AP3858" s="14"/>
      <c r="AQ3858" s="14"/>
      <c r="AR3858" s="14"/>
      <c r="AS3858" s="14"/>
      <c r="AT3858" s="14"/>
      <c r="AU3858" s="14"/>
      <c r="AV3858" s="14"/>
      <c r="AW3858" s="15"/>
      <c r="AX3858" s="16"/>
    </row>
    <row r="3859" spans="2:50" x14ac:dyDescent="0.2">
      <c r="B3859" s="7" t="s">
        <v>3523</v>
      </c>
      <c r="C3859" s="8">
        <v>14213</v>
      </c>
      <c r="D3859" s="9" t="s">
        <v>208</v>
      </c>
      <c r="E3859" s="10" t="str">
        <f t="shared" si="332"/>
        <v>Rancho La Cuchilla No. 29</v>
      </c>
      <c r="F3859" s="10" t="str">
        <f t="shared" si="333"/>
        <v>Vega Sánchez C.</v>
      </c>
      <c r="G3859" s="8"/>
      <c r="H3859" s="11"/>
      <c r="I3859" s="12"/>
      <c r="J3859" s="35">
        <f t="shared" si="334"/>
        <v>0</v>
      </c>
      <c r="K3859" s="36"/>
      <c r="L3859" s="36"/>
      <c r="M3859" s="36"/>
      <c r="N3859" s="36"/>
      <c r="O3859" s="36"/>
      <c r="P3859" s="36"/>
      <c r="Q3859" s="36"/>
      <c r="R3859" s="36"/>
      <c r="S3859" s="36"/>
      <c r="T3859" s="36"/>
      <c r="U3859" s="36"/>
      <c r="V3859" s="36"/>
      <c r="W3859" s="15">
        <f t="shared" si="335"/>
        <v>0</v>
      </c>
      <c r="X3859" s="36"/>
      <c r="Y3859" s="36"/>
      <c r="Z3859" s="36"/>
      <c r="AA3859" s="36"/>
      <c r="AB3859" s="36"/>
      <c r="AC3859" s="36"/>
      <c r="AD3859" s="36"/>
      <c r="AE3859" s="36"/>
      <c r="AF3859" s="36"/>
      <c r="AG3859" s="36"/>
      <c r="AH3859" s="36"/>
      <c r="AI3859" s="36"/>
      <c r="AJ3859" s="15">
        <f t="shared" si="336"/>
        <v>0</v>
      </c>
      <c r="AK3859" s="14"/>
      <c r="AL3859" s="14"/>
      <c r="AM3859" s="14"/>
      <c r="AN3859" s="14"/>
      <c r="AO3859" s="14"/>
      <c r="AP3859" s="14"/>
      <c r="AQ3859" s="14"/>
      <c r="AR3859" s="14"/>
      <c r="AS3859" s="14"/>
      <c r="AT3859" s="14"/>
      <c r="AU3859" s="14"/>
      <c r="AV3859" s="14"/>
      <c r="AW3859" s="15"/>
      <c r="AX3859" s="16"/>
    </row>
    <row r="3860" spans="2:50" x14ac:dyDescent="0.2">
      <c r="B3860" s="7" t="s">
        <v>3523</v>
      </c>
      <c r="C3860" s="8">
        <v>14214</v>
      </c>
      <c r="D3860" s="9" t="s">
        <v>571</v>
      </c>
      <c r="E3860" s="10" t="str">
        <f t="shared" si="332"/>
        <v>Rancho Estanzuela No. 15, A</v>
      </c>
      <c r="F3860" s="10" t="str">
        <f t="shared" si="333"/>
        <v>González</v>
      </c>
      <c r="G3860" s="8"/>
      <c r="H3860" s="11"/>
      <c r="I3860" s="12"/>
      <c r="J3860" s="35">
        <f t="shared" si="334"/>
        <v>0</v>
      </c>
      <c r="K3860" s="36"/>
      <c r="L3860" s="36"/>
      <c r="M3860" s="36"/>
      <c r="N3860" s="36"/>
      <c r="O3860" s="36"/>
      <c r="P3860" s="36"/>
      <c r="Q3860" s="36"/>
      <c r="R3860" s="36"/>
      <c r="S3860" s="36"/>
      <c r="T3860" s="36"/>
      <c r="U3860" s="36"/>
      <c r="V3860" s="36"/>
      <c r="W3860" s="15">
        <f t="shared" si="335"/>
        <v>0</v>
      </c>
      <c r="X3860" s="36"/>
      <c r="Y3860" s="36"/>
      <c r="Z3860" s="36"/>
      <c r="AA3860" s="36"/>
      <c r="AB3860" s="36"/>
      <c r="AC3860" s="36"/>
      <c r="AD3860" s="36"/>
      <c r="AE3860" s="36"/>
      <c r="AF3860" s="36"/>
      <c r="AG3860" s="36"/>
      <c r="AH3860" s="36"/>
      <c r="AI3860" s="36"/>
      <c r="AJ3860" s="15">
        <f t="shared" si="336"/>
        <v>0</v>
      </c>
      <c r="AK3860" s="14"/>
      <c r="AL3860" s="14"/>
      <c r="AM3860" s="14"/>
      <c r="AN3860" s="14"/>
      <c r="AO3860" s="14"/>
      <c r="AP3860" s="14"/>
      <c r="AQ3860" s="14"/>
      <c r="AR3860" s="14"/>
      <c r="AS3860" s="14"/>
      <c r="AT3860" s="14"/>
      <c r="AU3860" s="14"/>
      <c r="AV3860" s="14"/>
      <c r="AW3860" s="15"/>
      <c r="AX3860" s="16"/>
    </row>
    <row r="3861" spans="2:50" x14ac:dyDescent="0.2">
      <c r="B3861" s="7"/>
      <c r="C3861" s="8">
        <v>14215</v>
      </c>
      <c r="D3861" s="9" t="s">
        <v>649</v>
      </c>
      <c r="E3861" s="10" t="str">
        <f t="shared" ref="E3861:E3954" si="337">IF(D3861=0,"",VLOOKUP(D3861,BASE,2,FALSE))</f>
        <v>Rancho Estanzuela No. 57</v>
      </c>
      <c r="F3861" s="10" t="str">
        <f t="shared" ref="F3861:F3954" si="338">IF(D3861=0,"",VLOOKUP(D3861,BASE,3,FALSE))</f>
        <v>Olivares</v>
      </c>
      <c r="G3861" s="8">
        <v>1</v>
      </c>
      <c r="H3861" s="11">
        <v>600</v>
      </c>
      <c r="I3861" s="12">
        <v>42830</v>
      </c>
      <c r="J3861" s="35">
        <f t="shared" ref="J3861:J3954" si="339">IF(G3861=1,SUM(W3861,AJ3861,-H3861),0)</f>
        <v>0</v>
      </c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15">
        <f t="shared" ref="W3861:W3954" si="340">SUM(K3861:V3861)</f>
        <v>0</v>
      </c>
      <c r="X3861" s="36"/>
      <c r="Y3861" s="36"/>
      <c r="Z3861" s="36"/>
      <c r="AA3861" s="36">
        <v>300</v>
      </c>
      <c r="AB3861" s="36">
        <v>300</v>
      </c>
      <c r="AC3861" s="36"/>
      <c r="AD3861" s="36"/>
      <c r="AE3861" s="36"/>
      <c r="AF3861" s="36"/>
      <c r="AG3861" s="36"/>
      <c r="AH3861" s="36"/>
      <c r="AI3861" s="36"/>
      <c r="AJ3861" s="15">
        <f t="shared" ref="AJ3861:AJ3954" si="341">SUM(X3861:AI3861)</f>
        <v>600</v>
      </c>
      <c r="AK3861" s="14"/>
      <c r="AL3861" s="14"/>
      <c r="AM3861" s="14"/>
      <c r="AN3861" s="14"/>
      <c r="AO3861" s="14"/>
      <c r="AP3861" s="14"/>
      <c r="AQ3861" s="14"/>
      <c r="AR3861" s="14"/>
      <c r="AS3861" s="14"/>
      <c r="AT3861" s="14"/>
      <c r="AU3861" s="14"/>
      <c r="AV3861" s="14"/>
      <c r="AW3861" s="15"/>
      <c r="AX3861" s="16"/>
    </row>
    <row r="3862" spans="2:50" x14ac:dyDescent="0.2">
      <c r="B3862" s="7"/>
      <c r="C3862" s="8">
        <v>14216</v>
      </c>
      <c r="D3862" s="9" t="s">
        <v>800</v>
      </c>
      <c r="E3862" s="10" t="str">
        <f t="shared" si="337"/>
        <v>Rancho Upácuaro No. 14</v>
      </c>
      <c r="F3862" s="10" t="str">
        <f t="shared" si="338"/>
        <v>Castillo Hernández</v>
      </c>
      <c r="G3862" s="8">
        <v>1</v>
      </c>
      <c r="H3862" s="11">
        <v>400</v>
      </c>
      <c r="I3862" s="12">
        <v>42834</v>
      </c>
      <c r="J3862" s="35">
        <f t="shared" si="339"/>
        <v>0</v>
      </c>
      <c r="K3862" s="36"/>
      <c r="L3862" s="36"/>
      <c r="M3862" s="36"/>
      <c r="N3862" s="36"/>
      <c r="O3862" s="36"/>
      <c r="P3862" s="36"/>
      <c r="Q3862" s="36"/>
      <c r="R3862" s="36"/>
      <c r="S3862" s="36"/>
      <c r="T3862" s="36"/>
      <c r="U3862" s="36"/>
      <c r="V3862" s="36"/>
      <c r="W3862" s="15">
        <f t="shared" si="340"/>
        <v>0</v>
      </c>
      <c r="X3862" s="36"/>
      <c r="Y3862" s="36"/>
      <c r="Z3862" s="36"/>
      <c r="AA3862" s="36">
        <v>400</v>
      </c>
      <c r="AB3862" s="36"/>
      <c r="AC3862" s="36"/>
      <c r="AD3862" s="36"/>
      <c r="AE3862" s="36"/>
      <c r="AF3862" s="36"/>
      <c r="AG3862" s="36"/>
      <c r="AH3862" s="36"/>
      <c r="AI3862" s="36"/>
      <c r="AJ3862" s="15">
        <f t="shared" si="341"/>
        <v>400</v>
      </c>
      <c r="AK3862" s="14"/>
      <c r="AL3862" s="14"/>
      <c r="AM3862" s="14"/>
      <c r="AN3862" s="14"/>
      <c r="AO3862" s="14"/>
      <c r="AP3862" s="14"/>
      <c r="AQ3862" s="14"/>
      <c r="AR3862" s="14"/>
      <c r="AS3862" s="14"/>
      <c r="AT3862" s="14"/>
      <c r="AU3862" s="14"/>
      <c r="AV3862" s="14"/>
      <c r="AW3862" s="15"/>
      <c r="AX3862" s="16"/>
    </row>
    <row r="3863" spans="2:50" x14ac:dyDescent="0.2">
      <c r="B3863" s="7"/>
      <c r="C3863" s="8">
        <v>14217</v>
      </c>
      <c r="D3863" s="9" t="s">
        <v>800</v>
      </c>
      <c r="E3863" s="10" t="str">
        <f t="shared" si="337"/>
        <v>Rancho Upácuaro No. 14</v>
      </c>
      <c r="F3863" s="10" t="str">
        <f t="shared" si="338"/>
        <v>Castillo Hernández</v>
      </c>
      <c r="G3863" s="8">
        <v>7</v>
      </c>
      <c r="H3863" s="11">
        <v>100</v>
      </c>
      <c r="I3863" s="12">
        <v>42834</v>
      </c>
      <c r="J3863" s="35">
        <f t="shared" si="339"/>
        <v>0</v>
      </c>
      <c r="K3863" s="36"/>
      <c r="L3863" s="36"/>
      <c r="M3863" s="36"/>
      <c r="N3863" s="36"/>
      <c r="O3863" s="36"/>
      <c r="P3863" s="36"/>
      <c r="Q3863" s="36"/>
      <c r="R3863" s="36"/>
      <c r="S3863" s="36"/>
      <c r="T3863" s="36"/>
      <c r="U3863" s="36"/>
      <c r="V3863" s="36"/>
      <c r="W3863" s="15">
        <f t="shared" si="340"/>
        <v>0</v>
      </c>
      <c r="X3863" s="36"/>
      <c r="Y3863" s="36"/>
      <c r="Z3863" s="36"/>
      <c r="AA3863" s="36"/>
      <c r="AB3863" s="36"/>
      <c r="AC3863" s="36"/>
      <c r="AD3863" s="36"/>
      <c r="AE3863" s="36"/>
      <c r="AF3863" s="36"/>
      <c r="AG3863" s="36"/>
      <c r="AH3863" s="36"/>
      <c r="AI3863" s="36"/>
      <c r="AJ3863" s="15">
        <f t="shared" si="341"/>
        <v>0</v>
      </c>
      <c r="AK3863" s="14"/>
      <c r="AL3863" s="14"/>
      <c r="AM3863" s="14"/>
      <c r="AN3863" s="14"/>
      <c r="AO3863" s="14"/>
      <c r="AP3863" s="14"/>
      <c r="AQ3863" s="14"/>
      <c r="AR3863" s="14"/>
      <c r="AS3863" s="14"/>
      <c r="AT3863" s="14"/>
      <c r="AU3863" s="14"/>
      <c r="AV3863" s="14"/>
      <c r="AW3863" s="15"/>
      <c r="AX3863" s="16" t="s">
        <v>3858</v>
      </c>
    </row>
    <row r="3864" spans="2:50" x14ac:dyDescent="0.2">
      <c r="B3864" s="7"/>
      <c r="C3864" s="8">
        <v>14218</v>
      </c>
      <c r="D3864" s="9" t="s">
        <v>693</v>
      </c>
      <c r="E3864" s="10" t="str">
        <f t="shared" si="337"/>
        <v>Rancho Romeral No. 9, B</v>
      </c>
      <c r="F3864" s="10" t="str">
        <f t="shared" si="338"/>
        <v>Morales Macías</v>
      </c>
      <c r="G3864" s="8">
        <v>1</v>
      </c>
      <c r="H3864" s="11">
        <v>300</v>
      </c>
      <c r="I3864" s="12">
        <v>42803</v>
      </c>
      <c r="J3864" s="35">
        <f t="shared" si="339"/>
        <v>0</v>
      </c>
      <c r="K3864" s="36"/>
      <c r="L3864" s="36"/>
      <c r="M3864" s="36"/>
      <c r="N3864" s="36"/>
      <c r="O3864" s="36"/>
      <c r="P3864" s="36"/>
      <c r="Q3864" s="36"/>
      <c r="R3864" s="36"/>
      <c r="S3864" s="36"/>
      <c r="T3864" s="36"/>
      <c r="U3864" s="36"/>
      <c r="V3864" s="36"/>
      <c r="W3864" s="15">
        <f t="shared" si="340"/>
        <v>0</v>
      </c>
      <c r="X3864" s="36"/>
      <c r="Y3864" s="36"/>
      <c r="Z3864" s="36">
        <v>150</v>
      </c>
      <c r="AA3864" s="36">
        <v>150</v>
      </c>
      <c r="AB3864" s="36"/>
      <c r="AC3864" s="36"/>
      <c r="AD3864" s="36"/>
      <c r="AE3864" s="36"/>
      <c r="AF3864" s="36"/>
      <c r="AG3864" s="36"/>
      <c r="AH3864" s="36"/>
      <c r="AI3864" s="36"/>
      <c r="AJ3864" s="15">
        <f t="shared" si="341"/>
        <v>300</v>
      </c>
      <c r="AK3864" s="14"/>
      <c r="AL3864" s="14"/>
      <c r="AM3864" s="14"/>
      <c r="AN3864" s="14"/>
      <c r="AO3864" s="14"/>
      <c r="AP3864" s="14"/>
      <c r="AQ3864" s="14"/>
      <c r="AR3864" s="14"/>
      <c r="AS3864" s="14"/>
      <c r="AT3864" s="14"/>
      <c r="AU3864" s="14"/>
      <c r="AV3864" s="14"/>
      <c r="AW3864" s="15"/>
      <c r="AX3864" s="16"/>
    </row>
    <row r="3865" spans="2:50" x14ac:dyDescent="0.2">
      <c r="B3865" s="7"/>
      <c r="C3865" s="8">
        <v>14219</v>
      </c>
      <c r="D3865" s="9" t="s">
        <v>1067</v>
      </c>
      <c r="E3865" s="10" t="str">
        <f t="shared" si="337"/>
        <v>Rancho Upácuaro No. 49</v>
      </c>
      <c r="F3865" s="10" t="str">
        <f t="shared" si="338"/>
        <v>Sánchez Romano</v>
      </c>
      <c r="G3865" s="8">
        <v>1</v>
      </c>
      <c r="H3865" s="11">
        <v>200</v>
      </c>
      <c r="I3865" s="12">
        <v>42834</v>
      </c>
      <c r="J3865" s="35">
        <f t="shared" si="339"/>
        <v>0</v>
      </c>
      <c r="K3865" s="36"/>
      <c r="L3865" s="36"/>
      <c r="M3865" s="36"/>
      <c r="N3865" s="36"/>
      <c r="O3865" s="36"/>
      <c r="P3865" s="36"/>
      <c r="Q3865" s="36"/>
      <c r="R3865" s="36">
        <v>200</v>
      </c>
      <c r="S3865" s="36"/>
      <c r="T3865" s="36"/>
      <c r="U3865" s="36"/>
      <c r="V3865" s="36"/>
      <c r="W3865" s="15">
        <f t="shared" si="340"/>
        <v>200</v>
      </c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15">
        <f t="shared" si="341"/>
        <v>0</v>
      </c>
      <c r="AK3865" s="14"/>
      <c r="AL3865" s="14"/>
      <c r="AM3865" s="14"/>
      <c r="AN3865" s="14"/>
      <c r="AO3865" s="14"/>
      <c r="AP3865" s="14"/>
      <c r="AQ3865" s="14"/>
      <c r="AR3865" s="14"/>
      <c r="AS3865" s="14"/>
      <c r="AT3865" s="14"/>
      <c r="AU3865" s="14"/>
      <c r="AV3865" s="14"/>
      <c r="AW3865" s="15"/>
      <c r="AX3865" s="16"/>
    </row>
    <row r="3866" spans="2:50" x14ac:dyDescent="0.2">
      <c r="B3866" s="7"/>
      <c r="C3866" s="8">
        <v>14220</v>
      </c>
      <c r="D3866" s="9" t="s">
        <v>458</v>
      </c>
      <c r="E3866" s="10" t="str">
        <f t="shared" si="337"/>
        <v>Rancho Estanzuela No. 143, B</v>
      </c>
      <c r="F3866" s="10" t="str">
        <f t="shared" si="338"/>
        <v>López</v>
      </c>
      <c r="G3866" s="8">
        <v>1</v>
      </c>
      <c r="H3866" s="11">
        <v>400</v>
      </c>
      <c r="I3866" s="12">
        <v>42834</v>
      </c>
      <c r="J3866" s="35">
        <f t="shared" si="339"/>
        <v>0</v>
      </c>
      <c r="K3866" s="36"/>
      <c r="L3866" s="36"/>
      <c r="M3866" s="36"/>
      <c r="N3866" s="36"/>
      <c r="O3866" s="36"/>
      <c r="P3866" s="36"/>
      <c r="Q3866" s="36"/>
      <c r="R3866" s="36"/>
      <c r="S3866" s="36"/>
      <c r="T3866" s="36"/>
      <c r="U3866" s="36"/>
      <c r="V3866" s="36"/>
      <c r="W3866" s="15">
        <f t="shared" si="340"/>
        <v>0</v>
      </c>
      <c r="X3866" s="36"/>
      <c r="Y3866" s="36"/>
      <c r="Z3866" s="36"/>
      <c r="AA3866" s="36">
        <v>400</v>
      </c>
      <c r="AB3866" s="36"/>
      <c r="AC3866" s="36"/>
      <c r="AD3866" s="36"/>
      <c r="AE3866" s="36"/>
      <c r="AF3866" s="36"/>
      <c r="AG3866" s="36"/>
      <c r="AH3866" s="36"/>
      <c r="AI3866" s="36"/>
      <c r="AJ3866" s="15">
        <f t="shared" si="341"/>
        <v>400</v>
      </c>
      <c r="AK3866" s="14"/>
      <c r="AL3866" s="14"/>
      <c r="AM3866" s="14"/>
      <c r="AN3866" s="14"/>
      <c r="AO3866" s="14"/>
      <c r="AP3866" s="14"/>
      <c r="AQ3866" s="14"/>
      <c r="AR3866" s="14"/>
      <c r="AS3866" s="14"/>
      <c r="AT3866" s="14"/>
      <c r="AU3866" s="14"/>
      <c r="AV3866" s="14"/>
      <c r="AW3866" s="15"/>
      <c r="AX3866" s="16"/>
    </row>
    <row r="3867" spans="2:50" x14ac:dyDescent="0.2">
      <c r="B3867" s="7"/>
      <c r="C3867" s="8">
        <v>14221</v>
      </c>
      <c r="D3867" s="9" t="s">
        <v>241</v>
      </c>
      <c r="E3867" s="10" t="str">
        <f t="shared" si="337"/>
        <v>Rancho La Cuchilla No. 81, A</v>
      </c>
      <c r="F3867" s="10" t="str">
        <f t="shared" si="338"/>
        <v>Barrientos López</v>
      </c>
      <c r="G3867" s="8">
        <v>1</v>
      </c>
      <c r="H3867" s="11">
        <v>400</v>
      </c>
      <c r="I3867" s="12">
        <v>42834</v>
      </c>
      <c r="J3867" s="35">
        <f t="shared" si="339"/>
        <v>0</v>
      </c>
      <c r="K3867" s="36"/>
      <c r="L3867" s="36"/>
      <c r="M3867" s="36"/>
      <c r="N3867" s="36"/>
      <c r="O3867" s="36"/>
      <c r="P3867" s="36"/>
      <c r="Q3867" s="36"/>
      <c r="R3867" s="36"/>
      <c r="S3867" s="36"/>
      <c r="T3867" s="36"/>
      <c r="U3867" s="36"/>
      <c r="V3867" s="36"/>
      <c r="W3867" s="15">
        <f t="shared" si="340"/>
        <v>0</v>
      </c>
      <c r="X3867" s="36"/>
      <c r="Y3867" s="36"/>
      <c r="Z3867" s="36"/>
      <c r="AA3867" s="36">
        <v>400</v>
      </c>
      <c r="AB3867" s="36"/>
      <c r="AC3867" s="36"/>
      <c r="AD3867" s="36"/>
      <c r="AE3867" s="36"/>
      <c r="AF3867" s="36"/>
      <c r="AG3867" s="36"/>
      <c r="AH3867" s="36"/>
      <c r="AI3867" s="36"/>
      <c r="AJ3867" s="15">
        <f t="shared" si="341"/>
        <v>400</v>
      </c>
      <c r="AK3867" s="14"/>
      <c r="AL3867" s="14"/>
      <c r="AM3867" s="14"/>
      <c r="AN3867" s="14"/>
      <c r="AO3867" s="14"/>
      <c r="AP3867" s="14"/>
      <c r="AQ3867" s="14"/>
      <c r="AR3867" s="14"/>
      <c r="AS3867" s="14"/>
      <c r="AT3867" s="14"/>
      <c r="AU3867" s="14"/>
      <c r="AV3867" s="14"/>
      <c r="AW3867" s="15"/>
      <c r="AX3867" s="16"/>
    </row>
    <row r="3868" spans="2:50" x14ac:dyDescent="0.2">
      <c r="B3868" s="7"/>
      <c r="C3868" s="8">
        <v>14221</v>
      </c>
      <c r="D3868" s="9" t="s">
        <v>241</v>
      </c>
      <c r="E3868" s="10" t="str">
        <f t="shared" si="337"/>
        <v>Rancho La Cuchilla No. 81, A</v>
      </c>
      <c r="F3868" s="10" t="str">
        <f t="shared" si="338"/>
        <v>Barrientos López</v>
      </c>
      <c r="G3868" s="8">
        <v>7</v>
      </c>
      <c r="H3868" s="11">
        <v>100</v>
      </c>
      <c r="I3868" s="12">
        <v>42834</v>
      </c>
      <c r="J3868" s="35">
        <f t="shared" si="339"/>
        <v>0</v>
      </c>
      <c r="K3868" s="36"/>
      <c r="L3868" s="36"/>
      <c r="M3868" s="36"/>
      <c r="N3868" s="36"/>
      <c r="O3868" s="36"/>
      <c r="P3868" s="36"/>
      <c r="Q3868" s="36"/>
      <c r="R3868" s="36"/>
      <c r="S3868" s="36"/>
      <c r="T3868" s="36"/>
      <c r="U3868" s="36"/>
      <c r="V3868" s="36"/>
      <c r="W3868" s="15">
        <f t="shared" si="340"/>
        <v>0</v>
      </c>
      <c r="X3868" s="36"/>
      <c r="Y3868" s="36"/>
      <c r="Z3868" s="36"/>
      <c r="AA3868" s="36"/>
      <c r="AB3868" s="36"/>
      <c r="AC3868" s="36"/>
      <c r="AD3868" s="36"/>
      <c r="AE3868" s="36"/>
      <c r="AF3868" s="36"/>
      <c r="AG3868" s="36"/>
      <c r="AH3868" s="36"/>
      <c r="AI3868" s="36"/>
      <c r="AJ3868" s="15">
        <f t="shared" si="341"/>
        <v>0</v>
      </c>
      <c r="AK3868" s="14"/>
      <c r="AL3868" s="14"/>
      <c r="AM3868" s="14"/>
      <c r="AN3868" s="14"/>
      <c r="AO3868" s="14"/>
      <c r="AP3868" s="14"/>
      <c r="AQ3868" s="14"/>
      <c r="AR3868" s="14"/>
      <c r="AS3868" s="14"/>
      <c r="AT3868" s="14"/>
      <c r="AU3868" s="14"/>
      <c r="AV3868" s="14"/>
      <c r="AW3868" s="15"/>
      <c r="AX3868" s="16" t="s">
        <v>3858</v>
      </c>
    </row>
    <row r="3869" spans="2:50" x14ac:dyDescent="0.2">
      <c r="B3869" s="7"/>
      <c r="C3869" s="8">
        <v>14222</v>
      </c>
      <c r="D3869" s="9" t="s">
        <v>814</v>
      </c>
      <c r="E3869" s="10" t="str">
        <f t="shared" si="337"/>
        <v>Rancho Landero No. 47</v>
      </c>
      <c r="F3869" s="10" t="str">
        <f t="shared" si="338"/>
        <v>García González</v>
      </c>
      <c r="G3869" s="8">
        <v>1</v>
      </c>
      <c r="H3869" s="11">
        <v>1200</v>
      </c>
      <c r="I3869" s="12">
        <v>42834</v>
      </c>
      <c r="J3869" s="35">
        <f t="shared" si="339"/>
        <v>0</v>
      </c>
      <c r="K3869" s="36"/>
      <c r="L3869" s="36"/>
      <c r="M3869" s="36"/>
      <c r="N3869" s="36"/>
      <c r="O3869" s="36"/>
      <c r="P3869" s="36"/>
      <c r="Q3869" s="36"/>
      <c r="R3869" s="36"/>
      <c r="S3869" s="36"/>
      <c r="T3869" s="36"/>
      <c r="U3869" s="36"/>
      <c r="V3869" s="36"/>
      <c r="W3869" s="15">
        <f t="shared" si="340"/>
        <v>0</v>
      </c>
      <c r="X3869" s="36">
        <v>400</v>
      </c>
      <c r="Y3869" s="36">
        <v>400</v>
      </c>
      <c r="Z3869" s="36">
        <v>400</v>
      </c>
      <c r="AA3869" s="36"/>
      <c r="AB3869" s="36"/>
      <c r="AC3869" s="36"/>
      <c r="AD3869" s="36"/>
      <c r="AE3869" s="36"/>
      <c r="AF3869" s="36"/>
      <c r="AG3869" s="36"/>
      <c r="AH3869" s="36"/>
      <c r="AI3869" s="36"/>
      <c r="AJ3869" s="15">
        <f t="shared" si="341"/>
        <v>1200</v>
      </c>
      <c r="AK3869" s="14"/>
      <c r="AL3869" s="14"/>
      <c r="AM3869" s="14"/>
      <c r="AN3869" s="14"/>
      <c r="AO3869" s="14"/>
      <c r="AP3869" s="14"/>
      <c r="AQ3869" s="14"/>
      <c r="AR3869" s="14"/>
      <c r="AS3869" s="14"/>
      <c r="AT3869" s="14"/>
      <c r="AU3869" s="14"/>
      <c r="AV3869" s="14"/>
      <c r="AW3869" s="15"/>
      <c r="AX3869" s="16"/>
    </row>
    <row r="3870" spans="2:50" x14ac:dyDescent="0.2">
      <c r="B3870" s="7"/>
      <c r="C3870" s="8">
        <v>14222</v>
      </c>
      <c r="D3870" s="9" t="s">
        <v>814</v>
      </c>
      <c r="E3870" s="10" t="str">
        <f t="shared" si="337"/>
        <v>Rancho Landero No. 47</v>
      </c>
      <c r="F3870" s="10" t="str">
        <f t="shared" si="338"/>
        <v>García González</v>
      </c>
      <c r="G3870" s="8">
        <v>7</v>
      </c>
      <c r="H3870" s="11">
        <v>100</v>
      </c>
      <c r="I3870" s="12">
        <v>42834</v>
      </c>
      <c r="J3870" s="35">
        <f t="shared" si="339"/>
        <v>0</v>
      </c>
      <c r="K3870" s="36"/>
      <c r="L3870" s="36"/>
      <c r="M3870" s="36"/>
      <c r="N3870" s="36"/>
      <c r="O3870" s="36"/>
      <c r="P3870" s="36"/>
      <c r="Q3870" s="36"/>
      <c r="R3870" s="36"/>
      <c r="S3870" s="36"/>
      <c r="T3870" s="36"/>
      <c r="U3870" s="36"/>
      <c r="V3870" s="36"/>
      <c r="W3870" s="15">
        <f t="shared" si="340"/>
        <v>0</v>
      </c>
      <c r="X3870" s="36"/>
      <c r="Y3870" s="36"/>
      <c r="Z3870" s="36"/>
      <c r="AA3870" s="36"/>
      <c r="AB3870" s="36"/>
      <c r="AC3870" s="36"/>
      <c r="AD3870" s="36"/>
      <c r="AE3870" s="36"/>
      <c r="AF3870" s="36"/>
      <c r="AG3870" s="36"/>
      <c r="AH3870" s="36"/>
      <c r="AI3870" s="36"/>
      <c r="AJ3870" s="15">
        <f t="shared" si="341"/>
        <v>0</v>
      </c>
      <c r="AK3870" s="14"/>
      <c r="AL3870" s="14"/>
      <c r="AM3870" s="14"/>
      <c r="AN3870" s="14"/>
      <c r="AO3870" s="14"/>
      <c r="AP3870" s="14"/>
      <c r="AQ3870" s="14"/>
      <c r="AR3870" s="14"/>
      <c r="AS3870" s="14"/>
      <c r="AT3870" s="14"/>
      <c r="AU3870" s="14"/>
      <c r="AV3870" s="14"/>
      <c r="AW3870" s="15"/>
      <c r="AX3870" s="16"/>
    </row>
    <row r="3871" spans="2:50" x14ac:dyDescent="0.2">
      <c r="B3871" s="7"/>
      <c r="C3871" s="8">
        <v>14223</v>
      </c>
      <c r="D3871" s="9" t="s">
        <v>325</v>
      </c>
      <c r="E3871" s="10" t="str">
        <f t="shared" si="337"/>
        <v>Rancho Upácuaro No. 120</v>
      </c>
      <c r="F3871" s="10" t="str">
        <f t="shared" si="338"/>
        <v>Rayas Rivera</v>
      </c>
      <c r="G3871" s="8">
        <v>1</v>
      </c>
      <c r="H3871" s="11">
        <v>400</v>
      </c>
      <c r="I3871" s="12">
        <v>42834</v>
      </c>
      <c r="J3871" s="35">
        <f t="shared" si="339"/>
        <v>0</v>
      </c>
      <c r="K3871" s="36"/>
      <c r="L3871" s="36"/>
      <c r="M3871" s="36"/>
      <c r="N3871" s="36"/>
      <c r="O3871" s="36"/>
      <c r="P3871" s="36"/>
      <c r="Q3871" s="36"/>
      <c r="R3871" s="36"/>
      <c r="S3871" s="36"/>
      <c r="T3871" s="36"/>
      <c r="U3871" s="36"/>
      <c r="V3871" s="36"/>
      <c r="W3871" s="15">
        <f t="shared" si="340"/>
        <v>0</v>
      </c>
      <c r="X3871" s="36"/>
      <c r="Y3871" s="36"/>
      <c r="Z3871" s="36"/>
      <c r="AA3871" s="36">
        <v>400</v>
      </c>
      <c r="AB3871" s="36"/>
      <c r="AC3871" s="36"/>
      <c r="AD3871" s="36"/>
      <c r="AE3871" s="36"/>
      <c r="AF3871" s="36"/>
      <c r="AG3871" s="36"/>
      <c r="AH3871" s="36"/>
      <c r="AI3871" s="36"/>
      <c r="AJ3871" s="15">
        <f t="shared" si="341"/>
        <v>400</v>
      </c>
      <c r="AK3871" s="14"/>
      <c r="AL3871" s="14"/>
      <c r="AM3871" s="14"/>
      <c r="AN3871" s="14"/>
      <c r="AO3871" s="14"/>
      <c r="AP3871" s="14"/>
      <c r="AQ3871" s="14"/>
      <c r="AR3871" s="14"/>
      <c r="AS3871" s="14"/>
      <c r="AT3871" s="14"/>
      <c r="AU3871" s="14"/>
      <c r="AV3871" s="14"/>
      <c r="AW3871" s="15"/>
      <c r="AX3871" s="16"/>
    </row>
    <row r="3872" spans="2:50" x14ac:dyDescent="0.2">
      <c r="B3872" s="7"/>
      <c r="C3872" s="8">
        <v>14224</v>
      </c>
      <c r="D3872" s="9" t="s">
        <v>274</v>
      </c>
      <c r="E3872" s="10" t="str">
        <f t="shared" si="337"/>
        <v>Rancho Zinamba No. 82</v>
      </c>
      <c r="F3872" s="10" t="str">
        <f t="shared" si="338"/>
        <v>Morán Carmona</v>
      </c>
      <c r="G3872" s="8">
        <v>1</v>
      </c>
      <c r="H3872" s="11">
        <v>1200</v>
      </c>
      <c r="I3872" s="12">
        <v>42834</v>
      </c>
      <c r="J3872" s="35">
        <f t="shared" si="339"/>
        <v>0</v>
      </c>
      <c r="K3872" s="36"/>
      <c r="L3872" s="36"/>
      <c r="M3872" s="36"/>
      <c r="N3872" s="36"/>
      <c r="O3872" s="36"/>
      <c r="P3872" s="36"/>
      <c r="Q3872" s="36"/>
      <c r="R3872" s="36"/>
      <c r="S3872" s="36"/>
      <c r="T3872" s="36"/>
      <c r="U3872" s="36"/>
      <c r="V3872" s="36"/>
      <c r="W3872" s="15">
        <f t="shared" si="340"/>
        <v>0</v>
      </c>
      <c r="X3872" s="36">
        <v>200</v>
      </c>
      <c r="Y3872" s="36">
        <v>200</v>
      </c>
      <c r="Z3872" s="36">
        <v>200</v>
      </c>
      <c r="AA3872" s="36">
        <v>200</v>
      </c>
      <c r="AB3872" s="36">
        <v>200</v>
      </c>
      <c r="AC3872" s="36">
        <v>200</v>
      </c>
      <c r="AD3872" s="36"/>
      <c r="AE3872" s="36"/>
      <c r="AF3872" s="36"/>
      <c r="AG3872" s="36"/>
      <c r="AH3872" s="36"/>
      <c r="AI3872" s="36"/>
      <c r="AJ3872" s="15">
        <f t="shared" si="341"/>
        <v>1200</v>
      </c>
      <c r="AK3872" s="14"/>
      <c r="AL3872" s="14"/>
      <c r="AM3872" s="14"/>
      <c r="AN3872" s="14"/>
      <c r="AO3872" s="14"/>
      <c r="AP3872" s="14"/>
      <c r="AQ3872" s="14"/>
      <c r="AR3872" s="14"/>
      <c r="AS3872" s="14"/>
      <c r="AT3872" s="14"/>
      <c r="AU3872" s="14"/>
      <c r="AV3872" s="14"/>
      <c r="AW3872" s="15"/>
      <c r="AX3872" s="16"/>
    </row>
    <row r="3873" spans="2:50" x14ac:dyDescent="0.2">
      <c r="B3873" s="7"/>
      <c r="C3873" s="8">
        <v>14225</v>
      </c>
      <c r="D3873" s="9" t="s">
        <v>810</v>
      </c>
      <c r="E3873" s="10" t="str">
        <f t="shared" si="337"/>
        <v>Rancho La Cuchilla No. 90</v>
      </c>
      <c r="F3873" s="10" t="str">
        <f t="shared" si="338"/>
        <v>Porras Fuentes</v>
      </c>
      <c r="G3873" s="8">
        <v>1</v>
      </c>
      <c r="H3873" s="11">
        <v>400</v>
      </c>
      <c r="I3873" s="12">
        <v>42834</v>
      </c>
      <c r="J3873" s="35">
        <f t="shared" si="339"/>
        <v>0</v>
      </c>
      <c r="K3873" s="36"/>
      <c r="L3873" s="36"/>
      <c r="M3873" s="36"/>
      <c r="N3873" s="36"/>
      <c r="O3873" s="36"/>
      <c r="P3873" s="36"/>
      <c r="Q3873" s="36"/>
      <c r="R3873" s="36"/>
      <c r="S3873" s="36"/>
      <c r="T3873" s="36"/>
      <c r="U3873" s="36"/>
      <c r="V3873" s="36"/>
      <c r="W3873" s="15">
        <f t="shared" si="340"/>
        <v>0</v>
      </c>
      <c r="X3873" s="36"/>
      <c r="Y3873" s="36"/>
      <c r="Z3873" s="36"/>
      <c r="AA3873" s="36"/>
      <c r="AB3873" s="36"/>
      <c r="AC3873" s="36">
        <v>200</v>
      </c>
      <c r="AD3873" s="36">
        <v>200</v>
      </c>
      <c r="AE3873" s="36"/>
      <c r="AF3873" s="36"/>
      <c r="AG3873" s="36"/>
      <c r="AH3873" s="36"/>
      <c r="AI3873" s="36"/>
      <c r="AJ3873" s="15">
        <f t="shared" si="341"/>
        <v>400</v>
      </c>
      <c r="AK3873" s="14"/>
      <c r="AL3873" s="14"/>
      <c r="AM3873" s="14"/>
      <c r="AN3873" s="14"/>
      <c r="AO3873" s="14"/>
      <c r="AP3873" s="14"/>
      <c r="AQ3873" s="14"/>
      <c r="AR3873" s="14"/>
      <c r="AS3873" s="14"/>
      <c r="AT3873" s="14"/>
      <c r="AU3873" s="14"/>
      <c r="AV3873" s="14"/>
      <c r="AW3873" s="15"/>
      <c r="AX3873" s="16"/>
    </row>
    <row r="3874" spans="2:50" x14ac:dyDescent="0.2">
      <c r="B3874" s="7"/>
      <c r="C3874" s="8">
        <v>14225</v>
      </c>
      <c r="D3874" s="9" t="s">
        <v>810</v>
      </c>
      <c r="E3874" s="10" t="str">
        <f t="shared" si="337"/>
        <v>Rancho La Cuchilla No. 90</v>
      </c>
      <c r="F3874" s="10" t="str">
        <f t="shared" si="338"/>
        <v>Porras Fuentes</v>
      </c>
      <c r="G3874" s="8">
        <v>7</v>
      </c>
      <c r="H3874" s="11">
        <v>100</v>
      </c>
      <c r="I3874" s="12">
        <v>42834</v>
      </c>
      <c r="J3874" s="35">
        <f t="shared" si="339"/>
        <v>0</v>
      </c>
      <c r="K3874" s="36"/>
      <c r="L3874" s="36"/>
      <c r="M3874" s="36"/>
      <c r="N3874" s="36"/>
      <c r="O3874" s="36"/>
      <c r="P3874" s="36"/>
      <c r="Q3874" s="36"/>
      <c r="R3874" s="36"/>
      <c r="S3874" s="36"/>
      <c r="T3874" s="36"/>
      <c r="U3874" s="36"/>
      <c r="V3874" s="36"/>
      <c r="W3874" s="15">
        <f t="shared" si="340"/>
        <v>0</v>
      </c>
      <c r="X3874" s="36"/>
      <c r="Y3874" s="36"/>
      <c r="Z3874" s="36"/>
      <c r="AA3874" s="36"/>
      <c r="AB3874" s="36"/>
      <c r="AC3874" s="36"/>
      <c r="AD3874" s="36"/>
      <c r="AE3874" s="36"/>
      <c r="AF3874" s="36"/>
      <c r="AG3874" s="36"/>
      <c r="AH3874" s="36"/>
      <c r="AI3874" s="36"/>
      <c r="AJ3874" s="15">
        <f t="shared" si="341"/>
        <v>0</v>
      </c>
      <c r="AK3874" s="14"/>
      <c r="AL3874" s="14"/>
      <c r="AM3874" s="14"/>
      <c r="AN3874" s="14"/>
      <c r="AO3874" s="14"/>
      <c r="AP3874" s="14"/>
      <c r="AQ3874" s="14"/>
      <c r="AR3874" s="14"/>
      <c r="AS3874" s="14"/>
      <c r="AT3874" s="14"/>
      <c r="AU3874" s="14"/>
      <c r="AV3874" s="14"/>
      <c r="AW3874" s="15"/>
      <c r="AX3874" s="16" t="s">
        <v>3858</v>
      </c>
    </row>
    <row r="3875" spans="2:50" x14ac:dyDescent="0.2">
      <c r="B3875" s="7"/>
      <c r="C3875" s="8">
        <v>14226</v>
      </c>
      <c r="D3875" s="9" t="s">
        <v>568</v>
      </c>
      <c r="E3875" s="10" t="str">
        <f t="shared" si="337"/>
        <v>Rancho Landero No. 95</v>
      </c>
      <c r="F3875" s="10" t="str">
        <f t="shared" si="338"/>
        <v>Rivas Rangel</v>
      </c>
      <c r="G3875" s="8">
        <v>1</v>
      </c>
      <c r="H3875" s="11">
        <v>400</v>
      </c>
      <c r="I3875" s="12">
        <v>42834</v>
      </c>
      <c r="J3875" s="35">
        <f t="shared" si="339"/>
        <v>0</v>
      </c>
      <c r="K3875" s="36"/>
      <c r="L3875" s="36"/>
      <c r="M3875" s="36"/>
      <c r="N3875" s="36"/>
      <c r="O3875" s="36"/>
      <c r="P3875" s="36"/>
      <c r="Q3875" s="36"/>
      <c r="R3875" s="36"/>
      <c r="S3875" s="36"/>
      <c r="T3875" s="36"/>
      <c r="U3875" s="36"/>
      <c r="V3875" s="36"/>
      <c r="W3875" s="15">
        <f t="shared" si="340"/>
        <v>0</v>
      </c>
      <c r="X3875" s="36"/>
      <c r="Y3875" s="36"/>
      <c r="Z3875" s="36"/>
      <c r="AA3875" s="36">
        <v>400</v>
      </c>
      <c r="AB3875" s="36"/>
      <c r="AC3875" s="36"/>
      <c r="AD3875" s="36"/>
      <c r="AE3875" s="36"/>
      <c r="AF3875" s="36"/>
      <c r="AG3875" s="36"/>
      <c r="AH3875" s="36"/>
      <c r="AI3875" s="36"/>
      <c r="AJ3875" s="15">
        <f t="shared" si="341"/>
        <v>400</v>
      </c>
      <c r="AK3875" s="14"/>
      <c r="AL3875" s="14"/>
      <c r="AM3875" s="14"/>
      <c r="AN3875" s="14"/>
      <c r="AO3875" s="14"/>
      <c r="AP3875" s="14"/>
      <c r="AQ3875" s="14"/>
      <c r="AR3875" s="14"/>
      <c r="AS3875" s="14"/>
      <c r="AT3875" s="14"/>
      <c r="AU3875" s="14"/>
      <c r="AV3875" s="14"/>
      <c r="AW3875" s="15"/>
      <c r="AX3875" s="16"/>
    </row>
    <row r="3876" spans="2:50" x14ac:dyDescent="0.2">
      <c r="B3876" s="7"/>
      <c r="C3876" s="8">
        <v>14227</v>
      </c>
      <c r="D3876" s="9" t="s">
        <v>820</v>
      </c>
      <c r="E3876" s="10" t="str">
        <f t="shared" si="337"/>
        <v>Rancho Zinamba No. 84</v>
      </c>
      <c r="F3876" s="10" t="str">
        <f t="shared" si="338"/>
        <v>Lobato</v>
      </c>
      <c r="G3876" s="8">
        <v>1</v>
      </c>
      <c r="H3876" s="11">
        <v>300</v>
      </c>
      <c r="I3876" s="12">
        <v>42834</v>
      </c>
      <c r="J3876" s="35">
        <f t="shared" si="339"/>
        <v>0</v>
      </c>
      <c r="K3876" s="36"/>
      <c r="L3876" s="36"/>
      <c r="M3876" s="36"/>
      <c r="N3876" s="36"/>
      <c r="O3876" s="36"/>
      <c r="P3876" s="36"/>
      <c r="Q3876" s="36"/>
      <c r="R3876" s="36"/>
      <c r="S3876" s="36"/>
      <c r="T3876" s="36"/>
      <c r="U3876" s="36"/>
      <c r="V3876" s="36"/>
      <c r="W3876" s="15">
        <f t="shared" si="340"/>
        <v>0</v>
      </c>
      <c r="X3876" s="36"/>
      <c r="Y3876" s="36"/>
      <c r="Z3876" s="36">
        <v>300</v>
      </c>
      <c r="AA3876" s="36"/>
      <c r="AB3876" s="36"/>
      <c r="AC3876" s="36"/>
      <c r="AD3876" s="36"/>
      <c r="AE3876" s="36"/>
      <c r="AF3876" s="36"/>
      <c r="AG3876" s="36"/>
      <c r="AH3876" s="36"/>
      <c r="AI3876" s="36"/>
      <c r="AJ3876" s="15">
        <f t="shared" si="341"/>
        <v>300</v>
      </c>
      <c r="AK3876" s="14"/>
      <c r="AL3876" s="14"/>
      <c r="AM3876" s="14"/>
      <c r="AN3876" s="14"/>
      <c r="AO3876" s="14"/>
      <c r="AP3876" s="14"/>
      <c r="AQ3876" s="14"/>
      <c r="AR3876" s="14"/>
      <c r="AS3876" s="14"/>
      <c r="AT3876" s="14"/>
      <c r="AU3876" s="14"/>
      <c r="AV3876" s="14"/>
      <c r="AW3876" s="15"/>
      <c r="AX3876" s="16"/>
    </row>
    <row r="3877" spans="2:50" x14ac:dyDescent="0.2">
      <c r="B3877" s="7"/>
      <c r="C3877" s="8">
        <v>14228</v>
      </c>
      <c r="D3877" s="9" t="s">
        <v>637</v>
      </c>
      <c r="E3877" s="10" t="str">
        <f t="shared" si="337"/>
        <v>Rancho Recoveco No. 193</v>
      </c>
      <c r="F3877" s="10" t="str">
        <f t="shared" si="338"/>
        <v>Salazar Pérez</v>
      </c>
      <c r="G3877" s="8">
        <v>1</v>
      </c>
      <c r="H3877" s="11">
        <v>400</v>
      </c>
      <c r="I3877" s="12">
        <v>42834</v>
      </c>
      <c r="J3877" s="35">
        <f t="shared" si="339"/>
        <v>0</v>
      </c>
      <c r="K3877" s="36"/>
      <c r="L3877" s="36"/>
      <c r="M3877" s="36"/>
      <c r="N3877" s="36"/>
      <c r="O3877" s="36"/>
      <c r="P3877" s="36"/>
      <c r="Q3877" s="36"/>
      <c r="R3877" s="36"/>
      <c r="S3877" s="36"/>
      <c r="T3877" s="36"/>
      <c r="U3877" s="36"/>
      <c r="V3877" s="36"/>
      <c r="W3877" s="15">
        <f t="shared" si="340"/>
        <v>0</v>
      </c>
      <c r="X3877" s="36"/>
      <c r="Y3877" s="36"/>
      <c r="Z3877" s="36"/>
      <c r="AA3877" s="36">
        <v>400</v>
      </c>
      <c r="AB3877" s="36"/>
      <c r="AC3877" s="36"/>
      <c r="AD3877" s="36"/>
      <c r="AE3877" s="36"/>
      <c r="AF3877" s="36"/>
      <c r="AG3877" s="36"/>
      <c r="AH3877" s="36"/>
      <c r="AI3877" s="36"/>
      <c r="AJ3877" s="15">
        <f t="shared" si="341"/>
        <v>400</v>
      </c>
      <c r="AK3877" s="14"/>
      <c r="AL3877" s="14"/>
      <c r="AM3877" s="14"/>
      <c r="AN3877" s="14"/>
      <c r="AO3877" s="14"/>
      <c r="AP3877" s="14"/>
      <c r="AQ3877" s="14"/>
      <c r="AR3877" s="14"/>
      <c r="AS3877" s="14"/>
      <c r="AT3877" s="14"/>
      <c r="AU3877" s="14"/>
      <c r="AV3877" s="14"/>
      <c r="AW3877" s="15"/>
      <c r="AX3877" s="16"/>
    </row>
    <row r="3878" spans="2:50" x14ac:dyDescent="0.2">
      <c r="B3878" s="7"/>
      <c r="C3878" s="8">
        <v>14229</v>
      </c>
      <c r="D3878" s="9" t="s">
        <v>97</v>
      </c>
      <c r="E3878" s="10" t="str">
        <f t="shared" si="337"/>
        <v>Rancho La Cuchilla No. 78</v>
      </c>
      <c r="F3878" s="10" t="str">
        <f t="shared" si="338"/>
        <v>García</v>
      </c>
      <c r="G3878" s="8">
        <v>1</v>
      </c>
      <c r="H3878" s="11">
        <v>400</v>
      </c>
      <c r="I3878" s="12">
        <v>42834</v>
      </c>
      <c r="J3878" s="35">
        <f t="shared" si="339"/>
        <v>0</v>
      </c>
      <c r="K3878" s="36"/>
      <c r="L3878" s="36"/>
      <c r="M3878" s="36"/>
      <c r="N3878" s="36"/>
      <c r="O3878" s="36"/>
      <c r="P3878" s="36"/>
      <c r="Q3878" s="36"/>
      <c r="R3878" s="36"/>
      <c r="S3878" s="36"/>
      <c r="T3878" s="36"/>
      <c r="U3878" s="36"/>
      <c r="V3878" s="36"/>
      <c r="W3878" s="15">
        <f t="shared" si="340"/>
        <v>0</v>
      </c>
      <c r="X3878" s="36"/>
      <c r="Y3878" s="36"/>
      <c r="Z3878" s="36"/>
      <c r="AA3878" s="36">
        <v>400</v>
      </c>
      <c r="AB3878" s="36"/>
      <c r="AC3878" s="36"/>
      <c r="AD3878" s="36"/>
      <c r="AE3878" s="36"/>
      <c r="AF3878" s="36"/>
      <c r="AG3878" s="36"/>
      <c r="AH3878" s="36"/>
      <c r="AI3878" s="36"/>
      <c r="AJ3878" s="15">
        <f t="shared" si="341"/>
        <v>400</v>
      </c>
      <c r="AK3878" s="14"/>
      <c r="AL3878" s="14"/>
      <c r="AM3878" s="14"/>
      <c r="AN3878" s="14"/>
      <c r="AO3878" s="14"/>
      <c r="AP3878" s="14"/>
      <c r="AQ3878" s="14"/>
      <c r="AR3878" s="14"/>
      <c r="AS3878" s="14"/>
      <c r="AT3878" s="14"/>
      <c r="AU3878" s="14"/>
      <c r="AV3878" s="14"/>
      <c r="AW3878" s="15"/>
      <c r="AX3878" s="16"/>
    </row>
    <row r="3879" spans="2:50" x14ac:dyDescent="0.2">
      <c r="B3879" s="7"/>
      <c r="C3879" s="8">
        <v>14230</v>
      </c>
      <c r="D3879" s="9" t="s">
        <v>395</v>
      </c>
      <c r="E3879" s="10" t="str">
        <f t="shared" si="337"/>
        <v>Rancho Landero No. 7</v>
      </c>
      <c r="F3879" s="10" t="str">
        <f t="shared" si="338"/>
        <v>Robles</v>
      </c>
      <c r="G3879" s="8">
        <v>1</v>
      </c>
      <c r="H3879" s="11">
        <v>200</v>
      </c>
      <c r="I3879" s="12">
        <v>42834</v>
      </c>
      <c r="J3879" s="35">
        <f t="shared" si="339"/>
        <v>0</v>
      </c>
      <c r="K3879" s="36"/>
      <c r="L3879" s="36"/>
      <c r="M3879" s="36"/>
      <c r="N3879" s="36"/>
      <c r="O3879" s="36"/>
      <c r="P3879" s="36"/>
      <c r="Q3879" s="36"/>
      <c r="R3879" s="36"/>
      <c r="S3879" s="36"/>
      <c r="T3879" s="36"/>
      <c r="U3879" s="36"/>
      <c r="V3879" s="36"/>
      <c r="W3879" s="15">
        <f t="shared" si="340"/>
        <v>0</v>
      </c>
      <c r="X3879" s="36"/>
      <c r="Y3879" s="36"/>
      <c r="Z3879" s="36"/>
      <c r="AA3879" s="36">
        <v>200</v>
      </c>
      <c r="AB3879" s="36"/>
      <c r="AC3879" s="36"/>
      <c r="AD3879" s="36"/>
      <c r="AE3879" s="36"/>
      <c r="AF3879" s="36"/>
      <c r="AG3879" s="36"/>
      <c r="AH3879" s="36"/>
      <c r="AI3879" s="36"/>
      <c r="AJ3879" s="15">
        <f t="shared" si="341"/>
        <v>200</v>
      </c>
      <c r="AK3879" s="14"/>
      <c r="AL3879" s="14"/>
      <c r="AM3879" s="14"/>
      <c r="AN3879" s="14"/>
      <c r="AO3879" s="14"/>
      <c r="AP3879" s="14"/>
      <c r="AQ3879" s="14"/>
      <c r="AR3879" s="14"/>
      <c r="AS3879" s="14"/>
      <c r="AT3879" s="14"/>
      <c r="AU3879" s="14"/>
      <c r="AV3879" s="14"/>
      <c r="AW3879" s="15"/>
      <c r="AX3879" s="16"/>
    </row>
    <row r="3880" spans="2:50" x14ac:dyDescent="0.2">
      <c r="B3880" s="7"/>
      <c r="C3880" s="8">
        <v>14231</v>
      </c>
      <c r="D3880" s="9" t="s">
        <v>138</v>
      </c>
      <c r="E3880" s="10" t="str">
        <f t="shared" si="337"/>
        <v>Rancho La Cuchilla No. 135</v>
      </c>
      <c r="F3880" s="10" t="str">
        <f t="shared" si="338"/>
        <v>Perea</v>
      </c>
      <c r="G3880" s="8">
        <v>1</v>
      </c>
      <c r="H3880" s="11">
        <v>400</v>
      </c>
      <c r="I3880" s="12">
        <v>42834</v>
      </c>
      <c r="J3880" s="35">
        <f t="shared" si="339"/>
        <v>0</v>
      </c>
      <c r="K3880" s="36"/>
      <c r="L3880" s="36"/>
      <c r="M3880" s="36"/>
      <c r="N3880" s="36"/>
      <c r="O3880" s="36"/>
      <c r="P3880" s="36"/>
      <c r="Q3880" s="36"/>
      <c r="R3880" s="36"/>
      <c r="S3880" s="36"/>
      <c r="T3880" s="36"/>
      <c r="U3880" s="36"/>
      <c r="V3880" s="36"/>
      <c r="W3880" s="15">
        <f t="shared" si="340"/>
        <v>0</v>
      </c>
      <c r="X3880" s="36"/>
      <c r="Y3880" s="36"/>
      <c r="Z3880" s="36"/>
      <c r="AA3880" s="36">
        <v>400</v>
      </c>
      <c r="AB3880" s="36"/>
      <c r="AC3880" s="36"/>
      <c r="AD3880" s="36"/>
      <c r="AE3880" s="36"/>
      <c r="AF3880" s="36"/>
      <c r="AG3880" s="36"/>
      <c r="AH3880" s="36"/>
      <c r="AI3880" s="36"/>
      <c r="AJ3880" s="15">
        <f t="shared" si="341"/>
        <v>400</v>
      </c>
      <c r="AK3880" s="14"/>
      <c r="AL3880" s="14"/>
      <c r="AM3880" s="14"/>
      <c r="AN3880" s="14"/>
      <c r="AO3880" s="14"/>
      <c r="AP3880" s="14"/>
      <c r="AQ3880" s="14"/>
      <c r="AR3880" s="14"/>
      <c r="AS3880" s="14"/>
      <c r="AT3880" s="14"/>
      <c r="AU3880" s="14"/>
      <c r="AV3880" s="14"/>
      <c r="AW3880" s="15"/>
      <c r="AX3880" s="16"/>
    </row>
    <row r="3881" spans="2:50" x14ac:dyDescent="0.2">
      <c r="B3881" s="7"/>
      <c r="C3881" s="8">
        <v>14231</v>
      </c>
      <c r="D3881" s="9" t="s">
        <v>138</v>
      </c>
      <c r="E3881" s="10" t="str">
        <f t="shared" si="337"/>
        <v>Rancho La Cuchilla No. 135</v>
      </c>
      <c r="F3881" s="10" t="str">
        <f t="shared" si="338"/>
        <v>Perea</v>
      </c>
      <c r="G3881" s="8">
        <v>3</v>
      </c>
      <c r="H3881" s="11">
        <v>200</v>
      </c>
      <c r="I3881" s="12">
        <v>42834</v>
      </c>
      <c r="J3881" s="35">
        <f t="shared" si="339"/>
        <v>0</v>
      </c>
      <c r="K3881" s="36"/>
      <c r="L3881" s="36"/>
      <c r="M3881" s="36"/>
      <c r="N3881" s="36"/>
      <c r="O3881" s="36"/>
      <c r="P3881" s="36"/>
      <c r="Q3881" s="36"/>
      <c r="R3881" s="36"/>
      <c r="S3881" s="36"/>
      <c r="T3881" s="36"/>
      <c r="U3881" s="36"/>
      <c r="V3881" s="36"/>
      <c r="W3881" s="15">
        <f t="shared" si="340"/>
        <v>0</v>
      </c>
      <c r="X3881" s="36"/>
      <c r="Y3881" s="36"/>
      <c r="Z3881" s="36"/>
      <c r="AA3881" s="36"/>
      <c r="AB3881" s="36"/>
      <c r="AC3881" s="36"/>
      <c r="AD3881" s="36"/>
      <c r="AE3881" s="36"/>
      <c r="AF3881" s="36"/>
      <c r="AG3881" s="36"/>
      <c r="AH3881" s="36"/>
      <c r="AI3881" s="36"/>
      <c r="AJ3881" s="15">
        <f t="shared" si="341"/>
        <v>0</v>
      </c>
      <c r="AK3881" s="14"/>
      <c r="AL3881" s="14"/>
      <c r="AM3881" s="14"/>
      <c r="AN3881" s="14"/>
      <c r="AO3881" s="14"/>
      <c r="AP3881" s="14"/>
      <c r="AQ3881" s="14"/>
      <c r="AR3881" s="14"/>
      <c r="AS3881" s="14"/>
      <c r="AT3881" s="14"/>
      <c r="AU3881" s="14"/>
      <c r="AV3881" s="14"/>
      <c r="AW3881" s="15"/>
      <c r="AX3881" s="16"/>
    </row>
    <row r="3882" spans="2:50" x14ac:dyDescent="0.2">
      <c r="B3882" s="7"/>
      <c r="C3882" s="8">
        <v>14231</v>
      </c>
      <c r="D3882" s="9" t="s">
        <v>138</v>
      </c>
      <c r="E3882" s="10" t="str">
        <f t="shared" si="337"/>
        <v>Rancho La Cuchilla No. 135</v>
      </c>
      <c r="F3882" s="10" t="str">
        <f t="shared" si="338"/>
        <v>Perea</v>
      </c>
      <c r="G3882" s="8">
        <v>5</v>
      </c>
      <c r="H3882" s="11">
        <v>100</v>
      </c>
      <c r="I3882" s="12">
        <v>42834</v>
      </c>
      <c r="J3882" s="35">
        <f t="shared" si="339"/>
        <v>0</v>
      </c>
      <c r="K3882" s="36"/>
      <c r="L3882" s="36"/>
      <c r="M3882" s="36"/>
      <c r="N3882" s="36"/>
      <c r="O3882" s="36"/>
      <c r="P3882" s="36"/>
      <c r="Q3882" s="36"/>
      <c r="R3882" s="36"/>
      <c r="S3882" s="36"/>
      <c r="T3882" s="36"/>
      <c r="U3882" s="36"/>
      <c r="V3882" s="36"/>
      <c r="W3882" s="15">
        <f t="shared" si="340"/>
        <v>0</v>
      </c>
      <c r="X3882" s="36"/>
      <c r="Y3882" s="36"/>
      <c r="Z3882" s="36"/>
      <c r="AA3882" s="36"/>
      <c r="AB3882" s="36"/>
      <c r="AC3882" s="36"/>
      <c r="AD3882" s="36"/>
      <c r="AE3882" s="36"/>
      <c r="AF3882" s="36"/>
      <c r="AG3882" s="36"/>
      <c r="AH3882" s="36"/>
      <c r="AI3882" s="36"/>
      <c r="AJ3882" s="15">
        <f t="shared" si="341"/>
        <v>0</v>
      </c>
      <c r="AK3882" s="14"/>
      <c r="AL3882" s="14"/>
      <c r="AM3882" s="14"/>
      <c r="AN3882" s="14"/>
      <c r="AO3882" s="14"/>
      <c r="AP3882" s="14"/>
      <c r="AQ3882" s="14"/>
      <c r="AR3882" s="14"/>
      <c r="AS3882" s="14"/>
      <c r="AT3882" s="14"/>
      <c r="AU3882" s="14"/>
      <c r="AV3882" s="14"/>
      <c r="AW3882" s="15"/>
      <c r="AX3882" s="16"/>
    </row>
    <row r="3883" spans="2:50" x14ac:dyDescent="0.2">
      <c r="B3883" s="7"/>
      <c r="C3883" s="8">
        <v>14232</v>
      </c>
      <c r="D3883" s="9" t="s">
        <v>238</v>
      </c>
      <c r="E3883" s="10" t="str">
        <f t="shared" si="337"/>
        <v>Rancho La Cuchilla No. 43, B</v>
      </c>
      <c r="F3883" s="10" t="str">
        <f t="shared" si="338"/>
        <v>Luna Albertano</v>
      </c>
      <c r="G3883" s="8">
        <v>1</v>
      </c>
      <c r="H3883" s="11">
        <v>125</v>
      </c>
      <c r="I3883" s="12">
        <v>42834</v>
      </c>
      <c r="J3883" s="35">
        <f t="shared" si="339"/>
        <v>0</v>
      </c>
      <c r="K3883" s="36"/>
      <c r="L3883" s="36"/>
      <c r="M3883" s="36"/>
      <c r="N3883" s="36"/>
      <c r="O3883" s="36"/>
      <c r="P3883" s="36"/>
      <c r="Q3883" s="36"/>
      <c r="R3883" s="36"/>
      <c r="S3883" s="36"/>
      <c r="T3883" s="36"/>
      <c r="U3883" s="36"/>
      <c r="V3883" s="36"/>
      <c r="W3883" s="15">
        <f t="shared" si="340"/>
        <v>0</v>
      </c>
      <c r="X3883" s="36"/>
      <c r="Y3883" s="36"/>
      <c r="Z3883" s="36"/>
      <c r="AA3883" s="36">
        <v>125</v>
      </c>
      <c r="AB3883" s="36"/>
      <c r="AC3883" s="36"/>
      <c r="AD3883" s="36"/>
      <c r="AE3883" s="36"/>
      <c r="AF3883" s="36"/>
      <c r="AG3883" s="36"/>
      <c r="AH3883" s="36"/>
      <c r="AI3883" s="36"/>
      <c r="AJ3883" s="15">
        <f t="shared" si="341"/>
        <v>125</v>
      </c>
      <c r="AK3883" s="14"/>
      <c r="AL3883" s="14"/>
      <c r="AM3883" s="14"/>
      <c r="AN3883" s="14"/>
      <c r="AO3883" s="14"/>
      <c r="AP3883" s="14"/>
      <c r="AQ3883" s="14"/>
      <c r="AR3883" s="14"/>
      <c r="AS3883" s="14"/>
      <c r="AT3883" s="14"/>
      <c r="AU3883" s="14"/>
      <c r="AV3883" s="14"/>
      <c r="AW3883" s="15"/>
      <c r="AX3883" s="16"/>
    </row>
    <row r="3884" spans="2:50" x14ac:dyDescent="0.2">
      <c r="B3884" s="7"/>
      <c r="C3884" s="8">
        <v>14233</v>
      </c>
      <c r="D3884" s="9" t="s">
        <v>407</v>
      </c>
      <c r="E3884" s="10" t="str">
        <f t="shared" si="337"/>
        <v>Rancho Estanzuela No. 99</v>
      </c>
      <c r="F3884" s="10" t="str">
        <f t="shared" si="338"/>
        <v>García López</v>
      </c>
      <c r="G3884" s="8">
        <v>1</v>
      </c>
      <c r="H3884" s="11">
        <v>400</v>
      </c>
      <c r="I3884" s="12">
        <v>42834</v>
      </c>
      <c r="J3884" s="35">
        <f t="shared" si="339"/>
        <v>0</v>
      </c>
      <c r="K3884" s="36"/>
      <c r="L3884" s="36"/>
      <c r="M3884" s="36"/>
      <c r="N3884" s="36"/>
      <c r="O3884" s="36"/>
      <c r="P3884" s="36"/>
      <c r="Q3884" s="36"/>
      <c r="R3884" s="36"/>
      <c r="S3884" s="36"/>
      <c r="T3884" s="36"/>
      <c r="U3884" s="36"/>
      <c r="V3884" s="36"/>
      <c r="W3884" s="15">
        <f t="shared" si="340"/>
        <v>0</v>
      </c>
      <c r="X3884" s="36"/>
      <c r="Y3884" s="36"/>
      <c r="Z3884" s="36"/>
      <c r="AA3884" s="36">
        <v>400</v>
      </c>
      <c r="AB3884" s="36"/>
      <c r="AC3884" s="36"/>
      <c r="AD3884" s="36"/>
      <c r="AE3884" s="36"/>
      <c r="AF3884" s="36"/>
      <c r="AG3884" s="36"/>
      <c r="AH3884" s="36"/>
      <c r="AI3884" s="36"/>
      <c r="AJ3884" s="15">
        <f t="shared" si="341"/>
        <v>400</v>
      </c>
      <c r="AK3884" s="14"/>
      <c r="AL3884" s="14"/>
      <c r="AM3884" s="14"/>
      <c r="AN3884" s="14"/>
      <c r="AO3884" s="14"/>
      <c r="AP3884" s="14"/>
      <c r="AQ3884" s="14"/>
      <c r="AR3884" s="14"/>
      <c r="AS3884" s="14"/>
      <c r="AT3884" s="14"/>
      <c r="AU3884" s="14"/>
      <c r="AV3884" s="14"/>
      <c r="AW3884" s="15"/>
      <c r="AX3884" s="16"/>
    </row>
    <row r="3885" spans="2:50" x14ac:dyDescent="0.2">
      <c r="B3885" s="7"/>
      <c r="C3885" s="8">
        <v>14234</v>
      </c>
      <c r="D3885" s="9" t="s">
        <v>109</v>
      </c>
      <c r="E3885" s="10" t="str">
        <f t="shared" si="337"/>
        <v>Rancho Estanzuela No. 31</v>
      </c>
      <c r="F3885" s="10" t="str">
        <f t="shared" si="338"/>
        <v>Chávez Valdés</v>
      </c>
      <c r="G3885" s="8">
        <v>3</v>
      </c>
      <c r="H3885" s="11">
        <v>200</v>
      </c>
      <c r="I3885" s="12">
        <v>42834</v>
      </c>
      <c r="J3885" s="35">
        <f t="shared" si="339"/>
        <v>0</v>
      </c>
      <c r="K3885" s="36"/>
      <c r="L3885" s="36"/>
      <c r="M3885" s="36"/>
      <c r="N3885" s="36"/>
      <c r="O3885" s="36"/>
      <c r="P3885" s="36"/>
      <c r="Q3885" s="36"/>
      <c r="R3885" s="36"/>
      <c r="S3885" s="36"/>
      <c r="T3885" s="36"/>
      <c r="U3885" s="36"/>
      <c r="V3885" s="36"/>
      <c r="W3885" s="15">
        <f t="shared" si="340"/>
        <v>0</v>
      </c>
      <c r="X3885" s="36"/>
      <c r="Y3885" s="36"/>
      <c r="Z3885" s="36"/>
      <c r="AA3885" s="36"/>
      <c r="AB3885" s="36"/>
      <c r="AC3885" s="36"/>
      <c r="AD3885" s="36"/>
      <c r="AE3885" s="36"/>
      <c r="AF3885" s="36"/>
      <c r="AG3885" s="36"/>
      <c r="AH3885" s="36"/>
      <c r="AI3885" s="36"/>
      <c r="AJ3885" s="15">
        <f t="shared" si="341"/>
        <v>0</v>
      </c>
      <c r="AK3885" s="14"/>
      <c r="AL3885" s="14"/>
      <c r="AM3885" s="14"/>
      <c r="AN3885" s="14"/>
      <c r="AO3885" s="14"/>
      <c r="AP3885" s="14"/>
      <c r="AQ3885" s="14"/>
      <c r="AR3885" s="14"/>
      <c r="AS3885" s="14"/>
      <c r="AT3885" s="14"/>
      <c r="AU3885" s="14"/>
      <c r="AV3885" s="14"/>
      <c r="AW3885" s="15"/>
      <c r="AX3885" s="16"/>
    </row>
    <row r="3886" spans="2:50" x14ac:dyDescent="0.2">
      <c r="B3886" s="7"/>
      <c r="C3886" s="8">
        <v>14235</v>
      </c>
      <c r="D3886" s="9" t="s">
        <v>150</v>
      </c>
      <c r="E3886" s="10" t="str">
        <f t="shared" si="337"/>
        <v>Rancho La Cuchilla No. 33</v>
      </c>
      <c r="F3886" s="10" t="str">
        <f t="shared" si="338"/>
        <v>Tanús</v>
      </c>
      <c r="G3886" s="8">
        <v>1</v>
      </c>
      <c r="H3886" s="11">
        <v>400</v>
      </c>
      <c r="I3886" s="12">
        <v>42834</v>
      </c>
      <c r="J3886" s="35">
        <f t="shared" si="339"/>
        <v>0</v>
      </c>
      <c r="K3886" s="36"/>
      <c r="L3886" s="36"/>
      <c r="M3886" s="36"/>
      <c r="N3886" s="36"/>
      <c r="O3886" s="36"/>
      <c r="P3886" s="36"/>
      <c r="Q3886" s="36"/>
      <c r="R3886" s="36"/>
      <c r="S3886" s="36"/>
      <c r="T3886" s="36"/>
      <c r="U3886" s="36"/>
      <c r="V3886" s="36"/>
      <c r="W3886" s="15">
        <f t="shared" si="340"/>
        <v>0</v>
      </c>
      <c r="X3886" s="36"/>
      <c r="Y3886" s="36"/>
      <c r="Z3886" s="36"/>
      <c r="AA3886" s="36">
        <v>400</v>
      </c>
      <c r="AB3886" s="36"/>
      <c r="AC3886" s="36"/>
      <c r="AD3886" s="36"/>
      <c r="AE3886" s="36"/>
      <c r="AF3886" s="36"/>
      <c r="AG3886" s="36"/>
      <c r="AH3886" s="36"/>
      <c r="AI3886" s="36"/>
      <c r="AJ3886" s="15">
        <f t="shared" si="341"/>
        <v>400</v>
      </c>
      <c r="AK3886" s="14"/>
      <c r="AL3886" s="14"/>
      <c r="AM3886" s="14"/>
      <c r="AN3886" s="14"/>
      <c r="AO3886" s="14"/>
      <c r="AP3886" s="14"/>
      <c r="AQ3886" s="14"/>
      <c r="AR3886" s="14"/>
      <c r="AS3886" s="14"/>
      <c r="AT3886" s="14"/>
      <c r="AU3886" s="14"/>
      <c r="AV3886" s="14"/>
      <c r="AW3886" s="15"/>
      <c r="AX3886" s="16"/>
    </row>
    <row r="3887" spans="2:50" x14ac:dyDescent="0.2">
      <c r="B3887" s="7"/>
      <c r="C3887" s="8">
        <v>14236</v>
      </c>
      <c r="D3887" s="9" t="s">
        <v>180</v>
      </c>
      <c r="E3887" s="10" t="str">
        <f t="shared" si="337"/>
        <v>Rancho Landero No. 80</v>
      </c>
      <c r="F3887" s="10" t="str">
        <f t="shared" si="338"/>
        <v>Caballero</v>
      </c>
      <c r="G3887" s="8">
        <v>1</v>
      </c>
      <c r="H3887" s="11">
        <v>400</v>
      </c>
      <c r="I3887" s="12">
        <v>42834</v>
      </c>
      <c r="J3887" s="35">
        <f t="shared" si="339"/>
        <v>0</v>
      </c>
      <c r="K3887" s="36"/>
      <c r="L3887" s="36"/>
      <c r="M3887" s="36"/>
      <c r="N3887" s="36"/>
      <c r="O3887" s="36"/>
      <c r="P3887" s="36"/>
      <c r="Q3887" s="36"/>
      <c r="R3887" s="36"/>
      <c r="S3887" s="36"/>
      <c r="T3887" s="36"/>
      <c r="U3887" s="36"/>
      <c r="V3887" s="36"/>
      <c r="W3887" s="15">
        <f t="shared" si="340"/>
        <v>0</v>
      </c>
      <c r="X3887" s="36"/>
      <c r="Y3887" s="36"/>
      <c r="Z3887" s="36"/>
      <c r="AA3887" s="36">
        <v>400</v>
      </c>
      <c r="AB3887" s="36"/>
      <c r="AC3887" s="36"/>
      <c r="AD3887" s="36"/>
      <c r="AE3887" s="36"/>
      <c r="AF3887" s="36"/>
      <c r="AG3887" s="36"/>
      <c r="AH3887" s="36"/>
      <c r="AI3887" s="36"/>
      <c r="AJ3887" s="15">
        <f t="shared" si="341"/>
        <v>400</v>
      </c>
      <c r="AK3887" s="14"/>
      <c r="AL3887" s="14"/>
      <c r="AM3887" s="14"/>
      <c r="AN3887" s="14"/>
      <c r="AO3887" s="14"/>
      <c r="AP3887" s="14"/>
      <c r="AQ3887" s="14"/>
      <c r="AR3887" s="14"/>
      <c r="AS3887" s="14"/>
      <c r="AT3887" s="14"/>
      <c r="AU3887" s="14"/>
      <c r="AV3887" s="14"/>
      <c r="AW3887" s="15"/>
      <c r="AX3887" s="16"/>
    </row>
    <row r="3888" spans="2:50" x14ac:dyDescent="0.2">
      <c r="B3888" s="7"/>
      <c r="C3888" s="8">
        <v>14237</v>
      </c>
      <c r="D3888" s="9" t="s">
        <v>301</v>
      </c>
      <c r="E3888" s="10" t="str">
        <f t="shared" si="337"/>
        <v>Rancho Upácuaro No. 51, 2</v>
      </c>
      <c r="F3888" s="10" t="str">
        <f t="shared" si="338"/>
        <v>Santoyo</v>
      </c>
      <c r="G3888" s="8">
        <v>1</v>
      </c>
      <c r="H3888" s="11">
        <v>200</v>
      </c>
      <c r="I3888" s="12">
        <v>42834</v>
      </c>
      <c r="J3888" s="35">
        <f t="shared" si="339"/>
        <v>0</v>
      </c>
      <c r="K3888" s="36"/>
      <c r="L3888" s="36"/>
      <c r="M3888" s="36"/>
      <c r="N3888" s="36"/>
      <c r="O3888" s="36"/>
      <c r="P3888" s="36"/>
      <c r="Q3888" s="36"/>
      <c r="R3888" s="36"/>
      <c r="S3888" s="36"/>
      <c r="T3888" s="36"/>
      <c r="U3888" s="36"/>
      <c r="V3888" s="36"/>
      <c r="W3888" s="15">
        <f t="shared" si="340"/>
        <v>0</v>
      </c>
      <c r="X3888" s="36"/>
      <c r="Y3888" s="36"/>
      <c r="Z3888" s="36"/>
      <c r="AA3888" s="36">
        <v>200</v>
      </c>
      <c r="AB3888" s="36"/>
      <c r="AC3888" s="36"/>
      <c r="AD3888" s="36"/>
      <c r="AE3888" s="36"/>
      <c r="AF3888" s="36"/>
      <c r="AG3888" s="36"/>
      <c r="AH3888" s="36"/>
      <c r="AI3888" s="36"/>
      <c r="AJ3888" s="15">
        <f t="shared" si="341"/>
        <v>200</v>
      </c>
      <c r="AK3888" s="14"/>
      <c r="AL3888" s="14"/>
      <c r="AM3888" s="14"/>
      <c r="AN3888" s="14"/>
      <c r="AO3888" s="14"/>
      <c r="AP3888" s="14"/>
      <c r="AQ3888" s="14"/>
      <c r="AR3888" s="14"/>
      <c r="AS3888" s="14"/>
      <c r="AT3888" s="14"/>
      <c r="AU3888" s="14"/>
      <c r="AV3888" s="14"/>
      <c r="AW3888" s="15"/>
      <c r="AX3888" s="16"/>
    </row>
    <row r="3889" spans="2:50" x14ac:dyDescent="0.2">
      <c r="B3889" s="7"/>
      <c r="C3889" s="8">
        <v>14238</v>
      </c>
      <c r="D3889" s="9" t="s">
        <v>794</v>
      </c>
      <c r="E3889" s="10" t="str">
        <f t="shared" si="337"/>
        <v>Rancho Landero No. 18</v>
      </c>
      <c r="F3889" s="10" t="str">
        <f t="shared" si="338"/>
        <v>Rosado</v>
      </c>
      <c r="G3889" s="8">
        <v>1</v>
      </c>
      <c r="H3889" s="11">
        <v>300</v>
      </c>
      <c r="I3889" s="12">
        <v>42834</v>
      </c>
      <c r="J3889" s="35">
        <f t="shared" si="339"/>
        <v>0</v>
      </c>
      <c r="K3889" s="36"/>
      <c r="L3889" s="36"/>
      <c r="M3889" s="36"/>
      <c r="N3889" s="36"/>
      <c r="O3889" s="36"/>
      <c r="P3889" s="36"/>
      <c r="Q3889" s="36"/>
      <c r="R3889" s="36"/>
      <c r="S3889" s="36"/>
      <c r="T3889" s="36"/>
      <c r="U3889" s="36"/>
      <c r="V3889" s="36"/>
      <c r="W3889" s="15">
        <f t="shared" si="340"/>
        <v>0</v>
      </c>
      <c r="X3889" s="36"/>
      <c r="Y3889" s="36"/>
      <c r="Z3889" s="36">
        <v>300</v>
      </c>
      <c r="AA3889" s="36"/>
      <c r="AB3889" s="36"/>
      <c r="AC3889" s="36"/>
      <c r="AD3889" s="36"/>
      <c r="AE3889" s="36"/>
      <c r="AF3889" s="36"/>
      <c r="AG3889" s="36"/>
      <c r="AH3889" s="36"/>
      <c r="AI3889" s="36"/>
      <c r="AJ3889" s="15">
        <f t="shared" si="341"/>
        <v>300</v>
      </c>
      <c r="AK3889" s="14"/>
      <c r="AL3889" s="14"/>
      <c r="AM3889" s="14"/>
      <c r="AN3889" s="14"/>
      <c r="AO3889" s="14"/>
      <c r="AP3889" s="14"/>
      <c r="AQ3889" s="14"/>
      <c r="AR3889" s="14"/>
      <c r="AS3889" s="14"/>
      <c r="AT3889" s="14"/>
      <c r="AU3889" s="14"/>
      <c r="AV3889" s="14"/>
      <c r="AW3889" s="15"/>
      <c r="AX3889" s="16"/>
    </row>
    <row r="3890" spans="2:50" x14ac:dyDescent="0.2">
      <c r="B3890" s="7"/>
      <c r="C3890" s="8">
        <v>14239</v>
      </c>
      <c r="D3890" s="9" t="s">
        <v>138</v>
      </c>
      <c r="E3890" s="10" t="str">
        <f t="shared" si="337"/>
        <v>Rancho La Cuchilla No. 135</v>
      </c>
      <c r="F3890" s="10" t="str">
        <f t="shared" si="338"/>
        <v>Perea</v>
      </c>
      <c r="G3890" s="8">
        <v>4</v>
      </c>
      <c r="H3890" s="11">
        <v>200</v>
      </c>
      <c r="I3890" s="12">
        <v>42834</v>
      </c>
      <c r="J3890" s="35">
        <f t="shared" si="339"/>
        <v>0</v>
      </c>
      <c r="K3890" s="36"/>
      <c r="L3890" s="36"/>
      <c r="M3890" s="36"/>
      <c r="N3890" s="36"/>
      <c r="O3890" s="36"/>
      <c r="P3890" s="36"/>
      <c r="Q3890" s="36"/>
      <c r="R3890" s="36"/>
      <c r="S3890" s="36"/>
      <c r="T3890" s="36"/>
      <c r="U3890" s="36"/>
      <c r="V3890" s="36"/>
      <c r="W3890" s="15">
        <f t="shared" si="340"/>
        <v>0</v>
      </c>
      <c r="X3890" s="36"/>
      <c r="Y3890" s="36"/>
      <c r="Z3890" s="36"/>
      <c r="AA3890" s="36"/>
      <c r="AB3890" s="36"/>
      <c r="AC3890" s="36"/>
      <c r="AD3890" s="36"/>
      <c r="AE3890" s="36"/>
      <c r="AF3890" s="36"/>
      <c r="AG3890" s="36"/>
      <c r="AH3890" s="36"/>
      <c r="AI3890" s="36"/>
      <c r="AJ3890" s="15">
        <f t="shared" si="341"/>
        <v>0</v>
      </c>
      <c r="AK3890" s="14"/>
      <c r="AL3890" s="14"/>
      <c r="AM3890" s="14"/>
      <c r="AN3890" s="14"/>
      <c r="AO3890" s="14"/>
      <c r="AP3890" s="14"/>
      <c r="AQ3890" s="14"/>
      <c r="AR3890" s="14"/>
      <c r="AS3890" s="14"/>
      <c r="AT3890" s="14"/>
      <c r="AU3890" s="14"/>
      <c r="AV3890" s="14"/>
      <c r="AW3890" s="15"/>
      <c r="AX3890" s="16" t="s">
        <v>3863</v>
      </c>
    </row>
    <row r="3891" spans="2:50" x14ac:dyDescent="0.2">
      <c r="B3891" s="7"/>
      <c r="C3891" s="8">
        <v>14240</v>
      </c>
      <c r="D3891" s="9" t="s">
        <v>699</v>
      </c>
      <c r="E3891" s="10" t="str">
        <f t="shared" si="337"/>
        <v>Rancho La Cuchilla No. 18</v>
      </c>
      <c r="F3891" s="10" t="str">
        <f t="shared" si="338"/>
        <v>Aldana Sánchez</v>
      </c>
      <c r="G3891" s="8">
        <v>1</v>
      </c>
      <c r="H3891" s="11">
        <v>1200</v>
      </c>
      <c r="I3891" s="12">
        <v>42834</v>
      </c>
      <c r="J3891" s="35">
        <f t="shared" si="339"/>
        <v>0</v>
      </c>
      <c r="K3891" s="36"/>
      <c r="L3891" s="36"/>
      <c r="M3891" s="36"/>
      <c r="N3891" s="36"/>
      <c r="O3891" s="36"/>
      <c r="P3891" s="36"/>
      <c r="Q3891" s="36"/>
      <c r="R3891" s="36"/>
      <c r="S3891" s="36"/>
      <c r="T3891" s="36"/>
      <c r="U3891" s="36"/>
      <c r="V3891" s="36"/>
      <c r="W3891" s="15">
        <f t="shared" si="340"/>
        <v>0</v>
      </c>
      <c r="X3891" s="36"/>
      <c r="Y3891" s="36">
        <v>400</v>
      </c>
      <c r="Z3891" s="36">
        <v>400</v>
      </c>
      <c r="AA3891" s="36">
        <v>400</v>
      </c>
      <c r="AB3891" s="36"/>
      <c r="AC3891" s="36"/>
      <c r="AD3891" s="36"/>
      <c r="AE3891" s="36"/>
      <c r="AF3891" s="36"/>
      <c r="AG3891" s="36"/>
      <c r="AH3891" s="36"/>
      <c r="AI3891" s="36"/>
      <c r="AJ3891" s="15">
        <f t="shared" si="341"/>
        <v>1200</v>
      </c>
      <c r="AK3891" s="14"/>
      <c r="AL3891" s="14"/>
      <c r="AM3891" s="14"/>
      <c r="AN3891" s="14"/>
      <c r="AO3891" s="14"/>
      <c r="AP3891" s="14"/>
      <c r="AQ3891" s="14"/>
      <c r="AR3891" s="14"/>
      <c r="AS3891" s="14"/>
      <c r="AT3891" s="14"/>
      <c r="AU3891" s="14"/>
      <c r="AV3891" s="14"/>
      <c r="AW3891" s="15"/>
      <c r="AX3891" s="16"/>
    </row>
    <row r="3892" spans="2:50" x14ac:dyDescent="0.2">
      <c r="B3892" s="7"/>
      <c r="C3892" s="8">
        <v>14240</v>
      </c>
      <c r="D3892" s="9" t="s">
        <v>699</v>
      </c>
      <c r="E3892" s="10" t="str">
        <f t="shared" si="337"/>
        <v>Rancho La Cuchilla No. 18</v>
      </c>
      <c r="F3892" s="10" t="str">
        <f t="shared" si="338"/>
        <v>Aldana Sánchez</v>
      </c>
      <c r="G3892" s="8">
        <v>7</v>
      </c>
      <c r="H3892" s="11">
        <v>100</v>
      </c>
      <c r="I3892" s="12">
        <v>42834</v>
      </c>
      <c r="J3892" s="35">
        <f t="shared" si="339"/>
        <v>0</v>
      </c>
      <c r="K3892" s="36"/>
      <c r="L3892" s="36"/>
      <c r="M3892" s="36"/>
      <c r="N3892" s="36"/>
      <c r="O3892" s="36"/>
      <c r="P3892" s="36"/>
      <c r="Q3892" s="36"/>
      <c r="R3892" s="36"/>
      <c r="S3892" s="36"/>
      <c r="T3892" s="36"/>
      <c r="U3892" s="36"/>
      <c r="V3892" s="36"/>
      <c r="W3892" s="15">
        <f t="shared" si="340"/>
        <v>0</v>
      </c>
      <c r="X3892" s="36"/>
      <c r="Y3892" s="36"/>
      <c r="Z3892" s="36"/>
      <c r="AA3892" s="36"/>
      <c r="AB3892" s="36"/>
      <c r="AC3892" s="36"/>
      <c r="AD3892" s="36"/>
      <c r="AE3892" s="36"/>
      <c r="AF3892" s="36"/>
      <c r="AG3892" s="36"/>
      <c r="AH3892" s="36"/>
      <c r="AI3892" s="36"/>
      <c r="AJ3892" s="15">
        <f t="shared" si="341"/>
        <v>0</v>
      </c>
      <c r="AK3892" s="14"/>
      <c r="AL3892" s="14"/>
      <c r="AM3892" s="14"/>
      <c r="AN3892" s="14"/>
      <c r="AO3892" s="14"/>
      <c r="AP3892" s="14"/>
      <c r="AQ3892" s="14"/>
      <c r="AR3892" s="14"/>
      <c r="AS3892" s="14"/>
      <c r="AT3892" s="14"/>
      <c r="AU3892" s="14"/>
      <c r="AV3892" s="14"/>
      <c r="AW3892" s="15"/>
      <c r="AX3892" s="16" t="s">
        <v>3858</v>
      </c>
    </row>
    <row r="3893" spans="2:50" x14ac:dyDescent="0.2">
      <c r="B3893" s="7"/>
      <c r="C3893" s="8">
        <v>14241</v>
      </c>
      <c r="D3893" s="9" t="s">
        <v>268</v>
      </c>
      <c r="E3893" s="10" t="str">
        <f t="shared" si="337"/>
        <v>Rancho Landero No. 90</v>
      </c>
      <c r="F3893" s="10" t="str">
        <f t="shared" si="338"/>
        <v>Córdova Reséndiz</v>
      </c>
      <c r="G3893" s="8">
        <v>1</v>
      </c>
      <c r="H3893" s="11">
        <v>300</v>
      </c>
      <c r="I3893" s="12">
        <v>42834</v>
      </c>
      <c r="J3893" s="35">
        <f t="shared" si="339"/>
        <v>0</v>
      </c>
      <c r="K3893" s="36"/>
      <c r="L3893" s="36"/>
      <c r="M3893" s="36"/>
      <c r="N3893" s="36"/>
      <c r="O3893" s="36"/>
      <c r="P3893" s="36"/>
      <c r="Q3893" s="36"/>
      <c r="R3893" s="36"/>
      <c r="S3893" s="36"/>
      <c r="T3893" s="36"/>
      <c r="U3893" s="36"/>
      <c r="V3893" s="36"/>
      <c r="W3893" s="15">
        <f t="shared" si="340"/>
        <v>0</v>
      </c>
      <c r="X3893" s="36"/>
      <c r="Y3893" s="36"/>
      <c r="Z3893" s="36"/>
      <c r="AA3893" s="36">
        <v>300</v>
      </c>
      <c r="AB3893" s="36"/>
      <c r="AC3893" s="36"/>
      <c r="AD3893" s="36"/>
      <c r="AE3893" s="36"/>
      <c r="AF3893" s="36"/>
      <c r="AG3893" s="36"/>
      <c r="AH3893" s="36"/>
      <c r="AI3893" s="36"/>
      <c r="AJ3893" s="15">
        <f t="shared" si="341"/>
        <v>300</v>
      </c>
      <c r="AK3893" s="14"/>
      <c r="AL3893" s="14"/>
      <c r="AM3893" s="14"/>
      <c r="AN3893" s="14"/>
      <c r="AO3893" s="14"/>
      <c r="AP3893" s="14"/>
      <c r="AQ3893" s="14"/>
      <c r="AR3893" s="14"/>
      <c r="AS3893" s="14"/>
      <c r="AT3893" s="14"/>
      <c r="AU3893" s="14"/>
      <c r="AV3893" s="14"/>
      <c r="AW3893" s="15"/>
      <c r="AX3893" s="16"/>
    </row>
    <row r="3894" spans="2:50" x14ac:dyDescent="0.2">
      <c r="B3894" s="7"/>
      <c r="C3894" s="8">
        <v>14242</v>
      </c>
      <c r="D3894" s="9" t="s">
        <v>370</v>
      </c>
      <c r="E3894" s="10" t="str">
        <f t="shared" si="337"/>
        <v>Rancho Upácuaro No. 124</v>
      </c>
      <c r="F3894" s="10" t="str">
        <f t="shared" si="338"/>
        <v>Reyes Nicandro</v>
      </c>
      <c r="G3894" s="8">
        <v>7</v>
      </c>
      <c r="H3894" s="11">
        <v>100</v>
      </c>
      <c r="I3894" s="12">
        <v>42834</v>
      </c>
      <c r="J3894" s="35">
        <f t="shared" si="339"/>
        <v>0</v>
      </c>
      <c r="K3894" s="36"/>
      <c r="L3894" s="36"/>
      <c r="M3894" s="36"/>
      <c r="N3894" s="36"/>
      <c r="O3894" s="36"/>
      <c r="P3894" s="36"/>
      <c r="Q3894" s="36"/>
      <c r="R3894" s="36"/>
      <c r="S3894" s="36"/>
      <c r="T3894" s="36"/>
      <c r="U3894" s="36"/>
      <c r="V3894" s="36"/>
      <c r="W3894" s="15">
        <f t="shared" si="340"/>
        <v>0</v>
      </c>
      <c r="X3894" s="36"/>
      <c r="Y3894" s="36"/>
      <c r="Z3894" s="36"/>
      <c r="AA3894" s="36"/>
      <c r="AB3894" s="36"/>
      <c r="AC3894" s="36"/>
      <c r="AD3894" s="36"/>
      <c r="AE3894" s="36"/>
      <c r="AF3894" s="36"/>
      <c r="AG3894" s="36"/>
      <c r="AH3894" s="36"/>
      <c r="AI3894" s="36"/>
      <c r="AJ3894" s="15">
        <f t="shared" si="341"/>
        <v>0</v>
      </c>
      <c r="AK3894" s="14"/>
      <c r="AL3894" s="14"/>
      <c r="AM3894" s="14"/>
      <c r="AN3894" s="14"/>
      <c r="AO3894" s="14"/>
      <c r="AP3894" s="14"/>
      <c r="AQ3894" s="14"/>
      <c r="AR3894" s="14"/>
      <c r="AS3894" s="14"/>
      <c r="AT3894" s="14"/>
      <c r="AU3894" s="14"/>
      <c r="AV3894" s="14"/>
      <c r="AW3894" s="15"/>
      <c r="AX3894" s="16" t="s">
        <v>3858</v>
      </c>
    </row>
    <row r="3895" spans="2:50" x14ac:dyDescent="0.2">
      <c r="B3895" s="7"/>
      <c r="C3895" s="8">
        <v>14243</v>
      </c>
      <c r="D3895" s="9" t="s">
        <v>473</v>
      </c>
      <c r="E3895" s="10" t="str">
        <f t="shared" si="337"/>
        <v>Rancho Zinamba No. 14</v>
      </c>
      <c r="F3895" s="10" t="str">
        <f t="shared" si="338"/>
        <v>Gutiérrez García</v>
      </c>
      <c r="G3895" s="8">
        <v>1</v>
      </c>
      <c r="H3895" s="11">
        <v>800</v>
      </c>
      <c r="I3895" s="12">
        <v>42834</v>
      </c>
      <c r="J3895" s="35">
        <f t="shared" si="339"/>
        <v>0</v>
      </c>
      <c r="K3895" s="36"/>
      <c r="L3895" s="36"/>
      <c r="M3895" s="36"/>
      <c r="N3895" s="36"/>
      <c r="O3895" s="36"/>
      <c r="P3895" s="36"/>
      <c r="Q3895" s="36"/>
      <c r="R3895" s="36"/>
      <c r="S3895" s="36"/>
      <c r="T3895" s="36"/>
      <c r="U3895" s="36"/>
      <c r="V3895" s="36"/>
      <c r="W3895" s="15">
        <f t="shared" si="340"/>
        <v>0</v>
      </c>
      <c r="X3895" s="36"/>
      <c r="Y3895" s="36"/>
      <c r="Z3895" s="36">
        <v>400</v>
      </c>
      <c r="AA3895" s="36">
        <v>400</v>
      </c>
      <c r="AB3895" s="36"/>
      <c r="AC3895" s="36"/>
      <c r="AD3895" s="36"/>
      <c r="AE3895" s="36"/>
      <c r="AF3895" s="36"/>
      <c r="AG3895" s="36"/>
      <c r="AH3895" s="36"/>
      <c r="AI3895" s="36"/>
      <c r="AJ3895" s="15">
        <f t="shared" si="341"/>
        <v>800</v>
      </c>
      <c r="AK3895" s="14"/>
      <c r="AL3895" s="14"/>
      <c r="AM3895" s="14"/>
      <c r="AN3895" s="14"/>
      <c r="AO3895" s="14"/>
      <c r="AP3895" s="14"/>
      <c r="AQ3895" s="14"/>
      <c r="AR3895" s="14"/>
      <c r="AS3895" s="14"/>
      <c r="AT3895" s="14"/>
      <c r="AU3895" s="14"/>
      <c r="AV3895" s="14"/>
      <c r="AW3895" s="15"/>
      <c r="AX3895" s="16"/>
    </row>
    <row r="3896" spans="2:50" x14ac:dyDescent="0.2">
      <c r="B3896" s="7"/>
      <c r="C3896" s="8">
        <v>14244</v>
      </c>
      <c r="D3896" s="9" t="s">
        <v>1055</v>
      </c>
      <c r="E3896" s="10" t="str">
        <f t="shared" si="337"/>
        <v>Rancho Estanzuela No. 119, 4</v>
      </c>
      <c r="F3896" s="10" t="str">
        <f t="shared" si="338"/>
        <v>Pérez Martínez</v>
      </c>
      <c r="G3896" s="8">
        <v>1</v>
      </c>
      <c r="H3896" s="11">
        <v>400</v>
      </c>
      <c r="I3896" s="12">
        <v>42834</v>
      </c>
      <c r="J3896" s="35">
        <f t="shared" si="339"/>
        <v>0</v>
      </c>
      <c r="K3896" s="36"/>
      <c r="L3896" s="36"/>
      <c r="M3896" s="36"/>
      <c r="N3896" s="36"/>
      <c r="O3896" s="36"/>
      <c r="P3896" s="36"/>
      <c r="Q3896" s="36"/>
      <c r="R3896" s="36"/>
      <c r="S3896" s="36"/>
      <c r="T3896" s="36"/>
      <c r="U3896" s="36"/>
      <c r="V3896" s="36"/>
      <c r="W3896" s="15">
        <f t="shared" si="340"/>
        <v>0</v>
      </c>
      <c r="X3896" s="36"/>
      <c r="Y3896" s="36">
        <v>200</v>
      </c>
      <c r="Z3896" s="36">
        <v>200</v>
      </c>
      <c r="AA3896" s="36"/>
      <c r="AB3896" s="36"/>
      <c r="AC3896" s="36"/>
      <c r="AD3896" s="36"/>
      <c r="AE3896" s="36"/>
      <c r="AF3896" s="36"/>
      <c r="AG3896" s="36"/>
      <c r="AH3896" s="36"/>
      <c r="AI3896" s="36"/>
      <c r="AJ3896" s="15">
        <f t="shared" si="341"/>
        <v>400</v>
      </c>
      <c r="AK3896" s="14"/>
      <c r="AL3896" s="14"/>
      <c r="AM3896" s="14"/>
      <c r="AN3896" s="14"/>
      <c r="AO3896" s="14"/>
      <c r="AP3896" s="14"/>
      <c r="AQ3896" s="14"/>
      <c r="AR3896" s="14"/>
      <c r="AS3896" s="14"/>
      <c r="AT3896" s="14"/>
      <c r="AU3896" s="14"/>
      <c r="AV3896" s="14"/>
      <c r="AW3896" s="15"/>
      <c r="AX3896" s="16"/>
    </row>
    <row r="3897" spans="2:50" x14ac:dyDescent="0.2">
      <c r="B3897" s="7"/>
      <c r="C3897" s="8">
        <v>14245</v>
      </c>
      <c r="D3897" s="9" t="s">
        <v>431</v>
      </c>
      <c r="E3897" s="10" t="str">
        <f t="shared" si="337"/>
        <v>Rancho Landero No. 63</v>
      </c>
      <c r="F3897" s="10" t="str">
        <f t="shared" si="338"/>
        <v>Hernández Chávez</v>
      </c>
      <c r="G3897" s="8">
        <v>1</v>
      </c>
      <c r="H3897" s="11">
        <v>400</v>
      </c>
      <c r="I3897" s="12">
        <v>42834</v>
      </c>
      <c r="J3897" s="35">
        <f t="shared" si="339"/>
        <v>0</v>
      </c>
      <c r="K3897" s="36"/>
      <c r="L3897" s="36"/>
      <c r="M3897" s="36"/>
      <c r="N3897" s="36"/>
      <c r="O3897" s="36"/>
      <c r="P3897" s="36"/>
      <c r="Q3897" s="36"/>
      <c r="R3897" s="36"/>
      <c r="S3897" s="36"/>
      <c r="T3897" s="36"/>
      <c r="U3897" s="36"/>
      <c r="V3897" s="36"/>
      <c r="W3897" s="15">
        <f t="shared" si="340"/>
        <v>0</v>
      </c>
      <c r="X3897" s="36"/>
      <c r="Y3897" s="36"/>
      <c r="Z3897" s="36">
        <v>400</v>
      </c>
      <c r="AA3897" s="36"/>
      <c r="AB3897" s="36"/>
      <c r="AC3897" s="36"/>
      <c r="AD3897" s="36"/>
      <c r="AE3897" s="36"/>
      <c r="AF3897" s="36"/>
      <c r="AG3897" s="36"/>
      <c r="AH3897" s="36"/>
      <c r="AI3897" s="36"/>
      <c r="AJ3897" s="15">
        <f t="shared" si="341"/>
        <v>400</v>
      </c>
      <c r="AK3897" s="14"/>
      <c r="AL3897" s="14"/>
      <c r="AM3897" s="14"/>
      <c r="AN3897" s="14"/>
      <c r="AO3897" s="14"/>
      <c r="AP3897" s="14"/>
      <c r="AQ3897" s="14"/>
      <c r="AR3897" s="14"/>
      <c r="AS3897" s="14"/>
      <c r="AT3897" s="14"/>
      <c r="AU3897" s="14"/>
      <c r="AV3897" s="14"/>
      <c r="AW3897" s="15"/>
      <c r="AX3897" s="16"/>
    </row>
    <row r="3898" spans="2:50" x14ac:dyDescent="0.2">
      <c r="B3898" s="7"/>
      <c r="C3898" s="8">
        <v>14246</v>
      </c>
      <c r="D3898" s="9" t="s">
        <v>165</v>
      </c>
      <c r="E3898" s="10" t="str">
        <f t="shared" si="337"/>
        <v>Rancho Upácuaro No. 23</v>
      </c>
      <c r="F3898" s="10" t="str">
        <f t="shared" si="338"/>
        <v>Gutièrrez Muñòz</v>
      </c>
      <c r="G3898" s="8">
        <v>1</v>
      </c>
      <c r="H3898" s="11">
        <v>700</v>
      </c>
      <c r="I3898" s="12">
        <v>42834</v>
      </c>
      <c r="J3898" s="35">
        <f t="shared" si="339"/>
        <v>0</v>
      </c>
      <c r="K3898" s="36"/>
      <c r="L3898" s="36"/>
      <c r="M3898" s="36"/>
      <c r="N3898" s="36"/>
      <c r="O3898" s="36"/>
      <c r="P3898" s="36"/>
      <c r="Q3898" s="36"/>
      <c r="R3898" s="36"/>
      <c r="S3898" s="36"/>
      <c r="T3898" s="36"/>
      <c r="U3898" s="36"/>
      <c r="V3898" s="36"/>
      <c r="W3898" s="15">
        <f t="shared" si="340"/>
        <v>0</v>
      </c>
      <c r="X3898" s="36"/>
      <c r="Y3898" s="36"/>
      <c r="Z3898" s="36"/>
      <c r="AA3898" s="36">
        <v>350</v>
      </c>
      <c r="AB3898" s="36">
        <v>350</v>
      </c>
      <c r="AC3898" s="36"/>
      <c r="AD3898" s="36"/>
      <c r="AE3898" s="36"/>
      <c r="AF3898" s="36"/>
      <c r="AG3898" s="36"/>
      <c r="AH3898" s="36"/>
      <c r="AI3898" s="36"/>
      <c r="AJ3898" s="15">
        <f t="shared" si="341"/>
        <v>700</v>
      </c>
      <c r="AK3898" s="14"/>
      <c r="AL3898" s="14"/>
      <c r="AM3898" s="14"/>
      <c r="AN3898" s="14"/>
      <c r="AO3898" s="14"/>
      <c r="AP3898" s="14"/>
      <c r="AQ3898" s="14"/>
      <c r="AR3898" s="14"/>
      <c r="AS3898" s="14"/>
      <c r="AT3898" s="14"/>
      <c r="AU3898" s="14"/>
      <c r="AV3898" s="14"/>
      <c r="AW3898" s="15"/>
      <c r="AX3898" s="16"/>
    </row>
    <row r="3899" spans="2:50" x14ac:dyDescent="0.2">
      <c r="B3899" s="7"/>
      <c r="C3899" s="8">
        <v>14246</v>
      </c>
      <c r="D3899" s="9" t="s">
        <v>165</v>
      </c>
      <c r="E3899" s="10" t="str">
        <f t="shared" si="337"/>
        <v>Rancho Upácuaro No. 23</v>
      </c>
      <c r="F3899" s="10" t="str">
        <f t="shared" si="338"/>
        <v>Gutièrrez Muñòz</v>
      </c>
      <c r="G3899" s="8">
        <v>7</v>
      </c>
      <c r="H3899" s="11">
        <v>100</v>
      </c>
      <c r="I3899" s="12">
        <v>42834</v>
      </c>
      <c r="J3899" s="35">
        <f t="shared" si="339"/>
        <v>0</v>
      </c>
      <c r="K3899" s="36"/>
      <c r="L3899" s="36"/>
      <c r="M3899" s="36"/>
      <c r="N3899" s="36"/>
      <c r="O3899" s="36"/>
      <c r="P3899" s="36"/>
      <c r="Q3899" s="36"/>
      <c r="R3899" s="36"/>
      <c r="S3899" s="36"/>
      <c r="T3899" s="36"/>
      <c r="U3899" s="36"/>
      <c r="V3899" s="36"/>
      <c r="W3899" s="15">
        <f t="shared" si="340"/>
        <v>0</v>
      </c>
      <c r="X3899" s="36"/>
      <c r="Y3899" s="36"/>
      <c r="Z3899" s="36"/>
      <c r="AA3899" s="36"/>
      <c r="AB3899" s="36"/>
      <c r="AC3899" s="36"/>
      <c r="AD3899" s="36"/>
      <c r="AE3899" s="36"/>
      <c r="AF3899" s="36"/>
      <c r="AG3899" s="36"/>
      <c r="AH3899" s="36"/>
      <c r="AI3899" s="36"/>
      <c r="AJ3899" s="15">
        <f t="shared" si="341"/>
        <v>0</v>
      </c>
      <c r="AK3899" s="14"/>
      <c r="AL3899" s="14"/>
      <c r="AM3899" s="14"/>
      <c r="AN3899" s="14"/>
      <c r="AO3899" s="14"/>
      <c r="AP3899" s="14"/>
      <c r="AQ3899" s="14"/>
      <c r="AR3899" s="14"/>
      <c r="AS3899" s="14"/>
      <c r="AT3899" s="14"/>
      <c r="AU3899" s="14"/>
      <c r="AV3899" s="14"/>
      <c r="AW3899" s="15"/>
      <c r="AX3899" s="16" t="s">
        <v>3858</v>
      </c>
    </row>
    <row r="3900" spans="2:50" x14ac:dyDescent="0.2">
      <c r="B3900" s="7"/>
      <c r="C3900" s="8">
        <v>14247</v>
      </c>
      <c r="D3900" s="9" t="s">
        <v>328</v>
      </c>
      <c r="E3900" s="10" t="str">
        <f t="shared" si="337"/>
        <v>Rancho La Cuchilla No. 130</v>
      </c>
      <c r="F3900" s="10" t="str">
        <f t="shared" si="338"/>
        <v>Gonzalez</v>
      </c>
      <c r="G3900" s="8">
        <v>1</v>
      </c>
      <c r="H3900" s="11">
        <v>400</v>
      </c>
      <c r="I3900" s="12">
        <v>42834</v>
      </c>
      <c r="J3900" s="35">
        <f t="shared" si="339"/>
        <v>0</v>
      </c>
      <c r="K3900" s="36"/>
      <c r="L3900" s="36"/>
      <c r="M3900" s="36"/>
      <c r="N3900" s="36"/>
      <c r="O3900" s="36"/>
      <c r="P3900" s="36"/>
      <c r="Q3900" s="36"/>
      <c r="R3900" s="36"/>
      <c r="S3900" s="36"/>
      <c r="T3900" s="36"/>
      <c r="U3900" s="36"/>
      <c r="V3900" s="36"/>
      <c r="W3900" s="15">
        <f t="shared" si="340"/>
        <v>0</v>
      </c>
      <c r="X3900" s="36"/>
      <c r="Y3900" s="36"/>
      <c r="Z3900" s="36"/>
      <c r="AA3900" s="36">
        <v>400</v>
      </c>
      <c r="AB3900" s="36"/>
      <c r="AC3900" s="36"/>
      <c r="AD3900" s="36"/>
      <c r="AE3900" s="36"/>
      <c r="AF3900" s="36"/>
      <c r="AG3900" s="36"/>
      <c r="AH3900" s="36"/>
      <c r="AI3900" s="36"/>
      <c r="AJ3900" s="15">
        <f t="shared" si="341"/>
        <v>400</v>
      </c>
      <c r="AK3900" s="14"/>
      <c r="AL3900" s="14"/>
      <c r="AM3900" s="14"/>
      <c r="AN3900" s="14"/>
      <c r="AO3900" s="14"/>
      <c r="AP3900" s="14"/>
      <c r="AQ3900" s="14"/>
      <c r="AR3900" s="14"/>
      <c r="AS3900" s="14"/>
      <c r="AT3900" s="14"/>
      <c r="AU3900" s="14"/>
      <c r="AV3900" s="14"/>
      <c r="AW3900" s="15"/>
      <c r="AX3900" s="16"/>
    </row>
    <row r="3901" spans="2:50" x14ac:dyDescent="0.2">
      <c r="B3901" s="7"/>
      <c r="C3901" s="8">
        <v>14248</v>
      </c>
      <c r="D3901" s="9" t="s">
        <v>313</v>
      </c>
      <c r="E3901" s="10" t="str">
        <f t="shared" si="337"/>
        <v>Rancho La Cuchilla No. 87</v>
      </c>
      <c r="F3901" s="10" t="str">
        <f t="shared" si="338"/>
        <v>Villanueva S.</v>
      </c>
      <c r="G3901" s="8">
        <v>1</v>
      </c>
      <c r="H3901" s="11">
        <v>400</v>
      </c>
      <c r="I3901" s="12">
        <v>42834</v>
      </c>
      <c r="J3901" s="35">
        <f t="shared" si="339"/>
        <v>0</v>
      </c>
      <c r="K3901" s="36"/>
      <c r="L3901" s="36"/>
      <c r="M3901" s="36"/>
      <c r="N3901" s="36"/>
      <c r="O3901" s="36"/>
      <c r="P3901" s="36"/>
      <c r="Q3901" s="36"/>
      <c r="R3901" s="36"/>
      <c r="S3901" s="36"/>
      <c r="T3901" s="36"/>
      <c r="U3901" s="36"/>
      <c r="V3901" s="36"/>
      <c r="W3901" s="15">
        <f t="shared" si="340"/>
        <v>0</v>
      </c>
      <c r="X3901" s="36"/>
      <c r="Y3901" s="36"/>
      <c r="Z3901" s="36"/>
      <c r="AA3901" s="36">
        <v>400</v>
      </c>
      <c r="AB3901" s="36"/>
      <c r="AC3901" s="36"/>
      <c r="AD3901" s="36"/>
      <c r="AE3901" s="36"/>
      <c r="AF3901" s="36"/>
      <c r="AG3901" s="36"/>
      <c r="AH3901" s="36"/>
      <c r="AI3901" s="36"/>
      <c r="AJ3901" s="15">
        <f t="shared" si="341"/>
        <v>400</v>
      </c>
      <c r="AK3901" s="14"/>
      <c r="AL3901" s="14"/>
      <c r="AM3901" s="14"/>
      <c r="AN3901" s="14"/>
      <c r="AO3901" s="14"/>
      <c r="AP3901" s="14"/>
      <c r="AQ3901" s="14"/>
      <c r="AR3901" s="14"/>
      <c r="AS3901" s="14"/>
      <c r="AT3901" s="14"/>
      <c r="AU3901" s="14"/>
      <c r="AV3901" s="14"/>
      <c r="AW3901" s="15"/>
      <c r="AX3901" s="16"/>
    </row>
    <row r="3902" spans="2:50" x14ac:dyDescent="0.2">
      <c r="B3902" s="7"/>
      <c r="C3902" s="8">
        <v>14249</v>
      </c>
      <c r="D3902" s="9" t="s">
        <v>135</v>
      </c>
      <c r="E3902" s="10" t="str">
        <f t="shared" si="337"/>
        <v>Rancho Upácuaro No. 70</v>
      </c>
      <c r="F3902" s="10" t="str">
        <f t="shared" si="338"/>
        <v>Ramírez Tejeda</v>
      </c>
      <c r="G3902" s="8">
        <v>1</v>
      </c>
      <c r="H3902" s="11">
        <v>300</v>
      </c>
      <c r="I3902" s="12">
        <v>42834</v>
      </c>
      <c r="J3902" s="35">
        <f t="shared" si="339"/>
        <v>0</v>
      </c>
      <c r="K3902" s="36"/>
      <c r="L3902" s="36"/>
      <c r="M3902" s="36"/>
      <c r="N3902" s="36"/>
      <c r="O3902" s="36"/>
      <c r="P3902" s="36"/>
      <c r="Q3902" s="36"/>
      <c r="R3902" s="36"/>
      <c r="S3902" s="36"/>
      <c r="T3902" s="36"/>
      <c r="U3902" s="36"/>
      <c r="V3902" s="36"/>
      <c r="W3902" s="15">
        <f t="shared" si="340"/>
        <v>0</v>
      </c>
      <c r="X3902" s="36"/>
      <c r="Y3902" s="36"/>
      <c r="Z3902" s="36"/>
      <c r="AA3902" s="36">
        <v>300</v>
      </c>
      <c r="AB3902" s="36"/>
      <c r="AC3902" s="36"/>
      <c r="AD3902" s="36"/>
      <c r="AE3902" s="36"/>
      <c r="AF3902" s="36"/>
      <c r="AG3902" s="36"/>
      <c r="AH3902" s="36"/>
      <c r="AI3902" s="36"/>
      <c r="AJ3902" s="15">
        <f t="shared" si="341"/>
        <v>300</v>
      </c>
      <c r="AK3902" s="14"/>
      <c r="AL3902" s="14"/>
      <c r="AM3902" s="14"/>
      <c r="AN3902" s="14"/>
      <c r="AO3902" s="14"/>
      <c r="AP3902" s="14"/>
      <c r="AQ3902" s="14"/>
      <c r="AR3902" s="14"/>
      <c r="AS3902" s="14"/>
      <c r="AT3902" s="14"/>
      <c r="AU3902" s="14"/>
      <c r="AV3902" s="14"/>
      <c r="AW3902" s="15"/>
      <c r="AX3902" s="16"/>
    </row>
    <row r="3903" spans="2:50" x14ac:dyDescent="0.2">
      <c r="B3903" s="7"/>
      <c r="C3903" s="8">
        <v>14250</v>
      </c>
      <c r="D3903" s="9" t="s">
        <v>44</v>
      </c>
      <c r="E3903" s="10" t="str">
        <f t="shared" si="337"/>
        <v>Rancho Landero No. 14</v>
      </c>
      <c r="F3903" s="10" t="str">
        <f t="shared" si="338"/>
        <v xml:space="preserve">Castrejón  </v>
      </c>
      <c r="G3903" s="8">
        <v>4</v>
      </c>
      <c r="H3903" s="11">
        <v>400</v>
      </c>
      <c r="I3903" s="12">
        <v>42834</v>
      </c>
      <c r="J3903" s="35">
        <f t="shared" si="339"/>
        <v>0</v>
      </c>
      <c r="K3903" s="36"/>
      <c r="L3903" s="36"/>
      <c r="M3903" s="36"/>
      <c r="N3903" s="36"/>
      <c r="O3903" s="36"/>
      <c r="P3903" s="36"/>
      <c r="Q3903" s="36"/>
      <c r="R3903" s="36"/>
      <c r="S3903" s="36"/>
      <c r="T3903" s="36"/>
      <c r="U3903" s="36"/>
      <c r="V3903" s="36"/>
      <c r="W3903" s="15">
        <f t="shared" si="340"/>
        <v>0</v>
      </c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15">
        <f t="shared" si="341"/>
        <v>0</v>
      </c>
      <c r="AK3903" s="14"/>
      <c r="AL3903" s="14"/>
      <c r="AM3903" s="14"/>
      <c r="AN3903" s="14"/>
      <c r="AO3903" s="14"/>
      <c r="AP3903" s="14"/>
      <c r="AQ3903" s="14"/>
      <c r="AR3903" s="14"/>
      <c r="AS3903" s="14"/>
      <c r="AT3903" s="14"/>
      <c r="AU3903" s="14"/>
      <c r="AV3903" s="14"/>
      <c r="AW3903" s="15"/>
      <c r="AX3903" s="16" t="s">
        <v>3864</v>
      </c>
    </row>
    <row r="3904" spans="2:50" x14ac:dyDescent="0.2">
      <c r="B3904" s="7"/>
      <c r="C3904" s="8">
        <v>14251</v>
      </c>
      <c r="D3904" s="9" t="s">
        <v>669</v>
      </c>
      <c r="E3904" s="10" t="str">
        <f t="shared" si="337"/>
        <v>Rancho Landero No. 24</v>
      </c>
      <c r="F3904" s="10" t="str">
        <f t="shared" si="338"/>
        <v>Vázquez Peralta</v>
      </c>
      <c r="G3904" s="8">
        <v>1</v>
      </c>
      <c r="H3904" s="11">
        <v>400</v>
      </c>
      <c r="I3904" s="12">
        <v>42834</v>
      </c>
      <c r="J3904" s="35">
        <f t="shared" si="339"/>
        <v>0</v>
      </c>
      <c r="K3904" s="36"/>
      <c r="L3904" s="36"/>
      <c r="M3904" s="36"/>
      <c r="N3904" s="36"/>
      <c r="O3904" s="36"/>
      <c r="P3904" s="36"/>
      <c r="Q3904" s="36"/>
      <c r="R3904" s="36"/>
      <c r="S3904" s="36"/>
      <c r="T3904" s="36"/>
      <c r="U3904" s="36"/>
      <c r="V3904" s="36"/>
      <c r="W3904" s="15">
        <f t="shared" si="340"/>
        <v>0</v>
      </c>
      <c r="X3904" s="36"/>
      <c r="Y3904" s="36"/>
      <c r="Z3904" s="36">
        <v>400</v>
      </c>
      <c r="AA3904" s="36"/>
      <c r="AB3904" s="36"/>
      <c r="AC3904" s="36"/>
      <c r="AD3904" s="36"/>
      <c r="AE3904" s="36"/>
      <c r="AF3904" s="36"/>
      <c r="AG3904" s="36"/>
      <c r="AH3904" s="36"/>
      <c r="AI3904" s="36"/>
      <c r="AJ3904" s="15">
        <f t="shared" si="341"/>
        <v>400</v>
      </c>
      <c r="AK3904" s="14"/>
      <c r="AL3904" s="14"/>
      <c r="AM3904" s="14"/>
      <c r="AN3904" s="14"/>
      <c r="AO3904" s="14"/>
      <c r="AP3904" s="14"/>
      <c r="AQ3904" s="14"/>
      <c r="AR3904" s="14"/>
      <c r="AS3904" s="14"/>
      <c r="AT3904" s="14"/>
      <c r="AU3904" s="14"/>
      <c r="AV3904" s="14"/>
      <c r="AW3904" s="15"/>
      <c r="AX3904" s="16" t="s">
        <v>3865</v>
      </c>
    </row>
    <row r="3905" spans="2:50" x14ac:dyDescent="0.2">
      <c r="B3905" s="7"/>
      <c r="C3905" s="8">
        <v>14252</v>
      </c>
      <c r="D3905" s="9" t="s">
        <v>577</v>
      </c>
      <c r="E3905" s="10" t="str">
        <f t="shared" si="337"/>
        <v>Rancho La Cuchilla No. 46</v>
      </c>
      <c r="F3905" s="10" t="str">
        <f t="shared" si="338"/>
        <v>Cruz López</v>
      </c>
      <c r="G3905" s="8">
        <v>1</v>
      </c>
      <c r="H3905" s="11">
        <v>1200</v>
      </c>
      <c r="I3905" s="12">
        <v>42834</v>
      </c>
      <c r="J3905" s="35">
        <f t="shared" si="339"/>
        <v>0</v>
      </c>
      <c r="K3905" s="36"/>
      <c r="L3905" s="36"/>
      <c r="M3905" s="36"/>
      <c r="N3905" s="36"/>
      <c r="O3905" s="36"/>
      <c r="P3905" s="36"/>
      <c r="Q3905" s="36"/>
      <c r="R3905" s="36"/>
      <c r="S3905" s="36"/>
      <c r="T3905" s="36"/>
      <c r="U3905" s="36"/>
      <c r="V3905" s="36"/>
      <c r="W3905" s="15">
        <f t="shared" si="340"/>
        <v>0</v>
      </c>
      <c r="X3905" s="36"/>
      <c r="Y3905" s="36"/>
      <c r="Z3905" s="36"/>
      <c r="AA3905" s="36">
        <v>400</v>
      </c>
      <c r="AB3905" s="36">
        <v>400</v>
      </c>
      <c r="AC3905" s="36">
        <v>400</v>
      </c>
      <c r="AD3905" s="36"/>
      <c r="AE3905" s="36"/>
      <c r="AF3905" s="36"/>
      <c r="AG3905" s="36"/>
      <c r="AH3905" s="36"/>
      <c r="AI3905" s="36"/>
      <c r="AJ3905" s="15">
        <f t="shared" si="341"/>
        <v>1200</v>
      </c>
      <c r="AK3905" s="14"/>
      <c r="AL3905" s="14"/>
      <c r="AM3905" s="14"/>
      <c r="AN3905" s="14"/>
      <c r="AO3905" s="14"/>
      <c r="AP3905" s="14"/>
      <c r="AQ3905" s="14"/>
      <c r="AR3905" s="14"/>
      <c r="AS3905" s="14"/>
      <c r="AT3905" s="14"/>
      <c r="AU3905" s="14"/>
      <c r="AV3905" s="14"/>
      <c r="AW3905" s="15"/>
      <c r="AX3905" s="16"/>
    </row>
    <row r="3906" spans="2:50" x14ac:dyDescent="0.2">
      <c r="B3906" s="7"/>
      <c r="C3906" s="8">
        <v>14252</v>
      </c>
      <c r="D3906" s="9" t="s">
        <v>577</v>
      </c>
      <c r="E3906" s="10" t="str">
        <f t="shared" si="337"/>
        <v>Rancho La Cuchilla No. 46</v>
      </c>
      <c r="F3906" s="10" t="str">
        <f t="shared" si="338"/>
        <v>Cruz López</v>
      </c>
      <c r="G3906" s="8">
        <v>7</v>
      </c>
      <c r="H3906" s="11">
        <v>100</v>
      </c>
      <c r="I3906" s="12">
        <v>42834</v>
      </c>
      <c r="J3906" s="35">
        <f t="shared" si="339"/>
        <v>0</v>
      </c>
      <c r="K3906" s="36"/>
      <c r="L3906" s="36"/>
      <c r="M3906" s="36"/>
      <c r="N3906" s="36"/>
      <c r="O3906" s="36"/>
      <c r="P3906" s="36"/>
      <c r="Q3906" s="36"/>
      <c r="R3906" s="36"/>
      <c r="S3906" s="36"/>
      <c r="T3906" s="36"/>
      <c r="U3906" s="36"/>
      <c r="V3906" s="36"/>
      <c r="W3906" s="15">
        <f t="shared" si="340"/>
        <v>0</v>
      </c>
      <c r="X3906" s="36"/>
      <c r="Y3906" s="36"/>
      <c r="Z3906" s="36"/>
      <c r="AA3906" s="36"/>
      <c r="AB3906" s="36"/>
      <c r="AC3906" s="36"/>
      <c r="AD3906" s="36"/>
      <c r="AE3906" s="36"/>
      <c r="AF3906" s="36"/>
      <c r="AG3906" s="36"/>
      <c r="AH3906" s="36"/>
      <c r="AI3906" s="36"/>
      <c r="AJ3906" s="15">
        <f t="shared" si="341"/>
        <v>0</v>
      </c>
      <c r="AK3906" s="14"/>
      <c r="AL3906" s="14"/>
      <c r="AM3906" s="14"/>
      <c r="AN3906" s="14"/>
      <c r="AO3906" s="14"/>
      <c r="AP3906" s="14"/>
      <c r="AQ3906" s="14"/>
      <c r="AR3906" s="14"/>
      <c r="AS3906" s="14"/>
      <c r="AT3906" s="14"/>
      <c r="AU3906" s="14"/>
      <c r="AV3906" s="14"/>
      <c r="AW3906" s="15"/>
      <c r="AX3906" s="16" t="s">
        <v>3858</v>
      </c>
    </row>
    <row r="3907" spans="2:50" x14ac:dyDescent="0.2">
      <c r="B3907" s="7"/>
      <c r="C3907" s="8">
        <v>14253</v>
      </c>
      <c r="D3907" s="9" t="s">
        <v>425</v>
      </c>
      <c r="E3907" s="10" t="str">
        <f t="shared" si="337"/>
        <v>Rancho La Cuchilla No. 120</v>
      </c>
      <c r="F3907" s="10" t="str">
        <f t="shared" si="338"/>
        <v>Pozos Vilchis</v>
      </c>
      <c r="G3907" s="8">
        <v>1</v>
      </c>
      <c r="H3907" s="11">
        <v>400</v>
      </c>
      <c r="I3907" s="12">
        <v>42834</v>
      </c>
      <c r="J3907" s="35">
        <f t="shared" si="339"/>
        <v>0</v>
      </c>
      <c r="K3907" s="36"/>
      <c r="L3907" s="36"/>
      <c r="M3907" s="36"/>
      <c r="N3907" s="36"/>
      <c r="O3907" s="36"/>
      <c r="P3907" s="36"/>
      <c r="Q3907" s="36"/>
      <c r="R3907" s="36"/>
      <c r="S3907" s="36"/>
      <c r="T3907" s="36"/>
      <c r="U3907" s="36"/>
      <c r="V3907" s="36"/>
      <c r="W3907" s="15">
        <f t="shared" si="340"/>
        <v>0</v>
      </c>
      <c r="X3907" s="36"/>
      <c r="Y3907" s="36"/>
      <c r="Z3907" s="36"/>
      <c r="AA3907" s="36">
        <v>400</v>
      </c>
      <c r="AB3907" s="36"/>
      <c r="AC3907" s="36"/>
      <c r="AD3907" s="36"/>
      <c r="AE3907" s="36"/>
      <c r="AF3907" s="36"/>
      <c r="AG3907" s="36"/>
      <c r="AH3907" s="36"/>
      <c r="AI3907" s="36"/>
      <c r="AJ3907" s="15">
        <f t="shared" si="341"/>
        <v>400</v>
      </c>
      <c r="AK3907" s="14"/>
      <c r="AL3907" s="14"/>
      <c r="AM3907" s="14"/>
      <c r="AN3907" s="14"/>
      <c r="AO3907" s="14"/>
      <c r="AP3907" s="14"/>
      <c r="AQ3907" s="14"/>
      <c r="AR3907" s="14"/>
      <c r="AS3907" s="14"/>
      <c r="AT3907" s="14"/>
      <c r="AU3907" s="14"/>
      <c r="AV3907" s="14"/>
      <c r="AW3907" s="15"/>
      <c r="AX3907" s="16"/>
    </row>
    <row r="3908" spans="2:50" x14ac:dyDescent="0.2">
      <c r="B3908" s="7"/>
      <c r="C3908" s="8">
        <v>14254</v>
      </c>
      <c r="D3908" s="9" t="s">
        <v>696</v>
      </c>
      <c r="E3908" s="10" t="str">
        <f t="shared" si="337"/>
        <v>Rancho Upácuaro No. 64</v>
      </c>
      <c r="F3908" s="10" t="str">
        <f t="shared" si="338"/>
        <v>Méndez Oliva</v>
      </c>
      <c r="G3908" s="8">
        <v>1</v>
      </c>
      <c r="H3908" s="11">
        <v>300</v>
      </c>
      <c r="I3908" s="12">
        <v>42834</v>
      </c>
      <c r="J3908" s="35">
        <f t="shared" si="339"/>
        <v>0</v>
      </c>
      <c r="K3908" s="36"/>
      <c r="L3908" s="36"/>
      <c r="M3908" s="36"/>
      <c r="N3908" s="36"/>
      <c r="O3908" s="36"/>
      <c r="P3908" s="36"/>
      <c r="Q3908" s="36"/>
      <c r="R3908" s="36"/>
      <c r="S3908" s="36"/>
      <c r="T3908" s="36"/>
      <c r="U3908" s="36"/>
      <c r="V3908" s="36"/>
      <c r="W3908" s="15">
        <f t="shared" si="340"/>
        <v>0</v>
      </c>
      <c r="X3908" s="36"/>
      <c r="Y3908" s="36"/>
      <c r="Z3908" s="36"/>
      <c r="AA3908" s="36">
        <v>300</v>
      </c>
      <c r="AB3908" s="36"/>
      <c r="AC3908" s="36"/>
      <c r="AD3908" s="36"/>
      <c r="AE3908" s="36"/>
      <c r="AF3908" s="36"/>
      <c r="AG3908" s="36"/>
      <c r="AH3908" s="36"/>
      <c r="AI3908" s="36"/>
      <c r="AJ3908" s="15">
        <f t="shared" si="341"/>
        <v>300</v>
      </c>
      <c r="AK3908" s="14"/>
      <c r="AL3908" s="14"/>
      <c r="AM3908" s="14"/>
      <c r="AN3908" s="14"/>
      <c r="AO3908" s="14"/>
      <c r="AP3908" s="14"/>
      <c r="AQ3908" s="14"/>
      <c r="AR3908" s="14"/>
      <c r="AS3908" s="14"/>
      <c r="AT3908" s="14"/>
      <c r="AU3908" s="14"/>
      <c r="AV3908" s="14"/>
      <c r="AW3908" s="15"/>
      <c r="AX3908" s="373">
        <f>SUM(H3841:H3908)</f>
        <v>25079</v>
      </c>
    </row>
    <row r="3909" spans="2:50" x14ac:dyDescent="0.2">
      <c r="B3909" s="7"/>
      <c r="C3909" s="8">
        <v>14255</v>
      </c>
      <c r="D3909" s="9" t="s">
        <v>202</v>
      </c>
      <c r="E3909" s="10" t="str">
        <f t="shared" ref="E3909:E3924" si="342">IF(D3909=0,"",VLOOKUP(D3909,BASE,2,FALSE))</f>
        <v>Rancho Estanzuela No. 25</v>
      </c>
      <c r="F3909" s="10" t="str">
        <f t="shared" ref="F3909:F3924" si="343">IF(D3909=0,"",VLOOKUP(D3909,BASE,3,FALSE))</f>
        <v>Contreras Figueroa</v>
      </c>
      <c r="G3909" s="8">
        <v>1</v>
      </c>
      <c r="H3909" s="315">
        <v>400</v>
      </c>
      <c r="I3909" s="12">
        <v>39182</v>
      </c>
      <c r="J3909" s="35">
        <f t="shared" si="339"/>
        <v>0</v>
      </c>
      <c r="K3909" s="36"/>
      <c r="L3909" s="36"/>
      <c r="M3909" s="36"/>
      <c r="N3909" s="36"/>
      <c r="O3909" s="36"/>
      <c r="P3909" s="36"/>
      <c r="Q3909" s="36"/>
      <c r="R3909" s="36"/>
      <c r="S3909" s="36"/>
      <c r="T3909" s="36"/>
      <c r="U3909" s="36"/>
      <c r="V3909" s="36"/>
      <c r="W3909" s="15">
        <f t="shared" si="340"/>
        <v>0</v>
      </c>
      <c r="X3909" s="36"/>
      <c r="Y3909" s="36"/>
      <c r="Z3909" s="36"/>
      <c r="AA3909" s="36">
        <v>400</v>
      </c>
      <c r="AB3909" s="36"/>
      <c r="AC3909" s="36"/>
      <c r="AD3909" s="36"/>
      <c r="AE3909" s="36"/>
      <c r="AF3909" s="36"/>
      <c r="AG3909" s="36"/>
      <c r="AH3909" s="36"/>
      <c r="AI3909" s="36"/>
      <c r="AJ3909" s="15">
        <f t="shared" si="341"/>
        <v>400</v>
      </c>
      <c r="AK3909" s="14"/>
      <c r="AL3909" s="14"/>
      <c r="AM3909" s="14"/>
      <c r="AN3909" s="14"/>
      <c r="AO3909" s="14"/>
      <c r="AP3909" s="14"/>
      <c r="AQ3909" s="14"/>
      <c r="AR3909" s="14"/>
      <c r="AS3909" s="14"/>
      <c r="AT3909" s="14"/>
      <c r="AU3909" s="14"/>
      <c r="AV3909" s="14"/>
      <c r="AW3909" s="15"/>
      <c r="AX3909" s="16"/>
    </row>
    <row r="3910" spans="2:50" x14ac:dyDescent="0.2">
      <c r="B3910" s="7"/>
      <c r="C3910" s="8">
        <v>14256</v>
      </c>
      <c r="D3910" s="9" t="s">
        <v>373</v>
      </c>
      <c r="E3910" s="10" t="str">
        <f t="shared" si="342"/>
        <v>Rancho Upácuaro No. 118</v>
      </c>
      <c r="F3910" s="10" t="str">
        <f t="shared" si="343"/>
        <v>Siegrist</v>
      </c>
      <c r="G3910" s="8">
        <v>1</v>
      </c>
      <c r="H3910" s="11">
        <v>400</v>
      </c>
      <c r="I3910" s="12">
        <v>42836</v>
      </c>
      <c r="J3910" s="35">
        <f t="shared" si="339"/>
        <v>0</v>
      </c>
      <c r="K3910" s="36"/>
      <c r="L3910" s="36"/>
      <c r="M3910" s="36"/>
      <c r="N3910" s="36"/>
      <c r="O3910" s="36"/>
      <c r="P3910" s="36"/>
      <c r="Q3910" s="36"/>
      <c r="R3910" s="36"/>
      <c r="S3910" s="36"/>
      <c r="T3910" s="36"/>
      <c r="U3910" s="36"/>
      <c r="V3910" s="36">
        <v>400</v>
      </c>
      <c r="W3910" s="15">
        <f t="shared" si="340"/>
        <v>400</v>
      </c>
      <c r="X3910" s="36"/>
      <c r="Y3910" s="36"/>
      <c r="Z3910" s="36"/>
      <c r="AA3910" s="36"/>
      <c r="AB3910" s="36"/>
      <c r="AC3910" s="36"/>
      <c r="AD3910" s="36"/>
      <c r="AE3910" s="36"/>
      <c r="AF3910" s="36"/>
      <c r="AG3910" s="36"/>
      <c r="AH3910" s="36"/>
      <c r="AI3910" s="36"/>
      <c r="AJ3910" s="15">
        <f t="shared" si="341"/>
        <v>0</v>
      </c>
      <c r="AK3910" s="14"/>
      <c r="AL3910" s="14"/>
      <c r="AM3910" s="14"/>
      <c r="AN3910" s="14"/>
      <c r="AO3910" s="14"/>
      <c r="AP3910" s="14"/>
      <c r="AQ3910" s="14"/>
      <c r="AR3910" s="14"/>
      <c r="AS3910" s="14"/>
      <c r="AT3910" s="14"/>
      <c r="AU3910" s="14"/>
      <c r="AV3910" s="14"/>
      <c r="AW3910" s="15"/>
      <c r="AX3910" s="16"/>
    </row>
    <row r="3911" spans="2:50" x14ac:dyDescent="0.2">
      <c r="B3911" s="7"/>
      <c r="C3911" s="8">
        <v>14257</v>
      </c>
      <c r="D3911" s="9" t="s">
        <v>373</v>
      </c>
      <c r="E3911" s="10" t="str">
        <f t="shared" si="342"/>
        <v>Rancho Upácuaro No. 118</v>
      </c>
      <c r="F3911" s="10" t="str">
        <f t="shared" si="343"/>
        <v>Siegrist</v>
      </c>
      <c r="G3911" s="8">
        <v>1</v>
      </c>
      <c r="H3911" s="11">
        <v>400</v>
      </c>
      <c r="I3911" s="12">
        <v>42836</v>
      </c>
      <c r="J3911" s="35">
        <f t="shared" si="339"/>
        <v>0</v>
      </c>
      <c r="K3911" s="36"/>
      <c r="L3911" s="36"/>
      <c r="M3911" s="36"/>
      <c r="N3911" s="36"/>
      <c r="O3911" s="36"/>
      <c r="P3911" s="36"/>
      <c r="Q3911" s="36"/>
      <c r="R3911" s="36"/>
      <c r="S3911" s="36"/>
      <c r="T3911" s="36"/>
      <c r="U3911" s="36"/>
      <c r="V3911" s="36"/>
      <c r="W3911" s="15">
        <f t="shared" si="340"/>
        <v>0</v>
      </c>
      <c r="X3911" s="36"/>
      <c r="Y3911" s="36"/>
      <c r="Z3911" s="36"/>
      <c r="AA3911" s="36">
        <v>400</v>
      </c>
      <c r="AB3911" s="36"/>
      <c r="AC3911" s="36"/>
      <c r="AD3911" s="36"/>
      <c r="AE3911" s="36"/>
      <c r="AF3911" s="36"/>
      <c r="AG3911" s="36"/>
      <c r="AH3911" s="36"/>
      <c r="AI3911" s="36"/>
      <c r="AJ3911" s="15">
        <f t="shared" si="341"/>
        <v>400</v>
      </c>
      <c r="AK3911" s="14"/>
      <c r="AL3911" s="14"/>
      <c r="AM3911" s="14"/>
      <c r="AN3911" s="14"/>
      <c r="AO3911" s="14"/>
      <c r="AP3911" s="14"/>
      <c r="AQ3911" s="14"/>
      <c r="AR3911" s="14"/>
      <c r="AS3911" s="14"/>
      <c r="AT3911" s="14"/>
      <c r="AU3911" s="14"/>
      <c r="AV3911" s="14"/>
      <c r="AW3911" s="15"/>
      <c r="AX3911" s="16"/>
    </row>
    <row r="3912" spans="2:50" x14ac:dyDescent="0.2">
      <c r="B3912" s="7"/>
      <c r="C3912" s="8">
        <v>14258</v>
      </c>
      <c r="D3912" s="9" t="s">
        <v>322</v>
      </c>
      <c r="E3912" s="10" t="str">
        <f t="shared" si="342"/>
        <v>Rancho Zinamba No. 8</v>
      </c>
      <c r="F3912" s="10" t="str">
        <f t="shared" si="343"/>
        <v>Florido</v>
      </c>
      <c r="G3912" s="8">
        <v>4</v>
      </c>
      <c r="H3912" s="11">
        <v>200</v>
      </c>
      <c r="I3912" s="12">
        <v>42836</v>
      </c>
      <c r="J3912" s="35">
        <f t="shared" si="339"/>
        <v>0</v>
      </c>
      <c r="K3912" s="36"/>
      <c r="L3912" s="36"/>
      <c r="M3912" s="36"/>
      <c r="N3912" s="36"/>
      <c r="O3912" s="36"/>
      <c r="P3912" s="36"/>
      <c r="Q3912" s="36"/>
      <c r="R3912" s="36"/>
      <c r="S3912" s="36"/>
      <c r="T3912" s="36"/>
      <c r="U3912" s="36"/>
      <c r="V3912" s="36"/>
      <c r="W3912" s="15">
        <f t="shared" si="340"/>
        <v>0</v>
      </c>
      <c r="X3912" s="36"/>
      <c r="Y3912" s="36"/>
      <c r="Z3912" s="36"/>
      <c r="AA3912" s="36"/>
      <c r="AB3912" s="36"/>
      <c r="AC3912" s="36"/>
      <c r="AD3912" s="36"/>
      <c r="AE3912" s="36"/>
      <c r="AF3912" s="36"/>
      <c r="AG3912" s="36"/>
      <c r="AH3912" s="36"/>
      <c r="AI3912" s="36"/>
      <c r="AJ3912" s="15">
        <f t="shared" si="341"/>
        <v>0</v>
      </c>
      <c r="AK3912" s="14"/>
      <c r="AL3912" s="14"/>
      <c r="AM3912" s="14"/>
      <c r="AN3912" s="14"/>
      <c r="AO3912" s="14"/>
      <c r="AP3912" s="14"/>
      <c r="AQ3912" s="14"/>
      <c r="AR3912" s="14"/>
      <c r="AS3912" s="14"/>
      <c r="AT3912" s="14"/>
      <c r="AU3912" s="14"/>
      <c r="AV3912" s="14"/>
      <c r="AW3912" s="15"/>
      <c r="AX3912" s="16" t="s">
        <v>3867</v>
      </c>
    </row>
    <row r="3913" spans="2:50" x14ac:dyDescent="0.2">
      <c r="B3913" s="7"/>
      <c r="C3913" s="8">
        <v>14259</v>
      </c>
      <c r="D3913" s="9" t="s">
        <v>322</v>
      </c>
      <c r="E3913" s="10" t="str">
        <f t="shared" si="342"/>
        <v>Rancho Zinamba No. 8</v>
      </c>
      <c r="F3913" s="10" t="str">
        <f t="shared" si="343"/>
        <v>Florido</v>
      </c>
      <c r="G3913" s="8">
        <v>1</v>
      </c>
      <c r="H3913" s="11">
        <v>400</v>
      </c>
      <c r="I3913" s="12">
        <v>42836</v>
      </c>
      <c r="J3913" s="35">
        <f t="shared" si="339"/>
        <v>0</v>
      </c>
      <c r="K3913" s="36"/>
      <c r="L3913" s="36"/>
      <c r="M3913" s="36"/>
      <c r="N3913" s="36"/>
      <c r="O3913" s="36"/>
      <c r="P3913" s="36"/>
      <c r="Q3913" s="36"/>
      <c r="R3913" s="36"/>
      <c r="S3913" s="36"/>
      <c r="T3913" s="36"/>
      <c r="U3913" s="36"/>
      <c r="V3913" s="36"/>
      <c r="W3913" s="15">
        <f t="shared" si="340"/>
        <v>0</v>
      </c>
      <c r="X3913" s="36"/>
      <c r="Y3913" s="36"/>
      <c r="Z3913" s="36">
        <v>400</v>
      </c>
      <c r="AA3913" s="36"/>
      <c r="AB3913" s="36"/>
      <c r="AC3913" s="36"/>
      <c r="AD3913" s="36"/>
      <c r="AE3913" s="36"/>
      <c r="AF3913" s="36"/>
      <c r="AG3913" s="36"/>
      <c r="AH3913" s="36"/>
      <c r="AI3913" s="36"/>
      <c r="AJ3913" s="15">
        <f t="shared" si="341"/>
        <v>400</v>
      </c>
      <c r="AK3913" s="14"/>
      <c r="AL3913" s="14"/>
      <c r="AM3913" s="14"/>
      <c r="AN3913" s="14"/>
      <c r="AO3913" s="14"/>
      <c r="AP3913" s="14"/>
      <c r="AQ3913" s="14"/>
      <c r="AR3913" s="14"/>
      <c r="AS3913" s="14"/>
      <c r="AT3913" s="14"/>
      <c r="AU3913" s="14"/>
      <c r="AV3913" s="14"/>
      <c r="AW3913" s="15"/>
      <c r="AX3913" s="16"/>
    </row>
    <row r="3914" spans="2:50" x14ac:dyDescent="0.2">
      <c r="B3914" s="7"/>
      <c r="C3914" s="8">
        <v>14260</v>
      </c>
      <c r="D3914" s="9" t="s">
        <v>494</v>
      </c>
      <c r="E3914" s="10" t="str">
        <f t="shared" si="342"/>
        <v>Rancho Landero No. 2, B</v>
      </c>
      <c r="F3914" s="10" t="str">
        <f t="shared" si="343"/>
        <v>Pack Mail</v>
      </c>
      <c r="G3914" s="8">
        <v>1</v>
      </c>
      <c r="H3914" s="11">
        <v>600</v>
      </c>
      <c r="I3914" s="12">
        <v>42837</v>
      </c>
      <c r="J3914" s="35">
        <f t="shared" si="339"/>
        <v>0</v>
      </c>
      <c r="K3914" s="36"/>
      <c r="L3914" s="36"/>
      <c r="M3914" s="36"/>
      <c r="N3914" s="36"/>
      <c r="O3914" s="36"/>
      <c r="P3914" s="36"/>
      <c r="Q3914" s="36"/>
      <c r="R3914" s="36"/>
      <c r="S3914" s="36"/>
      <c r="T3914" s="36"/>
      <c r="U3914" s="36"/>
      <c r="V3914" s="36"/>
      <c r="W3914" s="15">
        <f t="shared" si="340"/>
        <v>0</v>
      </c>
      <c r="X3914" s="36">
        <v>150</v>
      </c>
      <c r="Y3914" s="36">
        <v>150</v>
      </c>
      <c r="Z3914" s="36">
        <v>150</v>
      </c>
      <c r="AA3914" s="36">
        <v>150</v>
      </c>
      <c r="AB3914" s="36"/>
      <c r="AC3914" s="36"/>
      <c r="AD3914" s="36"/>
      <c r="AE3914" s="36"/>
      <c r="AF3914" s="36"/>
      <c r="AG3914" s="36"/>
      <c r="AH3914" s="36"/>
      <c r="AI3914" s="36"/>
      <c r="AJ3914" s="15">
        <f t="shared" si="341"/>
        <v>600</v>
      </c>
      <c r="AK3914" s="14"/>
      <c r="AL3914" s="14"/>
      <c r="AM3914" s="14"/>
      <c r="AN3914" s="14"/>
      <c r="AO3914" s="14"/>
      <c r="AP3914" s="14"/>
      <c r="AQ3914" s="14"/>
      <c r="AR3914" s="14"/>
      <c r="AS3914" s="14"/>
      <c r="AT3914" s="14"/>
      <c r="AU3914" s="14"/>
      <c r="AV3914" s="14"/>
      <c r="AW3914" s="15"/>
      <c r="AX3914" s="16"/>
    </row>
    <row r="3915" spans="2:50" x14ac:dyDescent="0.2">
      <c r="B3915" s="7"/>
      <c r="C3915" s="8">
        <v>14261</v>
      </c>
      <c r="D3915" s="9" t="s">
        <v>358</v>
      </c>
      <c r="E3915" s="10" t="str">
        <f t="shared" si="342"/>
        <v>Rancho Landero No. 2, 4</v>
      </c>
      <c r="F3915" s="10" t="str">
        <f t="shared" si="343"/>
        <v>Astudillo Ramírez</v>
      </c>
      <c r="G3915" s="8">
        <v>1</v>
      </c>
      <c r="H3915" s="11">
        <v>450</v>
      </c>
      <c r="I3915" s="12">
        <v>42841</v>
      </c>
      <c r="J3915" s="35">
        <f t="shared" si="339"/>
        <v>0</v>
      </c>
      <c r="K3915" s="36"/>
      <c r="L3915" s="36"/>
      <c r="M3915" s="36"/>
      <c r="N3915" s="36"/>
      <c r="O3915" s="36"/>
      <c r="P3915" s="36"/>
      <c r="Q3915" s="36"/>
      <c r="R3915" s="36"/>
      <c r="S3915" s="36"/>
      <c r="T3915" s="36"/>
      <c r="U3915" s="36"/>
      <c r="V3915" s="36"/>
      <c r="W3915" s="15">
        <f t="shared" si="340"/>
        <v>0</v>
      </c>
      <c r="X3915" s="36">
        <v>150</v>
      </c>
      <c r="Y3915" s="36">
        <v>150</v>
      </c>
      <c r="Z3915" s="36">
        <v>150</v>
      </c>
      <c r="AA3915" s="36"/>
      <c r="AB3915" s="36"/>
      <c r="AC3915" s="36"/>
      <c r="AD3915" s="36"/>
      <c r="AE3915" s="36"/>
      <c r="AF3915" s="36"/>
      <c r="AG3915" s="36"/>
      <c r="AH3915" s="36"/>
      <c r="AI3915" s="36"/>
      <c r="AJ3915" s="15">
        <f t="shared" si="341"/>
        <v>450</v>
      </c>
      <c r="AK3915" s="14"/>
      <c r="AL3915" s="14"/>
      <c r="AM3915" s="14"/>
      <c r="AN3915" s="14"/>
      <c r="AO3915" s="14"/>
      <c r="AP3915" s="14"/>
      <c r="AQ3915" s="14"/>
      <c r="AR3915" s="14"/>
      <c r="AS3915" s="14"/>
      <c r="AT3915" s="14"/>
      <c r="AU3915" s="14"/>
      <c r="AV3915" s="14"/>
      <c r="AW3915" s="15"/>
      <c r="AX3915" s="16"/>
    </row>
    <row r="3916" spans="2:50" x14ac:dyDescent="0.2">
      <c r="B3916" s="7"/>
      <c r="C3916" s="8">
        <v>14261</v>
      </c>
      <c r="D3916" s="9" t="s">
        <v>358</v>
      </c>
      <c r="E3916" s="10" t="str">
        <f t="shared" si="342"/>
        <v>Rancho Landero No. 2, 4</v>
      </c>
      <c r="F3916" s="10" t="str">
        <f t="shared" si="343"/>
        <v>Astudillo Ramírez</v>
      </c>
      <c r="G3916" s="8">
        <v>3</v>
      </c>
      <c r="H3916" s="11">
        <v>200</v>
      </c>
      <c r="I3916" s="12">
        <v>42841</v>
      </c>
      <c r="J3916" s="35">
        <f t="shared" si="339"/>
        <v>0</v>
      </c>
      <c r="K3916" s="36"/>
      <c r="L3916" s="36"/>
      <c r="M3916" s="36"/>
      <c r="N3916" s="36"/>
      <c r="O3916" s="36"/>
      <c r="P3916" s="36"/>
      <c r="Q3916" s="36"/>
      <c r="R3916" s="36"/>
      <c r="S3916" s="36"/>
      <c r="T3916" s="36"/>
      <c r="U3916" s="36"/>
      <c r="V3916" s="36"/>
      <c r="W3916" s="15">
        <f t="shared" si="340"/>
        <v>0</v>
      </c>
      <c r="X3916" s="36"/>
      <c r="Y3916" s="36"/>
      <c r="Z3916" s="36"/>
      <c r="AA3916" s="36"/>
      <c r="AB3916" s="36"/>
      <c r="AC3916" s="36"/>
      <c r="AD3916" s="36"/>
      <c r="AE3916" s="36"/>
      <c r="AF3916" s="36"/>
      <c r="AG3916" s="36"/>
      <c r="AH3916" s="36"/>
      <c r="AI3916" s="36"/>
      <c r="AJ3916" s="15">
        <f t="shared" si="341"/>
        <v>0</v>
      </c>
      <c r="AK3916" s="14"/>
      <c r="AL3916" s="14"/>
      <c r="AM3916" s="14"/>
      <c r="AN3916" s="14"/>
      <c r="AO3916" s="14"/>
      <c r="AP3916" s="14"/>
      <c r="AQ3916" s="14"/>
      <c r="AR3916" s="14"/>
      <c r="AS3916" s="14"/>
      <c r="AT3916" s="14"/>
      <c r="AU3916" s="14"/>
      <c r="AV3916" s="14"/>
      <c r="AW3916" s="15"/>
      <c r="AX3916" s="16"/>
    </row>
    <row r="3917" spans="2:50" x14ac:dyDescent="0.2">
      <c r="B3917" s="7"/>
      <c r="C3917" s="8">
        <v>14262</v>
      </c>
      <c r="D3917" s="9" t="s">
        <v>358</v>
      </c>
      <c r="E3917" s="10" t="str">
        <f t="shared" si="342"/>
        <v>Rancho Landero No. 2, 4</v>
      </c>
      <c r="F3917" s="10" t="str">
        <f t="shared" si="343"/>
        <v>Astudillo Ramírez</v>
      </c>
      <c r="G3917" s="8">
        <v>1</v>
      </c>
      <c r="H3917" s="11">
        <v>150</v>
      </c>
      <c r="I3917" s="12">
        <v>42841</v>
      </c>
      <c r="J3917" s="35">
        <f t="shared" si="339"/>
        <v>0</v>
      </c>
      <c r="K3917" s="36"/>
      <c r="L3917" s="36"/>
      <c r="M3917" s="36"/>
      <c r="N3917" s="36"/>
      <c r="O3917" s="36"/>
      <c r="P3917" s="36"/>
      <c r="Q3917" s="36"/>
      <c r="R3917" s="36"/>
      <c r="S3917" s="36"/>
      <c r="T3917" s="36"/>
      <c r="U3917" s="36"/>
      <c r="V3917" s="36"/>
      <c r="W3917" s="15">
        <f t="shared" si="340"/>
        <v>0</v>
      </c>
      <c r="X3917" s="36"/>
      <c r="Y3917" s="36"/>
      <c r="Z3917" s="36"/>
      <c r="AA3917" s="36">
        <v>150</v>
      </c>
      <c r="AB3917" s="36"/>
      <c r="AC3917" s="36"/>
      <c r="AD3917" s="36"/>
      <c r="AE3917" s="36"/>
      <c r="AF3917" s="36"/>
      <c r="AG3917" s="36"/>
      <c r="AH3917" s="36"/>
      <c r="AI3917" s="36"/>
      <c r="AJ3917" s="15">
        <f t="shared" si="341"/>
        <v>150</v>
      </c>
      <c r="AK3917" s="14"/>
      <c r="AL3917" s="14"/>
      <c r="AM3917" s="14"/>
      <c r="AN3917" s="14"/>
      <c r="AO3917" s="14"/>
      <c r="AP3917" s="14"/>
      <c r="AQ3917" s="14"/>
      <c r="AR3917" s="14"/>
      <c r="AS3917" s="14"/>
      <c r="AT3917" s="14"/>
      <c r="AU3917" s="14"/>
      <c r="AV3917" s="14"/>
      <c r="AW3917" s="15"/>
      <c r="AX3917" s="16"/>
    </row>
    <row r="3918" spans="2:50" x14ac:dyDescent="0.2">
      <c r="B3918" s="7"/>
      <c r="C3918" s="8">
        <v>14262</v>
      </c>
      <c r="D3918" s="9" t="s">
        <v>358</v>
      </c>
      <c r="E3918" s="10" t="str">
        <f t="shared" si="342"/>
        <v>Rancho Landero No. 2, 4</v>
      </c>
      <c r="F3918" s="10" t="str">
        <f t="shared" si="343"/>
        <v>Astudillo Ramírez</v>
      </c>
      <c r="G3918" s="8">
        <v>7</v>
      </c>
      <c r="H3918" s="11">
        <v>100</v>
      </c>
      <c r="I3918" s="12">
        <v>42841</v>
      </c>
      <c r="J3918" s="35">
        <f t="shared" si="339"/>
        <v>0</v>
      </c>
      <c r="K3918" s="36"/>
      <c r="L3918" s="36"/>
      <c r="M3918" s="36"/>
      <c r="N3918" s="36"/>
      <c r="O3918" s="36"/>
      <c r="P3918" s="36"/>
      <c r="Q3918" s="36"/>
      <c r="R3918" s="36"/>
      <c r="S3918" s="36"/>
      <c r="T3918" s="36"/>
      <c r="U3918" s="36"/>
      <c r="V3918" s="36"/>
      <c r="W3918" s="15">
        <f t="shared" si="340"/>
        <v>0</v>
      </c>
      <c r="X3918" s="36"/>
      <c r="Y3918" s="36"/>
      <c r="Z3918" s="36"/>
      <c r="AA3918" s="36"/>
      <c r="AB3918" s="36"/>
      <c r="AC3918" s="36"/>
      <c r="AD3918" s="36"/>
      <c r="AE3918" s="36"/>
      <c r="AF3918" s="36"/>
      <c r="AG3918" s="36"/>
      <c r="AH3918" s="36"/>
      <c r="AI3918" s="36"/>
      <c r="AJ3918" s="15">
        <f t="shared" si="341"/>
        <v>0</v>
      </c>
      <c r="AK3918" s="14"/>
      <c r="AL3918" s="14"/>
      <c r="AM3918" s="14"/>
      <c r="AN3918" s="14"/>
      <c r="AO3918" s="14"/>
      <c r="AP3918" s="14"/>
      <c r="AQ3918" s="14"/>
      <c r="AR3918" s="14"/>
      <c r="AS3918" s="14"/>
      <c r="AT3918" s="14"/>
      <c r="AU3918" s="14"/>
      <c r="AV3918" s="14"/>
      <c r="AW3918" s="15"/>
      <c r="AX3918" s="16" t="s">
        <v>3858</v>
      </c>
    </row>
    <row r="3919" spans="2:50" x14ac:dyDescent="0.2">
      <c r="B3919" s="7"/>
      <c r="C3919" s="8">
        <v>14263</v>
      </c>
      <c r="D3919" s="9" t="s">
        <v>602</v>
      </c>
      <c r="E3919" s="10" t="str">
        <f t="shared" si="342"/>
        <v>Rancho Upácuaro No. 30</v>
      </c>
      <c r="F3919" s="10" t="str">
        <f t="shared" si="343"/>
        <v>Dorantes</v>
      </c>
      <c r="G3919" s="8">
        <v>1</v>
      </c>
      <c r="H3919" s="11">
        <v>600</v>
      </c>
      <c r="I3919" s="12">
        <v>42841</v>
      </c>
      <c r="J3919" s="35">
        <f t="shared" si="339"/>
        <v>0</v>
      </c>
      <c r="K3919" s="36"/>
      <c r="L3919" s="36"/>
      <c r="M3919" s="36"/>
      <c r="N3919" s="36"/>
      <c r="O3919" s="36"/>
      <c r="P3919" s="36"/>
      <c r="Q3919" s="36"/>
      <c r="R3919" s="36"/>
      <c r="S3919" s="36"/>
      <c r="T3919" s="36"/>
      <c r="U3919" s="36"/>
      <c r="V3919" s="36"/>
      <c r="W3919" s="15">
        <f t="shared" si="340"/>
        <v>0</v>
      </c>
      <c r="X3919" s="36"/>
      <c r="Y3919" s="36">
        <v>200</v>
      </c>
      <c r="Z3919" s="36">
        <v>200</v>
      </c>
      <c r="AA3919" s="36">
        <v>200</v>
      </c>
      <c r="AB3919" s="36"/>
      <c r="AC3919" s="36"/>
      <c r="AD3919" s="36"/>
      <c r="AE3919" s="36"/>
      <c r="AF3919" s="36"/>
      <c r="AG3919" s="36"/>
      <c r="AH3919" s="36"/>
      <c r="AI3919" s="36"/>
      <c r="AJ3919" s="15">
        <f t="shared" si="341"/>
        <v>600</v>
      </c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14"/>
      <c r="AV3919" s="14"/>
      <c r="AW3919" s="15"/>
      <c r="AX3919" s="16"/>
    </row>
    <row r="3920" spans="2:50" x14ac:dyDescent="0.2">
      <c r="B3920" s="7"/>
      <c r="C3920" s="8">
        <v>14264</v>
      </c>
      <c r="D3920" s="9" t="s">
        <v>153</v>
      </c>
      <c r="E3920" s="10" t="str">
        <f t="shared" si="342"/>
        <v>Rancho La Cuchilla No. 92</v>
      </c>
      <c r="F3920" s="10" t="str">
        <f t="shared" si="343"/>
        <v>Cabrera</v>
      </c>
      <c r="G3920" s="8">
        <v>1</v>
      </c>
      <c r="H3920" s="11">
        <v>400</v>
      </c>
      <c r="I3920" s="12">
        <v>42841</v>
      </c>
      <c r="J3920" s="35">
        <f t="shared" si="339"/>
        <v>0</v>
      </c>
      <c r="K3920" s="36"/>
      <c r="L3920" s="36"/>
      <c r="M3920" s="36"/>
      <c r="N3920" s="36"/>
      <c r="O3920" s="36"/>
      <c r="P3920" s="36"/>
      <c r="Q3920" s="36"/>
      <c r="R3920" s="36"/>
      <c r="S3920" s="36"/>
      <c r="T3920" s="36"/>
      <c r="U3920" s="36"/>
      <c r="V3920" s="36"/>
      <c r="W3920" s="15">
        <f t="shared" si="340"/>
        <v>0</v>
      </c>
      <c r="X3920" s="36"/>
      <c r="Y3920" s="36"/>
      <c r="Z3920" s="36"/>
      <c r="AA3920" s="36">
        <v>400</v>
      </c>
      <c r="AB3920" s="36"/>
      <c r="AC3920" s="36"/>
      <c r="AD3920" s="36"/>
      <c r="AE3920" s="36"/>
      <c r="AF3920" s="36"/>
      <c r="AG3920" s="36"/>
      <c r="AH3920" s="36"/>
      <c r="AI3920" s="36"/>
      <c r="AJ3920" s="15">
        <f t="shared" si="341"/>
        <v>400</v>
      </c>
      <c r="AK3920" s="14"/>
      <c r="AL3920" s="14"/>
      <c r="AM3920" s="14"/>
      <c r="AN3920" s="14"/>
      <c r="AO3920" s="14"/>
      <c r="AP3920" s="14"/>
      <c r="AQ3920" s="14"/>
      <c r="AR3920" s="14"/>
      <c r="AS3920" s="14"/>
      <c r="AT3920" s="14"/>
      <c r="AU3920" s="14"/>
      <c r="AV3920" s="14"/>
      <c r="AW3920" s="15"/>
      <c r="AX3920" s="16"/>
    </row>
    <row r="3921" spans="2:50" x14ac:dyDescent="0.2">
      <c r="B3921" s="7"/>
      <c r="C3921" s="8">
        <v>14265</v>
      </c>
      <c r="D3921" s="9" t="s">
        <v>617</v>
      </c>
      <c r="E3921" s="10" t="str">
        <f t="shared" si="342"/>
        <v>Rancho Zinamba No. 50</v>
      </c>
      <c r="F3921" s="10" t="str">
        <f t="shared" si="343"/>
        <v>Del Castillo</v>
      </c>
      <c r="G3921" s="8">
        <v>1</v>
      </c>
      <c r="H3921" s="11">
        <v>400</v>
      </c>
      <c r="I3921" s="12">
        <v>42841</v>
      </c>
      <c r="J3921" s="35">
        <f t="shared" si="339"/>
        <v>0</v>
      </c>
      <c r="K3921" s="36"/>
      <c r="L3921" s="36"/>
      <c r="M3921" s="36"/>
      <c r="N3921" s="36"/>
      <c r="O3921" s="36"/>
      <c r="P3921" s="36"/>
      <c r="Q3921" s="36"/>
      <c r="R3921" s="36"/>
      <c r="S3921" s="36"/>
      <c r="T3921" s="36"/>
      <c r="U3921" s="36"/>
      <c r="V3921" s="36"/>
      <c r="W3921" s="15">
        <f t="shared" si="340"/>
        <v>0</v>
      </c>
      <c r="X3921" s="36"/>
      <c r="Y3921" s="36"/>
      <c r="Z3921" s="36">
        <v>400</v>
      </c>
      <c r="AA3921" s="36"/>
      <c r="AB3921" s="36"/>
      <c r="AC3921" s="36"/>
      <c r="AD3921" s="36"/>
      <c r="AE3921" s="36"/>
      <c r="AF3921" s="36"/>
      <c r="AG3921" s="36"/>
      <c r="AH3921" s="36"/>
      <c r="AI3921" s="36"/>
      <c r="AJ3921" s="15">
        <f t="shared" si="341"/>
        <v>400</v>
      </c>
      <c r="AK3921" s="14"/>
      <c r="AL3921" s="14"/>
      <c r="AM3921" s="14"/>
      <c r="AN3921" s="14"/>
      <c r="AO3921" s="14"/>
      <c r="AP3921" s="14"/>
      <c r="AQ3921" s="14"/>
      <c r="AR3921" s="14"/>
      <c r="AS3921" s="14"/>
      <c r="AT3921" s="14"/>
      <c r="AU3921" s="14"/>
      <c r="AV3921" s="14"/>
      <c r="AW3921" s="15"/>
      <c r="AX3921" s="16"/>
    </row>
    <row r="3922" spans="2:50" x14ac:dyDescent="0.2">
      <c r="B3922" s="7"/>
      <c r="C3922" s="8">
        <v>14266</v>
      </c>
      <c r="D3922" s="9" t="s">
        <v>640</v>
      </c>
      <c r="E3922" s="10" t="str">
        <f t="shared" si="342"/>
        <v>Rancho Estopila No. 22, A</v>
      </c>
      <c r="F3922" s="10" t="str">
        <f t="shared" si="343"/>
        <v>Ayala Carranza</v>
      </c>
      <c r="G3922" s="8">
        <v>1</v>
      </c>
      <c r="H3922" s="11">
        <v>200</v>
      </c>
      <c r="I3922" s="12">
        <v>42841</v>
      </c>
      <c r="J3922" s="35">
        <f t="shared" si="339"/>
        <v>0</v>
      </c>
      <c r="K3922" s="36"/>
      <c r="L3922" s="36"/>
      <c r="M3922" s="36"/>
      <c r="N3922" s="36"/>
      <c r="O3922" s="36"/>
      <c r="P3922" s="36"/>
      <c r="Q3922" s="36"/>
      <c r="R3922" s="36"/>
      <c r="S3922" s="36"/>
      <c r="T3922" s="36"/>
      <c r="U3922" s="36"/>
      <c r="V3922" s="36"/>
      <c r="W3922" s="15">
        <f t="shared" si="340"/>
        <v>0</v>
      </c>
      <c r="X3922" s="36"/>
      <c r="Y3922" s="36"/>
      <c r="Z3922" s="36"/>
      <c r="AA3922" s="36">
        <v>200</v>
      </c>
      <c r="AB3922" s="36"/>
      <c r="AC3922" s="36"/>
      <c r="AD3922" s="36"/>
      <c r="AE3922" s="36"/>
      <c r="AF3922" s="36"/>
      <c r="AG3922" s="36"/>
      <c r="AH3922" s="36"/>
      <c r="AI3922" s="36"/>
      <c r="AJ3922" s="15">
        <f t="shared" si="341"/>
        <v>200</v>
      </c>
      <c r="AK3922" s="14"/>
      <c r="AL3922" s="14"/>
      <c r="AM3922" s="14"/>
      <c r="AN3922" s="14"/>
      <c r="AO3922" s="14"/>
      <c r="AP3922" s="14"/>
      <c r="AQ3922" s="14"/>
      <c r="AR3922" s="14"/>
      <c r="AS3922" s="14"/>
      <c r="AT3922" s="14"/>
      <c r="AU3922" s="14"/>
      <c r="AV3922" s="14"/>
      <c r="AW3922" s="15"/>
      <c r="AX3922" s="16"/>
    </row>
    <row r="3923" spans="2:50" x14ac:dyDescent="0.2">
      <c r="B3923" s="7"/>
      <c r="C3923" s="8">
        <v>14267</v>
      </c>
      <c r="D3923" s="9" t="s">
        <v>343</v>
      </c>
      <c r="E3923" s="10" t="str">
        <f t="shared" si="342"/>
        <v>Rancho Upácuaro No. 88</v>
      </c>
      <c r="F3923" s="10" t="str">
        <f t="shared" si="343"/>
        <v>Millán Núñez</v>
      </c>
      <c r="G3923" s="8">
        <v>1</v>
      </c>
      <c r="H3923" s="11">
        <v>400</v>
      </c>
      <c r="I3923" s="12">
        <v>42841</v>
      </c>
      <c r="J3923" s="35">
        <f t="shared" si="339"/>
        <v>0</v>
      </c>
      <c r="K3923" s="36"/>
      <c r="L3923" s="36"/>
      <c r="M3923" s="36"/>
      <c r="N3923" s="36"/>
      <c r="O3923" s="36"/>
      <c r="P3923" s="36"/>
      <c r="Q3923" s="36"/>
      <c r="R3923" s="36"/>
      <c r="S3923" s="36"/>
      <c r="T3923" s="36"/>
      <c r="U3923" s="36"/>
      <c r="V3923" s="36"/>
      <c r="W3923" s="15">
        <f t="shared" si="340"/>
        <v>0</v>
      </c>
      <c r="X3923" s="36"/>
      <c r="Y3923" s="36"/>
      <c r="Z3923" s="36"/>
      <c r="AA3923" s="36">
        <v>400</v>
      </c>
      <c r="AB3923" s="36"/>
      <c r="AC3923" s="36"/>
      <c r="AD3923" s="36"/>
      <c r="AE3923" s="36"/>
      <c r="AF3923" s="36"/>
      <c r="AG3923" s="36"/>
      <c r="AH3923" s="36"/>
      <c r="AI3923" s="36"/>
      <c r="AJ3923" s="15">
        <f t="shared" si="341"/>
        <v>400</v>
      </c>
      <c r="AK3923" s="14"/>
      <c r="AL3923" s="14"/>
      <c r="AM3923" s="14"/>
      <c r="AN3923" s="14"/>
      <c r="AO3923" s="14"/>
      <c r="AP3923" s="14"/>
      <c r="AQ3923" s="14"/>
      <c r="AR3923" s="14"/>
      <c r="AS3923" s="14"/>
      <c r="AT3923" s="14"/>
      <c r="AU3923" s="14"/>
      <c r="AV3923" s="14"/>
      <c r="AW3923" s="15"/>
      <c r="AX3923" s="16"/>
    </row>
    <row r="3924" spans="2:50" x14ac:dyDescent="0.2">
      <c r="B3924" s="7"/>
      <c r="C3924" s="8">
        <v>14267</v>
      </c>
      <c r="D3924" s="9" t="s">
        <v>343</v>
      </c>
      <c r="E3924" s="10" t="str">
        <f t="shared" si="342"/>
        <v>Rancho Upácuaro No. 88</v>
      </c>
      <c r="F3924" s="10" t="str">
        <f t="shared" si="343"/>
        <v>Millán Núñez</v>
      </c>
      <c r="G3924" s="8">
        <v>3</v>
      </c>
      <c r="H3924" s="11">
        <v>200</v>
      </c>
      <c r="I3924" s="12">
        <v>42841</v>
      </c>
      <c r="J3924" s="35">
        <f t="shared" si="339"/>
        <v>0</v>
      </c>
      <c r="K3924" s="36"/>
      <c r="L3924" s="36"/>
      <c r="M3924" s="36"/>
      <c r="N3924" s="36"/>
      <c r="O3924" s="36"/>
      <c r="P3924" s="36"/>
      <c r="Q3924" s="36"/>
      <c r="R3924" s="36"/>
      <c r="S3924" s="36"/>
      <c r="T3924" s="36"/>
      <c r="U3924" s="36"/>
      <c r="V3924" s="36"/>
      <c r="W3924" s="15">
        <f t="shared" si="340"/>
        <v>0</v>
      </c>
      <c r="X3924" s="36"/>
      <c r="Y3924" s="36"/>
      <c r="Z3924" s="36"/>
      <c r="AA3924" s="36"/>
      <c r="AB3924" s="36"/>
      <c r="AC3924" s="36"/>
      <c r="AD3924" s="36"/>
      <c r="AE3924" s="36"/>
      <c r="AF3924" s="36"/>
      <c r="AG3924" s="36"/>
      <c r="AH3924" s="36"/>
      <c r="AI3924" s="36"/>
      <c r="AJ3924" s="15">
        <f t="shared" si="341"/>
        <v>0</v>
      </c>
      <c r="AK3924" s="14"/>
      <c r="AL3924" s="14"/>
      <c r="AM3924" s="14"/>
      <c r="AN3924" s="14"/>
      <c r="AO3924" s="14"/>
      <c r="AP3924" s="14"/>
      <c r="AQ3924" s="14"/>
      <c r="AR3924" s="14"/>
      <c r="AS3924" s="14"/>
      <c r="AT3924" s="14"/>
      <c r="AU3924" s="14"/>
      <c r="AV3924" s="14"/>
      <c r="AW3924" s="15"/>
      <c r="AX3924" s="16"/>
    </row>
    <row r="3925" spans="2:50" x14ac:dyDescent="0.2">
      <c r="B3925" s="7"/>
      <c r="C3925" s="8">
        <v>14268</v>
      </c>
      <c r="D3925" s="9" t="s">
        <v>899</v>
      </c>
      <c r="E3925" s="10" t="str">
        <f>IF(D3925=0,"",VLOOKUP(D3925,BASE,2,FALSE))</f>
        <v>Rancho Landero No. 8</v>
      </c>
      <c r="F3925" s="10" t="str">
        <f>IF(D3925=0,"",VLOOKUP(D3925,BASE,3,FALSE))</f>
        <v>Garces Suarez</v>
      </c>
      <c r="G3925" s="8">
        <v>1</v>
      </c>
      <c r="H3925" s="11">
        <v>400</v>
      </c>
      <c r="I3925" s="12">
        <v>42839</v>
      </c>
      <c r="J3925" s="35">
        <f t="shared" si="339"/>
        <v>0</v>
      </c>
      <c r="K3925" s="36"/>
      <c r="L3925" s="36"/>
      <c r="M3925" s="36"/>
      <c r="N3925" s="36"/>
      <c r="O3925" s="36"/>
      <c r="P3925" s="36"/>
      <c r="Q3925" s="36"/>
      <c r="R3925" s="36"/>
      <c r="S3925" s="36"/>
      <c r="T3925" s="36"/>
      <c r="U3925" s="36"/>
      <c r="V3925" s="36"/>
      <c r="W3925" s="15">
        <f t="shared" si="340"/>
        <v>0</v>
      </c>
      <c r="X3925" s="36"/>
      <c r="Y3925" s="36"/>
      <c r="Z3925" s="36"/>
      <c r="AA3925" s="36">
        <v>400</v>
      </c>
      <c r="AB3925" s="36"/>
      <c r="AC3925" s="36"/>
      <c r="AD3925" s="36"/>
      <c r="AE3925" s="36"/>
      <c r="AF3925" s="36"/>
      <c r="AG3925" s="36"/>
      <c r="AH3925" s="36"/>
      <c r="AI3925" s="36"/>
      <c r="AJ3925" s="15">
        <f t="shared" si="341"/>
        <v>400</v>
      </c>
      <c r="AK3925" s="14"/>
      <c r="AL3925" s="14"/>
      <c r="AM3925" s="14"/>
      <c r="AN3925" s="14"/>
      <c r="AO3925" s="14"/>
      <c r="AP3925" s="14"/>
      <c r="AQ3925" s="14"/>
      <c r="AR3925" s="14"/>
      <c r="AS3925" s="14"/>
      <c r="AT3925" s="14"/>
      <c r="AU3925" s="14"/>
      <c r="AV3925" s="14"/>
      <c r="AW3925" s="15"/>
      <c r="AX3925" s="16"/>
    </row>
    <row r="3926" spans="2:50" x14ac:dyDescent="0.2">
      <c r="B3926" s="7"/>
      <c r="C3926" s="8">
        <v>14269</v>
      </c>
      <c r="D3926" s="9" t="s">
        <v>556</v>
      </c>
      <c r="E3926" s="10" t="str">
        <f>IF(D3926=0,"",VLOOKUP(D3926,BASE,2,FALSE))</f>
        <v>Rancho Zinamba No. 26</v>
      </c>
      <c r="F3926" s="10" t="str">
        <f>IF(D3926=0,"",VLOOKUP(D3926,BASE,3,FALSE))</f>
        <v>Ayala</v>
      </c>
      <c r="G3926" s="8">
        <v>1</v>
      </c>
      <c r="H3926" s="11">
        <v>400</v>
      </c>
      <c r="I3926" s="12">
        <v>42841</v>
      </c>
      <c r="J3926" s="35">
        <f t="shared" si="339"/>
        <v>0</v>
      </c>
      <c r="K3926" s="36"/>
      <c r="L3926" s="36"/>
      <c r="M3926" s="36"/>
      <c r="N3926" s="36"/>
      <c r="O3926" s="36"/>
      <c r="P3926" s="36"/>
      <c r="Q3926" s="36"/>
      <c r="R3926" s="36"/>
      <c r="S3926" s="36"/>
      <c r="T3926" s="36"/>
      <c r="U3926" s="36"/>
      <c r="V3926" s="36"/>
      <c r="W3926" s="15">
        <f t="shared" si="340"/>
        <v>0</v>
      </c>
      <c r="X3926" s="36">
        <v>400</v>
      </c>
      <c r="Y3926" s="36"/>
      <c r="Z3926" s="36"/>
      <c r="AA3926" s="36"/>
      <c r="AB3926" s="36"/>
      <c r="AC3926" s="36"/>
      <c r="AD3926" s="36"/>
      <c r="AE3926" s="36"/>
      <c r="AF3926" s="36"/>
      <c r="AG3926" s="36"/>
      <c r="AH3926" s="36"/>
      <c r="AI3926" s="36"/>
      <c r="AJ3926" s="15">
        <f t="shared" si="341"/>
        <v>400</v>
      </c>
      <c r="AK3926" s="14"/>
      <c r="AL3926" s="14"/>
      <c r="AM3926" s="14"/>
      <c r="AN3926" s="14"/>
      <c r="AO3926" s="14"/>
      <c r="AP3926" s="14"/>
      <c r="AQ3926" s="14"/>
      <c r="AR3926" s="14"/>
      <c r="AS3926" s="14"/>
      <c r="AT3926" s="14"/>
      <c r="AU3926" s="14"/>
      <c r="AV3926" s="14"/>
      <c r="AW3926" s="15"/>
      <c r="AX3926" s="16"/>
    </row>
    <row r="3927" spans="2:50" x14ac:dyDescent="0.2">
      <c r="B3927" s="7"/>
      <c r="C3927" s="8">
        <v>14270</v>
      </c>
      <c r="D3927" s="9" t="s">
        <v>171</v>
      </c>
      <c r="E3927" s="10" t="str">
        <f>IF(D3927=0,"",VLOOKUP(D3927,BASE,2,FALSE))</f>
        <v>Rancho La Cuchilla No. 72</v>
      </c>
      <c r="F3927" s="10" t="str">
        <f>IF(D3927=0,"",VLOOKUP(D3927,BASE,3,FALSE))</f>
        <v>Ortiz González</v>
      </c>
      <c r="G3927" s="8">
        <v>5</v>
      </c>
      <c r="H3927" s="11">
        <v>50</v>
      </c>
      <c r="I3927" s="12">
        <v>42841</v>
      </c>
      <c r="J3927" s="35">
        <f t="shared" si="339"/>
        <v>0</v>
      </c>
      <c r="K3927" s="36"/>
      <c r="L3927" s="36"/>
      <c r="M3927" s="36"/>
      <c r="N3927" s="36"/>
      <c r="O3927" s="36"/>
      <c r="P3927" s="36"/>
      <c r="Q3927" s="36"/>
      <c r="R3927" s="36"/>
      <c r="S3927" s="36"/>
      <c r="T3927" s="36"/>
      <c r="U3927" s="36"/>
      <c r="V3927" s="36"/>
      <c r="W3927" s="15">
        <f t="shared" si="340"/>
        <v>0</v>
      </c>
      <c r="X3927" s="36"/>
      <c r="Y3927" s="36"/>
      <c r="Z3927" s="36"/>
      <c r="AA3927" s="36"/>
      <c r="AB3927" s="36"/>
      <c r="AC3927" s="36"/>
      <c r="AD3927" s="36"/>
      <c r="AE3927" s="36"/>
      <c r="AF3927" s="36"/>
      <c r="AG3927" s="36"/>
      <c r="AH3927" s="36"/>
      <c r="AI3927" s="36"/>
      <c r="AJ3927" s="15">
        <f t="shared" si="341"/>
        <v>0</v>
      </c>
      <c r="AK3927" s="14"/>
      <c r="AL3927" s="14"/>
      <c r="AM3927" s="14"/>
      <c r="AN3927" s="14"/>
      <c r="AO3927" s="14"/>
      <c r="AP3927" s="14"/>
      <c r="AQ3927" s="14"/>
      <c r="AR3927" s="14"/>
      <c r="AS3927" s="14"/>
      <c r="AT3927" s="14"/>
      <c r="AU3927" s="14"/>
      <c r="AV3927" s="14"/>
      <c r="AW3927" s="15"/>
      <c r="AX3927" s="16"/>
    </row>
    <row r="3928" spans="2:50" x14ac:dyDescent="0.2">
      <c r="B3928" s="7"/>
      <c r="C3928" s="8">
        <v>14271</v>
      </c>
      <c r="D3928" s="9" t="s">
        <v>404</v>
      </c>
      <c r="E3928" s="10" t="str">
        <f>IF(D3928=0,"",VLOOKUP(D3928,BASE,2,FALSE))</f>
        <v>Rancho La Cuchilla No. 89</v>
      </c>
      <c r="F3928" s="10" t="str">
        <f>IF(D3928=0,"",VLOOKUP(D3928,BASE,3,FALSE))</f>
        <v>Gálvez</v>
      </c>
      <c r="G3928" s="8">
        <v>1</v>
      </c>
      <c r="H3928" s="11">
        <v>400</v>
      </c>
      <c r="I3928" s="12">
        <v>42841</v>
      </c>
      <c r="J3928" s="35">
        <f t="shared" si="339"/>
        <v>0</v>
      </c>
      <c r="K3928" s="36"/>
      <c r="L3928" s="36"/>
      <c r="M3928" s="36"/>
      <c r="N3928" s="36"/>
      <c r="O3928" s="36"/>
      <c r="P3928" s="36"/>
      <c r="Q3928" s="36"/>
      <c r="R3928" s="36"/>
      <c r="S3928" s="36"/>
      <c r="T3928" s="36"/>
      <c r="U3928" s="36"/>
      <c r="V3928" s="36"/>
      <c r="W3928" s="15">
        <f t="shared" si="340"/>
        <v>0</v>
      </c>
      <c r="X3928" s="36"/>
      <c r="Y3928" s="36"/>
      <c r="Z3928" s="36"/>
      <c r="AA3928" s="36">
        <v>400</v>
      </c>
      <c r="AB3928" s="36"/>
      <c r="AC3928" s="36"/>
      <c r="AD3928" s="36"/>
      <c r="AE3928" s="36"/>
      <c r="AF3928" s="36"/>
      <c r="AG3928" s="36"/>
      <c r="AH3928" s="36"/>
      <c r="AI3928" s="36"/>
      <c r="AJ3928" s="15">
        <f t="shared" si="341"/>
        <v>400</v>
      </c>
      <c r="AK3928" s="14"/>
      <c r="AL3928" s="14"/>
      <c r="AM3928" s="14"/>
      <c r="AN3928" s="14"/>
      <c r="AO3928" s="14"/>
      <c r="AP3928" s="14"/>
      <c r="AQ3928" s="14"/>
      <c r="AR3928" s="14"/>
      <c r="AS3928" s="14"/>
      <c r="AT3928" s="14"/>
      <c r="AU3928" s="14"/>
      <c r="AV3928" s="14"/>
      <c r="AW3928" s="15"/>
      <c r="AX3928" s="16"/>
    </row>
    <row r="3929" spans="2:50" x14ac:dyDescent="0.2">
      <c r="B3929" s="7"/>
      <c r="C3929" s="8">
        <v>14272</v>
      </c>
      <c r="D3929" s="9" t="s">
        <v>331</v>
      </c>
      <c r="E3929" s="10" t="str">
        <f t="shared" ref="E3929:E3939" si="344">IF(D3929=0,"",VLOOKUP(D3929,BASE,2,FALSE))</f>
        <v>Rancho Recoveco No. 197</v>
      </c>
      <c r="F3929" s="10" t="str">
        <f t="shared" ref="F3929:F3939" si="345">IF(D3929=0,"",VLOOKUP(D3929,BASE,3,FALSE))</f>
        <v>Colín González</v>
      </c>
      <c r="G3929" s="8">
        <v>1</v>
      </c>
      <c r="H3929" s="11">
        <v>400</v>
      </c>
      <c r="I3929" s="12">
        <v>42841</v>
      </c>
      <c r="J3929" s="35">
        <f t="shared" si="339"/>
        <v>0</v>
      </c>
      <c r="K3929" s="36"/>
      <c r="L3929" s="36"/>
      <c r="M3929" s="36"/>
      <c r="N3929" s="36"/>
      <c r="O3929" s="36"/>
      <c r="P3929" s="36"/>
      <c r="Q3929" s="36"/>
      <c r="R3929" s="36"/>
      <c r="S3929" s="36"/>
      <c r="T3929" s="36"/>
      <c r="U3929" s="36"/>
      <c r="V3929" s="36"/>
      <c r="W3929" s="15">
        <f t="shared" si="340"/>
        <v>0</v>
      </c>
      <c r="X3929" s="36"/>
      <c r="Y3929" s="36"/>
      <c r="Z3929" s="36">
        <v>400</v>
      </c>
      <c r="AA3929" s="36"/>
      <c r="AB3929" s="36"/>
      <c r="AC3929" s="36"/>
      <c r="AD3929" s="36"/>
      <c r="AE3929" s="36"/>
      <c r="AF3929" s="36"/>
      <c r="AG3929" s="36"/>
      <c r="AH3929" s="36"/>
      <c r="AI3929" s="36"/>
      <c r="AJ3929" s="15">
        <f t="shared" si="341"/>
        <v>400</v>
      </c>
      <c r="AK3929" s="14"/>
      <c r="AL3929" s="14"/>
      <c r="AM3929" s="14"/>
      <c r="AN3929" s="14"/>
      <c r="AO3929" s="14"/>
      <c r="AP3929" s="14"/>
      <c r="AQ3929" s="14"/>
      <c r="AR3929" s="14"/>
      <c r="AS3929" s="14"/>
      <c r="AT3929" s="14"/>
      <c r="AU3929" s="14"/>
      <c r="AV3929" s="14"/>
      <c r="AW3929" s="15"/>
      <c r="AX3929" s="16"/>
    </row>
    <row r="3930" spans="2:50" x14ac:dyDescent="0.2">
      <c r="B3930" s="7"/>
      <c r="C3930" s="8">
        <v>14272</v>
      </c>
      <c r="D3930" s="9" t="s">
        <v>331</v>
      </c>
      <c r="E3930" s="10" t="str">
        <f t="shared" si="344"/>
        <v>Rancho Recoveco No. 197</v>
      </c>
      <c r="F3930" s="10" t="str">
        <f t="shared" si="345"/>
        <v>Colín González</v>
      </c>
      <c r="G3930" s="8">
        <v>7</v>
      </c>
      <c r="H3930" s="11">
        <v>100</v>
      </c>
      <c r="I3930" s="12">
        <v>42841</v>
      </c>
      <c r="J3930" s="35">
        <f t="shared" si="339"/>
        <v>0</v>
      </c>
      <c r="K3930" s="36"/>
      <c r="L3930" s="36"/>
      <c r="M3930" s="36"/>
      <c r="N3930" s="36"/>
      <c r="O3930" s="36"/>
      <c r="P3930" s="36"/>
      <c r="Q3930" s="36"/>
      <c r="R3930" s="36"/>
      <c r="S3930" s="36"/>
      <c r="T3930" s="36"/>
      <c r="U3930" s="36"/>
      <c r="V3930" s="36"/>
      <c r="W3930" s="15">
        <f t="shared" si="340"/>
        <v>0</v>
      </c>
      <c r="X3930" s="36"/>
      <c r="Y3930" s="36"/>
      <c r="Z3930" s="36"/>
      <c r="AA3930" s="36"/>
      <c r="AB3930" s="36"/>
      <c r="AC3930" s="36"/>
      <c r="AD3930" s="36"/>
      <c r="AE3930" s="36"/>
      <c r="AF3930" s="36"/>
      <c r="AG3930" s="36"/>
      <c r="AH3930" s="36"/>
      <c r="AI3930" s="36"/>
      <c r="AJ3930" s="15">
        <f t="shared" si="341"/>
        <v>0</v>
      </c>
      <c r="AK3930" s="14"/>
      <c r="AL3930" s="14"/>
      <c r="AM3930" s="14"/>
      <c r="AN3930" s="14"/>
      <c r="AO3930" s="14"/>
      <c r="AP3930" s="14"/>
      <c r="AQ3930" s="14"/>
      <c r="AR3930" s="14"/>
      <c r="AS3930" s="14"/>
      <c r="AT3930" s="14"/>
      <c r="AU3930" s="14"/>
      <c r="AV3930" s="14"/>
      <c r="AW3930" s="15"/>
      <c r="AX3930" s="16" t="s">
        <v>3858</v>
      </c>
    </row>
    <row r="3931" spans="2:50" x14ac:dyDescent="0.2">
      <c r="B3931" s="7"/>
      <c r="C3931" s="8">
        <v>14273</v>
      </c>
      <c r="D3931" s="9" t="s">
        <v>398</v>
      </c>
      <c r="E3931" s="10" t="str">
        <f t="shared" si="344"/>
        <v>Rancho Estanzuela No. 151</v>
      </c>
      <c r="F3931" s="10" t="str">
        <f t="shared" si="345"/>
        <v>Pérez Salazar</v>
      </c>
      <c r="G3931" s="8">
        <v>1</v>
      </c>
      <c r="H3931" s="11">
        <v>400</v>
      </c>
      <c r="I3931" s="12">
        <v>42841</v>
      </c>
      <c r="J3931" s="35">
        <f t="shared" si="339"/>
        <v>0</v>
      </c>
      <c r="K3931" s="36"/>
      <c r="L3931" s="36"/>
      <c r="M3931" s="36"/>
      <c r="N3931" s="36"/>
      <c r="O3931" s="36"/>
      <c r="P3931" s="36"/>
      <c r="Q3931" s="36"/>
      <c r="R3931" s="36"/>
      <c r="S3931" s="36"/>
      <c r="T3931" s="36"/>
      <c r="U3931" s="36"/>
      <c r="V3931" s="36"/>
      <c r="W3931" s="15">
        <f t="shared" si="340"/>
        <v>0</v>
      </c>
      <c r="X3931" s="36"/>
      <c r="Y3931" s="36"/>
      <c r="Z3931" s="36"/>
      <c r="AA3931" s="36">
        <v>400</v>
      </c>
      <c r="AB3931" s="36"/>
      <c r="AC3931" s="36"/>
      <c r="AD3931" s="36"/>
      <c r="AE3931" s="36"/>
      <c r="AF3931" s="36"/>
      <c r="AG3931" s="36"/>
      <c r="AH3931" s="36"/>
      <c r="AI3931" s="36"/>
      <c r="AJ3931" s="15">
        <f t="shared" si="341"/>
        <v>400</v>
      </c>
      <c r="AK3931" s="14"/>
      <c r="AL3931" s="14"/>
      <c r="AM3931" s="14"/>
      <c r="AN3931" s="14"/>
      <c r="AO3931" s="14"/>
      <c r="AP3931" s="14"/>
      <c r="AQ3931" s="14"/>
      <c r="AR3931" s="14"/>
      <c r="AS3931" s="14"/>
      <c r="AT3931" s="14"/>
      <c r="AU3931" s="14"/>
      <c r="AV3931" s="14"/>
      <c r="AW3931" s="15"/>
      <c r="AX3931" s="16"/>
    </row>
    <row r="3932" spans="2:50" x14ac:dyDescent="0.2">
      <c r="B3932" s="7"/>
      <c r="C3932" s="8">
        <v>14274</v>
      </c>
      <c r="D3932" s="9" t="s">
        <v>893</v>
      </c>
      <c r="E3932" s="10" t="str">
        <f t="shared" si="344"/>
        <v>Rancho Upácuaro No. 136</v>
      </c>
      <c r="F3932" s="10" t="str">
        <f t="shared" si="345"/>
        <v>López Lena</v>
      </c>
      <c r="G3932" s="8">
        <v>1</v>
      </c>
      <c r="H3932" s="11">
        <v>300</v>
      </c>
      <c r="I3932" s="12">
        <v>42841</v>
      </c>
      <c r="J3932" s="35">
        <f t="shared" si="339"/>
        <v>0</v>
      </c>
      <c r="K3932" s="36"/>
      <c r="L3932" s="36"/>
      <c r="M3932" s="36"/>
      <c r="N3932" s="36"/>
      <c r="O3932" s="36"/>
      <c r="P3932" s="36"/>
      <c r="Q3932" s="36"/>
      <c r="R3932" s="36"/>
      <c r="S3932" s="36"/>
      <c r="T3932" s="36"/>
      <c r="U3932" s="36"/>
      <c r="V3932" s="36"/>
      <c r="W3932" s="15">
        <f t="shared" si="340"/>
        <v>0</v>
      </c>
      <c r="X3932" s="36"/>
      <c r="Y3932" s="36"/>
      <c r="Z3932" s="36"/>
      <c r="AA3932" s="36">
        <v>300</v>
      </c>
      <c r="AB3932" s="36"/>
      <c r="AC3932" s="36"/>
      <c r="AD3932" s="36"/>
      <c r="AE3932" s="36"/>
      <c r="AF3932" s="36"/>
      <c r="AG3932" s="36"/>
      <c r="AH3932" s="36"/>
      <c r="AI3932" s="36"/>
      <c r="AJ3932" s="15">
        <f t="shared" si="341"/>
        <v>300</v>
      </c>
      <c r="AK3932" s="14"/>
      <c r="AL3932" s="14"/>
      <c r="AM3932" s="14"/>
      <c r="AN3932" s="14"/>
      <c r="AO3932" s="14"/>
      <c r="AP3932" s="14"/>
      <c r="AQ3932" s="14"/>
      <c r="AR3932" s="14"/>
      <c r="AS3932" s="14"/>
      <c r="AT3932" s="14"/>
      <c r="AU3932" s="14"/>
      <c r="AV3932" s="14"/>
      <c r="AW3932" s="15"/>
      <c r="AX3932" s="16"/>
    </row>
    <row r="3933" spans="2:50" x14ac:dyDescent="0.2">
      <c r="B3933" s="7"/>
      <c r="C3933" s="8">
        <v>14275</v>
      </c>
      <c r="D3933" s="9" t="s">
        <v>174</v>
      </c>
      <c r="E3933" s="10" t="str">
        <f t="shared" si="344"/>
        <v>Rancho Upácuaro No. 18</v>
      </c>
      <c r="F3933" s="10" t="str">
        <f t="shared" si="345"/>
        <v>Guzmán</v>
      </c>
      <c r="G3933" s="8">
        <v>1</v>
      </c>
      <c r="H3933" s="11">
        <v>300</v>
      </c>
      <c r="I3933" s="12">
        <v>42841</v>
      </c>
      <c r="J3933" s="35">
        <f t="shared" si="339"/>
        <v>0</v>
      </c>
      <c r="K3933" s="36"/>
      <c r="L3933" s="36"/>
      <c r="M3933" s="36"/>
      <c r="N3933" s="36"/>
      <c r="O3933" s="36"/>
      <c r="P3933" s="36"/>
      <c r="Q3933" s="36"/>
      <c r="R3933" s="36"/>
      <c r="S3933" s="36"/>
      <c r="T3933" s="36"/>
      <c r="U3933" s="36"/>
      <c r="V3933" s="36"/>
      <c r="W3933" s="15">
        <f t="shared" si="340"/>
        <v>0</v>
      </c>
      <c r="X3933" s="36"/>
      <c r="Y3933" s="36"/>
      <c r="Z3933" s="36"/>
      <c r="AA3933" s="36"/>
      <c r="AB3933" s="36">
        <v>300</v>
      </c>
      <c r="AC3933" s="36"/>
      <c r="AD3933" s="36"/>
      <c r="AE3933" s="36"/>
      <c r="AF3933" s="36"/>
      <c r="AG3933" s="36"/>
      <c r="AH3933" s="36"/>
      <c r="AI3933" s="36"/>
      <c r="AJ3933" s="15">
        <f t="shared" si="341"/>
        <v>300</v>
      </c>
      <c r="AK3933" s="14"/>
      <c r="AL3933" s="14"/>
      <c r="AM3933" s="14"/>
      <c r="AN3933" s="14"/>
      <c r="AO3933" s="14"/>
      <c r="AP3933" s="14"/>
      <c r="AQ3933" s="14"/>
      <c r="AR3933" s="14"/>
      <c r="AS3933" s="14"/>
      <c r="AT3933" s="14"/>
      <c r="AU3933" s="14"/>
      <c r="AV3933" s="14"/>
      <c r="AW3933" s="15"/>
      <c r="AX3933" s="16"/>
    </row>
    <row r="3934" spans="2:50" x14ac:dyDescent="0.2">
      <c r="B3934" s="7"/>
      <c r="C3934" s="8">
        <v>14276</v>
      </c>
      <c r="D3934" s="9" t="s">
        <v>331</v>
      </c>
      <c r="E3934" s="10" t="str">
        <f t="shared" si="344"/>
        <v>Rancho Recoveco No. 197</v>
      </c>
      <c r="F3934" s="10" t="str">
        <f t="shared" si="345"/>
        <v>Colín González</v>
      </c>
      <c r="G3934" s="8">
        <v>1</v>
      </c>
      <c r="H3934" s="11">
        <v>400</v>
      </c>
      <c r="I3934" s="12">
        <v>42841</v>
      </c>
      <c r="J3934" s="35">
        <f>IF(G3934=1,SUM(W3934,AJ3934,-H3934),0)</f>
        <v>0</v>
      </c>
      <c r="K3934" s="36"/>
      <c r="L3934" s="36"/>
      <c r="M3934" s="36"/>
      <c r="N3934" s="36"/>
      <c r="O3934" s="36"/>
      <c r="P3934" s="36"/>
      <c r="Q3934" s="36"/>
      <c r="R3934" s="36"/>
      <c r="S3934" s="36"/>
      <c r="T3934" s="36"/>
      <c r="U3934" s="36"/>
      <c r="V3934" s="36"/>
      <c r="W3934" s="15">
        <f t="shared" si="340"/>
        <v>0</v>
      </c>
      <c r="X3934" s="36"/>
      <c r="Y3934" s="36"/>
      <c r="Z3934" s="36"/>
      <c r="AA3934" s="36">
        <v>400</v>
      </c>
      <c r="AB3934" s="36"/>
      <c r="AC3934" s="36"/>
      <c r="AD3934" s="36"/>
      <c r="AE3934" s="36"/>
      <c r="AF3934" s="36"/>
      <c r="AG3934" s="36"/>
      <c r="AH3934" s="36"/>
      <c r="AI3934" s="36"/>
      <c r="AJ3934" s="15">
        <f t="shared" si="341"/>
        <v>400</v>
      </c>
      <c r="AK3934" s="14"/>
      <c r="AL3934" s="14"/>
      <c r="AM3934" s="14"/>
      <c r="AN3934" s="14"/>
      <c r="AO3934" s="14"/>
      <c r="AP3934" s="14"/>
      <c r="AQ3934" s="14"/>
      <c r="AR3934" s="14"/>
      <c r="AS3934" s="14"/>
      <c r="AT3934" s="14"/>
      <c r="AU3934" s="14"/>
      <c r="AV3934" s="14"/>
      <c r="AW3934" s="15"/>
      <c r="AX3934" s="16"/>
    </row>
    <row r="3935" spans="2:50" x14ac:dyDescent="0.2">
      <c r="B3935" s="7"/>
      <c r="C3935" s="8">
        <v>14277</v>
      </c>
      <c r="D3935" s="9" t="s">
        <v>87</v>
      </c>
      <c r="E3935" s="10" t="str">
        <f t="shared" si="344"/>
        <v>Rancho Zinamba No. 36</v>
      </c>
      <c r="F3935" s="10" t="str">
        <f t="shared" si="345"/>
        <v>Rodríguez Ortiz</v>
      </c>
      <c r="G3935" s="8">
        <v>1</v>
      </c>
      <c r="H3935" s="11">
        <v>400</v>
      </c>
      <c r="I3935" s="12">
        <v>42841</v>
      </c>
      <c r="J3935" s="35">
        <f t="shared" si="339"/>
        <v>0</v>
      </c>
      <c r="K3935" s="36"/>
      <c r="L3935" s="36"/>
      <c r="M3935" s="36"/>
      <c r="N3935" s="36"/>
      <c r="O3935" s="36"/>
      <c r="P3935" s="36"/>
      <c r="Q3935" s="36"/>
      <c r="R3935" s="36"/>
      <c r="S3935" s="36"/>
      <c r="T3935" s="36"/>
      <c r="U3935" s="36"/>
      <c r="V3935" s="36"/>
      <c r="W3935" s="15">
        <f t="shared" si="340"/>
        <v>0</v>
      </c>
      <c r="X3935" s="36"/>
      <c r="Y3935" s="36"/>
      <c r="Z3935" s="36"/>
      <c r="AA3935" s="36">
        <v>400</v>
      </c>
      <c r="AB3935" s="36"/>
      <c r="AC3935" s="36"/>
      <c r="AD3935" s="36"/>
      <c r="AE3935" s="36"/>
      <c r="AF3935" s="36"/>
      <c r="AG3935" s="36"/>
      <c r="AH3935" s="36"/>
      <c r="AI3935" s="36"/>
      <c r="AJ3935" s="15">
        <f t="shared" si="341"/>
        <v>400</v>
      </c>
      <c r="AK3935" s="14"/>
      <c r="AL3935" s="14"/>
      <c r="AM3935" s="14"/>
      <c r="AN3935" s="14"/>
      <c r="AO3935" s="14"/>
      <c r="AP3935" s="14"/>
      <c r="AQ3935" s="14"/>
      <c r="AR3935" s="14"/>
      <c r="AS3935" s="14"/>
      <c r="AT3935" s="14"/>
      <c r="AU3935" s="14"/>
      <c r="AV3935" s="14"/>
      <c r="AW3935" s="15"/>
      <c r="AX3935" s="16"/>
    </row>
    <row r="3936" spans="2:50" x14ac:dyDescent="0.2">
      <c r="B3936" s="7"/>
      <c r="C3936" s="8">
        <v>14278</v>
      </c>
      <c r="D3936" s="9" t="s">
        <v>168</v>
      </c>
      <c r="E3936" s="10" t="str">
        <f t="shared" si="344"/>
        <v>Rancho Upácuaro No. 73, A</v>
      </c>
      <c r="F3936" s="10" t="str">
        <f t="shared" si="345"/>
        <v>Ortega</v>
      </c>
      <c r="G3936" s="8">
        <v>1</v>
      </c>
      <c r="H3936" s="11">
        <v>200</v>
      </c>
      <c r="I3936" s="12">
        <v>42841</v>
      </c>
      <c r="J3936" s="35">
        <f t="shared" si="339"/>
        <v>0</v>
      </c>
      <c r="K3936" s="36"/>
      <c r="L3936" s="36"/>
      <c r="M3936" s="36"/>
      <c r="N3936" s="36"/>
      <c r="O3936" s="36"/>
      <c r="P3936" s="36"/>
      <c r="Q3936" s="36"/>
      <c r="R3936" s="36"/>
      <c r="S3936" s="36"/>
      <c r="T3936" s="36"/>
      <c r="U3936" s="36"/>
      <c r="V3936" s="36"/>
      <c r="W3936" s="15">
        <f t="shared" si="340"/>
        <v>0</v>
      </c>
      <c r="X3936" s="36"/>
      <c r="Y3936" s="36">
        <v>200</v>
      </c>
      <c r="Z3936" s="36"/>
      <c r="AA3936" s="36"/>
      <c r="AB3936" s="36"/>
      <c r="AC3936" s="36"/>
      <c r="AD3936" s="36"/>
      <c r="AE3936" s="36"/>
      <c r="AF3936" s="36"/>
      <c r="AG3936" s="36"/>
      <c r="AH3936" s="36"/>
      <c r="AI3936" s="36"/>
      <c r="AJ3936" s="15">
        <f t="shared" si="341"/>
        <v>200</v>
      </c>
      <c r="AK3936" s="14"/>
      <c r="AL3936" s="14"/>
      <c r="AM3936" s="14"/>
      <c r="AN3936" s="14"/>
      <c r="AO3936" s="14"/>
      <c r="AP3936" s="14"/>
      <c r="AQ3936" s="14"/>
      <c r="AR3936" s="14"/>
      <c r="AS3936" s="14"/>
      <c r="AT3936" s="14"/>
      <c r="AU3936" s="14"/>
      <c r="AV3936" s="14"/>
      <c r="AW3936" s="15"/>
      <c r="AX3936" s="16"/>
    </row>
    <row r="3937" spans="2:50" x14ac:dyDescent="0.2">
      <c r="B3937" s="7"/>
      <c r="C3937" s="8">
        <v>14279</v>
      </c>
      <c r="D3937" s="9" t="s">
        <v>235</v>
      </c>
      <c r="E3937" s="10" t="str">
        <f t="shared" si="344"/>
        <v>Rancho La Cuchilla No. 43, A</v>
      </c>
      <c r="F3937" s="10" t="str">
        <f t="shared" si="345"/>
        <v>De la Rosa</v>
      </c>
      <c r="G3937" s="8">
        <v>1</v>
      </c>
      <c r="H3937" s="11">
        <v>400</v>
      </c>
      <c r="I3937" s="12">
        <v>42841</v>
      </c>
      <c r="J3937" s="35">
        <f t="shared" si="339"/>
        <v>0</v>
      </c>
      <c r="K3937" s="36"/>
      <c r="L3937" s="36"/>
      <c r="M3937" s="36"/>
      <c r="N3937" s="36"/>
      <c r="O3937" s="36"/>
      <c r="P3937" s="36"/>
      <c r="Q3937" s="36"/>
      <c r="R3937" s="36"/>
      <c r="S3937" s="36"/>
      <c r="T3937" s="36"/>
      <c r="U3937" s="36"/>
      <c r="V3937" s="36"/>
      <c r="W3937" s="15">
        <f t="shared" si="340"/>
        <v>0</v>
      </c>
      <c r="X3937" s="36"/>
      <c r="Y3937" s="36"/>
      <c r="Z3937" s="36"/>
      <c r="AA3937" s="36">
        <v>400</v>
      </c>
      <c r="AB3937" s="36"/>
      <c r="AC3937" s="36"/>
      <c r="AD3937" s="36"/>
      <c r="AE3937" s="36"/>
      <c r="AF3937" s="36"/>
      <c r="AG3937" s="36"/>
      <c r="AH3937" s="36"/>
      <c r="AI3937" s="36"/>
      <c r="AJ3937" s="15">
        <f t="shared" si="341"/>
        <v>400</v>
      </c>
      <c r="AK3937" s="14"/>
      <c r="AL3937" s="14"/>
      <c r="AM3937" s="14"/>
      <c r="AN3937" s="14"/>
      <c r="AO3937" s="14"/>
      <c r="AP3937" s="14"/>
      <c r="AQ3937" s="14"/>
      <c r="AR3937" s="14"/>
      <c r="AS3937" s="14"/>
      <c r="AT3937" s="14"/>
      <c r="AU3937" s="14"/>
      <c r="AV3937" s="14"/>
      <c r="AW3937" s="15"/>
      <c r="AX3937" s="16"/>
    </row>
    <row r="3938" spans="2:50" x14ac:dyDescent="0.2">
      <c r="B3938" s="7"/>
      <c r="C3938" s="8">
        <v>14280</v>
      </c>
      <c r="D3938" s="9" t="s">
        <v>376</v>
      </c>
      <c r="E3938" s="10" t="str">
        <f t="shared" si="344"/>
        <v>Rancho Estanzuela No. 33</v>
      </c>
      <c r="F3938" s="10" t="str">
        <f t="shared" si="345"/>
        <v>Arauz</v>
      </c>
      <c r="G3938" s="8">
        <v>5</v>
      </c>
      <c r="H3938" s="11">
        <v>50</v>
      </c>
      <c r="I3938" s="12">
        <v>42841</v>
      </c>
      <c r="J3938" s="35">
        <f t="shared" si="339"/>
        <v>0</v>
      </c>
      <c r="K3938" s="36"/>
      <c r="L3938" s="36"/>
      <c r="M3938" s="36"/>
      <c r="N3938" s="36"/>
      <c r="O3938" s="36"/>
      <c r="P3938" s="36"/>
      <c r="Q3938" s="36"/>
      <c r="R3938" s="36"/>
      <c r="S3938" s="36"/>
      <c r="T3938" s="36"/>
      <c r="U3938" s="36"/>
      <c r="V3938" s="36"/>
      <c r="W3938" s="15">
        <f t="shared" si="340"/>
        <v>0</v>
      </c>
      <c r="X3938" s="36"/>
      <c r="Y3938" s="36"/>
      <c r="Z3938" s="36"/>
      <c r="AA3938" s="36"/>
      <c r="AB3938" s="36"/>
      <c r="AC3938" s="36"/>
      <c r="AD3938" s="36"/>
      <c r="AE3938" s="36"/>
      <c r="AF3938" s="36"/>
      <c r="AG3938" s="36"/>
      <c r="AH3938" s="36"/>
      <c r="AI3938" s="36"/>
      <c r="AJ3938" s="15">
        <f t="shared" si="341"/>
        <v>0</v>
      </c>
      <c r="AK3938" s="14"/>
      <c r="AL3938" s="14"/>
      <c r="AM3938" s="14"/>
      <c r="AN3938" s="14"/>
      <c r="AO3938" s="14"/>
      <c r="AP3938" s="14"/>
      <c r="AQ3938" s="14"/>
      <c r="AR3938" s="14"/>
      <c r="AS3938" s="14"/>
      <c r="AT3938" s="14"/>
      <c r="AU3938" s="14"/>
      <c r="AV3938" s="14"/>
      <c r="AW3938" s="15"/>
      <c r="AX3938" s="16"/>
    </row>
    <row r="3939" spans="2:50" x14ac:dyDescent="0.2">
      <c r="B3939" s="7"/>
      <c r="C3939" s="8">
        <v>14281</v>
      </c>
      <c r="D3939" s="9" t="s">
        <v>810</v>
      </c>
      <c r="E3939" s="10" t="str">
        <f t="shared" si="344"/>
        <v>Rancho La Cuchilla No. 90</v>
      </c>
      <c r="F3939" s="10" t="str">
        <f t="shared" si="345"/>
        <v>Porras Fuentes</v>
      </c>
      <c r="G3939" s="8">
        <v>5</v>
      </c>
      <c r="H3939" s="11">
        <v>50</v>
      </c>
      <c r="I3939" s="12">
        <v>42841</v>
      </c>
      <c r="J3939" s="35">
        <f t="shared" si="339"/>
        <v>0</v>
      </c>
      <c r="K3939" s="36"/>
      <c r="L3939" s="36"/>
      <c r="M3939" s="36"/>
      <c r="N3939" s="36"/>
      <c r="O3939" s="36"/>
      <c r="P3939" s="36"/>
      <c r="Q3939" s="36"/>
      <c r="R3939" s="36"/>
      <c r="S3939" s="36"/>
      <c r="T3939" s="36"/>
      <c r="U3939" s="36"/>
      <c r="V3939" s="36"/>
      <c r="W3939" s="15">
        <f t="shared" si="340"/>
        <v>0</v>
      </c>
      <c r="X3939" s="36"/>
      <c r="Y3939" s="36"/>
      <c r="Z3939" s="36"/>
      <c r="AA3939" s="36"/>
      <c r="AB3939" s="36"/>
      <c r="AC3939" s="36"/>
      <c r="AD3939" s="36"/>
      <c r="AE3939" s="36"/>
      <c r="AF3939" s="36"/>
      <c r="AG3939" s="36"/>
      <c r="AH3939" s="36"/>
      <c r="AI3939" s="36"/>
      <c r="AJ3939" s="15">
        <f t="shared" si="341"/>
        <v>0</v>
      </c>
      <c r="AK3939" s="14"/>
      <c r="AL3939" s="14"/>
      <c r="AM3939" s="14"/>
      <c r="AN3939" s="14"/>
      <c r="AO3939" s="14"/>
      <c r="AP3939" s="14"/>
      <c r="AQ3939" s="14"/>
      <c r="AR3939" s="14"/>
      <c r="AS3939" s="14"/>
      <c r="AT3939" s="14"/>
      <c r="AU3939" s="14"/>
      <c r="AV3939" s="14"/>
      <c r="AW3939" s="15"/>
      <c r="AX3939" s="316">
        <f>SUM(H3909:H3939)</f>
        <v>9750</v>
      </c>
    </row>
    <row r="3940" spans="2:50" x14ac:dyDescent="0.2">
      <c r="B3940" s="7"/>
      <c r="C3940" s="8">
        <v>14282</v>
      </c>
      <c r="D3940" s="9" t="s">
        <v>238</v>
      </c>
      <c r="E3940" s="10" t="str">
        <f t="shared" ref="E3940:E3950" si="346">IF(D3940=0,"",VLOOKUP(D3940,BASE,2,FALSE))</f>
        <v>Rancho La Cuchilla No. 43, B</v>
      </c>
      <c r="F3940" s="10" t="str">
        <f t="shared" ref="F3940:F3950" si="347">IF(D3940=0,"",VLOOKUP(D3940,BASE,3,FALSE))</f>
        <v>Luna Albertano</v>
      </c>
      <c r="G3940" s="8">
        <v>3</v>
      </c>
      <c r="H3940" s="315">
        <v>200</v>
      </c>
      <c r="I3940" s="12">
        <v>42842</v>
      </c>
      <c r="J3940" s="35">
        <f t="shared" ref="J3940:J3950" si="348">IF(G3940=1,SUM(W3940,AJ3940,-H3940),0)</f>
        <v>0</v>
      </c>
      <c r="K3940" s="36"/>
      <c r="L3940" s="36"/>
      <c r="M3940" s="36"/>
      <c r="N3940" s="36"/>
      <c r="O3940" s="36"/>
      <c r="P3940" s="36"/>
      <c r="Q3940" s="36"/>
      <c r="R3940" s="36"/>
      <c r="S3940" s="36"/>
      <c r="T3940" s="36"/>
      <c r="U3940" s="36"/>
      <c r="V3940" s="36"/>
      <c r="W3940" s="15">
        <f t="shared" ref="W3940:W3950" si="349">SUM(K3940:V3940)</f>
        <v>0</v>
      </c>
      <c r="X3940" s="36"/>
      <c r="Y3940" s="36"/>
      <c r="Z3940" s="36"/>
      <c r="AA3940" s="36"/>
      <c r="AB3940" s="36"/>
      <c r="AC3940" s="36"/>
      <c r="AD3940" s="36"/>
      <c r="AE3940" s="36"/>
      <c r="AF3940" s="36"/>
      <c r="AG3940" s="36"/>
      <c r="AH3940" s="36"/>
      <c r="AI3940" s="36"/>
      <c r="AJ3940" s="15">
        <f t="shared" ref="AJ3940:AJ3950" si="350">SUM(X3940:AI3940)</f>
        <v>0</v>
      </c>
      <c r="AK3940" s="14"/>
      <c r="AL3940" s="14"/>
      <c r="AM3940" s="14"/>
      <c r="AN3940" s="14"/>
      <c r="AO3940" s="14"/>
      <c r="AP3940" s="14"/>
      <c r="AQ3940" s="14"/>
      <c r="AR3940" s="14"/>
      <c r="AS3940" s="14"/>
      <c r="AT3940" s="14"/>
      <c r="AU3940" s="14"/>
      <c r="AV3940" s="14"/>
      <c r="AW3940" s="15"/>
      <c r="AX3940" s="16"/>
    </row>
    <row r="3941" spans="2:50" x14ac:dyDescent="0.2">
      <c r="B3941" s="7"/>
      <c r="C3941" s="8">
        <v>14283</v>
      </c>
      <c r="D3941" s="9" t="s">
        <v>244</v>
      </c>
      <c r="E3941" s="10" t="str">
        <f t="shared" si="346"/>
        <v>Rancho La Cuchilla No. 28</v>
      </c>
      <c r="F3941" s="10" t="str">
        <f t="shared" si="347"/>
        <v>Prado de los S.</v>
      </c>
      <c r="G3941" s="8">
        <v>5</v>
      </c>
      <c r="H3941" s="11">
        <v>100</v>
      </c>
      <c r="I3941" s="12">
        <v>42842</v>
      </c>
      <c r="J3941" s="35">
        <f t="shared" si="348"/>
        <v>0</v>
      </c>
      <c r="K3941" s="36"/>
      <c r="L3941" s="36"/>
      <c r="M3941" s="36"/>
      <c r="N3941" s="36"/>
      <c r="O3941" s="36"/>
      <c r="P3941" s="36"/>
      <c r="Q3941" s="36"/>
      <c r="R3941" s="36"/>
      <c r="S3941" s="36"/>
      <c r="T3941" s="36"/>
      <c r="U3941" s="36"/>
      <c r="V3941" s="36"/>
      <c r="W3941" s="15">
        <f t="shared" si="349"/>
        <v>0</v>
      </c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15">
        <f t="shared" si="350"/>
        <v>0</v>
      </c>
      <c r="AK3941" s="14"/>
      <c r="AL3941" s="14"/>
      <c r="AM3941" s="14"/>
      <c r="AN3941" s="14"/>
      <c r="AO3941" s="14"/>
      <c r="AP3941" s="14"/>
      <c r="AQ3941" s="14"/>
      <c r="AR3941" s="14"/>
      <c r="AS3941" s="14"/>
      <c r="AT3941" s="14"/>
      <c r="AU3941" s="14"/>
      <c r="AV3941" s="14"/>
      <c r="AW3941" s="15"/>
      <c r="AX3941" s="16"/>
    </row>
    <row r="3942" spans="2:50" x14ac:dyDescent="0.2">
      <c r="B3942" s="7"/>
      <c r="C3942" s="8">
        <v>14284</v>
      </c>
      <c r="D3942" s="9" t="s">
        <v>205</v>
      </c>
      <c r="E3942" s="10" t="str">
        <f t="shared" si="346"/>
        <v>Rancho Landero No. 1, A</v>
      </c>
      <c r="F3942" s="10" t="str">
        <f t="shared" si="347"/>
        <v>Ebysos</v>
      </c>
      <c r="G3942" s="8">
        <v>3</v>
      </c>
      <c r="H3942" s="11">
        <v>200</v>
      </c>
      <c r="I3942" s="12">
        <v>42845</v>
      </c>
      <c r="J3942" s="35">
        <f t="shared" si="348"/>
        <v>0</v>
      </c>
      <c r="K3942" s="36"/>
      <c r="L3942" s="36"/>
      <c r="M3942" s="36"/>
      <c r="N3942" s="36"/>
      <c r="O3942" s="36"/>
      <c r="P3942" s="36"/>
      <c r="Q3942" s="36"/>
      <c r="R3942" s="36"/>
      <c r="S3942" s="36"/>
      <c r="T3942" s="36"/>
      <c r="U3942" s="36"/>
      <c r="V3942" s="36"/>
      <c r="W3942" s="15">
        <f t="shared" si="349"/>
        <v>0</v>
      </c>
      <c r="X3942" s="36"/>
      <c r="Y3942" s="36"/>
      <c r="Z3942" s="36"/>
      <c r="AA3942" s="36"/>
      <c r="AB3942" s="36"/>
      <c r="AC3942" s="36"/>
      <c r="AD3942" s="36"/>
      <c r="AE3942" s="36"/>
      <c r="AF3942" s="36"/>
      <c r="AG3942" s="36"/>
      <c r="AH3942" s="36"/>
      <c r="AI3942" s="36"/>
      <c r="AJ3942" s="15">
        <f t="shared" si="350"/>
        <v>0</v>
      </c>
      <c r="AK3942" s="14"/>
      <c r="AL3942" s="14"/>
      <c r="AM3942" s="14"/>
      <c r="AN3942" s="14"/>
      <c r="AO3942" s="14"/>
      <c r="AP3942" s="14"/>
      <c r="AQ3942" s="14"/>
      <c r="AR3942" s="14"/>
      <c r="AS3942" s="14"/>
      <c r="AT3942" s="14"/>
      <c r="AU3942" s="14"/>
      <c r="AV3942" s="14"/>
      <c r="AW3942" s="15"/>
      <c r="AX3942" s="16"/>
    </row>
    <row r="3943" spans="2:50" x14ac:dyDescent="0.2">
      <c r="B3943" s="7"/>
      <c r="C3943" s="8">
        <v>14285</v>
      </c>
      <c r="D3943" s="9" t="s">
        <v>322</v>
      </c>
      <c r="E3943" s="10" t="str">
        <f t="shared" si="346"/>
        <v>Rancho Zinamba No. 8</v>
      </c>
      <c r="F3943" s="10" t="str">
        <f t="shared" si="347"/>
        <v>Florido</v>
      </c>
      <c r="G3943" s="8">
        <v>1</v>
      </c>
      <c r="H3943" s="11">
        <v>400</v>
      </c>
      <c r="I3943" s="12">
        <v>42845</v>
      </c>
      <c r="J3943" s="35">
        <f t="shared" si="348"/>
        <v>0</v>
      </c>
      <c r="K3943" s="36"/>
      <c r="L3943" s="36"/>
      <c r="M3943" s="36"/>
      <c r="N3943" s="36"/>
      <c r="O3943" s="36"/>
      <c r="P3943" s="36"/>
      <c r="Q3943" s="36"/>
      <c r="R3943" s="36"/>
      <c r="S3943" s="36"/>
      <c r="T3943" s="36"/>
      <c r="U3943" s="36"/>
      <c r="V3943" s="36"/>
      <c r="W3943" s="15">
        <f t="shared" si="349"/>
        <v>0</v>
      </c>
      <c r="X3943" s="36"/>
      <c r="Y3943" s="36"/>
      <c r="Z3943" s="36"/>
      <c r="AA3943" s="36">
        <v>400</v>
      </c>
      <c r="AB3943" s="36"/>
      <c r="AC3943" s="36"/>
      <c r="AD3943" s="36"/>
      <c r="AE3943" s="36"/>
      <c r="AF3943" s="36"/>
      <c r="AG3943" s="36"/>
      <c r="AH3943" s="36"/>
      <c r="AI3943" s="36"/>
      <c r="AJ3943" s="15">
        <f t="shared" si="350"/>
        <v>400</v>
      </c>
      <c r="AK3943" s="14"/>
      <c r="AL3943" s="14"/>
      <c r="AM3943" s="14"/>
      <c r="AN3943" s="14"/>
      <c r="AO3943" s="14"/>
      <c r="AP3943" s="14"/>
      <c r="AQ3943" s="14"/>
      <c r="AR3943" s="14"/>
      <c r="AS3943" s="14"/>
      <c r="AT3943" s="14"/>
      <c r="AU3943" s="14"/>
      <c r="AV3943" s="14"/>
      <c r="AW3943" s="15"/>
      <c r="AX3943" s="16"/>
    </row>
    <row r="3944" spans="2:50" x14ac:dyDescent="0.2">
      <c r="B3944" s="7"/>
      <c r="C3944" s="8">
        <v>14285</v>
      </c>
      <c r="D3944" s="9" t="s">
        <v>322</v>
      </c>
      <c r="E3944" s="10" t="str">
        <f t="shared" si="346"/>
        <v>Rancho Zinamba No. 8</v>
      </c>
      <c r="F3944" s="10" t="str">
        <f t="shared" si="347"/>
        <v>Florido</v>
      </c>
      <c r="G3944" s="8">
        <v>4</v>
      </c>
      <c r="H3944" s="11">
        <v>200</v>
      </c>
      <c r="I3944" s="12">
        <v>42845</v>
      </c>
      <c r="J3944" s="35">
        <f t="shared" si="348"/>
        <v>0</v>
      </c>
      <c r="K3944" s="36"/>
      <c r="L3944" s="36"/>
      <c r="M3944" s="36"/>
      <c r="N3944" s="36"/>
      <c r="O3944" s="36"/>
      <c r="P3944" s="36"/>
      <c r="Q3944" s="36"/>
      <c r="R3944" s="36"/>
      <c r="S3944" s="36"/>
      <c r="T3944" s="36"/>
      <c r="U3944" s="36"/>
      <c r="V3944" s="36"/>
      <c r="W3944" s="15">
        <f t="shared" si="349"/>
        <v>0</v>
      </c>
      <c r="X3944" s="36"/>
      <c r="Y3944" s="36"/>
      <c r="Z3944" s="36"/>
      <c r="AA3944" s="36"/>
      <c r="AB3944" s="36"/>
      <c r="AC3944" s="36"/>
      <c r="AD3944" s="36"/>
      <c r="AE3944" s="36"/>
      <c r="AF3944" s="36"/>
      <c r="AG3944" s="36"/>
      <c r="AH3944" s="36"/>
      <c r="AI3944" s="36"/>
      <c r="AJ3944" s="15">
        <f t="shared" si="350"/>
        <v>0</v>
      </c>
      <c r="AK3944" s="14"/>
      <c r="AL3944" s="14"/>
      <c r="AM3944" s="14"/>
      <c r="AN3944" s="14"/>
      <c r="AO3944" s="14"/>
      <c r="AP3944" s="14"/>
      <c r="AQ3944" s="14"/>
      <c r="AR3944" s="14"/>
      <c r="AS3944" s="14"/>
      <c r="AT3944" s="14"/>
      <c r="AU3944" s="14"/>
      <c r="AV3944" s="14"/>
      <c r="AW3944" s="15"/>
      <c r="AX3944" s="16" t="s">
        <v>3883</v>
      </c>
    </row>
    <row r="3945" spans="2:50" x14ac:dyDescent="0.2">
      <c r="B3945" s="7"/>
      <c r="C3945" s="8">
        <v>14286</v>
      </c>
      <c r="D3945" s="9" t="s">
        <v>611</v>
      </c>
      <c r="E3945" s="10" t="str">
        <f t="shared" si="346"/>
        <v>Rancho Estanzuela No. 47</v>
      </c>
      <c r="F3945" s="10" t="str">
        <f t="shared" si="347"/>
        <v>Bussey García</v>
      </c>
      <c r="G3945" s="8">
        <v>1</v>
      </c>
      <c r="H3945" s="11">
        <v>400</v>
      </c>
      <c r="I3945" s="12">
        <v>42845</v>
      </c>
      <c r="J3945" s="35">
        <f t="shared" si="348"/>
        <v>0</v>
      </c>
      <c r="K3945" s="36"/>
      <c r="L3945" s="36"/>
      <c r="M3945" s="36"/>
      <c r="N3945" s="36"/>
      <c r="O3945" s="36"/>
      <c r="P3945" s="36"/>
      <c r="Q3945" s="36"/>
      <c r="R3945" s="36"/>
      <c r="S3945" s="36"/>
      <c r="T3945" s="36"/>
      <c r="U3945" s="36"/>
      <c r="V3945" s="36"/>
      <c r="W3945" s="15">
        <f t="shared" si="349"/>
        <v>0</v>
      </c>
      <c r="X3945" s="36"/>
      <c r="Y3945" s="36"/>
      <c r="Z3945" s="36"/>
      <c r="AA3945" s="36">
        <v>400</v>
      </c>
      <c r="AB3945" s="36"/>
      <c r="AC3945" s="36"/>
      <c r="AD3945" s="36"/>
      <c r="AE3945" s="36"/>
      <c r="AF3945" s="36"/>
      <c r="AG3945" s="36"/>
      <c r="AH3945" s="36"/>
      <c r="AI3945" s="36"/>
      <c r="AJ3945" s="15">
        <f t="shared" si="350"/>
        <v>400</v>
      </c>
      <c r="AK3945" s="14"/>
      <c r="AL3945" s="14"/>
      <c r="AM3945" s="14"/>
      <c r="AN3945" s="14"/>
      <c r="AO3945" s="14"/>
      <c r="AP3945" s="14"/>
      <c r="AQ3945" s="14"/>
      <c r="AR3945" s="14"/>
      <c r="AS3945" s="14"/>
      <c r="AT3945" s="14"/>
      <c r="AU3945" s="14"/>
      <c r="AV3945" s="14"/>
      <c r="AW3945" s="15"/>
      <c r="AX3945" s="16"/>
    </row>
    <row r="3946" spans="2:50" x14ac:dyDescent="0.2">
      <c r="B3946" s="7"/>
      <c r="C3946" s="8">
        <v>14287</v>
      </c>
      <c r="D3946" s="9" t="s">
        <v>1100</v>
      </c>
      <c r="E3946" s="10" t="str">
        <f t="shared" si="346"/>
        <v>Rancho Upácuaro No. 45</v>
      </c>
      <c r="F3946" s="10" t="str">
        <f t="shared" si="347"/>
        <v>Enrique Vázquez</v>
      </c>
      <c r="G3946" s="8">
        <v>1</v>
      </c>
      <c r="H3946" s="11">
        <v>300</v>
      </c>
      <c r="I3946" s="12">
        <v>42847</v>
      </c>
      <c r="J3946" s="35">
        <f t="shared" si="348"/>
        <v>0</v>
      </c>
      <c r="K3946" s="36"/>
      <c r="L3946" s="36"/>
      <c r="M3946" s="36"/>
      <c r="N3946" s="36"/>
      <c r="O3946" s="36"/>
      <c r="P3946" s="36"/>
      <c r="Q3946" s="36"/>
      <c r="R3946" s="36"/>
      <c r="S3946" s="36"/>
      <c r="T3946" s="36"/>
      <c r="U3946" s="36"/>
      <c r="V3946" s="36"/>
      <c r="W3946" s="15">
        <f t="shared" si="349"/>
        <v>0</v>
      </c>
      <c r="X3946" s="36"/>
      <c r="Y3946" s="36">
        <v>100</v>
      </c>
      <c r="Z3946" s="36">
        <v>100</v>
      </c>
      <c r="AA3946" s="36">
        <v>100</v>
      </c>
      <c r="AB3946" s="36"/>
      <c r="AC3946" s="36"/>
      <c r="AD3946" s="36"/>
      <c r="AE3946" s="36"/>
      <c r="AF3946" s="36"/>
      <c r="AG3946" s="36"/>
      <c r="AH3946" s="36"/>
      <c r="AI3946" s="36"/>
      <c r="AJ3946" s="15">
        <f t="shared" si="350"/>
        <v>300</v>
      </c>
      <c r="AK3946" s="14"/>
      <c r="AL3946" s="14"/>
      <c r="AM3946" s="14"/>
      <c r="AN3946" s="14"/>
      <c r="AO3946" s="14"/>
      <c r="AP3946" s="14"/>
      <c r="AQ3946" s="14"/>
      <c r="AR3946" s="14"/>
      <c r="AS3946" s="14"/>
      <c r="AT3946" s="14"/>
      <c r="AU3946" s="14"/>
      <c r="AV3946" s="14"/>
      <c r="AW3946" s="15"/>
      <c r="AX3946" s="16"/>
    </row>
    <row r="3947" spans="2:50" x14ac:dyDescent="0.2">
      <c r="B3947" s="7"/>
      <c r="C3947" s="8">
        <v>14288</v>
      </c>
      <c r="D3947" s="9" t="s">
        <v>562</v>
      </c>
      <c r="E3947" s="10" t="str">
        <f t="shared" si="346"/>
        <v>Rancho Upácuaro No. 87</v>
      </c>
      <c r="F3947" s="10" t="str">
        <f t="shared" si="347"/>
        <v>Rodríguez Parés</v>
      </c>
      <c r="G3947" s="8">
        <v>1</v>
      </c>
      <c r="H3947" s="11">
        <v>400</v>
      </c>
      <c r="I3947" s="12">
        <v>42848</v>
      </c>
      <c r="J3947" s="35">
        <f t="shared" si="348"/>
        <v>0</v>
      </c>
      <c r="K3947" s="36"/>
      <c r="L3947" s="36"/>
      <c r="M3947" s="36"/>
      <c r="N3947" s="36"/>
      <c r="O3947" s="36"/>
      <c r="P3947" s="36"/>
      <c r="Q3947" s="36"/>
      <c r="R3947" s="36"/>
      <c r="S3947" s="36"/>
      <c r="T3947" s="36"/>
      <c r="U3947" s="36"/>
      <c r="V3947" s="36"/>
      <c r="W3947" s="15">
        <f t="shared" si="349"/>
        <v>0</v>
      </c>
      <c r="X3947" s="36"/>
      <c r="Y3947" s="36"/>
      <c r="Z3947" s="36"/>
      <c r="AA3947" s="36">
        <v>400</v>
      </c>
      <c r="AB3947" s="36"/>
      <c r="AC3947" s="36"/>
      <c r="AD3947" s="36"/>
      <c r="AE3947" s="36"/>
      <c r="AF3947" s="36"/>
      <c r="AG3947" s="36"/>
      <c r="AH3947" s="36"/>
      <c r="AI3947" s="36"/>
      <c r="AJ3947" s="15">
        <f t="shared" si="350"/>
        <v>400</v>
      </c>
      <c r="AK3947" s="14"/>
      <c r="AL3947" s="14"/>
      <c r="AM3947" s="14"/>
      <c r="AN3947" s="14"/>
      <c r="AO3947" s="14"/>
      <c r="AP3947" s="14"/>
      <c r="AQ3947" s="14"/>
      <c r="AR3947" s="14"/>
      <c r="AS3947" s="14"/>
      <c r="AT3947" s="14"/>
      <c r="AU3947" s="14"/>
      <c r="AV3947" s="14"/>
      <c r="AW3947" s="15"/>
      <c r="AX3947" s="16"/>
    </row>
    <row r="3948" spans="2:50" x14ac:dyDescent="0.2">
      <c r="B3948" s="7"/>
      <c r="C3948" s="8">
        <v>14289</v>
      </c>
      <c r="D3948" s="9" t="s">
        <v>488</v>
      </c>
      <c r="E3948" s="10" t="str">
        <f t="shared" si="346"/>
        <v>Rancho Landero No. 85</v>
      </c>
      <c r="F3948" s="10" t="str">
        <f t="shared" si="347"/>
        <v>Martínez Olague</v>
      </c>
      <c r="G3948" s="8">
        <v>1</v>
      </c>
      <c r="H3948" s="11">
        <v>400</v>
      </c>
      <c r="I3948" s="12">
        <v>42848</v>
      </c>
      <c r="J3948" s="35">
        <f t="shared" si="348"/>
        <v>0</v>
      </c>
      <c r="K3948" s="36"/>
      <c r="L3948" s="36"/>
      <c r="M3948" s="36"/>
      <c r="N3948" s="36"/>
      <c r="O3948" s="36"/>
      <c r="P3948" s="36"/>
      <c r="Q3948" s="36"/>
      <c r="R3948" s="36"/>
      <c r="S3948" s="36"/>
      <c r="T3948" s="36"/>
      <c r="U3948" s="36"/>
      <c r="V3948" s="36"/>
      <c r="W3948" s="15">
        <f t="shared" si="349"/>
        <v>0</v>
      </c>
      <c r="X3948" s="36"/>
      <c r="Y3948" s="36"/>
      <c r="Z3948" s="36"/>
      <c r="AA3948" s="36">
        <v>400</v>
      </c>
      <c r="AB3948" s="36"/>
      <c r="AC3948" s="36"/>
      <c r="AD3948" s="36"/>
      <c r="AE3948" s="36"/>
      <c r="AF3948" s="36"/>
      <c r="AG3948" s="36"/>
      <c r="AH3948" s="36"/>
      <c r="AI3948" s="36"/>
      <c r="AJ3948" s="15">
        <f t="shared" si="350"/>
        <v>400</v>
      </c>
      <c r="AK3948" s="14"/>
      <c r="AL3948" s="14"/>
      <c r="AM3948" s="14"/>
      <c r="AN3948" s="14"/>
      <c r="AO3948" s="14"/>
      <c r="AP3948" s="14"/>
      <c r="AQ3948" s="14"/>
      <c r="AR3948" s="14"/>
      <c r="AS3948" s="14"/>
      <c r="AT3948" s="14"/>
      <c r="AU3948" s="14"/>
      <c r="AV3948" s="14"/>
      <c r="AW3948" s="15"/>
      <c r="AX3948" s="16"/>
    </row>
    <row r="3949" spans="2:50" x14ac:dyDescent="0.2">
      <c r="B3949" s="7"/>
      <c r="C3949" s="8">
        <v>14290</v>
      </c>
      <c r="D3949" s="9" t="s">
        <v>625</v>
      </c>
      <c r="E3949" s="10" t="str">
        <f t="shared" si="346"/>
        <v>Rancho Upácuaro No. 60</v>
      </c>
      <c r="F3949" s="10" t="str">
        <f t="shared" si="347"/>
        <v>Zavala</v>
      </c>
      <c r="G3949" s="8">
        <v>1</v>
      </c>
      <c r="H3949" s="11">
        <v>400</v>
      </c>
      <c r="I3949" s="12">
        <v>42848</v>
      </c>
      <c r="J3949" s="35">
        <f t="shared" si="348"/>
        <v>0</v>
      </c>
      <c r="K3949" s="36"/>
      <c r="L3949" s="36"/>
      <c r="M3949" s="36"/>
      <c r="N3949" s="36"/>
      <c r="O3949" s="36"/>
      <c r="P3949" s="36"/>
      <c r="Q3949" s="36"/>
      <c r="R3949" s="36"/>
      <c r="S3949" s="36"/>
      <c r="T3949" s="36"/>
      <c r="U3949" s="36"/>
      <c r="V3949" s="36"/>
      <c r="W3949" s="15">
        <f t="shared" si="349"/>
        <v>0</v>
      </c>
      <c r="X3949" s="36"/>
      <c r="Y3949" s="36"/>
      <c r="Z3949" s="36">
        <v>400</v>
      </c>
      <c r="AA3949" s="36"/>
      <c r="AB3949" s="36"/>
      <c r="AC3949" s="36"/>
      <c r="AD3949" s="36"/>
      <c r="AE3949" s="36"/>
      <c r="AF3949" s="36"/>
      <c r="AG3949" s="36"/>
      <c r="AH3949" s="36"/>
      <c r="AI3949" s="36"/>
      <c r="AJ3949" s="15">
        <f t="shared" si="350"/>
        <v>400</v>
      </c>
      <c r="AK3949" s="14"/>
      <c r="AL3949" s="14"/>
      <c r="AM3949" s="14"/>
      <c r="AN3949" s="14"/>
      <c r="AO3949" s="14"/>
      <c r="AP3949" s="14"/>
      <c r="AQ3949" s="14"/>
      <c r="AR3949" s="14"/>
      <c r="AS3949" s="14"/>
      <c r="AT3949" s="14"/>
      <c r="AU3949" s="14"/>
      <c r="AV3949" s="14"/>
      <c r="AW3949" s="15"/>
      <c r="AX3949" s="16"/>
    </row>
    <row r="3950" spans="2:50" x14ac:dyDescent="0.2">
      <c r="B3950" s="7"/>
      <c r="C3950" s="8">
        <v>14291</v>
      </c>
      <c r="D3950" s="9" t="s">
        <v>307</v>
      </c>
      <c r="E3950" s="10" t="str">
        <f t="shared" si="346"/>
        <v>Rancho Landero No. 83</v>
      </c>
      <c r="F3950" s="10" t="str">
        <f t="shared" si="347"/>
        <v>Aguilar</v>
      </c>
      <c r="G3950" s="8">
        <v>1</v>
      </c>
      <c r="H3950" s="11">
        <v>350</v>
      </c>
      <c r="I3950" s="12">
        <v>42848</v>
      </c>
      <c r="J3950" s="35">
        <f t="shared" si="348"/>
        <v>0</v>
      </c>
      <c r="K3950" s="36"/>
      <c r="L3950" s="36"/>
      <c r="M3950" s="36"/>
      <c r="N3950" s="36"/>
      <c r="O3950" s="36"/>
      <c r="P3950" s="36"/>
      <c r="Q3950" s="36"/>
      <c r="R3950" s="36"/>
      <c r="S3950" s="36"/>
      <c r="T3950" s="36"/>
      <c r="U3950" s="36"/>
      <c r="V3950" s="36"/>
      <c r="W3950" s="15">
        <f t="shared" si="349"/>
        <v>0</v>
      </c>
      <c r="X3950" s="36"/>
      <c r="Y3950" s="36"/>
      <c r="Z3950" s="36"/>
      <c r="AA3950" s="36">
        <v>350</v>
      </c>
      <c r="AB3950" s="36"/>
      <c r="AC3950" s="36"/>
      <c r="AD3950" s="36"/>
      <c r="AE3950" s="36"/>
      <c r="AF3950" s="36"/>
      <c r="AG3950" s="36"/>
      <c r="AH3950" s="36"/>
      <c r="AI3950" s="36"/>
      <c r="AJ3950" s="15">
        <f t="shared" si="350"/>
        <v>350</v>
      </c>
      <c r="AK3950" s="14"/>
      <c r="AL3950" s="14"/>
      <c r="AM3950" s="14"/>
      <c r="AN3950" s="14"/>
      <c r="AO3950" s="14"/>
      <c r="AP3950" s="14"/>
      <c r="AQ3950" s="14"/>
      <c r="AR3950" s="14"/>
      <c r="AS3950" s="14"/>
      <c r="AT3950" s="14"/>
      <c r="AU3950" s="14"/>
      <c r="AV3950" s="14"/>
      <c r="AW3950" s="15"/>
      <c r="AX3950" s="16"/>
    </row>
    <row r="3951" spans="2:50" x14ac:dyDescent="0.2">
      <c r="B3951" s="7"/>
      <c r="C3951" s="8">
        <v>14292</v>
      </c>
      <c r="D3951" s="9" t="s">
        <v>565</v>
      </c>
      <c r="E3951" s="10" t="str">
        <f t="shared" si="337"/>
        <v>Rancho Zinamba No. 62</v>
      </c>
      <c r="F3951" s="10" t="str">
        <f t="shared" si="338"/>
        <v>Martínez León</v>
      </c>
      <c r="G3951" s="8">
        <v>1</v>
      </c>
      <c r="H3951" s="11">
        <v>500</v>
      </c>
      <c r="I3951" s="12">
        <v>42848</v>
      </c>
      <c r="J3951" s="35">
        <f t="shared" si="339"/>
        <v>0</v>
      </c>
      <c r="K3951" s="36"/>
      <c r="L3951" s="36"/>
      <c r="M3951" s="36"/>
      <c r="N3951" s="36"/>
      <c r="O3951" s="36"/>
      <c r="P3951" s="36"/>
      <c r="Q3951" s="36"/>
      <c r="R3951" s="36"/>
      <c r="S3951" s="36"/>
      <c r="T3951" s="36"/>
      <c r="U3951" s="36"/>
      <c r="V3951" s="36"/>
      <c r="W3951" s="15">
        <f t="shared" si="340"/>
        <v>0</v>
      </c>
      <c r="X3951" s="36"/>
      <c r="Y3951" s="36">
        <v>250</v>
      </c>
      <c r="Z3951" s="36">
        <v>250</v>
      </c>
      <c r="AA3951" s="36"/>
      <c r="AB3951" s="36"/>
      <c r="AC3951" s="36"/>
      <c r="AD3951" s="36"/>
      <c r="AE3951" s="36"/>
      <c r="AF3951" s="36"/>
      <c r="AG3951" s="36"/>
      <c r="AH3951" s="36"/>
      <c r="AI3951" s="36"/>
      <c r="AJ3951" s="15">
        <f t="shared" si="341"/>
        <v>500</v>
      </c>
      <c r="AK3951" s="14"/>
      <c r="AL3951" s="14"/>
      <c r="AM3951" s="14"/>
      <c r="AN3951" s="14"/>
      <c r="AO3951" s="14"/>
      <c r="AP3951" s="14"/>
      <c r="AQ3951" s="14"/>
      <c r="AR3951" s="14"/>
      <c r="AS3951" s="14"/>
      <c r="AT3951" s="14"/>
      <c r="AU3951" s="14"/>
      <c r="AV3951" s="14"/>
      <c r="AW3951" s="15"/>
      <c r="AX3951" s="16"/>
    </row>
    <row r="3952" spans="2:50" x14ac:dyDescent="0.2">
      <c r="B3952" s="7"/>
      <c r="C3952" s="8">
        <v>14292</v>
      </c>
      <c r="D3952" s="9" t="s">
        <v>565</v>
      </c>
      <c r="E3952" s="10" t="str">
        <f t="shared" si="337"/>
        <v>Rancho Zinamba No. 62</v>
      </c>
      <c r="F3952" s="10" t="str">
        <f t="shared" si="338"/>
        <v>Martínez León</v>
      </c>
      <c r="G3952" s="8">
        <v>7</v>
      </c>
      <c r="H3952" s="11">
        <v>100</v>
      </c>
      <c r="I3952" s="12">
        <v>42848</v>
      </c>
      <c r="J3952" s="35">
        <f t="shared" si="339"/>
        <v>0</v>
      </c>
      <c r="K3952" s="36"/>
      <c r="L3952" s="36"/>
      <c r="M3952" s="36"/>
      <c r="N3952" s="36"/>
      <c r="O3952" s="36"/>
      <c r="P3952" s="36"/>
      <c r="Q3952" s="36"/>
      <c r="R3952" s="36"/>
      <c r="S3952" s="36"/>
      <c r="T3952" s="36"/>
      <c r="U3952" s="36"/>
      <c r="V3952" s="36"/>
      <c r="W3952" s="15">
        <f t="shared" si="340"/>
        <v>0</v>
      </c>
      <c r="X3952" s="36"/>
      <c r="Y3952" s="36"/>
      <c r="Z3952" s="36"/>
      <c r="AA3952" s="36"/>
      <c r="AB3952" s="36"/>
      <c r="AC3952" s="36"/>
      <c r="AD3952" s="36"/>
      <c r="AE3952" s="36"/>
      <c r="AF3952" s="36"/>
      <c r="AG3952" s="36"/>
      <c r="AH3952" s="36"/>
      <c r="AI3952" s="36"/>
      <c r="AJ3952" s="15">
        <f t="shared" si="341"/>
        <v>0</v>
      </c>
      <c r="AK3952" s="14"/>
      <c r="AL3952" s="14"/>
      <c r="AM3952" s="14"/>
      <c r="AN3952" s="14"/>
      <c r="AO3952" s="14"/>
      <c r="AP3952" s="14"/>
      <c r="AQ3952" s="14"/>
      <c r="AR3952" s="14"/>
      <c r="AS3952" s="14"/>
      <c r="AT3952" s="14"/>
      <c r="AU3952" s="14"/>
      <c r="AV3952" s="14"/>
      <c r="AW3952" s="15"/>
      <c r="AX3952" s="16" t="s">
        <v>3858</v>
      </c>
    </row>
    <row r="3953" spans="2:50" x14ac:dyDescent="0.2">
      <c r="B3953" s="7"/>
      <c r="C3953" s="8">
        <v>14293</v>
      </c>
      <c r="D3953" s="9" t="s">
        <v>583</v>
      </c>
      <c r="E3953" s="10" t="str">
        <f t="shared" si="337"/>
        <v>Rancho La Cuchilla No. 111</v>
      </c>
      <c r="F3953" s="10" t="str">
        <f t="shared" si="338"/>
        <v>García Santos Ofelia</v>
      </c>
      <c r="G3953" s="8">
        <v>1</v>
      </c>
      <c r="H3953" s="11">
        <v>200</v>
      </c>
      <c r="I3953" s="12">
        <v>42848</v>
      </c>
      <c r="J3953" s="35">
        <f t="shared" si="339"/>
        <v>0</v>
      </c>
      <c r="K3953" s="36"/>
      <c r="L3953" s="36"/>
      <c r="M3953" s="36"/>
      <c r="N3953" s="36"/>
      <c r="O3953" s="36"/>
      <c r="P3953" s="36"/>
      <c r="Q3953" s="36"/>
      <c r="R3953" s="36"/>
      <c r="S3953" s="36"/>
      <c r="T3953" s="36"/>
      <c r="U3953" s="36"/>
      <c r="V3953" s="36"/>
      <c r="W3953" s="15">
        <f t="shared" si="340"/>
        <v>0</v>
      </c>
      <c r="X3953" s="36"/>
      <c r="Y3953" s="36"/>
      <c r="Z3953" s="36"/>
      <c r="AA3953" s="36">
        <v>200</v>
      </c>
      <c r="AB3953" s="36"/>
      <c r="AC3953" s="36"/>
      <c r="AD3953" s="36"/>
      <c r="AE3953" s="36"/>
      <c r="AF3953" s="36"/>
      <c r="AG3953" s="36"/>
      <c r="AH3953" s="36"/>
      <c r="AI3953" s="36"/>
      <c r="AJ3953" s="15">
        <f t="shared" si="341"/>
        <v>200</v>
      </c>
      <c r="AK3953" s="14"/>
      <c r="AL3953" s="14"/>
      <c r="AM3953" s="14"/>
      <c r="AN3953" s="14"/>
      <c r="AO3953" s="14"/>
      <c r="AP3953" s="14"/>
      <c r="AQ3953" s="14"/>
      <c r="AR3953" s="14"/>
      <c r="AS3953" s="14"/>
      <c r="AT3953" s="14"/>
      <c r="AU3953" s="14"/>
      <c r="AV3953" s="14"/>
      <c r="AW3953" s="15"/>
      <c r="AX3953" s="16"/>
    </row>
    <row r="3954" spans="2:50" x14ac:dyDescent="0.2">
      <c r="B3954" s="7"/>
      <c r="C3954" s="8">
        <v>14294</v>
      </c>
      <c r="D3954" s="9" t="s">
        <v>192</v>
      </c>
      <c r="E3954" s="10" t="str">
        <f t="shared" si="337"/>
        <v>Rancho Landero No. 77</v>
      </c>
      <c r="F3954" s="10" t="str">
        <f t="shared" si="338"/>
        <v>Muñoz</v>
      </c>
      <c r="G3954" s="8">
        <v>4</v>
      </c>
      <c r="H3954" s="11">
        <v>200</v>
      </c>
      <c r="I3954" s="12">
        <v>42848</v>
      </c>
      <c r="J3954" s="35">
        <f t="shared" si="339"/>
        <v>0</v>
      </c>
      <c r="K3954" s="36"/>
      <c r="L3954" s="36"/>
      <c r="M3954" s="36"/>
      <c r="N3954" s="36"/>
      <c r="O3954" s="36"/>
      <c r="P3954" s="36"/>
      <c r="Q3954" s="36"/>
      <c r="R3954" s="36"/>
      <c r="S3954" s="36"/>
      <c r="T3954" s="36"/>
      <c r="U3954" s="36"/>
      <c r="V3954" s="36"/>
      <c r="W3954" s="15">
        <f t="shared" si="340"/>
        <v>0</v>
      </c>
      <c r="X3954" s="36"/>
      <c r="Y3954" s="36"/>
      <c r="Z3954" s="36"/>
      <c r="AA3954" s="36"/>
      <c r="AB3954" s="36"/>
      <c r="AC3954" s="36"/>
      <c r="AD3954" s="36"/>
      <c r="AE3954" s="36"/>
      <c r="AF3954" s="36"/>
      <c r="AG3954" s="36"/>
      <c r="AH3954" s="36"/>
      <c r="AI3954" s="36"/>
      <c r="AJ3954" s="15">
        <f t="shared" si="341"/>
        <v>0</v>
      </c>
      <c r="AK3954" s="14"/>
      <c r="AL3954" s="14"/>
      <c r="AM3954" s="14"/>
      <c r="AN3954" s="14"/>
      <c r="AO3954" s="14"/>
      <c r="AP3954" s="14"/>
      <c r="AQ3954" s="14"/>
      <c r="AR3954" s="14"/>
      <c r="AS3954" s="14"/>
      <c r="AT3954" s="14"/>
      <c r="AU3954" s="14"/>
      <c r="AV3954" s="14"/>
      <c r="AW3954" s="15"/>
      <c r="AX3954" s="16" t="s">
        <v>3884</v>
      </c>
    </row>
    <row r="3955" spans="2:50" x14ac:dyDescent="0.2">
      <c r="B3955" s="7"/>
      <c r="C3955" s="8">
        <v>14294</v>
      </c>
      <c r="D3955" s="9" t="s">
        <v>192</v>
      </c>
      <c r="E3955" s="10" t="str">
        <f>IF(D3955=0,"",VLOOKUP(D3955,BASE,2,FALSE))</f>
        <v>Rancho Landero No. 77</v>
      </c>
      <c r="F3955" s="10" t="str">
        <f>IF(D3955=0,"",VLOOKUP(D3955,BASE,3,FALSE))</f>
        <v>Muñoz</v>
      </c>
      <c r="G3955" s="8">
        <v>5</v>
      </c>
      <c r="H3955" s="11">
        <v>50</v>
      </c>
      <c r="I3955" s="12">
        <v>42848</v>
      </c>
      <c r="J3955" s="35">
        <f>IF(G3955=1,SUM(W3955,AJ3955,-H3955),0)</f>
        <v>0</v>
      </c>
      <c r="K3955" s="36"/>
      <c r="L3955" s="36"/>
      <c r="M3955" s="36"/>
      <c r="N3955" s="36"/>
      <c r="O3955" s="36"/>
      <c r="P3955" s="36"/>
      <c r="Q3955" s="36"/>
      <c r="R3955" s="36"/>
      <c r="S3955" s="36"/>
      <c r="T3955" s="36"/>
      <c r="U3955" s="36"/>
      <c r="V3955" s="36"/>
      <c r="W3955" s="15">
        <f>SUM(K3955:V3955)</f>
        <v>0</v>
      </c>
      <c r="X3955" s="36"/>
      <c r="Y3955" s="36"/>
      <c r="Z3955" s="36"/>
      <c r="AA3955" s="36"/>
      <c r="AB3955" s="36"/>
      <c r="AC3955" s="36"/>
      <c r="AD3955" s="36"/>
      <c r="AE3955" s="36"/>
      <c r="AF3955" s="36"/>
      <c r="AG3955" s="36"/>
      <c r="AH3955" s="36"/>
      <c r="AI3955" s="36"/>
      <c r="AJ3955" s="15">
        <f>SUM(X3955:AI3955)</f>
        <v>0</v>
      </c>
      <c r="AK3955" s="14"/>
      <c r="AL3955" s="14"/>
      <c r="AM3955" s="14"/>
      <c r="AN3955" s="14"/>
      <c r="AO3955" s="14"/>
      <c r="AP3955" s="14"/>
      <c r="AQ3955" s="14"/>
      <c r="AR3955" s="14"/>
      <c r="AS3955" s="14"/>
      <c r="AT3955" s="14"/>
      <c r="AU3955" s="14"/>
      <c r="AV3955" s="14"/>
      <c r="AW3955" s="15"/>
      <c r="AX3955" s="16"/>
    </row>
    <row r="3956" spans="2:50" x14ac:dyDescent="0.2">
      <c r="B3956" s="7"/>
      <c r="C3956" s="8">
        <v>14295</v>
      </c>
      <c r="D3956" s="9" t="s">
        <v>719</v>
      </c>
      <c r="E3956" s="10" t="str">
        <f>IF(D3956=0,"",VLOOKUP(D3956,BASE,2,FALSE))</f>
        <v>Rancho Estanzuela No. 119, 1</v>
      </c>
      <c r="F3956" s="10" t="str">
        <f>IF(D3956=0,"",VLOOKUP(D3956,BASE,3,FALSE))</f>
        <v>Crespo</v>
      </c>
      <c r="G3956" s="8">
        <v>1</v>
      </c>
      <c r="H3956" s="11">
        <v>400</v>
      </c>
      <c r="I3956" s="12">
        <v>42848</v>
      </c>
      <c r="J3956" s="35">
        <f>IF(G3956=1,SUM(W3956,AJ3956,-H3956),0)</f>
        <v>0</v>
      </c>
      <c r="K3956" s="36"/>
      <c r="L3956" s="36"/>
      <c r="M3956" s="36"/>
      <c r="N3956" s="36"/>
      <c r="O3956" s="36"/>
      <c r="P3956" s="36"/>
      <c r="Q3956" s="36"/>
      <c r="R3956" s="36"/>
      <c r="S3956" s="36"/>
      <c r="T3956" s="36"/>
      <c r="U3956" s="36"/>
      <c r="V3956" s="36"/>
      <c r="W3956" s="15">
        <f>SUM(K3956:V3956)</f>
        <v>0</v>
      </c>
      <c r="X3956" s="36"/>
      <c r="Y3956" s="36"/>
      <c r="Z3956" s="36">
        <v>200</v>
      </c>
      <c r="AA3956" s="36">
        <v>200</v>
      </c>
      <c r="AB3956" s="36"/>
      <c r="AC3956" s="36"/>
      <c r="AD3956" s="36"/>
      <c r="AE3956" s="36"/>
      <c r="AF3956" s="36"/>
      <c r="AG3956" s="36"/>
      <c r="AH3956" s="36"/>
      <c r="AI3956" s="36"/>
      <c r="AJ3956" s="15">
        <f>SUM(X3956:AI3956)</f>
        <v>400</v>
      </c>
      <c r="AK3956" s="14"/>
      <c r="AL3956" s="14"/>
      <c r="AM3956" s="14"/>
      <c r="AN3956" s="14"/>
      <c r="AO3956" s="14"/>
      <c r="AP3956" s="14"/>
      <c r="AQ3956" s="14"/>
      <c r="AR3956" s="14"/>
      <c r="AS3956" s="14"/>
      <c r="AT3956" s="14"/>
      <c r="AU3956" s="14"/>
      <c r="AV3956" s="14"/>
      <c r="AW3956" s="15"/>
      <c r="AX3956" s="16"/>
    </row>
    <row r="3957" spans="2:50" x14ac:dyDescent="0.2">
      <c r="B3957" s="7"/>
      <c r="C3957" s="8">
        <v>14295</v>
      </c>
      <c r="D3957" s="9" t="s">
        <v>719</v>
      </c>
      <c r="E3957" s="10" t="str">
        <f t="shared" ref="E3957:E3964" si="351">IF(D3957=0,"",VLOOKUP(D3957,BASE,2,FALSE))</f>
        <v>Rancho Estanzuela No. 119, 1</v>
      </c>
      <c r="F3957" s="10" t="str">
        <f t="shared" ref="F3957:F3964" si="352">IF(D3957=0,"",VLOOKUP(D3957,BASE,3,FALSE))</f>
        <v>Crespo</v>
      </c>
      <c r="G3957" s="8">
        <v>7</v>
      </c>
      <c r="H3957" s="11">
        <v>100</v>
      </c>
      <c r="I3957" s="12">
        <v>42848</v>
      </c>
      <c r="J3957" s="35">
        <f t="shared" ref="J3957:J3964" si="353">IF(G3957=1,SUM(W3957,AJ3957,-H3957),0)</f>
        <v>0</v>
      </c>
      <c r="K3957" s="36"/>
      <c r="L3957" s="36"/>
      <c r="M3957" s="36"/>
      <c r="N3957" s="36"/>
      <c r="O3957" s="36"/>
      <c r="P3957" s="36"/>
      <c r="Q3957" s="36"/>
      <c r="R3957" s="36"/>
      <c r="S3957" s="36"/>
      <c r="T3957" s="36"/>
      <c r="U3957" s="36"/>
      <c r="V3957" s="36"/>
      <c r="W3957" s="15">
        <f t="shared" ref="W3957:W3964" si="354">SUM(K3957:V3957)</f>
        <v>0</v>
      </c>
      <c r="X3957" s="36"/>
      <c r="Y3957" s="36"/>
      <c r="Z3957" s="36"/>
      <c r="AA3957" s="36"/>
      <c r="AB3957" s="36"/>
      <c r="AC3957" s="36"/>
      <c r="AD3957" s="36"/>
      <c r="AE3957" s="36"/>
      <c r="AF3957" s="36"/>
      <c r="AG3957" s="36"/>
      <c r="AH3957" s="36"/>
      <c r="AI3957" s="36"/>
      <c r="AJ3957" s="15">
        <f t="shared" ref="AJ3957:AJ3964" si="355">SUM(X3957:AI3957)</f>
        <v>0</v>
      </c>
      <c r="AK3957" s="14"/>
      <c r="AL3957" s="14"/>
      <c r="AM3957" s="14"/>
      <c r="AN3957" s="14"/>
      <c r="AO3957" s="14"/>
      <c r="AP3957" s="14"/>
      <c r="AQ3957" s="14"/>
      <c r="AR3957" s="14"/>
      <c r="AS3957" s="14"/>
      <c r="AT3957" s="14"/>
      <c r="AU3957" s="14"/>
      <c r="AV3957" s="14"/>
      <c r="AW3957" s="15"/>
      <c r="AX3957" s="16" t="s">
        <v>3858</v>
      </c>
    </row>
    <row r="3958" spans="2:50" x14ac:dyDescent="0.2">
      <c r="B3958" s="7"/>
      <c r="C3958" s="8">
        <v>14296</v>
      </c>
      <c r="D3958" s="9" t="s">
        <v>428</v>
      </c>
      <c r="E3958" s="10" t="str">
        <f t="shared" si="351"/>
        <v>Rancho Upácuaro No. 86</v>
      </c>
      <c r="F3958" s="10" t="str">
        <f t="shared" si="352"/>
        <v>López Canseco</v>
      </c>
      <c r="G3958" s="8">
        <v>4</v>
      </c>
      <c r="H3958" s="11">
        <v>200</v>
      </c>
      <c r="I3958" s="12">
        <v>42848</v>
      </c>
      <c r="J3958" s="35">
        <f t="shared" si="353"/>
        <v>0</v>
      </c>
      <c r="K3958" s="36"/>
      <c r="L3958" s="36"/>
      <c r="M3958" s="36"/>
      <c r="N3958" s="36"/>
      <c r="O3958" s="36"/>
      <c r="P3958" s="36"/>
      <c r="Q3958" s="36"/>
      <c r="R3958" s="36"/>
      <c r="S3958" s="36"/>
      <c r="T3958" s="36"/>
      <c r="U3958" s="36"/>
      <c r="V3958" s="36"/>
      <c r="W3958" s="15">
        <f t="shared" si="354"/>
        <v>0</v>
      </c>
      <c r="X3958" s="36"/>
      <c r="Y3958" s="36"/>
      <c r="Z3958" s="36"/>
      <c r="AA3958" s="36"/>
      <c r="AB3958" s="36"/>
      <c r="AC3958" s="36"/>
      <c r="AD3958" s="36"/>
      <c r="AE3958" s="36"/>
      <c r="AF3958" s="36"/>
      <c r="AG3958" s="36"/>
      <c r="AH3958" s="36"/>
      <c r="AI3958" s="36"/>
      <c r="AJ3958" s="15">
        <f t="shared" si="355"/>
        <v>0</v>
      </c>
      <c r="AK3958" s="14"/>
      <c r="AL3958" s="14"/>
      <c r="AM3958" s="14"/>
      <c r="AN3958" s="14"/>
      <c r="AO3958" s="14"/>
      <c r="AP3958" s="14"/>
      <c r="AQ3958" s="14"/>
      <c r="AR3958" s="14"/>
      <c r="AS3958" s="14"/>
      <c r="AT3958" s="14"/>
      <c r="AU3958" s="14"/>
      <c r="AV3958" s="14"/>
      <c r="AW3958" s="15"/>
      <c r="AX3958" s="16" t="s">
        <v>3885</v>
      </c>
    </row>
    <row r="3959" spans="2:50" x14ac:dyDescent="0.2">
      <c r="B3959" s="7"/>
      <c r="C3959" s="8">
        <v>14296</v>
      </c>
      <c r="D3959" s="9" t="s">
        <v>428</v>
      </c>
      <c r="E3959" s="10" t="str">
        <f t="shared" si="351"/>
        <v>Rancho Upácuaro No. 86</v>
      </c>
      <c r="F3959" s="10" t="str">
        <f t="shared" si="352"/>
        <v>López Canseco</v>
      </c>
      <c r="G3959" s="8">
        <v>5</v>
      </c>
      <c r="H3959" s="11">
        <v>50</v>
      </c>
      <c r="I3959" s="12">
        <v>42848</v>
      </c>
      <c r="J3959" s="35">
        <f t="shared" si="353"/>
        <v>0</v>
      </c>
      <c r="K3959" s="36"/>
      <c r="L3959" s="36"/>
      <c r="M3959" s="36"/>
      <c r="N3959" s="36"/>
      <c r="O3959" s="36"/>
      <c r="P3959" s="36"/>
      <c r="Q3959" s="36"/>
      <c r="R3959" s="36"/>
      <c r="S3959" s="36"/>
      <c r="T3959" s="36"/>
      <c r="U3959" s="36"/>
      <c r="V3959" s="36"/>
      <c r="W3959" s="15">
        <f t="shared" si="354"/>
        <v>0</v>
      </c>
      <c r="X3959" s="36"/>
      <c r="Y3959" s="36"/>
      <c r="Z3959" s="36"/>
      <c r="AA3959" s="36"/>
      <c r="AB3959" s="36"/>
      <c r="AC3959" s="36"/>
      <c r="AD3959" s="36"/>
      <c r="AE3959" s="36"/>
      <c r="AF3959" s="36"/>
      <c r="AG3959" s="36"/>
      <c r="AH3959" s="36"/>
      <c r="AI3959" s="36"/>
      <c r="AJ3959" s="15">
        <f t="shared" si="355"/>
        <v>0</v>
      </c>
      <c r="AK3959" s="14"/>
      <c r="AL3959" s="14"/>
      <c r="AM3959" s="14"/>
      <c r="AN3959" s="14"/>
      <c r="AO3959" s="14"/>
      <c r="AP3959" s="14"/>
      <c r="AQ3959" s="14"/>
      <c r="AR3959" s="14"/>
      <c r="AS3959" s="14"/>
      <c r="AT3959" s="14"/>
      <c r="AU3959" s="14"/>
      <c r="AV3959" s="14"/>
      <c r="AW3959" s="15"/>
      <c r="AX3959" s="16"/>
    </row>
    <row r="3960" spans="2:50" x14ac:dyDescent="0.2">
      <c r="B3960" s="7"/>
      <c r="C3960" s="8">
        <v>14296</v>
      </c>
      <c r="D3960" s="9" t="s">
        <v>428</v>
      </c>
      <c r="E3960" s="10" t="str">
        <f t="shared" si="351"/>
        <v>Rancho Upácuaro No. 86</v>
      </c>
      <c r="F3960" s="10" t="str">
        <f t="shared" si="352"/>
        <v>López Canseco</v>
      </c>
      <c r="G3960" s="8">
        <v>7</v>
      </c>
      <c r="H3960" s="11">
        <v>100</v>
      </c>
      <c r="I3960" s="12">
        <v>42848</v>
      </c>
      <c r="J3960" s="35">
        <f t="shared" si="353"/>
        <v>0</v>
      </c>
      <c r="K3960" s="36"/>
      <c r="L3960" s="36"/>
      <c r="M3960" s="36"/>
      <c r="N3960" s="36"/>
      <c r="O3960" s="36"/>
      <c r="P3960" s="36"/>
      <c r="Q3960" s="36"/>
      <c r="R3960" s="36"/>
      <c r="S3960" s="36"/>
      <c r="T3960" s="36"/>
      <c r="U3960" s="36"/>
      <c r="V3960" s="36"/>
      <c r="W3960" s="15">
        <f t="shared" si="354"/>
        <v>0</v>
      </c>
      <c r="X3960" s="36"/>
      <c r="Y3960" s="36"/>
      <c r="Z3960" s="36"/>
      <c r="AA3960" s="36"/>
      <c r="AB3960" s="36"/>
      <c r="AC3960" s="36"/>
      <c r="AD3960" s="36"/>
      <c r="AE3960" s="36"/>
      <c r="AF3960" s="36"/>
      <c r="AG3960" s="36"/>
      <c r="AH3960" s="36"/>
      <c r="AI3960" s="36"/>
      <c r="AJ3960" s="15">
        <f t="shared" si="355"/>
        <v>0</v>
      </c>
      <c r="AK3960" s="14"/>
      <c r="AL3960" s="14"/>
      <c r="AM3960" s="14"/>
      <c r="AN3960" s="14"/>
      <c r="AO3960" s="14"/>
      <c r="AP3960" s="14"/>
      <c r="AQ3960" s="14"/>
      <c r="AR3960" s="14"/>
      <c r="AS3960" s="14"/>
      <c r="AT3960" s="14"/>
      <c r="AU3960" s="14"/>
      <c r="AV3960" s="14"/>
      <c r="AW3960" s="15"/>
      <c r="AX3960" s="16"/>
    </row>
    <row r="3961" spans="2:50" x14ac:dyDescent="0.2">
      <c r="B3961" s="7"/>
      <c r="C3961" s="8">
        <v>14297</v>
      </c>
      <c r="D3961" s="9" t="s">
        <v>831</v>
      </c>
      <c r="E3961" s="10" t="str">
        <f t="shared" si="351"/>
        <v>Rancho Upácuaro No. 80</v>
      </c>
      <c r="F3961" s="10" t="str">
        <f t="shared" si="352"/>
        <v>De los Ríos</v>
      </c>
      <c r="G3961" s="8">
        <v>1</v>
      </c>
      <c r="H3961" s="11">
        <v>800</v>
      </c>
      <c r="I3961" s="12">
        <v>42848</v>
      </c>
      <c r="J3961" s="35">
        <f t="shared" si="353"/>
        <v>0</v>
      </c>
      <c r="K3961" s="36"/>
      <c r="L3961" s="36"/>
      <c r="M3961" s="36"/>
      <c r="N3961" s="36"/>
      <c r="O3961" s="36"/>
      <c r="P3961" s="36"/>
      <c r="Q3961" s="36"/>
      <c r="R3961" s="36"/>
      <c r="S3961" s="36"/>
      <c r="T3961" s="36"/>
      <c r="U3961" s="36"/>
      <c r="V3961" s="36"/>
      <c r="W3961" s="15">
        <f t="shared" si="354"/>
        <v>0</v>
      </c>
      <c r="X3961" s="36"/>
      <c r="Y3961" s="36"/>
      <c r="Z3961" s="36"/>
      <c r="AA3961" s="36">
        <v>400</v>
      </c>
      <c r="AB3961" s="36">
        <v>400</v>
      </c>
      <c r="AC3961" s="36"/>
      <c r="AD3961" s="36"/>
      <c r="AE3961" s="36"/>
      <c r="AF3961" s="36"/>
      <c r="AG3961" s="36"/>
      <c r="AH3961" s="36"/>
      <c r="AI3961" s="36"/>
      <c r="AJ3961" s="15">
        <f t="shared" si="355"/>
        <v>800</v>
      </c>
      <c r="AK3961" s="14"/>
      <c r="AL3961" s="14"/>
      <c r="AM3961" s="14"/>
      <c r="AN3961" s="14"/>
      <c r="AO3961" s="14"/>
      <c r="AP3961" s="14"/>
      <c r="AQ3961" s="14"/>
      <c r="AR3961" s="14"/>
      <c r="AS3961" s="14"/>
      <c r="AT3961" s="14"/>
      <c r="AU3961" s="14"/>
      <c r="AV3961" s="14"/>
      <c r="AW3961" s="15"/>
      <c r="AX3961" s="16" t="s">
        <v>3858</v>
      </c>
    </row>
    <row r="3962" spans="2:50" x14ac:dyDescent="0.2">
      <c r="B3962" s="7"/>
      <c r="C3962" s="8">
        <v>14298</v>
      </c>
      <c r="D3962" s="9" t="s">
        <v>526</v>
      </c>
      <c r="E3962" s="10" t="str">
        <f t="shared" si="351"/>
        <v>Rancho Landero No. 62</v>
      </c>
      <c r="F3962" s="10" t="str">
        <f t="shared" si="352"/>
        <v>Narvaez Sara</v>
      </c>
      <c r="G3962" s="8">
        <v>1</v>
      </c>
      <c r="H3962" s="11">
        <v>1200</v>
      </c>
      <c r="I3962" s="12">
        <v>42848</v>
      </c>
      <c r="J3962" s="35">
        <f t="shared" si="353"/>
        <v>0</v>
      </c>
      <c r="K3962" s="36"/>
      <c r="L3962" s="36"/>
      <c r="M3962" s="36"/>
      <c r="N3962" s="36"/>
      <c r="O3962" s="36"/>
      <c r="P3962" s="36"/>
      <c r="Q3962" s="36"/>
      <c r="R3962" s="36"/>
      <c r="S3962" s="36"/>
      <c r="T3962" s="36"/>
      <c r="U3962" s="36"/>
      <c r="V3962" s="36"/>
      <c r="W3962" s="15">
        <f t="shared" si="354"/>
        <v>0</v>
      </c>
      <c r="X3962" s="36">
        <v>300</v>
      </c>
      <c r="Y3962" s="36">
        <v>300</v>
      </c>
      <c r="Z3962" s="36">
        <v>300</v>
      </c>
      <c r="AA3962" s="36">
        <v>300</v>
      </c>
      <c r="AB3962" s="36"/>
      <c r="AC3962" s="36"/>
      <c r="AD3962" s="36"/>
      <c r="AE3962" s="36"/>
      <c r="AF3962" s="36"/>
      <c r="AG3962" s="36"/>
      <c r="AH3962" s="36"/>
      <c r="AI3962" s="36"/>
      <c r="AJ3962" s="15">
        <f t="shared" si="355"/>
        <v>1200</v>
      </c>
      <c r="AK3962" s="14"/>
      <c r="AL3962" s="14"/>
      <c r="AM3962" s="14"/>
      <c r="AN3962" s="14"/>
      <c r="AO3962" s="14"/>
      <c r="AP3962" s="14"/>
      <c r="AQ3962" s="14"/>
      <c r="AR3962" s="14"/>
      <c r="AS3962" s="14"/>
      <c r="AT3962" s="14"/>
      <c r="AU3962" s="14"/>
      <c r="AV3962" s="14"/>
      <c r="AW3962" s="15"/>
      <c r="AX3962" s="16"/>
    </row>
    <row r="3963" spans="2:50" x14ac:dyDescent="0.2">
      <c r="B3963" s="7"/>
      <c r="C3963" s="8">
        <v>14299</v>
      </c>
      <c r="D3963" s="9" t="s">
        <v>62</v>
      </c>
      <c r="E3963" s="10" t="str">
        <f t="shared" si="351"/>
        <v>Rancho Romeral No. 10, A</v>
      </c>
      <c r="F3963" s="10" t="str">
        <f t="shared" si="352"/>
        <v>Casillas Álvarez</v>
      </c>
      <c r="G3963" s="8">
        <v>1</v>
      </c>
      <c r="H3963" s="11">
        <v>400</v>
      </c>
      <c r="I3963" s="12">
        <v>42848</v>
      </c>
      <c r="J3963" s="35">
        <f t="shared" si="353"/>
        <v>0</v>
      </c>
      <c r="K3963" s="36"/>
      <c r="L3963" s="36"/>
      <c r="M3963" s="36"/>
      <c r="N3963" s="36"/>
      <c r="O3963" s="36"/>
      <c r="P3963" s="36"/>
      <c r="Q3963" s="36"/>
      <c r="R3963" s="36"/>
      <c r="S3963" s="36"/>
      <c r="T3963" s="36"/>
      <c r="U3963" s="36"/>
      <c r="V3963" s="36"/>
      <c r="W3963" s="15">
        <f t="shared" si="354"/>
        <v>0</v>
      </c>
      <c r="X3963" s="36"/>
      <c r="Y3963" s="36"/>
      <c r="Z3963" s="36"/>
      <c r="AA3963" s="36"/>
      <c r="AB3963" s="36">
        <v>200</v>
      </c>
      <c r="AC3963" s="36">
        <v>200</v>
      </c>
      <c r="AD3963" s="36"/>
      <c r="AE3963" s="36"/>
      <c r="AF3963" s="36"/>
      <c r="AG3963" s="36"/>
      <c r="AH3963" s="36"/>
      <c r="AI3963" s="36"/>
      <c r="AJ3963" s="15">
        <f t="shared" si="355"/>
        <v>400</v>
      </c>
      <c r="AK3963" s="14"/>
      <c r="AL3963" s="14"/>
      <c r="AM3963" s="14"/>
      <c r="AN3963" s="14"/>
      <c r="AO3963" s="14"/>
      <c r="AP3963" s="14"/>
      <c r="AQ3963" s="14"/>
      <c r="AR3963" s="14"/>
      <c r="AS3963" s="14"/>
      <c r="AT3963" s="14"/>
      <c r="AU3963" s="14"/>
      <c r="AV3963" s="14"/>
      <c r="AW3963" s="15"/>
      <c r="AX3963" s="16"/>
    </row>
    <row r="3964" spans="2:50" x14ac:dyDescent="0.2">
      <c r="B3964" s="7"/>
      <c r="C3964" s="8">
        <v>14300</v>
      </c>
      <c r="D3964" s="9" t="s">
        <v>571</v>
      </c>
      <c r="E3964" s="10" t="str">
        <f t="shared" si="351"/>
        <v>Rancho Estanzuela No. 15, A</v>
      </c>
      <c r="F3964" s="10" t="str">
        <f t="shared" si="352"/>
        <v>González</v>
      </c>
      <c r="G3964" s="8">
        <v>1</v>
      </c>
      <c r="H3964" s="11">
        <v>400</v>
      </c>
      <c r="I3964" s="12">
        <v>42848</v>
      </c>
      <c r="J3964" s="35">
        <f t="shared" si="353"/>
        <v>0</v>
      </c>
      <c r="K3964" s="36"/>
      <c r="L3964" s="36"/>
      <c r="M3964" s="36"/>
      <c r="N3964" s="36"/>
      <c r="O3964" s="36"/>
      <c r="P3964" s="36"/>
      <c r="Q3964" s="36"/>
      <c r="R3964" s="36"/>
      <c r="S3964" s="36"/>
      <c r="T3964" s="36"/>
      <c r="U3964" s="36"/>
      <c r="V3964" s="36"/>
      <c r="W3964" s="15">
        <f t="shared" si="354"/>
        <v>0</v>
      </c>
      <c r="X3964" s="36"/>
      <c r="Y3964" s="36"/>
      <c r="Z3964" s="36">
        <v>200</v>
      </c>
      <c r="AA3964" s="36">
        <v>200</v>
      </c>
      <c r="AB3964" s="36"/>
      <c r="AC3964" s="36"/>
      <c r="AD3964" s="36"/>
      <c r="AE3964" s="36"/>
      <c r="AF3964" s="36"/>
      <c r="AG3964" s="36"/>
      <c r="AH3964" s="36"/>
      <c r="AI3964" s="36"/>
      <c r="AJ3964" s="15">
        <f t="shared" si="355"/>
        <v>400</v>
      </c>
      <c r="AK3964" s="14"/>
      <c r="AL3964" s="14"/>
      <c r="AM3964" s="14"/>
      <c r="AN3964" s="14"/>
      <c r="AO3964" s="14"/>
      <c r="AP3964" s="14"/>
      <c r="AQ3964" s="14"/>
      <c r="AR3964" s="14"/>
      <c r="AS3964" s="14"/>
      <c r="AT3964" s="14"/>
      <c r="AU3964" s="14"/>
      <c r="AV3964" s="14"/>
      <c r="AW3964" s="15"/>
      <c r="AX3964" s="16"/>
    </row>
    <row r="3965" spans="2:50" x14ac:dyDescent="0.2">
      <c r="B3965" s="7"/>
      <c r="C3965" s="8">
        <v>14300</v>
      </c>
      <c r="D3965" s="9" t="s">
        <v>571</v>
      </c>
      <c r="E3965" s="10" t="str">
        <f t="shared" ref="E3965:E3992" si="356">IF(D3965=0,"",VLOOKUP(D3965,BASE,2,FALSE))</f>
        <v>Rancho Estanzuela No. 15, A</v>
      </c>
      <c r="F3965" s="10" t="str">
        <f t="shared" ref="F3965:F3992" si="357">IF(D3965=0,"",VLOOKUP(D3965,BASE,3,FALSE))</f>
        <v>González</v>
      </c>
      <c r="G3965" s="8">
        <v>7</v>
      </c>
      <c r="H3965" s="11">
        <v>100</v>
      </c>
      <c r="I3965" s="12">
        <v>42848</v>
      </c>
      <c r="J3965" s="35">
        <f t="shared" ref="J3965:J3992" si="358">IF(G3965=1,SUM(W3965,AJ3965,-H3965),0)</f>
        <v>0</v>
      </c>
      <c r="K3965" s="36"/>
      <c r="L3965" s="36"/>
      <c r="M3965" s="36"/>
      <c r="N3965" s="36"/>
      <c r="O3965" s="36"/>
      <c r="P3965" s="36"/>
      <c r="Q3965" s="36"/>
      <c r="R3965" s="36"/>
      <c r="S3965" s="36"/>
      <c r="T3965" s="36"/>
      <c r="U3965" s="36"/>
      <c r="V3965" s="36"/>
      <c r="W3965" s="15">
        <f t="shared" ref="W3965:W3992" si="359">SUM(K3965:V3965)</f>
        <v>0</v>
      </c>
      <c r="X3965" s="36"/>
      <c r="Y3965" s="36"/>
      <c r="Z3965" s="36"/>
      <c r="AA3965" s="36"/>
      <c r="AB3965" s="36"/>
      <c r="AC3965" s="36"/>
      <c r="AD3965" s="36"/>
      <c r="AE3965" s="36"/>
      <c r="AF3965" s="36"/>
      <c r="AG3965" s="36"/>
      <c r="AH3965" s="36"/>
      <c r="AI3965" s="36"/>
      <c r="AJ3965" s="15">
        <f t="shared" ref="AJ3965:AJ3992" si="360">SUM(X3965:AI3965)</f>
        <v>0</v>
      </c>
      <c r="AK3965" s="14"/>
      <c r="AL3965" s="14"/>
      <c r="AM3965" s="14"/>
      <c r="AN3965" s="14"/>
      <c r="AO3965" s="14"/>
      <c r="AP3965" s="14"/>
      <c r="AQ3965" s="14"/>
      <c r="AR3965" s="14"/>
      <c r="AS3965" s="14"/>
      <c r="AT3965" s="14"/>
      <c r="AU3965" s="14"/>
      <c r="AV3965" s="14"/>
      <c r="AW3965" s="15"/>
      <c r="AX3965" s="16"/>
    </row>
    <row r="3966" spans="2:50" x14ac:dyDescent="0.2">
      <c r="B3966" s="7"/>
      <c r="C3966" s="8">
        <v>14301</v>
      </c>
      <c r="D3966" s="9" t="s">
        <v>950</v>
      </c>
      <c r="E3966" s="10" t="str">
        <f t="shared" si="356"/>
        <v>Rancho La Cuchilla No. 93</v>
      </c>
      <c r="F3966" s="10" t="str">
        <f t="shared" si="357"/>
        <v>Alcántara Silva</v>
      </c>
      <c r="G3966" s="8">
        <v>1</v>
      </c>
      <c r="H3966" s="11">
        <v>800</v>
      </c>
      <c r="I3966" s="12">
        <v>42848</v>
      </c>
      <c r="J3966" s="35">
        <f t="shared" si="358"/>
        <v>0</v>
      </c>
      <c r="K3966" s="36"/>
      <c r="L3966" s="36"/>
      <c r="M3966" s="36"/>
      <c r="N3966" s="36"/>
      <c r="O3966" s="36"/>
      <c r="P3966" s="36"/>
      <c r="Q3966" s="36"/>
      <c r="R3966" s="36"/>
      <c r="S3966" s="36"/>
      <c r="T3966" s="36"/>
      <c r="U3966" s="36"/>
      <c r="V3966" s="36"/>
      <c r="W3966" s="15">
        <f t="shared" si="359"/>
        <v>0</v>
      </c>
      <c r="X3966" s="36"/>
      <c r="Y3966" s="36"/>
      <c r="Z3966" s="36">
        <v>400</v>
      </c>
      <c r="AA3966" s="36">
        <v>400</v>
      </c>
      <c r="AB3966" s="36"/>
      <c r="AC3966" s="36"/>
      <c r="AD3966" s="36"/>
      <c r="AE3966" s="36"/>
      <c r="AF3966" s="36"/>
      <c r="AG3966" s="36"/>
      <c r="AH3966" s="36"/>
      <c r="AI3966" s="36"/>
      <c r="AJ3966" s="15">
        <f t="shared" si="360"/>
        <v>800</v>
      </c>
      <c r="AK3966" s="14"/>
      <c r="AL3966" s="14"/>
      <c r="AM3966" s="14"/>
      <c r="AN3966" s="14"/>
      <c r="AO3966" s="14"/>
      <c r="AP3966" s="14"/>
      <c r="AQ3966" s="14"/>
      <c r="AR3966" s="14"/>
      <c r="AS3966" s="14"/>
      <c r="AT3966" s="14"/>
      <c r="AU3966" s="14"/>
      <c r="AV3966" s="14"/>
      <c r="AW3966" s="15"/>
      <c r="AX3966" s="16"/>
    </row>
    <row r="3967" spans="2:50" x14ac:dyDescent="0.2">
      <c r="B3967" s="7"/>
      <c r="C3967" s="8">
        <v>14301</v>
      </c>
      <c r="D3967" s="9" t="s">
        <v>950</v>
      </c>
      <c r="E3967" s="10" t="str">
        <f t="shared" si="356"/>
        <v>Rancho La Cuchilla No. 93</v>
      </c>
      <c r="F3967" s="10" t="str">
        <f t="shared" si="357"/>
        <v>Alcántara Silva</v>
      </c>
      <c r="G3967" s="8">
        <v>4</v>
      </c>
      <c r="H3967" s="11">
        <v>200</v>
      </c>
      <c r="I3967" s="12">
        <v>42848</v>
      </c>
      <c r="J3967" s="35">
        <f t="shared" si="358"/>
        <v>0</v>
      </c>
      <c r="K3967" s="36"/>
      <c r="L3967" s="36"/>
      <c r="M3967" s="36"/>
      <c r="N3967" s="36"/>
      <c r="O3967" s="36"/>
      <c r="P3967" s="36"/>
      <c r="Q3967" s="36"/>
      <c r="R3967" s="36"/>
      <c r="S3967" s="36"/>
      <c r="T3967" s="36"/>
      <c r="U3967" s="36"/>
      <c r="V3967" s="36"/>
      <c r="W3967" s="15">
        <f t="shared" si="359"/>
        <v>0</v>
      </c>
      <c r="X3967" s="36"/>
      <c r="Y3967" s="36"/>
      <c r="Z3967" s="36"/>
      <c r="AA3967" s="36"/>
      <c r="AB3967" s="36"/>
      <c r="AC3967" s="36"/>
      <c r="AD3967" s="36"/>
      <c r="AE3967" s="36"/>
      <c r="AF3967" s="36"/>
      <c r="AG3967" s="36"/>
      <c r="AH3967" s="36"/>
      <c r="AI3967" s="36"/>
      <c r="AJ3967" s="15">
        <f t="shared" si="360"/>
        <v>0</v>
      </c>
      <c r="AK3967" s="14"/>
      <c r="AL3967" s="14"/>
      <c r="AM3967" s="14"/>
      <c r="AN3967" s="14"/>
      <c r="AO3967" s="14"/>
      <c r="AP3967" s="14"/>
      <c r="AQ3967" s="14"/>
      <c r="AR3967" s="14"/>
      <c r="AS3967" s="14"/>
      <c r="AT3967" s="14"/>
      <c r="AU3967" s="14"/>
      <c r="AV3967" s="14"/>
      <c r="AW3967" s="15"/>
      <c r="AX3967" s="16" t="s">
        <v>3886</v>
      </c>
    </row>
    <row r="3968" spans="2:50" x14ac:dyDescent="0.2">
      <c r="B3968" s="7"/>
      <c r="C3968" s="8">
        <v>14302</v>
      </c>
      <c r="D3968" s="9" t="s">
        <v>180</v>
      </c>
      <c r="E3968" s="10" t="str">
        <f t="shared" si="356"/>
        <v>Rancho Landero No. 80</v>
      </c>
      <c r="F3968" s="10" t="str">
        <f t="shared" si="357"/>
        <v>Caballero</v>
      </c>
      <c r="G3968" s="8">
        <v>4</v>
      </c>
      <c r="H3968" s="11">
        <v>400</v>
      </c>
      <c r="I3968" s="12">
        <v>42848</v>
      </c>
      <c r="J3968" s="35">
        <f t="shared" si="358"/>
        <v>0</v>
      </c>
      <c r="K3968" s="36"/>
      <c r="L3968" s="36"/>
      <c r="M3968" s="36"/>
      <c r="N3968" s="36"/>
      <c r="O3968" s="36"/>
      <c r="P3968" s="36"/>
      <c r="Q3968" s="36"/>
      <c r="R3968" s="36"/>
      <c r="S3968" s="36"/>
      <c r="T3968" s="36"/>
      <c r="U3968" s="36"/>
      <c r="V3968" s="36"/>
      <c r="W3968" s="15">
        <f t="shared" si="359"/>
        <v>0</v>
      </c>
      <c r="X3968" s="36"/>
      <c r="Y3968" s="36"/>
      <c r="Z3968" s="36"/>
      <c r="AA3968" s="36"/>
      <c r="AB3968" s="36"/>
      <c r="AC3968" s="36"/>
      <c r="AD3968" s="36"/>
      <c r="AE3968" s="36"/>
      <c r="AF3968" s="36"/>
      <c r="AG3968" s="36"/>
      <c r="AH3968" s="36"/>
      <c r="AI3968" s="36"/>
      <c r="AJ3968" s="15">
        <f t="shared" si="360"/>
        <v>0</v>
      </c>
      <c r="AK3968" s="14"/>
      <c r="AL3968" s="14"/>
      <c r="AM3968" s="14"/>
      <c r="AN3968" s="14"/>
      <c r="AO3968" s="14"/>
      <c r="AP3968" s="14"/>
      <c r="AQ3968" s="14"/>
      <c r="AR3968" s="14"/>
      <c r="AS3968" s="14"/>
      <c r="AT3968" s="14"/>
      <c r="AU3968" s="14"/>
      <c r="AV3968" s="14"/>
      <c r="AW3968" s="15"/>
      <c r="AX3968" s="16" t="s">
        <v>3889</v>
      </c>
    </row>
    <row r="3969" spans="2:50" x14ac:dyDescent="0.2">
      <c r="B3969" s="7"/>
      <c r="C3969" s="8">
        <v>14302</v>
      </c>
      <c r="D3969" s="9" t="s">
        <v>180</v>
      </c>
      <c r="E3969" s="10" t="str">
        <f t="shared" si="356"/>
        <v>Rancho Landero No. 80</v>
      </c>
      <c r="F3969" s="10" t="str">
        <f t="shared" si="357"/>
        <v>Caballero</v>
      </c>
      <c r="G3969" s="8">
        <v>5</v>
      </c>
      <c r="H3969" s="11">
        <v>300</v>
      </c>
      <c r="I3969" s="12">
        <v>42848</v>
      </c>
      <c r="J3969" s="35">
        <f t="shared" si="358"/>
        <v>0</v>
      </c>
      <c r="K3969" s="36"/>
      <c r="L3969" s="36"/>
      <c r="M3969" s="36"/>
      <c r="N3969" s="36"/>
      <c r="O3969" s="36"/>
      <c r="P3969" s="36"/>
      <c r="Q3969" s="36"/>
      <c r="R3969" s="36"/>
      <c r="S3969" s="36"/>
      <c r="T3969" s="36"/>
      <c r="U3969" s="36"/>
      <c r="V3969" s="36"/>
      <c r="W3969" s="15">
        <f t="shared" si="359"/>
        <v>0</v>
      </c>
      <c r="X3969" s="36"/>
      <c r="Y3969" s="36"/>
      <c r="Z3969" s="36"/>
      <c r="AA3969" s="36"/>
      <c r="AB3969" s="36"/>
      <c r="AC3969" s="36"/>
      <c r="AD3969" s="36"/>
      <c r="AE3969" s="36"/>
      <c r="AF3969" s="36"/>
      <c r="AG3969" s="36"/>
      <c r="AH3969" s="36"/>
      <c r="AI3969" s="36"/>
      <c r="AJ3969" s="15">
        <f t="shared" si="360"/>
        <v>0</v>
      </c>
      <c r="AK3969" s="14"/>
      <c r="AL3969" s="14"/>
      <c r="AM3969" s="14"/>
      <c r="AN3969" s="14"/>
      <c r="AO3969" s="14"/>
      <c r="AP3969" s="14"/>
      <c r="AQ3969" s="14"/>
      <c r="AR3969" s="14"/>
      <c r="AS3969" s="14"/>
      <c r="AT3969" s="14"/>
      <c r="AU3969" s="14"/>
      <c r="AV3969" s="14"/>
      <c r="AW3969" s="15"/>
      <c r="AX3969" s="16"/>
    </row>
    <row r="3970" spans="2:50" x14ac:dyDescent="0.2">
      <c r="B3970" s="7"/>
      <c r="C3970" s="8">
        <v>14302</v>
      </c>
      <c r="D3970" s="9" t="s">
        <v>180</v>
      </c>
      <c r="E3970" s="10" t="str">
        <f t="shared" si="356"/>
        <v>Rancho Landero No. 80</v>
      </c>
      <c r="F3970" s="10" t="str">
        <f t="shared" si="357"/>
        <v>Caballero</v>
      </c>
      <c r="G3970" s="8">
        <v>7</v>
      </c>
      <c r="H3970" s="11">
        <v>50</v>
      </c>
      <c r="I3970" s="12">
        <v>42848</v>
      </c>
      <c r="J3970" s="35">
        <f t="shared" si="358"/>
        <v>0</v>
      </c>
      <c r="K3970" s="36"/>
      <c r="L3970" s="36"/>
      <c r="M3970" s="36"/>
      <c r="N3970" s="36"/>
      <c r="O3970" s="36"/>
      <c r="P3970" s="36"/>
      <c r="Q3970" s="36"/>
      <c r="R3970" s="36"/>
      <c r="S3970" s="36"/>
      <c r="T3970" s="36"/>
      <c r="U3970" s="36"/>
      <c r="V3970" s="36"/>
      <c r="W3970" s="15">
        <f t="shared" si="359"/>
        <v>0</v>
      </c>
      <c r="X3970" s="36"/>
      <c r="Y3970" s="36"/>
      <c r="Z3970" s="36"/>
      <c r="AA3970" s="36"/>
      <c r="AB3970" s="36"/>
      <c r="AC3970" s="36"/>
      <c r="AD3970" s="36"/>
      <c r="AE3970" s="36"/>
      <c r="AF3970" s="36"/>
      <c r="AG3970" s="36"/>
      <c r="AH3970" s="36"/>
      <c r="AI3970" s="36"/>
      <c r="AJ3970" s="15">
        <f t="shared" si="360"/>
        <v>0</v>
      </c>
      <c r="AK3970" s="14"/>
      <c r="AL3970" s="14"/>
      <c r="AM3970" s="14"/>
      <c r="AN3970" s="14"/>
      <c r="AO3970" s="14"/>
      <c r="AP3970" s="14"/>
      <c r="AQ3970" s="14"/>
      <c r="AR3970" s="14"/>
      <c r="AS3970" s="14"/>
      <c r="AT3970" s="14"/>
      <c r="AU3970" s="14"/>
      <c r="AV3970" s="14"/>
      <c r="AW3970" s="15"/>
      <c r="AX3970" s="16" t="s">
        <v>3890</v>
      </c>
    </row>
    <row r="3971" spans="2:50" x14ac:dyDescent="0.2">
      <c r="B3971" s="7"/>
      <c r="C3971" s="8">
        <v>14302</v>
      </c>
      <c r="D3971" s="9" t="s">
        <v>180</v>
      </c>
      <c r="E3971" s="10" t="str">
        <f t="shared" si="356"/>
        <v>Rancho Landero No. 80</v>
      </c>
      <c r="F3971" s="10" t="str">
        <f t="shared" si="357"/>
        <v>Caballero</v>
      </c>
      <c r="G3971" s="8">
        <v>7</v>
      </c>
      <c r="H3971" s="11">
        <v>100</v>
      </c>
      <c r="I3971" s="12">
        <v>42848</v>
      </c>
      <c r="J3971" s="35">
        <f t="shared" si="358"/>
        <v>0</v>
      </c>
      <c r="K3971" s="36"/>
      <c r="L3971" s="36"/>
      <c r="M3971" s="36"/>
      <c r="N3971" s="36"/>
      <c r="O3971" s="36"/>
      <c r="P3971" s="36"/>
      <c r="Q3971" s="36"/>
      <c r="R3971" s="36"/>
      <c r="S3971" s="36"/>
      <c r="T3971" s="36"/>
      <c r="U3971" s="36"/>
      <c r="V3971" s="36"/>
      <c r="W3971" s="15">
        <f t="shared" si="359"/>
        <v>0</v>
      </c>
      <c r="X3971" s="36"/>
      <c r="Y3971" s="36"/>
      <c r="Z3971" s="36"/>
      <c r="AA3971" s="36"/>
      <c r="AB3971" s="36"/>
      <c r="AC3971" s="36"/>
      <c r="AD3971" s="36"/>
      <c r="AE3971" s="36"/>
      <c r="AF3971" s="36"/>
      <c r="AG3971" s="36"/>
      <c r="AH3971" s="36"/>
      <c r="AI3971" s="36"/>
      <c r="AJ3971" s="15">
        <f t="shared" si="360"/>
        <v>0</v>
      </c>
      <c r="AK3971" s="14"/>
      <c r="AL3971" s="14"/>
      <c r="AM3971" s="14"/>
      <c r="AN3971" s="14"/>
      <c r="AO3971" s="14"/>
      <c r="AP3971" s="14"/>
      <c r="AQ3971" s="14"/>
      <c r="AR3971" s="14"/>
      <c r="AS3971" s="14"/>
      <c r="AT3971" s="14"/>
      <c r="AU3971" s="14"/>
      <c r="AV3971" s="14"/>
      <c r="AW3971" s="15"/>
      <c r="AX3971" s="16" t="s">
        <v>3858</v>
      </c>
    </row>
    <row r="3972" spans="2:50" x14ac:dyDescent="0.2">
      <c r="B3972" s="7"/>
      <c r="C3972" s="8">
        <v>14303</v>
      </c>
      <c r="D3972" s="9" t="s">
        <v>523</v>
      </c>
      <c r="E3972" s="10" t="str">
        <f t="shared" si="356"/>
        <v>Rancho Estanzuela No. 139</v>
      </c>
      <c r="F3972" s="10" t="str">
        <f t="shared" si="357"/>
        <v xml:space="preserve">Ortiz   </v>
      </c>
      <c r="G3972" s="8">
        <v>1</v>
      </c>
      <c r="H3972" s="11">
        <v>800</v>
      </c>
      <c r="I3972" s="12">
        <v>42848</v>
      </c>
      <c r="J3972" s="35">
        <f t="shared" si="358"/>
        <v>0</v>
      </c>
      <c r="K3972" s="36"/>
      <c r="L3972" s="36"/>
      <c r="M3972" s="36"/>
      <c r="N3972" s="36"/>
      <c r="O3972" s="36"/>
      <c r="P3972" s="36"/>
      <c r="Q3972" s="36"/>
      <c r="R3972" s="36"/>
      <c r="S3972" s="36"/>
      <c r="T3972" s="36"/>
      <c r="U3972" s="36"/>
      <c r="V3972" s="36"/>
      <c r="W3972" s="15">
        <f t="shared" si="359"/>
        <v>0</v>
      </c>
      <c r="X3972" s="36"/>
      <c r="Y3972" s="36"/>
      <c r="Z3972" s="36">
        <v>400</v>
      </c>
      <c r="AA3972" s="36">
        <v>400</v>
      </c>
      <c r="AB3972" s="36"/>
      <c r="AC3972" s="36"/>
      <c r="AD3972" s="36"/>
      <c r="AE3972" s="36"/>
      <c r="AF3972" s="36"/>
      <c r="AG3972" s="36"/>
      <c r="AH3972" s="36"/>
      <c r="AI3972" s="36"/>
      <c r="AJ3972" s="15">
        <f t="shared" si="360"/>
        <v>800</v>
      </c>
      <c r="AK3972" s="14"/>
      <c r="AL3972" s="14"/>
      <c r="AM3972" s="14"/>
      <c r="AN3972" s="14"/>
      <c r="AO3972" s="14"/>
      <c r="AP3972" s="14"/>
      <c r="AQ3972" s="14"/>
      <c r="AR3972" s="14"/>
      <c r="AS3972" s="14"/>
      <c r="AT3972" s="14"/>
      <c r="AU3972" s="14"/>
      <c r="AV3972" s="14"/>
      <c r="AW3972" s="15"/>
      <c r="AX3972" s="16"/>
    </row>
    <row r="3973" spans="2:50" x14ac:dyDescent="0.2">
      <c r="B3973" s="7"/>
      <c r="C3973" s="8">
        <v>14304</v>
      </c>
      <c r="D3973" s="9" t="s">
        <v>313</v>
      </c>
      <c r="E3973" s="10" t="str">
        <f t="shared" si="356"/>
        <v>Rancho La Cuchilla No. 87</v>
      </c>
      <c r="F3973" s="10" t="str">
        <f t="shared" si="357"/>
        <v>Villanueva S.</v>
      </c>
      <c r="G3973" s="8">
        <v>1</v>
      </c>
      <c r="H3973" s="11">
        <v>400</v>
      </c>
      <c r="I3973" s="12">
        <v>42848</v>
      </c>
      <c r="J3973" s="35">
        <f t="shared" si="358"/>
        <v>0</v>
      </c>
      <c r="K3973" s="36"/>
      <c r="L3973" s="36"/>
      <c r="M3973" s="36"/>
      <c r="N3973" s="36"/>
      <c r="O3973" s="36"/>
      <c r="P3973" s="36"/>
      <c r="Q3973" s="36"/>
      <c r="R3973" s="36"/>
      <c r="S3973" s="36"/>
      <c r="T3973" s="36"/>
      <c r="U3973" s="36"/>
      <c r="V3973" s="36"/>
      <c r="W3973" s="15">
        <f t="shared" si="359"/>
        <v>0</v>
      </c>
      <c r="X3973" s="36"/>
      <c r="Y3973" s="36"/>
      <c r="Z3973" s="36"/>
      <c r="AA3973" s="36"/>
      <c r="AB3973" s="36">
        <v>400</v>
      </c>
      <c r="AC3973" s="36"/>
      <c r="AD3973" s="36"/>
      <c r="AE3973" s="36"/>
      <c r="AF3973" s="36"/>
      <c r="AG3973" s="36"/>
      <c r="AH3973" s="36"/>
      <c r="AI3973" s="36"/>
      <c r="AJ3973" s="15">
        <f t="shared" si="360"/>
        <v>400</v>
      </c>
      <c r="AK3973" s="14"/>
      <c r="AL3973" s="14"/>
      <c r="AM3973" s="14"/>
      <c r="AN3973" s="14"/>
      <c r="AO3973" s="14"/>
      <c r="AP3973" s="14"/>
      <c r="AQ3973" s="14"/>
      <c r="AR3973" s="14"/>
      <c r="AS3973" s="14"/>
      <c r="AT3973" s="14"/>
      <c r="AU3973" s="14"/>
      <c r="AV3973" s="14"/>
      <c r="AW3973" s="15"/>
      <c r="AX3973" s="16"/>
    </row>
    <row r="3974" spans="2:50" x14ac:dyDescent="0.2">
      <c r="B3974" s="7"/>
      <c r="C3974" s="8">
        <v>14305</v>
      </c>
      <c r="D3974" s="9" t="s">
        <v>58</v>
      </c>
      <c r="E3974" s="10" t="str">
        <f t="shared" si="356"/>
        <v>Rancho Landero No. 19</v>
      </c>
      <c r="F3974" s="10" t="str">
        <f t="shared" si="357"/>
        <v>Becerril Amaya</v>
      </c>
      <c r="G3974" s="8">
        <v>1</v>
      </c>
      <c r="H3974" s="11">
        <v>600</v>
      </c>
      <c r="I3974" s="12">
        <v>42848</v>
      </c>
      <c r="J3974" s="35">
        <f t="shared" si="358"/>
        <v>0</v>
      </c>
      <c r="K3974" s="36"/>
      <c r="L3974" s="36"/>
      <c r="M3974" s="36"/>
      <c r="N3974" s="36"/>
      <c r="O3974" s="36"/>
      <c r="P3974" s="36"/>
      <c r="Q3974" s="36"/>
      <c r="R3974" s="36"/>
      <c r="S3974" s="36"/>
      <c r="T3974" s="36"/>
      <c r="U3974" s="36"/>
      <c r="V3974" s="36"/>
      <c r="W3974" s="15">
        <f t="shared" si="359"/>
        <v>0</v>
      </c>
      <c r="X3974" s="36"/>
      <c r="Y3974" s="36">
        <v>300</v>
      </c>
      <c r="Z3974" s="36">
        <v>300</v>
      </c>
      <c r="AA3974" s="36"/>
      <c r="AB3974" s="36"/>
      <c r="AC3974" s="36"/>
      <c r="AD3974" s="36"/>
      <c r="AE3974" s="36"/>
      <c r="AF3974" s="36"/>
      <c r="AG3974" s="36"/>
      <c r="AH3974" s="36"/>
      <c r="AI3974" s="36"/>
      <c r="AJ3974" s="15">
        <f t="shared" si="360"/>
        <v>600</v>
      </c>
      <c r="AK3974" s="14"/>
      <c r="AL3974" s="14"/>
      <c r="AM3974" s="14"/>
      <c r="AN3974" s="14"/>
      <c r="AO3974" s="14"/>
      <c r="AP3974" s="14"/>
      <c r="AQ3974" s="14"/>
      <c r="AR3974" s="14"/>
      <c r="AS3974" s="14"/>
      <c r="AT3974" s="14"/>
      <c r="AU3974" s="14"/>
      <c r="AV3974" s="14"/>
      <c r="AW3974" s="15"/>
      <c r="AX3974" s="16"/>
    </row>
    <row r="3975" spans="2:50" x14ac:dyDescent="0.2">
      <c r="B3975" s="7"/>
      <c r="C3975" s="8">
        <v>14306</v>
      </c>
      <c r="D3975" s="9" t="s">
        <v>882</v>
      </c>
      <c r="E3975" s="10" t="str">
        <f t="shared" si="356"/>
        <v>Rancho Upácuaro No. 54</v>
      </c>
      <c r="F3975" s="10" t="str">
        <f t="shared" si="357"/>
        <v>García Rueda</v>
      </c>
      <c r="G3975" s="8">
        <v>1</v>
      </c>
      <c r="H3975" s="11">
        <v>400</v>
      </c>
      <c r="I3975" s="12">
        <v>42848</v>
      </c>
      <c r="J3975" s="35">
        <f t="shared" si="358"/>
        <v>0</v>
      </c>
      <c r="K3975" s="36"/>
      <c r="L3975" s="36"/>
      <c r="M3975" s="36"/>
      <c r="N3975" s="36"/>
      <c r="O3975" s="36"/>
      <c r="P3975" s="36"/>
      <c r="Q3975" s="36"/>
      <c r="R3975" s="36"/>
      <c r="S3975" s="36"/>
      <c r="T3975" s="36"/>
      <c r="U3975" s="36"/>
      <c r="V3975" s="36"/>
      <c r="W3975" s="15">
        <f t="shared" si="359"/>
        <v>0</v>
      </c>
      <c r="X3975" s="36"/>
      <c r="Y3975" s="36"/>
      <c r="Z3975" s="36"/>
      <c r="AA3975" s="36">
        <v>200</v>
      </c>
      <c r="AB3975" s="36">
        <v>200</v>
      </c>
      <c r="AC3975" s="36"/>
      <c r="AD3975" s="36"/>
      <c r="AE3975" s="36"/>
      <c r="AF3975" s="36"/>
      <c r="AG3975" s="36"/>
      <c r="AH3975" s="36"/>
      <c r="AI3975" s="36"/>
      <c r="AJ3975" s="15">
        <f t="shared" si="360"/>
        <v>400</v>
      </c>
      <c r="AK3975" s="14"/>
      <c r="AL3975" s="14"/>
      <c r="AM3975" s="14"/>
      <c r="AN3975" s="14"/>
      <c r="AO3975" s="14"/>
      <c r="AP3975" s="14"/>
      <c r="AQ3975" s="14"/>
      <c r="AR3975" s="14"/>
      <c r="AS3975" s="14"/>
      <c r="AT3975" s="14"/>
      <c r="AU3975" s="14"/>
      <c r="AV3975" s="14"/>
      <c r="AW3975" s="15"/>
      <c r="AX3975" s="16"/>
    </row>
    <row r="3976" spans="2:50" x14ac:dyDescent="0.2">
      <c r="B3976" s="7"/>
      <c r="C3976" s="8">
        <v>14307</v>
      </c>
      <c r="D3976" s="9" t="s">
        <v>1026</v>
      </c>
      <c r="E3976" s="10" t="str">
        <f t="shared" si="356"/>
        <v>Rancho Estanzuela No. 119, 2</v>
      </c>
      <c r="F3976" s="10" t="str">
        <f t="shared" si="357"/>
        <v>Lòpez Tovar</v>
      </c>
      <c r="G3976" s="8">
        <v>1</v>
      </c>
      <c r="H3976" s="11">
        <v>600</v>
      </c>
      <c r="I3976" s="12">
        <v>42848</v>
      </c>
      <c r="J3976" s="35">
        <f t="shared" si="358"/>
        <v>0</v>
      </c>
      <c r="K3976" s="36"/>
      <c r="L3976" s="36"/>
      <c r="M3976" s="36"/>
      <c r="N3976" s="36"/>
      <c r="O3976" s="36"/>
      <c r="P3976" s="36"/>
      <c r="Q3976" s="36"/>
      <c r="R3976" s="36"/>
      <c r="S3976" s="36"/>
      <c r="T3976" s="36"/>
      <c r="U3976" s="36"/>
      <c r="V3976" s="36"/>
      <c r="W3976" s="15">
        <f t="shared" si="359"/>
        <v>0</v>
      </c>
      <c r="X3976" s="36"/>
      <c r="Y3976" s="36">
        <v>200</v>
      </c>
      <c r="Z3976" s="36">
        <v>200</v>
      </c>
      <c r="AA3976" s="36">
        <v>200</v>
      </c>
      <c r="AB3976" s="36"/>
      <c r="AC3976" s="36"/>
      <c r="AD3976" s="36"/>
      <c r="AE3976" s="36"/>
      <c r="AF3976" s="36"/>
      <c r="AG3976" s="36"/>
      <c r="AH3976" s="36"/>
      <c r="AI3976" s="36"/>
      <c r="AJ3976" s="15">
        <f t="shared" si="360"/>
        <v>600</v>
      </c>
      <c r="AK3976" s="14"/>
      <c r="AL3976" s="14"/>
      <c r="AM3976" s="14"/>
      <c r="AN3976" s="14"/>
      <c r="AO3976" s="14"/>
      <c r="AP3976" s="14"/>
      <c r="AQ3976" s="14"/>
      <c r="AR3976" s="14"/>
      <c r="AS3976" s="14"/>
      <c r="AT3976" s="14"/>
      <c r="AU3976" s="14"/>
      <c r="AV3976" s="14"/>
      <c r="AW3976" s="15"/>
      <c r="AX3976" s="16"/>
    </row>
    <row r="3977" spans="2:50" x14ac:dyDescent="0.2">
      <c r="B3977" s="7"/>
      <c r="C3977" s="8">
        <v>14307</v>
      </c>
      <c r="D3977" s="9" t="s">
        <v>1026</v>
      </c>
      <c r="E3977" s="10" t="str">
        <f t="shared" si="356"/>
        <v>Rancho Estanzuela No. 119, 2</v>
      </c>
      <c r="F3977" s="10" t="str">
        <f t="shared" si="357"/>
        <v>Lòpez Tovar</v>
      </c>
      <c r="G3977" s="8">
        <v>7</v>
      </c>
      <c r="H3977" s="11">
        <v>100</v>
      </c>
      <c r="I3977" s="12">
        <v>42848</v>
      </c>
      <c r="J3977" s="35">
        <f t="shared" si="358"/>
        <v>0</v>
      </c>
      <c r="K3977" s="36"/>
      <c r="L3977" s="36"/>
      <c r="M3977" s="36"/>
      <c r="N3977" s="36"/>
      <c r="O3977" s="36"/>
      <c r="P3977" s="36"/>
      <c r="Q3977" s="36"/>
      <c r="R3977" s="36"/>
      <c r="S3977" s="36"/>
      <c r="T3977" s="36"/>
      <c r="U3977" s="36"/>
      <c r="V3977" s="36"/>
      <c r="W3977" s="15">
        <f t="shared" si="359"/>
        <v>0</v>
      </c>
      <c r="X3977" s="36"/>
      <c r="Y3977" s="36"/>
      <c r="Z3977" s="36"/>
      <c r="AA3977" s="36"/>
      <c r="AB3977" s="36"/>
      <c r="AC3977" s="36"/>
      <c r="AD3977" s="36"/>
      <c r="AE3977" s="36"/>
      <c r="AF3977" s="36"/>
      <c r="AG3977" s="36"/>
      <c r="AH3977" s="36"/>
      <c r="AI3977" s="36"/>
      <c r="AJ3977" s="15">
        <f t="shared" si="360"/>
        <v>0</v>
      </c>
      <c r="AK3977" s="14"/>
      <c r="AL3977" s="14"/>
      <c r="AM3977" s="14"/>
      <c r="AN3977" s="14"/>
      <c r="AO3977" s="14"/>
      <c r="AP3977" s="14"/>
      <c r="AQ3977" s="14"/>
      <c r="AR3977" s="14"/>
      <c r="AS3977" s="14"/>
      <c r="AT3977" s="14"/>
      <c r="AU3977" s="14"/>
      <c r="AV3977" s="14"/>
      <c r="AW3977" s="15"/>
      <c r="AX3977" s="16" t="s">
        <v>3858</v>
      </c>
    </row>
    <row r="3978" spans="2:50" x14ac:dyDescent="0.2">
      <c r="B3978" s="7"/>
      <c r="C3978" s="8">
        <v>14308</v>
      </c>
      <c r="D3978" s="9" t="s">
        <v>328</v>
      </c>
      <c r="E3978" s="10" t="str">
        <f t="shared" si="356"/>
        <v>Rancho La Cuchilla No. 130</v>
      </c>
      <c r="F3978" s="10" t="str">
        <f t="shared" si="357"/>
        <v>Gonzalez</v>
      </c>
      <c r="G3978" s="8">
        <v>5</v>
      </c>
      <c r="H3978" s="11">
        <v>50</v>
      </c>
      <c r="I3978" s="12">
        <v>42848</v>
      </c>
      <c r="J3978" s="35">
        <f t="shared" si="358"/>
        <v>0</v>
      </c>
      <c r="K3978" s="36"/>
      <c r="L3978" s="36"/>
      <c r="M3978" s="36"/>
      <c r="N3978" s="36"/>
      <c r="O3978" s="36"/>
      <c r="P3978" s="36"/>
      <c r="Q3978" s="36"/>
      <c r="R3978" s="36"/>
      <c r="S3978" s="36"/>
      <c r="T3978" s="36"/>
      <c r="U3978" s="36"/>
      <c r="V3978" s="36"/>
      <c r="W3978" s="15">
        <f t="shared" si="359"/>
        <v>0</v>
      </c>
      <c r="X3978" s="36"/>
      <c r="Y3978" s="36"/>
      <c r="Z3978" s="36"/>
      <c r="AA3978" s="36"/>
      <c r="AB3978" s="36"/>
      <c r="AC3978" s="36"/>
      <c r="AD3978" s="36"/>
      <c r="AE3978" s="36"/>
      <c r="AF3978" s="36"/>
      <c r="AG3978" s="36"/>
      <c r="AH3978" s="36"/>
      <c r="AI3978" s="36"/>
      <c r="AJ3978" s="15">
        <f t="shared" si="360"/>
        <v>0</v>
      </c>
      <c r="AK3978" s="14"/>
      <c r="AL3978" s="14"/>
      <c r="AM3978" s="14"/>
      <c r="AN3978" s="14"/>
      <c r="AO3978" s="14"/>
      <c r="AP3978" s="14"/>
      <c r="AQ3978" s="14"/>
      <c r="AR3978" s="14"/>
      <c r="AS3978" s="14"/>
      <c r="AT3978" s="14"/>
      <c r="AU3978" s="14"/>
      <c r="AV3978" s="14"/>
      <c r="AW3978" s="15"/>
      <c r="AX3978" s="16"/>
    </row>
    <row r="3979" spans="2:50" x14ac:dyDescent="0.2">
      <c r="B3979" s="7"/>
      <c r="C3979" s="8">
        <v>14309</v>
      </c>
      <c r="D3979" s="9" t="s">
        <v>834</v>
      </c>
      <c r="E3979" s="10" t="str">
        <f t="shared" si="356"/>
        <v>Rancho Upácuaro No. 110</v>
      </c>
      <c r="F3979" s="10" t="str">
        <f t="shared" si="357"/>
        <v>Ruiz Mijangos</v>
      </c>
      <c r="G3979" s="8">
        <v>1</v>
      </c>
      <c r="H3979" s="11">
        <v>300</v>
      </c>
      <c r="I3979" s="12">
        <v>42848</v>
      </c>
      <c r="J3979" s="35">
        <f t="shared" si="358"/>
        <v>0</v>
      </c>
      <c r="K3979" s="36"/>
      <c r="L3979" s="36"/>
      <c r="M3979" s="36"/>
      <c r="N3979" s="36"/>
      <c r="O3979" s="36"/>
      <c r="P3979" s="36"/>
      <c r="Q3979" s="36"/>
      <c r="R3979" s="36"/>
      <c r="S3979" s="36"/>
      <c r="T3979" s="36"/>
      <c r="U3979" s="36"/>
      <c r="V3979" s="36"/>
      <c r="W3979" s="15">
        <f t="shared" si="359"/>
        <v>0</v>
      </c>
      <c r="X3979" s="36"/>
      <c r="Y3979" s="36">
        <v>300</v>
      </c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15">
        <f t="shared" si="360"/>
        <v>300</v>
      </c>
      <c r="AK3979" s="14"/>
      <c r="AL3979" s="14"/>
      <c r="AM3979" s="14"/>
      <c r="AN3979" s="14"/>
      <c r="AO3979" s="14"/>
      <c r="AP3979" s="14"/>
      <c r="AQ3979" s="14"/>
      <c r="AR3979" s="14"/>
      <c r="AS3979" s="14"/>
      <c r="AT3979" s="14"/>
      <c r="AU3979" s="14"/>
      <c r="AV3979" s="14"/>
      <c r="AW3979" s="15"/>
      <c r="AX3979" s="16"/>
    </row>
    <row r="3980" spans="2:50" x14ac:dyDescent="0.2">
      <c r="B3980" s="7"/>
      <c r="C3980" s="8">
        <v>14310</v>
      </c>
      <c r="D3980" s="9" t="s">
        <v>165</v>
      </c>
      <c r="E3980" s="10" t="str">
        <f t="shared" si="356"/>
        <v>Rancho Upácuaro No. 23</v>
      </c>
      <c r="F3980" s="10" t="str">
        <f t="shared" si="357"/>
        <v>Gutièrrez Muñòz</v>
      </c>
      <c r="G3980" s="8">
        <v>4</v>
      </c>
      <c r="H3980" s="11">
        <v>200</v>
      </c>
      <c r="I3980" s="12">
        <v>42848</v>
      </c>
      <c r="J3980" s="35">
        <f t="shared" si="358"/>
        <v>0</v>
      </c>
      <c r="K3980" s="36"/>
      <c r="L3980" s="36"/>
      <c r="M3980" s="36"/>
      <c r="N3980" s="36"/>
      <c r="O3980" s="36"/>
      <c r="P3980" s="36"/>
      <c r="Q3980" s="36"/>
      <c r="R3980" s="36"/>
      <c r="S3980" s="36"/>
      <c r="T3980" s="36"/>
      <c r="U3980" s="36"/>
      <c r="V3980" s="36"/>
      <c r="W3980" s="15">
        <f t="shared" si="359"/>
        <v>0</v>
      </c>
      <c r="X3980" s="36"/>
      <c r="Y3980" s="36"/>
      <c r="Z3980" s="36"/>
      <c r="AA3980" s="36"/>
      <c r="AB3980" s="36"/>
      <c r="AC3980" s="36"/>
      <c r="AD3980" s="36"/>
      <c r="AE3980" s="36"/>
      <c r="AF3980" s="36"/>
      <c r="AG3980" s="36"/>
      <c r="AH3980" s="36"/>
      <c r="AI3980" s="36"/>
      <c r="AJ3980" s="15">
        <f t="shared" si="360"/>
        <v>0</v>
      </c>
      <c r="AK3980" s="14"/>
      <c r="AL3980" s="14"/>
      <c r="AM3980" s="14"/>
      <c r="AN3980" s="14"/>
      <c r="AO3980" s="14"/>
      <c r="AP3980" s="14"/>
      <c r="AQ3980" s="14"/>
      <c r="AR3980" s="14"/>
      <c r="AS3980" s="14"/>
      <c r="AT3980" s="14"/>
      <c r="AU3980" s="14"/>
      <c r="AV3980" s="14"/>
      <c r="AW3980" s="15"/>
      <c r="AX3980" s="16"/>
    </row>
    <row r="3981" spans="2:50" x14ac:dyDescent="0.2">
      <c r="B3981" s="7"/>
      <c r="C3981" s="8">
        <v>14310</v>
      </c>
      <c r="D3981" s="9" t="s">
        <v>165</v>
      </c>
      <c r="E3981" s="10" t="str">
        <f t="shared" ref="E3981:E3991" si="361">IF(D3981=0,"",VLOOKUP(D3981,BASE,2,FALSE))</f>
        <v>Rancho Upácuaro No. 23</v>
      </c>
      <c r="F3981" s="10" t="str">
        <f t="shared" ref="F3981:F3991" si="362">IF(D3981=0,"",VLOOKUP(D3981,BASE,3,FALSE))</f>
        <v>Gutièrrez Muñòz</v>
      </c>
      <c r="G3981" s="8">
        <v>5</v>
      </c>
      <c r="H3981" s="11">
        <v>50</v>
      </c>
      <c r="I3981" s="12">
        <v>42848</v>
      </c>
      <c r="J3981" s="35">
        <f t="shared" ref="J3981:J3991" si="363">IF(G3981=1,SUM(W3981,AJ3981,-H3981),0)</f>
        <v>0</v>
      </c>
      <c r="K3981" s="36"/>
      <c r="L3981" s="36"/>
      <c r="M3981" s="36"/>
      <c r="N3981" s="36"/>
      <c r="O3981" s="36"/>
      <c r="P3981" s="36"/>
      <c r="Q3981" s="36"/>
      <c r="R3981" s="36"/>
      <c r="S3981" s="36"/>
      <c r="T3981" s="36"/>
      <c r="U3981" s="36"/>
      <c r="V3981" s="36"/>
      <c r="W3981" s="15">
        <f t="shared" ref="W3981:W3991" si="364">SUM(K3981:V3981)</f>
        <v>0</v>
      </c>
      <c r="X3981" s="36"/>
      <c r="Y3981" s="36"/>
      <c r="Z3981" s="36"/>
      <c r="AA3981" s="36"/>
      <c r="AB3981" s="36"/>
      <c r="AC3981" s="36"/>
      <c r="AD3981" s="36"/>
      <c r="AE3981" s="36"/>
      <c r="AF3981" s="36"/>
      <c r="AG3981" s="36"/>
      <c r="AH3981" s="36"/>
      <c r="AI3981" s="36"/>
      <c r="AJ3981" s="15">
        <f t="shared" ref="AJ3981:AJ3991" si="365">SUM(X3981:AI3981)</f>
        <v>0</v>
      </c>
      <c r="AK3981" s="14"/>
      <c r="AL3981" s="14"/>
      <c r="AM3981" s="14"/>
      <c r="AN3981" s="14"/>
      <c r="AO3981" s="14"/>
      <c r="AP3981" s="14"/>
      <c r="AQ3981" s="14"/>
      <c r="AR3981" s="14"/>
      <c r="AS3981" s="14"/>
      <c r="AT3981" s="14"/>
      <c r="AU3981" s="14"/>
      <c r="AV3981" s="14"/>
      <c r="AW3981" s="15"/>
      <c r="AX3981" s="16"/>
    </row>
    <row r="3982" spans="2:50" x14ac:dyDescent="0.2">
      <c r="B3982" s="7"/>
      <c r="C3982" s="8">
        <v>14311</v>
      </c>
      <c r="D3982" s="9" t="s">
        <v>70</v>
      </c>
      <c r="E3982" s="10" t="str">
        <f t="shared" si="361"/>
        <v>Rancho Upácuaro No. 63</v>
      </c>
      <c r="F3982" s="10" t="str">
        <f t="shared" si="362"/>
        <v>González Benavides</v>
      </c>
      <c r="G3982" s="8">
        <v>5</v>
      </c>
      <c r="H3982" s="11">
        <v>50</v>
      </c>
      <c r="I3982" s="12">
        <v>42848</v>
      </c>
      <c r="J3982" s="35">
        <f t="shared" si="363"/>
        <v>0</v>
      </c>
      <c r="K3982" s="36"/>
      <c r="L3982" s="36"/>
      <c r="M3982" s="36"/>
      <c r="N3982" s="36"/>
      <c r="O3982" s="36"/>
      <c r="P3982" s="36"/>
      <c r="Q3982" s="36"/>
      <c r="R3982" s="36"/>
      <c r="S3982" s="36"/>
      <c r="T3982" s="36"/>
      <c r="U3982" s="36"/>
      <c r="V3982" s="36"/>
      <c r="W3982" s="15">
        <f t="shared" si="364"/>
        <v>0</v>
      </c>
      <c r="X3982" s="36"/>
      <c r="Y3982" s="36"/>
      <c r="Z3982" s="36"/>
      <c r="AA3982" s="36"/>
      <c r="AB3982" s="36"/>
      <c r="AC3982" s="36"/>
      <c r="AD3982" s="36"/>
      <c r="AE3982" s="36"/>
      <c r="AF3982" s="36"/>
      <c r="AG3982" s="36"/>
      <c r="AH3982" s="36"/>
      <c r="AI3982" s="36"/>
      <c r="AJ3982" s="15">
        <f t="shared" si="365"/>
        <v>0</v>
      </c>
      <c r="AK3982" s="14"/>
      <c r="AL3982" s="14"/>
      <c r="AM3982" s="14"/>
      <c r="AN3982" s="14"/>
      <c r="AO3982" s="14"/>
      <c r="AP3982" s="14"/>
      <c r="AQ3982" s="14"/>
      <c r="AR3982" s="14"/>
      <c r="AS3982" s="14"/>
      <c r="AT3982" s="14"/>
      <c r="AU3982" s="14"/>
      <c r="AV3982" s="14"/>
      <c r="AW3982" s="15"/>
      <c r="AX3982" s="16"/>
    </row>
    <row r="3983" spans="2:50" x14ac:dyDescent="0.2">
      <c r="B3983" s="7"/>
      <c r="C3983" s="8">
        <v>14311</v>
      </c>
      <c r="D3983" s="9" t="s">
        <v>70</v>
      </c>
      <c r="E3983" s="10" t="str">
        <f t="shared" si="361"/>
        <v>Rancho Upácuaro No. 63</v>
      </c>
      <c r="F3983" s="10" t="str">
        <f t="shared" si="362"/>
        <v>González Benavides</v>
      </c>
      <c r="G3983" s="8">
        <v>7</v>
      </c>
      <c r="H3983" s="11">
        <v>100</v>
      </c>
      <c r="I3983" s="12">
        <v>42848</v>
      </c>
      <c r="J3983" s="35">
        <f t="shared" si="363"/>
        <v>0</v>
      </c>
      <c r="K3983" s="36"/>
      <c r="L3983" s="36"/>
      <c r="M3983" s="36"/>
      <c r="N3983" s="36"/>
      <c r="O3983" s="36"/>
      <c r="P3983" s="36"/>
      <c r="Q3983" s="36"/>
      <c r="R3983" s="36"/>
      <c r="S3983" s="36"/>
      <c r="T3983" s="36"/>
      <c r="U3983" s="36"/>
      <c r="V3983" s="36"/>
      <c r="W3983" s="15">
        <f t="shared" si="364"/>
        <v>0</v>
      </c>
      <c r="X3983" s="36"/>
      <c r="Y3983" s="36"/>
      <c r="Z3983" s="36"/>
      <c r="AA3983" s="36"/>
      <c r="AB3983" s="36"/>
      <c r="AC3983" s="36"/>
      <c r="AD3983" s="36"/>
      <c r="AE3983" s="36"/>
      <c r="AF3983" s="36"/>
      <c r="AG3983" s="36"/>
      <c r="AH3983" s="36"/>
      <c r="AI3983" s="36"/>
      <c r="AJ3983" s="15">
        <f t="shared" si="365"/>
        <v>0</v>
      </c>
      <c r="AK3983" s="14"/>
      <c r="AL3983" s="14"/>
      <c r="AM3983" s="14"/>
      <c r="AN3983" s="14"/>
      <c r="AO3983" s="14"/>
      <c r="AP3983" s="14"/>
      <c r="AQ3983" s="14"/>
      <c r="AR3983" s="14"/>
      <c r="AS3983" s="14"/>
      <c r="AT3983" s="14"/>
      <c r="AU3983" s="14"/>
      <c r="AV3983" s="14"/>
      <c r="AW3983" s="15"/>
      <c r="AX3983" s="16" t="s">
        <v>3858</v>
      </c>
    </row>
    <row r="3984" spans="2:50" x14ac:dyDescent="0.2">
      <c r="B3984" s="7"/>
      <c r="C3984" s="8">
        <v>14312</v>
      </c>
      <c r="D3984" s="9" t="s">
        <v>714</v>
      </c>
      <c r="E3984" s="10" t="str">
        <f t="shared" si="361"/>
        <v>Rancho Upácuaro No. 134</v>
      </c>
      <c r="F3984" s="10" t="str">
        <f t="shared" si="362"/>
        <v>Flores Pérez</v>
      </c>
      <c r="G3984" s="8">
        <v>7</v>
      </c>
      <c r="H3984" s="11">
        <v>100</v>
      </c>
      <c r="I3984" s="12">
        <v>42848</v>
      </c>
      <c r="J3984" s="35">
        <f t="shared" si="363"/>
        <v>0</v>
      </c>
      <c r="K3984" s="36"/>
      <c r="L3984" s="36"/>
      <c r="M3984" s="36"/>
      <c r="N3984" s="36"/>
      <c r="O3984" s="36"/>
      <c r="P3984" s="36"/>
      <c r="Q3984" s="36"/>
      <c r="R3984" s="36"/>
      <c r="S3984" s="36"/>
      <c r="T3984" s="36"/>
      <c r="U3984" s="36"/>
      <c r="V3984" s="36"/>
      <c r="W3984" s="15">
        <f t="shared" si="364"/>
        <v>0</v>
      </c>
      <c r="X3984" s="36"/>
      <c r="Y3984" s="36"/>
      <c r="Z3984" s="36"/>
      <c r="AA3984" s="36"/>
      <c r="AB3984" s="36"/>
      <c r="AC3984" s="36"/>
      <c r="AD3984" s="36"/>
      <c r="AE3984" s="36"/>
      <c r="AF3984" s="36"/>
      <c r="AG3984" s="36"/>
      <c r="AH3984" s="36"/>
      <c r="AI3984" s="36"/>
      <c r="AJ3984" s="15">
        <f t="shared" si="365"/>
        <v>0</v>
      </c>
      <c r="AK3984" s="14"/>
      <c r="AL3984" s="14"/>
      <c r="AM3984" s="14"/>
      <c r="AN3984" s="14"/>
      <c r="AO3984" s="14"/>
      <c r="AP3984" s="14"/>
      <c r="AQ3984" s="14"/>
      <c r="AR3984" s="14"/>
      <c r="AS3984" s="14"/>
      <c r="AT3984" s="14"/>
      <c r="AU3984" s="14"/>
      <c r="AV3984" s="14"/>
      <c r="AW3984" s="15"/>
      <c r="AX3984" s="16" t="s">
        <v>3858</v>
      </c>
    </row>
    <row r="3985" spans="2:50" x14ac:dyDescent="0.2">
      <c r="B3985" s="7"/>
      <c r="C3985" s="8">
        <v>14313</v>
      </c>
      <c r="D3985" s="9" t="s">
        <v>259</v>
      </c>
      <c r="E3985" s="10" t="str">
        <f t="shared" si="361"/>
        <v>Rancho Estanzuela No. 55</v>
      </c>
      <c r="F3985" s="10" t="str">
        <f t="shared" si="362"/>
        <v>Rodríguez Acevedo</v>
      </c>
      <c r="G3985" s="8">
        <v>1</v>
      </c>
      <c r="H3985" s="11">
        <v>400</v>
      </c>
      <c r="I3985" s="12">
        <v>42848</v>
      </c>
      <c r="J3985" s="35">
        <f t="shared" si="363"/>
        <v>0</v>
      </c>
      <c r="K3985" s="36"/>
      <c r="L3985" s="36"/>
      <c r="M3985" s="36"/>
      <c r="N3985" s="36"/>
      <c r="O3985" s="36"/>
      <c r="P3985" s="36"/>
      <c r="Q3985" s="36"/>
      <c r="R3985" s="36"/>
      <c r="S3985" s="36"/>
      <c r="T3985" s="36"/>
      <c r="U3985" s="36"/>
      <c r="V3985" s="36"/>
      <c r="W3985" s="15">
        <f t="shared" si="364"/>
        <v>0</v>
      </c>
      <c r="X3985" s="36"/>
      <c r="Y3985" s="36"/>
      <c r="Z3985" s="36"/>
      <c r="AA3985" s="36">
        <v>400</v>
      </c>
      <c r="AB3985" s="36"/>
      <c r="AC3985" s="36"/>
      <c r="AD3985" s="36"/>
      <c r="AE3985" s="36"/>
      <c r="AF3985" s="36"/>
      <c r="AG3985" s="36"/>
      <c r="AH3985" s="36"/>
      <c r="AI3985" s="36"/>
      <c r="AJ3985" s="15">
        <f t="shared" si="365"/>
        <v>400</v>
      </c>
      <c r="AK3985" s="14"/>
      <c r="AL3985" s="14"/>
      <c r="AM3985" s="14"/>
      <c r="AN3985" s="14"/>
      <c r="AO3985" s="14"/>
      <c r="AP3985" s="14"/>
      <c r="AQ3985" s="14"/>
      <c r="AR3985" s="14"/>
      <c r="AS3985" s="14"/>
      <c r="AT3985" s="14"/>
      <c r="AU3985" s="14"/>
      <c r="AV3985" s="14"/>
      <c r="AW3985" s="15"/>
      <c r="AX3985" s="316">
        <f>SUM(H3940:H3985)</f>
        <v>14150</v>
      </c>
    </row>
    <row r="3986" spans="2:50" x14ac:dyDescent="0.2">
      <c r="B3986" s="7"/>
      <c r="C3986" s="8">
        <v>14314</v>
      </c>
      <c r="D3986" s="9" t="s">
        <v>226</v>
      </c>
      <c r="E3986" s="10" t="str">
        <f t="shared" si="361"/>
        <v>Rancho Landero No. 31</v>
      </c>
      <c r="F3986" s="10" t="str">
        <f t="shared" si="362"/>
        <v>Díaz Hernández</v>
      </c>
      <c r="G3986" s="8">
        <v>1</v>
      </c>
      <c r="H3986" s="315">
        <v>200</v>
      </c>
      <c r="I3986" s="12">
        <v>42850</v>
      </c>
      <c r="J3986" s="35">
        <f t="shared" si="363"/>
        <v>0</v>
      </c>
      <c r="K3986" s="36"/>
      <c r="L3986" s="36"/>
      <c r="M3986" s="36"/>
      <c r="N3986" s="36"/>
      <c r="O3986" s="36"/>
      <c r="P3986" s="36"/>
      <c r="Q3986" s="36"/>
      <c r="R3986" s="36"/>
      <c r="S3986" s="36"/>
      <c r="T3986" s="36"/>
      <c r="U3986" s="36"/>
      <c r="V3986" s="36"/>
      <c r="W3986" s="15">
        <f t="shared" si="364"/>
        <v>0</v>
      </c>
      <c r="X3986" s="36"/>
      <c r="Y3986" s="36"/>
      <c r="Z3986" s="36"/>
      <c r="AA3986" s="36">
        <v>200</v>
      </c>
      <c r="AB3986" s="36"/>
      <c r="AC3986" s="36"/>
      <c r="AD3986" s="36"/>
      <c r="AE3986" s="36"/>
      <c r="AF3986" s="36"/>
      <c r="AG3986" s="36"/>
      <c r="AH3986" s="36"/>
      <c r="AI3986" s="36"/>
      <c r="AJ3986" s="15">
        <f t="shared" si="365"/>
        <v>200</v>
      </c>
      <c r="AK3986" s="14"/>
      <c r="AL3986" s="14"/>
      <c r="AM3986" s="14"/>
      <c r="AN3986" s="14"/>
      <c r="AO3986" s="14"/>
      <c r="AP3986" s="14"/>
      <c r="AQ3986" s="14"/>
      <c r="AR3986" s="14"/>
      <c r="AS3986" s="14"/>
      <c r="AT3986" s="14"/>
      <c r="AU3986" s="14"/>
      <c r="AV3986" s="14"/>
      <c r="AW3986" s="15"/>
      <c r="AX3986" s="16"/>
    </row>
    <row r="3987" spans="2:50" x14ac:dyDescent="0.2">
      <c r="B3987" s="7"/>
      <c r="C3987" s="8">
        <v>14314</v>
      </c>
      <c r="D3987" s="9" t="s">
        <v>226</v>
      </c>
      <c r="E3987" s="10" t="str">
        <f t="shared" si="361"/>
        <v>Rancho Landero No. 31</v>
      </c>
      <c r="F3987" s="10" t="str">
        <f t="shared" si="362"/>
        <v>Díaz Hernández</v>
      </c>
      <c r="G3987" s="8">
        <v>5</v>
      </c>
      <c r="H3987" s="11">
        <v>50</v>
      </c>
      <c r="I3987" s="12">
        <v>42850</v>
      </c>
      <c r="J3987" s="35">
        <f t="shared" si="363"/>
        <v>0</v>
      </c>
      <c r="K3987" s="36"/>
      <c r="L3987" s="36"/>
      <c r="M3987" s="36"/>
      <c r="N3987" s="36"/>
      <c r="O3987" s="36"/>
      <c r="P3987" s="36"/>
      <c r="Q3987" s="36"/>
      <c r="R3987" s="36"/>
      <c r="S3987" s="36"/>
      <c r="T3987" s="36"/>
      <c r="U3987" s="36"/>
      <c r="V3987" s="36"/>
      <c r="W3987" s="15">
        <f t="shared" si="364"/>
        <v>0</v>
      </c>
      <c r="X3987" s="36"/>
      <c r="Y3987" s="36"/>
      <c r="Z3987" s="36"/>
      <c r="AA3987" s="36"/>
      <c r="AB3987" s="36"/>
      <c r="AC3987" s="36"/>
      <c r="AD3987" s="36"/>
      <c r="AE3987" s="36"/>
      <c r="AF3987" s="36"/>
      <c r="AG3987" s="36"/>
      <c r="AH3987" s="36"/>
      <c r="AI3987" s="36"/>
      <c r="AJ3987" s="15">
        <f t="shared" si="365"/>
        <v>0</v>
      </c>
      <c r="AK3987" s="14"/>
      <c r="AL3987" s="14"/>
      <c r="AM3987" s="14"/>
      <c r="AN3987" s="14"/>
      <c r="AO3987" s="14"/>
      <c r="AP3987" s="14"/>
      <c r="AQ3987" s="14"/>
      <c r="AR3987" s="14"/>
      <c r="AS3987" s="14"/>
      <c r="AT3987" s="14"/>
      <c r="AU3987" s="14"/>
      <c r="AV3987" s="14"/>
      <c r="AW3987" s="15"/>
      <c r="AX3987" s="16"/>
    </row>
    <row r="3988" spans="2:50" x14ac:dyDescent="0.2">
      <c r="B3988" s="7"/>
      <c r="C3988" s="8">
        <v>14315</v>
      </c>
      <c r="D3988" s="9" t="s">
        <v>896</v>
      </c>
      <c r="E3988" s="10" t="str">
        <f t="shared" si="361"/>
        <v>Rancho La Cuchilla No. 7, 102</v>
      </c>
      <c r="F3988" s="10" t="str">
        <f t="shared" si="362"/>
        <v>García Moreno</v>
      </c>
      <c r="G3988" s="8">
        <v>1</v>
      </c>
      <c r="H3988" s="11">
        <v>200</v>
      </c>
      <c r="I3988" s="12">
        <v>42850</v>
      </c>
      <c r="J3988" s="35">
        <f t="shared" si="363"/>
        <v>0</v>
      </c>
      <c r="K3988" s="36"/>
      <c r="L3988" s="36"/>
      <c r="M3988" s="36"/>
      <c r="N3988" s="36"/>
      <c r="O3988" s="36"/>
      <c r="P3988" s="36"/>
      <c r="Q3988" s="36"/>
      <c r="R3988" s="36"/>
      <c r="S3988" s="36"/>
      <c r="T3988" s="36"/>
      <c r="U3988" s="36"/>
      <c r="V3988" s="36"/>
      <c r="W3988" s="15">
        <f t="shared" si="364"/>
        <v>0</v>
      </c>
      <c r="X3988" s="36"/>
      <c r="Y3988" s="36"/>
      <c r="Z3988" s="36">
        <v>100</v>
      </c>
      <c r="AA3988" s="36">
        <v>100</v>
      </c>
      <c r="AB3988" s="36"/>
      <c r="AC3988" s="36"/>
      <c r="AD3988" s="36"/>
      <c r="AE3988" s="36"/>
      <c r="AF3988" s="36"/>
      <c r="AG3988" s="36"/>
      <c r="AH3988" s="36"/>
      <c r="AI3988" s="36"/>
      <c r="AJ3988" s="15">
        <f t="shared" si="365"/>
        <v>200</v>
      </c>
      <c r="AK3988" s="14"/>
      <c r="AL3988" s="14"/>
      <c r="AM3988" s="14"/>
      <c r="AN3988" s="14"/>
      <c r="AO3988" s="14"/>
      <c r="AP3988" s="14"/>
      <c r="AQ3988" s="14"/>
      <c r="AR3988" s="14"/>
      <c r="AS3988" s="14"/>
      <c r="AT3988" s="14"/>
      <c r="AU3988" s="14"/>
      <c r="AV3988" s="14"/>
      <c r="AW3988" s="15"/>
      <c r="AX3988" s="16"/>
    </row>
    <row r="3989" spans="2:50" x14ac:dyDescent="0.2">
      <c r="B3989" s="7"/>
      <c r="C3989" s="8">
        <v>14316</v>
      </c>
      <c r="D3989" s="9" t="s">
        <v>746</v>
      </c>
      <c r="E3989" s="10" t="str">
        <f t="shared" si="361"/>
        <v>Rancho La Cuchilla No. 12</v>
      </c>
      <c r="F3989" s="10" t="str">
        <f t="shared" si="362"/>
        <v>Rivera Flores</v>
      </c>
      <c r="G3989" s="8">
        <v>1</v>
      </c>
      <c r="H3989" s="11">
        <v>1400</v>
      </c>
      <c r="I3989" s="12">
        <v>42850</v>
      </c>
      <c r="J3989" s="35">
        <f t="shared" si="363"/>
        <v>0</v>
      </c>
      <c r="K3989" s="36"/>
      <c r="L3989" s="36"/>
      <c r="M3989" s="36"/>
      <c r="N3989" s="36"/>
      <c r="O3989" s="36"/>
      <c r="P3989" s="36"/>
      <c r="Q3989" s="36"/>
      <c r="R3989" s="36"/>
      <c r="S3989" s="36"/>
      <c r="T3989" s="36"/>
      <c r="U3989" s="36"/>
      <c r="V3989" s="36"/>
      <c r="W3989" s="15">
        <f t="shared" si="364"/>
        <v>0</v>
      </c>
      <c r="X3989" s="36">
        <v>350</v>
      </c>
      <c r="Y3989" s="36">
        <v>350</v>
      </c>
      <c r="Z3989" s="36">
        <v>350</v>
      </c>
      <c r="AA3989" s="36">
        <v>350</v>
      </c>
      <c r="AB3989" s="36"/>
      <c r="AC3989" s="36"/>
      <c r="AD3989" s="36"/>
      <c r="AE3989" s="36"/>
      <c r="AF3989" s="36"/>
      <c r="AG3989" s="36"/>
      <c r="AH3989" s="36"/>
      <c r="AI3989" s="36"/>
      <c r="AJ3989" s="15">
        <f t="shared" si="365"/>
        <v>1400</v>
      </c>
      <c r="AK3989" s="14"/>
      <c r="AL3989" s="14"/>
      <c r="AM3989" s="14"/>
      <c r="AN3989" s="14"/>
      <c r="AO3989" s="14"/>
      <c r="AP3989" s="14"/>
      <c r="AQ3989" s="14"/>
      <c r="AR3989" s="14"/>
      <c r="AS3989" s="14"/>
      <c r="AT3989" s="14"/>
      <c r="AU3989" s="14"/>
      <c r="AV3989" s="14"/>
      <c r="AW3989" s="15"/>
      <c r="AX3989" s="16"/>
    </row>
    <row r="3990" spans="2:50" x14ac:dyDescent="0.2">
      <c r="B3990" s="7"/>
      <c r="C3990" s="8">
        <v>14316</v>
      </c>
      <c r="D3990" s="9" t="s">
        <v>746</v>
      </c>
      <c r="E3990" s="10" t="str">
        <f t="shared" si="361"/>
        <v>Rancho La Cuchilla No. 12</v>
      </c>
      <c r="F3990" s="10" t="str">
        <f t="shared" si="362"/>
        <v>Rivera Flores</v>
      </c>
      <c r="G3990" s="8">
        <v>7</v>
      </c>
      <c r="H3990" s="11">
        <v>100</v>
      </c>
      <c r="I3990" s="12">
        <v>42850</v>
      </c>
      <c r="J3990" s="35">
        <f t="shared" si="363"/>
        <v>0</v>
      </c>
      <c r="K3990" s="36"/>
      <c r="L3990" s="36"/>
      <c r="M3990" s="36"/>
      <c r="N3990" s="36"/>
      <c r="O3990" s="36"/>
      <c r="P3990" s="36"/>
      <c r="Q3990" s="36"/>
      <c r="R3990" s="36"/>
      <c r="S3990" s="36"/>
      <c r="T3990" s="36"/>
      <c r="U3990" s="36"/>
      <c r="V3990" s="36"/>
      <c r="W3990" s="15">
        <f t="shared" si="364"/>
        <v>0</v>
      </c>
      <c r="X3990" s="36"/>
      <c r="Y3990" s="36"/>
      <c r="Z3990" s="36"/>
      <c r="AA3990" s="36"/>
      <c r="AB3990" s="36"/>
      <c r="AC3990" s="36"/>
      <c r="AD3990" s="36"/>
      <c r="AE3990" s="36"/>
      <c r="AF3990" s="36"/>
      <c r="AG3990" s="36"/>
      <c r="AH3990" s="36"/>
      <c r="AI3990" s="36"/>
      <c r="AJ3990" s="15">
        <f t="shared" si="365"/>
        <v>0</v>
      </c>
      <c r="AK3990" s="14"/>
      <c r="AL3990" s="14"/>
      <c r="AM3990" s="14"/>
      <c r="AN3990" s="14"/>
      <c r="AO3990" s="14"/>
      <c r="AP3990" s="14"/>
      <c r="AQ3990" s="14"/>
      <c r="AR3990" s="14"/>
      <c r="AS3990" s="14"/>
      <c r="AT3990" s="14"/>
      <c r="AU3990" s="14"/>
      <c r="AV3990" s="14"/>
      <c r="AW3990" s="15"/>
      <c r="AX3990" s="16" t="s">
        <v>3858</v>
      </c>
    </row>
    <row r="3991" spans="2:50" x14ac:dyDescent="0.2">
      <c r="B3991" s="7"/>
      <c r="C3991" s="8">
        <v>14317</v>
      </c>
      <c r="D3991" s="9" t="s">
        <v>220</v>
      </c>
      <c r="E3991" s="10" t="str">
        <f t="shared" si="361"/>
        <v>Rancho Recoveco No. 3</v>
      </c>
      <c r="F3991" s="10" t="str">
        <f t="shared" si="362"/>
        <v>Garduño</v>
      </c>
      <c r="G3991" s="8">
        <v>1</v>
      </c>
      <c r="H3991" s="11">
        <v>300</v>
      </c>
      <c r="I3991" s="12">
        <v>42851</v>
      </c>
      <c r="J3991" s="35">
        <f t="shared" si="363"/>
        <v>0</v>
      </c>
      <c r="K3991" s="36"/>
      <c r="L3991" s="36"/>
      <c r="M3991" s="36"/>
      <c r="N3991" s="36"/>
      <c r="O3991" s="36"/>
      <c r="P3991" s="36"/>
      <c r="Q3991" s="36"/>
      <c r="R3991" s="36"/>
      <c r="S3991" s="36"/>
      <c r="T3991" s="36"/>
      <c r="U3991" s="36"/>
      <c r="V3991" s="36"/>
      <c r="W3991" s="15">
        <f t="shared" si="364"/>
        <v>0</v>
      </c>
      <c r="X3991" s="36"/>
      <c r="Y3991" s="36"/>
      <c r="Z3991" s="36"/>
      <c r="AA3991" s="36">
        <v>300</v>
      </c>
      <c r="AB3991" s="36"/>
      <c r="AC3991" s="36"/>
      <c r="AD3991" s="36"/>
      <c r="AE3991" s="36"/>
      <c r="AF3991" s="36"/>
      <c r="AG3991" s="36"/>
      <c r="AH3991" s="36"/>
      <c r="AI3991" s="36"/>
      <c r="AJ3991" s="15">
        <f t="shared" si="365"/>
        <v>300</v>
      </c>
      <c r="AK3991" s="14"/>
      <c r="AL3991" s="14"/>
      <c r="AM3991" s="14"/>
      <c r="AN3991" s="14"/>
      <c r="AO3991" s="14"/>
      <c r="AP3991" s="14"/>
      <c r="AQ3991" s="14"/>
      <c r="AR3991" s="14"/>
      <c r="AS3991" s="14"/>
      <c r="AT3991" s="14"/>
      <c r="AU3991" s="14"/>
      <c r="AV3991" s="14"/>
      <c r="AW3991" s="15"/>
      <c r="AX3991" s="16"/>
    </row>
    <row r="3992" spans="2:50" x14ac:dyDescent="0.2">
      <c r="B3992" s="7"/>
      <c r="C3992" s="8">
        <v>14318</v>
      </c>
      <c r="D3992" s="9" t="s">
        <v>598</v>
      </c>
      <c r="E3992" s="10" t="str">
        <f t="shared" si="356"/>
        <v>Rancho Estanzuela No. 21</v>
      </c>
      <c r="F3992" s="10" t="str">
        <f t="shared" si="357"/>
        <v>Morales</v>
      </c>
      <c r="G3992" s="8">
        <v>1</v>
      </c>
      <c r="H3992" s="11">
        <v>1200</v>
      </c>
      <c r="I3992" s="12">
        <v>42851</v>
      </c>
      <c r="J3992" s="35">
        <f t="shared" si="358"/>
        <v>0</v>
      </c>
      <c r="K3992" s="36"/>
      <c r="L3992" s="36"/>
      <c r="M3992" s="36"/>
      <c r="N3992" s="36"/>
      <c r="O3992" s="36"/>
      <c r="P3992" s="36"/>
      <c r="Q3992" s="36"/>
      <c r="R3992" s="36"/>
      <c r="S3992" s="36"/>
      <c r="T3992" s="36"/>
      <c r="U3992" s="36"/>
      <c r="V3992" s="36"/>
      <c r="W3992" s="15">
        <f t="shared" si="359"/>
        <v>0</v>
      </c>
      <c r="X3992" s="36"/>
      <c r="Y3992" s="36"/>
      <c r="Z3992" s="36">
        <v>400</v>
      </c>
      <c r="AA3992" s="36">
        <v>400</v>
      </c>
      <c r="AB3992" s="36">
        <v>400</v>
      </c>
      <c r="AC3992" s="36"/>
      <c r="AD3992" s="36"/>
      <c r="AE3992" s="36"/>
      <c r="AF3992" s="36"/>
      <c r="AG3992" s="36"/>
      <c r="AH3992" s="36"/>
      <c r="AI3992" s="36"/>
      <c r="AJ3992" s="15">
        <f t="shared" si="360"/>
        <v>1200</v>
      </c>
      <c r="AK3992" s="14"/>
      <c r="AL3992" s="14"/>
      <c r="AM3992" s="14"/>
      <c r="AN3992" s="14"/>
      <c r="AO3992" s="14"/>
      <c r="AP3992" s="14"/>
      <c r="AQ3992" s="14"/>
      <c r="AR3992" s="14"/>
      <c r="AS3992" s="14"/>
      <c r="AT3992" s="14"/>
      <c r="AU3992" s="14"/>
      <c r="AV3992" s="14"/>
      <c r="AW3992" s="15"/>
      <c r="AX3992" s="16"/>
    </row>
    <row r="3993" spans="2:50" x14ac:dyDescent="0.2">
      <c r="B3993" s="7"/>
      <c r="C3993" s="8">
        <v>14318</v>
      </c>
      <c r="D3993" s="9" t="s">
        <v>598</v>
      </c>
      <c r="E3993" s="10" t="str">
        <f t="shared" ref="E3993:E4029" si="366">IF(D3993=0,"",VLOOKUP(D3993,BASE,2,FALSE))</f>
        <v>Rancho Estanzuela No. 21</v>
      </c>
      <c r="F3993" s="10" t="str">
        <f t="shared" ref="F3993:F4029" si="367">IF(D3993=0,"",VLOOKUP(D3993,BASE,3,FALSE))</f>
        <v>Morales</v>
      </c>
      <c r="G3993" s="8">
        <v>7</v>
      </c>
      <c r="H3993" s="11">
        <v>100</v>
      </c>
      <c r="I3993" s="12">
        <v>42851</v>
      </c>
      <c r="J3993" s="35">
        <f t="shared" ref="J3993:J4029" si="368">IF(G3993=1,SUM(W3993,AJ3993,-H3993),0)</f>
        <v>0</v>
      </c>
      <c r="K3993" s="36"/>
      <c r="L3993" s="36"/>
      <c r="M3993" s="36"/>
      <c r="N3993" s="36"/>
      <c r="O3993" s="36"/>
      <c r="P3993" s="36"/>
      <c r="Q3993" s="36"/>
      <c r="R3993" s="36"/>
      <c r="S3993" s="36"/>
      <c r="T3993" s="36"/>
      <c r="U3993" s="36"/>
      <c r="V3993" s="36"/>
      <c r="W3993" s="15">
        <f t="shared" ref="W3993:W4029" si="369">SUM(K3993:V3993)</f>
        <v>0</v>
      </c>
      <c r="X3993" s="36"/>
      <c r="Y3993" s="36"/>
      <c r="Z3993" s="36"/>
      <c r="AA3993" s="36"/>
      <c r="AB3993" s="36"/>
      <c r="AC3993" s="36"/>
      <c r="AD3993" s="36"/>
      <c r="AE3993" s="36"/>
      <c r="AF3993" s="36"/>
      <c r="AG3993" s="36"/>
      <c r="AH3993" s="36"/>
      <c r="AI3993" s="36"/>
      <c r="AJ3993" s="15">
        <f t="shared" ref="AJ3993:AJ4029" si="370">SUM(X3993:AI3993)</f>
        <v>0</v>
      </c>
      <c r="AK3993" s="14"/>
      <c r="AL3993" s="14"/>
      <c r="AM3993" s="14"/>
      <c r="AN3993" s="14"/>
      <c r="AO3993" s="14"/>
      <c r="AP3993" s="14"/>
      <c r="AQ3993" s="14"/>
      <c r="AR3993" s="14"/>
      <c r="AS3993" s="14"/>
      <c r="AT3993" s="14"/>
      <c r="AU3993" s="14"/>
      <c r="AV3993" s="14"/>
      <c r="AW3993" s="15"/>
      <c r="AX3993" s="16" t="s">
        <v>3858</v>
      </c>
    </row>
    <row r="3994" spans="2:50" x14ac:dyDescent="0.2">
      <c r="B3994" s="7"/>
      <c r="C3994" s="8">
        <v>14319</v>
      </c>
      <c r="D3994" s="9" t="s">
        <v>177</v>
      </c>
      <c r="E3994" s="10" t="str">
        <f t="shared" si="366"/>
        <v>Rancho Landero No. 71</v>
      </c>
      <c r="F3994" s="10" t="str">
        <f t="shared" si="367"/>
        <v xml:space="preserve">Luna  </v>
      </c>
      <c r="G3994" s="8">
        <v>1</v>
      </c>
      <c r="H3994" s="11">
        <v>400</v>
      </c>
      <c r="I3994" s="12">
        <v>42851</v>
      </c>
      <c r="J3994" s="35">
        <f t="shared" si="368"/>
        <v>0</v>
      </c>
      <c r="K3994" s="36"/>
      <c r="L3994" s="36"/>
      <c r="M3994" s="36"/>
      <c r="N3994" s="36"/>
      <c r="O3994" s="36"/>
      <c r="P3994" s="36"/>
      <c r="Q3994" s="36"/>
      <c r="R3994" s="36"/>
      <c r="S3994" s="36"/>
      <c r="T3994" s="36"/>
      <c r="U3994" s="36"/>
      <c r="V3994" s="36"/>
      <c r="W3994" s="15">
        <f t="shared" si="369"/>
        <v>0</v>
      </c>
      <c r="X3994" s="36"/>
      <c r="Y3994" s="36"/>
      <c r="Z3994" s="36"/>
      <c r="AA3994" s="36">
        <v>400</v>
      </c>
      <c r="AB3994" s="36"/>
      <c r="AC3994" s="36"/>
      <c r="AD3994" s="36"/>
      <c r="AE3994" s="36"/>
      <c r="AF3994" s="36"/>
      <c r="AG3994" s="36"/>
      <c r="AH3994" s="36"/>
      <c r="AI3994" s="36"/>
      <c r="AJ3994" s="15">
        <f t="shared" si="370"/>
        <v>400</v>
      </c>
      <c r="AK3994" s="14"/>
      <c r="AL3994" s="14"/>
      <c r="AM3994" s="14"/>
      <c r="AN3994" s="14"/>
      <c r="AO3994" s="14"/>
      <c r="AP3994" s="14"/>
      <c r="AQ3994" s="14"/>
      <c r="AR3994" s="14"/>
      <c r="AS3994" s="14"/>
      <c r="AT3994" s="14"/>
      <c r="AU3994" s="14"/>
      <c r="AV3994" s="14"/>
      <c r="AW3994" s="15"/>
      <c r="AX3994" s="16"/>
    </row>
    <row r="3995" spans="2:50" x14ac:dyDescent="0.2">
      <c r="B3995" s="7"/>
      <c r="C3995" s="8">
        <v>14320</v>
      </c>
      <c r="D3995" s="9" t="s">
        <v>84</v>
      </c>
      <c r="E3995" s="10" t="str">
        <f t="shared" si="366"/>
        <v>Rancho La Cuchilla No. 139</v>
      </c>
      <c r="F3995" s="10" t="str">
        <f t="shared" si="367"/>
        <v>Garcia</v>
      </c>
      <c r="G3995" s="8">
        <v>3</v>
      </c>
      <c r="H3995" s="11">
        <v>200</v>
      </c>
      <c r="I3995" s="12">
        <v>42851</v>
      </c>
      <c r="J3995" s="35">
        <f t="shared" si="368"/>
        <v>0</v>
      </c>
      <c r="K3995" s="36"/>
      <c r="L3995" s="36"/>
      <c r="M3995" s="36"/>
      <c r="N3995" s="36"/>
      <c r="O3995" s="36"/>
      <c r="P3995" s="36"/>
      <c r="Q3995" s="36"/>
      <c r="R3995" s="36"/>
      <c r="S3995" s="36"/>
      <c r="T3995" s="36"/>
      <c r="U3995" s="36"/>
      <c r="V3995" s="36"/>
      <c r="W3995" s="15">
        <f t="shared" si="369"/>
        <v>0</v>
      </c>
      <c r="X3995" s="36"/>
      <c r="Y3995" s="36"/>
      <c r="Z3995" s="36"/>
      <c r="AA3995" s="36"/>
      <c r="AB3995" s="36"/>
      <c r="AC3995" s="36"/>
      <c r="AD3995" s="36"/>
      <c r="AE3995" s="36"/>
      <c r="AF3995" s="36"/>
      <c r="AG3995" s="36"/>
      <c r="AH3995" s="36"/>
      <c r="AI3995" s="36"/>
      <c r="AJ3995" s="15">
        <f t="shared" si="370"/>
        <v>0</v>
      </c>
      <c r="AK3995" s="14"/>
      <c r="AL3995" s="14"/>
      <c r="AM3995" s="14"/>
      <c r="AN3995" s="14"/>
      <c r="AO3995" s="14"/>
      <c r="AP3995" s="14"/>
      <c r="AQ3995" s="14"/>
      <c r="AR3995" s="14"/>
      <c r="AS3995" s="14"/>
      <c r="AT3995" s="14"/>
      <c r="AU3995" s="14"/>
      <c r="AV3995" s="14"/>
      <c r="AW3995" s="15"/>
      <c r="AX3995" s="16"/>
    </row>
    <row r="3996" spans="2:50" x14ac:dyDescent="0.2">
      <c r="B3996" s="7"/>
      <c r="C3996" s="8">
        <v>14321</v>
      </c>
      <c r="D3996" s="9" t="s">
        <v>100</v>
      </c>
      <c r="E3996" s="10" t="str">
        <f t="shared" si="366"/>
        <v>Rancho Upácuaro No. 32</v>
      </c>
      <c r="F3996" s="10" t="str">
        <f t="shared" si="367"/>
        <v>Sairafi Carmen</v>
      </c>
      <c r="G3996" s="8">
        <v>1</v>
      </c>
      <c r="H3996" s="11">
        <v>400</v>
      </c>
      <c r="I3996" s="12">
        <v>42855</v>
      </c>
      <c r="J3996" s="35">
        <f t="shared" si="368"/>
        <v>0</v>
      </c>
      <c r="K3996" s="36"/>
      <c r="L3996" s="36"/>
      <c r="M3996" s="36"/>
      <c r="N3996" s="36"/>
      <c r="O3996" s="36"/>
      <c r="P3996" s="36"/>
      <c r="Q3996" s="36"/>
      <c r="R3996" s="36"/>
      <c r="S3996" s="36"/>
      <c r="T3996" s="36"/>
      <c r="U3996" s="36"/>
      <c r="V3996" s="36"/>
      <c r="W3996" s="15">
        <f t="shared" si="369"/>
        <v>0</v>
      </c>
      <c r="X3996" s="36"/>
      <c r="Y3996" s="36"/>
      <c r="Z3996" s="36"/>
      <c r="AA3996" s="36"/>
      <c r="AB3996" s="36">
        <v>400</v>
      </c>
      <c r="AC3996" s="36"/>
      <c r="AD3996" s="36"/>
      <c r="AE3996" s="36"/>
      <c r="AF3996" s="36"/>
      <c r="AG3996" s="36"/>
      <c r="AH3996" s="36"/>
      <c r="AI3996" s="36"/>
      <c r="AJ3996" s="15">
        <f t="shared" si="370"/>
        <v>400</v>
      </c>
      <c r="AK3996" s="14"/>
      <c r="AL3996" s="14"/>
      <c r="AM3996" s="14"/>
      <c r="AN3996" s="14"/>
      <c r="AO3996" s="14"/>
      <c r="AP3996" s="14"/>
      <c r="AQ3996" s="14"/>
      <c r="AR3996" s="14"/>
      <c r="AS3996" s="14"/>
      <c r="AT3996" s="14"/>
      <c r="AU3996" s="14"/>
      <c r="AV3996" s="14"/>
      <c r="AW3996" s="15"/>
      <c r="AX3996" s="16"/>
    </row>
    <row r="3997" spans="2:50" x14ac:dyDescent="0.2">
      <c r="B3997" s="7"/>
      <c r="C3997" s="8">
        <v>14322</v>
      </c>
      <c r="D3997" s="9" t="s">
        <v>562</v>
      </c>
      <c r="E3997" s="10" t="str">
        <f t="shared" si="366"/>
        <v>Rancho Upácuaro No. 87</v>
      </c>
      <c r="F3997" s="10" t="str">
        <f t="shared" si="367"/>
        <v>Rodríguez Parés</v>
      </c>
      <c r="G3997" s="8">
        <v>1</v>
      </c>
      <c r="H3997" s="11">
        <v>400</v>
      </c>
      <c r="I3997" s="12">
        <v>42855</v>
      </c>
      <c r="J3997" s="35">
        <f t="shared" si="368"/>
        <v>0</v>
      </c>
      <c r="K3997" s="36"/>
      <c r="L3997" s="36"/>
      <c r="M3997" s="36"/>
      <c r="N3997" s="36"/>
      <c r="O3997" s="36"/>
      <c r="P3997" s="36"/>
      <c r="Q3997" s="36"/>
      <c r="R3997" s="36"/>
      <c r="S3997" s="36"/>
      <c r="T3997" s="36"/>
      <c r="U3997" s="36"/>
      <c r="V3997" s="36"/>
      <c r="W3997" s="15">
        <f t="shared" si="369"/>
        <v>0</v>
      </c>
      <c r="X3997" s="36"/>
      <c r="Y3997" s="36"/>
      <c r="Z3997" s="36"/>
      <c r="AA3997" s="36"/>
      <c r="AB3997" s="36">
        <v>400</v>
      </c>
      <c r="AC3997" s="36"/>
      <c r="AD3997" s="36"/>
      <c r="AE3997" s="36"/>
      <c r="AF3997" s="36"/>
      <c r="AG3997" s="36"/>
      <c r="AH3997" s="36"/>
      <c r="AI3997" s="36"/>
      <c r="AJ3997" s="15">
        <f t="shared" si="370"/>
        <v>400</v>
      </c>
      <c r="AK3997" s="14"/>
      <c r="AL3997" s="14"/>
      <c r="AM3997" s="14"/>
      <c r="AN3997" s="14"/>
      <c r="AO3997" s="14"/>
      <c r="AP3997" s="14"/>
      <c r="AQ3997" s="14"/>
      <c r="AR3997" s="14"/>
      <c r="AS3997" s="14"/>
      <c r="AT3997" s="14"/>
      <c r="AU3997" s="14"/>
      <c r="AV3997" s="14"/>
      <c r="AW3997" s="15"/>
      <c r="AX3997" s="16"/>
    </row>
    <row r="3998" spans="2:50" x14ac:dyDescent="0.2">
      <c r="B3998" s="7"/>
      <c r="C3998" s="8">
        <v>14323</v>
      </c>
      <c r="D3998" s="9" t="s">
        <v>905</v>
      </c>
      <c r="E3998" s="10" t="str">
        <f t="shared" si="366"/>
        <v>Rancho Landero No. 81</v>
      </c>
      <c r="F3998" s="10" t="str">
        <f t="shared" si="367"/>
        <v>Cebrían Saldaña</v>
      </c>
      <c r="G3998" s="8">
        <v>1</v>
      </c>
      <c r="H3998" s="11">
        <v>200</v>
      </c>
      <c r="I3998" s="12">
        <v>42855</v>
      </c>
      <c r="J3998" s="35">
        <f t="shared" si="368"/>
        <v>0</v>
      </c>
      <c r="K3998" s="36"/>
      <c r="L3998" s="36"/>
      <c r="M3998" s="36"/>
      <c r="N3998" s="36"/>
      <c r="O3998" s="36"/>
      <c r="P3998" s="36"/>
      <c r="Q3998" s="36"/>
      <c r="R3998" s="36"/>
      <c r="S3998" s="36"/>
      <c r="T3998" s="36"/>
      <c r="U3998" s="36"/>
      <c r="V3998" s="36"/>
      <c r="W3998" s="15">
        <f t="shared" si="369"/>
        <v>0</v>
      </c>
      <c r="X3998" s="36"/>
      <c r="Y3998" s="36"/>
      <c r="Z3998" s="36"/>
      <c r="AA3998" s="36">
        <v>200</v>
      </c>
      <c r="AB3998" s="36"/>
      <c r="AC3998" s="36"/>
      <c r="AD3998" s="36"/>
      <c r="AE3998" s="36"/>
      <c r="AF3998" s="36"/>
      <c r="AG3998" s="36"/>
      <c r="AH3998" s="36"/>
      <c r="AI3998" s="36"/>
      <c r="AJ3998" s="15">
        <f t="shared" si="370"/>
        <v>200</v>
      </c>
      <c r="AK3998" s="14"/>
      <c r="AL3998" s="14"/>
      <c r="AM3998" s="14"/>
      <c r="AN3998" s="14"/>
      <c r="AO3998" s="14"/>
      <c r="AP3998" s="14"/>
      <c r="AQ3998" s="14"/>
      <c r="AR3998" s="14"/>
      <c r="AS3998" s="14"/>
      <c r="AT3998" s="14"/>
      <c r="AU3998" s="14"/>
      <c r="AV3998" s="14"/>
      <c r="AW3998" s="15"/>
      <c r="AX3998" s="16"/>
    </row>
    <row r="3999" spans="2:50" x14ac:dyDescent="0.2">
      <c r="B3999" s="7"/>
      <c r="C3999" s="8">
        <v>14324</v>
      </c>
      <c r="D3999" s="9" t="s">
        <v>103</v>
      </c>
      <c r="E3999" s="10" t="str">
        <f t="shared" si="366"/>
        <v>Rancho La Cuchilla No. 41</v>
      </c>
      <c r="F3999" s="10" t="str">
        <f t="shared" si="367"/>
        <v>Arriaga Lemus</v>
      </c>
      <c r="G3999" s="8">
        <v>1</v>
      </c>
      <c r="H3999" s="11">
        <v>400</v>
      </c>
      <c r="I3999" s="12">
        <v>42855</v>
      </c>
      <c r="J3999" s="35">
        <f t="shared" si="368"/>
        <v>0</v>
      </c>
      <c r="K3999" s="36"/>
      <c r="L3999" s="36"/>
      <c r="M3999" s="36"/>
      <c r="N3999" s="36"/>
      <c r="O3999" s="36"/>
      <c r="P3999" s="36"/>
      <c r="Q3999" s="36"/>
      <c r="R3999" s="36"/>
      <c r="S3999" s="36"/>
      <c r="T3999" s="36"/>
      <c r="U3999" s="36"/>
      <c r="V3999" s="36"/>
      <c r="W3999" s="15">
        <f t="shared" si="369"/>
        <v>0</v>
      </c>
      <c r="X3999" s="36"/>
      <c r="Y3999" s="36"/>
      <c r="Z3999" s="36"/>
      <c r="AA3999" s="36">
        <v>400</v>
      </c>
      <c r="AB3999" s="36"/>
      <c r="AC3999" s="36"/>
      <c r="AD3999" s="36"/>
      <c r="AE3999" s="36"/>
      <c r="AF3999" s="36"/>
      <c r="AG3999" s="36"/>
      <c r="AH3999" s="36"/>
      <c r="AI3999" s="36"/>
      <c r="AJ3999" s="15">
        <f t="shared" si="370"/>
        <v>400</v>
      </c>
      <c r="AK3999" s="14"/>
      <c r="AL3999" s="14"/>
      <c r="AM3999" s="14"/>
      <c r="AN3999" s="14"/>
      <c r="AO3999" s="14"/>
      <c r="AP3999" s="14"/>
      <c r="AQ3999" s="14"/>
      <c r="AR3999" s="14"/>
      <c r="AS3999" s="14"/>
      <c r="AT3999" s="14"/>
      <c r="AU3999" s="14"/>
      <c r="AV3999" s="14"/>
      <c r="AW3999" s="15"/>
      <c r="AX3999" s="16"/>
    </row>
    <row r="4000" spans="2:50" x14ac:dyDescent="0.2">
      <c r="B4000" s="7"/>
      <c r="C4000" s="8">
        <v>14325</v>
      </c>
      <c r="D4000" s="9" t="s">
        <v>292</v>
      </c>
      <c r="E4000" s="10" t="str">
        <f t="shared" si="366"/>
        <v>Rancho Upácuaro No. 140</v>
      </c>
      <c r="F4000" s="10" t="str">
        <f t="shared" si="367"/>
        <v>Gozain</v>
      </c>
      <c r="G4000" s="8">
        <v>1</v>
      </c>
      <c r="H4000" s="11">
        <v>800</v>
      </c>
      <c r="I4000" s="12">
        <v>42855</v>
      </c>
      <c r="J4000" s="35">
        <f t="shared" si="368"/>
        <v>0</v>
      </c>
      <c r="K4000" s="36"/>
      <c r="L4000" s="36"/>
      <c r="M4000" s="36"/>
      <c r="N4000" s="36"/>
      <c r="O4000" s="36"/>
      <c r="P4000" s="36"/>
      <c r="Q4000" s="36"/>
      <c r="R4000" s="36"/>
      <c r="S4000" s="36"/>
      <c r="T4000" s="36"/>
      <c r="U4000" s="36"/>
      <c r="V4000" s="36"/>
      <c r="W4000" s="15">
        <f t="shared" si="369"/>
        <v>0</v>
      </c>
      <c r="X4000" s="36"/>
      <c r="Y4000" s="36"/>
      <c r="Z4000" s="36"/>
      <c r="AA4000" s="36">
        <v>400</v>
      </c>
      <c r="AB4000" s="36">
        <v>400</v>
      </c>
      <c r="AC4000" s="36"/>
      <c r="AD4000" s="36"/>
      <c r="AE4000" s="36"/>
      <c r="AF4000" s="36"/>
      <c r="AG4000" s="36"/>
      <c r="AH4000" s="36"/>
      <c r="AI4000" s="36"/>
      <c r="AJ4000" s="15">
        <f t="shared" si="370"/>
        <v>800</v>
      </c>
      <c r="AK4000" s="14"/>
      <c r="AL4000" s="14"/>
      <c r="AM4000" s="14"/>
      <c r="AN4000" s="14"/>
      <c r="AO4000" s="14"/>
      <c r="AP4000" s="14"/>
      <c r="AQ4000" s="14"/>
      <c r="AR4000" s="14"/>
      <c r="AS4000" s="14"/>
      <c r="AT4000" s="14"/>
      <c r="AU4000" s="14"/>
      <c r="AV4000" s="14"/>
      <c r="AW4000" s="15"/>
      <c r="AX4000" s="16"/>
    </row>
    <row r="4001" spans="2:50" x14ac:dyDescent="0.2">
      <c r="B4001" s="7"/>
      <c r="C4001" s="8">
        <v>14326</v>
      </c>
      <c r="D4001" s="9" t="s">
        <v>461</v>
      </c>
      <c r="E4001" s="10" t="str">
        <f t="shared" si="366"/>
        <v>Rancho Upácuaro No. 93</v>
      </c>
      <c r="F4001" s="10" t="str">
        <f t="shared" si="367"/>
        <v>Elizalde</v>
      </c>
      <c r="G4001" s="8">
        <v>1</v>
      </c>
      <c r="H4001" s="11">
        <v>1200</v>
      </c>
      <c r="I4001" s="12">
        <v>42855</v>
      </c>
      <c r="J4001" s="35">
        <f t="shared" si="368"/>
        <v>0</v>
      </c>
      <c r="K4001" s="36"/>
      <c r="L4001" s="36"/>
      <c r="M4001" s="36"/>
      <c r="N4001" s="36"/>
      <c r="O4001" s="36"/>
      <c r="P4001" s="36"/>
      <c r="Q4001" s="36"/>
      <c r="R4001" s="36"/>
      <c r="S4001" s="36"/>
      <c r="T4001" s="36"/>
      <c r="U4001" s="36"/>
      <c r="V4001" s="36"/>
      <c r="W4001" s="15">
        <f t="shared" si="369"/>
        <v>0</v>
      </c>
      <c r="X4001" s="36">
        <v>400</v>
      </c>
      <c r="Y4001" s="36">
        <v>400</v>
      </c>
      <c r="Z4001" s="36">
        <v>400</v>
      </c>
      <c r="AA4001" s="36"/>
      <c r="AB4001" s="36"/>
      <c r="AC4001" s="36"/>
      <c r="AD4001" s="36"/>
      <c r="AE4001" s="36"/>
      <c r="AF4001" s="36"/>
      <c r="AG4001" s="36"/>
      <c r="AH4001" s="36"/>
      <c r="AI4001" s="36"/>
      <c r="AJ4001" s="15">
        <f t="shared" si="370"/>
        <v>1200</v>
      </c>
      <c r="AK4001" s="14"/>
      <c r="AL4001" s="14"/>
      <c r="AM4001" s="14"/>
      <c r="AN4001" s="14"/>
      <c r="AO4001" s="14"/>
      <c r="AP4001" s="14"/>
      <c r="AQ4001" s="14"/>
      <c r="AR4001" s="14"/>
      <c r="AS4001" s="14"/>
      <c r="AT4001" s="14"/>
      <c r="AU4001" s="14"/>
      <c r="AV4001" s="14"/>
      <c r="AW4001" s="15"/>
      <c r="AX4001" s="16"/>
    </row>
    <row r="4002" spans="2:50" x14ac:dyDescent="0.2">
      <c r="B4002" s="7"/>
      <c r="C4002" s="8">
        <v>14326</v>
      </c>
      <c r="D4002" s="9" t="s">
        <v>461</v>
      </c>
      <c r="E4002" s="10" t="str">
        <f t="shared" si="366"/>
        <v>Rancho Upácuaro No. 93</v>
      </c>
      <c r="F4002" s="10" t="str">
        <f t="shared" si="367"/>
        <v>Elizalde</v>
      </c>
      <c r="G4002" s="8">
        <v>7</v>
      </c>
      <c r="H4002" s="11">
        <v>100</v>
      </c>
      <c r="I4002" s="12">
        <v>42855</v>
      </c>
      <c r="J4002" s="35">
        <f t="shared" si="368"/>
        <v>0</v>
      </c>
      <c r="K4002" s="36"/>
      <c r="L4002" s="36"/>
      <c r="M4002" s="36"/>
      <c r="N4002" s="36"/>
      <c r="O4002" s="36"/>
      <c r="P4002" s="36"/>
      <c r="Q4002" s="36"/>
      <c r="R4002" s="36"/>
      <c r="S4002" s="36"/>
      <c r="T4002" s="36"/>
      <c r="U4002" s="36"/>
      <c r="V4002" s="36"/>
      <c r="W4002" s="15">
        <f t="shared" si="369"/>
        <v>0</v>
      </c>
      <c r="X4002" s="36"/>
      <c r="Y4002" s="36"/>
      <c r="Z4002" s="36"/>
      <c r="AA4002" s="36"/>
      <c r="AB4002" s="36"/>
      <c r="AC4002" s="36"/>
      <c r="AD4002" s="36"/>
      <c r="AE4002" s="36"/>
      <c r="AF4002" s="36"/>
      <c r="AG4002" s="36"/>
      <c r="AH4002" s="36"/>
      <c r="AI4002" s="36"/>
      <c r="AJ4002" s="15">
        <f t="shared" si="370"/>
        <v>0</v>
      </c>
      <c r="AK4002" s="14"/>
      <c r="AL4002" s="14"/>
      <c r="AM4002" s="14"/>
      <c r="AN4002" s="14"/>
      <c r="AO4002" s="14"/>
      <c r="AP4002" s="14"/>
      <c r="AQ4002" s="14"/>
      <c r="AR4002" s="14"/>
      <c r="AS4002" s="14"/>
      <c r="AT4002" s="14"/>
      <c r="AU4002" s="14"/>
      <c r="AV4002" s="14"/>
      <c r="AW4002" s="15"/>
      <c r="AX4002" s="16" t="s">
        <v>3858</v>
      </c>
    </row>
    <row r="4003" spans="2:50" x14ac:dyDescent="0.2">
      <c r="B4003" s="7"/>
      <c r="C4003" s="8">
        <v>14327</v>
      </c>
      <c r="D4003" s="9" t="s">
        <v>97</v>
      </c>
      <c r="E4003" s="10" t="str">
        <f t="shared" si="366"/>
        <v>Rancho La Cuchilla No. 78</v>
      </c>
      <c r="F4003" s="10" t="str">
        <f t="shared" si="367"/>
        <v>García</v>
      </c>
      <c r="G4003" s="8">
        <v>1</v>
      </c>
      <c r="H4003" s="11">
        <v>400</v>
      </c>
      <c r="I4003" s="12">
        <v>42855</v>
      </c>
      <c r="J4003" s="35">
        <f t="shared" si="368"/>
        <v>0</v>
      </c>
      <c r="K4003" s="36"/>
      <c r="L4003" s="36"/>
      <c r="M4003" s="36"/>
      <c r="N4003" s="36"/>
      <c r="O4003" s="36"/>
      <c r="P4003" s="36"/>
      <c r="Q4003" s="36"/>
      <c r="R4003" s="36"/>
      <c r="S4003" s="36"/>
      <c r="T4003" s="36"/>
      <c r="U4003" s="36"/>
      <c r="V4003" s="36"/>
      <c r="W4003" s="15">
        <f t="shared" si="369"/>
        <v>0</v>
      </c>
      <c r="X4003" s="36"/>
      <c r="Y4003" s="36"/>
      <c r="Z4003" s="36"/>
      <c r="AA4003" s="36"/>
      <c r="AB4003" s="36">
        <v>400</v>
      </c>
      <c r="AC4003" s="36"/>
      <c r="AD4003" s="36"/>
      <c r="AE4003" s="36"/>
      <c r="AF4003" s="36"/>
      <c r="AG4003" s="36"/>
      <c r="AH4003" s="36"/>
      <c r="AI4003" s="36"/>
      <c r="AJ4003" s="15">
        <f t="shared" si="370"/>
        <v>400</v>
      </c>
      <c r="AK4003" s="14"/>
      <c r="AL4003" s="14"/>
      <c r="AM4003" s="14"/>
      <c r="AN4003" s="14"/>
      <c r="AO4003" s="14"/>
      <c r="AP4003" s="14"/>
      <c r="AQ4003" s="14"/>
      <c r="AR4003" s="14"/>
      <c r="AS4003" s="14"/>
      <c r="AT4003" s="14"/>
      <c r="AU4003" s="14"/>
      <c r="AV4003" s="14"/>
      <c r="AW4003" s="15"/>
      <c r="AX4003" s="16"/>
    </row>
    <row r="4004" spans="2:50" x14ac:dyDescent="0.2">
      <c r="B4004" s="7"/>
      <c r="C4004" s="8">
        <v>14328</v>
      </c>
      <c r="D4004" s="9" t="s">
        <v>794</v>
      </c>
      <c r="E4004" s="10" t="str">
        <f t="shared" si="366"/>
        <v>Rancho Landero No. 18</v>
      </c>
      <c r="F4004" s="10" t="str">
        <f t="shared" si="367"/>
        <v>Rosado</v>
      </c>
      <c r="G4004" s="8">
        <v>1</v>
      </c>
      <c r="H4004" s="11">
        <v>300</v>
      </c>
      <c r="I4004" s="12">
        <v>42855</v>
      </c>
      <c r="J4004" s="35">
        <f t="shared" si="368"/>
        <v>0</v>
      </c>
      <c r="K4004" s="36"/>
      <c r="L4004" s="36"/>
      <c r="M4004" s="36"/>
      <c r="N4004" s="36"/>
      <c r="O4004" s="36"/>
      <c r="P4004" s="36"/>
      <c r="Q4004" s="36"/>
      <c r="R4004" s="36"/>
      <c r="S4004" s="36"/>
      <c r="T4004" s="36"/>
      <c r="U4004" s="36"/>
      <c r="V4004" s="36"/>
      <c r="W4004" s="15">
        <f t="shared" si="369"/>
        <v>0</v>
      </c>
      <c r="X4004" s="36"/>
      <c r="Y4004" s="36"/>
      <c r="Z4004" s="36"/>
      <c r="AA4004" s="36">
        <v>300</v>
      </c>
      <c r="AB4004" s="36"/>
      <c r="AC4004" s="36"/>
      <c r="AD4004" s="36"/>
      <c r="AE4004" s="36"/>
      <c r="AF4004" s="36"/>
      <c r="AG4004" s="36"/>
      <c r="AH4004" s="36"/>
      <c r="AI4004" s="36"/>
      <c r="AJ4004" s="15">
        <f t="shared" si="370"/>
        <v>300</v>
      </c>
      <c r="AK4004" s="14"/>
      <c r="AL4004" s="14"/>
      <c r="AM4004" s="14"/>
      <c r="AN4004" s="14"/>
      <c r="AO4004" s="14"/>
      <c r="AP4004" s="14"/>
      <c r="AQ4004" s="14"/>
      <c r="AR4004" s="14"/>
      <c r="AS4004" s="14"/>
      <c r="AT4004" s="14"/>
      <c r="AU4004" s="14"/>
      <c r="AV4004" s="14"/>
      <c r="AW4004" s="15"/>
      <c r="AX4004" s="16"/>
    </row>
    <row r="4005" spans="2:50" x14ac:dyDescent="0.2">
      <c r="B4005" s="7"/>
      <c r="C4005" s="8">
        <v>14329</v>
      </c>
      <c r="D4005" s="9" t="s">
        <v>84</v>
      </c>
      <c r="E4005" s="10" t="str">
        <f t="shared" si="366"/>
        <v>Rancho La Cuchilla No. 139</v>
      </c>
      <c r="F4005" s="10" t="str">
        <f t="shared" si="367"/>
        <v>Garcia</v>
      </c>
      <c r="G4005" s="8">
        <v>1</v>
      </c>
      <c r="H4005" s="11">
        <v>200</v>
      </c>
      <c r="I4005" s="12">
        <v>42855</v>
      </c>
      <c r="J4005" s="35">
        <f t="shared" si="368"/>
        <v>0</v>
      </c>
      <c r="K4005" s="36"/>
      <c r="L4005" s="36"/>
      <c r="M4005" s="36"/>
      <c r="N4005" s="36"/>
      <c r="O4005" s="36"/>
      <c r="P4005" s="36"/>
      <c r="Q4005" s="36"/>
      <c r="R4005" s="36"/>
      <c r="S4005" s="36"/>
      <c r="T4005" s="36"/>
      <c r="U4005" s="36"/>
      <c r="V4005" s="36"/>
      <c r="W4005" s="15">
        <f t="shared" si="369"/>
        <v>0</v>
      </c>
      <c r="X4005" s="36"/>
      <c r="Y4005" s="36"/>
      <c r="Z4005" s="36"/>
      <c r="AA4005" s="36"/>
      <c r="AB4005" s="36">
        <v>200</v>
      </c>
      <c r="AC4005" s="36"/>
      <c r="AD4005" s="36"/>
      <c r="AE4005" s="36"/>
      <c r="AF4005" s="36"/>
      <c r="AG4005" s="36"/>
      <c r="AH4005" s="36"/>
      <c r="AI4005" s="36"/>
      <c r="AJ4005" s="15">
        <f t="shared" si="370"/>
        <v>200</v>
      </c>
      <c r="AK4005" s="14"/>
      <c r="AL4005" s="14"/>
      <c r="AM4005" s="14"/>
      <c r="AN4005" s="14"/>
      <c r="AO4005" s="14"/>
      <c r="AP4005" s="14"/>
      <c r="AQ4005" s="14"/>
      <c r="AR4005" s="14"/>
      <c r="AS4005" s="14"/>
      <c r="AT4005" s="14"/>
      <c r="AU4005" s="14"/>
      <c r="AV4005" s="14"/>
      <c r="AW4005" s="15"/>
      <c r="AX4005" s="16"/>
    </row>
    <row r="4006" spans="2:50" x14ac:dyDescent="0.2">
      <c r="B4006" s="7"/>
      <c r="C4006" s="8">
        <v>14330</v>
      </c>
      <c r="D4006" s="9" t="s">
        <v>1276</v>
      </c>
      <c r="E4006" s="10" t="str">
        <f t="shared" si="366"/>
        <v>Rancho La Cuchilla No. 63</v>
      </c>
      <c r="F4006" s="10" t="str">
        <f t="shared" si="367"/>
        <v>Díaz de la Rosa</v>
      </c>
      <c r="G4006" s="8">
        <v>1</v>
      </c>
      <c r="H4006" s="11">
        <v>400</v>
      </c>
      <c r="I4006" s="12">
        <v>42855</v>
      </c>
      <c r="J4006" s="35">
        <f t="shared" si="368"/>
        <v>0</v>
      </c>
      <c r="K4006" s="36"/>
      <c r="L4006" s="36"/>
      <c r="M4006" s="36"/>
      <c r="N4006" s="36"/>
      <c r="O4006" s="36"/>
      <c r="P4006" s="36"/>
      <c r="Q4006" s="36"/>
      <c r="R4006" s="36"/>
      <c r="S4006" s="36"/>
      <c r="T4006" s="36"/>
      <c r="U4006" s="36"/>
      <c r="V4006" s="36"/>
      <c r="W4006" s="15">
        <f t="shared" si="369"/>
        <v>0</v>
      </c>
      <c r="X4006" s="36"/>
      <c r="Y4006" s="36"/>
      <c r="Z4006" s="36">
        <v>200</v>
      </c>
      <c r="AA4006" s="36">
        <v>200</v>
      </c>
      <c r="AB4006" s="36"/>
      <c r="AC4006" s="36"/>
      <c r="AD4006" s="36"/>
      <c r="AE4006" s="36"/>
      <c r="AF4006" s="36"/>
      <c r="AG4006" s="36"/>
      <c r="AH4006" s="36"/>
      <c r="AI4006" s="36"/>
      <c r="AJ4006" s="15">
        <f t="shared" si="370"/>
        <v>400</v>
      </c>
      <c r="AK4006" s="14"/>
      <c r="AL4006" s="14"/>
      <c r="AM4006" s="14"/>
      <c r="AN4006" s="14"/>
      <c r="AO4006" s="14"/>
      <c r="AP4006" s="14"/>
      <c r="AQ4006" s="14"/>
      <c r="AR4006" s="14"/>
      <c r="AS4006" s="14"/>
      <c r="AT4006" s="14"/>
      <c r="AU4006" s="14"/>
      <c r="AV4006" s="14"/>
      <c r="AW4006" s="15"/>
      <c r="AX4006" s="16"/>
    </row>
    <row r="4007" spans="2:50" x14ac:dyDescent="0.2">
      <c r="B4007" s="7"/>
      <c r="C4007" s="8">
        <v>14331</v>
      </c>
      <c r="D4007" s="9" t="s">
        <v>159</v>
      </c>
      <c r="E4007" s="10" t="str">
        <f t="shared" si="366"/>
        <v>Rancho Zinamba No. 24</v>
      </c>
      <c r="F4007" s="10" t="str">
        <f t="shared" si="367"/>
        <v>Monroy García</v>
      </c>
      <c r="G4007" s="8">
        <v>1</v>
      </c>
      <c r="H4007" s="11">
        <v>400</v>
      </c>
      <c r="I4007" s="12">
        <v>42855</v>
      </c>
      <c r="J4007" s="35">
        <f t="shared" si="368"/>
        <v>0</v>
      </c>
      <c r="K4007" s="36"/>
      <c r="L4007" s="36"/>
      <c r="M4007" s="36"/>
      <c r="N4007" s="36"/>
      <c r="O4007" s="36"/>
      <c r="P4007" s="36"/>
      <c r="Q4007" s="36"/>
      <c r="R4007" s="36"/>
      <c r="S4007" s="36"/>
      <c r="T4007" s="36"/>
      <c r="U4007" s="36"/>
      <c r="V4007" s="36"/>
      <c r="W4007" s="15">
        <f t="shared" si="369"/>
        <v>0</v>
      </c>
      <c r="X4007" s="36"/>
      <c r="Y4007" s="36"/>
      <c r="Z4007" s="36"/>
      <c r="AA4007" s="36">
        <v>400</v>
      </c>
      <c r="AB4007" s="36"/>
      <c r="AC4007" s="36"/>
      <c r="AD4007" s="36"/>
      <c r="AE4007" s="36"/>
      <c r="AF4007" s="36"/>
      <c r="AG4007" s="36"/>
      <c r="AH4007" s="36"/>
      <c r="AI4007" s="36"/>
      <c r="AJ4007" s="15">
        <f t="shared" si="370"/>
        <v>400</v>
      </c>
      <c r="AK4007" s="14"/>
      <c r="AL4007" s="14"/>
      <c r="AM4007" s="14"/>
      <c r="AN4007" s="14"/>
      <c r="AO4007" s="14"/>
      <c r="AP4007" s="14"/>
      <c r="AQ4007" s="14"/>
      <c r="AR4007" s="14"/>
      <c r="AS4007" s="14"/>
      <c r="AT4007" s="14"/>
      <c r="AU4007" s="14"/>
      <c r="AV4007" s="14"/>
      <c r="AW4007" s="15"/>
      <c r="AX4007" s="16"/>
    </row>
    <row r="4008" spans="2:50" x14ac:dyDescent="0.2">
      <c r="B4008" s="7"/>
      <c r="C4008" s="8">
        <v>14332</v>
      </c>
      <c r="D4008" s="9" t="s">
        <v>990</v>
      </c>
      <c r="E4008" s="10" t="str">
        <f t="shared" si="366"/>
        <v>Rancho La Cuchilla No. 23</v>
      </c>
      <c r="F4008" s="10" t="str">
        <f t="shared" si="367"/>
        <v>Ocampo</v>
      </c>
      <c r="G4008" s="8">
        <v>1</v>
      </c>
      <c r="H4008" s="11">
        <v>1200</v>
      </c>
      <c r="I4008" s="12">
        <v>42855</v>
      </c>
      <c r="J4008" s="35">
        <f t="shared" si="368"/>
        <v>0</v>
      </c>
      <c r="K4008" s="36"/>
      <c r="L4008" s="36"/>
      <c r="M4008" s="36"/>
      <c r="N4008" s="36"/>
      <c r="O4008" s="36"/>
      <c r="P4008" s="36"/>
      <c r="Q4008" s="36"/>
      <c r="R4008" s="36"/>
      <c r="S4008" s="36"/>
      <c r="T4008" s="36"/>
      <c r="U4008" s="36"/>
      <c r="V4008" s="36"/>
      <c r="W4008" s="15">
        <f t="shared" si="369"/>
        <v>0</v>
      </c>
      <c r="X4008" s="36">
        <v>200</v>
      </c>
      <c r="Y4008" s="36">
        <v>200</v>
      </c>
      <c r="Z4008" s="36">
        <v>200</v>
      </c>
      <c r="AA4008" s="36">
        <v>200</v>
      </c>
      <c r="AB4008" s="36">
        <v>200</v>
      </c>
      <c r="AC4008" s="36">
        <v>200</v>
      </c>
      <c r="AD4008" s="36"/>
      <c r="AE4008" s="36"/>
      <c r="AF4008" s="36"/>
      <c r="AG4008" s="36"/>
      <c r="AH4008" s="36"/>
      <c r="AI4008" s="36"/>
      <c r="AJ4008" s="15">
        <f t="shared" si="370"/>
        <v>1200</v>
      </c>
      <c r="AK4008" s="14"/>
      <c r="AL4008" s="14"/>
      <c r="AM4008" s="14"/>
      <c r="AN4008" s="14"/>
      <c r="AO4008" s="14"/>
      <c r="AP4008" s="14"/>
      <c r="AQ4008" s="14"/>
      <c r="AR4008" s="14"/>
      <c r="AS4008" s="14"/>
      <c r="AT4008" s="14"/>
      <c r="AU4008" s="14"/>
      <c r="AV4008" s="14"/>
      <c r="AW4008" s="15"/>
      <c r="AX4008" s="16"/>
    </row>
    <row r="4009" spans="2:50" x14ac:dyDescent="0.2">
      <c r="B4009" s="7"/>
      <c r="C4009" s="8">
        <v>14333</v>
      </c>
      <c r="D4009" s="9" t="s">
        <v>797</v>
      </c>
      <c r="E4009" s="10" t="str">
        <f t="shared" si="366"/>
        <v>Rancho Recoveco No. 195</v>
      </c>
      <c r="F4009" s="10" t="str">
        <f t="shared" si="367"/>
        <v>Sandoval</v>
      </c>
      <c r="G4009" s="8">
        <v>1</v>
      </c>
      <c r="H4009" s="11">
        <v>800</v>
      </c>
      <c r="I4009" s="12">
        <v>42855</v>
      </c>
      <c r="J4009" s="35">
        <f t="shared" si="368"/>
        <v>0</v>
      </c>
      <c r="K4009" s="36"/>
      <c r="L4009" s="36"/>
      <c r="M4009" s="36"/>
      <c r="N4009" s="36"/>
      <c r="O4009" s="36"/>
      <c r="P4009" s="36"/>
      <c r="Q4009" s="36"/>
      <c r="R4009" s="36"/>
      <c r="S4009" s="36"/>
      <c r="T4009" s="36"/>
      <c r="U4009" s="36"/>
      <c r="V4009" s="36"/>
      <c r="W4009" s="15">
        <f t="shared" si="369"/>
        <v>0</v>
      </c>
      <c r="X4009" s="36"/>
      <c r="Y4009" s="36"/>
      <c r="Z4009" s="36"/>
      <c r="AA4009" s="36">
        <v>400</v>
      </c>
      <c r="AB4009" s="36">
        <v>400</v>
      </c>
      <c r="AC4009" s="36"/>
      <c r="AD4009" s="36"/>
      <c r="AE4009" s="36"/>
      <c r="AF4009" s="36"/>
      <c r="AG4009" s="36"/>
      <c r="AH4009" s="36"/>
      <c r="AI4009" s="36"/>
      <c r="AJ4009" s="15">
        <f t="shared" si="370"/>
        <v>800</v>
      </c>
      <c r="AK4009" s="14"/>
      <c r="AL4009" s="14"/>
      <c r="AM4009" s="14"/>
      <c r="AN4009" s="14"/>
      <c r="AO4009" s="14"/>
      <c r="AP4009" s="14"/>
      <c r="AQ4009" s="14"/>
      <c r="AR4009" s="14"/>
      <c r="AS4009" s="14"/>
      <c r="AT4009" s="14"/>
      <c r="AU4009" s="14"/>
      <c r="AV4009" s="14"/>
      <c r="AW4009" s="15"/>
      <c r="AX4009" s="16"/>
    </row>
    <row r="4010" spans="2:50" x14ac:dyDescent="0.2">
      <c r="B4010" s="7"/>
      <c r="C4010" s="8">
        <v>14334</v>
      </c>
      <c r="D4010" s="9" t="s">
        <v>301</v>
      </c>
      <c r="E4010" s="10" t="str">
        <f t="shared" si="366"/>
        <v>Rancho Upácuaro No. 51, 2</v>
      </c>
      <c r="F4010" s="10" t="str">
        <f t="shared" si="367"/>
        <v>Santoyo</v>
      </c>
      <c r="G4010" s="8">
        <v>1</v>
      </c>
      <c r="H4010" s="11">
        <v>200</v>
      </c>
      <c r="I4010" s="12">
        <v>42855</v>
      </c>
      <c r="J4010" s="35">
        <f t="shared" si="368"/>
        <v>0</v>
      </c>
      <c r="K4010" s="36"/>
      <c r="L4010" s="36"/>
      <c r="M4010" s="36"/>
      <c r="N4010" s="36"/>
      <c r="O4010" s="36"/>
      <c r="P4010" s="36"/>
      <c r="Q4010" s="36"/>
      <c r="R4010" s="36"/>
      <c r="S4010" s="36"/>
      <c r="T4010" s="36"/>
      <c r="U4010" s="36"/>
      <c r="V4010" s="36"/>
      <c r="W4010" s="15">
        <f t="shared" si="369"/>
        <v>0</v>
      </c>
      <c r="X4010" s="36"/>
      <c r="Y4010" s="36"/>
      <c r="Z4010" s="36"/>
      <c r="AA4010" s="36"/>
      <c r="AB4010" s="36">
        <v>200</v>
      </c>
      <c r="AC4010" s="36"/>
      <c r="AD4010" s="36"/>
      <c r="AE4010" s="36"/>
      <c r="AF4010" s="36"/>
      <c r="AG4010" s="36"/>
      <c r="AH4010" s="36"/>
      <c r="AI4010" s="36"/>
      <c r="AJ4010" s="15">
        <f t="shared" si="370"/>
        <v>200</v>
      </c>
      <c r="AK4010" s="14"/>
      <c r="AL4010" s="14"/>
      <c r="AM4010" s="14"/>
      <c r="AN4010" s="14"/>
      <c r="AO4010" s="14"/>
      <c r="AP4010" s="14"/>
      <c r="AQ4010" s="14"/>
      <c r="AR4010" s="14"/>
      <c r="AS4010" s="14"/>
      <c r="AT4010" s="14"/>
      <c r="AU4010" s="14"/>
      <c r="AV4010" s="14"/>
      <c r="AW4010" s="15"/>
      <c r="AX4010" s="16"/>
    </row>
    <row r="4011" spans="2:50" x14ac:dyDescent="0.2">
      <c r="B4011" s="7"/>
      <c r="C4011" s="8">
        <v>14335</v>
      </c>
      <c r="D4011" s="9" t="s">
        <v>1203</v>
      </c>
      <c r="E4011" s="10" t="str">
        <f t="shared" si="366"/>
        <v>Rancho Landero No. 92</v>
      </c>
      <c r="F4011" s="10" t="str">
        <f t="shared" si="367"/>
        <v>Ruiz Velasco</v>
      </c>
      <c r="G4011" s="8">
        <v>1</v>
      </c>
      <c r="H4011" s="11">
        <v>600</v>
      </c>
      <c r="I4011" s="12">
        <v>42855</v>
      </c>
      <c r="J4011" s="35">
        <f t="shared" si="368"/>
        <v>0</v>
      </c>
      <c r="K4011" s="36"/>
      <c r="L4011" s="36"/>
      <c r="M4011" s="36"/>
      <c r="N4011" s="36"/>
      <c r="O4011" s="36"/>
      <c r="P4011" s="36"/>
      <c r="Q4011" s="36"/>
      <c r="R4011" s="36"/>
      <c r="S4011" s="36"/>
      <c r="T4011" s="36"/>
      <c r="U4011" s="36"/>
      <c r="V4011" s="36"/>
      <c r="W4011" s="15">
        <f t="shared" si="369"/>
        <v>0</v>
      </c>
      <c r="X4011" s="36"/>
      <c r="Y4011" s="36">
        <v>300</v>
      </c>
      <c r="Z4011" s="36">
        <v>300</v>
      </c>
      <c r="AA4011" s="36"/>
      <c r="AB4011" s="36"/>
      <c r="AC4011" s="36"/>
      <c r="AD4011" s="36"/>
      <c r="AE4011" s="36"/>
      <c r="AF4011" s="36"/>
      <c r="AG4011" s="36"/>
      <c r="AH4011" s="36"/>
      <c r="AI4011" s="36"/>
      <c r="AJ4011" s="15">
        <f t="shared" si="370"/>
        <v>600</v>
      </c>
      <c r="AK4011" s="14"/>
      <c r="AL4011" s="14"/>
      <c r="AM4011" s="14"/>
      <c r="AN4011" s="14"/>
      <c r="AO4011" s="14"/>
      <c r="AP4011" s="14"/>
      <c r="AQ4011" s="14"/>
      <c r="AR4011" s="14"/>
      <c r="AS4011" s="14"/>
      <c r="AT4011" s="14"/>
      <c r="AU4011" s="14"/>
      <c r="AV4011" s="14"/>
      <c r="AW4011" s="15"/>
      <c r="AX4011" s="16"/>
    </row>
    <row r="4012" spans="2:50" x14ac:dyDescent="0.2">
      <c r="B4012" s="7"/>
      <c r="C4012" s="8">
        <v>14336</v>
      </c>
      <c r="D4012" s="9" t="s">
        <v>1203</v>
      </c>
      <c r="E4012" s="10" t="str">
        <f t="shared" si="366"/>
        <v>Rancho Landero No. 92</v>
      </c>
      <c r="F4012" s="10" t="str">
        <f t="shared" si="367"/>
        <v>Ruiz Velasco</v>
      </c>
      <c r="G4012" s="8">
        <v>3</v>
      </c>
      <c r="H4012" s="11">
        <v>200</v>
      </c>
      <c r="I4012" s="12">
        <v>42855</v>
      </c>
      <c r="J4012" s="35">
        <f t="shared" si="368"/>
        <v>0</v>
      </c>
      <c r="K4012" s="36"/>
      <c r="L4012" s="36"/>
      <c r="M4012" s="36"/>
      <c r="N4012" s="36"/>
      <c r="O4012" s="36"/>
      <c r="P4012" s="36"/>
      <c r="Q4012" s="36"/>
      <c r="R4012" s="36"/>
      <c r="S4012" s="36"/>
      <c r="T4012" s="36"/>
      <c r="U4012" s="36"/>
      <c r="V4012" s="36"/>
      <c r="W4012" s="15">
        <f t="shared" si="369"/>
        <v>0</v>
      </c>
      <c r="X4012" s="36"/>
      <c r="Y4012" s="36"/>
      <c r="Z4012" s="36"/>
      <c r="AA4012" s="36"/>
      <c r="AB4012" s="36"/>
      <c r="AC4012" s="36"/>
      <c r="AD4012" s="36"/>
      <c r="AE4012" s="36"/>
      <c r="AF4012" s="36"/>
      <c r="AG4012" s="36"/>
      <c r="AH4012" s="36"/>
      <c r="AI4012" s="36"/>
      <c r="AJ4012" s="15">
        <f t="shared" si="370"/>
        <v>0</v>
      </c>
      <c r="AK4012" s="14"/>
      <c r="AL4012" s="14"/>
      <c r="AM4012" s="14"/>
      <c r="AN4012" s="14"/>
      <c r="AO4012" s="14"/>
      <c r="AP4012" s="14"/>
      <c r="AQ4012" s="14"/>
      <c r="AR4012" s="14"/>
      <c r="AS4012" s="14"/>
      <c r="AT4012" s="14"/>
      <c r="AU4012" s="14"/>
      <c r="AV4012" s="14"/>
      <c r="AW4012" s="15"/>
      <c r="AX4012" s="16"/>
    </row>
    <row r="4013" spans="2:50" x14ac:dyDescent="0.2">
      <c r="B4013" s="7"/>
      <c r="C4013" s="8">
        <v>14337</v>
      </c>
      <c r="D4013" s="9" t="s">
        <v>211</v>
      </c>
      <c r="E4013" s="10" t="str">
        <f t="shared" si="366"/>
        <v>Rancho Upácuaro No. 46</v>
      </c>
      <c r="F4013" s="10" t="str">
        <f t="shared" si="367"/>
        <v>Fuentes</v>
      </c>
      <c r="G4013" s="8">
        <v>7</v>
      </c>
      <c r="H4013" s="11">
        <v>100</v>
      </c>
      <c r="I4013" s="12">
        <v>42855</v>
      </c>
      <c r="J4013" s="35">
        <f t="shared" si="368"/>
        <v>0</v>
      </c>
      <c r="K4013" s="36"/>
      <c r="L4013" s="36"/>
      <c r="M4013" s="36"/>
      <c r="N4013" s="36"/>
      <c r="O4013" s="36"/>
      <c r="P4013" s="36"/>
      <c r="Q4013" s="36"/>
      <c r="R4013" s="36"/>
      <c r="S4013" s="36"/>
      <c r="T4013" s="36"/>
      <c r="U4013" s="36"/>
      <c r="V4013" s="36"/>
      <c r="W4013" s="15">
        <f t="shared" si="369"/>
        <v>0</v>
      </c>
      <c r="X4013" s="36"/>
      <c r="Y4013" s="36"/>
      <c r="Z4013" s="36"/>
      <c r="AA4013" s="36"/>
      <c r="AB4013" s="36"/>
      <c r="AC4013" s="36"/>
      <c r="AD4013" s="36"/>
      <c r="AE4013" s="36"/>
      <c r="AF4013" s="36"/>
      <c r="AG4013" s="36"/>
      <c r="AH4013" s="36"/>
      <c r="AI4013" s="36"/>
      <c r="AJ4013" s="15">
        <f t="shared" si="370"/>
        <v>0</v>
      </c>
      <c r="AK4013" s="14"/>
      <c r="AL4013" s="14"/>
      <c r="AM4013" s="14"/>
      <c r="AN4013" s="14"/>
      <c r="AO4013" s="14"/>
      <c r="AP4013" s="14"/>
      <c r="AQ4013" s="14"/>
      <c r="AR4013" s="14"/>
      <c r="AS4013" s="14"/>
      <c r="AT4013" s="14"/>
      <c r="AU4013" s="14"/>
      <c r="AV4013" s="14"/>
      <c r="AW4013" s="15"/>
      <c r="AX4013" s="16" t="s">
        <v>3858</v>
      </c>
    </row>
    <row r="4014" spans="2:50" x14ac:dyDescent="0.2">
      <c r="B4014" s="7"/>
      <c r="C4014" s="8">
        <v>14338</v>
      </c>
      <c r="D4014" s="9" t="s">
        <v>614</v>
      </c>
      <c r="E4014" s="10" t="str">
        <f t="shared" si="366"/>
        <v>Rancho La Cuchilla No. 82</v>
      </c>
      <c r="F4014" s="10" t="str">
        <f t="shared" si="367"/>
        <v>Cruz</v>
      </c>
      <c r="G4014" s="8">
        <v>1</v>
      </c>
      <c r="H4014" s="11">
        <v>800</v>
      </c>
      <c r="I4014" s="12">
        <v>42855</v>
      </c>
      <c r="J4014" s="35">
        <f t="shared" si="368"/>
        <v>0</v>
      </c>
      <c r="K4014" s="36"/>
      <c r="L4014" s="36"/>
      <c r="M4014" s="36"/>
      <c r="N4014" s="36"/>
      <c r="O4014" s="36"/>
      <c r="P4014" s="36"/>
      <c r="Q4014" s="36"/>
      <c r="R4014" s="36"/>
      <c r="S4014" s="36"/>
      <c r="T4014" s="36"/>
      <c r="U4014" s="36"/>
      <c r="V4014" s="36"/>
      <c r="W4014" s="15">
        <f t="shared" si="369"/>
        <v>0</v>
      </c>
      <c r="X4014" s="36"/>
      <c r="Y4014" s="36"/>
      <c r="Z4014" s="36">
        <v>400</v>
      </c>
      <c r="AA4014" s="36">
        <v>400</v>
      </c>
      <c r="AB4014" s="36"/>
      <c r="AC4014" s="36"/>
      <c r="AD4014" s="36"/>
      <c r="AE4014" s="36"/>
      <c r="AF4014" s="36"/>
      <c r="AG4014" s="36"/>
      <c r="AH4014" s="36"/>
      <c r="AI4014" s="36"/>
      <c r="AJ4014" s="15">
        <f t="shared" si="370"/>
        <v>800</v>
      </c>
      <c r="AK4014" s="14"/>
      <c r="AL4014" s="14"/>
      <c r="AM4014" s="14"/>
      <c r="AN4014" s="14"/>
      <c r="AO4014" s="14"/>
      <c r="AP4014" s="14"/>
      <c r="AQ4014" s="14"/>
      <c r="AR4014" s="14"/>
      <c r="AS4014" s="14"/>
      <c r="AT4014" s="14"/>
      <c r="AU4014" s="14"/>
      <c r="AV4014" s="14"/>
      <c r="AW4014" s="15"/>
      <c r="AX4014" s="16"/>
    </row>
    <row r="4015" spans="2:50" x14ac:dyDescent="0.2">
      <c r="B4015" s="7"/>
      <c r="C4015" s="8">
        <v>14338</v>
      </c>
      <c r="D4015" s="9" t="s">
        <v>614</v>
      </c>
      <c r="E4015" s="10" t="str">
        <f t="shared" si="366"/>
        <v>Rancho La Cuchilla No. 82</v>
      </c>
      <c r="F4015" s="10" t="str">
        <f t="shared" si="367"/>
        <v>Cruz</v>
      </c>
      <c r="G4015" s="8">
        <v>7</v>
      </c>
      <c r="H4015" s="11">
        <v>100</v>
      </c>
      <c r="I4015" s="12">
        <v>42855</v>
      </c>
      <c r="J4015" s="35">
        <f t="shared" si="368"/>
        <v>0</v>
      </c>
      <c r="K4015" s="36"/>
      <c r="L4015" s="36"/>
      <c r="M4015" s="36"/>
      <c r="N4015" s="36"/>
      <c r="O4015" s="36"/>
      <c r="P4015" s="36"/>
      <c r="Q4015" s="36"/>
      <c r="R4015" s="36"/>
      <c r="S4015" s="36"/>
      <c r="T4015" s="36"/>
      <c r="U4015" s="36"/>
      <c r="V4015" s="36"/>
      <c r="W4015" s="15">
        <f t="shared" si="369"/>
        <v>0</v>
      </c>
      <c r="X4015" s="36"/>
      <c r="Y4015" s="36"/>
      <c r="Z4015" s="36"/>
      <c r="AA4015" s="36"/>
      <c r="AB4015" s="36"/>
      <c r="AC4015" s="36"/>
      <c r="AD4015" s="36"/>
      <c r="AE4015" s="36"/>
      <c r="AF4015" s="36"/>
      <c r="AG4015" s="36"/>
      <c r="AH4015" s="36"/>
      <c r="AI4015" s="36"/>
      <c r="AJ4015" s="15">
        <f t="shared" si="370"/>
        <v>0</v>
      </c>
      <c r="AK4015" s="14"/>
      <c r="AL4015" s="14"/>
      <c r="AM4015" s="14"/>
      <c r="AN4015" s="14"/>
      <c r="AO4015" s="14"/>
      <c r="AP4015" s="14"/>
      <c r="AQ4015" s="14"/>
      <c r="AR4015" s="14"/>
      <c r="AS4015" s="14"/>
      <c r="AT4015" s="14"/>
      <c r="AU4015" s="14"/>
      <c r="AV4015" s="14"/>
      <c r="AW4015" s="15"/>
      <c r="AX4015" s="16" t="s">
        <v>3858</v>
      </c>
    </row>
    <row r="4016" spans="2:50" x14ac:dyDescent="0.2">
      <c r="B4016" s="7"/>
      <c r="C4016" s="8">
        <v>14339</v>
      </c>
      <c r="D4016" s="9" t="s">
        <v>574</v>
      </c>
      <c r="E4016" s="10" t="str">
        <f t="shared" si="366"/>
        <v xml:space="preserve">Rancho Upácuaro No. 94 </v>
      </c>
      <c r="F4016" s="10" t="str">
        <f t="shared" si="367"/>
        <v>Juárez Patiño</v>
      </c>
      <c r="G4016" s="8">
        <v>1</v>
      </c>
      <c r="H4016" s="11">
        <v>900</v>
      </c>
      <c r="I4016" s="12">
        <v>42855</v>
      </c>
      <c r="J4016" s="35">
        <f t="shared" si="368"/>
        <v>0</v>
      </c>
      <c r="K4016" s="36"/>
      <c r="L4016" s="36"/>
      <c r="M4016" s="36"/>
      <c r="N4016" s="36"/>
      <c r="O4016" s="36"/>
      <c r="P4016" s="36"/>
      <c r="Q4016" s="36"/>
      <c r="R4016" s="36"/>
      <c r="S4016" s="36"/>
      <c r="T4016" s="36"/>
      <c r="U4016" s="36"/>
      <c r="V4016" s="36"/>
      <c r="W4016" s="15">
        <f t="shared" si="369"/>
        <v>0</v>
      </c>
      <c r="X4016" s="36"/>
      <c r="Y4016" s="36"/>
      <c r="Z4016" s="36">
        <v>300</v>
      </c>
      <c r="AA4016" s="36">
        <v>300</v>
      </c>
      <c r="AB4016" s="36">
        <v>300</v>
      </c>
      <c r="AC4016" s="36"/>
      <c r="AD4016" s="36"/>
      <c r="AE4016" s="36"/>
      <c r="AF4016" s="36"/>
      <c r="AG4016" s="36"/>
      <c r="AH4016" s="36"/>
      <c r="AI4016" s="36"/>
      <c r="AJ4016" s="15">
        <f t="shared" si="370"/>
        <v>900</v>
      </c>
      <c r="AK4016" s="14"/>
      <c r="AL4016" s="14"/>
      <c r="AM4016" s="14"/>
      <c r="AN4016" s="14"/>
      <c r="AO4016" s="14"/>
      <c r="AP4016" s="14"/>
      <c r="AQ4016" s="14"/>
      <c r="AR4016" s="14"/>
      <c r="AS4016" s="14"/>
      <c r="AT4016" s="14"/>
      <c r="AU4016" s="14"/>
      <c r="AV4016" s="14"/>
      <c r="AW4016" s="15"/>
      <c r="AX4016" s="16"/>
    </row>
    <row r="4017" spans="2:50" x14ac:dyDescent="0.2">
      <c r="B4017" s="7"/>
      <c r="C4017" s="8">
        <v>14339</v>
      </c>
      <c r="D4017" s="9" t="s">
        <v>574</v>
      </c>
      <c r="E4017" s="10" t="str">
        <f t="shared" si="366"/>
        <v xml:space="preserve">Rancho Upácuaro No. 94 </v>
      </c>
      <c r="F4017" s="10" t="str">
        <f t="shared" si="367"/>
        <v>Juárez Patiño</v>
      </c>
      <c r="G4017" s="8">
        <v>5</v>
      </c>
      <c r="H4017" s="11">
        <v>150</v>
      </c>
      <c r="I4017" s="12">
        <v>42855</v>
      </c>
      <c r="J4017" s="35">
        <f t="shared" si="368"/>
        <v>0</v>
      </c>
      <c r="K4017" s="36"/>
      <c r="L4017" s="36"/>
      <c r="M4017" s="36"/>
      <c r="N4017" s="36"/>
      <c r="O4017" s="36"/>
      <c r="P4017" s="36"/>
      <c r="Q4017" s="36"/>
      <c r="R4017" s="36"/>
      <c r="S4017" s="36"/>
      <c r="T4017" s="36"/>
      <c r="U4017" s="36"/>
      <c r="V4017" s="36"/>
      <c r="W4017" s="15">
        <f t="shared" si="369"/>
        <v>0</v>
      </c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15">
        <f t="shared" si="370"/>
        <v>0</v>
      </c>
      <c r="AK4017" s="14"/>
      <c r="AL4017" s="14"/>
      <c r="AM4017" s="14"/>
      <c r="AN4017" s="14"/>
      <c r="AO4017" s="14"/>
      <c r="AP4017" s="14"/>
      <c r="AQ4017" s="14"/>
      <c r="AR4017" s="14"/>
      <c r="AS4017" s="14"/>
      <c r="AT4017" s="14"/>
      <c r="AU4017" s="14"/>
      <c r="AV4017" s="14"/>
      <c r="AW4017" s="15"/>
      <c r="AX4017" s="16"/>
    </row>
    <row r="4018" spans="2:50" x14ac:dyDescent="0.2">
      <c r="B4018" s="7"/>
      <c r="C4018" s="8">
        <v>14340</v>
      </c>
      <c r="D4018" s="9" t="s">
        <v>119</v>
      </c>
      <c r="E4018" s="10" t="str">
        <f t="shared" si="366"/>
        <v>Rancho Landero No. 25</v>
      </c>
      <c r="F4018" s="10" t="str">
        <f t="shared" si="367"/>
        <v>Escamilla Martínez</v>
      </c>
      <c r="G4018" s="8">
        <v>1</v>
      </c>
      <c r="H4018" s="11">
        <v>800</v>
      </c>
      <c r="I4018" s="12">
        <v>42855</v>
      </c>
      <c r="J4018" s="35">
        <f t="shared" si="368"/>
        <v>0</v>
      </c>
      <c r="K4018" s="36"/>
      <c r="L4018" s="36"/>
      <c r="M4018" s="36"/>
      <c r="N4018" s="36"/>
      <c r="O4018" s="36"/>
      <c r="P4018" s="36"/>
      <c r="Q4018" s="36"/>
      <c r="R4018" s="36"/>
      <c r="S4018" s="36"/>
      <c r="T4018" s="36"/>
      <c r="U4018" s="36"/>
      <c r="V4018" s="36"/>
      <c r="W4018" s="15">
        <f t="shared" si="369"/>
        <v>0</v>
      </c>
      <c r="X4018" s="36"/>
      <c r="Y4018" s="36"/>
      <c r="Z4018" s="36">
        <v>400</v>
      </c>
      <c r="AA4018" s="36">
        <v>400</v>
      </c>
      <c r="AB4018" s="36"/>
      <c r="AC4018" s="36"/>
      <c r="AD4018" s="36"/>
      <c r="AE4018" s="36"/>
      <c r="AF4018" s="36"/>
      <c r="AG4018" s="36"/>
      <c r="AH4018" s="36"/>
      <c r="AI4018" s="36"/>
      <c r="AJ4018" s="15">
        <f t="shared" si="370"/>
        <v>800</v>
      </c>
      <c r="AK4018" s="14"/>
      <c r="AL4018" s="14"/>
      <c r="AM4018" s="14"/>
      <c r="AN4018" s="14"/>
      <c r="AO4018" s="14"/>
      <c r="AP4018" s="14"/>
      <c r="AQ4018" s="14"/>
      <c r="AR4018" s="14"/>
      <c r="AS4018" s="14"/>
      <c r="AT4018" s="14"/>
      <c r="AU4018" s="14"/>
      <c r="AV4018" s="14"/>
      <c r="AW4018" s="15"/>
      <c r="AX4018" s="16"/>
    </row>
    <row r="4019" spans="2:50" x14ac:dyDescent="0.2">
      <c r="B4019" s="7"/>
      <c r="C4019" s="8">
        <v>14341</v>
      </c>
      <c r="D4019" s="9" t="s">
        <v>631</v>
      </c>
      <c r="E4019" s="10" t="str">
        <f t="shared" si="366"/>
        <v>Rancho Romeral No. 10, B</v>
      </c>
      <c r="F4019" s="10" t="str">
        <f t="shared" si="367"/>
        <v>López Castellano</v>
      </c>
      <c r="G4019" s="8">
        <v>1</v>
      </c>
      <c r="H4019" s="11">
        <v>300</v>
      </c>
      <c r="I4019" s="12">
        <v>42855</v>
      </c>
      <c r="J4019" s="35">
        <f t="shared" si="368"/>
        <v>0</v>
      </c>
      <c r="K4019" s="36"/>
      <c r="L4019" s="36"/>
      <c r="M4019" s="36"/>
      <c r="N4019" s="36"/>
      <c r="O4019" s="36"/>
      <c r="P4019" s="36"/>
      <c r="Q4019" s="36"/>
      <c r="R4019" s="36"/>
      <c r="S4019" s="36"/>
      <c r="T4019" s="36"/>
      <c r="U4019" s="36"/>
      <c r="V4019" s="36"/>
      <c r="W4019" s="15">
        <f t="shared" si="369"/>
        <v>0</v>
      </c>
      <c r="X4019" s="36"/>
      <c r="Y4019" s="36"/>
      <c r="Z4019" s="36"/>
      <c r="AA4019" s="36">
        <v>300</v>
      </c>
      <c r="AB4019" s="36"/>
      <c r="AC4019" s="36"/>
      <c r="AD4019" s="36"/>
      <c r="AE4019" s="36"/>
      <c r="AF4019" s="36"/>
      <c r="AG4019" s="36"/>
      <c r="AH4019" s="36"/>
      <c r="AI4019" s="36"/>
      <c r="AJ4019" s="15">
        <f t="shared" si="370"/>
        <v>300</v>
      </c>
      <c r="AK4019" s="14"/>
      <c r="AL4019" s="14"/>
      <c r="AM4019" s="14"/>
      <c r="AN4019" s="14"/>
      <c r="AO4019" s="14"/>
      <c r="AP4019" s="14"/>
      <c r="AQ4019" s="14"/>
      <c r="AR4019" s="14"/>
      <c r="AS4019" s="14"/>
      <c r="AT4019" s="14"/>
      <c r="AU4019" s="14"/>
      <c r="AV4019" s="14"/>
      <c r="AW4019" s="15"/>
      <c r="AX4019" s="16"/>
    </row>
    <row r="4020" spans="2:50" x14ac:dyDescent="0.2">
      <c r="B4020" s="7"/>
      <c r="C4020" s="8">
        <v>14342</v>
      </c>
      <c r="D4020" s="9" t="s">
        <v>652</v>
      </c>
      <c r="E4020" s="10" t="str">
        <f t="shared" si="366"/>
        <v>Rancho Zinamba No. 74</v>
      </c>
      <c r="F4020" s="10" t="str">
        <f t="shared" si="367"/>
        <v>García Castellanos</v>
      </c>
      <c r="G4020" s="8">
        <v>1</v>
      </c>
      <c r="H4020" s="11">
        <v>400</v>
      </c>
      <c r="I4020" s="12">
        <v>42855</v>
      </c>
      <c r="J4020" s="35">
        <f t="shared" si="368"/>
        <v>0</v>
      </c>
      <c r="K4020" s="36"/>
      <c r="L4020" s="36"/>
      <c r="M4020" s="36"/>
      <c r="N4020" s="36"/>
      <c r="O4020" s="36"/>
      <c r="P4020" s="36"/>
      <c r="Q4020" s="36"/>
      <c r="R4020" s="36"/>
      <c r="S4020" s="36"/>
      <c r="T4020" s="36"/>
      <c r="U4020" s="36"/>
      <c r="V4020" s="36"/>
      <c r="W4020" s="15">
        <f t="shared" si="369"/>
        <v>0</v>
      </c>
      <c r="X4020" s="36"/>
      <c r="Y4020" s="36">
        <v>400</v>
      </c>
      <c r="Z4020" s="36"/>
      <c r="AA4020" s="36"/>
      <c r="AB4020" s="36"/>
      <c r="AC4020" s="36"/>
      <c r="AD4020" s="36"/>
      <c r="AE4020" s="36"/>
      <c r="AF4020" s="36"/>
      <c r="AG4020" s="36"/>
      <c r="AH4020" s="36"/>
      <c r="AI4020" s="36"/>
      <c r="AJ4020" s="15">
        <f t="shared" si="370"/>
        <v>400</v>
      </c>
      <c r="AK4020" s="14"/>
      <c r="AL4020" s="14"/>
      <c r="AM4020" s="14"/>
      <c r="AN4020" s="14"/>
      <c r="AO4020" s="14"/>
      <c r="AP4020" s="14"/>
      <c r="AQ4020" s="14"/>
      <c r="AR4020" s="14"/>
      <c r="AS4020" s="14"/>
      <c r="AT4020" s="14"/>
      <c r="AU4020" s="14"/>
      <c r="AV4020" s="14"/>
      <c r="AW4020" s="15"/>
      <c r="AX4020" s="16"/>
    </row>
    <row r="4021" spans="2:50" x14ac:dyDescent="0.2">
      <c r="B4021" s="7"/>
      <c r="C4021" s="8">
        <v>14343</v>
      </c>
      <c r="D4021" s="9" t="s">
        <v>550</v>
      </c>
      <c r="E4021" s="10" t="str">
        <f t="shared" si="366"/>
        <v>Rancho Landero No. 89</v>
      </c>
      <c r="F4021" s="10" t="str">
        <f t="shared" si="367"/>
        <v>Del Pozo Solís</v>
      </c>
      <c r="G4021" s="8">
        <v>1</v>
      </c>
      <c r="H4021" s="11">
        <v>500</v>
      </c>
      <c r="I4021" s="12">
        <v>42855</v>
      </c>
      <c r="J4021" s="35">
        <f t="shared" si="368"/>
        <v>0</v>
      </c>
      <c r="K4021" s="36"/>
      <c r="L4021" s="36"/>
      <c r="M4021" s="36"/>
      <c r="N4021" s="36"/>
      <c r="O4021" s="36"/>
      <c r="P4021" s="36"/>
      <c r="Q4021" s="36"/>
      <c r="R4021" s="36"/>
      <c r="S4021" s="36"/>
      <c r="T4021" s="36"/>
      <c r="U4021" s="36"/>
      <c r="V4021" s="36"/>
      <c r="W4021" s="15">
        <f t="shared" si="369"/>
        <v>0</v>
      </c>
      <c r="X4021" s="36"/>
      <c r="Y4021" s="36"/>
      <c r="Z4021" s="36"/>
      <c r="AA4021" s="36">
        <v>250</v>
      </c>
      <c r="AB4021" s="36">
        <v>250</v>
      </c>
      <c r="AC4021" s="36"/>
      <c r="AD4021" s="36"/>
      <c r="AE4021" s="36"/>
      <c r="AF4021" s="36"/>
      <c r="AG4021" s="36"/>
      <c r="AH4021" s="36"/>
      <c r="AI4021" s="36"/>
      <c r="AJ4021" s="15">
        <f t="shared" si="370"/>
        <v>500</v>
      </c>
      <c r="AK4021" s="14"/>
      <c r="AL4021" s="14"/>
      <c r="AM4021" s="14"/>
      <c r="AN4021" s="14"/>
      <c r="AO4021" s="14"/>
      <c r="AP4021" s="14"/>
      <c r="AQ4021" s="14"/>
      <c r="AR4021" s="14"/>
      <c r="AS4021" s="14"/>
      <c r="AT4021" s="14"/>
      <c r="AU4021" s="14"/>
      <c r="AV4021" s="14"/>
      <c r="AW4021" s="15"/>
      <c r="AX4021" s="16"/>
    </row>
    <row r="4022" spans="2:50" x14ac:dyDescent="0.2">
      <c r="B4022" s="7"/>
      <c r="C4022" s="8">
        <v>14344</v>
      </c>
      <c r="D4022" s="9" t="s">
        <v>280</v>
      </c>
      <c r="E4022" s="10" t="str">
        <f t="shared" si="366"/>
        <v>Rancho La Cuchilla No. 40</v>
      </c>
      <c r="F4022" s="10" t="str">
        <f t="shared" si="367"/>
        <v>López Pico</v>
      </c>
      <c r="G4022" s="8">
        <v>1</v>
      </c>
      <c r="H4022" s="11">
        <v>400</v>
      </c>
      <c r="I4022" s="12">
        <v>42855</v>
      </c>
      <c r="J4022" s="35">
        <f t="shared" si="368"/>
        <v>0</v>
      </c>
      <c r="K4022" s="36"/>
      <c r="L4022" s="36"/>
      <c r="M4022" s="36"/>
      <c r="N4022" s="36"/>
      <c r="O4022" s="36"/>
      <c r="P4022" s="36"/>
      <c r="Q4022" s="36"/>
      <c r="R4022" s="36"/>
      <c r="S4022" s="36"/>
      <c r="T4022" s="36"/>
      <c r="U4022" s="36"/>
      <c r="V4022" s="36"/>
      <c r="W4022" s="15">
        <f t="shared" si="369"/>
        <v>0</v>
      </c>
      <c r="X4022" s="36"/>
      <c r="Y4022" s="36"/>
      <c r="Z4022" s="36"/>
      <c r="AA4022" s="36"/>
      <c r="AB4022" s="36">
        <v>400</v>
      </c>
      <c r="AC4022" s="36"/>
      <c r="AD4022" s="36"/>
      <c r="AE4022" s="36"/>
      <c r="AF4022" s="36"/>
      <c r="AG4022" s="36"/>
      <c r="AH4022" s="36"/>
      <c r="AI4022" s="36"/>
      <c r="AJ4022" s="15">
        <f t="shared" si="370"/>
        <v>400</v>
      </c>
      <c r="AK4022" s="14"/>
      <c r="AL4022" s="14"/>
      <c r="AM4022" s="14"/>
      <c r="AN4022" s="14"/>
      <c r="AO4022" s="14"/>
      <c r="AP4022" s="14"/>
      <c r="AQ4022" s="14"/>
      <c r="AR4022" s="14"/>
      <c r="AS4022" s="14"/>
      <c r="AT4022" s="14"/>
      <c r="AU4022" s="14"/>
      <c r="AV4022" s="14"/>
      <c r="AW4022" s="15"/>
      <c r="AX4022" s="16"/>
    </row>
    <row r="4023" spans="2:50" x14ac:dyDescent="0.2">
      <c r="B4023" s="7"/>
      <c r="C4023" s="8">
        <v>14345</v>
      </c>
      <c r="D4023" s="9" t="s">
        <v>126</v>
      </c>
      <c r="E4023" s="10" t="str">
        <f t="shared" si="366"/>
        <v>Rancho Estanzuela No. 65</v>
      </c>
      <c r="F4023" s="10" t="str">
        <f t="shared" si="367"/>
        <v>López Becerril</v>
      </c>
      <c r="G4023" s="8">
        <v>1</v>
      </c>
      <c r="H4023" s="11">
        <v>400</v>
      </c>
      <c r="I4023" s="12">
        <v>42855</v>
      </c>
      <c r="J4023" s="35">
        <f t="shared" si="368"/>
        <v>0</v>
      </c>
      <c r="K4023" s="36"/>
      <c r="L4023" s="36"/>
      <c r="M4023" s="36"/>
      <c r="N4023" s="36"/>
      <c r="O4023" s="36"/>
      <c r="P4023" s="36"/>
      <c r="Q4023" s="36"/>
      <c r="R4023" s="36"/>
      <c r="S4023" s="36"/>
      <c r="T4023" s="36"/>
      <c r="U4023" s="36"/>
      <c r="V4023" s="36"/>
      <c r="W4023" s="15">
        <f t="shared" si="369"/>
        <v>0</v>
      </c>
      <c r="X4023" s="36"/>
      <c r="Y4023" s="36"/>
      <c r="Z4023" s="36"/>
      <c r="AA4023" s="36">
        <v>400</v>
      </c>
      <c r="AB4023" s="36"/>
      <c r="AC4023" s="36"/>
      <c r="AD4023" s="36"/>
      <c r="AE4023" s="36"/>
      <c r="AF4023" s="36"/>
      <c r="AG4023" s="36"/>
      <c r="AH4023" s="36"/>
      <c r="AI4023" s="36"/>
      <c r="AJ4023" s="15">
        <f t="shared" si="370"/>
        <v>400</v>
      </c>
      <c r="AK4023" s="14"/>
      <c r="AL4023" s="14"/>
      <c r="AM4023" s="14"/>
      <c r="AN4023" s="14"/>
      <c r="AO4023" s="14"/>
      <c r="AP4023" s="14"/>
      <c r="AQ4023" s="14"/>
      <c r="AR4023" s="14"/>
      <c r="AS4023" s="14"/>
      <c r="AT4023" s="14"/>
      <c r="AU4023" s="14"/>
      <c r="AV4023" s="14"/>
      <c r="AW4023" s="15"/>
      <c r="AX4023" s="16"/>
    </row>
    <row r="4024" spans="2:50" x14ac:dyDescent="0.2">
      <c r="B4024" s="7"/>
      <c r="C4024" s="8">
        <v>14346</v>
      </c>
      <c r="D4024" s="9" t="s">
        <v>672</v>
      </c>
      <c r="E4024" s="10" t="str">
        <f t="shared" si="366"/>
        <v>Rancho Estanzuela No. 11, B</v>
      </c>
      <c r="F4024" s="10" t="str">
        <f t="shared" si="367"/>
        <v>Gómez Miguel</v>
      </c>
      <c r="G4024" s="8">
        <v>1</v>
      </c>
      <c r="H4024" s="11">
        <v>400</v>
      </c>
      <c r="I4024" s="12">
        <v>42855</v>
      </c>
      <c r="J4024" s="35">
        <f t="shared" si="368"/>
        <v>0</v>
      </c>
      <c r="K4024" s="36"/>
      <c r="L4024" s="36"/>
      <c r="M4024" s="36"/>
      <c r="N4024" s="36"/>
      <c r="O4024" s="36"/>
      <c r="P4024" s="36"/>
      <c r="Q4024" s="36"/>
      <c r="R4024" s="36"/>
      <c r="S4024" s="36"/>
      <c r="T4024" s="36"/>
      <c r="U4024" s="36"/>
      <c r="V4024" s="36"/>
      <c r="W4024" s="15">
        <f t="shared" si="369"/>
        <v>0</v>
      </c>
      <c r="X4024" s="36"/>
      <c r="Y4024" s="36"/>
      <c r="Z4024" s="36">
        <v>200</v>
      </c>
      <c r="AA4024" s="36">
        <v>200</v>
      </c>
      <c r="AB4024" s="36"/>
      <c r="AC4024" s="36"/>
      <c r="AD4024" s="36"/>
      <c r="AE4024" s="36"/>
      <c r="AF4024" s="36"/>
      <c r="AG4024" s="36"/>
      <c r="AH4024" s="36"/>
      <c r="AI4024" s="36"/>
      <c r="AJ4024" s="15">
        <f t="shared" si="370"/>
        <v>400</v>
      </c>
      <c r="AK4024" s="14"/>
      <c r="AL4024" s="14"/>
      <c r="AM4024" s="14"/>
      <c r="AN4024" s="14"/>
      <c r="AO4024" s="14"/>
      <c r="AP4024" s="14"/>
      <c r="AQ4024" s="14"/>
      <c r="AR4024" s="14"/>
      <c r="AS4024" s="14"/>
      <c r="AT4024" s="14"/>
      <c r="AU4024" s="14"/>
      <c r="AV4024" s="14"/>
      <c r="AW4024" s="15"/>
      <c r="AX4024" s="16"/>
    </row>
    <row r="4025" spans="2:50" x14ac:dyDescent="0.2">
      <c r="B4025" s="7"/>
      <c r="C4025" s="8">
        <v>14347</v>
      </c>
      <c r="D4025" s="9" t="s">
        <v>384</v>
      </c>
      <c r="E4025" s="10" t="str">
        <f t="shared" si="366"/>
        <v>Rancho Zinamba No. 88</v>
      </c>
      <c r="F4025" s="10" t="str">
        <f t="shared" si="367"/>
        <v>Martínez</v>
      </c>
      <c r="G4025" s="8">
        <v>1</v>
      </c>
      <c r="H4025" s="11">
        <v>600</v>
      </c>
      <c r="I4025" s="12">
        <v>42855</v>
      </c>
      <c r="J4025" s="35">
        <f t="shared" si="368"/>
        <v>0</v>
      </c>
      <c r="K4025" s="36"/>
      <c r="L4025" s="36"/>
      <c r="M4025" s="36"/>
      <c r="N4025" s="36"/>
      <c r="O4025" s="36"/>
      <c r="P4025" s="36"/>
      <c r="Q4025" s="36"/>
      <c r="R4025" s="36"/>
      <c r="S4025" s="36"/>
      <c r="T4025" s="36"/>
      <c r="U4025" s="36"/>
      <c r="V4025" s="36"/>
      <c r="W4025" s="15">
        <f t="shared" si="369"/>
        <v>0</v>
      </c>
      <c r="X4025" s="36"/>
      <c r="Y4025" s="36"/>
      <c r="Z4025" s="36">
        <v>300</v>
      </c>
      <c r="AA4025" s="36">
        <v>300</v>
      </c>
      <c r="AB4025" s="36"/>
      <c r="AC4025" s="36"/>
      <c r="AD4025" s="36"/>
      <c r="AE4025" s="36"/>
      <c r="AF4025" s="36"/>
      <c r="AG4025" s="36"/>
      <c r="AH4025" s="36"/>
      <c r="AI4025" s="36"/>
      <c r="AJ4025" s="15">
        <f t="shared" si="370"/>
        <v>600</v>
      </c>
      <c r="AK4025" s="14"/>
      <c r="AL4025" s="14"/>
      <c r="AM4025" s="14"/>
      <c r="AN4025" s="14"/>
      <c r="AO4025" s="14"/>
      <c r="AP4025" s="14"/>
      <c r="AQ4025" s="14"/>
      <c r="AR4025" s="14"/>
      <c r="AS4025" s="14"/>
      <c r="AT4025" s="14"/>
      <c r="AU4025" s="14"/>
      <c r="AV4025" s="14"/>
      <c r="AW4025" s="15"/>
      <c r="AX4025" s="16"/>
    </row>
    <row r="4026" spans="2:50" x14ac:dyDescent="0.2">
      <c r="B4026" s="7"/>
      <c r="C4026" s="8">
        <v>14348</v>
      </c>
      <c r="D4026" s="9" t="s">
        <v>681</v>
      </c>
      <c r="E4026" s="10" t="str">
        <f t="shared" si="366"/>
        <v>Rancho Landero No. 87</v>
      </c>
      <c r="F4026" s="10" t="str">
        <f t="shared" si="367"/>
        <v>Fey Lafferla</v>
      </c>
      <c r="G4026" s="8">
        <v>1</v>
      </c>
      <c r="H4026" s="11">
        <v>300</v>
      </c>
      <c r="I4026" s="12">
        <v>42855</v>
      </c>
      <c r="J4026" s="35">
        <f t="shared" si="368"/>
        <v>0</v>
      </c>
      <c r="K4026" s="36"/>
      <c r="L4026" s="36"/>
      <c r="M4026" s="36"/>
      <c r="N4026" s="36"/>
      <c r="O4026" s="36"/>
      <c r="P4026" s="36"/>
      <c r="Q4026" s="36"/>
      <c r="R4026" s="36"/>
      <c r="S4026" s="36"/>
      <c r="T4026" s="36"/>
      <c r="U4026" s="36"/>
      <c r="V4026" s="36"/>
      <c r="W4026" s="15">
        <f t="shared" si="369"/>
        <v>0</v>
      </c>
      <c r="X4026" s="36"/>
      <c r="Y4026" s="36"/>
      <c r="Z4026" s="36"/>
      <c r="AA4026" s="36">
        <v>300</v>
      </c>
      <c r="AB4026" s="36"/>
      <c r="AC4026" s="36"/>
      <c r="AD4026" s="36"/>
      <c r="AE4026" s="36"/>
      <c r="AF4026" s="36"/>
      <c r="AG4026" s="36"/>
      <c r="AH4026" s="36"/>
      <c r="AI4026" s="36"/>
      <c r="AJ4026" s="15">
        <f t="shared" si="370"/>
        <v>300</v>
      </c>
      <c r="AK4026" s="14"/>
      <c r="AL4026" s="14"/>
      <c r="AM4026" s="14"/>
      <c r="AN4026" s="14"/>
      <c r="AO4026" s="14"/>
      <c r="AP4026" s="14"/>
      <c r="AQ4026" s="14"/>
      <c r="AR4026" s="14"/>
      <c r="AS4026" s="14"/>
      <c r="AT4026" s="14"/>
      <c r="AU4026" s="14"/>
      <c r="AV4026" s="14"/>
      <c r="AW4026" s="15"/>
      <c r="AX4026" s="16"/>
    </row>
    <row r="4027" spans="2:50" x14ac:dyDescent="0.2">
      <c r="B4027" s="7"/>
      <c r="C4027" s="8">
        <v>14349</v>
      </c>
      <c r="D4027" s="9" t="s">
        <v>911</v>
      </c>
      <c r="E4027" s="10" t="str">
        <f t="shared" si="366"/>
        <v>Rancho Estanzuela No. 19</v>
      </c>
      <c r="F4027" s="10" t="str">
        <f t="shared" si="367"/>
        <v>Robles</v>
      </c>
      <c r="G4027" s="8">
        <v>1</v>
      </c>
      <c r="H4027" s="11">
        <v>400</v>
      </c>
      <c r="I4027" s="12">
        <v>42855</v>
      </c>
      <c r="J4027" s="35">
        <f t="shared" si="368"/>
        <v>0</v>
      </c>
      <c r="K4027" s="36"/>
      <c r="L4027" s="36"/>
      <c r="M4027" s="36"/>
      <c r="N4027" s="36"/>
      <c r="O4027" s="36"/>
      <c r="P4027" s="36"/>
      <c r="Q4027" s="36"/>
      <c r="R4027" s="36"/>
      <c r="S4027" s="36"/>
      <c r="T4027" s="36"/>
      <c r="U4027" s="36"/>
      <c r="V4027" s="36"/>
      <c r="W4027" s="15">
        <f t="shared" si="369"/>
        <v>0</v>
      </c>
      <c r="X4027" s="36"/>
      <c r="Y4027" s="36"/>
      <c r="Z4027" s="36"/>
      <c r="AA4027" s="36">
        <v>400</v>
      </c>
      <c r="AB4027" s="36"/>
      <c r="AC4027" s="36"/>
      <c r="AD4027" s="36"/>
      <c r="AE4027" s="36"/>
      <c r="AF4027" s="36"/>
      <c r="AG4027" s="36"/>
      <c r="AH4027" s="36"/>
      <c r="AI4027" s="36"/>
      <c r="AJ4027" s="15">
        <f t="shared" si="370"/>
        <v>400</v>
      </c>
      <c r="AK4027" s="14"/>
      <c r="AL4027" s="14"/>
      <c r="AM4027" s="14"/>
      <c r="AN4027" s="14"/>
      <c r="AO4027" s="14"/>
      <c r="AP4027" s="14"/>
      <c r="AQ4027" s="14"/>
      <c r="AR4027" s="14"/>
      <c r="AS4027" s="14"/>
      <c r="AT4027" s="14"/>
      <c r="AU4027" s="14"/>
      <c r="AV4027" s="14"/>
      <c r="AW4027" s="15"/>
      <c r="AX4027" s="16"/>
    </row>
    <row r="4028" spans="2:50" x14ac:dyDescent="0.2">
      <c r="B4028" s="7"/>
      <c r="C4028" s="8">
        <v>14350</v>
      </c>
      <c r="D4028" s="9" t="s">
        <v>731</v>
      </c>
      <c r="E4028" s="10" t="str">
        <f t="shared" si="366"/>
        <v>Rancho Estanzuela No. 133</v>
      </c>
      <c r="F4028" s="10" t="str">
        <f t="shared" si="367"/>
        <v>Hernández Salazar</v>
      </c>
      <c r="G4028" s="8">
        <v>1</v>
      </c>
      <c r="H4028" s="11">
        <v>900</v>
      </c>
      <c r="I4028" s="12">
        <v>42855</v>
      </c>
      <c r="J4028" s="35">
        <f t="shared" si="368"/>
        <v>0</v>
      </c>
      <c r="K4028" s="36"/>
      <c r="L4028" s="36"/>
      <c r="M4028" s="36"/>
      <c r="N4028" s="36"/>
      <c r="O4028" s="36"/>
      <c r="P4028" s="36"/>
      <c r="Q4028" s="36"/>
      <c r="R4028" s="36"/>
      <c r="S4028" s="36"/>
      <c r="T4028" s="36"/>
      <c r="U4028" s="36"/>
      <c r="V4028" s="36"/>
      <c r="W4028" s="15">
        <f t="shared" si="369"/>
        <v>0</v>
      </c>
      <c r="X4028" s="36"/>
      <c r="Y4028" s="36">
        <v>300</v>
      </c>
      <c r="Z4028" s="36">
        <v>300</v>
      </c>
      <c r="AA4028" s="36">
        <v>300</v>
      </c>
      <c r="AB4028" s="36"/>
      <c r="AC4028" s="36"/>
      <c r="AD4028" s="36"/>
      <c r="AE4028" s="36"/>
      <c r="AF4028" s="36"/>
      <c r="AG4028" s="36"/>
      <c r="AH4028" s="36"/>
      <c r="AI4028" s="36"/>
      <c r="AJ4028" s="15">
        <f t="shared" si="370"/>
        <v>900</v>
      </c>
      <c r="AK4028" s="14"/>
      <c r="AL4028" s="14"/>
      <c r="AM4028" s="14"/>
      <c r="AN4028" s="14"/>
      <c r="AO4028" s="14"/>
      <c r="AP4028" s="14"/>
      <c r="AQ4028" s="14"/>
      <c r="AR4028" s="14"/>
      <c r="AS4028" s="14"/>
      <c r="AT4028" s="14"/>
      <c r="AU4028" s="14"/>
      <c r="AV4028" s="14"/>
      <c r="AW4028" s="15"/>
      <c r="AX4028" s="16"/>
    </row>
    <row r="4029" spans="2:50" x14ac:dyDescent="0.2">
      <c r="B4029" s="7"/>
      <c r="C4029" s="8">
        <v>14351</v>
      </c>
      <c r="D4029" s="9" t="s">
        <v>774</v>
      </c>
      <c r="E4029" s="10" t="str">
        <f t="shared" si="366"/>
        <v>Rancho Landero No. 40</v>
      </c>
      <c r="F4029" s="10" t="str">
        <f t="shared" si="367"/>
        <v>Almaguer Mireles</v>
      </c>
      <c r="G4029" s="8">
        <v>3</v>
      </c>
      <c r="H4029" s="11">
        <v>200</v>
      </c>
      <c r="I4029" s="12">
        <v>42855</v>
      </c>
      <c r="J4029" s="35">
        <f t="shared" si="368"/>
        <v>0</v>
      </c>
      <c r="K4029" s="36"/>
      <c r="L4029" s="36"/>
      <c r="M4029" s="36"/>
      <c r="N4029" s="36"/>
      <c r="O4029" s="36"/>
      <c r="P4029" s="36"/>
      <c r="Q4029" s="36"/>
      <c r="R4029" s="36"/>
      <c r="S4029" s="36"/>
      <c r="T4029" s="36"/>
      <c r="U4029" s="36"/>
      <c r="V4029" s="36"/>
      <c r="W4029" s="15">
        <f t="shared" si="369"/>
        <v>0</v>
      </c>
      <c r="X4029" s="36"/>
      <c r="Y4029" s="36"/>
      <c r="Z4029" s="36"/>
      <c r="AA4029" s="36"/>
      <c r="AB4029" s="36"/>
      <c r="AC4029" s="36"/>
      <c r="AD4029" s="36"/>
      <c r="AE4029" s="36"/>
      <c r="AF4029" s="36"/>
      <c r="AG4029" s="36"/>
      <c r="AH4029" s="36"/>
      <c r="AI4029" s="36"/>
      <c r="AJ4029" s="15">
        <f t="shared" si="370"/>
        <v>0</v>
      </c>
      <c r="AK4029" s="14"/>
      <c r="AL4029" s="14"/>
      <c r="AM4029" s="14"/>
      <c r="AN4029" s="14"/>
      <c r="AO4029" s="14"/>
      <c r="AP4029" s="14"/>
      <c r="AQ4029" s="14"/>
      <c r="AR4029" s="14"/>
      <c r="AS4029" s="14"/>
      <c r="AT4029" s="14"/>
      <c r="AU4029" s="14"/>
      <c r="AV4029" s="14"/>
      <c r="AW4029" s="15"/>
      <c r="AX4029" s="16"/>
    </row>
    <row r="4030" spans="2:50" x14ac:dyDescent="0.2">
      <c r="B4030" s="7"/>
      <c r="C4030" s="8">
        <v>14351</v>
      </c>
      <c r="D4030" s="9" t="s">
        <v>774</v>
      </c>
      <c r="E4030" s="10" t="str">
        <f t="shared" ref="E4030:E4048" si="371">IF(D4030=0,"",VLOOKUP(D4030,BASE,2,FALSE))</f>
        <v>Rancho Landero No. 40</v>
      </c>
      <c r="F4030" s="10" t="str">
        <f t="shared" ref="F4030:F4048" si="372">IF(D4030=0,"",VLOOKUP(D4030,BASE,3,FALSE))</f>
        <v>Almaguer Mireles</v>
      </c>
      <c r="G4030" s="8">
        <v>4</v>
      </c>
      <c r="H4030" s="11">
        <v>200</v>
      </c>
      <c r="I4030" s="12">
        <v>42855</v>
      </c>
      <c r="J4030" s="35">
        <f t="shared" ref="J4030:J4048" si="373">IF(G4030=1,SUM(W4030,AJ4030,-H4030),0)</f>
        <v>0</v>
      </c>
      <c r="K4030" s="36"/>
      <c r="L4030" s="36"/>
      <c r="M4030" s="36"/>
      <c r="N4030" s="36"/>
      <c r="O4030" s="36"/>
      <c r="P4030" s="36"/>
      <c r="Q4030" s="36"/>
      <c r="R4030" s="36"/>
      <c r="S4030" s="36"/>
      <c r="T4030" s="36"/>
      <c r="U4030" s="36"/>
      <c r="V4030" s="36"/>
      <c r="W4030" s="15">
        <f t="shared" ref="W4030:W4048" si="374">SUM(K4030:V4030)</f>
        <v>0</v>
      </c>
      <c r="X4030" s="36"/>
      <c r="Y4030" s="36"/>
      <c r="Z4030" s="36"/>
      <c r="AA4030" s="36"/>
      <c r="AB4030" s="36"/>
      <c r="AC4030" s="36"/>
      <c r="AD4030" s="36"/>
      <c r="AE4030" s="36"/>
      <c r="AF4030" s="36"/>
      <c r="AG4030" s="36"/>
      <c r="AH4030" s="36"/>
      <c r="AI4030" s="36"/>
      <c r="AJ4030" s="15">
        <f t="shared" ref="AJ4030:AJ4048" si="375">SUM(X4030:AI4030)</f>
        <v>0</v>
      </c>
      <c r="AK4030" s="14"/>
      <c r="AL4030" s="14"/>
      <c r="AM4030" s="14"/>
      <c r="AN4030" s="14"/>
      <c r="AO4030" s="14"/>
      <c r="AP4030" s="14"/>
      <c r="AQ4030" s="14"/>
      <c r="AR4030" s="14"/>
      <c r="AS4030" s="14"/>
      <c r="AT4030" s="14"/>
      <c r="AU4030" s="14"/>
      <c r="AV4030" s="14"/>
      <c r="AW4030" s="15"/>
      <c r="AX4030" s="16" t="s">
        <v>3952</v>
      </c>
    </row>
    <row r="4031" spans="2:50" x14ac:dyDescent="0.2">
      <c r="B4031" s="7"/>
      <c r="C4031" s="8">
        <v>14352</v>
      </c>
      <c r="D4031" s="9" t="s">
        <v>774</v>
      </c>
      <c r="E4031" s="10" t="str">
        <f t="shared" si="371"/>
        <v>Rancho Landero No. 40</v>
      </c>
      <c r="F4031" s="10" t="str">
        <f t="shared" si="372"/>
        <v>Almaguer Mireles</v>
      </c>
      <c r="G4031" s="8">
        <v>1</v>
      </c>
      <c r="H4031" s="11">
        <v>400</v>
      </c>
      <c r="I4031" s="12">
        <v>42855</v>
      </c>
      <c r="J4031" s="35">
        <f t="shared" si="373"/>
        <v>0</v>
      </c>
      <c r="K4031" s="36"/>
      <c r="L4031" s="36"/>
      <c r="M4031" s="36"/>
      <c r="N4031" s="36"/>
      <c r="O4031" s="36"/>
      <c r="P4031" s="36"/>
      <c r="Q4031" s="36"/>
      <c r="R4031" s="36"/>
      <c r="S4031" s="36"/>
      <c r="T4031" s="36"/>
      <c r="U4031" s="36"/>
      <c r="V4031" s="36"/>
      <c r="W4031" s="15">
        <f t="shared" si="374"/>
        <v>0</v>
      </c>
      <c r="X4031" s="36"/>
      <c r="Y4031" s="36">
        <v>400</v>
      </c>
      <c r="Z4031" s="36"/>
      <c r="AA4031" s="36"/>
      <c r="AB4031" s="36"/>
      <c r="AC4031" s="36"/>
      <c r="AD4031" s="36"/>
      <c r="AE4031" s="36"/>
      <c r="AF4031" s="36"/>
      <c r="AG4031" s="36"/>
      <c r="AH4031" s="36"/>
      <c r="AI4031" s="36"/>
      <c r="AJ4031" s="15">
        <f t="shared" si="375"/>
        <v>400</v>
      </c>
      <c r="AK4031" s="14"/>
      <c r="AL4031" s="14"/>
      <c r="AM4031" s="14"/>
      <c r="AN4031" s="14"/>
      <c r="AO4031" s="14"/>
      <c r="AP4031" s="14"/>
      <c r="AQ4031" s="14"/>
      <c r="AR4031" s="14"/>
      <c r="AS4031" s="14"/>
      <c r="AT4031" s="14"/>
      <c r="AU4031" s="14"/>
      <c r="AV4031" s="14"/>
      <c r="AW4031" s="15"/>
      <c r="AX4031" s="16"/>
    </row>
    <row r="4032" spans="2:50" x14ac:dyDescent="0.2">
      <c r="B4032" s="7"/>
      <c r="C4032" s="8">
        <v>14353</v>
      </c>
      <c r="D4032" s="9" t="s">
        <v>162</v>
      </c>
      <c r="E4032" s="10" t="str">
        <f t="shared" si="371"/>
        <v>Rancho La Cuchilla No. 20</v>
      </c>
      <c r="F4032" s="10" t="str">
        <f t="shared" si="372"/>
        <v>Sánchez López</v>
      </c>
      <c r="G4032" s="8">
        <v>1</v>
      </c>
      <c r="H4032" s="11">
        <v>800</v>
      </c>
      <c r="I4032" s="12">
        <v>42855</v>
      </c>
      <c r="J4032" s="35">
        <f t="shared" si="373"/>
        <v>0</v>
      </c>
      <c r="K4032" s="36"/>
      <c r="L4032" s="36"/>
      <c r="M4032" s="36"/>
      <c r="N4032" s="36"/>
      <c r="O4032" s="36"/>
      <c r="P4032" s="36"/>
      <c r="Q4032" s="36"/>
      <c r="R4032" s="36"/>
      <c r="S4032" s="36"/>
      <c r="T4032" s="36"/>
      <c r="U4032" s="36"/>
      <c r="V4032" s="36"/>
      <c r="W4032" s="15">
        <f t="shared" si="374"/>
        <v>0</v>
      </c>
      <c r="X4032" s="36"/>
      <c r="Y4032" s="36"/>
      <c r="Z4032" s="36"/>
      <c r="AA4032" s="36"/>
      <c r="AB4032" s="36">
        <v>400</v>
      </c>
      <c r="AC4032" s="36">
        <v>400</v>
      </c>
      <c r="AD4032" s="36"/>
      <c r="AE4032" s="36"/>
      <c r="AF4032" s="36"/>
      <c r="AG4032" s="36"/>
      <c r="AH4032" s="36"/>
      <c r="AI4032" s="36"/>
      <c r="AJ4032" s="15">
        <f t="shared" si="375"/>
        <v>800</v>
      </c>
      <c r="AK4032" s="14"/>
      <c r="AL4032" s="14"/>
      <c r="AM4032" s="14"/>
      <c r="AN4032" s="14"/>
      <c r="AO4032" s="14"/>
      <c r="AP4032" s="14"/>
      <c r="AQ4032" s="14"/>
      <c r="AR4032" s="14"/>
      <c r="AS4032" s="14"/>
      <c r="AT4032" s="14"/>
      <c r="AU4032" s="14"/>
      <c r="AV4032" s="14"/>
      <c r="AW4032" s="15"/>
      <c r="AX4032" s="16"/>
    </row>
    <row r="4033" spans="1:50" x14ac:dyDescent="0.2">
      <c r="B4033" s="7"/>
      <c r="C4033" s="8">
        <v>14354</v>
      </c>
      <c r="D4033" s="9" t="s">
        <v>384</v>
      </c>
      <c r="E4033" s="10" t="str">
        <f t="shared" si="371"/>
        <v>Rancho Zinamba No. 88</v>
      </c>
      <c r="F4033" s="10" t="str">
        <f t="shared" si="372"/>
        <v>Martínez</v>
      </c>
      <c r="G4033" s="8">
        <v>1</v>
      </c>
      <c r="H4033" s="11">
        <v>300</v>
      </c>
      <c r="I4033" s="12">
        <v>42855</v>
      </c>
      <c r="J4033" s="35">
        <f t="shared" si="373"/>
        <v>0</v>
      </c>
      <c r="K4033" s="36"/>
      <c r="L4033" s="36"/>
      <c r="M4033" s="36"/>
      <c r="N4033" s="36"/>
      <c r="O4033" s="36"/>
      <c r="P4033" s="36"/>
      <c r="Q4033" s="36"/>
      <c r="R4033" s="36"/>
      <c r="S4033" s="36"/>
      <c r="T4033" s="36"/>
      <c r="U4033" s="36"/>
      <c r="V4033" s="36"/>
      <c r="W4033" s="15">
        <f t="shared" si="374"/>
        <v>0</v>
      </c>
      <c r="X4033" s="36"/>
      <c r="Y4033" s="36"/>
      <c r="Z4033" s="36"/>
      <c r="AA4033" s="36"/>
      <c r="AB4033" s="36">
        <v>300</v>
      </c>
      <c r="AC4033" s="36"/>
      <c r="AD4033" s="36"/>
      <c r="AE4033" s="36"/>
      <c r="AF4033" s="36"/>
      <c r="AG4033" s="36"/>
      <c r="AH4033" s="36"/>
      <c r="AI4033" s="36"/>
      <c r="AJ4033" s="15">
        <f t="shared" si="375"/>
        <v>300</v>
      </c>
      <c r="AK4033" s="14"/>
      <c r="AL4033" s="14"/>
      <c r="AM4033" s="14"/>
      <c r="AN4033" s="14"/>
      <c r="AO4033" s="14"/>
      <c r="AP4033" s="14"/>
      <c r="AQ4033" s="14"/>
      <c r="AR4033" s="14"/>
      <c r="AS4033" s="14"/>
      <c r="AT4033" s="14"/>
      <c r="AU4033" s="14"/>
      <c r="AV4033" s="14"/>
      <c r="AW4033" s="15"/>
      <c r="AX4033" s="16"/>
    </row>
    <row r="4034" spans="1:50" x14ac:dyDescent="0.2">
      <c r="B4034" s="7"/>
      <c r="C4034" s="8">
        <v>14355</v>
      </c>
      <c r="D4034" s="9" t="s">
        <v>580</v>
      </c>
      <c r="E4034" s="10" t="str">
        <f t="shared" si="371"/>
        <v>Rancho La Cuchilla No. 59</v>
      </c>
      <c r="F4034" s="10" t="str">
        <f t="shared" si="372"/>
        <v>Ortega Vega</v>
      </c>
      <c r="G4034" s="8">
        <v>1</v>
      </c>
      <c r="H4034" s="11">
        <v>450</v>
      </c>
      <c r="I4034" s="12">
        <v>42855</v>
      </c>
      <c r="J4034" s="35">
        <f t="shared" si="373"/>
        <v>0</v>
      </c>
      <c r="K4034" s="36"/>
      <c r="L4034" s="36"/>
      <c r="M4034" s="36"/>
      <c r="N4034" s="36"/>
      <c r="O4034" s="36"/>
      <c r="P4034" s="36"/>
      <c r="Q4034" s="36"/>
      <c r="R4034" s="36"/>
      <c r="S4034" s="36"/>
      <c r="T4034" s="36"/>
      <c r="U4034" s="36"/>
      <c r="V4034" s="36"/>
      <c r="W4034" s="15">
        <f t="shared" si="374"/>
        <v>0</v>
      </c>
      <c r="X4034" s="36"/>
      <c r="Y4034" s="36"/>
      <c r="Z4034" s="36"/>
      <c r="AA4034" s="36">
        <v>150</v>
      </c>
      <c r="AB4034" s="36">
        <v>150</v>
      </c>
      <c r="AC4034" s="36">
        <v>150</v>
      </c>
      <c r="AD4034" s="36"/>
      <c r="AE4034" s="36"/>
      <c r="AF4034" s="36"/>
      <c r="AG4034" s="36"/>
      <c r="AH4034" s="36"/>
      <c r="AI4034" s="36"/>
      <c r="AJ4034" s="15">
        <f t="shared" si="375"/>
        <v>450</v>
      </c>
      <c r="AK4034" s="14"/>
      <c r="AL4034" s="14"/>
      <c r="AM4034" s="14"/>
      <c r="AN4034" s="14"/>
      <c r="AO4034" s="14"/>
      <c r="AP4034" s="14"/>
      <c r="AQ4034" s="14"/>
      <c r="AR4034" s="14"/>
      <c r="AS4034" s="14"/>
      <c r="AT4034" s="14"/>
      <c r="AU4034" s="14"/>
      <c r="AV4034" s="14"/>
      <c r="AW4034" s="15"/>
      <c r="AX4034" s="16"/>
    </row>
    <row r="4035" spans="1:50" x14ac:dyDescent="0.2">
      <c r="B4035" s="7"/>
      <c r="C4035" s="8">
        <v>14356</v>
      </c>
      <c r="D4035" s="9" t="s">
        <v>325</v>
      </c>
      <c r="E4035" s="10" t="str">
        <f t="shared" si="371"/>
        <v>Rancho Upácuaro No. 120</v>
      </c>
      <c r="F4035" s="10" t="str">
        <f t="shared" si="372"/>
        <v>Rayas Rivera</v>
      </c>
      <c r="G4035" s="8">
        <v>1</v>
      </c>
      <c r="H4035" s="11">
        <v>400</v>
      </c>
      <c r="I4035" s="12">
        <v>42855</v>
      </c>
      <c r="J4035" s="35">
        <f t="shared" si="373"/>
        <v>0</v>
      </c>
      <c r="K4035" s="36"/>
      <c r="L4035" s="36"/>
      <c r="M4035" s="36"/>
      <c r="N4035" s="36"/>
      <c r="O4035" s="36"/>
      <c r="P4035" s="36"/>
      <c r="Q4035" s="36"/>
      <c r="R4035" s="36"/>
      <c r="S4035" s="36"/>
      <c r="T4035" s="36"/>
      <c r="U4035" s="36"/>
      <c r="V4035" s="36"/>
      <c r="W4035" s="15">
        <f t="shared" si="374"/>
        <v>0</v>
      </c>
      <c r="X4035" s="36"/>
      <c r="Y4035" s="36"/>
      <c r="Z4035" s="36"/>
      <c r="AA4035" s="36"/>
      <c r="AB4035" s="36">
        <v>400</v>
      </c>
      <c r="AC4035" s="36"/>
      <c r="AD4035" s="36"/>
      <c r="AE4035" s="36"/>
      <c r="AF4035" s="36"/>
      <c r="AG4035" s="36"/>
      <c r="AH4035" s="36"/>
      <c r="AI4035" s="36"/>
      <c r="AJ4035" s="15">
        <f t="shared" si="375"/>
        <v>400</v>
      </c>
      <c r="AK4035" s="14"/>
      <c r="AL4035" s="14"/>
      <c r="AM4035" s="14"/>
      <c r="AN4035" s="14"/>
      <c r="AO4035" s="14"/>
      <c r="AP4035" s="14"/>
      <c r="AQ4035" s="14"/>
      <c r="AR4035" s="14"/>
      <c r="AS4035" s="14"/>
      <c r="AT4035" s="14"/>
      <c r="AU4035" s="14"/>
      <c r="AV4035" s="14"/>
      <c r="AW4035" s="15"/>
      <c r="AX4035" s="16"/>
    </row>
    <row r="4036" spans="1:50" x14ac:dyDescent="0.2">
      <c r="B4036" s="7"/>
      <c r="C4036" s="8">
        <v>14357</v>
      </c>
      <c r="D4036" s="9" t="s">
        <v>1167</v>
      </c>
      <c r="E4036" s="10" t="str">
        <f t="shared" si="371"/>
        <v>Rancho Landero No. 53</v>
      </c>
      <c r="F4036" s="10" t="str">
        <f t="shared" si="372"/>
        <v>Hernàndez Martìnez</v>
      </c>
      <c r="G4036" s="8">
        <v>1</v>
      </c>
      <c r="H4036" s="11">
        <v>800</v>
      </c>
      <c r="I4036" s="12">
        <v>42855</v>
      </c>
      <c r="J4036" s="35">
        <f t="shared" si="373"/>
        <v>0</v>
      </c>
      <c r="K4036" s="36"/>
      <c r="L4036" s="36"/>
      <c r="M4036" s="36"/>
      <c r="N4036" s="36"/>
      <c r="O4036" s="36"/>
      <c r="P4036" s="36"/>
      <c r="Q4036" s="36"/>
      <c r="R4036" s="36"/>
      <c r="S4036" s="36"/>
      <c r="T4036" s="36"/>
      <c r="U4036" s="36"/>
      <c r="V4036" s="36"/>
      <c r="W4036" s="15">
        <f t="shared" si="374"/>
        <v>0</v>
      </c>
      <c r="X4036" s="36"/>
      <c r="Y4036" s="36"/>
      <c r="Z4036" s="36">
        <v>400</v>
      </c>
      <c r="AA4036" s="36">
        <v>400</v>
      </c>
      <c r="AB4036" s="36"/>
      <c r="AC4036" s="36"/>
      <c r="AD4036" s="36"/>
      <c r="AE4036" s="36"/>
      <c r="AF4036" s="36"/>
      <c r="AG4036" s="36"/>
      <c r="AH4036" s="36"/>
      <c r="AI4036" s="36"/>
      <c r="AJ4036" s="15">
        <f t="shared" si="375"/>
        <v>800</v>
      </c>
      <c r="AK4036" s="14"/>
      <c r="AL4036" s="14"/>
      <c r="AM4036" s="14"/>
      <c r="AN4036" s="14"/>
      <c r="AO4036" s="14"/>
      <c r="AP4036" s="14"/>
      <c r="AQ4036" s="14"/>
      <c r="AR4036" s="14"/>
      <c r="AS4036" s="14"/>
      <c r="AT4036" s="14"/>
      <c r="AU4036" s="14"/>
      <c r="AV4036" s="14"/>
      <c r="AW4036" s="15"/>
      <c r="AX4036" s="16"/>
    </row>
    <row r="4037" spans="1:50" x14ac:dyDescent="0.2">
      <c r="B4037" s="7"/>
      <c r="C4037" s="8">
        <v>14357</v>
      </c>
      <c r="D4037" s="9" t="s">
        <v>1167</v>
      </c>
      <c r="E4037" s="10" t="str">
        <f t="shared" si="371"/>
        <v>Rancho Landero No. 53</v>
      </c>
      <c r="F4037" s="10" t="str">
        <f t="shared" si="372"/>
        <v>Hernàndez Martìnez</v>
      </c>
      <c r="G4037" s="8">
        <v>7</v>
      </c>
      <c r="H4037" s="11">
        <v>100</v>
      </c>
      <c r="I4037" s="12">
        <v>42855</v>
      </c>
      <c r="J4037" s="35">
        <f t="shared" si="373"/>
        <v>0</v>
      </c>
      <c r="K4037" s="36"/>
      <c r="L4037" s="36"/>
      <c r="M4037" s="36"/>
      <c r="N4037" s="36"/>
      <c r="O4037" s="36"/>
      <c r="P4037" s="36"/>
      <c r="Q4037" s="36"/>
      <c r="R4037" s="36"/>
      <c r="S4037" s="36"/>
      <c r="T4037" s="36"/>
      <c r="U4037" s="36"/>
      <c r="V4037" s="36"/>
      <c r="W4037" s="15">
        <f t="shared" si="374"/>
        <v>0</v>
      </c>
      <c r="X4037" s="36"/>
      <c r="Y4037" s="36"/>
      <c r="Z4037" s="36"/>
      <c r="AA4037" s="36"/>
      <c r="AB4037" s="36"/>
      <c r="AC4037" s="36"/>
      <c r="AD4037" s="36"/>
      <c r="AE4037" s="36"/>
      <c r="AF4037" s="36"/>
      <c r="AG4037" s="36"/>
      <c r="AH4037" s="36"/>
      <c r="AI4037" s="36"/>
      <c r="AJ4037" s="15">
        <f t="shared" si="375"/>
        <v>0</v>
      </c>
      <c r="AK4037" s="14"/>
      <c r="AL4037" s="14"/>
      <c r="AM4037" s="14"/>
      <c r="AN4037" s="14"/>
      <c r="AO4037" s="14"/>
      <c r="AP4037" s="14"/>
      <c r="AQ4037" s="14"/>
      <c r="AR4037" s="14"/>
      <c r="AS4037" s="14"/>
      <c r="AT4037" s="14"/>
      <c r="AU4037" s="14"/>
      <c r="AV4037" s="14"/>
      <c r="AW4037" s="15"/>
      <c r="AX4037" s="16" t="s">
        <v>3858</v>
      </c>
    </row>
    <row r="4038" spans="1:50" x14ac:dyDescent="0.2">
      <c r="B4038" s="7"/>
      <c r="C4038" s="8">
        <v>14358</v>
      </c>
      <c r="D4038" s="9" t="s">
        <v>740</v>
      </c>
      <c r="E4038" s="10" t="str">
        <f t="shared" si="371"/>
        <v>Rancho Upácuaro No. 65</v>
      </c>
      <c r="F4038" s="10" t="str">
        <f t="shared" si="372"/>
        <v>Cruz González</v>
      </c>
      <c r="G4038" s="8">
        <v>1</v>
      </c>
      <c r="H4038" s="11">
        <v>800</v>
      </c>
      <c r="I4038" s="12">
        <v>42855</v>
      </c>
      <c r="J4038" s="35">
        <f t="shared" si="373"/>
        <v>0</v>
      </c>
      <c r="K4038" s="36"/>
      <c r="L4038" s="36"/>
      <c r="M4038" s="36"/>
      <c r="N4038" s="36"/>
      <c r="O4038" s="36"/>
      <c r="P4038" s="36"/>
      <c r="Q4038" s="36"/>
      <c r="R4038" s="36"/>
      <c r="S4038" s="36"/>
      <c r="T4038" s="36"/>
      <c r="U4038" s="36"/>
      <c r="V4038" s="36"/>
      <c r="W4038" s="15">
        <f t="shared" si="374"/>
        <v>0</v>
      </c>
      <c r="X4038" s="36"/>
      <c r="Y4038" s="36"/>
      <c r="Z4038" s="36">
        <v>400</v>
      </c>
      <c r="AA4038" s="36">
        <v>400</v>
      </c>
      <c r="AB4038" s="36"/>
      <c r="AC4038" s="36"/>
      <c r="AD4038" s="36"/>
      <c r="AE4038" s="36"/>
      <c r="AF4038" s="36"/>
      <c r="AG4038" s="36"/>
      <c r="AH4038" s="36"/>
      <c r="AI4038" s="36"/>
      <c r="AJ4038" s="15">
        <f t="shared" si="375"/>
        <v>800</v>
      </c>
      <c r="AK4038" s="14"/>
      <c r="AL4038" s="14"/>
      <c r="AM4038" s="14"/>
      <c r="AN4038" s="14"/>
      <c r="AO4038" s="14"/>
      <c r="AP4038" s="14"/>
      <c r="AQ4038" s="14"/>
      <c r="AR4038" s="14"/>
      <c r="AS4038" s="14"/>
      <c r="AT4038" s="14"/>
      <c r="AU4038" s="14"/>
      <c r="AV4038" s="14"/>
      <c r="AW4038" s="15"/>
      <c r="AX4038" s="16"/>
    </row>
    <row r="4039" spans="1:50" x14ac:dyDescent="0.2">
      <c r="B4039" s="7"/>
      <c r="C4039" s="8">
        <v>14359</v>
      </c>
      <c r="D4039" s="9" t="s">
        <v>3178</v>
      </c>
      <c r="E4039" s="10" t="str">
        <f t="shared" si="371"/>
        <v>Rancho La Cuchilla No. 103</v>
      </c>
      <c r="F4039" s="10" t="str">
        <f t="shared" si="372"/>
        <v>Bernal</v>
      </c>
      <c r="G4039" s="8">
        <v>1</v>
      </c>
      <c r="H4039" s="11">
        <v>500</v>
      </c>
      <c r="I4039" s="12">
        <v>42855</v>
      </c>
      <c r="J4039" s="35">
        <f t="shared" si="373"/>
        <v>0</v>
      </c>
      <c r="K4039" s="36"/>
      <c r="L4039" s="36"/>
      <c r="M4039" s="36"/>
      <c r="N4039" s="36"/>
      <c r="O4039" s="36"/>
      <c r="P4039" s="36"/>
      <c r="Q4039" s="36"/>
      <c r="R4039" s="36"/>
      <c r="S4039" s="36"/>
      <c r="T4039" s="36"/>
      <c r="U4039" s="36"/>
      <c r="V4039" s="36"/>
      <c r="W4039" s="15">
        <f t="shared" si="374"/>
        <v>0</v>
      </c>
      <c r="X4039" s="36"/>
      <c r="Y4039" s="36"/>
      <c r="Z4039" s="36"/>
      <c r="AA4039" s="36"/>
      <c r="AB4039" s="36">
        <v>500</v>
      </c>
      <c r="AC4039" s="36"/>
      <c r="AD4039" s="36"/>
      <c r="AE4039" s="36"/>
      <c r="AF4039" s="36"/>
      <c r="AG4039" s="36"/>
      <c r="AH4039" s="36"/>
      <c r="AI4039" s="36"/>
      <c r="AJ4039" s="15">
        <f t="shared" si="375"/>
        <v>500</v>
      </c>
      <c r="AK4039" s="14"/>
      <c r="AL4039" s="14"/>
      <c r="AM4039" s="14"/>
      <c r="AN4039" s="14"/>
      <c r="AO4039" s="14"/>
      <c r="AP4039" s="14"/>
      <c r="AQ4039" s="14"/>
      <c r="AR4039" s="14"/>
      <c r="AS4039" s="14"/>
      <c r="AT4039" s="14"/>
      <c r="AU4039" s="14"/>
      <c r="AV4039" s="14"/>
      <c r="AW4039" s="15"/>
      <c r="AX4039" s="316">
        <f>SUM(H3986:H4039)</f>
        <v>24750</v>
      </c>
    </row>
    <row r="4040" spans="1:50" x14ac:dyDescent="0.2">
      <c r="A4040" s="320" t="s">
        <v>2881</v>
      </c>
      <c r="B4040" s="7"/>
      <c r="C4040" s="8">
        <v>14402</v>
      </c>
      <c r="D4040" s="9" t="s">
        <v>211</v>
      </c>
      <c r="E4040" s="10" t="str">
        <f t="shared" si="371"/>
        <v>Rancho Upácuaro No. 46</v>
      </c>
      <c r="F4040" s="10" t="str">
        <f t="shared" si="372"/>
        <v>Fuentes</v>
      </c>
      <c r="G4040" s="8">
        <v>1</v>
      </c>
      <c r="H4040" s="11">
        <v>300</v>
      </c>
      <c r="I4040" s="12">
        <v>42832</v>
      </c>
      <c r="J4040" s="35">
        <f t="shared" si="373"/>
        <v>0</v>
      </c>
      <c r="K4040" s="36"/>
      <c r="L4040" s="36"/>
      <c r="M4040" s="36"/>
      <c r="N4040" s="36"/>
      <c r="O4040" s="36"/>
      <c r="P4040" s="36"/>
      <c r="Q4040" s="36"/>
      <c r="R4040" s="36"/>
      <c r="S4040" s="36"/>
      <c r="T4040" s="36"/>
      <c r="U4040" s="36"/>
      <c r="V4040" s="36"/>
      <c r="W4040" s="15">
        <f t="shared" si="374"/>
        <v>0</v>
      </c>
      <c r="X4040" s="36"/>
      <c r="Y4040" s="36"/>
      <c r="Z4040" s="36"/>
      <c r="AA4040" s="36">
        <v>300</v>
      </c>
      <c r="AB4040" s="36"/>
      <c r="AC4040" s="36"/>
      <c r="AD4040" s="36"/>
      <c r="AE4040" s="36"/>
      <c r="AF4040" s="36"/>
      <c r="AG4040" s="36"/>
      <c r="AH4040" s="36"/>
      <c r="AI4040" s="36"/>
      <c r="AJ4040" s="15">
        <f t="shared" si="375"/>
        <v>300</v>
      </c>
      <c r="AK4040" s="14"/>
      <c r="AL4040" s="14"/>
      <c r="AM4040" s="14"/>
      <c r="AN4040" s="14"/>
      <c r="AO4040" s="14"/>
      <c r="AP4040" s="14"/>
      <c r="AQ4040" s="14"/>
      <c r="AR4040" s="14"/>
      <c r="AS4040" s="14"/>
      <c r="AT4040" s="14"/>
      <c r="AU4040" s="14"/>
      <c r="AV4040" s="14"/>
      <c r="AW4040" s="15"/>
      <c r="AX4040" s="16"/>
    </row>
    <row r="4041" spans="1:50" x14ac:dyDescent="0.2">
      <c r="B4041" s="7"/>
      <c r="C4041" s="8">
        <v>14403</v>
      </c>
      <c r="D4041" s="9" t="s">
        <v>208</v>
      </c>
      <c r="E4041" s="10" t="str">
        <f t="shared" si="371"/>
        <v>Rancho La Cuchilla No. 29</v>
      </c>
      <c r="F4041" s="10" t="str">
        <f t="shared" si="372"/>
        <v>Vega Sánchez C.</v>
      </c>
      <c r="G4041" s="8">
        <v>1</v>
      </c>
      <c r="H4041" s="11">
        <v>400</v>
      </c>
      <c r="I4041" s="12">
        <v>42832</v>
      </c>
      <c r="J4041" s="35">
        <f t="shared" si="373"/>
        <v>0</v>
      </c>
      <c r="K4041" s="36"/>
      <c r="L4041" s="36"/>
      <c r="M4041" s="36"/>
      <c r="N4041" s="36"/>
      <c r="O4041" s="36"/>
      <c r="P4041" s="36"/>
      <c r="Q4041" s="36"/>
      <c r="R4041" s="36"/>
      <c r="S4041" s="36"/>
      <c r="T4041" s="36"/>
      <c r="U4041" s="36"/>
      <c r="V4041" s="36"/>
      <c r="W4041" s="15">
        <f t="shared" si="374"/>
        <v>0</v>
      </c>
      <c r="X4041" s="36"/>
      <c r="Y4041" s="36"/>
      <c r="Z4041" s="36"/>
      <c r="AA4041" s="36">
        <v>400</v>
      </c>
      <c r="AB4041" s="36"/>
      <c r="AC4041" s="36"/>
      <c r="AD4041" s="36"/>
      <c r="AE4041" s="36"/>
      <c r="AF4041" s="36"/>
      <c r="AG4041" s="36"/>
      <c r="AH4041" s="36"/>
      <c r="AI4041" s="36"/>
      <c r="AJ4041" s="15">
        <f t="shared" si="375"/>
        <v>400</v>
      </c>
      <c r="AK4041" s="14"/>
      <c r="AL4041" s="14"/>
      <c r="AM4041" s="14"/>
      <c r="AN4041" s="14"/>
      <c r="AO4041" s="14"/>
      <c r="AP4041" s="14"/>
      <c r="AQ4041" s="14"/>
      <c r="AR4041" s="14"/>
      <c r="AS4041" s="14"/>
      <c r="AT4041" s="14"/>
      <c r="AU4041" s="14"/>
      <c r="AV4041" s="14"/>
      <c r="AW4041" s="15"/>
      <c r="AX4041" s="16"/>
    </row>
    <row r="4042" spans="1:50" x14ac:dyDescent="0.2">
      <c r="B4042" s="7"/>
      <c r="C4042" s="8"/>
      <c r="D4042" s="9" t="s">
        <v>806</v>
      </c>
      <c r="E4042" s="10" t="str">
        <f t="shared" si="371"/>
        <v>Rancho Estanzuela No. 130, A</v>
      </c>
      <c r="F4042" s="10" t="str">
        <f t="shared" si="372"/>
        <v>Colegio Carmel</v>
      </c>
      <c r="G4042" s="8">
        <v>1</v>
      </c>
      <c r="H4042" s="11">
        <v>11000</v>
      </c>
      <c r="I4042" s="12">
        <v>42849</v>
      </c>
      <c r="J4042" s="35">
        <f t="shared" si="373"/>
        <v>0</v>
      </c>
      <c r="K4042" s="36"/>
      <c r="L4042" s="36"/>
      <c r="M4042" s="36"/>
      <c r="N4042" s="36"/>
      <c r="O4042" s="36"/>
      <c r="P4042" s="36"/>
      <c r="Q4042" s="36"/>
      <c r="R4042" s="36"/>
      <c r="S4042" s="36"/>
      <c r="T4042" s="36"/>
      <c r="U4042" s="36"/>
      <c r="V4042" s="36"/>
      <c r="W4042" s="15">
        <f t="shared" si="374"/>
        <v>0</v>
      </c>
      <c r="X4042" s="36"/>
      <c r="Y4042" s="36"/>
      <c r="Z4042" s="36"/>
      <c r="AA4042" s="36">
        <v>11000</v>
      </c>
      <c r="AB4042" s="36"/>
      <c r="AC4042" s="36"/>
      <c r="AD4042" s="36"/>
      <c r="AE4042" s="36"/>
      <c r="AF4042" s="36"/>
      <c r="AG4042" s="36"/>
      <c r="AH4042" s="36"/>
      <c r="AI4042" s="36"/>
      <c r="AJ4042" s="15">
        <f t="shared" si="375"/>
        <v>11000</v>
      </c>
      <c r="AK4042" s="14"/>
      <c r="AL4042" s="14"/>
      <c r="AM4042" s="14"/>
      <c r="AN4042" s="14"/>
      <c r="AO4042" s="14"/>
      <c r="AP4042" s="14"/>
      <c r="AQ4042" s="14"/>
      <c r="AR4042" s="14"/>
      <c r="AS4042" s="14"/>
      <c r="AT4042" s="14"/>
      <c r="AU4042" s="14"/>
      <c r="AV4042" s="14"/>
      <c r="AW4042" s="15"/>
      <c r="AX4042" s="16"/>
    </row>
    <row r="4043" spans="1:50" x14ac:dyDescent="0.2">
      <c r="B4043" s="7"/>
      <c r="C4043" s="8"/>
      <c r="D4043" s="9"/>
      <c r="E4043" s="10" t="str">
        <f t="shared" si="371"/>
        <v/>
      </c>
      <c r="F4043" s="10" t="str">
        <f t="shared" si="372"/>
        <v/>
      </c>
      <c r="G4043" s="8"/>
      <c r="H4043" s="11"/>
      <c r="I4043" s="12"/>
      <c r="J4043" s="35">
        <f t="shared" si="373"/>
        <v>0</v>
      </c>
      <c r="K4043" s="36"/>
      <c r="L4043" s="36"/>
      <c r="M4043" s="36"/>
      <c r="N4043" s="36"/>
      <c r="O4043" s="36"/>
      <c r="P4043" s="36"/>
      <c r="Q4043" s="36"/>
      <c r="R4043" s="36"/>
      <c r="S4043" s="36"/>
      <c r="T4043" s="36"/>
      <c r="U4043" s="36"/>
      <c r="V4043" s="36"/>
      <c r="W4043" s="15">
        <f t="shared" si="374"/>
        <v>0</v>
      </c>
      <c r="X4043" s="36"/>
      <c r="Y4043" s="36"/>
      <c r="Z4043" s="36"/>
      <c r="AA4043" s="36"/>
      <c r="AB4043" s="36"/>
      <c r="AC4043" s="36"/>
      <c r="AD4043" s="36"/>
      <c r="AE4043" s="36"/>
      <c r="AF4043" s="36"/>
      <c r="AG4043" s="36"/>
      <c r="AH4043" s="36"/>
      <c r="AI4043" s="36"/>
      <c r="AJ4043" s="15">
        <f t="shared" si="375"/>
        <v>0</v>
      </c>
      <c r="AK4043" s="14"/>
      <c r="AL4043" s="14"/>
      <c r="AM4043" s="14"/>
      <c r="AN4043" s="14"/>
      <c r="AO4043" s="14"/>
      <c r="AP4043" s="14"/>
      <c r="AQ4043" s="14"/>
      <c r="AR4043" s="14"/>
      <c r="AS4043" s="14"/>
      <c r="AT4043" s="14"/>
      <c r="AU4043" s="14"/>
      <c r="AV4043" s="14"/>
      <c r="AW4043" s="15"/>
      <c r="AX4043" s="316">
        <f>SUM(H3787:H4042)</f>
        <v>113829</v>
      </c>
    </row>
    <row r="4044" spans="1:50" x14ac:dyDescent="0.2">
      <c r="B4044" s="7"/>
      <c r="C4044" s="8"/>
      <c r="D4044" s="9"/>
      <c r="E4044" s="10" t="str">
        <f t="shared" si="371"/>
        <v/>
      </c>
      <c r="F4044" s="10" t="str">
        <f t="shared" si="372"/>
        <v/>
      </c>
      <c r="G4044" s="8"/>
      <c r="H4044" s="11"/>
      <c r="I4044" s="12"/>
      <c r="J4044" s="35">
        <f t="shared" si="373"/>
        <v>0</v>
      </c>
      <c r="K4044" s="36"/>
      <c r="L4044" s="36"/>
      <c r="M4044" s="36"/>
      <c r="N4044" s="36"/>
      <c r="O4044" s="36"/>
      <c r="P4044" s="36"/>
      <c r="Q4044" s="36"/>
      <c r="R4044" s="36"/>
      <c r="S4044" s="36"/>
      <c r="T4044" s="36"/>
      <c r="U4044" s="36"/>
      <c r="V4044" s="36"/>
      <c r="W4044" s="15">
        <f t="shared" si="374"/>
        <v>0</v>
      </c>
      <c r="X4044" s="36"/>
      <c r="Y4044" s="36"/>
      <c r="Z4044" s="36"/>
      <c r="AA4044" s="36"/>
      <c r="AB4044" s="36"/>
      <c r="AC4044" s="36"/>
      <c r="AD4044" s="36"/>
      <c r="AE4044" s="36"/>
      <c r="AF4044" s="36"/>
      <c r="AG4044" s="36"/>
      <c r="AH4044" s="36"/>
      <c r="AI4044" s="36"/>
      <c r="AJ4044" s="15">
        <f t="shared" si="375"/>
        <v>0</v>
      </c>
      <c r="AK4044" s="14"/>
      <c r="AL4044" s="14"/>
      <c r="AM4044" s="14"/>
      <c r="AN4044" s="14"/>
      <c r="AO4044" s="14"/>
      <c r="AP4044" s="14"/>
      <c r="AQ4044" s="14"/>
      <c r="AR4044" s="14"/>
      <c r="AS4044" s="14"/>
      <c r="AT4044" s="14"/>
      <c r="AU4044" s="14"/>
      <c r="AV4044" s="14"/>
      <c r="AW4044" s="15"/>
      <c r="AX4044" s="16"/>
    </row>
    <row r="4045" spans="1:50" ht="22.5" x14ac:dyDescent="0.2">
      <c r="A4045" s="2"/>
      <c r="B4045" s="3" t="s">
        <v>1</v>
      </c>
      <c r="C4045" s="3" t="s">
        <v>2</v>
      </c>
      <c r="D4045" s="3" t="s">
        <v>3</v>
      </c>
      <c r="E4045" s="337" t="s">
        <v>4</v>
      </c>
      <c r="F4045" s="337" t="s">
        <v>5</v>
      </c>
      <c r="G4045" s="3" t="s">
        <v>6</v>
      </c>
      <c r="H4045" s="3" t="s">
        <v>7</v>
      </c>
      <c r="I4045" s="3" t="s">
        <v>8</v>
      </c>
      <c r="J4045" s="337" t="s">
        <v>9</v>
      </c>
      <c r="K4045" s="4" t="s">
        <v>10</v>
      </c>
      <c r="L4045" s="4" t="s">
        <v>11</v>
      </c>
      <c r="M4045" s="4" t="s">
        <v>12</v>
      </c>
      <c r="N4045" s="4" t="s">
        <v>13</v>
      </c>
      <c r="O4045" s="4" t="s">
        <v>14</v>
      </c>
      <c r="P4045" s="4" t="s">
        <v>15</v>
      </c>
      <c r="Q4045" s="4" t="s">
        <v>16</v>
      </c>
      <c r="R4045" s="4" t="s">
        <v>17</v>
      </c>
      <c r="S4045" s="4" t="s">
        <v>18</v>
      </c>
      <c r="T4045" s="4" t="s">
        <v>19</v>
      </c>
      <c r="U4045" s="4" t="s">
        <v>20</v>
      </c>
      <c r="V4045" s="4" t="s">
        <v>21</v>
      </c>
      <c r="W4045" s="338" t="s">
        <v>22</v>
      </c>
      <c r="X4045" s="4" t="s">
        <v>23</v>
      </c>
      <c r="Y4045" s="4" t="s">
        <v>24</v>
      </c>
      <c r="Z4045" s="4" t="s">
        <v>25</v>
      </c>
      <c r="AA4045" s="4" t="s">
        <v>26</v>
      </c>
      <c r="AB4045" s="4" t="s">
        <v>27</v>
      </c>
      <c r="AC4045" s="4" t="s">
        <v>28</v>
      </c>
      <c r="AD4045" s="4" t="s">
        <v>29</v>
      </c>
      <c r="AE4045" s="4" t="s">
        <v>30</v>
      </c>
      <c r="AF4045" s="4" t="s">
        <v>31</v>
      </c>
      <c r="AG4045" s="4" t="s">
        <v>32</v>
      </c>
      <c r="AH4045" s="4" t="s">
        <v>33</v>
      </c>
      <c r="AI4045" s="4" t="s">
        <v>34</v>
      </c>
      <c r="AJ4045" s="338" t="s">
        <v>35</v>
      </c>
      <c r="AK4045" s="4" t="s">
        <v>4607</v>
      </c>
      <c r="AL4045" s="4" t="s">
        <v>4608</v>
      </c>
      <c r="AM4045" s="4" t="s">
        <v>4609</v>
      </c>
      <c r="AN4045" s="4" t="s">
        <v>4610</v>
      </c>
      <c r="AO4045" s="4" t="s">
        <v>4611</v>
      </c>
      <c r="AP4045" s="4" t="s">
        <v>4612</v>
      </c>
      <c r="AQ4045" s="4" t="s">
        <v>4613</v>
      </c>
      <c r="AR4045" s="4" t="s">
        <v>4614</v>
      </c>
      <c r="AS4045" s="4" t="s">
        <v>4615</v>
      </c>
      <c r="AT4045" s="4" t="s">
        <v>4616</v>
      </c>
      <c r="AU4045" s="4" t="s">
        <v>4617</v>
      </c>
      <c r="AV4045" s="4" t="s">
        <v>4618</v>
      </c>
      <c r="AW4045" s="338" t="s">
        <v>4619</v>
      </c>
      <c r="AX4045" s="6" t="s">
        <v>36</v>
      </c>
    </row>
    <row r="4046" spans="1:50" x14ac:dyDescent="0.2">
      <c r="B4046" s="7"/>
      <c r="C4046" s="8">
        <v>14360</v>
      </c>
      <c r="D4046" s="9" t="s">
        <v>346</v>
      </c>
      <c r="E4046" s="10" t="str">
        <f t="shared" si="371"/>
        <v>Rancho Upácuaro No. 108</v>
      </c>
      <c r="F4046" s="10" t="str">
        <f t="shared" si="372"/>
        <v>Mejía</v>
      </c>
      <c r="G4046" s="8">
        <v>3</v>
      </c>
      <c r="H4046" s="11">
        <v>200</v>
      </c>
      <c r="I4046" s="12">
        <v>42861</v>
      </c>
      <c r="J4046" s="35">
        <f t="shared" si="373"/>
        <v>0</v>
      </c>
      <c r="K4046" s="36"/>
      <c r="L4046" s="36"/>
      <c r="M4046" s="36"/>
      <c r="N4046" s="36"/>
      <c r="O4046" s="36"/>
      <c r="P4046" s="36"/>
      <c r="Q4046" s="36"/>
      <c r="R4046" s="36"/>
      <c r="S4046" s="36"/>
      <c r="T4046" s="36"/>
      <c r="U4046" s="36"/>
      <c r="V4046" s="36"/>
      <c r="W4046" s="15">
        <f t="shared" si="374"/>
        <v>0</v>
      </c>
      <c r="X4046" s="36"/>
      <c r="Y4046" s="36"/>
      <c r="Z4046" s="36"/>
      <c r="AA4046" s="36"/>
      <c r="AB4046" s="36"/>
      <c r="AC4046" s="36"/>
      <c r="AD4046" s="36"/>
      <c r="AE4046" s="36"/>
      <c r="AF4046" s="36"/>
      <c r="AG4046" s="36"/>
      <c r="AH4046" s="36"/>
      <c r="AI4046" s="36"/>
      <c r="AJ4046" s="15">
        <f t="shared" si="375"/>
        <v>0</v>
      </c>
      <c r="AK4046" s="14"/>
      <c r="AL4046" s="14"/>
      <c r="AM4046" s="14"/>
      <c r="AN4046" s="14"/>
      <c r="AO4046" s="14"/>
      <c r="AP4046" s="14"/>
      <c r="AQ4046" s="14"/>
      <c r="AR4046" s="14"/>
      <c r="AS4046" s="14"/>
      <c r="AT4046" s="14"/>
      <c r="AU4046" s="14"/>
      <c r="AV4046" s="14"/>
      <c r="AW4046" s="15"/>
      <c r="AX4046" s="16"/>
    </row>
    <row r="4047" spans="1:50" x14ac:dyDescent="0.2">
      <c r="B4047" s="7"/>
      <c r="C4047" s="8">
        <v>14361</v>
      </c>
      <c r="D4047" s="9"/>
      <c r="E4047" s="10" t="str">
        <f t="shared" si="371"/>
        <v/>
      </c>
      <c r="F4047" s="10" t="str">
        <f t="shared" si="372"/>
        <v/>
      </c>
      <c r="G4047" s="8">
        <v>8</v>
      </c>
      <c r="H4047" s="11"/>
      <c r="I4047" s="12"/>
      <c r="J4047" s="35">
        <f t="shared" si="373"/>
        <v>0</v>
      </c>
      <c r="K4047" s="36"/>
      <c r="L4047" s="36"/>
      <c r="M4047" s="36"/>
      <c r="N4047" s="36"/>
      <c r="O4047" s="36"/>
      <c r="P4047" s="36"/>
      <c r="Q4047" s="36"/>
      <c r="R4047" s="36"/>
      <c r="S4047" s="36"/>
      <c r="T4047" s="36"/>
      <c r="U4047" s="36"/>
      <c r="V4047" s="36"/>
      <c r="W4047" s="15">
        <f t="shared" si="374"/>
        <v>0</v>
      </c>
      <c r="X4047" s="36"/>
      <c r="Y4047" s="36"/>
      <c r="Z4047" s="36"/>
      <c r="AA4047" s="36"/>
      <c r="AB4047" s="36"/>
      <c r="AC4047" s="36"/>
      <c r="AD4047" s="36"/>
      <c r="AE4047" s="36"/>
      <c r="AF4047" s="36"/>
      <c r="AG4047" s="36"/>
      <c r="AH4047" s="36"/>
      <c r="AI4047" s="36"/>
      <c r="AJ4047" s="15">
        <f t="shared" si="375"/>
        <v>0</v>
      </c>
      <c r="AK4047" s="14"/>
      <c r="AL4047" s="14"/>
      <c r="AM4047" s="14"/>
      <c r="AN4047" s="14"/>
      <c r="AO4047" s="14"/>
      <c r="AP4047" s="14"/>
      <c r="AQ4047" s="14"/>
      <c r="AR4047" s="14"/>
      <c r="AS4047" s="14"/>
      <c r="AT4047" s="14"/>
      <c r="AU4047" s="14"/>
      <c r="AV4047" s="14"/>
      <c r="AW4047" s="15"/>
      <c r="AX4047" s="16"/>
    </row>
    <row r="4048" spans="1:50" x14ac:dyDescent="0.2">
      <c r="B4048" s="7"/>
      <c r="C4048" s="8">
        <v>14362</v>
      </c>
      <c r="D4048" s="9" t="s">
        <v>205</v>
      </c>
      <c r="E4048" s="10" t="str">
        <f t="shared" si="371"/>
        <v>Rancho Landero No. 1, A</v>
      </c>
      <c r="F4048" s="10" t="str">
        <f t="shared" si="372"/>
        <v>Ebysos</v>
      </c>
      <c r="G4048" s="8">
        <v>1</v>
      </c>
      <c r="H4048" s="11">
        <v>600</v>
      </c>
      <c r="I4048" s="12">
        <v>42859</v>
      </c>
      <c r="J4048" s="35">
        <f t="shared" si="373"/>
        <v>0</v>
      </c>
      <c r="K4048" s="36"/>
      <c r="L4048" s="36"/>
      <c r="M4048" s="36"/>
      <c r="N4048" s="36"/>
      <c r="O4048" s="36"/>
      <c r="P4048" s="36"/>
      <c r="Q4048" s="36"/>
      <c r="R4048" s="36"/>
      <c r="S4048" s="36"/>
      <c r="T4048" s="36"/>
      <c r="U4048" s="36"/>
      <c r="V4048" s="36"/>
      <c r="W4048" s="15">
        <f t="shared" si="374"/>
        <v>0</v>
      </c>
      <c r="X4048" s="36"/>
      <c r="Y4048" s="36"/>
      <c r="Z4048" s="36"/>
      <c r="AA4048" s="36">
        <v>600</v>
      </c>
      <c r="AB4048" s="36"/>
      <c r="AC4048" s="36"/>
      <c r="AD4048" s="36"/>
      <c r="AE4048" s="36"/>
      <c r="AF4048" s="36"/>
      <c r="AG4048" s="36"/>
      <c r="AH4048" s="36"/>
      <c r="AI4048" s="36"/>
      <c r="AJ4048" s="15">
        <f t="shared" si="375"/>
        <v>600</v>
      </c>
      <c r="AK4048" s="14"/>
      <c r="AL4048" s="14"/>
      <c r="AM4048" s="14"/>
      <c r="AN4048" s="14"/>
      <c r="AO4048" s="14"/>
      <c r="AP4048" s="14"/>
      <c r="AQ4048" s="14"/>
      <c r="AR4048" s="14"/>
      <c r="AS4048" s="14"/>
      <c r="AT4048" s="14"/>
      <c r="AU4048" s="14"/>
      <c r="AV4048" s="14"/>
      <c r="AW4048" s="15"/>
      <c r="AX4048" s="16"/>
    </row>
    <row r="4049" spans="2:50" x14ac:dyDescent="0.2">
      <c r="B4049" s="7"/>
      <c r="C4049" s="8">
        <v>14363</v>
      </c>
      <c r="D4049" s="9" t="s">
        <v>1299</v>
      </c>
      <c r="E4049" s="10" t="str">
        <f t="shared" ref="E4049:E4068" si="376">IF(D4049=0,"",VLOOKUP(D4049,BASE,2,FALSE))</f>
        <v>Rancho La Cuchilla No. 107</v>
      </c>
      <c r="F4049" s="10" t="str">
        <f t="shared" ref="F4049:F4068" si="377">IF(D4049=0,"",VLOOKUP(D4049,BASE,3,FALSE))</f>
        <v>Quiñones, Eduardo</v>
      </c>
      <c r="G4049" s="8">
        <v>1</v>
      </c>
      <c r="H4049" s="11">
        <v>400</v>
      </c>
      <c r="I4049" s="12">
        <v>42862</v>
      </c>
      <c r="J4049" s="35">
        <f t="shared" ref="J4049:J4068" si="378">IF(G4049=1,SUM(W4049,AJ4049,-H4049),0)</f>
        <v>0</v>
      </c>
      <c r="K4049" s="36"/>
      <c r="L4049" s="36"/>
      <c r="M4049" s="36"/>
      <c r="N4049" s="36"/>
      <c r="O4049" s="36"/>
      <c r="P4049" s="36"/>
      <c r="Q4049" s="36"/>
      <c r="R4049" s="36"/>
      <c r="S4049" s="36"/>
      <c r="T4049" s="36"/>
      <c r="U4049" s="36"/>
      <c r="V4049" s="36"/>
      <c r="W4049" s="15">
        <f t="shared" ref="W4049:W4068" si="379">SUM(K4049:V4049)</f>
        <v>0</v>
      </c>
      <c r="X4049" s="36"/>
      <c r="Y4049" s="36"/>
      <c r="Z4049" s="36"/>
      <c r="AA4049" s="36">
        <v>400</v>
      </c>
      <c r="AB4049" s="36"/>
      <c r="AC4049" s="36"/>
      <c r="AD4049" s="36"/>
      <c r="AE4049" s="36"/>
      <c r="AF4049" s="36"/>
      <c r="AG4049" s="36"/>
      <c r="AH4049" s="36"/>
      <c r="AI4049" s="36"/>
      <c r="AJ4049" s="15">
        <f t="shared" ref="AJ4049:AJ4068" si="380">SUM(X4049:AI4049)</f>
        <v>400</v>
      </c>
      <c r="AK4049" s="14"/>
      <c r="AL4049" s="14"/>
      <c r="AM4049" s="14"/>
      <c r="AN4049" s="14"/>
      <c r="AO4049" s="14"/>
      <c r="AP4049" s="14"/>
      <c r="AQ4049" s="14"/>
      <c r="AR4049" s="14"/>
      <c r="AS4049" s="14"/>
      <c r="AT4049" s="14"/>
      <c r="AU4049" s="14"/>
      <c r="AV4049" s="14"/>
      <c r="AW4049" s="15"/>
      <c r="AX4049" s="16"/>
    </row>
    <row r="4050" spans="2:50" x14ac:dyDescent="0.2">
      <c r="B4050" s="7"/>
      <c r="C4050" s="8">
        <v>14364</v>
      </c>
      <c r="D4050" s="9" t="s">
        <v>520</v>
      </c>
      <c r="E4050" s="10" t="str">
        <f t="shared" si="376"/>
        <v>Rancho Landero No. 38</v>
      </c>
      <c r="F4050" s="10" t="str">
        <f t="shared" si="377"/>
        <v>Sánchez Peña</v>
      </c>
      <c r="G4050" s="8">
        <v>1</v>
      </c>
      <c r="H4050" s="11">
        <v>800</v>
      </c>
      <c r="I4050" s="12">
        <v>42862</v>
      </c>
      <c r="J4050" s="35">
        <f t="shared" si="378"/>
        <v>0</v>
      </c>
      <c r="K4050" s="36"/>
      <c r="L4050" s="36"/>
      <c r="M4050" s="36"/>
      <c r="N4050" s="36"/>
      <c r="O4050" s="36"/>
      <c r="P4050" s="36"/>
      <c r="Q4050" s="36"/>
      <c r="R4050" s="36"/>
      <c r="S4050" s="36"/>
      <c r="T4050" s="36"/>
      <c r="U4050" s="36"/>
      <c r="V4050" s="36"/>
      <c r="W4050" s="15">
        <f t="shared" si="379"/>
        <v>0</v>
      </c>
      <c r="X4050" s="36"/>
      <c r="Y4050" s="36"/>
      <c r="Z4050" s="36"/>
      <c r="AA4050" s="36"/>
      <c r="AB4050" s="36">
        <v>400</v>
      </c>
      <c r="AC4050" s="36">
        <v>400</v>
      </c>
      <c r="AD4050" s="36"/>
      <c r="AE4050" s="36"/>
      <c r="AF4050" s="36"/>
      <c r="AG4050" s="36"/>
      <c r="AH4050" s="36"/>
      <c r="AI4050" s="36"/>
      <c r="AJ4050" s="15">
        <f t="shared" si="380"/>
        <v>800</v>
      </c>
      <c r="AK4050" s="14"/>
      <c r="AL4050" s="14"/>
      <c r="AM4050" s="14"/>
      <c r="AN4050" s="14"/>
      <c r="AO4050" s="14"/>
      <c r="AP4050" s="14"/>
      <c r="AQ4050" s="14"/>
      <c r="AR4050" s="14"/>
      <c r="AS4050" s="14"/>
      <c r="AT4050" s="14"/>
      <c r="AU4050" s="14"/>
      <c r="AV4050" s="14"/>
      <c r="AW4050" s="15"/>
      <c r="AX4050" s="16"/>
    </row>
    <row r="4051" spans="2:50" x14ac:dyDescent="0.2">
      <c r="B4051" s="7"/>
      <c r="C4051" s="8">
        <v>14365</v>
      </c>
      <c r="D4051" s="9" t="s">
        <v>716</v>
      </c>
      <c r="E4051" s="10" t="str">
        <f t="shared" si="376"/>
        <v>Rancho Landero No. 20</v>
      </c>
      <c r="F4051" s="10" t="str">
        <f t="shared" si="377"/>
        <v>Velasco</v>
      </c>
      <c r="G4051" s="8">
        <v>1</v>
      </c>
      <c r="H4051" s="11">
        <v>600</v>
      </c>
      <c r="I4051" s="12">
        <v>42832</v>
      </c>
      <c r="J4051" s="35">
        <f t="shared" si="378"/>
        <v>0</v>
      </c>
      <c r="K4051" s="36"/>
      <c r="L4051" s="36"/>
      <c r="M4051" s="36"/>
      <c r="N4051" s="36"/>
      <c r="O4051" s="36"/>
      <c r="P4051" s="36"/>
      <c r="Q4051" s="36"/>
      <c r="R4051" s="36"/>
      <c r="S4051" s="36"/>
      <c r="T4051" s="36"/>
      <c r="U4051" s="36"/>
      <c r="V4051" s="36"/>
      <c r="W4051" s="15">
        <f t="shared" si="379"/>
        <v>0</v>
      </c>
      <c r="X4051" s="36"/>
      <c r="Y4051" s="36"/>
      <c r="Z4051" s="36"/>
      <c r="AA4051" s="36">
        <v>300</v>
      </c>
      <c r="AB4051" s="36">
        <v>300</v>
      </c>
      <c r="AC4051" s="36"/>
      <c r="AD4051" s="36"/>
      <c r="AE4051" s="36"/>
      <c r="AF4051" s="36"/>
      <c r="AG4051" s="36"/>
      <c r="AH4051" s="36"/>
      <c r="AI4051" s="36"/>
      <c r="AJ4051" s="15">
        <f t="shared" si="380"/>
        <v>600</v>
      </c>
      <c r="AK4051" s="14"/>
      <c r="AL4051" s="14"/>
      <c r="AM4051" s="14"/>
      <c r="AN4051" s="14"/>
      <c r="AO4051" s="14"/>
      <c r="AP4051" s="14"/>
      <c r="AQ4051" s="14"/>
      <c r="AR4051" s="14"/>
      <c r="AS4051" s="14"/>
      <c r="AT4051" s="14"/>
      <c r="AU4051" s="14"/>
      <c r="AV4051" s="14"/>
      <c r="AW4051" s="15"/>
      <c r="AX4051" s="16"/>
    </row>
    <row r="4052" spans="2:50" x14ac:dyDescent="0.2">
      <c r="B4052" s="7"/>
      <c r="C4052" s="8">
        <v>14366</v>
      </c>
      <c r="D4052" s="9" t="s">
        <v>583</v>
      </c>
      <c r="E4052" s="10" t="str">
        <f t="shared" si="376"/>
        <v>Rancho La Cuchilla No. 111</v>
      </c>
      <c r="F4052" s="10" t="str">
        <f t="shared" si="377"/>
        <v>García Santos Ofelia</v>
      </c>
      <c r="G4052" s="8">
        <v>1</v>
      </c>
      <c r="H4052" s="11">
        <v>200</v>
      </c>
      <c r="I4052" s="12">
        <v>42832</v>
      </c>
      <c r="J4052" s="35">
        <f t="shared" si="378"/>
        <v>0</v>
      </c>
      <c r="K4052" s="36"/>
      <c r="L4052" s="36"/>
      <c r="M4052" s="36"/>
      <c r="N4052" s="36"/>
      <c r="O4052" s="36"/>
      <c r="P4052" s="36"/>
      <c r="Q4052" s="36"/>
      <c r="R4052" s="36"/>
      <c r="S4052" s="36"/>
      <c r="T4052" s="36"/>
      <c r="U4052" s="36"/>
      <c r="V4052" s="36"/>
      <c r="W4052" s="15">
        <f t="shared" si="379"/>
        <v>0</v>
      </c>
      <c r="X4052" s="36"/>
      <c r="Y4052" s="36"/>
      <c r="Z4052" s="36"/>
      <c r="AA4052" s="36"/>
      <c r="AB4052" s="36">
        <v>200</v>
      </c>
      <c r="AC4052" s="36"/>
      <c r="AD4052" s="36"/>
      <c r="AE4052" s="36"/>
      <c r="AF4052" s="36"/>
      <c r="AG4052" s="36"/>
      <c r="AH4052" s="36"/>
      <c r="AI4052" s="36"/>
      <c r="AJ4052" s="15">
        <f t="shared" si="380"/>
        <v>200</v>
      </c>
      <c r="AK4052" s="14"/>
      <c r="AL4052" s="14"/>
      <c r="AM4052" s="14"/>
      <c r="AN4052" s="14"/>
      <c r="AO4052" s="14"/>
      <c r="AP4052" s="14"/>
      <c r="AQ4052" s="14"/>
      <c r="AR4052" s="14"/>
      <c r="AS4052" s="14"/>
      <c r="AT4052" s="14"/>
      <c r="AU4052" s="14"/>
      <c r="AV4052" s="14"/>
      <c r="AW4052" s="15"/>
      <c r="AX4052" s="16"/>
    </row>
    <row r="4053" spans="2:50" x14ac:dyDescent="0.2">
      <c r="B4053" s="7"/>
      <c r="C4053" s="8">
        <v>14367</v>
      </c>
      <c r="D4053" s="9" t="s">
        <v>769</v>
      </c>
      <c r="E4053" s="10" t="str">
        <f t="shared" si="376"/>
        <v>Rancho La Cuchilla No. 66</v>
      </c>
      <c r="F4053" s="10" t="str">
        <f t="shared" si="377"/>
        <v>Prieto</v>
      </c>
      <c r="G4053" s="8">
        <v>1</v>
      </c>
      <c r="H4053" s="11">
        <v>400</v>
      </c>
      <c r="I4053" s="12">
        <v>42862</v>
      </c>
      <c r="J4053" s="35">
        <f t="shared" si="378"/>
        <v>0</v>
      </c>
      <c r="K4053" s="36"/>
      <c r="L4053" s="36"/>
      <c r="M4053" s="36"/>
      <c r="N4053" s="36"/>
      <c r="O4053" s="36"/>
      <c r="P4053" s="36"/>
      <c r="Q4053" s="36"/>
      <c r="R4053" s="36"/>
      <c r="S4053" s="36"/>
      <c r="T4053" s="36"/>
      <c r="U4053" s="36"/>
      <c r="V4053" s="36"/>
      <c r="W4053" s="15">
        <f t="shared" si="379"/>
        <v>0</v>
      </c>
      <c r="X4053" s="36"/>
      <c r="Y4053" s="36"/>
      <c r="Z4053" s="36"/>
      <c r="AA4053" s="36"/>
      <c r="AB4053" s="36">
        <v>400</v>
      </c>
      <c r="AC4053" s="36"/>
      <c r="AD4053" s="36"/>
      <c r="AE4053" s="36"/>
      <c r="AF4053" s="36"/>
      <c r="AG4053" s="36"/>
      <c r="AH4053" s="36"/>
      <c r="AI4053" s="36"/>
      <c r="AJ4053" s="15">
        <f t="shared" si="380"/>
        <v>400</v>
      </c>
      <c r="AK4053" s="14"/>
      <c r="AL4053" s="14"/>
      <c r="AM4053" s="14"/>
      <c r="AN4053" s="14"/>
      <c r="AO4053" s="14"/>
      <c r="AP4053" s="14"/>
      <c r="AQ4053" s="14"/>
      <c r="AR4053" s="14"/>
      <c r="AS4053" s="14"/>
      <c r="AT4053" s="14"/>
      <c r="AU4053" s="14"/>
      <c r="AV4053" s="14"/>
      <c r="AW4053" s="15"/>
      <c r="AX4053" s="16"/>
    </row>
    <row r="4054" spans="2:50" x14ac:dyDescent="0.2">
      <c r="B4054" s="7"/>
      <c r="C4054" s="8">
        <v>14367</v>
      </c>
      <c r="D4054" s="9" t="s">
        <v>769</v>
      </c>
      <c r="E4054" s="10" t="str">
        <f t="shared" si="376"/>
        <v>Rancho La Cuchilla No. 66</v>
      </c>
      <c r="F4054" s="10" t="str">
        <f t="shared" si="377"/>
        <v>Prieto</v>
      </c>
      <c r="G4054" s="8">
        <v>7</v>
      </c>
      <c r="H4054" s="11">
        <v>100</v>
      </c>
      <c r="I4054" s="12">
        <v>42862</v>
      </c>
      <c r="J4054" s="35">
        <f t="shared" si="378"/>
        <v>0</v>
      </c>
      <c r="K4054" s="36"/>
      <c r="L4054" s="36"/>
      <c r="M4054" s="36"/>
      <c r="N4054" s="36"/>
      <c r="O4054" s="36"/>
      <c r="P4054" s="36"/>
      <c r="Q4054" s="36"/>
      <c r="R4054" s="36"/>
      <c r="S4054" s="36"/>
      <c r="T4054" s="36"/>
      <c r="U4054" s="36"/>
      <c r="V4054" s="36"/>
      <c r="W4054" s="15">
        <f t="shared" si="379"/>
        <v>0</v>
      </c>
      <c r="X4054" s="36"/>
      <c r="Y4054" s="36"/>
      <c r="Z4054" s="36"/>
      <c r="AA4054" s="36"/>
      <c r="AB4054" s="36"/>
      <c r="AC4054" s="36"/>
      <c r="AD4054" s="36"/>
      <c r="AE4054" s="36"/>
      <c r="AF4054" s="36"/>
      <c r="AG4054" s="36"/>
      <c r="AH4054" s="36"/>
      <c r="AI4054" s="36"/>
      <c r="AJ4054" s="15">
        <f t="shared" si="380"/>
        <v>0</v>
      </c>
      <c r="AK4054" s="14"/>
      <c r="AL4054" s="14"/>
      <c r="AM4054" s="14"/>
      <c r="AN4054" s="14"/>
      <c r="AO4054" s="14"/>
      <c r="AP4054" s="14"/>
      <c r="AQ4054" s="14"/>
      <c r="AR4054" s="14"/>
      <c r="AS4054" s="14"/>
      <c r="AT4054" s="14"/>
      <c r="AU4054" s="14"/>
      <c r="AV4054" s="14"/>
      <c r="AW4054" s="15"/>
      <c r="AX4054" s="16" t="s">
        <v>3858</v>
      </c>
    </row>
    <row r="4055" spans="2:50" x14ac:dyDescent="0.2">
      <c r="B4055" s="7"/>
      <c r="C4055" s="8">
        <v>14368</v>
      </c>
      <c r="D4055" s="9" t="s">
        <v>135</v>
      </c>
      <c r="E4055" s="10" t="str">
        <f t="shared" si="376"/>
        <v>Rancho Upácuaro No. 70</v>
      </c>
      <c r="F4055" s="10" t="str">
        <f t="shared" si="377"/>
        <v>Ramírez Tejeda</v>
      </c>
      <c r="G4055" s="8">
        <v>1</v>
      </c>
      <c r="H4055" s="11">
        <v>300</v>
      </c>
      <c r="I4055" s="12">
        <v>42862</v>
      </c>
      <c r="J4055" s="35">
        <f t="shared" si="378"/>
        <v>0</v>
      </c>
      <c r="K4055" s="36"/>
      <c r="L4055" s="36"/>
      <c r="M4055" s="36"/>
      <c r="N4055" s="36"/>
      <c r="O4055" s="36"/>
      <c r="P4055" s="36"/>
      <c r="Q4055" s="36"/>
      <c r="R4055" s="36"/>
      <c r="S4055" s="36"/>
      <c r="T4055" s="36"/>
      <c r="U4055" s="36"/>
      <c r="V4055" s="36"/>
      <c r="W4055" s="15">
        <f t="shared" si="379"/>
        <v>0</v>
      </c>
      <c r="X4055" s="36"/>
      <c r="Y4055" s="36"/>
      <c r="Z4055" s="36"/>
      <c r="AA4055" s="36"/>
      <c r="AB4055" s="36">
        <v>300</v>
      </c>
      <c r="AC4055" s="36"/>
      <c r="AD4055" s="36"/>
      <c r="AE4055" s="36"/>
      <c r="AF4055" s="36"/>
      <c r="AG4055" s="36"/>
      <c r="AH4055" s="36"/>
      <c r="AI4055" s="36"/>
      <c r="AJ4055" s="15">
        <f t="shared" si="380"/>
        <v>300</v>
      </c>
      <c r="AK4055" s="14"/>
      <c r="AL4055" s="14"/>
      <c r="AM4055" s="14"/>
      <c r="AN4055" s="14"/>
      <c r="AO4055" s="14"/>
      <c r="AP4055" s="14"/>
      <c r="AQ4055" s="14"/>
      <c r="AR4055" s="14"/>
      <c r="AS4055" s="14"/>
      <c r="AT4055" s="14"/>
      <c r="AU4055" s="14"/>
      <c r="AV4055" s="14"/>
      <c r="AW4055" s="15"/>
      <c r="AX4055" s="16"/>
    </row>
    <row r="4056" spans="2:50" x14ac:dyDescent="0.2">
      <c r="B4056" s="7"/>
      <c r="C4056" s="8">
        <v>14369</v>
      </c>
      <c r="D4056" s="9" t="s">
        <v>250</v>
      </c>
      <c r="E4056" s="10" t="str">
        <f t="shared" si="376"/>
        <v>Rancho La Cuchilla No. 74</v>
      </c>
      <c r="F4056" s="10" t="str">
        <f t="shared" si="377"/>
        <v>Gil</v>
      </c>
      <c r="G4056" s="8">
        <v>1</v>
      </c>
      <c r="H4056" s="11">
        <v>400</v>
      </c>
      <c r="I4056" s="12">
        <v>42862</v>
      </c>
      <c r="J4056" s="35">
        <f t="shared" si="378"/>
        <v>0</v>
      </c>
      <c r="K4056" s="36"/>
      <c r="L4056" s="36"/>
      <c r="M4056" s="36"/>
      <c r="N4056" s="36"/>
      <c r="O4056" s="36"/>
      <c r="P4056" s="36"/>
      <c r="Q4056" s="36"/>
      <c r="R4056" s="36"/>
      <c r="S4056" s="36"/>
      <c r="T4056" s="36"/>
      <c r="U4056" s="36"/>
      <c r="V4056" s="36"/>
      <c r="W4056" s="15">
        <f t="shared" si="379"/>
        <v>0</v>
      </c>
      <c r="X4056" s="36"/>
      <c r="Y4056" s="36"/>
      <c r="Z4056" s="36"/>
      <c r="AA4056" s="36"/>
      <c r="AB4056" s="36">
        <v>400</v>
      </c>
      <c r="AC4056" s="36"/>
      <c r="AD4056" s="36"/>
      <c r="AE4056" s="36"/>
      <c r="AF4056" s="36"/>
      <c r="AG4056" s="36"/>
      <c r="AH4056" s="36"/>
      <c r="AI4056" s="36"/>
      <c r="AJ4056" s="15">
        <f t="shared" si="380"/>
        <v>400</v>
      </c>
      <c r="AK4056" s="14"/>
      <c r="AL4056" s="14"/>
      <c r="AM4056" s="14"/>
      <c r="AN4056" s="14"/>
      <c r="AO4056" s="14"/>
      <c r="AP4056" s="14"/>
      <c r="AQ4056" s="14"/>
      <c r="AR4056" s="14"/>
      <c r="AS4056" s="14"/>
      <c r="AT4056" s="14"/>
      <c r="AU4056" s="14"/>
      <c r="AV4056" s="14"/>
      <c r="AW4056" s="15"/>
      <c r="AX4056" s="16"/>
    </row>
    <row r="4057" spans="2:50" x14ac:dyDescent="0.2">
      <c r="B4057" s="7"/>
      <c r="C4057" s="8">
        <v>14370</v>
      </c>
      <c r="D4057" s="9" t="s">
        <v>387</v>
      </c>
      <c r="E4057" s="10" t="str">
        <f t="shared" si="376"/>
        <v>Rancho Upácuaro No. 69</v>
      </c>
      <c r="F4057" s="10" t="str">
        <f t="shared" si="377"/>
        <v>Gómez</v>
      </c>
      <c r="G4057" s="8">
        <v>1</v>
      </c>
      <c r="H4057" s="11">
        <v>400</v>
      </c>
      <c r="I4057" s="12">
        <v>42862</v>
      </c>
      <c r="J4057" s="35">
        <f t="shared" si="378"/>
        <v>0</v>
      </c>
      <c r="K4057" s="36"/>
      <c r="L4057" s="36"/>
      <c r="M4057" s="36"/>
      <c r="N4057" s="36"/>
      <c r="O4057" s="36"/>
      <c r="P4057" s="36"/>
      <c r="Q4057" s="36"/>
      <c r="R4057" s="36"/>
      <c r="S4057" s="36"/>
      <c r="T4057" s="36"/>
      <c r="U4057" s="36"/>
      <c r="V4057" s="36"/>
      <c r="W4057" s="15">
        <f t="shared" si="379"/>
        <v>0</v>
      </c>
      <c r="X4057" s="36"/>
      <c r="Y4057" s="36"/>
      <c r="Z4057" s="36"/>
      <c r="AA4057" s="36">
        <v>400</v>
      </c>
      <c r="AB4057" s="36"/>
      <c r="AC4057" s="36"/>
      <c r="AD4057" s="36"/>
      <c r="AE4057" s="36"/>
      <c r="AF4057" s="36"/>
      <c r="AG4057" s="36"/>
      <c r="AH4057" s="36"/>
      <c r="AI4057" s="36"/>
      <c r="AJ4057" s="15">
        <f t="shared" si="380"/>
        <v>400</v>
      </c>
      <c r="AK4057" s="14"/>
      <c r="AL4057" s="14"/>
      <c r="AM4057" s="14"/>
      <c r="AN4057" s="14"/>
      <c r="AO4057" s="14"/>
      <c r="AP4057" s="14"/>
      <c r="AQ4057" s="14"/>
      <c r="AR4057" s="14"/>
      <c r="AS4057" s="14"/>
      <c r="AT4057" s="14"/>
      <c r="AU4057" s="14"/>
      <c r="AV4057" s="14"/>
      <c r="AW4057" s="15"/>
      <c r="AX4057" s="16"/>
    </row>
    <row r="4058" spans="2:50" x14ac:dyDescent="0.2">
      <c r="B4058" s="7"/>
      <c r="C4058" s="8">
        <v>14370</v>
      </c>
      <c r="D4058" s="9" t="s">
        <v>387</v>
      </c>
      <c r="E4058" s="10" t="str">
        <f t="shared" si="376"/>
        <v>Rancho Upácuaro No. 69</v>
      </c>
      <c r="F4058" s="10" t="str">
        <f t="shared" si="377"/>
        <v>Gómez</v>
      </c>
      <c r="G4058" s="8">
        <v>3</v>
      </c>
      <c r="H4058" s="11">
        <v>200</v>
      </c>
      <c r="I4058" s="12">
        <v>42862</v>
      </c>
      <c r="J4058" s="35">
        <f t="shared" si="378"/>
        <v>0</v>
      </c>
      <c r="K4058" s="36"/>
      <c r="L4058" s="36"/>
      <c r="M4058" s="36"/>
      <c r="N4058" s="36"/>
      <c r="O4058" s="36"/>
      <c r="P4058" s="36"/>
      <c r="Q4058" s="36"/>
      <c r="R4058" s="36"/>
      <c r="S4058" s="36"/>
      <c r="T4058" s="36"/>
      <c r="U4058" s="36"/>
      <c r="V4058" s="36"/>
      <c r="W4058" s="15">
        <f t="shared" si="379"/>
        <v>0</v>
      </c>
      <c r="X4058" s="36"/>
      <c r="Y4058" s="36"/>
      <c r="Z4058" s="36"/>
      <c r="AA4058" s="36"/>
      <c r="AB4058" s="36"/>
      <c r="AC4058" s="36"/>
      <c r="AD4058" s="36"/>
      <c r="AE4058" s="36"/>
      <c r="AF4058" s="36"/>
      <c r="AG4058" s="36"/>
      <c r="AH4058" s="36"/>
      <c r="AI4058" s="36"/>
      <c r="AJ4058" s="15">
        <f t="shared" si="380"/>
        <v>0</v>
      </c>
      <c r="AK4058" s="14"/>
      <c r="AL4058" s="14"/>
      <c r="AM4058" s="14"/>
      <c r="AN4058" s="14"/>
      <c r="AO4058" s="14"/>
      <c r="AP4058" s="14"/>
      <c r="AQ4058" s="14"/>
      <c r="AR4058" s="14"/>
      <c r="AS4058" s="14"/>
      <c r="AT4058" s="14"/>
      <c r="AU4058" s="14"/>
      <c r="AV4058" s="14"/>
      <c r="AW4058" s="15"/>
      <c r="AX4058" s="16"/>
    </row>
    <row r="4059" spans="2:50" x14ac:dyDescent="0.2">
      <c r="B4059" s="7"/>
      <c r="C4059" s="8">
        <v>14371</v>
      </c>
      <c r="D4059" s="9"/>
      <c r="E4059" s="10" t="str">
        <f t="shared" si="376"/>
        <v/>
      </c>
      <c r="F4059" s="10" t="str">
        <f t="shared" si="377"/>
        <v/>
      </c>
      <c r="G4059" s="8">
        <v>8</v>
      </c>
      <c r="H4059" s="11"/>
      <c r="I4059" s="12"/>
      <c r="J4059" s="35">
        <f t="shared" si="378"/>
        <v>0</v>
      </c>
      <c r="K4059" s="36"/>
      <c r="L4059" s="36"/>
      <c r="M4059" s="36"/>
      <c r="N4059" s="36"/>
      <c r="O4059" s="36"/>
      <c r="P4059" s="36"/>
      <c r="Q4059" s="36"/>
      <c r="R4059" s="36"/>
      <c r="S4059" s="36"/>
      <c r="T4059" s="36"/>
      <c r="U4059" s="36"/>
      <c r="V4059" s="36"/>
      <c r="W4059" s="15">
        <f t="shared" si="379"/>
        <v>0</v>
      </c>
      <c r="X4059" s="36"/>
      <c r="Y4059" s="36"/>
      <c r="Z4059" s="36"/>
      <c r="AA4059" s="36"/>
      <c r="AB4059" s="36"/>
      <c r="AC4059" s="36"/>
      <c r="AD4059" s="36"/>
      <c r="AE4059" s="36"/>
      <c r="AF4059" s="36"/>
      <c r="AG4059" s="36"/>
      <c r="AH4059" s="36"/>
      <c r="AI4059" s="36"/>
      <c r="AJ4059" s="15">
        <f t="shared" si="380"/>
        <v>0</v>
      </c>
      <c r="AK4059" s="14"/>
      <c r="AL4059" s="14"/>
      <c r="AM4059" s="14"/>
      <c r="AN4059" s="14"/>
      <c r="AO4059" s="14"/>
      <c r="AP4059" s="14"/>
      <c r="AQ4059" s="14"/>
      <c r="AR4059" s="14"/>
      <c r="AS4059" s="14"/>
      <c r="AT4059" s="14"/>
      <c r="AU4059" s="14"/>
      <c r="AV4059" s="14"/>
      <c r="AW4059" s="15"/>
      <c r="AX4059" s="16"/>
    </row>
    <row r="4060" spans="2:50" x14ac:dyDescent="0.2">
      <c r="B4060" s="7"/>
      <c r="C4060" s="8">
        <v>14372</v>
      </c>
      <c r="D4060" s="9" t="s">
        <v>247</v>
      </c>
      <c r="E4060" s="10" t="str">
        <f t="shared" si="376"/>
        <v>Rancho Landero No. 91</v>
      </c>
      <c r="F4060" s="10" t="str">
        <f t="shared" si="377"/>
        <v>Llaca</v>
      </c>
      <c r="G4060" s="8">
        <v>1</v>
      </c>
      <c r="H4060" s="11">
        <v>800</v>
      </c>
      <c r="I4060" s="12">
        <v>42862</v>
      </c>
      <c r="J4060" s="35">
        <f t="shared" si="378"/>
        <v>0</v>
      </c>
      <c r="K4060" s="36"/>
      <c r="L4060" s="36"/>
      <c r="M4060" s="36"/>
      <c r="N4060" s="36"/>
      <c r="O4060" s="36"/>
      <c r="P4060" s="36"/>
      <c r="Q4060" s="36"/>
      <c r="R4060" s="36"/>
      <c r="S4060" s="36"/>
      <c r="T4060" s="36"/>
      <c r="U4060" s="36"/>
      <c r="V4060" s="36"/>
      <c r="W4060" s="15">
        <f t="shared" si="379"/>
        <v>0</v>
      </c>
      <c r="X4060" s="36"/>
      <c r="Y4060" s="36"/>
      <c r="Z4060" s="36"/>
      <c r="AA4060" s="36"/>
      <c r="AB4060" s="36">
        <v>400</v>
      </c>
      <c r="AC4060" s="36">
        <v>400</v>
      </c>
      <c r="AD4060" s="36"/>
      <c r="AE4060" s="36"/>
      <c r="AF4060" s="36"/>
      <c r="AG4060" s="36"/>
      <c r="AH4060" s="36"/>
      <c r="AI4060" s="36"/>
      <c r="AJ4060" s="15">
        <f t="shared" si="380"/>
        <v>800</v>
      </c>
      <c r="AK4060" s="14"/>
      <c r="AL4060" s="14"/>
      <c r="AM4060" s="14"/>
      <c r="AN4060" s="14"/>
      <c r="AO4060" s="14"/>
      <c r="AP4060" s="14"/>
      <c r="AQ4060" s="14"/>
      <c r="AR4060" s="14"/>
      <c r="AS4060" s="14"/>
      <c r="AT4060" s="14"/>
      <c r="AU4060" s="14"/>
      <c r="AV4060" s="14"/>
      <c r="AW4060" s="15"/>
      <c r="AX4060" s="16"/>
    </row>
    <row r="4061" spans="2:50" x14ac:dyDescent="0.2">
      <c r="B4061" s="7"/>
      <c r="C4061" s="8">
        <v>14372</v>
      </c>
      <c r="D4061" s="9" t="s">
        <v>247</v>
      </c>
      <c r="E4061" s="10" t="str">
        <f t="shared" si="376"/>
        <v>Rancho Landero No. 91</v>
      </c>
      <c r="F4061" s="10" t="str">
        <f t="shared" si="377"/>
        <v>Llaca</v>
      </c>
      <c r="G4061" s="8">
        <v>5</v>
      </c>
      <c r="H4061" s="11">
        <v>50</v>
      </c>
      <c r="I4061" s="12">
        <v>42862</v>
      </c>
      <c r="J4061" s="35">
        <f t="shared" si="378"/>
        <v>0</v>
      </c>
      <c r="K4061" s="36"/>
      <c r="L4061" s="36"/>
      <c r="M4061" s="36"/>
      <c r="N4061" s="36"/>
      <c r="O4061" s="36"/>
      <c r="P4061" s="36"/>
      <c r="Q4061" s="36"/>
      <c r="R4061" s="36"/>
      <c r="S4061" s="36"/>
      <c r="T4061" s="36"/>
      <c r="U4061" s="36"/>
      <c r="V4061" s="36"/>
      <c r="W4061" s="15">
        <f t="shared" si="379"/>
        <v>0</v>
      </c>
      <c r="X4061" s="36"/>
      <c r="Y4061" s="36"/>
      <c r="Z4061" s="36"/>
      <c r="AA4061" s="36"/>
      <c r="AB4061" s="36"/>
      <c r="AC4061" s="36"/>
      <c r="AD4061" s="36"/>
      <c r="AE4061" s="36"/>
      <c r="AF4061" s="36"/>
      <c r="AG4061" s="36"/>
      <c r="AH4061" s="36"/>
      <c r="AI4061" s="36"/>
      <c r="AJ4061" s="15">
        <f t="shared" si="380"/>
        <v>0</v>
      </c>
      <c r="AK4061" s="14"/>
      <c r="AL4061" s="14"/>
      <c r="AM4061" s="14"/>
      <c r="AN4061" s="14"/>
      <c r="AO4061" s="14"/>
      <c r="AP4061" s="14"/>
      <c r="AQ4061" s="14"/>
      <c r="AR4061" s="14"/>
      <c r="AS4061" s="14"/>
      <c r="AT4061" s="14"/>
      <c r="AU4061" s="14"/>
      <c r="AV4061" s="14"/>
      <c r="AW4061" s="15"/>
      <c r="AX4061" s="16"/>
    </row>
    <row r="4062" spans="2:50" x14ac:dyDescent="0.2">
      <c r="B4062" s="7"/>
      <c r="C4062" s="8">
        <v>14373</v>
      </c>
      <c r="D4062" s="9" t="s">
        <v>238</v>
      </c>
      <c r="E4062" s="10" t="str">
        <f t="shared" si="376"/>
        <v>Rancho La Cuchilla No. 43, B</v>
      </c>
      <c r="F4062" s="10" t="str">
        <f t="shared" si="377"/>
        <v>Luna Albertano</v>
      </c>
      <c r="G4062" s="8">
        <v>1</v>
      </c>
      <c r="H4062" s="11">
        <v>125</v>
      </c>
      <c r="I4062" s="12">
        <v>42862</v>
      </c>
      <c r="J4062" s="35">
        <f t="shared" si="378"/>
        <v>0</v>
      </c>
      <c r="K4062" s="36"/>
      <c r="L4062" s="36"/>
      <c r="M4062" s="36"/>
      <c r="N4062" s="36"/>
      <c r="O4062" s="36"/>
      <c r="P4062" s="36"/>
      <c r="Q4062" s="36"/>
      <c r="R4062" s="36"/>
      <c r="S4062" s="36"/>
      <c r="T4062" s="36"/>
      <c r="U4062" s="36"/>
      <c r="V4062" s="36"/>
      <c r="W4062" s="15">
        <f t="shared" si="379"/>
        <v>0</v>
      </c>
      <c r="X4062" s="36"/>
      <c r="Y4062" s="36"/>
      <c r="Z4062" s="36"/>
      <c r="AA4062" s="36"/>
      <c r="AB4062" s="36">
        <v>125</v>
      </c>
      <c r="AC4062" s="36"/>
      <c r="AD4062" s="36"/>
      <c r="AE4062" s="36"/>
      <c r="AF4062" s="36"/>
      <c r="AG4062" s="36"/>
      <c r="AH4062" s="36"/>
      <c r="AI4062" s="36"/>
      <c r="AJ4062" s="15">
        <f t="shared" si="380"/>
        <v>125</v>
      </c>
      <c r="AK4062" s="14"/>
      <c r="AL4062" s="14"/>
      <c r="AM4062" s="14"/>
      <c r="AN4062" s="14"/>
      <c r="AO4062" s="14"/>
      <c r="AP4062" s="14"/>
      <c r="AQ4062" s="14"/>
      <c r="AR4062" s="14"/>
      <c r="AS4062" s="14"/>
      <c r="AT4062" s="14"/>
      <c r="AU4062" s="14"/>
      <c r="AV4062" s="14"/>
      <c r="AW4062" s="15"/>
      <c r="AX4062" s="16"/>
    </row>
    <row r="4063" spans="2:50" x14ac:dyDescent="0.2">
      <c r="B4063" s="7"/>
      <c r="C4063" s="8">
        <v>14374</v>
      </c>
      <c r="D4063" s="9" t="s">
        <v>241</v>
      </c>
      <c r="E4063" s="10" t="str">
        <f t="shared" si="376"/>
        <v>Rancho La Cuchilla No. 81, A</v>
      </c>
      <c r="F4063" s="10" t="str">
        <f t="shared" si="377"/>
        <v>Barrientos López</v>
      </c>
      <c r="G4063" s="8">
        <v>1</v>
      </c>
      <c r="H4063" s="11">
        <v>400</v>
      </c>
      <c r="I4063" s="12">
        <v>42862</v>
      </c>
      <c r="J4063" s="35">
        <f t="shared" si="378"/>
        <v>0</v>
      </c>
      <c r="K4063" s="36"/>
      <c r="L4063" s="36"/>
      <c r="M4063" s="36"/>
      <c r="N4063" s="36"/>
      <c r="O4063" s="36"/>
      <c r="P4063" s="36"/>
      <c r="Q4063" s="36"/>
      <c r="R4063" s="36"/>
      <c r="S4063" s="36"/>
      <c r="T4063" s="36"/>
      <c r="U4063" s="36"/>
      <c r="V4063" s="36"/>
      <c r="W4063" s="15">
        <f t="shared" si="379"/>
        <v>0</v>
      </c>
      <c r="X4063" s="36"/>
      <c r="Y4063" s="36"/>
      <c r="Z4063" s="36"/>
      <c r="AA4063" s="36"/>
      <c r="AB4063" s="36">
        <v>400</v>
      </c>
      <c r="AC4063" s="36"/>
      <c r="AD4063" s="36"/>
      <c r="AE4063" s="36"/>
      <c r="AF4063" s="36"/>
      <c r="AG4063" s="36"/>
      <c r="AH4063" s="36"/>
      <c r="AI4063" s="36"/>
      <c r="AJ4063" s="15">
        <f t="shared" si="380"/>
        <v>400</v>
      </c>
      <c r="AK4063" s="14"/>
      <c r="AL4063" s="14"/>
      <c r="AM4063" s="14"/>
      <c r="AN4063" s="14"/>
      <c r="AO4063" s="14"/>
      <c r="AP4063" s="14"/>
      <c r="AQ4063" s="14"/>
      <c r="AR4063" s="14"/>
      <c r="AS4063" s="14"/>
      <c r="AT4063" s="14"/>
      <c r="AU4063" s="14"/>
      <c r="AV4063" s="14"/>
      <c r="AW4063" s="15"/>
      <c r="AX4063" s="16"/>
    </row>
    <row r="4064" spans="2:50" x14ac:dyDescent="0.2">
      <c r="B4064" s="7"/>
      <c r="C4064" s="8">
        <v>14375</v>
      </c>
      <c r="D4064" s="9" t="s">
        <v>550</v>
      </c>
      <c r="E4064" s="10" t="str">
        <f t="shared" si="376"/>
        <v>Rancho Landero No. 89</v>
      </c>
      <c r="F4064" s="10" t="str">
        <f t="shared" si="377"/>
        <v>Del Pozo Solís</v>
      </c>
      <c r="G4064" s="8">
        <v>5</v>
      </c>
      <c r="H4064" s="11">
        <v>50</v>
      </c>
      <c r="I4064" s="12">
        <v>42862</v>
      </c>
      <c r="J4064" s="35">
        <f t="shared" si="378"/>
        <v>0</v>
      </c>
      <c r="K4064" s="36"/>
      <c r="L4064" s="36"/>
      <c r="M4064" s="36"/>
      <c r="N4064" s="36"/>
      <c r="O4064" s="36"/>
      <c r="P4064" s="36"/>
      <c r="Q4064" s="36"/>
      <c r="R4064" s="36"/>
      <c r="S4064" s="36"/>
      <c r="T4064" s="36"/>
      <c r="U4064" s="36"/>
      <c r="V4064" s="36"/>
      <c r="W4064" s="15">
        <f t="shared" si="379"/>
        <v>0</v>
      </c>
      <c r="X4064" s="36"/>
      <c r="Y4064" s="36"/>
      <c r="Z4064" s="36"/>
      <c r="AA4064" s="36"/>
      <c r="AB4064" s="36"/>
      <c r="AC4064" s="36"/>
      <c r="AD4064" s="36"/>
      <c r="AE4064" s="36"/>
      <c r="AF4064" s="36"/>
      <c r="AG4064" s="36"/>
      <c r="AH4064" s="36"/>
      <c r="AI4064" s="36"/>
      <c r="AJ4064" s="15">
        <f t="shared" si="380"/>
        <v>0</v>
      </c>
      <c r="AK4064" s="14"/>
      <c r="AL4064" s="14"/>
      <c r="AM4064" s="14"/>
      <c r="AN4064" s="14"/>
      <c r="AO4064" s="14"/>
      <c r="AP4064" s="14"/>
      <c r="AQ4064" s="14"/>
      <c r="AR4064" s="14"/>
      <c r="AS4064" s="14"/>
      <c r="AT4064" s="14"/>
      <c r="AU4064" s="14"/>
      <c r="AV4064" s="14"/>
      <c r="AW4064" s="15"/>
      <c r="AX4064" s="16"/>
    </row>
    <row r="4065" spans="2:50" x14ac:dyDescent="0.2">
      <c r="B4065" s="7"/>
      <c r="C4065" s="8">
        <v>14376</v>
      </c>
      <c r="D4065" s="9" t="s">
        <v>553</v>
      </c>
      <c r="E4065" s="10" t="str">
        <f t="shared" si="376"/>
        <v>Rancho Landero No. 100</v>
      </c>
      <c r="F4065" s="10" t="str">
        <f t="shared" si="377"/>
        <v>Meingüer Gómez</v>
      </c>
      <c r="G4065" s="8">
        <v>1</v>
      </c>
      <c r="H4065" s="11">
        <v>1200</v>
      </c>
      <c r="I4065" s="12">
        <v>42862</v>
      </c>
      <c r="J4065" s="35">
        <f t="shared" si="378"/>
        <v>0</v>
      </c>
      <c r="K4065" s="36"/>
      <c r="L4065" s="36"/>
      <c r="M4065" s="36"/>
      <c r="N4065" s="36"/>
      <c r="O4065" s="36"/>
      <c r="P4065" s="36"/>
      <c r="Q4065" s="36"/>
      <c r="R4065" s="36"/>
      <c r="S4065" s="36"/>
      <c r="T4065" s="36"/>
      <c r="U4065" s="36"/>
      <c r="V4065" s="36"/>
      <c r="W4065" s="15">
        <f t="shared" si="379"/>
        <v>0</v>
      </c>
      <c r="X4065" s="36"/>
      <c r="Y4065" s="36"/>
      <c r="Z4065" s="36">
        <v>400</v>
      </c>
      <c r="AA4065" s="36">
        <v>400</v>
      </c>
      <c r="AB4065" s="36">
        <v>400</v>
      </c>
      <c r="AC4065" s="36"/>
      <c r="AD4065" s="36"/>
      <c r="AE4065" s="36"/>
      <c r="AF4065" s="36"/>
      <c r="AG4065" s="36"/>
      <c r="AH4065" s="36"/>
      <c r="AI4065" s="36"/>
      <c r="AJ4065" s="15">
        <f t="shared" si="380"/>
        <v>1200</v>
      </c>
      <c r="AK4065" s="14"/>
      <c r="AL4065" s="14"/>
      <c r="AM4065" s="14"/>
      <c r="AN4065" s="14"/>
      <c r="AO4065" s="14"/>
      <c r="AP4065" s="14"/>
      <c r="AQ4065" s="14"/>
      <c r="AR4065" s="14"/>
      <c r="AS4065" s="14"/>
      <c r="AT4065" s="14"/>
      <c r="AU4065" s="14"/>
      <c r="AV4065" s="14"/>
      <c r="AW4065" s="15"/>
      <c r="AX4065" s="16"/>
    </row>
    <row r="4066" spans="2:50" x14ac:dyDescent="0.2">
      <c r="B4066" s="7"/>
      <c r="C4066" s="8">
        <v>14377</v>
      </c>
      <c r="D4066" s="9" t="s">
        <v>485</v>
      </c>
      <c r="E4066" s="10" t="str">
        <f t="shared" si="376"/>
        <v>Rancho Estanzuela No. 111</v>
      </c>
      <c r="F4066" s="10" t="str">
        <f t="shared" si="377"/>
        <v>Flores Pérez</v>
      </c>
      <c r="G4066" s="8">
        <v>1</v>
      </c>
      <c r="H4066" s="11">
        <v>800</v>
      </c>
      <c r="I4066" s="12">
        <v>42862</v>
      </c>
      <c r="J4066" s="35">
        <f t="shared" si="378"/>
        <v>0</v>
      </c>
      <c r="K4066" s="36"/>
      <c r="L4066" s="36"/>
      <c r="M4066" s="36"/>
      <c r="N4066" s="36"/>
      <c r="O4066" s="36"/>
      <c r="P4066" s="36"/>
      <c r="Q4066" s="36"/>
      <c r="R4066" s="36"/>
      <c r="S4066" s="36"/>
      <c r="T4066" s="36"/>
      <c r="U4066" s="36"/>
      <c r="V4066" s="36"/>
      <c r="W4066" s="15">
        <f t="shared" si="379"/>
        <v>0</v>
      </c>
      <c r="X4066" s="36"/>
      <c r="Y4066" s="36"/>
      <c r="Z4066" s="36">
        <v>400</v>
      </c>
      <c r="AA4066" s="36">
        <v>400</v>
      </c>
      <c r="AB4066" s="36"/>
      <c r="AC4066" s="36"/>
      <c r="AD4066" s="36"/>
      <c r="AE4066" s="36"/>
      <c r="AF4066" s="36"/>
      <c r="AG4066" s="36"/>
      <c r="AH4066" s="36"/>
      <c r="AI4066" s="36"/>
      <c r="AJ4066" s="15">
        <f t="shared" si="380"/>
        <v>800</v>
      </c>
      <c r="AK4066" s="14"/>
      <c r="AL4066" s="14"/>
      <c r="AM4066" s="14"/>
      <c r="AN4066" s="14"/>
      <c r="AO4066" s="14"/>
      <c r="AP4066" s="14"/>
      <c r="AQ4066" s="14"/>
      <c r="AR4066" s="14"/>
      <c r="AS4066" s="14"/>
      <c r="AT4066" s="14"/>
      <c r="AU4066" s="14"/>
      <c r="AV4066" s="14"/>
      <c r="AW4066" s="15"/>
      <c r="AX4066" s="16"/>
    </row>
    <row r="4067" spans="2:50" x14ac:dyDescent="0.2">
      <c r="B4067" s="7"/>
      <c r="C4067" s="8">
        <v>14378</v>
      </c>
      <c r="D4067" s="9" t="s">
        <v>94</v>
      </c>
      <c r="E4067" s="10" t="str">
        <f t="shared" si="376"/>
        <v>Rancho Landero No. 42</v>
      </c>
      <c r="F4067" s="10" t="str">
        <f t="shared" si="377"/>
        <v>Ávila Fidel</v>
      </c>
      <c r="G4067" s="8">
        <v>1</v>
      </c>
      <c r="H4067" s="11">
        <v>400</v>
      </c>
      <c r="I4067" s="12">
        <v>42862</v>
      </c>
      <c r="J4067" s="35">
        <f t="shared" si="378"/>
        <v>0</v>
      </c>
      <c r="K4067" s="36"/>
      <c r="L4067" s="36"/>
      <c r="M4067" s="36"/>
      <c r="N4067" s="36"/>
      <c r="O4067" s="36"/>
      <c r="P4067" s="36"/>
      <c r="Q4067" s="36"/>
      <c r="R4067" s="36"/>
      <c r="S4067" s="36"/>
      <c r="T4067" s="36"/>
      <c r="U4067" s="36"/>
      <c r="V4067" s="36"/>
      <c r="W4067" s="15">
        <f t="shared" si="379"/>
        <v>0</v>
      </c>
      <c r="X4067" s="36"/>
      <c r="Y4067" s="36"/>
      <c r="Z4067" s="36"/>
      <c r="AA4067" s="36"/>
      <c r="AB4067" s="36">
        <v>400</v>
      </c>
      <c r="AC4067" s="36"/>
      <c r="AD4067" s="36"/>
      <c r="AE4067" s="36"/>
      <c r="AF4067" s="36"/>
      <c r="AG4067" s="36"/>
      <c r="AH4067" s="36"/>
      <c r="AI4067" s="36"/>
      <c r="AJ4067" s="15">
        <f t="shared" si="380"/>
        <v>400</v>
      </c>
      <c r="AK4067" s="14"/>
      <c r="AL4067" s="14"/>
      <c r="AM4067" s="14"/>
      <c r="AN4067" s="14"/>
      <c r="AO4067" s="14"/>
      <c r="AP4067" s="14"/>
      <c r="AQ4067" s="14"/>
      <c r="AR4067" s="14"/>
      <c r="AS4067" s="14"/>
      <c r="AT4067" s="14"/>
      <c r="AU4067" s="14"/>
      <c r="AV4067" s="14"/>
      <c r="AW4067" s="15"/>
      <c r="AX4067" s="16"/>
    </row>
    <row r="4068" spans="2:50" x14ac:dyDescent="0.2">
      <c r="B4068" s="7"/>
      <c r="C4068" s="8">
        <v>14379</v>
      </c>
      <c r="D4068" s="9" t="s">
        <v>150</v>
      </c>
      <c r="E4068" s="10" t="str">
        <f t="shared" si="376"/>
        <v>Rancho La Cuchilla No. 33</v>
      </c>
      <c r="F4068" s="10" t="str">
        <f t="shared" si="377"/>
        <v>Tanús</v>
      </c>
      <c r="G4068" s="8">
        <v>1</v>
      </c>
      <c r="H4068" s="11">
        <v>400</v>
      </c>
      <c r="I4068" s="12">
        <v>42862</v>
      </c>
      <c r="J4068" s="35">
        <f t="shared" si="378"/>
        <v>0</v>
      </c>
      <c r="K4068" s="36"/>
      <c r="L4068" s="36"/>
      <c r="M4068" s="36"/>
      <c r="N4068" s="36"/>
      <c r="O4068" s="36"/>
      <c r="P4068" s="36"/>
      <c r="Q4068" s="36"/>
      <c r="R4068" s="36"/>
      <c r="S4068" s="36"/>
      <c r="T4068" s="36"/>
      <c r="U4068" s="36"/>
      <c r="V4068" s="36"/>
      <c r="W4068" s="15">
        <f t="shared" si="379"/>
        <v>0</v>
      </c>
      <c r="X4068" s="36"/>
      <c r="Y4068" s="36"/>
      <c r="Z4068" s="36"/>
      <c r="AA4068" s="36"/>
      <c r="AB4068" s="36">
        <v>400</v>
      </c>
      <c r="AC4068" s="36"/>
      <c r="AD4068" s="36"/>
      <c r="AE4068" s="36"/>
      <c r="AF4068" s="36"/>
      <c r="AG4068" s="36"/>
      <c r="AH4068" s="36"/>
      <c r="AI4068" s="36"/>
      <c r="AJ4068" s="15">
        <f t="shared" si="380"/>
        <v>400</v>
      </c>
      <c r="AK4068" s="14"/>
      <c r="AL4068" s="14"/>
      <c r="AM4068" s="14"/>
      <c r="AN4068" s="14"/>
      <c r="AO4068" s="14"/>
      <c r="AP4068" s="14"/>
      <c r="AQ4068" s="14"/>
      <c r="AR4068" s="14"/>
      <c r="AS4068" s="14"/>
      <c r="AT4068" s="14"/>
      <c r="AU4068" s="14"/>
      <c r="AV4068" s="14"/>
      <c r="AW4068" s="15"/>
      <c r="AX4068" s="16"/>
    </row>
    <row r="4069" spans="2:50" x14ac:dyDescent="0.2">
      <c r="B4069" s="7"/>
      <c r="C4069" s="8">
        <v>14380</v>
      </c>
      <c r="D4069" s="9" t="s">
        <v>455</v>
      </c>
      <c r="E4069" s="10" t="str">
        <f t="shared" ref="E4069:E4193" si="381">IF(D4069=0,"",VLOOKUP(D4069,BASE,2,FALSE))</f>
        <v>Rancho Zinamba No. 38</v>
      </c>
      <c r="F4069" s="10" t="str">
        <f t="shared" ref="F4069:F4193" si="382">IF(D4069=0,"",VLOOKUP(D4069,BASE,3,FALSE))</f>
        <v>Ramírez Díaz</v>
      </c>
      <c r="G4069" s="8">
        <v>1</v>
      </c>
      <c r="H4069" s="11">
        <v>400</v>
      </c>
      <c r="I4069" s="12">
        <v>42862</v>
      </c>
      <c r="J4069" s="35">
        <f t="shared" ref="J4069:J4193" si="383">IF(G4069=1,SUM(W4069,AJ4069,-H4069),0)</f>
        <v>0</v>
      </c>
      <c r="K4069" s="36"/>
      <c r="L4069" s="36"/>
      <c r="M4069" s="36"/>
      <c r="N4069" s="36"/>
      <c r="O4069" s="36"/>
      <c r="P4069" s="36"/>
      <c r="Q4069" s="36"/>
      <c r="R4069" s="36"/>
      <c r="S4069" s="36"/>
      <c r="T4069" s="36"/>
      <c r="U4069" s="36"/>
      <c r="V4069" s="36"/>
      <c r="W4069" s="15">
        <f t="shared" ref="W4069:W4193" si="384">SUM(K4069:V4069)</f>
        <v>0</v>
      </c>
      <c r="X4069" s="36"/>
      <c r="Y4069" s="36"/>
      <c r="Z4069" s="36"/>
      <c r="AA4069" s="36"/>
      <c r="AB4069" s="36">
        <v>400</v>
      </c>
      <c r="AC4069" s="36"/>
      <c r="AD4069" s="36"/>
      <c r="AE4069" s="36"/>
      <c r="AF4069" s="36"/>
      <c r="AG4069" s="36"/>
      <c r="AH4069" s="36"/>
      <c r="AI4069" s="36"/>
      <c r="AJ4069" s="15">
        <f t="shared" ref="AJ4069:AJ4193" si="385">SUM(X4069:AI4069)</f>
        <v>400</v>
      </c>
      <c r="AK4069" s="14"/>
      <c r="AL4069" s="14"/>
      <c r="AM4069" s="14"/>
      <c r="AN4069" s="14"/>
      <c r="AO4069" s="14"/>
      <c r="AP4069" s="14"/>
      <c r="AQ4069" s="14"/>
      <c r="AR4069" s="14"/>
      <c r="AS4069" s="14"/>
      <c r="AT4069" s="14"/>
      <c r="AU4069" s="14"/>
      <c r="AV4069" s="14"/>
      <c r="AW4069" s="15"/>
      <c r="AX4069" s="16"/>
    </row>
    <row r="4070" spans="2:50" x14ac:dyDescent="0.2">
      <c r="B4070" s="7"/>
      <c r="C4070" s="8">
        <v>14381</v>
      </c>
      <c r="D4070" s="9" t="s">
        <v>503</v>
      </c>
      <c r="E4070" s="10" t="str">
        <f t="shared" si="381"/>
        <v>Rancho Landero No. 2, 2</v>
      </c>
      <c r="F4070" s="10" t="str">
        <f t="shared" si="382"/>
        <v>Sanchez</v>
      </c>
      <c r="G4070" s="8">
        <v>1</v>
      </c>
      <c r="H4070" s="11">
        <v>150</v>
      </c>
      <c r="I4070" s="12">
        <v>42862</v>
      </c>
      <c r="J4070" s="35">
        <f t="shared" si="383"/>
        <v>0</v>
      </c>
      <c r="K4070" s="36"/>
      <c r="L4070" s="36"/>
      <c r="M4070" s="36"/>
      <c r="N4070" s="36"/>
      <c r="O4070" s="36"/>
      <c r="P4070" s="36"/>
      <c r="Q4070" s="36"/>
      <c r="R4070" s="36"/>
      <c r="S4070" s="36"/>
      <c r="T4070" s="36"/>
      <c r="U4070" s="36"/>
      <c r="V4070" s="36"/>
      <c r="W4070" s="15">
        <f t="shared" si="384"/>
        <v>0</v>
      </c>
      <c r="X4070" s="36">
        <v>150</v>
      </c>
      <c r="Y4070" s="36"/>
      <c r="Z4070" s="36"/>
      <c r="AA4070" s="36"/>
      <c r="AB4070" s="36"/>
      <c r="AC4070" s="36"/>
      <c r="AD4070" s="36"/>
      <c r="AE4070" s="36"/>
      <c r="AF4070" s="36"/>
      <c r="AG4070" s="36"/>
      <c r="AH4070" s="36"/>
      <c r="AI4070" s="36"/>
      <c r="AJ4070" s="15">
        <f t="shared" si="385"/>
        <v>150</v>
      </c>
      <c r="AK4070" s="14"/>
      <c r="AL4070" s="14"/>
      <c r="AM4070" s="14"/>
      <c r="AN4070" s="14"/>
      <c r="AO4070" s="14"/>
      <c r="AP4070" s="14"/>
      <c r="AQ4070" s="14"/>
      <c r="AR4070" s="14"/>
      <c r="AS4070" s="14"/>
      <c r="AT4070" s="14"/>
      <c r="AU4070" s="14"/>
      <c r="AV4070" s="14"/>
      <c r="AW4070" s="15"/>
      <c r="AX4070" s="16"/>
    </row>
    <row r="4071" spans="2:50" x14ac:dyDescent="0.2">
      <c r="B4071" s="7"/>
      <c r="C4071" s="8">
        <v>14381</v>
      </c>
      <c r="D4071" s="9" t="s">
        <v>503</v>
      </c>
      <c r="E4071" s="10" t="str">
        <f t="shared" si="381"/>
        <v>Rancho Landero No. 2, 2</v>
      </c>
      <c r="F4071" s="10" t="str">
        <f t="shared" si="382"/>
        <v>Sanchez</v>
      </c>
      <c r="G4071" s="8">
        <v>4</v>
      </c>
      <c r="H4071" s="11">
        <v>200</v>
      </c>
      <c r="I4071" s="12">
        <v>42862</v>
      </c>
      <c r="J4071" s="35">
        <f t="shared" si="383"/>
        <v>0</v>
      </c>
      <c r="K4071" s="36"/>
      <c r="L4071" s="36"/>
      <c r="M4071" s="36"/>
      <c r="N4071" s="36"/>
      <c r="O4071" s="36"/>
      <c r="P4071" s="36"/>
      <c r="Q4071" s="36"/>
      <c r="R4071" s="36"/>
      <c r="S4071" s="36"/>
      <c r="T4071" s="36"/>
      <c r="U4071" s="36"/>
      <c r="V4071" s="36"/>
      <c r="W4071" s="15">
        <f t="shared" si="384"/>
        <v>0</v>
      </c>
      <c r="X4071" s="36"/>
      <c r="Y4071" s="36"/>
      <c r="Z4071" s="36"/>
      <c r="AA4071" s="36"/>
      <c r="AB4071" s="36"/>
      <c r="AC4071" s="36"/>
      <c r="AD4071" s="36"/>
      <c r="AE4071" s="36"/>
      <c r="AF4071" s="36"/>
      <c r="AG4071" s="36"/>
      <c r="AH4071" s="36"/>
      <c r="AI4071" s="36"/>
      <c r="AJ4071" s="15">
        <f t="shared" si="385"/>
        <v>0</v>
      </c>
      <c r="AK4071" s="14"/>
      <c r="AL4071" s="14"/>
      <c r="AM4071" s="14"/>
      <c r="AN4071" s="14"/>
      <c r="AO4071" s="14"/>
      <c r="AP4071" s="14"/>
      <c r="AQ4071" s="14"/>
      <c r="AR4071" s="14"/>
      <c r="AS4071" s="14"/>
      <c r="AT4071" s="14"/>
      <c r="AU4071" s="14"/>
      <c r="AV4071" s="14"/>
      <c r="AW4071" s="15"/>
      <c r="AX4071" s="16" t="s">
        <v>3994</v>
      </c>
    </row>
    <row r="4072" spans="2:50" x14ac:dyDescent="0.2">
      <c r="B4072" s="7"/>
      <c r="C4072" s="8">
        <v>14381</v>
      </c>
      <c r="D4072" s="9" t="s">
        <v>503</v>
      </c>
      <c r="E4072" s="10" t="str">
        <f t="shared" si="381"/>
        <v>Rancho Landero No. 2, 2</v>
      </c>
      <c r="F4072" s="10" t="str">
        <f t="shared" si="382"/>
        <v>Sanchez</v>
      </c>
      <c r="G4072" s="8">
        <v>5</v>
      </c>
      <c r="H4072" s="11">
        <v>50</v>
      </c>
      <c r="I4072" s="12">
        <v>42862</v>
      </c>
      <c r="J4072" s="35">
        <f t="shared" si="383"/>
        <v>0</v>
      </c>
      <c r="K4072" s="36"/>
      <c r="L4072" s="36"/>
      <c r="M4072" s="36"/>
      <c r="N4072" s="36"/>
      <c r="O4072" s="36"/>
      <c r="P4072" s="36"/>
      <c r="Q4072" s="36"/>
      <c r="R4072" s="36"/>
      <c r="S4072" s="36"/>
      <c r="T4072" s="36"/>
      <c r="U4072" s="36"/>
      <c r="V4072" s="36"/>
      <c r="W4072" s="15">
        <f t="shared" si="384"/>
        <v>0</v>
      </c>
      <c r="X4072" s="36"/>
      <c r="Y4072" s="36"/>
      <c r="Z4072" s="36"/>
      <c r="AA4072" s="36"/>
      <c r="AB4072" s="36"/>
      <c r="AC4072" s="36"/>
      <c r="AD4072" s="36"/>
      <c r="AE4072" s="36"/>
      <c r="AF4072" s="36"/>
      <c r="AG4072" s="36"/>
      <c r="AH4072" s="36"/>
      <c r="AI4072" s="36"/>
      <c r="AJ4072" s="15">
        <f t="shared" si="385"/>
        <v>0</v>
      </c>
      <c r="AK4072" s="14"/>
      <c r="AL4072" s="14"/>
      <c r="AM4072" s="14"/>
      <c r="AN4072" s="14"/>
      <c r="AO4072" s="14"/>
      <c r="AP4072" s="14"/>
      <c r="AQ4072" s="14"/>
      <c r="AR4072" s="14"/>
      <c r="AS4072" s="14"/>
      <c r="AT4072" s="14"/>
      <c r="AU4072" s="14"/>
      <c r="AV4072" s="14"/>
      <c r="AW4072" s="15"/>
      <c r="AX4072" s="16"/>
    </row>
    <row r="4073" spans="2:50" x14ac:dyDescent="0.2">
      <c r="B4073" s="7"/>
      <c r="C4073" s="8">
        <v>14382</v>
      </c>
      <c r="D4073" s="9" t="s">
        <v>503</v>
      </c>
      <c r="E4073" s="10" t="str">
        <f t="shared" si="381"/>
        <v>Rancho Landero No. 2, 2</v>
      </c>
      <c r="F4073" s="10" t="str">
        <f t="shared" si="382"/>
        <v>Sanchez</v>
      </c>
      <c r="G4073" s="8">
        <v>1</v>
      </c>
      <c r="H4073" s="11">
        <v>100</v>
      </c>
      <c r="I4073" s="12">
        <v>42862</v>
      </c>
      <c r="J4073" s="35">
        <f t="shared" si="383"/>
        <v>0</v>
      </c>
      <c r="K4073" s="36"/>
      <c r="L4073" s="36"/>
      <c r="M4073" s="36"/>
      <c r="N4073" s="36"/>
      <c r="O4073" s="36"/>
      <c r="P4073" s="36"/>
      <c r="Q4073" s="36"/>
      <c r="R4073" s="36"/>
      <c r="S4073" s="36"/>
      <c r="T4073" s="36"/>
      <c r="U4073" s="36"/>
      <c r="V4073" s="36"/>
      <c r="W4073" s="15">
        <f t="shared" si="384"/>
        <v>0</v>
      </c>
      <c r="X4073" s="36"/>
      <c r="Y4073" s="36">
        <v>100</v>
      </c>
      <c r="Z4073" s="36"/>
      <c r="AA4073" s="36"/>
      <c r="AB4073" s="36"/>
      <c r="AC4073" s="36"/>
      <c r="AD4073" s="36"/>
      <c r="AE4073" s="36"/>
      <c r="AF4073" s="36"/>
      <c r="AG4073" s="36"/>
      <c r="AH4073" s="36"/>
      <c r="AI4073" s="36"/>
      <c r="AJ4073" s="15">
        <f t="shared" si="385"/>
        <v>100</v>
      </c>
      <c r="AK4073" s="14"/>
      <c r="AL4073" s="14"/>
      <c r="AM4073" s="14"/>
      <c r="AN4073" s="14"/>
      <c r="AO4073" s="14"/>
      <c r="AP4073" s="14"/>
      <c r="AQ4073" s="14"/>
      <c r="AR4073" s="14"/>
      <c r="AS4073" s="14"/>
      <c r="AT4073" s="14"/>
      <c r="AU4073" s="14"/>
      <c r="AV4073" s="14"/>
      <c r="AW4073" s="15"/>
      <c r="AX4073" s="16"/>
    </row>
    <row r="4074" spans="2:50" x14ac:dyDescent="0.2">
      <c r="B4074" s="7"/>
      <c r="C4074" s="8">
        <v>14383</v>
      </c>
      <c r="D4074" s="9" t="s">
        <v>782</v>
      </c>
      <c r="E4074" s="10" t="str">
        <f t="shared" si="381"/>
        <v>Rancho Estanzuela No. 35</v>
      </c>
      <c r="F4074" s="10" t="str">
        <f t="shared" si="382"/>
        <v>Rodríguez</v>
      </c>
      <c r="G4074" s="8">
        <v>1</v>
      </c>
      <c r="H4074" s="11">
        <v>600</v>
      </c>
      <c r="I4074" s="12">
        <v>42862</v>
      </c>
      <c r="J4074" s="35">
        <f t="shared" si="383"/>
        <v>0</v>
      </c>
      <c r="K4074" s="36"/>
      <c r="L4074" s="36"/>
      <c r="M4074" s="36"/>
      <c r="N4074" s="36"/>
      <c r="O4074" s="36"/>
      <c r="P4074" s="36"/>
      <c r="Q4074" s="36"/>
      <c r="R4074" s="36"/>
      <c r="S4074" s="36"/>
      <c r="T4074" s="36"/>
      <c r="U4074" s="36"/>
      <c r="V4074" s="36"/>
      <c r="W4074" s="15">
        <f t="shared" si="384"/>
        <v>0</v>
      </c>
      <c r="X4074" s="36"/>
      <c r="Y4074" s="36"/>
      <c r="Z4074" s="36"/>
      <c r="AA4074" s="36">
        <v>200</v>
      </c>
      <c r="AB4074" s="36">
        <v>200</v>
      </c>
      <c r="AC4074" s="36">
        <v>200</v>
      </c>
      <c r="AD4074" s="36"/>
      <c r="AE4074" s="36"/>
      <c r="AF4074" s="36"/>
      <c r="AG4074" s="36"/>
      <c r="AH4074" s="36"/>
      <c r="AI4074" s="36"/>
      <c r="AJ4074" s="15">
        <f t="shared" si="385"/>
        <v>600</v>
      </c>
      <c r="AK4074" s="14"/>
      <c r="AL4074" s="14"/>
      <c r="AM4074" s="14"/>
      <c r="AN4074" s="14"/>
      <c r="AO4074" s="14"/>
      <c r="AP4074" s="14"/>
      <c r="AQ4074" s="14"/>
      <c r="AR4074" s="14"/>
      <c r="AS4074" s="14"/>
      <c r="AT4074" s="14"/>
      <c r="AU4074" s="14"/>
      <c r="AV4074" s="14"/>
      <c r="AW4074" s="15"/>
      <c r="AX4074" s="16"/>
    </row>
    <row r="4075" spans="2:50" x14ac:dyDescent="0.2">
      <c r="B4075" s="7"/>
      <c r="C4075" s="8">
        <v>14384</v>
      </c>
      <c r="D4075" s="9" t="s">
        <v>138</v>
      </c>
      <c r="E4075" s="10" t="str">
        <f t="shared" si="381"/>
        <v>Rancho La Cuchilla No. 135</v>
      </c>
      <c r="F4075" s="10" t="str">
        <f t="shared" si="382"/>
        <v>Perea</v>
      </c>
      <c r="G4075" s="8">
        <v>1</v>
      </c>
      <c r="H4075" s="11">
        <v>2800</v>
      </c>
      <c r="I4075" s="12">
        <v>42862</v>
      </c>
      <c r="J4075" s="35">
        <f t="shared" si="383"/>
        <v>0</v>
      </c>
      <c r="K4075" s="36"/>
      <c r="L4075" s="36"/>
      <c r="M4075" s="36"/>
      <c r="N4075" s="36"/>
      <c r="O4075" s="36"/>
      <c r="P4075" s="36"/>
      <c r="Q4075" s="36"/>
      <c r="R4075" s="36"/>
      <c r="S4075" s="36"/>
      <c r="T4075" s="36"/>
      <c r="U4075" s="36"/>
      <c r="V4075" s="36"/>
      <c r="W4075" s="15">
        <f t="shared" si="384"/>
        <v>0</v>
      </c>
      <c r="X4075" s="36"/>
      <c r="Y4075" s="36"/>
      <c r="Z4075" s="36"/>
      <c r="AA4075" s="36"/>
      <c r="AB4075" s="36">
        <v>400</v>
      </c>
      <c r="AC4075" s="36">
        <v>400</v>
      </c>
      <c r="AD4075" s="36">
        <v>400</v>
      </c>
      <c r="AE4075" s="36">
        <v>400</v>
      </c>
      <c r="AF4075" s="36">
        <v>400</v>
      </c>
      <c r="AG4075" s="36">
        <v>400</v>
      </c>
      <c r="AH4075" s="36">
        <v>400</v>
      </c>
      <c r="AI4075" s="36"/>
      <c r="AJ4075" s="15">
        <f t="shared" si="385"/>
        <v>2800</v>
      </c>
      <c r="AK4075" s="14"/>
      <c r="AL4075" s="14"/>
      <c r="AM4075" s="14"/>
      <c r="AN4075" s="14"/>
      <c r="AO4075" s="14"/>
      <c r="AP4075" s="14"/>
      <c r="AQ4075" s="14"/>
      <c r="AR4075" s="14"/>
      <c r="AS4075" s="14"/>
      <c r="AT4075" s="14"/>
      <c r="AU4075" s="14"/>
      <c r="AV4075" s="14"/>
      <c r="AW4075" s="15"/>
      <c r="AX4075" s="16" t="s">
        <v>3176</v>
      </c>
    </row>
    <row r="4076" spans="2:50" x14ac:dyDescent="0.2">
      <c r="B4076" s="7"/>
      <c r="C4076" s="8">
        <v>14385</v>
      </c>
      <c r="D4076" s="9" t="s">
        <v>944</v>
      </c>
      <c r="E4076" s="10" t="str">
        <f t="shared" si="381"/>
        <v>Rancho Upácuaro No. 104</v>
      </c>
      <c r="F4076" s="10" t="str">
        <f t="shared" si="382"/>
        <v>Jiménez Almazo</v>
      </c>
      <c r="G4076" s="8">
        <v>1</v>
      </c>
      <c r="H4076" s="11">
        <v>400</v>
      </c>
      <c r="I4076" s="12">
        <v>42862</v>
      </c>
      <c r="J4076" s="35">
        <f t="shared" si="383"/>
        <v>0</v>
      </c>
      <c r="K4076" s="36"/>
      <c r="L4076" s="36"/>
      <c r="M4076" s="36"/>
      <c r="N4076" s="36"/>
      <c r="O4076" s="36"/>
      <c r="P4076" s="36"/>
      <c r="Q4076" s="36"/>
      <c r="R4076" s="36"/>
      <c r="S4076" s="36"/>
      <c r="T4076" s="36"/>
      <c r="U4076" s="36"/>
      <c r="V4076" s="36"/>
      <c r="W4076" s="15">
        <f t="shared" si="384"/>
        <v>0</v>
      </c>
      <c r="X4076" s="36">
        <v>100</v>
      </c>
      <c r="Y4076" s="36">
        <v>100</v>
      </c>
      <c r="Z4076" s="36">
        <v>100</v>
      </c>
      <c r="AA4076" s="36">
        <v>100</v>
      </c>
      <c r="AB4076" s="36"/>
      <c r="AC4076" s="36"/>
      <c r="AD4076" s="36"/>
      <c r="AE4076" s="36"/>
      <c r="AF4076" s="36"/>
      <c r="AG4076" s="36"/>
      <c r="AH4076" s="36"/>
      <c r="AI4076" s="36"/>
      <c r="AJ4076" s="15">
        <f t="shared" si="385"/>
        <v>400</v>
      </c>
      <c r="AK4076" s="14"/>
      <c r="AL4076" s="14"/>
      <c r="AM4076" s="14"/>
      <c r="AN4076" s="14"/>
      <c r="AO4076" s="14"/>
      <c r="AP4076" s="14"/>
      <c r="AQ4076" s="14"/>
      <c r="AR4076" s="14"/>
      <c r="AS4076" s="14"/>
      <c r="AT4076" s="14"/>
      <c r="AU4076" s="14"/>
      <c r="AV4076" s="14"/>
      <c r="AW4076" s="15"/>
      <c r="AX4076" s="16"/>
    </row>
    <row r="4077" spans="2:50" x14ac:dyDescent="0.2">
      <c r="B4077" s="7"/>
      <c r="C4077" s="8">
        <v>14386</v>
      </c>
      <c r="D4077" s="9" t="s">
        <v>346</v>
      </c>
      <c r="E4077" s="10" t="str">
        <f t="shared" si="381"/>
        <v>Rancho Upácuaro No. 108</v>
      </c>
      <c r="F4077" s="10" t="str">
        <f t="shared" si="382"/>
        <v>Mejía</v>
      </c>
      <c r="G4077" s="8">
        <v>1</v>
      </c>
      <c r="H4077" s="11">
        <v>300</v>
      </c>
      <c r="I4077" s="12">
        <v>42862</v>
      </c>
      <c r="J4077" s="35">
        <f t="shared" si="383"/>
        <v>0</v>
      </c>
      <c r="K4077" s="36"/>
      <c r="L4077" s="36"/>
      <c r="M4077" s="36"/>
      <c r="N4077" s="36"/>
      <c r="O4077" s="36"/>
      <c r="P4077" s="36"/>
      <c r="Q4077" s="36"/>
      <c r="R4077" s="36"/>
      <c r="S4077" s="36"/>
      <c r="T4077" s="36"/>
      <c r="U4077" s="36"/>
      <c r="V4077" s="36"/>
      <c r="W4077" s="15">
        <f t="shared" si="384"/>
        <v>0</v>
      </c>
      <c r="X4077" s="36"/>
      <c r="Y4077" s="36"/>
      <c r="Z4077" s="36"/>
      <c r="AA4077" s="36"/>
      <c r="AB4077" s="36">
        <v>300</v>
      </c>
      <c r="AC4077" s="36"/>
      <c r="AD4077" s="36"/>
      <c r="AE4077" s="36"/>
      <c r="AF4077" s="36"/>
      <c r="AG4077" s="36"/>
      <c r="AH4077" s="36"/>
      <c r="AI4077" s="36"/>
      <c r="AJ4077" s="15">
        <f t="shared" si="385"/>
        <v>300</v>
      </c>
      <c r="AK4077" s="14"/>
      <c r="AL4077" s="14"/>
      <c r="AM4077" s="14"/>
      <c r="AN4077" s="14"/>
      <c r="AO4077" s="14"/>
      <c r="AP4077" s="14"/>
      <c r="AQ4077" s="14"/>
      <c r="AR4077" s="14"/>
      <c r="AS4077" s="14"/>
      <c r="AT4077" s="14"/>
      <c r="AU4077" s="14"/>
      <c r="AV4077" s="14"/>
      <c r="AW4077" s="15"/>
      <c r="AX4077" s="16"/>
    </row>
    <row r="4078" spans="2:50" x14ac:dyDescent="0.2">
      <c r="B4078" s="7"/>
      <c r="C4078" s="8">
        <v>14387</v>
      </c>
      <c r="D4078" s="9" t="s">
        <v>395</v>
      </c>
      <c r="E4078" s="10" t="str">
        <f t="shared" si="381"/>
        <v>Rancho Landero No. 7</v>
      </c>
      <c r="F4078" s="10" t="str">
        <f t="shared" si="382"/>
        <v>Robles</v>
      </c>
      <c r="G4078" s="8">
        <v>1</v>
      </c>
      <c r="H4078" s="11">
        <v>200</v>
      </c>
      <c r="I4078" s="12">
        <v>42862</v>
      </c>
      <c r="J4078" s="35">
        <f t="shared" si="383"/>
        <v>0</v>
      </c>
      <c r="K4078" s="36"/>
      <c r="L4078" s="36"/>
      <c r="M4078" s="36"/>
      <c r="N4078" s="36"/>
      <c r="O4078" s="36"/>
      <c r="P4078" s="36"/>
      <c r="Q4078" s="36"/>
      <c r="R4078" s="36"/>
      <c r="S4078" s="36"/>
      <c r="T4078" s="36"/>
      <c r="U4078" s="36"/>
      <c r="V4078" s="36"/>
      <c r="W4078" s="15">
        <f t="shared" si="384"/>
        <v>0</v>
      </c>
      <c r="X4078" s="36"/>
      <c r="Y4078" s="36"/>
      <c r="Z4078" s="36"/>
      <c r="AA4078" s="36"/>
      <c r="AB4078" s="36">
        <v>200</v>
      </c>
      <c r="AC4078" s="36"/>
      <c r="AD4078" s="36"/>
      <c r="AE4078" s="36"/>
      <c r="AF4078" s="36"/>
      <c r="AG4078" s="36"/>
      <c r="AH4078" s="36"/>
      <c r="AI4078" s="36"/>
      <c r="AJ4078" s="15">
        <f t="shared" si="385"/>
        <v>200</v>
      </c>
      <c r="AK4078" s="14"/>
      <c r="AL4078" s="14"/>
      <c r="AM4078" s="14"/>
      <c r="AN4078" s="14"/>
      <c r="AO4078" s="14"/>
      <c r="AP4078" s="14"/>
      <c r="AQ4078" s="14"/>
      <c r="AR4078" s="14"/>
      <c r="AS4078" s="14"/>
      <c r="AT4078" s="14"/>
      <c r="AU4078" s="14"/>
      <c r="AV4078" s="14"/>
      <c r="AW4078" s="15"/>
      <c r="AX4078" s="16"/>
    </row>
    <row r="4079" spans="2:50" x14ac:dyDescent="0.2">
      <c r="B4079" s="7"/>
      <c r="C4079" s="8">
        <v>14388</v>
      </c>
      <c r="D4079" s="9" t="s">
        <v>51</v>
      </c>
      <c r="E4079" s="10" t="str">
        <f t="shared" si="381"/>
        <v>Rancho Landero No. 22</v>
      </c>
      <c r="F4079" s="10" t="str">
        <f t="shared" si="382"/>
        <v>Reyes</v>
      </c>
      <c r="G4079" s="8">
        <v>1</v>
      </c>
      <c r="H4079" s="11">
        <v>500</v>
      </c>
      <c r="I4079" s="12">
        <v>42862</v>
      </c>
      <c r="J4079" s="35">
        <f t="shared" si="383"/>
        <v>0</v>
      </c>
      <c r="K4079" s="36"/>
      <c r="L4079" s="36"/>
      <c r="M4079" s="36"/>
      <c r="N4079" s="36"/>
      <c r="O4079" s="36"/>
      <c r="P4079" s="36"/>
      <c r="Q4079" s="36"/>
      <c r="R4079" s="36"/>
      <c r="S4079" s="36"/>
      <c r="T4079" s="36"/>
      <c r="U4079" s="36"/>
      <c r="V4079" s="36"/>
      <c r="W4079" s="15">
        <f t="shared" si="384"/>
        <v>0</v>
      </c>
      <c r="X4079" s="36"/>
      <c r="Y4079" s="36"/>
      <c r="Z4079" s="36"/>
      <c r="AA4079" s="36">
        <v>250</v>
      </c>
      <c r="AB4079" s="36">
        <v>250</v>
      </c>
      <c r="AC4079" s="36"/>
      <c r="AD4079" s="36"/>
      <c r="AE4079" s="36"/>
      <c r="AF4079" s="36"/>
      <c r="AG4079" s="36"/>
      <c r="AH4079" s="36"/>
      <c r="AI4079" s="36"/>
      <c r="AJ4079" s="15">
        <f t="shared" si="385"/>
        <v>500</v>
      </c>
      <c r="AK4079" s="14"/>
      <c r="AL4079" s="14"/>
      <c r="AM4079" s="14"/>
      <c r="AN4079" s="14"/>
      <c r="AO4079" s="14"/>
      <c r="AP4079" s="14"/>
      <c r="AQ4079" s="14"/>
      <c r="AR4079" s="14"/>
      <c r="AS4079" s="14"/>
      <c r="AT4079" s="14"/>
      <c r="AU4079" s="14"/>
      <c r="AV4079" s="14"/>
      <c r="AW4079" s="15"/>
      <c r="AX4079" s="16"/>
    </row>
    <row r="4080" spans="2:50" x14ac:dyDescent="0.2">
      <c r="B4080" s="7"/>
      <c r="C4080" s="8">
        <v>14389</v>
      </c>
      <c r="D4080" s="9" t="s">
        <v>617</v>
      </c>
      <c r="E4080" s="10" t="str">
        <f t="shared" si="381"/>
        <v>Rancho Zinamba No. 50</v>
      </c>
      <c r="F4080" s="10" t="str">
        <f t="shared" si="382"/>
        <v>Del Castillo</v>
      </c>
      <c r="G4080" s="8">
        <v>1</v>
      </c>
      <c r="H4080" s="11">
        <v>400</v>
      </c>
      <c r="I4080" s="12">
        <v>42862</v>
      </c>
      <c r="J4080" s="35">
        <f t="shared" si="383"/>
        <v>0</v>
      </c>
      <c r="K4080" s="36"/>
      <c r="L4080" s="36"/>
      <c r="M4080" s="36"/>
      <c r="N4080" s="36"/>
      <c r="O4080" s="36"/>
      <c r="P4080" s="36"/>
      <c r="Q4080" s="36"/>
      <c r="R4080" s="36"/>
      <c r="S4080" s="36"/>
      <c r="T4080" s="36"/>
      <c r="U4080" s="36"/>
      <c r="V4080" s="36"/>
      <c r="W4080" s="15">
        <f t="shared" si="384"/>
        <v>0</v>
      </c>
      <c r="X4080" s="36"/>
      <c r="Y4080" s="36"/>
      <c r="Z4080" s="36"/>
      <c r="AA4080" s="36">
        <v>400</v>
      </c>
      <c r="AB4080" s="36"/>
      <c r="AC4080" s="36"/>
      <c r="AD4080" s="36"/>
      <c r="AE4080" s="36"/>
      <c r="AF4080" s="36"/>
      <c r="AG4080" s="36"/>
      <c r="AH4080" s="36"/>
      <c r="AI4080" s="36"/>
      <c r="AJ4080" s="15">
        <f t="shared" si="385"/>
        <v>400</v>
      </c>
      <c r="AK4080" s="14"/>
      <c r="AL4080" s="14"/>
      <c r="AM4080" s="14"/>
      <c r="AN4080" s="14"/>
      <c r="AO4080" s="14"/>
      <c r="AP4080" s="14"/>
      <c r="AQ4080" s="14"/>
      <c r="AR4080" s="14"/>
      <c r="AS4080" s="14"/>
      <c r="AT4080" s="14"/>
      <c r="AU4080" s="14"/>
      <c r="AV4080" s="14"/>
      <c r="AW4080" s="15"/>
      <c r="AX4080" s="16"/>
    </row>
    <row r="4081" spans="2:50" x14ac:dyDescent="0.2">
      <c r="B4081" s="7"/>
      <c r="C4081" s="8">
        <v>14390</v>
      </c>
      <c r="D4081" s="9" t="s">
        <v>361</v>
      </c>
      <c r="E4081" s="10" t="str">
        <f t="shared" si="381"/>
        <v>Rancho Upácuaro No. 101</v>
      </c>
      <c r="F4081" s="10" t="str">
        <f t="shared" si="382"/>
        <v>Chávez, Arturo</v>
      </c>
      <c r="G4081" s="8">
        <v>1</v>
      </c>
      <c r="H4081" s="11">
        <v>400</v>
      </c>
      <c r="I4081" s="12">
        <v>42862</v>
      </c>
      <c r="J4081" s="35">
        <f t="shared" si="383"/>
        <v>0</v>
      </c>
      <c r="K4081" s="36"/>
      <c r="L4081" s="36"/>
      <c r="M4081" s="36"/>
      <c r="N4081" s="36"/>
      <c r="O4081" s="36"/>
      <c r="P4081" s="36"/>
      <c r="Q4081" s="36"/>
      <c r="R4081" s="36"/>
      <c r="S4081" s="36"/>
      <c r="T4081" s="36"/>
      <c r="U4081" s="36"/>
      <c r="V4081" s="36"/>
      <c r="W4081" s="15">
        <f t="shared" si="384"/>
        <v>0</v>
      </c>
      <c r="X4081" s="36"/>
      <c r="Y4081" s="36"/>
      <c r="Z4081" s="36"/>
      <c r="AA4081" s="36">
        <v>400</v>
      </c>
      <c r="AB4081" s="36"/>
      <c r="AC4081" s="36"/>
      <c r="AD4081" s="36"/>
      <c r="AE4081" s="36"/>
      <c r="AF4081" s="36"/>
      <c r="AG4081" s="36"/>
      <c r="AH4081" s="36"/>
      <c r="AI4081" s="36"/>
      <c r="AJ4081" s="15">
        <f t="shared" si="385"/>
        <v>400</v>
      </c>
      <c r="AK4081" s="14"/>
      <c r="AL4081" s="14"/>
      <c r="AM4081" s="14"/>
      <c r="AN4081" s="14"/>
      <c r="AO4081" s="14"/>
      <c r="AP4081" s="14"/>
      <c r="AQ4081" s="14"/>
      <c r="AR4081" s="14"/>
      <c r="AS4081" s="14"/>
      <c r="AT4081" s="14"/>
      <c r="AU4081" s="14"/>
      <c r="AV4081" s="14"/>
      <c r="AW4081" s="15"/>
      <c r="AX4081" s="16"/>
    </row>
    <row r="4082" spans="2:50" x14ac:dyDescent="0.2">
      <c r="B4082" s="7"/>
      <c r="C4082" s="8">
        <v>14391</v>
      </c>
      <c r="D4082" s="9" t="s">
        <v>449</v>
      </c>
      <c r="E4082" s="10" t="str">
        <f t="shared" si="381"/>
        <v>Rancho La Cuchilla No. 132</v>
      </c>
      <c r="F4082" s="10" t="str">
        <f t="shared" si="382"/>
        <v>Téllez Girón</v>
      </c>
      <c r="G4082" s="8">
        <v>1</v>
      </c>
      <c r="H4082" s="11">
        <v>900</v>
      </c>
      <c r="I4082" s="12">
        <v>42862</v>
      </c>
      <c r="J4082" s="35">
        <f t="shared" si="383"/>
        <v>0</v>
      </c>
      <c r="K4082" s="36"/>
      <c r="L4082" s="36"/>
      <c r="M4082" s="36"/>
      <c r="N4082" s="36"/>
      <c r="O4082" s="36"/>
      <c r="P4082" s="36"/>
      <c r="Q4082" s="36"/>
      <c r="R4082" s="36"/>
      <c r="S4082" s="36"/>
      <c r="T4082" s="36"/>
      <c r="U4082" s="36"/>
      <c r="V4082" s="36"/>
      <c r="W4082" s="15">
        <f t="shared" si="384"/>
        <v>0</v>
      </c>
      <c r="X4082" s="36"/>
      <c r="Y4082" s="36"/>
      <c r="Z4082" s="36">
        <v>300</v>
      </c>
      <c r="AA4082" s="36">
        <v>300</v>
      </c>
      <c r="AB4082" s="36">
        <v>300</v>
      </c>
      <c r="AC4082" s="36"/>
      <c r="AD4082" s="36"/>
      <c r="AE4082" s="36"/>
      <c r="AF4082" s="36"/>
      <c r="AG4082" s="36"/>
      <c r="AH4082" s="36"/>
      <c r="AI4082" s="36"/>
      <c r="AJ4082" s="15">
        <f t="shared" si="385"/>
        <v>900</v>
      </c>
      <c r="AK4082" s="14"/>
      <c r="AL4082" s="14"/>
      <c r="AM4082" s="14"/>
      <c r="AN4082" s="14"/>
      <c r="AO4082" s="14"/>
      <c r="AP4082" s="14"/>
      <c r="AQ4082" s="14"/>
      <c r="AR4082" s="14"/>
      <c r="AS4082" s="14"/>
      <c r="AT4082" s="14"/>
      <c r="AU4082" s="14"/>
      <c r="AV4082" s="14"/>
      <c r="AW4082" s="15"/>
      <c r="AX4082" s="16"/>
    </row>
    <row r="4083" spans="2:50" x14ac:dyDescent="0.2">
      <c r="B4083" s="7"/>
      <c r="C4083" s="8">
        <v>14392</v>
      </c>
      <c r="D4083" s="9" t="s">
        <v>328</v>
      </c>
      <c r="E4083" s="10" t="str">
        <f t="shared" si="381"/>
        <v>Rancho La Cuchilla No. 130</v>
      </c>
      <c r="F4083" s="10" t="str">
        <f t="shared" si="382"/>
        <v>Gonzalez</v>
      </c>
      <c r="G4083" s="8">
        <v>1</v>
      </c>
      <c r="H4083" s="11">
        <v>400</v>
      </c>
      <c r="I4083" s="12">
        <v>42862</v>
      </c>
      <c r="J4083" s="35">
        <f t="shared" si="383"/>
        <v>0</v>
      </c>
      <c r="K4083" s="36"/>
      <c r="L4083" s="36"/>
      <c r="M4083" s="36"/>
      <c r="N4083" s="36"/>
      <c r="O4083" s="36"/>
      <c r="P4083" s="36"/>
      <c r="Q4083" s="36"/>
      <c r="R4083" s="36"/>
      <c r="S4083" s="36"/>
      <c r="T4083" s="36"/>
      <c r="U4083" s="36"/>
      <c r="V4083" s="36"/>
      <c r="W4083" s="15">
        <f t="shared" si="384"/>
        <v>0</v>
      </c>
      <c r="X4083" s="36"/>
      <c r="Y4083" s="36"/>
      <c r="Z4083" s="36"/>
      <c r="AA4083" s="36"/>
      <c r="AB4083" s="36">
        <v>400</v>
      </c>
      <c r="AC4083" s="36"/>
      <c r="AD4083" s="36"/>
      <c r="AE4083" s="36"/>
      <c r="AF4083" s="36"/>
      <c r="AG4083" s="36"/>
      <c r="AH4083" s="36"/>
      <c r="AI4083" s="36"/>
      <c r="AJ4083" s="15">
        <f t="shared" si="385"/>
        <v>400</v>
      </c>
      <c r="AK4083" s="14"/>
      <c r="AL4083" s="14"/>
      <c r="AM4083" s="14"/>
      <c r="AN4083" s="14"/>
      <c r="AO4083" s="14"/>
      <c r="AP4083" s="14"/>
      <c r="AQ4083" s="14"/>
      <c r="AR4083" s="14"/>
      <c r="AS4083" s="14"/>
      <c r="AT4083" s="14"/>
      <c r="AU4083" s="14"/>
      <c r="AV4083" s="14"/>
      <c r="AW4083" s="15"/>
      <c r="AX4083" s="16"/>
    </row>
    <row r="4084" spans="2:50" x14ac:dyDescent="0.2">
      <c r="B4084" s="7"/>
      <c r="C4084" s="8">
        <v>14393</v>
      </c>
      <c r="D4084" s="9" t="s">
        <v>192</v>
      </c>
      <c r="E4084" s="10" t="str">
        <f t="shared" si="381"/>
        <v>Rancho Landero No. 77</v>
      </c>
      <c r="F4084" s="10" t="str">
        <f t="shared" si="382"/>
        <v>Muñoz</v>
      </c>
      <c r="G4084" s="8">
        <v>1</v>
      </c>
      <c r="H4084" s="11">
        <v>800</v>
      </c>
      <c r="I4084" s="12">
        <v>42862</v>
      </c>
      <c r="J4084" s="35">
        <f t="shared" si="383"/>
        <v>0</v>
      </c>
      <c r="K4084" s="36"/>
      <c r="L4084" s="36"/>
      <c r="M4084" s="36"/>
      <c r="N4084" s="36"/>
      <c r="O4084" s="36"/>
      <c r="P4084" s="36"/>
      <c r="Q4084" s="36"/>
      <c r="R4084" s="36"/>
      <c r="S4084" s="36"/>
      <c r="T4084" s="36"/>
      <c r="U4084" s="36"/>
      <c r="V4084" s="36"/>
      <c r="W4084" s="15">
        <f t="shared" si="384"/>
        <v>0</v>
      </c>
      <c r="X4084" s="36"/>
      <c r="Y4084" s="36"/>
      <c r="Z4084" s="36">
        <v>400</v>
      </c>
      <c r="AA4084" s="36">
        <v>400</v>
      </c>
      <c r="AB4084" s="36"/>
      <c r="AC4084" s="36"/>
      <c r="AD4084" s="36"/>
      <c r="AE4084" s="36"/>
      <c r="AF4084" s="36"/>
      <c r="AG4084" s="36"/>
      <c r="AH4084" s="36"/>
      <c r="AI4084" s="36"/>
      <c r="AJ4084" s="15">
        <f t="shared" si="385"/>
        <v>800</v>
      </c>
      <c r="AK4084" s="14"/>
      <c r="AL4084" s="14"/>
      <c r="AM4084" s="14"/>
      <c r="AN4084" s="14"/>
      <c r="AO4084" s="14"/>
      <c r="AP4084" s="14"/>
      <c r="AQ4084" s="14"/>
      <c r="AR4084" s="14"/>
      <c r="AS4084" s="14"/>
      <c r="AT4084" s="14"/>
      <c r="AU4084" s="14"/>
      <c r="AV4084" s="14"/>
      <c r="AW4084" s="15"/>
      <c r="AX4084" s="16"/>
    </row>
    <row r="4085" spans="2:50" x14ac:dyDescent="0.2">
      <c r="B4085" s="7"/>
      <c r="C4085" s="8">
        <v>14394</v>
      </c>
      <c r="D4085" s="9" t="s">
        <v>262</v>
      </c>
      <c r="E4085" s="10" t="str">
        <f t="shared" si="381"/>
        <v>Rancho Recoveco No. 1</v>
      </c>
      <c r="F4085" s="10" t="str">
        <f t="shared" si="382"/>
        <v>Díaz</v>
      </c>
      <c r="G4085" s="8">
        <v>1</v>
      </c>
      <c r="H4085" s="11">
        <v>300</v>
      </c>
      <c r="I4085" s="12">
        <v>42862</v>
      </c>
      <c r="J4085" s="35">
        <f t="shared" si="383"/>
        <v>0</v>
      </c>
      <c r="K4085" s="36"/>
      <c r="L4085" s="36"/>
      <c r="M4085" s="36"/>
      <c r="N4085" s="36"/>
      <c r="O4085" s="36"/>
      <c r="P4085" s="36"/>
      <c r="Q4085" s="36"/>
      <c r="R4085" s="36"/>
      <c r="S4085" s="36"/>
      <c r="T4085" s="36"/>
      <c r="U4085" s="36"/>
      <c r="V4085" s="36"/>
      <c r="W4085" s="15">
        <f t="shared" si="384"/>
        <v>0</v>
      </c>
      <c r="X4085" s="36"/>
      <c r="Y4085" s="36"/>
      <c r="Z4085" s="36"/>
      <c r="AA4085" s="36"/>
      <c r="AB4085" s="36">
        <v>300</v>
      </c>
      <c r="AC4085" s="36"/>
      <c r="AD4085" s="36"/>
      <c r="AE4085" s="36"/>
      <c r="AF4085" s="36"/>
      <c r="AG4085" s="36"/>
      <c r="AH4085" s="36"/>
      <c r="AI4085" s="36"/>
      <c r="AJ4085" s="15">
        <f t="shared" si="385"/>
        <v>300</v>
      </c>
      <c r="AK4085" s="14"/>
      <c r="AL4085" s="14"/>
      <c r="AM4085" s="14"/>
      <c r="AN4085" s="14"/>
      <c r="AO4085" s="14"/>
      <c r="AP4085" s="14"/>
      <c r="AQ4085" s="14"/>
      <c r="AR4085" s="14"/>
      <c r="AS4085" s="14"/>
      <c r="AT4085" s="14"/>
      <c r="AU4085" s="14"/>
      <c r="AV4085" s="14"/>
      <c r="AW4085" s="15"/>
      <c r="AX4085" s="16"/>
    </row>
    <row r="4086" spans="2:50" x14ac:dyDescent="0.2">
      <c r="B4086" s="7"/>
      <c r="C4086" s="8">
        <v>14395</v>
      </c>
      <c r="D4086" s="9" t="s">
        <v>277</v>
      </c>
      <c r="E4086" s="10" t="str">
        <f t="shared" si="381"/>
        <v>Rancho Estanzuela No. 7, A</v>
      </c>
      <c r="F4086" s="10" t="str">
        <f t="shared" si="382"/>
        <v>Herrera Izquierdo</v>
      </c>
      <c r="G4086" s="8">
        <v>1</v>
      </c>
      <c r="H4086" s="11">
        <v>400</v>
      </c>
      <c r="I4086" s="12">
        <v>42862</v>
      </c>
      <c r="J4086" s="35">
        <f t="shared" si="383"/>
        <v>0</v>
      </c>
      <c r="K4086" s="36"/>
      <c r="L4086" s="36"/>
      <c r="M4086" s="36"/>
      <c r="N4086" s="36"/>
      <c r="O4086" s="36"/>
      <c r="P4086" s="36"/>
      <c r="Q4086" s="36"/>
      <c r="R4086" s="36"/>
      <c r="S4086" s="36"/>
      <c r="T4086" s="36"/>
      <c r="U4086" s="36"/>
      <c r="V4086" s="36"/>
      <c r="W4086" s="15">
        <f t="shared" si="384"/>
        <v>0</v>
      </c>
      <c r="X4086" s="36"/>
      <c r="Y4086" s="36"/>
      <c r="Z4086" s="36"/>
      <c r="AA4086" s="36">
        <v>200</v>
      </c>
      <c r="AB4086" s="36">
        <v>200</v>
      </c>
      <c r="AC4086" s="36"/>
      <c r="AD4086" s="36"/>
      <c r="AE4086" s="36"/>
      <c r="AF4086" s="36"/>
      <c r="AG4086" s="36"/>
      <c r="AH4086" s="36"/>
      <c r="AI4086" s="36"/>
      <c r="AJ4086" s="15">
        <f t="shared" si="385"/>
        <v>400</v>
      </c>
      <c r="AK4086" s="14"/>
      <c r="AL4086" s="14"/>
      <c r="AM4086" s="14"/>
      <c r="AN4086" s="14"/>
      <c r="AO4086" s="14"/>
      <c r="AP4086" s="14"/>
      <c r="AQ4086" s="14"/>
      <c r="AR4086" s="14"/>
      <c r="AS4086" s="14"/>
      <c r="AT4086" s="14"/>
      <c r="AU4086" s="14"/>
      <c r="AV4086" s="14"/>
      <c r="AW4086" s="15"/>
      <c r="AX4086" s="16"/>
    </row>
    <row r="4087" spans="2:50" x14ac:dyDescent="0.2">
      <c r="B4087" s="7"/>
      <c r="C4087" s="8">
        <v>14396</v>
      </c>
      <c r="D4087" s="9" t="s">
        <v>476</v>
      </c>
      <c r="E4087" s="10" t="str">
        <f t="shared" si="381"/>
        <v>Rancho Upácuaro No. 33</v>
      </c>
      <c r="F4087" s="10" t="str">
        <f t="shared" si="382"/>
        <v>Ulloa Miranda</v>
      </c>
      <c r="G4087" s="8">
        <v>1</v>
      </c>
      <c r="H4087" s="11">
        <v>400</v>
      </c>
      <c r="I4087" s="12">
        <v>42862</v>
      </c>
      <c r="J4087" s="35">
        <f t="shared" si="383"/>
        <v>0</v>
      </c>
      <c r="K4087" s="36"/>
      <c r="L4087" s="36"/>
      <c r="M4087" s="36"/>
      <c r="N4087" s="36"/>
      <c r="O4087" s="36"/>
      <c r="P4087" s="36"/>
      <c r="Q4087" s="36"/>
      <c r="R4087" s="36"/>
      <c r="S4087" s="36"/>
      <c r="T4087" s="36"/>
      <c r="U4087" s="36"/>
      <c r="V4087" s="36"/>
      <c r="W4087" s="15">
        <f t="shared" si="384"/>
        <v>0</v>
      </c>
      <c r="X4087" s="36"/>
      <c r="Y4087" s="36"/>
      <c r="Z4087" s="36"/>
      <c r="AA4087" s="36"/>
      <c r="AB4087" s="36">
        <v>400</v>
      </c>
      <c r="AC4087" s="36"/>
      <c r="AD4087" s="36"/>
      <c r="AE4087" s="36"/>
      <c r="AF4087" s="36"/>
      <c r="AG4087" s="36"/>
      <c r="AH4087" s="36"/>
      <c r="AI4087" s="36"/>
      <c r="AJ4087" s="15">
        <f t="shared" si="385"/>
        <v>400</v>
      </c>
      <c r="AK4087" s="14"/>
      <c r="AL4087" s="14"/>
      <c r="AM4087" s="14"/>
      <c r="AN4087" s="14"/>
      <c r="AO4087" s="14"/>
      <c r="AP4087" s="14"/>
      <c r="AQ4087" s="14"/>
      <c r="AR4087" s="14"/>
      <c r="AS4087" s="14"/>
      <c r="AT4087" s="14"/>
      <c r="AU4087" s="14"/>
      <c r="AV4087" s="14"/>
      <c r="AW4087" s="15"/>
      <c r="AX4087" s="16"/>
    </row>
    <row r="4088" spans="2:50" x14ac:dyDescent="0.2">
      <c r="B4088" s="7"/>
      <c r="C4088" s="8">
        <v>14397</v>
      </c>
      <c r="D4088" s="9" t="s">
        <v>153</v>
      </c>
      <c r="E4088" s="10" t="str">
        <f t="shared" si="381"/>
        <v>Rancho La Cuchilla No. 92</v>
      </c>
      <c r="F4088" s="10" t="str">
        <f t="shared" si="382"/>
        <v>Cabrera</v>
      </c>
      <c r="G4088" s="8">
        <v>1</v>
      </c>
      <c r="H4088" s="11">
        <v>400</v>
      </c>
      <c r="I4088" s="12">
        <v>42862</v>
      </c>
      <c r="J4088" s="35">
        <f t="shared" si="383"/>
        <v>0</v>
      </c>
      <c r="K4088" s="36"/>
      <c r="L4088" s="36"/>
      <c r="M4088" s="36"/>
      <c r="N4088" s="36"/>
      <c r="O4088" s="36"/>
      <c r="P4088" s="36"/>
      <c r="Q4088" s="36"/>
      <c r="R4088" s="36"/>
      <c r="S4088" s="36"/>
      <c r="T4088" s="36"/>
      <c r="U4088" s="36"/>
      <c r="V4088" s="36"/>
      <c r="W4088" s="15">
        <f t="shared" si="384"/>
        <v>0</v>
      </c>
      <c r="X4088" s="36"/>
      <c r="Y4088" s="36"/>
      <c r="Z4088" s="36"/>
      <c r="AA4088" s="36"/>
      <c r="AB4088" s="36">
        <v>400</v>
      </c>
      <c r="AC4088" s="36"/>
      <c r="AD4088" s="36"/>
      <c r="AE4088" s="36"/>
      <c r="AF4088" s="36"/>
      <c r="AG4088" s="36"/>
      <c r="AH4088" s="36"/>
      <c r="AI4088" s="36"/>
      <c r="AJ4088" s="15">
        <f t="shared" si="385"/>
        <v>400</v>
      </c>
      <c r="AK4088" s="14"/>
      <c r="AL4088" s="14"/>
      <c r="AM4088" s="14"/>
      <c r="AN4088" s="14"/>
      <c r="AO4088" s="14"/>
      <c r="AP4088" s="14"/>
      <c r="AQ4088" s="14"/>
      <c r="AR4088" s="14"/>
      <c r="AS4088" s="14"/>
      <c r="AT4088" s="14"/>
      <c r="AU4088" s="14"/>
      <c r="AV4088" s="14"/>
      <c r="AW4088" s="15"/>
      <c r="AX4088" s="16"/>
    </row>
    <row r="4089" spans="2:50" x14ac:dyDescent="0.2">
      <c r="B4089" s="7"/>
      <c r="C4089" s="8">
        <v>14398</v>
      </c>
      <c r="D4089" s="9" t="s">
        <v>1206</v>
      </c>
      <c r="E4089" s="10" t="str">
        <f t="shared" si="381"/>
        <v>Rancho Landero No. 2,1</v>
      </c>
      <c r="F4089" s="10" t="str">
        <f t="shared" si="382"/>
        <v>Zamora Vera</v>
      </c>
      <c r="G4089" s="8">
        <v>1</v>
      </c>
      <c r="H4089" s="11">
        <v>300</v>
      </c>
      <c r="I4089" s="12">
        <v>42862</v>
      </c>
      <c r="J4089" s="35">
        <f t="shared" si="383"/>
        <v>0</v>
      </c>
      <c r="K4089" s="36"/>
      <c r="L4089" s="36"/>
      <c r="M4089" s="36"/>
      <c r="N4089" s="36"/>
      <c r="O4089" s="36"/>
      <c r="P4089" s="36"/>
      <c r="Q4089" s="36"/>
      <c r="R4089" s="36"/>
      <c r="S4089" s="36"/>
      <c r="T4089" s="36"/>
      <c r="U4089" s="36"/>
      <c r="V4089" s="36"/>
      <c r="W4089" s="15">
        <f t="shared" si="384"/>
        <v>0</v>
      </c>
      <c r="X4089" s="36"/>
      <c r="Y4089" s="36"/>
      <c r="Z4089" s="36"/>
      <c r="AA4089" s="36">
        <v>150</v>
      </c>
      <c r="AB4089" s="36">
        <v>150</v>
      </c>
      <c r="AC4089" s="36"/>
      <c r="AD4089" s="36"/>
      <c r="AE4089" s="36"/>
      <c r="AF4089" s="36"/>
      <c r="AG4089" s="36"/>
      <c r="AH4089" s="36"/>
      <c r="AI4089" s="36"/>
      <c r="AJ4089" s="15">
        <f t="shared" si="385"/>
        <v>300</v>
      </c>
      <c r="AK4089" s="14"/>
      <c r="AL4089" s="14"/>
      <c r="AM4089" s="14"/>
      <c r="AN4089" s="14"/>
      <c r="AO4089" s="14"/>
      <c r="AP4089" s="14"/>
      <c r="AQ4089" s="14"/>
      <c r="AR4089" s="14"/>
      <c r="AS4089" s="14"/>
      <c r="AT4089" s="14"/>
      <c r="AU4089" s="14"/>
      <c r="AV4089" s="14"/>
      <c r="AW4089" s="15"/>
      <c r="AX4089" s="16"/>
    </row>
    <row r="4090" spans="2:50" x14ac:dyDescent="0.2">
      <c r="B4090" s="7"/>
      <c r="C4090" s="8">
        <v>14399</v>
      </c>
      <c r="D4090" s="9" t="s">
        <v>186</v>
      </c>
      <c r="E4090" s="10" t="str">
        <f t="shared" si="381"/>
        <v>Rancho Upácuaro No. 100</v>
      </c>
      <c r="F4090" s="10" t="str">
        <f t="shared" si="382"/>
        <v>Valdez</v>
      </c>
      <c r="G4090" s="8">
        <v>1</v>
      </c>
      <c r="H4090" s="11">
        <v>400</v>
      </c>
      <c r="I4090" s="12">
        <v>42862</v>
      </c>
      <c r="J4090" s="35">
        <f t="shared" si="383"/>
        <v>0</v>
      </c>
      <c r="K4090" s="36"/>
      <c r="L4090" s="36"/>
      <c r="M4090" s="36"/>
      <c r="N4090" s="36"/>
      <c r="O4090" s="36"/>
      <c r="P4090" s="36"/>
      <c r="Q4090" s="36"/>
      <c r="R4090" s="36"/>
      <c r="S4090" s="36"/>
      <c r="T4090" s="36"/>
      <c r="U4090" s="36"/>
      <c r="V4090" s="36"/>
      <c r="W4090" s="15">
        <f t="shared" si="384"/>
        <v>0</v>
      </c>
      <c r="X4090" s="36"/>
      <c r="Y4090" s="36"/>
      <c r="Z4090" s="36"/>
      <c r="AA4090" s="36"/>
      <c r="AB4090" s="36">
        <v>400</v>
      </c>
      <c r="AC4090" s="36"/>
      <c r="AD4090" s="36"/>
      <c r="AE4090" s="36"/>
      <c r="AF4090" s="36"/>
      <c r="AG4090" s="36"/>
      <c r="AH4090" s="36"/>
      <c r="AI4090" s="36"/>
      <c r="AJ4090" s="15">
        <f t="shared" si="385"/>
        <v>400</v>
      </c>
      <c r="AK4090" s="14"/>
      <c r="AL4090" s="14"/>
      <c r="AM4090" s="14"/>
      <c r="AN4090" s="14"/>
      <c r="AO4090" s="14"/>
      <c r="AP4090" s="14"/>
      <c r="AQ4090" s="14"/>
      <c r="AR4090" s="14"/>
      <c r="AS4090" s="14"/>
      <c r="AT4090" s="14"/>
      <c r="AU4090" s="14"/>
      <c r="AV4090" s="14"/>
      <c r="AW4090" s="15"/>
      <c r="AX4090" s="16"/>
    </row>
    <row r="4091" spans="2:50" x14ac:dyDescent="0.2">
      <c r="B4091" s="7"/>
      <c r="C4091" s="8">
        <v>14399</v>
      </c>
      <c r="D4091" s="9" t="s">
        <v>186</v>
      </c>
      <c r="E4091" s="10" t="str">
        <f t="shared" si="381"/>
        <v>Rancho Upácuaro No. 100</v>
      </c>
      <c r="F4091" s="10" t="str">
        <f t="shared" si="382"/>
        <v>Valdez</v>
      </c>
      <c r="G4091" s="8">
        <v>5</v>
      </c>
      <c r="H4091" s="11">
        <v>50</v>
      </c>
      <c r="I4091" s="12">
        <v>42862</v>
      </c>
      <c r="J4091" s="35">
        <f t="shared" si="383"/>
        <v>0</v>
      </c>
      <c r="K4091" s="36"/>
      <c r="L4091" s="36"/>
      <c r="M4091" s="36"/>
      <c r="N4091" s="36"/>
      <c r="O4091" s="36"/>
      <c r="P4091" s="36"/>
      <c r="Q4091" s="36"/>
      <c r="R4091" s="36"/>
      <c r="S4091" s="36"/>
      <c r="T4091" s="36"/>
      <c r="U4091" s="36"/>
      <c r="V4091" s="36"/>
      <c r="W4091" s="15">
        <f t="shared" si="384"/>
        <v>0</v>
      </c>
      <c r="X4091" s="36"/>
      <c r="Y4091" s="36"/>
      <c r="Z4091" s="36"/>
      <c r="AA4091" s="36"/>
      <c r="AB4091" s="36"/>
      <c r="AC4091" s="36"/>
      <c r="AD4091" s="36"/>
      <c r="AE4091" s="36"/>
      <c r="AF4091" s="36"/>
      <c r="AG4091" s="36"/>
      <c r="AH4091" s="36"/>
      <c r="AI4091" s="36"/>
      <c r="AJ4091" s="15">
        <f t="shared" si="385"/>
        <v>0</v>
      </c>
      <c r="AK4091" s="14"/>
      <c r="AL4091" s="14"/>
      <c r="AM4091" s="14"/>
      <c r="AN4091" s="14"/>
      <c r="AO4091" s="14"/>
      <c r="AP4091" s="14"/>
      <c r="AQ4091" s="14"/>
      <c r="AR4091" s="14"/>
      <c r="AS4091" s="14"/>
      <c r="AT4091" s="14"/>
      <c r="AU4091" s="14"/>
      <c r="AV4091" s="14"/>
      <c r="AW4091" s="15"/>
      <c r="AX4091" s="16"/>
    </row>
    <row r="4092" spans="2:50" x14ac:dyDescent="0.2">
      <c r="B4092" s="7"/>
      <c r="C4092" s="8">
        <v>14400</v>
      </c>
      <c r="D4092" s="9" t="s">
        <v>791</v>
      </c>
      <c r="E4092" s="10" t="str">
        <f t="shared" si="381"/>
        <v>Rancho Upácuaro No. 116</v>
      </c>
      <c r="F4092" s="10" t="str">
        <f t="shared" si="382"/>
        <v>Zenteno</v>
      </c>
      <c r="G4092" s="8">
        <v>1</v>
      </c>
      <c r="H4092" s="11">
        <v>400</v>
      </c>
      <c r="I4092" s="12">
        <v>42862</v>
      </c>
      <c r="J4092" s="35">
        <f t="shared" si="383"/>
        <v>0</v>
      </c>
      <c r="K4092" s="36"/>
      <c r="L4092" s="36"/>
      <c r="M4092" s="36"/>
      <c r="N4092" s="36"/>
      <c r="O4092" s="36"/>
      <c r="P4092" s="36"/>
      <c r="Q4092" s="36"/>
      <c r="R4092" s="36"/>
      <c r="S4092" s="36"/>
      <c r="T4092" s="36"/>
      <c r="U4092" s="36"/>
      <c r="V4092" s="36"/>
      <c r="W4092" s="15">
        <f t="shared" si="384"/>
        <v>0</v>
      </c>
      <c r="X4092" s="36"/>
      <c r="Y4092" s="36"/>
      <c r="Z4092" s="36"/>
      <c r="AA4092" s="36"/>
      <c r="AB4092" s="36">
        <v>400</v>
      </c>
      <c r="AC4092" s="36"/>
      <c r="AD4092" s="36"/>
      <c r="AE4092" s="36"/>
      <c r="AF4092" s="36"/>
      <c r="AG4092" s="36"/>
      <c r="AH4092" s="36"/>
      <c r="AI4092" s="36"/>
      <c r="AJ4092" s="15">
        <f t="shared" si="385"/>
        <v>400</v>
      </c>
      <c r="AK4092" s="14"/>
      <c r="AL4092" s="14"/>
      <c r="AM4092" s="14"/>
      <c r="AN4092" s="14"/>
      <c r="AO4092" s="14"/>
      <c r="AP4092" s="14"/>
      <c r="AQ4092" s="14"/>
      <c r="AR4092" s="14"/>
      <c r="AS4092" s="14"/>
      <c r="AT4092" s="14"/>
      <c r="AU4092" s="14"/>
      <c r="AV4092" s="14"/>
      <c r="AW4092" s="15"/>
      <c r="AX4092" s="16"/>
    </row>
    <row r="4093" spans="2:50" x14ac:dyDescent="0.2">
      <c r="B4093" s="7"/>
      <c r="C4093" s="8">
        <v>14401</v>
      </c>
      <c r="D4093" s="9" t="s">
        <v>1417</v>
      </c>
      <c r="E4093" s="10" t="str">
        <f t="shared" si="381"/>
        <v>Rancho Upácuaro No. 34</v>
      </c>
      <c r="F4093" s="10" t="str">
        <f t="shared" si="382"/>
        <v>Gómez González</v>
      </c>
      <c r="G4093" s="8">
        <v>1</v>
      </c>
      <c r="H4093" s="11">
        <v>300</v>
      </c>
      <c r="I4093" s="12">
        <v>42862</v>
      </c>
      <c r="J4093" s="35">
        <f t="shared" si="383"/>
        <v>0</v>
      </c>
      <c r="K4093" s="36"/>
      <c r="L4093" s="36"/>
      <c r="M4093" s="36"/>
      <c r="N4093" s="36"/>
      <c r="O4093" s="36"/>
      <c r="P4093" s="36"/>
      <c r="Q4093" s="36"/>
      <c r="R4093" s="36"/>
      <c r="S4093" s="36"/>
      <c r="T4093" s="36"/>
      <c r="U4093" s="36"/>
      <c r="V4093" s="36"/>
      <c r="W4093" s="15">
        <f t="shared" si="384"/>
        <v>0</v>
      </c>
      <c r="X4093" s="36"/>
      <c r="Y4093" s="36"/>
      <c r="Z4093" s="36"/>
      <c r="AA4093" s="36">
        <v>300</v>
      </c>
      <c r="AB4093" s="36"/>
      <c r="AC4093" s="36"/>
      <c r="AD4093" s="36"/>
      <c r="AE4093" s="36"/>
      <c r="AF4093" s="36"/>
      <c r="AG4093" s="36"/>
      <c r="AH4093" s="36"/>
      <c r="AI4093" s="36"/>
      <c r="AJ4093" s="15">
        <f t="shared" si="385"/>
        <v>300</v>
      </c>
      <c r="AK4093" s="14"/>
      <c r="AL4093" s="14"/>
      <c r="AM4093" s="14"/>
      <c r="AN4093" s="14"/>
      <c r="AO4093" s="14"/>
      <c r="AP4093" s="14"/>
      <c r="AQ4093" s="14"/>
      <c r="AR4093" s="14"/>
      <c r="AS4093" s="14"/>
      <c r="AT4093" s="14"/>
      <c r="AU4093" s="14"/>
      <c r="AV4093" s="14"/>
      <c r="AW4093" s="15"/>
      <c r="AX4093" s="16">
        <f>SUM(H4045:H4093)</f>
        <v>20375</v>
      </c>
    </row>
    <row r="4094" spans="2:50" x14ac:dyDescent="0.2">
      <c r="B4094" s="7" t="s">
        <v>3523</v>
      </c>
      <c r="C4094" s="8">
        <v>14402</v>
      </c>
      <c r="D4094" s="9" t="s">
        <v>211</v>
      </c>
      <c r="E4094" s="10" t="str">
        <f t="shared" si="381"/>
        <v>Rancho Upácuaro No. 46</v>
      </c>
      <c r="F4094" s="10" t="str">
        <f t="shared" si="382"/>
        <v>Fuentes</v>
      </c>
      <c r="G4094" s="8"/>
      <c r="H4094" s="315"/>
      <c r="I4094" s="12"/>
      <c r="J4094" s="35">
        <f t="shared" si="383"/>
        <v>0</v>
      </c>
      <c r="K4094" s="36"/>
      <c r="L4094" s="36"/>
      <c r="M4094" s="36"/>
      <c r="N4094" s="36"/>
      <c r="O4094" s="36"/>
      <c r="P4094" s="36"/>
      <c r="Q4094" s="36"/>
      <c r="R4094" s="36"/>
      <c r="S4094" s="36"/>
      <c r="T4094" s="36"/>
      <c r="U4094" s="36"/>
      <c r="V4094" s="36"/>
      <c r="W4094" s="15">
        <f t="shared" si="384"/>
        <v>0</v>
      </c>
      <c r="X4094" s="36"/>
      <c r="Y4094" s="36"/>
      <c r="Z4094" s="36"/>
      <c r="AA4094" s="36"/>
      <c r="AB4094" s="36"/>
      <c r="AC4094" s="36"/>
      <c r="AD4094" s="36"/>
      <c r="AE4094" s="36"/>
      <c r="AF4094" s="36"/>
      <c r="AG4094" s="36"/>
      <c r="AH4094" s="36"/>
      <c r="AI4094" s="36"/>
      <c r="AJ4094" s="15">
        <f t="shared" si="385"/>
        <v>0</v>
      </c>
      <c r="AK4094" s="14"/>
      <c r="AL4094" s="14"/>
      <c r="AM4094" s="14"/>
      <c r="AN4094" s="14"/>
      <c r="AO4094" s="14"/>
      <c r="AP4094" s="14"/>
      <c r="AQ4094" s="14"/>
      <c r="AR4094" s="14"/>
      <c r="AS4094" s="14"/>
      <c r="AT4094" s="14"/>
      <c r="AU4094" s="14"/>
      <c r="AV4094" s="14"/>
      <c r="AW4094" s="15"/>
      <c r="AX4094" s="16"/>
    </row>
    <row r="4095" spans="2:50" x14ac:dyDescent="0.2">
      <c r="B4095" s="7" t="s">
        <v>3523</v>
      </c>
      <c r="C4095" s="8">
        <v>14403</v>
      </c>
      <c r="D4095" s="9" t="s">
        <v>208</v>
      </c>
      <c r="E4095" s="10" t="str">
        <f t="shared" si="381"/>
        <v>Rancho La Cuchilla No. 29</v>
      </c>
      <c r="F4095" s="10" t="str">
        <f t="shared" si="382"/>
        <v>Vega Sánchez C.</v>
      </c>
      <c r="G4095" s="8"/>
      <c r="H4095" s="11"/>
      <c r="I4095" s="12"/>
      <c r="J4095" s="35">
        <f t="shared" si="383"/>
        <v>0</v>
      </c>
      <c r="K4095" s="36"/>
      <c r="L4095" s="36"/>
      <c r="M4095" s="36"/>
      <c r="N4095" s="36"/>
      <c r="O4095" s="36"/>
      <c r="P4095" s="36"/>
      <c r="Q4095" s="36"/>
      <c r="R4095" s="36"/>
      <c r="S4095" s="36"/>
      <c r="T4095" s="36"/>
      <c r="U4095" s="36"/>
      <c r="V4095" s="36"/>
      <c r="W4095" s="15">
        <f t="shared" si="384"/>
        <v>0</v>
      </c>
      <c r="X4095" s="36"/>
      <c r="Y4095" s="36"/>
      <c r="Z4095" s="36"/>
      <c r="AA4095" s="36"/>
      <c r="AB4095" s="36"/>
      <c r="AC4095" s="36"/>
      <c r="AD4095" s="36"/>
      <c r="AE4095" s="36"/>
      <c r="AF4095" s="36"/>
      <c r="AG4095" s="36"/>
      <c r="AH4095" s="36"/>
      <c r="AI4095" s="36"/>
      <c r="AJ4095" s="15">
        <f t="shared" si="385"/>
        <v>0</v>
      </c>
      <c r="AK4095" s="14"/>
      <c r="AL4095" s="14"/>
      <c r="AM4095" s="14"/>
      <c r="AN4095" s="14"/>
      <c r="AO4095" s="14"/>
      <c r="AP4095" s="14"/>
      <c r="AQ4095" s="14"/>
      <c r="AR4095" s="14"/>
      <c r="AS4095" s="14"/>
      <c r="AT4095" s="14"/>
      <c r="AU4095" s="14"/>
      <c r="AV4095" s="14"/>
      <c r="AW4095" s="15"/>
      <c r="AX4095" s="16"/>
    </row>
    <row r="4096" spans="2:50" x14ac:dyDescent="0.2">
      <c r="B4096" s="7"/>
      <c r="C4096" s="8">
        <v>14404</v>
      </c>
      <c r="D4096" s="9" t="s">
        <v>807</v>
      </c>
      <c r="E4096" s="10" t="str">
        <f t="shared" si="381"/>
        <v>Rancho La Cuchilla No. 61</v>
      </c>
      <c r="F4096" s="10" t="str">
        <f t="shared" si="382"/>
        <v>Rivera</v>
      </c>
      <c r="G4096" s="8">
        <v>1</v>
      </c>
      <c r="H4096" s="11">
        <v>400</v>
      </c>
      <c r="I4096" s="12">
        <v>42863</v>
      </c>
      <c r="J4096" s="35">
        <f t="shared" si="383"/>
        <v>0</v>
      </c>
      <c r="K4096" s="36"/>
      <c r="L4096" s="36"/>
      <c r="M4096" s="36"/>
      <c r="N4096" s="36"/>
      <c r="O4096" s="36"/>
      <c r="P4096" s="36"/>
      <c r="Q4096" s="36"/>
      <c r="R4096" s="36"/>
      <c r="S4096" s="36"/>
      <c r="T4096" s="36"/>
      <c r="U4096" s="36"/>
      <c r="V4096" s="36"/>
      <c r="W4096" s="15">
        <f t="shared" si="384"/>
        <v>0</v>
      </c>
      <c r="X4096" s="36"/>
      <c r="Y4096" s="36"/>
      <c r="Z4096" s="36">
        <v>200</v>
      </c>
      <c r="AA4096" s="36">
        <v>200</v>
      </c>
      <c r="AB4096" s="36"/>
      <c r="AC4096" s="36"/>
      <c r="AD4096" s="36"/>
      <c r="AE4096" s="36"/>
      <c r="AF4096" s="36"/>
      <c r="AG4096" s="36"/>
      <c r="AH4096" s="36"/>
      <c r="AI4096" s="36"/>
      <c r="AJ4096" s="15">
        <f t="shared" si="385"/>
        <v>400</v>
      </c>
      <c r="AK4096" s="14"/>
      <c r="AL4096" s="14"/>
      <c r="AM4096" s="14"/>
      <c r="AN4096" s="14"/>
      <c r="AO4096" s="14"/>
      <c r="AP4096" s="14"/>
      <c r="AQ4096" s="14"/>
      <c r="AR4096" s="14"/>
      <c r="AS4096" s="14"/>
      <c r="AT4096" s="14"/>
      <c r="AU4096" s="14"/>
      <c r="AV4096" s="14"/>
      <c r="AW4096" s="15"/>
      <c r="AX4096" s="16"/>
    </row>
    <row r="4097" spans="2:50" x14ac:dyDescent="0.2">
      <c r="B4097" s="7"/>
      <c r="C4097" s="8">
        <v>14405</v>
      </c>
      <c r="D4097" s="9" t="s">
        <v>373</v>
      </c>
      <c r="E4097" s="10" t="str">
        <f t="shared" si="381"/>
        <v>Rancho Upácuaro No. 118</v>
      </c>
      <c r="F4097" s="10" t="str">
        <f t="shared" si="382"/>
        <v>Siegrist</v>
      </c>
      <c r="G4097" s="8">
        <v>1</v>
      </c>
      <c r="H4097" s="11">
        <v>400</v>
      </c>
      <c r="I4097" s="12">
        <v>42864</v>
      </c>
      <c r="J4097" s="35">
        <f t="shared" si="383"/>
        <v>0</v>
      </c>
      <c r="K4097" s="36"/>
      <c r="L4097" s="36"/>
      <c r="M4097" s="36"/>
      <c r="N4097" s="36"/>
      <c r="O4097" s="36"/>
      <c r="P4097" s="36"/>
      <c r="Q4097" s="36"/>
      <c r="R4097" s="36"/>
      <c r="S4097" s="36"/>
      <c r="T4097" s="36"/>
      <c r="U4097" s="36"/>
      <c r="V4097" s="36"/>
      <c r="W4097" s="15">
        <f t="shared" si="384"/>
        <v>0</v>
      </c>
      <c r="X4097" s="36"/>
      <c r="Y4097" s="36"/>
      <c r="Z4097" s="36"/>
      <c r="AA4097" s="36"/>
      <c r="AB4097" s="36">
        <v>400</v>
      </c>
      <c r="AC4097" s="36"/>
      <c r="AD4097" s="36"/>
      <c r="AE4097" s="36"/>
      <c r="AF4097" s="36"/>
      <c r="AG4097" s="36"/>
      <c r="AH4097" s="36"/>
      <c r="AI4097" s="36"/>
      <c r="AJ4097" s="15">
        <f t="shared" si="385"/>
        <v>400</v>
      </c>
      <c r="AK4097" s="14"/>
      <c r="AL4097" s="14"/>
      <c r="AM4097" s="14"/>
      <c r="AN4097" s="14"/>
      <c r="AO4097" s="14"/>
      <c r="AP4097" s="14"/>
      <c r="AQ4097" s="14"/>
      <c r="AR4097" s="14"/>
      <c r="AS4097" s="14"/>
      <c r="AT4097" s="14"/>
      <c r="AU4097" s="14"/>
      <c r="AV4097" s="14"/>
      <c r="AW4097" s="15"/>
      <c r="AX4097" s="16"/>
    </row>
    <row r="4098" spans="2:50" x14ac:dyDescent="0.2">
      <c r="B4098" s="7"/>
      <c r="C4098" s="8">
        <v>14406</v>
      </c>
      <c r="D4098" s="9" t="s">
        <v>217</v>
      </c>
      <c r="E4098" s="10" t="str">
        <f t="shared" si="381"/>
        <v>Rancho Recoveco No. 173</v>
      </c>
      <c r="F4098" s="10" t="str">
        <f t="shared" si="382"/>
        <v>Velarde</v>
      </c>
      <c r="G4098" s="8">
        <v>1</v>
      </c>
      <c r="H4098" s="11">
        <v>600</v>
      </c>
      <c r="I4098" s="12">
        <v>42864</v>
      </c>
      <c r="J4098" s="35">
        <f t="shared" si="383"/>
        <v>0</v>
      </c>
      <c r="K4098" s="36"/>
      <c r="L4098" s="36"/>
      <c r="M4098" s="36"/>
      <c r="N4098" s="36"/>
      <c r="O4098" s="36"/>
      <c r="P4098" s="36"/>
      <c r="Q4098" s="36"/>
      <c r="R4098" s="36"/>
      <c r="S4098" s="36"/>
      <c r="T4098" s="36"/>
      <c r="U4098" s="36"/>
      <c r="V4098" s="36"/>
      <c r="W4098" s="15">
        <f t="shared" si="384"/>
        <v>0</v>
      </c>
      <c r="X4098" s="36"/>
      <c r="Y4098" s="36"/>
      <c r="Z4098" s="36"/>
      <c r="AA4098" s="36">
        <v>300</v>
      </c>
      <c r="AB4098" s="36">
        <v>300</v>
      </c>
      <c r="AC4098" s="36"/>
      <c r="AD4098" s="36"/>
      <c r="AE4098" s="36"/>
      <c r="AF4098" s="36"/>
      <c r="AG4098" s="36"/>
      <c r="AH4098" s="36"/>
      <c r="AI4098" s="36"/>
      <c r="AJ4098" s="15">
        <f t="shared" si="385"/>
        <v>600</v>
      </c>
      <c r="AK4098" s="14"/>
      <c r="AL4098" s="14"/>
      <c r="AM4098" s="14"/>
      <c r="AN4098" s="14"/>
      <c r="AO4098" s="14"/>
      <c r="AP4098" s="14"/>
      <c r="AQ4098" s="14"/>
      <c r="AR4098" s="14"/>
      <c r="AS4098" s="14"/>
      <c r="AT4098" s="14"/>
      <c r="AU4098" s="14"/>
      <c r="AV4098" s="14"/>
      <c r="AW4098" s="15"/>
      <c r="AX4098" s="16"/>
    </row>
    <row r="4099" spans="2:50" x14ac:dyDescent="0.2">
      <c r="B4099" s="7"/>
      <c r="C4099" s="8">
        <v>14407</v>
      </c>
      <c r="D4099" s="9"/>
      <c r="E4099" s="10" t="str">
        <f t="shared" si="381"/>
        <v/>
      </c>
      <c r="F4099" s="10" t="str">
        <f t="shared" si="382"/>
        <v/>
      </c>
      <c r="G4099" s="8">
        <v>8</v>
      </c>
      <c r="H4099" s="11"/>
      <c r="I4099" s="12"/>
      <c r="J4099" s="35">
        <f t="shared" si="383"/>
        <v>0</v>
      </c>
      <c r="K4099" s="36"/>
      <c r="L4099" s="36"/>
      <c r="M4099" s="36"/>
      <c r="N4099" s="36"/>
      <c r="O4099" s="36"/>
      <c r="P4099" s="36"/>
      <c r="Q4099" s="36"/>
      <c r="R4099" s="36"/>
      <c r="S4099" s="36"/>
      <c r="T4099" s="36"/>
      <c r="U4099" s="36"/>
      <c r="V4099" s="36"/>
      <c r="W4099" s="15">
        <f t="shared" si="384"/>
        <v>0</v>
      </c>
      <c r="X4099" s="36"/>
      <c r="Y4099" s="36"/>
      <c r="Z4099" s="36"/>
      <c r="AA4099" s="36"/>
      <c r="AB4099" s="36"/>
      <c r="AC4099" s="36"/>
      <c r="AD4099" s="36"/>
      <c r="AE4099" s="36"/>
      <c r="AF4099" s="36"/>
      <c r="AG4099" s="36"/>
      <c r="AH4099" s="36"/>
      <c r="AI4099" s="36"/>
      <c r="AJ4099" s="15">
        <f t="shared" si="385"/>
        <v>0</v>
      </c>
      <c r="AK4099" s="14"/>
      <c r="AL4099" s="14"/>
      <c r="AM4099" s="14"/>
      <c r="AN4099" s="14"/>
      <c r="AO4099" s="14"/>
      <c r="AP4099" s="14"/>
      <c r="AQ4099" s="14"/>
      <c r="AR4099" s="14"/>
      <c r="AS4099" s="14"/>
      <c r="AT4099" s="14"/>
      <c r="AU4099" s="14"/>
      <c r="AV4099" s="14"/>
      <c r="AW4099" s="15"/>
      <c r="AX4099" s="16"/>
    </row>
    <row r="4100" spans="2:50" x14ac:dyDescent="0.2">
      <c r="B4100" s="7"/>
      <c r="C4100" s="8">
        <v>14408</v>
      </c>
      <c r="D4100" s="9" t="s">
        <v>202</v>
      </c>
      <c r="E4100" s="10" t="str">
        <f t="shared" si="381"/>
        <v>Rancho Estanzuela No. 25</v>
      </c>
      <c r="F4100" s="10" t="str">
        <f t="shared" si="382"/>
        <v>Contreras Figueroa</v>
      </c>
      <c r="G4100" s="8">
        <v>1</v>
      </c>
      <c r="H4100" s="11">
        <v>400</v>
      </c>
      <c r="I4100" s="12">
        <v>42866</v>
      </c>
      <c r="J4100" s="35">
        <f t="shared" si="383"/>
        <v>0</v>
      </c>
      <c r="K4100" s="36"/>
      <c r="L4100" s="36"/>
      <c r="M4100" s="36"/>
      <c r="N4100" s="36"/>
      <c r="O4100" s="36"/>
      <c r="P4100" s="36"/>
      <c r="Q4100" s="36"/>
      <c r="R4100" s="36"/>
      <c r="S4100" s="36"/>
      <c r="T4100" s="36"/>
      <c r="U4100" s="36"/>
      <c r="V4100" s="36"/>
      <c r="W4100" s="15">
        <f t="shared" si="384"/>
        <v>0</v>
      </c>
      <c r="X4100" s="36"/>
      <c r="Y4100" s="36"/>
      <c r="Z4100" s="36"/>
      <c r="AA4100" s="36"/>
      <c r="AB4100" s="36">
        <v>400</v>
      </c>
      <c r="AC4100" s="36"/>
      <c r="AD4100" s="36"/>
      <c r="AE4100" s="36"/>
      <c r="AF4100" s="36"/>
      <c r="AG4100" s="36"/>
      <c r="AH4100" s="36"/>
      <c r="AI4100" s="36"/>
      <c r="AJ4100" s="15">
        <f t="shared" si="385"/>
        <v>400</v>
      </c>
      <c r="AK4100" s="14"/>
      <c r="AL4100" s="14"/>
      <c r="AM4100" s="14"/>
      <c r="AN4100" s="14"/>
      <c r="AO4100" s="14"/>
      <c r="AP4100" s="14"/>
      <c r="AQ4100" s="14"/>
      <c r="AR4100" s="14"/>
      <c r="AS4100" s="14"/>
      <c r="AT4100" s="14"/>
      <c r="AU4100" s="14"/>
      <c r="AV4100" s="14"/>
      <c r="AW4100" s="15"/>
      <c r="AX4100" s="16"/>
    </row>
    <row r="4101" spans="2:50" x14ac:dyDescent="0.2">
      <c r="B4101" s="7"/>
      <c r="C4101" s="8">
        <v>14409</v>
      </c>
      <c r="D4101" s="9" t="s">
        <v>568</v>
      </c>
      <c r="E4101" s="10" t="str">
        <f t="shared" si="381"/>
        <v>Rancho Landero No. 95</v>
      </c>
      <c r="F4101" s="10" t="str">
        <f t="shared" si="382"/>
        <v>Rivas Rangel</v>
      </c>
      <c r="G4101" s="8">
        <v>1</v>
      </c>
      <c r="H4101" s="11">
        <v>400</v>
      </c>
      <c r="I4101" s="12">
        <v>42869</v>
      </c>
      <c r="J4101" s="35">
        <f t="shared" si="383"/>
        <v>0</v>
      </c>
      <c r="K4101" s="36"/>
      <c r="L4101" s="36"/>
      <c r="M4101" s="36"/>
      <c r="N4101" s="36"/>
      <c r="O4101" s="36"/>
      <c r="P4101" s="36"/>
      <c r="Q4101" s="36"/>
      <c r="R4101" s="36"/>
      <c r="S4101" s="36"/>
      <c r="T4101" s="36"/>
      <c r="U4101" s="36"/>
      <c r="V4101" s="36"/>
      <c r="W4101" s="15">
        <f t="shared" si="384"/>
        <v>0</v>
      </c>
      <c r="X4101" s="36"/>
      <c r="Y4101" s="36"/>
      <c r="Z4101" s="36"/>
      <c r="AA4101" s="36"/>
      <c r="AB4101" s="36">
        <v>400</v>
      </c>
      <c r="AC4101" s="36"/>
      <c r="AD4101" s="36"/>
      <c r="AE4101" s="36"/>
      <c r="AF4101" s="36"/>
      <c r="AG4101" s="36"/>
      <c r="AH4101" s="36"/>
      <c r="AI4101" s="36"/>
      <c r="AJ4101" s="15">
        <f t="shared" si="385"/>
        <v>400</v>
      </c>
      <c r="AK4101" s="14"/>
      <c r="AL4101" s="14"/>
      <c r="AM4101" s="14"/>
      <c r="AN4101" s="14"/>
      <c r="AO4101" s="14"/>
      <c r="AP4101" s="14"/>
      <c r="AQ4101" s="14"/>
      <c r="AR4101" s="14"/>
      <c r="AS4101" s="14"/>
      <c r="AT4101" s="14"/>
      <c r="AU4101" s="14"/>
      <c r="AV4101" s="14"/>
      <c r="AW4101" s="15"/>
      <c r="AX4101" s="16"/>
    </row>
    <row r="4102" spans="2:50" x14ac:dyDescent="0.2">
      <c r="B4102" s="7"/>
      <c r="C4102" s="8">
        <v>14410</v>
      </c>
      <c r="D4102" s="9" t="s">
        <v>265</v>
      </c>
      <c r="E4102" s="10" t="str">
        <f t="shared" si="381"/>
        <v>Rancho Upácuaro No. 85</v>
      </c>
      <c r="F4102" s="10" t="str">
        <f t="shared" si="382"/>
        <v>Del Toro Huerta</v>
      </c>
      <c r="G4102" s="8">
        <v>1</v>
      </c>
      <c r="H4102" s="11">
        <v>400</v>
      </c>
      <c r="I4102" s="12">
        <v>42869</v>
      </c>
      <c r="J4102" s="35">
        <f t="shared" si="383"/>
        <v>0</v>
      </c>
      <c r="K4102" s="36"/>
      <c r="L4102" s="36"/>
      <c r="M4102" s="36"/>
      <c r="N4102" s="36"/>
      <c r="O4102" s="36"/>
      <c r="P4102" s="36"/>
      <c r="Q4102" s="36"/>
      <c r="R4102" s="36"/>
      <c r="S4102" s="36"/>
      <c r="T4102" s="36"/>
      <c r="U4102" s="36"/>
      <c r="V4102" s="36"/>
      <c r="W4102" s="15">
        <f t="shared" si="384"/>
        <v>0</v>
      </c>
      <c r="X4102" s="36"/>
      <c r="Y4102" s="36"/>
      <c r="Z4102" s="36"/>
      <c r="AA4102" s="36"/>
      <c r="AB4102" s="36">
        <v>400</v>
      </c>
      <c r="AC4102" s="36"/>
      <c r="AD4102" s="36"/>
      <c r="AE4102" s="36"/>
      <c r="AF4102" s="36"/>
      <c r="AG4102" s="36"/>
      <c r="AH4102" s="36"/>
      <c r="AI4102" s="36"/>
      <c r="AJ4102" s="15">
        <f t="shared" si="385"/>
        <v>400</v>
      </c>
      <c r="AK4102" s="14"/>
      <c r="AL4102" s="14"/>
      <c r="AM4102" s="14"/>
      <c r="AN4102" s="14"/>
      <c r="AO4102" s="14"/>
      <c r="AP4102" s="14"/>
      <c r="AQ4102" s="14"/>
      <c r="AR4102" s="14"/>
      <c r="AS4102" s="14"/>
      <c r="AT4102" s="14"/>
      <c r="AU4102" s="14"/>
      <c r="AV4102" s="14"/>
      <c r="AW4102" s="15"/>
      <c r="AX4102" s="16"/>
    </row>
    <row r="4103" spans="2:50" x14ac:dyDescent="0.2">
      <c r="B4103" s="7"/>
      <c r="C4103" s="8">
        <v>14411</v>
      </c>
      <c r="D4103" s="9" t="s">
        <v>678</v>
      </c>
      <c r="E4103" s="10" t="str">
        <f t="shared" si="381"/>
        <v>Rancho Upácuaro No. 76</v>
      </c>
      <c r="F4103" s="10" t="str">
        <f t="shared" si="382"/>
        <v>Ruiz de San Pedro</v>
      </c>
      <c r="G4103" s="8">
        <v>1</v>
      </c>
      <c r="H4103" s="11">
        <v>400</v>
      </c>
      <c r="I4103" s="12">
        <v>42869</v>
      </c>
      <c r="J4103" s="35">
        <f t="shared" si="383"/>
        <v>0</v>
      </c>
      <c r="K4103" s="36"/>
      <c r="L4103" s="36"/>
      <c r="M4103" s="36"/>
      <c r="N4103" s="36"/>
      <c r="O4103" s="36"/>
      <c r="P4103" s="36"/>
      <c r="Q4103" s="36"/>
      <c r="R4103" s="36"/>
      <c r="S4103" s="36"/>
      <c r="T4103" s="36"/>
      <c r="U4103" s="36"/>
      <c r="V4103" s="36"/>
      <c r="W4103" s="15">
        <f t="shared" si="384"/>
        <v>0</v>
      </c>
      <c r="X4103" s="36"/>
      <c r="Y4103" s="36"/>
      <c r="Z4103" s="36"/>
      <c r="AA4103" s="36"/>
      <c r="AB4103" s="36">
        <v>400</v>
      </c>
      <c r="AC4103" s="36"/>
      <c r="AD4103" s="36"/>
      <c r="AE4103" s="36"/>
      <c r="AF4103" s="36"/>
      <c r="AG4103" s="36"/>
      <c r="AH4103" s="36"/>
      <c r="AI4103" s="36"/>
      <c r="AJ4103" s="15">
        <f t="shared" si="385"/>
        <v>400</v>
      </c>
      <c r="AK4103" s="14"/>
      <c r="AL4103" s="14"/>
      <c r="AM4103" s="14"/>
      <c r="AN4103" s="14"/>
      <c r="AO4103" s="14"/>
      <c r="AP4103" s="14"/>
      <c r="AQ4103" s="14"/>
      <c r="AR4103" s="14"/>
      <c r="AS4103" s="14"/>
      <c r="AT4103" s="14"/>
      <c r="AU4103" s="14"/>
      <c r="AV4103" s="14"/>
      <c r="AW4103" s="15"/>
      <c r="AX4103" s="16"/>
    </row>
    <row r="4104" spans="2:50" x14ac:dyDescent="0.2">
      <c r="B4104" s="7"/>
      <c r="C4104" s="8">
        <v>14412</v>
      </c>
      <c r="D4104" s="9" t="s">
        <v>820</v>
      </c>
      <c r="E4104" s="10" t="str">
        <f t="shared" si="381"/>
        <v>Rancho Zinamba No. 84</v>
      </c>
      <c r="F4104" s="10" t="str">
        <f t="shared" si="382"/>
        <v>Lobato</v>
      </c>
      <c r="G4104" s="8">
        <v>1</v>
      </c>
      <c r="H4104" s="11">
        <v>300</v>
      </c>
      <c r="I4104" s="12">
        <v>42869</v>
      </c>
      <c r="J4104" s="35">
        <f t="shared" si="383"/>
        <v>0</v>
      </c>
      <c r="K4104" s="36"/>
      <c r="L4104" s="36"/>
      <c r="M4104" s="36"/>
      <c r="N4104" s="36"/>
      <c r="O4104" s="36"/>
      <c r="P4104" s="36"/>
      <c r="Q4104" s="36"/>
      <c r="R4104" s="36"/>
      <c r="S4104" s="36"/>
      <c r="T4104" s="36"/>
      <c r="U4104" s="36"/>
      <c r="V4104" s="36"/>
      <c r="W4104" s="15">
        <f t="shared" si="384"/>
        <v>0</v>
      </c>
      <c r="X4104" s="36"/>
      <c r="Y4104" s="36"/>
      <c r="Z4104" s="36"/>
      <c r="AA4104" s="36">
        <v>300</v>
      </c>
      <c r="AB4104" s="36"/>
      <c r="AC4104" s="36"/>
      <c r="AD4104" s="36"/>
      <c r="AE4104" s="36"/>
      <c r="AF4104" s="36"/>
      <c r="AG4104" s="36"/>
      <c r="AH4104" s="36"/>
      <c r="AI4104" s="36"/>
      <c r="AJ4104" s="15">
        <f t="shared" si="385"/>
        <v>300</v>
      </c>
      <c r="AK4104" s="14"/>
      <c r="AL4104" s="14"/>
      <c r="AM4104" s="14"/>
      <c r="AN4104" s="14"/>
      <c r="AO4104" s="14"/>
      <c r="AP4104" s="14"/>
      <c r="AQ4104" s="14"/>
      <c r="AR4104" s="14"/>
      <c r="AS4104" s="14"/>
      <c r="AT4104" s="14"/>
      <c r="AU4104" s="14"/>
      <c r="AV4104" s="14"/>
      <c r="AW4104" s="15"/>
      <c r="AX4104" s="16"/>
    </row>
    <row r="4105" spans="2:50" x14ac:dyDescent="0.2">
      <c r="B4105" s="7"/>
      <c r="C4105" s="8">
        <v>14413</v>
      </c>
      <c r="D4105" s="9" t="s">
        <v>696</v>
      </c>
      <c r="E4105" s="10" t="str">
        <f t="shared" si="381"/>
        <v>Rancho Upácuaro No. 64</v>
      </c>
      <c r="F4105" s="10" t="str">
        <f t="shared" si="382"/>
        <v>Méndez Oliva</v>
      </c>
      <c r="G4105" s="8">
        <v>1</v>
      </c>
      <c r="H4105" s="11">
        <v>300</v>
      </c>
      <c r="I4105" s="12">
        <v>42869</v>
      </c>
      <c r="J4105" s="35">
        <f t="shared" si="383"/>
        <v>0</v>
      </c>
      <c r="K4105" s="36"/>
      <c r="L4105" s="36"/>
      <c r="M4105" s="36"/>
      <c r="N4105" s="36"/>
      <c r="O4105" s="36"/>
      <c r="P4105" s="36"/>
      <c r="Q4105" s="36"/>
      <c r="R4105" s="36"/>
      <c r="S4105" s="36"/>
      <c r="T4105" s="36"/>
      <c r="U4105" s="36"/>
      <c r="V4105" s="36"/>
      <c r="W4105" s="15">
        <f t="shared" si="384"/>
        <v>0</v>
      </c>
      <c r="X4105" s="36"/>
      <c r="Y4105" s="36"/>
      <c r="Z4105" s="36"/>
      <c r="AA4105" s="36"/>
      <c r="AB4105" s="36">
        <v>300</v>
      </c>
      <c r="AC4105" s="36"/>
      <c r="AD4105" s="36"/>
      <c r="AE4105" s="36"/>
      <c r="AF4105" s="36"/>
      <c r="AG4105" s="36"/>
      <c r="AH4105" s="36"/>
      <c r="AI4105" s="36"/>
      <c r="AJ4105" s="15">
        <f t="shared" si="385"/>
        <v>300</v>
      </c>
      <c r="AK4105" s="14"/>
      <c r="AL4105" s="14"/>
      <c r="AM4105" s="14"/>
      <c r="AN4105" s="14"/>
      <c r="AO4105" s="14"/>
      <c r="AP4105" s="14"/>
      <c r="AQ4105" s="14"/>
      <c r="AR4105" s="14"/>
      <c r="AS4105" s="14"/>
      <c r="AT4105" s="14"/>
      <c r="AU4105" s="14"/>
      <c r="AV4105" s="14"/>
      <c r="AW4105" s="15"/>
      <c r="AX4105" s="16"/>
    </row>
    <row r="4106" spans="2:50" x14ac:dyDescent="0.2">
      <c r="B4106" s="7"/>
      <c r="C4106" s="8">
        <v>14414</v>
      </c>
      <c r="D4106" s="9" t="s">
        <v>343</v>
      </c>
      <c r="E4106" s="10" t="str">
        <f t="shared" si="381"/>
        <v>Rancho Upácuaro No. 88</v>
      </c>
      <c r="F4106" s="10" t="str">
        <f t="shared" si="382"/>
        <v>Millán Núñez</v>
      </c>
      <c r="G4106" s="8">
        <v>1</v>
      </c>
      <c r="H4106" s="11">
        <v>400</v>
      </c>
      <c r="I4106" s="12">
        <v>42869</v>
      </c>
      <c r="J4106" s="35">
        <f t="shared" si="383"/>
        <v>0</v>
      </c>
      <c r="K4106" s="36"/>
      <c r="L4106" s="36"/>
      <c r="M4106" s="36"/>
      <c r="N4106" s="36"/>
      <c r="O4106" s="36"/>
      <c r="P4106" s="36"/>
      <c r="Q4106" s="36"/>
      <c r="R4106" s="36"/>
      <c r="S4106" s="36"/>
      <c r="T4106" s="36"/>
      <c r="U4106" s="36"/>
      <c r="V4106" s="36"/>
      <c r="W4106" s="15">
        <f t="shared" si="384"/>
        <v>0</v>
      </c>
      <c r="X4106" s="36"/>
      <c r="Y4106" s="36"/>
      <c r="Z4106" s="36"/>
      <c r="AA4106" s="36"/>
      <c r="AB4106" s="36">
        <v>400</v>
      </c>
      <c r="AC4106" s="36"/>
      <c r="AD4106" s="36"/>
      <c r="AE4106" s="36"/>
      <c r="AF4106" s="36"/>
      <c r="AG4106" s="36"/>
      <c r="AH4106" s="36"/>
      <c r="AI4106" s="36"/>
      <c r="AJ4106" s="15">
        <f t="shared" si="385"/>
        <v>400</v>
      </c>
      <c r="AK4106" s="14"/>
      <c r="AL4106" s="14"/>
      <c r="AM4106" s="14"/>
      <c r="AN4106" s="14"/>
      <c r="AO4106" s="14"/>
      <c r="AP4106" s="14"/>
      <c r="AQ4106" s="14"/>
      <c r="AR4106" s="14"/>
      <c r="AS4106" s="14"/>
      <c r="AT4106" s="14"/>
      <c r="AU4106" s="14"/>
      <c r="AV4106" s="14"/>
      <c r="AW4106" s="15"/>
      <c r="AX4106" s="16"/>
    </row>
    <row r="4107" spans="2:50" x14ac:dyDescent="0.2">
      <c r="B4107" s="7"/>
      <c r="C4107" s="8">
        <v>14414</v>
      </c>
      <c r="D4107" s="9" t="s">
        <v>343</v>
      </c>
      <c r="E4107" s="10" t="str">
        <f t="shared" si="381"/>
        <v>Rancho Upácuaro No. 88</v>
      </c>
      <c r="F4107" s="10" t="str">
        <f t="shared" si="382"/>
        <v>Millán Núñez</v>
      </c>
      <c r="G4107" s="8">
        <v>5</v>
      </c>
      <c r="H4107" s="11">
        <v>50</v>
      </c>
      <c r="I4107" s="12">
        <v>42869</v>
      </c>
      <c r="J4107" s="35">
        <f t="shared" si="383"/>
        <v>0</v>
      </c>
      <c r="K4107" s="36"/>
      <c r="L4107" s="36"/>
      <c r="M4107" s="36"/>
      <c r="N4107" s="36"/>
      <c r="O4107" s="36"/>
      <c r="P4107" s="36"/>
      <c r="Q4107" s="36"/>
      <c r="R4107" s="36"/>
      <c r="S4107" s="36"/>
      <c r="T4107" s="36"/>
      <c r="U4107" s="36"/>
      <c r="V4107" s="36"/>
      <c r="W4107" s="15">
        <f t="shared" si="384"/>
        <v>0</v>
      </c>
      <c r="X4107" s="36"/>
      <c r="Y4107" s="36"/>
      <c r="Z4107" s="36"/>
      <c r="AA4107" s="36"/>
      <c r="AB4107" s="36"/>
      <c r="AC4107" s="36"/>
      <c r="AD4107" s="36"/>
      <c r="AE4107" s="36"/>
      <c r="AF4107" s="36"/>
      <c r="AG4107" s="36"/>
      <c r="AH4107" s="36"/>
      <c r="AI4107" s="36"/>
      <c r="AJ4107" s="15">
        <f t="shared" si="385"/>
        <v>0</v>
      </c>
      <c r="AK4107" s="14"/>
      <c r="AL4107" s="14"/>
      <c r="AM4107" s="14"/>
      <c r="AN4107" s="14"/>
      <c r="AO4107" s="14"/>
      <c r="AP4107" s="14"/>
      <c r="AQ4107" s="14"/>
      <c r="AR4107" s="14"/>
      <c r="AS4107" s="14"/>
      <c r="AT4107" s="14"/>
      <c r="AU4107" s="14"/>
      <c r="AV4107" s="14"/>
      <c r="AW4107" s="15"/>
      <c r="AX4107" s="16"/>
    </row>
    <row r="4108" spans="2:50" x14ac:dyDescent="0.2">
      <c r="B4108" s="7"/>
      <c r="C4108" s="8">
        <v>14415</v>
      </c>
      <c r="D4108" s="9" t="s">
        <v>1267</v>
      </c>
      <c r="E4108" s="10" t="str">
        <f t="shared" si="381"/>
        <v>Rancho La Cuchilla No. 31</v>
      </c>
      <c r="F4108" s="10" t="str">
        <f t="shared" si="382"/>
        <v>Lince</v>
      </c>
      <c r="G4108" s="8">
        <v>1</v>
      </c>
      <c r="H4108" s="11">
        <v>300</v>
      </c>
      <c r="I4108" s="12">
        <v>42869</v>
      </c>
      <c r="J4108" s="35">
        <f t="shared" si="383"/>
        <v>0</v>
      </c>
      <c r="K4108" s="36"/>
      <c r="L4108" s="36"/>
      <c r="M4108" s="36"/>
      <c r="N4108" s="36"/>
      <c r="O4108" s="36"/>
      <c r="P4108" s="36"/>
      <c r="Q4108" s="36"/>
      <c r="R4108" s="36"/>
      <c r="S4108" s="36"/>
      <c r="T4108" s="36"/>
      <c r="U4108" s="36"/>
      <c r="V4108" s="36"/>
      <c r="W4108" s="15">
        <f t="shared" si="384"/>
        <v>0</v>
      </c>
      <c r="X4108" s="36"/>
      <c r="Y4108" s="36"/>
      <c r="Z4108" s="36"/>
      <c r="AA4108" s="36">
        <v>300</v>
      </c>
      <c r="AB4108" s="36"/>
      <c r="AC4108" s="36"/>
      <c r="AD4108" s="36"/>
      <c r="AE4108" s="36"/>
      <c r="AF4108" s="36"/>
      <c r="AG4108" s="36"/>
      <c r="AH4108" s="36"/>
      <c r="AI4108" s="36"/>
      <c r="AJ4108" s="15">
        <f t="shared" si="385"/>
        <v>300</v>
      </c>
      <c r="AK4108" s="14"/>
      <c r="AL4108" s="14"/>
      <c r="AM4108" s="14"/>
      <c r="AN4108" s="14"/>
      <c r="AO4108" s="14"/>
      <c r="AP4108" s="14"/>
      <c r="AQ4108" s="14"/>
      <c r="AR4108" s="14"/>
      <c r="AS4108" s="14"/>
      <c r="AT4108" s="14"/>
      <c r="AU4108" s="14"/>
      <c r="AV4108" s="14"/>
      <c r="AW4108" s="15"/>
      <c r="AX4108" s="16"/>
    </row>
    <row r="4109" spans="2:50" x14ac:dyDescent="0.2">
      <c r="B4109" s="7"/>
      <c r="C4109" s="8">
        <v>14415</v>
      </c>
      <c r="D4109" s="9" t="s">
        <v>1267</v>
      </c>
      <c r="E4109" s="10" t="str">
        <f t="shared" si="381"/>
        <v>Rancho La Cuchilla No. 31</v>
      </c>
      <c r="F4109" s="10" t="str">
        <f t="shared" si="382"/>
        <v>Lince</v>
      </c>
      <c r="G4109" s="8">
        <v>7</v>
      </c>
      <c r="H4109" s="11">
        <v>100</v>
      </c>
      <c r="I4109" s="12">
        <v>42869</v>
      </c>
      <c r="J4109" s="35">
        <f t="shared" si="383"/>
        <v>0</v>
      </c>
      <c r="K4109" s="36"/>
      <c r="L4109" s="36"/>
      <c r="M4109" s="36"/>
      <c r="N4109" s="36"/>
      <c r="O4109" s="36"/>
      <c r="P4109" s="36"/>
      <c r="Q4109" s="36"/>
      <c r="R4109" s="36"/>
      <c r="S4109" s="36"/>
      <c r="T4109" s="36"/>
      <c r="U4109" s="36"/>
      <c r="V4109" s="36"/>
      <c r="W4109" s="15">
        <f t="shared" si="384"/>
        <v>0</v>
      </c>
      <c r="X4109" s="36"/>
      <c r="Y4109" s="36"/>
      <c r="Z4109" s="36"/>
      <c r="AA4109" s="36"/>
      <c r="AB4109" s="36"/>
      <c r="AC4109" s="36"/>
      <c r="AD4109" s="36"/>
      <c r="AE4109" s="36"/>
      <c r="AF4109" s="36"/>
      <c r="AG4109" s="36"/>
      <c r="AH4109" s="36"/>
      <c r="AI4109" s="36"/>
      <c r="AJ4109" s="15">
        <f t="shared" si="385"/>
        <v>0</v>
      </c>
      <c r="AK4109" s="14"/>
      <c r="AL4109" s="14"/>
      <c r="AM4109" s="14"/>
      <c r="AN4109" s="14"/>
      <c r="AO4109" s="14"/>
      <c r="AP4109" s="14"/>
      <c r="AQ4109" s="14"/>
      <c r="AR4109" s="14"/>
      <c r="AS4109" s="14"/>
      <c r="AT4109" s="14"/>
      <c r="AU4109" s="14"/>
      <c r="AV4109" s="14"/>
      <c r="AW4109" s="15"/>
      <c r="AX4109" s="16" t="s">
        <v>3858</v>
      </c>
    </row>
    <row r="4110" spans="2:50" x14ac:dyDescent="0.2">
      <c r="B4110" s="7"/>
      <c r="C4110" s="8">
        <v>14416</v>
      </c>
      <c r="D4110" s="9" t="s">
        <v>271</v>
      </c>
      <c r="E4110" s="10" t="str">
        <f t="shared" si="381"/>
        <v>Rancho Landero No. 76</v>
      </c>
      <c r="F4110" s="10" t="str">
        <f t="shared" si="382"/>
        <v>Ugarte</v>
      </c>
      <c r="G4110" s="8">
        <v>1</v>
      </c>
      <c r="H4110" s="11">
        <v>800</v>
      </c>
      <c r="I4110" s="12">
        <v>42869</v>
      </c>
      <c r="J4110" s="35">
        <f t="shared" si="383"/>
        <v>0</v>
      </c>
      <c r="K4110" s="36"/>
      <c r="L4110" s="36"/>
      <c r="M4110" s="36"/>
      <c r="N4110" s="36"/>
      <c r="O4110" s="36"/>
      <c r="P4110" s="36"/>
      <c r="Q4110" s="36"/>
      <c r="R4110" s="36"/>
      <c r="S4110" s="36"/>
      <c r="T4110" s="36"/>
      <c r="U4110" s="36"/>
      <c r="V4110" s="36"/>
      <c r="W4110" s="15">
        <f t="shared" si="384"/>
        <v>0</v>
      </c>
      <c r="X4110" s="36"/>
      <c r="Y4110" s="36"/>
      <c r="Z4110" s="36"/>
      <c r="AA4110" s="36">
        <v>400</v>
      </c>
      <c r="AB4110" s="36">
        <v>400</v>
      </c>
      <c r="AC4110" s="36"/>
      <c r="AD4110" s="36"/>
      <c r="AE4110" s="36"/>
      <c r="AF4110" s="36"/>
      <c r="AG4110" s="36"/>
      <c r="AH4110" s="36"/>
      <c r="AI4110" s="36"/>
      <c r="AJ4110" s="15">
        <f t="shared" si="385"/>
        <v>800</v>
      </c>
      <c r="AK4110" s="14"/>
      <c r="AL4110" s="14"/>
      <c r="AM4110" s="14"/>
      <c r="AN4110" s="14"/>
      <c r="AO4110" s="14"/>
      <c r="AP4110" s="14"/>
      <c r="AQ4110" s="14"/>
      <c r="AR4110" s="14"/>
      <c r="AS4110" s="14"/>
      <c r="AT4110" s="14"/>
      <c r="AU4110" s="14"/>
      <c r="AV4110" s="14"/>
      <c r="AW4110" s="15"/>
      <c r="AX4110" s="16"/>
    </row>
    <row r="4111" spans="2:50" x14ac:dyDescent="0.2">
      <c r="B4111" s="7"/>
      <c r="C4111" s="8">
        <v>14417</v>
      </c>
      <c r="D4111" s="9" t="s">
        <v>307</v>
      </c>
      <c r="E4111" s="10" t="str">
        <f t="shared" ref="E4111:E4158" si="386">IF(D4111=0,"",VLOOKUP(D4111,BASE,2,FALSE))</f>
        <v>Rancho Landero No. 83</v>
      </c>
      <c r="F4111" s="10" t="str">
        <f t="shared" ref="F4111:F4158" si="387">IF(D4111=0,"",VLOOKUP(D4111,BASE,3,FALSE))</f>
        <v>Aguilar</v>
      </c>
      <c r="G4111" s="8">
        <v>1</v>
      </c>
      <c r="H4111" s="11">
        <v>350</v>
      </c>
      <c r="I4111" s="12">
        <v>42869</v>
      </c>
      <c r="J4111" s="35">
        <f t="shared" ref="J4111:J4158" si="388">IF(G4111=1,SUM(W4111,AJ4111,-H4111),0)</f>
        <v>0</v>
      </c>
      <c r="K4111" s="36"/>
      <c r="L4111" s="36"/>
      <c r="M4111" s="36"/>
      <c r="N4111" s="36"/>
      <c r="O4111" s="36"/>
      <c r="P4111" s="36"/>
      <c r="Q4111" s="36"/>
      <c r="R4111" s="36"/>
      <c r="S4111" s="36"/>
      <c r="T4111" s="36"/>
      <c r="U4111" s="36"/>
      <c r="V4111" s="36"/>
      <c r="W4111" s="15">
        <f t="shared" ref="W4111:W4158" si="389">SUM(K4111:V4111)</f>
        <v>0</v>
      </c>
      <c r="X4111" s="36"/>
      <c r="Y4111" s="36"/>
      <c r="Z4111" s="36"/>
      <c r="AA4111" s="36"/>
      <c r="AB4111" s="36">
        <v>350</v>
      </c>
      <c r="AC4111" s="36"/>
      <c r="AD4111" s="36"/>
      <c r="AE4111" s="36"/>
      <c r="AF4111" s="36"/>
      <c r="AG4111" s="36"/>
      <c r="AH4111" s="36"/>
      <c r="AI4111" s="36"/>
      <c r="AJ4111" s="15">
        <f t="shared" ref="AJ4111:AJ4158" si="390">SUM(X4111:AI4111)</f>
        <v>350</v>
      </c>
      <c r="AK4111" s="14"/>
      <c r="AL4111" s="14"/>
      <c r="AM4111" s="14"/>
      <c r="AN4111" s="14"/>
      <c r="AO4111" s="14"/>
      <c r="AP4111" s="14"/>
      <c r="AQ4111" s="14"/>
      <c r="AR4111" s="14"/>
      <c r="AS4111" s="14"/>
      <c r="AT4111" s="14"/>
      <c r="AU4111" s="14"/>
      <c r="AV4111" s="14"/>
      <c r="AW4111" s="15"/>
      <c r="AX4111" s="16"/>
    </row>
    <row r="4112" spans="2:50" x14ac:dyDescent="0.2">
      <c r="B4112" s="7"/>
      <c r="C4112" s="8">
        <v>14418</v>
      </c>
      <c r="D4112" s="9" t="s">
        <v>316</v>
      </c>
      <c r="E4112" s="10" t="str">
        <f t="shared" si="386"/>
        <v>Rancho Estanzuela No. 147, 1</v>
      </c>
      <c r="F4112" s="10" t="str">
        <f t="shared" si="387"/>
        <v>De la Rosa Enrique</v>
      </c>
      <c r="G4112" s="8">
        <v>1</v>
      </c>
      <c r="H4112" s="11">
        <v>300</v>
      </c>
      <c r="I4112" s="12">
        <v>42869</v>
      </c>
      <c r="J4112" s="35">
        <f t="shared" si="388"/>
        <v>0</v>
      </c>
      <c r="K4112" s="36"/>
      <c r="L4112" s="36"/>
      <c r="M4112" s="36"/>
      <c r="N4112" s="36"/>
      <c r="O4112" s="36"/>
      <c r="P4112" s="36"/>
      <c r="Q4112" s="36"/>
      <c r="R4112" s="36"/>
      <c r="S4112" s="36"/>
      <c r="T4112" s="36"/>
      <c r="U4112" s="36"/>
      <c r="V4112" s="36"/>
      <c r="W4112" s="15">
        <f t="shared" si="389"/>
        <v>0</v>
      </c>
      <c r="X4112" s="36"/>
      <c r="Y4112" s="36">
        <v>100</v>
      </c>
      <c r="Z4112" s="36">
        <v>100</v>
      </c>
      <c r="AA4112" s="36">
        <v>100</v>
      </c>
      <c r="AB4112" s="36"/>
      <c r="AC4112" s="36"/>
      <c r="AD4112" s="36"/>
      <c r="AE4112" s="36"/>
      <c r="AF4112" s="36"/>
      <c r="AG4112" s="36"/>
      <c r="AH4112" s="36"/>
      <c r="AI4112" s="36"/>
      <c r="AJ4112" s="15">
        <f t="shared" si="390"/>
        <v>300</v>
      </c>
      <c r="AK4112" s="14"/>
      <c r="AL4112" s="14"/>
      <c r="AM4112" s="14"/>
      <c r="AN4112" s="14"/>
      <c r="AO4112" s="14"/>
      <c r="AP4112" s="14"/>
      <c r="AQ4112" s="14"/>
      <c r="AR4112" s="14"/>
      <c r="AS4112" s="14"/>
      <c r="AT4112" s="14"/>
      <c r="AU4112" s="14"/>
      <c r="AV4112" s="14"/>
      <c r="AW4112" s="15"/>
      <c r="AX4112" s="16"/>
    </row>
    <row r="4113" spans="2:50" x14ac:dyDescent="0.2">
      <c r="B4113" s="7"/>
      <c r="C4113" s="8">
        <v>14419</v>
      </c>
      <c r="D4113" s="9" t="s">
        <v>319</v>
      </c>
      <c r="E4113" s="10" t="str">
        <f t="shared" si="386"/>
        <v>Rancho Estanzuela No. 147, 2</v>
      </c>
      <c r="F4113" s="10" t="str">
        <f t="shared" si="387"/>
        <v>Figueroa</v>
      </c>
      <c r="G4113" s="8">
        <v>1</v>
      </c>
      <c r="H4113" s="11">
        <v>300</v>
      </c>
      <c r="I4113" s="12">
        <v>42869</v>
      </c>
      <c r="J4113" s="35">
        <f t="shared" si="388"/>
        <v>0</v>
      </c>
      <c r="K4113" s="36"/>
      <c r="L4113" s="36"/>
      <c r="M4113" s="36"/>
      <c r="N4113" s="36"/>
      <c r="O4113" s="36"/>
      <c r="P4113" s="36"/>
      <c r="Q4113" s="36"/>
      <c r="R4113" s="36"/>
      <c r="S4113" s="36"/>
      <c r="T4113" s="36"/>
      <c r="U4113" s="36"/>
      <c r="V4113" s="36"/>
      <c r="W4113" s="15">
        <f t="shared" si="389"/>
        <v>0</v>
      </c>
      <c r="X4113" s="36"/>
      <c r="Y4113" s="36">
        <v>100</v>
      </c>
      <c r="Z4113" s="36">
        <v>100</v>
      </c>
      <c r="AA4113" s="36">
        <v>100</v>
      </c>
      <c r="AB4113" s="36"/>
      <c r="AC4113" s="36"/>
      <c r="AD4113" s="36"/>
      <c r="AE4113" s="36"/>
      <c r="AF4113" s="36"/>
      <c r="AG4113" s="36"/>
      <c r="AH4113" s="36"/>
      <c r="AI4113" s="36"/>
      <c r="AJ4113" s="15">
        <f t="shared" si="390"/>
        <v>300</v>
      </c>
      <c r="AK4113" s="14"/>
      <c r="AL4113" s="14"/>
      <c r="AM4113" s="14"/>
      <c r="AN4113" s="14"/>
      <c r="AO4113" s="14"/>
      <c r="AP4113" s="14"/>
      <c r="AQ4113" s="14"/>
      <c r="AR4113" s="14"/>
      <c r="AS4113" s="14"/>
      <c r="AT4113" s="14"/>
      <c r="AU4113" s="14"/>
      <c r="AV4113" s="14"/>
      <c r="AW4113" s="15"/>
      <c r="AX4113" s="16"/>
    </row>
    <row r="4114" spans="2:50" x14ac:dyDescent="0.2">
      <c r="B4114" s="7"/>
      <c r="C4114" s="8">
        <v>14419</v>
      </c>
      <c r="D4114" s="9" t="s">
        <v>319</v>
      </c>
      <c r="E4114" s="10" t="str">
        <f t="shared" si="386"/>
        <v>Rancho Estanzuela No. 147, 2</v>
      </c>
      <c r="F4114" s="10" t="str">
        <f t="shared" si="387"/>
        <v>Figueroa</v>
      </c>
      <c r="G4114" s="8">
        <v>5</v>
      </c>
      <c r="H4114" s="11">
        <v>50</v>
      </c>
      <c r="I4114" s="12">
        <v>42869</v>
      </c>
      <c r="J4114" s="35">
        <f t="shared" si="388"/>
        <v>0</v>
      </c>
      <c r="K4114" s="36"/>
      <c r="L4114" s="36"/>
      <c r="M4114" s="36"/>
      <c r="N4114" s="36"/>
      <c r="O4114" s="36"/>
      <c r="P4114" s="36"/>
      <c r="Q4114" s="36"/>
      <c r="R4114" s="36"/>
      <c r="S4114" s="36"/>
      <c r="T4114" s="36"/>
      <c r="U4114" s="36"/>
      <c r="V4114" s="36"/>
      <c r="W4114" s="15">
        <f t="shared" si="389"/>
        <v>0</v>
      </c>
      <c r="X4114" s="36"/>
      <c r="Y4114" s="36"/>
      <c r="Z4114" s="36"/>
      <c r="AA4114" s="36"/>
      <c r="AB4114" s="36"/>
      <c r="AC4114" s="36"/>
      <c r="AD4114" s="36"/>
      <c r="AE4114" s="36"/>
      <c r="AF4114" s="36"/>
      <c r="AG4114" s="36"/>
      <c r="AH4114" s="36"/>
      <c r="AI4114" s="36"/>
      <c r="AJ4114" s="15">
        <f t="shared" si="390"/>
        <v>0</v>
      </c>
      <c r="AK4114" s="14"/>
      <c r="AL4114" s="14"/>
      <c r="AM4114" s="14"/>
      <c r="AN4114" s="14"/>
      <c r="AO4114" s="14"/>
      <c r="AP4114" s="14"/>
      <c r="AQ4114" s="14"/>
      <c r="AR4114" s="14"/>
      <c r="AS4114" s="14"/>
      <c r="AT4114" s="14"/>
      <c r="AU4114" s="14"/>
      <c r="AV4114" s="14"/>
      <c r="AW4114" s="15"/>
      <c r="AX4114" s="16"/>
    </row>
    <row r="4115" spans="2:50" x14ac:dyDescent="0.2">
      <c r="B4115" s="7"/>
      <c r="C4115" s="8">
        <v>14420</v>
      </c>
      <c r="D4115" s="9" t="s">
        <v>156</v>
      </c>
      <c r="E4115" s="10" t="str">
        <f t="shared" si="386"/>
        <v>Rancho Zinamba No. 80</v>
      </c>
      <c r="F4115" s="10" t="str">
        <f t="shared" si="387"/>
        <v>Vázquez</v>
      </c>
      <c r="G4115" s="8">
        <v>1</v>
      </c>
      <c r="H4115" s="11">
        <v>600</v>
      </c>
      <c r="I4115" s="12">
        <v>42869</v>
      </c>
      <c r="J4115" s="35">
        <f t="shared" si="388"/>
        <v>0</v>
      </c>
      <c r="K4115" s="36"/>
      <c r="L4115" s="36"/>
      <c r="M4115" s="36"/>
      <c r="N4115" s="36"/>
      <c r="O4115" s="36"/>
      <c r="P4115" s="36"/>
      <c r="Q4115" s="36"/>
      <c r="R4115" s="36"/>
      <c r="S4115" s="36"/>
      <c r="T4115" s="36"/>
      <c r="U4115" s="36"/>
      <c r="V4115" s="36"/>
      <c r="W4115" s="15">
        <f t="shared" si="389"/>
        <v>0</v>
      </c>
      <c r="X4115" s="36"/>
      <c r="Y4115" s="36"/>
      <c r="Z4115" s="36"/>
      <c r="AA4115" s="36">
        <v>300</v>
      </c>
      <c r="AB4115" s="36">
        <v>300</v>
      </c>
      <c r="AC4115" s="36"/>
      <c r="AD4115" s="36"/>
      <c r="AE4115" s="36"/>
      <c r="AF4115" s="36"/>
      <c r="AG4115" s="36"/>
      <c r="AH4115" s="36"/>
      <c r="AI4115" s="36"/>
      <c r="AJ4115" s="15">
        <f t="shared" si="390"/>
        <v>600</v>
      </c>
      <c r="AK4115" s="14"/>
      <c r="AL4115" s="14"/>
      <c r="AM4115" s="14"/>
      <c r="AN4115" s="14"/>
      <c r="AO4115" s="14"/>
      <c r="AP4115" s="14"/>
      <c r="AQ4115" s="14"/>
      <c r="AR4115" s="14"/>
      <c r="AS4115" s="14"/>
      <c r="AT4115" s="14"/>
      <c r="AU4115" s="14"/>
      <c r="AV4115" s="14"/>
      <c r="AW4115" s="15"/>
      <c r="AX4115" s="16"/>
    </row>
    <row r="4116" spans="2:50" x14ac:dyDescent="0.2">
      <c r="B4116" s="7"/>
      <c r="C4116" s="8">
        <v>14421</v>
      </c>
      <c r="D4116" s="9" t="s">
        <v>544</v>
      </c>
      <c r="E4116" s="10" t="str">
        <f t="shared" si="386"/>
        <v>Rancho Estanzuela No. 89</v>
      </c>
      <c r="F4116" s="10" t="str">
        <f t="shared" si="387"/>
        <v>Romero Ortiz</v>
      </c>
      <c r="G4116" s="8">
        <v>1</v>
      </c>
      <c r="H4116" s="11">
        <v>800</v>
      </c>
      <c r="I4116" s="12">
        <v>42869</v>
      </c>
      <c r="J4116" s="35">
        <f t="shared" si="388"/>
        <v>0</v>
      </c>
      <c r="K4116" s="36"/>
      <c r="L4116" s="36"/>
      <c r="M4116" s="36"/>
      <c r="N4116" s="36"/>
      <c r="O4116" s="36"/>
      <c r="P4116" s="36"/>
      <c r="Q4116" s="36"/>
      <c r="R4116" s="36"/>
      <c r="S4116" s="36"/>
      <c r="T4116" s="36"/>
      <c r="U4116" s="36"/>
      <c r="V4116" s="36"/>
      <c r="W4116" s="15">
        <f t="shared" si="389"/>
        <v>0</v>
      </c>
      <c r="X4116" s="36"/>
      <c r="Y4116" s="36"/>
      <c r="Z4116" s="36"/>
      <c r="AA4116" s="36">
        <v>400</v>
      </c>
      <c r="AB4116" s="36">
        <v>400</v>
      </c>
      <c r="AC4116" s="36"/>
      <c r="AD4116" s="36"/>
      <c r="AE4116" s="36"/>
      <c r="AF4116" s="36"/>
      <c r="AG4116" s="36"/>
      <c r="AH4116" s="36"/>
      <c r="AI4116" s="36"/>
      <c r="AJ4116" s="15">
        <f t="shared" si="390"/>
        <v>800</v>
      </c>
      <c r="AK4116" s="14"/>
      <c r="AL4116" s="14"/>
      <c r="AM4116" s="14"/>
      <c r="AN4116" s="14"/>
      <c r="AO4116" s="14"/>
      <c r="AP4116" s="14"/>
      <c r="AQ4116" s="14"/>
      <c r="AR4116" s="14"/>
      <c r="AS4116" s="14"/>
      <c r="AT4116" s="14"/>
      <c r="AU4116" s="14"/>
      <c r="AV4116" s="14"/>
      <c r="AW4116" s="15"/>
      <c r="AX4116" s="16"/>
    </row>
    <row r="4117" spans="2:50" x14ac:dyDescent="0.2">
      <c r="B4117" s="7"/>
      <c r="C4117" s="8">
        <v>14422</v>
      </c>
      <c r="D4117" s="9" t="s">
        <v>407</v>
      </c>
      <c r="E4117" s="10" t="str">
        <f t="shared" si="386"/>
        <v>Rancho Estanzuela No. 99</v>
      </c>
      <c r="F4117" s="10" t="str">
        <f t="shared" si="387"/>
        <v>García López</v>
      </c>
      <c r="G4117" s="8">
        <v>1</v>
      </c>
      <c r="H4117" s="11">
        <v>400</v>
      </c>
      <c r="I4117" s="12">
        <v>42869</v>
      </c>
      <c r="J4117" s="35">
        <f t="shared" si="388"/>
        <v>0</v>
      </c>
      <c r="K4117" s="36"/>
      <c r="L4117" s="36"/>
      <c r="M4117" s="36"/>
      <c r="N4117" s="36"/>
      <c r="O4117" s="36"/>
      <c r="P4117" s="36"/>
      <c r="Q4117" s="36"/>
      <c r="R4117" s="36"/>
      <c r="S4117" s="36"/>
      <c r="T4117" s="36"/>
      <c r="U4117" s="36"/>
      <c r="V4117" s="36"/>
      <c r="W4117" s="15">
        <f t="shared" si="389"/>
        <v>0</v>
      </c>
      <c r="X4117" s="36"/>
      <c r="Y4117" s="36"/>
      <c r="Z4117" s="36"/>
      <c r="AA4117" s="36"/>
      <c r="AB4117" s="36">
        <v>400</v>
      </c>
      <c r="AC4117" s="36"/>
      <c r="AD4117" s="36"/>
      <c r="AE4117" s="36"/>
      <c r="AF4117" s="36"/>
      <c r="AG4117" s="36"/>
      <c r="AH4117" s="36"/>
      <c r="AI4117" s="36"/>
      <c r="AJ4117" s="15">
        <f t="shared" si="390"/>
        <v>400</v>
      </c>
      <c r="AK4117" s="14"/>
      <c r="AL4117" s="14"/>
      <c r="AM4117" s="14"/>
      <c r="AN4117" s="14"/>
      <c r="AO4117" s="14"/>
      <c r="AP4117" s="14"/>
      <c r="AQ4117" s="14"/>
      <c r="AR4117" s="14"/>
      <c r="AS4117" s="14"/>
      <c r="AT4117" s="14"/>
      <c r="AU4117" s="14"/>
      <c r="AV4117" s="14"/>
      <c r="AW4117" s="15"/>
      <c r="AX4117" s="16"/>
    </row>
    <row r="4118" spans="2:50" x14ac:dyDescent="0.2">
      <c r="B4118" s="7"/>
      <c r="C4118" s="8">
        <v>14423</v>
      </c>
      <c r="D4118" s="9" t="s">
        <v>434</v>
      </c>
      <c r="E4118" s="10" t="str">
        <f t="shared" si="386"/>
        <v>Rancho La Cuchilla No. 55</v>
      </c>
      <c r="F4118" s="10" t="str">
        <f t="shared" si="387"/>
        <v>López Velázquez</v>
      </c>
      <c r="G4118" s="8">
        <v>1</v>
      </c>
      <c r="H4118" s="11">
        <v>1200</v>
      </c>
      <c r="I4118" s="12">
        <v>42869</v>
      </c>
      <c r="J4118" s="35">
        <f t="shared" si="388"/>
        <v>0</v>
      </c>
      <c r="K4118" s="36"/>
      <c r="L4118" s="36"/>
      <c r="M4118" s="36"/>
      <c r="N4118" s="36"/>
      <c r="O4118" s="36"/>
      <c r="P4118" s="36"/>
      <c r="Q4118" s="36"/>
      <c r="R4118" s="36"/>
      <c r="S4118" s="36"/>
      <c r="T4118" s="36"/>
      <c r="U4118" s="36"/>
      <c r="V4118" s="36"/>
      <c r="W4118" s="15">
        <f t="shared" si="389"/>
        <v>0</v>
      </c>
      <c r="X4118" s="36"/>
      <c r="Y4118" s="36"/>
      <c r="Z4118" s="36"/>
      <c r="AA4118" s="36">
        <v>400</v>
      </c>
      <c r="AB4118" s="36">
        <v>400</v>
      </c>
      <c r="AC4118" s="36">
        <v>400</v>
      </c>
      <c r="AD4118" s="36"/>
      <c r="AE4118" s="36"/>
      <c r="AF4118" s="36"/>
      <c r="AG4118" s="36"/>
      <c r="AH4118" s="36"/>
      <c r="AI4118" s="36"/>
      <c r="AJ4118" s="15">
        <f t="shared" si="390"/>
        <v>1200</v>
      </c>
      <c r="AK4118" s="14"/>
      <c r="AL4118" s="14"/>
      <c r="AM4118" s="14"/>
      <c r="AN4118" s="14"/>
      <c r="AO4118" s="14"/>
      <c r="AP4118" s="14"/>
      <c r="AQ4118" s="14"/>
      <c r="AR4118" s="14"/>
      <c r="AS4118" s="14"/>
      <c r="AT4118" s="14"/>
      <c r="AU4118" s="14"/>
      <c r="AV4118" s="14"/>
      <c r="AW4118" s="15"/>
      <c r="AX4118" s="16"/>
    </row>
    <row r="4119" spans="2:50" x14ac:dyDescent="0.2">
      <c r="B4119" s="7"/>
      <c r="C4119" s="8">
        <v>14424</v>
      </c>
      <c r="D4119" s="9" t="s">
        <v>398</v>
      </c>
      <c r="E4119" s="10" t="str">
        <f t="shared" si="386"/>
        <v>Rancho Estanzuela No. 151</v>
      </c>
      <c r="F4119" s="10" t="str">
        <f t="shared" si="387"/>
        <v>Pérez Salazar</v>
      </c>
      <c r="G4119" s="8">
        <v>1</v>
      </c>
      <c r="H4119" s="11">
        <v>400</v>
      </c>
      <c r="I4119" s="12">
        <v>42869</v>
      </c>
      <c r="J4119" s="35">
        <f t="shared" si="388"/>
        <v>0</v>
      </c>
      <c r="K4119" s="36"/>
      <c r="L4119" s="36"/>
      <c r="M4119" s="36"/>
      <c r="N4119" s="36"/>
      <c r="O4119" s="36"/>
      <c r="P4119" s="36"/>
      <c r="Q4119" s="36"/>
      <c r="R4119" s="36"/>
      <c r="S4119" s="36"/>
      <c r="T4119" s="36"/>
      <c r="U4119" s="36"/>
      <c r="V4119" s="36"/>
      <c r="W4119" s="15">
        <f t="shared" si="389"/>
        <v>0</v>
      </c>
      <c r="X4119" s="36"/>
      <c r="Y4119" s="36"/>
      <c r="Z4119" s="36"/>
      <c r="AA4119" s="36"/>
      <c r="AB4119" s="36">
        <v>400</v>
      </c>
      <c r="AC4119" s="36"/>
      <c r="AD4119" s="36"/>
      <c r="AE4119" s="36"/>
      <c r="AF4119" s="36"/>
      <c r="AG4119" s="36"/>
      <c r="AH4119" s="36"/>
      <c r="AI4119" s="36"/>
      <c r="AJ4119" s="15">
        <f t="shared" si="390"/>
        <v>400</v>
      </c>
      <c r="AK4119" s="14"/>
      <c r="AL4119" s="14"/>
      <c r="AM4119" s="14"/>
      <c r="AN4119" s="14"/>
      <c r="AO4119" s="14"/>
      <c r="AP4119" s="14"/>
      <c r="AQ4119" s="14"/>
      <c r="AR4119" s="14"/>
      <c r="AS4119" s="14"/>
      <c r="AT4119" s="14"/>
      <c r="AU4119" s="14"/>
      <c r="AV4119" s="14"/>
      <c r="AW4119" s="15"/>
      <c r="AX4119" s="16"/>
    </row>
    <row r="4120" spans="2:50" x14ac:dyDescent="0.2">
      <c r="B4120" s="7"/>
      <c r="C4120" s="8">
        <v>14425</v>
      </c>
      <c r="D4120" s="9" t="s">
        <v>1055</v>
      </c>
      <c r="E4120" s="10" t="str">
        <f t="shared" si="386"/>
        <v>Rancho Estanzuela No. 119, 4</v>
      </c>
      <c r="F4120" s="10" t="str">
        <f t="shared" si="387"/>
        <v>Pérez Martínez</v>
      </c>
      <c r="G4120" s="8">
        <v>1</v>
      </c>
      <c r="H4120" s="11">
        <v>400</v>
      </c>
      <c r="I4120" s="12">
        <v>42869</v>
      </c>
      <c r="J4120" s="35">
        <f t="shared" si="388"/>
        <v>0</v>
      </c>
      <c r="K4120" s="36"/>
      <c r="L4120" s="36"/>
      <c r="M4120" s="36"/>
      <c r="N4120" s="36"/>
      <c r="O4120" s="36"/>
      <c r="P4120" s="36"/>
      <c r="Q4120" s="36"/>
      <c r="R4120" s="36"/>
      <c r="S4120" s="36"/>
      <c r="T4120" s="36"/>
      <c r="U4120" s="36"/>
      <c r="V4120" s="36"/>
      <c r="W4120" s="15">
        <f t="shared" si="389"/>
        <v>0</v>
      </c>
      <c r="X4120" s="36"/>
      <c r="Y4120" s="36"/>
      <c r="Z4120" s="36"/>
      <c r="AA4120" s="36">
        <v>200</v>
      </c>
      <c r="AB4120" s="36">
        <v>200</v>
      </c>
      <c r="AC4120" s="36"/>
      <c r="AD4120" s="36"/>
      <c r="AE4120" s="36"/>
      <c r="AF4120" s="36"/>
      <c r="AG4120" s="36"/>
      <c r="AH4120" s="36"/>
      <c r="AI4120" s="36"/>
      <c r="AJ4120" s="15">
        <f t="shared" si="390"/>
        <v>400</v>
      </c>
      <c r="AK4120" s="14"/>
      <c r="AL4120" s="14"/>
      <c r="AM4120" s="14"/>
      <c r="AN4120" s="14"/>
      <c r="AO4120" s="14"/>
      <c r="AP4120" s="14"/>
      <c r="AQ4120" s="14"/>
      <c r="AR4120" s="14"/>
      <c r="AS4120" s="14"/>
      <c r="AT4120" s="14"/>
      <c r="AU4120" s="14"/>
      <c r="AV4120" s="14"/>
      <c r="AW4120" s="15"/>
      <c r="AX4120" s="16"/>
    </row>
    <row r="4121" spans="2:50" x14ac:dyDescent="0.2">
      <c r="B4121" s="7"/>
      <c r="C4121" s="8">
        <v>14426</v>
      </c>
      <c r="D4121" s="9" t="s">
        <v>965</v>
      </c>
      <c r="E4121" s="10" t="str">
        <f t="shared" si="386"/>
        <v>Rancho La Cuchilla No. 52</v>
      </c>
      <c r="F4121" s="10" t="str">
        <f t="shared" si="387"/>
        <v>Velázquez</v>
      </c>
      <c r="G4121" s="8">
        <v>1</v>
      </c>
      <c r="H4121" s="11">
        <v>400</v>
      </c>
      <c r="I4121" s="12">
        <v>42869</v>
      </c>
      <c r="J4121" s="35">
        <f t="shared" si="388"/>
        <v>0</v>
      </c>
      <c r="K4121" s="36"/>
      <c r="L4121" s="36"/>
      <c r="M4121" s="36"/>
      <c r="N4121" s="36"/>
      <c r="O4121" s="36"/>
      <c r="P4121" s="36"/>
      <c r="Q4121" s="36"/>
      <c r="R4121" s="36"/>
      <c r="S4121" s="36"/>
      <c r="T4121" s="36"/>
      <c r="U4121" s="36"/>
      <c r="V4121" s="36"/>
      <c r="W4121" s="15">
        <f t="shared" si="389"/>
        <v>0</v>
      </c>
      <c r="X4121" s="36"/>
      <c r="Y4121" s="36"/>
      <c r="Z4121" s="36"/>
      <c r="AA4121" s="36">
        <v>400</v>
      </c>
      <c r="AB4121" s="36"/>
      <c r="AC4121" s="36"/>
      <c r="AD4121" s="36"/>
      <c r="AE4121" s="36"/>
      <c r="AF4121" s="36"/>
      <c r="AG4121" s="36"/>
      <c r="AH4121" s="36"/>
      <c r="AI4121" s="36"/>
      <c r="AJ4121" s="15">
        <f t="shared" si="390"/>
        <v>400</v>
      </c>
      <c r="AK4121" s="14"/>
      <c r="AL4121" s="14"/>
      <c r="AM4121" s="14"/>
      <c r="AN4121" s="14"/>
      <c r="AO4121" s="14"/>
      <c r="AP4121" s="14"/>
      <c r="AQ4121" s="14"/>
      <c r="AR4121" s="14"/>
      <c r="AS4121" s="14"/>
      <c r="AT4121" s="14"/>
      <c r="AU4121" s="14"/>
      <c r="AV4121" s="14"/>
      <c r="AW4121" s="15"/>
      <c r="AX4121" s="16"/>
    </row>
    <row r="4122" spans="2:50" x14ac:dyDescent="0.2">
      <c r="B4122" s="7"/>
      <c r="C4122" s="8">
        <v>14427</v>
      </c>
      <c r="D4122" s="9" t="s">
        <v>514</v>
      </c>
      <c r="E4122" s="10" t="str">
        <f t="shared" si="386"/>
        <v>Rancho Upácuaro No. 114</v>
      </c>
      <c r="F4122" s="10" t="str">
        <f t="shared" si="387"/>
        <v>Hernández Cornejo</v>
      </c>
      <c r="G4122" s="8">
        <v>1</v>
      </c>
      <c r="H4122" s="11">
        <v>400</v>
      </c>
      <c r="I4122" s="12">
        <v>42869</v>
      </c>
      <c r="J4122" s="35">
        <f t="shared" si="388"/>
        <v>0</v>
      </c>
      <c r="K4122" s="36"/>
      <c r="L4122" s="36"/>
      <c r="M4122" s="36"/>
      <c r="N4122" s="36"/>
      <c r="O4122" s="36"/>
      <c r="P4122" s="36"/>
      <c r="Q4122" s="36"/>
      <c r="R4122" s="36"/>
      <c r="S4122" s="36"/>
      <c r="T4122" s="36"/>
      <c r="U4122" s="36"/>
      <c r="V4122" s="36"/>
      <c r="W4122" s="15">
        <f t="shared" si="389"/>
        <v>0</v>
      </c>
      <c r="X4122" s="36"/>
      <c r="Y4122" s="36"/>
      <c r="Z4122" s="36"/>
      <c r="AA4122" s="36">
        <v>400</v>
      </c>
      <c r="AB4122" s="36"/>
      <c r="AC4122" s="36"/>
      <c r="AD4122" s="36"/>
      <c r="AE4122" s="36"/>
      <c r="AF4122" s="36"/>
      <c r="AG4122" s="36"/>
      <c r="AH4122" s="36"/>
      <c r="AI4122" s="36"/>
      <c r="AJ4122" s="15">
        <f t="shared" si="390"/>
        <v>400</v>
      </c>
      <c r="AK4122" s="14"/>
      <c r="AL4122" s="14"/>
      <c r="AM4122" s="14"/>
      <c r="AN4122" s="14"/>
      <c r="AO4122" s="14"/>
      <c r="AP4122" s="14"/>
      <c r="AQ4122" s="14"/>
      <c r="AR4122" s="14"/>
      <c r="AS4122" s="14"/>
      <c r="AT4122" s="14"/>
      <c r="AU4122" s="14"/>
      <c r="AV4122" s="14"/>
      <c r="AW4122" s="15"/>
      <c r="AX4122" s="16"/>
    </row>
    <row r="4123" spans="2:50" x14ac:dyDescent="0.2">
      <c r="B4123" s="7"/>
      <c r="C4123" s="8">
        <v>14428</v>
      </c>
      <c r="D4123" s="9" t="s">
        <v>310</v>
      </c>
      <c r="E4123" s="10" t="str">
        <f t="shared" si="386"/>
        <v>Rancho Recoveco No. 181</v>
      </c>
      <c r="F4123" s="10" t="str">
        <f t="shared" si="387"/>
        <v>Castillo</v>
      </c>
      <c r="G4123" s="8">
        <v>1</v>
      </c>
      <c r="H4123" s="11">
        <v>1200</v>
      </c>
      <c r="I4123" s="12">
        <v>42869</v>
      </c>
      <c r="J4123" s="35">
        <f t="shared" si="388"/>
        <v>0</v>
      </c>
      <c r="K4123" s="36"/>
      <c r="L4123" s="36"/>
      <c r="M4123" s="36"/>
      <c r="N4123" s="36"/>
      <c r="O4123" s="36"/>
      <c r="P4123" s="36"/>
      <c r="Q4123" s="36"/>
      <c r="R4123" s="36"/>
      <c r="S4123" s="36"/>
      <c r="T4123" s="36"/>
      <c r="U4123" s="36"/>
      <c r="V4123" s="36"/>
      <c r="W4123" s="15">
        <f t="shared" si="389"/>
        <v>0</v>
      </c>
      <c r="X4123" s="36"/>
      <c r="Y4123" s="36"/>
      <c r="Z4123" s="36">
        <v>400</v>
      </c>
      <c r="AA4123" s="36">
        <v>400</v>
      </c>
      <c r="AB4123" s="36">
        <v>400</v>
      </c>
      <c r="AC4123" s="36"/>
      <c r="AD4123" s="36"/>
      <c r="AE4123" s="36"/>
      <c r="AF4123" s="36"/>
      <c r="AG4123" s="36"/>
      <c r="AH4123" s="36"/>
      <c r="AI4123" s="36"/>
      <c r="AJ4123" s="15">
        <f t="shared" si="390"/>
        <v>1200</v>
      </c>
      <c r="AK4123" s="14"/>
      <c r="AL4123" s="14"/>
      <c r="AM4123" s="14"/>
      <c r="AN4123" s="14"/>
      <c r="AO4123" s="14"/>
      <c r="AP4123" s="14"/>
      <c r="AQ4123" s="14"/>
      <c r="AR4123" s="14"/>
      <c r="AS4123" s="14"/>
      <c r="AT4123" s="14"/>
      <c r="AU4123" s="14"/>
      <c r="AV4123" s="14"/>
      <c r="AW4123" s="15"/>
      <c r="AX4123" s="16"/>
    </row>
    <row r="4124" spans="2:50" x14ac:dyDescent="0.2">
      <c r="B4124" s="7"/>
      <c r="C4124" s="8">
        <v>14429</v>
      </c>
      <c r="D4124" s="9" t="s">
        <v>123</v>
      </c>
      <c r="E4124" s="10" t="str">
        <f t="shared" si="386"/>
        <v>Rancho Recoveco No. 175, B</v>
      </c>
      <c r="F4124" s="10" t="str">
        <f t="shared" si="387"/>
        <v>García Calderón</v>
      </c>
      <c r="G4124" s="8">
        <v>1</v>
      </c>
      <c r="H4124" s="11">
        <v>250</v>
      </c>
      <c r="I4124" s="12">
        <v>42869</v>
      </c>
      <c r="J4124" s="35">
        <f t="shared" si="388"/>
        <v>0</v>
      </c>
      <c r="K4124" s="36"/>
      <c r="L4124" s="36"/>
      <c r="M4124" s="36"/>
      <c r="N4124" s="36"/>
      <c r="O4124" s="36"/>
      <c r="P4124" s="36"/>
      <c r="Q4124" s="36"/>
      <c r="R4124" s="36"/>
      <c r="S4124" s="36"/>
      <c r="T4124" s="36"/>
      <c r="U4124" s="36"/>
      <c r="V4124" s="36"/>
      <c r="W4124" s="15">
        <f t="shared" si="389"/>
        <v>0</v>
      </c>
      <c r="X4124" s="36"/>
      <c r="Y4124" s="36"/>
      <c r="Z4124" s="36"/>
      <c r="AA4124" s="36"/>
      <c r="AB4124" s="36">
        <v>250</v>
      </c>
      <c r="AC4124" s="36"/>
      <c r="AD4124" s="36"/>
      <c r="AE4124" s="36"/>
      <c r="AF4124" s="36"/>
      <c r="AG4124" s="36"/>
      <c r="AH4124" s="36"/>
      <c r="AI4124" s="36"/>
      <c r="AJ4124" s="15">
        <f t="shared" si="390"/>
        <v>250</v>
      </c>
      <c r="AK4124" s="14"/>
      <c r="AL4124" s="14"/>
      <c r="AM4124" s="14"/>
      <c r="AN4124" s="14"/>
      <c r="AO4124" s="14"/>
      <c r="AP4124" s="14"/>
      <c r="AQ4124" s="14"/>
      <c r="AR4124" s="14"/>
      <c r="AS4124" s="14"/>
      <c r="AT4124" s="14"/>
      <c r="AU4124" s="14"/>
      <c r="AV4124" s="14"/>
      <c r="AW4124" s="15"/>
      <c r="AX4124" s="16"/>
    </row>
    <row r="4125" spans="2:50" x14ac:dyDescent="0.2">
      <c r="B4125" s="7"/>
      <c r="C4125" s="8">
        <v>14430</v>
      </c>
      <c r="D4125" s="9" t="s">
        <v>846</v>
      </c>
      <c r="E4125" s="10" t="str">
        <f t="shared" si="386"/>
        <v>Rancho Estanzuela No. 95</v>
      </c>
      <c r="F4125" s="10" t="str">
        <f t="shared" si="387"/>
        <v>Castro Puente</v>
      </c>
      <c r="G4125" s="8">
        <v>1</v>
      </c>
      <c r="H4125" s="11">
        <v>1600</v>
      </c>
      <c r="I4125" s="12">
        <v>42869</v>
      </c>
      <c r="J4125" s="35">
        <f t="shared" si="388"/>
        <v>0</v>
      </c>
      <c r="K4125" s="36"/>
      <c r="L4125" s="36"/>
      <c r="M4125" s="36"/>
      <c r="N4125" s="36"/>
      <c r="O4125" s="36"/>
      <c r="P4125" s="36"/>
      <c r="Q4125" s="36"/>
      <c r="R4125" s="36"/>
      <c r="S4125" s="36"/>
      <c r="T4125" s="36"/>
      <c r="U4125" s="36"/>
      <c r="V4125" s="36"/>
      <c r="W4125" s="15">
        <f t="shared" si="389"/>
        <v>0</v>
      </c>
      <c r="X4125" s="36"/>
      <c r="Y4125" s="36">
        <v>400</v>
      </c>
      <c r="Z4125" s="36">
        <v>400</v>
      </c>
      <c r="AA4125" s="36">
        <v>400</v>
      </c>
      <c r="AB4125" s="36">
        <v>400</v>
      </c>
      <c r="AC4125" s="36"/>
      <c r="AD4125" s="36"/>
      <c r="AE4125" s="36"/>
      <c r="AF4125" s="36"/>
      <c r="AG4125" s="36"/>
      <c r="AH4125" s="36"/>
      <c r="AI4125" s="36"/>
      <c r="AJ4125" s="15">
        <f t="shared" si="390"/>
        <v>1600</v>
      </c>
      <c r="AK4125" s="14"/>
      <c r="AL4125" s="14"/>
      <c r="AM4125" s="14"/>
      <c r="AN4125" s="14"/>
      <c r="AO4125" s="14"/>
      <c r="AP4125" s="14"/>
      <c r="AQ4125" s="14"/>
      <c r="AR4125" s="14"/>
      <c r="AS4125" s="14"/>
      <c r="AT4125" s="14"/>
      <c r="AU4125" s="14"/>
      <c r="AV4125" s="14"/>
      <c r="AW4125" s="15"/>
      <c r="AX4125" s="16"/>
    </row>
    <row r="4126" spans="2:50" x14ac:dyDescent="0.2">
      <c r="B4126" s="7"/>
      <c r="C4126" s="8">
        <v>14431</v>
      </c>
      <c r="D4126" s="9" t="s">
        <v>361</v>
      </c>
      <c r="E4126" s="10" t="str">
        <f t="shared" si="386"/>
        <v>Rancho Upácuaro No. 101</v>
      </c>
      <c r="F4126" s="10" t="str">
        <f t="shared" si="387"/>
        <v>Chávez, Arturo</v>
      </c>
      <c r="G4126" s="8">
        <v>1</v>
      </c>
      <c r="H4126" s="11">
        <v>400</v>
      </c>
      <c r="I4126" s="12">
        <v>42869</v>
      </c>
      <c r="J4126" s="35">
        <f t="shared" si="388"/>
        <v>0</v>
      </c>
      <c r="K4126" s="36"/>
      <c r="L4126" s="36"/>
      <c r="M4126" s="36"/>
      <c r="N4126" s="36"/>
      <c r="O4126" s="36"/>
      <c r="P4126" s="36"/>
      <c r="Q4126" s="36"/>
      <c r="R4126" s="36"/>
      <c r="S4126" s="36"/>
      <c r="T4126" s="36"/>
      <c r="U4126" s="36"/>
      <c r="V4126" s="36"/>
      <c r="W4126" s="15">
        <f t="shared" si="389"/>
        <v>0</v>
      </c>
      <c r="X4126" s="36"/>
      <c r="Y4126" s="36"/>
      <c r="Z4126" s="36"/>
      <c r="AA4126" s="36"/>
      <c r="AB4126" s="36">
        <v>400</v>
      </c>
      <c r="AC4126" s="36"/>
      <c r="AD4126" s="36"/>
      <c r="AE4126" s="36"/>
      <c r="AF4126" s="36"/>
      <c r="AG4126" s="36"/>
      <c r="AH4126" s="36"/>
      <c r="AI4126" s="36"/>
      <c r="AJ4126" s="15">
        <f t="shared" si="390"/>
        <v>400</v>
      </c>
      <c r="AK4126" s="14"/>
      <c r="AL4126" s="14"/>
      <c r="AM4126" s="14"/>
      <c r="AN4126" s="14"/>
      <c r="AO4126" s="14"/>
      <c r="AP4126" s="14"/>
      <c r="AQ4126" s="14"/>
      <c r="AR4126" s="14"/>
      <c r="AS4126" s="14"/>
      <c r="AT4126" s="14"/>
      <c r="AU4126" s="14"/>
      <c r="AV4126" s="14"/>
      <c r="AW4126" s="15"/>
      <c r="AX4126" s="16"/>
    </row>
    <row r="4127" spans="2:50" x14ac:dyDescent="0.2">
      <c r="B4127" s="7"/>
      <c r="C4127" s="8">
        <v>14432</v>
      </c>
      <c r="D4127" s="9" t="s">
        <v>349</v>
      </c>
      <c r="E4127" s="10" t="str">
        <f t="shared" si="386"/>
        <v>Rancho La Cuchilla No. 15</v>
      </c>
      <c r="F4127" s="10" t="str">
        <f t="shared" si="387"/>
        <v>Guerrero Ponce</v>
      </c>
      <c r="G4127" s="8">
        <v>1</v>
      </c>
      <c r="H4127" s="11">
        <v>600</v>
      </c>
      <c r="I4127" s="12">
        <v>42869</v>
      </c>
      <c r="J4127" s="35">
        <f t="shared" si="388"/>
        <v>0</v>
      </c>
      <c r="K4127" s="36"/>
      <c r="L4127" s="36"/>
      <c r="M4127" s="36"/>
      <c r="N4127" s="36"/>
      <c r="O4127" s="36"/>
      <c r="P4127" s="36"/>
      <c r="Q4127" s="36"/>
      <c r="R4127" s="36"/>
      <c r="S4127" s="36"/>
      <c r="T4127" s="36"/>
      <c r="U4127" s="36"/>
      <c r="V4127" s="36"/>
      <c r="W4127" s="15">
        <f t="shared" si="389"/>
        <v>0</v>
      </c>
      <c r="X4127" s="36"/>
      <c r="Y4127" s="36"/>
      <c r="Z4127" s="36"/>
      <c r="AA4127" s="36">
        <v>300</v>
      </c>
      <c r="AB4127" s="36">
        <v>300</v>
      </c>
      <c r="AC4127" s="36"/>
      <c r="AD4127" s="36"/>
      <c r="AE4127" s="36"/>
      <c r="AF4127" s="36"/>
      <c r="AG4127" s="36"/>
      <c r="AH4127" s="36"/>
      <c r="AI4127" s="36"/>
      <c r="AJ4127" s="15">
        <f t="shared" si="390"/>
        <v>600</v>
      </c>
      <c r="AK4127" s="14"/>
      <c r="AL4127" s="14"/>
      <c r="AM4127" s="14"/>
      <c r="AN4127" s="14"/>
      <c r="AO4127" s="14"/>
      <c r="AP4127" s="14"/>
      <c r="AQ4127" s="14"/>
      <c r="AR4127" s="14"/>
      <c r="AS4127" s="14"/>
      <c r="AT4127" s="14"/>
      <c r="AU4127" s="14"/>
      <c r="AV4127" s="14"/>
      <c r="AW4127" s="15"/>
      <c r="AX4127" s="16"/>
    </row>
    <row r="4128" spans="2:50" x14ac:dyDescent="0.2">
      <c r="B4128" s="7"/>
      <c r="C4128" s="8">
        <v>14433</v>
      </c>
      <c r="D4128" s="9" t="s">
        <v>331</v>
      </c>
      <c r="E4128" s="10" t="str">
        <f t="shared" si="386"/>
        <v>Rancho Recoveco No. 197</v>
      </c>
      <c r="F4128" s="10" t="str">
        <f t="shared" si="387"/>
        <v>Colín González</v>
      </c>
      <c r="G4128" s="8">
        <v>1</v>
      </c>
      <c r="H4128" s="11">
        <v>400</v>
      </c>
      <c r="I4128" s="12">
        <v>42869</v>
      </c>
      <c r="J4128" s="35">
        <f t="shared" si="388"/>
        <v>0</v>
      </c>
      <c r="K4128" s="36"/>
      <c r="L4128" s="36"/>
      <c r="M4128" s="36"/>
      <c r="N4128" s="36"/>
      <c r="O4128" s="36"/>
      <c r="P4128" s="36"/>
      <c r="Q4128" s="36"/>
      <c r="R4128" s="36"/>
      <c r="S4128" s="36"/>
      <c r="T4128" s="36"/>
      <c r="U4128" s="36"/>
      <c r="V4128" s="36"/>
      <c r="W4128" s="15">
        <f t="shared" si="389"/>
        <v>0</v>
      </c>
      <c r="X4128" s="36"/>
      <c r="Y4128" s="36"/>
      <c r="Z4128" s="36"/>
      <c r="AA4128" s="36"/>
      <c r="AB4128" s="36">
        <v>400</v>
      </c>
      <c r="AC4128" s="36"/>
      <c r="AD4128" s="36"/>
      <c r="AE4128" s="36"/>
      <c r="AF4128" s="36"/>
      <c r="AG4128" s="36"/>
      <c r="AH4128" s="36"/>
      <c r="AI4128" s="36"/>
      <c r="AJ4128" s="15">
        <f t="shared" si="390"/>
        <v>400</v>
      </c>
      <c r="AK4128" s="14"/>
      <c r="AL4128" s="14"/>
      <c r="AM4128" s="14"/>
      <c r="AN4128" s="14"/>
      <c r="AO4128" s="14"/>
      <c r="AP4128" s="14"/>
      <c r="AQ4128" s="14"/>
      <c r="AR4128" s="14"/>
      <c r="AS4128" s="14"/>
      <c r="AT4128" s="14"/>
      <c r="AU4128" s="14"/>
      <c r="AV4128" s="14"/>
      <c r="AW4128" s="15"/>
      <c r="AX4128" s="16"/>
    </row>
    <row r="4129" spans="2:50" x14ac:dyDescent="0.2">
      <c r="B4129" s="7"/>
      <c r="C4129" s="8">
        <v>14434</v>
      </c>
      <c r="D4129" s="9" t="s">
        <v>774</v>
      </c>
      <c r="E4129" s="10" t="str">
        <f t="shared" si="386"/>
        <v>Rancho Landero No. 40</v>
      </c>
      <c r="F4129" s="10" t="str">
        <f t="shared" si="387"/>
        <v>Almaguer Mireles</v>
      </c>
      <c r="G4129" s="8">
        <v>1</v>
      </c>
      <c r="H4129" s="11">
        <v>800</v>
      </c>
      <c r="I4129" s="12">
        <v>42869</v>
      </c>
      <c r="J4129" s="35">
        <f t="shared" si="388"/>
        <v>0</v>
      </c>
      <c r="K4129" s="36"/>
      <c r="L4129" s="36"/>
      <c r="M4129" s="36"/>
      <c r="N4129" s="36"/>
      <c r="O4129" s="36"/>
      <c r="P4129" s="36"/>
      <c r="Q4129" s="36"/>
      <c r="R4129" s="36"/>
      <c r="S4129" s="36"/>
      <c r="T4129" s="36"/>
      <c r="U4129" s="36"/>
      <c r="V4129" s="36"/>
      <c r="W4129" s="15">
        <f t="shared" si="389"/>
        <v>0</v>
      </c>
      <c r="X4129" s="36"/>
      <c r="Y4129" s="36"/>
      <c r="Z4129" s="36">
        <v>400</v>
      </c>
      <c r="AA4129" s="36">
        <v>400</v>
      </c>
      <c r="AB4129" s="36"/>
      <c r="AC4129" s="36"/>
      <c r="AD4129" s="36"/>
      <c r="AE4129" s="36"/>
      <c r="AF4129" s="36"/>
      <c r="AG4129" s="36"/>
      <c r="AH4129" s="36"/>
      <c r="AI4129" s="36"/>
      <c r="AJ4129" s="15">
        <f t="shared" si="390"/>
        <v>800</v>
      </c>
      <c r="AK4129" s="14"/>
      <c r="AL4129" s="14"/>
      <c r="AM4129" s="14"/>
      <c r="AN4129" s="14"/>
      <c r="AO4129" s="14"/>
      <c r="AP4129" s="14"/>
      <c r="AQ4129" s="14"/>
      <c r="AR4129" s="14"/>
      <c r="AS4129" s="14"/>
      <c r="AT4129" s="14"/>
      <c r="AU4129" s="14"/>
      <c r="AV4129" s="14"/>
      <c r="AW4129" s="15"/>
      <c r="AX4129" s="16"/>
    </row>
    <row r="4130" spans="2:50" x14ac:dyDescent="0.2">
      <c r="B4130" s="7"/>
      <c r="C4130" s="8">
        <v>14435</v>
      </c>
      <c r="D4130" s="9" t="s">
        <v>810</v>
      </c>
      <c r="E4130" s="10" t="str">
        <f t="shared" si="386"/>
        <v>Rancho La Cuchilla No. 90</v>
      </c>
      <c r="F4130" s="10" t="str">
        <f t="shared" si="387"/>
        <v>Porras Fuentes</v>
      </c>
      <c r="G4130" s="8">
        <v>1</v>
      </c>
      <c r="H4130" s="11">
        <v>200</v>
      </c>
      <c r="I4130" s="12">
        <v>42869</v>
      </c>
      <c r="J4130" s="35">
        <f t="shared" si="388"/>
        <v>0</v>
      </c>
      <c r="K4130" s="36"/>
      <c r="L4130" s="36"/>
      <c r="M4130" s="36"/>
      <c r="N4130" s="36"/>
      <c r="O4130" s="36"/>
      <c r="P4130" s="36"/>
      <c r="Q4130" s="36"/>
      <c r="R4130" s="36"/>
      <c r="S4130" s="36"/>
      <c r="T4130" s="36"/>
      <c r="U4130" s="36"/>
      <c r="V4130" s="36"/>
      <c r="W4130" s="15">
        <f t="shared" si="389"/>
        <v>0</v>
      </c>
      <c r="X4130" s="36"/>
      <c r="Y4130" s="36"/>
      <c r="Z4130" s="36"/>
      <c r="AA4130" s="36"/>
      <c r="AB4130" s="36"/>
      <c r="AC4130" s="36"/>
      <c r="AD4130" s="36"/>
      <c r="AE4130" s="36">
        <v>200</v>
      </c>
      <c r="AF4130" s="36"/>
      <c r="AG4130" s="36"/>
      <c r="AH4130" s="36"/>
      <c r="AI4130" s="36"/>
      <c r="AJ4130" s="15">
        <f t="shared" si="390"/>
        <v>200</v>
      </c>
      <c r="AK4130" s="14"/>
      <c r="AL4130" s="14"/>
      <c r="AM4130" s="14"/>
      <c r="AN4130" s="14"/>
      <c r="AO4130" s="14"/>
      <c r="AP4130" s="14"/>
      <c r="AQ4130" s="14"/>
      <c r="AR4130" s="14"/>
      <c r="AS4130" s="14"/>
      <c r="AT4130" s="14"/>
      <c r="AU4130" s="14"/>
      <c r="AV4130" s="14"/>
      <c r="AW4130" s="15"/>
      <c r="AX4130" s="16"/>
    </row>
    <row r="4131" spans="2:50" x14ac:dyDescent="0.2">
      <c r="B4131" s="7"/>
      <c r="C4131" s="8">
        <v>14436</v>
      </c>
      <c r="D4131" s="9"/>
      <c r="E4131" s="10" t="str">
        <f t="shared" si="386"/>
        <v/>
      </c>
      <c r="F4131" s="10" t="str">
        <f t="shared" si="387"/>
        <v/>
      </c>
      <c r="G4131" s="8">
        <v>8</v>
      </c>
      <c r="H4131" s="11"/>
      <c r="I4131" s="12"/>
      <c r="J4131" s="35">
        <f t="shared" si="388"/>
        <v>0</v>
      </c>
      <c r="K4131" s="36"/>
      <c r="L4131" s="36"/>
      <c r="M4131" s="36"/>
      <c r="N4131" s="36"/>
      <c r="O4131" s="36"/>
      <c r="P4131" s="36"/>
      <c r="Q4131" s="36"/>
      <c r="R4131" s="36"/>
      <c r="S4131" s="36"/>
      <c r="T4131" s="36"/>
      <c r="U4131" s="36"/>
      <c r="V4131" s="36"/>
      <c r="W4131" s="15">
        <f t="shared" si="389"/>
        <v>0</v>
      </c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15">
        <f t="shared" si="390"/>
        <v>0</v>
      </c>
      <c r="AK4131" s="14"/>
      <c r="AL4131" s="14"/>
      <c r="AM4131" s="14"/>
      <c r="AN4131" s="14"/>
      <c r="AO4131" s="14"/>
      <c r="AP4131" s="14"/>
      <c r="AQ4131" s="14"/>
      <c r="AR4131" s="14"/>
      <c r="AS4131" s="14"/>
      <c r="AT4131" s="14"/>
      <c r="AU4131" s="14"/>
      <c r="AV4131" s="14"/>
      <c r="AW4131" s="15"/>
      <c r="AX4131" s="16"/>
    </row>
    <row r="4132" spans="2:50" x14ac:dyDescent="0.2">
      <c r="B4132" s="7"/>
      <c r="C4132" s="8">
        <v>14437</v>
      </c>
      <c r="D4132" s="9" t="s">
        <v>44</v>
      </c>
      <c r="E4132" s="10" t="str">
        <f t="shared" si="386"/>
        <v>Rancho Landero No. 14</v>
      </c>
      <c r="F4132" s="10" t="str">
        <f t="shared" si="387"/>
        <v xml:space="preserve">Castrejón  </v>
      </c>
      <c r="G4132" s="8">
        <v>1</v>
      </c>
      <c r="H4132" s="11">
        <v>1200</v>
      </c>
      <c r="I4132" s="12">
        <v>42869</v>
      </c>
      <c r="J4132" s="35">
        <f t="shared" si="388"/>
        <v>0</v>
      </c>
      <c r="K4132" s="36"/>
      <c r="L4132" s="36"/>
      <c r="M4132" s="36"/>
      <c r="N4132" s="36"/>
      <c r="O4132" s="36"/>
      <c r="P4132" s="36"/>
      <c r="Q4132" s="36"/>
      <c r="R4132" s="36"/>
      <c r="S4132" s="36"/>
      <c r="T4132" s="36"/>
      <c r="U4132" s="36"/>
      <c r="V4132" s="36"/>
      <c r="W4132" s="15">
        <f t="shared" si="389"/>
        <v>0</v>
      </c>
      <c r="X4132" s="36"/>
      <c r="Y4132" s="36"/>
      <c r="Z4132" s="36"/>
      <c r="AA4132" s="36"/>
      <c r="AB4132" s="36">
        <v>400</v>
      </c>
      <c r="AC4132" s="36">
        <v>400</v>
      </c>
      <c r="AD4132" s="36">
        <v>400</v>
      </c>
      <c r="AE4132" s="36"/>
      <c r="AF4132" s="36"/>
      <c r="AG4132" s="36"/>
      <c r="AH4132" s="36"/>
      <c r="AI4132" s="36"/>
      <c r="AJ4132" s="15">
        <f t="shared" si="390"/>
        <v>1200</v>
      </c>
      <c r="AK4132" s="14"/>
      <c r="AL4132" s="14"/>
      <c r="AM4132" s="14"/>
      <c r="AN4132" s="14"/>
      <c r="AO4132" s="14"/>
      <c r="AP4132" s="14"/>
      <c r="AQ4132" s="14"/>
      <c r="AR4132" s="14"/>
      <c r="AS4132" s="14"/>
      <c r="AT4132" s="14"/>
      <c r="AU4132" s="14"/>
      <c r="AV4132" s="14"/>
      <c r="AW4132" s="15"/>
      <c r="AX4132" s="16"/>
    </row>
    <row r="4133" spans="2:50" x14ac:dyDescent="0.2">
      <c r="B4133" s="7"/>
      <c r="C4133" s="8">
        <v>14438</v>
      </c>
      <c r="D4133" s="9" t="s">
        <v>183</v>
      </c>
      <c r="E4133" s="10" t="str">
        <f t="shared" si="386"/>
        <v>Rancho La Cuchilla No. 54</v>
      </c>
      <c r="F4133" s="10" t="str">
        <f t="shared" si="387"/>
        <v>Mendoza León</v>
      </c>
      <c r="G4133" s="8">
        <v>1</v>
      </c>
      <c r="H4133" s="11">
        <v>1200</v>
      </c>
      <c r="I4133" s="12">
        <v>42869</v>
      </c>
      <c r="J4133" s="35">
        <f t="shared" si="388"/>
        <v>0</v>
      </c>
      <c r="K4133" s="36"/>
      <c r="L4133" s="36"/>
      <c r="M4133" s="36"/>
      <c r="N4133" s="36"/>
      <c r="O4133" s="36"/>
      <c r="P4133" s="36"/>
      <c r="Q4133" s="36"/>
      <c r="R4133" s="36"/>
      <c r="S4133" s="36"/>
      <c r="T4133" s="36"/>
      <c r="U4133" s="36"/>
      <c r="V4133" s="36"/>
      <c r="W4133" s="15">
        <f t="shared" si="389"/>
        <v>0</v>
      </c>
      <c r="X4133" s="36"/>
      <c r="Y4133" s="36"/>
      <c r="Z4133" s="36">
        <v>400</v>
      </c>
      <c r="AA4133" s="36">
        <v>400</v>
      </c>
      <c r="AB4133" s="36">
        <v>400</v>
      </c>
      <c r="AC4133" s="36"/>
      <c r="AD4133" s="36"/>
      <c r="AE4133" s="36"/>
      <c r="AF4133" s="36"/>
      <c r="AG4133" s="36"/>
      <c r="AH4133" s="36"/>
      <c r="AI4133" s="36"/>
      <c r="AJ4133" s="15">
        <f t="shared" si="390"/>
        <v>1200</v>
      </c>
      <c r="AK4133" s="14"/>
      <c r="AL4133" s="14"/>
      <c r="AM4133" s="14"/>
      <c r="AN4133" s="14"/>
      <c r="AO4133" s="14"/>
      <c r="AP4133" s="14"/>
      <c r="AQ4133" s="14"/>
      <c r="AR4133" s="14"/>
      <c r="AS4133" s="14"/>
      <c r="AT4133" s="14"/>
      <c r="AU4133" s="14"/>
      <c r="AV4133" s="14"/>
      <c r="AW4133" s="15"/>
      <c r="AX4133" s="16"/>
    </row>
    <row r="4134" spans="2:50" x14ac:dyDescent="0.2">
      <c r="B4134" s="7"/>
      <c r="C4134" s="8">
        <v>14439</v>
      </c>
      <c r="D4134" s="9" t="s">
        <v>772</v>
      </c>
      <c r="E4134" s="10" t="str">
        <f t="shared" si="386"/>
        <v>Rancho La Cuchilla No. 79</v>
      </c>
      <c r="F4134" s="10" t="str">
        <f t="shared" si="387"/>
        <v>De la Rosa</v>
      </c>
      <c r="G4134" s="8">
        <v>1</v>
      </c>
      <c r="H4134" s="11">
        <v>400</v>
      </c>
      <c r="I4134" s="12">
        <v>42869</v>
      </c>
      <c r="J4134" s="35">
        <f t="shared" si="388"/>
        <v>0</v>
      </c>
      <c r="K4134" s="36"/>
      <c r="L4134" s="36"/>
      <c r="M4134" s="36"/>
      <c r="N4134" s="36"/>
      <c r="O4134" s="36"/>
      <c r="P4134" s="36"/>
      <c r="Q4134" s="36"/>
      <c r="R4134" s="36"/>
      <c r="S4134" s="36"/>
      <c r="T4134" s="36"/>
      <c r="U4134" s="36"/>
      <c r="V4134" s="36"/>
      <c r="W4134" s="15">
        <f t="shared" si="389"/>
        <v>0</v>
      </c>
      <c r="X4134" s="36">
        <v>200</v>
      </c>
      <c r="Y4134" s="36"/>
      <c r="Z4134" s="36">
        <v>200</v>
      </c>
      <c r="AA4134" s="36"/>
      <c r="AB4134" s="36"/>
      <c r="AC4134" s="36"/>
      <c r="AD4134" s="36"/>
      <c r="AE4134" s="36"/>
      <c r="AF4134" s="36"/>
      <c r="AG4134" s="36"/>
      <c r="AH4134" s="36"/>
      <c r="AI4134" s="36"/>
      <c r="AJ4134" s="15">
        <f t="shared" si="390"/>
        <v>400</v>
      </c>
      <c r="AK4134" s="14"/>
      <c r="AL4134" s="14"/>
      <c r="AM4134" s="14"/>
      <c r="AN4134" s="14"/>
      <c r="AO4134" s="14"/>
      <c r="AP4134" s="14"/>
      <c r="AQ4134" s="14"/>
      <c r="AR4134" s="14"/>
      <c r="AS4134" s="14"/>
      <c r="AT4134" s="14"/>
      <c r="AU4134" s="14"/>
      <c r="AV4134" s="14"/>
      <c r="AW4134" s="15"/>
      <c r="AX4134" s="16"/>
    </row>
    <row r="4135" spans="2:50" x14ac:dyDescent="0.2">
      <c r="B4135" s="7"/>
      <c r="C4135" s="8">
        <v>14440</v>
      </c>
      <c r="D4135" s="9" t="s">
        <v>437</v>
      </c>
      <c r="E4135" s="10" t="str">
        <f t="shared" si="386"/>
        <v>Rancho Upácuaro No. 47</v>
      </c>
      <c r="F4135" s="10" t="str">
        <f t="shared" si="387"/>
        <v>Flores Muñoz</v>
      </c>
      <c r="G4135" s="8">
        <v>1</v>
      </c>
      <c r="H4135" s="11">
        <v>800</v>
      </c>
      <c r="I4135" s="12">
        <v>42869</v>
      </c>
      <c r="J4135" s="35">
        <f t="shared" si="388"/>
        <v>0</v>
      </c>
      <c r="K4135" s="36"/>
      <c r="L4135" s="36"/>
      <c r="M4135" s="36"/>
      <c r="N4135" s="36"/>
      <c r="O4135" s="36"/>
      <c r="P4135" s="36"/>
      <c r="Q4135" s="36"/>
      <c r="R4135" s="36"/>
      <c r="S4135" s="36"/>
      <c r="T4135" s="36"/>
      <c r="U4135" s="36"/>
      <c r="V4135" s="36"/>
      <c r="W4135" s="15">
        <f t="shared" si="389"/>
        <v>0</v>
      </c>
      <c r="X4135" s="36"/>
      <c r="Y4135" s="36"/>
      <c r="Z4135" s="36"/>
      <c r="AA4135" s="36">
        <v>400</v>
      </c>
      <c r="AB4135" s="36">
        <v>400</v>
      </c>
      <c r="AC4135" s="36"/>
      <c r="AD4135" s="36"/>
      <c r="AE4135" s="36"/>
      <c r="AF4135" s="36"/>
      <c r="AG4135" s="36"/>
      <c r="AH4135" s="36"/>
      <c r="AI4135" s="36"/>
      <c r="AJ4135" s="15">
        <f t="shared" si="390"/>
        <v>800</v>
      </c>
      <c r="AK4135" s="14"/>
      <c r="AL4135" s="14"/>
      <c r="AM4135" s="14"/>
      <c r="AN4135" s="14"/>
      <c r="AO4135" s="14"/>
      <c r="AP4135" s="14"/>
      <c r="AQ4135" s="14"/>
      <c r="AR4135" s="14"/>
      <c r="AS4135" s="14"/>
      <c r="AT4135" s="14"/>
      <c r="AU4135" s="14"/>
      <c r="AV4135" s="14"/>
      <c r="AW4135" s="15"/>
      <c r="AX4135" s="16"/>
    </row>
    <row r="4136" spans="2:50" x14ac:dyDescent="0.2">
      <c r="B4136" s="7"/>
      <c r="C4136" s="8">
        <v>14441</v>
      </c>
      <c r="D4136" s="9" t="s">
        <v>512</v>
      </c>
      <c r="E4136" s="10" t="str">
        <f t="shared" si="386"/>
        <v>Rancho Landero No. 35</v>
      </c>
      <c r="F4136" s="10" t="str">
        <f t="shared" si="387"/>
        <v>Loperena</v>
      </c>
      <c r="G4136" s="8">
        <v>1</v>
      </c>
      <c r="H4136" s="11">
        <v>800</v>
      </c>
      <c r="I4136" s="12">
        <v>42869</v>
      </c>
      <c r="J4136" s="35">
        <f t="shared" si="388"/>
        <v>0</v>
      </c>
      <c r="K4136" s="36"/>
      <c r="L4136" s="36"/>
      <c r="M4136" s="36"/>
      <c r="N4136" s="36"/>
      <c r="O4136" s="36"/>
      <c r="P4136" s="36"/>
      <c r="Q4136" s="36"/>
      <c r="R4136" s="36"/>
      <c r="S4136" s="36"/>
      <c r="T4136" s="36"/>
      <c r="U4136" s="36"/>
      <c r="V4136" s="36"/>
      <c r="W4136" s="15">
        <f t="shared" si="389"/>
        <v>0</v>
      </c>
      <c r="X4136" s="36"/>
      <c r="Y4136" s="36"/>
      <c r="Z4136" s="36">
        <v>400</v>
      </c>
      <c r="AA4136" s="36">
        <v>400</v>
      </c>
      <c r="AB4136" s="36"/>
      <c r="AC4136" s="36"/>
      <c r="AD4136" s="36"/>
      <c r="AE4136" s="36"/>
      <c r="AF4136" s="36"/>
      <c r="AG4136" s="36"/>
      <c r="AH4136" s="36"/>
      <c r="AI4136" s="36"/>
      <c r="AJ4136" s="15">
        <f t="shared" si="390"/>
        <v>800</v>
      </c>
      <c r="AK4136" s="14"/>
      <c r="AL4136" s="14"/>
      <c r="AM4136" s="14"/>
      <c r="AN4136" s="14"/>
      <c r="AO4136" s="14"/>
      <c r="AP4136" s="14"/>
      <c r="AQ4136" s="14"/>
      <c r="AR4136" s="14"/>
      <c r="AS4136" s="14"/>
      <c r="AT4136" s="14"/>
      <c r="AU4136" s="14"/>
      <c r="AV4136" s="14"/>
      <c r="AW4136" s="15"/>
      <c r="AX4136" s="16"/>
    </row>
    <row r="4137" spans="2:50" x14ac:dyDescent="0.2">
      <c r="B4137" s="7"/>
      <c r="C4137" s="8">
        <v>14442</v>
      </c>
      <c r="D4137" s="9" t="s">
        <v>509</v>
      </c>
      <c r="E4137" s="10" t="str">
        <f t="shared" si="386"/>
        <v>Rancho La Cuchilla No. 77</v>
      </c>
      <c r="F4137" s="10" t="str">
        <f t="shared" si="387"/>
        <v>Loperena</v>
      </c>
      <c r="G4137" s="8">
        <v>1</v>
      </c>
      <c r="H4137" s="11">
        <v>600</v>
      </c>
      <c r="I4137" s="12">
        <v>42869</v>
      </c>
      <c r="J4137" s="35">
        <f t="shared" si="388"/>
        <v>0</v>
      </c>
      <c r="K4137" s="36"/>
      <c r="L4137" s="36"/>
      <c r="M4137" s="36"/>
      <c r="N4137" s="36"/>
      <c r="O4137" s="36"/>
      <c r="P4137" s="36"/>
      <c r="Q4137" s="36"/>
      <c r="R4137" s="36"/>
      <c r="S4137" s="36"/>
      <c r="T4137" s="36"/>
      <c r="U4137" s="36"/>
      <c r="V4137" s="36"/>
      <c r="W4137" s="15">
        <f t="shared" si="389"/>
        <v>0</v>
      </c>
      <c r="X4137" s="36"/>
      <c r="Y4137" s="36"/>
      <c r="Z4137" s="36">
        <v>300</v>
      </c>
      <c r="AA4137" s="36">
        <v>300</v>
      </c>
      <c r="AB4137" s="36"/>
      <c r="AC4137" s="36"/>
      <c r="AD4137" s="36"/>
      <c r="AE4137" s="36"/>
      <c r="AF4137" s="36"/>
      <c r="AG4137" s="36"/>
      <c r="AH4137" s="36"/>
      <c r="AI4137" s="36"/>
      <c r="AJ4137" s="15">
        <f t="shared" si="390"/>
        <v>600</v>
      </c>
      <c r="AK4137" s="14"/>
      <c r="AL4137" s="14"/>
      <c r="AM4137" s="14"/>
      <c r="AN4137" s="14"/>
      <c r="AO4137" s="14"/>
      <c r="AP4137" s="14"/>
      <c r="AQ4137" s="14"/>
      <c r="AR4137" s="14"/>
      <c r="AS4137" s="14"/>
      <c r="AT4137" s="14"/>
      <c r="AU4137" s="14"/>
      <c r="AV4137" s="14"/>
      <c r="AW4137" s="15"/>
      <c r="AX4137" s="16"/>
    </row>
    <row r="4138" spans="2:50" x14ac:dyDescent="0.2">
      <c r="B4138" s="7"/>
      <c r="C4138" s="8">
        <v>14443</v>
      </c>
      <c r="D4138" s="9" t="s">
        <v>87</v>
      </c>
      <c r="E4138" s="10" t="str">
        <f t="shared" si="386"/>
        <v>Rancho Zinamba No. 36</v>
      </c>
      <c r="F4138" s="10" t="str">
        <f t="shared" si="387"/>
        <v>Rodríguez Ortiz</v>
      </c>
      <c r="G4138" s="8">
        <v>1</v>
      </c>
      <c r="H4138" s="11">
        <v>800</v>
      </c>
      <c r="I4138" s="12">
        <v>42869</v>
      </c>
      <c r="J4138" s="35">
        <f t="shared" si="388"/>
        <v>0</v>
      </c>
      <c r="K4138" s="36"/>
      <c r="L4138" s="36"/>
      <c r="M4138" s="36"/>
      <c r="N4138" s="36"/>
      <c r="O4138" s="36"/>
      <c r="P4138" s="36"/>
      <c r="Q4138" s="36"/>
      <c r="R4138" s="36"/>
      <c r="S4138" s="36"/>
      <c r="T4138" s="36"/>
      <c r="U4138" s="36"/>
      <c r="V4138" s="36"/>
      <c r="W4138" s="15">
        <f t="shared" si="389"/>
        <v>0</v>
      </c>
      <c r="X4138" s="36"/>
      <c r="Y4138" s="36"/>
      <c r="Z4138" s="36"/>
      <c r="AA4138" s="36"/>
      <c r="AB4138" s="36">
        <v>400</v>
      </c>
      <c r="AC4138" s="36">
        <v>400</v>
      </c>
      <c r="AD4138" s="36"/>
      <c r="AE4138" s="36"/>
      <c r="AF4138" s="36"/>
      <c r="AG4138" s="36"/>
      <c r="AH4138" s="36"/>
      <c r="AI4138" s="36"/>
      <c r="AJ4138" s="15">
        <f t="shared" si="390"/>
        <v>800</v>
      </c>
      <c r="AK4138" s="14"/>
      <c r="AL4138" s="14"/>
      <c r="AM4138" s="14"/>
      <c r="AN4138" s="14"/>
      <c r="AO4138" s="14"/>
      <c r="AP4138" s="14"/>
      <c r="AQ4138" s="14"/>
      <c r="AR4138" s="14"/>
      <c r="AS4138" s="14"/>
      <c r="AT4138" s="14"/>
      <c r="AU4138" s="14"/>
      <c r="AV4138" s="14"/>
      <c r="AW4138" s="15"/>
      <c r="AX4138" s="16"/>
    </row>
    <row r="4139" spans="2:50" x14ac:dyDescent="0.2">
      <c r="B4139" s="7"/>
      <c r="C4139" s="8">
        <v>14444</v>
      </c>
      <c r="D4139" s="9" t="s">
        <v>470</v>
      </c>
      <c r="E4139" s="10" t="str">
        <f t="shared" si="386"/>
        <v>Rancho Zinamba No. 42</v>
      </c>
      <c r="F4139" s="10" t="str">
        <f t="shared" si="387"/>
        <v>López Aldave</v>
      </c>
      <c r="G4139" s="8">
        <v>1</v>
      </c>
      <c r="H4139" s="11">
        <v>300</v>
      </c>
      <c r="I4139" s="12">
        <v>42869</v>
      </c>
      <c r="J4139" s="35">
        <f t="shared" si="388"/>
        <v>0</v>
      </c>
      <c r="K4139" s="36"/>
      <c r="L4139" s="36"/>
      <c r="M4139" s="36"/>
      <c r="N4139" s="36"/>
      <c r="O4139" s="36"/>
      <c r="P4139" s="36"/>
      <c r="Q4139" s="36"/>
      <c r="R4139" s="36"/>
      <c r="S4139" s="36"/>
      <c r="T4139" s="36"/>
      <c r="U4139" s="36"/>
      <c r="V4139" s="36"/>
      <c r="W4139" s="15">
        <f t="shared" si="389"/>
        <v>0</v>
      </c>
      <c r="X4139" s="36"/>
      <c r="Y4139" s="36"/>
      <c r="Z4139" s="36"/>
      <c r="AA4139" s="36"/>
      <c r="AB4139" s="36">
        <v>300</v>
      </c>
      <c r="AC4139" s="36"/>
      <c r="AD4139" s="36"/>
      <c r="AE4139" s="36"/>
      <c r="AF4139" s="36"/>
      <c r="AG4139" s="36"/>
      <c r="AH4139" s="36"/>
      <c r="AI4139" s="36"/>
      <c r="AJ4139" s="15">
        <f t="shared" si="390"/>
        <v>300</v>
      </c>
      <c r="AK4139" s="14"/>
      <c r="AL4139" s="14"/>
      <c r="AM4139" s="14"/>
      <c r="AN4139" s="14"/>
      <c r="AO4139" s="14"/>
      <c r="AP4139" s="14"/>
      <c r="AQ4139" s="14"/>
      <c r="AR4139" s="14"/>
      <c r="AS4139" s="14"/>
      <c r="AT4139" s="14"/>
      <c r="AU4139" s="14"/>
      <c r="AV4139" s="14"/>
      <c r="AW4139" s="15"/>
      <c r="AX4139" s="16"/>
    </row>
    <row r="4140" spans="2:50" x14ac:dyDescent="0.2">
      <c r="B4140" s="7"/>
      <c r="C4140" s="8">
        <v>14445</v>
      </c>
      <c r="D4140" s="9" t="s">
        <v>899</v>
      </c>
      <c r="E4140" s="10" t="str">
        <f t="shared" si="386"/>
        <v>Rancho Landero No. 8</v>
      </c>
      <c r="F4140" s="10" t="str">
        <f t="shared" si="387"/>
        <v>Garces Suarez</v>
      </c>
      <c r="G4140" s="8">
        <v>1</v>
      </c>
      <c r="H4140" s="11">
        <v>400</v>
      </c>
      <c r="I4140" s="12">
        <v>42869</v>
      </c>
      <c r="J4140" s="35">
        <f t="shared" si="388"/>
        <v>0</v>
      </c>
      <c r="K4140" s="36"/>
      <c r="L4140" s="36"/>
      <c r="M4140" s="36"/>
      <c r="N4140" s="36"/>
      <c r="O4140" s="36"/>
      <c r="P4140" s="36"/>
      <c r="Q4140" s="36"/>
      <c r="R4140" s="36"/>
      <c r="S4140" s="36"/>
      <c r="T4140" s="36"/>
      <c r="U4140" s="36"/>
      <c r="V4140" s="36"/>
      <c r="W4140" s="15">
        <f t="shared" si="389"/>
        <v>0</v>
      </c>
      <c r="X4140" s="36"/>
      <c r="Y4140" s="36"/>
      <c r="Z4140" s="36"/>
      <c r="AA4140" s="36"/>
      <c r="AB4140" s="36">
        <v>400</v>
      </c>
      <c r="AC4140" s="36"/>
      <c r="AD4140" s="36"/>
      <c r="AE4140" s="36"/>
      <c r="AF4140" s="36"/>
      <c r="AG4140" s="36"/>
      <c r="AH4140" s="36"/>
      <c r="AI4140" s="36"/>
      <c r="AJ4140" s="15">
        <f t="shared" si="390"/>
        <v>400</v>
      </c>
      <c r="AK4140" s="14"/>
      <c r="AL4140" s="14"/>
      <c r="AM4140" s="14"/>
      <c r="AN4140" s="14"/>
      <c r="AO4140" s="14"/>
      <c r="AP4140" s="14"/>
      <c r="AQ4140" s="14"/>
      <c r="AR4140" s="14"/>
      <c r="AS4140" s="14"/>
      <c r="AT4140" s="14"/>
      <c r="AU4140" s="14"/>
      <c r="AV4140" s="14"/>
      <c r="AW4140" s="15"/>
      <c r="AX4140" s="16"/>
    </row>
    <row r="4141" spans="2:50" x14ac:dyDescent="0.2">
      <c r="B4141" s="7"/>
      <c r="C4141" s="8">
        <v>14446</v>
      </c>
      <c r="D4141" s="9" t="s">
        <v>556</v>
      </c>
      <c r="E4141" s="10" t="str">
        <f t="shared" si="386"/>
        <v>Rancho Zinamba No. 26</v>
      </c>
      <c r="F4141" s="10" t="str">
        <f t="shared" si="387"/>
        <v>Ayala</v>
      </c>
      <c r="G4141" s="8">
        <v>1</v>
      </c>
      <c r="H4141" s="11">
        <v>400</v>
      </c>
      <c r="I4141" s="12">
        <v>42869</v>
      </c>
      <c r="J4141" s="35">
        <f t="shared" si="388"/>
        <v>0</v>
      </c>
      <c r="K4141" s="36"/>
      <c r="L4141" s="36"/>
      <c r="M4141" s="36"/>
      <c r="N4141" s="36"/>
      <c r="O4141" s="36"/>
      <c r="P4141" s="36"/>
      <c r="Q4141" s="36"/>
      <c r="R4141" s="36"/>
      <c r="S4141" s="36"/>
      <c r="T4141" s="36"/>
      <c r="U4141" s="36"/>
      <c r="V4141" s="36"/>
      <c r="W4141" s="15">
        <f t="shared" si="389"/>
        <v>0</v>
      </c>
      <c r="X4141" s="36"/>
      <c r="Y4141" s="36">
        <v>400</v>
      </c>
      <c r="Z4141" s="36"/>
      <c r="AA4141" s="36"/>
      <c r="AB4141" s="36"/>
      <c r="AC4141" s="36"/>
      <c r="AD4141" s="36"/>
      <c r="AE4141" s="36"/>
      <c r="AF4141" s="36"/>
      <c r="AG4141" s="36"/>
      <c r="AH4141" s="36"/>
      <c r="AI4141" s="36"/>
      <c r="AJ4141" s="15">
        <f t="shared" si="390"/>
        <v>400</v>
      </c>
      <c r="AK4141" s="14"/>
      <c r="AL4141" s="14"/>
      <c r="AM4141" s="14"/>
      <c r="AN4141" s="14"/>
      <c r="AO4141" s="14"/>
      <c r="AP4141" s="14"/>
      <c r="AQ4141" s="14"/>
      <c r="AR4141" s="14"/>
      <c r="AS4141" s="14"/>
      <c r="AT4141" s="14"/>
      <c r="AU4141" s="14"/>
      <c r="AV4141" s="14"/>
      <c r="AW4141" s="15"/>
      <c r="AX4141" s="16"/>
    </row>
    <row r="4142" spans="2:50" x14ac:dyDescent="0.2">
      <c r="B4142" s="7"/>
      <c r="C4142" s="8">
        <v>14447</v>
      </c>
      <c r="D4142" s="9" t="s">
        <v>364</v>
      </c>
      <c r="E4142" s="10" t="str">
        <f t="shared" si="386"/>
        <v>Rancho Landero No. 37</v>
      </c>
      <c r="F4142" s="10" t="str">
        <f t="shared" si="387"/>
        <v>Hernández</v>
      </c>
      <c r="G4142" s="8">
        <v>1</v>
      </c>
      <c r="H4142" s="11">
        <v>900</v>
      </c>
      <c r="I4142" s="12">
        <v>42869</v>
      </c>
      <c r="J4142" s="35">
        <f t="shared" si="388"/>
        <v>0</v>
      </c>
      <c r="K4142" s="36"/>
      <c r="L4142" s="36"/>
      <c r="M4142" s="36"/>
      <c r="N4142" s="36"/>
      <c r="O4142" s="36"/>
      <c r="P4142" s="36"/>
      <c r="Q4142" s="36"/>
      <c r="R4142" s="36"/>
      <c r="S4142" s="36"/>
      <c r="T4142" s="36"/>
      <c r="U4142" s="36"/>
      <c r="V4142" s="36"/>
      <c r="W4142" s="15">
        <f t="shared" si="389"/>
        <v>0</v>
      </c>
      <c r="X4142" s="36"/>
      <c r="Y4142" s="36"/>
      <c r="Z4142" s="36">
        <v>300</v>
      </c>
      <c r="AA4142" s="36">
        <v>300</v>
      </c>
      <c r="AB4142" s="36">
        <v>300</v>
      </c>
      <c r="AC4142" s="36"/>
      <c r="AD4142" s="36"/>
      <c r="AE4142" s="36"/>
      <c r="AF4142" s="36"/>
      <c r="AG4142" s="36"/>
      <c r="AH4142" s="36"/>
      <c r="AI4142" s="36"/>
      <c r="AJ4142" s="15">
        <f t="shared" si="390"/>
        <v>900</v>
      </c>
      <c r="AK4142" s="14"/>
      <c r="AL4142" s="14"/>
      <c r="AM4142" s="14"/>
      <c r="AN4142" s="14"/>
      <c r="AO4142" s="14"/>
      <c r="AP4142" s="14"/>
      <c r="AQ4142" s="14"/>
      <c r="AR4142" s="14"/>
      <c r="AS4142" s="14"/>
      <c r="AT4142" s="14"/>
      <c r="AU4142" s="14"/>
      <c r="AV4142" s="14"/>
      <c r="AW4142" s="15"/>
      <c r="AX4142" s="16"/>
    </row>
    <row r="4143" spans="2:50" x14ac:dyDescent="0.2">
      <c r="B4143" s="7"/>
      <c r="C4143" s="8">
        <v>14448</v>
      </c>
      <c r="D4143" s="9" t="s">
        <v>625</v>
      </c>
      <c r="E4143" s="10" t="str">
        <f t="shared" si="386"/>
        <v>Rancho Upácuaro No. 60</v>
      </c>
      <c r="F4143" s="10" t="str">
        <f t="shared" si="387"/>
        <v>Zavala</v>
      </c>
      <c r="G4143" s="8">
        <v>1</v>
      </c>
      <c r="H4143" s="11">
        <v>400</v>
      </c>
      <c r="I4143" s="12">
        <v>42869</v>
      </c>
      <c r="J4143" s="35">
        <f t="shared" si="388"/>
        <v>0</v>
      </c>
      <c r="K4143" s="36"/>
      <c r="L4143" s="36"/>
      <c r="M4143" s="36"/>
      <c r="N4143" s="36"/>
      <c r="O4143" s="36"/>
      <c r="P4143" s="36"/>
      <c r="Q4143" s="36"/>
      <c r="R4143" s="36"/>
      <c r="S4143" s="36"/>
      <c r="T4143" s="36"/>
      <c r="U4143" s="36"/>
      <c r="V4143" s="36"/>
      <c r="W4143" s="15">
        <f t="shared" si="389"/>
        <v>0</v>
      </c>
      <c r="X4143" s="36"/>
      <c r="Y4143" s="36"/>
      <c r="Z4143" s="36"/>
      <c r="AA4143" s="36">
        <v>400</v>
      </c>
      <c r="AB4143" s="36"/>
      <c r="AC4143" s="36"/>
      <c r="AD4143" s="36"/>
      <c r="AE4143" s="36"/>
      <c r="AF4143" s="36"/>
      <c r="AG4143" s="36"/>
      <c r="AH4143" s="36"/>
      <c r="AI4143" s="36"/>
      <c r="AJ4143" s="15">
        <f t="shared" si="390"/>
        <v>400</v>
      </c>
      <c r="AK4143" s="14"/>
      <c r="AL4143" s="14"/>
      <c r="AM4143" s="14"/>
      <c r="AN4143" s="14"/>
      <c r="AO4143" s="14"/>
      <c r="AP4143" s="14"/>
      <c r="AQ4143" s="14"/>
      <c r="AR4143" s="14"/>
      <c r="AS4143" s="14"/>
      <c r="AT4143" s="14"/>
      <c r="AU4143" s="14"/>
      <c r="AV4143" s="14"/>
      <c r="AW4143" s="15"/>
      <c r="AX4143" s="16"/>
    </row>
    <row r="4144" spans="2:50" x14ac:dyDescent="0.2">
      <c r="B4144" s="7"/>
      <c r="C4144" s="8">
        <v>14449</v>
      </c>
      <c r="D4144" s="9" t="s">
        <v>458</v>
      </c>
      <c r="E4144" s="10" t="str">
        <f t="shared" si="386"/>
        <v>Rancho Estanzuela No. 143, B</v>
      </c>
      <c r="F4144" s="10" t="str">
        <f t="shared" si="387"/>
        <v>López</v>
      </c>
      <c r="G4144" s="8">
        <v>1</v>
      </c>
      <c r="H4144" s="11">
        <v>400</v>
      </c>
      <c r="I4144" s="12">
        <v>42869</v>
      </c>
      <c r="J4144" s="35">
        <f t="shared" si="388"/>
        <v>0</v>
      </c>
      <c r="K4144" s="36"/>
      <c r="L4144" s="36"/>
      <c r="M4144" s="36"/>
      <c r="N4144" s="36"/>
      <c r="O4144" s="36"/>
      <c r="P4144" s="36"/>
      <c r="Q4144" s="36"/>
      <c r="R4144" s="36"/>
      <c r="S4144" s="36"/>
      <c r="T4144" s="36"/>
      <c r="U4144" s="36"/>
      <c r="V4144" s="36"/>
      <c r="W4144" s="15">
        <f t="shared" si="389"/>
        <v>0</v>
      </c>
      <c r="X4144" s="36"/>
      <c r="Y4144" s="36"/>
      <c r="Z4144" s="36"/>
      <c r="AA4144" s="36"/>
      <c r="AB4144" s="36">
        <v>400</v>
      </c>
      <c r="AC4144" s="36"/>
      <c r="AD4144" s="36"/>
      <c r="AE4144" s="36"/>
      <c r="AF4144" s="36"/>
      <c r="AG4144" s="36"/>
      <c r="AH4144" s="36"/>
      <c r="AI4144" s="36"/>
      <c r="AJ4144" s="15">
        <f t="shared" si="390"/>
        <v>400</v>
      </c>
      <c r="AK4144" s="14"/>
      <c r="AL4144" s="14"/>
      <c r="AM4144" s="14"/>
      <c r="AN4144" s="14"/>
      <c r="AO4144" s="14"/>
      <c r="AP4144" s="14"/>
      <c r="AQ4144" s="14"/>
      <c r="AR4144" s="14"/>
      <c r="AS4144" s="14"/>
      <c r="AT4144" s="14"/>
      <c r="AU4144" s="14"/>
      <c r="AV4144" s="14"/>
      <c r="AW4144" s="15"/>
      <c r="AX4144" s="16"/>
    </row>
    <row r="4145" spans="2:50" x14ac:dyDescent="0.2">
      <c r="B4145" s="7"/>
      <c r="C4145" s="8">
        <v>14450</v>
      </c>
      <c r="D4145" s="9" t="s">
        <v>416</v>
      </c>
      <c r="E4145" s="10" t="str">
        <f t="shared" si="386"/>
        <v>Rancho La Cuchilla No. 112, PB</v>
      </c>
      <c r="F4145" s="10" t="str">
        <f t="shared" si="387"/>
        <v>Soreque</v>
      </c>
      <c r="G4145" s="8">
        <v>1</v>
      </c>
      <c r="H4145" s="11">
        <v>200</v>
      </c>
      <c r="I4145" s="12">
        <v>42869</v>
      </c>
      <c r="J4145" s="35">
        <f t="shared" si="388"/>
        <v>0</v>
      </c>
      <c r="K4145" s="36"/>
      <c r="L4145" s="36"/>
      <c r="M4145" s="36"/>
      <c r="N4145" s="36"/>
      <c r="O4145" s="36"/>
      <c r="P4145" s="36"/>
      <c r="Q4145" s="36"/>
      <c r="R4145" s="36"/>
      <c r="S4145" s="36"/>
      <c r="T4145" s="36"/>
      <c r="U4145" s="36"/>
      <c r="V4145" s="36"/>
      <c r="W4145" s="15">
        <f t="shared" si="389"/>
        <v>0</v>
      </c>
      <c r="X4145" s="36"/>
      <c r="Y4145" s="36"/>
      <c r="Z4145" s="36"/>
      <c r="AA4145" s="36"/>
      <c r="AB4145" s="36">
        <v>200</v>
      </c>
      <c r="AC4145" s="36"/>
      <c r="AD4145" s="36"/>
      <c r="AE4145" s="36"/>
      <c r="AF4145" s="36"/>
      <c r="AG4145" s="36"/>
      <c r="AH4145" s="36"/>
      <c r="AI4145" s="36"/>
      <c r="AJ4145" s="15">
        <f t="shared" si="390"/>
        <v>200</v>
      </c>
      <c r="AK4145" s="14"/>
      <c r="AL4145" s="14"/>
      <c r="AM4145" s="14"/>
      <c r="AN4145" s="14"/>
      <c r="AO4145" s="14"/>
      <c r="AP4145" s="14"/>
      <c r="AQ4145" s="14"/>
      <c r="AR4145" s="14"/>
      <c r="AS4145" s="14"/>
      <c r="AT4145" s="14"/>
      <c r="AU4145" s="14"/>
      <c r="AV4145" s="14"/>
      <c r="AW4145" s="15"/>
      <c r="AX4145" s="16"/>
    </row>
    <row r="4146" spans="2:50" x14ac:dyDescent="0.2">
      <c r="B4146" s="7" t="s">
        <v>4070</v>
      </c>
      <c r="C4146" s="318">
        <v>14501</v>
      </c>
      <c r="D4146" s="9" t="s">
        <v>960</v>
      </c>
      <c r="E4146" s="10" t="str">
        <f t="shared" si="386"/>
        <v>Rancho Landero No. 28</v>
      </c>
      <c r="F4146" s="10" t="str">
        <f t="shared" si="387"/>
        <v>Hernàndez Orteales</v>
      </c>
      <c r="G4146" s="8">
        <v>1</v>
      </c>
      <c r="H4146" s="11">
        <v>1600</v>
      </c>
      <c r="I4146" s="12">
        <v>42869</v>
      </c>
      <c r="J4146" s="35">
        <f t="shared" si="388"/>
        <v>0</v>
      </c>
      <c r="K4146" s="36"/>
      <c r="L4146" s="36"/>
      <c r="M4146" s="36"/>
      <c r="N4146" s="36"/>
      <c r="O4146" s="36"/>
      <c r="P4146" s="36"/>
      <c r="Q4146" s="36"/>
      <c r="R4146" s="36"/>
      <c r="S4146" s="36"/>
      <c r="T4146" s="36"/>
      <c r="U4146" s="36"/>
      <c r="V4146" s="36"/>
      <c r="W4146" s="15">
        <f t="shared" si="389"/>
        <v>0</v>
      </c>
      <c r="X4146" s="36"/>
      <c r="Y4146" s="36">
        <v>400</v>
      </c>
      <c r="Z4146" s="36">
        <v>400</v>
      </c>
      <c r="AA4146" s="36">
        <v>400</v>
      </c>
      <c r="AB4146" s="36">
        <v>400</v>
      </c>
      <c r="AC4146" s="36"/>
      <c r="AD4146" s="36"/>
      <c r="AE4146" s="36"/>
      <c r="AF4146" s="36"/>
      <c r="AG4146" s="36"/>
      <c r="AH4146" s="36"/>
      <c r="AI4146" s="36"/>
      <c r="AJ4146" s="15">
        <f t="shared" si="390"/>
        <v>1600</v>
      </c>
      <c r="AK4146" s="14"/>
      <c r="AL4146" s="14"/>
      <c r="AM4146" s="14"/>
      <c r="AN4146" s="14"/>
      <c r="AO4146" s="14"/>
      <c r="AP4146" s="14"/>
      <c r="AQ4146" s="14"/>
      <c r="AR4146" s="14"/>
      <c r="AS4146" s="14"/>
      <c r="AT4146" s="14"/>
      <c r="AU4146" s="14"/>
      <c r="AV4146" s="14"/>
      <c r="AW4146" s="15"/>
      <c r="AX4146" s="316">
        <f>SUM(H4094:H4146)</f>
        <v>26700</v>
      </c>
    </row>
    <row r="4147" spans="2:50" x14ac:dyDescent="0.2">
      <c r="B4147" s="7"/>
      <c r="C4147" s="8">
        <v>14451</v>
      </c>
      <c r="D4147" s="9" t="s">
        <v>960</v>
      </c>
      <c r="E4147" s="10" t="str">
        <f t="shared" si="386"/>
        <v>Rancho Landero No. 28</v>
      </c>
      <c r="F4147" s="10" t="str">
        <f t="shared" si="387"/>
        <v>Hernàndez Orteales</v>
      </c>
      <c r="G4147" s="8">
        <v>5</v>
      </c>
      <c r="H4147" s="315">
        <v>250</v>
      </c>
      <c r="I4147" s="12">
        <v>42870</v>
      </c>
      <c r="J4147" s="35">
        <f t="shared" si="388"/>
        <v>0</v>
      </c>
      <c r="K4147" s="36"/>
      <c r="L4147" s="36"/>
      <c r="M4147" s="36"/>
      <c r="N4147" s="36"/>
      <c r="O4147" s="36"/>
      <c r="P4147" s="36"/>
      <c r="Q4147" s="36"/>
      <c r="R4147" s="36"/>
      <c r="S4147" s="36"/>
      <c r="T4147" s="36"/>
      <c r="U4147" s="36"/>
      <c r="V4147" s="36"/>
      <c r="W4147" s="15">
        <f t="shared" si="389"/>
        <v>0</v>
      </c>
      <c r="X4147" s="36"/>
      <c r="Y4147" s="36"/>
      <c r="Z4147" s="36"/>
      <c r="AA4147" s="36"/>
      <c r="AB4147" s="36"/>
      <c r="AC4147" s="36"/>
      <c r="AD4147" s="36"/>
      <c r="AE4147" s="36"/>
      <c r="AF4147" s="36"/>
      <c r="AG4147" s="36"/>
      <c r="AH4147" s="36"/>
      <c r="AI4147" s="36"/>
      <c r="AJ4147" s="15">
        <f t="shared" si="390"/>
        <v>0</v>
      </c>
      <c r="AK4147" s="14"/>
      <c r="AL4147" s="14"/>
      <c r="AM4147" s="14"/>
      <c r="AN4147" s="14"/>
      <c r="AO4147" s="14"/>
      <c r="AP4147" s="14"/>
      <c r="AQ4147" s="14"/>
      <c r="AR4147" s="14"/>
      <c r="AS4147" s="14"/>
      <c r="AT4147" s="14"/>
      <c r="AU4147" s="14"/>
      <c r="AV4147" s="14"/>
      <c r="AW4147" s="15"/>
      <c r="AX4147" s="16"/>
    </row>
    <row r="4148" spans="2:50" x14ac:dyDescent="0.2">
      <c r="B4148" s="7"/>
      <c r="C4148" s="8">
        <v>14452</v>
      </c>
      <c r="D4148" s="9" t="s">
        <v>226</v>
      </c>
      <c r="E4148" s="10" t="str">
        <f t="shared" si="386"/>
        <v>Rancho Landero No. 31</v>
      </c>
      <c r="F4148" s="10" t="str">
        <f t="shared" si="387"/>
        <v>Díaz Hernández</v>
      </c>
      <c r="G4148" s="8">
        <v>1</v>
      </c>
      <c r="H4148" s="11">
        <v>200</v>
      </c>
      <c r="I4148" s="12">
        <v>42871</v>
      </c>
      <c r="J4148" s="35">
        <f t="shared" si="388"/>
        <v>0</v>
      </c>
      <c r="K4148" s="36"/>
      <c r="L4148" s="36"/>
      <c r="M4148" s="36"/>
      <c r="N4148" s="36"/>
      <c r="O4148" s="36"/>
      <c r="P4148" s="36"/>
      <c r="Q4148" s="36"/>
      <c r="R4148" s="36"/>
      <c r="S4148" s="36"/>
      <c r="T4148" s="36"/>
      <c r="U4148" s="36"/>
      <c r="V4148" s="36"/>
      <c r="W4148" s="15">
        <f t="shared" si="389"/>
        <v>0</v>
      </c>
      <c r="X4148" s="36"/>
      <c r="Y4148" s="36"/>
      <c r="Z4148" s="36"/>
      <c r="AA4148" s="36"/>
      <c r="AB4148" s="36">
        <v>200</v>
      </c>
      <c r="AC4148" s="36"/>
      <c r="AD4148" s="36"/>
      <c r="AE4148" s="36"/>
      <c r="AF4148" s="36"/>
      <c r="AG4148" s="36"/>
      <c r="AH4148" s="36"/>
      <c r="AI4148" s="36"/>
      <c r="AJ4148" s="15">
        <f t="shared" si="390"/>
        <v>200</v>
      </c>
      <c r="AK4148" s="14"/>
      <c r="AL4148" s="14"/>
      <c r="AM4148" s="14"/>
      <c r="AN4148" s="14"/>
      <c r="AO4148" s="14"/>
      <c r="AP4148" s="14"/>
      <c r="AQ4148" s="14"/>
      <c r="AR4148" s="14"/>
      <c r="AS4148" s="14"/>
      <c r="AT4148" s="14"/>
      <c r="AU4148" s="14"/>
      <c r="AV4148" s="14"/>
      <c r="AW4148" s="15"/>
      <c r="AX4148" s="16"/>
    </row>
    <row r="4149" spans="2:50" x14ac:dyDescent="0.2">
      <c r="B4149" s="7"/>
      <c r="C4149" s="8">
        <v>14453</v>
      </c>
      <c r="D4149" s="9" t="s">
        <v>1036</v>
      </c>
      <c r="E4149" s="10" t="str">
        <f t="shared" si="386"/>
        <v>Rancho Landero No. 10</v>
      </c>
      <c r="F4149" s="10" t="str">
        <f t="shared" si="387"/>
        <v>Gómez Facio</v>
      </c>
      <c r="G4149" s="8">
        <v>1</v>
      </c>
      <c r="H4149" s="11">
        <v>400</v>
      </c>
      <c r="I4149" s="12">
        <v>42872</v>
      </c>
      <c r="J4149" s="35">
        <f t="shared" si="388"/>
        <v>0</v>
      </c>
      <c r="K4149" s="36"/>
      <c r="L4149" s="36"/>
      <c r="M4149" s="36"/>
      <c r="N4149" s="36"/>
      <c r="O4149" s="36"/>
      <c r="P4149" s="36"/>
      <c r="Q4149" s="36"/>
      <c r="R4149" s="36"/>
      <c r="S4149" s="36"/>
      <c r="T4149" s="36"/>
      <c r="U4149" s="36"/>
      <c r="V4149" s="36"/>
      <c r="W4149" s="15">
        <f t="shared" si="389"/>
        <v>0</v>
      </c>
      <c r="X4149" s="36"/>
      <c r="Y4149" s="36"/>
      <c r="Z4149" s="36"/>
      <c r="AA4149" s="36"/>
      <c r="AB4149" s="36">
        <v>400</v>
      </c>
      <c r="AC4149" s="36"/>
      <c r="AD4149" s="36"/>
      <c r="AE4149" s="36"/>
      <c r="AF4149" s="36"/>
      <c r="AG4149" s="36"/>
      <c r="AH4149" s="36"/>
      <c r="AI4149" s="36"/>
      <c r="AJ4149" s="15">
        <f t="shared" si="390"/>
        <v>400</v>
      </c>
      <c r="AK4149" s="14"/>
      <c r="AL4149" s="14"/>
      <c r="AM4149" s="14"/>
      <c r="AN4149" s="14"/>
      <c r="AO4149" s="14"/>
      <c r="AP4149" s="14"/>
      <c r="AQ4149" s="14"/>
      <c r="AR4149" s="14"/>
      <c r="AS4149" s="14"/>
      <c r="AT4149" s="14"/>
      <c r="AU4149" s="14"/>
      <c r="AV4149" s="14"/>
      <c r="AW4149" s="15"/>
      <c r="AX4149" s="16"/>
    </row>
    <row r="4150" spans="2:50" x14ac:dyDescent="0.2">
      <c r="B4150" s="7"/>
      <c r="C4150" s="8">
        <v>14453</v>
      </c>
      <c r="D4150" s="9" t="s">
        <v>1036</v>
      </c>
      <c r="E4150" s="10" t="str">
        <f t="shared" si="386"/>
        <v>Rancho Landero No. 10</v>
      </c>
      <c r="F4150" s="10" t="str">
        <f t="shared" si="387"/>
        <v>Gómez Facio</v>
      </c>
      <c r="G4150" s="8">
        <v>4</v>
      </c>
      <c r="H4150" s="11">
        <v>200</v>
      </c>
      <c r="I4150" s="12">
        <v>42872</v>
      </c>
      <c r="J4150" s="35">
        <f t="shared" si="388"/>
        <v>0</v>
      </c>
      <c r="K4150" s="36"/>
      <c r="L4150" s="36"/>
      <c r="M4150" s="36"/>
      <c r="N4150" s="36"/>
      <c r="O4150" s="36"/>
      <c r="P4150" s="36"/>
      <c r="Q4150" s="36"/>
      <c r="R4150" s="36"/>
      <c r="S4150" s="36"/>
      <c r="T4150" s="36"/>
      <c r="U4150" s="36"/>
      <c r="V4150" s="36"/>
      <c r="W4150" s="15">
        <f t="shared" si="389"/>
        <v>0</v>
      </c>
      <c r="X4150" s="36"/>
      <c r="Y4150" s="36"/>
      <c r="Z4150" s="36"/>
      <c r="AA4150" s="36"/>
      <c r="AB4150" s="36"/>
      <c r="AC4150" s="36"/>
      <c r="AD4150" s="36"/>
      <c r="AE4150" s="36"/>
      <c r="AF4150" s="36"/>
      <c r="AG4150" s="36"/>
      <c r="AH4150" s="36"/>
      <c r="AI4150" s="36"/>
      <c r="AJ4150" s="15">
        <f t="shared" si="390"/>
        <v>0</v>
      </c>
      <c r="AK4150" s="14"/>
      <c r="AL4150" s="14"/>
      <c r="AM4150" s="14"/>
      <c r="AN4150" s="14"/>
      <c r="AO4150" s="14"/>
      <c r="AP4150" s="14"/>
      <c r="AQ4150" s="14"/>
      <c r="AR4150" s="14"/>
      <c r="AS4150" s="14"/>
      <c r="AT4150" s="14"/>
      <c r="AU4150" s="14"/>
      <c r="AV4150" s="14"/>
      <c r="AW4150" s="15"/>
      <c r="AX4150" s="16" t="s">
        <v>4071</v>
      </c>
    </row>
    <row r="4151" spans="2:50" x14ac:dyDescent="0.2">
      <c r="B4151" s="7"/>
      <c r="C4151" s="8">
        <v>14453</v>
      </c>
      <c r="D4151" s="9" t="s">
        <v>1036</v>
      </c>
      <c r="E4151" s="10" t="str">
        <f t="shared" si="386"/>
        <v>Rancho Landero No. 10</v>
      </c>
      <c r="F4151" s="10" t="str">
        <f t="shared" si="387"/>
        <v>Gómez Facio</v>
      </c>
      <c r="G4151" s="8">
        <v>5</v>
      </c>
      <c r="H4151" s="11">
        <v>50</v>
      </c>
      <c r="I4151" s="12">
        <v>42872</v>
      </c>
      <c r="J4151" s="35">
        <f t="shared" si="388"/>
        <v>0</v>
      </c>
      <c r="K4151" s="36"/>
      <c r="L4151" s="36"/>
      <c r="M4151" s="36"/>
      <c r="N4151" s="36"/>
      <c r="O4151" s="36"/>
      <c r="P4151" s="36"/>
      <c r="Q4151" s="36"/>
      <c r="R4151" s="36"/>
      <c r="S4151" s="36"/>
      <c r="T4151" s="36"/>
      <c r="U4151" s="36"/>
      <c r="V4151" s="36"/>
      <c r="W4151" s="15">
        <f t="shared" si="389"/>
        <v>0</v>
      </c>
      <c r="X4151" s="36"/>
      <c r="Y4151" s="36"/>
      <c r="Z4151" s="36"/>
      <c r="AA4151" s="36"/>
      <c r="AB4151" s="36"/>
      <c r="AC4151" s="36"/>
      <c r="AD4151" s="36"/>
      <c r="AE4151" s="36"/>
      <c r="AF4151" s="36"/>
      <c r="AG4151" s="36"/>
      <c r="AH4151" s="36"/>
      <c r="AI4151" s="36"/>
      <c r="AJ4151" s="15">
        <f t="shared" si="390"/>
        <v>0</v>
      </c>
      <c r="AK4151" s="14"/>
      <c r="AL4151" s="14"/>
      <c r="AM4151" s="14"/>
      <c r="AN4151" s="14"/>
      <c r="AO4151" s="14"/>
      <c r="AP4151" s="14"/>
      <c r="AQ4151" s="14"/>
      <c r="AR4151" s="14"/>
      <c r="AS4151" s="14"/>
      <c r="AT4151" s="14"/>
      <c r="AU4151" s="14"/>
      <c r="AV4151" s="14"/>
      <c r="AW4151" s="15"/>
      <c r="AX4151" s="16"/>
    </row>
    <row r="4152" spans="2:50" x14ac:dyDescent="0.2">
      <c r="B4152" s="7"/>
      <c r="C4152" s="8">
        <v>14454</v>
      </c>
      <c r="D4152" s="9" t="s">
        <v>935</v>
      </c>
      <c r="E4152" s="10" t="str">
        <f t="shared" si="386"/>
        <v>Rancho Landero No. 39</v>
      </c>
      <c r="F4152" s="10" t="str">
        <f t="shared" si="387"/>
        <v>Soto del Cueto</v>
      </c>
      <c r="G4152" s="8">
        <v>3</v>
      </c>
      <c r="H4152" s="11">
        <v>200</v>
      </c>
      <c r="I4152" s="12">
        <v>42873</v>
      </c>
      <c r="J4152" s="35">
        <f t="shared" si="388"/>
        <v>0</v>
      </c>
      <c r="K4152" s="36"/>
      <c r="L4152" s="36"/>
      <c r="M4152" s="36"/>
      <c r="N4152" s="36"/>
      <c r="O4152" s="36"/>
      <c r="P4152" s="36"/>
      <c r="Q4152" s="36"/>
      <c r="R4152" s="36"/>
      <c r="S4152" s="36"/>
      <c r="T4152" s="36"/>
      <c r="U4152" s="36"/>
      <c r="V4152" s="36"/>
      <c r="W4152" s="15">
        <f t="shared" si="389"/>
        <v>0</v>
      </c>
      <c r="X4152" s="36"/>
      <c r="Y4152" s="36"/>
      <c r="Z4152" s="36"/>
      <c r="AA4152" s="36"/>
      <c r="AB4152" s="36"/>
      <c r="AC4152" s="36"/>
      <c r="AD4152" s="36"/>
      <c r="AE4152" s="36"/>
      <c r="AF4152" s="36"/>
      <c r="AG4152" s="36"/>
      <c r="AH4152" s="36"/>
      <c r="AI4152" s="36"/>
      <c r="AJ4152" s="15">
        <f t="shared" si="390"/>
        <v>0</v>
      </c>
      <c r="AK4152" s="14"/>
      <c r="AL4152" s="14"/>
      <c r="AM4152" s="14"/>
      <c r="AN4152" s="14"/>
      <c r="AO4152" s="14"/>
      <c r="AP4152" s="14"/>
      <c r="AQ4152" s="14"/>
      <c r="AR4152" s="14"/>
      <c r="AS4152" s="14"/>
      <c r="AT4152" s="14"/>
      <c r="AU4152" s="14"/>
      <c r="AV4152" s="14"/>
      <c r="AW4152" s="15"/>
      <c r="AX4152" s="16"/>
    </row>
    <row r="4153" spans="2:50" x14ac:dyDescent="0.2">
      <c r="B4153" s="7"/>
      <c r="C4153" s="8">
        <v>14454</v>
      </c>
      <c r="D4153" s="9" t="s">
        <v>935</v>
      </c>
      <c r="E4153" s="10" t="str">
        <f t="shared" si="386"/>
        <v>Rancho Landero No. 39</v>
      </c>
      <c r="F4153" s="10" t="str">
        <f t="shared" si="387"/>
        <v>Soto del Cueto</v>
      </c>
      <c r="G4153" s="8">
        <v>4</v>
      </c>
      <c r="H4153" s="11">
        <v>200</v>
      </c>
      <c r="I4153" s="12">
        <v>42873</v>
      </c>
      <c r="J4153" s="35">
        <f t="shared" si="388"/>
        <v>0</v>
      </c>
      <c r="K4153" s="36"/>
      <c r="L4153" s="36"/>
      <c r="M4153" s="36"/>
      <c r="N4153" s="36"/>
      <c r="O4153" s="36"/>
      <c r="P4153" s="36"/>
      <c r="Q4153" s="36"/>
      <c r="R4153" s="36"/>
      <c r="S4153" s="36"/>
      <c r="T4153" s="36"/>
      <c r="U4153" s="36"/>
      <c r="V4153" s="36"/>
      <c r="W4153" s="15">
        <f t="shared" si="389"/>
        <v>0</v>
      </c>
      <c r="X4153" s="36"/>
      <c r="Y4153" s="36"/>
      <c r="Z4153" s="36"/>
      <c r="AA4153" s="36"/>
      <c r="AB4153" s="36"/>
      <c r="AC4153" s="36"/>
      <c r="AD4153" s="36"/>
      <c r="AE4153" s="36"/>
      <c r="AF4153" s="36"/>
      <c r="AG4153" s="36"/>
      <c r="AH4153" s="36"/>
      <c r="AI4153" s="36"/>
      <c r="AJ4153" s="15">
        <f t="shared" si="390"/>
        <v>0</v>
      </c>
      <c r="AK4153" s="14"/>
      <c r="AL4153" s="14"/>
      <c r="AM4153" s="14"/>
      <c r="AN4153" s="14"/>
      <c r="AO4153" s="14"/>
      <c r="AP4153" s="14"/>
      <c r="AQ4153" s="14"/>
      <c r="AR4153" s="14"/>
      <c r="AS4153" s="14"/>
      <c r="AT4153" s="14"/>
      <c r="AU4153" s="14"/>
      <c r="AV4153" s="14"/>
      <c r="AW4153" s="15"/>
      <c r="AX4153" s="16" t="s">
        <v>4072</v>
      </c>
    </row>
    <row r="4154" spans="2:50" x14ac:dyDescent="0.2">
      <c r="B4154" s="7"/>
      <c r="C4154" s="8">
        <v>14454</v>
      </c>
      <c r="D4154" s="9" t="s">
        <v>935</v>
      </c>
      <c r="E4154" s="10" t="str">
        <f t="shared" si="386"/>
        <v>Rancho Landero No. 39</v>
      </c>
      <c r="F4154" s="10" t="str">
        <f t="shared" si="387"/>
        <v>Soto del Cueto</v>
      </c>
      <c r="G4154" s="8">
        <v>5</v>
      </c>
      <c r="H4154" s="11">
        <v>100</v>
      </c>
      <c r="I4154" s="12">
        <v>42873</v>
      </c>
      <c r="J4154" s="35">
        <f t="shared" si="388"/>
        <v>0</v>
      </c>
      <c r="K4154" s="36"/>
      <c r="L4154" s="36"/>
      <c r="M4154" s="36"/>
      <c r="N4154" s="36"/>
      <c r="O4154" s="36"/>
      <c r="P4154" s="36"/>
      <c r="Q4154" s="36"/>
      <c r="R4154" s="36"/>
      <c r="S4154" s="36"/>
      <c r="T4154" s="36"/>
      <c r="U4154" s="36"/>
      <c r="V4154" s="36"/>
      <c r="W4154" s="15">
        <f t="shared" si="389"/>
        <v>0</v>
      </c>
      <c r="X4154" s="36"/>
      <c r="Y4154" s="36"/>
      <c r="Z4154" s="36"/>
      <c r="AA4154" s="36"/>
      <c r="AB4154" s="36"/>
      <c r="AC4154" s="36"/>
      <c r="AD4154" s="36"/>
      <c r="AE4154" s="36"/>
      <c r="AF4154" s="36"/>
      <c r="AG4154" s="36"/>
      <c r="AH4154" s="36"/>
      <c r="AI4154" s="36"/>
      <c r="AJ4154" s="15">
        <f t="shared" si="390"/>
        <v>0</v>
      </c>
      <c r="AK4154" s="14"/>
      <c r="AL4154" s="14"/>
      <c r="AM4154" s="14"/>
      <c r="AN4154" s="14"/>
      <c r="AO4154" s="14"/>
      <c r="AP4154" s="14"/>
      <c r="AQ4154" s="14"/>
      <c r="AR4154" s="14"/>
      <c r="AS4154" s="14"/>
      <c r="AT4154" s="14"/>
      <c r="AU4154" s="14"/>
      <c r="AV4154" s="14"/>
      <c r="AW4154" s="15"/>
      <c r="AX4154" s="16"/>
    </row>
    <row r="4155" spans="2:50" x14ac:dyDescent="0.2">
      <c r="B4155" s="7"/>
      <c r="C4155" s="8">
        <v>14455</v>
      </c>
      <c r="D4155" s="9" t="s">
        <v>852</v>
      </c>
      <c r="E4155" s="10" t="str">
        <f t="shared" si="386"/>
        <v>Rancho La Cuchilla No. 97</v>
      </c>
      <c r="F4155" s="10" t="str">
        <f t="shared" si="387"/>
        <v>López Ruiz</v>
      </c>
      <c r="G4155" s="8">
        <v>1</v>
      </c>
      <c r="H4155" s="11">
        <v>600</v>
      </c>
      <c r="I4155" s="12">
        <v>42874</v>
      </c>
      <c r="J4155" s="35">
        <f t="shared" si="388"/>
        <v>0</v>
      </c>
      <c r="K4155" s="36"/>
      <c r="L4155" s="36"/>
      <c r="M4155" s="36"/>
      <c r="N4155" s="36"/>
      <c r="O4155" s="36"/>
      <c r="P4155" s="36"/>
      <c r="Q4155" s="36"/>
      <c r="R4155" s="36"/>
      <c r="S4155" s="36"/>
      <c r="T4155" s="36"/>
      <c r="U4155" s="36"/>
      <c r="V4155" s="36"/>
      <c r="W4155" s="15">
        <f t="shared" si="389"/>
        <v>0</v>
      </c>
      <c r="X4155" s="36"/>
      <c r="Y4155" s="36"/>
      <c r="Z4155" s="36"/>
      <c r="AA4155" s="36">
        <v>300</v>
      </c>
      <c r="AB4155" s="36">
        <v>300</v>
      </c>
      <c r="AC4155" s="36"/>
      <c r="AD4155" s="36"/>
      <c r="AE4155" s="36"/>
      <c r="AF4155" s="36"/>
      <c r="AG4155" s="36"/>
      <c r="AH4155" s="36"/>
      <c r="AI4155" s="36"/>
      <c r="AJ4155" s="15">
        <f t="shared" si="390"/>
        <v>600</v>
      </c>
      <c r="AK4155" s="14"/>
      <c r="AL4155" s="14"/>
      <c r="AM4155" s="14"/>
      <c r="AN4155" s="14"/>
      <c r="AO4155" s="14"/>
      <c r="AP4155" s="14"/>
      <c r="AQ4155" s="14"/>
      <c r="AR4155" s="14"/>
      <c r="AS4155" s="14"/>
      <c r="AT4155" s="14"/>
      <c r="AU4155" s="14"/>
      <c r="AV4155" s="14"/>
      <c r="AW4155" s="15"/>
      <c r="AX4155" s="16"/>
    </row>
    <row r="4156" spans="2:50" x14ac:dyDescent="0.2">
      <c r="B4156" s="7"/>
      <c r="C4156" s="8">
        <v>14456</v>
      </c>
      <c r="D4156" s="9" t="s">
        <v>256</v>
      </c>
      <c r="E4156" s="10" t="str">
        <f t="shared" si="386"/>
        <v>Rancho Recoveco No. 179</v>
      </c>
      <c r="F4156" s="10" t="str">
        <f t="shared" si="387"/>
        <v>Flores Delgado</v>
      </c>
      <c r="G4156" s="8">
        <v>1</v>
      </c>
      <c r="H4156" s="11">
        <v>600</v>
      </c>
      <c r="I4156" s="12">
        <v>42876</v>
      </c>
      <c r="J4156" s="35">
        <f t="shared" si="388"/>
        <v>0</v>
      </c>
      <c r="K4156" s="36"/>
      <c r="L4156" s="36"/>
      <c r="M4156" s="36"/>
      <c r="N4156" s="36"/>
      <c r="O4156" s="36"/>
      <c r="P4156" s="36"/>
      <c r="Q4156" s="36"/>
      <c r="R4156" s="36"/>
      <c r="S4156" s="36"/>
      <c r="T4156" s="36"/>
      <c r="U4156" s="36"/>
      <c r="V4156" s="36"/>
      <c r="W4156" s="15">
        <f t="shared" si="389"/>
        <v>0</v>
      </c>
      <c r="X4156" s="36"/>
      <c r="Y4156" s="36"/>
      <c r="Z4156" s="36"/>
      <c r="AA4156" s="36">
        <v>300</v>
      </c>
      <c r="AB4156" s="36">
        <v>300</v>
      </c>
      <c r="AC4156" s="36"/>
      <c r="AD4156" s="36"/>
      <c r="AE4156" s="36"/>
      <c r="AF4156" s="36"/>
      <c r="AG4156" s="36"/>
      <c r="AH4156" s="36"/>
      <c r="AI4156" s="36"/>
      <c r="AJ4156" s="15">
        <f t="shared" si="390"/>
        <v>600</v>
      </c>
      <c r="AK4156" s="14"/>
      <c r="AL4156" s="14"/>
      <c r="AM4156" s="14"/>
      <c r="AN4156" s="14"/>
      <c r="AO4156" s="14"/>
      <c r="AP4156" s="14"/>
      <c r="AQ4156" s="14"/>
      <c r="AR4156" s="14"/>
      <c r="AS4156" s="14"/>
      <c r="AT4156" s="14"/>
      <c r="AU4156" s="14"/>
      <c r="AV4156" s="14"/>
      <c r="AW4156" s="15"/>
      <c r="AX4156" s="16"/>
    </row>
    <row r="4157" spans="2:50" x14ac:dyDescent="0.2">
      <c r="B4157" s="7"/>
      <c r="C4157" s="8">
        <v>14457</v>
      </c>
      <c r="D4157" s="9" t="s">
        <v>874</v>
      </c>
      <c r="E4157" s="10" t="str">
        <f t="shared" si="386"/>
        <v>Rancho Zinamba No. 46</v>
      </c>
      <c r="F4157" s="10" t="str">
        <f t="shared" si="387"/>
        <v>Olguín</v>
      </c>
      <c r="G4157" s="8">
        <v>1</v>
      </c>
      <c r="H4157" s="11">
        <v>1000</v>
      </c>
      <c r="I4157" s="12">
        <v>42876</v>
      </c>
      <c r="J4157" s="35">
        <f t="shared" si="388"/>
        <v>0</v>
      </c>
      <c r="K4157" s="36"/>
      <c r="L4157" s="36"/>
      <c r="M4157" s="36"/>
      <c r="N4157" s="36"/>
      <c r="O4157" s="36"/>
      <c r="P4157" s="36"/>
      <c r="Q4157" s="36"/>
      <c r="R4157" s="36"/>
      <c r="S4157" s="36"/>
      <c r="T4157" s="36"/>
      <c r="U4157" s="36"/>
      <c r="V4157" s="36"/>
      <c r="W4157" s="15">
        <f t="shared" si="389"/>
        <v>0</v>
      </c>
      <c r="X4157" s="36">
        <v>200</v>
      </c>
      <c r="Y4157" s="36">
        <v>200</v>
      </c>
      <c r="Z4157" s="36">
        <v>200</v>
      </c>
      <c r="AA4157" s="36">
        <v>200</v>
      </c>
      <c r="AB4157" s="36">
        <v>200</v>
      </c>
      <c r="AC4157" s="36"/>
      <c r="AD4157" s="36"/>
      <c r="AE4157" s="36"/>
      <c r="AF4157" s="36"/>
      <c r="AG4157" s="36"/>
      <c r="AH4157" s="36"/>
      <c r="AI4157" s="36"/>
      <c r="AJ4157" s="15">
        <f t="shared" si="390"/>
        <v>1000</v>
      </c>
      <c r="AK4157" s="14"/>
      <c r="AL4157" s="14"/>
      <c r="AM4157" s="14"/>
      <c r="AN4157" s="14"/>
      <c r="AO4157" s="14"/>
      <c r="AP4157" s="14"/>
      <c r="AQ4157" s="14"/>
      <c r="AR4157" s="14"/>
      <c r="AS4157" s="14"/>
      <c r="AT4157" s="14"/>
      <c r="AU4157" s="14"/>
      <c r="AV4157" s="14"/>
      <c r="AW4157" s="15"/>
      <c r="AX4157" s="16"/>
    </row>
    <row r="4158" spans="2:50" x14ac:dyDescent="0.2">
      <c r="B4158" s="7"/>
      <c r="C4158" s="8">
        <v>14457</v>
      </c>
      <c r="D4158" s="9" t="s">
        <v>874</v>
      </c>
      <c r="E4158" s="10" t="str">
        <f t="shared" si="386"/>
        <v>Rancho Zinamba No. 46</v>
      </c>
      <c r="F4158" s="10" t="str">
        <f t="shared" si="387"/>
        <v>Olguín</v>
      </c>
      <c r="G4158" s="8">
        <v>7</v>
      </c>
      <c r="H4158" s="11">
        <v>100</v>
      </c>
      <c r="I4158" s="12">
        <v>42876</v>
      </c>
      <c r="J4158" s="35">
        <f t="shared" si="388"/>
        <v>0</v>
      </c>
      <c r="K4158" s="36"/>
      <c r="L4158" s="36"/>
      <c r="M4158" s="36"/>
      <c r="N4158" s="36"/>
      <c r="O4158" s="36"/>
      <c r="P4158" s="36"/>
      <c r="Q4158" s="36"/>
      <c r="R4158" s="36"/>
      <c r="S4158" s="36"/>
      <c r="T4158" s="36"/>
      <c r="U4158" s="36"/>
      <c r="V4158" s="36"/>
      <c r="W4158" s="15">
        <f t="shared" si="389"/>
        <v>0</v>
      </c>
      <c r="X4158" s="36"/>
      <c r="Y4158" s="36"/>
      <c r="Z4158" s="36"/>
      <c r="AA4158" s="36"/>
      <c r="AB4158" s="36"/>
      <c r="AC4158" s="36"/>
      <c r="AD4158" s="36"/>
      <c r="AE4158" s="36"/>
      <c r="AF4158" s="36"/>
      <c r="AG4158" s="36"/>
      <c r="AH4158" s="36"/>
      <c r="AI4158" s="36"/>
      <c r="AJ4158" s="15">
        <f t="shared" si="390"/>
        <v>0</v>
      </c>
      <c r="AK4158" s="14"/>
      <c r="AL4158" s="14"/>
      <c r="AM4158" s="14"/>
      <c r="AN4158" s="14"/>
      <c r="AO4158" s="14"/>
      <c r="AP4158" s="14"/>
      <c r="AQ4158" s="14"/>
      <c r="AR4158" s="14"/>
      <c r="AS4158" s="14"/>
      <c r="AT4158" s="14"/>
      <c r="AU4158" s="14"/>
      <c r="AV4158" s="14"/>
      <c r="AW4158" s="15"/>
      <c r="AX4158" s="16" t="s">
        <v>3858</v>
      </c>
    </row>
    <row r="4159" spans="2:50" x14ac:dyDescent="0.2">
      <c r="B4159" s="7"/>
      <c r="C4159" s="8">
        <v>14458</v>
      </c>
      <c r="D4159" s="9" t="s">
        <v>611</v>
      </c>
      <c r="E4159" s="10" t="str">
        <f t="shared" ref="E4159:E4176" si="391">IF(D4159=0,"",VLOOKUP(D4159,BASE,2,FALSE))</f>
        <v>Rancho Estanzuela No. 47</v>
      </c>
      <c r="F4159" s="10" t="str">
        <f t="shared" ref="F4159:F4176" si="392">IF(D4159=0,"",VLOOKUP(D4159,BASE,3,FALSE))</f>
        <v>Bussey García</v>
      </c>
      <c r="G4159" s="8">
        <v>1</v>
      </c>
      <c r="H4159" s="11">
        <v>400</v>
      </c>
      <c r="I4159" s="12">
        <v>42876</v>
      </c>
      <c r="J4159" s="35">
        <f t="shared" ref="J4159:J4176" si="393">IF(G4159=1,SUM(W4159,AJ4159,-H4159),0)</f>
        <v>0</v>
      </c>
      <c r="K4159" s="36"/>
      <c r="L4159" s="36"/>
      <c r="M4159" s="36"/>
      <c r="N4159" s="36"/>
      <c r="O4159" s="36"/>
      <c r="P4159" s="36"/>
      <c r="Q4159" s="36"/>
      <c r="R4159" s="36"/>
      <c r="S4159" s="36"/>
      <c r="T4159" s="36"/>
      <c r="U4159" s="36"/>
      <c r="V4159" s="36"/>
      <c r="W4159" s="15">
        <f t="shared" ref="W4159:W4176" si="394">SUM(K4159:V4159)</f>
        <v>0</v>
      </c>
      <c r="X4159" s="36"/>
      <c r="Y4159" s="36"/>
      <c r="Z4159" s="36"/>
      <c r="AA4159" s="36"/>
      <c r="AB4159" s="36">
        <v>400</v>
      </c>
      <c r="AC4159" s="36"/>
      <c r="AD4159" s="36"/>
      <c r="AE4159" s="36"/>
      <c r="AF4159" s="36"/>
      <c r="AG4159" s="36"/>
      <c r="AH4159" s="36"/>
      <c r="AI4159" s="36"/>
      <c r="AJ4159" s="15">
        <f t="shared" ref="AJ4159:AJ4176" si="395">SUM(X4159:AI4159)</f>
        <v>400</v>
      </c>
      <c r="AK4159" s="14"/>
      <c r="AL4159" s="14"/>
      <c r="AM4159" s="14"/>
      <c r="AN4159" s="14"/>
      <c r="AO4159" s="14"/>
      <c r="AP4159" s="14"/>
      <c r="AQ4159" s="14"/>
      <c r="AR4159" s="14"/>
      <c r="AS4159" s="14"/>
      <c r="AT4159" s="14"/>
      <c r="AU4159" s="14"/>
      <c r="AV4159" s="14"/>
      <c r="AW4159" s="15"/>
      <c r="AX4159" s="16"/>
    </row>
    <row r="4160" spans="2:50" x14ac:dyDescent="0.2">
      <c r="B4160" s="7"/>
      <c r="C4160" s="8">
        <v>14459</v>
      </c>
      <c r="D4160" s="9" t="s">
        <v>708</v>
      </c>
      <c r="E4160" s="10" t="str">
        <f t="shared" si="391"/>
        <v>Rancho Landero No. 21</v>
      </c>
      <c r="F4160" s="10" t="str">
        <f t="shared" si="392"/>
        <v>Meza</v>
      </c>
      <c r="G4160" s="8">
        <v>1</v>
      </c>
      <c r="H4160" s="11">
        <v>1200</v>
      </c>
      <c r="I4160" s="12">
        <v>42876</v>
      </c>
      <c r="J4160" s="35">
        <f t="shared" si="393"/>
        <v>0</v>
      </c>
      <c r="K4160" s="36"/>
      <c r="L4160" s="36"/>
      <c r="M4160" s="36"/>
      <c r="N4160" s="36"/>
      <c r="O4160" s="36"/>
      <c r="P4160" s="36"/>
      <c r="Q4160" s="36"/>
      <c r="R4160" s="36"/>
      <c r="S4160" s="36"/>
      <c r="T4160" s="36"/>
      <c r="U4160" s="36"/>
      <c r="V4160" s="36"/>
      <c r="W4160" s="15">
        <f t="shared" si="394"/>
        <v>0</v>
      </c>
      <c r="X4160" s="36"/>
      <c r="Y4160" s="36"/>
      <c r="Z4160" s="36">
        <v>400</v>
      </c>
      <c r="AA4160" s="36">
        <v>400</v>
      </c>
      <c r="AB4160" s="36">
        <v>400</v>
      </c>
      <c r="AC4160" s="36"/>
      <c r="AD4160" s="36"/>
      <c r="AE4160" s="36"/>
      <c r="AF4160" s="36"/>
      <c r="AG4160" s="36"/>
      <c r="AH4160" s="36"/>
      <c r="AI4160" s="36"/>
      <c r="AJ4160" s="15">
        <f t="shared" si="395"/>
        <v>1200</v>
      </c>
      <c r="AK4160" s="14"/>
      <c r="AL4160" s="14"/>
      <c r="AM4160" s="14"/>
      <c r="AN4160" s="14"/>
      <c r="AO4160" s="14"/>
      <c r="AP4160" s="14"/>
      <c r="AQ4160" s="14"/>
      <c r="AR4160" s="14"/>
      <c r="AS4160" s="14"/>
      <c r="AT4160" s="14"/>
      <c r="AU4160" s="14"/>
      <c r="AV4160" s="14"/>
      <c r="AW4160" s="15"/>
      <c r="AX4160" s="16"/>
    </row>
    <row r="4161" spans="2:50" x14ac:dyDescent="0.2">
      <c r="B4161" s="7"/>
      <c r="C4161" s="8">
        <v>14460</v>
      </c>
      <c r="D4161" s="9" t="s">
        <v>141</v>
      </c>
      <c r="E4161" s="10" t="str">
        <f t="shared" si="391"/>
        <v>Rancho Estanzuela No. 91</v>
      </c>
      <c r="F4161" s="10" t="str">
        <f t="shared" si="392"/>
        <v>Lobato Hernàndez</v>
      </c>
      <c r="G4161" s="8">
        <v>1</v>
      </c>
      <c r="H4161" s="11">
        <v>1200</v>
      </c>
      <c r="I4161" s="12">
        <v>42815</v>
      </c>
      <c r="J4161" s="35">
        <f t="shared" si="393"/>
        <v>0</v>
      </c>
      <c r="K4161" s="36"/>
      <c r="L4161" s="36"/>
      <c r="M4161" s="36"/>
      <c r="N4161" s="36"/>
      <c r="O4161" s="36"/>
      <c r="P4161" s="36"/>
      <c r="Q4161" s="36"/>
      <c r="R4161" s="36"/>
      <c r="S4161" s="36"/>
      <c r="T4161" s="36"/>
      <c r="U4161" s="36"/>
      <c r="V4161" s="36"/>
      <c r="W4161" s="15">
        <f t="shared" si="394"/>
        <v>0</v>
      </c>
      <c r="X4161" s="36"/>
      <c r="Y4161" s="36"/>
      <c r="Z4161" s="36"/>
      <c r="AA4161" s="36">
        <v>400</v>
      </c>
      <c r="AB4161" s="36">
        <v>400</v>
      </c>
      <c r="AC4161" s="36">
        <v>400</v>
      </c>
      <c r="AD4161" s="36"/>
      <c r="AE4161" s="36"/>
      <c r="AF4161" s="36"/>
      <c r="AG4161" s="36"/>
      <c r="AH4161" s="36"/>
      <c r="AI4161" s="36"/>
      <c r="AJ4161" s="15">
        <f t="shared" si="395"/>
        <v>1200</v>
      </c>
      <c r="AK4161" s="14"/>
      <c r="AL4161" s="14"/>
      <c r="AM4161" s="14"/>
      <c r="AN4161" s="14"/>
      <c r="AO4161" s="14"/>
      <c r="AP4161" s="14"/>
      <c r="AQ4161" s="14"/>
      <c r="AR4161" s="14"/>
      <c r="AS4161" s="14"/>
      <c r="AT4161" s="14"/>
      <c r="AU4161" s="14"/>
      <c r="AV4161" s="14"/>
      <c r="AW4161" s="15"/>
      <c r="AX4161" s="16"/>
    </row>
    <row r="4162" spans="2:50" x14ac:dyDescent="0.2">
      <c r="B4162" s="7"/>
      <c r="C4162" s="8">
        <v>14460</v>
      </c>
      <c r="D4162" s="9" t="s">
        <v>141</v>
      </c>
      <c r="E4162" s="10" t="str">
        <f t="shared" si="391"/>
        <v>Rancho Estanzuela No. 91</v>
      </c>
      <c r="F4162" s="10" t="str">
        <f t="shared" si="392"/>
        <v>Lobato Hernàndez</v>
      </c>
      <c r="G4162" s="8">
        <v>7</v>
      </c>
      <c r="H4162" s="11">
        <v>100</v>
      </c>
      <c r="I4162" s="12">
        <v>42815</v>
      </c>
      <c r="J4162" s="35">
        <f t="shared" si="393"/>
        <v>0</v>
      </c>
      <c r="K4162" s="36"/>
      <c r="L4162" s="36"/>
      <c r="M4162" s="36"/>
      <c r="N4162" s="36"/>
      <c r="O4162" s="36"/>
      <c r="P4162" s="36"/>
      <c r="Q4162" s="36"/>
      <c r="R4162" s="36"/>
      <c r="S4162" s="36"/>
      <c r="T4162" s="36"/>
      <c r="U4162" s="36"/>
      <c r="V4162" s="36"/>
      <c r="W4162" s="15">
        <f t="shared" si="394"/>
        <v>0</v>
      </c>
      <c r="X4162" s="36"/>
      <c r="Y4162" s="36"/>
      <c r="Z4162" s="36"/>
      <c r="AA4162" s="36"/>
      <c r="AB4162" s="36"/>
      <c r="AC4162" s="36"/>
      <c r="AD4162" s="36"/>
      <c r="AE4162" s="36"/>
      <c r="AF4162" s="36"/>
      <c r="AG4162" s="36"/>
      <c r="AH4162" s="36"/>
      <c r="AI4162" s="36"/>
      <c r="AJ4162" s="15">
        <f t="shared" si="395"/>
        <v>0</v>
      </c>
      <c r="AK4162" s="14"/>
      <c r="AL4162" s="14"/>
      <c r="AM4162" s="14"/>
      <c r="AN4162" s="14"/>
      <c r="AO4162" s="14"/>
      <c r="AP4162" s="14"/>
      <c r="AQ4162" s="14"/>
      <c r="AR4162" s="14"/>
      <c r="AS4162" s="14"/>
      <c r="AT4162" s="14"/>
      <c r="AU4162" s="14"/>
      <c r="AV4162" s="14"/>
      <c r="AW4162" s="15"/>
      <c r="AX4162" s="16" t="s">
        <v>3858</v>
      </c>
    </row>
    <row r="4163" spans="2:50" x14ac:dyDescent="0.2">
      <c r="B4163" s="7"/>
      <c r="C4163" s="8">
        <v>14461</v>
      </c>
      <c r="D4163" s="9" t="s">
        <v>586</v>
      </c>
      <c r="E4163" s="10" t="str">
        <f t="shared" si="391"/>
        <v>Rancho Estanzuela No. 161, 1</v>
      </c>
      <c r="F4163" s="10" t="str">
        <f t="shared" si="392"/>
        <v>Guevara</v>
      </c>
      <c r="G4163" s="8">
        <v>1</v>
      </c>
      <c r="H4163" s="11">
        <v>200</v>
      </c>
      <c r="I4163" s="12">
        <v>42876</v>
      </c>
      <c r="J4163" s="35">
        <f t="shared" si="393"/>
        <v>0</v>
      </c>
      <c r="K4163" s="36"/>
      <c r="L4163" s="36"/>
      <c r="M4163" s="36"/>
      <c r="N4163" s="36"/>
      <c r="O4163" s="36"/>
      <c r="P4163" s="36"/>
      <c r="Q4163" s="36"/>
      <c r="R4163" s="36"/>
      <c r="S4163" s="36"/>
      <c r="T4163" s="36"/>
      <c r="U4163" s="36"/>
      <c r="V4163" s="36"/>
      <c r="W4163" s="15">
        <f t="shared" si="394"/>
        <v>0</v>
      </c>
      <c r="X4163" s="36"/>
      <c r="Y4163" s="36"/>
      <c r="Z4163" s="36"/>
      <c r="AA4163" s="36"/>
      <c r="AB4163" s="36">
        <v>200</v>
      </c>
      <c r="AC4163" s="36"/>
      <c r="AD4163" s="36"/>
      <c r="AE4163" s="36"/>
      <c r="AF4163" s="36"/>
      <c r="AG4163" s="36"/>
      <c r="AH4163" s="36"/>
      <c r="AI4163" s="36"/>
      <c r="AJ4163" s="15">
        <f t="shared" si="395"/>
        <v>200</v>
      </c>
      <c r="AK4163" s="14"/>
      <c r="AL4163" s="14"/>
      <c r="AM4163" s="14"/>
      <c r="AN4163" s="14"/>
      <c r="AO4163" s="14"/>
      <c r="AP4163" s="14"/>
      <c r="AQ4163" s="14"/>
      <c r="AR4163" s="14"/>
      <c r="AS4163" s="14"/>
      <c r="AT4163" s="14"/>
      <c r="AU4163" s="14"/>
      <c r="AV4163" s="14"/>
      <c r="AW4163" s="15"/>
      <c r="AX4163" s="16"/>
    </row>
    <row r="4164" spans="2:50" x14ac:dyDescent="0.2">
      <c r="B4164" s="7"/>
      <c r="C4164" s="8">
        <v>14462</v>
      </c>
      <c r="D4164" s="9" t="s">
        <v>259</v>
      </c>
      <c r="E4164" s="10" t="str">
        <f t="shared" si="391"/>
        <v>Rancho Estanzuela No. 55</v>
      </c>
      <c r="F4164" s="10" t="str">
        <f t="shared" si="392"/>
        <v>Rodríguez Acevedo</v>
      </c>
      <c r="G4164" s="8">
        <v>1</v>
      </c>
      <c r="H4164" s="11">
        <v>400</v>
      </c>
      <c r="I4164" s="12">
        <v>42876</v>
      </c>
      <c r="J4164" s="35">
        <f t="shared" si="393"/>
        <v>0</v>
      </c>
      <c r="K4164" s="36"/>
      <c r="L4164" s="36"/>
      <c r="M4164" s="36"/>
      <c r="N4164" s="36"/>
      <c r="O4164" s="36"/>
      <c r="P4164" s="36"/>
      <c r="Q4164" s="36"/>
      <c r="R4164" s="36"/>
      <c r="S4164" s="36"/>
      <c r="T4164" s="36"/>
      <c r="U4164" s="36"/>
      <c r="V4164" s="36"/>
      <c r="W4164" s="15">
        <f t="shared" si="394"/>
        <v>0</v>
      </c>
      <c r="X4164" s="36"/>
      <c r="Y4164" s="36"/>
      <c r="Z4164" s="36"/>
      <c r="AA4164" s="36"/>
      <c r="AB4164" s="36">
        <v>400</v>
      </c>
      <c r="AC4164" s="36"/>
      <c r="AD4164" s="36"/>
      <c r="AE4164" s="36"/>
      <c r="AF4164" s="36"/>
      <c r="AG4164" s="36"/>
      <c r="AH4164" s="36"/>
      <c r="AI4164" s="36"/>
      <c r="AJ4164" s="15">
        <f t="shared" si="395"/>
        <v>400</v>
      </c>
      <c r="AK4164" s="14"/>
      <c r="AL4164" s="14"/>
      <c r="AM4164" s="14"/>
      <c r="AN4164" s="14"/>
      <c r="AO4164" s="14"/>
      <c r="AP4164" s="14"/>
      <c r="AQ4164" s="14"/>
      <c r="AR4164" s="14"/>
      <c r="AS4164" s="14"/>
      <c r="AT4164" s="14"/>
      <c r="AU4164" s="14"/>
      <c r="AV4164" s="14"/>
      <c r="AW4164" s="15"/>
      <c r="AX4164" s="16"/>
    </row>
    <row r="4165" spans="2:50" x14ac:dyDescent="0.2">
      <c r="B4165" s="7"/>
      <c r="C4165" s="8">
        <v>14463</v>
      </c>
      <c r="D4165" s="9" t="s">
        <v>837</v>
      </c>
      <c r="E4165" s="10" t="str">
        <f t="shared" si="391"/>
        <v>Rancho Estanzuela No. 67</v>
      </c>
      <c r="F4165" s="10" t="str">
        <f t="shared" si="392"/>
        <v>Carmona Galarza</v>
      </c>
      <c r="G4165" s="8">
        <v>1</v>
      </c>
      <c r="H4165" s="11">
        <v>1600</v>
      </c>
      <c r="I4165" s="12">
        <v>42876</v>
      </c>
      <c r="J4165" s="35">
        <f t="shared" si="393"/>
        <v>0</v>
      </c>
      <c r="K4165" s="36"/>
      <c r="L4165" s="36"/>
      <c r="M4165" s="36"/>
      <c r="N4165" s="36"/>
      <c r="O4165" s="36"/>
      <c r="P4165" s="36"/>
      <c r="Q4165" s="36"/>
      <c r="R4165" s="36"/>
      <c r="S4165" s="36"/>
      <c r="T4165" s="36"/>
      <c r="U4165" s="36"/>
      <c r="V4165" s="36"/>
      <c r="W4165" s="15">
        <f t="shared" si="394"/>
        <v>0</v>
      </c>
      <c r="X4165" s="36"/>
      <c r="Y4165" s="36"/>
      <c r="Z4165" s="36"/>
      <c r="AA4165" s="36">
        <v>400</v>
      </c>
      <c r="AB4165" s="36">
        <v>400</v>
      </c>
      <c r="AC4165" s="36">
        <v>400</v>
      </c>
      <c r="AD4165" s="36">
        <v>400</v>
      </c>
      <c r="AE4165" s="36"/>
      <c r="AF4165" s="36"/>
      <c r="AG4165" s="36"/>
      <c r="AH4165" s="36"/>
      <c r="AI4165" s="36"/>
      <c r="AJ4165" s="15">
        <f t="shared" si="395"/>
        <v>1600</v>
      </c>
      <c r="AK4165" s="14"/>
      <c r="AL4165" s="14"/>
      <c r="AM4165" s="14"/>
      <c r="AN4165" s="14"/>
      <c r="AO4165" s="14"/>
      <c r="AP4165" s="14"/>
      <c r="AQ4165" s="14"/>
      <c r="AR4165" s="14"/>
      <c r="AS4165" s="14"/>
      <c r="AT4165" s="14"/>
      <c r="AU4165" s="14"/>
      <c r="AV4165" s="14"/>
      <c r="AW4165" s="15"/>
      <c r="AX4165" s="16"/>
    </row>
    <row r="4166" spans="2:50" x14ac:dyDescent="0.2">
      <c r="B4166" s="7"/>
      <c r="C4166" s="8">
        <v>14464</v>
      </c>
      <c r="D4166" s="9" t="s">
        <v>283</v>
      </c>
      <c r="E4166" s="10" t="str">
        <f t="shared" si="391"/>
        <v>Rancho Estanzuela No. 115</v>
      </c>
      <c r="F4166" s="10" t="str">
        <f t="shared" si="392"/>
        <v>Frías Solórzano</v>
      </c>
      <c r="G4166" s="8">
        <v>1</v>
      </c>
      <c r="H4166" s="11">
        <v>500</v>
      </c>
      <c r="I4166" s="12">
        <v>42876</v>
      </c>
      <c r="J4166" s="35">
        <f t="shared" si="393"/>
        <v>0</v>
      </c>
      <c r="K4166" s="36"/>
      <c r="L4166" s="36"/>
      <c r="M4166" s="36"/>
      <c r="N4166" s="36"/>
      <c r="O4166" s="36"/>
      <c r="P4166" s="36"/>
      <c r="Q4166" s="36"/>
      <c r="R4166" s="36"/>
      <c r="S4166" s="36"/>
      <c r="T4166" s="36"/>
      <c r="U4166" s="36"/>
      <c r="V4166" s="36"/>
      <c r="W4166" s="15">
        <f t="shared" si="394"/>
        <v>0</v>
      </c>
      <c r="X4166" s="36"/>
      <c r="Y4166" s="36"/>
      <c r="Z4166" s="36"/>
      <c r="AA4166" s="36"/>
      <c r="AB4166" s="36">
        <v>250</v>
      </c>
      <c r="AC4166" s="36">
        <v>250</v>
      </c>
      <c r="AD4166" s="36"/>
      <c r="AE4166" s="36"/>
      <c r="AF4166" s="36"/>
      <c r="AG4166" s="36"/>
      <c r="AH4166" s="36"/>
      <c r="AI4166" s="36"/>
      <c r="AJ4166" s="15">
        <f t="shared" si="395"/>
        <v>500</v>
      </c>
      <c r="AK4166" s="14"/>
      <c r="AL4166" s="14"/>
      <c r="AM4166" s="14"/>
      <c r="AN4166" s="14"/>
      <c r="AO4166" s="14"/>
      <c r="AP4166" s="14"/>
      <c r="AQ4166" s="14"/>
      <c r="AR4166" s="14"/>
      <c r="AS4166" s="14"/>
      <c r="AT4166" s="14"/>
      <c r="AU4166" s="14"/>
      <c r="AV4166" s="14"/>
      <c r="AW4166" s="15"/>
      <c r="AX4166" s="16"/>
    </row>
    <row r="4167" spans="2:50" x14ac:dyDescent="0.2">
      <c r="B4167" s="7"/>
      <c r="C4167" s="8">
        <v>14465</v>
      </c>
      <c r="D4167" s="9" t="s">
        <v>413</v>
      </c>
      <c r="E4167" s="10" t="str">
        <f t="shared" si="391"/>
        <v>Rancho Upácuaro No. 79</v>
      </c>
      <c r="F4167" s="10" t="str">
        <f t="shared" si="392"/>
        <v>Macías</v>
      </c>
      <c r="G4167" s="8">
        <v>1</v>
      </c>
      <c r="H4167" s="11">
        <v>800</v>
      </c>
      <c r="I4167" s="12">
        <v>42876</v>
      </c>
      <c r="J4167" s="35">
        <f t="shared" si="393"/>
        <v>0</v>
      </c>
      <c r="K4167" s="36"/>
      <c r="L4167" s="36"/>
      <c r="M4167" s="36"/>
      <c r="N4167" s="36"/>
      <c r="O4167" s="36"/>
      <c r="P4167" s="36"/>
      <c r="Q4167" s="36"/>
      <c r="R4167" s="36"/>
      <c r="S4167" s="36"/>
      <c r="T4167" s="36"/>
      <c r="U4167" s="36"/>
      <c r="V4167" s="36"/>
      <c r="W4167" s="15">
        <f t="shared" si="394"/>
        <v>0</v>
      </c>
      <c r="X4167" s="36"/>
      <c r="Y4167" s="36"/>
      <c r="Z4167" s="36"/>
      <c r="AA4167" s="36"/>
      <c r="AB4167" s="36"/>
      <c r="AC4167" s="36"/>
      <c r="AD4167" s="36">
        <v>400</v>
      </c>
      <c r="AE4167" s="36">
        <v>400</v>
      </c>
      <c r="AF4167" s="36"/>
      <c r="AG4167" s="36"/>
      <c r="AH4167" s="36"/>
      <c r="AI4167" s="36"/>
      <c r="AJ4167" s="15">
        <f t="shared" si="395"/>
        <v>800</v>
      </c>
      <c r="AK4167" s="14"/>
      <c r="AL4167" s="14"/>
      <c r="AM4167" s="14"/>
      <c r="AN4167" s="14"/>
      <c r="AO4167" s="14"/>
      <c r="AP4167" s="14"/>
      <c r="AQ4167" s="14"/>
      <c r="AR4167" s="14"/>
      <c r="AS4167" s="14"/>
      <c r="AT4167" s="14"/>
      <c r="AU4167" s="14"/>
      <c r="AV4167" s="14"/>
      <c r="AW4167" s="15"/>
      <c r="AX4167" s="16"/>
    </row>
    <row r="4168" spans="2:50" x14ac:dyDescent="0.2">
      <c r="B4168" s="7"/>
      <c r="C4168" s="8">
        <v>14466</v>
      </c>
      <c r="D4168" s="9" t="s">
        <v>1170</v>
      </c>
      <c r="E4168" s="10" t="str">
        <f t="shared" ref="E4168:E4169" si="396">IF(D4168=0,"",VLOOKUP(D4168,BASE,2,FALSE))</f>
        <v>Rancho La Cuchilla No. 117</v>
      </c>
      <c r="F4168" s="10" t="str">
        <f t="shared" ref="F4168:F4169" si="397">IF(D4168=0,"",VLOOKUP(D4168,BASE,3,FALSE))</f>
        <v>Gómez</v>
      </c>
      <c r="G4168" s="8">
        <v>1</v>
      </c>
      <c r="H4168" s="11">
        <v>800</v>
      </c>
      <c r="I4168" s="12">
        <v>42876</v>
      </c>
      <c r="J4168" s="35">
        <f t="shared" ref="J4168:J4169" si="398">IF(G4168=1,SUM(W4168,AJ4168,-H4168),0)</f>
        <v>0</v>
      </c>
      <c r="K4168" s="36"/>
      <c r="L4168" s="36"/>
      <c r="M4168" s="36"/>
      <c r="N4168" s="36"/>
      <c r="O4168" s="36"/>
      <c r="P4168" s="36"/>
      <c r="Q4168" s="36"/>
      <c r="R4168" s="36"/>
      <c r="S4168" s="36">
        <v>400</v>
      </c>
      <c r="T4168" s="36">
        <v>400</v>
      </c>
      <c r="U4168" s="36"/>
      <c r="V4168" s="36"/>
      <c r="W4168" s="15">
        <f t="shared" ref="W4168:W4169" si="399">SUM(K4168:V4168)</f>
        <v>800</v>
      </c>
      <c r="X4168" s="36"/>
      <c r="Y4168" s="36"/>
      <c r="Z4168" s="36"/>
      <c r="AA4168" s="36"/>
      <c r="AB4168" s="36"/>
      <c r="AC4168" s="36"/>
      <c r="AD4168" s="36"/>
      <c r="AE4168" s="36"/>
      <c r="AF4168" s="36"/>
      <c r="AG4168" s="36"/>
      <c r="AH4168" s="36"/>
      <c r="AI4168" s="36"/>
      <c r="AJ4168" s="15">
        <f t="shared" ref="AJ4168:AJ4169" si="400">SUM(X4168:AI4168)</f>
        <v>0</v>
      </c>
      <c r="AK4168" s="14"/>
      <c r="AL4168" s="14"/>
      <c r="AM4168" s="14"/>
      <c r="AN4168" s="14"/>
      <c r="AO4168" s="14"/>
      <c r="AP4168" s="14"/>
      <c r="AQ4168" s="14"/>
      <c r="AR4168" s="14"/>
      <c r="AS4168" s="14"/>
      <c r="AT4168" s="14"/>
      <c r="AU4168" s="14"/>
      <c r="AV4168" s="14"/>
      <c r="AW4168" s="15"/>
      <c r="AX4168" s="16"/>
    </row>
    <row r="4169" spans="2:50" x14ac:dyDescent="0.2">
      <c r="B4169" s="7"/>
      <c r="C4169" s="8">
        <v>14467</v>
      </c>
      <c r="D4169" s="9" t="s">
        <v>404</v>
      </c>
      <c r="E4169" s="10" t="str">
        <f t="shared" si="396"/>
        <v>Rancho La Cuchilla No. 89</v>
      </c>
      <c r="F4169" s="10" t="str">
        <f t="shared" si="397"/>
        <v>Gálvez</v>
      </c>
      <c r="G4169" s="8">
        <v>1</v>
      </c>
      <c r="H4169" s="11">
        <v>400</v>
      </c>
      <c r="I4169" s="12">
        <v>42876</v>
      </c>
      <c r="J4169" s="35">
        <f t="shared" si="398"/>
        <v>0</v>
      </c>
      <c r="K4169" s="36"/>
      <c r="L4169" s="36"/>
      <c r="M4169" s="36"/>
      <c r="N4169" s="36"/>
      <c r="O4169" s="36"/>
      <c r="P4169" s="36"/>
      <c r="Q4169" s="36"/>
      <c r="R4169" s="36"/>
      <c r="S4169" s="36"/>
      <c r="T4169" s="36"/>
      <c r="U4169" s="36"/>
      <c r="V4169" s="36"/>
      <c r="W4169" s="15">
        <f t="shared" si="399"/>
        <v>0</v>
      </c>
      <c r="X4169" s="36"/>
      <c r="Y4169" s="36"/>
      <c r="Z4169" s="36"/>
      <c r="AA4169" s="36"/>
      <c r="AB4169" s="36">
        <v>400</v>
      </c>
      <c r="AC4169" s="36"/>
      <c r="AD4169" s="36"/>
      <c r="AE4169" s="36"/>
      <c r="AF4169" s="36"/>
      <c r="AG4169" s="36"/>
      <c r="AH4169" s="36"/>
      <c r="AI4169" s="36"/>
      <c r="AJ4169" s="15">
        <f t="shared" si="400"/>
        <v>400</v>
      </c>
      <c r="AK4169" s="14"/>
      <c r="AL4169" s="14"/>
      <c r="AM4169" s="14"/>
      <c r="AN4169" s="14"/>
      <c r="AO4169" s="14"/>
      <c r="AP4169" s="14"/>
      <c r="AQ4169" s="14"/>
      <c r="AR4169" s="14"/>
      <c r="AS4169" s="14"/>
      <c r="AT4169" s="14"/>
      <c r="AU4169" s="14"/>
      <c r="AV4169" s="14"/>
      <c r="AW4169" s="15"/>
      <c r="AX4169" s="16"/>
    </row>
    <row r="4170" spans="2:50" x14ac:dyDescent="0.2">
      <c r="B4170" s="7"/>
      <c r="C4170" s="8">
        <v>14468</v>
      </c>
      <c r="D4170" s="9" t="s">
        <v>922</v>
      </c>
      <c r="E4170" s="10" t="str">
        <f t="shared" ref="E4170" si="401">IF(D4170=0,"",VLOOKUP(D4170,BASE,2,FALSE))</f>
        <v>Rancho Estanzuela No. 75</v>
      </c>
      <c r="F4170" s="10" t="str">
        <f t="shared" ref="F4170" si="402">IF(D4170=0,"",VLOOKUP(D4170,BASE,3,FALSE))</f>
        <v>Candela Pons</v>
      </c>
      <c r="G4170" s="8">
        <v>1</v>
      </c>
      <c r="H4170" s="11">
        <v>500</v>
      </c>
      <c r="I4170" s="12">
        <v>42876</v>
      </c>
      <c r="J4170" s="35">
        <f t="shared" ref="J4170" si="403">IF(G4170=1,SUM(W4170,AJ4170,-H4170),0)</f>
        <v>0</v>
      </c>
      <c r="K4170" s="36"/>
      <c r="L4170" s="36"/>
      <c r="M4170" s="36"/>
      <c r="N4170" s="36"/>
      <c r="O4170" s="36"/>
      <c r="P4170" s="36"/>
      <c r="Q4170" s="36"/>
      <c r="R4170" s="36"/>
      <c r="S4170" s="36"/>
      <c r="T4170" s="36"/>
      <c r="U4170" s="36"/>
      <c r="V4170" s="36"/>
      <c r="W4170" s="15">
        <f t="shared" ref="W4170" si="404">SUM(K4170:V4170)</f>
        <v>0</v>
      </c>
      <c r="X4170" s="36"/>
      <c r="Y4170" s="36">
        <v>250</v>
      </c>
      <c r="Z4170" s="36">
        <v>250</v>
      </c>
      <c r="AA4170" s="36"/>
      <c r="AB4170" s="36"/>
      <c r="AC4170" s="36"/>
      <c r="AD4170" s="36"/>
      <c r="AE4170" s="36"/>
      <c r="AF4170" s="36"/>
      <c r="AG4170" s="36"/>
      <c r="AH4170" s="36"/>
      <c r="AI4170" s="36"/>
      <c r="AJ4170" s="15">
        <f t="shared" ref="AJ4170" si="405">SUM(X4170:AI4170)</f>
        <v>500</v>
      </c>
      <c r="AK4170" s="14"/>
      <c r="AL4170" s="14"/>
      <c r="AM4170" s="14"/>
      <c r="AN4170" s="14"/>
      <c r="AO4170" s="14"/>
      <c r="AP4170" s="14"/>
      <c r="AQ4170" s="14"/>
      <c r="AR4170" s="14"/>
      <c r="AS4170" s="14"/>
      <c r="AT4170" s="14"/>
      <c r="AU4170" s="14"/>
      <c r="AV4170" s="14"/>
      <c r="AW4170" s="15"/>
      <c r="AX4170" s="16"/>
    </row>
    <row r="4171" spans="2:50" x14ac:dyDescent="0.2">
      <c r="B4171" s="7"/>
      <c r="C4171" s="8">
        <v>14468</v>
      </c>
      <c r="D4171" s="9" t="s">
        <v>922</v>
      </c>
      <c r="E4171" s="10" t="str">
        <f t="shared" ref="E4171" si="406">IF(D4171=0,"",VLOOKUP(D4171,BASE,2,FALSE))</f>
        <v>Rancho Estanzuela No. 75</v>
      </c>
      <c r="F4171" s="10" t="str">
        <f t="shared" ref="F4171" si="407">IF(D4171=0,"",VLOOKUP(D4171,BASE,3,FALSE))</f>
        <v>Candela Pons</v>
      </c>
      <c r="G4171" s="8">
        <v>3</v>
      </c>
      <c r="H4171" s="11">
        <v>200</v>
      </c>
      <c r="I4171" s="12">
        <v>42876</v>
      </c>
      <c r="J4171" s="35">
        <f t="shared" ref="J4171" si="408">IF(G4171=1,SUM(W4171,AJ4171,-H4171),0)</f>
        <v>0</v>
      </c>
      <c r="K4171" s="36"/>
      <c r="L4171" s="36"/>
      <c r="M4171" s="36"/>
      <c r="N4171" s="36"/>
      <c r="O4171" s="36"/>
      <c r="P4171" s="36"/>
      <c r="Q4171" s="36"/>
      <c r="R4171" s="36"/>
      <c r="S4171" s="36"/>
      <c r="T4171" s="36"/>
      <c r="U4171" s="36"/>
      <c r="V4171" s="36"/>
      <c r="W4171" s="15">
        <f t="shared" ref="W4171" si="409">SUM(K4171:V4171)</f>
        <v>0</v>
      </c>
      <c r="X4171" s="36"/>
      <c r="Y4171" s="36"/>
      <c r="Z4171" s="36"/>
      <c r="AA4171" s="36"/>
      <c r="AB4171" s="36"/>
      <c r="AC4171" s="36"/>
      <c r="AD4171" s="36"/>
      <c r="AE4171" s="36"/>
      <c r="AF4171" s="36"/>
      <c r="AG4171" s="36"/>
      <c r="AH4171" s="36"/>
      <c r="AI4171" s="36"/>
      <c r="AJ4171" s="15">
        <f t="shared" ref="AJ4171" si="410">SUM(X4171:AI4171)</f>
        <v>0</v>
      </c>
      <c r="AK4171" s="14"/>
      <c r="AL4171" s="14"/>
      <c r="AM4171" s="14"/>
      <c r="AN4171" s="14"/>
      <c r="AO4171" s="14"/>
      <c r="AP4171" s="14"/>
      <c r="AQ4171" s="14"/>
      <c r="AR4171" s="14"/>
      <c r="AS4171" s="14"/>
      <c r="AT4171" s="14"/>
      <c r="AU4171" s="14"/>
      <c r="AV4171" s="14"/>
      <c r="AW4171" s="15"/>
      <c r="AX4171" s="16"/>
    </row>
    <row r="4172" spans="2:50" x14ac:dyDescent="0.2">
      <c r="B4172" s="7"/>
      <c r="C4172" s="8">
        <v>14469</v>
      </c>
      <c r="D4172" s="9" t="s">
        <v>828</v>
      </c>
      <c r="E4172" s="10" t="str">
        <f t="shared" ref="E4172" si="411">IF(D4172=0,"",VLOOKUP(D4172,BASE,2,FALSE))</f>
        <v>Rancho Upácuaro No. 130</v>
      </c>
      <c r="F4172" s="10" t="str">
        <f t="shared" ref="F4172" si="412">IF(D4172=0,"",VLOOKUP(D4172,BASE,3,FALSE))</f>
        <v>Rodríguez Álvarez</v>
      </c>
      <c r="G4172" s="8">
        <v>1</v>
      </c>
      <c r="H4172" s="11">
        <v>600</v>
      </c>
      <c r="I4172" s="12">
        <v>42876</v>
      </c>
      <c r="J4172" s="35">
        <f t="shared" ref="J4172" si="413">IF(G4172=1,SUM(W4172,AJ4172,-H4172),0)</f>
        <v>0</v>
      </c>
      <c r="K4172" s="36"/>
      <c r="L4172" s="36"/>
      <c r="M4172" s="36"/>
      <c r="N4172" s="36"/>
      <c r="O4172" s="36"/>
      <c r="P4172" s="36"/>
      <c r="Q4172" s="36"/>
      <c r="R4172" s="36"/>
      <c r="S4172" s="36"/>
      <c r="T4172" s="36"/>
      <c r="U4172" s="36"/>
      <c r="V4172" s="36"/>
      <c r="W4172" s="15">
        <f t="shared" ref="W4172" si="414">SUM(K4172:V4172)</f>
        <v>0</v>
      </c>
      <c r="X4172" s="36"/>
      <c r="Y4172" s="36"/>
      <c r="Z4172" s="36">
        <v>200</v>
      </c>
      <c r="AA4172" s="36">
        <v>200</v>
      </c>
      <c r="AB4172" s="36">
        <v>200</v>
      </c>
      <c r="AC4172" s="36"/>
      <c r="AD4172" s="36"/>
      <c r="AE4172" s="36"/>
      <c r="AF4172" s="36"/>
      <c r="AG4172" s="36"/>
      <c r="AH4172" s="36"/>
      <c r="AI4172" s="36"/>
      <c r="AJ4172" s="15">
        <f t="shared" ref="AJ4172" si="415">SUM(X4172:AI4172)</f>
        <v>600</v>
      </c>
      <c r="AK4172" s="14"/>
      <c r="AL4172" s="14"/>
      <c r="AM4172" s="14"/>
      <c r="AN4172" s="14"/>
      <c r="AO4172" s="14"/>
      <c r="AP4172" s="14"/>
      <c r="AQ4172" s="14"/>
      <c r="AR4172" s="14"/>
      <c r="AS4172" s="14"/>
      <c r="AT4172" s="14"/>
      <c r="AU4172" s="14"/>
      <c r="AV4172" s="14"/>
      <c r="AW4172" s="15"/>
      <c r="AX4172" s="16"/>
    </row>
    <row r="4173" spans="2:50" x14ac:dyDescent="0.2">
      <c r="B4173" s="7"/>
      <c r="C4173" s="8">
        <v>14470</v>
      </c>
      <c r="D4173" s="9" t="s">
        <v>112</v>
      </c>
      <c r="E4173" s="10" t="str">
        <f t="shared" ref="E4173" si="416">IF(D4173=0,"",VLOOKUP(D4173,BASE,2,FALSE))</f>
        <v>Rancho Estanzuela No. 129</v>
      </c>
      <c r="F4173" s="10" t="str">
        <f t="shared" ref="F4173" si="417">IF(D4173=0,"",VLOOKUP(D4173,BASE,3,FALSE))</f>
        <v>Sta. María Mendoza</v>
      </c>
      <c r="G4173" s="8">
        <v>1</v>
      </c>
      <c r="H4173" s="11">
        <v>250</v>
      </c>
      <c r="I4173" s="12">
        <v>42876</v>
      </c>
      <c r="J4173" s="35">
        <f t="shared" ref="J4173" si="418">IF(G4173=1,SUM(W4173,AJ4173,-H4173),0)</f>
        <v>0</v>
      </c>
      <c r="K4173" s="36"/>
      <c r="L4173" s="36"/>
      <c r="M4173" s="36"/>
      <c r="N4173" s="36"/>
      <c r="O4173" s="36"/>
      <c r="P4173" s="36"/>
      <c r="Q4173" s="36"/>
      <c r="R4173" s="36"/>
      <c r="S4173" s="36"/>
      <c r="T4173" s="36"/>
      <c r="U4173" s="36"/>
      <c r="V4173" s="36"/>
      <c r="W4173" s="15">
        <f t="shared" ref="W4173" si="419">SUM(K4173:V4173)</f>
        <v>0</v>
      </c>
      <c r="X4173" s="36"/>
      <c r="Y4173" s="36"/>
      <c r="Z4173" s="36"/>
      <c r="AA4173" s="36">
        <v>250</v>
      </c>
      <c r="AB4173" s="36"/>
      <c r="AC4173" s="36"/>
      <c r="AD4173" s="36"/>
      <c r="AE4173" s="36"/>
      <c r="AF4173" s="36"/>
      <c r="AG4173" s="36"/>
      <c r="AH4173" s="36"/>
      <c r="AI4173" s="36"/>
      <c r="AJ4173" s="15">
        <f t="shared" ref="AJ4173" si="420">SUM(X4173:AI4173)</f>
        <v>250</v>
      </c>
      <c r="AK4173" s="14"/>
      <c r="AL4173" s="14"/>
      <c r="AM4173" s="14"/>
      <c r="AN4173" s="14"/>
      <c r="AO4173" s="14"/>
      <c r="AP4173" s="14"/>
      <c r="AQ4173" s="14"/>
      <c r="AR4173" s="14"/>
      <c r="AS4173" s="14"/>
      <c r="AT4173" s="14"/>
      <c r="AU4173" s="14"/>
      <c r="AV4173" s="14"/>
      <c r="AW4173" s="15"/>
      <c r="AX4173" s="16"/>
    </row>
    <row r="4174" spans="2:50" x14ac:dyDescent="0.2">
      <c r="B4174" s="7"/>
      <c r="C4174" s="8">
        <v>14471</v>
      </c>
      <c r="D4174" s="9" t="s">
        <v>473</v>
      </c>
      <c r="E4174" s="10" t="str">
        <f t="shared" ref="E4174" si="421">IF(D4174=0,"",VLOOKUP(D4174,BASE,2,FALSE))</f>
        <v>Rancho Zinamba No. 14</v>
      </c>
      <c r="F4174" s="10" t="str">
        <f t="shared" ref="F4174" si="422">IF(D4174=0,"",VLOOKUP(D4174,BASE,3,FALSE))</f>
        <v>Gutiérrez García</v>
      </c>
      <c r="G4174" s="8">
        <v>1</v>
      </c>
      <c r="H4174" s="11">
        <v>400</v>
      </c>
      <c r="I4174" s="12">
        <v>42876</v>
      </c>
      <c r="J4174" s="35">
        <f t="shared" ref="J4174" si="423">IF(G4174=1,SUM(W4174,AJ4174,-H4174),0)</f>
        <v>0</v>
      </c>
      <c r="K4174" s="36"/>
      <c r="L4174" s="36"/>
      <c r="M4174" s="36"/>
      <c r="N4174" s="36"/>
      <c r="O4174" s="36"/>
      <c r="P4174" s="36"/>
      <c r="Q4174" s="36"/>
      <c r="R4174" s="36"/>
      <c r="S4174" s="36"/>
      <c r="T4174" s="36"/>
      <c r="U4174" s="36"/>
      <c r="V4174" s="36"/>
      <c r="W4174" s="15">
        <f t="shared" ref="W4174" si="424">SUM(K4174:V4174)</f>
        <v>0</v>
      </c>
      <c r="X4174" s="36"/>
      <c r="Y4174" s="36"/>
      <c r="Z4174" s="36"/>
      <c r="AA4174" s="36"/>
      <c r="AB4174" s="36">
        <v>400</v>
      </c>
      <c r="AC4174" s="36"/>
      <c r="AD4174" s="36"/>
      <c r="AE4174" s="36"/>
      <c r="AF4174" s="36"/>
      <c r="AG4174" s="36"/>
      <c r="AH4174" s="36"/>
      <c r="AI4174" s="36"/>
      <c r="AJ4174" s="15">
        <f t="shared" ref="AJ4174" si="425">SUM(X4174:AI4174)</f>
        <v>400</v>
      </c>
      <c r="AK4174" s="14"/>
      <c r="AL4174" s="14"/>
      <c r="AM4174" s="14"/>
      <c r="AN4174" s="14"/>
      <c r="AO4174" s="14"/>
      <c r="AP4174" s="14"/>
      <c r="AQ4174" s="14"/>
      <c r="AR4174" s="14"/>
      <c r="AS4174" s="14"/>
      <c r="AT4174" s="14"/>
      <c r="AU4174" s="14"/>
      <c r="AV4174" s="14"/>
      <c r="AW4174" s="15"/>
      <c r="AX4174" s="16"/>
    </row>
    <row r="4175" spans="2:50" x14ac:dyDescent="0.2">
      <c r="B4175" s="7"/>
      <c r="C4175" s="8">
        <v>14472</v>
      </c>
      <c r="D4175" s="9" t="s">
        <v>922</v>
      </c>
      <c r="E4175" s="10" t="str">
        <f t="shared" ref="E4175" si="426">IF(D4175=0,"",VLOOKUP(D4175,BASE,2,FALSE))</f>
        <v>Rancho Estanzuela No. 75</v>
      </c>
      <c r="F4175" s="10" t="str">
        <f t="shared" ref="F4175" si="427">IF(D4175=0,"",VLOOKUP(D4175,BASE,3,FALSE))</f>
        <v>Candela Pons</v>
      </c>
      <c r="G4175" s="8">
        <v>1</v>
      </c>
      <c r="H4175" s="11">
        <v>500</v>
      </c>
      <c r="I4175" s="12">
        <v>42876</v>
      </c>
      <c r="J4175" s="35">
        <f t="shared" ref="J4175" si="428">IF(G4175=1,SUM(W4175,AJ4175,-H4175),0)</f>
        <v>0</v>
      </c>
      <c r="K4175" s="36"/>
      <c r="L4175" s="36"/>
      <c r="M4175" s="36"/>
      <c r="N4175" s="36"/>
      <c r="O4175" s="36"/>
      <c r="P4175" s="36"/>
      <c r="Q4175" s="36"/>
      <c r="R4175" s="36"/>
      <c r="S4175" s="36"/>
      <c r="T4175" s="36"/>
      <c r="U4175" s="36"/>
      <c r="V4175" s="36"/>
      <c r="W4175" s="15">
        <f t="shared" ref="W4175" si="429">SUM(K4175:V4175)</f>
        <v>0</v>
      </c>
      <c r="X4175" s="36"/>
      <c r="Y4175" s="36"/>
      <c r="Z4175" s="36"/>
      <c r="AA4175" s="36">
        <v>250</v>
      </c>
      <c r="AB4175" s="36">
        <v>250</v>
      </c>
      <c r="AC4175" s="36"/>
      <c r="AD4175" s="36"/>
      <c r="AE4175" s="36"/>
      <c r="AF4175" s="36"/>
      <c r="AG4175" s="36"/>
      <c r="AH4175" s="36"/>
      <c r="AI4175" s="36"/>
      <c r="AJ4175" s="15">
        <f t="shared" ref="AJ4175" si="430">SUM(X4175:AI4175)</f>
        <v>500</v>
      </c>
      <c r="AK4175" s="14"/>
      <c r="AL4175" s="14"/>
      <c r="AM4175" s="14"/>
      <c r="AN4175" s="14"/>
      <c r="AO4175" s="14"/>
      <c r="AP4175" s="14"/>
      <c r="AQ4175" s="14"/>
      <c r="AR4175" s="14"/>
      <c r="AS4175" s="14"/>
      <c r="AT4175" s="14"/>
      <c r="AU4175" s="14"/>
      <c r="AV4175" s="14"/>
      <c r="AW4175" s="15"/>
      <c r="AX4175" s="16"/>
    </row>
    <row r="4176" spans="2:50" x14ac:dyDescent="0.2">
      <c r="B4176" s="7"/>
      <c r="C4176" s="8">
        <v>14473</v>
      </c>
      <c r="D4176" s="9" t="s">
        <v>425</v>
      </c>
      <c r="E4176" s="10" t="str">
        <f t="shared" si="391"/>
        <v>Rancho La Cuchilla No. 120</v>
      </c>
      <c r="F4176" s="10" t="str">
        <f t="shared" si="392"/>
        <v>Pozos Vilchis</v>
      </c>
      <c r="G4176" s="8">
        <v>1</v>
      </c>
      <c r="H4176" s="11">
        <v>400</v>
      </c>
      <c r="I4176" s="12">
        <v>42876</v>
      </c>
      <c r="J4176" s="35">
        <f t="shared" si="393"/>
        <v>0</v>
      </c>
      <c r="K4176" s="36"/>
      <c r="L4176" s="36"/>
      <c r="M4176" s="36"/>
      <c r="N4176" s="36"/>
      <c r="O4176" s="36"/>
      <c r="P4176" s="36"/>
      <c r="Q4176" s="36"/>
      <c r="R4176" s="36"/>
      <c r="S4176" s="36"/>
      <c r="T4176" s="36"/>
      <c r="U4176" s="36"/>
      <c r="V4176" s="36"/>
      <c r="W4176" s="15">
        <f t="shared" si="394"/>
        <v>0</v>
      </c>
      <c r="X4176" s="36"/>
      <c r="Y4176" s="36"/>
      <c r="Z4176" s="36"/>
      <c r="AA4176" s="36"/>
      <c r="AB4176" s="36">
        <v>400</v>
      </c>
      <c r="AC4176" s="36"/>
      <c r="AD4176" s="36"/>
      <c r="AE4176" s="36"/>
      <c r="AF4176" s="36"/>
      <c r="AG4176" s="36"/>
      <c r="AH4176" s="36"/>
      <c r="AI4176" s="36"/>
      <c r="AJ4176" s="15">
        <f t="shared" si="395"/>
        <v>400</v>
      </c>
      <c r="AK4176" s="14"/>
      <c r="AL4176" s="14"/>
      <c r="AM4176" s="14"/>
      <c r="AN4176" s="14"/>
      <c r="AO4176" s="14"/>
      <c r="AP4176" s="14"/>
      <c r="AQ4176" s="14"/>
      <c r="AR4176" s="14"/>
      <c r="AS4176" s="14"/>
      <c r="AT4176" s="14"/>
      <c r="AU4176" s="14"/>
      <c r="AV4176" s="14"/>
      <c r="AW4176" s="15"/>
      <c r="AX4176" s="16"/>
    </row>
    <row r="4177" spans="2:51" x14ac:dyDescent="0.2">
      <c r="B4177" s="7"/>
      <c r="C4177" s="8">
        <v>14474</v>
      </c>
      <c r="D4177" s="9" t="s">
        <v>1017</v>
      </c>
      <c r="E4177" s="10" t="str">
        <f t="shared" si="381"/>
        <v>Rancho Estanzuela No. 119, 3</v>
      </c>
      <c r="F4177" s="10" t="str">
        <f t="shared" si="382"/>
        <v>Montecillo</v>
      </c>
      <c r="G4177" s="8">
        <v>1</v>
      </c>
      <c r="H4177" s="11">
        <v>400</v>
      </c>
      <c r="I4177" s="12">
        <v>42876</v>
      </c>
      <c r="J4177" s="35">
        <f t="shared" si="383"/>
        <v>0</v>
      </c>
      <c r="K4177" s="36"/>
      <c r="L4177" s="36"/>
      <c r="M4177" s="36"/>
      <c r="N4177" s="36"/>
      <c r="O4177" s="36"/>
      <c r="P4177" s="36"/>
      <c r="Q4177" s="36"/>
      <c r="R4177" s="36"/>
      <c r="S4177" s="36"/>
      <c r="T4177" s="36"/>
      <c r="U4177" s="36"/>
      <c r="V4177" s="36"/>
      <c r="W4177" s="15">
        <f t="shared" si="384"/>
        <v>0</v>
      </c>
      <c r="X4177" s="36"/>
      <c r="Y4177" s="36"/>
      <c r="Z4177" s="36"/>
      <c r="AA4177" s="36">
        <v>200</v>
      </c>
      <c r="AB4177" s="36">
        <v>200</v>
      </c>
      <c r="AC4177" s="36"/>
      <c r="AD4177" s="36"/>
      <c r="AE4177" s="36"/>
      <c r="AF4177" s="36"/>
      <c r="AG4177" s="36"/>
      <c r="AH4177" s="36"/>
      <c r="AI4177" s="36"/>
      <c r="AJ4177" s="15">
        <f t="shared" si="385"/>
        <v>400</v>
      </c>
      <c r="AK4177" s="14"/>
      <c r="AL4177" s="14"/>
      <c r="AM4177" s="14"/>
      <c r="AN4177" s="14"/>
      <c r="AO4177" s="14"/>
      <c r="AP4177" s="14"/>
      <c r="AQ4177" s="14"/>
      <c r="AR4177" s="14"/>
      <c r="AS4177" s="14"/>
      <c r="AT4177" s="14"/>
      <c r="AU4177" s="14"/>
      <c r="AV4177" s="14"/>
      <c r="AW4177" s="15"/>
      <c r="AX4177" s="16"/>
    </row>
    <row r="4178" spans="2:51" x14ac:dyDescent="0.2">
      <c r="B4178" s="7"/>
      <c r="C4178" s="8">
        <v>14475</v>
      </c>
      <c r="D4178" s="9" t="s">
        <v>963</v>
      </c>
      <c r="E4178" s="10" t="str">
        <f t="shared" ref="E4178:E4189" si="431">IF(D4178=0,"",VLOOKUP(D4178,BASE,2,FALSE))</f>
        <v>Rancho La Cuchilla No. 47</v>
      </c>
      <c r="F4178" s="10" t="str">
        <f t="shared" ref="F4178:F4189" si="432">IF(D4178=0,"",VLOOKUP(D4178,BASE,3,FALSE))</f>
        <v>López</v>
      </c>
      <c r="G4178" s="8">
        <v>1</v>
      </c>
      <c r="H4178" s="11">
        <v>600</v>
      </c>
      <c r="I4178" s="12">
        <v>42876</v>
      </c>
      <c r="J4178" s="35">
        <f t="shared" ref="J4178:J4189" si="433">IF(G4178=1,SUM(W4178,AJ4178,-H4178),0)</f>
        <v>0</v>
      </c>
      <c r="K4178" s="36"/>
      <c r="L4178" s="36"/>
      <c r="M4178" s="36"/>
      <c r="N4178" s="36"/>
      <c r="O4178" s="36"/>
      <c r="P4178" s="36"/>
      <c r="Q4178" s="36"/>
      <c r="R4178" s="36"/>
      <c r="S4178" s="36"/>
      <c r="T4178" s="36"/>
      <c r="U4178" s="36"/>
      <c r="V4178" s="36"/>
      <c r="W4178" s="15">
        <f t="shared" ref="W4178:W4189" si="434">SUM(K4178:V4178)</f>
        <v>0</v>
      </c>
      <c r="X4178" s="36"/>
      <c r="Y4178" s="36"/>
      <c r="Z4178" s="36">
        <v>300</v>
      </c>
      <c r="AA4178" s="36">
        <v>300</v>
      </c>
      <c r="AB4178" s="36"/>
      <c r="AC4178" s="36"/>
      <c r="AD4178" s="36"/>
      <c r="AE4178" s="36"/>
      <c r="AF4178" s="36"/>
      <c r="AG4178" s="36"/>
      <c r="AH4178" s="36"/>
      <c r="AI4178" s="36"/>
      <c r="AJ4178" s="15">
        <f t="shared" ref="AJ4178:AJ4189" si="435">SUM(X4178:AI4178)</f>
        <v>600</v>
      </c>
      <c r="AK4178" s="14"/>
      <c r="AL4178" s="14"/>
      <c r="AM4178" s="14"/>
      <c r="AN4178" s="14"/>
      <c r="AO4178" s="14"/>
      <c r="AP4178" s="14"/>
      <c r="AQ4178" s="14"/>
      <c r="AR4178" s="14"/>
      <c r="AS4178" s="14"/>
      <c r="AT4178" s="14"/>
      <c r="AU4178" s="14"/>
      <c r="AV4178" s="14"/>
      <c r="AW4178" s="15"/>
      <c r="AX4178" s="16"/>
    </row>
    <row r="4179" spans="2:51" x14ac:dyDescent="0.2">
      <c r="B4179" s="7"/>
      <c r="C4179" s="8">
        <v>14476</v>
      </c>
      <c r="D4179" s="9" t="s">
        <v>168</v>
      </c>
      <c r="E4179" s="10" t="str">
        <f t="shared" si="431"/>
        <v>Rancho Upácuaro No. 73, A</v>
      </c>
      <c r="F4179" s="10" t="str">
        <f t="shared" si="432"/>
        <v>Ortega</v>
      </c>
      <c r="G4179" s="8">
        <v>1</v>
      </c>
      <c r="H4179" s="11">
        <v>200</v>
      </c>
      <c r="I4179" s="12">
        <v>42876</v>
      </c>
      <c r="J4179" s="35">
        <f t="shared" si="433"/>
        <v>0</v>
      </c>
      <c r="K4179" s="36"/>
      <c r="L4179" s="36"/>
      <c r="M4179" s="36"/>
      <c r="N4179" s="36"/>
      <c r="O4179" s="36"/>
      <c r="P4179" s="36"/>
      <c r="Q4179" s="36"/>
      <c r="R4179" s="36"/>
      <c r="S4179" s="36"/>
      <c r="T4179" s="36"/>
      <c r="U4179" s="36"/>
      <c r="V4179" s="36"/>
      <c r="W4179" s="15">
        <f t="shared" si="434"/>
        <v>0</v>
      </c>
      <c r="X4179" s="36"/>
      <c r="Y4179" s="36"/>
      <c r="Z4179" s="36">
        <v>200</v>
      </c>
      <c r="AA4179" s="36"/>
      <c r="AB4179" s="36"/>
      <c r="AC4179" s="36"/>
      <c r="AD4179" s="36"/>
      <c r="AE4179" s="36"/>
      <c r="AF4179" s="36"/>
      <c r="AG4179" s="36"/>
      <c r="AH4179" s="36"/>
      <c r="AI4179" s="36"/>
      <c r="AJ4179" s="15">
        <f t="shared" si="435"/>
        <v>200</v>
      </c>
      <c r="AK4179" s="14"/>
      <c r="AL4179" s="14"/>
      <c r="AM4179" s="14"/>
      <c r="AN4179" s="14"/>
      <c r="AO4179" s="14"/>
      <c r="AP4179" s="14"/>
      <c r="AQ4179" s="14"/>
      <c r="AR4179" s="14"/>
      <c r="AS4179" s="14"/>
      <c r="AT4179" s="14"/>
      <c r="AU4179" s="14"/>
      <c r="AV4179" s="14"/>
      <c r="AW4179" s="15"/>
      <c r="AX4179" s="16"/>
    </row>
    <row r="4180" spans="2:51" x14ac:dyDescent="0.2">
      <c r="B4180" s="7"/>
      <c r="C4180" s="8">
        <v>14477</v>
      </c>
      <c r="D4180" s="9" t="s">
        <v>103</v>
      </c>
      <c r="E4180" s="10" t="str">
        <f t="shared" si="431"/>
        <v>Rancho La Cuchilla No. 41</v>
      </c>
      <c r="F4180" s="10" t="str">
        <f t="shared" si="432"/>
        <v>Arriaga Lemus</v>
      </c>
      <c r="G4180" s="8">
        <v>1</v>
      </c>
      <c r="H4180" s="11">
        <v>400</v>
      </c>
      <c r="I4180" s="12">
        <v>42876</v>
      </c>
      <c r="J4180" s="35">
        <f t="shared" si="433"/>
        <v>0</v>
      </c>
      <c r="K4180" s="36"/>
      <c r="L4180" s="36"/>
      <c r="M4180" s="36"/>
      <c r="N4180" s="36"/>
      <c r="O4180" s="36"/>
      <c r="P4180" s="36"/>
      <c r="Q4180" s="36"/>
      <c r="R4180" s="36"/>
      <c r="S4180" s="36"/>
      <c r="T4180" s="36"/>
      <c r="U4180" s="36"/>
      <c r="V4180" s="36"/>
      <c r="W4180" s="15">
        <f t="shared" si="434"/>
        <v>0</v>
      </c>
      <c r="X4180" s="36"/>
      <c r="Y4180" s="36"/>
      <c r="Z4180" s="36"/>
      <c r="AA4180" s="36"/>
      <c r="AB4180" s="36">
        <v>400</v>
      </c>
      <c r="AC4180" s="36"/>
      <c r="AD4180" s="36"/>
      <c r="AE4180" s="36"/>
      <c r="AF4180" s="36"/>
      <c r="AG4180" s="36"/>
      <c r="AH4180" s="36"/>
      <c r="AI4180" s="36"/>
      <c r="AJ4180" s="15">
        <f t="shared" si="435"/>
        <v>400</v>
      </c>
      <c r="AK4180" s="14"/>
      <c r="AL4180" s="14"/>
      <c r="AM4180" s="14"/>
      <c r="AN4180" s="14"/>
      <c r="AO4180" s="14"/>
      <c r="AP4180" s="14"/>
      <c r="AQ4180" s="14"/>
      <c r="AR4180" s="14"/>
      <c r="AS4180" s="14"/>
      <c r="AT4180" s="14"/>
      <c r="AU4180" s="14"/>
      <c r="AV4180" s="14"/>
      <c r="AW4180" s="15"/>
      <c r="AX4180" s="16"/>
    </row>
    <row r="4181" spans="2:51" x14ac:dyDescent="0.2">
      <c r="B4181" s="7"/>
      <c r="C4181" s="8">
        <v>14478</v>
      </c>
      <c r="D4181" s="9" t="s">
        <v>532</v>
      </c>
      <c r="E4181" s="10" t="str">
        <f t="shared" si="431"/>
        <v>Rancho Estanzuela No. 101</v>
      </c>
      <c r="F4181" s="10" t="str">
        <f t="shared" si="432"/>
        <v>Calderón Celis</v>
      </c>
      <c r="G4181" s="8">
        <v>3</v>
      </c>
      <c r="H4181" s="11">
        <v>200</v>
      </c>
      <c r="I4181" s="12">
        <v>42876</v>
      </c>
      <c r="J4181" s="35">
        <f t="shared" si="433"/>
        <v>0</v>
      </c>
      <c r="K4181" s="36"/>
      <c r="L4181" s="36"/>
      <c r="M4181" s="36"/>
      <c r="N4181" s="36"/>
      <c r="O4181" s="36"/>
      <c r="P4181" s="36"/>
      <c r="Q4181" s="36"/>
      <c r="R4181" s="36"/>
      <c r="S4181" s="36"/>
      <c r="T4181" s="36"/>
      <c r="U4181" s="36"/>
      <c r="V4181" s="36"/>
      <c r="W4181" s="15">
        <f t="shared" si="434"/>
        <v>0</v>
      </c>
      <c r="X4181" s="36"/>
      <c r="Y4181" s="36"/>
      <c r="Z4181" s="36"/>
      <c r="AA4181" s="36"/>
      <c r="AB4181" s="36"/>
      <c r="AC4181" s="36"/>
      <c r="AD4181" s="36"/>
      <c r="AE4181" s="36"/>
      <c r="AF4181" s="36"/>
      <c r="AG4181" s="36"/>
      <c r="AH4181" s="36"/>
      <c r="AI4181" s="36"/>
      <c r="AJ4181" s="15">
        <f t="shared" si="435"/>
        <v>0</v>
      </c>
      <c r="AK4181" s="14"/>
      <c r="AL4181" s="14"/>
      <c r="AM4181" s="14"/>
      <c r="AN4181" s="14"/>
      <c r="AO4181" s="14"/>
      <c r="AP4181" s="14"/>
      <c r="AQ4181" s="14"/>
      <c r="AR4181" s="14"/>
      <c r="AS4181" s="14"/>
      <c r="AT4181" s="14"/>
      <c r="AU4181" s="14"/>
      <c r="AV4181" s="14"/>
      <c r="AW4181" s="15"/>
      <c r="AX4181" s="16"/>
    </row>
    <row r="4182" spans="2:51" x14ac:dyDescent="0.2">
      <c r="B4182" s="7"/>
      <c r="C4182" s="8">
        <v>14478</v>
      </c>
      <c r="D4182" s="9" t="s">
        <v>532</v>
      </c>
      <c r="E4182" s="10" t="str">
        <f t="shared" si="431"/>
        <v>Rancho Estanzuela No. 101</v>
      </c>
      <c r="F4182" s="10" t="str">
        <f t="shared" si="432"/>
        <v>Calderón Celis</v>
      </c>
      <c r="G4182" s="8">
        <v>5</v>
      </c>
      <c r="H4182" s="11">
        <v>50</v>
      </c>
      <c r="I4182" s="12">
        <v>42876</v>
      </c>
      <c r="J4182" s="35">
        <f t="shared" si="433"/>
        <v>0</v>
      </c>
      <c r="K4182" s="36"/>
      <c r="L4182" s="36"/>
      <c r="M4182" s="36"/>
      <c r="N4182" s="36"/>
      <c r="O4182" s="36"/>
      <c r="P4182" s="36"/>
      <c r="Q4182" s="36"/>
      <c r="R4182" s="36"/>
      <c r="S4182" s="36"/>
      <c r="T4182" s="36"/>
      <c r="U4182" s="36"/>
      <c r="V4182" s="36"/>
      <c r="W4182" s="15">
        <f t="shared" si="434"/>
        <v>0</v>
      </c>
      <c r="X4182" s="36"/>
      <c r="Y4182" s="36"/>
      <c r="Z4182" s="36"/>
      <c r="AA4182" s="36"/>
      <c r="AB4182" s="36"/>
      <c r="AC4182" s="36"/>
      <c r="AD4182" s="36"/>
      <c r="AE4182" s="36"/>
      <c r="AF4182" s="36"/>
      <c r="AG4182" s="36"/>
      <c r="AH4182" s="36"/>
      <c r="AI4182" s="36"/>
      <c r="AJ4182" s="15">
        <f t="shared" si="435"/>
        <v>0</v>
      </c>
      <c r="AK4182" s="14"/>
      <c r="AL4182" s="14"/>
      <c r="AM4182" s="14"/>
      <c r="AN4182" s="14"/>
      <c r="AO4182" s="14"/>
      <c r="AP4182" s="14"/>
      <c r="AQ4182" s="14"/>
      <c r="AR4182" s="14"/>
      <c r="AS4182" s="14"/>
      <c r="AT4182" s="14"/>
      <c r="AU4182" s="14"/>
      <c r="AV4182" s="14"/>
      <c r="AW4182" s="15"/>
      <c r="AX4182" s="16"/>
    </row>
    <row r="4183" spans="2:51" x14ac:dyDescent="0.2">
      <c r="B4183" s="7"/>
      <c r="C4183" s="8">
        <v>14479</v>
      </c>
      <c r="D4183" s="9"/>
      <c r="E4183" s="10" t="str">
        <f t="shared" si="431"/>
        <v/>
      </c>
      <c r="F4183" s="10" t="str">
        <f t="shared" si="432"/>
        <v/>
      </c>
      <c r="G4183" s="8">
        <v>8</v>
      </c>
      <c r="H4183" s="11"/>
      <c r="I4183" s="12"/>
      <c r="J4183" s="35">
        <f t="shared" si="433"/>
        <v>0</v>
      </c>
      <c r="K4183" s="36"/>
      <c r="L4183" s="36"/>
      <c r="M4183" s="36"/>
      <c r="N4183" s="36"/>
      <c r="O4183" s="36"/>
      <c r="P4183" s="36"/>
      <c r="Q4183" s="36"/>
      <c r="R4183" s="36"/>
      <c r="S4183" s="36"/>
      <c r="T4183" s="36"/>
      <c r="U4183" s="36"/>
      <c r="V4183" s="36"/>
      <c r="W4183" s="15">
        <f t="shared" si="434"/>
        <v>0</v>
      </c>
      <c r="X4183" s="36"/>
      <c r="Y4183" s="36"/>
      <c r="Z4183" s="36"/>
      <c r="AA4183" s="36"/>
      <c r="AB4183" s="36"/>
      <c r="AC4183" s="36"/>
      <c r="AD4183" s="36"/>
      <c r="AE4183" s="36"/>
      <c r="AF4183" s="36"/>
      <c r="AG4183" s="36"/>
      <c r="AH4183" s="36"/>
      <c r="AI4183" s="36"/>
      <c r="AJ4183" s="15">
        <f t="shared" si="435"/>
        <v>0</v>
      </c>
      <c r="AK4183" s="14"/>
      <c r="AL4183" s="14"/>
      <c r="AM4183" s="14"/>
      <c r="AN4183" s="14"/>
      <c r="AO4183" s="14"/>
      <c r="AP4183" s="14"/>
      <c r="AQ4183" s="14"/>
      <c r="AR4183" s="14"/>
      <c r="AS4183" s="14"/>
      <c r="AT4183" s="14"/>
      <c r="AU4183" s="14"/>
      <c r="AV4183" s="14"/>
      <c r="AW4183" s="15"/>
      <c r="AX4183" s="16"/>
    </row>
    <row r="4184" spans="2:51" x14ac:dyDescent="0.2">
      <c r="B4184" s="7"/>
      <c r="C4184" s="8">
        <v>14480</v>
      </c>
      <c r="D4184" s="9" t="s">
        <v>256</v>
      </c>
      <c r="E4184" s="10" t="str">
        <f t="shared" si="431"/>
        <v>Rancho Recoveco No. 179</v>
      </c>
      <c r="F4184" s="10" t="str">
        <f t="shared" si="432"/>
        <v>Flores Delgado</v>
      </c>
      <c r="G4184" s="8">
        <v>7</v>
      </c>
      <c r="H4184" s="11">
        <v>100</v>
      </c>
      <c r="I4184" s="12">
        <v>42876</v>
      </c>
      <c r="J4184" s="35">
        <f t="shared" si="433"/>
        <v>0</v>
      </c>
      <c r="K4184" s="36"/>
      <c r="L4184" s="36"/>
      <c r="M4184" s="36"/>
      <c r="N4184" s="36"/>
      <c r="O4184" s="36"/>
      <c r="P4184" s="36"/>
      <c r="Q4184" s="36"/>
      <c r="R4184" s="36"/>
      <c r="S4184" s="36"/>
      <c r="T4184" s="36"/>
      <c r="U4184" s="36"/>
      <c r="V4184" s="36"/>
      <c r="W4184" s="15">
        <f t="shared" si="434"/>
        <v>0</v>
      </c>
      <c r="X4184" s="36"/>
      <c r="Y4184" s="36"/>
      <c r="Z4184" s="36"/>
      <c r="AA4184" s="36"/>
      <c r="AB4184" s="36"/>
      <c r="AC4184" s="36"/>
      <c r="AD4184" s="36"/>
      <c r="AE4184" s="36"/>
      <c r="AF4184" s="36"/>
      <c r="AG4184" s="36"/>
      <c r="AH4184" s="36"/>
      <c r="AI4184" s="36"/>
      <c r="AJ4184" s="15">
        <f t="shared" si="435"/>
        <v>0</v>
      </c>
      <c r="AK4184" s="14"/>
      <c r="AL4184" s="14"/>
      <c r="AM4184" s="14"/>
      <c r="AN4184" s="14"/>
      <c r="AO4184" s="14"/>
      <c r="AP4184" s="14"/>
      <c r="AQ4184" s="14"/>
      <c r="AR4184" s="14"/>
      <c r="AS4184" s="14"/>
      <c r="AT4184" s="14"/>
      <c r="AU4184" s="14"/>
      <c r="AV4184" s="14"/>
      <c r="AW4184" s="15"/>
      <c r="AX4184" s="16" t="s">
        <v>3858</v>
      </c>
    </row>
    <row r="4185" spans="2:51" x14ac:dyDescent="0.2">
      <c r="B4185" s="7"/>
      <c r="C4185" s="8">
        <v>14481</v>
      </c>
      <c r="D4185" s="9" t="s">
        <v>728</v>
      </c>
      <c r="E4185" s="10" t="str">
        <f t="shared" si="431"/>
        <v>Rancho Estanzuela No. 77</v>
      </c>
      <c r="F4185" s="10" t="str">
        <f t="shared" si="432"/>
        <v>De la Rosa Rico</v>
      </c>
      <c r="G4185" s="8">
        <v>1</v>
      </c>
      <c r="H4185" s="11">
        <v>800</v>
      </c>
      <c r="I4185" s="12">
        <v>42876</v>
      </c>
      <c r="J4185" s="35">
        <f t="shared" si="433"/>
        <v>0</v>
      </c>
      <c r="K4185" s="36"/>
      <c r="L4185" s="36"/>
      <c r="M4185" s="36"/>
      <c r="N4185" s="36"/>
      <c r="O4185" s="36"/>
      <c r="P4185" s="36"/>
      <c r="Q4185" s="36"/>
      <c r="R4185" s="36"/>
      <c r="S4185" s="36"/>
      <c r="T4185" s="36"/>
      <c r="U4185" s="36"/>
      <c r="V4185" s="36"/>
      <c r="W4185" s="15">
        <f t="shared" si="434"/>
        <v>0</v>
      </c>
      <c r="X4185" s="36"/>
      <c r="Y4185" s="36"/>
      <c r="Z4185" s="36">
        <v>400</v>
      </c>
      <c r="AA4185" s="36">
        <v>400</v>
      </c>
      <c r="AB4185" s="36"/>
      <c r="AC4185" s="36"/>
      <c r="AD4185" s="36"/>
      <c r="AE4185" s="36"/>
      <c r="AF4185" s="36"/>
      <c r="AG4185" s="36"/>
      <c r="AH4185" s="36"/>
      <c r="AI4185" s="36"/>
      <c r="AJ4185" s="15">
        <f t="shared" si="435"/>
        <v>800</v>
      </c>
      <c r="AK4185" s="14"/>
      <c r="AL4185" s="14"/>
      <c r="AM4185" s="14"/>
      <c r="AN4185" s="14"/>
      <c r="AO4185" s="14"/>
      <c r="AP4185" s="14"/>
      <c r="AQ4185" s="14"/>
      <c r="AR4185" s="14"/>
      <c r="AS4185" s="14"/>
      <c r="AT4185" s="14"/>
      <c r="AU4185" s="14"/>
      <c r="AV4185" s="14"/>
      <c r="AW4185" s="15"/>
      <c r="AX4185" s="16"/>
    </row>
    <row r="4186" spans="2:51" x14ac:dyDescent="0.2">
      <c r="B4186" s="7"/>
      <c r="C4186" s="8">
        <v>14482</v>
      </c>
      <c r="D4186" s="9" t="s">
        <v>893</v>
      </c>
      <c r="E4186" s="10" t="str">
        <f t="shared" si="431"/>
        <v>Rancho Upácuaro No. 136</v>
      </c>
      <c r="F4186" s="10" t="str">
        <f t="shared" si="432"/>
        <v>López Lena</v>
      </c>
      <c r="G4186" s="8">
        <v>1</v>
      </c>
      <c r="H4186" s="11">
        <v>300</v>
      </c>
      <c r="I4186" s="12">
        <v>42876</v>
      </c>
      <c r="J4186" s="35">
        <f t="shared" si="433"/>
        <v>0</v>
      </c>
      <c r="K4186" s="36"/>
      <c r="L4186" s="36"/>
      <c r="M4186" s="36"/>
      <c r="N4186" s="36"/>
      <c r="O4186" s="36"/>
      <c r="P4186" s="36"/>
      <c r="Q4186" s="36"/>
      <c r="R4186" s="36"/>
      <c r="S4186" s="36"/>
      <c r="T4186" s="36"/>
      <c r="U4186" s="36"/>
      <c r="V4186" s="36"/>
      <c r="W4186" s="15">
        <f t="shared" si="434"/>
        <v>0</v>
      </c>
      <c r="X4186" s="36"/>
      <c r="Y4186" s="36"/>
      <c r="Z4186" s="36"/>
      <c r="AA4186" s="36"/>
      <c r="AB4186" s="36">
        <v>300</v>
      </c>
      <c r="AC4186" s="36"/>
      <c r="AD4186" s="36"/>
      <c r="AE4186" s="36"/>
      <c r="AF4186" s="36"/>
      <c r="AG4186" s="36"/>
      <c r="AH4186" s="36"/>
      <c r="AI4186" s="36"/>
      <c r="AJ4186" s="15">
        <f t="shared" si="435"/>
        <v>300</v>
      </c>
      <c r="AK4186" s="14"/>
      <c r="AL4186" s="14"/>
      <c r="AM4186" s="14"/>
      <c r="AN4186" s="14"/>
      <c r="AO4186" s="14"/>
      <c r="AP4186" s="14"/>
      <c r="AQ4186" s="14"/>
      <c r="AR4186" s="14"/>
      <c r="AS4186" s="14"/>
      <c r="AT4186" s="14"/>
      <c r="AU4186" s="14"/>
      <c r="AV4186" s="14"/>
      <c r="AW4186" s="15"/>
      <c r="AX4186" s="16"/>
    </row>
    <row r="4187" spans="2:51" x14ac:dyDescent="0.2">
      <c r="B4187" s="7"/>
      <c r="C4187" s="8">
        <v>14483</v>
      </c>
      <c r="D4187" s="9" t="s">
        <v>547</v>
      </c>
      <c r="E4187" s="10" t="str">
        <f t="shared" si="431"/>
        <v>Rancho Zinamba No. 72</v>
      </c>
      <c r="F4187" s="10" t="str">
        <f t="shared" si="432"/>
        <v>Romo de Vivar</v>
      </c>
      <c r="G4187" s="8">
        <v>1</v>
      </c>
      <c r="H4187" s="11">
        <v>400</v>
      </c>
      <c r="I4187" s="12">
        <v>42876</v>
      </c>
      <c r="J4187" s="35">
        <f t="shared" si="433"/>
        <v>0</v>
      </c>
      <c r="K4187" s="36"/>
      <c r="L4187" s="36"/>
      <c r="M4187" s="36"/>
      <c r="N4187" s="36"/>
      <c r="O4187" s="36"/>
      <c r="P4187" s="36"/>
      <c r="Q4187" s="36"/>
      <c r="R4187" s="36"/>
      <c r="S4187" s="36"/>
      <c r="T4187" s="36"/>
      <c r="U4187" s="36"/>
      <c r="V4187" s="36"/>
      <c r="W4187" s="15">
        <f t="shared" si="434"/>
        <v>0</v>
      </c>
      <c r="X4187" s="36"/>
      <c r="Y4187" s="36"/>
      <c r="Z4187" s="36">
        <v>200</v>
      </c>
      <c r="AA4187" s="36">
        <v>200</v>
      </c>
      <c r="AB4187" s="36"/>
      <c r="AC4187" s="36"/>
      <c r="AD4187" s="36"/>
      <c r="AE4187" s="36"/>
      <c r="AF4187" s="36"/>
      <c r="AG4187" s="36"/>
      <c r="AH4187" s="36"/>
      <c r="AI4187" s="36"/>
      <c r="AJ4187" s="15">
        <f t="shared" si="435"/>
        <v>400</v>
      </c>
      <c r="AK4187" s="14"/>
      <c r="AL4187" s="14"/>
      <c r="AM4187" s="14"/>
      <c r="AN4187" s="14"/>
      <c r="AO4187" s="14"/>
      <c r="AP4187" s="14"/>
      <c r="AQ4187" s="14"/>
      <c r="AR4187" s="14"/>
      <c r="AS4187" s="14"/>
      <c r="AT4187" s="14"/>
      <c r="AU4187" s="14"/>
      <c r="AV4187" s="14"/>
      <c r="AW4187" s="15"/>
      <c r="AX4187" s="16"/>
    </row>
    <row r="4188" spans="2:51" x14ac:dyDescent="0.2">
      <c r="B4188" s="7"/>
      <c r="C4188" s="8">
        <v>14484</v>
      </c>
      <c r="D4188" s="9" t="s">
        <v>823</v>
      </c>
      <c r="E4188" s="10" t="str">
        <f t="shared" si="431"/>
        <v>Rancho La Cuchilla No. 122</v>
      </c>
      <c r="F4188" s="10" t="str">
        <f t="shared" si="432"/>
        <v>Mendoza</v>
      </c>
      <c r="G4188" s="8">
        <v>1</v>
      </c>
      <c r="H4188" s="11">
        <v>400</v>
      </c>
      <c r="I4188" s="12">
        <v>42876</v>
      </c>
      <c r="J4188" s="35">
        <f t="shared" si="433"/>
        <v>0</v>
      </c>
      <c r="K4188" s="36"/>
      <c r="L4188" s="36"/>
      <c r="M4188" s="36"/>
      <c r="N4188" s="36"/>
      <c r="O4188" s="36"/>
      <c r="P4188" s="36"/>
      <c r="Q4188" s="36"/>
      <c r="R4188" s="36"/>
      <c r="S4188" s="36"/>
      <c r="T4188" s="36"/>
      <c r="U4188" s="36"/>
      <c r="V4188" s="36"/>
      <c r="W4188" s="15">
        <f t="shared" si="434"/>
        <v>0</v>
      </c>
      <c r="X4188" s="36"/>
      <c r="Y4188" s="36"/>
      <c r="Z4188" s="36"/>
      <c r="AA4188" s="36">
        <v>200</v>
      </c>
      <c r="AB4188" s="36">
        <v>200</v>
      </c>
      <c r="AC4188" s="36"/>
      <c r="AD4188" s="36"/>
      <c r="AE4188" s="36"/>
      <c r="AF4188" s="36"/>
      <c r="AG4188" s="36"/>
      <c r="AH4188" s="36"/>
      <c r="AI4188" s="36"/>
      <c r="AJ4188" s="15">
        <f t="shared" si="435"/>
        <v>400</v>
      </c>
      <c r="AK4188" s="14"/>
      <c r="AL4188" s="14"/>
      <c r="AM4188" s="14"/>
      <c r="AN4188" s="14"/>
      <c r="AO4188" s="14"/>
      <c r="AP4188" s="14"/>
      <c r="AQ4188" s="14"/>
      <c r="AR4188" s="14"/>
      <c r="AS4188" s="14"/>
      <c r="AT4188" s="14"/>
      <c r="AU4188" s="14"/>
      <c r="AV4188" s="14"/>
      <c r="AW4188" s="15"/>
      <c r="AX4188" s="16"/>
    </row>
    <row r="4189" spans="2:51" x14ac:dyDescent="0.2">
      <c r="B4189" s="7"/>
      <c r="C4189" s="8">
        <v>14485</v>
      </c>
      <c r="D4189" s="9" t="s">
        <v>497</v>
      </c>
      <c r="E4189" s="10" t="str">
        <f t="shared" si="431"/>
        <v>Rancho La Cuchilla No. 94</v>
      </c>
      <c r="F4189" s="10" t="str">
        <f t="shared" si="432"/>
        <v>Sánchez Márquez</v>
      </c>
      <c r="G4189" s="8">
        <v>1</v>
      </c>
      <c r="H4189" s="11">
        <v>800</v>
      </c>
      <c r="I4189" s="12">
        <v>42876</v>
      </c>
      <c r="J4189" s="35">
        <f t="shared" si="433"/>
        <v>0</v>
      </c>
      <c r="K4189" s="36"/>
      <c r="L4189" s="36"/>
      <c r="M4189" s="36"/>
      <c r="N4189" s="36"/>
      <c r="O4189" s="36"/>
      <c r="P4189" s="36"/>
      <c r="Q4189" s="36"/>
      <c r="R4189" s="36"/>
      <c r="S4189" s="36"/>
      <c r="T4189" s="36"/>
      <c r="U4189" s="36"/>
      <c r="V4189" s="36"/>
      <c r="W4189" s="15">
        <f t="shared" si="434"/>
        <v>0</v>
      </c>
      <c r="X4189" s="36"/>
      <c r="Y4189" s="36"/>
      <c r="Z4189" s="36"/>
      <c r="AA4189" s="36"/>
      <c r="AB4189" s="36">
        <v>400</v>
      </c>
      <c r="AC4189" s="36">
        <v>400</v>
      </c>
      <c r="AD4189" s="36"/>
      <c r="AE4189" s="36"/>
      <c r="AF4189" s="36"/>
      <c r="AG4189" s="36"/>
      <c r="AH4189" s="36"/>
      <c r="AI4189" s="36"/>
      <c r="AJ4189" s="15">
        <f t="shared" si="435"/>
        <v>800</v>
      </c>
      <c r="AK4189" s="14"/>
      <c r="AL4189" s="14"/>
      <c r="AM4189" s="14"/>
      <c r="AN4189" s="14"/>
      <c r="AO4189" s="14"/>
      <c r="AP4189" s="14"/>
      <c r="AQ4189" s="14"/>
      <c r="AR4189" s="14"/>
      <c r="AS4189" s="14"/>
      <c r="AT4189" s="14"/>
      <c r="AU4189" s="14"/>
      <c r="AV4189" s="14"/>
      <c r="AW4189" s="15"/>
      <c r="AX4189" s="16"/>
    </row>
    <row r="4190" spans="2:51" x14ac:dyDescent="0.2">
      <c r="B4190" s="7"/>
      <c r="C4190" s="8">
        <v>14486</v>
      </c>
      <c r="D4190" s="9" t="s">
        <v>791</v>
      </c>
      <c r="E4190" s="10" t="str">
        <f t="shared" si="381"/>
        <v>Rancho Upácuaro No. 116</v>
      </c>
      <c r="F4190" s="10" t="str">
        <f t="shared" si="382"/>
        <v>Zenteno</v>
      </c>
      <c r="G4190" s="8">
        <v>4</v>
      </c>
      <c r="H4190" s="11">
        <v>400</v>
      </c>
      <c r="I4190" s="12">
        <v>42876</v>
      </c>
      <c r="J4190" s="35">
        <f t="shared" si="383"/>
        <v>0</v>
      </c>
      <c r="K4190" s="36"/>
      <c r="L4190" s="36"/>
      <c r="M4190" s="36"/>
      <c r="N4190" s="36"/>
      <c r="O4190" s="36"/>
      <c r="P4190" s="36"/>
      <c r="Q4190" s="36"/>
      <c r="R4190" s="36"/>
      <c r="S4190" s="36"/>
      <c r="T4190" s="36"/>
      <c r="U4190" s="36"/>
      <c r="V4190" s="36"/>
      <c r="W4190" s="15">
        <f t="shared" si="384"/>
        <v>0</v>
      </c>
      <c r="X4190" s="36"/>
      <c r="Y4190" s="36"/>
      <c r="Z4190" s="36"/>
      <c r="AA4190" s="36"/>
      <c r="AB4190" s="36"/>
      <c r="AC4190" s="36"/>
      <c r="AD4190" s="36"/>
      <c r="AE4190" s="36"/>
      <c r="AF4190" s="36"/>
      <c r="AG4190" s="36"/>
      <c r="AH4190" s="36"/>
      <c r="AI4190" s="36"/>
      <c r="AJ4190" s="15">
        <f t="shared" si="385"/>
        <v>0</v>
      </c>
      <c r="AK4190" s="14"/>
      <c r="AL4190" s="14"/>
      <c r="AM4190" s="14"/>
      <c r="AN4190" s="14"/>
      <c r="AO4190" s="14"/>
      <c r="AP4190" s="14"/>
      <c r="AQ4190" s="14"/>
      <c r="AR4190" s="14"/>
      <c r="AS4190" s="14"/>
      <c r="AT4190" s="14"/>
      <c r="AU4190" s="14"/>
      <c r="AV4190" s="14"/>
      <c r="AW4190" s="15"/>
      <c r="AX4190" s="16" t="s">
        <v>4075</v>
      </c>
    </row>
    <row r="4191" spans="2:51" x14ac:dyDescent="0.2">
      <c r="B4191" s="7"/>
      <c r="C4191" s="8">
        <v>14486</v>
      </c>
      <c r="D4191" s="9" t="s">
        <v>791</v>
      </c>
      <c r="E4191" s="10" t="str">
        <f t="shared" si="381"/>
        <v>Rancho Upácuaro No. 116</v>
      </c>
      <c r="F4191" s="10" t="str">
        <f t="shared" si="382"/>
        <v>Zenteno</v>
      </c>
      <c r="G4191" s="8">
        <v>5</v>
      </c>
      <c r="H4191" s="11">
        <v>100</v>
      </c>
      <c r="I4191" s="12">
        <v>42876</v>
      </c>
      <c r="J4191" s="35">
        <f t="shared" si="383"/>
        <v>0</v>
      </c>
      <c r="K4191" s="36"/>
      <c r="L4191" s="36"/>
      <c r="M4191" s="36"/>
      <c r="N4191" s="36"/>
      <c r="O4191" s="36"/>
      <c r="P4191" s="36"/>
      <c r="Q4191" s="36"/>
      <c r="R4191" s="36"/>
      <c r="S4191" s="36"/>
      <c r="T4191" s="36"/>
      <c r="U4191" s="36"/>
      <c r="V4191" s="36"/>
      <c r="W4191" s="15">
        <f t="shared" si="384"/>
        <v>0</v>
      </c>
      <c r="X4191" s="36"/>
      <c r="Y4191" s="36"/>
      <c r="Z4191" s="36"/>
      <c r="AA4191" s="36"/>
      <c r="AB4191" s="36"/>
      <c r="AC4191" s="36"/>
      <c r="AD4191" s="36"/>
      <c r="AE4191" s="36"/>
      <c r="AF4191" s="36"/>
      <c r="AG4191" s="36"/>
      <c r="AH4191" s="36"/>
      <c r="AI4191" s="36"/>
      <c r="AJ4191" s="15">
        <f t="shared" si="385"/>
        <v>0</v>
      </c>
      <c r="AK4191" s="14"/>
      <c r="AL4191" s="14"/>
      <c r="AM4191" s="14"/>
      <c r="AN4191" s="14"/>
      <c r="AO4191" s="14"/>
      <c r="AP4191" s="14"/>
      <c r="AQ4191" s="14"/>
      <c r="AR4191" s="14"/>
      <c r="AS4191" s="14"/>
      <c r="AT4191" s="14"/>
      <c r="AU4191" s="14"/>
      <c r="AV4191" s="14"/>
      <c r="AW4191" s="15"/>
      <c r="AX4191" s="16"/>
    </row>
    <row r="4192" spans="2:51" x14ac:dyDescent="0.2">
      <c r="B4192" s="7"/>
      <c r="C4192" s="8">
        <v>14487</v>
      </c>
      <c r="D4192" s="9" t="s">
        <v>458</v>
      </c>
      <c r="E4192" s="10" t="str">
        <f t="shared" si="381"/>
        <v>Rancho Estanzuela No. 143, B</v>
      </c>
      <c r="F4192" s="10" t="str">
        <f t="shared" si="382"/>
        <v>López</v>
      </c>
      <c r="G4192" s="8">
        <v>4</v>
      </c>
      <c r="H4192" s="11">
        <v>400</v>
      </c>
      <c r="I4192" s="12">
        <v>42876</v>
      </c>
      <c r="J4192" s="35">
        <f t="shared" si="383"/>
        <v>0</v>
      </c>
      <c r="K4192" s="36"/>
      <c r="L4192" s="36"/>
      <c r="M4192" s="36"/>
      <c r="N4192" s="36"/>
      <c r="O4192" s="36"/>
      <c r="P4192" s="36"/>
      <c r="Q4192" s="36"/>
      <c r="R4192" s="36"/>
      <c r="S4192" s="36"/>
      <c r="T4192" s="36"/>
      <c r="U4192" s="36"/>
      <c r="V4192" s="36"/>
      <c r="W4192" s="15">
        <f t="shared" si="384"/>
        <v>0</v>
      </c>
      <c r="X4192" s="36"/>
      <c r="Y4192" s="36"/>
      <c r="Z4192" s="36"/>
      <c r="AA4192" s="36"/>
      <c r="AB4192" s="36"/>
      <c r="AC4192" s="36"/>
      <c r="AD4192" s="36"/>
      <c r="AE4192" s="36"/>
      <c r="AF4192" s="36"/>
      <c r="AG4192" s="36"/>
      <c r="AH4192" s="36"/>
      <c r="AI4192" s="36"/>
      <c r="AJ4192" s="15">
        <f t="shared" si="385"/>
        <v>0</v>
      </c>
      <c r="AK4192" s="14"/>
      <c r="AL4192" s="14"/>
      <c r="AM4192" s="14"/>
      <c r="AN4192" s="14"/>
      <c r="AO4192" s="14"/>
      <c r="AP4192" s="14"/>
      <c r="AQ4192" s="14"/>
      <c r="AR4192" s="14"/>
      <c r="AS4192" s="14"/>
      <c r="AT4192" s="14"/>
      <c r="AU4192" s="14"/>
      <c r="AV4192" s="14"/>
      <c r="AW4192" s="15"/>
      <c r="AX4192" s="16" t="s">
        <v>4076</v>
      </c>
      <c r="AY4192" s="112">
        <f>SUM(H4147:H4192)</f>
        <v>19900</v>
      </c>
    </row>
    <row r="4193" spans="2:50" x14ac:dyDescent="0.2">
      <c r="B4193" s="7"/>
      <c r="C4193" s="8">
        <v>14488</v>
      </c>
      <c r="D4193" s="9" t="s">
        <v>1119</v>
      </c>
      <c r="E4193" s="10" t="str">
        <f t="shared" si="381"/>
        <v>Calzada del Hueso No. 840_2</v>
      </c>
      <c r="F4193" s="10" t="str">
        <f t="shared" si="382"/>
        <v>Moto Space</v>
      </c>
      <c r="G4193" s="8">
        <v>1</v>
      </c>
      <c r="H4193" s="315">
        <v>450</v>
      </c>
      <c r="I4193" s="12">
        <v>42879</v>
      </c>
      <c r="J4193" s="35">
        <f t="shared" si="383"/>
        <v>0</v>
      </c>
      <c r="K4193" s="36"/>
      <c r="L4193" s="36"/>
      <c r="M4193" s="36"/>
      <c r="N4193" s="36"/>
      <c r="O4193" s="36"/>
      <c r="P4193" s="36"/>
      <c r="Q4193" s="36"/>
      <c r="R4193" s="36"/>
      <c r="S4193" s="36"/>
      <c r="T4193" s="36"/>
      <c r="U4193" s="36"/>
      <c r="V4193" s="36"/>
      <c r="W4193" s="15">
        <f t="shared" si="384"/>
        <v>0</v>
      </c>
      <c r="X4193" s="36"/>
      <c r="Y4193" s="36">
        <v>150</v>
      </c>
      <c r="Z4193" s="36">
        <v>150</v>
      </c>
      <c r="AA4193" s="36">
        <v>150</v>
      </c>
      <c r="AB4193" s="36"/>
      <c r="AC4193" s="36"/>
      <c r="AD4193" s="36"/>
      <c r="AE4193" s="36"/>
      <c r="AF4193" s="36"/>
      <c r="AG4193" s="36"/>
      <c r="AH4193" s="36"/>
      <c r="AI4193" s="36"/>
      <c r="AJ4193" s="15">
        <f t="shared" si="385"/>
        <v>450</v>
      </c>
      <c r="AK4193" s="14"/>
      <c r="AL4193" s="14"/>
      <c r="AM4193" s="14"/>
      <c r="AN4193" s="14"/>
      <c r="AO4193" s="14"/>
      <c r="AP4193" s="14"/>
      <c r="AQ4193" s="14"/>
      <c r="AR4193" s="14"/>
      <c r="AS4193" s="14"/>
      <c r="AT4193" s="14"/>
      <c r="AU4193" s="14"/>
      <c r="AV4193" s="14"/>
      <c r="AW4193" s="15"/>
      <c r="AX4193" s="16"/>
    </row>
    <row r="4194" spans="2:50" x14ac:dyDescent="0.2">
      <c r="B4194" s="7"/>
      <c r="C4194" s="8">
        <v>14489</v>
      </c>
      <c r="D4194" s="9" t="s">
        <v>298</v>
      </c>
      <c r="E4194" s="10" t="str">
        <f t="shared" ref="E4194:E4228" si="436">IF(D4194=0,"",VLOOKUP(D4194,BASE,2,FALSE))</f>
        <v>Rancho Landero No. 94</v>
      </c>
      <c r="F4194" s="10" t="str">
        <f t="shared" ref="F4194:F4228" si="437">IF(D4194=0,"",VLOOKUP(D4194,BASE,3,FALSE))</f>
        <v>Medina</v>
      </c>
      <c r="G4194" s="8">
        <v>1</v>
      </c>
      <c r="H4194" s="11">
        <v>300</v>
      </c>
      <c r="I4194" s="12">
        <v>42879</v>
      </c>
      <c r="J4194" s="35">
        <f t="shared" ref="J4194:J4228" si="438">IF(G4194=1,SUM(W4194,AJ4194,-H4194),0)</f>
        <v>0</v>
      </c>
      <c r="K4194" s="36"/>
      <c r="L4194" s="36"/>
      <c r="M4194" s="36"/>
      <c r="N4194" s="36"/>
      <c r="O4194" s="36"/>
      <c r="P4194" s="36"/>
      <c r="Q4194" s="36"/>
      <c r="R4194" s="36"/>
      <c r="S4194" s="36"/>
      <c r="T4194" s="36"/>
      <c r="U4194" s="36"/>
      <c r="V4194" s="36"/>
      <c r="W4194" s="15">
        <f t="shared" ref="W4194:W4228" si="439">SUM(K4194:V4194)</f>
        <v>0</v>
      </c>
      <c r="X4194" s="36"/>
      <c r="Y4194" s="36"/>
      <c r="Z4194" s="36">
        <v>150</v>
      </c>
      <c r="AA4194" s="36">
        <v>150</v>
      </c>
      <c r="AB4194" s="36"/>
      <c r="AC4194" s="36"/>
      <c r="AD4194" s="36"/>
      <c r="AE4194" s="36"/>
      <c r="AF4194" s="36"/>
      <c r="AG4194" s="36"/>
      <c r="AH4194" s="36"/>
      <c r="AI4194" s="36"/>
      <c r="AJ4194" s="15">
        <f t="shared" ref="AJ4194:AJ4228" si="440">SUM(X4194:AI4194)</f>
        <v>300</v>
      </c>
      <c r="AK4194" s="14"/>
      <c r="AL4194" s="14"/>
      <c r="AM4194" s="14"/>
      <c r="AN4194" s="14"/>
      <c r="AO4194" s="14"/>
      <c r="AP4194" s="14"/>
      <c r="AQ4194" s="14"/>
      <c r="AR4194" s="14"/>
      <c r="AS4194" s="14"/>
      <c r="AT4194" s="14"/>
      <c r="AU4194" s="14"/>
      <c r="AV4194" s="14"/>
      <c r="AW4194" s="15"/>
      <c r="AX4194" s="16"/>
    </row>
    <row r="4195" spans="2:50" x14ac:dyDescent="0.2">
      <c r="B4195" s="7"/>
      <c r="C4195" s="8">
        <v>14490</v>
      </c>
      <c r="D4195" s="9" t="s">
        <v>38</v>
      </c>
      <c r="E4195" s="10" t="str">
        <f t="shared" si="436"/>
        <v>Rancho Landero No. 2, 3</v>
      </c>
      <c r="F4195" s="10" t="str">
        <f t="shared" si="437"/>
        <v>Pineda Laura</v>
      </c>
      <c r="G4195" s="8">
        <v>1</v>
      </c>
      <c r="H4195" s="11">
        <v>1650</v>
      </c>
      <c r="I4195" s="12">
        <v>42879</v>
      </c>
      <c r="J4195" s="35">
        <f t="shared" si="438"/>
        <v>0</v>
      </c>
      <c r="K4195" s="36"/>
      <c r="L4195" s="36"/>
      <c r="M4195" s="36"/>
      <c r="N4195" s="36"/>
      <c r="O4195" s="36"/>
      <c r="P4195" s="36"/>
      <c r="Q4195" s="36"/>
      <c r="R4195" s="36"/>
      <c r="S4195" s="36"/>
      <c r="T4195" s="36"/>
      <c r="U4195" s="36"/>
      <c r="V4195" s="36"/>
      <c r="W4195" s="15">
        <f t="shared" si="439"/>
        <v>0</v>
      </c>
      <c r="X4195" s="36">
        <v>150</v>
      </c>
      <c r="Y4195" s="36">
        <v>150</v>
      </c>
      <c r="Z4195" s="36">
        <v>150</v>
      </c>
      <c r="AA4195" s="36">
        <v>150</v>
      </c>
      <c r="AB4195" s="36">
        <v>150</v>
      </c>
      <c r="AC4195" s="36">
        <v>150</v>
      </c>
      <c r="AD4195" s="36">
        <v>150</v>
      </c>
      <c r="AE4195" s="36">
        <v>150</v>
      </c>
      <c r="AF4195" s="36">
        <v>150</v>
      </c>
      <c r="AG4195" s="36">
        <v>150</v>
      </c>
      <c r="AH4195" s="36">
        <v>150</v>
      </c>
      <c r="AI4195" s="36"/>
      <c r="AJ4195" s="15">
        <f t="shared" si="440"/>
        <v>1650</v>
      </c>
      <c r="AK4195" s="14"/>
      <c r="AL4195" s="14"/>
      <c r="AM4195" s="14"/>
      <c r="AN4195" s="14"/>
      <c r="AO4195" s="14"/>
      <c r="AP4195" s="14"/>
      <c r="AQ4195" s="14"/>
      <c r="AR4195" s="14"/>
      <c r="AS4195" s="14"/>
      <c r="AT4195" s="14"/>
      <c r="AU4195" s="14"/>
      <c r="AV4195" s="14"/>
      <c r="AW4195" s="15"/>
      <c r="AX4195" s="16" t="s">
        <v>3176</v>
      </c>
    </row>
    <row r="4196" spans="2:50" x14ac:dyDescent="0.2">
      <c r="B4196" s="7"/>
      <c r="C4196" s="8">
        <v>14490</v>
      </c>
      <c r="D4196" s="9" t="s">
        <v>38</v>
      </c>
      <c r="E4196" s="10" t="str">
        <f t="shared" si="436"/>
        <v>Rancho Landero No. 2, 3</v>
      </c>
      <c r="F4196" s="10" t="str">
        <f t="shared" si="437"/>
        <v>Pineda Laura</v>
      </c>
      <c r="G4196" s="8">
        <v>7</v>
      </c>
      <c r="H4196" s="11">
        <v>100</v>
      </c>
      <c r="I4196" s="12">
        <v>42879</v>
      </c>
      <c r="J4196" s="35">
        <f t="shared" si="438"/>
        <v>0</v>
      </c>
      <c r="K4196" s="36"/>
      <c r="L4196" s="36"/>
      <c r="M4196" s="36"/>
      <c r="N4196" s="36"/>
      <c r="O4196" s="36"/>
      <c r="P4196" s="36"/>
      <c r="Q4196" s="36"/>
      <c r="R4196" s="36"/>
      <c r="S4196" s="36"/>
      <c r="T4196" s="36"/>
      <c r="U4196" s="36"/>
      <c r="V4196" s="36"/>
      <c r="W4196" s="15">
        <f t="shared" si="439"/>
        <v>0</v>
      </c>
      <c r="X4196" s="36"/>
      <c r="Y4196" s="36"/>
      <c r="Z4196" s="36"/>
      <c r="AA4196" s="36"/>
      <c r="AB4196" s="36"/>
      <c r="AC4196" s="36"/>
      <c r="AD4196" s="36"/>
      <c r="AE4196" s="36"/>
      <c r="AF4196" s="36"/>
      <c r="AG4196" s="36"/>
      <c r="AH4196" s="36"/>
      <c r="AI4196" s="36"/>
      <c r="AJ4196" s="15">
        <f t="shared" si="440"/>
        <v>0</v>
      </c>
      <c r="AK4196" s="14"/>
      <c r="AL4196" s="14"/>
      <c r="AM4196" s="14"/>
      <c r="AN4196" s="14"/>
      <c r="AO4196" s="14"/>
      <c r="AP4196" s="14"/>
      <c r="AQ4196" s="14"/>
      <c r="AR4196" s="14"/>
      <c r="AS4196" s="14"/>
      <c r="AT4196" s="14"/>
      <c r="AU4196" s="14"/>
      <c r="AV4196" s="14"/>
      <c r="AW4196" s="15"/>
      <c r="AX4196" s="16" t="s">
        <v>3858</v>
      </c>
    </row>
    <row r="4197" spans="2:50" x14ac:dyDescent="0.2">
      <c r="B4197" s="7"/>
      <c r="C4197" s="8">
        <v>14491</v>
      </c>
      <c r="D4197" s="9" t="s">
        <v>464</v>
      </c>
      <c r="E4197" s="10" t="str">
        <f t="shared" si="436"/>
        <v>Rancho La Cuchilla No. 68</v>
      </c>
      <c r="F4197" s="10" t="str">
        <f t="shared" si="437"/>
        <v>Montesinos</v>
      </c>
      <c r="G4197" s="8">
        <v>1</v>
      </c>
      <c r="H4197" s="11">
        <v>1000</v>
      </c>
      <c r="I4197" s="12">
        <v>42879</v>
      </c>
      <c r="J4197" s="35">
        <f t="shared" si="438"/>
        <v>0</v>
      </c>
      <c r="K4197" s="36"/>
      <c r="L4197" s="36"/>
      <c r="M4197" s="36"/>
      <c r="N4197" s="36"/>
      <c r="O4197" s="36"/>
      <c r="P4197" s="36"/>
      <c r="Q4197" s="36"/>
      <c r="R4197" s="36"/>
      <c r="S4197" s="36"/>
      <c r="T4197" s="36"/>
      <c r="U4197" s="36"/>
      <c r="V4197" s="36"/>
      <c r="W4197" s="15">
        <f t="shared" si="439"/>
        <v>0</v>
      </c>
      <c r="X4197" s="36">
        <v>200</v>
      </c>
      <c r="Y4197" s="36">
        <v>200</v>
      </c>
      <c r="Z4197" s="36">
        <v>200</v>
      </c>
      <c r="AA4197" s="36">
        <v>200</v>
      </c>
      <c r="AB4197" s="36">
        <v>200</v>
      </c>
      <c r="AC4197" s="36"/>
      <c r="AD4197" s="36"/>
      <c r="AE4197" s="36"/>
      <c r="AF4197" s="36"/>
      <c r="AG4197" s="36"/>
      <c r="AH4197" s="36"/>
      <c r="AI4197" s="36"/>
      <c r="AJ4197" s="15">
        <f t="shared" si="440"/>
        <v>1000</v>
      </c>
      <c r="AK4197" s="14"/>
      <c r="AL4197" s="14"/>
      <c r="AM4197" s="14"/>
      <c r="AN4197" s="14"/>
      <c r="AO4197" s="14"/>
      <c r="AP4197" s="14"/>
      <c r="AQ4197" s="14"/>
      <c r="AR4197" s="14"/>
      <c r="AS4197" s="14"/>
      <c r="AT4197" s="14"/>
      <c r="AU4197" s="14"/>
      <c r="AV4197" s="14"/>
      <c r="AW4197" s="15"/>
      <c r="AX4197" s="16"/>
    </row>
    <row r="4198" spans="2:50" x14ac:dyDescent="0.2">
      <c r="B4198" s="7"/>
      <c r="C4198" s="8">
        <v>14492</v>
      </c>
      <c r="D4198" s="9" t="s">
        <v>464</v>
      </c>
      <c r="E4198" s="10" t="str">
        <f t="shared" si="436"/>
        <v>Rancho La Cuchilla No. 68</v>
      </c>
      <c r="F4198" s="10" t="str">
        <f t="shared" si="437"/>
        <v>Montesinos</v>
      </c>
      <c r="G4198" s="8">
        <v>7</v>
      </c>
      <c r="H4198" s="11">
        <v>100</v>
      </c>
      <c r="I4198" s="12">
        <v>42879</v>
      </c>
      <c r="J4198" s="35">
        <f t="shared" si="438"/>
        <v>0</v>
      </c>
      <c r="K4198" s="36"/>
      <c r="L4198" s="36"/>
      <c r="M4198" s="36"/>
      <c r="N4198" s="36"/>
      <c r="O4198" s="36"/>
      <c r="P4198" s="36"/>
      <c r="Q4198" s="36"/>
      <c r="R4198" s="36"/>
      <c r="S4198" s="36"/>
      <c r="T4198" s="36"/>
      <c r="U4198" s="36"/>
      <c r="V4198" s="36"/>
      <c r="W4198" s="15">
        <f t="shared" si="439"/>
        <v>0</v>
      </c>
      <c r="X4198" s="36"/>
      <c r="Y4198" s="36"/>
      <c r="Z4198" s="36"/>
      <c r="AA4198" s="36"/>
      <c r="AB4198" s="36"/>
      <c r="AC4198" s="36"/>
      <c r="AD4198" s="36"/>
      <c r="AE4198" s="36"/>
      <c r="AF4198" s="36"/>
      <c r="AG4198" s="36"/>
      <c r="AH4198" s="36"/>
      <c r="AI4198" s="36"/>
      <c r="AJ4198" s="15">
        <f t="shared" si="440"/>
        <v>0</v>
      </c>
      <c r="AK4198" s="14"/>
      <c r="AL4198" s="14"/>
      <c r="AM4198" s="14"/>
      <c r="AN4198" s="14"/>
      <c r="AO4198" s="14"/>
      <c r="AP4198" s="14"/>
      <c r="AQ4198" s="14"/>
      <c r="AR4198" s="14"/>
      <c r="AS4198" s="14"/>
      <c r="AT4198" s="14"/>
      <c r="AU4198" s="14"/>
      <c r="AV4198" s="14"/>
      <c r="AW4198" s="15"/>
      <c r="AX4198" s="16" t="s">
        <v>3858</v>
      </c>
    </row>
    <row r="4199" spans="2:50" x14ac:dyDescent="0.2">
      <c r="B4199" s="7"/>
      <c r="C4199" s="8">
        <v>14493</v>
      </c>
      <c r="D4199" s="9" t="s">
        <v>295</v>
      </c>
      <c r="E4199" s="10" t="str">
        <f t="shared" si="436"/>
        <v>Rancho Landero No. 99</v>
      </c>
      <c r="F4199" s="10" t="str">
        <f t="shared" si="437"/>
        <v>Rangel</v>
      </c>
      <c r="G4199" s="8">
        <v>1</v>
      </c>
      <c r="H4199" s="11">
        <v>300</v>
      </c>
      <c r="I4199" s="12">
        <v>42883</v>
      </c>
      <c r="J4199" s="35">
        <f t="shared" si="438"/>
        <v>0</v>
      </c>
      <c r="K4199" s="36"/>
      <c r="L4199" s="36"/>
      <c r="M4199" s="36"/>
      <c r="N4199" s="36"/>
      <c r="O4199" s="36"/>
      <c r="P4199" s="36"/>
      <c r="Q4199" s="36"/>
      <c r="R4199" s="36"/>
      <c r="S4199" s="36"/>
      <c r="T4199" s="36"/>
      <c r="U4199" s="36"/>
      <c r="V4199" s="36"/>
      <c r="W4199" s="15">
        <f t="shared" si="439"/>
        <v>0</v>
      </c>
      <c r="X4199" s="36"/>
      <c r="Y4199" s="36"/>
      <c r="Z4199" s="36"/>
      <c r="AA4199" s="36">
        <v>300</v>
      </c>
      <c r="AB4199" s="36"/>
      <c r="AC4199" s="36"/>
      <c r="AD4199" s="36"/>
      <c r="AE4199" s="36"/>
      <c r="AF4199" s="36"/>
      <c r="AG4199" s="36"/>
      <c r="AH4199" s="36"/>
      <c r="AI4199" s="36"/>
      <c r="AJ4199" s="15">
        <f t="shared" si="440"/>
        <v>300</v>
      </c>
      <c r="AK4199" s="14"/>
      <c r="AL4199" s="14"/>
      <c r="AM4199" s="14"/>
      <c r="AN4199" s="14"/>
      <c r="AO4199" s="14"/>
      <c r="AP4199" s="14"/>
      <c r="AQ4199" s="14"/>
      <c r="AR4199" s="14"/>
      <c r="AS4199" s="14"/>
      <c r="AT4199" s="14"/>
      <c r="AU4199" s="14"/>
      <c r="AV4199" s="14"/>
      <c r="AW4199" s="15"/>
      <c r="AX4199" s="16"/>
    </row>
    <row r="4200" spans="2:50" x14ac:dyDescent="0.2">
      <c r="B4200" s="7"/>
      <c r="C4200" s="8">
        <v>14493</v>
      </c>
      <c r="D4200" s="9" t="s">
        <v>295</v>
      </c>
      <c r="E4200" s="10" t="str">
        <f t="shared" si="436"/>
        <v>Rancho Landero No. 99</v>
      </c>
      <c r="F4200" s="10" t="str">
        <f t="shared" si="437"/>
        <v>Rangel</v>
      </c>
      <c r="G4200" s="8">
        <v>5</v>
      </c>
      <c r="H4200" s="11">
        <v>50</v>
      </c>
      <c r="I4200" s="12">
        <v>42883</v>
      </c>
      <c r="J4200" s="35">
        <f t="shared" si="438"/>
        <v>0</v>
      </c>
      <c r="K4200" s="36"/>
      <c r="L4200" s="36"/>
      <c r="M4200" s="36"/>
      <c r="N4200" s="36"/>
      <c r="O4200" s="36"/>
      <c r="P4200" s="36"/>
      <c r="Q4200" s="36"/>
      <c r="R4200" s="36"/>
      <c r="S4200" s="36"/>
      <c r="T4200" s="36"/>
      <c r="U4200" s="36"/>
      <c r="V4200" s="36"/>
      <c r="W4200" s="15">
        <f t="shared" si="439"/>
        <v>0</v>
      </c>
      <c r="X4200" s="36"/>
      <c r="Y4200" s="36"/>
      <c r="Z4200" s="36"/>
      <c r="AA4200" s="36"/>
      <c r="AB4200" s="36"/>
      <c r="AC4200" s="36"/>
      <c r="AD4200" s="36"/>
      <c r="AE4200" s="36"/>
      <c r="AF4200" s="36"/>
      <c r="AG4200" s="36"/>
      <c r="AH4200" s="36"/>
      <c r="AI4200" s="36"/>
      <c r="AJ4200" s="15">
        <f t="shared" si="440"/>
        <v>0</v>
      </c>
      <c r="AK4200" s="14"/>
      <c r="AL4200" s="14"/>
      <c r="AM4200" s="14"/>
      <c r="AN4200" s="14"/>
      <c r="AO4200" s="14"/>
      <c r="AP4200" s="14"/>
      <c r="AQ4200" s="14"/>
      <c r="AR4200" s="14"/>
      <c r="AS4200" s="14"/>
      <c r="AT4200" s="14"/>
      <c r="AU4200" s="14"/>
      <c r="AV4200" s="14"/>
      <c r="AW4200" s="15"/>
      <c r="AX4200" s="16"/>
    </row>
    <row r="4201" spans="2:50" x14ac:dyDescent="0.2">
      <c r="B4201" s="7"/>
      <c r="C4201" s="8">
        <v>14494</v>
      </c>
      <c r="D4201" s="9" t="s">
        <v>58</v>
      </c>
      <c r="E4201" s="10" t="str">
        <f t="shared" si="436"/>
        <v>Rancho Landero No. 19</v>
      </c>
      <c r="F4201" s="10" t="str">
        <f t="shared" si="437"/>
        <v>Becerril Amaya</v>
      </c>
      <c r="G4201" s="8">
        <v>1</v>
      </c>
      <c r="H4201" s="11">
        <v>600</v>
      </c>
      <c r="I4201" s="12">
        <v>42883</v>
      </c>
      <c r="J4201" s="35">
        <f t="shared" si="438"/>
        <v>0</v>
      </c>
      <c r="K4201" s="36"/>
      <c r="L4201" s="36"/>
      <c r="M4201" s="36"/>
      <c r="N4201" s="36"/>
      <c r="O4201" s="36"/>
      <c r="P4201" s="36"/>
      <c r="Q4201" s="36"/>
      <c r="R4201" s="36"/>
      <c r="S4201" s="36"/>
      <c r="T4201" s="36"/>
      <c r="U4201" s="36"/>
      <c r="V4201" s="36"/>
      <c r="W4201" s="15">
        <f t="shared" si="439"/>
        <v>0</v>
      </c>
      <c r="X4201" s="36"/>
      <c r="Y4201" s="36"/>
      <c r="Z4201" s="36"/>
      <c r="AA4201" s="36">
        <v>300</v>
      </c>
      <c r="AB4201" s="36">
        <v>300</v>
      </c>
      <c r="AC4201" s="36"/>
      <c r="AD4201" s="36"/>
      <c r="AE4201" s="36"/>
      <c r="AF4201" s="36"/>
      <c r="AG4201" s="36"/>
      <c r="AH4201" s="36"/>
      <c r="AI4201" s="36"/>
      <c r="AJ4201" s="15">
        <f t="shared" si="440"/>
        <v>600</v>
      </c>
      <c r="AK4201" s="14"/>
      <c r="AL4201" s="14"/>
      <c r="AM4201" s="14"/>
      <c r="AN4201" s="14"/>
      <c r="AO4201" s="14"/>
      <c r="AP4201" s="14"/>
      <c r="AQ4201" s="14"/>
      <c r="AR4201" s="14"/>
      <c r="AS4201" s="14"/>
      <c r="AT4201" s="14"/>
      <c r="AU4201" s="14"/>
      <c r="AV4201" s="14"/>
      <c r="AW4201" s="15"/>
      <c r="AX4201" s="16"/>
    </row>
    <row r="4202" spans="2:50" x14ac:dyDescent="0.2">
      <c r="B4202" s="7"/>
      <c r="C4202" s="8">
        <v>14495</v>
      </c>
      <c r="D4202" s="9" t="s">
        <v>3178</v>
      </c>
      <c r="E4202" s="10" t="str">
        <f t="shared" si="436"/>
        <v>Rancho La Cuchilla No. 103</v>
      </c>
      <c r="F4202" s="10" t="str">
        <f t="shared" si="437"/>
        <v>Bernal</v>
      </c>
      <c r="G4202" s="8">
        <v>1</v>
      </c>
      <c r="H4202" s="11">
        <v>500</v>
      </c>
      <c r="I4202" s="12">
        <v>42883</v>
      </c>
      <c r="J4202" s="35">
        <f t="shared" si="438"/>
        <v>0</v>
      </c>
      <c r="K4202" s="36"/>
      <c r="L4202" s="36"/>
      <c r="M4202" s="36"/>
      <c r="N4202" s="36"/>
      <c r="O4202" s="36"/>
      <c r="P4202" s="36"/>
      <c r="Q4202" s="36"/>
      <c r="R4202" s="36"/>
      <c r="S4202" s="36"/>
      <c r="T4202" s="36"/>
      <c r="U4202" s="36"/>
      <c r="V4202" s="36"/>
      <c r="W4202" s="15">
        <f t="shared" si="439"/>
        <v>0</v>
      </c>
      <c r="X4202" s="36"/>
      <c r="Y4202" s="36"/>
      <c r="Z4202" s="36"/>
      <c r="AA4202" s="36"/>
      <c r="AB4202" s="36"/>
      <c r="AC4202" s="36">
        <v>500</v>
      </c>
      <c r="AD4202" s="36"/>
      <c r="AE4202" s="36"/>
      <c r="AF4202" s="36"/>
      <c r="AG4202" s="36"/>
      <c r="AH4202" s="36"/>
      <c r="AI4202" s="36"/>
      <c r="AJ4202" s="15">
        <f t="shared" si="440"/>
        <v>500</v>
      </c>
      <c r="AK4202" s="14"/>
      <c r="AL4202" s="14"/>
      <c r="AM4202" s="14"/>
      <c r="AN4202" s="14"/>
      <c r="AO4202" s="14"/>
      <c r="AP4202" s="14"/>
      <c r="AQ4202" s="14"/>
      <c r="AR4202" s="14"/>
      <c r="AS4202" s="14"/>
      <c r="AT4202" s="14"/>
      <c r="AU4202" s="14"/>
      <c r="AV4202" s="14"/>
      <c r="AW4202" s="15"/>
      <c r="AX4202" s="16"/>
    </row>
    <row r="4203" spans="2:50" x14ac:dyDescent="0.2">
      <c r="B4203" s="7"/>
      <c r="C4203" s="8">
        <v>14436</v>
      </c>
      <c r="D4203" s="9" t="s">
        <v>84</v>
      </c>
      <c r="E4203" s="10" t="str">
        <f t="shared" si="436"/>
        <v>Rancho La Cuchilla No. 139</v>
      </c>
      <c r="F4203" s="10" t="str">
        <f t="shared" si="437"/>
        <v>Garcia</v>
      </c>
      <c r="G4203" s="8">
        <v>1</v>
      </c>
      <c r="H4203" s="11">
        <v>200</v>
      </c>
      <c r="I4203" s="12">
        <v>42883</v>
      </c>
      <c r="J4203" s="35">
        <f t="shared" si="438"/>
        <v>0</v>
      </c>
      <c r="K4203" s="36"/>
      <c r="L4203" s="36"/>
      <c r="M4203" s="36"/>
      <c r="N4203" s="36"/>
      <c r="O4203" s="36"/>
      <c r="P4203" s="36"/>
      <c r="Q4203" s="36"/>
      <c r="R4203" s="36"/>
      <c r="S4203" s="36"/>
      <c r="T4203" s="36"/>
      <c r="U4203" s="36"/>
      <c r="V4203" s="36"/>
      <c r="W4203" s="15">
        <f t="shared" si="439"/>
        <v>0</v>
      </c>
      <c r="X4203" s="36"/>
      <c r="Y4203" s="36"/>
      <c r="Z4203" s="36"/>
      <c r="AA4203" s="36"/>
      <c r="AB4203" s="36"/>
      <c r="AC4203" s="36">
        <v>200</v>
      </c>
      <c r="AD4203" s="36"/>
      <c r="AE4203" s="36"/>
      <c r="AF4203" s="36"/>
      <c r="AG4203" s="36"/>
      <c r="AH4203" s="36"/>
      <c r="AI4203" s="36"/>
      <c r="AJ4203" s="15">
        <f t="shared" si="440"/>
        <v>200</v>
      </c>
      <c r="AK4203" s="14"/>
      <c r="AL4203" s="14"/>
      <c r="AM4203" s="14"/>
      <c r="AN4203" s="14"/>
      <c r="AO4203" s="14"/>
      <c r="AP4203" s="14"/>
      <c r="AQ4203" s="14"/>
      <c r="AR4203" s="14"/>
      <c r="AS4203" s="14"/>
      <c r="AT4203" s="14"/>
      <c r="AU4203" s="14"/>
      <c r="AV4203" s="14"/>
      <c r="AW4203" s="15"/>
      <c r="AX4203" s="16"/>
    </row>
    <row r="4204" spans="2:50" x14ac:dyDescent="0.2">
      <c r="B4204" s="7"/>
      <c r="C4204" s="8">
        <v>14437</v>
      </c>
      <c r="D4204" s="9" t="s">
        <v>725</v>
      </c>
      <c r="E4204" s="10" t="str">
        <f t="shared" si="436"/>
        <v>Rancho Zinamba No. 34</v>
      </c>
      <c r="F4204" s="10" t="str">
        <f t="shared" si="437"/>
        <v>Torres Zavala</v>
      </c>
      <c r="G4204" s="8">
        <v>1</v>
      </c>
      <c r="H4204" s="11">
        <v>800</v>
      </c>
      <c r="I4204" s="12">
        <v>42883</v>
      </c>
      <c r="J4204" s="35">
        <f t="shared" si="438"/>
        <v>0</v>
      </c>
      <c r="K4204" s="36"/>
      <c r="L4204" s="36"/>
      <c r="M4204" s="36"/>
      <c r="N4204" s="36"/>
      <c r="O4204" s="36"/>
      <c r="P4204" s="36"/>
      <c r="Q4204" s="36"/>
      <c r="R4204" s="36"/>
      <c r="S4204" s="36"/>
      <c r="T4204" s="36"/>
      <c r="U4204" s="36"/>
      <c r="V4204" s="36"/>
      <c r="W4204" s="15">
        <f t="shared" si="439"/>
        <v>0</v>
      </c>
      <c r="X4204" s="36"/>
      <c r="Y4204" s="36"/>
      <c r="Z4204" s="36">
        <v>400</v>
      </c>
      <c r="AA4204" s="36">
        <v>400</v>
      </c>
      <c r="AB4204" s="36"/>
      <c r="AC4204" s="36"/>
      <c r="AD4204" s="36"/>
      <c r="AE4204" s="36"/>
      <c r="AF4204" s="36"/>
      <c r="AG4204" s="36"/>
      <c r="AH4204" s="36"/>
      <c r="AI4204" s="36"/>
      <c r="AJ4204" s="15">
        <f t="shared" si="440"/>
        <v>800</v>
      </c>
      <c r="AK4204" s="14"/>
      <c r="AL4204" s="14"/>
      <c r="AM4204" s="14"/>
      <c r="AN4204" s="14"/>
      <c r="AO4204" s="14"/>
      <c r="AP4204" s="14"/>
      <c r="AQ4204" s="14"/>
      <c r="AR4204" s="14"/>
      <c r="AS4204" s="14"/>
      <c r="AT4204" s="14"/>
      <c r="AU4204" s="14"/>
      <c r="AV4204" s="14"/>
      <c r="AW4204" s="15"/>
      <c r="AX4204" s="16"/>
    </row>
    <row r="4205" spans="2:50" x14ac:dyDescent="0.2">
      <c r="B4205" s="7"/>
      <c r="C4205" s="8">
        <v>14498</v>
      </c>
      <c r="D4205" s="9" t="s">
        <v>556</v>
      </c>
      <c r="E4205" s="10" t="str">
        <f t="shared" si="436"/>
        <v>Rancho Zinamba No. 26</v>
      </c>
      <c r="F4205" s="10" t="str">
        <f t="shared" si="437"/>
        <v>Ayala</v>
      </c>
      <c r="G4205" s="8">
        <v>1</v>
      </c>
      <c r="H4205" s="11">
        <v>400</v>
      </c>
      <c r="I4205" s="12">
        <v>42883</v>
      </c>
      <c r="J4205" s="35">
        <f t="shared" si="438"/>
        <v>0</v>
      </c>
      <c r="K4205" s="36"/>
      <c r="L4205" s="36"/>
      <c r="M4205" s="36"/>
      <c r="N4205" s="36"/>
      <c r="O4205" s="36"/>
      <c r="P4205" s="36"/>
      <c r="Q4205" s="36"/>
      <c r="R4205" s="36"/>
      <c r="S4205" s="36"/>
      <c r="T4205" s="36"/>
      <c r="U4205" s="36"/>
      <c r="V4205" s="36"/>
      <c r="W4205" s="15">
        <f t="shared" si="439"/>
        <v>0</v>
      </c>
      <c r="X4205" s="36"/>
      <c r="Y4205" s="36"/>
      <c r="Z4205" s="36">
        <v>400</v>
      </c>
      <c r="AA4205" s="36"/>
      <c r="AB4205" s="36"/>
      <c r="AC4205" s="36"/>
      <c r="AD4205" s="36"/>
      <c r="AE4205" s="36"/>
      <c r="AF4205" s="36"/>
      <c r="AG4205" s="36"/>
      <c r="AH4205" s="36"/>
      <c r="AI4205" s="36"/>
      <c r="AJ4205" s="15">
        <f t="shared" si="440"/>
        <v>400</v>
      </c>
      <c r="AK4205" s="14"/>
      <c r="AL4205" s="14"/>
      <c r="AM4205" s="14"/>
      <c r="AN4205" s="14"/>
      <c r="AO4205" s="14"/>
      <c r="AP4205" s="14"/>
      <c r="AQ4205" s="14"/>
      <c r="AR4205" s="14"/>
      <c r="AS4205" s="14"/>
      <c r="AT4205" s="14"/>
      <c r="AU4205" s="14"/>
      <c r="AV4205" s="14"/>
      <c r="AW4205" s="15"/>
      <c r="AX4205" s="16"/>
    </row>
    <row r="4206" spans="2:50" x14ac:dyDescent="0.2">
      <c r="B4206" s="7"/>
      <c r="C4206" s="8">
        <v>14499</v>
      </c>
      <c r="D4206" s="9" t="s">
        <v>794</v>
      </c>
      <c r="E4206" s="10" t="str">
        <f t="shared" si="436"/>
        <v>Rancho Landero No. 18</v>
      </c>
      <c r="F4206" s="10" t="str">
        <f t="shared" si="437"/>
        <v>Rosado</v>
      </c>
      <c r="G4206" s="8">
        <v>1</v>
      </c>
      <c r="H4206" s="11">
        <v>300</v>
      </c>
      <c r="I4206" s="12">
        <v>42883</v>
      </c>
      <c r="J4206" s="35">
        <f t="shared" si="438"/>
        <v>0</v>
      </c>
      <c r="K4206" s="36"/>
      <c r="L4206" s="36"/>
      <c r="M4206" s="36"/>
      <c r="N4206" s="36"/>
      <c r="O4206" s="36"/>
      <c r="P4206" s="36"/>
      <c r="Q4206" s="36"/>
      <c r="R4206" s="36"/>
      <c r="S4206" s="36"/>
      <c r="T4206" s="36"/>
      <c r="U4206" s="36"/>
      <c r="V4206" s="36"/>
      <c r="W4206" s="15">
        <f t="shared" si="439"/>
        <v>0</v>
      </c>
      <c r="X4206" s="36"/>
      <c r="Y4206" s="36"/>
      <c r="Z4206" s="36"/>
      <c r="AA4206" s="36"/>
      <c r="AB4206" s="36">
        <v>300</v>
      </c>
      <c r="AC4206" s="36"/>
      <c r="AD4206" s="36"/>
      <c r="AE4206" s="36"/>
      <c r="AF4206" s="36"/>
      <c r="AG4206" s="36"/>
      <c r="AH4206" s="36"/>
      <c r="AI4206" s="36"/>
      <c r="AJ4206" s="15">
        <f t="shared" si="440"/>
        <v>300</v>
      </c>
      <c r="AK4206" s="14"/>
      <c r="AL4206" s="14"/>
      <c r="AM4206" s="14"/>
      <c r="AN4206" s="14"/>
      <c r="AO4206" s="14"/>
      <c r="AP4206" s="14"/>
      <c r="AQ4206" s="14"/>
      <c r="AR4206" s="14"/>
      <c r="AS4206" s="14"/>
      <c r="AT4206" s="14"/>
      <c r="AU4206" s="14"/>
      <c r="AV4206" s="14"/>
      <c r="AW4206" s="15"/>
      <c r="AX4206" s="16"/>
    </row>
    <row r="4207" spans="2:50" x14ac:dyDescent="0.2">
      <c r="B4207" s="7"/>
      <c r="C4207" s="8">
        <v>14500</v>
      </c>
      <c r="D4207" s="9" t="s">
        <v>547</v>
      </c>
      <c r="E4207" s="10" t="str">
        <f t="shared" si="436"/>
        <v>Rancho Zinamba No. 72</v>
      </c>
      <c r="F4207" s="10" t="str">
        <f t="shared" si="437"/>
        <v>Romo de Vivar</v>
      </c>
      <c r="G4207" s="8">
        <v>1</v>
      </c>
      <c r="H4207" s="11">
        <v>400</v>
      </c>
      <c r="I4207" s="12">
        <v>42883</v>
      </c>
      <c r="J4207" s="35">
        <f t="shared" si="438"/>
        <v>0</v>
      </c>
      <c r="K4207" s="36"/>
      <c r="L4207" s="36"/>
      <c r="M4207" s="36"/>
      <c r="N4207" s="36"/>
      <c r="O4207" s="36"/>
      <c r="P4207" s="36"/>
      <c r="Q4207" s="36"/>
      <c r="R4207" s="36"/>
      <c r="S4207" s="36"/>
      <c r="T4207" s="36"/>
      <c r="U4207" s="36"/>
      <c r="V4207" s="36"/>
      <c r="W4207" s="15">
        <f t="shared" si="439"/>
        <v>0</v>
      </c>
      <c r="X4207" s="36">
        <v>200</v>
      </c>
      <c r="Y4207" s="36">
        <v>200</v>
      </c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15">
        <f t="shared" si="440"/>
        <v>400</v>
      </c>
      <c r="AK4207" s="14"/>
      <c r="AL4207" s="14"/>
      <c r="AM4207" s="14"/>
      <c r="AN4207" s="14"/>
      <c r="AO4207" s="14"/>
      <c r="AP4207" s="14"/>
      <c r="AQ4207" s="14"/>
      <c r="AR4207" s="14"/>
      <c r="AS4207" s="14"/>
      <c r="AT4207" s="14"/>
      <c r="AU4207" s="14"/>
      <c r="AV4207" s="14"/>
      <c r="AW4207" s="15"/>
      <c r="AX4207" s="16"/>
    </row>
    <row r="4208" spans="2:50" x14ac:dyDescent="0.2">
      <c r="B4208" s="7" t="s">
        <v>4093</v>
      </c>
      <c r="C4208" s="8">
        <v>14501</v>
      </c>
      <c r="D4208" s="9" t="s">
        <v>960</v>
      </c>
      <c r="E4208" s="10" t="str">
        <f t="shared" si="436"/>
        <v>Rancho Landero No. 28</v>
      </c>
      <c r="F4208" s="10" t="str">
        <f t="shared" si="437"/>
        <v>Hernàndez Orteales</v>
      </c>
      <c r="G4208" s="8"/>
      <c r="H4208" s="11"/>
      <c r="I4208" s="12"/>
      <c r="J4208" s="35">
        <f t="shared" si="438"/>
        <v>0</v>
      </c>
      <c r="K4208" s="36"/>
      <c r="L4208" s="36"/>
      <c r="M4208" s="36"/>
      <c r="N4208" s="36"/>
      <c r="O4208" s="36"/>
      <c r="P4208" s="36"/>
      <c r="Q4208" s="36"/>
      <c r="R4208" s="36"/>
      <c r="S4208" s="36"/>
      <c r="T4208" s="36"/>
      <c r="U4208" s="36"/>
      <c r="V4208" s="36"/>
      <c r="W4208" s="15">
        <f t="shared" si="439"/>
        <v>0</v>
      </c>
      <c r="X4208" s="36"/>
      <c r="Y4208" s="36"/>
      <c r="Z4208" s="36"/>
      <c r="AA4208" s="36"/>
      <c r="AB4208" s="36"/>
      <c r="AC4208" s="36"/>
      <c r="AD4208" s="36"/>
      <c r="AE4208" s="36"/>
      <c r="AF4208" s="36"/>
      <c r="AG4208" s="36"/>
      <c r="AH4208" s="36"/>
      <c r="AI4208" s="36"/>
      <c r="AJ4208" s="15">
        <f t="shared" si="440"/>
        <v>0</v>
      </c>
      <c r="AK4208" s="14"/>
      <c r="AL4208" s="14"/>
      <c r="AM4208" s="14"/>
      <c r="AN4208" s="14"/>
      <c r="AO4208" s="14"/>
      <c r="AP4208" s="14"/>
      <c r="AQ4208" s="14"/>
      <c r="AR4208" s="14"/>
      <c r="AS4208" s="14"/>
      <c r="AT4208" s="14"/>
      <c r="AU4208" s="14"/>
      <c r="AV4208" s="14"/>
      <c r="AW4208" s="15"/>
      <c r="AX4208" s="16"/>
    </row>
    <row r="4209" spans="2:50" x14ac:dyDescent="0.2">
      <c r="B4209" s="7"/>
      <c r="C4209" s="8">
        <v>14502</v>
      </c>
      <c r="D4209" s="9" t="s">
        <v>637</v>
      </c>
      <c r="E4209" s="10" t="str">
        <f t="shared" si="436"/>
        <v>Rancho Recoveco No. 193</v>
      </c>
      <c r="F4209" s="10" t="str">
        <f t="shared" si="437"/>
        <v>Salazar Pérez</v>
      </c>
      <c r="G4209" s="8">
        <v>1</v>
      </c>
      <c r="H4209" s="11">
        <v>400</v>
      </c>
      <c r="I4209" s="12">
        <v>42883</v>
      </c>
      <c r="J4209" s="35">
        <f t="shared" si="438"/>
        <v>0</v>
      </c>
      <c r="K4209" s="36"/>
      <c r="L4209" s="36"/>
      <c r="M4209" s="36"/>
      <c r="N4209" s="36"/>
      <c r="O4209" s="36"/>
      <c r="P4209" s="36"/>
      <c r="Q4209" s="36"/>
      <c r="R4209" s="36"/>
      <c r="S4209" s="36"/>
      <c r="T4209" s="36"/>
      <c r="U4209" s="36"/>
      <c r="V4209" s="36"/>
      <c r="W4209" s="15">
        <f t="shared" si="439"/>
        <v>0</v>
      </c>
      <c r="X4209" s="36"/>
      <c r="Y4209" s="36"/>
      <c r="Z4209" s="36"/>
      <c r="AA4209" s="36"/>
      <c r="AB4209" s="36">
        <v>400</v>
      </c>
      <c r="AC4209" s="36"/>
      <c r="AD4209" s="36"/>
      <c r="AE4209" s="36"/>
      <c r="AF4209" s="36"/>
      <c r="AG4209" s="36"/>
      <c r="AH4209" s="36"/>
      <c r="AI4209" s="36"/>
      <c r="AJ4209" s="15">
        <f t="shared" si="440"/>
        <v>400</v>
      </c>
      <c r="AK4209" s="14"/>
      <c r="AL4209" s="14"/>
      <c r="AM4209" s="14"/>
      <c r="AN4209" s="14"/>
      <c r="AO4209" s="14"/>
      <c r="AP4209" s="14"/>
      <c r="AQ4209" s="14"/>
      <c r="AR4209" s="14"/>
      <c r="AS4209" s="14"/>
      <c r="AT4209" s="14"/>
      <c r="AU4209" s="14"/>
      <c r="AV4209" s="14"/>
      <c r="AW4209" s="15"/>
      <c r="AX4209" s="16"/>
    </row>
    <row r="4210" spans="2:50" x14ac:dyDescent="0.2">
      <c r="B4210" s="7"/>
      <c r="C4210" s="8">
        <v>14503</v>
      </c>
      <c r="D4210" s="9" t="s">
        <v>112</v>
      </c>
      <c r="E4210" s="10" t="str">
        <f t="shared" si="436"/>
        <v>Rancho Estanzuela No. 129</v>
      </c>
      <c r="F4210" s="10" t="str">
        <f t="shared" si="437"/>
        <v>Sta. María Mendoza</v>
      </c>
      <c r="G4210" s="8">
        <v>1</v>
      </c>
      <c r="H4210" s="11">
        <v>250</v>
      </c>
      <c r="I4210" s="12">
        <v>42883</v>
      </c>
      <c r="J4210" s="35">
        <f t="shared" si="438"/>
        <v>0</v>
      </c>
      <c r="K4210" s="36"/>
      <c r="L4210" s="36"/>
      <c r="M4210" s="36"/>
      <c r="N4210" s="36"/>
      <c r="O4210" s="36"/>
      <c r="P4210" s="36"/>
      <c r="Q4210" s="36"/>
      <c r="R4210" s="36"/>
      <c r="S4210" s="36"/>
      <c r="T4210" s="36"/>
      <c r="U4210" s="36"/>
      <c r="V4210" s="36"/>
      <c r="W4210" s="15">
        <f t="shared" si="439"/>
        <v>0</v>
      </c>
      <c r="X4210" s="36"/>
      <c r="Y4210" s="36"/>
      <c r="Z4210" s="36"/>
      <c r="AA4210" s="36"/>
      <c r="AB4210" s="36">
        <v>250</v>
      </c>
      <c r="AC4210" s="36"/>
      <c r="AD4210" s="36"/>
      <c r="AE4210" s="36"/>
      <c r="AF4210" s="36"/>
      <c r="AG4210" s="36"/>
      <c r="AH4210" s="36"/>
      <c r="AI4210" s="36"/>
      <c r="AJ4210" s="15">
        <f t="shared" si="440"/>
        <v>250</v>
      </c>
      <c r="AK4210" s="14"/>
      <c r="AL4210" s="14"/>
      <c r="AM4210" s="14"/>
      <c r="AN4210" s="14"/>
      <c r="AO4210" s="14"/>
      <c r="AP4210" s="14"/>
      <c r="AQ4210" s="14"/>
      <c r="AR4210" s="14"/>
      <c r="AS4210" s="14"/>
      <c r="AT4210" s="14"/>
      <c r="AU4210" s="14"/>
      <c r="AV4210" s="14"/>
      <c r="AW4210" s="15"/>
      <c r="AX4210" s="16"/>
    </row>
    <row r="4211" spans="2:50" x14ac:dyDescent="0.2">
      <c r="B4211" s="7"/>
      <c r="C4211" s="8">
        <v>14504</v>
      </c>
      <c r="D4211" s="9" t="s">
        <v>634</v>
      </c>
      <c r="E4211" s="10" t="str">
        <f t="shared" si="436"/>
        <v>Rancho Upácuaro No. 19</v>
      </c>
      <c r="F4211" s="10" t="str">
        <f t="shared" si="437"/>
        <v>Peña Inclán</v>
      </c>
      <c r="G4211" s="8">
        <v>4</v>
      </c>
      <c r="H4211" s="11">
        <v>200</v>
      </c>
      <c r="I4211" s="12">
        <v>42883</v>
      </c>
      <c r="J4211" s="35">
        <f t="shared" si="438"/>
        <v>0</v>
      </c>
      <c r="K4211" s="36"/>
      <c r="L4211" s="36"/>
      <c r="M4211" s="36"/>
      <c r="N4211" s="36"/>
      <c r="O4211" s="36"/>
      <c r="P4211" s="36"/>
      <c r="Q4211" s="36"/>
      <c r="R4211" s="36"/>
      <c r="S4211" s="36"/>
      <c r="T4211" s="36"/>
      <c r="U4211" s="36"/>
      <c r="V4211" s="36"/>
      <c r="W4211" s="15">
        <f t="shared" si="439"/>
        <v>0</v>
      </c>
      <c r="X4211" s="36"/>
      <c r="Y4211" s="36"/>
      <c r="Z4211" s="36"/>
      <c r="AA4211" s="36"/>
      <c r="AB4211" s="36"/>
      <c r="AC4211" s="36"/>
      <c r="AD4211" s="36"/>
      <c r="AE4211" s="36"/>
      <c r="AF4211" s="36"/>
      <c r="AG4211" s="36"/>
      <c r="AH4211" s="36"/>
      <c r="AI4211" s="36"/>
      <c r="AJ4211" s="15">
        <f t="shared" si="440"/>
        <v>0</v>
      </c>
      <c r="AK4211" s="14"/>
      <c r="AL4211" s="14"/>
      <c r="AM4211" s="14"/>
      <c r="AN4211" s="14"/>
      <c r="AO4211" s="14"/>
      <c r="AP4211" s="14"/>
      <c r="AQ4211" s="14"/>
      <c r="AR4211" s="14"/>
      <c r="AS4211" s="14"/>
      <c r="AT4211" s="14"/>
      <c r="AU4211" s="14"/>
      <c r="AV4211" s="14"/>
      <c r="AW4211" s="15"/>
      <c r="AX4211" s="16" t="s">
        <v>4094</v>
      </c>
    </row>
    <row r="4212" spans="2:50" x14ac:dyDescent="0.2">
      <c r="B4212" s="7"/>
      <c r="C4212" s="8">
        <v>14505</v>
      </c>
      <c r="D4212" s="9" t="s">
        <v>268</v>
      </c>
      <c r="E4212" s="10" t="str">
        <f t="shared" si="436"/>
        <v>Rancho Landero No. 90</v>
      </c>
      <c r="F4212" s="10" t="str">
        <f t="shared" si="437"/>
        <v>Córdova Reséndiz</v>
      </c>
      <c r="G4212" s="8">
        <v>1</v>
      </c>
      <c r="H4212" s="11">
        <v>600</v>
      </c>
      <c r="I4212" s="12">
        <v>42883</v>
      </c>
      <c r="J4212" s="35">
        <f t="shared" si="438"/>
        <v>0</v>
      </c>
      <c r="K4212" s="36"/>
      <c r="L4212" s="36"/>
      <c r="M4212" s="36"/>
      <c r="N4212" s="36"/>
      <c r="O4212" s="36"/>
      <c r="P4212" s="36"/>
      <c r="Q4212" s="36"/>
      <c r="R4212" s="36"/>
      <c r="S4212" s="36"/>
      <c r="T4212" s="36"/>
      <c r="U4212" s="36"/>
      <c r="V4212" s="36"/>
      <c r="W4212" s="15">
        <f t="shared" si="439"/>
        <v>0</v>
      </c>
      <c r="X4212" s="36"/>
      <c r="Y4212" s="36"/>
      <c r="Z4212" s="36"/>
      <c r="AA4212" s="36"/>
      <c r="AB4212" s="36">
        <v>300</v>
      </c>
      <c r="AC4212" s="36">
        <v>300</v>
      </c>
      <c r="AD4212" s="36"/>
      <c r="AE4212" s="36"/>
      <c r="AF4212" s="36"/>
      <c r="AG4212" s="36"/>
      <c r="AH4212" s="36"/>
      <c r="AI4212" s="36"/>
      <c r="AJ4212" s="15">
        <f t="shared" si="440"/>
        <v>600</v>
      </c>
      <c r="AK4212" s="14"/>
      <c r="AL4212" s="14"/>
      <c r="AM4212" s="14"/>
      <c r="AN4212" s="14"/>
      <c r="AO4212" s="14"/>
      <c r="AP4212" s="14"/>
      <c r="AQ4212" s="14"/>
      <c r="AR4212" s="14"/>
      <c r="AS4212" s="14"/>
      <c r="AT4212" s="14"/>
      <c r="AU4212" s="14"/>
      <c r="AV4212" s="14"/>
      <c r="AW4212" s="15"/>
      <c r="AX4212" s="16"/>
    </row>
    <row r="4213" spans="2:50" x14ac:dyDescent="0.2">
      <c r="B4213" s="7"/>
      <c r="C4213" s="8">
        <v>14506</v>
      </c>
      <c r="D4213" s="9" t="s">
        <v>3852</v>
      </c>
      <c r="E4213" s="10" t="str">
        <f t="shared" si="436"/>
        <v>Rancho Estopila No. 44_2</v>
      </c>
      <c r="F4213" s="10" t="str">
        <f t="shared" si="437"/>
        <v>Blanca Herrera</v>
      </c>
      <c r="G4213" s="8">
        <v>1</v>
      </c>
      <c r="H4213" s="11">
        <v>400</v>
      </c>
      <c r="I4213" s="12">
        <v>42883</v>
      </c>
      <c r="J4213" s="35">
        <f t="shared" si="438"/>
        <v>0</v>
      </c>
      <c r="K4213" s="36"/>
      <c r="L4213" s="36"/>
      <c r="M4213" s="36"/>
      <c r="N4213" s="36"/>
      <c r="O4213" s="36"/>
      <c r="P4213" s="36"/>
      <c r="Q4213" s="36"/>
      <c r="R4213" s="36"/>
      <c r="S4213" s="36"/>
      <c r="T4213" s="36"/>
      <c r="U4213" s="36"/>
      <c r="V4213" s="36"/>
      <c r="W4213" s="15">
        <f t="shared" si="439"/>
        <v>0</v>
      </c>
      <c r="X4213" s="36"/>
      <c r="Y4213" s="36"/>
      <c r="Z4213" s="36"/>
      <c r="AA4213" s="36"/>
      <c r="AB4213" s="36">
        <v>200</v>
      </c>
      <c r="AC4213" s="36">
        <v>200</v>
      </c>
      <c r="AD4213" s="36"/>
      <c r="AE4213" s="36"/>
      <c r="AF4213" s="36"/>
      <c r="AG4213" s="36"/>
      <c r="AH4213" s="36"/>
      <c r="AI4213" s="36"/>
      <c r="AJ4213" s="15">
        <f t="shared" si="440"/>
        <v>400</v>
      </c>
      <c r="AK4213" s="14"/>
      <c r="AL4213" s="14"/>
      <c r="AM4213" s="14"/>
      <c r="AN4213" s="14"/>
      <c r="AO4213" s="14"/>
      <c r="AP4213" s="14"/>
      <c r="AQ4213" s="14"/>
      <c r="AR4213" s="14"/>
      <c r="AS4213" s="14"/>
      <c r="AT4213" s="14"/>
      <c r="AU4213" s="14"/>
      <c r="AV4213" s="14"/>
      <c r="AW4213" s="15"/>
      <c r="AX4213" s="16"/>
    </row>
    <row r="4214" spans="2:50" x14ac:dyDescent="0.2">
      <c r="B4214" s="7"/>
      <c r="C4214" s="8">
        <v>14507</v>
      </c>
      <c r="D4214" s="9" t="s">
        <v>235</v>
      </c>
      <c r="E4214" s="10" t="str">
        <f t="shared" si="436"/>
        <v>Rancho La Cuchilla No. 43, A</v>
      </c>
      <c r="F4214" s="10" t="str">
        <f t="shared" si="437"/>
        <v>De la Rosa</v>
      </c>
      <c r="G4214" s="8">
        <v>1</v>
      </c>
      <c r="H4214" s="11">
        <v>400</v>
      </c>
      <c r="I4214" s="12">
        <v>42883</v>
      </c>
      <c r="J4214" s="35">
        <f t="shared" si="438"/>
        <v>0</v>
      </c>
      <c r="K4214" s="36"/>
      <c r="L4214" s="36"/>
      <c r="M4214" s="36"/>
      <c r="N4214" s="36"/>
      <c r="O4214" s="36"/>
      <c r="P4214" s="36"/>
      <c r="Q4214" s="36"/>
      <c r="R4214" s="36"/>
      <c r="S4214" s="36"/>
      <c r="T4214" s="36"/>
      <c r="U4214" s="36"/>
      <c r="V4214" s="36"/>
      <c r="W4214" s="15">
        <f t="shared" si="439"/>
        <v>0</v>
      </c>
      <c r="X4214" s="36"/>
      <c r="Y4214" s="36"/>
      <c r="Z4214" s="36"/>
      <c r="AA4214" s="36"/>
      <c r="AB4214" s="36">
        <v>400</v>
      </c>
      <c r="AC4214" s="36"/>
      <c r="AD4214" s="36"/>
      <c r="AE4214" s="36"/>
      <c r="AF4214" s="36"/>
      <c r="AG4214" s="36"/>
      <c r="AH4214" s="36"/>
      <c r="AI4214" s="36"/>
      <c r="AJ4214" s="15">
        <f t="shared" si="440"/>
        <v>400</v>
      </c>
      <c r="AK4214" s="14"/>
      <c r="AL4214" s="14"/>
      <c r="AM4214" s="14"/>
      <c r="AN4214" s="14"/>
      <c r="AO4214" s="14"/>
      <c r="AP4214" s="14"/>
      <c r="AQ4214" s="14"/>
      <c r="AR4214" s="14"/>
      <c r="AS4214" s="14"/>
      <c r="AT4214" s="14"/>
      <c r="AU4214" s="14"/>
      <c r="AV4214" s="14"/>
      <c r="AW4214" s="15"/>
      <c r="AX4214" s="16"/>
    </row>
    <row r="4215" spans="2:50" x14ac:dyDescent="0.2">
      <c r="B4215" s="7"/>
      <c r="C4215" s="8">
        <v>14508</v>
      </c>
      <c r="D4215" s="9" t="s">
        <v>803</v>
      </c>
      <c r="E4215" s="10" t="str">
        <f t="shared" si="436"/>
        <v>Rancho La Cuchilla No. 36</v>
      </c>
      <c r="F4215" s="10" t="str">
        <f t="shared" si="437"/>
        <v>Castillo</v>
      </c>
      <c r="G4215" s="8">
        <v>1</v>
      </c>
      <c r="H4215" s="11">
        <v>1200</v>
      </c>
      <c r="I4215" s="12">
        <v>42883</v>
      </c>
      <c r="J4215" s="35">
        <f t="shared" si="438"/>
        <v>0</v>
      </c>
      <c r="K4215" s="36"/>
      <c r="L4215" s="36"/>
      <c r="M4215" s="36"/>
      <c r="N4215" s="36"/>
      <c r="O4215" s="36"/>
      <c r="P4215" s="36"/>
      <c r="Q4215" s="36"/>
      <c r="R4215" s="36"/>
      <c r="S4215" s="36"/>
      <c r="T4215" s="36"/>
      <c r="U4215" s="36"/>
      <c r="V4215" s="36"/>
      <c r="W4215" s="15">
        <f t="shared" si="439"/>
        <v>0</v>
      </c>
      <c r="X4215" s="36"/>
      <c r="Y4215" s="36"/>
      <c r="Z4215" s="36">
        <v>400</v>
      </c>
      <c r="AA4215" s="36">
        <v>400</v>
      </c>
      <c r="AB4215" s="36">
        <v>400</v>
      </c>
      <c r="AC4215" s="36"/>
      <c r="AD4215" s="36"/>
      <c r="AE4215" s="36"/>
      <c r="AF4215" s="36"/>
      <c r="AG4215" s="36"/>
      <c r="AH4215" s="36"/>
      <c r="AI4215" s="36"/>
      <c r="AJ4215" s="15">
        <f t="shared" si="440"/>
        <v>1200</v>
      </c>
      <c r="AK4215" s="14"/>
      <c r="AL4215" s="14"/>
      <c r="AM4215" s="14"/>
      <c r="AN4215" s="14"/>
      <c r="AO4215" s="14"/>
      <c r="AP4215" s="14"/>
      <c r="AQ4215" s="14"/>
      <c r="AR4215" s="14"/>
      <c r="AS4215" s="14"/>
      <c r="AT4215" s="14"/>
      <c r="AU4215" s="14"/>
      <c r="AV4215" s="14"/>
      <c r="AW4215" s="15"/>
      <c r="AX4215" s="16"/>
    </row>
    <row r="4216" spans="2:50" x14ac:dyDescent="0.2">
      <c r="B4216" s="7"/>
      <c r="C4216" s="8">
        <v>14509</v>
      </c>
      <c r="D4216" s="9" t="s">
        <v>1020</v>
      </c>
      <c r="E4216" s="10" t="str">
        <f t="shared" si="436"/>
        <v>Rancho Landero No. 52</v>
      </c>
      <c r="F4216" s="10" t="str">
        <f t="shared" si="437"/>
        <v>Feregrino</v>
      </c>
      <c r="G4216" s="8">
        <v>1</v>
      </c>
      <c r="H4216" s="11">
        <v>800</v>
      </c>
      <c r="I4216" s="12">
        <v>42883</v>
      </c>
      <c r="J4216" s="35">
        <f t="shared" si="438"/>
        <v>0</v>
      </c>
      <c r="K4216" s="36"/>
      <c r="L4216" s="36"/>
      <c r="M4216" s="36"/>
      <c r="N4216" s="36"/>
      <c r="O4216" s="36"/>
      <c r="P4216" s="36"/>
      <c r="Q4216" s="36"/>
      <c r="R4216" s="36"/>
      <c r="S4216" s="36"/>
      <c r="T4216" s="36"/>
      <c r="U4216" s="36"/>
      <c r="V4216" s="36"/>
      <c r="W4216" s="15">
        <f t="shared" si="439"/>
        <v>0</v>
      </c>
      <c r="X4216" s="36"/>
      <c r="Y4216" s="36"/>
      <c r="Z4216" s="36"/>
      <c r="AA4216" s="36">
        <v>400</v>
      </c>
      <c r="AB4216" s="36">
        <v>400</v>
      </c>
      <c r="AC4216" s="36"/>
      <c r="AD4216" s="36"/>
      <c r="AE4216" s="36"/>
      <c r="AF4216" s="36"/>
      <c r="AG4216" s="36"/>
      <c r="AH4216" s="36"/>
      <c r="AI4216" s="36"/>
      <c r="AJ4216" s="15">
        <f t="shared" si="440"/>
        <v>800</v>
      </c>
      <c r="AK4216" s="14"/>
      <c r="AL4216" s="14"/>
      <c r="AM4216" s="14"/>
      <c r="AN4216" s="14"/>
      <c r="AO4216" s="14"/>
      <c r="AP4216" s="14"/>
      <c r="AQ4216" s="14"/>
      <c r="AR4216" s="14"/>
      <c r="AS4216" s="14"/>
      <c r="AT4216" s="14"/>
      <c r="AU4216" s="14"/>
      <c r="AV4216" s="14"/>
      <c r="AW4216" s="15"/>
      <c r="AX4216" s="16"/>
    </row>
    <row r="4217" spans="2:50" x14ac:dyDescent="0.2">
      <c r="B4217" s="7"/>
      <c r="C4217" s="8">
        <v>14509</v>
      </c>
      <c r="D4217" s="9" t="s">
        <v>1020</v>
      </c>
      <c r="E4217" s="10" t="str">
        <f t="shared" si="436"/>
        <v>Rancho Landero No. 52</v>
      </c>
      <c r="F4217" s="10" t="str">
        <f t="shared" si="437"/>
        <v>Feregrino</v>
      </c>
      <c r="G4217" s="8">
        <v>7</v>
      </c>
      <c r="H4217" s="11">
        <v>100</v>
      </c>
      <c r="I4217" s="12">
        <v>42883</v>
      </c>
      <c r="J4217" s="35">
        <f t="shared" si="438"/>
        <v>0</v>
      </c>
      <c r="K4217" s="36"/>
      <c r="L4217" s="36"/>
      <c r="M4217" s="36"/>
      <c r="N4217" s="36"/>
      <c r="O4217" s="36"/>
      <c r="P4217" s="36"/>
      <c r="Q4217" s="36"/>
      <c r="R4217" s="36"/>
      <c r="S4217" s="36"/>
      <c r="T4217" s="36"/>
      <c r="U4217" s="36"/>
      <c r="V4217" s="36"/>
      <c r="W4217" s="15">
        <f t="shared" si="439"/>
        <v>0</v>
      </c>
      <c r="X4217" s="36"/>
      <c r="Y4217" s="36"/>
      <c r="Z4217" s="36"/>
      <c r="AA4217" s="36"/>
      <c r="AB4217" s="36"/>
      <c r="AC4217" s="36"/>
      <c r="AD4217" s="36"/>
      <c r="AE4217" s="36"/>
      <c r="AF4217" s="36"/>
      <c r="AG4217" s="36"/>
      <c r="AH4217" s="36"/>
      <c r="AI4217" s="36"/>
      <c r="AJ4217" s="15">
        <f t="shared" si="440"/>
        <v>0</v>
      </c>
      <c r="AK4217" s="14"/>
      <c r="AL4217" s="14"/>
      <c r="AM4217" s="14"/>
      <c r="AN4217" s="14"/>
      <c r="AO4217" s="14"/>
      <c r="AP4217" s="14"/>
      <c r="AQ4217" s="14"/>
      <c r="AR4217" s="14"/>
      <c r="AS4217" s="14"/>
      <c r="AT4217" s="14"/>
      <c r="AU4217" s="14"/>
      <c r="AV4217" s="14"/>
      <c r="AW4217" s="15"/>
      <c r="AX4217" s="16" t="s">
        <v>3858</v>
      </c>
    </row>
    <row r="4218" spans="2:50" x14ac:dyDescent="0.2">
      <c r="B4218" s="7"/>
      <c r="C4218" s="8">
        <v>14510</v>
      </c>
      <c r="D4218" s="9" t="s">
        <v>401</v>
      </c>
      <c r="E4218" s="10" t="str">
        <f t="shared" si="436"/>
        <v>Rancho Landero No. 68</v>
      </c>
      <c r="F4218" s="10" t="str">
        <f t="shared" si="437"/>
        <v>Moreno</v>
      </c>
      <c r="G4218" s="8">
        <v>1</v>
      </c>
      <c r="H4218" s="11">
        <v>1600</v>
      </c>
      <c r="I4218" s="12">
        <v>42883</v>
      </c>
      <c r="J4218" s="35">
        <f t="shared" si="438"/>
        <v>0</v>
      </c>
      <c r="K4218" s="36"/>
      <c r="L4218" s="36"/>
      <c r="M4218" s="36"/>
      <c r="N4218" s="36"/>
      <c r="O4218" s="36"/>
      <c r="P4218" s="36"/>
      <c r="Q4218" s="36"/>
      <c r="R4218" s="36"/>
      <c r="S4218" s="36"/>
      <c r="T4218" s="36"/>
      <c r="U4218" s="36"/>
      <c r="V4218" s="36"/>
      <c r="W4218" s="15">
        <f t="shared" si="439"/>
        <v>0</v>
      </c>
      <c r="X4218" s="36"/>
      <c r="Y4218" s="36"/>
      <c r="Z4218" s="36">
        <v>400</v>
      </c>
      <c r="AA4218" s="36">
        <v>400</v>
      </c>
      <c r="AB4218" s="36">
        <v>400</v>
      </c>
      <c r="AC4218" s="36">
        <v>400</v>
      </c>
      <c r="AD4218" s="36"/>
      <c r="AE4218" s="36"/>
      <c r="AF4218" s="36"/>
      <c r="AG4218" s="36"/>
      <c r="AH4218" s="36"/>
      <c r="AI4218" s="36"/>
      <c r="AJ4218" s="15">
        <f t="shared" si="440"/>
        <v>1600</v>
      </c>
      <c r="AK4218" s="14"/>
      <c r="AL4218" s="14"/>
      <c r="AM4218" s="14"/>
      <c r="AN4218" s="14"/>
      <c r="AO4218" s="14"/>
      <c r="AP4218" s="14"/>
      <c r="AQ4218" s="14"/>
      <c r="AR4218" s="14"/>
      <c r="AS4218" s="14"/>
      <c r="AT4218" s="14"/>
      <c r="AU4218" s="14"/>
      <c r="AV4218" s="14"/>
      <c r="AW4218" s="15"/>
      <c r="AX4218" s="16" t="s">
        <v>4095</v>
      </c>
    </row>
    <row r="4219" spans="2:50" x14ac:dyDescent="0.2">
      <c r="B4219" s="7"/>
      <c r="C4219" s="8">
        <v>14511</v>
      </c>
      <c r="D4219" s="9" t="s">
        <v>159</v>
      </c>
      <c r="E4219" s="10" t="str">
        <f t="shared" si="436"/>
        <v>Rancho Zinamba No. 24</v>
      </c>
      <c r="F4219" s="10" t="str">
        <f t="shared" si="437"/>
        <v>Monroy García</v>
      </c>
      <c r="G4219" s="8">
        <v>1</v>
      </c>
      <c r="H4219" s="11">
        <v>400</v>
      </c>
      <c r="I4219" s="12">
        <v>42883</v>
      </c>
      <c r="J4219" s="35">
        <f t="shared" si="438"/>
        <v>0</v>
      </c>
      <c r="K4219" s="36"/>
      <c r="L4219" s="36"/>
      <c r="M4219" s="36"/>
      <c r="N4219" s="36"/>
      <c r="O4219" s="36"/>
      <c r="P4219" s="36"/>
      <c r="Q4219" s="36"/>
      <c r="R4219" s="36"/>
      <c r="S4219" s="36"/>
      <c r="T4219" s="36"/>
      <c r="U4219" s="36"/>
      <c r="V4219" s="36"/>
      <c r="W4219" s="15">
        <f t="shared" si="439"/>
        <v>0</v>
      </c>
      <c r="X4219" s="36"/>
      <c r="Y4219" s="36"/>
      <c r="Z4219" s="36"/>
      <c r="AA4219" s="36"/>
      <c r="AB4219" s="36">
        <v>400</v>
      </c>
      <c r="AC4219" s="36"/>
      <c r="AD4219" s="36"/>
      <c r="AE4219" s="36"/>
      <c r="AF4219" s="36"/>
      <c r="AG4219" s="36"/>
      <c r="AH4219" s="36"/>
      <c r="AI4219" s="36"/>
      <c r="AJ4219" s="15">
        <f t="shared" si="440"/>
        <v>400</v>
      </c>
      <c r="AK4219" s="14"/>
      <c r="AL4219" s="14"/>
      <c r="AM4219" s="14"/>
      <c r="AN4219" s="14"/>
      <c r="AO4219" s="14"/>
      <c r="AP4219" s="14"/>
      <c r="AQ4219" s="14"/>
      <c r="AR4219" s="14"/>
      <c r="AS4219" s="14"/>
      <c r="AT4219" s="14"/>
      <c r="AU4219" s="14"/>
      <c r="AV4219" s="14"/>
      <c r="AW4219" s="15"/>
      <c r="AX4219" s="16"/>
    </row>
    <row r="4220" spans="2:50" x14ac:dyDescent="0.2">
      <c r="B4220" s="7"/>
      <c r="C4220" s="8">
        <v>14511</v>
      </c>
      <c r="D4220" s="9" t="s">
        <v>159</v>
      </c>
      <c r="E4220" s="10" t="str">
        <f t="shared" si="436"/>
        <v>Rancho Zinamba No. 24</v>
      </c>
      <c r="F4220" s="10" t="str">
        <f t="shared" si="437"/>
        <v>Monroy García</v>
      </c>
      <c r="G4220" s="8">
        <v>3</v>
      </c>
      <c r="H4220" s="11">
        <v>200</v>
      </c>
      <c r="I4220" s="12">
        <v>42883</v>
      </c>
      <c r="J4220" s="35">
        <f t="shared" si="438"/>
        <v>0</v>
      </c>
      <c r="K4220" s="36"/>
      <c r="L4220" s="36"/>
      <c r="M4220" s="36"/>
      <c r="N4220" s="36"/>
      <c r="O4220" s="36"/>
      <c r="P4220" s="36"/>
      <c r="Q4220" s="36"/>
      <c r="R4220" s="36"/>
      <c r="S4220" s="36"/>
      <c r="T4220" s="36"/>
      <c r="U4220" s="36"/>
      <c r="V4220" s="36"/>
      <c r="W4220" s="15">
        <f t="shared" si="439"/>
        <v>0</v>
      </c>
      <c r="X4220" s="36"/>
      <c r="Y4220" s="36"/>
      <c r="Z4220" s="36"/>
      <c r="AA4220" s="36"/>
      <c r="AB4220" s="36"/>
      <c r="AC4220" s="36"/>
      <c r="AD4220" s="36"/>
      <c r="AE4220" s="36"/>
      <c r="AF4220" s="36"/>
      <c r="AG4220" s="36"/>
      <c r="AH4220" s="36"/>
      <c r="AI4220" s="36"/>
      <c r="AJ4220" s="15">
        <f t="shared" si="440"/>
        <v>0</v>
      </c>
      <c r="AK4220" s="14"/>
      <c r="AL4220" s="14"/>
      <c r="AM4220" s="14"/>
      <c r="AN4220" s="14"/>
      <c r="AO4220" s="14"/>
      <c r="AP4220" s="14"/>
      <c r="AQ4220" s="14"/>
      <c r="AR4220" s="14"/>
      <c r="AS4220" s="14"/>
      <c r="AT4220" s="14"/>
      <c r="AU4220" s="14"/>
      <c r="AV4220" s="14"/>
      <c r="AW4220" s="15"/>
      <c r="AX4220" s="16"/>
    </row>
    <row r="4221" spans="2:50" x14ac:dyDescent="0.2">
      <c r="B4221" s="7"/>
      <c r="C4221" s="8">
        <v>14512</v>
      </c>
      <c r="D4221" s="9" t="s">
        <v>628</v>
      </c>
      <c r="E4221" s="10" t="str">
        <f t="shared" si="436"/>
        <v>Rancho Landero No. 51</v>
      </c>
      <c r="F4221" s="10" t="str">
        <f t="shared" si="437"/>
        <v>H. Robles Tamayo</v>
      </c>
      <c r="G4221" s="8">
        <v>1</v>
      </c>
      <c r="H4221" s="11">
        <v>800</v>
      </c>
      <c r="I4221" s="12">
        <v>42883</v>
      </c>
      <c r="J4221" s="35">
        <f t="shared" si="438"/>
        <v>0</v>
      </c>
      <c r="K4221" s="36"/>
      <c r="L4221" s="36"/>
      <c r="M4221" s="36"/>
      <c r="N4221" s="36"/>
      <c r="O4221" s="36"/>
      <c r="P4221" s="36"/>
      <c r="Q4221" s="36"/>
      <c r="R4221" s="36"/>
      <c r="S4221" s="36"/>
      <c r="T4221" s="36"/>
      <c r="U4221" s="36"/>
      <c r="V4221" s="36"/>
      <c r="W4221" s="15">
        <f t="shared" si="439"/>
        <v>0</v>
      </c>
      <c r="X4221" s="36"/>
      <c r="Y4221" s="36"/>
      <c r="Z4221" s="36"/>
      <c r="AA4221" s="36">
        <v>400</v>
      </c>
      <c r="AB4221" s="36">
        <v>400</v>
      </c>
      <c r="AC4221" s="36"/>
      <c r="AD4221" s="36"/>
      <c r="AE4221" s="36"/>
      <c r="AF4221" s="36"/>
      <c r="AG4221" s="36"/>
      <c r="AH4221" s="36"/>
      <c r="AI4221" s="36"/>
      <c r="AJ4221" s="15">
        <f t="shared" si="440"/>
        <v>800</v>
      </c>
      <c r="AK4221" s="14"/>
      <c r="AL4221" s="14"/>
      <c r="AM4221" s="14"/>
      <c r="AN4221" s="14"/>
      <c r="AO4221" s="14"/>
      <c r="AP4221" s="14"/>
      <c r="AQ4221" s="14"/>
      <c r="AR4221" s="14"/>
      <c r="AS4221" s="14"/>
      <c r="AT4221" s="14"/>
      <c r="AU4221" s="14"/>
      <c r="AV4221" s="14"/>
      <c r="AW4221" s="15"/>
      <c r="AX4221" s="16"/>
    </row>
    <row r="4222" spans="2:50" x14ac:dyDescent="0.2">
      <c r="B4222" s="7"/>
      <c r="C4222" s="8">
        <v>14513</v>
      </c>
      <c r="D4222" s="9" t="s">
        <v>325</v>
      </c>
      <c r="E4222" s="10" t="str">
        <f t="shared" si="436"/>
        <v>Rancho Upácuaro No. 120</v>
      </c>
      <c r="F4222" s="10" t="str">
        <f t="shared" si="437"/>
        <v>Rayas Rivera</v>
      </c>
      <c r="G4222" s="8">
        <v>1</v>
      </c>
      <c r="H4222" s="11">
        <v>400</v>
      </c>
      <c r="I4222" s="12">
        <v>42883</v>
      </c>
      <c r="J4222" s="35">
        <f t="shared" si="438"/>
        <v>0</v>
      </c>
      <c r="K4222" s="36"/>
      <c r="L4222" s="36"/>
      <c r="M4222" s="36"/>
      <c r="N4222" s="36"/>
      <c r="O4222" s="36"/>
      <c r="P4222" s="36"/>
      <c r="Q4222" s="36"/>
      <c r="R4222" s="36"/>
      <c r="S4222" s="36"/>
      <c r="T4222" s="36"/>
      <c r="U4222" s="36"/>
      <c r="V4222" s="36"/>
      <c r="W4222" s="15">
        <f t="shared" si="439"/>
        <v>0</v>
      </c>
      <c r="X4222" s="36"/>
      <c r="Y4222" s="36"/>
      <c r="Z4222" s="36"/>
      <c r="AA4222" s="36"/>
      <c r="AB4222" s="36"/>
      <c r="AC4222" s="36">
        <v>400</v>
      </c>
      <c r="AD4222" s="36"/>
      <c r="AE4222" s="36"/>
      <c r="AF4222" s="36"/>
      <c r="AG4222" s="36"/>
      <c r="AH4222" s="36"/>
      <c r="AI4222" s="36"/>
      <c r="AJ4222" s="15">
        <f t="shared" si="440"/>
        <v>400</v>
      </c>
      <c r="AK4222" s="14"/>
      <c r="AL4222" s="14"/>
      <c r="AM4222" s="14"/>
      <c r="AN4222" s="14"/>
      <c r="AO4222" s="14"/>
      <c r="AP4222" s="14"/>
      <c r="AQ4222" s="14"/>
      <c r="AR4222" s="14"/>
      <c r="AS4222" s="14"/>
      <c r="AT4222" s="14"/>
      <c r="AU4222" s="14"/>
      <c r="AV4222" s="14"/>
      <c r="AW4222" s="15"/>
      <c r="AX4222" s="16"/>
    </row>
    <row r="4223" spans="2:50" x14ac:dyDescent="0.2">
      <c r="B4223" s="7"/>
      <c r="C4223" s="8">
        <v>14514</v>
      </c>
      <c r="D4223" s="9" t="s">
        <v>705</v>
      </c>
      <c r="E4223" s="10" t="str">
        <f t="shared" si="436"/>
        <v>Rancho La Cuchilla No. 75</v>
      </c>
      <c r="F4223" s="10" t="str">
        <f t="shared" si="437"/>
        <v>Sosa Lucio</v>
      </c>
      <c r="G4223" s="8">
        <v>1</v>
      </c>
      <c r="H4223" s="11">
        <v>600</v>
      </c>
      <c r="I4223" s="12">
        <v>42883</v>
      </c>
      <c r="J4223" s="35">
        <f t="shared" si="438"/>
        <v>0</v>
      </c>
      <c r="K4223" s="36"/>
      <c r="L4223" s="36"/>
      <c r="M4223" s="36"/>
      <c r="N4223" s="36"/>
      <c r="O4223" s="36"/>
      <c r="P4223" s="36"/>
      <c r="Q4223" s="36"/>
      <c r="R4223" s="36"/>
      <c r="S4223" s="36"/>
      <c r="T4223" s="36"/>
      <c r="U4223" s="36"/>
      <c r="V4223" s="36"/>
      <c r="W4223" s="15">
        <f t="shared" si="439"/>
        <v>0</v>
      </c>
      <c r="X4223" s="36"/>
      <c r="Y4223" s="36"/>
      <c r="Z4223" s="36"/>
      <c r="AA4223" s="36">
        <v>300</v>
      </c>
      <c r="AB4223" s="36">
        <v>300</v>
      </c>
      <c r="AC4223" s="36"/>
      <c r="AD4223" s="36"/>
      <c r="AE4223" s="36"/>
      <c r="AF4223" s="36"/>
      <c r="AG4223" s="36"/>
      <c r="AH4223" s="36"/>
      <c r="AI4223" s="36"/>
      <c r="AJ4223" s="15">
        <f t="shared" si="440"/>
        <v>600</v>
      </c>
      <c r="AK4223" s="14"/>
      <c r="AL4223" s="14"/>
      <c r="AM4223" s="14"/>
      <c r="AN4223" s="14"/>
      <c r="AO4223" s="14"/>
      <c r="AP4223" s="14"/>
      <c r="AQ4223" s="14"/>
      <c r="AR4223" s="14"/>
      <c r="AS4223" s="14"/>
      <c r="AT4223" s="14"/>
      <c r="AU4223" s="14"/>
      <c r="AV4223" s="14"/>
      <c r="AW4223" s="15"/>
      <c r="AX4223" s="316">
        <f>SUM(H4193:H4223)</f>
        <v>15500</v>
      </c>
    </row>
    <row r="4224" spans="2:50" x14ac:dyDescent="0.2">
      <c r="B4224" s="7"/>
      <c r="C4224" s="8">
        <v>14516</v>
      </c>
      <c r="D4224" s="9" t="s">
        <v>470</v>
      </c>
      <c r="E4224" s="10" t="str">
        <f t="shared" si="436"/>
        <v>Rancho Zinamba No. 42</v>
      </c>
      <c r="F4224" s="10" t="str">
        <f t="shared" si="437"/>
        <v>López Aldave</v>
      </c>
      <c r="G4224" s="8">
        <v>7</v>
      </c>
      <c r="H4224" s="11">
        <v>350</v>
      </c>
      <c r="I4224" s="12">
        <v>42884</v>
      </c>
      <c r="J4224" s="35">
        <f t="shared" si="438"/>
        <v>0</v>
      </c>
      <c r="K4224" s="36"/>
      <c r="L4224" s="36"/>
      <c r="M4224" s="36"/>
      <c r="N4224" s="36"/>
      <c r="O4224" s="36"/>
      <c r="P4224" s="36"/>
      <c r="Q4224" s="36"/>
      <c r="R4224" s="36"/>
      <c r="S4224" s="36"/>
      <c r="T4224" s="36"/>
      <c r="U4224" s="36"/>
      <c r="V4224" s="36"/>
      <c r="W4224" s="15">
        <f t="shared" si="439"/>
        <v>0</v>
      </c>
      <c r="X4224" s="36"/>
      <c r="Y4224" s="36"/>
      <c r="Z4224" s="36"/>
      <c r="AA4224" s="36"/>
      <c r="AB4224" s="36"/>
      <c r="AC4224" s="36"/>
      <c r="AD4224" s="36"/>
      <c r="AE4224" s="36"/>
      <c r="AF4224" s="36"/>
      <c r="AG4224" s="36"/>
      <c r="AH4224" s="36"/>
      <c r="AI4224" s="36"/>
      <c r="AJ4224" s="15">
        <f t="shared" si="440"/>
        <v>0</v>
      </c>
      <c r="AK4224" s="14"/>
      <c r="AL4224" s="14"/>
      <c r="AM4224" s="14"/>
      <c r="AN4224" s="14"/>
      <c r="AO4224" s="14"/>
      <c r="AP4224" s="14"/>
      <c r="AQ4224" s="14"/>
      <c r="AR4224" s="14"/>
      <c r="AS4224" s="14"/>
      <c r="AT4224" s="14"/>
      <c r="AU4224" s="14"/>
      <c r="AV4224" s="14"/>
      <c r="AW4224" s="15"/>
      <c r="AX4224" s="16"/>
    </row>
    <row r="4225" spans="1:50" x14ac:dyDescent="0.2">
      <c r="A4225" s="320" t="s">
        <v>2882</v>
      </c>
      <c r="B4225" s="7"/>
      <c r="C4225" s="8">
        <v>14565</v>
      </c>
      <c r="D4225" s="9" t="s">
        <v>211</v>
      </c>
      <c r="E4225" s="10" t="str">
        <f t="shared" si="436"/>
        <v>Rancho Upácuaro No. 46</v>
      </c>
      <c r="F4225" s="10" t="str">
        <f t="shared" si="437"/>
        <v>Fuentes</v>
      </c>
      <c r="G4225" s="8">
        <v>1</v>
      </c>
      <c r="H4225" s="11">
        <v>300</v>
      </c>
      <c r="I4225" s="12">
        <v>42860</v>
      </c>
      <c r="J4225" s="35">
        <f t="shared" si="438"/>
        <v>0</v>
      </c>
      <c r="K4225" s="36"/>
      <c r="L4225" s="36"/>
      <c r="M4225" s="36"/>
      <c r="N4225" s="36"/>
      <c r="O4225" s="36"/>
      <c r="P4225" s="36"/>
      <c r="Q4225" s="36"/>
      <c r="R4225" s="36"/>
      <c r="S4225" s="36"/>
      <c r="T4225" s="36"/>
      <c r="U4225" s="36"/>
      <c r="V4225" s="36"/>
      <c r="W4225" s="15">
        <f t="shared" si="439"/>
        <v>0</v>
      </c>
      <c r="X4225" s="36"/>
      <c r="Y4225" s="36"/>
      <c r="Z4225" s="36"/>
      <c r="AA4225" s="36"/>
      <c r="AB4225" s="36">
        <v>300</v>
      </c>
      <c r="AC4225" s="36"/>
      <c r="AD4225" s="36"/>
      <c r="AE4225" s="36"/>
      <c r="AF4225" s="36"/>
      <c r="AG4225" s="36"/>
      <c r="AH4225" s="36"/>
      <c r="AI4225" s="36"/>
      <c r="AJ4225" s="15">
        <f t="shared" si="440"/>
        <v>300</v>
      </c>
      <c r="AK4225" s="14"/>
      <c r="AL4225" s="14"/>
      <c r="AM4225" s="14"/>
      <c r="AN4225" s="14"/>
      <c r="AO4225" s="14"/>
      <c r="AP4225" s="14"/>
      <c r="AQ4225" s="14"/>
      <c r="AR4225" s="14"/>
      <c r="AS4225" s="14"/>
      <c r="AT4225" s="14"/>
      <c r="AU4225" s="14"/>
      <c r="AV4225" s="14"/>
      <c r="AW4225" s="15"/>
      <c r="AX4225" s="16"/>
    </row>
    <row r="4226" spans="1:50" x14ac:dyDescent="0.2">
      <c r="B4226" s="7"/>
      <c r="C4226" s="8">
        <v>14566</v>
      </c>
      <c r="D4226" s="9" t="s">
        <v>208</v>
      </c>
      <c r="E4226" s="10" t="str">
        <f t="shared" si="436"/>
        <v>Rancho La Cuchilla No. 29</v>
      </c>
      <c r="F4226" s="10" t="str">
        <f t="shared" si="437"/>
        <v>Vega Sánchez C.</v>
      </c>
      <c r="G4226" s="8">
        <v>1</v>
      </c>
      <c r="H4226" s="11">
        <v>400</v>
      </c>
      <c r="I4226" s="12">
        <v>42864</v>
      </c>
      <c r="J4226" s="35">
        <f t="shared" si="438"/>
        <v>0</v>
      </c>
      <c r="K4226" s="36"/>
      <c r="L4226" s="36"/>
      <c r="M4226" s="36"/>
      <c r="N4226" s="36"/>
      <c r="O4226" s="36"/>
      <c r="P4226" s="36"/>
      <c r="Q4226" s="36"/>
      <c r="R4226" s="36"/>
      <c r="S4226" s="36"/>
      <c r="T4226" s="36"/>
      <c r="U4226" s="36"/>
      <c r="V4226" s="36"/>
      <c r="W4226" s="15">
        <f t="shared" si="439"/>
        <v>0</v>
      </c>
      <c r="X4226" s="36"/>
      <c r="Y4226" s="36"/>
      <c r="Z4226" s="36"/>
      <c r="AA4226" s="36"/>
      <c r="AB4226" s="36">
        <v>400</v>
      </c>
      <c r="AC4226" s="36"/>
      <c r="AD4226" s="36"/>
      <c r="AE4226" s="36"/>
      <c r="AF4226" s="36"/>
      <c r="AG4226" s="36"/>
      <c r="AH4226" s="36"/>
      <c r="AI4226" s="36"/>
      <c r="AJ4226" s="15">
        <f t="shared" si="440"/>
        <v>400</v>
      </c>
      <c r="AK4226" s="14"/>
      <c r="AL4226" s="14"/>
      <c r="AM4226" s="14"/>
      <c r="AN4226" s="14"/>
      <c r="AO4226" s="14"/>
      <c r="AP4226" s="14"/>
      <c r="AQ4226" s="14"/>
      <c r="AR4226" s="14"/>
      <c r="AS4226" s="14"/>
      <c r="AT4226" s="14"/>
      <c r="AU4226" s="14"/>
      <c r="AV4226" s="14"/>
      <c r="AW4226" s="15"/>
      <c r="AX4226" s="16"/>
    </row>
    <row r="4227" spans="1:50" x14ac:dyDescent="0.2">
      <c r="B4227" s="7"/>
      <c r="C4227" s="8"/>
      <c r="D4227" s="9" t="s">
        <v>806</v>
      </c>
      <c r="E4227" s="10" t="str">
        <f t="shared" si="436"/>
        <v>Rancho Estanzuela No. 130, A</v>
      </c>
      <c r="F4227" s="10" t="str">
        <f t="shared" si="437"/>
        <v>Colegio Carmel</v>
      </c>
      <c r="G4227" s="8">
        <v>1</v>
      </c>
      <c r="H4227" s="11">
        <v>11000</v>
      </c>
      <c r="I4227" s="12">
        <v>42878</v>
      </c>
      <c r="J4227" s="35">
        <f t="shared" si="438"/>
        <v>0</v>
      </c>
      <c r="K4227" s="36"/>
      <c r="L4227" s="36"/>
      <c r="M4227" s="36"/>
      <c r="N4227" s="36"/>
      <c r="O4227" s="36"/>
      <c r="P4227" s="36"/>
      <c r="Q4227" s="36"/>
      <c r="R4227" s="36"/>
      <c r="S4227" s="36"/>
      <c r="T4227" s="36"/>
      <c r="U4227" s="36"/>
      <c r="V4227" s="36"/>
      <c r="W4227" s="15">
        <f t="shared" si="439"/>
        <v>0</v>
      </c>
      <c r="X4227" s="36"/>
      <c r="Y4227" s="36"/>
      <c r="Z4227" s="36"/>
      <c r="AA4227" s="36"/>
      <c r="AB4227" s="36">
        <v>11000</v>
      </c>
      <c r="AC4227" s="36"/>
      <c r="AD4227" s="36"/>
      <c r="AE4227" s="36"/>
      <c r="AF4227" s="36"/>
      <c r="AG4227" s="36"/>
      <c r="AH4227" s="36"/>
      <c r="AI4227" s="36"/>
      <c r="AJ4227" s="15">
        <f t="shared" si="440"/>
        <v>11000</v>
      </c>
      <c r="AK4227" s="14"/>
      <c r="AL4227" s="14"/>
      <c r="AM4227" s="14"/>
      <c r="AN4227" s="14"/>
      <c r="AO4227" s="14"/>
      <c r="AP4227" s="14"/>
      <c r="AQ4227" s="14"/>
      <c r="AR4227" s="14"/>
      <c r="AS4227" s="14"/>
      <c r="AT4227" s="14"/>
      <c r="AU4227" s="14"/>
      <c r="AV4227" s="14"/>
      <c r="AW4227" s="15"/>
      <c r="AX4227" s="16"/>
    </row>
    <row r="4228" spans="1:50" x14ac:dyDescent="0.2">
      <c r="B4228" s="7"/>
      <c r="C4228" s="8"/>
      <c r="D4228" s="9"/>
      <c r="E4228" s="10" t="str">
        <f t="shared" si="436"/>
        <v/>
      </c>
      <c r="F4228" s="10" t="str">
        <f t="shared" si="437"/>
        <v/>
      </c>
      <c r="G4228" s="8"/>
      <c r="H4228" s="11"/>
      <c r="I4228" s="12"/>
      <c r="J4228" s="35">
        <f t="shared" si="438"/>
        <v>0</v>
      </c>
      <c r="K4228" s="36"/>
      <c r="L4228" s="36"/>
      <c r="M4228" s="36"/>
      <c r="N4228" s="36"/>
      <c r="O4228" s="36"/>
      <c r="P4228" s="36"/>
      <c r="Q4228" s="36"/>
      <c r="R4228" s="36"/>
      <c r="S4228" s="36"/>
      <c r="T4228" s="36"/>
      <c r="U4228" s="36"/>
      <c r="V4228" s="36"/>
      <c r="W4228" s="15">
        <f t="shared" si="439"/>
        <v>0</v>
      </c>
      <c r="X4228" s="36"/>
      <c r="Y4228" s="36"/>
      <c r="Z4228" s="36"/>
      <c r="AA4228" s="36"/>
      <c r="AB4228" s="36"/>
      <c r="AC4228" s="36"/>
      <c r="AD4228" s="36"/>
      <c r="AE4228" s="36"/>
      <c r="AF4228" s="36"/>
      <c r="AG4228" s="36"/>
      <c r="AH4228" s="36"/>
      <c r="AI4228" s="36"/>
      <c r="AJ4228" s="15">
        <f t="shared" si="440"/>
        <v>0</v>
      </c>
      <c r="AK4228" s="14"/>
      <c r="AL4228" s="14"/>
      <c r="AM4228" s="14"/>
      <c r="AN4228" s="14"/>
      <c r="AO4228" s="14"/>
      <c r="AP4228" s="14"/>
      <c r="AQ4228" s="14"/>
      <c r="AR4228" s="14"/>
      <c r="AS4228" s="14"/>
      <c r="AT4228" s="14"/>
      <c r="AU4228" s="14"/>
      <c r="AV4228" s="14"/>
      <c r="AW4228" s="15"/>
      <c r="AX4228" s="16"/>
    </row>
    <row r="4229" spans="1:50" ht="22.5" x14ac:dyDescent="0.2">
      <c r="A4229" s="2"/>
      <c r="B4229" s="3" t="s">
        <v>1</v>
      </c>
      <c r="C4229" s="3" t="s">
        <v>2</v>
      </c>
      <c r="D4229" s="3" t="s">
        <v>3</v>
      </c>
      <c r="E4229" s="337" t="s">
        <v>4</v>
      </c>
      <c r="F4229" s="337" t="s">
        <v>5</v>
      </c>
      <c r="G4229" s="3" t="s">
        <v>6</v>
      </c>
      <c r="H4229" s="3" t="s">
        <v>7</v>
      </c>
      <c r="I4229" s="3" t="s">
        <v>8</v>
      </c>
      <c r="J4229" s="337" t="s">
        <v>9</v>
      </c>
      <c r="K4229" s="4" t="s">
        <v>10</v>
      </c>
      <c r="L4229" s="4" t="s">
        <v>11</v>
      </c>
      <c r="M4229" s="4" t="s">
        <v>12</v>
      </c>
      <c r="N4229" s="4" t="s">
        <v>13</v>
      </c>
      <c r="O4229" s="4" t="s">
        <v>14</v>
      </c>
      <c r="P4229" s="4" t="s">
        <v>15</v>
      </c>
      <c r="Q4229" s="4" t="s">
        <v>16</v>
      </c>
      <c r="R4229" s="4" t="s">
        <v>17</v>
      </c>
      <c r="S4229" s="4" t="s">
        <v>18</v>
      </c>
      <c r="T4229" s="4" t="s">
        <v>19</v>
      </c>
      <c r="U4229" s="4" t="s">
        <v>20</v>
      </c>
      <c r="V4229" s="4" t="s">
        <v>21</v>
      </c>
      <c r="W4229" s="338" t="s">
        <v>22</v>
      </c>
      <c r="X4229" s="4" t="s">
        <v>23</v>
      </c>
      <c r="Y4229" s="4" t="s">
        <v>24</v>
      </c>
      <c r="Z4229" s="4" t="s">
        <v>25</v>
      </c>
      <c r="AA4229" s="4" t="s">
        <v>26</v>
      </c>
      <c r="AB4229" s="4" t="s">
        <v>27</v>
      </c>
      <c r="AC4229" s="4" t="s">
        <v>28</v>
      </c>
      <c r="AD4229" s="4" t="s">
        <v>29</v>
      </c>
      <c r="AE4229" s="4" t="s">
        <v>30</v>
      </c>
      <c r="AF4229" s="4" t="s">
        <v>31</v>
      </c>
      <c r="AG4229" s="4" t="s">
        <v>32</v>
      </c>
      <c r="AH4229" s="4" t="s">
        <v>33</v>
      </c>
      <c r="AI4229" s="4" t="s">
        <v>34</v>
      </c>
      <c r="AJ4229" s="338" t="s">
        <v>35</v>
      </c>
      <c r="AK4229" s="4" t="s">
        <v>4607</v>
      </c>
      <c r="AL4229" s="4" t="s">
        <v>4608</v>
      </c>
      <c r="AM4229" s="4" t="s">
        <v>4609</v>
      </c>
      <c r="AN4229" s="4" t="s">
        <v>4610</v>
      </c>
      <c r="AO4229" s="4" t="s">
        <v>4611</v>
      </c>
      <c r="AP4229" s="4" t="s">
        <v>4612</v>
      </c>
      <c r="AQ4229" s="4" t="s">
        <v>4613</v>
      </c>
      <c r="AR4229" s="4" t="s">
        <v>4614</v>
      </c>
      <c r="AS4229" s="4" t="s">
        <v>4615</v>
      </c>
      <c r="AT4229" s="4" t="s">
        <v>4616</v>
      </c>
      <c r="AU4229" s="4" t="s">
        <v>4617</v>
      </c>
      <c r="AV4229" s="4" t="s">
        <v>4618</v>
      </c>
      <c r="AW4229" s="338" t="s">
        <v>4619</v>
      </c>
      <c r="AX4229" s="6" t="s">
        <v>36</v>
      </c>
    </row>
    <row r="4230" spans="1:50" x14ac:dyDescent="0.2">
      <c r="B4230" s="7"/>
      <c r="C4230" s="8">
        <v>14515</v>
      </c>
      <c r="D4230" s="9" t="s">
        <v>488</v>
      </c>
      <c r="E4230" s="10" t="str">
        <f t="shared" ref="E4230:E4252" si="441">IF(D4230=0,"",VLOOKUP(D4230,BASE,2,FALSE))</f>
        <v>Rancho Landero No. 85</v>
      </c>
      <c r="F4230" s="10" t="str">
        <f t="shared" ref="F4230:F4252" si="442">IF(D4230=0,"",VLOOKUP(D4230,BASE,3,FALSE))</f>
        <v>Martínez Olague</v>
      </c>
      <c r="G4230" s="8">
        <v>1</v>
      </c>
      <c r="H4230" s="11">
        <v>400</v>
      </c>
      <c r="I4230" s="12">
        <v>42887</v>
      </c>
      <c r="J4230" s="35">
        <f t="shared" ref="J4230:J4252" si="443">IF(G4230=1,SUM(W4230,AJ4230,-H4230),0)</f>
        <v>0</v>
      </c>
      <c r="K4230" s="36"/>
      <c r="L4230" s="36"/>
      <c r="M4230" s="36"/>
      <c r="N4230" s="36"/>
      <c r="O4230" s="36"/>
      <c r="P4230" s="36"/>
      <c r="Q4230" s="36"/>
      <c r="R4230" s="36"/>
      <c r="S4230" s="36"/>
      <c r="T4230" s="36"/>
      <c r="U4230" s="36"/>
      <c r="V4230" s="36"/>
      <c r="W4230" s="15">
        <f t="shared" ref="W4230:W4252" si="444">SUM(K4230:V4230)</f>
        <v>0</v>
      </c>
      <c r="X4230" s="36"/>
      <c r="Y4230" s="36"/>
      <c r="Z4230" s="36"/>
      <c r="AA4230" s="36"/>
      <c r="AB4230" s="36">
        <v>400</v>
      </c>
      <c r="AC4230" s="36"/>
      <c r="AD4230" s="36"/>
      <c r="AE4230" s="36"/>
      <c r="AF4230" s="36"/>
      <c r="AG4230" s="36"/>
      <c r="AH4230" s="36"/>
      <c r="AI4230" s="36"/>
      <c r="AJ4230" s="15">
        <f t="shared" ref="AJ4230:AJ4252" si="445">SUM(X4230:AI4230)</f>
        <v>400</v>
      </c>
      <c r="AK4230" s="14"/>
      <c r="AL4230" s="14"/>
      <c r="AM4230" s="14"/>
      <c r="AN4230" s="14"/>
      <c r="AO4230" s="14"/>
      <c r="AP4230" s="14"/>
      <c r="AQ4230" s="14"/>
      <c r="AR4230" s="14"/>
      <c r="AS4230" s="14"/>
      <c r="AT4230" s="14"/>
      <c r="AU4230" s="14"/>
      <c r="AV4230" s="14"/>
      <c r="AW4230" s="15"/>
      <c r="AX4230" s="16"/>
    </row>
    <row r="4231" spans="1:50" x14ac:dyDescent="0.2">
      <c r="B4231" s="7" t="s">
        <v>4125</v>
      </c>
      <c r="C4231" s="8">
        <v>14516</v>
      </c>
      <c r="D4231" s="9" t="s">
        <v>470</v>
      </c>
      <c r="E4231" s="10" t="str">
        <f t="shared" si="441"/>
        <v>Rancho Zinamba No. 42</v>
      </c>
      <c r="F4231" s="10" t="str">
        <f t="shared" si="442"/>
        <v>López Aldave</v>
      </c>
      <c r="G4231" s="8"/>
      <c r="H4231" s="11"/>
      <c r="I4231" s="12"/>
      <c r="J4231" s="35">
        <f t="shared" si="443"/>
        <v>0</v>
      </c>
      <c r="K4231" s="36"/>
      <c r="L4231" s="36"/>
      <c r="M4231" s="36"/>
      <c r="N4231" s="36"/>
      <c r="O4231" s="36"/>
      <c r="P4231" s="36"/>
      <c r="Q4231" s="36"/>
      <c r="R4231" s="36"/>
      <c r="S4231" s="36"/>
      <c r="T4231" s="36"/>
      <c r="U4231" s="36"/>
      <c r="V4231" s="36"/>
      <c r="W4231" s="15">
        <f t="shared" si="444"/>
        <v>0</v>
      </c>
      <c r="X4231" s="36"/>
      <c r="Y4231" s="36"/>
      <c r="Z4231" s="36"/>
      <c r="AA4231" s="36"/>
      <c r="AB4231" s="36"/>
      <c r="AC4231" s="36"/>
      <c r="AD4231" s="36"/>
      <c r="AE4231" s="36"/>
      <c r="AF4231" s="36"/>
      <c r="AG4231" s="36"/>
      <c r="AH4231" s="36"/>
      <c r="AI4231" s="36"/>
      <c r="AJ4231" s="15">
        <f t="shared" si="445"/>
        <v>0</v>
      </c>
      <c r="AK4231" s="14"/>
      <c r="AL4231" s="14"/>
      <c r="AM4231" s="14"/>
      <c r="AN4231" s="14"/>
      <c r="AO4231" s="14"/>
      <c r="AP4231" s="14"/>
      <c r="AQ4231" s="14"/>
      <c r="AR4231" s="14"/>
      <c r="AS4231" s="14"/>
      <c r="AT4231" s="14"/>
      <c r="AU4231" s="14"/>
      <c r="AV4231" s="14"/>
      <c r="AW4231" s="15"/>
      <c r="AX4231" s="16"/>
    </row>
    <row r="4232" spans="1:50" x14ac:dyDescent="0.2">
      <c r="B4232" s="7"/>
      <c r="C4232" s="8">
        <v>14517</v>
      </c>
      <c r="D4232" s="9" t="s">
        <v>669</v>
      </c>
      <c r="E4232" s="10" t="str">
        <f t="shared" si="441"/>
        <v>Rancho Landero No. 24</v>
      </c>
      <c r="F4232" s="10" t="str">
        <f t="shared" si="442"/>
        <v>Vázquez Peralta</v>
      </c>
      <c r="G4232" s="8">
        <v>1</v>
      </c>
      <c r="H4232" s="11">
        <v>800</v>
      </c>
      <c r="I4232" s="12">
        <v>42887</v>
      </c>
      <c r="J4232" s="35">
        <f t="shared" si="443"/>
        <v>0</v>
      </c>
      <c r="K4232" s="36"/>
      <c r="L4232" s="36"/>
      <c r="M4232" s="36"/>
      <c r="N4232" s="36"/>
      <c r="O4232" s="36"/>
      <c r="P4232" s="36"/>
      <c r="Q4232" s="36"/>
      <c r="R4232" s="36"/>
      <c r="S4232" s="36"/>
      <c r="T4232" s="36"/>
      <c r="U4232" s="36"/>
      <c r="V4232" s="36"/>
      <c r="W4232" s="15">
        <f t="shared" si="444"/>
        <v>0</v>
      </c>
      <c r="X4232" s="36"/>
      <c r="Y4232" s="36"/>
      <c r="Z4232" s="36"/>
      <c r="AA4232" s="36">
        <v>400</v>
      </c>
      <c r="AB4232" s="36">
        <v>400</v>
      </c>
      <c r="AC4232" s="36"/>
      <c r="AD4232" s="36"/>
      <c r="AE4232" s="36"/>
      <c r="AF4232" s="36"/>
      <c r="AG4232" s="36"/>
      <c r="AH4232" s="36"/>
      <c r="AI4232" s="36"/>
      <c r="AJ4232" s="15">
        <f t="shared" si="445"/>
        <v>800</v>
      </c>
      <c r="AK4232" s="14"/>
      <c r="AL4232" s="14"/>
      <c r="AM4232" s="14"/>
      <c r="AN4232" s="14"/>
      <c r="AO4232" s="14"/>
      <c r="AP4232" s="14"/>
      <c r="AQ4232" s="14"/>
      <c r="AR4232" s="14"/>
      <c r="AS4232" s="14"/>
      <c r="AT4232" s="14"/>
      <c r="AU4232" s="14"/>
      <c r="AV4232" s="14"/>
      <c r="AW4232" s="15"/>
      <c r="AX4232" s="16"/>
    </row>
    <row r="4233" spans="1:50" x14ac:dyDescent="0.2">
      <c r="B4233" s="7"/>
      <c r="C4233" s="8">
        <v>14518</v>
      </c>
      <c r="D4233" s="9" t="s">
        <v>592</v>
      </c>
      <c r="E4233" s="10" t="str">
        <f t="shared" si="441"/>
        <v>Rancho Landero No. 30</v>
      </c>
      <c r="F4233" s="10" t="str">
        <f t="shared" si="442"/>
        <v>Torres Guzmán</v>
      </c>
      <c r="G4233" s="8">
        <v>1</v>
      </c>
      <c r="H4233" s="11">
        <v>900</v>
      </c>
      <c r="I4233" s="12">
        <v>42890</v>
      </c>
      <c r="J4233" s="35">
        <f t="shared" si="443"/>
        <v>0</v>
      </c>
      <c r="K4233" s="36"/>
      <c r="L4233" s="36"/>
      <c r="M4233" s="36"/>
      <c r="N4233" s="36"/>
      <c r="O4233" s="36"/>
      <c r="P4233" s="36"/>
      <c r="Q4233" s="36"/>
      <c r="R4233" s="36"/>
      <c r="S4233" s="36"/>
      <c r="T4233" s="36"/>
      <c r="U4233" s="36"/>
      <c r="V4233" s="36"/>
      <c r="W4233" s="15">
        <f t="shared" si="444"/>
        <v>0</v>
      </c>
      <c r="X4233" s="36"/>
      <c r="Y4233" s="36"/>
      <c r="Z4233" s="36"/>
      <c r="AA4233" s="36">
        <v>300</v>
      </c>
      <c r="AB4233" s="36">
        <v>300</v>
      </c>
      <c r="AC4233" s="36">
        <v>300</v>
      </c>
      <c r="AD4233" s="36"/>
      <c r="AE4233" s="36"/>
      <c r="AF4233" s="36"/>
      <c r="AG4233" s="36"/>
      <c r="AH4233" s="36"/>
      <c r="AI4233" s="36"/>
      <c r="AJ4233" s="15">
        <f t="shared" si="445"/>
        <v>900</v>
      </c>
      <c r="AK4233" s="14"/>
      <c r="AL4233" s="14"/>
      <c r="AM4233" s="14"/>
      <c r="AN4233" s="14"/>
      <c r="AO4233" s="14"/>
      <c r="AP4233" s="14"/>
      <c r="AQ4233" s="14"/>
      <c r="AR4233" s="14"/>
      <c r="AS4233" s="14"/>
      <c r="AT4233" s="14"/>
      <c r="AU4233" s="14"/>
      <c r="AV4233" s="14"/>
      <c r="AW4233" s="15"/>
      <c r="AX4233" s="16"/>
    </row>
    <row r="4234" spans="1:50" x14ac:dyDescent="0.2">
      <c r="B4234" s="7"/>
      <c r="C4234" s="8">
        <v>14519</v>
      </c>
      <c r="D4234" s="9" t="s">
        <v>541</v>
      </c>
      <c r="E4234" s="10" t="str">
        <f t="shared" si="441"/>
        <v>Rancho Estanzuela No. 103, B</v>
      </c>
      <c r="F4234" s="10" t="str">
        <f t="shared" si="442"/>
        <v>Olivares Flores</v>
      </c>
      <c r="G4234" s="8">
        <v>1</v>
      </c>
      <c r="H4234" s="11">
        <v>800</v>
      </c>
      <c r="I4234" s="12">
        <v>42890</v>
      </c>
      <c r="J4234" s="35">
        <f t="shared" si="443"/>
        <v>0</v>
      </c>
      <c r="K4234" s="36"/>
      <c r="L4234" s="36"/>
      <c r="M4234" s="36"/>
      <c r="N4234" s="36"/>
      <c r="O4234" s="36"/>
      <c r="P4234" s="36"/>
      <c r="Q4234" s="36"/>
      <c r="R4234" s="36"/>
      <c r="S4234" s="36"/>
      <c r="T4234" s="36"/>
      <c r="U4234" s="36"/>
      <c r="V4234" s="36"/>
      <c r="W4234" s="15">
        <f t="shared" si="444"/>
        <v>0</v>
      </c>
      <c r="X4234" s="36"/>
      <c r="Y4234" s="36"/>
      <c r="Z4234" s="36"/>
      <c r="AA4234" s="36"/>
      <c r="AB4234" s="36">
        <v>400</v>
      </c>
      <c r="AC4234" s="36">
        <v>400</v>
      </c>
      <c r="AD4234" s="36"/>
      <c r="AE4234" s="36"/>
      <c r="AF4234" s="36"/>
      <c r="AG4234" s="36"/>
      <c r="AH4234" s="36"/>
      <c r="AI4234" s="36"/>
      <c r="AJ4234" s="15">
        <f t="shared" si="445"/>
        <v>800</v>
      </c>
      <c r="AK4234" s="14"/>
      <c r="AL4234" s="14"/>
      <c r="AM4234" s="14"/>
      <c r="AN4234" s="14"/>
      <c r="AO4234" s="14"/>
      <c r="AP4234" s="14"/>
      <c r="AQ4234" s="14"/>
      <c r="AR4234" s="14"/>
      <c r="AS4234" s="14"/>
      <c r="AT4234" s="14"/>
      <c r="AU4234" s="14"/>
      <c r="AV4234" s="14"/>
      <c r="AW4234" s="15"/>
      <c r="AX4234" s="16"/>
    </row>
    <row r="4235" spans="1:50" x14ac:dyDescent="0.2">
      <c r="B4235" s="7"/>
      <c r="C4235" s="8">
        <v>14520</v>
      </c>
      <c r="D4235" s="9" t="s">
        <v>592</v>
      </c>
      <c r="E4235" s="10" t="str">
        <f t="shared" si="441"/>
        <v>Rancho Landero No. 30</v>
      </c>
      <c r="F4235" s="10" t="str">
        <f t="shared" si="442"/>
        <v>Torres Guzmán</v>
      </c>
      <c r="G4235" s="8">
        <v>3</v>
      </c>
      <c r="H4235" s="11">
        <v>200</v>
      </c>
      <c r="I4235" s="12">
        <v>42890</v>
      </c>
      <c r="J4235" s="35">
        <f t="shared" si="443"/>
        <v>0</v>
      </c>
      <c r="K4235" s="36"/>
      <c r="L4235" s="36"/>
      <c r="M4235" s="36"/>
      <c r="N4235" s="36"/>
      <c r="O4235" s="36"/>
      <c r="P4235" s="36"/>
      <c r="Q4235" s="36"/>
      <c r="R4235" s="36"/>
      <c r="S4235" s="36"/>
      <c r="T4235" s="36"/>
      <c r="U4235" s="36"/>
      <c r="V4235" s="36"/>
      <c r="W4235" s="15">
        <f t="shared" si="444"/>
        <v>0</v>
      </c>
      <c r="X4235" s="36"/>
      <c r="Y4235" s="36"/>
      <c r="Z4235" s="36"/>
      <c r="AA4235" s="36"/>
      <c r="AB4235" s="36"/>
      <c r="AC4235" s="36"/>
      <c r="AD4235" s="36"/>
      <c r="AE4235" s="36"/>
      <c r="AF4235" s="36"/>
      <c r="AG4235" s="36"/>
      <c r="AH4235" s="36"/>
      <c r="AI4235" s="36"/>
      <c r="AJ4235" s="15">
        <f t="shared" si="445"/>
        <v>0</v>
      </c>
      <c r="AK4235" s="14"/>
      <c r="AL4235" s="14"/>
      <c r="AM4235" s="14"/>
      <c r="AN4235" s="14"/>
      <c r="AO4235" s="14"/>
      <c r="AP4235" s="14"/>
      <c r="AQ4235" s="14"/>
      <c r="AR4235" s="14"/>
      <c r="AS4235" s="14"/>
      <c r="AT4235" s="14"/>
      <c r="AU4235" s="14"/>
      <c r="AV4235" s="14"/>
      <c r="AW4235" s="15"/>
      <c r="AX4235" s="16"/>
    </row>
    <row r="4236" spans="1:50" x14ac:dyDescent="0.2">
      <c r="B4236" s="7"/>
      <c r="C4236" s="8">
        <v>14521</v>
      </c>
      <c r="D4236" s="9" t="s">
        <v>814</v>
      </c>
      <c r="E4236" s="10" t="str">
        <f t="shared" si="441"/>
        <v>Rancho Landero No. 47</v>
      </c>
      <c r="F4236" s="10" t="str">
        <f t="shared" si="442"/>
        <v>García González</v>
      </c>
      <c r="G4236" s="8">
        <v>1</v>
      </c>
      <c r="H4236" s="11">
        <v>1200</v>
      </c>
      <c r="I4236" s="12">
        <v>42859</v>
      </c>
      <c r="J4236" s="35">
        <f t="shared" si="443"/>
        <v>0</v>
      </c>
      <c r="K4236" s="36"/>
      <c r="L4236" s="36"/>
      <c r="M4236" s="36"/>
      <c r="N4236" s="36"/>
      <c r="O4236" s="36"/>
      <c r="P4236" s="36"/>
      <c r="Q4236" s="36"/>
      <c r="R4236" s="36"/>
      <c r="S4236" s="36"/>
      <c r="T4236" s="36"/>
      <c r="U4236" s="36"/>
      <c r="V4236" s="36"/>
      <c r="W4236" s="15">
        <f t="shared" si="444"/>
        <v>0</v>
      </c>
      <c r="X4236" s="36"/>
      <c r="Y4236" s="36"/>
      <c r="Z4236" s="36"/>
      <c r="AA4236" s="36">
        <v>400</v>
      </c>
      <c r="AB4236" s="36">
        <v>400</v>
      </c>
      <c r="AC4236" s="36">
        <v>400</v>
      </c>
      <c r="AD4236" s="36"/>
      <c r="AE4236" s="36"/>
      <c r="AF4236" s="36"/>
      <c r="AG4236" s="36"/>
      <c r="AH4236" s="36"/>
      <c r="AI4236" s="36"/>
      <c r="AJ4236" s="15">
        <f t="shared" si="445"/>
        <v>1200</v>
      </c>
      <c r="AK4236" s="14"/>
      <c r="AL4236" s="14"/>
      <c r="AM4236" s="14"/>
      <c r="AN4236" s="14"/>
      <c r="AO4236" s="14"/>
      <c r="AP4236" s="14"/>
      <c r="AQ4236" s="14"/>
      <c r="AR4236" s="14"/>
      <c r="AS4236" s="14"/>
      <c r="AT4236" s="14"/>
      <c r="AU4236" s="14"/>
      <c r="AV4236" s="14"/>
      <c r="AW4236" s="15"/>
      <c r="AX4236" s="16"/>
    </row>
    <row r="4237" spans="1:50" x14ac:dyDescent="0.2">
      <c r="B4237" s="7"/>
      <c r="C4237" s="8">
        <v>14522</v>
      </c>
      <c r="D4237" s="9" t="s">
        <v>1299</v>
      </c>
      <c r="E4237" s="10" t="str">
        <f t="shared" ref="E4237:E4249" si="446">IF(D4237=0,"",VLOOKUP(D4237,BASE,2,FALSE))</f>
        <v>Rancho La Cuchilla No. 107</v>
      </c>
      <c r="F4237" s="10" t="str">
        <f t="shared" ref="F4237:F4249" si="447">IF(D4237=0,"",VLOOKUP(D4237,BASE,3,FALSE))</f>
        <v>Quiñones, Eduardo</v>
      </c>
      <c r="G4237" s="8">
        <v>1</v>
      </c>
      <c r="H4237" s="11">
        <v>800</v>
      </c>
      <c r="I4237" s="12">
        <v>42890</v>
      </c>
      <c r="J4237" s="35">
        <f t="shared" ref="J4237:J4249" si="448">IF(G4237=1,SUM(W4237,AJ4237,-H4237),0)</f>
        <v>0</v>
      </c>
      <c r="K4237" s="36"/>
      <c r="L4237" s="36"/>
      <c r="M4237" s="36"/>
      <c r="N4237" s="36"/>
      <c r="O4237" s="36"/>
      <c r="P4237" s="36"/>
      <c r="Q4237" s="36"/>
      <c r="R4237" s="36"/>
      <c r="S4237" s="36"/>
      <c r="T4237" s="36"/>
      <c r="U4237" s="36"/>
      <c r="V4237" s="36"/>
      <c r="W4237" s="15">
        <f t="shared" ref="W4237:W4249" si="449">SUM(K4237:V4237)</f>
        <v>0</v>
      </c>
      <c r="X4237" s="36"/>
      <c r="Y4237" s="36"/>
      <c r="Z4237" s="36"/>
      <c r="AA4237" s="36"/>
      <c r="AB4237" s="36">
        <v>400</v>
      </c>
      <c r="AC4237" s="36">
        <v>400</v>
      </c>
      <c r="AD4237" s="36"/>
      <c r="AE4237" s="36"/>
      <c r="AF4237" s="36"/>
      <c r="AG4237" s="36"/>
      <c r="AH4237" s="36"/>
      <c r="AI4237" s="36"/>
      <c r="AJ4237" s="15">
        <f t="shared" ref="AJ4237:AJ4249" si="450">SUM(X4237:AI4237)</f>
        <v>800</v>
      </c>
      <c r="AK4237" s="14"/>
      <c r="AL4237" s="14"/>
      <c r="AM4237" s="14"/>
      <c r="AN4237" s="14"/>
      <c r="AO4237" s="14"/>
      <c r="AP4237" s="14"/>
      <c r="AQ4237" s="14"/>
      <c r="AR4237" s="14"/>
      <c r="AS4237" s="14"/>
      <c r="AT4237" s="14"/>
      <c r="AU4237" s="14"/>
      <c r="AV4237" s="14"/>
      <c r="AW4237" s="15"/>
      <c r="AX4237" s="16"/>
    </row>
    <row r="4238" spans="1:50" x14ac:dyDescent="0.2">
      <c r="B4238" s="7"/>
      <c r="C4238" s="8">
        <v>14523</v>
      </c>
      <c r="D4238" s="9" t="s">
        <v>94</v>
      </c>
      <c r="E4238" s="10" t="str">
        <f t="shared" si="446"/>
        <v>Rancho Landero No. 42</v>
      </c>
      <c r="F4238" s="10" t="str">
        <f t="shared" si="447"/>
        <v>Ávila Fidel</v>
      </c>
      <c r="G4238" s="8">
        <v>1</v>
      </c>
      <c r="H4238" s="11">
        <v>400</v>
      </c>
      <c r="I4238" s="12">
        <v>42890</v>
      </c>
      <c r="J4238" s="35">
        <f t="shared" si="448"/>
        <v>0</v>
      </c>
      <c r="K4238" s="36"/>
      <c r="L4238" s="36"/>
      <c r="M4238" s="36"/>
      <c r="N4238" s="36"/>
      <c r="O4238" s="36"/>
      <c r="P4238" s="36"/>
      <c r="Q4238" s="36"/>
      <c r="R4238" s="36"/>
      <c r="S4238" s="36"/>
      <c r="T4238" s="36"/>
      <c r="U4238" s="36"/>
      <c r="V4238" s="36"/>
      <c r="W4238" s="15">
        <f t="shared" si="449"/>
        <v>0</v>
      </c>
      <c r="X4238" s="36"/>
      <c r="Y4238" s="36"/>
      <c r="Z4238" s="36"/>
      <c r="AA4238" s="36"/>
      <c r="AB4238" s="36"/>
      <c r="AC4238" s="36">
        <v>400</v>
      </c>
      <c r="AD4238" s="36"/>
      <c r="AE4238" s="36"/>
      <c r="AF4238" s="36"/>
      <c r="AG4238" s="36"/>
      <c r="AH4238" s="36"/>
      <c r="AI4238" s="36"/>
      <c r="AJ4238" s="15">
        <f t="shared" si="450"/>
        <v>400</v>
      </c>
      <c r="AK4238" s="14"/>
      <c r="AL4238" s="14"/>
      <c r="AM4238" s="14"/>
      <c r="AN4238" s="14"/>
      <c r="AO4238" s="14"/>
      <c r="AP4238" s="14"/>
      <c r="AQ4238" s="14"/>
      <c r="AR4238" s="14"/>
      <c r="AS4238" s="14"/>
      <c r="AT4238" s="14"/>
      <c r="AU4238" s="14"/>
      <c r="AV4238" s="14"/>
      <c r="AW4238" s="15"/>
      <c r="AX4238" s="16"/>
    </row>
    <row r="4239" spans="1:50" x14ac:dyDescent="0.2">
      <c r="B4239" s="7"/>
      <c r="C4239" s="8">
        <v>14524</v>
      </c>
      <c r="D4239" s="9" t="s">
        <v>265</v>
      </c>
      <c r="E4239" s="10" t="str">
        <f t="shared" si="446"/>
        <v>Rancho Upácuaro No. 85</v>
      </c>
      <c r="F4239" s="10" t="str">
        <f t="shared" si="447"/>
        <v>Del Toro Huerta</v>
      </c>
      <c r="G4239" s="8">
        <v>1</v>
      </c>
      <c r="H4239" s="11">
        <v>400</v>
      </c>
      <c r="I4239" s="12">
        <v>42890</v>
      </c>
      <c r="J4239" s="35">
        <f t="shared" si="448"/>
        <v>0</v>
      </c>
      <c r="K4239" s="36"/>
      <c r="L4239" s="36"/>
      <c r="M4239" s="36"/>
      <c r="N4239" s="36"/>
      <c r="O4239" s="36"/>
      <c r="P4239" s="36"/>
      <c r="Q4239" s="36"/>
      <c r="R4239" s="36"/>
      <c r="S4239" s="36"/>
      <c r="T4239" s="36"/>
      <c r="U4239" s="36"/>
      <c r="V4239" s="36"/>
      <c r="W4239" s="15">
        <f t="shared" si="449"/>
        <v>0</v>
      </c>
      <c r="X4239" s="36"/>
      <c r="Y4239" s="36"/>
      <c r="Z4239" s="36"/>
      <c r="AA4239" s="36"/>
      <c r="AB4239" s="36"/>
      <c r="AC4239" s="36">
        <v>400</v>
      </c>
      <c r="AD4239" s="36"/>
      <c r="AE4239" s="36"/>
      <c r="AF4239" s="36"/>
      <c r="AG4239" s="36"/>
      <c r="AH4239" s="36"/>
      <c r="AI4239" s="36"/>
      <c r="AJ4239" s="15">
        <f t="shared" si="450"/>
        <v>400</v>
      </c>
      <c r="AK4239" s="14"/>
      <c r="AL4239" s="14"/>
      <c r="AM4239" s="14"/>
      <c r="AN4239" s="14"/>
      <c r="AO4239" s="14"/>
      <c r="AP4239" s="14"/>
      <c r="AQ4239" s="14"/>
      <c r="AR4239" s="14"/>
      <c r="AS4239" s="14"/>
      <c r="AT4239" s="14"/>
      <c r="AU4239" s="14"/>
      <c r="AV4239" s="14"/>
      <c r="AW4239" s="15"/>
      <c r="AX4239" s="16"/>
    </row>
    <row r="4240" spans="1:50" x14ac:dyDescent="0.2">
      <c r="B4240" s="7"/>
      <c r="C4240" s="8">
        <v>14525</v>
      </c>
      <c r="D4240" s="9" t="s">
        <v>241</v>
      </c>
      <c r="E4240" s="10" t="str">
        <f t="shared" si="446"/>
        <v>Rancho La Cuchilla No. 81, A</v>
      </c>
      <c r="F4240" s="10" t="str">
        <f t="shared" si="447"/>
        <v>Barrientos López</v>
      </c>
      <c r="G4240" s="8">
        <v>1</v>
      </c>
      <c r="H4240" s="11">
        <v>400</v>
      </c>
      <c r="I4240" s="12">
        <v>42890</v>
      </c>
      <c r="J4240" s="35">
        <f t="shared" si="448"/>
        <v>0</v>
      </c>
      <c r="K4240" s="36"/>
      <c r="L4240" s="36"/>
      <c r="M4240" s="36"/>
      <c r="N4240" s="36"/>
      <c r="O4240" s="36"/>
      <c r="P4240" s="36"/>
      <c r="Q4240" s="36"/>
      <c r="R4240" s="36"/>
      <c r="S4240" s="36"/>
      <c r="T4240" s="36"/>
      <c r="U4240" s="36"/>
      <c r="V4240" s="36"/>
      <c r="W4240" s="15">
        <f t="shared" si="449"/>
        <v>0</v>
      </c>
      <c r="X4240" s="36"/>
      <c r="Y4240" s="36"/>
      <c r="Z4240" s="36"/>
      <c r="AA4240" s="36"/>
      <c r="AB4240" s="36"/>
      <c r="AC4240" s="36">
        <v>400</v>
      </c>
      <c r="AD4240" s="36"/>
      <c r="AE4240" s="36"/>
      <c r="AF4240" s="36"/>
      <c r="AG4240" s="36"/>
      <c r="AH4240" s="36"/>
      <c r="AI4240" s="36"/>
      <c r="AJ4240" s="15">
        <f t="shared" si="450"/>
        <v>400</v>
      </c>
      <c r="AK4240" s="14"/>
      <c r="AL4240" s="14"/>
      <c r="AM4240" s="14"/>
      <c r="AN4240" s="14"/>
      <c r="AO4240" s="14"/>
      <c r="AP4240" s="14"/>
      <c r="AQ4240" s="14"/>
      <c r="AR4240" s="14"/>
      <c r="AS4240" s="14"/>
      <c r="AT4240" s="14"/>
      <c r="AU4240" s="14"/>
      <c r="AV4240" s="14"/>
      <c r="AW4240" s="15"/>
      <c r="AX4240" s="16"/>
    </row>
    <row r="4241" spans="2:50" x14ac:dyDescent="0.2">
      <c r="B4241" s="7"/>
      <c r="C4241" s="8">
        <v>14526</v>
      </c>
      <c r="D4241" s="9" t="s">
        <v>820</v>
      </c>
      <c r="E4241" s="10" t="str">
        <f t="shared" si="446"/>
        <v>Rancho Zinamba No. 84</v>
      </c>
      <c r="F4241" s="10" t="str">
        <f t="shared" si="447"/>
        <v>Lobato</v>
      </c>
      <c r="G4241" s="8">
        <v>1</v>
      </c>
      <c r="H4241" s="11">
        <v>300</v>
      </c>
      <c r="I4241" s="12">
        <v>42890</v>
      </c>
      <c r="J4241" s="35">
        <f t="shared" si="448"/>
        <v>0</v>
      </c>
      <c r="K4241" s="36"/>
      <c r="L4241" s="36"/>
      <c r="M4241" s="36"/>
      <c r="N4241" s="36"/>
      <c r="O4241" s="36"/>
      <c r="P4241" s="36"/>
      <c r="Q4241" s="36"/>
      <c r="R4241" s="36"/>
      <c r="S4241" s="36"/>
      <c r="T4241" s="36"/>
      <c r="U4241" s="36"/>
      <c r="V4241" s="36"/>
      <c r="W4241" s="15">
        <f t="shared" si="449"/>
        <v>0</v>
      </c>
      <c r="X4241" s="36"/>
      <c r="Y4241" s="36"/>
      <c r="Z4241" s="36"/>
      <c r="AA4241" s="36"/>
      <c r="AB4241" s="36">
        <v>300</v>
      </c>
      <c r="AC4241" s="36"/>
      <c r="AD4241" s="36"/>
      <c r="AE4241" s="36"/>
      <c r="AF4241" s="36"/>
      <c r="AG4241" s="36"/>
      <c r="AH4241" s="36"/>
      <c r="AI4241" s="36"/>
      <c r="AJ4241" s="15">
        <f t="shared" si="450"/>
        <v>300</v>
      </c>
      <c r="AK4241" s="14"/>
      <c r="AL4241" s="14"/>
      <c r="AM4241" s="14"/>
      <c r="AN4241" s="14"/>
      <c r="AO4241" s="14"/>
      <c r="AP4241" s="14"/>
      <c r="AQ4241" s="14"/>
      <c r="AR4241" s="14"/>
      <c r="AS4241" s="14"/>
      <c r="AT4241" s="14"/>
      <c r="AU4241" s="14"/>
      <c r="AV4241" s="14"/>
      <c r="AW4241" s="15"/>
      <c r="AX4241" s="16"/>
    </row>
    <row r="4242" spans="2:50" x14ac:dyDescent="0.2">
      <c r="B4242" s="7"/>
      <c r="C4242" s="8">
        <v>14527</v>
      </c>
      <c r="D4242" s="9" t="s">
        <v>407</v>
      </c>
      <c r="E4242" s="10" t="str">
        <f t="shared" si="446"/>
        <v>Rancho Estanzuela No. 99</v>
      </c>
      <c r="F4242" s="10" t="str">
        <f t="shared" si="447"/>
        <v>García López</v>
      </c>
      <c r="G4242" s="8">
        <v>1</v>
      </c>
      <c r="H4242" s="11">
        <v>400</v>
      </c>
      <c r="I4242" s="12">
        <v>42890</v>
      </c>
      <c r="J4242" s="35">
        <f t="shared" si="448"/>
        <v>0</v>
      </c>
      <c r="K4242" s="36"/>
      <c r="L4242" s="36"/>
      <c r="M4242" s="36"/>
      <c r="N4242" s="36"/>
      <c r="O4242" s="36"/>
      <c r="P4242" s="36"/>
      <c r="Q4242" s="36"/>
      <c r="R4242" s="36"/>
      <c r="S4242" s="36"/>
      <c r="T4242" s="36"/>
      <c r="U4242" s="36"/>
      <c r="V4242" s="36"/>
      <c r="W4242" s="15">
        <f t="shared" si="449"/>
        <v>0</v>
      </c>
      <c r="X4242" s="36"/>
      <c r="Y4242" s="36"/>
      <c r="Z4242" s="36"/>
      <c r="AA4242" s="36"/>
      <c r="AB4242" s="36"/>
      <c r="AC4242" s="36">
        <v>400</v>
      </c>
      <c r="AD4242" s="36"/>
      <c r="AE4242" s="36"/>
      <c r="AF4242" s="36"/>
      <c r="AG4242" s="36"/>
      <c r="AH4242" s="36"/>
      <c r="AI4242" s="36"/>
      <c r="AJ4242" s="15">
        <f t="shared" si="450"/>
        <v>400</v>
      </c>
      <c r="AK4242" s="14"/>
      <c r="AL4242" s="14"/>
      <c r="AM4242" s="14"/>
      <c r="AN4242" s="14"/>
      <c r="AO4242" s="14"/>
      <c r="AP4242" s="14"/>
      <c r="AQ4242" s="14"/>
      <c r="AR4242" s="14"/>
      <c r="AS4242" s="14"/>
      <c r="AT4242" s="14"/>
      <c r="AU4242" s="14"/>
      <c r="AV4242" s="14"/>
      <c r="AW4242" s="15"/>
      <c r="AX4242" s="16"/>
    </row>
    <row r="4243" spans="2:50" x14ac:dyDescent="0.2">
      <c r="B4243" s="7"/>
      <c r="C4243" s="8">
        <v>14528</v>
      </c>
      <c r="D4243" s="9" t="s">
        <v>608</v>
      </c>
      <c r="E4243" s="10" t="str">
        <f t="shared" si="446"/>
        <v>Rancho Upácuaro No. 146</v>
      </c>
      <c r="F4243" s="10" t="str">
        <f t="shared" si="447"/>
        <v>Islas</v>
      </c>
      <c r="G4243" s="8">
        <v>1</v>
      </c>
      <c r="H4243" s="11">
        <v>1600</v>
      </c>
      <c r="I4243" s="12">
        <v>42890</v>
      </c>
      <c r="J4243" s="35">
        <f t="shared" si="448"/>
        <v>0</v>
      </c>
      <c r="K4243" s="36"/>
      <c r="L4243" s="36"/>
      <c r="M4243" s="36"/>
      <c r="N4243" s="36"/>
      <c r="O4243" s="36"/>
      <c r="P4243" s="36"/>
      <c r="Q4243" s="36"/>
      <c r="R4243" s="36"/>
      <c r="S4243" s="36"/>
      <c r="T4243" s="36"/>
      <c r="U4243" s="36"/>
      <c r="V4243" s="36"/>
      <c r="W4243" s="15">
        <f t="shared" si="449"/>
        <v>0</v>
      </c>
      <c r="X4243" s="36"/>
      <c r="Y4243" s="36"/>
      <c r="Z4243" s="36">
        <v>400</v>
      </c>
      <c r="AA4243" s="36">
        <v>400</v>
      </c>
      <c r="AB4243" s="36">
        <v>400</v>
      </c>
      <c r="AC4243" s="36">
        <v>400</v>
      </c>
      <c r="AD4243" s="36"/>
      <c r="AE4243" s="36"/>
      <c r="AF4243" s="36"/>
      <c r="AG4243" s="36"/>
      <c r="AH4243" s="36"/>
      <c r="AI4243" s="36"/>
      <c r="AJ4243" s="15">
        <f t="shared" si="450"/>
        <v>1600</v>
      </c>
      <c r="AK4243" s="14"/>
      <c r="AL4243" s="14"/>
      <c r="AM4243" s="14"/>
      <c r="AN4243" s="14"/>
      <c r="AO4243" s="14"/>
      <c r="AP4243" s="14"/>
      <c r="AQ4243" s="14"/>
      <c r="AR4243" s="14"/>
      <c r="AS4243" s="14"/>
      <c r="AT4243" s="14"/>
      <c r="AU4243" s="14"/>
      <c r="AV4243" s="14"/>
      <c r="AW4243" s="15"/>
      <c r="AX4243" s="16"/>
    </row>
    <row r="4244" spans="2:50" x14ac:dyDescent="0.2">
      <c r="B4244" s="7"/>
      <c r="C4244" s="8">
        <v>14529</v>
      </c>
      <c r="D4244" s="9" t="s">
        <v>4126</v>
      </c>
      <c r="E4244" s="10" t="str">
        <f t="shared" si="446"/>
        <v>Rancho La Cuchilla No. 72</v>
      </c>
      <c r="F4244" s="10" t="str">
        <f t="shared" si="447"/>
        <v>Ortiz González</v>
      </c>
      <c r="G4244" s="8">
        <v>1</v>
      </c>
      <c r="H4244" s="11">
        <v>400</v>
      </c>
      <c r="I4244" s="12">
        <v>42890</v>
      </c>
      <c r="J4244" s="35">
        <f t="shared" si="448"/>
        <v>0</v>
      </c>
      <c r="K4244" s="36"/>
      <c r="L4244" s="36"/>
      <c r="M4244" s="36"/>
      <c r="N4244" s="36"/>
      <c r="O4244" s="36"/>
      <c r="P4244" s="36"/>
      <c r="Q4244" s="36"/>
      <c r="R4244" s="36"/>
      <c r="S4244" s="36"/>
      <c r="T4244" s="36"/>
      <c r="U4244" s="36"/>
      <c r="V4244" s="36"/>
      <c r="W4244" s="15">
        <f t="shared" si="449"/>
        <v>0</v>
      </c>
      <c r="X4244" s="36"/>
      <c r="Y4244" s="36"/>
      <c r="Z4244" s="36"/>
      <c r="AA4244" s="36"/>
      <c r="AB4244" s="36"/>
      <c r="AC4244" s="36">
        <v>400</v>
      </c>
      <c r="AD4244" s="36"/>
      <c r="AE4244" s="36"/>
      <c r="AF4244" s="36"/>
      <c r="AG4244" s="36"/>
      <c r="AH4244" s="36"/>
      <c r="AI4244" s="36"/>
      <c r="AJ4244" s="15">
        <f t="shared" si="450"/>
        <v>400</v>
      </c>
      <c r="AK4244" s="14"/>
      <c r="AL4244" s="14"/>
      <c r="AM4244" s="14"/>
      <c r="AN4244" s="14"/>
      <c r="AO4244" s="14"/>
      <c r="AP4244" s="14"/>
      <c r="AQ4244" s="14"/>
      <c r="AR4244" s="14"/>
      <c r="AS4244" s="14"/>
      <c r="AT4244" s="14"/>
      <c r="AU4244" s="14"/>
      <c r="AV4244" s="14"/>
      <c r="AW4244" s="15"/>
      <c r="AX4244" s="16"/>
    </row>
    <row r="4245" spans="2:50" x14ac:dyDescent="0.2">
      <c r="B4245" s="7"/>
      <c r="C4245" s="8">
        <v>14530</v>
      </c>
      <c r="D4245" s="9" t="s">
        <v>238</v>
      </c>
      <c r="E4245" s="10" t="str">
        <f t="shared" si="446"/>
        <v>Rancho La Cuchilla No. 43, B</v>
      </c>
      <c r="F4245" s="10" t="str">
        <f t="shared" si="447"/>
        <v>Luna Albertano</v>
      </c>
      <c r="G4245" s="8">
        <v>1</v>
      </c>
      <c r="H4245" s="11">
        <v>125</v>
      </c>
      <c r="I4245" s="12">
        <v>42890</v>
      </c>
      <c r="J4245" s="35">
        <f t="shared" si="448"/>
        <v>0</v>
      </c>
      <c r="K4245" s="36"/>
      <c r="L4245" s="36"/>
      <c r="M4245" s="36"/>
      <c r="N4245" s="36"/>
      <c r="O4245" s="36"/>
      <c r="P4245" s="36"/>
      <c r="Q4245" s="36"/>
      <c r="R4245" s="36"/>
      <c r="S4245" s="36"/>
      <c r="T4245" s="36"/>
      <c r="U4245" s="36"/>
      <c r="V4245" s="36"/>
      <c r="W4245" s="15">
        <f t="shared" si="449"/>
        <v>0</v>
      </c>
      <c r="X4245" s="36"/>
      <c r="Y4245" s="36"/>
      <c r="Z4245" s="36"/>
      <c r="AA4245" s="36"/>
      <c r="AB4245" s="36"/>
      <c r="AC4245" s="36">
        <v>125</v>
      </c>
      <c r="AD4245" s="36"/>
      <c r="AE4245" s="36"/>
      <c r="AF4245" s="36"/>
      <c r="AG4245" s="36"/>
      <c r="AH4245" s="36"/>
      <c r="AI4245" s="36"/>
      <c r="AJ4245" s="15">
        <f t="shared" si="450"/>
        <v>125</v>
      </c>
      <c r="AK4245" s="14"/>
      <c r="AL4245" s="14"/>
      <c r="AM4245" s="14"/>
      <c r="AN4245" s="14"/>
      <c r="AO4245" s="14"/>
      <c r="AP4245" s="14"/>
      <c r="AQ4245" s="14"/>
      <c r="AR4245" s="14"/>
      <c r="AS4245" s="14"/>
      <c r="AT4245" s="14"/>
      <c r="AU4245" s="14"/>
      <c r="AV4245" s="14"/>
      <c r="AW4245" s="15"/>
      <c r="AX4245" s="16"/>
    </row>
    <row r="4246" spans="2:50" x14ac:dyDescent="0.2">
      <c r="B4246" s="7"/>
      <c r="C4246" s="8">
        <v>14531</v>
      </c>
      <c r="D4246" s="9" t="s">
        <v>280</v>
      </c>
      <c r="E4246" s="10" t="str">
        <f t="shared" si="446"/>
        <v>Rancho La Cuchilla No. 40</v>
      </c>
      <c r="F4246" s="10" t="str">
        <f t="shared" si="447"/>
        <v>López Pico</v>
      </c>
      <c r="G4246" s="8">
        <v>1</v>
      </c>
      <c r="H4246" s="11">
        <v>400</v>
      </c>
      <c r="I4246" s="12">
        <v>42890</v>
      </c>
      <c r="J4246" s="35">
        <f t="shared" si="448"/>
        <v>0</v>
      </c>
      <c r="K4246" s="36"/>
      <c r="L4246" s="36"/>
      <c r="M4246" s="36"/>
      <c r="N4246" s="36"/>
      <c r="O4246" s="36"/>
      <c r="P4246" s="36"/>
      <c r="Q4246" s="36"/>
      <c r="R4246" s="36"/>
      <c r="S4246" s="36"/>
      <c r="T4246" s="36"/>
      <c r="U4246" s="36"/>
      <c r="V4246" s="36"/>
      <c r="W4246" s="15">
        <f t="shared" si="449"/>
        <v>0</v>
      </c>
      <c r="X4246" s="36"/>
      <c r="Y4246" s="36"/>
      <c r="Z4246" s="36"/>
      <c r="AA4246" s="36"/>
      <c r="AB4246" s="36"/>
      <c r="AC4246" s="36">
        <v>400</v>
      </c>
      <c r="AD4246" s="36"/>
      <c r="AE4246" s="36"/>
      <c r="AF4246" s="36"/>
      <c r="AG4246" s="36"/>
      <c r="AH4246" s="36"/>
      <c r="AI4246" s="36"/>
      <c r="AJ4246" s="15">
        <f t="shared" si="450"/>
        <v>400</v>
      </c>
      <c r="AK4246" s="14"/>
      <c r="AL4246" s="14"/>
      <c r="AM4246" s="14"/>
      <c r="AN4246" s="14"/>
      <c r="AO4246" s="14"/>
      <c r="AP4246" s="14"/>
      <c r="AQ4246" s="14"/>
      <c r="AR4246" s="14"/>
      <c r="AS4246" s="14"/>
      <c r="AT4246" s="14"/>
      <c r="AU4246" s="14"/>
      <c r="AV4246" s="14"/>
      <c r="AW4246" s="15"/>
      <c r="AX4246" s="16"/>
    </row>
    <row r="4247" spans="2:50" x14ac:dyDescent="0.2">
      <c r="B4247" s="7"/>
      <c r="C4247" s="8">
        <v>14532</v>
      </c>
      <c r="D4247" s="9" t="s">
        <v>171</v>
      </c>
      <c r="E4247" s="10" t="str">
        <f t="shared" si="446"/>
        <v>Rancho La Cuchilla No. 72</v>
      </c>
      <c r="F4247" s="10" t="str">
        <f t="shared" si="447"/>
        <v>Ortiz González</v>
      </c>
      <c r="G4247" s="8">
        <v>1</v>
      </c>
      <c r="H4247" s="11">
        <v>400</v>
      </c>
      <c r="I4247" s="12">
        <v>42890</v>
      </c>
      <c r="J4247" s="35">
        <f t="shared" si="448"/>
        <v>0</v>
      </c>
      <c r="K4247" s="36"/>
      <c r="L4247" s="36"/>
      <c r="M4247" s="36"/>
      <c r="N4247" s="36"/>
      <c r="O4247" s="36"/>
      <c r="P4247" s="36"/>
      <c r="Q4247" s="36"/>
      <c r="R4247" s="36"/>
      <c r="S4247" s="36"/>
      <c r="T4247" s="36"/>
      <c r="U4247" s="36"/>
      <c r="V4247" s="36"/>
      <c r="W4247" s="15">
        <f t="shared" si="449"/>
        <v>0</v>
      </c>
      <c r="X4247" s="36"/>
      <c r="Y4247" s="36"/>
      <c r="Z4247" s="36"/>
      <c r="AA4247" s="36"/>
      <c r="AB4247" s="36">
        <v>400</v>
      </c>
      <c r="AC4247" s="36"/>
      <c r="AD4247" s="36"/>
      <c r="AE4247" s="36"/>
      <c r="AF4247" s="36"/>
      <c r="AG4247" s="36"/>
      <c r="AH4247" s="36"/>
      <c r="AI4247" s="36"/>
      <c r="AJ4247" s="15">
        <f t="shared" si="450"/>
        <v>400</v>
      </c>
      <c r="AK4247" s="14"/>
      <c r="AL4247" s="14"/>
      <c r="AM4247" s="14"/>
      <c r="AN4247" s="14"/>
      <c r="AO4247" s="14"/>
      <c r="AP4247" s="14"/>
      <c r="AQ4247" s="14"/>
      <c r="AR4247" s="14"/>
      <c r="AS4247" s="14"/>
      <c r="AT4247" s="14"/>
      <c r="AU4247" s="14"/>
      <c r="AV4247" s="14"/>
      <c r="AW4247" s="15"/>
      <c r="AX4247" s="16"/>
    </row>
    <row r="4248" spans="2:50" x14ac:dyDescent="0.2">
      <c r="B4248" s="7"/>
      <c r="C4248" s="8">
        <v>14533</v>
      </c>
      <c r="D4248" s="9" t="s">
        <v>100</v>
      </c>
      <c r="E4248" s="10" t="str">
        <f t="shared" si="446"/>
        <v>Rancho Upácuaro No. 32</v>
      </c>
      <c r="F4248" s="10" t="str">
        <f t="shared" si="447"/>
        <v>Sairafi Carmen</v>
      </c>
      <c r="G4248" s="8">
        <v>1</v>
      </c>
      <c r="H4248" s="11">
        <v>400</v>
      </c>
      <c r="I4248" s="12">
        <v>42890</v>
      </c>
      <c r="J4248" s="35">
        <f t="shared" si="448"/>
        <v>0</v>
      </c>
      <c r="K4248" s="36"/>
      <c r="L4248" s="36"/>
      <c r="M4248" s="36"/>
      <c r="N4248" s="36"/>
      <c r="O4248" s="36"/>
      <c r="P4248" s="36"/>
      <c r="Q4248" s="36"/>
      <c r="R4248" s="36"/>
      <c r="S4248" s="36"/>
      <c r="T4248" s="36"/>
      <c r="U4248" s="36"/>
      <c r="V4248" s="36"/>
      <c r="W4248" s="15">
        <f t="shared" si="449"/>
        <v>0</v>
      </c>
      <c r="X4248" s="36"/>
      <c r="Y4248" s="36"/>
      <c r="Z4248" s="36"/>
      <c r="AA4248" s="36"/>
      <c r="AB4248" s="36"/>
      <c r="AC4248" s="36">
        <v>400</v>
      </c>
      <c r="AD4248" s="36"/>
      <c r="AE4248" s="36"/>
      <c r="AF4248" s="36"/>
      <c r="AG4248" s="36"/>
      <c r="AH4248" s="36"/>
      <c r="AI4248" s="36"/>
      <c r="AJ4248" s="15">
        <f t="shared" si="450"/>
        <v>400</v>
      </c>
      <c r="AK4248" s="14"/>
      <c r="AL4248" s="14"/>
      <c r="AM4248" s="14"/>
      <c r="AN4248" s="14"/>
      <c r="AO4248" s="14"/>
      <c r="AP4248" s="14"/>
      <c r="AQ4248" s="14"/>
      <c r="AR4248" s="14"/>
      <c r="AS4248" s="14"/>
      <c r="AT4248" s="14"/>
      <c r="AU4248" s="14"/>
      <c r="AV4248" s="14"/>
      <c r="AW4248" s="15"/>
      <c r="AX4248" s="16"/>
    </row>
    <row r="4249" spans="2:50" x14ac:dyDescent="0.2">
      <c r="B4249" s="7"/>
      <c r="C4249" s="8">
        <v>14534</v>
      </c>
      <c r="D4249" s="9" t="s">
        <v>1020</v>
      </c>
      <c r="E4249" s="10" t="str">
        <f t="shared" si="446"/>
        <v>Rancho Landero No. 52</v>
      </c>
      <c r="F4249" s="10" t="str">
        <f t="shared" si="447"/>
        <v>Feregrino</v>
      </c>
      <c r="G4249" s="8">
        <v>3</v>
      </c>
      <c r="H4249" s="11">
        <v>100</v>
      </c>
      <c r="I4249" s="12">
        <v>42890</v>
      </c>
      <c r="J4249" s="35">
        <f t="shared" si="448"/>
        <v>0</v>
      </c>
      <c r="K4249" s="36"/>
      <c r="L4249" s="36"/>
      <c r="M4249" s="36"/>
      <c r="N4249" s="36"/>
      <c r="O4249" s="36"/>
      <c r="P4249" s="36"/>
      <c r="Q4249" s="36"/>
      <c r="R4249" s="36"/>
      <c r="S4249" s="36"/>
      <c r="T4249" s="36"/>
      <c r="U4249" s="36"/>
      <c r="V4249" s="36"/>
      <c r="W4249" s="15">
        <f t="shared" si="449"/>
        <v>0</v>
      </c>
      <c r="X4249" s="36"/>
      <c r="Y4249" s="36"/>
      <c r="Z4249" s="36"/>
      <c r="AA4249" s="36"/>
      <c r="AB4249" s="36"/>
      <c r="AC4249" s="36"/>
      <c r="AD4249" s="36"/>
      <c r="AE4249" s="36"/>
      <c r="AF4249" s="36"/>
      <c r="AG4249" s="36"/>
      <c r="AH4249" s="36"/>
      <c r="AI4249" s="36"/>
      <c r="AJ4249" s="15">
        <f t="shared" si="450"/>
        <v>0</v>
      </c>
      <c r="AK4249" s="14"/>
      <c r="AL4249" s="14"/>
      <c r="AM4249" s="14"/>
      <c r="AN4249" s="14"/>
      <c r="AO4249" s="14"/>
      <c r="AP4249" s="14"/>
      <c r="AQ4249" s="14"/>
      <c r="AR4249" s="14"/>
      <c r="AS4249" s="14"/>
      <c r="AT4249" s="14"/>
      <c r="AU4249" s="14"/>
      <c r="AV4249" s="14"/>
      <c r="AW4249" s="15"/>
      <c r="AX4249" s="16"/>
    </row>
    <row r="4250" spans="2:50" x14ac:dyDescent="0.2">
      <c r="B4250" s="7"/>
      <c r="C4250" s="8">
        <v>14535</v>
      </c>
      <c r="D4250" s="9" t="s">
        <v>620</v>
      </c>
      <c r="E4250" s="10" t="str">
        <f t="shared" si="441"/>
        <v>Rancho La Cuchilla No. 32</v>
      </c>
      <c r="F4250" s="10" t="str">
        <f t="shared" si="442"/>
        <v>Hernández</v>
      </c>
      <c r="G4250" s="8">
        <v>1</v>
      </c>
      <c r="H4250" s="11">
        <v>800</v>
      </c>
      <c r="I4250" s="12">
        <v>42890</v>
      </c>
      <c r="J4250" s="35">
        <f t="shared" si="443"/>
        <v>0</v>
      </c>
      <c r="K4250" s="36"/>
      <c r="L4250" s="36"/>
      <c r="M4250" s="36"/>
      <c r="N4250" s="36"/>
      <c r="O4250" s="36"/>
      <c r="P4250" s="36"/>
      <c r="Q4250" s="36"/>
      <c r="R4250" s="36"/>
      <c r="S4250" s="36"/>
      <c r="T4250" s="36"/>
      <c r="U4250" s="36"/>
      <c r="V4250" s="36"/>
      <c r="W4250" s="15">
        <f t="shared" si="444"/>
        <v>0</v>
      </c>
      <c r="X4250" s="36"/>
      <c r="Y4250" s="36"/>
      <c r="Z4250" s="36"/>
      <c r="AA4250" s="36">
        <v>400</v>
      </c>
      <c r="AB4250" s="36">
        <v>400</v>
      </c>
      <c r="AC4250" s="36"/>
      <c r="AD4250" s="36"/>
      <c r="AE4250" s="36"/>
      <c r="AF4250" s="36"/>
      <c r="AG4250" s="36"/>
      <c r="AH4250" s="36"/>
      <c r="AI4250" s="36"/>
      <c r="AJ4250" s="15">
        <f t="shared" si="445"/>
        <v>800</v>
      </c>
      <c r="AK4250" s="14"/>
      <c r="AL4250" s="14"/>
      <c r="AM4250" s="14"/>
      <c r="AN4250" s="14"/>
      <c r="AO4250" s="14"/>
      <c r="AP4250" s="14"/>
      <c r="AQ4250" s="14"/>
      <c r="AR4250" s="14"/>
      <c r="AS4250" s="14"/>
      <c r="AT4250" s="14"/>
      <c r="AU4250" s="14"/>
      <c r="AV4250" s="14"/>
      <c r="AW4250" s="15"/>
      <c r="AX4250" s="16"/>
    </row>
    <row r="4251" spans="2:50" x14ac:dyDescent="0.2">
      <c r="B4251" s="7"/>
      <c r="C4251" s="8">
        <v>14536</v>
      </c>
      <c r="D4251" s="9" t="s">
        <v>271</v>
      </c>
      <c r="E4251" s="10" t="str">
        <f t="shared" si="441"/>
        <v>Rancho Landero No. 76</v>
      </c>
      <c r="F4251" s="10" t="str">
        <f t="shared" si="442"/>
        <v>Ugarte</v>
      </c>
      <c r="G4251" s="8">
        <v>1</v>
      </c>
      <c r="H4251" s="11">
        <v>400</v>
      </c>
      <c r="I4251" s="12">
        <v>42890</v>
      </c>
      <c r="J4251" s="35">
        <f t="shared" si="443"/>
        <v>0</v>
      </c>
      <c r="K4251" s="36"/>
      <c r="L4251" s="36"/>
      <c r="M4251" s="36"/>
      <c r="N4251" s="36"/>
      <c r="O4251" s="36"/>
      <c r="P4251" s="36"/>
      <c r="Q4251" s="36"/>
      <c r="R4251" s="36"/>
      <c r="S4251" s="36"/>
      <c r="T4251" s="36"/>
      <c r="U4251" s="36"/>
      <c r="V4251" s="36"/>
      <c r="W4251" s="15">
        <f t="shared" si="444"/>
        <v>0</v>
      </c>
      <c r="X4251" s="36"/>
      <c r="Y4251" s="36"/>
      <c r="Z4251" s="36"/>
      <c r="AA4251" s="36"/>
      <c r="AB4251" s="36"/>
      <c r="AC4251" s="36">
        <v>400</v>
      </c>
      <c r="AD4251" s="36"/>
      <c r="AE4251" s="36"/>
      <c r="AF4251" s="36"/>
      <c r="AG4251" s="36"/>
      <c r="AH4251" s="36"/>
      <c r="AI4251" s="36"/>
      <c r="AJ4251" s="15">
        <f t="shared" si="445"/>
        <v>400</v>
      </c>
      <c r="AK4251" s="14"/>
      <c r="AL4251" s="14"/>
      <c r="AM4251" s="14"/>
      <c r="AN4251" s="14"/>
      <c r="AO4251" s="14"/>
      <c r="AP4251" s="14"/>
      <c r="AQ4251" s="14"/>
      <c r="AR4251" s="14"/>
      <c r="AS4251" s="14"/>
      <c r="AT4251" s="14"/>
      <c r="AU4251" s="14"/>
      <c r="AV4251" s="14"/>
      <c r="AW4251" s="15"/>
      <c r="AX4251" s="16"/>
    </row>
    <row r="4252" spans="2:50" x14ac:dyDescent="0.2">
      <c r="B4252" s="7"/>
      <c r="C4252" s="8">
        <v>14537</v>
      </c>
      <c r="D4252" s="9" t="s">
        <v>550</v>
      </c>
      <c r="E4252" s="10" t="str">
        <f t="shared" si="441"/>
        <v>Rancho Landero No. 89</v>
      </c>
      <c r="F4252" s="10" t="str">
        <f t="shared" si="442"/>
        <v>Del Pozo Solís</v>
      </c>
      <c r="G4252" s="8">
        <v>1</v>
      </c>
      <c r="H4252" s="11">
        <v>500</v>
      </c>
      <c r="I4252" s="12">
        <v>42890</v>
      </c>
      <c r="J4252" s="35">
        <f t="shared" si="443"/>
        <v>0</v>
      </c>
      <c r="K4252" s="36"/>
      <c r="L4252" s="36"/>
      <c r="M4252" s="36"/>
      <c r="N4252" s="36"/>
      <c r="O4252" s="36"/>
      <c r="P4252" s="36"/>
      <c r="Q4252" s="36"/>
      <c r="R4252" s="36"/>
      <c r="S4252" s="36"/>
      <c r="T4252" s="36"/>
      <c r="U4252" s="36"/>
      <c r="V4252" s="36"/>
      <c r="W4252" s="15">
        <f t="shared" si="444"/>
        <v>0</v>
      </c>
      <c r="X4252" s="36"/>
      <c r="Y4252" s="36"/>
      <c r="Z4252" s="36"/>
      <c r="AA4252" s="36"/>
      <c r="AB4252" s="36"/>
      <c r="AC4252" s="36">
        <v>250</v>
      </c>
      <c r="AD4252" s="36">
        <v>250</v>
      </c>
      <c r="AE4252" s="36"/>
      <c r="AF4252" s="36"/>
      <c r="AG4252" s="36"/>
      <c r="AH4252" s="36"/>
      <c r="AI4252" s="36"/>
      <c r="AJ4252" s="15">
        <f t="shared" si="445"/>
        <v>500</v>
      </c>
      <c r="AK4252" s="14"/>
      <c r="AL4252" s="14"/>
      <c r="AM4252" s="14"/>
      <c r="AN4252" s="14"/>
      <c r="AO4252" s="14"/>
      <c r="AP4252" s="14"/>
      <c r="AQ4252" s="14"/>
      <c r="AR4252" s="14"/>
      <c r="AS4252" s="14"/>
      <c r="AT4252" s="14"/>
      <c r="AU4252" s="14"/>
      <c r="AV4252" s="14"/>
      <c r="AW4252" s="15"/>
      <c r="AX4252" s="16"/>
    </row>
    <row r="4253" spans="2:50" x14ac:dyDescent="0.2">
      <c r="B4253" s="7"/>
      <c r="C4253" s="8">
        <v>14538</v>
      </c>
      <c r="D4253" s="9" t="s">
        <v>135</v>
      </c>
      <c r="E4253" s="10" t="str">
        <f t="shared" ref="E4253:E4263" si="451">IF(D4253=0,"",VLOOKUP(D4253,BASE,2,FALSE))</f>
        <v>Rancho Upácuaro No. 70</v>
      </c>
      <c r="F4253" s="10" t="str">
        <f t="shared" ref="F4253:F4263" si="452">IF(D4253=0,"",VLOOKUP(D4253,BASE,3,FALSE))</f>
        <v>Ramírez Tejeda</v>
      </c>
      <c r="G4253" s="8">
        <v>1</v>
      </c>
      <c r="H4253" s="11">
        <v>300</v>
      </c>
      <c r="I4253" s="12">
        <v>42890</v>
      </c>
      <c r="J4253" s="35">
        <f t="shared" ref="J4253:J4263" si="453">IF(G4253=1,SUM(W4253,AJ4253,-H4253),0)</f>
        <v>0</v>
      </c>
      <c r="K4253" s="36"/>
      <c r="L4253" s="36"/>
      <c r="M4253" s="36"/>
      <c r="N4253" s="36"/>
      <c r="O4253" s="36"/>
      <c r="P4253" s="36"/>
      <c r="Q4253" s="36"/>
      <c r="R4253" s="36"/>
      <c r="S4253" s="36"/>
      <c r="T4253" s="36"/>
      <c r="U4253" s="36"/>
      <c r="V4253" s="36"/>
      <c r="W4253" s="15">
        <f t="shared" ref="W4253:W4263" si="454">SUM(K4253:V4253)</f>
        <v>0</v>
      </c>
      <c r="X4253" s="36"/>
      <c r="Y4253" s="36"/>
      <c r="Z4253" s="36"/>
      <c r="AA4253" s="36"/>
      <c r="AB4253" s="36"/>
      <c r="AC4253" s="36">
        <v>300</v>
      </c>
      <c r="AD4253" s="36"/>
      <c r="AE4253" s="36"/>
      <c r="AF4253" s="36"/>
      <c r="AG4253" s="36"/>
      <c r="AH4253" s="36"/>
      <c r="AI4253" s="36"/>
      <c r="AJ4253" s="15">
        <f t="shared" ref="AJ4253:AJ4263" si="455">SUM(X4253:AI4253)</f>
        <v>300</v>
      </c>
      <c r="AK4253" s="14"/>
      <c r="AL4253" s="14"/>
      <c r="AM4253" s="14"/>
      <c r="AN4253" s="14"/>
      <c r="AO4253" s="14"/>
      <c r="AP4253" s="14"/>
      <c r="AQ4253" s="14"/>
      <c r="AR4253" s="14"/>
      <c r="AS4253" s="14"/>
      <c r="AT4253" s="14"/>
      <c r="AU4253" s="14"/>
      <c r="AV4253" s="14"/>
      <c r="AW4253" s="15"/>
      <c r="AX4253" s="16"/>
    </row>
    <row r="4254" spans="2:50" x14ac:dyDescent="0.2">
      <c r="B4254" s="7"/>
      <c r="C4254" s="8">
        <v>14539</v>
      </c>
      <c r="D4254" s="9" t="s">
        <v>301</v>
      </c>
      <c r="E4254" s="10" t="str">
        <f t="shared" si="451"/>
        <v>Rancho Upácuaro No. 51, 2</v>
      </c>
      <c r="F4254" s="10" t="str">
        <f t="shared" si="452"/>
        <v>Santoyo</v>
      </c>
      <c r="G4254" s="8">
        <v>1</v>
      </c>
      <c r="H4254" s="11">
        <v>200</v>
      </c>
      <c r="I4254" s="12">
        <v>42890</v>
      </c>
      <c r="J4254" s="35">
        <f t="shared" si="453"/>
        <v>0</v>
      </c>
      <c r="K4254" s="36"/>
      <c r="L4254" s="36"/>
      <c r="M4254" s="36"/>
      <c r="N4254" s="36"/>
      <c r="O4254" s="36"/>
      <c r="P4254" s="36"/>
      <c r="Q4254" s="36"/>
      <c r="R4254" s="36"/>
      <c r="S4254" s="36"/>
      <c r="T4254" s="36"/>
      <c r="U4254" s="36"/>
      <c r="V4254" s="36"/>
      <c r="W4254" s="15">
        <f t="shared" si="454"/>
        <v>0</v>
      </c>
      <c r="X4254" s="36"/>
      <c r="Y4254" s="36"/>
      <c r="Z4254" s="36"/>
      <c r="AA4254" s="36"/>
      <c r="AB4254" s="36"/>
      <c r="AC4254" s="36">
        <v>200</v>
      </c>
      <c r="AD4254" s="36"/>
      <c r="AE4254" s="36"/>
      <c r="AF4254" s="36"/>
      <c r="AG4254" s="36"/>
      <c r="AH4254" s="36"/>
      <c r="AI4254" s="36"/>
      <c r="AJ4254" s="15">
        <f t="shared" si="455"/>
        <v>200</v>
      </c>
      <c r="AK4254" s="14"/>
      <c r="AL4254" s="14"/>
      <c r="AM4254" s="14"/>
      <c r="AN4254" s="14"/>
      <c r="AO4254" s="14"/>
      <c r="AP4254" s="14"/>
      <c r="AQ4254" s="14"/>
      <c r="AR4254" s="14"/>
      <c r="AS4254" s="14"/>
      <c r="AT4254" s="14"/>
      <c r="AU4254" s="14"/>
      <c r="AV4254" s="14"/>
      <c r="AW4254" s="15"/>
      <c r="AX4254" s="16"/>
    </row>
    <row r="4255" spans="2:50" x14ac:dyDescent="0.2">
      <c r="B4255" s="7"/>
      <c r="C4255" s="8">
        <v>14540</v>
      </c>
      <c r="D4255" s="9" t="s">
        <v>476</v>
      </c>
      <c r="E4255" s="10" t="str">
        <f t="shared" si="451"/>
        <v>Rancho Upácuaro No. 33</v>
      </c>
      <c r="F4255" s="10" t="str">
        <f t="shared" si="452"/>
        <v>Ulloa Miranda</v>
      </c>
      <c r="G4255" s="8">
        <v>1</v>
      </c>
      <c r="H4255" s="11">
        <v>400</v>
      </c>
      <c r="I4255" s="12">
        <v>42890</v>
      </c>
      <c r="J4255" s="35">
        <f t="shared" si="453"/>
        <v>0</v>
      </c>
      <c r="K4255" s="36"/>
      <c r="L4255" s="36"/>
      <c r="M4255" s="36"/>
      <c r="N4255" s="36"/>
      <c r="O4255" s="36"/>
      <c r="P4255" s="36"/>
      <c r="Q4255" s="36"/>
      <c r="R4255" s="36"/>
      <c r="S4255" s="36"/>
      <c r="T4255" s="36"/>
      <c r="U4255" s="36"/>
      <c r="V4255" s="36"/>
      <c r="W4255" s="15">
        <f t="shared" si="454"/>
        <v>0</v>
      </c>
      <c r="X4255" s="36"/>
      <c r="Y4255" s="36"/>
      <c r="Z4255" s="36"/>
      <c r="AA4255" s="36"/>
      <c r="AB4255" s="36"/>
      <c r="AC4255" s="36">
        <v>400</v>
      </c>
      <c r="AD4255" s="36"/>
      <c r="AE4255" s="36"/>
      <c r="AF4255" s="36"/>
      <c r="AG4255" s="36"/>
      <c r="AH4255" s="36"/>
      <c r="AI4255" s="36"/>
      <c r="AJ4255" s="15">
        <f t="shared" si="455"/>
        <v>400</v>
      </c>
      <c r="AK4255" s="14"/>
      <c r="AL4255" s="14"/>
      <c r="AM4255" s="14"/>
      <c r="AN4255" s="14"/>
      <c r="AO4255" s="14"/>
      <c r="AP4255" s="14"/>
      <c r="AQ4255" s="14"/>
      <c r="AR4255" s="14"/>
      <c r="AS4255" s="14"/>
      <c r="AT4255" s="14"/>
      <c r="AU4255" s="14"/>
      <c r="AV4255" s="14"/>
      <c r="AW4255" s="15"/>
      <c r="AX4255" s="16"/>
    </row>
    <row r="4256" spans="2:50" x14ac:dyDescent="0.2">
      <c r="B4256" s="7"/>
      <c r="C4256" s="8">
        <v>14541</v>
      </c>
      <c r="D4256" s="9" t="s">
        <v>479</v>
      </c>
      <c r="E4256" s="10" t="str">
        <f t="shared" si="451"/>
        <v>Rancho Zinamba No. 68</v>
      </c>
      <c r="F4256" s="10" t="str">
        <f t="shared" si="452"/>
        <v>Rivera Villicaña</v>
      </c>
      <c r="G4256" s="8">
        <v>1</v>
      </c>
      <c r="H4256" s="11">
        <v>300</v>
      </c>
      <c r="I4256" s="12">
        <v>42890</v>
      </c>
      <c r="J4256" s="35">
        <f t="shared" si="453"/>
        <v>0</v>
      </c>
      <c r="K4256" s="36"/>
      <c r="L4256" s="36"/>
      <c r="M4256" s="36"/>
      <c r="N4256" s="36"/>
      <c r="O4256" s="36"/>
      <c r="P4256" s="36"/>
      <c r="Q4256" s="36"/>
      <c r="R4256" s="36"/>
      <c r="S4256" s="36"/>
      <c r="T4256" s="36"/>
      <c r="U4256" s="36"/>
      <c r="V4256" s="36"/>
      <c r="W4256" s="15">
        <f t="shared" si="454"/>
        <v>0</v>
      </c>
      <c r="X4256" s="36"/>
      <c r="Y4256" s="36"/>
      <c r="Z4256" s="36"/>
      <c r="AA4256" s="36"/>
      <c r="AB4256" s="36"/>
      <c r="AC4256" s="36">
        <v>300</v>
      </c>
      <c r="AD4256" s="36"/>
      <c r="AE4256" s="36"/>
      <c r="AF4256" s="36"/>
      <c r="AG4256" s="36"/>
      <c r="AH4256" s="36"/>
      <c r="AI4256" s="36"/>
      <c r="AJ4256" s="15">
        <f t="shared" si="455"/>
        <v>300</v>
      </c>
      <c r="AK4256" s="14"/>
      <c r="AL4256" s="14"/>
      <c r="AM4256" s="14"/>
      <c r="AN4256" s="14"/>
      <c r="AO4256" s="14"/>
      <c r="AP4256" s="14"/>
      <c r="AQ4256" s="14"/>
      <c r="AR4256" s="14"/>
      <c r="AS4256" s="14"/>
      <c r="AT4256" s="14"/>
      <c r="AU4256" s="14"/>
      <c r="AV4256" s="14"/>
      <c r="AW4256" s="15"/>
      <c r="AX4256" s="16"/>
    </row>
    <row r="4257" spans="2:50" x14ac:dyDescent="0.2">
      <c r="B4257" s="7"/>
      <c r="C4257" s="8">
        <v>14542</v>
      </c>
      <c r="D4257" s="9" t="s">
        <v>646</v>
      </c>
      <c r="E4257" s="10" t="str">
        <f t="shared" si="451"/>
        <v>Rancho Landero No. 84</v>
      </c>
      <c r="F4257" s="10" t="str">
        <f t="shared" si="452"/>
        <v>Alcántara</v>
      </c>
      <c r="G4257" s="8">
        <v>1</v>
      </c>
      <c r="H4257" s="11">
        <v>750</v>
      </c>
      <c r="I4257" s="12">
        <v>42890</v>
      </c>
      <c r="J4257" s="35">
        <f t="shared" si="453"/>
        <v>0</v>
      </c>
      <c r="K4257" s="36"/>
      <c r="L4257" s="36"/>
      <c r="M4257" s="36"/>
      <c r="N4257" s="36"/>
      <c r="O4257" s="36"/>
      <c r="P4257" s="36"/>
      <c r="Q4257" s="36"/>
      <c r="R4257" s="36"/>
      <c r="S4257" s="36"/>
      <c r="T4257" s="36"/>
      <c r="U4257" s="36"/>
      <c r="V4257" s="36"/>
      <c r="W4257" s="15">
        <f t="shared" si="454"/>
        <v>0</v>
      </c>
      <c r="X4257" s="36"/>
      <c r="Y4257" s="36"/>
      <c r="Z4257" s="36"/>
      <c r="AA4257" s="36">
        <v>250</v>
      </c>
      <c r="AB4257" s="36">
        <v>250</v>
      </c>
      <c r="AC4257" s="36">
        <v>250</v>
      </c>
      <c r="AD4257" s="36"/>
      <c r="AE4257" s="36"/>
      <c r="AF4257" s="36"/>
      <c r="AG4257" s="36"/>
      <c r="AH4257" s="36"/>
      <c r="AI4257" s="36"/>
      <c r="AJ4257" s="15">
        <f t="shared" si="455"/>
        <v>750</v>
      </c>
      <c r="AK4257" s="14"/>
      <c r="AL4257" s="14"/>
      <c r="AM4257" s="14"/>
      <c r="AN4257" s="14"/>
      <c r="AO4257" s="14"/>
      <c r="AP4257" s="14"/>
      <c r="AQ4257" s="14"/>
      <c r="AR4257" s="14"/>
      <c r="AS4257" s="14"/>
      <c r="AT4257" s="14"/>
      <c r="AU4257" s="14"/>
      <c r="AV4257" s="14"/>
      <c r="AW4257" s="15"/>
      <c r="AX4257" s="16"/>
    </row>
    <row r="4258" spans="2:50" x14ac:dyDescent="0.2">
      <c r="B4258" s="7"/>
      <c r="C4258" s="8">
        <v>14543</v>
      </c>
      <c r="D4258" s="9" t="s">
        <v>109</v>
      </c>
      <c r="E4258" s="10" t="str">
        <f t="shared" si="451"/>
        <v>Rancho Estanzuela No. 31</v>
      </c>
      <c r="F4258" s="10" t="str">
        <f t="shared" si="452"/>
        <v>Chávez Valdés</v>
      </c>
      <c r="G4258" s="8">
        <v>1</v>
      </c>
      <c r="H4258" s="11">
        <v>400</v>
      </c>
      <c r="I4258" s="12">
        <v>42890</v>
      </c>
      <c r="J4258" s="35">
        <f t="shared" si="453"/>
        <v>0</v>
      </c>
      <c r="K4258" s="36"/>
      <c r="L4258" s="36"/>
      <c r="M4258" s="36"/>
      <c r="N4258" s="36"/>
      <c r="O4258" s="36"/>
      <c r="P4258" s="36"/>
      <c r="Q4258" s="36"/>
      <c r="R4258" s="36"/>
      <c r="S4258" s="36"/>
      <c r="T4258" s="36"/>
      <c r="U4258" s="36"/>
      <c r="V4258" s="36"/>
      <c r="W4258" s="15">
        <f t="shared" si="454"/>
        <v>0</v>
      </c>
      <c r="X4258" s="36"/>
      <c r="Y4258" s="36"/>
      <c r="Z4258" s="36"/>
      <c r="AA4258" s="36">
        <v>400</v>
      </c>
      <c r="AB4258" s="36"/>
      <c r="AC4258" s="36"/>
      <c r="AD4258" s="36"/>
      <c r="AE4258" s="36"/>
      <c r="AF4258" s="36"/>
      <c r="AG4258" s="36"/>
      <c r="AH4258" s="36"/>
      <c r="AI4258" s="36"/>
      <c r="AJ4258" s="15">
        <f t="shared" si="455"/>
        <v>400</v>
      </c>
      <c r="AK4258" s="14"/>
      <c r="AL4258" s="14"/>
      <c r="AM4258" s="14"/>
      <c r="AN4258" s="14"/>
      <c r="AO4258" s="14"/>
      <c r="AP4258" s="14"/>
      <c r="AQ4258" s="14"/>
      <c r="AR4258" s="14"/>
      <c r="AS4258" s="14"/>
      <c r="AT4258" s="14"/>
      <c r="AU4258" s="14"/>
      <c r="AV4258" s="14"/>
      <c r="AW4258" s="15"/>
      <c r="AX4258" s="16"/>
    </row>
    <row r="4259" spans="2:50" x14ac:dyDescent="0.2">
      <c r="B4259" s="7"/>
      <c r="C4259" s="8">
        <v>14544</v>
      </c>
      <c r="D4259" s="9" t="s">
        <v>123</v>
      </c>
      <c r="E4259" s="10" t="str">
        <f t="shared" si="451"/>
        <v>Rancho Recoveco No. 175, B</v>
      </c>
      <c r="F4259" s="10" t="str">
        <f t="shared" si="452"/>
        <v>García Calderón</v>
      </c>
      <c r="G4259" s="8">
        <v>1</v>
      </c>
      <c r="H4259" s="11">
        <v>250</v>
      </c>
      <c r="I4259" s="12">
        <v>42890</v>
      </c>
      <c r="J4259" s="35">
        <f t="shared" si="453"/>
        <v>0</v>
      </c>
      <c r="K4259" s="36"/>
      <c r="L4259" s="36"/>
      <c r="M4259" s="36"/>
      <c r="N4259" s="36"/>
      <c r="O4259" s="36"/>
      <c r="P4259" s="36"/>
      <c r="Q4259" s="36"/>
      <c r="R4259" s="36"/>
      <c r="S4259" s="36"/>
      <c r="T4259" s="36"/>
      <c r="U4259" s="36"/>
      <c r="V4259" s="36"/>
      <c r="W4259" s="15">
        <f t="shared" si="454"/>
        <v>0</v>
      </c>
      <c r="X4259" s="36"/>
      <c r="Y4259" s="36"/>
      <c r="Z4259" s="36"/>
      <c r="AA4259" s="36"/>
      <c r="AB4259" s="36"/>
      <c r="AC4259" s="36">
        <v>250</v>
      </c>
      <c r="AD4259" s="36"/>
      <c r="AE4259" s="36"/>
      <c r="AF4259" s="36"/>
      <c r="AG4259" s="36"/>
      <c r="AH4259" s="36"/>
      <c r="AI4259" s="36"/>
      <c r="AJ4259" s="15">
        <f t="shared" si="455"/>
        <v>250</v>
      </c>
      <c r="AK4259" s="14"/>
      <c r="AL4259" s="14"/>
      <c r="AM4259" s="14"/>
      <c r="AN4259" s="14"/>
      <c r="AO4259" s="14"/>
      <c r="AP4259" s="14"/>
      <c r="AQ4259" s="14"/>
      <c r="AR4259" s="14"/>
      <c r="AS4259" s="14"/>
      <c r="AT4259" s="14"/>
      <c r="AU4259" s="14"/>
      <c r="AV4259" s="14"/>
      <c r="AW4259" s="15"/>
      <c r="AX4259" s="16"/>
    </row>
    <row r="4260" spans="2:50" x14ac:dyDescent="0.2">
      <c r="B4260" s="7"/>
      <c r="C4260" s="8">
        <v>14545</v>
      </c>
      <c r="D4260" s="9" t="s">
        <v>772</v>
      </c>
      <c r="E4260" s="10" t="str">
        <f t="shared" si="451"/>
        <v>Rancho La Cuchilla No. 79</v>
      </c>
      <c r="F4260" s="10" t="str">
        <f t="shared" si="452"/>
        <v>De la Rosa</v>
      </c>
      <c r="G4260" s="8">
        <v>1</v>
      </c>
      <c r="H4260" s="11">
        <v>400</v>
      </c>
      <c r="I4260" s="12">
        <v>42890</v>
      </c>
      <c r="J4260" s="35">
        <f t="shared" si="453"/>
        <v>0</v>
      </c>
      <c r="K4260" s="36"/>
      <c r="L4260" s="36"/>
      <c r="M4260" s="36"/>
      <c r="N4260" s="36"/>
      <c r="O4260" s="36"/>
      <c r="P4260" s="36"/>
      <c r="Q4260" s="36"/>
      <c r="R4260" s="36"/>
      <c r="S4260" s="36"/>
      <c r="T4260" s="36"/>
      <c r="U4260" s="36"/>
      <c r="V4260" s="36"/>
      <c r="W4260" s="15">
        <f t="shared" si="454"/>
        <v>0</v>
      </c>
      <c r="X4260" s="36"/>
      <c r="Y4260" s="36"/>
      <c r="Z4260" s="36"/>
      <c r="AA4260" s="36"/>
      <c r="AB4260" s="36">
        <v>200</v>
      </c>
      <c r="AC4260" s="36">
        <v>200</v>
      </c>
      <c r="AD4260" s="36"/>
      <c r="AE4260" s="36"/>
      <c r="AF4260" s="36"/>
      <c r="AG4260" s="36"/>
      <c r="AH4260" s="36"/>
      <c r="AI4260" s="36"/>
      <c r="AJ4260" s="15">
        <f t="shared" si="455"/>
        <v>400</v>
      </c>
      <c r="AK4260" s="14"/>
      <c r="AL4260" s="14"/>
      <c r="AM4260" s="14"/>
      <c r="AN4260" s="14"/>
      <c r="AO4260" s="14"/>
      <c r="AP4260" s="14"/>
      <c r="AQ4260" s="14"/>
      <c r="AR4260" s="14"/>
      <c r="AS4260" s="14"/>
      <c r="AT4260" s="14"/>
      <c r="AU4260" s="14"/>
      <c r="AV4260" s="14"/>
      <c r="AW4260" s="15"/>
      <c r="AX4260" s="16"/>
    </row>
    <row r="4261" spans="2:50" x14ac:dyDescent="0.2">
      <c r="B4261" s="7"/>
      <c r="C4261" s="8">
        <v>14546</v>
      </c>
      <c r="D4261" s="9" t="s">
        <v>1276</v>
      </c>
      <c r="E4261" s="10" t="str">
        <f t="shared" si="451"/>
        <v>Rancho La Cuchilla No. 63</v>
      </c>
      <c r="F4261" s="10" t="str">
        <f t="shared" si="452"/>
        <v>Díaz de la Rosa</v>
      </c>
      <c r="G4261" s="8">
        <v>1</v>
      </c>
      <c r="H4261" s="11">
        <v>200</v>
      </c>
      <c r="I4261" s="12">
        <v>42890</v>
      </c>
      <c r="J4261" s="35">
        <f t="shared" si="453"/>
        <v>0</v>
      </c>
      <c r="K4261" s="36"/>
      <c r="L4261" s="36"/>
      <c r="M4261" s="36"/>
      <c r="N4261" s="36"/>
      <c r="O4261" s="36"/>
      <c r="P4261" s="36"/>
      <c r="Q4261" s="36"/>
      <c r="R4261" s="36"/>
      <c r="S4261" s="36"/>
      <c r="T4261" s="36"/>
      <c r="U4261" s="36"/>
      <c r="V4261" s="36"/>
      <c r="W4261" s="15">
        <f t="shared" si="454"/>
        <v>0</v>
      </c>
      <c r="X4261" s="36"/>
      <c r="Y4261" s="36"/>
      <c r="Z4261" s="36"/>
      <c r="AA4261" s="36"/>
      <c r="AB4261" s="36">
        <v>200</v>
      </c>
      <c r="AC4261" s="36"/>
      <c r="AD4261" s="36"/>
      <c r="AE4261" s="36"/>
      <c r="AF4261" s="36"/>
      <c r="AG4261" s="36"/>
      <c r="AH4261" s="36"/>
      <c r="AI4261" s="36"/>
      <c r="AJ4261" s="15">
        <f t="shared" si="455"/>
        <v>200</v>
      </c>
      <c r="AK4261" s="14"/>
      <c r="AL4261" s="14"/>
      <c r="AM4261" s="14"/>
      <c r="AN4261" s="14"/>
      <c r="AO4261" s="14"/>
      <c r="AP4261" s="14"/>
      <c r="AQ4261" s="14"/>
      <c r="AR4261" s="14"/>
      <c r="AS4261" s="14"/>
      <c r="AT4261" s="14"/>
      <c r="AU4261" s="14"/>
      <c r="AV4261" s="14"/>
      <c r="AW4261" s="15"/>
      <c r="AX4261" s="16"/>
    </row>
    <row r="4262" spans="2:50" x14ac:dyDescent="0.2">
      <c r="B4262" s="7"/>
      <c r="C4262" s="8">
        <v>14547</v>
      </c>
      <c r="D4262" s="9" t="s">
        <v>538</v>
      </c>
      <c r="E4262" s="10" t="str">
        <f t="shared" si="451"/>
        <v>Rancho Landero No. 73</v>
      </c>
      <c r="F4262" s="10" t="str">
        <f t="shared" si="452"/>
        <v>Islas Palacios</v>
      </c>
      <c r="G4262" s="8">
        <v>1</v>
      </c>
      <c r="H4262" s="11">
        <v>400</v>
      </c>
      <c r="I4262" s="12">
        <v>42890</v>
      </c>
      <c r="J4262" s="35">
        <f t="shared" si="453"/>
        <v>0</v>
      </c>
      <c r="K4262" s="36"/>
      <c r="L4262" s="36"/>
      <c r="M4262" s="36"/>
      <c r="N4262" s="36"/>
      <c r="O4262" s="36"/>
      <c r="P4262" s="36"/>
      <c r="Q4262" s="36"/>
      <c r="R4262" s="36"/>
      <c r="S4262" s="36"/>
      <c r="T4262" s="36"/>
      <c r="U4262" s="36"/>
      <c r="V4262" s="36"/>
      <c r="W4262" s="15">
        <f t="shared" si="454"/>
        <v>0</v>
      </c>
      <c r="X4262" s="36"/>
      <c r="Y4262" s="36"/>
      <c r="Z4262" s="36"/>
      <c r="AA4262" s="36"/>
      <c r="AB4262" s="36">
        <v>400</v>
      </c>
      <c r="AC4262" s="36"/>
      <c r="AD4262" s="36"/>
      <c r="AE4262" s="36"/>
      <c r="AF4262" s="36"/>
      <c r="AG4262" s="36"/>
      <c r="AH4262" s="36"/>
      <c r="AI4262" s="36"/>
      <c r="AJ4262" s="15">
        <f t="shared" si="455"/>
        <v>400</v>
      </c>
      <c r="AK4262" s="14"/>
      <c r="AL4262" s="14"/>
      <c r="AM4262" s="14"/>
      <c r="AN4262" s="14"/>
      <c r="AO4262" s="14"/>
      <c r="AP4262" s="14"/>
      <c r="AQ4262" s="14"/>
      <c r="AR4262" s="14"/>
      <c r="AS4262" s="14"/>
      <c r="AT4262" s="14"/>
      <c r="AU4262" s="14"/>
      <c r="AV4262" s="14"/>
      <c r="AW4262" s="15"/>
      <c r="AX4262" s="16"/>
    </row>
    <row r="4263" spans="2:50" x14ac:dyDescent="0.2">
      <c r="B4263" s="7"/>
      <c r="C4263" s="8">
        <v>14548</v>
      </c>
      <c r="D4263" s="9" t="s">
        <v>734</v>
      </c>
      <c r="E4263" s="10" t="str">
        <f t="shared" si="451"/>
        <v>Rancho La Cuchilla No. 73</v>
      </c>
      <c r="F4263" s="10" t="str">
        <f t="shared" si="452"/>
        <v>Cooper</v>
      </c>
      <c r="G4263" s="8">
        <v>1</v>
      </c>
      <c r="H4263" s="11">
        <v>2400</v>
      </c>
      <c r="I4263" s="12">
        <v>42890</v>
      </c>
      <c r="J4263" s="35">
        <f t="shared" si="453"/>
        <v>0</v>
      </c>
      <c r="K4263" s="36"/>
      <c r="L4263" s="36"/>
      <c r="M4263" s="36"/>
      <c r="N4263" s="36"/>
      <c r="O4263" s="36"/>
      <c r="P4263" s="36"/>
      <c r="Q4263" s="36"/>
      <c r="R4263" s="36"/>
      <c r="S4263" s="36"/>
      <c r="T4263" s="36"/>
      <c r="U4263" s="36"/>
      <c r="V4263" s="36"/>
      <c r="W4263" s="15">
        <f t="shared" si="454"/>
        <v>0</v>
      </c>
      <c r="X4263" s="36">
        <v>400</v>
      </c>
      <c r="Y4263" s="36">
        <v>400</v>
      </c>
      <c r="Z4263" s="36">
        <v>400</v>
      </c>
      <c r="AA4263" s="36">
        <v>400</v>
      </c>
      <c r="AB4263" s="36">
        <v>400</v>
      </c>
      <c r="AC4263" s="36">
        <v>400</v>
      </c>
      <c r="AD4263" s="36"/>
      <c r="AE4263" s="36"/>
      <c r="AF4263" s="36"/>
      <c r="AG4263" s="36"/>
      <c r="AH4263" s="36"/>
      <c r="AI4263" s="36"/>
      <c r="AJ4263" s="15">
        <f t="shared" si="455"/>
        <v>2400</v>
      </c>
      <c r="AK4263" s="14"/>
      <c r="AL4263" s="14"/>
      <c r="AM4263" s="14"/>
      <c r="AN4263" s="14"/>
      <c r="AO4263" s="14"/>
      <c r="AP4263" s="14"/>
      <c r="AQ4263" s="14"/>
      <c r="AR4263" s="14"/>
      <c r="AS4263" s="14"/>
      <c r="AT4263" s="14"/>
      <c r="AU4263" s="14"/>
      <c r="AV4263" s="14"/>
      <c r="AW4263" s="15"/>
      <c r="AX4263" s="16"/>
    </row>
    <row r="4264" spans="2:50" x14ac:dyDescent="0.2">
      <c r="B4264" s="7"/>
      <c r="C4264" s="8">
        <v>14549</v>
      </c>
      <c r="D4264" s="9" t="s">
        <v>174</v>
      </c>
      <c r="E4264" s="10" t="str">
        <f t="shared" ref="E4264:E4315" si="456">IF(D4264=0,"",VLOOKUP(D4264,BASE,2,FALSE))</f>
        <v>Rancho Upácuaro No. 18</v>
      </c>
      <c r="F4264" s="10" t="str">
        <f t="shared" ref="F4264:F4315" si="457">IF(D4264=0,"",VLOOKUP(D4264,BASE,3,FALSE))</f>
        <v>Guzmán</v>
      </c>
      <c r="G4264" s="8">
        <v>1</v>
      </c>
      <c r="H4264" s="11">
        <v>300</v>
      </c>
      <c r="I4264" s="12">
        <v>42890</v>
      </c>
      <c r="J4264" s="35">
        <f t="shared" ref="J4264:J4315" si="458">IF(G4264=1,SUM(W4264,AJ4264,-H4264),0)</f>
        <v>0</v>
      </c>
      <c r="K4264" s="36"/>
      <c r="L4264" s="36"/>
      <c r="M4264" s="36"/>
      <c r="N4264" s="36"/>
      <c r="O4264" s="36"/>
      <c r="P4264" s="36"/>
      <c r="Q4264" s="36"/>
      <c r="R4264" s="36"/>
      <c r="S4264" s="36"/>
      <c r="T4264" s="36"/>
      <c r="U4264" s="36"/>
      <c r="V4264" s="36"/>
      <c r="W4264" s="15">
        <f t="shared" ref="W4264:W4315" si="459">SUM(K4264:V4264)</f>
        <v>0</v>
      </c>
      <c r="X4264" s="36"/>
      <c r="Y4264" s="36"/>
      <c r="Z4264" s="36"/>
      <c r="AA4264" s="36"/>
      <c r="AB4264" s="36"/>
      <c r="AC4264" s="36">
        <v>300</v>
      </c>
      <c r="AD4264" s="36"/>
      <c r="AE4264" s="36"/>
      <c r="AF4264" s="36"/>
      <c r="AG4264" s="36"/>
      <c r="AH4264" s="36"/>
      <c r="AI4264" s="36"/>
      <c r="AJ4264" s="15">
        <f t="shared" ref="AJ4264:AJ4315" si="460">SUM(X4264:AI4264)</f>
        <v>300</v>
      </c>
      <c r="AK4264" s="14"/>
      <c r="AL4264" s="14"/>
      <c r="AM4264" s="14"/>
      <c r="AN4264" s="14"/>
      <c r="AO4264" s="14"/>
      <c r="AP4264" s="14"/>
      <c r="AQ4264" s="14"/>
      <c r="AR4264" s="14"/>
      <c r="AS4264" s="14"/>
      <c r="AT4264" s="14"/>
      <c r="AU4264" s="14"/>
      <c r="AV4264" s="14"/>
      <c r="AW4264" s="15"/>
      <c r="AX4264" s="16"/>
    </row>
    <row r="4265" spans="2:50" x14ac:dyDescent="0.2">
      <c r="B4265" s="7"/>
      <c r="C4265" s="8">
        <v>14550</v>
      </c>
      <c r="D4265" s="9" t="s">
        <v>437</v>
      </c>
      <c r="E4265" s="10" t="str">
        <f t="shared" si="456"/>
        <v>Rancho Upácuaro No. 47</v>
      </c>
      <c r="F4265" s="10" t="str">
        <f t="shared" si="457"/>
        <v>Flores Muñoz</v>
      </c>
      <c r="G4265" s="8">
        <v>1</v>
      </c>
      <c r="H4265" s="11">
        <v>400</v>
      </c>
      <c r="I4265" s="12">
        <v>42890</v>
      </c>
      <c r="J4265" s="35">
        <f t="shared" si="458"/>
        <v>0</v>
      </c>
      <c r="K4265" s="36"/>
      <c r="L4265" s="36"/>
      <c r="M4265" s="36"/>
      <c r="N4265" s="36"/>
      <c r="O4265" s="36"/>
      <c r="P4265" s="36"/>
      <c r="Q4265" s="36"/>
      <c r="R4265" s="36"/>
      <c r="S4265" s="36"/>
      <c r="T4265" s="36"/>
      <c r="U4265" s="36"/>
      <c r="V4265" s="36"/>
      <c r="W4265" s="15">
        <f t="shared" si="459"/>
        <v>0</v>
      </c>
      <c r="X4265" s="36"/>
      <c r="Y4265" s="36"/>
      <c r="Z4265" s="36"/>
      <c r="AA4265" s="36"/>
      <c r="AB4265" s="36"/>
      <c r="AC4265" s="36">
        <v>400</v>
      </c>
      <c r="AD4265" s="36"/>
      <c r="AE4265" s="36"/>
      <c r="AF4265" s="36"/>
      <c r="AG4265" s="36"/>
      <c r="AH4265" s="36"/>
      <c r="AI4265" s="36"/>
      <c r="AJ4265" s="15">
        <f t="shared" si="460"/>
        <v>400</v>
      </c>
      <c r="AK4265" s="14"/>
      <c r="AL4265" s="14"/>
      <c r="AM4265" s="14"/>
      <c r="AN4265" s="14"/>
      <c r="AO4265" s="14"/>
      <c r="AP4265" s="14"/>
      <c r="AQ4265" s="14"/>
      <c r="AR4265" s="14"/>
      <c r="AS4265" s="14"/>
      <c r="AT4265" s="14"/>
      <c r="AU4265" s="14"/>
      <c r="AV4265" s="14"/>
      <c r="AW4265" s="15"/>
      <c r="AX4265" s="16"/>
    </row>
    <row r="4266" spans="2:50" x14ac:dyDescent="0.2">
      <c r="B4266" s="7"/>
      <c r="C4266" s="8">
        <v>14551</v>
      </c>
      <c r="D4266" s="9" t="s">
        <v>911</v>
      </c>
      <c r="E4266" s="10" t="str">
        <f t="shared" si="456"/>
        <v>Rancho Estanzuela No. 19</v>
      </c>
      <c r="F4266" s="10" t="str">
        <f t="shared" si="457"/>
        <v>Robles</v>
      </c>
      <c r="G4266" s="8">
        <v>1</v>
      </c>
      <c r="H4266" s="11">
        <v>400</v>
      </c>
      <c r="I4266" s="12">
        <v>42890</v>
      </c>
      <c r="J4266" s="35">
        <f t="shared" si="458"/>
        <v>0</v>
      </c>
      <c r="K4266" s="36"/>
      <c r="L4266" s="36"/>
      <c r="M4266" s="36"/>
      <c r="N4266" s="36"/>
      <c r="O4266" s="36"/>
      <c r="P4266" s="36"/>
      <c r="Q4266" s="36"/>
      <c r="R4266" s="36"/>
      <c r="S4266" s="36"/>
      <c r="T4266" s="36"/>
      <c r="U4266" s="36"/>
      <c r="V4266" s="36"/>
      <c r="W4266" s="15">
        <f t="shared" si="459"/>
        <v>0</v>
      </c>
      <c r="X4266" s="36"/>
      <c r="Y4266" s="36"/>
      <c r="Z4266" s="36"/>
      <c r="AA4266" s="36"/>
      <c r="AB4266" s="36">
        <v>400</v>
      </c>
      <c r="AC4266" s="36"/>
      <c r="AD4266" s="36"/>
      <c r="AE4266" s="36"/>
      <c r="AF4266" s="36"/>
      <c r="AG4266" s="36"/>
      <c r="AH4266" s="36"/>
      <c r="AI4266" s="36"/>
      <c r="AJ4266" s="15">
        <f t="shared" si="460"/>
        <v>400</v>
      </c>
      <c r="AK4266" s="14"/>
      <c r="AL4266" s="14"/>
      <c r="AM4266" s="14"/>
      <c r="AN4266" s="14"/>
      <c r="AO4266" s="14"/>
      <c r="AP4266" s="14"/>
      <c r="AQ4266" s="14"/>
      <c r="AR4266" s="14"/>
      <c r="AS4266" s="14"/>
      <c r="AT4266" s="14"/>
      <c r="AU4266" s="14"/>
      <c r="AV4266" s="14"/>
      <c r="AW4266" s="15"/>
      <c r="AX4266" s="16"/>
    </row>
    <row r="4267" spans="2:50" x14ac:dyDescent="0.2">
      <c r="B4267" s="7"/>
      <c r="C4267" s="8">
        <v>14552</v>
      </c>
      <c r="D4267" s="9" t="s">
        <v>696</v>
      </c>
      <c r="E4267" s="10" t="str">
        <f t="shared" si="456"/>
        <v>Rancho Upácuaro No. 64</v>
      </c>
      <c r="F4267" s="10" t="str">
        <f t="shared" si="457"/>
        <v>Méndez Oliva</v>
      </c>
      <c r="G4267" s="8">
        <v>1</v>
      </c>
      <c r="H4267" s="11">
        <v>300</v>
      </c>
      <c r="I4267" s="12">
        <v>42890</v>
      </c>
      <c r="J4267" s="35">
        <f t="shared" si="458"/>
        <v>0</v>
      </c>
      <c r="K4267" s="36"/>
      <c r="L4267" s="36"/>
      <c r="M4267" s="36"/>
      <c r="N4267" s="36"/>
      <c r="O4267" s="36"/>
      <c r="P4267" s="36"/>
      <c r="Q4267" s="36"/>
      <c r="R4267" s="36"/>
      <c r="S4267" s="36"/>
      <c r="T4267" s="36"/>
      <c r="U4267" s="36"/>
      <c r="V4267" s="36"/>
      <c r="W4267" s="15">
        <f t="shared" si="459"/>
        <v>0</v>
      </c>
      <c r="X4267" s="36"/>
      <c r="Y4267" s="36"/>
      <c r="Z4267" s="36"/>
      <c r="AA4267" s="36"/>
      <c r="AB4267" s="36"/>
      <c r="AC4267" s="36">
        <v>300</v>
      </c>
      <c r="AD4267" s="36"/>
      <c r="AE4267" s="36"/>
      <c r="AF4267" s="36"/>
      <c r="AG4267" s="36"/>
      <c r="AH4267" s="36"/>
      <c r="AI4267" s="36"/>
      <c r="AJ4267" s="15">
        <f t="shared" si="460"/>
        <v>300</v>
      </c>
      <c r="AK4267" s="14"/>
      <c r="AL4267" s="14"/>
      <c r="AM4267" s="14"/>
      <c r="AN4267" s="14"/>
      <c r="AO4267" s="14"/>
      <c r="AP4267" s="14"/>
      <c r="AQ4267" s="14"/>
      <c r="AR4267" s="14"/>
      <c r="AS4267" s="14"/>
      <c r="AT4267" s="14"/>
      <c r="AU4267" s="14"/>
      <c r="AV4267" s="14"/>
      <c r="AW4267" s="15"/>
      <c r="AX4267" s="16"/>
    </row>
    <row r="4268" spans="2:50" x14ac:dyDescent="0.2">
      <c r="B4268" s="7"/>
      <c r="C4268" s="8">
        <v>14553</v>
      </c>
      <c r="D4268" s="9" t="s">
        <v>331</v>
      </c>
      <c r="E4268" s="10" t="str">
        <f t="shared" si="456"/>
        <v>Rancho Recoveco No. 197</v>
      </c>
      <c r="F4268" s="10" t="str">
        <f t="shared" si="457"/>
        <v>Colín González</v>
      </c>
      <c r="G4268" s="8">
        <v>1</v>
      </c>
      <c r="H4268" s="11">
        <v>400</v>
      </c>
      <c r="I4268" s="12">
        <v>42890</v>
      </c>
      <c r="J4268" s="35">
        <f t="shared" si="458"/>
        <v>0</v>
      </c>
      <c r="K4268" s="36"/>
      <c r="L4268" s="36"/>
      <c r="M4268" s="36"/>
      <c r="N4268" s="36"/>
      <c r="O4268" s="36"/>
      <c r="P4268" s="36"/>
      <c r="Q4268" s="36"/>
      <c r="R4268" s="36"/>
      <c r="S4268" s="36"/>
      <c r="T4268" s="36"/>
      <c r="U4268" s="36"/>
      <c r="V4268" s="36"/>
      <c r="W4268" s="15">
        <f t="shared" si="459"/>
        <v>0</v>
      </c>
      <c r="X4268" s="36"/>
      <c r="Y4268" s="36"/>
      <c r="Z4268" s="36"/>
      <c r="AA4268" s="36"/>
      <c r="AB4268" s="36"/>
      <c r="AC4268" s="36">
        <v>400</v>
      </c>
      <c r="AD4268" s="36"/>
      <c r="AE4268" s="36"/>
      <c r="AF4268" s="36"/>
      <c r="AG4268" s="36"/>
      <c r="AH4268" s="36"/>
      <c r="AI4268" s="36"/>
      <c r="AJ4268" s="15">
        <f t="shared" si="460"/>
        <v>400</v>
      </c>
      <c r="AK4268" s="14"/>
      <c r="AL4268" s="14"/>
      <c r="AM4268" s="14"/>
      <c r="AN4268" s="14"/>
      <c r="AO4268" s="14"/>
      <c r="AP4268" s="14"/>
      <c r="AQ4268" s="14"/>
      <c r="AR4268" s="14"/>
      <c r="AS4268" s="14"/>
      <c r="AT4268" s="14"/>
      <c r="AU4268" s="14"/>
      <c r="AV4268" s="14"/>
      <c r="AW4268" s="15"/>
      <c r="AX4268" s="16"/>
    </row>
    <row r="4269" spans="2:50" x14ac:dyDescent="0.2">
      <c r="B4269" s="7"/>
      <c r="C4269" s="8">
        <v>14554</v>
      </c>
      <c r="D4269" s="9" t="s">
        <v>177</v>
      </c>
      <c r="E4269" s="10" t="str">
        <f t="shared" si="456"/>
        <v>Rancho Landero No. 71</v>
      </c>
      <c r="F4269" s="10" t="str">
        <f t="shared" si="457"/>
        <v xml:space="preserve">Luna  </v>
      </c>
      <c r="G4269" s="8">
        <v>1</v>
      </c>
      <c r="H4269" s="11">
        <v>400</v>
      </c>
      <c r="I4269" s="12">
        <v>42890</v>
      </c>
      <c r="J4269" s="35">
        <f t="shared" si="458"/>
        <v>0</v>
      </c>
      <c r="K4269" s="36"/>
      <c r="L4269" s="36"/>
      <c r="M4269" s="36"/>
      <c r="N4269" s="36"/>
      <c r="O4269" s="36"/>
      <c r="P4269" s="36"/>
      <c r="Q4269" s="36"/>
      <c r="R4269" s="36"/>
      <c r="S4269" s="36"/>
      <c r="T4269" s="36"/>
      <c r="U4269" s="36"/>
      <c r="V4269" s="36"/>
      <c r="W4269" s="15">
        <f t="shared" si="459"/>
        <v>0</v>
      </c>
      <c r="X4269" s="36"/>
      <c r="Y4269" s="36"/>
      <c r="Z4269" s="36"/>
      <c r="AA4269" s="36"/>
      <c r="AB4269" s="36">
        <v>400</v>
      </c>
      <c r="AC4269" s="36"/>
      <c r="AD4269" s="36"/>
      <c r="AE4269" s="36"/>
      <c r="AF4269" s="36"/>
      <c r="AG4269" s="36"/>
      <c r="AH4269" s="36"/>
      <c r="AI4269" s="36"/>
      <c r="AJ4269" s="15">
        <f t="shared" si="460"/>
        <v>400</v>
      </c>
      <c r="AK4269" s="14"/>
      <c r="AL4269" s="14"/>
      <c r="AM4269" s="14"/>
      <c r="AN4269" s="14"/>
      <c r="AO4269" s="14"/>
      <c r="AP4269" s="14"/>
      <c r="AQ4269" s="14"/>
      <c r="AR4269" s="14"/>
      <c r="AS4269" s="14"/>
      <c r="AT4269" s="14"/>
      <c r="AU4269" s="14"/>
      <c r="AV4269" s="14"/>
      <c r="AW4269" s="15"/>
      <c r="AX4269" s="16"/>
    </row>
    <row r="4270" spans="2:50" x14ac:dyDescent="0.2">
      <c r="B4270" s="7"/>
      <c r="C4270" s="8">
        <v>14555</v>
      </c>
      <c r="D4270" s="9" t="s">
        <v>156</v>
      </c>
      <c r="E4270" s="10" t="str">
        <f t="shared" si="456"/>
        <v>Rancho Zinamba No. 80</v>
      </c>
      <c r="F4270" s="10" t="str">
        <f t="shared" si="457"/>
        <v>Vázquez</v>
      </c>
      <c r="G4270" s="8">
        <v>1</v>
      </c>
      <c r="H4270" s="11">
        <v>300</v>
      </c>
      <c r="I4270" s="12">
        <v>42890</v>
      </c>
      <c r="J4270" s="35">
        <f t="shared" si="458"/>
        <v>0</v>
      </c>
      <c r="K4270" s="36"/>
      <c r="L4270" s="36"/>
      <c r="M4270" s="36"/>
      <c r="N4270" s="36"/>
      <c r="O4270" s="36"/>
      <c r="P4270" s="36"/>
      <c r="Q4270" s="36"/>
      <c r="R4270" s="36"/>
      <c r="S4270" s="36"/>
      <c r="T4270" s="36"/>
      <c r="U4270" s="36"/>
      <c r="V4270" s="36"/>
      <c r="W4270" s="15">
        <f t="shared" si="459"/>
        <v>0</v>
      </c>
      <c r="X4270" s="36"/>
      <c r="Y4270" s="36"/>
      <c r="Z4270" s="36"/>
      <c r="AA4270" s="36"/>
      <c r="AB4270" s="36"/>
      <c r="AC4270" s="36">
        <v>300</v>
      </c>
      <c r="AD4270" s="36"/>
      <c r="AE4270" s="36"/>
      <c r="AF4270" s="36"/>
      <c r="AG4270" s="36"/>
      <c r="AH4270" s="36"/>
      <c r="AI4270" s="36"/>
      <c r="AJ4270" s="15">
        <f t="shared" si="460"/>
        <v>300</v>
      </c>
      <c r="AK4270" s="14"/>
      <c r="AL4270" s="14"/>
      <c r="AM4270" s="14"/>
      <c r="AN4270" s="14"/>
      <c r="AO4270" s="14"/>
      <c r="AP4270" s="14"/>
      <c r="AQ4270" s="14"/>
      <c r="AR4270" s="14"/>
      <c r="AS4270" s="14"/>
      <c r="AT4270" s="14"/>
      <c r="AU4270" s="14"/>
      <c r="AV4270" s="14"/>
      <c r="AW4270" s="15"/>
      <c r="AX4270" s="16"/>
    </row>
    <row r="4271" spans="2:50" x14ac:dyDescent="0.2">
      <c r="B4271" s="7"/>
      <c r="C4271" s="8">
        <v>14556</v>
      </c>
      <c r="D4271" s="9" t="s">
        <v>328</v>
      </c>
      <c r="E4271" s="10" t="str">
        <f t="shared" si="456"/>
        <v>Rancho La Cuchilla No. 130</v>
      </c>
      <c r="F4271" s="10" t="str">
        <f t="shared" si="457"/>
        <v>Gonzalez</v>
      </c>
      <c r="G4271" s="8">
        <v>1</v>
      </c>
      <c r="H4271" s="11">
        <v>400</v>
      </c>
      <c r="I4271" s="12">
        <v>42890</v>
      </c>
      <c r="J4271" s="35">
        <f t="shared" si="458"/>
        <v>0</v>
      </c>
      <c r="K4271" s="36"/>
      <c r="L4271" s="36"/>
      <c r="M4271" s="36"/>
      <c r="N4271" s="36"/>
      <c r="O4271" s="36"/>
      <c r="P4271" s="36"/>
      <c r="Q4271" s="36"/>
      <c r="R4271" s="36"/>
      <c r="S4271" s="36"/>
      <c r="T4271" s="36"/>
      <c r="U4271" s="36"/>
      <c r="V4271" s="36"/>
      <c r="W4271" s="15">
        <f t="shared" si="459"/>
        <v>0</v>
      </c>
      <c r="X4271" s="36"/>
      <c r="Y4271" s="36"/>
      <c r="Z4271" s="36"/>
      <c r="AA4271" s="36"/>
      <c r="AB4271" s="36"/>
      <c r="AC4271" s="36">
        <v>400</v>
      </c>
      <c r="AD4271" s="36"/>
      <c r="AE4271" s="36"/>
      <c r="AF4271" s="36"/>
      <c r="AG4271" s="36"/>
      <c r="AH4271" s="36"/>
      <c r="AI4271" s="36"/>
      <c r="AJ4271" s="15">
        <f t="shared" si="460"/>
        <v>400</v>
      </c>
      <c r="AK4271" s="14"/>
      <c r="AL4271" s="14"/>
      <c r="AM4271" s="14"/>
      <c r="AN4271" s="14"/>
      <c r="AO4271" s="14"/>
      <c r="AP4271" s="14"/>
      <c r="AQ4271" s="14"/>
      <c r="AR4271" s="14"/>
      <c r="AS4271" s="14"/>
      <c r="AT4271" s="14"/>
      <c r="AU4271" s="14"/>
      <c r="AV4271" s="14"/>
      <c r="AW4271" s="15"/>
      <c r="AX4271" s="16"/>
    </row>
    <row r="4272" spans="2:50" x14ac:dyDescent="0.2">
      <c r="B4272" s="7"/>
      <c r="C4272" s="8">
        <v>14557</v>
      </c>
      <c r="D4272" s="9" t="s">
        <v>455</v>
      </c>
      <c r="E4272" s="10" t="str">
        <f t="shared" si="456"/>
        <v>Rancho Zinamba No. 38</v>
      </c>
      <c r="F4272" s="10" t="str">
        <f t="shared" si="457"/>
        <v>Ramírez Díaz</v>
      </c>
      <c r="G4272" s="8">
        <v>1</v>
      </c>
      <c r="H4272" s="11">
        <v>400</v>
      </c>
      <c r="I4272" s="12">
        <v>42890</v>
      </c>
      <c r="J4272" s="35">
        <f t="shared" si="458"/>
        <v>0</v>
      </c>
      <c r="K4272" s="36"/>
      <c r="L4272" s="36"/>
      <c r="M4272" s="36"/>
      <c r="N4272" s="36"/>
      <c r="O4272" s="36"/>
      <c r="P4272" s="36"/>
      <c r="Q4272" s="36"/>
      <c r="R4272" s="36"/>
      <c r="S4272" s="36"/>
      <c r="T4272" s="36"/>
      <c r="U4272" s="36"/>
      <c r="V4272" s="36"/>
      <c r="W4272" s="15">
        <f t="shared" si="459"/>
        <v>0</v>
      </c>
      <c r="X4272" s="36"/>
      <c r="Y4272" s="36"/>
      <c r="Z4272" s="36"/>
      <c r="AA4272" s="36"/>
      <c r="AB4272" s="36"/>
      <c r="AC4272" s="36">
        <v>400</v>
      </c>
      <c r="AD4272" s="36"/>
      <c r="AE4272" s="36"/>
      <c r="AF4272" s="36"/>
      <c r="AG4272" s="36"/>
      <c r="AH4272" s="36"/>
      <c r="AI4272" s="36"/>
      <c r="AJ4272" s="15">
        <f t="shared" si="460"/>
        <v>400</v>
      </c>
      <c r="AK4272" s="14"/>
      <c r="AL4272" s="14"/>
      <c r="AM4272" s="14"/>
      <c r="AN4272" s="14"/>
      <c r="AO4272" s="14"/>
      <c r="AP4272" s="14"/>
      <c r="AQ4272" s="14"/>
      <c r="AR4272" s="14"/>
      <c r="AS4272" s="14"/>
      <c r="AT4272" s="14"/>
      <c r="AU4272" s="14"/>
      <c r="AV4272" s="14"/>
      <c r="AW4272" s="15"/>
      <c r="AX4272" s="16"/>
    </row>
    <row r="4273" spans="2:50" x14ac:dyDescent="0.2">
      <c r="B4273" s="7"/>
      <c r="C4273" s="8">
        <v>14558</v>
      </c>
      <c r="D4273" s="9" t="s">
        <v>583</v>
      </c>
      <c r="E4273" s="10" t="str">
        <f t="shared" si="456"/>
        <v>Rancho La Cuchilla No. 111</v>
      </c>
      <c r="F4273" s="10" t="str">
        <f t="shared" si="457"/>
        <v>García Santos Ofelia</v>
      </c>
      <c r="G4273" s="8">
        <v>1</v>
      </c>
      <c r="H4273" s="11">
        <v>200</v>
      </c>
      <c r="I4273" s="12">
        <v>42890</v>
      </c>
      <c r="J4273" s="35">
        <f t="shared" si="458"/>
        <v>0</v>
      </c>
      <c r="K4273" s="36"/>
      <c r="L4273" s="36"/>
      <c r="M4273" s="36"/>
      <c r="N4273" s="36"/>
      <c r="O4273" s="36"/>
      <c r="P4273" s="36"/>
      <c r="Q4273" s="36"/>
      <c r="R4273" s="36"/>
      <c r="S4273" s="36"/>
      <c r="T4273" s="36"/>
      <c r="U4273" s="36"/>
      <c r="V4273" s="36"/>
      <c r="W4273" s="15">
        <f t="shared" si="459"/>
        <v>0</v>
      </c>
      <c r="X4273" s="36"/>
      <c r="Y4273" s="36"/>
      <c r="Z4273" s="36"/>
      <c r="AA4273" s="36"/>
      <c r="AB4273" s="36"/>
      <c r="AC4273" s="36">
        <v>200</v>
      </c>
      <c r="AD4273" s="36"/>
      <c r="AE4273" s="36"/>
      <c r="AF4273" s="36"/>
      <c r="AG4273" s="36"/>
      <c r="AH4273" s="36"/>
      <c r="AI4273" s="36"/>
      <c r="AJ4273" s="15">
        <f t="shared" si="460"/>
        <v>200</v>
      </c>
      <c r="AK4273" s="14"/>
      <c r="AL4273" s="14"/>
      <c r="AM4273" s="14"/>
      <c r="AN4273" s="14"/>
      <c r="AO4273" s="14"/>
      <c r="AP4273" s="14"/>
      <c r="AQ4273" s="14"/>
      <c r="AR4273" s="14"/>
      <c r="AS4273" s="14"/>
      <c r="AT4273" s="14"/>
      <c r="AU4273" s="14"/>
      <c r="AV4273" s="14"/>
      <c r="AW4273" s="15"/>
      <c r="AX4273" s="16"/>
    </row>
    <row r="4274" spans="2:50" x14ac:dyDescent="0.2">
      <c r="B4274" s="7"/>
      <c r="C4274" s="8">
        <v>14559</v>
      </c>
      <c r="D4274" s="9" t="s">
        <v>165</v>
      </c>
      <c r="E4274" s="10" t="str">
        <f t="shared" si="456"/>
        <v>Rancho Upácuaro No. 23</v>
      </c>
      <c r="F4274" s="10" t="str">
        <f t="shared" si="457"/>
        <v>Gutièrrez Muñòz</v>
      </c>
      <c r="G4274" s="8">
        <v>1</v>
      </c>
      <c r="H4274" s="11">
        <v>700</v>
      </c>
      <c r="I4274" s="12">
        <v>42890</v>
      </c>
      <c r="J4274" s="35">
        <f t="shared" si="458"/>
        <v>0</v>
      </c>
      <c r="K4274" s="36"/>
      <c r="L4274" s="36"/>
      <c r="M4274" s="36"/>
      <c r="N4274" s="36"/>
      <c r="O4274" s="36"/>
      <c r="P4274" s="36"/>
      <c r="Q4274" s="36"/>
      <c r="R4274" s="36"/>
      <c r="S4274" s="36"/>
      <c r="T4274" s="36"/>
      <c r="U4274" s="36"/>
      <c r="V4274" s="36"/>
      <c r="W4274" s="15">
        <f t="shared" si="459"/>
        <v>0</v>
      </c>
      <c r="X4274" s="36"/>
      <c r="Y4274" s="36"/>
      <c r="Z4274" s="36"/>
      <c r="AA4274" s="36"/>
      <c r="AB4274" s="36"/>
      <c r="AC4274" s="36">
        <v>350</v>
      </c>
      <c r="AD4274" s="36">
        <v>350</v>
      </c>
      <c r="AE4274" s="36"/>
      <c r="AF4274" s="36"/>
      <c r="AG4274" s="36"/>
      <c r="AH4274" s="36"/>
      <c r="AI4274" s="36"/>
      <c r="AJ4274" s="15">
        <f t="shared" si="460"/>
        <v>700</v>
      </c>
      <c r="AK4274" s="14"/>
      <c r="AL4274" s="14"/>
      <c r="AM4274" s="14"/>
      <c r="AN4274" s="14"/>
      <c r="AO4274" s="14"/>
      <c r="AP4274" s="14"/>
      <c r="AQ4274" s="14"/>
      <c r="AR4274" s="14"/>
      <c r="AS4274" s="14"/>
      <c r="AT4274" s="14"/>
      <c r="AU4274" s="14"/>
      <c r="AV4274" s="14"/>
      <c r="AW4274" s="15"/>
      <c r="AX4274" s="16"/>
    </row>
    <row r="4275" spans="2:50" x14ac:dyDescent="0.2">
      <c r="B4275" s="7"/>
      <c r="C4275" s="8">
        <v>14560</v>
      </c>
      <c r="D4275" s="9" t="s">
        <v>168</v>
      </c>
      <c r="E4275" s="10" t="str">
        <f t="shared" si="456"/>
        <v>Rancho Upácuaro No. 73, A</v>
      </c>
      <c r="F4275" s="10" t="str">
        <f t="shared" si="457"/>
        <v>Ortega</v>
      </c>
      <c r="G4275" s="8">
        <v>1</v>
      </c>
      <c r="H4275" s="11">
        <v>400</v>
      </c>
      <c r="I4275" s="12">
        <v>42890</v>
      </c>
      <c r="J4275" s="35">
        <f t="shared" si="458"/>
        <v>0</v>
      </c>
      <c r="K4275" s="36"/>
      <c r="L4275" s="36"/>
      <c r="M4275" s="36"/>
      <c r="N4275" s="36"/>
      <c r="O4275" s="36"/>
      <c r="P4275" s="36"/>
      <c r="Q4275" s="36"/>
      <c r="R4275" s="36"/>
      <c r="S4275" s="36"/>
      <c r="T4275" s="36"/>
      <c r="U4275" s="36"/>
      <c r="V4275" s="36"/>
      <c r="W4275" s="15">
        <f t="shared" si="459"/>
        <v>0</v>
      </c>
      <c r="X4275" s="36"/>
      <c r="Y4275" s="36"/>
      <c r="Z4275" s="36"/>
      <c r="AA4275" s="36">
        <v>200</v>
      </c>
      <c r="AB4275" s="36">
        <v>200</v>
      </c>
      <c r="AC4275" s="36"/>
      <c r="AD4275" s="36"/>
      <c r="AE4275" s="36"/>
      <c r="AF4275" s="36"/>
      <c r="AG4275" s="36"/>
      <c r="AH4275" s="36"/>
      <c r="AI4275" s="36"/>
      <c r="AJ4275" s="15">
        <f t="shared" si="460"/>
        <v>400</v>
      </c>
      <c r="AK4275" s="14"/>
      <c r="AL4275" s="14"/>
      <c r="AM4275" s="14"/>
      <c r="AN4275" s="14"/>
      <c r="AO4275" s="14"/>
      <c r="AP4275" s="14"/>
      <c r="AQ4275" s="14"/>
      <c r="AR4275" s="14"/>
      <c r="AS4275" s="14"/>
      <c r="AT4275" s="14"/>
      <c r="AU4275" s="14"/>
      <c r="AV4275" s="14"/>
      <c r="AW4275" s="15"/>
      <c r="AX4275" s="16"/>
    </row>
    <row r="4276" spans="2:50" x14ac:dyDescent="0.2">
      <c r="B4276" s="7"/>
      <c r="C4276" s="8">
        <v>14561</v>
      </c>
      <c r="D4276" s="9" t="s">
        <v>1170</v>
      </c>
      <c r="E4276" s="10" t="str">
        <f t="shared" si="456"/>
        <v>Rancho La Cuchilla No. 117</v>
      </c>
      <c r="F4276" s="10" t="str">
        <f t="shared" si="457"/>
        <v>Gómez</v>
      </c>
      <c r="G4276" s="8">
        <v>1</v>
      </c>
      <c r="H4276" s="11">
        <v>400</v>
      </c>
      <c r="I4276" s="12">
        <v>42890</v>
      </c>
      <c r="J4276" s="35">
        <f t="shared" si="458"/>
        <v>0</v>
      </c>
      <c r="K4276" s="36"/>
      <c r="L4276" s="36"/>
      <c r="M4276" s="36"/>
      <c r="N4276" s="36"/>
      <c r="O4276" s="36"/>
      <c r="P4276" s="36"/>
      <c r="Q4276" s="36"/>
      <c r="R4276" s="36"/>
      <c r="S4276" s="36"/>
      <c r="T4276" s="36"/>
      <c r="U4276" s="36">
        <v>400</v>
      </c>
      <c r="V4276" s="36"/>
      <c r="W4276" s="15">
        <f t="shared" si="459"/>
        <v>400</v>
      </c>
      <c r="X4276" s="36"/>
      <c r="Y4276" s="36"/>
      <c r="Z4276" s="36"/>
      <c r="AA4276" s="36"/>
      <c r="AB4276" s="36"/>
      <c r="AC4276" s="36"/>
      <c r="AD4276" s="36"/>
      <c r="AE4276" s="36"/>
      <c r="AF4276" s="36"/>
      <c r="AG4276" s="36"/>
      <c r="AH4276" s="36"/>
      <c r="AI4276" s="36"/>
      <c r="AJ4276" s="15">
        <f t="shared" si="460"/>
        <v>0</v>
      </c>
      <c r="AK4276" s="14"/>
      <c r="AL4276" s="14"/>
      <c r="AM4276" s="14"/>
      <c r="AN4276" s="14"/>
      <c r="AO4276" s="14"/>
      <c r="AP4276" s="14"/>
      <c r="AQ4276" s="14"/>
      <c r="AR4276" s="14"/>
      <c r="AS4276" s="14"/>
      <c r="AT4276" s="14"/>
      <c r="AU4276" s="14"/>
      <c r="AV4276" s="14"/>
      <c r="AW4276" s="15"/>
      <c r="AX4276" s="16"/>
    </row>
    <row r="4277" spans="2:50" x14ac:dyDescent="0.2">
      <c r="B4277" s="7"/>
      <c r="C4277" s="8">
        <v>14562</v>
      </c>
      <c r="D4277" s="9" t="s">
        <v>858</v>
      </c>
      <c r="E4277" s="10" t="str">
        <f t="shared" si="456"/>
        <v>Rancho Landero No. 45</v>
      </c>
      <c r="F4277" s="10" t="str">
        <f t="shared" si="457"/>
        <v>Solano</v>
      </c>
      <c r="G4277" s="8">
        <v>5</v>
      </c>
      <c r="H4277" s="11">
        <v>50</v>
      </c>
      <c r="I4277" s="12">
        <v>42890</v>
      </c>
      <c r="J4277" s="35">
        <f t="shared" si="458"/>
        <v>0</v>
      </c>
      <c r="K4277" s="36"/>
      <c r="L4277" s="36"/>
      <c r="M4277" s="36"/>
      <c r="N4277" s="36"/>
      <c r="O4277" s="36"/>
      <c r="P4277" s="36"/>
      <c r="Q4277" s="36"/>
      <c r="R4277" s="36"/>
      <c r="S4277" s="36"/>
      <c r="T4277" s="36"/>
      <c r="U4277" s="36"/>
      <c r="V4277" s="36"/>
      <c r="W4277" s="15">
        <f t="shared" si="459"/>
        <v>0</v>
      </c>
      <c r="X4277" s="36"/>
      <c r="Y4277" s="36"/>
      <c r="Z4277" s="36"/>
      <c r="AA4277" s="36"/>
      <c r="AB4277" s="36"/>
      <c r="AC4277" s="36"/>
      <c r="AD4277" s="36"/>
      <c r="AE4277" s="36"/>
      <c r="AF4277" s="36"/>
      <c r="AG4277" s="36"/>
      <c r="AH4277" s="36"/>
      <c r="AI4277" s="36"/>
      <c r="AJ4277" s="15">
        <f t="shared" si="460"/>
        <v>0</v>
      </c>
      <c r="AK4277" s="14"/>
      <c r="AL4277" s="14"/>
      <c r="AM4277" s="14"/>
      <c r="AN4277" s="14"/>
      <c r="AO4277" s="14"/>
      <c r="AP4277" s="14"/>
      <c r="AQ4277" s="14"/>
      <c r="AR4277" s="14"/>
      <c r="AS4277" s="14"/>
      <c r="AT4277" s="14"/>
      <c r="AU4277" s="14"/>
      <c r="AV4277" s="14"/>
      <c r="AW4277" s="15"/>
      <c r="AX4277" s="16"/>
    </row>
    <row r="4278" spans="2:50" x14ac:dyDescent="0.2">
      <c r="B4278" s="7"/>
      <c r="C4278" s="8">
        <v>14563</v>
      </c>
      <c r="D4278" s="9" t="s">
        <v>1039</v>
      </c>
      <c r="E4278" s="10" t="str">
        <f t="shared" si="456"/>
        <v>Rancho Upácuaro No. 77</v>
      </c>
      <c r="F4278" s="10" t="str">
        <f t="shared" si="457"/>
        <v>Alvarado</v>
      </c>
      <c r="G4278" s="8">
        <v>1</v>
      </c>
      <c r="H4278" s="11">
        <v>1200</v>
      </c>
      <c r="I4278" s="12">
        <v>42890</v>
      </c>
      <c r="J4278" s="35">
        <f t="shared" si="458"/>
        <v>0</v>
      </c>
      <c r="K4278" s="36"/>
      <c r="L4278" s="36"/>
      <c r="M4278" s="36"/>
      <c r="N4278" s="36"/>
      <c r="O4278" s="36"/>
      <c r="P4278" s="36"/>
      <c r="Q4278" s="36"/>
      <c r="R4278" s="36"/>
      <c r="S4278" s="36"/>
      <c r="T4278" s="36"/>
      <c r="U4278" s="36"/>
      <c r="V4278" s="36"/>
      <c r="W4278" s="15">
        <f t="shared" si="459"/>
        <v>0</v>
      </c>
      <c r="X4278" s="36"/>
      <c r="Y4278" s="36"/>
      <c r="Z4278" s="36"/>
      <c r="AA4278" s="36">
        <v>400</v>
      </c>
      <c r="AB4278" s="36">
        <v>400</v>
      </c>
      <c r="AC4278" s="36">
        <v>400</v>
      </c>
      <c r="AD4278" s="36"/>
      <c r="AE4278" s="36"/>
      <c r="AF4278" s="36"/>
      <c r="AG4278" s="36"/>
      <c r="AH4278" s="36"/>
      <c r="AI4278" s="36"/>
      <c r="AJ4278" s="15">
        <f t="shared" si="460"/>
        <v>1200</v>
      </c>
      <c r="AK4278" s="14"/>
      <c r="AL4278" s="14"/>
      <c r="AM4278" s="14"/>
      <c r="AN4278" s="14"/>
      <c r="AO4278" s="14"/>
      <c r="AP4278" s="14"/>
      <c r="AQ4278" s="14"/>
      <c r="AR4278" s="14"/>
      <c r="AS4278" s="14"/>
      <c r="AT4278" s="14"/>
      <c r="AU4278" s="14"/>
      <c r="AV4278" s="14"/>
      <c r="AW4278" s="15"/>
      <c r="AX4278" s="16"/>
    </row>
    <row r="4279" spans="2:50" x14ac:dyDescent="0.2">
      <c r="B4279" s="7"/>
      <c r="C4279" s="8">
        <v>14564</v>
      </c>
      <c r="D4279" s="9" t="s">
        <v>262</v>
      </c>
      <c r="E4279" s="10" t="str">
        <f t="shared" si="456"/>
        <v>Rancho Recoveco No. 1</v>
      </c>
      <c r="F4279" s="10" t="str">
        <f t="shared" si="457"/>
        <v>Díaz</v>
      </c>
      <c r="G4279" s="8">
        <v>1</v>
      </c>
      <c r="H4279" s="11">
        <v>300</v>
      </c>
      <c r="I4279" s="12">
        <v>42890</v>
      </c>
      <c r="J4279" s="35">
        <f t="shared" si="458"/>
        <v>0</v>
      </c>
      <c r="K4279" s="36"/>
      <c r="L4279" s="36"/>
      <c r="M4279" s="36"/>
      <c r="N4279" s="36"/>
      <c r="O4279" s="36"/>
      <c r="P4279" s="36"/>
      <c r="Q4279" s="36"/>
      <c r="R4279" s="36"/>
      <c r="S4279" s="36"/>
      <c r="T4279" s="36"/>
      <c r="U4279" s="36"/>
      <c r="V4279" s="36"/>
      <c r="W4279" s="15">
        <f t="shared" si="459"/>
        <v>0</v>
      </c>
      <c r="X4279" s="36"/>
      <c r="Y4279" s="36"/>
      <c r="Z4279" s="36"/>
      <c r="AA4279" s="36"/>
      <c r="AB4279" s="36"/>
      <c r="AC4279" s="36">
        <v>300</v>
      </c>
      <c r="AD4279" s="36"/>
      <c r="AE4279" s="36"/>
      <c r="AF4279" s="36"/>
      <c r="AG4279" s="36"/>
      <c r="AH4279" s="36"/>
      <c r="AI4279" s="36"/>
      <c r="AJ4279" s="15">
        <f t="shared" si="460"/>
        <v>300</v>
      </c>
      <c r="AK4279" s="14"/>
      <c r="AL4279" s="14"/>
      <c r="AM4279" s="14"/>
      <c r="AN4279" s="14"/>
      <c r="AO4279" s="14"/>
      <c r="AP4279" s="14"/>
      <c r="AQ4279" s="14"/>
      <c r="AR4279" s="14"/>
      <c r="AS4279" s="14"/>
      <c r="AT4279" s="14"/>
      <c r="AU4279" s="14"/>
      <c r="AV4279" s="14"/>
      <c r="AW4279" s="15"/>
      <c r="AX4279" s="316">
        <f>SUM(H4230:H4279)</f>
        <v>24675</v>
      </c>
    </row>
    <row r="4280" spans="2:50" x14ac:dyDescent="0.2">
      <c r="B4280" s="7" t="s">
        <v>3523</v>
      </c>
      <c r="C4280" s="8">
        <v>14565</v>
      </c>
      <c r="D4280" s="9" t="s">
        <v>211</v>
      </c>
      <c r="E4280" s="10" t="str">
        <f t="shared" si="456"/>
        <v>Rancho Upácuaro No. 46</v>
      </c>
      <c r="F4280" s="10" t="str">
        <f t="shared" si="457"/>
        <v>Fuentes</v>
      </c>
      <c r="G4280" s="8"/>
      <c r="H4280" s="315"/>
      <c r="I4280" s="12"/>
      <c r="J4280" s="35">
        <f t="shared" si="458"/>
        <v>0</v>
      </c>
      <c r="K4280" s="36"/>
      <c r="L4280" s="36"/>
      <c r="M4280" s="36"/>
      <c r="N4280" s="36"/>
      <c r="O4280" s="36"/>
      <c r="P4280" s="36"/>
      <c r="Q4280" s="36"/>
      <c r="R4280" s="36"/>
      <c r="S4280" s="36"/>
      <c r="T4280" s="36"/>
      <c r="U4280" s="36"/>
      <c r="V4280" s="36"/>
      <c r="W4280" s="15">
        <f t="shared" si="459"/>
        <v>0</v>
      </c>
      <c r="X4280" s="36"/>
      <c r="Y4280" s="36"/>
      <c r="Z4280" s="36"/>
      <c r="AA4280" s="36"/>
      <c r="AB4280" s="36"/>
      <c r="AC4280" s="36"/>
      <c r="AD4280" s="36"/>
      <c r="AE4280" s="36"/>
      <c r="AF4280" s="36"/>
      <c r="AG4280" s="36"/>
      <c r="AH4280" s="36"/>
      <c r="AI4280" s="36"/>
      <c r="AJ4280" s="15">
        <f t="shared" si="460"/>
        <v>0</v>
      </c>
      <c r="AK4280" s="14"/>
      <c r="AL4280" s="14"/>
      <c r="AM4280" s="14"/>
      <c r="AN4280" s="14"/>
      <c r="AO4280" s="14"/>
      <c r="AP4280" s="14"/>
      <c r="AQ4280" s="14"/>
      <c r="AR4280" s="14"/>
      <c r="AS4280" s="14"/>
      <c r="AT4280" s="14"/>
      <c r="AU4280" s="14"/>
      <c r="AV4280" s="14"/>
      <c r="AW4280" s="15"/>
      <c r="AX4280" s="16"/>
    </row>
    <row r="4281" spans="2:50" x14ac:dyDescent="0.2">
      <c r="B4281" s="7" t="s">
        <v>3523</v>
      </c>
      <c r="C4281" s="8">
        <v>14566</v>
      </c>
      <c r="D4281" s="9" t="s">
        <v>208</v>
      </c>
      <c r="E4281" s="10" t="str">
        <f t="shared" si="456"/>
        <v>Rancho La Cuchilla No. 29</v>
      </c>
      <c r="F4281" s="10" t="str">
        <f t="shared" si="457"/>
        <v>Vega Sánchez C.</v>
      </c>
      <c r="G4281" s="8"/>
      <c r="H4281" s="11"/>
      <c r="I4281" s="12"/>
      <c r="J4281" s="35">
        <f t="shared" si="458"/>
        <v>0</v>
      </c>
      <c r="K4281" s="36"/>
      <c r="L4281" s="36"/>
      <c r="M4281" s="36"/>
      <c r="N4281" s="36"/>
      <c r="O4281" s="36"/>
      <c r="P4281" s="36"/>
      <c r="Q4281" s="36"/>
      <c r="R4281" s="36"/>
      <c r="S4281" s="36"/>
      <c r="T4281" s="36"/>
      <c r="U4281" s="36"/>
      <c r="V4281" s="36"/>
      <c r="W4281" s="15">
        <f t="shared" si="459"/>
        <v>0</v>
      </c>
      <c r="X4281" s="36"/>
      <c r="Y4281" s="36"/>
      <c r="Z4281" s="36"/>
      <c r="AA4281" s="36"/>
      <c r="AB4281" s="36"/>
      <c r="AC4281" s="36"/>
      <c r="AD4281" s="36"/>
      <c r="AE4281" s="36"/>
      <c r="AF4281" s="36"/>
      <c r="AG4281" s="36"/>
      <c r="AH4281" s="36"/>
      <c r="AI4281" s="36"/>
      <c r="AJ4281" s="15">
        <f t="shared" si="460"/>
        <v>0</v>
      </c>
      <c r="AK4281" s="14"/>
      <c r="AL4281" s="14"/>
      <c r="AM4281" s="14"/>
      <c r="AN4281" s="14"/>
      <c r="AO4281" s="14"/>
      <c r="AP4281" s="14"/>
      <c r="AQ4281" s="14"/>
      <c r="AR4281" s="14"/>
      <c r="AS4281" s="14"/>
      <c r="AT4281" s="14"/>
      <c r="AU4281" s="14"/>
      <c r="AV4281" s="14"/>
      <c r="AW4281" s="15"/>
      <c r="AX4281" s="16"/>
    </row>
    <row r="4282" spans="2:50" x14ac:dyDescent="0.2">
      <c r="B4282" s="7"/>
      <c r="C4282" s="8">
        <v>14567</v>
      </c>
      <c r="D4282" s="9" t="s">
        <v>205</v>
      </c>
      <c r="E4282" s="10" t="str">
        <f t="shared" si="456"/>
        <v>Rancho Landero No. 1, A</v>
      </c>
      <c r="F4282" s="10" t="str">
        <f t="shared" si="457"/>
        <v>Ebysos</v>
      </c>
      <c r="G4282" s="8">
        <v>5</v>
      </c>
      <c r="H4282" s="11">
        <v>50</v>
      </c>
      <c r="I4282" s="12">
        <v>42891</v>
      </c>
      <c r="J4282" s="35">
        <f t="shared" si="458"/>
        <v>0</v>
      </c>
      <c r="K4282" s="36"/>
      <c r="L4282" s="36"/>
      <c r="M4282" s="36"/>
      <c r="N4282" s="36"/>
      <c r="O4282" s="36"/>
      <c r="P4282" s="36"/>
      <c r="Q4282" s="36"/>
      <c r="R4282" s="36"/>
      <c r="S4282" s="36"/>
      <c r="T4282" s="36"/>
      <c r="U4282" s="36"/>
      <c r="V4282" s="36"/>
      <c r="W4282" s="15">
        <f t="shared" si="459"/>
        <v>0</v>
      </c>
      <c r="X4282" s="36"/>
      <c r="Y4282" s="36"/>
      <c r="Z4282" s="36"/>
      <c r="AA4282" s="36"/>
      <c r="AB4282" s="36"/>
      <c r="AC4282" s="36"/>
      <c r="AD4282" s="36"/>
      <c r="AE4282" s="36"/>
      <c r="AF4282" s="36"/>
      <c r="AG4282" s="36"/>
      <c r="AH4282" s="36"/>
      <c r="AI4282" s="36"/>
      <c r="AJ4282" s="15">
        <f t="shared" si="460"/>
        <v>0</v>
      </c>
      <c r="AK4282" s="14"/>
      <c r="AL4282" s="14"/>
      <c r="AM4282" s="14"/>
      <c r="AN4282" s="14"/>
      <c r="AO4282" s="14"/>
      <c r="AP4282" s="14"/>
      <c r="AQ4282" s="14"/>
      <c r="AR4282" s="14"/>
      <c r="AS4282" s="14"/>
      <c r="AT4282" s="14"/>
      <c r="AU4282" s="14"/>
      <c r="AV4282" s="14"/>
      <c r="AW4282" s="15"/>
      <c r="AX4282" s="16"/>
    </row>
    <row r="4283" spans="2:50" x14ac:dyDescent="0.2">
      <c r="B4283" s="7"/>
      <c r="C4283" s="8">
        <v>14568</v>
      </c>
      <c r="D4283" s="9" t="s">
        <v>598</v>
      </c>
      <c r="E4283" s="10" t="str">
        <f t="shared" si="456"/>
        <v>Rancho Estanzuela No. 21</v>
      </c>
      <c r="F4283" s="10" t="str">
        <f t="shared" si="457"/>
        <v>Morales</v>
      </c>
      <c r="G4283" s="8">
        <v>5</v>
      </c>
      <c r="H4283" s="11">
        <v>50</v>
      </c>
      <c r="I4283" s="12">
        <v>42891</v>
      </c>
      <c r="J4283" s="35">
        <f t="shared" si="458"/>
        <v>0</v>
      </c>
      <c r="K4283" s="36"/>
      <c r="L4283" s="36"/>
      <c r="M4283" s="36"/>
      <c r="N4283" s="36"/>
      <c r="O4283" s="36"/>
      <c r="P4283" s="36"/>
      <c r="Q4283" s="36"/>
      <c r="R4283" s="36"/>
      <c r="S4283" s="36"/>
      <c r="T4283" s="36"/>
      <c r="U4283" s="36"/>
      <c r="V4283" s="36"/>
      <c r="W4283" s="15">
        <f t="shared" si="459"/>
        <v>0</v>
      </c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15">
        <f t="shared" si="460"/>
        <v>0</v>
      </c>
      <c r="AK4283" s="14"/>
      <c r="AL4283" s="14"/>
      <c r="AM4283" s="14"/>
      <c r="AN4283" s="14"/>
      <c r="AO4283" s="14"/>
      <c r="AP4283" s="14"/>
      <c r="AQ4283" s="14"/>
      <c r="AR4283" s="14"/>
      <c r="AS4283" s="14"/>
      <c r="AT4283" s="14"/>
      <c r="AU4283" s="14"/>
      <c r="AV4283" s="14"/>
      <c r="AW4283" s="15"/>
      <c r="AX4283" s="16"/>
    </row>
    <row r="4284" spans="2:50" x14ac:dyDescent="0.2">
      <c r="B4284" s="7"/>
      <c r="C4284" s="8">
        <v>14569</v>
      </c>
      <c r="D4284" s="9" t="s">
        <v>373</v>
      </c>
      <c r="E4284" s="10" t="str">
        <f t="shared" si="456"/>
        <v>Rancho Upácuaro No. 118</v>
      </c>
      <c r="F4284" s="10" t="str">
        <f t="shared" si="457"/>
        <v>Siegrist</v>
      </c>
      <c r="G4284" s="8">
        <v>1</v>
      </c>
      <c r="H4284" s="11">
        <v>400</v>
      </c>
      <c r="I4284" s="12">
        <v>42893</v>
      </c>
      <c r="J4284" s="35">
        <f t="shared" si="458"/>
        <v>0</v>
      </c>
      <c r="K4284" s="36"/>
      <c r="L4284" s="36"/>
      <c r="M4284" s="36"/>
      <c r="N4284" s="36"/>
      <c r="O4284" s="36"/>
      <c r="P4284" s="36"/>
      <c r="Q4284" s="36"/>
      <c r="R4284" s="36"/>
      <c r="S4284" s="36"/>
      <c r="T4284" s="36"/>
      <c r="U4284" s="36"/>
      <c r="V4284" s="36"/>
      <c r="W4284" s="15">
        <f t="shared" si="459"/>
        <v>0</v>
      </c>
      <c r="X4284" s="36"/>
      <c r="Y4284" s="36"/>
      <c r="Z4284" s="36"/>
      <c r="AA4284" s="36"/>
      <c r="AB4284" s="36"/>
      <c r="AC4284" s="36">
        <v>400</v>
      </c>
      <c r="AD4284" s="36"/>
      <c r="AE4284" s="36"/>
      <c r="AF4284" s="36"/>
      <c r="AG4284" s="36"/>
      <c r="AH4284" s="36"/>
      <c r="AI4284" s="36"/>
      <c r="AJ4284" s="15">
        <f t="shared" si="460"/>
        <v>400</v>
      </c>
      <c r="AK4284" s="14"/>
      <c r="AL4284" s="14"/>
      <c r="AM4284" s="14"/>
      <c r="AN4284" s="14"/>
      <c r="AO4284" s="14"/>
      <c r="AP4284" s="14"/>
      <c r="AQ4284" s="14"/>
      <c r="AR4284" s="14"/>
      <c r="AS4284" s="14"/>
      <c r="AT4284" s="14"/>
      <c r="AU4284" s="14"/>
      <c r="AV4284" s="14"/>
      <c r="AW4284" s="15"/>
      <c r="AX4284" s="16"/>
    </row>
    <row r="4285" spans="2:50" x14ac:dyDescent="0.2">
      <c r="B4285" s="7"/>
      <c r="C4285" s="8">
        <v>14570</v>
      </c>
      <c r="D4285" s="9" t="s">
        <v>205</v>
      </c>
      <c r="E4285" s="10" t="str">
        <f t="shared" si="456"/>
        <v>Rancho Landero No. 1, A</v>
      </c>
      <c r="F4285" s="10" t="str">
        <f t="shared" si="457"/>
        <v>Ebysos</v>
      </c>
      <c r="G4285" s="8">
        <v>1</v>
      </c>
      <c r="H4285" s="11">
        <v>600</v>
      </c>
      <c r="I4285" s="12">
        <v>42893</v>
      </c>
      <c r="J4285" s="35">
        <f t="shared" si="458"/>
        <v>0</v>
      </c>
      <c r="K4285" s="36"/>
      <c r="L4285" s="36"/>
      <c r="M4285" s="36"/>
      <c r="N4285" s="36"/>
      <c r="O4285" s="36"/>
      <c r="P4285" s="36"/>
      <c r="Q4285" s="36"/>
      <c r="R4285" s="36"/>
      <c r="S4285" s="36"/>
      <c r="T4285" s="36"/>
      <c r="U4285" s="36"/>
      <c r="V4285" s="36"/>
      <c r="W4285" s="15">
        <f t="shared" si="459"/>
        <v>0</v>
      </c>
      <c r="X4285" s="36"/>
      <c r="Y4285" s="36"/>
      <c r="Z4285" s="36"/>
      <c r="AA4285" s="36"/>
      <c r="AB4285" s="36">
        <v>600</v>
      </c>
      <c r="AC4285" s="36"/>
      <c r="AD4285" s="36"/>
      <c r="AE4285" s="36"/>
      <c r="AF4285" s="36"/>
      <c r="AG4285" s="36"/>
      <c r="AH4285" s="36"/>
      <c r="AI4285" s="36"/>
      <c r="AJ4285" s="15">
        <f t="shared" si="460"/>
        <v>600</v>
      </c>
      <c r="AK4285" s="14"/>
      <c r="AL4285" s="14"/>
      <c r="AM4285" s="14"/>
      <c r="AN4285" s="14"/>
      <c r="AO4285" s="14"/>
      <c r="AP4285" s="14"/>
      <c r="AQ4285" s="14"/>
      <c r="AR4285" s="14"/>
      <c r="AS4285" s="14"/>
      <c r="AT4285" s="14"/>
      <c r="AU4285" s="14"/>
      <c r="AV4285" s="14"/>
      <c r="AW4285" s="15"/>
      <c r="AX4285" s="16"/>
    </row>
    <row r="4286" spans="2:50" x14ac:dyDescent="0.2">
      <c r="B4286" s="7"/>
      <c r="C4286" s="8">
        <v>14571</v>
      </c>
      <c r="D4286" s="9" t="s">
        <v>1181</v>
      </c>
      <c r="E4286" s="10" t="str">
        <f t="shared" si="456"/>
        <v>Rancho Upácuaro No. 31</v>
      </c>
      <c r="F4286" s="10" t="str">
        <f t="shared" si="457"/>
        <v>Gallardo Ávila</v>
      </c>
      <c r="G4286" s="8">
        <v>1</v>
      </c>
      <c r="H4286" s="11">
        <v>400</v>
      </c>
      <c r="I4286" s="12">
        <v>42893</v>
      </c>
      <c r="J4286" s="35">
        <f t="shared" si="458"/>
        <v>0</v>
      </c>
      <c r="K4286" s="36"/>
      <c r="L4286" s="36"/>
      <c r="M4286" s="36"/>
      <c r="N4286" s="36"/>
      <c r="O4286" s="36"/>
      <c r="P4286" s="36"/>
      <c r="Q4286" s="36"/>
      <c r="R4286" s="36"/>
      <c r="S4286" s="36"/>
      <c r="T4286" s="36"/>
      <c r="U4286" s="36"/>
      <c r="V4286" s="36"/>
      <c r="W4286" s="15">
        <f t="shared" si="459"/>
        <v>0</v>
      </c>
      <c r="X4286" s="36"/>
      <c r="Y4286" s="36"/>
      <c r="Z4286" s="36">
        <v>200</v>
      </c>
      <c r="AA4286" s="36">
        <v>200</v>
      </c>
      <c r="AB4286" s="36"/>
      <c r="AC4286" s="36"/>
      <c r="AD4286" s="36"/>
      <c r="AE4286" s="36"/>
      <c r="AF4286" s="36"/>
      <c r="AG4286" s="36"/>
      <c r="AH4286" s="36"/>
      <c r="AI4286" s="36"/>
      <c r="AJ4286" s="15">
        <f t="shared" si="460"/>
        <v>400</v>
      </c>
      <c r="AK4286" s="14"/>
      <c r="AL4286" s="14"/>
      <c r="AM4286" s="14"/>
      <c r="AN4286" s="14"/>
      <c r="AO4286" s="14"/>
      <c r="AP4286" s="14"/>
      <c r="AQ4286" s="14"/>
      <c r="AR4286" s="14"/>
      <c r="AS4286" s="14"/>
      <c r="AT4286" s="14"/>
      <c r="AU4286" s="14"/>
      <c r="AV4286" s="14"/>
      <c r="AW4286" s="15"/>
      <c r="AX4286" s="16"/>
    </row>
    <row r="4287" spans="2:50" x14ac:dyDescent="0.2">
      <c r="B4287" s="7"/>
      <c r="C4287" s="8">
        <v>14572</v>
      </c>
      <c r="D4287" s="9" t="s">
        <v>189</v>
      </c>
      <c r="E4287" s="10" t="str">
        <f t="shared" si="456"/>
        <v>Rancho La Cuchilla No. 42</v>
      </c>
      <c r="F4287" s="10" t="str">
        <f t="shared" si="457"/>
        <v>Mac Kinney</v>
      </c>
      <c r="G4287" s="8">
        <v>1</v>
      </c>
      <c r="H4287" s="11">
        <v>1200</v>
      </c>
      <c r="I4287" s="12">
        <v>42893</v>
      </c>
      <c r="J4287" s="35">
        <f t="shared" si="458"/>
        <v>0</v>
      </c>
      <c r="K4287" s="36"/>
      <c r="L4287" s="36"/>
      <c r="M4287" s="36"/>
      <c r="N4287" s="36"/>
      <c r="O4287" s="36"/>
      <c r="P4287" s="36"/>
      <c r="Q4287" s="36"/>
      <c r="R4287" s="36"/>
      <c r="S4287" s="36"/>
      <c r="T4287" s="36"/>
      <c r="U4287" s="36"/>
      <c r="V4287" s="36"/>
      <c r="W4287" s="15">
        <f t="shared" si="459"/>
        <v>0</v>
      </c>
      <c r="X4287" s="36"/>
      <c r="Y4287" s="36">
        <v>400</v>
      </c>
      <c r="Z4287" s="36">
        <v>400</v>
      </c>
      <c r="AA4287" s="36">
        <v>400</v>
      </c>
      <c r="AB4287" s="36"/>
      <c r="AC4287" s="36"/>
      <c r="AD4287" s="36"/>
      <c r="AE4287" s="36"/>
      <c r="AF4287" s="36"/>
      <c r="AG4287" s="36"/>
      <c r="AH4287" s="36"/>
      <c r="AI4287" s="36"/>
      <c r="AJ4287" s="15">
        <f t="shared" si="460"/>
        <v>1200</v>
      </c>
      <c r="AK4287" s="14"/>
      <c r="AL4287" s="14"/>
      <c r="AM4287" s="14"/>
      <c r="AN4287" s="14"/>
      <c r="AO4287" s="14"/>
      <c r="AP4287" s="14"/>
      <c r="AQ4287" s="14"/>
      <c r="AR4287" s="14"/>
      <c r="AS4287" s="14"/>
      <c r="AT4287" s="14"/>
      <c r="AU4287" s="14"/>
      <c r="AV4287" s="14"/>
      <c r="AW4287" s="15"/>
      <c r="AX4287" s="16"/>
    </row>
    <row r="4288" spans="2:50" x14ac:dyDescent="0.2">
      <c r="B4288" s="7"/>
      <c r="C4288" s="8">
        <v>14573</v>
      </c>
      <c r="D4288" s="9" t="s">
        <v>678</v>
      </c>
      <c r="E4288" s="10" t="str">
        <f t="shared" si="456"/>
        <v>Rancho Upácuaro No. 76</v>
      </c>
      <c r="F4288" s="10" t="str">
        <f t="shared" si="457"/>
        <v>Ruiz de San Pedro</v>
      </c>
      <c r="G4288" s="8">
        <v>1</v>
      </c>
      <c r="H4288" s="11">
        <v>400</v>
      </c>
      <c r="I4288" s="12">
        <v>42893</v>
      </c>
      <c r="J4288" s="35">
        <f t="shared" si="458"/>
        <v>0</v>
      </c>
      <c r="K4288" s="36"/>
      <c r="L4288" s="36"/>
      <c r="M4288" s="36"/>
      <c r="N4288" s="36"/>
      <c r="O4288" s="36"/>
      <c r="P4288" s="36"/>
      <c r="Q4288" s="36"/>
      <c r="R4288" s="36"/>
      <c r="S4288" s="36"/>
      <c r="T4288" s="36"/>
      <c r="U4288" s="36"/>
      <c r="V4288" s="36"/>
      <c r="W4288" s="15">
        <f t="shared" si="459"/>
        <v>0</v>
      </c>
      <c r="X4288" s="36"/>
      <c r="Y4288" s="36"/>
      <c r="Z4288" s="36"/>
      <c r="AA4288" s="36"/>
      <c r="AB4288" s="36"/>
      <c r="AC4288" s="36">
        <v>400</v>
      </c>
      <c r="AD4288" s="36"/>
      <c r="AE4288" s="36"/>
      <c r="AF4288" s="36"/>
      <c r="AG4288" s="36"/>
      <c r="AH4288" s="36"/>
      <c r="AI4288" s="36"/>
      <c r="AJ4288" s="15">
        <f t="shared" si="460"/>
        <v>400</v>
      </c>
      <c r="AK4288" s="14"/>
      <c r="AL4288" s="14"/>
      <c r="AM4288" s="14"/>
      <c r="AN4288" s="14"/>
      <c r="AO4288" s="14"/>
      <c r="AP4288" s="14"/>
      <c r="AQ4288" s="14"/>
      <c r="AR4288" s="14"/>
      <c r="AS4288" s="14"/>
      <c r="AT4288" s="14"/>
      <c r="AU4288" s="14"/>
      <c r="AV4288" s="14"/>
      <c r="AW4288" s="15"/>
      <c r="AX4288" s="16"/>
    </row>
    <row r="4289" spans="2:50" x14ac:dyDescent="0.2">
      <c r="B4289" s="7"/>
      <c r="C4289" s="8">
        <v>14574</v>
      </c>
      <c r="D4289" s="9" t="s">
        <v>874</v>
      </c>
      <c r="E4289" s="10" t="str">
        <f t="shared" si="456"/>
        <v>Rancho Zinamba No. 46</v>
      </c>
      <c r="F4289" s="10" t="str">
        <f t="shared" si="457"/>
        <v>Olguín</v>
      </c>
      <c r="G4289" s="8">
        <v>1</v>
      </c>
      <c r="H4289" s="11">
        <v>200</v>
      </c>
      <c r="I4289" s="12">
        <v>42893</v>
      </c>
      <c r="J4289" s="35">
        <f t="shared" si="458"/>
        <v>0</v>
      </c>
      <c r="K4289" s="36"/>
      <c r="L4289" s="36"/>
      <c r="M4289" s="36"/>
      <c r="N4289" s="36"/>
      <c r="O4289" s="36"/>
      <c r="P4289" s="36"/>
      <c r="Q4289" s="36"/>
      <c r="R4289" s="36"/>
      <c r="S4289" s="36"/>
      <c r="T4289" s="36"/>
      <c r="U4289" s="36"/>
      <c r="V4289" s="36"/>
      <c r="W4289" s="15">
        <f t="shared" si="459"/>
        <v>0</v>
      </c>
      <c r="X4289" s="36"/>
      <c r="Y4289" s="36"/>
      <c r="Z4289" s="36"/>
      <c r="AA4289" s="36"/>
      <c r="AB4289" s="36"/>
      <c r="AC4289" s="36">
        <v>200</v>
      </c>
      <c r="AD4289" s="36"/>
      <c r="AE4289" s="36"/>
      <c r="AF4289" s="36"/>
      <c r="AG4289" s="36"/>
      <c r="AH4289" s="36"/>
      <c r="AI4289" s="36"/>
      <c r="AJ4289" s="15">
        <f t="shared" si="460"/>
        <v>200</v>
      </c>
      <c r="AK4289" s="14"/>
      <c r="AL4289" s="14"/>
      <c r="AM4289" s="14"/>
      <c r="AN4289" s="14"/>
      <c r="AO4289" s="14"/>
      <c r="AP4289" s="14"/>
      <c r="AQ4289" s="14"/>
      <c r="AR4289" s="14"/>
      <c r="AS4289" s="14"/>
      <c r="AT4289" s="14"/>
      <c r="AU4289" s="14"/>
      <c r="AV4289" s="14"/>
      <c r="AW4289" s="15"/>
      <c r="AX4289" s="16"/>
    </row>
    <row r="4290" spans="2:50" x14ac:dyDescent="0.2">
      <c r="B4290" s="7"/>
      <c r="C4290" s="8">
        <v>14575</v>
      </c>
      <c r="D4290" s="9" t="s">
        <v>307</v>
      </c>
      <c r="E4290" s="10" t="str">
        <f t="shared" si="456"/>
        <v>Rancho Landero No. 83</v>
      </c>
      <c r="F4290" s="10" t="str">
        <f t="shared" si="457"/>
        <v>Aguilar</v>
      </c>
      <c r="G4290" s="8">
        <v>1</v>
      </c>
      <c r="H4290" s="11">
        <v>350</v>
      </c>
      <c r="I4290" s="12">
        <v>42897</v>
      </c>
      <c r="J4290" s="35">
        <f t="shared" si="458"/>
        <v>0</v>
      </c>
      <c r="K4290" s="36"/>
      <c r="L4290" s="36"/>
      <c r="M4290" s="36"/>
      <c r="N4290" s="36"/>
      <c r="O4290" s="36"/>
      <c r="P4290" s="36"/>
      <c r="Q4290" s="36"/>
      <c r="R4290" s="36"/>
      <c r="S4290" s="36"/>
      <c r="T4290" s="36"/>
      <c r="U4290" s="36"/>
      <c r="V4290" s="36"/>
      <c r="W4290" s="15">
        <f t="shared" si="459"/>
        <v>0</v>
      </c>
      <c r="X4290" s="36"/>
      <c r="Y4290" s="36"/>
      <c r="Z4290" s="36"/>
      <c r="AA4290" s="36"/>
      <c r="AB4290" s="36"/>
      <c r="AC4290" s="36">
        <v>350</v>
      </c>
      <c r="AD4290" s="36"/>
      <c r="AE4290" s="36"/>
      <c r="AF4290" s="36"/>
      <c r="AG4290" s="36"/>
      <c r="AH4290" s="36"/>
      <c r="AI4290" s="36"/>
      <c r="AJ4290" s="15">
        <f t="shared" si="460"/>
        <v>350</v>
      </c>
      <c r="AK4290" s="14"/>
      <c r="AL4290" s="14"/>
      <c r="AM4290" s="14"/>
      <c r="AN4290" s="14"/>
      <c r="AO4290" s="14"/>
      <c r="AP4290" s="14"/>
      <c r="AQ4290" s="14"/>
      <c r="AR4290" s="14"/>
      <c r="AS4290" s="14"/>
      <c r="AT4290" s="14"/>
      <c r="AU4290" s="14"/>
      <c r="AV4290" s="14"/>
      <c r="AW4290" s="15"/>
      <c r="AX4290" s="16"/>
    </row>
    <row r="4291" spans="2:50" x14ac:dyDescent="0.2">
      <c r="B4291" s="7"/>
      <c r="C4291" s="8">
        <v>14576</v>
      </c>
      <c r="D4291" s="9" t="s">
        <v>526</v>
      </c>
      <c r="E4291" s="10" t="str">
        <f t="shared" si="456"/>
        <v>Rancho Landero No. 62</v>
      </c>
      <c r="F4291" s="10" t="str">
        <f t="shared" si="457"/>
        <v>Narvaez Sara</v>
      </c>
      <c r="G4291" s="8">
        <v>1</v>
      </c>
      <c r="H4291" s="11">
        <v>300</v>
      </c>
      <c r="I4291" s="12">
        <v>42897</v>
      </c>
      <c r="J4291" s="35">
        <f t="shared" si="458"/>
        <v>0</v>
      </c>
      <c r="K4291" s="36"/>
      <c r="L4291" s="36"/>
      <c r="M4291" s="36"/>
      <c r="N4291" s="36"/>
      <c r="O4291" s="36"/>
      <c r="P4291" s="36"/>
      <c r="Q4291" s="36"/>
      <c r="R4291" s="36"/>
      <c r="S4291" s="36"/>
      <c r="T4291" s="36"/>
      <c r="U4291" s="36"/>
      <c r="V4291" s="36"/>
      <c r="W4291" s="15">
        <f t="shared" si="459"/>
        <v>0</v>
      </c>
      <c r="X4291" s="36"/>
      <c r="Y4291" s="36"/>
      <c r="Z4291" s="36"/>
      <c r="AA4291" s="36"/>
      <c r="AB4291" s="36">
        <v>300</v>
      </c>
      <c r="AC4291" s="36"/>
      <c r="AD4291" s="36"/>
      <c r="AE4291" s="36"/>
      <c r="AF4291" s="36"/>
      <c r="AG4291" s="36"/>
      <c r="AH4291" s="36"/>
      <c r="AI4291" s="36"/>
      <c r="AJ4291" s="15">
        <f t="shared" si="460"/>
        <v>300</v>
      </c>
      <c r="AK4291" s="14"/>
      <c r="AL4291" s="14"/>
      <c r="AM4291" s="14"/>
      <c r="AN4291" s="14"/>
      <c r="AO4291" s="14"/>
      <c r="AP4291" s="14"/>
      <c r="AQ4291" s="14"/>
      <c r="AR4291" s="14"/>
      <c r="AS4291" s="14"/>
      <c r="AT4291" s="14"/>
      <c r="AU4291" s="14"/>
      <c r="AV4291" s="14"/>
      <c r="AW4291" s="15"/>
      <c r="AX4291" s="16"/>
    </row>
    <row r="4292" spans="2:50" x14ac:dyDescent="0.2">
      <c r="B4292" s="7"/>
      <c r="C4292" s="8">
        <v>14576</v>
      </c>
      <c r="D4292" s="9" t="s">
        <v>526</v>
      </c>
      <c r="E4292" s="10" t="str">
        <f t="shared" si="456"/>
        <v>Rancho Landero No. 62</v>
      </c>
      <c r="F4292" s="10" t="str">
        <f t="shared" si="457"/>
        <v>Narvaez Sara</v>
      </c>
      <c r="G4292" s="8">
        <v>7</v>
      </c>
      <c r="H4292" s="11">
        <v>100</v>
      </c>
      <c r="I4292" s="12">
        <v>42897</v>
      </c>
      <c r="J4292" s="35">
        <f t="shared" si="458"/>
        <v>0</v>
      </c>
      <c r="K4292" s="36"/>
      <c r="L4292" s="36"/>
      <c r="M4292" s="36"/>
      <c r="N4292" s="36"/>
      <c r="O4292" s="36"/>
      <c r="P4292" s="36"/>
      <c r="Q4292" s="36"/>
      <c r="R4292" s="36"/>
      <c r="S4292" s="36"/>
      <c r="T4292" s="36"/>
      <c r="U4292" s="36"/>
      <c r="V4292" s="36"/>
      <c r="W4292" s="15">
        <f t="shared" si="459"/>
        <v>0</v>
      </c>
      <c r="X4292" s="36"/>
      <c r="Y4292" s="36"/>
      <c r="Z4292" s="36"/>
      <c r="AA4292" s="36"/>
      <c r="AB4292" s="36"/>
      <c r="AC4292" s="36"/>
      <c r="AD4292" s="36"/>
      <c r="AE4292" s="36"/>
      <c r="AF4292" s="36"/>
      <c r="AG4292" s="36"/>
      <c r="AH4292" s="36"/>
      <c r="AI4292" s="36"/>
      <c r="AJ4292" s="15">
        <f t="shared" si="460"/>
        <v>0</v>
      </c>
      <c r="AK4292" s="14"/>
      <c r="AL4292" s="14"/>
      <c r="AM4292" s="14"/>
      <c r="AN4292" s="14"/>
      <c r="AO4292" s="14"/>
      <c r="AP4292" s="14"/>
      <c r="AQ4292" s="14"/>
      <c r="AR4292" s="14"/>
      <c r="AS4292" s="14"/>
      <c r="AT4292" s="14"/>
      <c r="AU4292" s="14"/>
      <c r="AV4292" s="14"/>
      <c r="AW4292" s="15"/>
      <c r="AX4292" s="16" t="s">
        <v>3858</v>
      </c>
    </row>
    <row r="4293" spans="2:50" x14ac:dyDescent="0.2">
      <c r="B4293" s="7"/>
      <c r="C4293" s="8">
        <v>14577</v>
      </c>
      <c r="D4293" s="9" t="s">
        <v>640</v>
      </c>
      <c r="E4293" s="10" t="str">
        <f t="shared" si="456"/>
        <v>Rancho Estopila No. 22, A</v>
      </c>
      <c r="F4293" s="10" t="str">
        <f t="shared" si="457"/>
        <v>Ayala Carranza</v>
      </c>
      <c r="G4293" s="8">
        <v>1</v>
      </c>
      <c r="H4293" s="11">
        <v>200</v>
      </c>
      <c r="I4293" s="12">
        <v>42897</v>
      </c>
      <c r="J4293" s="35">
        <f t="shared" si="458"/>
        <v>0</v>
      </c>
      <c r="K4293" s="36"/>
      <c r="L4293" s="36"/>
      <c r="M4293" s="36"/>
      <c r="N4293" s="36"/>
      <c r="O4293" s="36"/>
      <c r="P4293" s="36"/>
      <c r="Q4293" s="36"/>
      <c r="R4293" s="36"/>
      <c r="S4293" s="36"/>
      <c r="T4293" s="36"/>
      <c r="U4293" s="36"/>
      <c r="V4293" s="36"/>
      <c r="W4293" s="15">
        <f t="shared" si="459"/>
        <v>0</v>
      </c>
      <c r="X4293" s="36"/>
      <c r="Y4293" s="36"/>
      <c r="Z4293" s="36"/>
      <c r="AA4293" s="36"/>
      <c r="AB4293" s="36">
        <v>200</v>
      </c>
      <c r="AC4293" s="36"/>
      <c r="AD4293" s="36"/>
      <c r="AE4293" s="36"/>
      <c r="AF4293" s="36"/>
      <c r="AG4293" s="36"/>
      <c r="AH4293" s="36"/>
      <c r="AI4293" s="36"/>
      <c r="AJ4293" s="15">
        <f t="shared" si="460"/>
        <v>200</v>
      </c>
      <c r="AK4293" s="14"/>
      <c r="AL4293" s="14"/>
      <c r="AM4293" s="14"/>
      <c r="AN4293" s="14"/>
      <c r="AO4293" s="14"/>
      <c r="AP4293" s="14"/>
      <c r="AQ4293" s="14"/>
      <c r="AR4293" s="14"/>
      <c r="AS4293" s="14"/>
      <c r="AT4293" s="14"/>
      <c r="AU4293" s="14"/>
      <c r="AV4293" s="14"/>
      <c r="AW4293" s="15"/>
      <c r="AX4293" s="16"/>
    </row>
    <row r="4294" spans="2:50" x14ac:dyDescent="0.2">
      <c r="B4294" s="7"/>
      <c r="C4294" s="8">
        <v>14578</v>
      </c>
      <c r="D4294" s="9" t="s">
        <v>97</v>
      </c>
      <c r="E4294" s="10" t="str">
        <f t="shared" si="456"/>
        <v>Rancho La Cuchilla No. 78</v>
      </c>
      <c r="F4294" s="10" t="str">
        <f t="shared" si="457"/>
        <v>García</v>
      </c>
      <c r="G4294" s="8">
        <v>1</v>
      </c>
      <c r="H4294" s="11">
        <v>400</v>
      </c>
      <c r="I4294" s="12">
        <v>42897</v>
      </c>
      <c r="J4294" s="35">
        <f t="shared" si="458"/>
        <v>0</v>
      </c>
      <c r="K4294" s="36"/>
      <c r="L4294" s="36"/>
      <c r="M4294" s="36"/>
      <c r="N4294" s="36"/>
      <c r="O4294" s="36"/>
      <c r="P4294" s="36"/>
      <c r="Q4294" s="36"/>
      <c r="R4294" s="36"/>
      <c r="S4294" s="36"/>
      <c r="T4294" s="36"/>
      <c r="U4294" s="36"/>
      <c r="V4294" s="36"/>
      <c r="W4294" s="15">
        <f t="shared" si="459"/>
        <v>0</v>
      </c>
      <c r="X4294" s="36"/>
      <c r="Y4294" s="36"/>
      <c r="Z4294" s="36"/>
      <c r="AA4294" s="36"/>
      <c r="AB4294" s="36"/>
      <c r="AC4294" s="36">
        <v>400</v>
      </c>
      <c r="AD4294" s="36"/>
      <c r="AE4294" s="36"/>
      <c r="AF4294" s="36"/>
      <c r="AG4294" s="36"/>
      <c r="AH4294" s="36"/>
      <c r="AI4294" s="36"/>
      <c r="AJ4294" s="15">
        <f t="shared" si="460"/>
        <v>400</v>
      </c>
      <c r="AK4294" s="14"/>
      <c r="AL4294" s="14"/>
      <c r="AM4294" s="14"/>
      <c r="AN4294" s="14"/>
      <c r="AO4294" s="14"/>
      <c r="AP4294" s="14"/>
      <c r="AQ4294" s="14"/>
      <c r="AR4294" s="14"/>
      <c r="AS4294" s="14"/>
      <c r="AT4294" s="14"/>
      <c r="AU4294" s="14"/>
      <c r="AV4294" s="14"/>
      <c r="AW4294" s="15"/>
      <c r="AX4294" s="16"/>
    </row>
    <row r="4295" spans="2:50" x14ac:dyDescent="0.2">
      <c r="B4295" s="7"/>
      <c r="C4295" s="8">
        <v>14579</v>
      </c>
      <c r="D4295" s="9" t="s">
        <v>62</v>
      </c>
      <c r="E4295" s="10" t="str">
        <f t="shared" si="456"/>
        <v>Rancho Romeral No. 10, A</v>
      </c>
      <c r="F4295" s="10" t="str">
        <f t="shared" si="457"/>
        <v>Casillas Álvarez</v>
      </c>
      <c r="G4295" s="8">
        <v>1</v>
      </c>
      <c r="H4295" s="11">
        <v>400</v>
      </c>
      <c r="I4295" s="12">
        <v>42897</v>
      </c>
      <c r="J4295" s="35">
        <f t="shared" si="458"/>
        <v>0</v>
      </c>
      <c r="K4295" s="36"/>
      <c r="L4295" s="36"/>
      <c r="M4295" s="36"/>
      <c r="N4295" s="36"/>
      <c r="O4295" s="36"/>
      <c r="P4295" s="36"/>
      <c r="Q4295" s="36"/>
      <c r="R4295" s="36"/>
      <c r="S4295" s="36"/>
      <c r="T4295" s="36"/>
      <c r="U4295" s="36"/>
      <c r="V4295" s="36"/>
      <c r="W4295" s="15">
        <f t="shared" si="459"/>
        <v>0</v>
      </c>
      <c r="X4295" s="36"/>
      <c r="Y4295" s="36"/>
      <c r="Z4295" s="36"/>
      <c r="AA4295" s="36"/>
      <c r="AB4295" s="36"/>
      <c r="AC4295" s="36"/>
      <c r="AD4295" s="36">
        <v>200</v>
      </c>
      <c r="AE4295" s="36">
        <v>200</v>
      </c>
      <c r="AF4295" s="36"/>
      <c r="AG4295" s="36"/>
      <c r="AH4295" s="36"/>
      <c r="AI4295" s="36"/>
      <c r="AJ4295" s="15">
        <f t="shared" si="460"/>
        <v>400</v>
      </c>
      <c r="AK4295" s="14"/>
      <c r="AL4295" s="14"/>
      <c r="AM4295" s="14"/>
      <c r="AN4295" s="14"/>
      <c r="AO4295" s="14"/>
      <c r="AP4295" s="14"/>
      <c r="AQ4295" s="14"/>
      <c r="AR4295" s="14"/>
      <c r="AS4295" s="14"/>
      <c r="AT4295" s="14"/>
      <c r="AU4295" s="14"/>
      <c r="AV4295" s="14"/>
      <c r="AW4295" s="15"/>
      <c r="AX4295" s="16"/>
    </row>
    <row r="4296" spans="2:50" x14ac:dyDescent="0.2">
      <c r="B4296" s="7"/>
      <c r="C4296" s="8">
        <v>14580</v>
      </c>
      <c r="D4296" s="9" t="s">
        <v>109</v>
      </c>
      <c r="E4296" s="10" t="str">
        <f t="shared" si="456"/>
        <v>Rancho Estanzuela No. 31</v>
      </c>
      <c r="F4296" s="10" t="str">
        <f t="shared" si="457"/>
        <v>Chávez Valdés</v>
      </c>
      <c r="G4296" s="8">
        <v>1</v>
      </c>
      <c r="H4296" s="11">
        <v>400</v>
      </c>
      <c r="I4296" s="12">
        <v>42897</v>
      </c>
      <c r="J4296" s="35">
        <f t="shared" si="458"/>
        <v>0</v>
      </c>
      <c r="K4296" s="36"/>
      <c r="L4296" s="36"/>
      <c r="M4296" s="36"/>
      <c r="N4296" s="36"/>
      <c r="O4296" s="36"/>
      <c r="P4296" s="36"/>
      <c r="Q4296" s="36"/>
      <c r="R4296" s="36"/>
      <c r="S4296" s="36"/>
      <c r="T4296" s="36"/>
      <c r="U4296" s="36"/>
      <c r="V4296" s="36"/>
      <c r="W4296" s="15">
        <f t="shared" si="459"/>
        <v>0</v>
      </c>
      <c r="X4296" s="36"/>
      <c r="Y4296" s="36"/>
      <c r="Z4296" s="36"/>
      <c r="AA4296" s="36"/>
      <c r="AB4296" s="36">
        <v>400</v>
      </c>
      <c r="AC4296" s="36"/>
      <c r="AD4296" s="36"/>
      <c r="AE4296" s="36"/>
      <c r="AF4296" s="36"/>
      <c r="AG4296" s="36"/>
      <c r="AH4296" s="36"/>
      <c r="AI4296" s="36"/>
      <c r="AJ4296" s="15">
        <f t="shared" si="460"/>
        <v>400</v>
      </c>
      <c r="AK4296" s="14"/>
      <c r="AL4296" s="14"/>
      <c r="AM4296" s="14"/>
      <c r="AN4296" s="14"/>
      <c r="AO4296" s="14"/>
      <c r="AP4296" s="14"/>
      <c r="AQ4296" s="14"/>
      <c r="AR4296" s="14"/>
      <c r="AS4296" s="14"/>
      <c r="AT4296" s="14"/>
      <c r="AU4296" s="14"/>
      <c r="AV4296" s="14"/>
      <c r="AW4296" s="15"/>
      <c r="AX4296" s="16"/>
    </row>
    <row r="4297" spans="2:50" x14ac:dyDescent="0.2">
      <c r="B4297" s="7"/>
      <c r="C4297" s="8">
        <v>14581</v>
      </c>
      <c r="D4297" s="9" t="s">
        <v>395</v>
      </c>
      <c r="E4297" s="10" t="str">
        <f t="shared" si="456"/>
        <v>Rancho Landero No. 7</v>
      </c>
      <c r="F4297" s="10" t="str">
        <f t="shared" si="457"/>
        <v>Robles</v>
      </c>
      <c r="G4297" s="8">
        <v>1</v>
      </c>
      <c r="H4297" s="11">
        <v>200</v>
      </c>
      <c r="I4297" s="12">
        <v>42897</v>
      </c>
      <c r="J4297" s="35">
        <f t="shared" si="458"/>
        <v>0</v>
      </c>
      <c r="K4297" s="36"/>
      <c r="L4297" s="36"/>
      <c r="M4297" s="36"/>
      <c r="N4297" s="36"/>
      <c r="O4297" s="36"/>
      <c r="P4297" s="36"/>
      <c r="Q4297" s="36"/>
      <c r="R4297" s="36"/>
      <c r="S4297" s="36"/>
      <c r="T4297" s="36"/>
      <c r="U4297" s="36"/>
      <c r="V4297" s="36"/>
      <c r="W4297" s="15">
        <f t="shared" si="459"/>
        <v>0</v>
      </c>
      <c r="X4297" s="36"/>
      <c r="Y4297" s="36"/>
      <c r="Z4297" s="36"/>
      <c r="AA4297" s="36"/>
      <c r="AB4297" s="36"/>
      <c r="AC4297" s="36">
        <v>200</v>
      </c>
      <c r="AD4297" s="36"/>
      <c r="AE4297" s="36"/>
      <c r="AF4297" s="36"/>
      <c r="AG4297" s="36"/>
      <c r="AH4297" s="36"/>
      <c r="AI4297" s="36"/>
      <c r="AJ4297" s="15">
        <f t="shared" si="460"/>
        <v>200</v>
      </c>
      <c r="AK4297" s="14"/>
      <c r="AL4297" s="14"/>
      <c r="AM4297" s="14"/>
      <c r="AN4297" s="14"/>
      <c r="AO4297" s="14"/>
      <c r="AP4297" s="14"/>
      <c r="AQ4297" s="14"/>
      <c r="AR4297" s="14"/>
      <c r="AS4297" s="14"/>
      <c r="AT4297" s="14"/>
      <c r="AU4297" s="14"/>
      <c r="AV4297" s="14"/>
      <c r="AW4297" s="15"/>
      <c r="AX4297" s="16"/>
    </row>
    <row r="4298" spans="2:50" x14ac:dyDescent="0.2">
      <c r="B4298" s="7"/>
      <c r="C4298" s="8">
        <v>14582</v>
      </c>
      <c r="D4298" s="9" t="s">
        <v>292</v>
      </c>
      <c r="E4298" s="10" t="str">
        <f t="shared" si="456"/>
        <v>Rancho Upácuaro No. 140</v>
      </c>
      <c r="F4298" s="10" t="str">
        <f t="shared" si="457"/>
        <v>Gozain</v>
      </c>
      <c r="G4298" s="8">
        <v>1</v>
      </c>
      <c r="H4298" s="11">
        <v>800</v>
      </c>
      <c r="I4298" s="12">
        <v>42897</v>
      </c>
      <c r="J4298" s="35">
        <f t="shared" si="458"/>
        <v>0</v>
      </c>
      <c r="K4298" s="36"/>
      <c r="L4298" s="36"/>
      <c r="M4298" s="36"/>
      <c r="N4298" s="36"/>
      <c r="O4298" s="36"/>
      <c r="P4298" s="36"/>
      <c r="Q4298" s="36"/>
      <c r="R4298" s="36"/>
      <c r="S4298" s="36"/>
      <c r="T4298" s="36"/>
      <c r="U4298" s="36"/>
      <c r="V4298" s="36"/>
      <c r="W4298" s="15">
        <f t="shared" si="459"/>
        <v>0</v>
      </c>
      <c r="X4298" s="36"/>
      <c r="Y4298" s="36"/>
      <c r="Z4298" s="36"/>
      <c r="AA4298" s="36"/>
      <c r="AB4298" s="36"/>
      <c r="AC4298" s="36">
        <v>400</v>
      </c>
      <c r="AD4298" s="36">
        <v>400</v>
      </c>
      <c r="AE4298" s="36"/>
      <c r="AF4298" s="36"/>
      <c r="AG4298" s="36"/>
      <c r="AH4298" s="36"/>
      <c r="AI4298" s="36"/>
      <c r="AJ4298" s="15">
        <f t="shared" si="460"/>
        <v>800</v>
      </c>
      <c r="AK4298" s="14"/>
      <c r="AL4298" s="14"/>
      <c r="AM4298" s="14"/>
      <c r="AN4298" s="14"/>
      <c r="AO4298" s="14"/>
      <c r="AP4298" s="14"/>
      <c r="AQ4298" s="14"/>
      <c r="AR4298" s="14"/>
      <c r="AS4298" s="14"/>
      <c r="AT4298" s="14"/>
      <c r="AU4298" s="14"/>
      <c r="AV4298" s="14"/>
      <c r="AW4298" s="15"/>
      <c r="AX4298" s="16"/>
    </row>
    <row r="4299" spans="2:50" x14ac:dyDescent="0.2">
      <c r="B4299" s="7"/>
      <c r="C4299" s="8">
        <v>14583</v>
      </c>
      <c r="D4299" s="9" t="s">
        <v>840</v>
      </c>
      <c r="E4299" s="10" t="str">
        <f t="shared" si="456"/>
        <v>Rancho Landero No. 33</v>
      </c>
      <c r="F4299" s="10" t="str">
        <f t="shared" si="457"/>
        <v>González Uribe</v>
      </c>
      <c r="G4299" s="8">
        <v>1</v>
      </c>
      <c r="H4299" s="11">
        <v>800</v>
      </c>
      <c r="I4299" s="12">
        <v>42897</v>
      </c>
      <c r="J4299" s="35">
        <f t="shared" si="458"/>
        <v>0</v>
      </c>
      <c r="K4299" s="36"/>
      <c r="L4299" s="36"/>
      <c r="M4299" s="36"/>
      <c r="N4299" s="36"/>
      <c r="O4299" s="36"/>
      <c r="P4299" s="36"/>
      <c r="Q4299" s="36"/>
      <c r="R4299" s="36"/>
      <c r="S4299" s="36"/>
      <c r="T4299" s="36"/>
      <c r="U4299" s="36"/>
      <c r="V4299" s="36"/>
      <c r="W4299" s="15">
        <f t="shared" si="459"/>
        <v>0</v>
      </c>
      <c r="X4299" s="36"/>
      <c r="Y4299" s="36"/>
      <c r="Z4299" s="36"/>
      <c r="AA4299" s="36"/>
      <c r="AB4299" s="36">
        <v>400</v>
      </c>
      <c r="AC4299" s="36">
        <v>400</v>
      </c>
      <c r="AD4299" s="36"/>
      <c r="AE4299" s="36"/>
      <c r="AF4299" s="36"/>
      <c r="AG4299" s="36"/>
      <c r="AH4299" s="36"/>
      <c r="AI4299" s="36"/>
      <c r="AJ4299" s="15">
        <f t="shared" si="460"/>
        <v>800</v>
      </c>
      <c r="AK4299" s="14"/>
      <c r="AL4299" s="14"/>
      <c r="AM4299" s="14"/>
      <c r="AN4299" s="14"/>
      <c r="AO4299" s="14"/>
      <c r="AP4299" s="14"/>
      <c r="AQ4299" s="14"/>
      <c r="AR4299" s="14"/>
      <c r="AS4299" s="14"/>
      <c r="AT4299" s="14"/>
      <c r="AU4299" s="14"/>
      <c r="AV4299" s="14"/>
      <c r="AW4299" s="15"/>
      <c r="AX4299" s="16"/>
    </row>
    <row r="4300" spans="2:50" x14ac:dyDescent="0.2">
      <c r="B4300" s="7"/>
      <c r="C4300" s="8">
        <v>14584</v>
      </c>
      <c r="D4300" s="9" t="s">
        <v>313</v>
      </c>
      <c r="E4300" s="10" t="str">
        <f t="shared" si="456"/>
        <v>Rancho La Cuchilla No. 87</v>
      </c>
      <c r="F4300" s="10" t="str">
        <f t="shared" si="457"/>
        <v>Villanueva S.</v>
      </c>
      <c r="G4300" s="8">
        <v>1</v>
      </c>
      <c r="H4300" s="11">
        <v>400</v>
      </c>
      <c r="I4300" s="12">
        <v>42897</v>
      </c>
      <c r="J4300" s="35">
        <f t="shared" si="458"/>
        <v>0</v>
      </c>
      <c r="K4300" s="36"/>
      <c r="L4300" s="36"/>
      <c r="M4300" s="36"/>
      <c r="N4300" s="36"/>
      <c r="O4300" s="36"/>
      <c r="P4300" s="36"/>
      <c r="Q4300" s="36"/>
      <c r="R4300" s="36"/>
      <c r="S4300" s="36"/>
      <c r="T4300" s="36"/>
      <c r="U4300" s="36"/>
      <c r="V4300" s="36"/>
      <c r="W4300" s="15">
        <f t="shared" si="459"/>
        <v>0</v>
      </c>
      <c r="X4300" s="36"/>
      <c r="Y4300" s="36"/>
      <c r="Z4300" s="36"/>
      <c r="AA4300" s="36"/>
      <c r="AB4300" s="36"/>
      <c r="AC4300" s="36">
        <v>400</v>
      </c>
      <c r="AD4300" s="36"/>
      <c r="AE4300" s="36"/>
      <c r="AF4300" s="36"/>
      <c r="AG4300" s="36"/>
      <c r="AH4300" s="36"/>
      <c r="AI4300" s="36"/>
      <c r="AJ4300" s="15">
        <f t="shared" si="460"/>
        <v>400</v>
      </c>
      <c r="AK4300" s="14"/>
      <c r="AL4300" s="14"/>
      <c r="AM4300" s="14"/>
      <c r="AN4300" s="14"/>
      <c r="AO4300" s="14"/>
      <c r="AP4300" s="14"/>
      <c r="AQ4300" s="14"/>
      <c r="AR4300" s="14"/>
      <c r="AS4300" s="14"/>
      <c r="AT4300" s="14"/>
      <c r="AU4300" s="14"/>
      <c r="AV4300" s="14"/>
      <c r="AW4300" s="15"/>
      <c r="AX4300" s="16"/>
    </row>
    <row r="4301" spans="2:50" x14ac:dyDescent="0.2">
      <c r="B4301" s="7"/>
      <c r="C4301" s="8">
        <v>14585</v>
      </c>
      <c r="D4301" s="9" t="s">
        <v>431</v>
      </c>
      <c r="E4301" s="10" t="str">
        <f t="shared" si="456"/>
        <v>Rancho Landero No. 63</v>
      </c>
      <c r="F4301" s="10" t="str">
        <f t="shared" si="457"/>
        <v>Hernández Chávez</v>
      </c>
      <c r="G4301" s="8">
        <v>1</v>
      </c>
      <c r="H4301" s="11">
        <v>800</v>
      </c>
      <c r="I4301" s="12">
        <v>42897</v>
      </c>
      <c r="J4301" s="35">
        <f t="shared" si="458"/>
        <v>0</v>
      </c>
      <c r="K4301" s="36"/>
      <c r="L4301" s="36"/>
      <c r="M4301" s="36"/>
      <c r="N4301" s="36"/>
      <c r="O4301" s="36"/>
      <c r="P4301" s="36"/>
      <c r="Q4301" s="36"/>
      <c r="R4301" s="36"/>
      <c r="S4301" s="36"/>
      <c r="T4301" s="36"/>
      <c r="U4301" s="36"/>
      <c r="V4301" s="36"/>
      <c r="W4301" s="15">
        <f t="shared" si="459"/>
        <v>0</v>
      </c>
      <c r="X4301" s="36"/>
      <c r="Y4301" s="36"/>
      <c r="Z4301" s="36"/>
      <c r="AA4301" s="36">
        <v>400</v>
      </c>
      <c r="AB4301" s="36">
        <v>400</v>
      </c>
      <c r="AC4301" s="36"/>
      <c r="AD4301" s="36"/>
      <c r="AE4301" s="36"/>
      <c r="AF4301" s="36"/>
      <c r="AG4301" s="36"/>
      <c r="AH4301" s="36"/>
      <c r="AI4301" s="36"/>
      <c r="AJ4301" s="15">
        <f t="shared" si="460"/>
        <v>800</v>
      </c>
      <c r="AK4301" s="14"/>
      <c r="AL4301" s="14"/>
      <c r="AM4301" s="14"/>
      <c r="AN4301" s="14"/>
      <c r="AO4301" s="14"/>
      <c r="AP4301" s="14"/>
      <c r="AQ4301" s="14"/>
      <c r="AR4301" s="14"/>
      <c r="AS4301" s="14"/>
      <c r="AT4301" s="14"/>
      <c r="AU4301" s="14"/>
      <c r="AV4301" s="14"/>
      <c r="AW4301" s="15"/>
      <c r="AX4301" s="16"/>
    </row>
    <row r="4302" spans="2:50" x14ac:dyDescent="0.2">
      <c r="B4302" s="7"/>
      <c r="C4302" s="8">
        <v>14586</v>
      </c>
      <c r="D4302" s="9" t="s">
        <v>716</v>
      </c>
      <c r="E4302" s="10" t="str">
        <f t="shared" si="456"/>
        <v>Rancho Landero No. 20</v>
      </c>
      <c r="F4302" s="10" t="str">
        <f t="shared" si="457"/>
        <v>Velasco</v>
      </c>
      <c r="G4302" s="8">
        <v>1</v>
      </c>
      <c r="H4302" s="11">
        <v>300</v>
      </c>
      <c r="I4302" s="12">
        <v>42897</v>
      </c>
      <c r="J4302" s="35">
        <f t="shared" si="458"/>
        <v>0</v>
      </c>
      <c r="K4302" s="36"/>
      <c r="L4302" s="36"/>
      <c r="M4302" s="36"/>
      <c r="N4302" s="36"/>
      <c r="O4302" s="36"/>
      <c r="P4302" s="36"/>
      <c r="Q4302" s="36"/>
      <c r="R4302" s="36"/>
      <c r="S4302" s="36"/>
      <c r="T4302" s="36"/>
      <c r="U4302" s="36"/>
      <c r="V4302" s="36"/>
      <c r="W4302" s="15">
        <f t="shared" si="459"/>
        <v>0</v>
      </c>
      <c r="X4302" s="36"/>
      <c r="Y4302" s="36"/>
      <c r="Z4302" s="36"/>
      <c r="AA4302" s="36"/>
      <c r="AB4302" s="36"/>
      <c r="AC4302" s="36">
        <v>300</v>
      </c>
      <c r="AD4302" s="36"/>
      <c r="AE4302" s="36"/>
      <c r="AF4302" s="36"/>
      <c r="AG4302" s="36"/>
      <c r="AH4302" s="36"/>
      <c r="AI4302" s="36"/>
      <c r="AJ4302" s="15">
        <f t="shared" si="460"/>
        <v>300</v>
      </c>
      <c r="AK4302" s="14"/>
      <c r="AL4302" s="14"/>
      <c r="AM4302" s="14"/>
      <c r="AN4302" s="14"/>
      <c r="AO4302" s="14"/>
      <c r="AP4302" s="14"/>
      <c r="AQ4302" s="14"/>
      <c r="AR4302" s="14"/>
      <c r="AS4302" s="14"/>
      <c r="AT4302" s="14"/>
      <c r="AU4302" s="14"/>
      <c r="AV4302" s="14"/>
      <c r="AW4302" s="15"/>
      <c r="AX4302" s="16"/>
    </row>
    <row r="4303" spans="2:50" x14ac:dyDescent="0.2">
      <c r="B4303" s="7"/>
      <c r="C4303" s="8">
        <v>14587</v>
      </c>
      <c r="D4303" s="9" t="s">
        <v>911</v>
      </c>
      <c r="E4303" s="10" t="str">
        <f t="shared" si="456"/>
        <v>Rancho Estanzuela No. 19</v>
      </c>
      <c r="F4303" s="10" t="str">
        <f t="shared" si="457"/>
        <v>Robles</v>
      </c>
      <c r="G4303" s="8">
        <v>1</v>
      </c>
      <c r="H4303" s="11">
        <v>400</v>
      </c>
      <c r="I4303" s="12">
        <v>42897</v>
      </c>
      <c r="J4303" s="35">
        <f t="shared" si="458"/>
        <v>0</v>
      </c>
      <c r="K4303" s="36"/>
      <c r="L4303" s="36"/>
      <c r="M4303" s="36"/>
      <c r="N4303" s="36"/>
      <c r="O4303" s="36"/>
      <c r="P4303" s="36"/>
      <c r="Q4303" s="36"/>
      <c r="R4303" s="36"/>
      <c r="S4303" s="36"/>
      <c r="T4303" s="36"/>
      <c r="U4303" s="36"/>
      <c r="V4303" s="36"/>
      <c r="W4303" s="15">
        <f t="shared" si="459"/>
        <v>0</v>
      </c>
      <c r="X4303" s="36"/>
      <c r="Y4303" s="36"/>
      <c r="Z4303" s="36"/>
      <c r="AA4303" s="36"/>
      <c r="AB4303" s="36"/>
      <c r="AC4303" s="36">
        <v>400</v>
      </c>
      <c r="AD4303" s="36"/>
      <c r="AE4303" s="36"/>
      <c r="AF4303" s="36"/>
      <c r="AG4303" s="36"/>
      <c r="AH4303" s="36"/>
      <c r="AI4303" s="36"/>
      <c r="AJ4303" s="15">
        <f t="shared" si="460"/>
        <v>400</v>
      </c>
      <c r="AK4303" s="14"/>
      <c r="AL4303" s="14"/>
      <c r="AM4303" s="14"/>
      <c r="AN4303" s="14"/>
      <c r="AO4303" s="14"/>
      <c r="AP4303" s="14"/>
      <c r="AQ4303" s="14"/>
      <c r="AR4303" s="14"/>
      <c r="AS4303" s="14"/>
      <c r="AT4303" s="14"/>
      <c r="AU4303" s="14"/>
      <c r="AV4303" s="14"/>
      <c r="AW4303" s="15"/>
      <c r="AX4303" s="16"/>
    </row>
    <row r="4304" spans="2:50" x14ac:dyDescent="0.2">
      <c r="B4304" s="7"/>
      <c r="C4304" s="8">
        <v>14588</v>
      </c>
      <c r="D4304" s="9" t="s">
        <v>150</v>
      </c>
      <c r="E4304" s="10" t="str">
        <f t="shared" si="456"/>
        <v>Rancho La Cuchilla No. 33</v>
      </c>
      <c r="F4304" s="10" t="str">
        <f t="shared" si="457"/>
        <v>Tanús</v>
      </c>
      <c r="G4304" s="8">
        <v>1</v>
      </c>
      <c r="H4304" s="11">
        <v>400</v>
      </c>
      <c r="I4304" s="12">
        <v>42897</v>
      </c>
      <c r="J4304" s="35">
        <f t="shared" si="458"/>
        <v>0</v>
      </c>
      <c r="K4304" s="36"/>
      <c r="L4304" s="36"/>
      <c r="M4304" s="36"/>
      <c r="N4304" s="36"/>
      <c r="O4304" s="36"/>
      <c r="P4304" s="36"/>
      <c r="Q4304" s="36"/>
      <c r="R4304" s="36"/>
      <c r="S4304" s="36"/>
      <c r="T4304" s="36"/>
      <c r="U4304" s="36"/>
      <c r="V4304" s="36"/>
      <c r="W4304" s="15">
        <f t="shared" si="459"/>
        <v>0</v>
      </c>
      <c r="X4304" s="36"/>
      <c r="Y4304" s="36"/>
      <c r="Z4304" s="36"/>
      <c r="AA4304" s="36"/>
      <c r="AB4304" s="36"/>
      <c r="AC4304" s="36">
        <v>400</v>
      </c>
      <c r="AD4304" s="36"/>
      <c r="AE4304" s="36"/>
      <c r="AF4304" s="36"/>
      <c r="AG4304" s="36"/>
      <c r="AH4304" s="36"/>
      <c r="AI4304" s="36"/>
      <c r="AJ4304" s="15">
        <f t="shared" si="460"/>
        <v>400</v>
      </c>
      <c r="AK4304" s="14"/>
      <c r="AL4304" s="14"/>
      <c r="AM4304" s="14"/>
      <c r="AN4304" s="14"/>
      <c r="AO4304" s="14"/>
      <c r="AP4304" s="14"/>
      <c r="AQ4304" s="14"/>
      <c r="AR4304" s="14"/>
      <c r="AS4304" s="14"/>
      <c r="AT4304" s="14"/>
      <c r="AU4304" s="14"/>
      <c r="AV4304" s="14"/>
      <c r="AW4304" s="15"/>
      <c r="AX4304" s="16"/>
    </row>
    <row r="4305" spans="2:50" x14ac:dyDescent="0.2">
      <c r="B4305" s="7"/>
      <c r="C4305" s="8">
        <v>14589</v>
      </c>
      <c r="D4305" s="9" t="s">
        <v>586</v>
      </c>
      <c r="E4305" s="10" t="str">
        <f t="shared" si="456"/>
        <v>Rancho Estanzuela No. 161, 1</v>
      </c>
      <c r="F4305" s="10" t="str">
        <f t="shared" si="457"/>
        <v>Guevara</v>
      </c>
      <c r="G4305" s="8">
        <v>1</v>
      </c>
      <c r="H4305" s="11">
        <v>200</v>
      </c>
      <c r="I4305" s="12">
        <v>42897</v>
      </c>
      <c r="J4305" s="35">
        <f t="shared" si="458"/>
        <v>0</v>
      </c>
      <c r="K4305" s="36"/>
      <c r="L4305" s="36"/>
      <c r="M4305" s="36"/>
      <c r="N4305" s="36"/>
      <c r="O4305" s="36"/>
      <c r="P4305" s="36"/>
      <c r="Q4305" s="36"/>
      <c r="R4305" s="36"/>
      <c r="S4305" s="36"/>
      <c r="T4305" s="36"/>
      <c r="U4305" s="36"/>
      <c r="V4305" s="36"/>
      <c r="W4305" s="15">
        <f t="shared" si="459"/>
        <v>0</v>
      </c>
      <c r="X4305" s="36"/>
      <c r="Y4305" s="36"/>
      <c r="Z4305" s="36"/>
      <c r="AA4305" s="36"/>
      <c r="AB4305" s="36"/>
      <c r="AC4305" s="36">
        <v>200</v>
      </c>
      <c r="AD4305" s="36"/>
      <c r="AE4305" s="36"/>
      <c r="AF4305" s="36"/>
      <c r="AG4305" s="36"/>
      <c r="AH4305" s="36"/>
      <c r="AI4305" s="36"/>
      <c r="AJ4305" s="15">
        <f t="shared" si="460"/>
        <v>200</v>
      </c>
      <c r="AK4305" s="14"/>
      <c r="AL4305" s="14"/>
      <c r="AM4305" s="14"/>
      <c r="AN4305" s="14"/>
      <c r="AO4305" s="14"/>
      <c r="AP4305" s="14"/>
      <c r="AQ4305" s="14"/>
      <c r="AR4305" s="14"/>
      <c r="AS4305" s="14"/>
      <c r="AT4305" s="14"/>
      <c r="AU4305" s="14"/>
      <c r="AV4305" s="14"/>
      <c r="AW4305" s="15"/>
      <c r="AX4305" s="16"/>
    </row>
    <row r="4306" spans="2:50" x14ac:dyDescent="0.2">
      <c r="B4306" s="7"/>
      <c r="C4306" s="8">
        <v>14590</v>
      </c>
      <c r="D4306" s="9" t="s">
        <v>562</v>
      </c>
      <c r="E4306" s="10" t="str">
        <f t="shared" si="456"/>
        <v>Rancho Upácuaro No. 87</v>
      </c>
      <c r="F4306" s="10" t="str">
        <f t="shared" si="457"/>
        <v>Rodríguez Parés</v>
      </c>
      <c r="G4306" s="8">
        <v>1</v>
      </c>
      <c r="H4306" s="11">
        <v>400</v>
      </c>
      <c r="I4306" s="12">
        <v>42897</v>
      </c>
      <c r="J4306" s="35">
        <f t="shared" si="458"/>
        <v>0</v>
      </c>
      <c r="K4306" s="36"/>
      <c r="L4306" s="36"/>
      <c r="M4306" s="36"/>
      <c r="N4306" s="36"/>
      <c r="O4306" s="36"/>
      <c r="P4306" s="36"/>
      <c r="Q4306" s="36"/>
      <c r="R4306" s="36"/>
      <c r="S4306" s="36"/>
      <c r="T4306" s="36"/>
      <c r="U4306" s="36"/>
      <c r="V4306" s="36"/>
      <c r="W4306" s="15">
        <f t="shared" si="459"/>
        <v>0</v>
      </c>
      <c r="X4306" s="36"/>
      <c r="Y4306" s="36"/>
      <c r="Z4306" s="36"/>
      <c r="AA4306" s="36"/>
      <c r="AB4306" s="36"/>
      <c r="AC4306" s="36">
        <v>400</v>
      </c>
      <c r="AD4306" s="36"/>
      <c r="AE4306" s="36"/>
      <c r="AF4306" s="36"/>
      <c r="AG4306" s="36"/>
      <c r="AH4306" s="36"/>
      <c r="AI4306" s="36"/>
      <c r="AJ4306" s="15">
        <f t="shared" si="460"/>
        <v>400</v>
      </c>
      <c r="AK4306" s="14"/>
      <c r="AL4306" s="14"/>
      <c r="AM4306" s="14"/>
      <c r="AN4306" s="14"/>
      <c r="AO4306" s="14"/>
      <c r="AP4306" s="14"/>
      <c r="AQ4306" s="14"/>
      <c r="AR4306" s="14"/>
      <c r="AS4306" s="14"/>
      <c r="AT4306" s="14"/>
      <c r="AU4306" s="14"/>
      <c r="AV4306" s="14"/>
      <c r="AW4306" s="15"/>
      <c r="AX4306" s="16"/>
    </row>
    <row r="4307" spans="2:50" x14ac:dyDescent="0.2">
      <c r="B4307" s="7"/>
      <c r="C4307" s="8">
        <v>14591</v>
      </c>
      <c r="D4307" s="9" t="s">
        <v>106</v>
      </c>
      <c r="E4307" s="10" t="str">
        <f t="shared" si="456"/>
        <v>Rancho La Cuchilla No. 45</v>
      </c>
      <c r="F4307" s="10" t="str">
        <f t="shared" si="457"/>
        <v>Estévez Hernández</v>
      </c>
      <c r="G4307" s="8">
        <v>7</v>
      </c>
      <c r="H4307" s="11">
        <v>100</v>
      </c>
      <c r="I4307" s="12">
        <v>42897</v>
      </c>
      <c r="J4307" s="35">
        <f t="shared" si="458"/>
        <v>0</v>
      </c>
      <c r="K4307" s="36"/>
      <c r="L4307" s="36"/>
      <c r="M4307" s="36"/>
      <c r="N4307" s="36"/>
      <c r="O4307" s="36"/>
      <c r="P4307" s="36"/>
      <c r="Q4307" s="36"/>
      <c r="R4307" s="36"/>
      <c r="S4307" s="36"/>
      <c r="T4307" s="36"/>
      <c r="U4307" s="36"/>
      <c r="V4307" s="36"/>
      <c r="W4307" s="15">
        <f t="shared" si="459"/>
        <v>0</v>
      </c>
      <c r="X4307" s="36"/>
      <c r="Y4307" s="36"/>
      <c r="Z4307" s="36"/>
      <c r="AA4307" s="36"/>
      <c r="AB4307" s="36"/>
      <c r="AC4307" s="36"/>
      <c r="AD4307" s="36"/>
      <c r="AE4307" s="36"/>
      <c r="AF4307" s="36"/>
      <c r="AG4307" s="36"/>
      <c r="AH4307" s="36"/>
      <c r="AI4307" s="36"/>
      <c r="AJ4307" s="15">
        <f t="shared" si="460"/>
        <v>0</v>
      </c>
      <c r="AK4307" s="14"/>
      <c r="AL4307" s="14"/>
      <c r="AM4307" s="14"/>
      <c r="AN4307" s="14"/>
      <c r="AO4307" s="14"/>
      <c r="AP4307" s="14"/>
      <c r="AQ4307" s="14"/>
      <c r="AR4307" s="14"/>
      <c r="AS4307" s="14"/>
      <c r="AT4307" s="14"/>
      <c r="AU4307" s="14"/>
      <c r="AV4307" s="14"/>
      <c r="AW4307" s="15"/>
      <c r="AX4307" s="16" t="s">
        <v>3858</v>
      </c>
    </row>
    <row r="4308" spans="2:50" x14ac:dyDescent="0.2">
      <c r="B4308" s="7"/>
      <c r="C4308" s="8">
        <v>14592</v>
      </c>
      <c r="D4308" s="9" t="s">
        <v>470</v>
      </c>
      <c r="E4308" s="10" t="str">
        <f t="shared" si="456"/>
        <v>Rancho Zinamba No. 42</v>
      </c>
      <c r="F4308" s="10" t="str">
        <f t="shared" si="457"/>
        <v>López Aldave</v>
      </c>
      <c r="G4308" s="8">
        <v>1</v>
      </c>
      <c r="H4308" s="11">
        <v>300</v>
      </c>
      <c r="I4308" s="12">
        <v>42897</v>
      </c>
      <c r="J4308" s="35">
        <f t="shared" si="458"/>
        <v>0</v>
      </c>
      <c r="K4308" s="36"/>
      <c r="L4308" s="36"/>
      <c r="M4308" s="36"/>
      <c r="N4308" s="36"/>
      <c r="O4308" s="36"/>
      <c r="P4308" s="36"/>
      <c r="Q4308" s="36"/>
      <c r="R4308" s="36"/>
      <c r="S4308" s="36"/>
      <c r="T4308" s="36"/>
      <c r="U4308" s="36"/>
      <c r="V4308" s="36"/>
      <c r="W4308" s="15">
        <f t="shared" si="459"/>
        <v>0</v>
      </c>
      <c r="X4308" s="36"/>
      <c r="Y4308" s="36"/>
      <c r="Z4308" s="36"/>
      <c r="AA4308" s="36"/>
      <c r="AB4308" s="36"/>
      <c r="AC4308" s="36">
        <v>300</v>
      </c>
      <c r="AD4308" s="36"/>
      <c r="AE4308" s="36"/>
      <c r="AF4308" s="36"/>
      <c r="AG4308" s="36"/>
      <c r="AH4308" s="36"/>
      <c r="AI4308" s="36"/>
      <c r="AJ4308" s="15">
        <f t="shared" si="460"/>
        <v>300</v>
      </c>
      <c r="AK4308" s="14"/>
      <c r="AL4308" s="14"/>
      <c r="AM4308" s="14"/>
      <c r="AN4308" s="14"/>
      <c r="AO4308" s="14"/>
      <c r="AP4308" s="14"/>
      <c r="AQ4308" s="14"/>
      <c r="AR4308" s="14"/>
      <c r="AS4308" s="14"/>
      <c r="AT4308" s="14"/>
      <c r="AU4308" s="14"/>
      <c r="AV4308" s="14"/>
      <c r="AW4308" s="15"/>
      <c r="AX4308" s="16"/>
    </row>
    <row r="4309" spans="2:50" x14ac:dyDescent="0.2">
      <c r="B4309" s="7"/>
      <c r="C4309" s="8">
        <v>14593</v>
      </c>
      <c r="D4309" s="9" t="s">
        <v>416</v>
      </c>
      <c r="E4309" s="10" t="str">
        <f t="shared" si="456"/>
        <v>Rancho La Cuchilla No. 112, PB</v>
      </c>
      <c r="F4309" s="10" t="str">
        <f t="shared" si="457"/>
        <v>Soreque</v>
      </c>
      <c r="G4309" s="8">
        <v>1</v>
      </c>
      <c r="H4309" s="11">
        <v>200</v>
      </c>
      <c r="I4309" s="12">
        <v>42897</v>
      </c>
      <c r="J4309" s="35">
        <f t="shared" si="458"/>
        <v>0</v>
      </c>
      <c r="K4309" s="36"/>
      <c r="L4309" s="36"/>
      <c r="M4309" s="36"/>
      <c r="N4309" s="36"/>
      <c r="O4309" s="36"/>
      <c r="P4309" s="36"/>
      <c r="Q4309" s="36"/>
      <c r="R4309" s="36"/>
      <c r="S4309" s="36"/>
      <c r="T4309" s="36"/>
      <c r="U4309" s="36"/>
      <c r="V4309" s="36"/>
      <c r="W4309" s="15">
        <f t="shared" si="459"/>
        <v>0</v>
      </c>
      <c r="X4309" s="36"/>
      <c r="Y4309" s="36"/>
      <c r="Z4309" s="36"/>
      <c r="AA4309" s="36"/>
      <c r="AB4309" s="36"/>
      <c r="AC4309" s="36">
        <v>200</v>
      </c>
      <c r="AD4309" s="36"/>
      <c r="AE4309" s="36"/>
      <c r="AF4309" s="36"/>
      <c r="AG4309" s="36"/>
      <c r="AH4309" s="36"/>
      <c r="AI4309" s="36"/>
      <c r="AJ4309" s="15">
        <f t="shared" si="460"/>
        <v>200</v>
      </c>
      <c r="AK4309" s="14"/>
      <c r="AL4309" s="14"/>
      <c r="AM4309" s="14"/>
      <c r="AN4309" s="14"/>
      <c r="AO4309" s="14"/>
      <c r="AP4309" s="14"/>
      <c r="AQ4309" s="14"/>
      <c r="AR4309" s="14"/>
      <c r="AS4309" s="14"/>
      <c r="AT4309" s="14"/>
      <c r="AU4309" s="14"/>
      <c r="AV4309" s="14"/>
      <c r="AW4309" s="15"/>
      <c r="AX4309" s="16"/>
    </row>
    <row r="4310" spans="2:50" x14ac:dyDescent="0.2">
      <c r="B4310" s="7"/>
      <c r="C4310" s="8">
        <v>14594</v>
      </c>
      <c r="D4310" s="9" t="s">
        <v>684</v>
      </c>
      <c r="E4310" s="10" t="str">
        <f t="shared" si="456"/>
        <v>Rancho Landero No. 65</v>
      </c>
      <c r="F4310" s="10" t="str">
        <f t="shared" si="457"/>
        <v>Alpizar</v>
      </c>
      <c r="G4310" s="8">
        <v>1</v>
      </c>
      <c r="H4310" s="11">
        <v>1200</v>
      </c>
      <c r="I4310" s="12">
        <v>42897</v>
      </c>
      <c r="J4310" s="35">
        <f t="shared" si="458"/>
        <v>0</v>
      </c>
      <c r="K4310" s="36"/>
      <c r="L4310" s="36"/>
      <c r="M4310" s="36"/>
      <c r="N4310" s="36"/>
      <c r="O4310" s="36"/>
      <c r="P4310" s="36"/>
      <c r="Q4310" s="36"/>
      <c r="R4310" s="36"/>
      <c r="S4310" s="36"/>
      <c r="T4310" s="36"/>
      <c r="U4310" s="36"/>
      <c r="V4310" s="36"/>
      <c r="W4310" s="15">
        <f t="shared" si="459"/>
        <v>0</v>
      </c>
      <c r="X4310" s="36"/>
      <c r="Y4310" s="36"/>
      <c r="Z4310" s="36"/>
      <c r="AA4310" s="36">
        <v>400</v>
      </c>
      <c r="AB4310" s="36">
        <v>400</v>
      </c>
      <c r="AC4310" s="36">
        <v>400</v>
      </c>
      <c r="AD4310" s="36"/>
      <c r="AE4310" s="36"/>
      <c r="AF4310" s="36"/>
      <c r="AG4310" s="36"/>
      <c r="AH4310" s="36"/>
      <c r="AI4310" s="36"/>
      <c r="AJ4310" s="15">
        <f t="shared" si="460"/>
        <v>1200</v>
      </c>
      <c r="AK4310" s="14"/>
      <c r="AL4310" s="14"/>
      <c r="AM4310" s="14"/>
      <c r="AN4310" s="14"/>
      <c r="AO4310" s="14"/>
      <c r="AP4310" s="14"/>
      <c r="AQ4310" s="14"/>
      <c r="AR4310" s="14"/>
      <c r="AS4310" s="14"/>
      <c r="AT4310" s="14"/>
      <c r="AU4310" s="14"/>
      <c r="AV4310" s="14"/>
      <c r="AW4310" s="15"/>
      <c r="AX4310" s="16"/>
    </row>
    <row r="4311" spans="2:50" x14ac:dyDescent="0.2">
      <c r="B4311" s="7"/>
      <c r="C4311" s="8">
        <v>14595</v>
      </c>
      <c r="D4311" s="9" t="s">
        <v>617</v>
      </c>
      <c r="E4311" s="10" t="str">
        <f t="shared" si="456"/>
        <v>Rancho Zinamba No. 50</v>
      </c>
      <c r="F4311" s="10" t="str">
        <f t="shared" si="457"/>
        <v>Del Castillo</v>
      </c>
      <c r="G4311" s="8">
        <v>1</v>
      </c>
      <c r="H4311" s="11">
        <v>400</v>
      </c>
      <c r="I4311" s="12">
        <v>42897</v>
      </c>
      <c r="J4311" s="35">
        <f t="shared" si="458"/>
        <v>0</v>
      </c>
      <c r="K4311" s="36"/>
      <c r="L4311" s="36"/>
      <c r="M4311" s="36"/>
      <c r="N4311" s="36"/>
      <c r="O4311" s="36"/>
      <c r="P4311" s="36"/>
      <c r="Q4311" s="36"/>
      <c r="R4311" s="36"/>
      <c r="S4311" s="36"/>
      <c r="T4311" s="36"/>
      <c r="U4311" s="36"/>
      <c r="V4311" s="36"/>
      <c r="W4311" s="15">
        <f t="shared" si="459"/>
        <v>0</v>
      </c>
      <c r="X4311" s="36"/>
      <c r="Y4311" s="36"/>
      <c r="Z4311" s="36"/>
      <c r="AA4311" s="36"/>
      <c r="AB4311" s="36">
        <v>400</v>
      </c>
      <c r="AC4311" s="36"/>
      <c r="AD4311" s="36"/>
      <c r="AE4311" s="36"/>
      <c r="AF4311" s="36"/>
      <c r="AG4311" s="36"/>
      <c r="AH4311" s="36"/>
      <c r="AI4311" s="36"/>
      <c r="AJ4311" s="15">
        <f t="shared" si="460"/>
        <v>400</v>
      </c>
      <c r="AK4311" s="14"/>
      <c r="AL4311" s="14"/>
      <c r="AM4311" s="14"/>
      <c r="AN4311" s="14"/>
      <c r="AO4311" s="14"/>
      <c r="AP4311" s="14"/>
      <c r="AQ4311" s="14"/>
      <c r="AR4311" s="14"/>
      <c r="AS4311" s="14"/>
      <c r="AT4311" s="14"/>
      <c r="AU4311" s="14"/>
      <c r="AV4311" s="14"/>
      <c r="AW4311" s="15"/>
      <c r="AX4311" s="16"/>
    </row>
    <row r="4312" spans="2:50" x14ac:dyDescent="0.2">
      <c r="B4312" s="7"/>
      <c r="C4312" s="8">
        <v>14596</v>
      </c>
      <c r="D4312" s="9" t="s">
        <v>868</v>
      </c>
      <c r="E4312" s="10" t="str">
        <f t="shared" si="456"/>
        <v>Rancho Upácuaro No. 12</v>
      </c>
      <c r="F4312" s="10" t="str">
        <f t="shared" si="457"/>
        <v>Moreno Chávez</v>
      </c>
      <c r="G4312" s="8">
        <v>1</v>
      </c>
      <c r="H4312" s="11">
        <v>2400</v>
      </c>
      <c r="I4312" s="12">
        <v>42897</v>
      </c>
      <c r="J4312" s="35">
        <f t="shared" si="458"/>
        <v>0</v>
      </c>
      <c r="K4312" s="36"/>
      <c r="L4312" s="36"/>
      <c r="M4312" s="36"/>
      <c r="N4312" s="36"/>
      <c r="O4312" s="36"/>
      <c r="P4312" s="36"/>
      <c r="Q4312" s="36"/>
      <c r="R4312" s="36"/>
      <c r="S4312" s="36"/>
      <c r="T4312" s="36"/>
      <c r="U4312" s="36"/>
      <c r="V4312" s="36"/>
      <c r="W4312" s="15">
        <f t="shared" si="459"/>
        <v>0</v>
      </c>
      <c r="X4312" s="36">
        <v>400</v>
      </c>
      <c r="Y4312" s="36">
        <v>400</v>
      </c>
      <c r="Z4312" s="36">
        <v>400</v>
      </c>
      <c r="AA4312" s="36">
        <v>400</v>
      </c>
      <c r="AB4312" s="36">
        <v>400</v>
      </c>
      <c r="AC4312" s="36">
        <v>400</v>
      </c>
      <c r="AD4312" s="36"/>
      <c r="AE4312" s="36"/>
      <c r="AF4312" s="36"/>
      <c r="AG4312" s="36"/>
      <c r="AH4312" s="36"/>
      <c r="AI4312" s="36"/>
      <c r="AJ4312" s="15">
        <f t="shared" si="460"/>
        <v>2400</v>
      </c>
      <c r="AK4312" s="14"/>
      <c r="AL4312" s="14"/>
      <c r="AM4312" s="14"/>
      <c r="AN4312" s="14"/>
      <c r="AO4312" s="14"/>
      <c r="AP4312" s="14"/>
      <c r="AQ4312" s="14"/>
      <c r="AR4312" s="14"/>
      <c r="AS4312" s="14"/>
      <c r="AT4312" s="14"/>
      <c r="AU4312" s="14"/>
      <c r="AV4312" s="14"/>
      <c r="AW4312" s="15"/>
      <c r="AX4312" s="16"/>
    </row>
    <row r="4313" spans="2:50" x14ac:dyDescent="0.2">
      <c r="B4313" s="7"/>
      <c r="C4313" s="8">
        <v>14597</v>
      </c>
      <c r="D4313" s="9" t="s">
        <v>749</v>
      </c>
      <c r="E4313" s="10" t="str">
        <f t="shared" si="456"/>
        <v>Rancho Landero No. 96</v>
      </c>
      <c r="F4313" s="10" t="str">
        <f t="shared" si="457"/>
        <v>Espinoza Aguirre</v>
      </c>
      <c r="G4313" s="8">
        <v>1</v>
      </c>
      <c r="H4313" s="11">
        <v>1200</v>
      </c>
      <c r="I4313" s="12">
        <v>42897</v>
      </c>
      <c r="J4313" s="35">
        <f t="shared" si="458"/>
        <v>0</v>
      </c>
      <c r="K4313" s="36"/>
      <c r="L4313" s="36"/>
      <c r="M4313" s="36"/>
      <c r="N4313" s="36"/>
      <c r="O4313" s="36"/>
      <c r="P4313" s="36"/>
      <c r="Q4313" s="36"/>
      <c r="R4313" s="36"/>
      <c r="S4313" s="36"/>
      <c r="T4313" s="36"/>
      <c r="U4313" s="36"/>
      <c r="V4313" s="36"/>
      <c r="W4313" s="15">
        <f t="shared" si="459"/>
        <v>0</v>
      </c>
      <c r="X4313" s="36"/>
      <c r="Y4313" s="36"/>
      <c r="Z4313" s="36"/>
      <c r="AA4313" s="36">
        <v>400</v>
      </c>
      <c r="AB4313" s="36">
        <v>400</v>
      </c>
      <c r="AC4313" s="36">
        <v>400</v>
      </c>
      <c r="AD4313" s="36"/>
      <c r="AE4313" s="36"/>
      <c r="AF4313" s="36"/>
      <c r="AG4313" s="36"/>
      <c r="AH4313" s="36"/>
      <c r="AI4313" s="36"/>
      <c r="AJ4313" s="15">
        <f t="shared" si="460"/>
        <v>1200</v>
      </c>
      <c r="AK4313" s="14"/>
      <c r="AL4313" s="14"/>
      <c r="AM4313" s="14"/>
      <c r="AN4313" s="14"/>
      <c r="AO4313" s="14"/>
      <c r="AP4313" s="14"/>
      <c r="AQ4313" s="14"/>
      <c r="AR4313" s="14"/>
      <c r="AS4313" s="14"/>
      <c r="AT4313" s="14"/>
      <c r="AU4313" s="14"/>
      <c r="AV4313" s="14"/>
      <c r="AW4313" s="15"/>
      <c r="AX4313" s="16"/>
    </row>
    <row r="4314" spans="2:50" x14ac:dyDescent="0.2">
      <c r="B4314" s="7"/>
      <c r="C4314" s="8">
        <v>14598</v>
      </c>
      <c r="D4314" s="9" t="s">
        <v>855</v>
      </c>
      <c r="E4314" s="10" t="str">
        <f t="shared" si="456"/>
        <v>Rancho Upácuaro No. 99</v>
      </c>
      <c r="F4314" s="10" t="str">
        <f t="shared" si="457"/>
        <v>Frías</v>
      </c>
      <c r="G4314" s="8">
        <v>1</v>
      </c>
      <c r="H4314" s="11">
        <v>200</v>
      </c>
      <c r="I4314" s="12">
        <v>42897</v>
      </c>
      <c r="J4314" s="35">
        <f t="shared" si="458"/>
        <v>0</v>
      </c>
      <c r="K4314" s="36"/>
      <c r="L4314" s="36"/>
      <c r="M4314" s="36"/>
      <c r="N4314" s="36"/>
      <c r="O4314" s="36"/>
      <c r="P4314" s="36"/>
      <c r="Q4314" s="36"/>
      <c r="R4314" s="36"/>
      <c r="S4314" s="36"/>
      <c r="T4314" s="36"/>
      <c r="U4314" s="36"/>
      <c r="V4314" s="36"/>
      <c r="W4314" s="15">
        <f t="shared" si="459"/>
        <v>0</v>
      </c>
      <c r="X4314" s="36"/>
      <c r="Y4314" s="36"/>
      <c r="Z4314" s="36"/>
      <c r="AA4314" s="36"/>
      <c r="AB4314" s="36"/>
      <c r="AC4314" s="36">
        <v>200</v>
      </c>
      <c r="AD4314" s="36"/>
      <c r="AE4314" s="36"/>
      <c r="AF4314" s="36"/>
      <c r="AG4314" s="36"/>
      <c r="AH4314" s="36"/>
      <c r="AI4314" s="36"/>
      <c r="AJ4314" s="15">
        <f t="shared" si="460"/>
        <v>200</v>
      </c>
      <c r="AK4314" s="14"/>
      <c r="AL4314" s="14"/>
      <c r="AM4314" s="14"/>
      <c r="AN4314" s="14"/>
      <c r="AO4314" s="14"/>
      <c r="AP4314" s="14"/>
      <c r="AQ4314" s="14"/>
      <c r="AR4314" s="14"/>
      <c r="AS4314" s="14"/>
      <c r="AT4314" s="14"/>
      <c r="AU4314" s="14"/>
      <c r="AV4314" s="14"/>
      <c r="AW4314" s="15"/>
      <c r="AX4314" s="316">
        <f>SUM(H4282:H4314)</f>
        <v>16150</v>
      </c>
    </row>
    <row r="4315" spans="2:50" x14ac:dyDescent="0.2">
      <c r="B4315" s="7"/>
      <c r="C4315" s="8">
        <v>14599</v>
      </c>
      <c r="D4315" s="9" t="s">
        <v>217</v>
      </c>
      <c r="E4315" s="10" t="str">
        <f t="shared" si="456"/>
        <v>Rancho Recoveco No. 173</v>
      </c>
      <c r="F4315" s="10" t="str">
        <f t="shared" si="457"/>
        <v>Velarde</v>
      </c>
      <c r="G4315" s="8">
        <v>1</v>
      </c>
      <c r="H4315" s="315">
        <v>600</v>
      </c>
      <c r="I4315" s="12">
        <v>42898</v>
      </c>
      <c r="J4315" s="35">
        <f t="shared" si="458"/>
        <v>0</v>
      </c>
      <c r="K4315" s="36"/>
      <c r="L4315" s="36"/>
      <c r="M4315" s="36"/>
      <c r="N4315" s="36"/>
      <c r="O4315" s="36"/>
      <c r="P4315" s="36"/>
      <c r="Q4315" s="36"/>
      <c r="R4315" s="36"/>
      <c r="S4315" s="36"/>
      <c r="T4315" s="36"/>
      <c r="U4315" s="36"/>
      <c r="V4315" s="36"/>
      <c r="W4315" s="15">
        <f t="shared" si="459"/>
        <v>0</v>
      </c>
      <c r="X4315" s="36"/>
      <c r="Y4315" s="36"/>
      <c r="Z4315" s="36"/>
      <c r="AA4315" s="36"/>
      <c r="AB4315" s="36"/>
      <c r="AC4315" s="36">
        <v>300</v>
      </c>
      <c r="AD4315" s="36">
        <v>300</v>
      </c>
      <c r="AE4315" s="36"/>
      <c r="AF4315" s="36"/>
      <c r="AG4315" s="36"/>
      <c r="AH4315" s="36"/>
      <c r="AI4315" s="36"/>
      <c r="AJ4315" s="15">
        <f t="shared" si="460"/>
        <v>600</v>
      </c>
      <c r="AK4315" s="14"/>
      <c r="AL4315" s="14"/>
      <c r="AM4315" s="14"/>
      <c r="AN4315" s="14"/>
      <c r="AO4315" s="14"/>
      <c r="AP4315" s="14"/>
      <c r="AQ4315" s="14"/>
      <c r="AR4315" s="14"/>
      <c r="AS4315" s="14"/>
      <c r="AT4315" s="14"/>
      <c r="AU4315" s="14"/>
      <c r="AV4315" s="14"/>
      <c r="AW4315" s="15"/>
      <c r="AX4315" s="16"/>
    </row>
    <row r="4316" spans="2:50" x14ac:dyDescent="0.2">
      <c r="B4316" s="7"/>
      <c r="C4316" s="8">
        <v>14600</v>
      </c>
      <c r="D4316" s="9" t="s">
        <v>1046</v>
      </c>
      <c r="E4316" s="10" t="str">
        <f t="shared" ref="E4316:E4318" si="461">IF(D4316=0,"",VLOOKUP(D4316,BASE,2,FALSE))</f>
        <v>Rancho Zinamba No. 40</v>
      </c>
      <c r="F4316" s="10" t="str">
        <f t="shared" ref="F4316:F4318" si="462">IF(D4316=0,"",VLOOKUP(D4316,BASE,3,FALSE))</f>
        <v>Correa Rojas</v>
      </c>
      <c r="G4316" s="8">
        <v>1</v>
      </c>
      <c r="H4316" s="11">
        <v>100</v>
      </c>
      <c r="I4316" s="12">
        <v>42898</v>
      </c>
      <c r="J4316" s="35">
        <f t="shared" ref="J4316:J4318" si="463">IF(G4316=1,SUM(W4316,AJ4316,-H4316),0)</f>
        <v>0</v>
      </c>
      <c r="K4316" s="36"/>
      <c r="L4316" s="36"/>
      <c r="M4316" s="36"/>
      <c r="N4316" s="36"/>
      <c r="O4316" s="36"/>
      <c r="P4316" s="36"/>
      <c r="Q4316" s="36"/>
      <c r="R4316" s="36"/>
      <c r="S4316" s="36"/>
      <c r="T4316" s="36"/>
      <c r="U4316" s="36"/>
      <c r="V4316" s="36"/>
      <c r="W4316" s="15">
        <f t="shared" ref="W4316:W4318" si="464">SUM(K4316:V4316)</f>
        <v>0</v>
      </c>
      <c r="X4316" s="36"/>
      <c r="Y4316" s="36"/>
      <c r="Z4316" s="36"/>
      <c r="AA4316" s="36"/>
      <c r="AB4316" s="36"/>
      <c r="AC4316" s="36">
        <v>100</v>
      </c>
      <c r="AD4316" s="36"/>
      <c r="AE4316" s="36"/>
      <c r="AF4316" s="36"/>
      <c r="AG4316" s="36"/>
      <c r="AH4316" s="36"/>
      <c r="AI4316" s="36"/>
      <c r="AJ4316" s="15">
        <f t="shared" ref="AJ4316:AJ4318" si="465">SUM(X4316:AI4316)</f>
        <v>100</v>
      </c>
      <c r="AK4316" s="14"/>
      <c r="AL4316" s="14"/>
      <c r="AM4316" s="14"/>
      <c r="AN4316" s="14"/>
      <c r="AO4316" s="14"/>
      <c r="AP4316" s="14"/>
      <c r="AQ4316" s="14"/>
      <c r="AR4316" s="14"/>
      <c r="AS4316" s="14"/>
      <c r="AT4316" s="14"/>
      <c r="AU4316" s="14"/>
      <c r="AV4316" s="14"/>
      <c r="AW4316" s="15"/>
      <c r="AX4316" s="16"/>
    </row>
    <row r="4317" spans="2:50" x14ac:dyDescent="0.2">
      <c r="B4317" s="7"/>
      <c r="C4317" s="8">
        <v>14601</v>
      </c>
      <c r="D4317" s="9" t="s">
        <v>220</v>
      </c>
      <c r="E4317" s="10" t="str">
        <f t="shared" si="461"/>
        <v>Rancho Recoveco No. 3</v>
      </c>
      <c r="F4317" s="10" t="str">
        <f t="shared" si="462"/>
        <v>Garduño</v>
      </c>
      <c r="G4317" s="8">
        <v>1</v>
      </c>
      <c r="H4317" s="11">
        <v>300</v>
      </c>
      <c r="I4317" s="12">
        <v>42898</v>
      </c>
      <c r="J4317" s="35">
        <f t="shared" si="463"/>
        <v>0</v>
      </c>
      <c r="K4317" s="36"/>
      <c r="L4317" s="36"/>
      <c r="M4317" s="36"/>
      <c r="N4317" s="36"/>
      <c r="O4317" s="36"/>
      <c r="P4317" s="36"/>
      <c r="Q4317" s="36"/>
      <c r="R4317" s="36"/>
      <c r="S4317" s="36"/>
      <c r="T4317" s="36"/>
      <c r="U4317" s="36"/>
      <c r="V4317" s="36"/>
      <c r="W4317" s="15">
        <f t="shared" si="464"/>
        <v>0</v>
      </c>
      <c r="X4317" s="36"/>
      <c r="Y4317" s="36"/>
      <c r="Z4317" s="36"/>
      <c r="AA4317" s="36"/>
      <c r="AB4317" s="36">
        <v>300</v>
      </c>
      <c r="AC4317" s="36"/>
      <c r="AD4317" s="36"/>
      <c r="AE4317" s="36"/>
      <c r="AF4317" s="36"/>
      <c r="AG4317" s="36"/>
      <c r="AH4317" s="36"/>
      <c r="AI4317" s="36"/>
      <c r="AJ4317" s="15">
        <f t="shared" si="465"/>
        <v>300</v>
      </c>
      <c r="AK4317" s="14"/>
      <c r="AL4317" s="14"/>
      <c r="AM4317" s="14"/>
      <c r="AN4317" s="14"/>
      <c r="AO4317" s="14"/>
      <c r="AP4317" s="14"/>
      <c r="AQ4317" s="14"/>
      <c r="AR4317" s="14"/>
      <c r="AS4317" s="14"/>
      <c r="AT4317" s="14"/>
      <c r="AU4317" s="14"/>
      <c r="AV4317" s="14"/>
      <c r="AW4317" s="15"/>
      <c r="AX4317" s="16"/>
    </row>
    <row r="4318" spans="2:50" x14ac:dyDescent="0.2">
      <c r="B4318" s="7"/>
      <c r="C4318" s="8">
        <v>14602</v>
      </c>
      <c r="D4318" s="9" t="s">
        <v>355</v>
      </c>
      <c r="E4318" s="10" t="str">
        <f t="shared" si="461"/>
        <v>Rancho Estanzuela No. 11, A</v>
      </c>
      <c r="F4318" s="10" t="str">
        <f t="shared" si="462"/>
        <v>Evans González</v>
      </c>
      <c r="G4318" s="8">
        <v>1</v>
      </c>
      <c r="H4318" s="11">
        <v>1500</v>
      </c>
      <c r="I4318" s="12">
        <v>42904</v>
      </c>
      <c r="J4318" s="35">
        <f t="shared" si="463"/>
        <v>0</v>
      </c>
      <c r="K4318" s="36"/>
      <c r="L4318" s="36"/>
      <c r="M4318" s="36"/>
      <c r="N4318" s="36"/>
      <c r="O4318" s="36"/>
      <c r="P4318" s="36"/>
      <c r="Q4318" s="36"/>
      <c r="R4318" s="36"/>
      <c r="S4318" s="36"/>
      <c r="T4318" s="36"/>
      <c r="U4318" s="36"/>
      <c r="V4318" s="36"/>
      <c r="W4318" s="15">
        <f t="shared" si="464"/>
        <v>0</v>
      </c>
      <c r="X4318" s="36">
        <v>300</v>
      </c>
      <c r="Y4318" s="36">
        <v>300</v>
      </c>
      <c r="Z4318" s="36">
        <v>300</v>
      </c>
      <c r="AA4318" s="36">
        <v>300</v>
      </c>
      <c r="AB4318" s="36">
        <v>300</v>
      </c>
      <c r="AC4318" s="36"/>
      <c r="AD4318" s="36"/>
      <c r="AE4318" s="36"/>
      <c r="AF4318" s="36"/>
      <c r="AG4318" s="36"/>
      <c r="AH4318" s="36"/>
      <c r="AI4318" s="36"/>
      <c r="AJ4318" s="15">
        <f t="shared" si="465"/>
        <v>1500</v>
      </c>
      <c r="AK4318" s="14"/>
      <c r="AL4318" s="14"/>
      <c r="AM4318" s="14"/>
      <c r="AN4318" s="14"/>
      <c r="AO4318" s="14"/>
      <c r="AP4318" s="14"/>
      <c r="AQ4318" s="14"/>
      <c r="AR4318" s="14"/>
      <c r="AS4318" s="14"/>
      <c r="AT4318" s="14"/>
      <c r="AU4318" s="14"/>
      <c r="AV4318" s="14"/>
      <c r="AW4318" s="15"/>
      <c r="AX4318" s="16"/>
    </row>
    <row r="4319" spans="2:50" x14ac:dyDescent="0.2">
      <c r="B4319" s="7"/>
      <c r="C4319" s="8">
        <v>14603</v>
      </c>
      <c r="D4319" s="9" t="s">
        <v>532</v>
      </c>
      <c r="E4319" s="10" t="str">
        <f t="shared" ref="E4319:E4429" si="466">IF(D4319=0,"",VLOOKUP(D4319,BASE,2,FALSE))</f>
        <v>Rancho Estanzuela No. 101</v>
      </c>
      <c r="F4319" s="10" t="str">
        <f t="shared" ref="F4319:F4429" si="467">IF(D4319=0,"",VLOOKUP(D4319,BASE,3,FALSE))</f>
        <v>Calderón Celis</v>
      </c>
      <c r="G4319" s="8">
        <v>1</v>
      </c>
      <c r="H4319" s="11">
        <v>400</v>
      </c>
      <c r="I4319" s="12">
        <v>42904</v>
      </c>
      <c r="J4319" s="35">
        <f t="shared" ref="J4319:J4429" si="468">IF(G4319=1,SUM(W4319,AJ4319,-H4319),0)</f>
        <v>0</v>
      </c>
      <c r="K4319" s="36"/>
      <c r="L4319" s="36"/>
      <c r="M4319" s="36"/>
      <c r="N4319" s="36"/>
      <c r="O4319" s="36"/>
      <c r="P4319" s="36"/>
      <c r="Q4319" s="36"/>
      <c r="R4319" s="36"/>
      <c r="S4319" s="36"/>
      <c r="T4319" s="36"/>
      <c r="U4319" s="36"/>
      <c r="V4319" s="36"/>
      <c r="W4319" s="15">
        <f t="shared" ref="W4319:W4429" si="469">SUM(K4319:V4319)</f>
        <v>0</v>
      </c>
      <c r="X4319" s="36"/>
      <c r="Y4319" s="36"/>
      <c r="Z4319" s="36"/>
      <c r="AA4319" s="36">
        <v>200</v>
      </c>
      <c r="AB4319" s="36">
        <v>200</v>
      </c>
      <c r="AC4319" s="36"/>
      <c r="AD4319" s="36"/>
      <c r="AE4319" s="36"/>
      <c r="AF4319" s="36"/>
      <c r="AG4319" s="36"/>
      <c r="AH4319" s="36"/>
      <c r="AI4319" s="36"/>
      <c r="AJ4319" s="15">
        <f t="shared" ref="AJ4319:AJ4429" si="470">SUM(X4319:AI4319)</f>
        <v>400</v>
      </c>
      <c r="AK4319" s="14"/>
      <c r="AL4319" s="14"/>
      <c r="AM4319" s="14"/>
      <c r="AN4319" s="14"/>
      <c r="AO4319" s="14"/>
      <c r="AP4319" s="14"/>
      <c r="AQ4319" s="14"/>
      <c r="AR4319" s="14"/>
      <c r="AS4319" s="14"/>
      <c r="AT4319" s="14"/>
      <c r="AU4319" s="14"/>
      <c r="AV4319" s="14"/>
      <c r="AW4319" s="15"/>
      <c r="AX4319" s="16"/>
    </row>
    <row r="4320" spans="2:50" x14ac:dyDescent="0.2">
      <c r="B4320" s="7"/>
      <c r="C4320" s="8">
        <v>14604</v>
      </c>
      <c r="D4320" s="9" t="s">
        <v>186</v>
      </c>
      <c r="E4320" s="10" t="str">
        <f t="shared" si="466"/>
        <v>Rancho Upácuaro No. 100</v>
      </c>
      <c r="F4320" s="10" t="str">
        <f t="shared" si="467"/>
        <v>Valdez</v>
      </c>
      <c r="G4320" s="8">
        <v>1</v>
      </c>
      <c r="H4320" s="11">
        <v>400</v>
      </c>
      <c r="I4320" s="12">
        <v>42904</v>
      </c>
      <c r="J4320" s="35">
        <f t="shared" si="468"/>
        <v>0</v>
      </c>
      <c r="K4320" s="36"/>
      <c r="L4320" s="36"/>
      <c r="M4320" s="36"/>
      <c r="N4320" s="36"/>
      <c r="O4320" s="36"/>
      <c r="P4320" s="36"/>
      <c r="Q4320" s="36"/>
      <c r="R4320" s="36"/>
      <c r="S4320" s="36"/>
      <c r="T4320" s="36"/>
      <c r="U4320" s="36"/>
      <c r="V4320" s="36"/>
      <c r="W4320" s="15">
        <f t="shared" si="469"/>
        <v>0</v>
      </c>
      <c r="X4320" s="36"/>
      <c r="Y4320" s="36"/>
      <c r="Z4320" s="36"/>
      <c r="AA4320" s="36"/>
      <c r="AB4320" s="36"/>
      <c r="AC4320" s="36">
        <v>400</v>
      </c>
      <c r="AD4320" s="36"/>
      <c r="AE4320" s="36"/>
      <c r="AF4320" s="36"/>
      <c r="AG4320" s="36"/>
      <c r="AH4320" s="36"/>
      <c r="AI4320" s="36"/>
      <c r="AJ4320" s="15">
        <f t="shared" si="470"/>
        <v>400</v>
      </c>
      <c r="AK4320" s="14"/>
      <c r="AL4320" s="14"/>
      <c r="AM4320" s="14"/>
      <c r="AN4320" s="14"/>
      <c r="AO4320" s="14"/>
      <c r="AP4320" s="14"/>
      <c r="AQ4320" s="14"/>
      <c r="AR4320" s="14"/>
      <c r="AS4320" s="14"/>
      <c r="AT4320" s="14"/>
      <c r="AU4320" s="14"/>
      <c r="AV4320" s="14"/>
      <c r="AW4320" s="15"/>
      <c r="AX4320" s="16"/>
    </row>
    <row r="4321" spans="2:50" x14ac:dyDescent="0.2">
      <c r="B4321" s="7"/>
      <c r="C4321" s="8">
        <v>14604</v>
      </c>
      <c r="D4321" s="9" t="s">
        <v>186</v>
      </c>
      <c r="E4321" s="10" t="str">
        <f t="shared" si="466"/>
        <v>Rancho Upácuaro No. 100</v>
      </c>
      <c r="F4321" s="10" t="str">
        <f t="shared" si="467"/>
        <v>Valdez</v>
      </c>
      <c r="G4321" s="8">
        <v>5</v>
      </c>
      <c r="H4321" s="11">
        <v>50</v>
      </c>
      <c r="I4321" s="12">
        <v>42904</v>
      </c>
      <c r="J4321" s="35">
        <f t="shared" si="468"/>
        <v>0</v>
      </c>
      <c r="K4321" s="36"/>
      <c r="L4321" s="36"/>
      <c r="M4321" s="36"/>
      <c r="N4321" s="36"/>
      <c r="O4321" s="36"/>
      <c r="P4321" s="36"/>
      <c r="Q4321" s="36"/>
      <c r="R4321" s="36"/>
      <c r="S4321" s="36"/>
      <c r="T4321" s="36"/>
      <c r="U4321" s="36"/>
      <c r="V4321" s="36"/>
      <c r="W4321" s="15">
        <f t="shared" si="469"/>
        <v>0</v>
      </c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15">
        <f t="shared" si="470"/>
        <v>0</v>
      </c>
      <c r="AK4321" s="14"/>
      <c r="AL4321" s="14"/>
      <c r="AM4321" s="14"/>
      <c r="AN4321" s="14"/>
      <c r="AO4321" s="14"/>
      <c r="AP4321" s="14"/>
      <c r="AQ4321" s="14"/>
      <c r="AR4321" s="14"/>
      <c r="AS4321" s="14"/>
      <c r="AT4321" s="14"/>
      <c r="AU4321" s="14"/>
      <c r="AV4321" s="14"/>
      <c r="AW4321" s="15"/>
      <c r="AX4321" s="16"/>
    </row>
    <row r="4322" spans="2:50" x14ac:dyDescent="0.2">
      <c r="B4322" s="7"/>
      <c r="C4322" s="8">
        <v>14605</v>
      </c>
      <c r="D4322" s="9" t="s">
        <v>699</v>
      </c>
      <c r="E4322" s="10" t="str">
        <f t="shared" si="466"/>
        <v>Rancho La Cuchilla No. 18</v>
      </c>
      <c r="F4322" s="10" t="str">
        <f t="shared" si="467"/>
        <v>Aldana Sánchez</v>
      </c>
      <c r="G4322" s="8">
        <v>1</v>
      </c>
      <c r="H4322" s="11">
        <v>800</v>
      </c>
      <c r="I4322" s="12">
        <v>42904</v>
      </c>
      <c r="J4322" s="35">
        <f t="shared" si="468"/>
        <v>0</v>
      </c>
      <c r="K4322" s="36"/>
      <c r="L4322" s="36"/>
      <c r="M4322" s="36"/>
      <c r="N4322" s="36"/>
      <c r="O4322" s="36"/>
      <c r="P4322" s="36"/>
      <c r="Q4322" s="36"/>
      <c r="R4322" s="36"/>
      <c r="S4322" s="36"/>
      <c r="T4322" s="36"/>
      <c r="U4322" s="36"/>
      <c r="V4322" s="36"/>
      <c r="W4322" s="15">
        <f t="shared" si="469"/>
        <v>0</v>
      </c>
      <c r="X4322" s="36"/>
      <c r="Y4322" s="36"/>
      <c r="Z4322" s="36"/>
      <c r="AA4322" s="36"/>
      <c r="AB4322" s="36">
        <v>400</v>
      </c>
      <c r="AC4322" s="36">
        <v>400</v>
      </c>
      <c r="AD4322" s="36"/>
      <c r="AE4322" s="36"/>
      <c r="AF4322" s="36"/>
      <c r="AG4322" s="36"/>
      <c r="AH4322" s="36"/>
      <c r="AI4322" s="36"/>
      <c r="AJ4322" s="15">
        <f t="shared" si="470"/>
        <v>800</v>
      </c>
      <c r="AK4322" s="14"/>
      <c r="AL4322" s="14"/>
      <c r="AM4322" s="14"/>
      <c r="AN4322" s="14"/>
      <c r="AO4322" s="14"/>
      <c r="AP4322" s="14"/>
      <c r="AQ4322" s="14"/>
      <c r="AR4322" s="14"/>
      <c r="AS4322" s="14"/>
      <c r="AT4322" s="14"/>
      <c r="AU4322" s="14"/>
      <c r="AV4322" s="14"/>
      <c r="AW4322" s="15"/>
      <c r="AX4322" s="16"/>
    </row>
    <row r="4323" spans="2:50" x14ac:dyDescent="0.2">
      <c r="B4323" s="7"/>
      <c r="C4323" s="8">
        <v>14606</v>
      </c>
      <c r="D4323" s="9" t="s">
        <v>800</v>
      </c>
      <c r="E4323" s="10" t="str">
        <f t="shared" si="466"/>
        <v>Rancho Upácuaro No. 14</v>
      </c>
      <c r="F4323" s="10" t="str">
        <f t="shared" si="467"/>
        <v>Castillo Hernández</v>
      </c>
      <c r="G4323" s="8">
        <v>1</v>
      </c>
      <c r="H4323" s="11">
        <v>1200</v>
      </c>
      <c r="I4323" s="12">
        <v>42904</v>
      </c>
      <c r="J4323" s="35">
        <f t="shared" si="468"/>
        <v>0</v>
      </c>
      <c r="K4323" s="36"/>
      <c r="L4323" s="36"/>
      <c r="M4323" s="36"/>
      <c r="N4323" s="36"/>
      <c r="O4323" s="36"/>
      <c r="P4323" s="36"/>
      <c r="Q4323" s="36"/>
      <c r="R4323" s="36"/>
      <c r="S4323" s="36"/>
      <c r="T4323" s="36"/>
      <c r="U4323" s="36"/>
      <c r="V4323" s="36"/>
      <c r="W4323" s="15">
        <f t="shared" si="469"/>
        <v>0</v>
      </c>
      <c r="X4323" s="36"/>
      <c r="Y4323" s="36"/>
      <c r="Z4323" s="36">
        <v>400</v>
      </c>
      <c r="AA4323" s="36"/>
      <c r="AB4323" s="36">
        <v>400</v>
      </c>
      <c r="AC4323" s="36">
        <v>400</v>
      </c>
      <c r="AD4323" s="36"/>
      <c r="AE4323" s="36"/>
      <c r="AF4323" s="36"/>
      <c r="AG4323" s="36"/>
      <c r="AH4323" s="36"/>
      <c r="AI4323" s="36"/>
      <c r="AJ4323" s="15">
        <f t="shared" si="470"/>
        <v>1200</v>
      </c>
      <c r="AK4323" s="14"/>
      <c r="AL4323" s="14"/>
      <c r="AM4323" s="14"/>
      <c r="AN4323" s="14"/>
      <c r="AO4323" s="14"/>
      <c r="AP4323" s="14"/>
      <c r="AQ4323" s="14"/>
      <c r="AR4323" s="14"/>
      <c r="AS4323" s="14"/>
      <c r="AT4323" s="14"/>
      <c r="AU4323" s="14"/>
      <c r="AV4323" s="14"/>
      <c r="AW4323" s="15"/>
      <c r="AX4323" s="16"/>
    </row>
    <row r="4324" spans="2:50" x14ac:dyDescent="0.2">
      <c r="B4324" s="7"/>
      <c r="C4324" s="8">
        <v>14607</v>
      </c>
      <c r="D4324" s="9" t="s">
        <v>488</v>
      </c>
      <c r="E4324" s="10" t="str">
        <f t="shared" ref="E4324:E4424" si="471">IF(D4324=0,"",VLOOKUP(D4324,BASE,2,FALSE))</f>
        <v>Rancho Landero No. 85</v>
      </c>
      <c r="F4324" s="10" t="str">
        <f t="shared" ref="F4324:F4424" si="472">IF(D4324=0,"",VLOOKUP(D4324,BASE,3,FALSE))</f>
        <v>Martínez Olague</v>
      </c>
      <c r="G4324" s="8">
        <v>1</v>
      </c>
      <c r="H4324" s="11">
        <v>400</v>
      </c>
      <c r="I4324" s="12">
        <v>42904</v>
      </c>
      <c r="J4324" s="35">
        <f t="shared" ref="J4324:J4424" si="473">IF(G4324=1,SUM(W4324,AJ4324,-H4324),0)</f>
        <v>0</v>
      </c>
      <c r="K4324" s="36"/>
      <c r="L4324" s="36"/>
      <c r="M4324" s="36"/>
      <c r="N4324" s="36"/>
      <c r="O4324" s="36"/>
      <c r="P4324" s="36"/>
      <c r="Q4324" s="36"/>
      <c r="R4324" s="36"/>
      <c r="S4324" s="36"/>
      <c r="T4324" s="36"/>
      <c r="U4324" s="36"/>
      <c r="V4324" s="36"/>
      <c r="W4324" s="15">
        <f t="shared" ref="W4324:W4424" si="474">SUM(K4324:V4324)</f>
        <v>0</v>
      </c>
      <c r="X4324" s="36"/>
      <c r="Y4324" s="36"/>
      <c r="Z4324" s="36"/>
      <c r="AA4324" s="36"/>
      <c r="AB4324" s="36"/>
      <c r="AC4324" s="36">
        <v>400</v>
      </c>
      <c r="AD4324" s="36"/>
      <c r="AE4324" s="36"/>
      <c r="AF4324" s="36"/>
      <c r="AG4324" s="36"/>
      <c r="AH4324" s="36"/>
      <c r="AI4324" s="36"/>
      <c r="AJ4324" s="15">
        <f t="shared" ref="AJ4324:AJ4424" si="475">SUM(X4324:AI4324)</f>
        <v>400</v>
      </c>
      <c r="AK4324" s="14"/>
      <c r="AL4324" s="14"/>
      <c r="AM4324" s="14"/>
      <c r="AN4324" s="14"/>
      <c r="AO4324" s="14"/>
      <c r="AP4324" s="14"/>
      <c r="AQ4324" s="14"/>
      <c r="AR4324" s="14"/>
      <c r="AS4324" s="14"/>
      <c r="AT4324" s="14"/>
      <c r="AU4324" s="14"/>
      <c r="AV4324" s="14"/>
      <c r="AW4324" s="15"/>
      <c r="AX4324" s="16"/>
    </row>
    <row r="4325" spans="2:50" x14ac:dyDescent="0.2">
      <c r="B4325" s="7"/>
      <c r="C4325" s="8">
        <v>14608</v>
      </c>
      <c r="D4325" s="9" t="s">
        <v>605</v>
      </c>
      <c r="E4325" s="10" t="str">
        <f t="shared" si="471"/>
        <v>Rancho Upácuaro No. 50</v>
      </c>
      <c r="F4325" s="10" t="str">
        <f t="shared" si="472"/>
        <v>Rivera Rodríguez</v>
      </c>
      <c r="G4325" s="8">
        <v>1</v>
      </c>
      <c r="H4325" s="11">
        <v>1500</v>
      </c>
      <c r="I4325" s="12">
        <v>42904</v>
      </c>
      <c r="J4325" s="35">
        <f t="shared" si="473"/>
        <v>0</v>
      </c>
      <c r="K4325" s="36"/>
      <c r="L4325" s="36"/>
      <c r="M4325" s="36"/>
      <c r="N4325" s="36"/>
      <c r="O4325" s="36"/>
      <c r="P4325" s="36"/>
      <c r="Q4325" s="36"/>
      <c r="R4325" s="36"/>
      <c r="S4325" s="36"/>
      <c r="T4325" s="36"/>
      <c r="U4325" s="36"/>
      <c r="V4325" s="36"/>
      <c r="W4325" s="15">
        <f t="shared" si="474"/>
        <v>0</v>
      </c>
      <c r="X4325" s="36"/>
      <c r="Y4325" s="36"/>
      <c r="Z4325" s="36"/>
      <c r="AA4325" s="36"/>
      <c r="AB4325" s="36"/>
      <c r="AC4325" s="36"/>
      <c r="AD4325" s="36">
        <v>300</v>
      </c>
      <c r="AE4325" s="36">
        <v>300</v>
      </c>
      <c r="AF4325" s="36">
        <v>300</v>
      </c>
      <c r="AG4325" s="36">
        <v>300</v>
      </c>
      <c r="AH4325" s="36">
        <v>300</v>
      </c>
      <c r="AI4325" s="36"/>
      <c r="AJ4325" s="15">
        <f t="shared" si="475"/>
        <v>1500</v>
      </c>
      <c r="AK4325" s="14"/>
      <c r="AL4325" s="14"/>
      <c r="AM4325" s="14"/>
      <c r="AN4325" s="14"/>
      <c r="AO4325" s="14"/>
      <c r="AP4325" s="14"/>
      <c r="AQ4325" s="14"/>
      <c r="AR4325" s="14"/>
      <c r="AS4325" s="14"/>
      <c r="AT4325" s="14"/>
      <c r="AU4325" s="14"/>
      <c r="AV4325" s="14"/>
      <c r="AW4325" s="15"/>
      <c r="AX4325" s="16" t="s">
        <v>4145</v>
      </c>
    </row>
    <row r="4326" spans="2:50" x14ac:dyDescent="0.2">
      <c r="B4326" s="7"/>
      <c r="C4326" s="8">
        <v>14609</v>
      </c>
      <c r="D4326" s="9" t="s">
        <v>571</v>
      </c>
      <c r="E4326" s="10" t="str">
        <f t="shared" si="471"/>
        <v>Rancho Estanzuela No. 15, A</v>
      </c>
      <c r="F4326" s="10" t="str">
        <f t="shared" si="472"/>
        <v>González</v>
      </c>
      <c r="G4326" s="8">
        <v>1</v>
      </c>
      <c r="H4326" s="11">
        <v>400</v>
      </c>
      <c r="I4326" s="12">
        <v>42904</v>
      </c>
      <c r="J4326" s="35">
        <f t="shared" si="473"/>
        <v>0</v>
      </c>
      <c r="K4326" s="36"/>
      <c r="L4326" s="36"/>
      <c r="M4326" s="36"/>
      <c r="N4326" s="36"/>
      <c r="O4326" s="36"/>
      <c r="P4326" s="36"/>
      <c r="Q4326" s="36"/>
      <c r="R4326" s="36"/>
      <c r="S4326" s="36"/>
      <c r="T4326" s="36"/>
      <c r="U4326" s="36"/>
      <c r="V4326" s="36"/>
      <c r="W4326" s="15">
        <f t="shared" si="474"/>
        <v>0</v>
      </c>
      <c r="X4326" s="36"/>
      <c r="Y4326" s="36"/>
      <c r="Z4326" s="36"/>
      <c r="AA4326" s="36"/>
      <c r="AB4326" s="36">
        <v>200</v>
      </c>
      <c r="AC4326" s="36">
        <v>200</v>
      </c>
      <c r="AD4326" s="36"/>
      <c r="AE4326" s="36"/>
      <c r="AF4326" s="36"/>
      <c r="AG4326" s="36"/>
      <c r="AH4326" s="36"/>
      <c r="AI4326" s="36"/>
      <c r="AJ4326" s="15">
        <f t="shared" si="475"/>
        <v>400</v>
      </c>
      <c r="AK4326" s="14"/>
      <c r="AL4326" s="14"/>
      <c r="AM4326" s="14"/>
      <c r="AN4326" s="14"/>
      <c r="AO4326" s="14"/>
      <c r="AP4326" s="14"/>
      <c r="AQ4326" s="14"/>
      <c r="AR4326" s="14"/>
      <c r="AS4326" s="14"/>
      <c r="AT4326" s="14"/>
      <c r="AU4326" s="14"/>
      <c r="AV4326" s="14"/>
      <c r="AW4326" s="15"/>
      <c r="AX4326" s="16"/>
    </row>
    <row r="4327" spans="2:50" x14ac:dyDescent="0.2">
      <c r="B4327" s="7"/>
      <c r="C4327" s="8">
        <v>14610</v>
      </c>
      <c r="D4327" s="9" t="s">
        <v>3527</v>
      </c>
      <c r="E4327" s="10" t="str">
        <f t="shared" si="471"/>
        <v>Rancho Estopila No. 44_6</v>
      </c>
      <c r="F4327" s="10" t="str">
        <f t="shared" si="472"/>
        <v>González Ramos</v>
      </c>
      <c r="G4327" s="8">
        <v>1</v>
      </c>
      <c r="H4327" s="11">
        <v>400</v>
      </c>
      <c r="I4327" s="12">
        <v>42904</v>
      </c>
      <c r="J4327" s="35">
        <f t="shared" si="473"/>
        <v>0</v>
      </c>
      <c r="K4327" s="36"/>
      <c r="L4327" s="36"/>
      <c r="M4327" s="36"/>
      <c r="N4327" s="36"/>
      <c r="O4327" s="36"/>
      <c r="P4327" s="36"/>
      <c r="Q4327" s="36"/>
      <c r="R4327" s="36"/>
      <c r="S4327" s="36"/>
      <c r="T4327" s="36"/>
      <c r="U4327" s="36"/>
      <c r="V4327" s="36"/>
      <c r="W4327" s="15">
        <f t="shared" si="474"/>
        <v>0</v>
      </c>
      <c r="X4327" s="36"/>
      <c r="Y4327" s="36"/>
      <c r="Z4327" s="36"/>
      <c r="AA4327" s="36"/>
      <c r="AB4327" s="36"/>
      <c r="AC4327" s="36">
        <v>200</v>
      </c>
      <c r="AD4327" s="36">
        <v>200</v>
      </c>
      <c r="AE4327" s="36"/>
      <c r="AF4327" s="36"/>
      <c r="AG4327" s="36"/>
      <c r="AH4327" s="36"/>
      <c r="AI4327" s="36"/>
      <c r="AJ4327" s="15">
        <f t="shared" si="475"/>
        <v>400</v>
      </c>
      <c r="AK4327" s="14"/>
      <c r="AL4327" s="14"/>
      <c r="AM4327" s="14"/>
      <c r="AN4327" s="14"/>
      <c r="AO4327" s="14"/>
      <c r="AP4327" s="14"/>
      <c r="AQ4327" s="14"/>
      <c r="AR4327" s="14"/>
      <c r="AS4327" s="14"/>
      <c r="AT4327" s="14"/>
      <c r="AU4327" s="14"/>
      <c r="AV4327" s="14"/>
      <c r="AW4327" s="15"/>
      <c r="AX4327" s="16"/>
    </row>
    <row r="4328" spans="2:50" x14ac:dyDescent="0.2">
      <c r="B4328" s="7"/>
      <c r="C4328" s="8">
        <v>14611</v>
      </c>
      <c r="D4328" s="9" t="s">
        <v>398</v>
      </c>
      <c r="E4328" s="10" t="str">
        <f t="shared" ref="E4328:E4338" si="476">IF(D4328=0,"",VLOOKUP(D4328,BASE,2,FALSE))</f>
        <v>Rancho Estanzuela No. 151</v>
      </c>
      <c r="F4328" s="10" t="str">
        <f t="shared" ref="F4328:F4338" si="477">IF(D4328=0,"",VLOOKUP(D4328,BASE,3,FALSE))</f>
        <v>Pérez Salazar</v>
      </c>
      <c r="G4328" s="8">
        <v>1</v>
      </c>
      <c r="H4328" s="11">
        <v>400</v>
      </c>
      <c r="I4328" s="12">
        <v>42904</v>
      </c>
      <c r="J4328" s="35">
        <f t="shared" ref="J4328:J4338" si="478">IF(G4328=1,SUM(W4328,AJ4328,-H4328),0)</f>
        <v>0</v>
      </c>
      <c r="K4328" s="36"/>
      <c r="L4328" s="36"/>
      <c r="M4328" s="36"/>
      <c r="N4328" s="36"/>
      <c r="O4328" s="36"/>
      <c r="P4328" s="36"/>
      <c r="Q4328" s="36"/>
      <c r="R4328" s="36"/>
      <c r="S4328" s="36"/>
      <c r="T4328" s="36"/>
      <c r="U4328" s="36"/>
      <c r="V4328" s="36"/>
      <c r="W4328" s="15">
        <f t="shared" ref="W4328:W4338" si="479">SUM(K4328:V4328)</f>
        <v>0</v>
      </c>
      <c r="X4328" s="36"/>
      <c r="Y4328" s="36"/>
      <c r="Z4328" s="36"/>
      <c r="AA4328" s="36"/>
      <c r="AB4328" s="36"/>
      <c r="AC4328" s="36">
        <v>400</v>
      </c>
      <c r="AD4328" s="36"/>
      <c r="AE4328" s="36"/>
      <c r="AF4328" s="36"/>
      <c r="AG4328" s="36"/>
      <c r="AH4328" s="36"/>
      <c r="AI4328" s="36"/>
      <c r="AJ4328" s="15">
        <f t="shared" ref="AJ4328:AJ4338" si="480">SUM(X4328:AI4328)</f>
        <v>400</v>
      </c>
      <c r="AK4328" s="14"/>
      <c r="AL4328" s="14"/>
      <c r="AM4328" s="14"/>
      <c r="AN4328" s="14"/>
      <c r="AO4328" s="14"/>
      <c r="AP4328" s="14"/>
      <c r="AQ4328" s="14"/>
      <c r="AR4328" s="14"/>
      <c r="AS4328" s="14"/>
      <c r="AT4328" s="14"/>
      <c r="AU4328" s="14"/>
      <c r="AV4328" s="14"/>
      <c r="AW4328" s="15"/>
      <c r="AX4328" s="16"/>
    </row>
    <row r="4329" spans="2:50" x14ac:dyDescent="0.2">
      <c r="B4329" s="7"/>
      <c r="C4329" s="8">
        <v>14612</v>
      </c>
      <c r="D4329" s="9" t="s">
        <v>259</v>
      </c>
      <c r="E4329" s="10" t="str">
        <f t="shared" si="476"/>
        <v>Rancho Estanzuela No. 55</v>
      </c>
      <c r="F4329" s="10" t="str">
        <f t="shared" si="477"/>
        <v>Rodríguez Acevedo</v>
      </c>
      <c r="G4329" s="8">
        <v>1</v>
      </c>
      <c r="H4329" s="11">
        <v>400</v>
      </c>
      <c r="I4329" s="12">
        <v>42904</v>
      </c>
      <c r="J4329" s="35">
        <f t="shared" si="478"/>
        <v>0</v>
      </c>
      <c r="K4329" s="36"/>
      <c r="L4329" s="36"/>
      <c r="M4329" s="36"/>
      <c r="N4329" s="36"/>
      <c r="O4329" s="36"/>
      <c r="P4329" s="36"/>
      <c r="Q4329" s="36"/>
      <c r="R4329" s="36"/>
      <c r="S4329" s="36"/>
      <c r="T4329" s="36"/>
      <c r="U4329" s="36"/>
      <c r="V4329" s="36"/>
      <c r="W4329" s="15">
        <f t="shared" si="479"/>
        <v>0</v>
      </c>
      <c r="X4329" s="36"/>
      <c r="Y4329" s="36"/>
      <c r="Z4329" s="36"/>
      <c r="AA4329" s="36"/>
      <c r="AB4329" s="36"/>
      <c r="AC4329" s="36">
        <v>400</v>
      </c>
      <c r="AD4329" s="36"/>
      <c r="AE4329" s="36"/>
      <c r="AF4329" s="36"/>
      <c r="AG4329" s="36"/>
      <c r="AH4329" s="36"/>
      <c r="AI4329" s="36"/>
      <c r="AJ4329" s="15">
        <f t="shared" si="480"/>
        <v>400</v>
      </c>
      <c r="AK4329" s="14"/>
      <c r="AL4329" s="14"/>
      <c r="AM4329" s="14"/>
      <c r="AN4329" s="14"/>
      <c r="AO4329" s="14"/>
      <c r="AP4329" s="14"/>
      <c r="AQ4329" s="14"/>
      <c r="AR4329" s="14"/>
      <c r="AS4329" s="14"/>
      <c r="AT4329" s="14"/>
      <c r="AU4329" s="14"/>
      <c r="AV4329" s="14"/>
      <c r="AW4329" s="15"/>
      <c r="AX4329" s="16"/>
    </row>
    <row r="4330" spans="2:50" x14ac:dyDescent="0.2">
      <c r="B4330" s="7"/>
      <c r="C4330" s="8">
        <v>14613</v>
      </c>
      <c r="D4330" s="9" t="s">
        <v>129</v>
      </c>
      <c r="E4330" s="10" t="str">
        <f t="shared" si="476"/>
        <v>Rancho Zinamba No. 44</v>
      </c>
      <c r="F4330" s="10" t="str">
        <f t="shared" si="477"/>
        <v>Canales</v>
      </c>
      <c r="G4330" s="8">
        <v>1</v>
      </c>
      <c r="H4330" s="11">
        <v>400</v>
      </c>
      <c r="I4330" s="12">
        <v>42904</v>
      </c>
      <c r="J4330" s="35">
        <f t="shared" si="478"/>
        <v>0</v>
      </c>
      <c r="K4330" s="36"/>
      <c r="L4330" s="36"/>
      <c r="M4330" s="36"/>
      <c r="N4330" s="36"/>
      <c r="O4330" s="36"/>
      <c r="P4330" s="36"/>
      <c r="Q4330" s="36"/>
      <c r="R4330" s="36"/>
      <c r="S4330" s="36"/>
      <c r="T4330" s="36"/>
      <c r="U4330" s="36"/>
      <c r="V4330" s="36"/>
      <c r="W4330" s="15">
        <f t="shared" si="479"/>
        <v>0</v>
      </c>
      <c r="X4330" s="36"/>
      <c r="Y4330" s="36"/>
      <c r="Z4330" s="36"/>
      <c r="AA4330" s="36"/>
      <c r="AB4330" s="36"/>
      <c r="AC4330" s="36">
        <v>400</v>
      </c>
      <c r="AD4330" s="36"/>
      <c r="AE4330" s="36"/>
      <c r="AF4330" s="36"/>
      <c r="AG4330" s="36"/>
      <c r="AH4330" s="36"/>
      <c r="AI4330" s="36"/>
      <c r="AJ4330" s="15">
        <f t="shared" si="480"/>
        <v>400</v>
      </c>
      <c r="AK4330" s="14"/>
      <c r="AL4330" s="14"/>
      <c r="AM4330" s="14"/>
      <c r="AN4330" s="14"/>
      <c r="AO4330" s="14"/>
      <c r="AP4330" s="14"/>
      <c r="AQ4330" s="14"/>
      <c r="AR4330" s="14"/>
      <c r="AS4330" s="14"/>
      <c r="AT4330" s="14"/>
      <c r="AU4330" s="14"/>
      <c r="AV4330" s="14"/>
      <c r="AW4330" s="15"/>
      <c r="AX4330" s="16"/>
    </row>
    <row r="4331" spans="2:50" x14ac:dyDescent="0.2">
      <c r="B4331" s="7"/>
      <c r="C4331" s="8">
        <v>14614</v>
      </c>
      <c r="D4331" s="9" t="s">
        <v>425</v>
      </c>
      <c r="E4331" s="10" t="str">
        <f t="shared" si="476"/>
        <v>Rancho La Cuchilla No. 120</v>
      </c>
      <c r="F4331" s="10" t="str">
        <f t="shared" si="477"/>
        <v>Pozos Vilchis</v>
      </c>
      <c r="G4331" s="8">
        <v>1</v>
      </c>
      <c r="H4331" s="11">
        <v>400</v>
      </c>
      <c r="I4331" s="12">
        <v>42904</v>
      </c>
      <c r="J4331" s="35">
        <f t="shared" si="478"/>
        <v>0</v>
      </c>
      <c r="K4331" s="36"/>
      <c r="L4331" s="36"/>
      <c r="M4331" s="36"/>
      <c r="N4331" s="36"/>
      <c r="O4331" s="36"/>
      <c r="P4331" s="36"/>
      <c r="Q4331" s="36"/>
      <c r="R4331" s="36"/>
      <c r="S4331" s="36"/>
      <c r="T4331" s="36"/>
      <c r="U4331" s="36"/>
      <c r="V4331" s="36"/>
      <c r="W4331" s="15">
        <f t="shared" si="479"/>
        <v>0</v>
      </c>
      <c r="X4331" s="36"/>
      <c r="Y4331" s="36"/>
      <c r="Z4331" s="36"/>
      <c r="AA4331" s="36"/>
      <c r="AB4331" s="36"/>
      <c r="AC4331" s="36">
        <v>400</v>
      </c>
      <c r="AD4331" s="36"/>
      <c r="AE4331" s="36"/>
      <c r="AF4331" s="36"/>
      <c r="AG4331" s="36"/>
      <c r="AH4331" s="36"/>
      <c r="AI4331" s="36"/>
      <c r="AJ4331" s="15">
        <f t="shared" si="480"/>
        <v>400</v>
      </c>
      <c r="AK4331" s="14"/>
      <c r="AL4331" s="14"/>
      <c r="AM4331" s="14"/>
      <c r="AN4331" s="14"/>
      <c r="AO4331" s="14"/>
      <c r="AP4331" s="14"/>
      <c r="AQ4331" s="14"/>
      <c r="AR4331" s="14"/>
      <c r="AS4331" s="14"/>
      <c r="AT4331" s="14"/>
      <c r="AU4331" s="14"/>
      <c r="AV4331" s="14"/>
      <c r="AW4331" s="15"/>
      <c r="AX4331" s="16"/>
    </row>
    <row r="4332" spans="2:50" x14ac:dyDescent="0.2">
      <c r="B4332" s="7"/>
      <c r="C4332" s="8">
        <v>14615</v>
      </c>
      <c r="D4332" s="9" t="s">
        <v>882</v>
      </c>
      <c r="E4332" s="10" t="str">
        <f t="shared" si="476"/>
        <v>Rancho Upácuaro No. 54</v>
      </c>
      <c r="F4332" s="10" t="str">
        <f t="shared" si="477"/>
        <v>García Rueda</v>
      </c>
      <c r="G4332" s="8">
        <v>1</v>
      </c>
      <c r="H4332" s="11">
        <v>200</v>
      </c>
      <c r="I4332" s="12">
        <v>42904</v>
      </c>
      <c r="J4332" s="35">
        <f t="shared" si="478"/>
        <v>0</v>
      </c>
      <c r="K4332" s="36"/>
      <c r="L4332" s="36"/>
      <c r="M4332" s="36"/>
      <c r="N4332" s="36"/>
      <c r="O4332" s="36"/>
      <c r="P4332" s="36"/>
      <c r="Q4332" s="36"/>
      <c r="R4332" s="36"/>
      <c r="S4332" s="36"/>
      <c r="T4332" s="36"/>
      <c r="U4332" s="36"/>
      <c r="V4332" s="36"/>
      <c r="W4332" s="15">
        <f t="shared" si="479"/>
        <v>0</v>
      </c>
      <c r="X4332" s="36"/>
      <c r="Y4332" s="36"/>
      <c r="Z4332" s="36"/>
      <c r="AA4332" s="36"/>
      <c r="AB4332" s="36"/>
      <c r="AC4332" s="36">
        <v>200</v>
      </c>
      <c r="AD4332" s="36"/>
      <c r="AE4332" s="36"/>
      <c r="AF4332" s="36"/>
      <c r="AG4332" s="36"/>
      <c r="AH4332" s="36"/>
      <c r="AI4332" s="36"/>
      <c r="AJ4332" s="15">
        <f t="shared" si="480"/>
        <v>200</v>
      </c>
      <c r="AK4332" s="14"/>
      <c r="AL4332" s="14"/>
      <c r="AM4332" s="14"/>
      <c r="AN4332" s="14"/>
      <c r="AO4332" s="14"/>
      <c r="AP4332" s="14"/>
      <c r="AQ4332" s="14"/>
      <c r="AR4332" s="14"/>
      <c r="AS4332" s="14"/>
      <c r="AT4332" s="14"/>
      <c r="AU4332" s="14"/>
      <c r="AV4332" s="14"/>
      <c r="AW4332" s="15"/>
      <c r="AX4332" s="16"/>
    </row>
    <row r="4333" spans="2:50" x14ac:dyDescent="0.2">
      <c r="B4333" s="7"/>
      <c r="C4333" s="8">
        <v>14616</v>
      </c>
      <c r="D4333" s="9" t="s">
        <v>731</v>
      </c>
      <c r="E4333" s="10" t="str">
        <f t="shared" si="476"/>
        <v>Rancho Estanzuela No. 133</v>
      </c>
      <c r="F4333" s="10" t="str">
        <f t="shared" si="477"/>
        <v>Hernández Salazar</v>
      </c>
      <c r="G4333" s="8">
        <v>1</v>
      </c>
      <c r="H4333" s="11">
        <v>600</v>
      </c>
      <c r="I4333" s="12">
        <v>42904</v>
      </c>
      <c r="J4333" s="35">
        <f t="shared" si="478"/>
        <v>0</v>
      </c>
      <c r="K4333" s="36"/>
      <c r="L4333" s="36"/>
      <c r="M4333" s="36"/>
      <c r="N4333" s="36"/>
      <c r="O4333" s="36"/>
      <c r="P4333" s="36"/>
      <c r="Q4333" s="36"/>
      <c r="R4333" s="36"/>
      <c r="S4333" s="36"/>
      <c r="T4333" s="36"/>
      <c r="U4333" s="36"/>
      <c r="V4333" s="36"/>
      <c r="W4333" s="15">
        <f t="shared" si="479"/>
        <v>0</v>
      </c>
      <c r="X4333" s="36"/>
      <c r="Y4333" s="36"/>
      <c r="Z4333" s="36"/>
      <c r="AA4333" s="36"/>
      <c r="AB4333" s="36">
        <v>300</v>
      </c>
      <c r="AC4333" s="36">
        <v>300</v>
      </c>
      <c r="AD4333" s="36"/>
      <c r="AE4333" s="36"/>
      <c r="AF4333" s="36"/>
      <c r="AG4333" s="36"/>
      <c r="AH4333" s="36"/>
      <c r="AI4333" s="36"/>
      <c r="AJ4333" s="15">
        <f t="shared" si="480"/>
        <v>600</v>
      </c>
      <c r="AK4333" s="14"/>
      <c r="AL4333" s="14"/>
      <c r="AM4333" s="14"/>
      <c r="AN4333" s="14"/>
      <c r="AO4333" s="14"/>
      <c r="AP4333" s="14"/>
      <c r="AQ4333" s="14"/>
      <c r="AR4333" s="14"/>
      <c r="AS4333" s="14"/>
      <c r="AT4333" s="14"/>
      <c r="AU4333" s="14"/>
      <c r="AV4333" s="14"/>
      <c r="AW4333" s="15"/>
      <c r="AX4333" s="16"/>
    </row>
    <row r="4334" spans="2:50" x14ac:dyDescent="0.2">
      <c r="B4334" s="7"/>
      <c r="C4334" s="8">
        <v>14617</v>
      </c>
      <c r="D4334" s="9" t="s">
        <v>817</v>
      </c>
      <c r="E4334" s="10" t="str">
        <f t="shared" si="476"/>
        <v>Rancho Estanzuela No. 7, B</v>
      </c>
      <c r="F4334" s="10" t="str">
        <f t="shared" si="477"/>
        <v>Camargo Romero</v>
      </c>
      <c r="G4334" s="8">
        <v>1</v>
      </c>
      <c r="H4334" s="11">
        <v>600</v>
      </c>
      <c r="I4334" s="12">
        <v>42904</v>
      </c>
      <c r="J4334" s="35">
        <f t="shared" si="478"/>
        <v>0</v>
      </c>
      <c r="K4334" s="36"/>
      <c r="L4334" s="36"/>
      <c r="M4334" s="36"/>
      <c r="N4334" s="36"/>
      <c r="O4334" s="36"/>
      <c r="P4334" s="36"/>
      <c r="Q4334" s="36"/>
      <c r="R4334" s="36"/>
      <c r="S4334" s="36"/>
      <c r="T4334" s="36"/>
      <c r="U4334" s="36"/>
      <c r="V4334" s="36"/>
      <c r="W4334" s="15">
        <f t="shared" si="479"/>
        <v>0</v>
      </c>
      <c r="X4334" s="36"/>
      <c r="Y4334" s="36"/>
      <c r="Z4334" s="36"/>
      <c r="AA4334" s="36">
        <v>200</v>
      </c>
      <c r="AB4334" s="36">
        <v>200</v>
      </c>
      <c r="AC4334" s="36">
        <v>200</v>
      </c>
      <c r="AD4334" s="36"/>
      <c r="AE4334" s="36"/>
      <c r="AF4334" s="36"/>
      <c r="AG4334" s="36"/>
      <c r="AH4334" s="36"/>
      <c r="AI4334" s="36"/>
      <c r="AJ4334" s="15">
        <f t="shared" si="480"/>
        <v>600</v>
      </c>
      <c r="AK4334" s="14"/>
      <c r="AL4334" s="14"/>
      <c r="AM4334" s="14"/>
      <c r="AN4334" s="14"/>
      <c r="AO4334" s="14"/>
      <c r="AP4334" s="14"/>
      <c r="AQ4334" s="14"/>
      <c r="AR4334" s="14"/>
      <c r="AS4334" s="14"/>
      <c r="AT4334" s="14"/>
      <c r="AU4334" s="14"/>
      <c r="AV4334" s="14"/>
      <c r="AW4334" s="15"/>
      <c r="AX4334" s="16"/>
    </row>
    <row r="4335" spans="2:50" x14ac:dyDescent="0.2">
      <c r="B4335" s="7"/>
      <c r="C4335" s="8">
        <v>14617</v>
      </c>
      <c r="D4335" s="9" t="s">
        <v>817</v>
      </c>
      <c r="E4335" s="10" t="str">
        <f t="shared" si="476"/>
        <v>Rancho Estanzuela No. 7, B</v>
      </c>
      <c r="F4335" s="10" t="str">
        <f t="shared" si="477"/>
        <v>Camargo Romero</v>
      </c>
      <c r="G4335" s="8">
        <v>5</v>
      </c>
      <c r="H4335" s="11">
        <v>50</v>
      </c>
      <c r="I4335" s="12">
        <v>42904</v>
      </c>
      <c r="J4335" s="35">
        <f t="shared" si="478"/>
        <v>0</v>
      </c>
      <c r="K4335" s="36"/>
      <c r="L4335" s="36"/>
      <c r="M4335" s="36"/>
      <c r="N4335" s="36"/>
      <c r="O4335" s="36"/>
      <c r="P4335" s="36"/>
      <c r="Q4335" s="36"/>
      <c r="R4335" s="36"/>
      <c r="S4335" s="36"/>
      <c r="T4335" s="36"/>
      <c r="U4335" s="36"/>
      <c r="V4335" s="36"/>
      <c r="W4335" s="15">
        <f t="shared" si="479"/>
        <v>0</v>
      </c>
      <c r="X4335" s="36"/>
      <c r="Y4335" s="36"/>
      <c r="Z4335" s="36"/>
      <c r="AA4335" s="36"/>
      <c r="AB4335" s="36"/>
      <c r="AC4335" s="36"/>
      <c r="AD4335" s="36"/>
      <c r="AE4335" s="36"/>
      <c r="AF4335" s="36"/>
      <c r="AG4335" s="36"/>
      <c r="AH4335" s="36"/>
      <c r="AI4335" s="36"/>
      <c r="AJ4335" s="15">
        <f t="shared" si="480"/>
        <v>0</v>
      </c>
      <c r="AK4335" s="14"/>
      <c r="AL4335" s="14"/>
      <c r="AM4335" s="14"/>
      <c r="AN4335" s="14"/>
      <c r="AO4335" s="14"/>
      <c r="AP4335" s="14"/>
      <c r="AQ4335" s="14"/>
      <c r="AR4335" s="14"/>
      <c r="AS4335" s="14"/>
      <c r="AT4335" s="14"/>
      <c r="AU4335" s="14"/>
      <c r="AV4335" s="14"/>
      <c r="AW4335" s="15"/>
      <c r="AX4335" s="16"/>
    </row>
    <row r="4336" spans="2:50" x14ac:dyDescent="0.2">
      <c r="B4336" s="7"/>
      <c r="C4336" s="8">
        <v>14618</v>
      </c>
      <c r="D4336" s="9" t="s">
        <v>791</v>
      </c>
      <c r="E4336" s="10" t="str">
        <f t="shared" si="476"/>
        <v>Rancho Upácuaro No. 116</v>
      </c>
      <c r="F4336" s="10" t="str">
        <f t="shared" si="477"/>
        <v>Zenteno</v>
      </c>
      <c r="G4336" s="8">
        <v>1</v>
      </c>
      <c r="H4336" s="11">
        <v>400</v>
      </c>
      <c r="I4336" s="12">
        <v>42904</v>
      </c>
      <c r="J4336" s="35">
        <f t="shared" si="478"/>
        <v>0</v>
      </c>
      <c r="K4336" s="36"/>
      <c r="L4336" s="36"/>
      <c r="M4336" s="36"/>
      <c r="N4336" s="36"/>
      <c r="O4336" s="36"/>
      <c r="P4336" s="36"/>
      <c r="Q4336" s="36"/>
      <c r="R4336" s="36"/>
      <c r="S4336" s="36"/>
      <c r="T4336" s="36"/>
      <c r="U4336" s="36"/>
      <c r="V4336" s="36"/>
      <c r="W4336" s="15">
        <f t="shared" si="479"/>
        <v>0</v>
      </c>
      <c r="X4336" s="36"/>
      <c r="Y4336" s="36"/>
      <c r="Z4336" s="36"/>
      <c r="AA4336" s="36"/>
      <c r="AB4336" s="36"/>
      <c r="AC4336" s="36">
        <v>400</v>
      </c>
      <c r="AD4336" s="36"/>
      <c r="AE4336" s="36"/>
      <c r="AF4336" s="36"/>
      <c r="AG4336" s="36"/>
      <c r="AH4336" s="36"/>
      <c r="AI4336" s="36"/>
      <c r="AJ4336" s="15">
        <f t="shared" si="480"/>
        <v>400</v>
      </c>
      <c r="AK4336" s="14"/>
      <c r="AL4336" s="14"/>
      <c r="AM4336" s="14"/>
      <c r="AN4336" s="14"/>
      <c r="AO4336" s="14"/>
      <c r="AP4336" s="14"/>
      <c r="AQ4336" s="14"/>
      <c r="AR4336" s="14"/>
      <c r="AS4336" s="14"/>
      <c r="AT4336" s="14"/>
      <c r="AU4336" s="14"/>
      <c r="AV4336" s="14"/>
      <c r="AW4336" s="15"/>
      <c r="AX4336" s="16"/>
    </row>
    <row r="4337" spans="2:50" x14ac:dyDescent="0.2">
      <c r="B4337" s="7"/>
      <c r="C4337" s="8">
        <v>14618</v>
      </c>
      <c r="D4337" s="9" t="s">
        <v>791</v>
      </c>
      <c r="E4337" s="10" t="str">
        <f t="shared" si="476"/>
        <v>Rancho Upácuaro No. 116</v>
      </c>
      <c r="F4337" s="10" t="str">
        <f t="shared" si="477"/>
        <v>Zenteno</v>
      </c>
      <c r="G4337" s="8">
        <v>7</v>
      </c>
      <c r="H4337" s="11">
        <v>50</v>
      </c>
      <c r="I4337" s="12">
        <v>42904</v>
      </c>
      <c r="J4337" s="35">
        <f t="shared" si="478"/>
        <v>0</v>
      </c>
      <c r="K4337" s="36"/>
      <c r="L4337" s="36"/>
      <c r="M4337" s="36"/>
      <c r="N4337" s="36"/>
      <c r="O4337" s="36"/>
      <c r="P4337" s="36"/>
      <c r="Q4337" s="36"/>
      <c r="R4337" s="36"/>
      <c r="S4337" s="36"/>
      <c r="T4337" s="36"/>
      <c r="U4337" s="36"/>
      <c r="V4337" s="36"/>
      <c r="W4337" s="15">
        <f t="shared" si="479"/>
        <v>0</v>
      </c>
      <c r="X4337" s="36"/>
      <c r="Y4337" s="36"/>
      <c r="Z4337" s="36"/>
      <c r="AA4337" s="36"/>
      <c r="AB4337" s="36"/>
      <c r="AC4337" s="36"/>
      <c r="AD4337" s="36"/>
      <c r="AE4337" s="36"/>
      <c r="AF4337" s="36"/>
      <c r="AG4337" s="36"/>
      <c r="AH4337" s="36"/>
      <c r="AI4337" s="36"/>
      <c r="AJ4337" s="15">
        <f t="shared" si="480"/>
        <v>0</v>
      </c>
      <c r="AK4337" s="14"/>
      <c r="AL4337" s="14"/>
      <c r="AM4337" s="14"/>
      <c r="AN4337" s="14"/>
      <c r="AO4337" s="14"/>
      <c r="AP4337" s="14"/>
      <c r="AQ4337" s="14"/>
      <c r="AR4337" s="14"/>
      <c r="AS4337" s="14"/>
      <c r="AT4337" s="14"/>
      <c r="AU4337" s="14"/>
      <c r="AV4337" s="14"/>
      <c r="AW4337" s="15"/>
      <c r="AX4337" s="16" t="s">
        <v>4146</v>
      </c>
    </row>
    <row r="4338" spans="2:50" x14ac:dyDescent="0.2">
      <c r="B4338" s="7"/>
      <c r="C4338" s="8">
        <v>14619</v>
      </c>
      <c r="D4338" s="9" t="s">
        <v>565</v>
      </c>
      <c r="E4338" s="10" t="str">
        <f t="shared" si="476"/>
        <v>Rancho Zinamba No. 62</v>
      </c>
      <c r="F4338" s="10" t="str">
        <f t="shared" si="477"/>
        <v>Martínez León</v>
      </c>
      <c r="G4338" s="8">
        <v>1</v>
      </c>
      <c r="H4338" s="11">
        <v>500</v>
      </c>
      <c r="I4338" s="12">
        <v>42904</v>
      </c>
      <c r="J4338" s="35">
        <f t="shared" si="478"/>
        <v>0</v>
      </c>
      <c r="K4338" s="36"/>
      <c r="L4338" s="36"/>
      <c r="M4338" s="36"/>
      <c r="N4338" s="36"/>
      <c r="O4338" s="36"/>
      <c r="P4338" s="36"/>
      <c r="Q4338" s="36"/>
      <c r="R4338" s="36"/>
      <c r="S4338" s="36"/>
      <c r="T4338" s="36"/>
      <c r="U4338" s="36"/>
      <c r="V4338" s="36"/>
      <c r="W4338" s="15">
        <f t="shared" si="479"/>
        <v>0</v>
      </c>
      <c r="X4338" s="36"/>
      <c r="Y4338" s="36"/>
      <c r="Z4338" s="36"/>
      <c r="AA4338" s="36">
        <v>250</v>
      </c>
      <c r="AB4338" s="36">
        <v>250</v>
      </c>
      <c r="AC4338" s="36"/>
      <c r="AD4338" s="36"/>
      <c r="AE4338" s="36"/>
      <c r="AF4338" s="36"/>
      <c r="AG4338" s="36"/>
      <c r="AH4338" s="36"/>
      <c r="AI4338" s="36"/>
      <c r="AJ4338" s="15">
        <f t="shared" si="480"/>
        <v>500</v>
      </c>
      <c r="AK4338" s="14"/>
      <c r="AL4338" s="14"/>
      <c r="AM4338" s="14"/>
      <c r="AN4338" s="14"/>
      <c r="AO4338" s="14"/>
      <c r="AP4338" s="14"/>
      <c r="AQ4338" s="14"/>
      <c r="AR4338" s="14"/>
      <c r="AS4338" s="14"/>
      <c r="AT4338" s="14"/>
      <c r="AU4338" s="14"/>
      <c r="AV4338" s="14"/>
      <c r="AW4338" s="15"/>
      <c r="AX4338" s="16"/>
    </row>
    <row r="4339" spans="2:50" x14ac:dyDescent="0.2">
      <c r="B4339" s="7"/>
      <c r="C4339" s="8">
        <v>14620</v>
      </c>
      <c r="D4339" s="9" t="s">
        <v>672</v>
      </c>
      <c r="E4339" s="10" t="str">
        <f t="shared" si="471"/>
        <v>Rancho Estanzuela No. 11, B</v>
      </c>
      <c r="F4339" s="10" t="str">
        <f t="shared" si="472"/>
        <v>Gómez Miguel</v>
      </c>
      <c r="G4339" s="8">
        <v>1</v>
      </c>
      <c r="H4339" s="11">
        <v>400</v>
      </c>
      <c r="I4339" s="12">
        <v>42904</v>
      </c>
      <c r="J4339" s="35">
        <f t="shared" si="473"/>
        <v>0</v>
      </c>
      <c r="K4339" s="36"/>
      <c r="L4339" s="36"/>
      <c r="M4339" s="36"/>
      <c r="N4339" s="36"/>
      <c r="O4339" s="36"/>
      <c r="P4339" s="36"/>
      <c r="Q4339" s="36"/>
      <c r="R4339" s="36"/>
      <c r="S4339" s="36"/>
      <c r="T4339" s="36"/>
      <c r="U4339" s="36"/>
      <c r="V4339" s="36"/>
      <c r="W4339" s="15">
        <f t="shared" si="474"/>
        <v>0</v>
      </c>
      <c r="X4339" s="36"/>
      <c r="Y4339" s="36"/>
      <c r="Z4339" s="36"/>
      <c r="AA4339" s="36"/>
      <c r="AB4339" s="36">
        <v>200</v>
      </c>
      <c r="AC4339" s="36">
        <v>200</v>
      </c>
      <c r="AD4339" s="36"/>
      <c r="AE4339" s="36"/>
      <c r="AF4339" s="36"/>
      <c r="AG4339" s="36"/>
      <c r="AH4339" s="36"/>
      <c r="AI4339" s="36"/>
      <c r="AJ4339" s="15">
        <f t="shared" si="475"/>
        <v>400</v>
      </c>
      <c r="AK4339" s="14"/>
      <c r="AL4339" s="14"/>
      <c r="AM4339" s="14"/>
      <c r="AN4339" s="14"/>
      <c r="AO4339" s="14"/>
      <c r="AP4339" s="14"/>
      <c r="AQ4339" s="14"/>
      <c r="AR4339" s="14"/>
      <c r="AS4339" s="14"/>
      <c r="AT4339" s="14"/>
      <c r="AU4339" s="14"/>
      <c r="AV4339" s="14"/>
      <c r="AW4339" s="15"/>
      <c r="AX4339" s="16"/>
    </row>
    <row r="4340" spans="2:50" x14ac:dyDescent="0.2">
      <c r="B4340" s="7"/>
      <c r="C4340" s="8">
        <v>14620</v>
      </c>
      <c r="D4340" s="9" t="s">
        <v>672</v>
      </c>
      <c r="E4340" s="10" t="str">
        <f t="shared" si="471"/>
        <v>Rancho Estanzuela No. 11, B</v>
      </c>
      <c r="F4340" s="10" t="str">
        <f t="shared" si="472"/>
        <v>Gómez Miguel</v>
      </c>
      <c r="G4340" s="8">
        <v>7</v>
      </c>
      <c r="H4340" s="11">
        <v>100</v>
      </c>
      <c r="I4340" s="12">
        <v>42904</v>
      </c>
      <c r="J4340" s="35">
        <f t="shared" si="473"/>
        <v>0</v>
      </c>
      <c r="K4340" s="36"/>
      <c r="L4340" s="36"/>
      <c r="M4340" s="36"/>
      <c r="N4340" s="36"/>
      <c r="O4340" s="36"/>
      <c r="P4340" s="36"/>
      <c r="Q4340" s="36"/>
      <c r="R4340" s="36"/>
      <c r="S4340" s="36"/>
      <c r="T4340" s="36"/>
      <c r="U4340" s="36"/>
      <c r="V4340" s="36"/>
      <c r="W4340" s="15">
        <f t="shared" si="474"/>
        <v>0</v>
      </c>
      <c r="X4340" s="36"/>
      <c r="Y4340" s="36"/>
      <c r="Z4340" s="36"/>
      <c r="AA4340" s="36"/>
      <c r="AB4340" s="36"/>
      <c r="AC4340" s="36"/>
      <c r="AD4340" s="36"/>
      <c r="AE4340" s="36"/>
      <c r="AF4340" s="36"/>
      <c r="AG4340" s="36"/>
      <c r="AH4340" s="36"/>
      <c r="AI4340" s="36"/>
      <c r="AJ4340" s="15">
        <f t="shared" si="475"/>
        <v>0</v>
      </c>
      <c r="AK4340" s="14"/>
      <c r="AL4340" s="14"/>
      <c r="AM4340" s="14"/>
      <c r="AN4340" s="14"/>
      <c r="AO4340" s="14"/>
      <c r="AP4340" s="14"/>
      <c r="AQ4340" s="14"/>
      <c r="AR4340" s="14"/>
      <c r="AS4340" s="14"/>
      <c r="AT4340" s="14"/>
      <c r="AU4340" s="14"/>
      <c r="AV4340" s="14"/>
      <c r="AW4340" s="15"/>
      <c r="AX4340" s="16" t="s">
        <v>3858</v>
      </c>
    </row>
    <row r="4341" spans="2:50" x14ac:dyDescent="0.2">
      <c r="B4341" s="7"/>
      <c r="C4341" s="8">
        <v>14621</v>
      </c>
      <c r="D4341" s="9" t="s">
        <v>103</v>
      </c>
      <c r="E4341" s="10" t="str">
        <f t="shared" si="471"/>
        <v>Rancho La Cuchilla No. 41</v>
      </c>
      <c r="F4341" s="10" t="str">
        <f t="shared" si="472"/>
        <v>Arriaga Lemus</v>
      </c>
      <c r="G4341" s="8">
        <v>1</v>
      </c>
      <c r="H4341" s="11">
        <v>400</v>
      </c>
      <c r="I4341" s="12">
        <v>42904</v>
      </c>
      <c r="J4341" s="35">
        <f t="shared" si="473"/>
        <v>0</v>
      </c>
      <c r="K4341" s="36"/>
      <c r="L4341" s="36"/>
      <c r="M4341" s="36"/>
      <c r="N4341" s="36"/>
      <c r="O4341" s="36"/>
      <c r="P4341" s="36"/>
      <c r="Q4341" s="36"/>
      <c r="R4341" s="36"/>
      <c r="S4341" s="36"/>
      <c r="T4341" s="36"/>
      <c r="U4341" s="36"/>
      <c r="V4341" s="36"/>
      <c r="W4341" s="15">
        <f t="shared" si="474"/>
        <v>0</v>
      </c>
      <c r="X4341" s="36"/>
      <c r="Y4341" s="36"/>
      <c r="Z4341" s="36"/>
      <c r="AA4341" s="36"/>
      <c r="AB4341" s="36"/>
      <c r="AC4341" s="36">
        <v>400</v>
      </c>
      <c r="AD4341" s="36"/>
      <c r="AE4341" s="36"/>
      <c r="AF4341" s="36"/>
      <c r="AG4341" s="36"/>
      <c r="AH4341" s="36"/>
      <c r="AI4341" s="36"/>
      <c r="AJ4341" s="15">
        <f t="shared" si="475"/>
        <v>400</v>
      </c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5"/>
      <c r="AX4341" s="16"/>
    </row>
    <row r="4342" spans="2:50" x14ac:dyDescent="0.2">
      <c r="B4342" s="7"/>
      <c r="C4342" s="8">
        <v>14622</v>
      </c>
      <c r="D4342" s="9" t="s">
        <v>343</v>
      </c>
      <c r="E4342" s="10" t="str">
        <f t="shared" si="471"/>
        <v>Rancho Upácuaro No. 88</v>
      </c>
      <c r="F4342" s="10" t="str">
        <f t="shared" si="472"/>
        <v>Millán Núñez</v>
      </c>
      <c r="G4342" s="8">
        <v>1</v>
      </c>
      <c r="H4342" s="11">
        <v>400</v>
      </c>
      <c r="I4342" s="12">
        <v>42904</v>
      </c>
      <c r="J4342" s="35">
        <f t="shared" si="473"/>
        <v>0</v>
      </c>
      <c r="K4342" s="36"/>
      <c r="L4342" s="36"/>
      <c r="M4342" s="36"/>
      <c r="N4342" s="36"/>
      <c r="O4342" s="36"/>
      <c r="P4342" s="36"/>
      <c r="Q4342" s="36"/>
      <c r="R4342" s="36"/>
      <c r="S4342" s="36"/>
      <c r="T4342" s="36"/>
      <c r="U4342" s="36"/>
      <c r="V4342" s="36"/>
      <c r="W4342" s="15">
        <f t="shared" si="474"/>
        <v>0</v>
      </c>
      <c r="X4342" s="36"/>
      <c r="Y4342" s="36"/>
      <c r="Z4342" s="36"/>
      <c r="AA4342" s="36"/>
      <c r="AB4342" s="36"/>
      <c r="AC4342" s="36">
        <v>400</v>
      </c>
      <c r="AD4342" s="36"/>
      <c r="AE4342" s="36"/>
      <c r="AF4342" s="36"/>
      <c r="AG4342" s="36"/>
      <c r="AH4342" s="36"/>
      <c r="AI4342" s="36"/>
      <c r="AJ4342" s="15">
        <f t="shared" si="475"/>
        <v>400</v>
      </c>
      <c r="AK4342" s="14"/>
      <c r="AL4342" s="14"/>
      <c r="AM4342" s="14"/>
      <c r="AN4342" s="14"/>
      <c r="AO4342" s="14"/>
      <c r="AP4342" s="14"/>
      <c r="AQ4342" s="14"/>
      <c r="AR4342" s="14"/>
      <c r="AS4342" s="14"/>
      <c r="AT4342" s="14"/>
      <c r="AU4342" s="14"/>
      <c r="AV4342" s="14"/>
      <c r="AW4342" s="15"/>
      <c r="AX4342" s="16"/>
    </row>
    <row r="4343" spans="2:50" x14ac:dyDescent="0.2">
      <c r="B4343" s="7"/>
      <c r="C4343" s="8">
        <v>14623</v>
      </c>
      <c r="D4343" s="9" t="s">
        <v>761</v>
      </c>
      <c r="E4343" s="10" t="str">
        <f t="shared" si="471"/>
        <v>Rancho Recoveco No. 187</v>
      </c>
      <c r="F4343" s="10" t="str">
        <f t="shared" si="472"/>
        <v>Moreno</v>
      </c>
      <c r="G4343" s="8">
        <v>1</v>
      </c>
      <c r="H4343" s="11">
        <v>2000</v>
      </c>
      <c r="I4343" s="12">
        <v>42904</v>
      </c>
      <c r="J4343" s="35">
        <f t="shared" si="473"/>
        <v>0</v>
      </c>
      <c r="K4343" s="36"/>
      <c r="L4343" s="36"/>
      <c r="M4343" s="36"/>
      <c r="N4343" s="36"/>
      <c r="O4343" s="36"/>
      <c r="P4343" s="36"/>
      <c r="Q4343" s="36"/>
      <c r="R4343" s="36"/>
      <c r="S4343" s="36"/>
      <c r="T4343" s="36"/>
      <c r="U4343" s="36"/>
      <c r="V4343" s="36"/>
      <c r="W4343" s="15">
        <f t="shared" si="474"/>
        <v>0</v>
      </c>
      <c r="X4343" s="36"/>
      <c r="Y4343" s="36"/>
      <c r="Z4343" s="36">
        <v>400</v>
      </c>
      <c r="AA4343" s="36">
        <v>400</v>
      </c>
      <c r="AB4343" s="36">
        <v>400</v>
      </c>
      <c r="AC4343" s="36">
        <v>400</v>
      </c>
      <c r="AD4343" s="36">
        <v>400</v>
      </c>
      <c r="AE4343" s="36"/>
      <c r="AF4343" s="36"/>
      <c r="AG4343" s="36"/>
      <c r="AH4343" s="36"/>
      <c r="AI4343" s="36"/>
      <c r="AJ4343" s="15">
        <f t="shared" si="475"/>
        <v>2000</v>
      </c>
      <c r="AK4343" s="14"/>
      <c r="AL4343" s="14"/>
      <c r="AM4343" s="14"/>
      <c r="AN4343" s="14"/>
      <c r="AO4343" s="14"/>
      <c r="AP4343" s="14"/>
      <c r="AQ4343" s="14"/>
      <c r="AR4343" s="14"/>
      <c r="AS4343" s="14"/>
      <c r="AT4343" s="14"/>
      <c r="AU4343" s="14"/>
      <c r="AV4343" s="14"/>
      <c r="AW4343" s="15"/>
      <c r="AX4343" s="16"/>
    </row>
    <row r="4344" spans="2:50" x14ac:dyDescent="0.2">
      <c r="B4344" s="7"/>
      <c r="C4344" s="8">
        <v>14624</v>
      </c>
      <c r="D4344" s="9" t="s">
        <v>440</v>
      </c>
      <c r="E4344" s="10" t="str">
        <f t="shared" si="471"/>
        <v>Rancho Estanzuela No. 159</v>
      </c>
      <c r="F4344" s="10" t="str">
        <f t="shared" si="472"/>
        <v>Silva</v>
      </c>
      <c r="G4344" s="8">
        <v>1</v>
      </c>
      <c r="H4344" s="11">
        <v>900</v>
      </c>
      <c r="I4344" s="12">
        <v>42904</v>
      </c>
      <c r="J4344" s="35">
        <f t="shared" si="473"/>
        <v>0</v>
      </c>
      <c r="K4344" s="36"/>
      <c r="L4344" s="36"/>
      <c r="M4344" s="36"/>
      <c r="N4344" s="36"/>
      <c r="O4344" s="36"/>
      <c r="P4344" s="36"/>
      <c r="Q4344" s="36"/>
      <c r="R4344" s="36"/>
      <c r="S4344" s="36"/>
      <c r="T4344" s="36"/>
      <c r="U4344" s="36"/>
      <c r="V4344" s="36"/>
      <c r="W4344" s="15">
        <f t="shared" si="474"/>
        <v>0</v>
      </c>
      <c r="X4344" s="36"/>
      <c r="Y4344" s="36"/>
      <c r="Z4344" s="36"/>
      <c r="AA4344" s="36">
        <v>300</v>
      </c>
      <c r="AB4344" s="36">
        <v>300</v>
      </c>
      <c r="AC4344" s="36">
        <v>300</v>
      </c>
      <c r="AD4344" s="36"/>
      <c r="AE4344" s="36"/>
      <c r="AF4344" s="36"/>
      <c r="AG4344" s="36"/>
      <c r="AH4344" s="36"/>
      <c r="AI4344" s="36"/>
      <c r="AJ4344" s="15">
        <f t="shared" si="475"/>
        <v>900</v>
      </c>
      <c r="AK4344" s="14"/>
      <c r="AL4344" s="14"/>
      <c r="AM4344" s="14"/>
      <c r="AN4344" s="14"/>
      <c r="AO4344" s="14"/>
      <c r="AP4344" s="14"/>
      <c r="AQ4344" s="14"/>
      <c r="AR4344" s="14"/>
      <c r="AS4344" s="14"/>
      <c r="AT4344" s="14"/>
      <c r="AU4344" s="14"/>
      <c r="AV4344" s="14"/>
      <c r="AW4344" s="15"/>
      <c r="AX4344" s="16"/>
    </row>
    <row r="4345" spans="2:50" x14ac:dyDescent="0.2">
      <c r="B4345" s="7"/>
      <c r="C4345" s="8">
        <v>14625</v>
      </c>
      <c r="D4345" s="9" t="s">
        <v>1036</v>
      </c>
      <c r="E4345" s="10" t="str">
        <f t="shared" si="471"/>
        <v>Rancho Landero No. 10</v>
      </c>
      <c r="F4345" s="10" t="str">
        <f t="shared" si="472"/>
        <v>Gómez Facio</v>
      </c>
      <c r="G4345" s="8">
        <v>1</v>
      </c>
      <c r="H4345" s="11">
        <v>400</v>
      </c>
      <c r="I4345" s="12">
        <v>42904</v>
      </c>
      <c r="J4345" s="35">
        <f t="shared" si="473"/>
        <v>0</v>
      </c>
      <c r="K4345" s="36"/>
      <c r="L4345" s="36"/>
      <c r="M4345" s="36"/>
      <c r="N4345" s="36"/>
      <c r="O4345" s="36"/>
      <c r="P4345" s="36"/>
      <c r="Q4345" s="36"/>
      <c r="R4345" s="36"/>
      <c r="S4345" s="36"/>
      <c r="T4345" s="36"/>
      <c r="U4345" s="36"/>
      <c r="V4345" s="36"/>
      <c r="W4345" s="15">
        <f t="shared" si="474"/>
        <v>0</v>
      </c>
      <c r="X4345" s="36"/>
      <c r="Y4345" s="36"/>
      <c r="Z4345" s="36"/>
      <c r="AA4345" s="36"/>
      <c r="AB4345" s="36"/>
      <c r="AC4345" s="36">
        <v>400</v>
      </c>
      <c r="AD4345" s="36"/>
      <c r="AE4345" s="36"/>
      <c r="AF4345" s="36"/>
      <c r="AG4345" s="36"/>
      <c r="AH4345" s="36"/>
      <c r="AI4345" s="36"/>
      <c r="AJ4345" s="15">
        <f t="shared" si="475"/>
        <v>400</v>
      </c>
      <c r="AK4345" s="14"/>
      <c r="AL4345" s="14"/>
      <c r="AM4345" s="14"/>
      <c r="AN4345" s="14"/>
      <c r="AO4345" s="14"/>
      <c r="AP4345" s="14"/>
      <c r="AQ4345" s="14"/>
      <c r="AR4345" s="14"/>
      <c r="AS4345" s="14"/>
      <c r="AT4345" s="14"/>
      <c r="AU4345" s="14"/>
      <c r="AV4345" s="14"/>
      <c r="AW4345" s="15"/>
      <c r="AX4345" s="16"/>
    </row>
    <row r="4346" spans="2:50" x14ac:dyDescent="0.2">
      <c r="B4346" s="7"/>
      <c r="C4346" s="8">
        <v>14626</v>
      </c>
      <c r="D4346" s="9" t="s">
        <v>828</v>
      </c>
      <c r="E4346" s="10" t="str">
        <f t="shared" si="471"/>
        <v>Rancho Upácuaro No. 130</v>
      </c>
      <c r="F4346" s="10" t="str">
        <f t="shared" si="472"/>
        <v>Rodríguez Álvarez</v>
      </c>
      <c r="G4346" s="8">
        <v>1</v>
      </c>
      <c r="H4346" s="11">
        <v>200</v>
      </c>
      <c r="I4346" s="12">
        <v>42904</v>
      </c>
      <c r="J4346" s="35">
        <f t="shared" si="473"/>
        <v>0</v>
      </c>
      <c r="K4346" s="36"/>
      <c r="L4346" s="36"/>
      <c r="M4346" s="36"/>
      <c r="N4346" s="36"/>
      <c r="O4346" s="36"/>
      <c r="P4346" s="36"/>
      <c r="Q4346" s="36"/>
      <c r="R4346" s="36"/>
      <c r="S4346" s="36"/>
      <c r="T4346" s="36"/>
      <c r="U4346" s="36"/>
      <c r="V4346" s="36"/>
      <c r="W4346" s="15">
        <f t="shared" si="474"/>
        <v>0</v>
      </c>
      <c r="X4346" s="36"/>
      <c r="Y4346" s="36"/>
      <c r="Z4346" s="36"/>
      <c r="AA4346" s="36"/>
      <c r="AB4346" s="36"/>
      <c r="AC4346" s="36">
        <v>200</v>
      </c>
      <c r="AD4346" s="36"/>
      <c r="AE4346" s="36"/>
      <c r="AF4346" s="36"/>
      <c r="AG4346" s="36"/>
      <c r="AH4346" s="36"/>
      <c r="AI4346" s="36"/>
      <c r="AJ4346" s="15">
        <f t="shared" si="475"/>
        <v>200</v>
      </c>
      <c r="AK4346" s="14"/>
      <c r="AL4346" s="14"/>
      <c r="AM4346" s="14"/>
      <c r="AN4346" s="14"/>
      <c r="AO4346" s="14"/>
      <c r="AP4346" s="14"/>
      <c r="AQ4346" s="14"/>
      <c r="AR4346" s="14"/>
      <c r="AS4346" s="14"/>
      <c r="AT4346" s="14"/>
      <c r="AU4346" s="14"/>
      <c r="AV4346" s="14"/>
      <c r="AW4346" s="15"/>
      <c r="AX4346" s="316">
        <f>SUM(H4315:H4346)</f>
        <v>16850</v>
      </c>
    </row>
    <row r="4347" spans="2:50" x14ac:dyDescent="0.2">
      <c r="B4347" s="7"/>
      <c r="C4347" s="8">
        <v>14627</v>
      </c>
      <c r="D4347" s="9" t="s">
        <v>1420</v>
      </c>
      <c r="E4347" s="10" t="str">
        <f t="shared" si="471"/>
        <v>Rancho Upácuaro No. 35</v>
      </c>
      <c r="F4347" s="10" t="str">
        <f t="shared" si="472"/>
        <v>García</v>
      </c>
      <c r="G4347" s="8">
        <v>3</v>
      </c>
      <c r="H4347" s="315">
        <v>400</v>
      </c>
      <c r="I4347" s="12">
        <v>42905</v>
      </c>
      <c r="J4347" s="35">
        <f t="shared" si="473"/>
        <v>0</v>
      </c>
      <c r="K4347" s="36"/>
      <c r="L4347" s="36"/>
      <c r="M4347" s="36"/>
      <c r="N4347" s="36"/>
      <c r="O4347" s="36"/>
      <c r="P4347" s="36"/>
      <c r="Q4347" s="36"/>
      <c r="R4347" s="36"/>
      <c r="S4347" s="36"/>
      <c r="T4347" s="36"/>
      <c r="U4347" s="36"/>
      <c r="V4347" s="36"/>
      <c r="W4347" s="15">
        <f t="shared" si="474"/>
        <v>0</v>
      </c>
      <c r="X4347" s="36"/>
      <c r="Y4347" s="36"/>
      <c r="Z4347" s="36"/>
      <c r="AA4347" s="36"/>
      <c r="AB4347" s="36"/>
      <c r="AC4347" s="36"/>
      <c r="AD4347" s="36"/>
      <c r="AE4347" s="36"/>
      <c r="AF4347" s="36"/>
      <c r="AG4347" s="36"/>
      <c r="AH4347" s="36"/>
      <c r="AI4347" s="36"/>
      <c r="AJ4347" s="15">
        <f t="shared" si="475"/>
        <v>0</v>
      </c>
      <c r="AK4347" s="14"/>
      <c r="AL4347" s="14"/>
      <c r="AM4347" s="14"/>
      <c r="AN4347" s="14"/>
      <c r="AO4347" s="14"/>
      <c r="AP4347" s="14"/>
      <c r="AQ4347" s="14"/>
      <c r="AR4347" s="14"/>
      <c r="AS4347" s="14"/>
      <c r="AT4347" s="14"/>
      <c r="AU4347" s="14"/>
      <c r="AV4347" s="14"/>
      <c r="AW4347" s="15"/>
      <c r="AX4347" s="16"/>
    </row>
    <row r="4348" spans="2:50" x14ac:dyDescent="0.2">
      <c r="B4348" s="7"/>
      <c r="C4348" s="8">
        <v>14628</v>
      </c>
      <c r="D4348" s="9" t="s">
        <v>1346</v>
      </c>
      <c r="E4348" s="10" t="str">
        <f t="shared" si="471"/>
        <v>Rancho Estanzuela No. 123</v>
      </c>
      <c r="F4348" s="10" t="str">
        <f t="shared" si="472"/>
        <v>Bueno Rendón</v>
      </c>
      <c r="G4348" s="8">
        <v>1</v>
      </c>
      <c r="H4348" s="11">
        <v>400</v>
      </c>
      <c r="I4348" s="12">
        <v>42909</v>
      </c>
      <c r="J4348" s="35">
        <f t="shared" si="473"/>
        <v>0</v>
      </c>
      <c r="K4348" s="36"/>
      <c r="L4348" s="36"/>
      <c r="M4348" s="36"/>
      <c r="N4348" s="36"/>
      <c r="O4348" s="36"/>
      <c r="P4348" s="36"/>
      <c r="Q4348" s="36"/>
      <c r="R4348" s="36"/>
      <c r="S4348" s="36"/>
      <c r="T4348" s="36"/>
      <c r="U4348" s="36"/>
      <c r="V4348" s="36"/>
      <c r="W4348" s="15">
        <f t="shared" si="474"/>
        <v>0</v>
      </c>
      <c r="X4348" s="36"/>
      <c r="Y4348" s="36"/>
      <c r="Z4348" s="36"/>
      <c r="AA4348" s="36">
        <v>200</v>
      </c>
      <c r="AB4348" s="36">
        <v>200</v>
      </c>
      <c r="AC4348" s="36"/>
      <c r="AD4348" s="36"/>
      <c r="AE4348" s="36"/>
      <c r="AF4348" s="36"/>
      <c r="AG4348" s="36"/>
      <c r="AH4348" s="36"/>
      <c r="AI4348" s="36"/>
      <c r="AJ4348" s="15">
        <f t="shared" si="475"/>
        <v>400</v>
      </c>
      <c r="AK4348" s="14"/>
      <c r="AL4348" s="14"/>
      <c r="AM4348" s="14"/>
      <c r="AN4348" s="14"/>
      <c r="AO4348" s="14"/>
      <c r="AP4348" s="14"/>
      <c r="AQ4348" s="14"/>
      <c r="AR4348" s="14"/>
      <c r="AS4348" s="14"/>
      <c r="AT4348" s="14"/>
      <c r="AU4348" s="14"/>
      <c r="AV4348" s="14"/>
      <c r="AW4348" s="15"/>
      <c r="AX4348" s="16"/>
    </row>
    <row r="4349" spans="2:50" x14ac:dyDescent="0.2">
      <c r="B4349" s="7"/>
      <c r="C4349" s="8">
        <v>14629</v>
      </c>
      <c r="D4349" s="9" t="s">
        <v>159</v>
      </c>
      <c r="E4349" s="10" t="str">
        <f t="shared" si="471"/>
        <v>Rancho Zinamba No. 24</v>
      </c>
      <c r="F4349" s="10" t="str">
        <f t="shared" si="472"/>
        <v>Monroy García</v>
      </c>
      <c r="G4349" s="8">
        <v>1</v>
      </c>
      <c r="H4349" s="11">
        <v>400</v>
      </c>
      <c r="I4349" s="12">
        <v>42911</v>
      </c>
      <c r="J4349" s="35">
        <f t="shared" si="473"/>
        <v>0</v>
      </c>
      <c r="K4349" s="36"/>
      <c r="L4349" s="36"/>
      <c r="M4349" s="36"/>
      <c r="N4349" s="36"/>
      <c r="O4349" s="36"/>
      <c r="P4349" s="36"/>
      <c r="Q4349" s="36"/>
      <c r="R4349" s="36"/>
      <c r="S4349" s="36"/>
      <c r="T4349" s="36"/>
      <c r="U4349" s="36"/>
      <c r="V4349" s="36"/>
      <c r="W4349" s="15">
        <f t="shared" si="474"/>
        <v>0</v>
      </c>
      <c r="X4349" s="36"/>
      <c r="Y4349" s="36"/>
      <c r="Z4349" s="36"/>
      <c r="AA4349" s="36"/>
      <c r="AB4349" s="36"/>
      <c r="AC4349" s="36">
        <v>400</v>
      </c>
      <c r="AD4349" s="36"/>
      <c r="AE4349" s="36"/>
      <c r="AF4349" s="36"/>
      <c r="AG4349" s="36"/>
      <c r="AH4349" s="36"/>
      <c r="AI4349" s="36"/>
      <c r="AJ4349" s="15">
        <f t="shared" si="475"/>
        <v>400</v>
      </c>
      <c r="AK4349" s="14"/>
      <c r="AL4349" s="14"/>
      <c r="AM4349" s="14"/>
      <c r="AN4349" s="14"/>
      <c r="AO4349" s="14"/>
      <c r="AP4349" s="14"/>
      <c r="AQ4349" s="14"/>
      <c r="AR4349" s="14"/>
      <c r="AS4349" s="14"/>
      <c r="AT4349" s="14"/>
      <c r="AU4349" s="14"/>
      <c r="AV4349" s="14"/>
      <c r="AW4349" s="15"/>
      <c r="AX4349" s="16"/>
    </row>
    <row r="4350" spans="2:50" x14ac:dyDescent="0.2">
      <c r="B4350" s="7"/>
      <c r="C4350" s="8">
        <v>14630</v>
      </c>
      <c r="D4350" s="9" t="s">
        <v>361</v>
      </c>
      <c r="E4350" s="10" t="str">
        <f t="shared" si="471"/>
        <v>Rancho Upácuaro No. 101</v>
      </c>
      <c r="F4350" s="10" t="str">
        <f t="shared" si="472"/>
        <v>Chávez, Arturo</v>
      </c>
      <c r="G4350" s="8">
        <v>1</v>
      </c>
      <c r="H4350" s="11">
        <v>400</v>
      </c>
      <c r="I4350" s="12">
        <v>42911</v>
      </c>
      <c r="J4350" s="35">
        <f t="shared" si="473"/>
        <v>0</v>
      </c>
      <c r="K4350" s="36"/>
      <c r="L4350" s="36"/>
      <c r="M4350" s="36"/>
      <c r="N4350" s="36"/>
      <c r="O4350" s="36"/>
      <c r="P4350" s="36"/>
      <c r="Q4350" s="36"/>
      <c r="R4350" s="36"/>
      <c r="S4350" s="36"/>
      <c r="T4350" s="36"/>
      <c r="U4350" s="36"/>
      <c r="V4350" s="36"/>
      <c r="W4350" s="15">
        <f t="shared" si="474"/>
        <v>0</v>
      </c>
      <c r="X4350" s="36"/>
      <c r="Y4350" s="36"/>
      <c r="Z4350" s="36"/>
      <c r="AA4350" s="36"/>
      <c r="AB4350" s="36"/>
      <c r="AC4350" s="36">
        <v>400</v>
      </c>
      <c r="AD4350" s="36"/>
      <c r="AE4350" s="36"/>
      <c r="AF4350" s="36"/>
      <c r="AG4350" s="36"/>
      <c r="AH4350" s="36"/>
      <c r="AI4350" s="36"/>
      <c r="AJ4350" s="15">
        <f t="shared" si="475"/>
        <v>400</v>
      </c>
      <c r="AK4350" s="14"/>
      <c r="AL4350" s="14"/>
      <c r="AM4350" s="14"/>
      <c r="AN4350" s="14"/>
      <c r="AO4350" s="14"/>
      <c r="AP4350" s="14"/>
      <c r="AQ4350" s="14"/>
      <c r="AR4350" s="14"/>
      <c r="AS4350" s="14"/>
      <c r="AT4350" s="14"/>
      <c r="AU4350" s="14"/>
      <c r="AV4350" s="14"/>
      <c r="AW4350" s="15"/>
      <c r="AX4350" s="16"/>
    </row>
    <row r="4351" spans="2:50" x14ac:dyDescent="0.2">
      <c r="B4351" s="7"/>
      <c r="C4351" s="8">
        <v>14630</v>
      </c>
      <c r="D4351" s="9" t="s">
        <v>361</v>
      </c>
      <c r="E4351" s="10" t="str">
        <f t="shared" si="471"/>
        <v>Rancho Upácuaro No. 101</v>
      </c>
      <c r="F4351" s="10" t="str">
        <f t="shared" si="472"/>
        <v>Chávez, Arturo</v>
      </c>
      <c r="G4351" s="8">
        <v>3</v>
      </c>
      <c r="H4351" s="11">
        <v>200</v>
      </c>
      <c r="I4351" s="12">
        <v>42911</v>
      </c>
      <c r="J4351" s="35">
        <f t="shared" si="473"/>
        <v>0</v>
      </c>
      <c r="K4351" s="36"/>
      <c r="L4351" s="36"/>
      <c r="M4351" s="36"/>
      <c r="N4351" s="36"/>
      <c r="O4351" s="36"/>
      <c r="P4351" s="36"/>
      <c r="Q4351" s="36"/>
      <c r="R4351" s="36"/>
      <c r="S4351" s="36"/>
      <c r="T4351" s="36"/>
      <c r="U4351" s="36"/>
      <c r="V4351" s="36"/>
      <c r="W4351" s="15">
        <f t="shared" si="474"/>
        <v>0</v>
      </c>
      <c r="X4351" s="36"/>
      <c r="Y4351" s="36"/>
      <c r="Z4351" s="36"/>
      <c r="AA4351" s="36"/>
      <c r="AB4351" s="36"/>
      <c r="AC4351" s="36"/>
      <c r="AD4351" s="36"/>
      <c r="AE4351" s="36"/>
      <c r="AF4351" s="36"/>
      <c r="AG4351" s="36"/>
      <c r="AH4351" s="36"/>
      <c r="AI4351" s="36"/>
      <c r="AJ4351" s="15">
        <f t="shared" si="475"/>
        <v>0</v>
      </c>
      <c r="AK4351" s="14"/>
      <c r="AL4351" s="14"/>
      <c r="AM4351" s="14"/>
      <c r="AN4351" s="14"/>
      <c r="AO4351" s="14"/>
      <c r="AP4351" s="14"/>
      <c r="AQ4351" s="14"/>
      <c r="AR4351" s="14"/>
      <c r="AS4351" s="14"/>
      <c r="AT4351" s="14"/>
      <c r="AU4351" s="14"/>
      <c r="AV4351" s="14"/>
      <c r="AW4351" s="15"/>
      <c r="AX4351" s="16"/>
    </row>
    <row r="4352" spans="2:50" x14ac:dyDescent="0.2">
      <c r="B4352" s="7"/>
      <c r="C4352" s="8">
        <v>14631</v>
      </c>
      <c r="D4352" s="9" t="s">
        <v>602</v>
      </c>
      <c r="E4352" s="10" t="str">
        <f t="shared" ref="E4352:E4377" si="481">IF(D4352=0,"",VLOOKUP(D4352,BASE,2,FALSE))</f>
        <v>Rancho Upácuaro No. 30</v>
      </c>
      <c r="F4352" s="10" t="str">
        <f t="shared" ref="F4352:F4377" si="482">IF(D4352=0,"",VLOOKUP(D4352,BASE,3,FALSE))</f>
        <v>Dorantes</v>
      </c>
      <c r="G4352" s="8">
        <v>1</v>
      </c>
      <c r="H4352" s="11">
        <v>400</v>
      </c>
      <c r="I4352" s="12">
        <v>42911</v>
      </c>
      <c r="J4352" s="35">
        <f t="shared" ref="J4352:J4377" si="483">IF(G4352=1,SUM(W4352,AJ4352,-H4352),0)</f>
        <v>0</v>
      </c>
      <c r="K4352" s="36"/>
      <c r="L4352" s="36"/>
      <c r="M4352" s="36"/>
      <c r="N4352" s="36"/>
      <c r="O4352" s="36"/>
      <c r="P4352" s="36"/>
      <c r="Q4352" s="36"/>
      <c r="R4352" s="36"/>
      <c r="S4352" s="36"/>
      <c r="T4352" s="36"/>
      <c r="U4352" s="36"/>
      <c r="V4352" s="36"/>
      <c r="W4352" s="15">
        <f t="shared" ref="W4352:W4377" si="484">SUM(K4352:V4352)</f>
        <v>0</v>
      </c>
      <c r="X4352" s="36"/>
      <c r="Y4352" s="36"/>
      <c r="Z4352" s="36"/>
      <c r="AA4352" s="36"/>
      <c r="AB4352" s="36">
        <v>200</v>
      </c>
      <c r="AC4352" s="36">
        <v>200</v>
      </c>
      <c r="AD4352" s="36"/>
      <c r="AE4352" s="36"/>
      <c r="AF4352" s="36"/>
      <c r="AG4352" s="36"/>
      <c r="AH4352" s="36"/>
      <c r="AI4352" s="36"/>
      <c r="AJ4352" s="15">
        <f t="shared" ref="AJ4352:AJ4377" si="485">SUM(X4352:AI4352)</f>
        <v>400</v>
      </c>
      <c r="AK4352" s="14"/>
      <c r="AL4352" s="14"/>
      <c r="AM4352" s="14"/>
      <c r="AN4352" s="14"/>
      <c r="AO4352" s="14"/>
      <c r="AP4352" s="14"/>
      <c r="AQ4352" s="14"/>
      <c r="AR4352" s="14"/>
      <c r="AS4352" s="14"/>
      <c r="AT4352" s="14"/>
      <c r="AU4352" s="14"/>
      <c r="AV4352" s="14"/>
      <c r="AW4352" s="15"/>
      <c r="AX4352" s="16"/>
    </row>
    <row r="4353" spans="2:50" x14ac:dyDescent="0.2">
      <c r="B4353" s="7"/>
      <c r="C4353" s="8">
        <v>14632</v>
      </c>
      <c r="D4353" s="9" t="s">
        <v>574</v>
      </c>
      <c r="E4353" s="10" t="str">
        <f t="shared" si="481"/>
        <v xml:space="preserve">Rancho Upácuaro No. 94 </v>
      </c>
      <c r="F4353" s="10" t="str">
        <f t="shared" si="482"/>
        <v>Juárez Patiño</v>
      </c>
      <c r="G4353" s="8">
        <v>1</v>
      </c>
      <c r="H4353" s="11">
        <v>300</v>
      </c>
      <c r="I4353" s="12">
        <v>42911</v>
      </c>
      <c r="J4353" s="35">
        <f t="shared" si="483"/>
        <v>0</v>
      </c>
      <c r="K4353" s="36"/>
      <c r="L4353" s="36"/>
      <c r="M4353" s="36"/>
      <c r="N4353" s="36"/>
      <c r="O4353" s="36"/>
      <c r="P4353" s="36"/>
      <c r="Q4353" s="36"/>
      <c r="R4353" s="36"/>
      <c r="S4353" s="36"/>
      <c r="T4353" s="36"/>
      <c r="U4353" s="36"/>
      <c r="V4353" s="36"/>
      <c r="W4353" s="15">
        <f t="shared" si="484"/>
        <v>0</v>
      </c>
      <c r="X4353" s="36"/>
      <c r="Y4353" s="36"/>
      <c r="Z4353" s="36"/>
      <c r="AA4353" s="36"/>
      <c r="AB4353" s="36"/>
      <c r="AC4353" s="36">
        <v>300</v>
      </c>
      <c r="AD4353" s="36"/>
      <c r="AE4353" s="36"/>
      <c r="AF4353" s="36"/>
      <c r="AG4353" s="36"/>
      <c r="AH4353" s="36"/>
      <c r="AI4353" s="36"/>
      <c r="AJ4353" s="15">
        <f t="shared" si="485"/>
        <v>300</v>
      </c>
      <c r="AK4353" s="14"/>
      <c r="AL4353" s="14"/>
      <c r="AM4353" s="14"/>
      <c r="AN4353" s="14"/>
      <c r="AO4353" s="14"/>
      <c r="AP4353" s="14"/>
      <c r="AQ4353" s="14"/>
      <c r="AR4353" s="14"/>
      <c r="AS4353" s="14"/>
      <c r="AT4353" s="14"/>
      <c r="AU4353" s="14"/>
      <c r="AV4353" s="14"/>
      <c r="AW4353" s="15"/>
      <c r="AX4353" s="16"/>
    </row>
    <row r="4354" spans="2:50" x14ac:dyDescent="0.2">
      <c r="B4354" s="7"/>
      <c r="C4354" s="8">
        <v>14633</v>
      </c>
      <c r="D4354" s="9" t="s">
        <v>831</v>
      </c>
      <c r="E4354" s="10" t="str">
        <f t="shared" si="481"/>
        <v>Rancho Upácuaro No. 80</v>
      </c>
      <c r="F4354" s="10" t="str">
        <f t="shared" si="482"/>
        <v>De los Ríos</v>
      </c>
      <c r="G4354" s="8">
        <v>1</v>
      </c>
      <c r="H4354" s="11">
        <v>800</v>
      </c>
      <c r="I4354" s="12">
        <v>42911</v>
      </c>
      <c r="J4354" s="35">
        <f t="shared" si="483"/>
        <v>0</v>
      </c>
      <c r="K4354" s="36"/>
      <c r="L4354" s="36"/>
      <c r="M4354" s="36"/>
      <c r="N4354" s="36"/>
      <c r="O4354" s="36"/>
      <c r="P4354" s="36"/>
      <c r="Q4354" s="36"/>
      <c r="R4354" s="36"/>
      <c r="S4354" s="36"/>
      <c r="T4354" s="36"/>
      <c r="U4354" s="36"/>
      <c r="V4354" s="36"/>
      <c r="W4354" s="15">
        <f t="shared" si="484"/>
        <v>0</v>
      </c>
      <c r="X4354" s="36"/>
      <c r="Y4354" s="36"/>
      <c r="Z4354" s="36"/>
      <c r="AA4354" s="36"/>
      <c r="AB4354" s="36"/>
      <c r="AC4354" s="36">
        <v>400</v>
      </c>
      <c r="AD4354" s="36">
        <v>400</v>
      </c>
      <c r="AE4354" s="36"/>
      <c r="AF4354" s="36"/>
      <c r="AG4354" s="36"/>
      <c r="AH4354" s="36"/>
      <c r="AI4354" s="36"/>
      <c r="AJ4354" s="15">
        <f t="shared" si="485"/>
        <v>800</v>
      </c>
      <c r="AK4354" s="14"/>
      <c r="AL4354" s="14"/>
      <c r="AM4354" s="14"/>
      <c r="AN4354" s="14"/>
      <c r="AO4354" s="14"/>
      <c r="AP4354" s="14"/>
      <c r="AQ4354" s="14"/>
      <c r="AR4354" s="14"/>
      <c r="AS4354" s="14"/>
      <c r="AT4354" s="14"/>
      <c r="AU4354" s="14"/>
      <c r="AV4354" s="14"/>
      <c r="AW4354" s="15"/>
      <c r="AX4354" s="16"/>
    </row>
    <row r="4355" spans="2:50" x14ac:dyDescent="0.2">
      <c r="B4355" s="7"/>
      <c r="C4355" s="8">
        <v>14634</v>
      </c>
      <c r="D4355" s="9" t="s">
        <v>696</v>
      </c>
      <c r="E4355" s="10" t="str">
        <f t="shared" si="481"/>
        <v>Rancho Upácuaro No. 64</v>
      </c>
      <c r="F4355" s="10" t="str">
        <f t="shared" si="482"/>
        <v>Méndez Oliva</v>
      </c>
      <c r="G4355" s="8">
        <v>4</v>
      </c>
      <c r="H4355" s="11">
        <v>200</v>
      </c>
      <c r="I4355" s="12">
        <v>42911</v>
      </c>
      <c r="J4355" s="35">
        <f t="shared" si="483"/>
        <v>0</v>
      </c>
      <c r="K4355" s="36"/>
      <c r="L4355" s="36"/>
      <c r="M4355" s="36"/>
      <c r="N4355" s="36"/>
      <c r="O4355" s="36"/>
      <c r="P4355" s="36"/>
      <c r="Q4355" s="36"/>
      <c r="R4355" s="36"/>
      <c r="S4355" s="36"/>
      <c r="T4355" s="36"/>
      <c r="U4355" s="36"/>
      <c r="V4355" s="36"/>
      <c r="W4355" s="15">
        <f t="shared" si="484"/>
        <v>0</v>
      </c>
      <c r="X4355" s="36"/>
      <c r="Y4355" s="36"/>
      <c r="Z4355" s="36"/>
      <c r="AA4355" s="36"/>
      <c r="AB4355" s="36"/>
      <c r="AC4355" s="36"/>
      <c r="AD4355" s="36"/>
      <c r="AE4355" s="36"/>
      <c r="AF4355" s="36"/>
      <c r="AG4355" s="36"/>
      <c r="AH4355" s="36"/>
      <c r="AI4355" s="36"/>
      <c r="AJ4355" s="15">
        <f t="shared" si="485"/>
        <v>0</v>
      </c>
      <c r="AK4355" s="14"/>
      <c r="AL4355" s="14"/>
      <c r="AM4355" s="14"/>
      <c r="AN4355" s="14"/>
      <c r="AO4355" s="14"/>
      <c r="AP4355" s="14"/>
      <c r="AQ4355" s="14"/>
      <c r="AR4355" s="14"/>
      <c r="AS4355" s="14"/>
      <c r="AT4355" s="14"/>
      <c r="AU4355" s="14"/>
      <c r="AV4355" s="14"/>
      <c r="AW4355" s="15"/>
      <c r="AX4355" s="16" t="s">
        <v>4191</v>
      </c>
    </row>
    <row r="4356" spans="2:50" x14ac:dyDescent="0.2">
      <c r="B4356" s="7"/>
      <c r="C4356" s="8">
        <v>14635</v>
      </c>
      <c r="D4356" s="9" t="s">
        <v>1203</v>
      </c>
      <c r="E4356" s="10" t="str">
        <f t="shared" si="481"/>
        <v>Rancho Landero No. 92</v>
      </c>
      <c r="F4356" s="10" t="str">
        <f t="shared" si="482"/>
        <v>Ruiz Velasco</v>
      </c>
      <c r="G4356" s="8">
        <v>1</v>
      </c>
      <c r="H4356" s="11">
        <v>600</v>
      </c>
      <c r="I4356" s="12">
        <v>42911</v>
      </c>
      <c r="J4356" s="35">
        <f t="shared" si="483"/>
        <v>0</v>
      </c>
      <c r="K4356" s="36"/>
      <c r="L4356" s="36"/>
      <c r="M4356" s="36"/>
      <c r="N4356" s="36"/>
      <c r="O4356" s="36"/>
      <c r="P4356" s="36"/>
      <c r="Q4356" s="36"/>
      <c r="R4356" s="36"/>
      <c r="S4356" s="36"/>
      <c r="T4356" s="36"/>
      <c r="U4356" s="36"/>
      <c r="V4356" s="36"/>
      <c r="W4356" s="15">
        <f t="shared" si="484"/>
        <v>0</v>
      </c>
      <c r="X4356" s="36"/>
      <c r="Y4356" s="36"/>
      <c r="Z4356" s="36"/>
      <c r="AA4356" s="36"/>
      <c r="AB4356" s="36">
        <v>300</v>
      </c>
      <c r="AC4356" s="36">
        <v>300</v>
      </c>
      <c r="AD4356" s="36"/>
      <c r="AE4356" s="36"/>
      <c r="AF4356" s="36"/>
      <c r="AG4356" s="36"/>
      <c r="AH4356" s="36"/>
      <c r="AI4356" s="36"/>
      <c r="AJ4356" s="15">
        <f t="shared" si="485"/>
        <v>600</v>
      </c>
      <c r="AK4356" s="14"/>
      <c r="AL4356" s="14"/>
      <c r="AM4356" s="14"/>
      <c r="AN4356" s="14"/>
      <c r="AO4356" s="14"/>
      <c r="AP4356" s="14"/>
      <c r="AQ4356" s="14"/>
      <c r="AR4356" s="14"/>
      <c r="AS4356" s="14"/>
      <c r="AT4356" s="14"/>
      <c r="AU4356" s="14"/>
      <c r="AV4356" s="14"/>
      <c r="AW4356" s="15"/>
      <c r="AX4356" s="16"/>
    </row>
    <row r="4357" spans="2:50" x14ac:dyDescent="0.2">
      <c r="B4357" s="7"/>
      <c r="C4357" s="8">
        <v>14636</v>
      </c>
      <c r="D4357" s="9" t="s">
        <v>965</v>
      </c>
      <c r="E4357" s="10" t="str">
        <f t="shared" si="481"/>
        <v>Rancho La Cuchilla No. 52</v>
      </c>
      <c r="F4357" s="10" t="str">
        <f t="shared" si="482"/>
        <v>Velázquez</v>
      </c>
      <c r="G4357" s="8">
        <v>1</v>
      </c>
      <c r="H4357" s="11">
        <v>400</v>
      </c>
      <c r="I4357" s="12">
        <v>42911</v>
      </c>
      <c r="J4357" s="35">
        <f t="shared" si="483"/>
        <v>0</v>
      </c>
      <c r="K4357" s="36"/>
      <c r="L4357" s="36"/>
      <c r="M4357" s="36"/>
      <c r="N4357" s="36"/>
      <c r="O4357" s="36"/>
      <c r="P4357" s="36"/>
      <c r="Q4357" s="36"/>
      <c r="R4357" s="36"/>
      <c r="S4357" s="36"/>
      <c r="T4357" s="36"/>
      <c r="U4357" s="36"/>
      <c r="V4357" s="36"/>
      <c r="W4357" s="15">
        <f t="shared" si="484"/>
        <v>0</v>
      </c>
      <c r="X4357" s="36"/>
      <c r="Y4357" s="36"/>
      <c r="Z4357" s="36"/>
      <c r="AA4357" s="36"/>
      <c r="AB4357" s="36">
        <v>400</v>
      </c>
      <c r="AC4357" s="36"/>
      <c r="AD4357" s="36"/>
      <c r="AE4357" s="36"/>
      <c r="AF4357" s="36"/>
      <c r="AG4357" s="36"/>
      <c r="AH4357" s="36"/>
      <c r="AI4357" s="36"/>
      <c r="AJ4357" s="15">
        <f t="shared" si="485"/>
        <v>400</v>
      </c>
      <c r="AK4357" s="14"/>
      <c r="AL4357" s="14"/>
      <c r="AM4357" s="14"/>
      <c r="AN4357" s="14"/>
      <c r="AO4357" s="14"/>
      <c r="AP4357" s="14"/>
      <c r="AQ4357" s="14"/>
      <c r="AR4357" s="14"/>
      <c r="AS4357" s="14"/>
      <c r="AT4357" s="14"/>
      <c r="AU4357" s="14"/>
      <c r="AV4357" s="14"/>
      <c r="AW4357" s="15"/>
      <c r="AX4357" s="16"/>
    </row>
    <row r="4358" spans="2:50" x14ac:dyDescent="0.2">
      <c r="B4358" s="7"/>
      <c r="C4358" s="8">
        <v>14637</v>
      </c>
      <c r="D4358" s="9" t="s">
        <v>404</v>
      </c>
      <c r="E4358" s="10" t="str">
        <f t="shared" si="481"/>
        <v>Rancho La Cuchilla No. 89</v>
      </c>
      <c r="F4358" s="10" t="str">
        <f t="shared" si="482"/>
        <v>Gálvez</v>
      </c>
      <c r="G4358" s="8">
        <v>1</v>
      </c>
      <c r="H4358" s="11">
        <v>400</v>
      </c>
      <c r="I4358" s="12">
        <v>42911</v>
      </c>
      <c r="J4358" s="35">
        <f t="shared" si="483"/>
        <v>0</v>
      </c>
      <c r="K4358" s="36"/>
      <c r="L4358" s="36"/>
      <c r="M4358" s="36"/>
      <c r="N4358" s="36"/>
      <c r="O4358" s="36"/>
      <c r="P4358" s="36"/>
      <c r="Q4358" s="36"/>
      <c r="R4358" s="36"/>
      <c r="S4358" s="36"/>
      <c r="T4358" s="36"/>
      <c r="U4358" s="36"/>
      <c r="V4358" s="36"/>
      <c r="W4358" s="15">
        <f t="shared" si="484"/>
        <v>0</v>
      </c>
      <c r="X4358" s="36"/>
      <c r="Y4358" s="36"/>
      <c r="Z4358" s="36"/>
      <c r="AA4358" s="36"/>
      <c r="AB4358" s="36"/>
      <c r="AC4358" s="36">
        <v>400</v>
      </c>
      <c r="AD4358" s="36"/>
      <c r="AE4358" s="36"/>
      <c r="AF4358" s="36"/>
      <c r="AG4358" s="36"/>
      <c r="AH4358" s="36"/>
      <c r="AI4358" s="36"/>
      <c r="AJ4358" s="15">
        <f t="shared" si="485"/>
        <v>400</v>
      </c>
      <c r="AK4358" s="14"/>
      <c r="AL4358" s="14"/>
      <c r="AM4358" s="14"/>
      <c r="AN4358" s="14"/>
      <c r="AO4358" s="14"/>
      <c r="AP4358" s="14"/>
      <c r="AQ4358" s="14"/>
      <c r="AR4358" s="14"/>
      <c r="AS4358" s="14"/>
      <c r="AT4358" s="14"/>
      <c r="AU4358" s="14"/>
      <c r="AV4358" s="14"/>
      <c r="AW4358" s="15"/>
      <c r="AX4358" s="16"/>
    </row>
    <row r="4359" spans="2:50" x14ac:dyDescent="0.2">
      <c r="B4359" s="7"/>
      <c r="C4359" s="8">
        <v>14638</v>
      </c>
      <c r="D4359" s="9" t="s">
        <v>899</v>
      </c>
      <c r="E4359" s="10" t="str">
        <f t="shared" si="481"/>
        <v>Rancho Landero No. 8</v>
      </c>
      <c r="F4359" s="10" t="str">
        <f t="shared" si="482"/>
        <v>Garces Suarez</v>
      </c>
      <c r="G4359" s="8">
        <v>1</v>
      </c>
      <c r="H4359" s="11">
        <v>400</v>
      </c>
      <c r="I4359" s="12">
        <v>42911</v>
      </c>
      <c r="J4359" s="35">
        <f t="shared" si="483"/>
        <v>0</v>
      </c>
      <c r="K4359" s="36"/>
      <c r="L4359" s="36"/>
      <c r="M4359" s="36"/>
      <c r="N4359" s="36"/>
      <c r="O4359" s="36"/>
      <c r="P4359" s="36"/>
      <c r="Q4359" s="36"/>
      <c r="R4359" s="36"/>
      <c r="S4359" s="36"/>
      <c r="T4359" s="36"/>
      <c r="U4359" s="36"/>
      <c r="V4359" s="36"/>
      <c r="W4359" s="15">
        <f t="shared" si="484"/>
        <v>0</v>
      </c>
      <c r="X4359" s="36"/>
      <c r="Y4359" s="36"/>
      <c r="Z4359" s="36"/>
      <c r="AA4359" s="36"/>
      <c r="AB4359" s="36"/>
      <c r="AC4359" s="36">
        <v>400</v>
      </c>
      <c r="AD4359" s="36"/>
      <c r="AE4359" s="36"/>
      <c r="AF4359" s="36"/>
      <c r="AG4359" s="36"/>
      <c r="AH4359" s="36"/>
      <c r="AI4359" s="36"/>
      <c r="AJ4359" s="15">
        <f t="shared" si="485"/>
        <v>400</v>
      </c>
      <c r="AK4359" s="14"/>
      <c r="AL4359" s="14"/>
      <c r="AM4359" s="14"/>
      <c r="AN4359" s="14"/>
      <c r="AO4359" s="14"/>
      <c r="AP4359" s="14"/>
      <c r="AQ4359" s="14"/>
      <c r="AR4359" s="14"/>
      <c r="AS4359" s="14"/>
      <c r="AT4359" s="14"/>
      <c r="AU4359" s="14"/>
      <c r="AV4359" s="14"/>
      <c r="AW4359" s="15"/>
      <c r="AX4359" s="16"/>
    </row>
    <row r="4360" spans="2:50" x14ac:dyDescent="0.2">
      <c r="B4360" s="7"/>
      <c r="C4360" s="8">
        <v>14639</v>
      </c>
      <c r="D4360" s="9" t="s">
        <v>763</v>
      </c>
      <c r="E4360" s="10" t="str">
        <f t="shared" si="481"/>
        <v>Rancho Estanzuela No. 79</v>
      </c>
      <c r="F4360" s="10" t="str">
        <f t="shared" si="482"/>
        <v>Mendoza</v>
      </c>
      <c r="G4360" s="8">
        <v>1</v>
      </c>
      <c r="H4360" s="11">
        <v>800</v>
      </c>
      <c r="I4360" s="12">
        <v>42911</v>
      </c>
      <c r="J4360" s="35">
        <f t="shared" si="483"/>
        <v>0</v>
      </c>
      <c r="K4360" s="36"/>
      <c r="L4360" s="36"/>
      <c r="M4360" s="36"/>
      <c r="N4360" s="36"/>
      <c r="O4360" s="36"/>
      <c r="P4360" s="36"/>
      <c r="Q4360" s="36"/>
      <c r="R4360" s="36"/>
      <c r="S4360" s="36"/>
      <c r="T4360" s="36"/>
      <c r="U4360" s="36"/>
      <c r="V4360" s="36"/>
      <c r="W4360" s="15">
        <f t="shared" si="484"/>
        <v>0</v>
      </c>
      <c r="X4360" s="36"/>
      <c r="Y4360" s="36"/>
      <c r="Z4360" s="36"/>
      <c r="AA4360" s="36">
        <v>400</v>
      </c>
      <c r="AB4360" s="36">
        <v>400</v>
      </c>
      <c r="AC4360" s="36"/>
      <c r="AD4360" s="36"/>
      <c r="AE4360" s="36"/>
      <c r="AF4360" s="36"/>
      <c r="AG4360" s="36"/>
      <c r="AH4360" s="36"/>
      <c r="AI4360" s="36"/>
      <c r="AJ4360" s="15">
        <f t="shared" si="485"/>
        <v>800</v>
      </c>
      <c r="AK4360" s="14"/>
      <c r="AL4360" s="14"/>
      <c r="AM4360" s="14"/>
      <c r="AN4360" s="14"/>
      <c r="AO4360" s="14"/>
      <c r="AP4360" s="14"/>
      <c r="AQ4360" s="14"/>
      <c r="AR4360" s="14"/>
      <c r="AS4360" s="14"/>
      <c r="AT4360" s="14"/>
      <c r="AU4360" s="14"/>
      <c r="AV4360" s="14"/>
      <c r="AW4360" s="15"/>
      <c r="AX4360" s="16"/>
    </row>
    <row r="4361" spans="2:50" x14ac:dyDescent="0.2">
      <c r="B4361" s="7"/>
      <c r="C4361" s="8">
        <v>14640</v>
      </c>
      <c r="D4361" s="9" t="s">
        <v>277</v>
      </c>
      <c r="E4361" s="10" t="str">
        <f t="shared" si="481"/>
        <v>Rancho Estanzuela No. 7, A</v>
      </c>
      <c r="F4361" s="10" t="str">
        <f t="shared" si="482"/>
        <v>Herrera Izquierdo</v>
      </c>
      <c r="G4361" s="8">
        <v>1</v>
      </c>
      <c r="H4361" s="11">
        <v>200</v>
      </c>
      <c r="I4361" s="12">
        <v>42911</v>
      </c>
      <c r="J4361" s="35">
        <f t="shared" si="483"/>
        <v>0</v>
      </c>
      <c r="K4361" s="36"/>
      <c r="L4361" s="36"/>
      <c r="M4361" s="36"/>
      <c r="N4361" s="36"/>
      <c r="O4361" s="36"/>
      <c r="P4361" s="36"/>
      <c r="Q4361" s="36"/>
      <c r="R4361" s="36"/>
      <c r="S4361" s="36"/>
      <c r="T4361" s="36"/>
      <c r="U4361" s="36"/>
      <c r="V4361" s="36"/>
      <c r="W4361" s="15">
        <f t="shared" si="484"/>
        <v>0</v>
      </c>
      <c r="X4361" s="36"/>
      <c r="Y4361" s="36"/>
      <c r="Z4361" s="36"/>
      <c r="AA4361" s="36"/>
      <c r="AB4361" s="36"/>
      <c r="AC4361" s="36">
        <v>200</v>
      </c>
      <c r="AD4361" s="36"/>
      <c r="AE4361" s="36"/>
      <c r="AF4361" s="36"/>
      <c r="AG4361" s="36"/>
      <c r="AH4361" s="36"/>
      <c r="AI4361" s="36"/>
      <c r="AJ4361" s="15">
        <f t="shared" si="485"/>
        <v>200</v>
      </c>
      <c r="AK4361" s="14"/>
      <c r="AL4361" s="14"/>
      <c r="AM4361" s="14"/>
      <c r="AN4361" s="14"/>
      <c r="AO4361" s="14"/>
      <c r="AP4361" s="14"/>
      <c r="AQ4361" s="14"/>
      <c r="AR4361" s="14"/>
      <c r="AS4361" s="14"/>
      <c r="AT4361" s="14"/>
      <c r="AU4361" s="14"/>
      <c r="AV4361" s="14"/>
      <c r="AW4361" s="15"/>
      <c r="AX4361" s="16"/>
    </row>
    <row r="4362" spans="2:50" x14ac:dyDescent="0.2">
      <c r="B4362" s="7"/>
      <c r="C4362" s="8">
        <v>14641</v>
      </c>
      <c r="D4362" s="9" t="s">
        <v>547</v>
      </c>
      <c r="E4362" s="10" t="str">
        <f t="shared" si="481"/>
        <v>Rancho Zinamba No. 72</v>
      </c>
      <c r="F4362" s="10" t="str">
        <f t="shared" si="482"/>
        <v>Romo de Vivar</v>
      </c>
      <c r="G4362" s="8">
        <v>1</v>
      </c>
      <c r="H4362" s="11">
        <v>200</v>
      </c>
      <c r="I4362" s="12">
        <v>42911</v>
      </c>
      <c r="J4362" s="35">
        <f t="shared" si="483"/>
        <v>0</v>
      </c>
      <c r="K4362" s="36"/>
      <c r="L4362" s="36"/>
      <c r="M4362" s="36"/>
      <c r="N4362" s="36"/>
      <c r="O4362" s="36"/>
      <c r="P4362" s="36"/>
      <c r="Q4362" s="36"/>
      <c r="R4362" s="36"/>
      <c r="S4362" s="36"/>
      <c r="T4362" s="36"/>
      <c r="U4362" s="36"/>
      <c r="V4362" s="36"/>
      <c r="W4362" s="15">
        <f t="shared" si="484"/>
        <v>0</v>
      </c>
      <c r="X4362" s="36"/>
      <c r="Y4362" s="36"/>
      <c r="Z4362" s="36"/>
      <c r="AA4362" s="36"/>
      <c r="AB4362" s="36">
        <v>200</v>
      </c>
      <c r="AC4362" s="36"/>
      <c r="AD4362" s="36"/>
      <c r="AE4362" s="36"/>
      <c r="AF4362" s="36"/>
      <c r="AG4362" s="36"/>
      <c r="AH4362" s="36"/>
      <c r="AI4362" s="36"/>
      <c r="AJ4362" s="15">
        <f t="shared" si="485"/>
        <v>200</v>
      </c>
      <c r="AK4362" s="14"/>
      <c r="AL4362" s="14"/>
      <c r="AM4362" s="14"/>
      <c r="AN4362" s="14"/>
      <c r="AO4362" s="14"/>
      <c r="AP4362" s="14"/>
      <c r="AQ4362" s="14"/>
      <c r="AR4362" s="14"/>
      <c r="AS4362" s="14"/>
      <c r="AT4362" s="14"/>
      <c r="AU4362" s="14"/>
      <c r="AV4362" s="14"/>
      <c r="AW4362" s="15"/>
      <c r="AX4362" s="16"/>
    </row>
    <row r="4363" spans="2:50" x14ac:dyDescent="0.2">
      <c r="B4363" s="7"/>
      <c r="C4363" s="8">
        <v>14641</v>
      </c>
      <c r="D4363" s="9" t="s">
        <v>547</v>
      </c>
      <c r="E4363" s="10" t="str">
        <f t="shared" si="481"/>
        <v>Rancho Zinamba No. 72</v>
      </c>
      <c r="F4363" s="10" t="str">
        <f t="shared" si="482"/>
        <v>Romo de Vivar</v>
      </c>
      <c r="G4363" s="8">
        <v>3</v>
      </c>
      <c r="H4363" s="11">
        <v>50</v>
      </c>
      <c r="I4363" s="12">
        <v>42911</v>
      </c>
      <c r="J4363" s="35">
        <f t="shared" si="483"/>
        <v>0</v>
      </c>
      <c r="K4363" s="36"/>
      <c r="L4363" s="36"/>
      <c r="M4363" s="36"/>
      <c r="N4363" s="36"/>
      <c r="O4363" s="36"/>
      <c r="P4363" s="36"/>
      <c r="Q4363" s="36"/>
      <c r="R4363" s="36"/>
      <c r="S4363" s="36"/>
      <c r="T4363" s="36"/>
      <c r="U4363" s="36"/>
      <c r="V4363" s="36"/>
      <c r="W4363" s="15">
        <f t="shared" si="484"/>
        <v>0</v>
      </c>
      <c r="X4363" s="36"/>
      <c r="Y4363" s="36"/>
      <c r="Z4363" s="36"/>
      <c r="AA4363" s="36"/>
      <c r="AB4363" s="36"/>
      <c r="AC4363" s="36"/>
      <c r="AD4363" s="36"/>
      <c r="AE4363" s="36"/>
      <c r="AF4363" s="36"/>
      <c r="AG4363" s="36"/>
      <c r="AH4363" s="36"/>
      <c r="AI4363" s="36"/>
      <c r="AJ4363" s="15">
        <f t="shared" si="485"/>
        <v>0</v>
      </c>
      <c r="AK4363" s="14"/>
      <c r="AL4363" s="14"/>
      <c r="AM4363" s="14"/>
      <c r="AN4363" s="14"/>
      <c r="AO4363" s="14"/>
      <c r="AP4363" s="14"/>
      <c r="AQ4363" s="14"/>
      <c r="AR4363" s="14"/>
      <c r="AS4363" s="14"/>
      <c r="AT4363" s="14"/>
      <c r="AU4363" s="14"/>
      <c r="AV4363" s="14"/>
      <c r="AW4363" s="15"/>
      <c r="AX4363" s="16"/>
    </row>
    <row r="4364" spans="2:50" x14ac:dyDescent="0.2">
      <c r="B4364" s="7"/>
      <c r="C4364" s="8">
        <v>14642</v>
      </c>
      <c r="D4364" s="9" t="s">
        <v>628</v>
      </c>
      <c r="E4364" s="10" t="str">
        <f t="shared" si="481"/>
        <v>Rancho Landero No. 51</v>
      </c>
      <c r="F4364" s="10" t="str">
        <f t="shared" si="482"/>
        <v>H. Robles Tamayo</v>
      </c>
      <c r="G4364" s="8">
        <v>1</v>
      </c>
      <c r="H4364" s="11">
        <v>400</v>
      </c>
      <c r="I4364" s="12">
        <v>42911</v>
      </c>
      <c r="J4364" s="35">
        <f t="shared" si="483"/>
        <v>0</v>
      </c>
      <c r="K4364" s="36"/>
      <c r="L4364" s="36"/>
      <c r="M4364" s="36"/>
      <c r="N4364" s="36"/>
      <c r="O4364" s="36"/>
      <c r="P4364" s="36"/>
      <c r="Q4364" s="36"/>
      <c r="R4364" s="36"/>
      <c r="S4364" s="36"/>
      <c r="T4364" s="36"/>
      <c r="U4364" s="36"/>
      <c r="V4364" s="36"/>
      <c r="W4364" s="15">
        <f t="shared" si="484"/>
        <v>0</v>
      </c>
      <c r="X4364" s="36"/>
      <c r="Y4364" s="36"/>
      <c r="Z4364" s="36"/>
      <c r="AA4364" s="36"/>
      <c r="AB4364" s="36"/>
      <c r="AC4364" s="36">
        <v>400</v>
      </c>
      <c r="AD4364" s="36"/>
      <c r="AE4364" s="36"/>
      <c r="AF4364" s="36"/>
      <c r="AG4364" s="36"/>
      <c r="AH4364" s="36"/>
      <c r="AI4364" s="36"/>
      <c r="AJ4364" s="15">
        <f t="shared" si="485"/>
        <v>400</v>
      </c>
      <c r="AK4364" s="14"/>
      <c r="AL4364" s="14"/>
      <c r="AM4364" s="14"/>
      <c r="AN4364" s="14"/>
      <c r="AO4364" s="14"/>
      <c r="AP4364" s="14"/>
      <c r="AQ4364" s="14"/>
      <c r="AR4364" s="14"/>
      <c r="AS4364" s="14"/>
      <c r="AT4364" s="14"/>
      <c r="AU4364" s="14"/>
      <c r="AV4364" s="14"/>
      <c r="AW4364" s="15"/>
      <c r="AX4364" s="16"/>
    </row>
    <row r="4365" spans="2:50" x14ac:dyDescent="0.2">
      <c r="B4365" s="7"/>
      <c r="C4365" s="8">
        <v>14643</v>
      </c>
      <c r="D4365" s="9" t="s">
        <v>1032</v>
      </c>
      <c r="E4365" s="10" t="str">
        <f t="shared" si="481"/>
        <v>Rancho Estanzuela No. 157, 1</v>
      </c>
      <c r="F4365" s="10" t="str">
        <f t="shared" si="482"/>
        <v>Anzures</v>
      </c>
      <c r="G4365" s="8">
        <v>1</v>
      </c>
      <c r="H4365" s="11">
        <v>900</v>
      </c>
      <c r="I4365" s="12">
        <v>42911</v>
      </c>
      <c r="J4365" s="35">
        <f t="shared" si="483"/>
        <v>0</v>
      </c>
      <c r="K4365" s="36"/>
      <c r="L4365" s="36"/>
      <c r="M4365" s="36"/>
      <c r="N4365" s="36"/>
      <c r="O4365" s="36"/>
      <c r="P4365" s="36"/>
      <c r="Q4365" s="36"/>
      <c r="R4365" s="36"/>
      <c r="S4365" s="36"/>
      <c r="T4365" s="36"/>
      <c r="U4365" s="36"/>
      <c r="V4365" s="36"/>
      <c r="W4365" s="15">
        <f t="shared" si="484"/>
        <v>0</v>
      </c>
      <c r="X4365" s="36">
        <v>150</v>
      </c>
      <c r="Y4365" s="36">
        <v>150</v>
      </c>
      <c r="Z4365" s="36">
        <v>150</v>
      </c>
      <c r="AA4365" s="36">
        <v>150</v>
      </c>
      <c r="AB4365" s="36">
        <v>150</v>
      </c>
      <c r="AC4365" s="36">
        <v>150</v>
      </c>
      <c r="AD4365" s="36"/>
      <c r="AE4365" s="36"/>
      <c r="AF4365" s="36"/>
      <c r="AG4365" s="36"/>
      <c r="AH4365" s="36"/>
      <c r="AI4365" s="36"/>
      <c r="AJ4365" s="15">
        <f t="shared" si="485"/>
        <v>900</v>
      </c>
      <c r="AK4365" s="14"/>
      <c r="AL4365" s="14"/>
      <c r="AM4365" s="14"/>
      <c r="AN4365" s="14"/>
      <c r="AO4365" s="14"/>
      <c r="AP4365" s="14"/>
      <c r="AQ4365" s="14"/>
      <c r="AR4365" s="14"/>
      <c r="AS4365" s="14"/>
      <c r="AT4365" s="14"/>
      <c r="AU4365" s="14"/>
      <c r="AV4365" s="14"/>
      <c r="AW4365" s="15"/>
      <c r="AX4365" s="16"/>
    </row>
    <row r="4366" spans="2:50" x14ac:dyDescent="0.2">
      <c r="B4366" s="7"/>
      <c r="C4366" s="8">
        <v>14643</v>
      </c>
      <c r="D4366" s="9" t="s">
        <v>926</v>
      </c>
      <c r="E4366" s="10" t="str">
        <f t="shared" si="481"/>
        <v>Rancho Estanzuela No. 157, 2</v>
      </c>
      <c r="F4366" s="10" t="str">
        <f t="shared" si="482"/>
        <v>Arias</v>
      </c>
      <c r="G4366" s="8">
        <v>1</v>
      </c>
      <c r="H4366" s="11">
        <v>900</v>
      </c>
      <c r="I4366" s="12">
        <v>42911</v>
      </c>
      <c r="J4366" s="35">
        <f t="shared" si="483"/>
        <v>0</v>
      </c>
      <c r="K4366" s="36"/>
      <c r="L4366" s="36"/>
      <c r="M4366" s="36"/>
      <c r="N4366" s="36"/>
      <c r="O4366" s="36"/>
      <c r="P4366" s="36"/>
      <c r="Q4366" s="36"/>
      <c r="R4366" s="36"/>
      <c r="S4366" s="36"/>
      <c r="T4366" s="36"/>
      <c r="U4366" s="36"/>
      <c r="V4366" s="36"/>
      <c r="W4366" s="15">
        <f t="shared" si="484"/>
        <v>0</v>
      </c>
      <c r="X4366" s="36">
        <v>150</v>
      </c>
      <c r="Y4366" s="36">
        <v>150</v>
      </c>
      <c r="Z4366" s="36">
        <v>150</v>
      </c>
      <c r="AA4366" s="36">
        <v>150</v>
      </c>
      <c r="AB4366" s="36">
        <v>150</v>
      </c>
      <c r="AC4366" s="36">
        <v>150</v>
      </c>
      <c r="AD4366" s="36"/>
      <c r="AE4366" s="36"/>
      <c r="AF4366" s="36"/>
      <c r="AG4366" s="36"/>
      <c r="AH4366" s="36"/>
      <c r="AI4366" s="36"/>
      <c r="AJ4366" s="15">
        <f t="shared" si="485"/>
        <v>900</v>
      </c>
      <c r="AK4366" s="14"/>
      <c r="AL4366" s="14"/>
      <c r="AM4366" s="14"/>
      <c r="AN4366" s="14"/>
      <c r="AO4366" s="14"/>
      <c r="AP4366" s="14"/>
      <c r="AQ4366" s="14"/>
      <c r="AR4366" s="14"/>
      <c r="AS4366" s="14"/>
      <c r="AT4366" s="14"/>
      <c r="AU4366" s="14"/>
      <c r="AV4366" s="14"/>
      <c r="AW4366" s="15"/>
      <c r="AX4366" s="16"/>
    </row>
    <row r="4367" spans="2:50" x14ac:dyDescent="0.2">
      <c r="B4367" s="7"/>
      <c r="C4367" s="8">
        <v>14643</v>
      </c>
      <c r="D4367" s="9" t="s">
        <v>4551</v>
      </c>
      <c r="E4367" s="10" t="str">
        <f t="shared" si="481"/>
        <v>Rancho Estanzuela No. 157, 3</v>
      </c>
      <c r="F4367" s="10" t="str">
        <f t="shared" si="482"/>
        <v>Valdez</v>
      </c>
      <c r="G4367" s="8">
        <v>1</v>
      </c>
      <c r="H4367" s="11">
        <v>600</v>
      </c>
      <c r="I4367" s="12">
        <v>42911</v>
      </c>
      <c r="J4367" s="35">
        <f t="shared" si="483"/>
        <v>0</v>
      </c>
      <c r="K4367" s="36"/>
      <c r="L4367" s="36"/>
      <c r="M4367" s="36"/>
      <c r="N4367" s="36"/>
      <c r="O4367" s="36"/>
      <c r="P4367" s="36"/>
      <c r="Q4367" s="36"/>
      <c r="R4367" s="36"/>
      <c r="S4367" s="36"/>
      <c r="T4367" s="36"/>
      <c r="U4367" s="36"/>
      <c r="V4367" s="36"/>
      <c r="W4367" s="15">
        <f t="shared" si="484"/>
        <v>0</v>
      </c>
      <c r="X4367" s="36">
        <v>150</v>
      </c>
      <c r="Y4367" s="36">
        <v>150</v>
      </c>
      <c r="Z4367" s="36">
        <v>150</v>
      </c>
      <c r="AA4367" s="36">
        <v>150</v>
      </c>
      <c r="AB4367" s="36"/>
      <c r="AC4367" s="36"/>
      <c r="AD4367" s="36"/>
      <c r="AE4367" s="36"/>
      <c r="AF4367" s="36"/>
      <c r="AG4367" s="36"/>
      <c r="AH4367" s="36"/>
      <c r="AI4367" s="36"/>
      <c r="AJ4367" s="15">
        <f t="shared" si="485"/>
        <v>600</v>
      </c>
      <c r="AK4367" s="14"/>
      <c r="AL4367" s="14"/>
      <c r="AM4367" s="14"/>
      <c r="AN4367" s="14"/>
      <c r="AO4367" s="14"/>
      <c r="AP4367" s="14"/>
      <c r="AQ4367" s="14"/>
      <c r="AR4367" s="14"/>
      <c r="AS4367" s="14"/>
      <c r="AT4367" s="14"/>
      <c r="AU4367" s="14"/>
      <c r="AV4367" s="14"/>
      <c r="AW4367" s="15"/>
      <c r="AX4367" s="16"/>
    </row>
    <row r="4368" spans="2:50" x14ac:dyDescent="0.2">
      <c r="B4368" s="7"/>
      <c r="C4368" s="8">
        <v>14644</v>
      </c>
      <c r="D4368" s="9" t="s">
        <v>346</v>
      </c>
      <c r="E4368" s="10" t="str">
        <f t="shared" si="481"/>
        <v>Rancho Upácuaro No. 108</v>
      </c>
      <c r="F4368" s="10" t="str">
        <f t="shared" si="482"/>
        <v>Mejía</v>
      </c>
      <c r="G4368" s="8">
        <v>1</v>
      </c>
      <c r="H4368" s="11">
        <v>300</v>
      </c>
      <c r="I4368" s="12">
        <v>42911</v>
      </c>
      <c r="J4368" s="35">
        <f t="shared" si="483"/>
        <v>0</v>
      </c>
      <c r="K4368" s="36"/>
      <c r="L4368" s="36"/>
      <c r="M4368" s="36"/>
      <c r="N4368" s="36"/>
      <c r="O4368" s="36"/>
      <c r="P4368" s="36"/>
      <c r="Q4368" s="36"/>
      <c r="R4368" s="36"/>
      <c r="S4368" s="36"/>
      <c r="T4368" s="36"/>
      <c r="U4368" s="36"/>
      <c r="V4368" s="36"/>
      <c r="W4368" s="15">
        <f t="shared" si="484"/>
        <v>0</v>
      </c>
      <c r="X4368" s="36"/>
      <c r="Y4368" s="36"/>
      <c r="Z4368" s="36"/>
      <c r="AA4368" s="36"/>
      <c r="AB4368" s="36"/>
      <c r="AC4368" s="36">
        <v>300</v>
      </c>
      <c r="AD4368" s="36"/>
      <c r="AE4368" s="36"/>
      <c r="AF4368" s="36"/>
      <c r="AG4368" s="36"/>
      <c r="AH4368" s="36"/>
      <c r="AI4368" s="36"/>
      <c r="AJ4368" s="15">
        <f t="shared" si="485"/>
        <v>300</v>
      </c>
      <c r="AK4368" s="14"/>
      <c r="AL4368" s="14"/>
      <c r="AM4368" s="14"/>
      <c r="AN4368" s="14"/>
      <c r="AO4368" s="14"/>
      <c r="AP4368" s="14"/>
      <c r="AQ4368" s="14"/>
      <c r="AR4368" s="14"/>
      <c r="AS4368" s="14"/>
      <c r="AT4368" s="14"/>
      <c r="AU4368" s="14"/>
      <c r="AV4368" s="14"/>
      <c r="AW4368" s="15"/>
      <c r="AX4368" s="16"/>
    </row>
    <row r="4369" spans="1:50" x14ac:dyDescent="0.2">
      <c r="B4369" s="7"/>
      <c r="C4369" s="8">
        <v>14645</v>
      </c>
      <c r="D4369" s="9" t="s">
        <v>384</v>
      </c>
      <c r="E4369" s="10" t="str">
        <f t="shared" si="481"/>
        <v>Rancho Zinamba No. 88</v>
      </c>
      <c r="F4369" s="10" t="str">
        <f t="shared" si="482"/>
        <v>Martínez</v>
      </c>
      <c r="G4369" s="8">
        <v>1</v>
      </c>
      <c r="H4369" s="11">
        <v>300</v>
      </c>
      <c r="I4369" s="12">
        <v>42911</v>
      </c>
      <c r="J4369" s="35">
        <f t="shared" si="483"/>
        <v>0</v>
      </c>
      <c r="K4369" s="36"/>
      <c r="L4369" s="36"/>
      <c r="M4369" s="36"/>
      <c r="N4369" s="36"/>
      <c r="O4369" s="36"/>
      <c r="P4369" s="36"/>
      <c r="Q4369" s="36"/>
      <c r="R4369" s="36"/>
      <c r="S4369" s="36"/>
      <c r="T4369" s="36"/>
      <c r="U4369" s="36"/>
      <c r="V4369" s="36"/>
      <c r="W4369" s="15">
        <f t="shared" si="484"/>
        <v>0</v>
      </c>
      <c r="X4369" s="36"/>
      <c r="Y4369" s="36"/>
      <c r="Z4369" s="36"/>
      <c r="AA4369" s="36"/>
      <c r="AB4369" s="36"/>
      <c r="AC4369" s="36">
        <v>300</v>
      </c>
      <c r="AD4369" s="36"/>
      <c r="AE4369" s="36"/>
      <c r="AF4369" s="36"/>
      <c r="AG4369" s="36"/>
      <c r="AH4369" s="36"/>
      <c r="AI4369" s="36"/>
      <c r="AJ4369" s="15">
        <f t="shared" si="485"/>
        <v>300</v>
      </c>
      <c r="AK4369" s="14"/>
      <c r="AL4369" s="14"/>
      <c r="AM4369" s="14"/>
      <c r="AN4369" s="14"/>
      <c r="AO4369" s="14"/>
      <c r="AP4369" s="14"/>
      <c r="AQ4369" s="14"/>
      <c r="AR4369" s="14"/>
      <c r="AS4369" s="14"/>
      <c r="AT4369" s="14"/>
      <c r="AU4369" s="14"/>
      <c r="AV4369" s="14"/>
      <c r="AW4369" s="15"/>
      <c r="AX4369" s="16"/>
    </row>
    <row r="4370" spans="1:50" x14ac:dyDescent="0.2">
      <c r="B4370" s="7"/>
      <c r="C4370" s="8">
        <v>14646</v>
      </c>
      <c r="D4370" s="9" t="s">
        <v>523</v>
      </c>
      <c r="E4370" s="10" t="str">
        <f t="shared" si="481"/>
        <v>Rancho Estanzuela No. 139</v>
      </c>
      <c r="F4370" s="10" t="str">
        <f>IF(D4370=0,"",VLOOKUP(D4370,BASE,3,FALSE))</f>
        <v xml:space="preserve">Ortiz   </v>
      </c>
      <c r="G4370" s="8">
        <v>1</v>
      </c>
      <c r="H4370" s="11">
        <v>400</v>
      </c>
      <c r="I4370" s="12">
        <v>42911</v>
      </c>
      <c r="J4370" s="35">
        <f t="shared" si="483"/>
        <v>0</v>
      </c>
      <c r="K4370" s="36"/>
      <c r="L4370" s="36"/>
      <c r="M4370" s="36"/>
      <c r="N4370" s="36"/>
      <c r="O4370" s="36"/>
      <c r="P4370" s="36"/>
      <c r="Q4370" s="36"/>
      <c r="R4370" s="36"/>
      <c r="S4370" s="36"/>
      <c r="T4370" s="36"/>
      <c r="U4370" s="36"/>
      <c r="V4370" s="36"/>
      <c r="W4370" s="15">
        <f t="shared" si="484"/>
        <v>0</v>
      </c>
      <c r="X4370" s="36"/>
      <c r="Y4370" s="36"/>
      <c r="Z4370" s="36"/>
      <c r="AA4370" s="36"/>
      <c r="AB4370" s="36">
        <v>400</v>
      </c>
      <c r="AC4370" s="36"/>
      <c r="AD4370" s="36"/>
      <c r="AE4370" s="36"/>
      <c r="AF4370" s="36"/>
      <c r="AG4370" s="36"/>
      <c r="AH4370" s="36"/>
      <c r="AI4370" s="36"/>
      <c r="AJ4370" s="15">
        <f t="shared" si="485"/>
        <v>400</v>
      </c>
      <c r="AK4370" s="14"/>
      <c r="AL4370" s="14"/>
      <c r="AM4370" s="14"/>
      <c r="AN4370" s="14"/>
      <c r="AO4370" s="14"/>
      <c r="AP4370" s="14"/>
      <c r="AQ4370" s="14"/>
      <c r="AR4370" s="14"/>
      <c r="AS4370" s="14"/>
      <c r="AT4370" s="14"/>
      <c r="AU4370" s="14"/>
      <c r="AV4370" s="14"/>
      <c r="AW4370" s="15"/>
      <c r="AX4370" s="16"/>
    </row>
    <row r="4371" spans="1:50" x14ac:dyDescent="0.2">
      <c r="B4371" s="7"/>
      <c r="C4371" s="8">
        <v>14647</v>
      </c>
      <c r="D4371" s="9" t="s">
        <v>87</v>
      </c>
      <c r="E4371" s="10" t="str">
        <f t="shared" si="481"/>
        <v>Rancho Zinamba No. 36</v>
      </c>
      <c r="F4371" s="10" t="str">
        <f t="shared" si="482"/>
        <v>Rodríguez Ortiz</v>
      </c>
      <c r="G4371" s="8">
        <v>1</v>
      </c>
      <c r="H4371" s="11">
        <v>400</v>
      </c>
      <c r="I4371" s="12">
        <v>42911</v>
      </c>
      <c r="J4371" s="35">
        <f t="shared" si="483"/>
        <v>0</v>
      </c>
      <c r="K4371" s="36"/>
      <c r="L4371" s="36"/>
      <c r="M4371" s="36"/>
      <c r="N4371" s="36"/>
      <c r="O4371" s="36"/>
      <c r="P4371" s="36"/>
      <c r="Q4371" s="36"/>
      <c r="R4371" s="36"/>
      <c r="S4371" s="36"/>
      <c r="T4371" s="36"/>
      <c r="U4371" s="36"/>
      <c r="V4371" s="36"/>
      <c r="W4371" s="15">
        <f t="shared" si="484"/>
        <v>0</v>
      </c>
      <c r="X4371" s="36"/>
      <c r="Y4371" s="36"/>
      <c r="Z4371" s="36"/>
      <c r="AA4371" s="36"/>
      <c r="AB4371" s="36"/>
      <c r="AC4371" s="36"/>
      <c r="AD4371" s="36">
        <v>400</v>
      </c>
      <c r="AE4371" s="36"/>
      <c r="AF4371" s="36"/>
      <c r="AG4371" s="36"/>
      <c r="AH4371" s="36"/>
      <c r="AI4371" s="36"/>
      <c r="AJ4371" s="15">
        <f t="shared" si="485"/>
        <v>400</v>
      </c>
      <c r="AK4371" s="14"/>
      <c r="AL4371" s="14"/>
      <c r="AM4371" s="14"/>
      <c r="AN4371" s="14"/>
      <c r="AO4371" s="14"/>
      <c r="AP4371" s="14"/>
      <c r="AQ4371" s="14"/>
      <c r="AR4371" s="14"/>
      <c r="AS4371" s="14"/>
      <c r="AT4371" s="14"/>
      <c r="AU4371" s="14"/>
      <c r="AV4371" s="14"/>
      <c r="AW4371" s="15"/>
      <c r="AX4371" s="16"/>
    </row>
    <row r="4372" spans="1:50" x14ac:dyDescent="0.2">
      <c r="B4372" s="7"/>
      <c r="C4372" s="8">
        <v>14648</v>
      </c>
      <c r="D4372" s="9" t="s">
        <v>223</v>
      </c>
      <c r="E4372" s="10" t="str">
        <f t="shared" si="481"/>
        <v>Rancho Landero No. 26</v>
      </c>
      <c r="F4372" s="10" t="str">
        <f t="shared" si="482"/>
        <v>Balderas Martínez</v>
      </c>
      <c r="G4372" s="8">
        <v>1</v>
      </c>
      <c r="H4372" s="11">
        <v>600</v>
      </c>
      <c r="I4372" s="12">
        <v>42911</v>
      </c>
      <c r="J4372" s="35">
        <f t="shared" si="483"/>
        <v>0</v>
      </c>
      <c r="K4372" s="36"/>
      <c r="L4372" s="36"/>
      <c r="M4372" s="36"/>
      <c r="N4372" s="36"/>
      <c r="O4372" s="36"/>
      <c r="P4372" s="36"/>
      <c r="Q4372" s="36"/>
      <c r="R4372" s="36"/>
      <c r="S4372" s="36"/>
      <c r="T4372" s="36"/>
      <c r="U4372" s="36"/>
      <c r="V4372" s="36"/>
      <c r="W4372" s="15">
        <f t="shared" si="484"/>
        <v>0</v>
      </c>
      <c r="X4372" s="36"/>
      <c r="Y4372" s="36"/>
      <c r="Z4372" s="36"/>
      <c r="AA4372" s="36">
        <v>200</v>
      </c>
      <c r="AB4372" s="36">
        <v>200</v>
      </c>
      <c r="AC4372" s="36">
        <v>200</v>
      </c>
      <c r="AD4372" s="36"/>
      <c r="AE4372" s="36"/>
      <c r="AF4372" s="36"/>
      <c r="AG4372" s="36"/>
      <c r="AH4372" s="36"/>
      <c r="AI4372" s="36"/>
      <c r="AJ4372" s="15">
        <f t="shared" si="485"/>
        <v>600</v>
      </c>
      <c r="AK4372" s="14"/>
      <c r="AL4372" s="14"/>
      <c r="AM4372" s="14"/>
      <c r="AN4372" s="14"/>
      <c r="AO4372" s="14"/>
      <c r="AP4372" s="14"/>
      <c r="AQ4372" s="14"/>
      <c r="AR4372" s="14"/>
      <c r="AS4372" s="14"/>
      <c r="AT4372" s="14"/>
      <c r="AU4372" s="14"/>
      <c r="AV4372" s="14"/>
      <c r="AW4372" s="15"/>
      <c r="AX4372" s="16"/>
    </row>
    <row r="4373" spans="1:50" x14ac:dyDescent="0.2">
      <c r="B4373" s="7"/>
      <c r="C4373" s="8">
        <v>14669</v>
      </c>
      <c r="D4373" s="9" t="s">
        <v>968</v>
      </c>
      <c r="E4373" s="10" t="str">
        <f t="shared" si="481"/>
        <v>Rancho La Cuchilla No. 121</v>
      </c>
      <c r="F4373" s="10" t="str">
        <f t="shared" si="482"/>
        <v>Ramírez Márquez</v>
      </c>
      <c r="G4373" s="8">
        <v>1</v>
      </c>
      <c r="H4373" s="11">
        <v>1200</v>
      </c>
      <c r="I4373" s="12">
        <v>42911</v>
      </c>
      <c r="J4373" s="35">
        <f t="shared" si="483"/>
        <v>0</v>
      </c>
      <c r="K4373" s="36"/>
      <c r="L4373" s="36"/>
      <c r="M4373" s="36"/>
      <c r="N4373" s="36"/>
      <c r="O4373" s="36"/>
      <c r="P4373" s="36"/>
      <c r="Q4373" s="36"/>
      <c r="R4373" s="36"/>
      <c r="S4373" s="36"/>
      <c r="T4373" s="36"/>
      <c r="U4373" s="36"/>
      <c r="V4373" s="36"/>
      <c r="W4373" s="15">
        <f t="shared" si="484"/>
        <v>0</v>
      </c>
      <c r="X4373" s="36"/>
      <c r="Y4373" s="36"/>
      <c r="Z4373" s="36"/>
      <c r="AA4373" s="36">
        <v>400</v>
      </c>
      <c r="AB4373" s="36">
        <v>400</v>
      </c>
      <c r="AC4373" s="36">
        <v>400</v>
      </c>
      <c r="AD4373" s="36"/>
      <c r="AE4373" s="36"/>
      <c r="AF4373" s="36"/>
      <c r="AG4373" s="36"/>
      <c r="AH4373" s="36"/>
      <c r="AI4373" s="36"/>
      <c r="AJ4373" s="15">
        <f t="shared" si="485"/>
        <v>1200</v>
      </c>
      <c r="AK4373" s="14"/>
      <c r="AL4373" s="14"/>
      <c r="AM4373" s="14"/>
      <c r="AN4373" s="14"/>
      <c r="AO4373" s="14"/>
      <c r="AP4373" s="14"/>
      <c r="AQ4373" s="14"/>
      <c r="AR4373" s="14"/>
      <c r="AS4373" s="14"/>
      <c r="AT4373" s="14"/>
      <c r="AU4373" s="14"/>
      <c r="AV4373" s="14"/>
      <c r="AW4373" s="15"/>
      <c r="AX4373" s="16"/>
    </row>
    <row r="4374" spans="1:50" x14ac:dyDescent="0.2">
      <c r="B4374" s="7"/>
      <c r="C4374" s="8">
        <v>14650</v>
      </c>
      <c r="D4374" s="9" t="s">
        <v>340</v>
      </c>
      <c r="E4374" s="10" t="str">
        <f t="shared" si="481"/>
        <v>Rancho Romeral No. 17</v>
      </c>
      <c r="F4374" s="10" t="str">
        <f t="shared" si="482"/>
        <v>Aguilar Lomelí</v>
      </c>
      <c r="G4374" s="8">
        <v>1</v>
      </c>
      <c r="H4374" s="11">
        <v>2400</v>
      </c>
      <c r="I4374" s="12">
        <v>42911</v>
      </c>
      <c r="J4374" s="35">
        <f t="shared" si="483"/>
        <v>0</v>
      </c>
      <c r="K4374" s="36"/>
      <c r="L4374" s="36"/>
      <c r="M4374" s="36"/>
      <c r="N4374" s="36"/>
      <c r="O4374" s="36"/>
      <c r="P4374" s="36"/>
      <c r="Q4374" s="36"/>
      <c r="R4374" s="36"/>
      <c r="S4374" s="36"/>
      <c r="T4374" s="36"/>
      <c r="U4374" s="36"/>
      <c r="V4374" s="36"/>
      <c r="W4374" s="15">
        <f t="shared" si="484"/>
        <v>0</v>
      </c>
      <c r="X4374" s="36">
        <v>400</v>
      </c>
      <c r="Y4374" s="36">
        <v>400</v>
      </c>
      <c r="Z4374" s="36">
        <v>400</v>
      </c>
      <c r="AA4374" s="36">
        <v>400</v>
      </c>
      <c r="AB4374" s="36">
        <v>400</v>
      </c>
      <c r="AC4374" s="36">
        <v>400</v>
      </c>
      <c r="AD4374" s="36"/>
      <c r="AE4374" s="36"/>
      <c r="AF4374" s="36"/>
      <c r="AG4374" s="36"/>
      <c r="AH4374" s="36"/>
      <c r="AI4374" s="36"/>
      <c r="AJ4374" s="15">
        <f t="shared" si="485"/>
        <v>2400</v>
      </c>
      <c r="AK4374" s="14"/>
      <c r="AL4374" s="14"/>
      <c r="AM4374" s="14"/>
      <c r="AN4374" s="14"/>
      <c r="AO4374" s="14"/>
      <c r="AP4374" s="14"/>
      <c r="AQ4374" s="14"/>
      <c r="AR4374" s="14"/>
      <c r="AS4374" s="14"/>
      <c r="AT4374" s="14"/>
      <c r="AU4374" s="14"/>
      <c r="AV4374" s="14"/>
      <c r="AW4374" s="15"/>
      <c r="AX4374" s="16"/>
    </row>
    <row r="4375" spans="1:50" x14ac:dyDescent="0.2">
      <c r="B4375" s="7"/>
      <c r="C4375" s="8">
        <v>14651</v>
      </c>
      <c r="D4375" s="9" t="s">
        <v>905</v>
      </c>
      <c r="E4375" s="10" t="str">
        <f t="shared" si="481"/>
        <v>Rancho Landero No. 81</v>
      </c>
      <c r="F4375" s="10" t="str">
        <f t="shared" si="482"/>
        <v>Cebrían Saldaña</v>
      </c>
      <c r="G4375" s="8">
        <v>1</v>
      </c>
      <c r="H4375" s="11">
        <v>400</v>
      </c>
      <c r="I4375" s="12">
        <v>42911</v>
      </c>
      <c r="J4375" s="35">
        <f t="shared" si="483"/>
        <v>0</v>
      </c>
      <c r="K4375" s="36"/>
      <c r="L4375" s="36"/>
      <c r="M4375" s="36"/>
      <c r="N4375" s="36"/>
      <c r="O4375" s="36"/>
      <c r="P4375" s="36"/>
      <c r="Q4375" s="36"/>
      <c r="R4375" s="36"/>
      <c r="S4375" s="36"/>
      <c r="T4375" s="36"/>
      <c r="U4375" s="36"/>
      <c r="V4375" s="36"/>
      <c r="W4375" s="15">
        <f t="shared" si="484"/>
        <v>0</v>
      </c>
      <c r="X4375" s="36"/>
      <c r="Y4375" s="36"/>
      <c r="Z4375" s="36"/>
      <c r="AA4375" s="36"/>
      <c r="AB4375" s="36">
        <v>200</v>
      </c>
      <c r="AC4375" s="36">
        <v>200</v>
      </c>
      <c r="AD4375" s="36"/>
      <c r="AE4375" s="36"/>
      <c r="AF4375" s="36"/>
      <c r="AG4375" s="36"/>
      <c r="AH4375" s="36"/>
      <c r="AI4375" s="36"/>
      <c r="AJ4375" s="15">
        <f t="shared" si="485"/>
        <v>400</v>
      </c>
      <c r="AK4375" s="14"/>
      <c r="AL4375" s="14"/>
      <c r="AM4375" s="14"/>
      <c r="AN4375" s="14"/>
      <c r="AO4375" s="14"/>
      <c r="AP4375" s="14"/>
      <c r="AQ4375" s="14"/>
      <c r="AR4375" s="14"/>
      <c r="AS4375" s="14"/>
      <c r="AT4375" s="14"/>
      <c r="AU4375" s="14"/>
      <c r="AV4375" s="14"/>
      <c r="AW4375" s="15"/>
      <c r="AX4375" s="16"/>
    </row>
    <row r="4376" spans="1:50" x14ac:dyDescent="0.2">
      <c r="B4376" s="7"/>
      <c r="C4376" s="8">
        <v>14652</v>
      </c>
      <c r="D4376" s="9" t="s">
        <v>820</v>
      </c>
      <c r="E4376" s="10" t="str">
        <f t="shared" si="481"/>
        <v>Rancho Zinamba No. 84</v>
      </c>
      <c r="F4376" s="10" t="str">
        <f t="shared" si="482"/>
        <v>Lobato</v>
      </c>
      <c r="G4376" s="8">
        <v>1</v>
      </c>
      <c r="H4376" s="11">
        <v>300</v>
      </c>
      <c r="I4376" s="12">
        <v>42911</v>
      </c>
      <c r="J4376" s="35">
        <f t="shared" si="483"/>
        <v>0</v>
      </c>
      <c r="K4376" s="36"/>
      <c r="L4376" s="36"/>
      <c r="M4376" s="36"/>
      <c r="N4376" s="36"/>
      <c r="O4376" s="36"/>
      <c r="P4376" s="36"/>
      <c r="Q4376" s="36"/>
      <c r="R4376" s="36"/>
      <c r="S4376" s="36"/>
      <c r="T4376" s="36"/>
      <c r="U4376" s="36"/>
      <c r="V4376" s="36"/>
      <c r="W4376" s="15">
        <f t="shared" si="484"/>
        <v>0</v>
      </c>
      <c r="X4376" s="36"/>
      <c r="Y4376" s="36"/>
      <c r="Z4376" s="36"/>
      <c r="AA4376" s="36"/>
      <c r="AB4376" s="36"/>
      <c r="AC4376" s="36">
        <v>300</v>
      </c>
      <c r="AD4376" s="36"/>
      <c r="AE4376" s="36"/>
      <c r="AF4376" s="36"/>
      <c r="AG4376" s="36"/>
      <c r="AH4376" s="36"/>
      <c r="AI4376" s="36"/>
      <c r="AJ4376" s="15">
        <f t="shared" si="485"/>
        <v>300</v>
      </c>
      <c r="AK4376" s="14"/>
      <c r="AL4376" s="14"/>
      <c r="AM4376" s="14"/>
      <c r="AN4376" s="14"/>
      <c r="AO4376" s="14"/>
      <c r="AP4376" s="14"/>
      <c r="AQ4376" s="14"/>
      <c r="AR4376" s="14"/>
      <c r="AS4376" s="14"/>
      <c r="AT4376" s="14"/>
      <c r="AU4376" s="14"/>
      <c r="AV4376" s="14"/>
      <c r="AW4376" s="15"/>
      <c r="AX4376" s="316">
        <f>SUM(H4347:H4376)</f>
        <v>15650</v>
      </c>
    </row>
    <row r="4377" spans="1:50" x14ac:dyDescent="0.2">
      <c r="B4377" s="7"/>
      <c r="C4377" s="8">
        <v>14653</v>
      </c>
      <c r="D4377" s="9" t="s">
        <v>464</v>
      </c>
      <c r="E4377" s="10" t="str">
        <f t="shared" si="481"/>
        <v>Rancho La Cuchilla No. 68</v>
      </c>
      <c r="F4377" s="10" t="str">
        <f t="shared" si="482"/>
        <v>Montesinos</v>
      </c>
      <c r="G4377" s="8">
        <v>1</v>
      </c>
      <c r="H4377" s="11">
        <v>200</v>
      </c>
      <c r="I4377" s="12">
        <v>42911</v>
      </c>
      <c r="J4377" s="35">
        <f t="shared" si="483"/>
        <v>0</v>
      </c>
      <c r="K4377" s="36"/>
      <c r="L4377" s="36"/>
      <c r="M4377" s="36"/>
      <c r="N4377" s="36"/>
      <c r="O4377" s="36"/>
      <c r="P4377" s="36"/>
      <c r="Q4377" s="36"/>
      <c r="R4377" s="36"/>
      <c r="S4377" s="36"/>
      <c r="T4377" s="36"/>
      <c r="U4377" s="36"/>
      <c r="V4377" s="36"/>
      <c r="W4377" s="15">
        <f t="shared" si="484"/>
        <v>0</v>
      </c>
      <c r="X4377" s="36"/>
      <c r="Y4377" s="36"/>
      <c r="Z4377" s="36"/>
      <c r="AA4377" s="36"/>
      <c r="AB4377" s="36"/>
      <c r="AC4377" s="36">
        <v>200</v>
      </c>
      <c r="AD4377" s="36"/>
      <c r="AE4377" s="36"/>
      <c r="AF4377" s="36"/>
      <c r="AG4377" s="36"/>
      <c r="AH4377" s="36"/>
      <c r="AI4377" s="36"/>
      <c r="AJ4377" s="15">
        <f t="shared" si="485"/>
        <v>200</v>
      </c>
      <c r="AK4377" s="14"/>
      <c r="AL4377" s="14"/>
      <c r="AM4377" s="14"/>
      <c r="AN4377" s="14"/>
      <c r="AO4377" s="14"/>
      <c r="AP4377" s="14"/>
      <c r="AQ4377" s="14"/>
      <c r="AR4377" s="14"/>
      <c r="AS4377" s="14"/>
      <c r="AT4377" s="14"/>
      <c r="AU4377" s="14"/>
      <c r="AV4377" s="14"/>
      <c r="AW4377" s="15"/>
      <c r="AX4377" s="16"/>
    </row>
    <row r="4378" spans="1:50" x14ac:dyDescent="0.2">
      <c r="B4378" s="7"/>
      <c r="C4378" s="8">
        <v>14654</v>
      </c>
      <c r="D4378" s="9" t="s">
        <v>123</v>
      </c>
      <c r="E4378" s="10" t="str">
        <f t="shared" ref="E4378:E4421" si="486">IF(D4378=0,"",VLOOKUP(D4378,BASE,2,FALSE))</f>
        <v>Rancho Recoveco No. 175, B</v>
      </c>
      <c r="F4378" s="10" t="str">
        <f t="shared" ref="F4378:F4421" si="487">IF(D4378=0,"",VLOOKUP(D4378,BASE,3,FALSE))</f>
        <v>García Calderón</v>
      </c>
      <c r="G4378" s="8">
        <v>7</v>
      </c>
      <c r="H4378" s="11">
        <v>500</v>
      </c>
      <c r="I4378" s="12">
        <v>42911</v>
      </c>
      <c r="J4378" s="35">
        <f t="shared" ref="J4378:J4421" si="488">IF(G4378=1,SUM(W4378,AJ4378,-H4378),0)</f>
        <v>0</v>
      </c>
      <c r="K4378" s="36"/>
      <c r="L4378" s="36"/>
      <c r="M4378" s="36"/>
      <c r="N4378" s="36"/>
      <c r="O4378" s="36"/>
      <c r="P4378" s="36"/>
      <c r="Q4378" s="36"/>
      <c r="R4378" s="36"/>
      <c r="S4378" s="36"/>
      <c r="T4378" s="36"/>
      <c r="U4378" s="36"/>
      <c r="V4378" s="36"/>
      <c r="W4378" s="15">
        <f t="shared" ref="W4378:W4421" si="489">SUM(K4378:V4378)</f>
        <v>0</v>
      </c>
      <c r="X4378" s="36"/>
      <c r="Y4378" s="36"/>
      <c r="Z4378" s="36"/>
      <c r="AA4378" s="36"/>
      <c r="AB4378" s="36"/>
      <c r="AC4378" s="36"/>
      <c r="AD4378" s="36"/>
      <c r="AE4378" s="36"/>
      <c r="AF4378" s="36"/>
      <c r="AG4378" s="36"/>
      <c r="AH4378" s="36"/>
      <c r="AI4378" s="36"/>
      <c r="AJ4378" s="15">
        <f t="shared" ref="AJ4378:AJ4421" si="490">SUM(X4378:AI4378)</f>
        <v>0</v>
      </c>
      <c r="AK4378" s="14"/>
      <c r="AL4378" s="14"/>
      <c r="AM4378" s="14"/>
      <c r="AN4378" s="14"/>
      <c r="AO4378" s="14"/>
      <c r="AP4378" s="14"/>
      <c r="AQ4378" s="14"/>
      <c r="AR4378" s="14"/>
      <c r="AS4378" s="14"/>
      <c r="AT4378" s="14"/>
      <c r="AU4378" s="14"/>
      <c r="AV4378" s="14"/>
      <c r="AW4378" s="15"/>
      <c r="AX4378" s="16" t="s">
        <v>4202</v>
      </c>
    </row>
    <row r="4379" spans="1:50" x14ac:dyDescent="0.2">
      <c r="B4379" s="7"/>
      <c r="C4379" s="8">
        <v>14655</v>
      </c>
      <c r="D4379" s="9" t="s">
        <v>202</v>
      </c>
      <c r="E4379" s="10" t="str">
        <f t="shared" si="486"/>
        <v>Rancho Estanzuela No. 25</v>
      </c>
      <c r="F4379" s="10" t="str">
        <f t="shared" si="487"/>
        <v>Contreras Figueroa</v>
      </c>
      <c r="G4379" s="8">
        <v>1</v>
      </c>
      <c r="H4379" s="11">
        <v>800</v>
      </c>
      <c r="I4379" s="12">
        <v>42914</v>
      </c>
      <c r="J4379" s="35">
        <f t="shared" si="488"/>
        <v>0</v>
      </c>
      <c r="K4379" s="36"/>
      <c r="L4379" s="36"/>
      <c r="M4379" s="36"/>
      <c r="N4379" s="36"/>
      <c r="O4379" s="36"/>
      <c r="P4379" s="36"/>
      <c r="Q4379" s="36"/>
      <c r="R4379" s="36"/>
      <c r="S4379" s="36"/>
      <c r="T4379" s="36"/>
      <c r="U4379" s="36"/>
      <c r="V4379" s="36"/>
      <c r="W4379" s="15">
        <f t="shared" si="489"/>
        <v>0</v>
      </c>
      <c r="X4379" s="36"/>
      <c r="Y4379" s="36"/>
      <c r="Z4379" s="36"/>
      <c r="AA4379" s="36"/>
      <c r="AB4379" s="36"/>
      <c r="AC4379" s="36">
        <v>400</v>
      </c>
      <c r="AD4379" s="36">
        <v>400</v>
      </c>
      <c r="AE4379" s="36"/>
      <c r="AF4379" s="36"/>
      <c r="AG4379" s="36"/>
      <c r="AH4379" s="36"/>
      <c r="AI4379" s="36"/>
      <c r="AJ4379" s="15">
        <f t="shared" si="490"/>
        <v>800</v>
      </c>
      <c r="AK4379" s="14"/>
      <c r="AL4379" s="14"/>
      <c r="AM4379" s="14"/>
      <c r="AN4379" s="14"/>
      <c r="AO4379" s="14"/>
      <c r="AP4379" s="14"/>
      <c r="AQ4379" s="14"/>
      <c r="AR4379" s="14"/>
      <c r="AS4379" s="14"/>
      <c r="AT4379" s="14"/>
      <c r="AU4379" s="14"/>
      <c r="AV4379" s="14"/>
      <c r="AW4379" s="15"/>
      <c r="AX4379" s="16"/>
    </row>
    <row r="4380" spans="1:50" x14ac:dyDescent="0.2">
      <c r="A4380" s="320" t="s">
        <v>2883</v>
      </c>
      <c r="B4380" s="7"/>
      <c r="C4380" s="8">
        <v>14704</v>
      </c>
      <c r="D4380" s="9" t="s">
        <v>211</v>
      </c>
      <c r="E4380" s="10" t="str">
        <f t="shared" si="486"/>
        <v>Rancho Upácuaro No. 46</v>
      </c>
      <c r="F4380" s="10" t="str">
        <f t="shared" si="487"/>
        <v>Fuentes</v>
      </c>
      <c r="G4380" s="8">
        <v>1</v>
      </c>
      <c r="H4380" s="11">
        <v>300</v>
      </c>
      <c r="I4380" s="12">
        <v>42892</v>
      </c>
      <c r="J4380" s="35">
        <f t="shared" si="488"/>
        <v>0</v>
      </c>
      <c r="K4380" s="36"/>
      <c r="L4380" s="36"/>
      <c r="M4380" s="36"/>
      <c r="N4380" s="36"/>
      <c r="O4380" s="36"/>
      <c r="P4380" s="36"/>
      <c r="Q4380" s="36"/>
      <c r="R4380" s="36"/>
      <c r="S4380" s="36"/>
      <c r="T4380" s="36"/>
      <c r="U4380" s="36"/>
      <c r="V4380" s="36"/>
      <c r="W4380" s="15">
        <f t="shared" si="489"/>
        <v>0</v>
      </c>
      <c r="X4380" s="36"/>
      <c r="Y4380" s="36"/>
      <c r="Z4380" s="36"/>
      <c r="AA4380" s="36"/>
      <c r="AB4380" s="36"/>
      <c r="AC4380" s="36">
        <v>300</v>
      </c>
      <c r="AD4380" s="36"/>
      <c r="AE4380" s="36"/>
      <c r="AF4380" s="36"/>
      <c r="AG4380" s="36"/>
      <c r="AH4380" s="36"/>
      <c r="AI4380" s="36"/>
      <c r="AJ4380" s="15">
        <f t="shared" si="490"/>
        <v>300</v>
      </c>
      <c r="AK4380" s="14"/>
      <c r="AL4380" s="14"/>
      <c r="AM4380" s="14"/>
      <c r="AN4380" s="14"/>
      <c r="AO4380" s="14"/>
      <c r="AP4380" s="14"/>
      <c r="AQ4380" s="14"/>
      <c r="AR4380" s="14"/>
      <c r="AS4380" s="14"/>
      <c r="AT4380" s="14"/>
      <c r="AU4380" s="14"/>
      <c r="AV4380" s="14"/>
      <c r="AW4380" s="15"/>
      <c r="AX4380" s="16"/>
    </row>
    <row r="4381" spans="1:50" x14ac:dyDescent="0.2">
      <c r="B4381" s="7"/>
      <c r="C4381" s="8">
        <v>14705</v>
      </c>
      <c r="D4381" s="9" t="s">
        <v>208</v>
      </c>
      <c r="E4381" s="10" t="str">
        <f t="shared" si="486"/>
        <v>Rancho La Cuchilla No. 29</v>
      </c>
      <c r="F4381" s="10" t="str">
        <f t="shared" si="487"/>
        <v>Vega Sánchez C.</v>
      </c>
      <c r="G4381" s="8">
        <v>1</v>
      </c>
      <c r="H4381" s="11">
        <v>400</v>
      </c>
      <c r="I4381" s="12">
        <v>42895</v>
      </c>
      <c r="J4381" s="35">
        <f t="shared" si="488"/>
        <v>0</v>
      </c>
      <c r="K4381" s="36"/>
      <c r="L4381" s="36"/>
      <c r="M4381" s="36"/>
      <c r="N4381" s="36"/>
      <c r="O4381" s="36"/>
      <c r="P4381" s="36"/>
      <c r="Q4381" s="36"/>
      <c r="R4381" s="36"/>
      <c r="S4381" s="36"/>
      <c r="T4381" s="36"/>
      <c r="U4381" s="36"/>
      <c r="V4381" s="36"/>
      <c r="W4381" s="15">
        <f t="shared" si="489"/>
        <v>0</v>
      </c>
      <c r="X4381" s="36"/>
      <c r="Y4381" s="36"/>
      <c r="Z4381" s="36"/>
      <c r="AA4381" s="36"/>
      <c r="AB4381" s="36"/>
      <c r="AC4381" s="36">
        <v>400</v>
      </c>
      <c r="AD4381" s="36"/>
      <c r="AE4381" s="36"/>
      <c r="AF4381" s="36"/>
      <c r="AG4381" s="36"/>
      <c r="AH4381" s="36"/>
      <c r="AI4381" s="36"/>
      <c r="AJ4381" s="15">
        <f t="shared" si="490"/>
        <v>400</v>
      </c>
      <c r="AK4381" s="14"/>
      <c r="AL4381" s="14"/>
      <c r="AM4381" s="14"/>
      <c r="AN4381" s="14"/>
      <c r="AO4381" s="14"/>
      <c r="AP4381" s="14"/>
      <c r="AQ4381" s="14"/>
      <c r="AR4381" s="14"/>
      <c r="AS4381" s="14"/>
      <c r="AT4381" s="14"/>
      <c r="AU4381" s="14"/>
      <c r="AV4381" s="14"/>
      <c r="AW4381" s="15"/>
      <c r="AX4381" s="16"/>
    </row>
    <row r="4382" spans="1:50" x14ac:dyDescent="0.2">
      <c r="B4382" s="7"/>
      <c r="C4382" s="8"/>
      <c r="D4382" s="9" t="s">
        <v>806</v>
      </c>
      <c r="E4382" s="10" t="str">
        <f t="shared" ref="E4382" si="491">IF(D4382=0,"",VLOOKUP(D4382,BASE,2,FALSE))</f>
        <v>Rancho Estanzuela No. 130, A</v>
      </c>
      <c r="F4382" s="10" t="str">
        <f t="shared" ref="F4382" si="492">IF(D4382=0,"",VLOOKUP(D4382,BASE,3,FALSE))</f>
        <v>Colegio Carmel</v>
      </c>
      <c r="G4382" s="8">
        <v>1</v>
      </c>
      <c r="H4382" s="11">
        <v>11000</v>
      </c>
      <c r="I4382" s="12">
        <v>42906</v>
      </c>
      <c r="J4382" s="35">
        <f t="shared" ref="J4382" si="493">IF(G4382=1,SUM(W4382,AJ4382,-H4382),0)</f>
        <v>0</v>
      </c>
      <c r="K4382" s="36"/>
      <c r="L4382" s="36"/>
      <c r="M4382" s="36"/>
      <c r="N4382" s="36"/>
      <c r="O4382" s="36"/>
      <c r="P4382" s="36"/>
      <c r="Q4382" s="36"/>
      <c r="R4382" s="36"/>
      <c r="S4382" s="36"/>
      <c r="T4382" s="36"/>
      <c r="U4382" s="36"/>
      <c r="V4382" s="36"/>
      <c r="W4382" s="15">
        <f t="shared" ref="W4382" si="494">SUM(K4382:V4382)</f>
        <v>0</v>
      </c>
      <c r="X4382" s="36"/>
      <c r="Y4382" s="36"/>
      <c r="Z4382" s="36"/>
      <c r="AA4382" s="36"/>
      <c r="AB4382" s="36"/>
      <c r="AC4382" s="36">
        <v>11000</v>
      </c>
      <c r="AD4382" s="36"/>
      <c r="AE4382" s="36"/>
      <c r="AF4382" s="36"/>
      <c r="AG4382" s="36"/>
      <c r="AH4382" s="36"/>
      <c r="AI4382" s="36"/>
      <c r="AJ4382" s="15">
        <f t="shared" ref="AJ4382" si="495">SUM(X4382:AI4382)</f>
        <v>11000</v>
      </c>
      <c r="AK4382" s="14"/>
      <c r="AL4382" s="14"/>
      <c r="AM4382" s="14"/>
      <c r="AN4382" s="14"/>
      <c r="AO4382" s="14"/>
      <c r="AP4382" s="14"/>
      <c r="AQ4382" s="14"/>
      <c r="AR4382" s="14"/>
      <c r="AS4382" s="14"/>
      <c r="AT4382" s="14"/>
      <c r="AU4382" s="14"/>
      <c r="AV4382" s="14"/>
      <c r="AW4382" s="15"/>
      <c r="AX4382" s="16"/>
    </row>
    <row r="4383" spans="1:50" x14ac:dyDescent="0.2">
      <c r="B4383" s="7"/>
      <c r="C4383" s="8"/>
      <c r="D4383" s="9"/>
      <c r="E4383" s="10" t="str">
        <f t="shared" si="486"/>
        <v/>
      </c>
      <c r="F4383" s="10" t="str">
        <f t="shared" si="487"/>
        <v/>
      </c>
      <c r="G4383" s="8"/>
      <c r="H4383" s="11"/>
      <c r="I4383" s="12"/>
      <c r="J4383" s="35">
        <f t="shared" si="488"/>
        <v>0</v>
      </c>
      <c r="K4383" s="36"/>
      <c r="L4383" s="36"/>
      <c r="M4383" s="36"/>
      <c r="N4383" s="36"/>
      <c r="O4383" s="36"/>
      <c r="P4383" s="36"/>
      <c r="Q4383" s="36"/>
      <c r="R4383" s="36"/>
      <c r="S4383" s="36"/>
      <c r="T4383" s="36"/>
      <c r="U4383" s="36"/>
      <c r="V4383" s="36"/>
      <c r="W4383" s="15">
        <f t="shared" si="489"/>
        <v>0</v>
      </c>
      <c r="X4383" s="36"/>
      <c r="Y4383" s="36"/>
      <c r="Z4383" s="36"/>
      <c r="AA4383" s="36"/>
      <c r="AB4383" s="36"/>
      <c r="AC4383" s="36"/>
      <c r="AD4383" s="36"/>
      <c r="AE4383" s="36"/>
      <c r="AF4383" s="36"/>
      <c r="AG4383" s="36"/>
      <c r="AH4383" s="36"/>
      <c r="AI4383" s="36"/>
      <c r="AJ4383" s="15">
        <f t="shared" si="490"/>
        <v>0</v>
      </c>
      <c r="AK4383" s="14"/>
      <c r="AL4383" s="14"/>
      <c r="AM4383" s="14"/>
      <c r="AN4383" s="14"/>
      <c r="AO4383" s="14"/>
      <c r="AP4383" s="14"/>
      <c r="AQ4383" s="14"/>
      <c r="AR4383" s="14"/>
      <c r="AS4383" s="14"/>
      <c r="AT4383" s="14"/>
      <c r="AU4383" s="14"/>
      <c r="AV4383" s="14"/>
      <c r="AW4383" s="15"/>
      <c r="AX4383" s="16"/>
    </row>
    <row r="4384" spans="1:50" ht="22.5" x14ac:dyDescent="0.2">
      <c r="A4384" s="2"/>
      <c r="B4384" s="3" t="s">
        <v>1</v>
      </c>
      <c r="C4384" s="3" t="s">
        <v>2</v>
      </c>
      <c r="D4384" s="3" t="s">
        <v>3</v>
      </c>
      <c r="E4384" s="337" t="s">
        <v>4</v>
      </c>
      <c r="F4384" s="337" t="s">
        <v>5</v>
      </c>
      <c r="G4384" s="3" t="s">
        <v>6</v>
      </c>
      <c r="H4384" s="3" t="s">
        <v>7</v>
      </c>
      <c r="I4384" s="3" t="s">
        <v>8</v>
      </c>
      <c r="J4384" s="337" t="s">
        <v>9</v>
      </c>
      <c r="K4384" s="4" t="s">
        <v>10</v>
      </c>
      <c r="L4384" s="4" t="s">
        <v>11</v>
      </c>
      <c r="M4384" s="4" t="s">
        <v>12</v>
      </c>
      <c r="N4384" s="4" t="s">
        <v>13</v>
      </c>
      <c r="O4384" s="4" t="s">
        <v>14</v>
      </c>
      <c r="P4384" s="4" t="s">
        <v>15</v>
      </c>
      <c r="Q4384" s="4" t="s">
        <v>16</v>
      </c>
      <c r="R4384" s="4" t="s">
        <v>17</v>
      </c>
      <c r="S4384" s="4" t="s">
        <v>18</v>
      </c>
      <c r="T4384" s="4" t="s">
        <v>19</v>
      </c>
      <c r="U4384" s="4" t="s">
        <v>20</v>
      </c>
      <c r="V4384" s="4" t="s">
        <v>21</v>
      </c>
      <c r="W4384" s="338" t="s">
        <v>22</v>
      </c>
      <c r="X4384" s="4" t="s">
        <v>23</v>
      </c>
      <c r="Y4384" s="4" t="s">
        <v>24</v>
      </c>
      <c r="Z4384" s="4" t="s">
        <v>25</v>
      </c>
      <c r="AA4384" s="4" t="s">
        <v>26</v>
      </c>
      <c r="AB4384" s="4" t="s">
        <v>27</v>
      </c>
      <c r="AC4384" s="4" t="s">
        <v>28</v>
      </c>
      <c r="AD4384" s="4" t="s">
        <v>29</v>
      </c>
      <c r="AE4384" s="4" t="s">
        <v>30</v>
      </c>
      <c r="AF4384" s="4" t="s">
        <v>31</v>
      </c>
      <c r="AG4384" s="4" t="s">
        <v>32</v>
      </c>
      <c r="AH4384" s="4" t="s">
        <v>33</v>
      </c>
      <c r="AI4384" s="4" t="s">
        <v>34</v>
      </c>
      <c r="AJ4384" s="338" t="s">
        <v>35</v>
      </c>
      <c r="AK4384" s="4" t="s">
        <v>4607</v>
      </c>
      <c r="AL4384" s="4" t="s">
        <v>4608</v>
      </c>
      <c r="AM4384" s="4" t="s">
        <v>4609</v>
      </c>
      <c r="AN4384" s="4" t="s">
        <v>4610</v>
      </c>
      <c r="AO4384" s="4" t="s">
        <v>4611</v>
      </c>
      <c r="AP4384" s="4" t="s">
        <v>4612</v>
      </c>
      <c r="AQ4384" s="4" t="s">
        <v>4613</v>
      </c>
      <c r="AR4384" s="4" t="s">
        <v>4614</v>
      </c>
      <c r="AS4384" s="4" t="s">
        <v>4615</v>
      </c>
      <c r="AT4384" s="4" t="s">
        <v>4616</v>
      </c>
      <c r="AU4384" s="4" t="s">
        <v>4617</v>
      </c>
      <c r="AV4384" s="4" t="s">
        <v>4618</v>
      </c>
      <c r="AW4384" s="338" t="s">
        <v>4619</v>
      </c>
      <c r="AX4384" s="6" t="s">
        <v>36</v>
      </c>
    </row>
    <row r="4385" spans="2:50" x14ac:dyDescent="0.2">
      <c r="B4385" s="7"/>
      <c r="C4385" s="8">
        <v>14656</v>
      </c>
      <c r="D4385" s="9" t="s">
        <v>340</v>
      </c>
      <c r="E4385" s="10" t="str">
        <f t="shared" si="486"/>
        <v>Rancho Romeral No. 17</v>
      </c>
      <c r="F4385" s="10" t="str">
        <f t="shared" si="487"/>
        <v>Aguilar Lomelí</v>
      </c>
      <c r="G4385" s="8">
        <v>5</v>
      </c>
      <c r="H4385" s="11">
        <v>100</v>
      </c>
      <c r="I4385" s="12">
        <v>42918</v>
      </c>
      <c r="J4385" s="35">
        <f t="shared" si="488"/>
        <v>0</v>
      </c>
      <c r="K4385" s="36"/>
      <c r="L4385" s="36"/>
      <c r="M4385" s="36"/>
      <c r="N4385" s="36"/>
      <c r="O4385" s="36"/>
      <c r="P4385" s="36"/>
      <c r="Q4385" s="36"/>
      <c r="R4385" s="36"/>
      <c r="S4385" s="36"/>
      <c r="T4385" s="36"/>
      <c r="U4385" s="36"/>
      <c r="V4385" s="36"/>
      <c r="W4385" s="15">
        <f t="shared" si="489"/>
        <v>0</v>
      </c>
      <c r="X4385" s="36"/>
      <c r="Y4385" s="36"/>
      <c r="Z4385" s="36"/>
      <c r="AA4385" s="36"/>
      <c r="AB4385" s="36"/>
      <c r="AC4385" s="36"/>
      <c r="AD4385" s="36"/>
      <c r="AE4385" s="36"/>
      <c r="AF4385" s="36"/>
      <c r="AG4385" s="36"/>
      <c r="AH4385" s="36"/>
      <c r="AI4385" s="36"/>
      <c r="AJ4385" s="15">
        <f t="shared" si="490"/>
        <v>0</v>
      </c>
      <c r="AK4385" s="14"/>
      <c r="AL4385" s="14"/>
      <c r="AM4385" s="14"/>
      <c r="AN4385" s="14"/>
      <c r="AO4385" s="14"/>
      <c r="AP4385" s="14"/>
      <c r="AQ4385" s="14"/>
      <c r="AR4385" s="14"/>
      <c r="AS4385" s="14"/>
      <c r="AT4385" s="14"/>
      <c r="AU4385" s="14"/>
      <c r="AV4385" s="14"/>
      <c r="AW4385" s="15"/>
      <c r="AX4385" s="16"/>
    </row>
    <row r="4386" spans="2:50" x14ac:dyDescent="0.2">
      <c r="B4386" s="7"/>
      <c r="C4386" s="8">
        <v>14657</v>
      </c>
      <c r="D4386" s="9" t="s">
        <v>192</v>
      </c>
      <c r="E4386" s="10" t="str">
        <f t="shared" si="486"/>
        <v>Rancho Landero No. 77</v>
      </c>
      <c r="F4386" s="10" t="str">
        <f t="shared" si="487"/>
        <v>Muñoz</v>
      </c>
      <c r="G4386" s="8">
        <v>1</v>
      </c>
      <c r="H4386" s="11">
        <v>800</v>
      </c>
      <c r="I4386" s="12">
        <v>42918</v>
      </c>
      <c r="J4386" s="35">
        <f t="shared" si="488"/>
        <v>0</v>
      </c>
      <c r="K4386" s="36"/>
      <c r="L4386" s="36"/>
      <c r="M4386" s="36"/>
      <c r="N4386" s="36"/>
      <c r="O4386" s="36"/>
      <c r="P4386" s="36"/>
      <c r="Q4386" s="36"/>
      <c r="R4386" s="36"/>
      <c r="S4386" s="36"/>
      <c r="T4386" s="36"/>
      <c r="U4386" s="36"/>
      <c r="V4386" s="36"/>
      <c r="W4386" s="15">
        <f t="shared" si="489"/>
        <v>0</v>
      </c>
      <c r="X4386" s="36"/>
      <c r="Y4386" s="36"/>
      <c r="Z4386" s="36"/>
      <c r="AA4386" s="36"/>
      <c r="AB4386" s="36">
        <v>400</v>
      </c>
      <c r="AC4386" s="36">
        <v>400</v>
      </c>
      <c r="AD4386" s="36"/>
      <c r="AE4386" s="36"/>
      <c r="AF4386" s="36"/>
      <c r="AG4386" s="36"/>
      <c r="AH4386" s="36"/>
      <c r="AI4386" s="36"/>
      <c r="AJ4386" s="15">
        <f t="shared" si="490"/>
        <v>800</v>
      </c>
      <c r="AK4386" s="14"/>
      <c r="AL4386" s="14"/>
      <c r="AM4386" s="14"/>
      <c r="AN4386" s="14"/>
      <c r="AO4386" s="14"/>
      <c r="AP4386" s="14"/>
      <c r="AQ4386" s="14"/>
      <c r="AR4386" s="14"/>
      <c r="AS4386" s="14"/>
      <c r="AT4386" s="14"/>
      <c r="AU4386" s="14"/>
      <c r="AV4386" s="14"/>
      <c r="AW4386" s="15"/>
      <c r="AX4386" s="16"/>
    </row>
    <row r="4387" spans="2:50" x14ac:dyDescent="0.2">
      <c r="B4387" s="7"/>
      <c r="C4387" s="8">
        <v>14658</v>
      </c>
      <c r="D4387" s="9" t="s">
        <v>156</v>
      </c>
      <c r="E4387" s="10" t="str">
        <f t="shared" si="486"/>
        <v>Rancho Zinamba No. 80</v>
      </c>
      <c r="F4387" s="10" t="str">
        <f t="shared" si="487"/>
        <v>Vázquez</v>
      </c>
      <c r="G4387" s="8">
        <v>1</v>
      </c>
      <c r="H4387" s="11">
        <v>300</v>
      </c>
      <c r="I4387" s="12">
        <v>42918</v>
      </c>
      <c r="J4387" s="35">
        <f t="shared" si="488"/>
        <v>0</v>
      </c>
      <c r="K4387" s="36"/>
      <c r="L4387" s="36"/>
      <c r="M4387" s="36"/>
      <c r="N4387" s="36"/>
      <c r="O4387" s="36"/>
      <c r="P4387" s="36"/>
      <c r="Q4387" s="36"/>
      <c r="R4387" s="36"/>
      <c r="S4387" s="36"/>
      <c r="T4387" s="36"/>
      <c r="U4387" s="36"/>
      <c r="V4387" s="36"/>
      <c r="W4387" s="15">
        <f t="shared" si="489"/>
        <v>0</v>
      </c>
      <c r="X4387" s="36"/>
      <c r="Y4387" s="36"/>
      <c r="Z4387" s="36"/>
      <c r="AA4387" s="36"/>
      <c r="AB4387" s="36"/>
      <c r="AC4387" s="36"/>
      <c r="AD4387" s="36">
        <v>300</v>
      </c>
      <c r="AE4387" s="36"/>
      <c r="AF4387" s="36"/>
      <c r="AG4387" s="36"/>
      <c r="AH4387" s="36"/>
      <c r="AI4387" s="36"/>
      <c r="AJ4387" s="15">
        <f t="shared" si="490"/>
        <v>300</v>
      </c>
      <c r="AK4387" s="14"/>
      <c r="AL4387" s="14"/>
      <c r="AM4387" s="14"/>
      <c r="AN4387" s="14"/>
      <c r="AO4387" s="14"/>
      <c r="AP4387" s="14"/>
      <c r="AQ4387" s="14"/>
      <c r="AR4387" s="14"/>
      <c r="AS4387" s="14"/>
      <c r="AT4387" s="14"/>
      <c r="AU4387" s="14"/>
      <c r="AV4387" s="14"/>
      <c r="AW4387" s="15"/>
      <c r="AX4387" s="16"/>
    </row>
    <row r="4388" spans="2:50" x14ac:dyDescent="0.2">
      <c r="B4388" s="7"/>
      <c r="C4388" s="8">
        <v>14659</v>
      </c>
      <c r="D4388" s="9" t="s">
        <v>265</v>
      </c>
      <c r="E4388" s="10" t="str">
        <f t="shared" si="486"/>
        <v>Rancho Upácuaro No. 85</v>
      </c>
      <c r="F4388" s="10" t="str">
        <f t="shared" si="487"/>
        <v>Del Toro Huerta</v>
      </c>
      <c r="G4388" s="8">
        <v>1</v>
      </c>
      <c r="H4388" s="11">
        <v>400</v>
      </c>
      <c r="I4388" s="12">
        <v>42918</v>
      </c>
      <c r="J4388" s="35">
        <f t="shared" si="488"/>
        <v>0</v>
      </c>
      <c r="K4388" s="36"/>
      <c r="L4388" s="36"/>
      <c r="M4388" s="36"/>
      <c r="N4388" s="36"/>
      <c r="O4388" s="36"/>
      <c r="P4388" s="36"/>
      <c r="Q4388" s="36"/>
      <c r="R4388" s="36"/>
      <c r="S4388" s="36"/>
      <c r="T4388" s="36"/>
      <c r="U4388" s="36"/>
      <c r="V4388" s="36"/>
      <c r="W4388" s="15">
        <f t="shared" si="489"/>
        <v>0</v>
      </c>
      <c r="X4388" s="36"/>
      <c r="Y4388" s="36"/>
      <c r="Z4388" s="36"/>
      <c r="AA4388" s="36"/>
      <c r="AB4388" s="36"/>
      <c r="AC4388" s="36"/>
      <c r="AD4388" s="36">
        <v>400</v>
      </c>
      <c r="AE4388" s="36"/>
      <c r="AF4388" s="36"/>
      <c r="AG4388" s="36"/>
      <c r="AH4388" s="36"/>
      <c r="AI4388" s="36"/>
      <c r="AJ4388" s="15">
        <f t="shared" si="490"/>
        <v>400</v>
      </c>
      <c r="AK4388" s="14"/>
      <c r="AL4388" s="14"/>
      <c r="AM4388" s="14"/>
      <c r="AN4388" s="14"/>
      <c r="AO4388" s="14"/>
      <c r="AP4388" s="14"/>
      <c r="AQ4388" s="14"/>
      <c r="AR4388" s="14"/>
      <c r="AS4388" s="14"/>
      <c r="AT4388" s="14"/>
      <c r="AU4388" s="14"/>
      <c r="AV4388" s="14"/>
      <c r="AW4388" s="15"/>
      <c r="AX4388" s="16"/>
    </row>
    <row r="4389" spans="2:50" x14ac:dyDescent="0.2">
      <c r="B4389" s="7"/>
      <c r="C4389" s="8">
        <v>14660</v>
      </c>
      <c r="D4389" s="9" t="s">
        <v>737</v>
      </c>
      <c r="E4389" s="10" t="str">
        <f t="shared" si="486"/>
        <v>Rancho Romeral No. 9, A</v>
      </c>
      <c r="F4389" s="10" t="str">
        <f t="shared" si="487"/>
        <v>Quiñones Hernández</v>
      </c>
      <c r="G4389" s="8">
        <v>1</v>
      </c>
      <c r="H4389" s="11">
        <v>1200</v>
      </c>
      <c r="I4389" s="12">
        <v>42918</v>
      </c>
      <c r="J4389" s="35">
        <f t="shared" si="488"/>
        <v>0</v>
      </c>
      <c r="K4389" s="36"/>
      <c r="L4389" s="36"/>
      <c r="M4389" s="36"/>
      <c r="N4389" s="36"/>
      <c r="O4389" s="36"/>
      <c r="P4389" s="36"/>
      <c r="Q4389" s="36"/>
      <c r="R4389" s="36"/>
      <c r="S4389" s="36"/>
      <c r="T4389" s="36"/>
      <c r="U4389" s="36"/>
      <c r="V4389" s="36"/>
      <c r="W4389" s="15">
        <f t="shared" si="489"/>
        <v>0</v>
      </c>
      <c r="X4389" s="36"/>
      <c r="Y4389" s="36"/>
      <c r="Z4389" s="36"/>
      <c r="AA4389" s="36">
        <v>400</v>
      </c>
      <c r="AB4389" s="36">
        <v>400</v>
      </c>
      <c r="AC4389" s="36">
        <v>400</v>
      </c>
      <c r="AD4389" s="36"/>
      <c r="AE4389" s="36"/>
      <c r="AF4389" s="36"/>
      <c r="AG4389" s="36"/>
      <c r="AH4389" s="36"/>
      <c r="AI4389" s="36"/>
      <c r="AJ4389" s="15">
        <f t="shared" si="490"/>
        <v>1200</v>
      </c>
      <c r="AK4389" s="14"/>
      <c r="AL4389" s="14"/>
      <c r="AM4389" s="14"/>
      <c r="AN4389" s="14"/>
      <c r="AO4389" s="14"/>
      <c r="AP4389" s="14"/>
      <c r="AQ4389" s="14"/>
      <c r="AR4389" s="14"/>
      <c r="AS4389" s="14"/>
      <c r="AT4389" s="14"/>
      <c r="AU4389" s="14"/>
      <c r="AV4389" s="14"/>
      <c r="AW4389" s="15"/>
      <c r="AX4389" s="16"/>
    </row>
    <row r="4390" spans="2:50" x14ac:dyDescent="0.2">
      <c r="B4390" s="7"/>
      <c r="C4390" s="8">
        <v>14660</v>
      </c>
      <c r="D4390" s="9" t="s">
        <v>737</v>
      </c>
      <c r="E4390" s="10" t="str">
        <f t="shared" si="486"/>
        <v>Rancho Romeral No. 9, A</v>
      </c>
      <c r="F4390" s="10" t="str">
        <f t="shared" si="487"/>
        <v>Quiñones Hernández</v>
      </c>
      <c r="G4390" s="8">
        <v>5</v>
      </c>
      <c r="H4390" s="11">
        <v>50</v>
      </c>
      <c r="I4390" s="12">
        <v>42918</v>
      </c>
      <c r="J4390" s="35">
        <f t="shared" si="488"/>
        <v>0</v>
      </c>
      <c r="K4390" s="36"/>
      <c r="L4390" s="36"/>
      <c r="M4390" s="36"/>
      <c r="N4390" s="36"/>
      <c r="O4390" s="36"/>
      <c r="P4390" s="36"/>
      <c r="Q4390" s="36"/>
      <c r="R4390" s="36"/>
      <c r="S4390" s="36"/>
      <c r="T4390" s="36"/>
      <c r="U4390" s="36"/>
      <c r="V4390" s="36"/>
      <c r="W4390" s="15">
        <f t="shared" si="489"/>
        <v>0</v>
      </c>
      <c r="X4390" s="36"/>
      <c r="Y4390" s="36"/>
      <c r="Z4390" s="36"/>
      <c r="AA4390" s="36"/>
      <c r="AB4390" s="36"/>
      <c r="AC4390" s="36"/>
      <c r="AD4390" s="36"/>
      <c r="AE4390" s="36"/>
      <c r="AF4390" s="36"/>
      <c r="AG4390" s="36"/>
      <c r="AH4390" s="36"/>
      <c r="AI4390" s="36"/>
      <c r="AJ4390" s="15">
        <f t="shared" si="490"/>
        <v>0</v>
      </c>
      <c r="AK4390" s="14"/>
      <c r="AL4390" s="14"/>
      <c r="AM4390" s="14"/>
      <c r="AN4390" s="14"/>
      <c r="AO4390" s="14"/>
      <c r="AP4390" s="14"/>
      <c r="AQ4390" s="14"/>
      <c r="AR4390" s="14"/>
      <c r="AS4390" s="14"/>
      <c r="AT4390" s="14"/>
      <c r="AU4390" s="14"/>
      <c r="AV4390" s="14"/>
      <c r="AW4390" s="15"/>
      <c r="AX4390" s="16"/>
    </row>
    <row r="4391" spans="2:50" ht="12.75" customHeight="1" x14ac:dyDescent="0.2">
      <c r="B4391" s="7"/>
      <c r="C4391" s="8">
        <v>14661</v>
      </c>
      <c r="D4391" s="9" t="s">
        <v>100</v>
      </c>
      <c r="E4391" s="10" t="str">
        <f t="shared" si="486"/>
        <v>Rancho Upácuaro No. 32</v>
      </c>
      <c r="F4391" s="10" t="str">
        <f t="shared" si="487"/>
        <v>Sairafi Carmen</v>
      </c>
      <c r="G4391" s="8">
        <v>1</v>
      </c>
      <c r="H4391" s="11">
        <v>400</v>
      </c>
      <c r="I4391" s="12">
        <v>42918</v>
      </c>
      <c r="J4391" s="35">
        <f t="shared" si="488"/>
        <v>0</v>
      </c>
      <c r="K4391" s="36"/>
      <c r="L4391" s="36"/>
      <c r="M4391" s="36"/>
      <c r="N4391" s="36"/>
      <c r="O4391" s="36"/>
      <c r="P4391" s="36"/>
      <c r="Q4391" s="36"/>
      <c r="R4391" s="36"/>
      <c r="S4391" s="36"/>
      <c r="T4391" s="36"/>
      <c r="U4391" s="36"/>
      <c r="V4391" s="36"/>
      <c r="W4391" s="15">
        <f t="shared" si="489"/>
        <v>0</v>
      </c>
      <c r="X4391" s="36"/>
      <c r="Y4391" s="36"/>
      <c r="Z4391" s="36"/>
      <c r="AA4391" s="36"/>
      <c r="AB4391" s="36"/>
      <c r="AC4391" s="36"/>
      <c r="AD4391" s="36">
        <v>400</v>
      </c>
      <c r="AE4391" s="36"/>
      <c r="AF4391" s="36"/>
      <c r="AG4391" s="36"/>
      <c r="AH4391" s="36"/>
      <c r="AI4391" s="36"/>
      <c r="AJ4391" s="15">
        <f t="shared" si="490"/>
        <v>400</v>
      </c>
      <c r="AK4391" s="14"/>
      <c r="AL4391" s="14"/>
      <c r="AM4391" s="14"/>
      <c r="AN4391" s="14"/>
      <c r="AO4391" s="14"/>
      <c r="AP4391" s="14"/>
      <c r="AQ4391" s="14"/>
      <c r="AR4391" s="14"/>
      <c r="AS4391" s="14"/>
      <c r="AT4391" s="14"/>
      <c r="AU4391" s="14"/>
      <c r="AV4391" s="14"/>
      <c r="AW4391" s="15"/>
      <c r="AX4391" s="16"/>
    </row>
    <row r="4392" spans="2:50" ht="12" customHeight="1" x14ac:dyDescent="0.2">
      <c r="B4392" s="7"/>
      <c r="C4392" s="8">
        <v>14661</v>
      </c>
      <c r="D4392" s="9" t="s">
        <v>100</v>
      </c>
      <c r="E4392" s="10" t="str">
        <f t="shared" si="486"/>
        <v>Rancho Upácuaro No. 32</v>
      </c>
      <c r="F4392" s="10" t="str">
        <f t="shared" si="487"/>
        <v>Sairafi Carmen</v>
      </c>
      <c r="G4392" s="8">
        <v>5</v>
      </c>
      <c r="H4392" s="11">
        <v>50</v>
      </c>
      <c r="I4392" s="12">
        <v>42918</v>
      </c>
      <c r="J4392" s="35">
        <f t="shared" si="488"/>
        <v>0</v>
      </c>
      <c r="K4392" s="36"/>
      <c r="L4392" s="36"/>
      <c r="M4392" s="36"/>
      <c r="N4392" s="36"/>
      <c r="O4392" s="36"/>
      <c r="P4392" s="36"/>
      <c r="Q4392" s="36"/>
      <c r="R4392" s="36"/>
      <c r="S4392" s="36"/>
      <c r="T4392" s="36"/>
      <c r="U4392" s="36"/>
      <c r="V4392" s="36"/>
      <c r="W4392" s="15">
        <f t="shared" si="489"/>
        <v>0</v>
      </c>
      <c r="X4392" s="36"/>
      <c r="Y4392" s="36"/>
      <c r="Z4392" s="36"/>
      <c r="AA4392" s="36"/>
      <c r="AB4392" s="36"/>
      <c r="AC4392" s="36"/>
      <c r="AD4392" s="36"/>
      <c r="AE4392" s="36"/>
      <c r="AF4392" s="36"/>
      <c r="AG4392" s="36"/>
      <c r="AH4392" s="36"/>
      <c r="AI4392" s="36"/>
      <c r="AJ4392" s="15">
        <f t="shared" si="490"/>
        <v>0</v>
      </c>
      <c r="AK4392" s="14"/>
      <c r="AL4392" s="14"/>
      <c r="AM4392" s="14"/>
      <c r="AN4392" s="14"/>
      <c r="AO4392" s="14"/>
      <c r="AP4392" s="14"/>
      <c r="AQ4392" s="14"/>
      <c r="AR4392" s="14"/>
      <c r="AS4392" s="14"/>
      <c r="AT4392" s="14"/>
      <c r="AU4392" s="14"/>
      <c r="AV4392" s="14"/>
      <c r="AW4392" s="15"/>
      <c r="AX4392" s="16"/>
    </row>
    <row r="4393" spans="2:50" ht="12" customHeight="1" x14ac:dyDescent="0.2">
      <c r="B4393" s="7"/>
      <c r="C4393" s="8">
        <v>14662</v>
      </c>
      <c r="D4393" s="9" t="s">
        <v>177</v>
      </c>
      <c r="E4393" s="10" t="str">
        <f t="shared" si="486"/>
        <v>Rancho Landero No. 71</v>
      </c>
      <c r="F4393" s="10" t="str">
        <f t="shared" si="487"/>
        <v xml:space="preserve">Luna  </v>
      </c>
      <c r="G4393" s="8">
        <v>1</v>
      </c>
      <c r="H4393" s="11">
        <v>400</v>
      </c>
      <c r="I4393" s="12">
        <v>42918</v>
      </c>
      <c r="J4393" s="35">
        <f t="shared" si="488"/>
        <v>0</v>
      </c>
      <c r="K4393" s="36"/>
      <c r="L4393" s="36"/>
      <c r="M4393" s="36"/>
      <c r="N4393" s="36"/>
      <c r="O4393" s="36"/>
      <c r="P4393" s="36"/>
      <c r="Q4393" s="36"/>
      <c r="R4393" s="36"/>
      <c r="S4393" s="36"/>
      <c r="T4393" s="36"/>
      <c r="U4393" s="36"/>
      <c r="V4393" s="36"/>
      <c r="W4393" s="15">
        <f t="shared" si="489"/>
        <v>0</v>
      </c>
      <c r="X4393" s="36"/>
      <c r="Y4393" s="36"/>
      <c r="Z4393" s="36"/>
      <c r="AA4393" s="36"/>
      <c r="AB4393" s="36"/>
      <c r="AC4393" s="36">
        <v>400</v>
      </c>
      <c r="AD4393" s="36"/>
      <c r="AE4393" s="36"/>
      <c r="AF4393" s="36"/>
      <c r="AG4393" s="36"/>
      <c r="AH4393" s="36"/>
      <c r="AI4393" s="36"/>
      <c r="AJ4393" s="15">
        <f t="shared" si="490"/>
        <v>400</v>
      </c>
      <c r="AK4393" s="14"/>
      <c r="AL4393" s="14"/>
      <c r="AM4393" s="14"/>
      <c r="AN4393" s="14"/>
      <c r="AO4393" s="14"/>
      <c r="AP4393" s="14"/>
      <c r="AQ4393" s="14"/>
      <c r="AR4393" s="14"/>
      <c r="AS4393" s="14"/>
      <c r="AT4393" s="14"/>
      <c r="AU4393" s="14"/>
      <c r="AV4393" s="14"/>
      <c r="AW4393" s="15"/>
      <c r="AX4393" s="16"/>
    </row>
    <row r="4394" spans="2:50" ht="12" customHeight="1" x14ac:dyDescent="0.2">
      <c r="B4394" s="7"/>
      <c r="C4394" s="8">
        <v>14663</v>
      </c>
      <c r="D4394" s="9" t="s">
        <v>150</v>
      </c>
      <c r="E4394" s="10" t="str">
        <f t="shared" ref="E4394:E4420" si="496">IF(D4394=0,"",VLOOKUP(D4394,BASE,2,FALSE))</f>
        <v>Rancho La Cuchilla No. 33</v>
      </c>
      <c r="F4394" s="10" t="str">
        <f t="shared" ref="F4394:F4420" si="497">IF(D4394=0,"",VLOOKUP(D4394,BASE,3,FALSE))</f>
        <v>Tanús</v>
      </c>
      <c r="G4394" s="8">
        <v>1</v>
      </c>
      <c r="H4394" s="11">
        <v>400</v>
      </c>
      <c r="I4394" s="12">
        <v>42918</v>
      </c>
      <c r="J4394" s="35">
        <f t="shared" ref="J4394:J4420" si="498">IF(G4394=1,SUM(W4394,AJ4394,-H4394),0)</f>
        <v>0</v>
      </c>
      <c r="K4394" s="36"/>
      <c r="L4394" s="36"/>
      <c r="M4394" s="36"/>
      <c r="N4394" s="36"/>
      <c r="O4394" s="36"/>
      <c r="P4394" s="36"/>
      <c r="Q4394" s="36"/>
      <c r="R4394" s="36"/>
      <c r="S4394" s="36"/>
      <c r="T4394" s="36"/>
      <c r="U4394" s="36"/>
      <c r="V4394" s="36"/>
      <c r="W4394" s="15">
        <f t="shared" ref="W4394:W4420" si="499">SUM(K4394:V4394)</f>
        <v>0</v>
      </c>
      <c r="X4394" s="36"/>
      <c r="Y4394" s="36"/>
      <c r="Z4394" s="36"/>
      <c r="AA4394" s="36"/>
      <c r="AB4394" s="36"/>
      <c r="AC4394" s="36"/>
      <c r="AD4394" s="36">
        <v>400</v>
      </c>
      <c r="AE4394" s="36"/>
      <c r="AF4394" s="36"/>
      <c r="AG4394" s="36"/>
      <c r="AH4394" s="36"/>
      <c r="AI4394" s="36"/>
      <c r="AJ4394" s="15">
        <f t="shared" ref="AJ4394:AJ4420" si="500">SUM(X4394:AI4394)</f>
        <v>400</v>
      </c>
      <c r="AK4394" s="14"/>
      <c r="AL4394" s="14"/>
      <c r="AM4394" s="14"/>
      <c r="AN4394" s="14"/>
      <c r="AO4394" s="14"/>
      <c r="AP4394" s="14"/>
      <c r="AQ4394" s="14"/>
      <c r="AR4394" s="14"/>
      <c r="AS4394" s="14"/>
      <c r="AT4394" s="14"/>
      <c r="AU4394" s="14"/>
      <c r="AV4394" s="14"/>
      <c r="AW4394" s="15"/>
      <c r="AX4394" s="16"/>
    </row>
    <row r="4395" spans="2:50" ht="12" customHeight="1" x14ac:dyDescent="0.2">
      <c r="B4395" s="7"/>
      <c r="C4395" s="8">
        <v>14664</v>
      </c>
      <c r="D4395" s="9" t="s">
        <v>678</v>
      </c>
      <c r="E4395" s="10" t="str">
        <f t="shared" si="496"/>
        <v>Rancho Upácuaro No. 76</v>
      </c>
      <c r="F4395" s="10" t="str">
        <f t="shared" si="497"/>
        <v>Ruiz de San Pedro</v>
      </c>
      <c r="G4395" s="8">
        <v>1</v>
      </c>
      <c r="H4395" s="11">
        <v>400</v>
      </c>
      <c r="I4395" s="12">
        <v>42918</v>
      </c>
      <c r="J4395" s="35">
        <f t="shared" si="498"/>
        <v>0</v>
      </c>
      <c r="K4395" s="36"/>
      <c r="L4395" s="36"/>
      <c r="M4395" s="36"/>
      <c r="N4395" s="36"/>
      <c r="O4395" s="36"/>
      <c r="P4395" s="36"/>
      <c r="Q4395" s="36"/>
      <c r="R4395" s="36"/>
      <c r="S4395" s="36"/>
      <c r="T4395" s="36"/>
      <c r="U4395" s="36"/>
      <c r="V4395" s="36"/>
      <c r="W4395" s="15">
        <f t="shared" si="499"/>
        <v>0</v>
      </c>
      <c r="X4395" s="36"/>
      <c r="Y4395" s="36"/>
      <c r="Z4395" s="36"/>
      <c r="AA4395" s="36"/>
      <c r="AB4395" s="36"/>
      <c r="AC4395" s="36"/>
      <c r="AD4395" s="36">
        <v>400</v>
      </c>
      <c r="AE4395" s="36"/>
      <c r="AF4395" s="36"/>
      <c r="AG4395" s="36"/>
      <c r="AH4395" s="36"/>
      <c r="AI4395" s="36"/>
      <c r="AJ4395" s="15">
        <f t="shared" si="500"/>
        <v>400</v>
      </c>
      <c r="AK4395" s="14"/>
      <c r="AL4395" s="14"/>
      <c r="AM4395" s="14"/>
      <c r="AN4395" s="14"/>
      <c r="AO4395" s="14"/>
      <c r="AP4395" s="14"/>
      <c r="AQ4395" s="14"/>
      <c r="AR4395" s="14"/>
      <c r="AS4395" s="14"/>
      <c r="AT4395" s="14"/>
      <c r="AU4395" s="14"/>
      <c r="AV4395" s="14"/>
      <c r="AW4395" s="15"/>
      <c r="AX4395" s="16"/>
    </row>
    <row r="4396" spans="2:50" ht="12" customHeight="1" x14ac:dyDescent="0.2">
      <c r="B4396" s="7"/>
      <c r="C4396" s="8">
        <v>14665</v>
      </c>
      <c r="D4396" s="9" t="s">
        <v>3852</v>
      </c>
      <c r="E4396" s="10" t="str">
        <f t="shared" ref="E4396:E4406" si="501">IF(D4396=0,"",VLOOKUP(D4396,BASE,2,FALSE))</f>
        <v>Rancho Estopila No. 44_2</v>
      </c>
      <c r="F4396" s="10" t="str">
        <f t="shared" ref="F4396:F4406" si="502">IF(D4396=0,"",VLOOKUP(D4396,BASE,3,FALSE))</f>
        <v>Blanca Herrera</v>
      </c>
      <c r="G4396" s="8">
        <v>1</v>
      </c>
      <c r="H4396" s="11">
        <v>200</v>
      </c>
      <c r="I4396" s="12">
        <v>42918</v>
      </c>
      <c r="J4396" s="35">
        <f t="shared" ref="J4396:J4406" si="503">IF(G4396=1,SUM(W4396,AJ4396,-H4396),0)</f>
        <v>0</v>
      </c>
      <c r="K4396" s="36"/>
      <c r="L4396" s="36"/>
      <c r="M4396" s="36"/>
      <c r="N4396" s="36"/>
      <c r="O4396" s="36"/>
      <c r="P4396" s="36"/>
      <c r="Q4396" s="36"/>
      <c r="R4396" s="36"/>
      <c r="S4396" s="36"/>
      <c r="T4396" s="36"/>
      <c r="U4396" s="36"/>
      <c r="V4396" s="36"/>
      <c r="W4396" s="15">
        <f t="shared" ref="W4396:W4406" si="504">SUM(K4396:V4396)</f>
        <v>0</v>
      </c>
      <c r="X4396" s="36"/>
      <c r="Y4396" s="36"/>
      <c r="Z4396" s="36"/>
      <c r="AA4396" s="36"/>
      <c r="AB4396" s="36"/>
      <c r="AC4396" s="36"/>
      <c r="AD4396" s="36">
        <v>200</v>
      </c>
      <c r="AE4396" s="36"/>
      <c r="AF4396" s="36"/>
      <c r="AG4396" s="36"/>
      <c r="AH4396" s="36"/>
      <c r="AI4396" s="36"/>
      <c r="AJ4396" s="15">
        <f t="shared" ref="AJ4396:AJ4406" si="505">SUM(X4396:AI4396)</f>
        <v>200</v>
      </c>
      <c r="AK4396" s="14"/>
      <c r="AL4396" s="14"/>
      <c r="AM4396" s="14"/>
      <c r="AN4396" s="14"/>
      <c r="AO4396" s="14"/>
      <c r="AP4396" s="14"/>
      <c r="AQ4396" s="14"/>
      <c r="AR4396" s="14"/>
      <c r="AS4396" s="14"/>
      <c r="AT4396" s="14"/>
      <c r="AU4396" s="14"/>
      <c r="AV4396" s="14"/>
      <c r="AW4396" s="15"/>
      <c r="AX4396" s="16"/>
    </row>
    <row r="4397" spans="2:50" ht="12" customHeight="1" x14ac:dyDescent="0.2">
      <c r="B4397" s="7"/>
      <c r="C4397" s="8">
        <v>14666</v>
      </c>
      <c r="D4397" s="9" t="s">
        <v>455</v>
      </c>
      <c r="E4397" s="10" t="str">
        <f t="shared" si="501"/>
        <v>Rancho Zinamba No. 38</v>
      </c>
      <c r="F4397" s="10" t="str">
        <f t="shared" si="502"/>
        <v>Ramírez Díaz</v>
      </c>
      <c r="G4397" s="8">
        <v>1</v>
      </c>
      <c r="H4397" s="11">
        <v>400</v>
      </c>
      <c r="I4397" s="12">
        <v>42918</v>
      </c>
      <c r="J4397" s="35">
        <f t="shared" si="503"/>
        <v>0</v>
      </c>
      <c r="K4397" s="36"/>
      <c r="L4397" s="36"/>
      <c r="M4397" s="36"/>
      <c r="N4397" s="36"/>
      <c r="O4397" s="36"/>
      <c r="P4397" s="36"/>
      <c r="Q4397" s="36"/>
      <c r="R4397" s="36"/>
      <c r="S4397" s="36"/>
      <c r="T4397" s="36"/>
      <c r="U4397" s="36"/>
      <c r="V4397" s="36"/>
      <c r="W4397" s="15">
        <f t="shared" si="504"/>
        <v>0</v>
      </c>
      <c r="X4397" s="36"/>
      <c r="Y4397" s="36"/>
      <c r="Z4397" s="36"/>
      <c r="AA4397" s="36"/>
      <c r="AB4397" s="36"/>
      <c r="AC4397" s="36"/>
      <c r="AD4397" s="36">
        <v>400</v>
      </c>
      <c r="AE4397" s="36"/>
      <c r="AF4397" s="36"/>
      <c r="AG4397" s="36"/>
      <c r="AH4397" s="36"/>
      <c r="AI4397" s="36"/>
      <c r="AJ4397" s="15">
        <f t="shared" si="505"/>
        <v>400</v>
      </c>
      <c r="AK4397" s="14"/>
      <c r="AL4397" s="14"/>
      <c r="AM4397" s="14"/>
      <c r="AN4397" s="14"/>
      <c r="AO4397" s="14"/>
      <c r="AP4397" s="14"/>
      <c r="AQ4397" s="14"/>
      <c r="AR4397" s="14"/>
      <c r="AS4397" s="14"/>
      <c r="AT4397" s="14"/>
      <c r="AU4397" s="14"/>
      <c r="AV4397" s="14"/>
      <c r="AW4397" s="15"/>
      <c r="AX4397" s="16"/>
    </row>
    <row r="4398" spans="2:50" ht="12" customHeight="1" x14ac:dyDescent="0.2">
      <c r="B4398" s="7"/>
      <c r="C4398" s="8">
        <v>14666</v>
      </c>
      <c r="D4398" s="9" t="s">
        <v>455</v>
      </c>
      <c r="E4398" s="10" t="str">
        <f t="shared" si="501"/>
        <v>Rancho Zinamba No. 38</v>
      </c>
      <c r="F4398" s="10" t="str">
        <f t="shared" si="502"/>
        <v>Ramírez Díaz</v>
      </c>
      <c r="G4398" s="8">
        <v>5</v>
      </c>
      <c r="H4398" s="11">
        <v>50</v>
      </c>
      <c r="I4398" s="12">
        <v>42918</v>
      </c>
      <c r="J4398" s="35">
        <f t="shared" si="503"/>
        <v>0</v>
      </c>
      <c r="K4398" s="36"/>
      <c r="L4398" s="36"/>
      <c r="M4398" s="36"/>
      <c r="N4398" s="36"/>
      <c r="O4398" s="36"/>
      <c r="P4398" s="36"/>
      <c r="Q4398" s="36"/>
      <c r="R4398" s="36"/>
      <c r="S4398" s="36"/>
      <c r="T4398" s="36"/>
      <c r="U4398" s="36"/>
      <c r="V4398" s="36"/>
      <c r="W4398" s="15">
        <f t="shared" si="504"/>
        <v>0</v>
      </c>
      <c r="X4398" s="36"/>
      <c r="Y4398" s="36"/>
      <c r="Z4398" s="36"/>
      <c r="AA4398" s="36"/>
      <c r="AB4398" s="36"/>
      <c r="AC4398" s="36"/>
      <c r="AD4398" s="36"/>
      <c r="AE4398" s="36"/>
      <c r="AF4398" s="36"/>
      <c r="AG4398" s="36"/>
      <c r="AH4398" s="36"/>
      <c r="AI4398" s="36"/>
      <c r="AJ4398" s="15">
        <f t="shared" si="505"/>
        <v>0</v>
      </c>
      <c r="AK4398" s="14"/>
      <c r="AL4398" s="14"/>
      <c r="AM4398" s="14"/>
      <c r="AN4398" s="14"/>
      <c r="AO4398" s="14"/>
      <c r="AP4398" s="14"/>
      <c r="AQ4398" s="14"/>
      <c r="AR4398" s="14"/>
      <c r="AS4398" s="14"/>
      <c r="AT4398" s="14"/>
      <c r="AU4398" s="14"/>
      <c r="AV4398" s="14"/>
      <c r="AW4398" s="15"/>
      <c r="AX4398" s="16"/>
    </row>
    <row r="4399" spans="2:50" ht="12" customHeight="1" x14ac:dyDescent="0.2">
      <c r="B4399" s="7"/>
      <c r="C4399" s="8">
        <v>14667</v>
      </c>
      <c r="D4399" s="9" t="s">
        <v>797</v>
      </c>
      <c r="E4399" s="10" t="str">
        <f t="shared" si="501"/>
        <v>Rancho Recoveco No. 195</v>
      </c>
      <c r="F4399" s="10" t="str">
        <f t="shared" si="502"/>
        <v>Sandoval</v>
      </c>
      <c r="G4399" s="8">
        <v>1</v>
      </c>
      <c r="H4399" s="11">
        <v>400</v>
      </c>
      <c r="I4399" s="12">
        <v>42918</v>
      </c>
      <c r="J4399" s="35">
        <f t="shared" si="503"/>
        <v>0</v>
      </c>
      <c r="K4399" s="36"/>
      <c r="L4399" s="36"/>
      <c r="M4399" s="36"/>
      <c r="N4399" s="36"/>
      <c r="O4399" s="36"/>
      <c r="P4399" s="36"/>
      <c r="Q4399" s="36"/>
      <c r="R4399" s="36"/>
      <c r="S4399" s="36"/>
      <c r="T4399" s="36"/>
      <c r="U4399" s="36"/>
      <c r="V4399" s="36"/>
      <c r="W4399" s="15">
        <f t="shared" si="504"/>
        <v>0</v>
      </c>
      <c r="X4399" s="36"/>
      <c r="Y4399" s="36"/>
      <c r="Z4399" s="36"/>
      <c r="AA4399" s="36"/>
      <c r="AB4399" s="36"/>
      <c r="AC4399" s="36">
        <v>400</v>
      </c>
      <c r="AD4399" s="36"/>
      <c r="AE4399" s="36"/>
      <c r="AF4399" s="36"/>
      <c r="AG4399" s="36"/>
      <c r="AH4399" s="36"/>
      <c r="AI4399" s="36"/>
      <c r="AJ4399" s="15">
        <f t="shared" si="505"/>
        <v>400</v>
      </c>
      <c r="AK4399" s="14"/>
      <c r="AL4399" s="14"/>
      <c r="AM4399" s="14"/>
      <c r="AN4399" s="14"/>
      <c r="AO4399" s="14"/>
      <c r="AP4399" s="14"/>
      <c r="AQ4399" s="14"/>
      <c r="AR4399" s="14"/>
      <c r="AS4399" s="14"/>
      <c r="AT4399" s="14"/>
      <c r="AU4399" s="14"/>
      <c r="AV4399" s="14"/>
      <c r="AW4399" s="15"/>
      <c r="AX4399" s="16"/>
    </row>
    <row r="4400" spans="2:50" ht="12" customHeight="1" x14ac:dyDescent="0.2">
      <c r="B4400" s="7"/>
      <c r="C4400" s="8">
        <v>14668</v>
      </c>
      <c r="D4400" s="9" t="s">
        <v>238</v>
      </c>
      <c r="E4400" s="10" t="str">
        <f t="shared" si="501"/>
        <v>Rancho La Cuchilla No. 43, B</v>
      </c>
      <c r="F4400" s="10" t="str">
        <f t="shared" si="502"/>
        <v>Luna Albertano</v>
      </c>
      <c r="G4400" s="8">
        <v>1</v>
      </c>
      <c r="H4400" s="11">
        <v>125</v>
      </c>
      <c r="I4400" s="12">
        <v>42918</v>
      </c>
      <c r="J4400" s="35">
        <f t="shared" si="503"/>
        <v>0</v>
      </c>
      <c r="K4400" s="36"/>
      <c r="L4400" s="36"/>
      <c r="M4400" s="36"/>
      <c r="N4400" s="36"/>
      <c r="O4400" s="36"/>
      <c r="P4400" s="36"/>
      <c r="Q4400" s="36"/>
      <c r="R4400" s="36"/>
      <c r="S4400" s="36"/>
      <c r="T4400" s="36"/>
      <c r="U4400" s="36"/>
      <c r="V4400" s="36"/>
      <c r="W4400" s="15">
        <f t="shared" si="504"/>
        <v>0</v>
      </c>
      <c r="X4400" s="36"/>
      <c r="Y4400" s="36"/>
      <c r="Z4400" s="36"/>
      <c r="AA4400" s="36"/>
      <c r="AB4400" s="36"/>
      <c r="AC4400" s="36"/>
      <c r="AD4400" s="36">
        <v>125</v>
      </c>
      <c r="AE4400" s="36"/>
      <c r="AF4400" s="36"/>
      <c r="AG4400" s="36"/>
      <c r="AH4400" s="36"/>
      <c r="AI4400" s="36"/>
      <c r="AJ4400" s="15">
        <f t="shared" si="505"/>
        <v>125</v>
      </c>
      <c r="AK4400" s="14"/>
      <c r="AL4400" s="14"/>
      <c r="AM4400" s="14"/>
      <c r="AN4400" s="14"/>
      <c r="AO4400" s="14"/>
      <c r="AP4400" s="14"/>
      <c r="AQ4400" s="14"/>
      <c r="AR4400" s="14"/>
      <c r="AS4400" s="14"/>
      <c r="AT4400" s="14"/>
      <c r="AU4400" s="14"/>
      <c r="AV4400" s="14"/>
      <c r="AW4400" s="15"/>
      <c r="AX4400" s="16"/>
    </row>
    <row r="4401" spans="2:50" ht="12" customHeight="1" x14ac:dyDescent="0.2">
      <c r="B4401" s="7"/>
      <c r="C4401" s="8">
        <v>14669</v>
      </c>
      <c r="D4401" s="9" t="s">
        <v>84</v>
      </c>
      <c r="E4401" s="10" t="str">
        <f t="shared" si="501"/>
        <v>Rancho La Cuchilla No. 139</v>
      </c>
      <c r="F4401" s="10" t="str">
        <f t="shared" si="502"/>
        <v>Garcia</v>
      </c>
      <c r="G4401" s="8">
        <v>1</v>
      </c>
      <c r="H4401" s="11">
        <v>200</v>
      </c>
      <c r="I4401" s="12">
        <v>42918</v>
      </c>
      <c r="J4401" s="35">
        <f t="shared" si="503"/>
        <v>0</v>
      </c>
      <c r="K4401" s="36"/>
      <c r="L4401" s="36"/>
      <c r="M4401" s="36"/>
      <c r="N4401" s="36"/>
      <c r="O4401" s="36"/>
      <c r="P4401" s="36"/>
      <c r="Q4401" s="36"/>
      <c r="R4401" s="36"/>
      <c r="S4401" s="36"/>
      <c r="T4401" s="36"/>
      <c r="U4401" s="36"/>
      <c r="V4401" s="36"/>
      <c r="W4401" s="15">
        <f t="shared" si="504"/>
        <v>0</v>
      </c>
      <c r="X4401" s="36"/>
      <c r="Y4401" s="36"/>
      <c r="Z4401" s="36"/>
      <c r="AA4401" s="36"/>
      <c r="AB4401" s="36"/>
      <c r="AC4401" s="36"/>
      <c r="AD4401" s="36">
        <v>200</v>
      </c>
      <c r="AE4401" s="36"/>
      <c r="AF4401" s="36"/>
      <c r="AG4401" s="36"/>
      <c r="AH4401" s="36"/>
      <c r="AI4401" s="36"/>
      <c r="AJ4401" s="15">
        <f t="shared" si="505"/>
        <v>200</v>
      </c>
      <c r="AK4401" s="14"/>
      <c r="AL4401" s="14"/>
      <c r="AM4401" s="14"/>
      <c r="AN4401" s="14"/>
      <c r="AO4401" s="14"/>
      <c r="AP4401" s="14"/>
      <c r="AQ4401" s="14"/>
      <c r="AR4401" s="14"/>
      <c r="AS4401" s="14"/>
      <c r="AT4401" s="14"/>
      <c r="AU4401" s="14"/>
      <c r="AV4401" s="14"/>
      <c r="AW4401" s="15"/>
      <c r="AX4401" s="16"/>
    </row>
    <row r="4402" spans="2:50" ht="12" customHeight="1" x14ac:dyDescent="0.2">
      <c r="B4402" s="7"/>
      <c r="C4402" s="8">
        <v>14670</v>
      </c>
      <c r="D4402" s="9" t="s">
        <v>94</v>
      </c>
      <c r="E4402" s="10" t="str">
        <f t="shared" si="501"/>
        <v>Rancho Landero No. 42</v>
      </c>
      <c r="F4402" s="10" t="str">
        <f t="shared" si="502"/>
        <v>Ávila Fidel</v>
      </c>
      <c r="G4402" s="8">
        <v>1</v>
      </c>
      <c r="H4402" s="11">
        <v>400</v>
      </c>
      <c r="I4402" s="12">
        <v>42918</v>
      </c>
      <c r="J4402" s="35">
        <f t="shared" si="503"/>
        <v>0</v>
      </c>
      <c r="K4402" s="36"/>
      <c r="L4402" s="36"/>
      <c r="M4402" s="36"/>
      <c r="N4402" s="36"/>
      <c r="O4402" s="36"/>
      <c r="P4402" s="36"/>
      <c r="Q4402" s="36"/>
      <c r="R4402" s="36"/>
      <c r="S4402" s="36"/>
      <c r="T4402" s="36"/>
      <c r="U4402" s="36"/>
      <c r="V4402" s="36"/>
      <c r="W4402" s="15">
        <f t="shared" si="504"/>
        <v>0</v>
      </c>
      <c r="X4402" s="36"/>
      <c r="Y4402" s="36"/>
      <c r="Z4402" s="36"/>
      <c r="AA4402" s="36"/>
      <c r="AB4402" s="36"/>
      <c r="AC4402" s="36"/>
      <c r="AD4402" s="36">
        <v>400</v>
      </c>
      <c r="AE4402" s="36"/>
      <c r="AF4402" s="36"/>
      <c r="AG4402" s="36"/>
      <c r="AH4402" s="36"/>
      <c r="AI4402" s="36"/>
      <c r="AJ4402" s="15">
        <f t="shared" si="505"/>
        <v>400</v>
      </c>
      <c r="AK4402" s="14"/>
      <c r="AL4402" s="14"/>
      <c r="AM4402" s="14"/>
      <c r="AN4402" s="14"/>
      <c r="AO4402" s="14"/>
      <c r="AP4402" s="14"/>
      <c r="AQ4402" s="14"/>
      <c r="AR4402" s="14"/>
      <c r="AS4402" s="14"/>
      <c r="AT4402" s="14"/>
      <c r="AU4402" s="14"/>
      <c r="AV4402" s="14"/>
      <c r="AW4402" s="15"/>
      <c r="AX4402" s="16"/>
    </row>
    <row r="4403" spans="2:50" ht="12" customHeight="1" x14ac:dyDescent="0.2">
      <c r="B4403" s="7"/>
      <c r="C4403" s="8">
        <v>14671</v>
      </c>
      <c r="D4403" s="9" t="s">
        <v>162</v>
      </c>
      <c r="E4403" s="10" t="str">
        <f t="shared" si="501"/>
        <v>Rancho La Cuchilla No. 20</v>
      </c>
      <c r="F4403" s="10" t="str">
        <f t="shared" si="502"/>
        <v>Sánchez López</v>
      </c>
      <c r="G4403" s="8">
        <v>1</v>
      </c>
      <c r="H4403" s="11">
        <v>800</v>
      </c>
      <c r="I4403" s="12">
        <v>42918</v>
      </c>
      <c r="J4403" s="35">
        <f t="shared" si="503"/>
        <v>0</v>
      </c>
      <c r="K4403" s="36"/>
      <c r="L4403" s="36"/>
      <c r="M4403" s="36"/>
      <c r="N4403" s="36"/>
      <c r="O4403" s="36"/>
      <c r="P4403" s="36"/>
      <c r="Q4403" s="36"/>
      <c r="R4403" s="36"/>
      <c r="S4403" s="36"/>
      <c r="T4403" s="36"/>
      <c r="U4403" s="36"/>
      <c r="V4403" s="36"/>
      <c r="W4403" s="15">
        <f t="shared" si="504"/>
        <v>0</v>
      </c>
      <c r="X4403" s="36"/>
      <c r="Y4403" s="36"/>
      <c r="Z4403" s="36"/>
      <c r="AA4403" s="36"/>
      <c r="AB4403" s="36"/>
      <c r="AC4403" s="36"/>
      <c r="AD4403" s="36">
        <v>400</v>
      </c>
      <c r="AE4403" s="36">
        <v>400</v>
      </c>
      <c r="AF4403" s="36"/>
      <c r="AG4403" s="36"/>
      <c r="AH4403" s="36"/>
      <c r="AI4403" s="36"/>
      <c r="AJ4403" s="15">
        <f t="shared" si="505"/>
        <v>800</v>
      </c>
      <c r="AK4403" s="14"/>
      <c r="AL4403" s="14"/>
      <c r="AM4403" s="14"/>
      <c r="AN4403" s="14"/>
      <c r="AO4403" s="14"/>
      <c r="AP4403" s="14"/>
      <c r="AQ4403" s="14"/>
      <c r="AR4403" s="14"/>
      <c r="AS4403" s="14"/>
      <c r="AT4403" s="14"/>
      <c r="AU4403" s="14"/>
      <c r="AV4403" s="14"/>
      <c r="AW4403" s="15"/>
      <c r="AX4403" s="16"/>
    </row>
    <row r="4404" spans="2:50" ht="12" customHeight="1" x14ac:dyDescent="0.2">
      <c r="B4404" s="7"/>
      <c r="C4404" s="8">
        <v>14672</v>
      </c>
      <c r="D4404" s="9" t="s">
        <v>544</v>
      </c>
      <c r="E4404" s="10" t="str">
        <f t="shared" si="501"/>
        <v>Rancho Estanzuela No. 89</v>
      </c>
      <c r="F4404" s="10" t="str">
        <f t="shared" si="502"/>
        <v>Romero Ortiz</v>
      </c>
      <c r="G4404" s="8">
        <v>1</v>
      </c>
      <c r="H4404" s="11">
        <v>800</v>
      </c>
      <c r="I4404" s="12">
        <v>42918</v>
      </c>
      <c r="J4404" s="35">
        <f t="shared" si="503"/>
        <v>0</v>
      </c>
      <c r="K4404" s="36"/>
      <c r="L4404" s="36"/>
      <c r="M4404" s="36"/>
      <c r="N4404" s="36"/>
      <c r="O4404" s="36"/>
      <c r="P4404" s="36"/>
      <c r="Q4404" s="36"/>
      <c r="R4404" s="36"/>
      <c r="S4404" s="36"/>
      <c r="T4404" s="36"/>
      <c r="U4404" s="36"/>
      <c r="V4404" s="36"/>
      <c r="W4404" s="15">
        <f t="shared" si="504"/>
        <v>0</v>
      </c>
      <c r="X4404" s="36"/>
      <c r="Y4404" s="36"/>
      <c r="Z4404" s="36"/>
      <c r="AA4404" s="36"/>
      <c r="AB4404" s="36"/>
      <c r="AC4404" s="36">
        <v>400</v>
      </c>
      <c r="AD4404" s="36">
        <v>400</v>
      </c>
      <c r="AE4404" s="36"/>
      <c r="AF4404" s="36"/>
      <c r="AG4404" s="36"/>
      <c r="AH4404" s="36"/>
      <c r="AI4404" s="36"/>
      <c r="AJ4404" s="15">
        <f t="shared" si="505"/>
        <v>800</v>
      </c>
      <c r="AK4404" s="14"/>
      <c r="AL4404" s="14"/>
      <c r="AM4404" s="14"/>
      <c r="AN4404" s="14"/>
      <c r="AO4404" s="14"/>
      <c r="AP4404" s="14"/>
      <c r="AQ4404" s="14"/>
      <c r="AR4404" s="14"/>
      <c r="AS4404" s="14"/>
      <c r="AT4404" s="14"/>
      <c r="AU4404" s="14"/>
      <c r="AV4404" s="14"/>
      <c r="AW4404" s="15"/>
      <c r="AX4404" s="16"/>
    </row>
    <row r="4405" spans="2:50" ht="12" customHeight="1" x14ac:dyDescent="0.2">
      <c r="B4405" s="7"/>
      <c r="C4405" s="8">
        <v>14673</v>
      </c>
      <c r="D4405" s="9" t="s">
        <v>458</v>
      </c>
      <c r="E4405" s="10" t="str">
        <f t="shared" si="501"/>
        <v>Rancho Estanzuela No. 143, B</v>
      </c>
      <c r="F4405" s="10" t="str">
        <f t="shared" si="502"/>
        <v>López</v>
      </c>
      <c r="G4405" s="8">
        <v>1</v>
      </c>
      <c r="H4405" s="11">
        <v>800</v>
      </c>
      <c r="I4405" s="12">
        <v>42918</v>
      </c>
      <c r="J4405" s="35">
        <f t="shared" si="503"/>
        <v>0</v>
      </c>
      <c r="K4405" s="36"/>
      <c r="L4405" s="36"/>
      <c r="M4405" s="36"/>
      <c r="N4405" s="36"/>
      <c r="O4405" s="36"/>
      <c r="P4405" s="36"/>
      <c r="Q4405" s="36"/>
      <c r="R4405" s="36"/>
      <c r="S4405" s="36"/>
      <c r="T4405" s="36"/>
      <c r="U4405" s="36"/>
      <c r="V4405" s="36"/>
      <c r="W4405" s="15">
        <f t="shared" si="504"/>
        <v>0</v>
      </c>
      <c r="X4405" s="36"/>
      <c r="Y4405" s="36"/>
      <c r="Z4405" s="36"/>
      <c r="AA4405" s="36"/>
      <c r="AB4405" s="36"/>
      <c r="AC4405" s="36">
        <v>400</v>
      </c>
      <c r="AD4405" s="36">
        <v>400</v>
      </c>
      <c r="AE4405" s="36"/>
      <c r="AF4405" s="36"/>
      <c r="AG4405" s="36"/>
      <c r="AH4405" s="36"/>
      <c r="AI4405" s="36"/>
      <c r="AJ4405" s="15">
        <f t="shared" si="505"/>
        <v>800</v>
      </c>
      <c r="AK4405" s="14"/>
      <c r="AL4405" s="14"/>
      <c r="AM4405" s="14"/>
      <c r="AN4405" s="14"/>
      <c r="AO4405" s="14"/>
      <c r="AP4405" s="14"/>
      <c r="AQ4405" s="14"/>
      <c r="AR4405" s="14"/>
      <c r="AS4405" s="14"/>
      <c r="AT4405" s="14"/>
      <c r="AU4405" s="14"/>
      <c r="AV4405" s="14"/>
      <c r="AW4405" s="15"/>
      <c r="AX4405" s="16"/>
    </row>
    <row r="4406" spans="2:50" ht="12" customHeight="1" x14ac:dyDescent="0.2">
      <c r="B4406" s="7"/>
      <c r="C4406" s="8">
        <v>14674</v>
      </c>
      <c r="D4406" s="9" t="s">
        <v>325</v>
      </c>
      <c r="E4406" s="10" t="str">
        <f t="shared" si="501"/>
        <v>Rancho Upácuaro No. 120</v>
      </c>
      <c r="F4406" s="10" t="str">
        <f t="shared" si="502"/>
        <v>Rayas Rivera</v>
      </c>
      <c r="G4406" s="8">
        <v>1</v>
      </c>
      <c r="H4406" s="11">
        <v>400</v>
      </c>
      <c r="I4406" s="12">
        <v>42918</v>
      </c>
      <c r="J4406" s="35">
        <f t="shared" si="503"/>
        <v>0</v>
      </c>
      <c r="K4406" s="36"/>
      <c r="L4406" s="36"/>
      <c r="M4406" s="36"/>
      <c r="N4406" s="36"/>
      <c r="O4406" s="36"/>
      <c r="P4406" s="36"/>
      <c r="Q4406" s="36"/>
      <c r="R4406" s="36"/>
      <c r="S4406" s="36"/>
      <c r="T4406" s="36"/>
      <c r="U4406" s="36"/>
      <c r="V4406" s="36"/>
      <c r="W4406" s="15">
        <f t="shared" si="504"/>
        <v>0</v>
      </c>
      <c r="X4406" s="36"/>
      <c r="Y4406" s="36"/>
      <c r="Z4406" s="36"/>
      <c r="AA4406" s="36"/>
      <c r="AB4406" s="36"/>
      <c r="AC4406" s="36"/>
      <c r="AD4406" s="36">
        <v>400</v>
      </c>
      <c r="AE4406" s="36"/>
      <c r="AF4406" s="36"/>
      <c r="AG4406" s="36"/>
      <c r="AH4406" s="36"/>
      <c r="AI4406" s="36"/>
      <c r="AJ4406" s="15">
        <f t="shared" si="505"/>
        <v>400</v>
      </c>
      <c r="AK4406" s="14"/>
      <c r="AL4406" s="14"/>
      <c r="AM4406" s="14"/>
      <c r="AN4406" s="14"/>
      <c r="AO4406" s="14"/>
      <c r="AP4406" s="14"/>
      <c r="AQ4406" s="14"/>
      <c r="AR4406" s="14"/>
      <c r="AS4406" s="14"/>
      <c r="AT4406" s="14"/>
      <c r="AU4406" s="14"/>
      <c r="AV4406" s="14"/>
      <c r="AW4406" s="15"/>
      <c r="AX4406" s="16"/>
    </row>
    <row r="4407" spans="2:50" ht="12" customHeight="1" x14ac:dyDescent="0.2">
      <c r="B4407" s="7"/>
      <c r="C4407" s="8">
        <v>14675</v>
      </c>
      <c r="D4407" s="9" t="s">
        <v>340</v>
      </c>
      <c r="E4407" s="10" t="str">
        <f t="shared" si="496"/>
        <v>Rancho Romeral No. 17</v>
      </c>
      <c r="F4407" s="10" t="str">
        <f t="shared" si="497"/>
        <v>Aguilar Lomelí</v>
      </c>
      <c r="G4407" s="8">
        <v>5</v>
      </c>
      <c r="H4407" s="11">
        <v>50</v>
      </c>
      <c r="I4407" s="12">
        <v>42918</v>
      </c>
      <c r="J4407" s="35">
        <f t="shared" si="498"/>
        <v>0</v>
      </c>
      <c r="K4407" s="36"/>
      <c r="L4407" s="36"/>
      <c r="M4407" s="36"/>
      <c r="N4407" s="36"/>
      <c r="O4407" s="36"/>
      <c r="P4407" s="36"/>
      <c r="Q4407" s="36"/>
      <c r="R4407" s="36"/>
      <c r="S4407" s="36"/>
      <c r="T4407" s="36"/>
      <c r="U4407" s="36"/>
      <c r="V4407" s="36"/>
      <c r="W4407" s="15">
        <f t="shared" si="499"/>
        <v>0</v>
      </c>
      <c r="X4407" s="36"/>
      <c r="Y4407" s="36"/>
      <c r="Z4407" s="36"/>
      <c r="AA4407" s="36"/>
      <c r="AB4407" s="36"/>
      <c r="AC4407" s="36"/>
      <c r="AD4407" s="36"/>
      <c r="AE4407" s="36"/>
      <c r="AF4407" s="36"/>
      <c r="AG4407" s="36"/>
      <c r="AH4407" s="36"/>
      <c r="AI4407" s="36"/>
      <c r="AJ4407" s="15">
        <f t="shared" si="500"/>
        <v>0</v>
      </c>
      <c r="AK4407" s="14"/>
      <c r="AL4407" s="14"/>
      <c r="AM4407" s="14"/>
      <c r="AN4407" s="14"/>
      <c r="AO4407" s="14"/>
      <c r="AP4407" s="14"/>
      <c r="AQ4407" s="14"/>
      <c r="AR4407" s="14"/>
      <c r="AS4407" s="14"/>
      <c r="AT4407" s="14"/>
      <c r="AU4407" s="14"/>
      <c r="AV4407" s="14"/>
      <c r="AW4407" s="15"/>
      <c r="AX4407" s="16"/>
    </row>
    <row r="4408" spans="2:50" ht="12" customHeight="1" x14ac:dyDescent="0.2">
      <c r="B4408" s="7"/>
      <c r="C4408" s="8">
        <v>14676</v>
      </c>
      <c r="D4408" s="9" t="s">
        <v>307</v>
      </c>
      <c r="E4408" s="10" t="str">
        <f t="shared" si="496"/>
        <v>Rancho Landero No. 83</v>
      </c>
      <c r="F4408" s="10" t="str">
        <f t="shared" si="497"/>
        <v>Aguilar</v>
      </c>
      <c r="G4408" s="8">
        <v>1</v>
      </c>
      <c r="H4408" s="11">
        <v>300</v>
      </c>
      <c r="I4408" s="12">
        <v>42918</v>
      </c>
      <c r="J4408" s="35">
        <f t="shared" si="498"/>
        <v>0</v>
      </c>
      <c r="K4408" s="36"/>
      <c r="L4408" s="36"/>
      <c r="M4408" s="36"/>
      <c r="N4408" s="36"/>
      <c r="O4408" s="36"/>
      <c r="P4408" s="36"/>
      <c r="Q4408" s="36"/>
      <c r="R4408" s="36"/>
      <c r="S4408" s="36"/>
      <c r="T4408" s="36"/>
      <c r="U4408" s="36"/>
      <c r="V4408" s="36"/>
      <c r="W4408" s="15">
        <f t="shared" si="499"/>
        <v>0</v>
      </c>
      <c r="X4408" s="36"/>
      <c r="Y4408" s="36"/>
      <c r="Z4408" s="36"/>
      <c r="AA4408" s="36"/>
      <c r="AB4408" s="36"/>
      <c r="AC4408" s="36"/>
      <c r="AD4408" s="36">
        <v>300</v>
      </c>
      <c r="AE4408" s="36"/>
      <c r="AF4408" s="36"/>
      <c r="AG4408" s="36"/>
      <c r="AH4408" s="36"/>
      <c r="AI4408" s="36"/>
      <c r="AJ4408" s="15">
        <f t="shared" si="500"/>
        <v>300</v>
      </c>
      <c r="AK4408" s="14"/>
      <c r="AL4408" s="14"/>
      <c r="AM4408" s="14"/>
      <c r="AN4408" s="14"/>
      <c r="AO4408" s="14"/>
      <c r="AP4408" s="14"/>
      <c r="AQ4408" s="14"/>
      <c r="AR4408" s="14"/>
      <c r="AS4408" s="14"/>
      <c r="AT4408" s="14"/>
      <c r="AU4408" s="14"/>
      <c r="AV4408" s="14"/>
      <c r="AW4408" s="15"/>
      <c r="AX4408" s="16"/>
    </row>
    <row r="4409" spans="2:50" ht="12" customHeight="1" x14ac:dyDescent="0.2">
      <c r="B4409" s="7"/>
      <c r="C4409" s="8">
        <v>14677</v>
      </c>
      <c r="D4409" s="9" t="s">
        <v>520</v>
      </c>
      <c r="E4409" s="10" t="str">
        <f t="shared" si="496"/>
        <v>Rancho Landero No. 38</v>
      </c>
      <c r="F4409" s="10" t="str">
        <f t="shared" si="497"/>
        <v>Sánchez Peña</v>
      </c>
      <c r="G4409" s="8">
        <v>1</v>
      </c>
      <c r="H4409" s="11">
        <v>800</v>
      </c>
      <c r="I4409" s="12">
        <v>42918</v>
      </c>
      <c r="J4409" s="35">
        <f t="shared" si="498"/>
        <v>0</v>
      </c>
      <c r="K4409" s="36"/>
      <c r="L4409" s="36"/>
      <c r="M4409" s="36"/>
      <c r="N4409" s="36"/>
      <c r="O4409" s="36"/>
      <c r="P4409" s="36"/>
      <c r="Q4409" s="36"/>
      <c r="R4409" s="36"/>
      <c r="S4409" s="36"/>
      <c r="T4409" s="36"/>
      <c r="U4409" s="36"/>
      <c r="V4409" s="36"/>
      <c r="W4409" s="15">
        <f t="shared" si="499"/>
        <v>0</v>
      </c>
      <c r="X4409" s="36"/>
      <c r="Y4409" s="36"/>
      <c r="Z4409" s="36"/>
      <c r="AA4409" s="36"/>
      <c r="AB4409" s="36"/>
      <c r="AC4409" s="36"/>
      <c r="AD4409" s="36">
        <v>400</v>
      </c>
      <c r="AE4409" s="36">
        <v>400</v>
      </c>
      <c r="AF4409" s="36"/>
      <c r="AG4409" s="36"/>
      <c r="AH4409" s="36"/>
      <c r="AI4409" s="36"/>
      <c r="AJ4409" s="15">
        <f t="shared" si="500"/>
        <v>800</v>
      </c>
      <c r="AK4409" s="14"/>
      <c r="AL4409" s="14"/>
      <c r="AM4409" s="14"/>
      <c r="AN4409" s="14"/>
      <c r="AO4409" s="14"/>
      <c r="AP4409" s="14"/>
      <c r="AQ4409" s="14"/>
      <c r="AR4409" s="14"/>
      <c r="AS4409" s="14"/>
      <c r="AT4409" s="14"/>
      <c r="AU4409" s="14"/>
      <c r="AV4409" s="14"/>
      <c r="AW4409" s="15"/>
      <c r="AX4409" s="16"/>
    </row>
    <row r="4410" spans="2:50" ht="12" customHeight="1" x14ac:dyDescent="0.2">
      <c r="B4410" s="7"/>
      <c r="C4410" s="8">
        <v>14678</v>
      </c>
      <c r="D4410" s="9" t="s">
        <v>97</v>
      </c>
      <c r="E4410" s="10" t="str">
        <f t="shared" si="496"/>
        <v>Rancho La Cuchilla No. 78</v>
      </c>
      <c r="F4410" s="10" t="str">
        <f t="shared" si="497"/>
        <v>García</v>
      </c>
      <c r="G4410" s="8">
        <v>1</v>
      </c>
      <c r="H4410" s="11">
        <v>300</v>
      </c>
      <c r="I4410" s="12">
        <v>42918</v>
      </c>
      <c r="J4410" s="35">
        <f t="shared" si="498"/>
        <v>0</v>
      </c>
      <c r="K4410" s="36"/>
      <c r="L4410" s="36"/>
      <c r="M4410" s="36"/>
      <c r="N4410" s="36"/>
      <c r="O4410" s="36"/>
      <c r="P4410" s="36"/>
      <c r="Q4410" s="36"/>
      <c r="R4410" s="36"/>
      <c r="S4410" s="36"/>
      <c r="T4410" s="36"/>
      <c r="U4410" s="36"/>
      <c r="V4410" s="36"/>
      <c r="W4410" s="15">
        <f t="shared" si="499"/>
        <v>0</v>
      </c>
      <c r="X4410" s="36"/>
      <c r="Y4410" s="36"/>
      <c r="Z4410" s="36"/>
      <c r="AA4410" s="36"/>
      <c r="AB4410" s="36"/>
      <c r="AC4410" s="36"/>
      <c r="AD4410" s="36">
        <v>300</v>
      </c>
      <c r="AE4410" s="36"/>
      <c r="AF4410" s="36"/>
      <c r="AG4410" s="36"/>
      <c r="AH4410" s="36"/>
      <c r="AI4410" s="36"/>
      <c r="AJ4410" s="15">
        <f t="shared" si="500"/>
        <v>300</v>
      </c>
      <c r="AK4410" s="14"/>
      <c r="AL4410" s="14"/>
      <c r="AM4410" s="14"/>
      <c r="AN4410" s="14"/>
      <c r="AO4410" s="14"/>
      <c r="AP4410" s="14"/>
      <c r="AQ4410" s="14"/>
      <c r="AR4410" s="14"/>
      <c r="AS4410" s="14"/>
      <c r="AT4410" s="14"/>
      <c r="AU4410" s="14"/>
      <c r="AV4410" s="14"/>
      <c r="AW4410" s="15"/>
      <c r="AX4410" s="16"/>
    </row>
    <row r="4411" spans="2:50" ht="12" customHeight="1" x14ac:dyDescent="0.2">
      <c r="B4411" s="7"/>
      <c r="C4411" s="8">
        <v>14679</v>
      </c>
      <c r="D4411" s="9" t="s">
        <v>97</v>
      </c>
      <c r="E4411" s="10" t="str">
        <f t="shared" si="496"/>
        <v>Rancho La Cuchilla No. 78</v>
      </c>
      <c r="F4411" s="10" t="str">
        <f t="shared" si="497"/>
        <v>García</v>
      </c>
      <c r="G4411" s="8">
        <v>3</v>
      </c>
      <c r="H4411" s="11">
        <v>200</v>
      </c>
      <c r="I4411" s="12">
        <v>42918</v>
      </c>
      <c r="J4411" s="35">
        <f t="shared" si="498"/>
        <v>0</v>
      </c>
      <c r="K4411" s="36"/>
      <c r="L4411" s="36"/>
      <c r="M4411" s="36"/>
      <c r="N4411" s="36"/>
      <c r="O4411" s="36"/>
      <c r="P4411" s="36"/>
      <c r="Q4411" s="36"/>
      <c r="R4411" s="36"/>
      <c r="S4411" s="36"/>
      <c r="T4411" s="36"/>
      <c r="U4411" s="36"/>
      <c r="V4411" s="36"/>
      <c r="W4411" s="15">
        <f t="shared" si="499"/>
        <v>0</v>
      </c>
      <c r="X4411" s="36"/>
      <c r="Y4411" s="36"/>
      <c r="Z4411" s="36"/>
      <c r="AA4411" s="36"/>
      <c r="AB4411" s="36"/>
      <c r="AC4411" s="36"/>
      <c r="AD4411" s="36"/>
      <c r="AE4411" s="36"/>
      <c r="AF4411" s="36"/>
      <c r="AG4411" s="36"/>
      <c r="AH4411" s="36"/>
      <c r="AI4411" s="36"/>
      <c r="AJ4411" s="15">
        <f t="shared" si="500"/>
        <v>0</v>
      </c>
      <c r="AK4411" s="14"/>
      <c r="AL4411" s="14"/>
      <c r="AM4411" s="14"/>
      <c r="AN4411" s="14"/>
      <c r="AO4411" s="14"/>
      <c r="AP4411" s="14"/>
      <c r="AQ4411" s="14"/>
      <c r="AR4411" s="14"/>
      <c r="AS4411" s="14"/>
      <c r="AT4411" s="14"/>
      <c r="AU4411" s="14"/>
      <c r="AV4411" s="14"/>
      <c r="AW4411" s="15"/>
      <c r="AX4411" s="16"/>
    </row>
    <row r="4412" spans="2:50" ht="12" customHeight="1" x14ac:dyDescent="0.2">
      <c r="B4412" s="7"/>
      <c r="C4412" s="8">
        <v>14680</v>
      </c>
      <c r="D4412" s="9" t="s">
        <v>625</v>
      </c>
      <c r="E4412" s="10" t="str">
        <f t="shared" si="496"/>
        <v>Rancho Upácuaro No. 60</v>
      </c>
      <c r="F4412" s="10" t="str">
        <f t="shared" si="497"/>
        <v>Zavala</v>
      </c>
      <c r="G4412" s="8">
        <v>1</v>
      </c>
      <c r="H4412" s="11">
        <v>800</v>
      </c>
      <c r="I4412" s="12">
        <v>42918</v>
      </c>
      <c r="J4412" s="35">
        <f t="shared" si="498"/>
        <v>0</v>
      </c>
      <c r="K4412" s="36"/>
      <c r="L4412" s="36"/>
      <c r="M4412" s="36"/>
      <c r="N4412" s="36"/>
      <c r="O4412" s="36"/>
      <c r="P4412" s="36"/>
      <c r="Q4412" s="36"/>
      <c r="R4412" s="36"/>
      <c r="S4412" s="36"/>
      <c r="T4412" s="36"/>
      <c r="U4412" s="36"/>
      <c r="V4412" s="36"/>
      <c r="W4412" s="15">
        <f t="shared" si="499"/>
        <v>0</v>
      </c>
      <c r="X4412" s="36"/>
      <c r="Y4412" s="36"/>
      <c r="Z4412" s="36"/>
      <c r="AA4412" s="36"/>
      <c r="AB4412" s="36">
        <v>400</v>
      </c>
      <c r="AC4412" s="36">
        <v>400</v>
      </c>
      <c r="AD4412" s="36"/>
      <c r="AE4412" s="36"/>
      <c r="AF4412" s="36"/>
      <c r="AG4412" s="36"/>
      <c r="AH4412" s="36"/>
      <c r="AI4412" s="36"/>
      <c r="AJ4412" s="15">
        <f t="shared" si="500"/>
        <v>800</v>
      </c>
      <c r="AK4412" s="14"/>
      <c r="AL4412" s="14"/>
      <c r="AM4412" s="14"/>
      <c r="AN4412" s="14"/>
      <c r="AO4412" s="14"/>
      <c r="AP4412" s="14"/>
      <c r="AQ4412" s="14"/>
      <c r="AR4412" s="14"/>
      <c r="AS4412" s="14"/>
      <c r="AT4412" s="14"/>
      <c r="AU4412" s="14"/>
      <c r="AV4412" s="14"/>
      <c r="AW4412" s="15"/>
      <c r="AX4412" s="16"/>
    </row>
    <row r="4413" spans="2:50" ht="12" customHeight="1" x14ac:dyDescent="0.2">
      <c r="B4413" s="7"/>
      <c r="C4413" s="8">
        <v>14681</v>
      </c>
      <c r="D4413" s="9" t="s">
        <v>846</v>
      </c>
      <c r="E4413" s="10" t="str">
        <f t="shared" si="496"/>
        <v>Rancho Estanzuela No. 95</v>
      </c>
      <c r="F4413" s="10" t="str">
        <f t="shared" si="497"/>
        <v>Castro Puente</v>
      </c>
      <c r="G4413" s="8">
        <v>1</v>
      </c>
      <c r="H4413" s="11">
        <v>1200</v>
      </c>
      <c r="I4413" s="12">
        <v>42918</v>
      </c>
      <c r="J4413" s="35">
        <f t="shared" si="498"/>
        <v>0</v>
      </c>
      <c r="K4413" s="36"/>
      <c r="L4413" s="36"/>
      <c r="M4413" s="36"/>
      <c r="N4413" s="36"/>
      <c r="O4413" s="36"/>
      <c r="P4413" s="36"/>
      <c r="Q4413" s="36"/>
      <c r="R4413" s="36"/>
      <c r="S4413" s="36"/>
      <c r="T4413" s="36"/>
      <c r="U4413" s="36"/>
      <c r="V4413" s="36"/>
      <c r="W4413" s="15">
        <f t="shared" si="499"/>
        <v>0</v>
      </c>
      <c r="X4413" s="36"/>
      <c r="Y4413" s="36"/>
      <c r="Z4413" s="36"/>
      <c r="AA4413" s="36"/>
      <c r="AB4413" s="36"/>
      <c r="AC4413" s="36">
        <v>400</v>
      </c>
      <c r="AD4413" s="36">
        <v>400</v>
      </c>
      <c r="AE4413" s="36">
        <v>400</v>
      </c>
      <c r="AF4413" s="36"/>
      <c r="AG4413" s="36"/>
      <c r="AH4413" s="36"/>
      <c r="AI4413" s="36"/>
      <c r="AJ4413" s="15">
        <f t="shared" si="500"/>
        <v>1200</v>
      </c>
      <c r="AK4413" s="14"/>
      <c r="AL4413" s="14"/>
      <c r="AM4413" s="14"/>
      <c r="AN4413" s="14"/>
      <c r="AO4413" s="14"/>
      <c r="AP4413" s="14"/>
      <c r="AQ4413" s="14"/>
      <c r="AR4413" s="14"/>
      <c r="AS4413" s="14"/>
      <c r="AT4413" s="14"/>
      <c r="AU4413" s="14"/>
      <c r="AV4413" s="14"/>
      <c r="AW4413" s="15"/>
      <c r="AX4413" s="16"/>
    </row>
    <row r="4414" spans="2:50" ht="12" customHeight="1" x14ac:dyDescent="0.2">
      <c r="B4414" s="7"/>
      <c r="C4414" s="8">
        <v>14682</v>
      </c>
      <c r="D4414" s="9" t="s">
        <v>479</v>
      </c>
      <c r="E4414" s="10" t="str">
        <f t="shared" si="496"/>
        <v>Rancho Zinamba No. 68</v>
      </c>
      <c r="F4414" s="10" t="str">
        <f t="shared" si="497"/>
        <v>Rivera Villicaña</v>
      </c>
      <c r="G4414" s="8">
        <v>1</v>
      </c>
      <c r="H4414" s="11">
        <v>300</v>
      </c>
      <c r="I4414" s="12">
        <v>42918</v>
      </c>
      <c r="J4414" s="35">
        <f t="shared" si="498"/>
        <v>0</v>
      </c>
      <c r="K4414" s="36"/>
      <c r="L4414" s="36"/>
      <c r="M4414" s="36"/>
      <c r="N4414" s="36"/>
      <c r="O4414" s="36"/>
      <c r="P4414" s="36"/>
      <c r="Q4414" s="36"/>
      <c r="R4414" s="36"/>
      <c r="S4414" s="36"/>
      <c r="T4414" s="36"/>
      <c r="U4414" s="36"/>
      <c r="V4414" s="36"/>
      <c r="W4414" s="15">
        <f t="shared" si="499"/>
        <v>0</v>
      </c>
      <c r="X4414" s="36"/>
      <c r="Y4414" s="36"/>
      <c r="Z4414" s="36"/>
      <c r="AA4414" s="36"/>
      <c r="AB4414" s="36"/>
      <c r="AC4414" s="36"/>
      <c r="AD4414" s="36">
        <v>300</v>
      </c>
      <c r="AE4414" s="36"/>
      <c r="AF4414" s="36"/>
      <c r="AG4414" s="36"/>
      <c r="AH4414" s="36"/>
      <c r="AI4414" s="36"/>
      <c r="AJ4414" s="15">
        <f t="shared" si="500"/>
        <v>300</v>
      </c>
      <c r="AK4414" s="14"/>
      <c r="AL4414" s="14"/>
      <c r="AM4414" s="14"/>
      <c r="AN4414" s="14"/>
      <c r="AO4414" s="14"/>
      <c r="AP4414" s="14"/>
      <c r="AQ4414" s="14"/>
      <c r="AR4414" s="14"/>
      <c r="AS4414" s="14"/>
      <c r="AT4414" s="14"/>
      <c r="AU4414" s="14"/>
      <c r="AV4414" s="14"/>
      <c r="AW4414" s="15"/>
      <c r="AX4414" s="16"/>
    </row>
    <row r="4415" spans="2:50" ht="12" customHeight="1" x14ac:dyDescent="0.2">
      <c r="B4415" s="7"/>
      <c r="C4415" s="8">
        <v>14683</v>
      </c>
      <c r="D4415" s="9" t="s">
        <v>310</v>
      </c>
      <c r="E4415" s="10" t="str">
        <f t="shared" si="496"/>
        <v>Rancho Recoveco No. 181</v>
      </c>
      <c r="F4415" s="10" t="str">
        <f t="shared" si="497"/>
        <v>Castillo</v>
      </c>
      <c r="G4415" s="8">
        <v>1</v>
      </c>
      <c r="H4415" s="11">
        <v>400</v>
      </c>
      <c r="I4415" s="12">
        <v>42918</v>
      </c>
      <c r="J4415" s="35">
        <f t="shared" si="498"/>
        <v>0</v>
      </c>
      <c r="K4415" s="36"/>
      <c r="L4415" s="36"/>
      <c r="M4415" s="36"/>
      <c r="N4415" s="36"/>
      <c r="O4415" s="36"/>
      <c r="P4415" s="36"/>
      <c r="Q4415" s="36"/>
      <c r="R4415" s="36"/>
      <c r="S4415" s="36"/>
      <c r="T4415" s="36"/>
      <c r="U4415" s="36"/>
      <c r="V4415" s="36"/>
      <c r="W4415" s="15">
        <f t="shared" si="499"/>
        <v>0</v>
      </c>
      <c r="X4415" s="36"/>
      <c r="Y4415" s="36"/>
      <c r="Z4415" s="36"/>
      <c r="AA4415" s="36"/>
      <c r="AB4415" s="36"/>
      <c r="AC4415" s="36">
        <v>400</v>
      </c>
      <c r="AD4415" s="36"/>
      <c r="AE4415" s="36"/>
      <c r="AF4415" s="36"/>
      <c r="AG4415" s="36"/>
      <c r="AH4415" s="36"/>
      <c r="AI4415" s="36"/>
      <c r="AJ4415" s="15">
        <f t="shared" si="500"/>
        <v>400</v>
      </c>
      <c r="AK4415" s="14"/>
      <c r="AL4415" s="14"/>
      <c r="AM4415" s="14"/>
      <c r="AN4415" s="14"/>
      <c r="AO4415" s="14"/>
      <c r="AP4415" s="14"/>
      <c r="AQ4415" s="14"/>
      <c r="AR4415" s="14"/>
      <c r="AS4415" s="14"/>
      <c r="AT4415" s="14"/>
      <c r="AU4415" s="14"/>
      <c r="AV4415" s="14"/>
      <c r="AW4415" s="15"/>
      <c r="AX4415" s="16"/>
    </row>
    <row r="4416" spans="2:50" ht="12" customHeight="1" x14ac:dyDescent="0.2">
      <c r="B4416" s="7"/>
      <c r="C4416" s="8">
        <v>14683</v>
      </c>
      <c r="D4416" s="9" t="s">
        <v>310</v>
      </c>
      <c r="E4416" s="10" t="str">
        <f t="shared" si="496"/>
        <v>Rancho Recoveco No. 181</v>
      </c>
      <c r="F4416" s="10" t="str">
        <f t="shared" si="497"/>
        <v>Castillo</v>
      </c>
      <c r="G4416" s="8">
        <v>4</v>
      </c>
      <c r="H4416" s="11">
        <v>200</v>
      </c>
      <c r="I4416" s="12">
        <v>42918</v>
      </c>
      <c r="J4416" s="35">
        <f t="shared" si="498"/>
        <v>0</v>
      </c>
      <c r="K4416" s="36"/>
      <c r="L4416" s="36"/>
      <c r="M4416" s="36"/>
      <c r="N4416" s="36"/>
      <c r="O4416" s="36"/>
      <c r="P4416" s="36"/>
      <c r="Q4416" s="36"/>
      <c r="R4416" s="36"/>
      <c r="S4416" s="36"/>
      <c r="T4416" s="36"/>
      <c r="U4416" s="36"/>
      <c r="V4416" s="36"/>
      <c r="W4416" s="15">
        <f t="shared" si="499"/>
        <v>0</v>
      </c>
      <c r="X4416" s="36"/>
      <c r="Y4416" s="36"/>
      <c r="Z4416" s="36"/>
      <c r="AA4416" s="36"/>
      <c r="AB4416" s="36"/>
      <c r="AC4416" s="36"/>
      <c r="AD4416" s="36"/>
      <c r="AE4416" s="36"/>
      <c r="AF4416" s="36"/>
      <c r="AG4416" s="36"/>
      <c r="AH4416" s="36"/>
      <c r="AI4416" s="36"/>
      <c r="AJ4416" s="15">
        <f t="shared" si="500"/>
        <v>0</v>
      </c>
      <c r="AK4416" s="14"/>
      <c r="AL4416" s="14"/>
      <c r="AM4416" s="14"/>
      <c r="AN4416" s="14"/>
      <c r="AO4416" s="14"/>
      <c r="AP4416" s="14"/>
      <c r="AQ4416" s="14"/>
      <c r="AR4416" s="14"/>
      <c r="AS4416" s="14"/>
      <c r="AT4416" s="14"/>
      <c r="AU4416" s="14"/>
      <c r="AV4416" s="14"/>
      <c r="AW4416" s="15"/>
      <c r="AX4416" s="16" t="s">
        <v>4206</v>
      </c>
    </row>
    <row r="4417" spans="2:50" ht="12" customHeight="1" x14ac:dyDescent="0.2">
      <c r="B4417" s="7"/>
      <c r="C4417" s="8">
        <v>14684</v>
      </c>
      <c r="D4417" s="9" t="s">
        <v>404</v>
      </c>
      <c r="E4417" s="10" t="str">
        <f t="shared" si="496"/>
        <v>Rancho La Cuchilla No. 89</v>
      </c>
      <c r="F4417" s="10" t="str">
        <f t="shared" si="497"/>
        <v>Gálvez</v>
      </c>
      <c r="G4417" s="8">
        <v>1</v>
      </c>
      <c r="H4417" s="11">
        <v>400</v>
      </c>
      <c r="I4417" s="12">
        <v>42918</v>
      </c>
      <c r="J4417" s="35">
        <f t="shared" si="498"/>
        <v>0</v>
      </c>
      <c r="K4417" s="36"/>
      <c r="L4417" s="36"/>
      <c r="M4417" s="36"/>
      <c r="N4417" s="36"/>
      <c r="O4417" s="36"/>
      <c r="P4417" s="36"/>
      <c r="Q4417" s="36"/>
      <c r="R4417" s="36"/>
      <c r="S4417" s="36"/>
      <c r="T4417" s="36"/>
      <c r="U4417" s="36"/>
      <c r="V4417" s="36"/>
      <c r="W4417" s="15">
        <f t="shared" si="499"/>
        <v>0</v>
      </c>
      <c r="X4417" s="36"/>
      <c r="Y4417" s="36"/>
      <c r="Z4417" s="36"/>
      <c r="AA4417" s="36"/>
      <c r="AB4417" s="36"/>
      <c r="AC4417" s="36"/>
      <c r="AD4417" s="36">
        <v>400</v>
      </c>
      <c r="AE4417" s="36"/>
      <c r="AF4417" s="36"/>
      <c r="AG4417" s="36"/>
      <c r="AH4417" s="36"/>
      <c r="AI4417" s="36"/>
      <c r="AJ4417" s="15">
        <f t="shared" si="500"/>
        <v>400</v>
      </c>
      <c r="AK4417" s="14"/>
      <c r="AL4417" s="14"/>
      <c r="AM4417" s="14"/>
      <c r="AN4417" s="14"/>
      <c r="AO4417" s="14"/>
      <c r="AP4417" s="14"/>
      <c r="AQ4417" s="14"/>
      <c r="AR4417" s="14"/>
      <c r="AS4417" s="14"/>
      <c r="AT4417" s="14"/>
      <c r="AU4417" s="14"/>
      <c r="AV4417" s="14"/>
      <c r="AW4417" s="15"/>
      <c r="AX4417" s="16"/>
    </row>
    <row r="4418" spans="2:50" ht="12" customHeight="1" x14ac:dyDescent="0.2">
      <c r="B4418" s="7"/>
      <c r="C4418" s="8">
        <v>14685</v>
      </c>
      <c r="D4418" s="9" t="s">
        <v>652</v>
      </c>
      <c r="E4418" s="10" t="str">
        <f t="shared" si="496"/>
        <v>Rancho Zinamba No. 74</v>
      </c>
      <c r="F4418" s="10" t="str">
        <f t="shared" si="497"/>
        <v>García Castellanos</v>
      </c>
      <c r="G4418" s="8">
        <v>1</v>
      </c>
      <c r="H4418" s="11">
        <v>800</v>
      </c>
      <c r="I4418" s="12">
        <v>42918</v>
      </c>
      <c r="J4418" s="35">
        <f t="shared" si="498"/>
        <v>0</v>
      </c>
      <c r="K4418" s="36"/>
      <c r="L4418" s="36"/>
      <c r="M4418" s="36"/>
      <c r="N4418" s="36"/>
      <c r="O4418" s="36"/>
      <c r="P4418" s="36"/>
      <c r="Q4418" s="36"/>
      <c r="R4418" s="36"/>
      <c r="S4418" s="36"/>
      <c r="T4418" s="36"/>
      <c r="U4418" s="36"/>
      <c r="V4418" s="36"/>
      <c r="W4418" s="15">
        <f t="shared" si="499"/>
        <v>0</v>
      </c>
      <c r="X4418" s="36"/>
      <c r="Y4418" s="36"/>
      <c r="Z4418" s="36">
        <v>400</v>
      </c>
      <c r="AA4418" s="36">
        <v>400</v>
      </c>
      <c r="AB4418" s="36"/>
      <c r="AC4418" s="36"/>
      <c r="AD4418" s="36"/>
      <c r="AE4418" s="36"/>
      <c r="AF4418" s="36"/>
      <c r="AG4418" s="36"/>
      <c r="AH4418" s="36"/>
      <c r="AI4418" s="36"/>
      <c r="AJ4418" s="15">
        <f t="shared" si="500"/>
        <v>800</v>
      </c>
      <c r="AK4418" s="14"/>
      <c r="AL4418" s="14"/>
      <c r="AM4418" s="14"/>
      <c r="AN4418" s="14"/>
      <c r="AO4418" s="14"/>
      <c r="AP4418" s="14"/>
      <c r="AQ4418" s="14"/>
      <c r="AR4418" s="14"/>
      <c r="AS4418" s="14"/>
      <c r="AT4418" s="14"/>
      <c r="AU4418" s="14"/>
      <c r="AV4418" s="14"/>
      <c r="AW4418" s="15"/>
      <c r="AX4418" s="16"/>
    </row>
    <row r="4419" spans="2:50" ht="12" customHeight="1" x14ac:dyDescent="0.2">
      <c r="B4419" s="7"/>
      <c r="C4419" s="8">
        <v>14686</v>
      </c>
      <c r="D4419" s="9" t="s">
        <v>728</v>
      </c>
      <c r="E4419" s="10" t="str">
        <f t="shared" si="496"/>
        <v>Rancho Estanzuela No. 77</v>
      </c>
      <c r="F4419" s="10" t="str">
        <f t="shared" si="497"/>
        <v>De la Rosa Rico</v>
      </c>
      <c r="G4419" s="8">
        <v>1</v>
      </c>
      <c r="H4419" s="11">
        <v>800</v>
      </c>
      <c r="I4419" s="12">
        <v>42918</v>
      </c>
      <c r="J4419" s="35">
        <f t="shared" si="498"/>
        <v>0</v>
      </c>
      <c r="K4419" s="36"/>
      <c r="L4419" s="36"/>
      <c r="M4419" s="36"/>
      <c r="N4419" s="36"/>
      <c r="O4419" s="36"/>
      <c r="P4419" s="36"/>
      <c r="Q4419" s="36"/>
      <c r="R4419" s="36"/>
      <c r="S4419" s="36"/>
      <c r="T4419" s="36"/>
      <c r="U4419" s="36"/>
      <c r="V4419" s="36"/>
      <c r="W4419" s="15">
        <f t="shared" si="499"/>
        <v>0</v>
      </c>
      <c r="X4419" s="36"/>
      <c r="Y4419" s="36"/>
      <c r="Z4419" s="36"/>
      <c r="AA4419" s="36"/>
      <c r="AB4419" s="36">
        <v>400</v>
      </c>
      <c r="AC4419" s="36">
        <v>400</v>
      </c>
      <c r="AD4419" s="36"/>
      <c r="AE4419" s="36"/>
      <c r="AF4419" s="36"/>
      <c r="AG4419" s="36"/>
      <c r="AH4419" s="36"/>
      <c r="AI4419" s="36"/>
      <c r="AJ4419" s="15">
        <f t="shared" si="500"/>
        <v>800</v>
      </c>
      <c r="AK4419" s="14"/>
      <c r="AL4419" s="14"/>
      <c r="AM4419" s="14"/>
      <c r="AN4419" s="14"/>
      <c r="AO4419" s="14"/>
      <c r="AP4419" s="14"/>
      <c r="AQ4419" s="14"/>
      <c r="AR4419" s="14"/>
      <c r="AS4419" s="14"/>
      <c r="AT4419" s="14"/>
      <c r="AU4419" s="14"/>
      <c r="AV4419" s="14"/>
      <c r="AW4419" s="15"/>
      <c r="AX4419" s="16"/>
    </row>
    <row r="4420" spans="2:50" x14ac:dyDescent="0.2">
      <c r="B4420" s="7"/>
      <c r="C4420" s="8">
        <v>14687</v>
      </c>
      <c r="D4420" s="9" t="s">
        <v>774</v>
      </c>
      <c r="E4420" s="10" t="str">
        <f t="shared" si="496"/>
        <v>Rancho Landero No. 40</v>
      </c>
      <c r="F4420" s="10" t="str">
        <f t="shared" si="497"/>
        <v>Almaguer Mireles</v>
      </c>
      <c r="G4420" s="8">
        <v>1</v>
      </c>
      <c r="H4420" s="11">
        <v>800</v>
      </c>
      <c r="I4420" s="12">
        <v>42918</v>
      </c>
      <c r="J4420" s="35">
        <f t="shared" si="498"/>
        <v>0</v>
      </c>
      <c r="K4420" s="36"/>
      <c r="L4420" s="36"/>
      <c r="M4420" s="36"/>
      <c r="N4420" s="36"/>
      <c r="O4420" s="36"/>
      <c r="P4420" s="36"/>
      <c r="Q4420" s="36"/>
      <c r="R4420" s="36"/>
      <c r="S4420" s="36"/>
      <c r="T4420" s="36"/>
      <c r="U4420" s="36"/>
      <c r="V4420" s="36"/>
      <c r="W4420" s="15">
        <f t="shared" si="499"/>
        <v>0</v>
      </c>
      <c r="X4420" s="36"/>
      <c r="Y4420" s="36"/>
      <c r="Z4420" s="36"/>
      <c r="AA4420" s="36"/>
      <c r="AB4420" s="36">
        <v>400</v>
      </c>
      <c r="AC4420" s="36">
        <v>400</v>
      </c>
      <c r="AD4420" s="36"/>
      <c r="AE4420" s="36"/>
      <c r="AF4420" s="36"/>
      <c r="AG4420" s="36"/>
      <c r="AH4420" s="36"/>
      <c r="AI4420" s="36"/>
      <c r="AJ4420" s="15">
        <f t="shared" si="500"/>
        <v>800</v>
      </c>
      <c r="AK4420" s="14"/>
      <c r="AL4420" s="14"/>
      <c r="AM4420" s="14"/>
      <c r="AN4420" s="14"/>
      <c r="AO4420" s="14"/>
      <c r="AP4420" s="14"/>
      <c r="AQ4420" s="14"/>
      <c r="AR4420" s="14"/>
      <c r="AS4420" s="14"/>
      <c r="AT4420" s="14"/>
      <c r="AU4420" s="14"/>
      <c r="AV4420" s="14"/>
      <c r="AW4420" s="15"/>
      <c r="AX4420" s="16"/>
    </row>
    <row r="4421" spans="2:50" x14ac:dyDescent="0.2">
      <c r="B4421" s="7"/>
      <c r="C4421" s="8">
        <v>14687</v>
      </c>
      <c r="D4421" s="9" t="s">
        <v>774</v>
      </c>
      <c r="E4421" s="10" t="str">
        <f t="shared" si="486"/>
        <v>Rancho Landero No. 40</v>
      </c>
      <c r="F4421" s="10" t="str">
        <f t="shared" si="487"/>
        <v>Almaguer Mireles</v>
      </c>
      <c r="G4421" s="8">
        <v>3</v>
      </c>
      <c r="H4421" s="11">
        <v>200</v>
      </c>
      <c r="I4421" s="12">
        <v>42918</v>
      </c>
      <c r="J4421" s="35">
        <f t="shared" si="488"/>
        <v>0</v>
      </c>
      <c r="K4421" s="36"/>
      <c r="L4421" s="36"/>
      <c r="M4421" s="36"/>
      <c r="N4421" s="36"/>
      <c r="O4421" s="36"/>
      <c r="P4421" s="36"/>
      <c r="Q4421" s="36"/>
      <c r="R4421" s="36"/>
      <c r="S4421" s="36"/>
      <c r="T4421" s="36"/>
      <c r="U4421" s="36"/>
      <c r="V4421" s="36"/>
      <c r="W4421" s="15">
        <f t="shared" si="489"/>
        <v>0</v>
      </c>
      <c r="X4421" s="36"/>
      <c r="Y4421" s="36"/>
      <c r="Z4421" s="36"/>
      <c r="AA4421" s="36"/>
      <c r="AB4421" s="36"/>
      <c r="AC4421" s="36"/>
      <c r="AD4421" s="36"/>
      <c r="AE4421" s="36"/>
      <c r="AF4421" s="36"/>
      <c r="AG4421" s="36"/>
      <c r="AH4421" s="36"/>
      <c r="AI4421" s="36"/>
      <c r="AJ4421" s="15">
        <f t="shared" si="490"/>
        <v>0</v>
      </c>
      <c r="AK4421" s="14"/>
      <c r="AL4421" s="14"/>
      <c r="AM4421" s="14"/>
      <c r="AN4421" s="14"/>
      <c r="AO4421" s="14"/>
      <c r="AP4421" s="14"/>
      <c r="AQ4421" s="14"/>
      <c r="AR4421" s="14"/>
      <c r="AS4421" s="14"/>
      <c r="AT4421" s="14"/>
      <c r="AU4421" s="14"/>
      <c r="AV4421" s="14"/>
      <c r="AW4421" s="15"/>
      <c r="AX4421" s="16"/>
    </row>
    <row r="4422" spans="2:50" x14ac:dyDescent="0.2">
      <c r="B4422" s="7"/>
      <c r="C4422" s="8">
        <v>14688</v>
      </c>
      <c r="D4422" s="9" t="s">
        <v>171</v>
      </c>
      <c r="E4422" s="10" t="str">
        <f t="shared" si="471"/>
        <v>Rancho La Cuchilla No. 72</v>
      </c>
      <c r="F4422" s="10" t="str">
        <f t="shared" si="472"/>
        <v>Ortiz González</v>
      </c>
      <c r="G4422" s="8">
        <v>1</v>
      </c>
      <c r="H4422" s="11">
        <v>400</v>
      </c>
      <c r="I4422" s="12">
        <v>42918</v>
      </c>
      <c r="J4422" s="35">
        <f t="shared" si="473"/>
        <v>0</v>
      </c>
      <c r="K4422" s="36"/>
      <c r="L4422" s="36"/>
      <c r="M4422" s="36"/>
      <c r="N4422" s="36"/>
      <c r="O4422" s="36"/>
      <c r="P4422" s="36"/>
      <c r="Q4422" s="36"/>
      <c r="R4422" s="36"/>
      <c r="S4422" s="36"/>
      <c r="T4422" s="36"/>
      <c r="U4422" s="36"/>
      <c r="V4422" s="36"/>
      <c r="W4422" s="15">
        <f t="shared" si="474"/>
        <v>0</v>
      </c>
      <c r="X4422" s="36"/>
      <c r="Y4422" s="36"/>
      <c r="Z4422" s="36"/>
      <c r="AA4422" s="36"/>
      <c r="AB4422" s="36"/>
      <c r="AC4422" s="36"/>
      <c r="AD4422" s="36">
        <v>400</v>
      </c>
      <c r="AE4422" s="36"/>
      <c r="AF4422" s="36"/>
      <c r="AG4422" s="36"/>
      <c r="AH4422" s="36"/>
      <c r="AI4422" s="36"/>
      <c r="AJ4422" s="15">
        <f t="shared" si="475"/>
        <v>400</v>
      </c>
      <c r="AK4422" s="14"/>
      <c r="AL4422" s="14"/>
      <c r="AM4422" s="14"/>
      <c r="AN4422" s="14"/>
      <c r="AO4422" s="14"/>
      <c r="AP4422" s="14"/>
      <c r="AQ4422" s="14"/>
      <c r="AR4422" s="14"/>
      <c r="AS4422" s="14"/>
      <c r="AT4422" s="14"/>
      <c r="AU4422" s="14"/>
      <c r="AV4422" s="14"/>
      <c r="AW4422" s="15"/>
      <c r="AX4422" s="16"/>
    </row>
    <row r="4423" spans="2:50" x14ac:dyDescent="0.2">
      <c r="B4423" s="7"/>
      <c r="C4423" s="8">
        <v>14689</v>
      </c>
      <c r="D4423" s="9" t="s">
        <v>331</v>
      </c>
      <c r="E4423" s="10" t="str">
        <f t="shared" si="471"/>
        <v>Rancho Recoveco No. 197</v>
      </c>
      <c r="F4423" s="10" t="str">
        <f t="shared" si="472"/>
        <v>Colín González</v>
      </c>
      <c r="G4423" s="8">
        <v>1</v>
      </c>
      <c r="H4423" s="11">
        <v>400</v>
      </c>
      <c r="I4423" s="12">
        <v>42918</v>
      </c>
      <c r="J4423" s="35">
        <f t="shared" si="473"/>
        <v>0</v>
      </c>
      <c r="K4423" s="36"/>
      <c r="L4423" s="36"/>
      <c r="M4423" s="36"/>
      <c r="N4423" s="36"/>
      <c r="O4423" s="36"/>
      <c r="P4423" s="36"/>
      <c r="Q4423" s="36"/>
      <c r="R4423" s="36"/>
      <c r="S4423" s="36"/>
      <c r="T4423" s="36"/>
      <c r="U4423" s="36"/>
      <c r="V4423" s="36"/>
      <c r="W4423" s="15">
        <f t="shared" si="474"/>
        <v>0</v>
      </c>
      <c r="X4423" s="36"/>
      <c r="Y4423" s="36"/>
      <c r="Z4423" s="36"/>
      <c r="AA4423" s="36"/>
      <c r="AB4423" s="36"/>
      <c r="AC4423" s="36"/>
      <c r="AD4423" s="36">
        <v>400</v>
      </c>
      <c r="AE4423" s="36"/>
      <c r="AF4423" s="36"/>
      <c r="AG4423" s="36"/>
      <c r="AH4423" s="36"/>
      <c r="AI4423" s="36"/>
      <c r="AJ4423" s="15">
        <f t="shared" si="475"/>
        <v>400</v>
      </c>
      <c r="AK4423" s="14"/>
      <c r="AL4423" s="14"/>
      <c r="AM4423" s="14"/>
      <c r="AN4423" s="14"/>
      <c r="AO4423" s="14"/>
      <c r="AP4423" s="14"/>
      <c r="AQ4423" s="14"/>
      <c r="AR4423" s="14"/>
      <c r="AS4423" s="14"/>
      <c r="AT4423" s="14"/>
      <c r="AU4423" s="14"/>
      <c r="AV4423" s="14"/>
      <c r="AW4423" s="15"/>
      <c r="AX4423" s="16"/>
    </row>
    <row r="4424" spans="2:50" x14ac:dyDescent="0.2">
      <c r="B4424" s="7"/>
      <c r="C4424" s="8">
        <v>14690</v>
      </c>
      <c r="D4424" s="9" t="s">
        <v>280</v>
      </c>
      <c r="E4424" s="10" t="str">
        <f t="shared" si="471"/>
        <v>Rancho La Cuchilla No. 40</v>
      </c>
      <c r="F4424" s="10" t="str">
        <f t="shared" si="472"/>
        <v>López Pico</v>
      </c>
      <c r="G4424" s="8">
        <v>1</v>
      </c>
      <c r="H4424" s="11">
        <v>400</v>
      </c>
      <c r="I4424" s="12">
        <v>42918</v>
      </c>
      <c r="J4424" s="35">
        <f t="shared" si="473"/>
        <v>0</v>
      </c>
      <c r="K4424" s="36"/>
      <c r="L4424" s="36"/>
      <c r="M4424" s="36"/>
      <c r="N4424" s="36"/>
      <c r="O4424" s="36"/>
      <c r="P4424" s="36"/>
      <c r="Q4424" s="36"/>
      <c r="R4424" s="36"/>
      <c r="S4424" s="36"/>
      <c r="T4424" s="36"/>
      <c r="U4424" s="36"/>
      <c r="V4424" s="36"/>
      <c r="W4424" s="15">
        <f t="shared" si="474"/>
        <v>0</v>
      </c>
      <c r="X4424" s="36"/>
      <c r="Y4424" s="36"/>
      <c r="Z4424" s="36"/>
      <c r="AA4424" s="36"/>
      <c r="AB4424" s="36"/>
      <c r="AC4424" s="36"/>
      <c r="AD4424" s="36">
        <v>400</v>
      </c>
      <c r="AE4424" s="36"/>
      <c r="AF4424" s="36"/>
      <c r="AG4424" s="36"/>
      <c r="AH4424" s="36"/>
      <c r="AI4424" s="36"/>
      <c r="AJ4424" s="15">
        <f t="shared" si="475"/>
        <v>400</v>
      </c>
      <c r="AK4424" s="14"/>
      <c r="AL4424" s="14"/>
      <c r="AM4424" s="14"/>
      <c r="AN4424" s="14"/>
      <c r="AO4424" s="14"/>
      <c r="AP4424" s="14"/>
      <c r="AQ4424" s="14"/>
      <c r="AR4424" s="14"/>
      <c r="AS4424" s="14"/>
      <c r="AT4424" s="14"/>
      <c r="AU4424" s="14"/>
      <c r="AV4424" s="14"/>
      <c r="AW4424" s="15"/>
      <c r="AX4424" s="16"/>
    </row>
    <row r="4425" spans="2:50" x14ac:dyDescent="0.2">
      <c r="B4425" s="7"/>
      <c r="C4425" s="8">
        <v>14691</v>
      </c>
      <c r="D4425" s="9" t="s">
        <v>473</v>
      </c>
      <c r="E4425" s="10" t="str">
        <f t="shared" si="466"/>
        <v>Rancho Zinamba No. 14</v>
      </c>
      <c r="F4425" s="10" t="str">
        <f t="shared" si="467"/>
        <v>Gutiérrez García</v>
      </c>
      <c r="G4425" s="8">
        <v>1</v>
      </c>
      <c r="H4425" s="11">
        <v>400</v>
      </c>
      <c r="I4425" s="12">
        <v>42918</v>
      </c>
      <c r="J4425" s="35">
        <f t="shared" si="468"/>
        <v>0</v>
      </c>
      <c r="K4425" s="36"/>
      <c r="L4425" s="36"/>
      <c r="M4425" s="36"/>
      <c r="N4425" s="36"/>
      <c r="O4425" s="36"/>
      <c r="P4425" s="36"/>
      <c r="Q4425" s="36"/>
      <c r="R4425" s="36"/>
      <c r="S4425" s="36"/>
      <c r="T4425" s="36"/>
      <c r="U4425" s="36"/>
      <c r="V4425" s="36"/>
      <c r="W4425" s="15">
        <f t="shared" si="469"/>
        <v>0</v>
      </c>
      <c r="X4425" s="36"/>
      <c r="Y4425" s="36"/>
      <c r="Z4425" s="36"/>
      <c r="AA4425" s="36"/>
      <c r="AB4425" s="36"/>
      <c r="AC4425" s="36">
        <v>400</v>
      </c>
      <c r="AD4425" s="36"/>
      <c r="AE4425" s="36"/>
      <c r="AF4425" s="36"/>
      <c r="AG4425" s="36"/>
      <c r="AH4425" s="36"/>
      <c r="AI4425" s="36"/>
      <c r="AJ4425" s="15">
        <f t="shared" si="470"/>
        <v>400</v>
      </c>
      <c r="AK4425" s="14"/>
      <c r="AL4425" s="14"/>
      <c r="AM4425" s="14"/>
      <c r="AN4425" s="14"/>
      <c r="AO4425" s="14"/>
      <c r="AP4425" s="14"/>
      <c r="AQ4425" s="14"/>
      <c r="AR4425" s="14"/>
      <c r="AS4425" s="14"/>
      <c r="AT4425" s="14"/>
      <c r="AU4425" s="14"/>
      <c r="AV4425" s="14"/>
      <c r="AW4425" s="15"/>
      <c r="AX4425" s="16"/>
    </row>
    <row r="4426" spans="2:50" x14ac:dyDescent="0.2">
      <c r="B4426" s="7"/>
      <c r="C4426" s="8">
        <v>14691</v>
      </c>
      <c r="D4426" s="9" t="s">
        <v>473</v>
      </c>
      <c r="E4426" s="10" t="str">
        <f t="shared" si="466"/>
        <v>Rancho Zinamba No. 14</v>
      </c>
      <c r="F4426" s="10" t="str">
        <f t="shared" si="467"/>
        <v>Gutiérrez García</v>
      </c>
      <c r="G4426" s="8">
        <v>3</v>
      </c>
      <c r="H4426" s="11">
        <v>200</v>
      </c>
      <c r="I4426" s="12">
        <v>42918</v>
      </c>
      <c r="J4426" s="35">
        <f t="shared" si="468"/>
        <v>0</v>
      </c>
      <c r="K4426" s="36"/>
      <c r="L4426" s="36"/>
      <c r="M4426" s="36"/>
      <c r="N4426" s="36"/>
      <c r="O4426" s="36"/>
      <c r="P4426" s="36"/>
      <c r="Q4426" s="36"/>
      <c r="R4426" s="36"/>
      <c r="S4426" s="36"/>
      <c r="T4426" s="36"/>
      <c r="U4426" s="36"/>
      <c r="V4426" s="36"/>
      <c r="W4426" s="15">
        <f t="shared" si="469"/>
        <v>0</v>
      </c>
      <c r="X4426" s="36"/>
      <c r="Y4426" s="36"/>
      <c r="Z4426" s="36"/>
      <c r="AA4426" s="36"/>
      <c r="AB4426" s="36"/>
      <c r="AC4426" s="36"/>
      <c r="AD4426" s="36"/>
      <c r="AE4426" s="36"/>
      <c r="AF4426" s="36"/>
      <c r="AG4426" s="36"/>
      <c r="AH4426" s="36"/>
      <c r="AI4426" s="36"/>
      <c r="AJ4426" s="15">
        <f t="shared" si="470"/>
        <v>0</v>
      </c>
      <c r="AK4426" s="14"/>
      <c r="AL4426" s="14"/>
      <c r="AM4426" s="14"/>
      <c r="AN4426" s="14"/>
      <c r="AO4426" s="14"/>
      <c r="AP4426" s="14"/>
      <c r="AQ4426" s="14"/>
      <c r="AR4426" s="14"/>
      <c r="AS4426" s="14"/>
      <c r="AT4426" s="14"/>
      <c r="AU4426" s="14"/>
      <c r="AV4426" s="14"/>
      <c r="AW4426" s="15"/>
      <c r="AX4426" s="16"/>
    </row>
    <row r="4427" spans="2:50" x14ac:dyDescent="0.2">
      <c r="B4427" s="7"/>
      <c r="C4427" s="8">
        <v>14692</v>
      </c>
      <c r="D4427" s="9" t="s">
        <v>437</v>
      </c>
      <c r="E4427" s="10" t="str">
        <f t="shared" si="466"/>
        <v>Rancho Upácuaro No. 47</v>
      </c>
      <c r="F4427" s="10" t="str">
        <f t="shared" si="467"/>
        <v>Flores Muñoz</v>
      </c>
      <c r="G4427" s="8">
        <v>1</v>
      </c>
      <c r="H4427" s="11">
        <v>400</v>
      </c>
      <c r="I4427" s="12">
        <v>42918</v>
      </c>
      <c r="J4427" s="35">
        <f t="shared" si="468"/>
        <v>0</v>
      </c>
      <c r="K4427" s="36"/>
      <c r="L4427" s="36"/>
      <c r="M4427" s="36"/>
      <c r="N4427" s="36"/>
      <c r="O4427" s="36"/>
      <c r="P4427" s="36"/>
      <c r="Q4427" s="36"/>
      <c r="R4427" s="36"/>
      <c r="S4427" s="36"/>
      <c r="T4427" s="36"/>
      <c r="U4427" s="36"/>
      <c r="V4427" s="36"/>
      <c r="W4427" s="15">
        <f t="shared" si="469"/>
        <v>0</v>
      </c>
      <c r="X4427" s="36"/>
      <c r="Y4427" s="36"/>
      <c r="Z4427" s="36"/>
      <c r="AA4427" s="36"/>
      <c r="AB4427" s="36"/>
      <c r="AC4427" s="36"/>
      <c r="AD4427" s="36">
        <v>400</v>
      </c>
      <c r="AE4427" s="36"/>
      <c r="AF4427" s="36"/>
      <c r="AG4427" s="36"/>
      <c r="AH4427" s="36"/>
      <c r="AI4427" s="36"/>
      <c r="AJ4427" s="15">
        <f t="shared" si="470"/>
        <v>400</v>
      </c>
      <c r="AK4427" s="14"/>
      <c r="AL4427" s="14"/>
      <c r="AM4427" s="14"/>
      <c r="AN4427" s="14"/>
      <c r="AO4427" s="14"/>
      <c r="AP4427" s="14"/>
      <c r="AQ4427" s="14"/>
      <c r="AR4427" s="14"/>
      <c r="AS4427" s="14"/>
      <c r="AT4427" s="14"/>
      <c r="AU4427" s="14"/>
      <c r="AV4427" s="14"/>
      <c r="AW4427" s="15"/>
      <c r="AX4427" s="16"/>
    </row>
    <row r="4428" spans="2:50" x14ac:dyDescent="0.2">
      <c r="B4428" s="7"/>
      <c r="C4428" s="8">
        <v>14693</v>
      </c>
      <c r="D4428" s="9" t="s">
        <v>250</v>
      </c>
      <c r="E4428" s="10" t="str">
        <f t="shared" si="466"/>
        <v>Rancho La Cuchilla No. 74</v>
      </c>
      <c r="F4428" s="10" t="str">
        <f t="shared" si="467"/>
        <v>Gil</v>
      </c>
      <c r="G4428" s="8">
        <v>1</v>
      </c>
      <c r="H4428" s="11">
        <v>400</v>
      </c>
      <c r="I4428" s="12">
        <v>42918</v>
      </c>
      <c r="J4428" s="35">
        <f t="shared" si="468"/>
        <v>0</v>
      </c>
      <c r="K4428" s="36"/>
      <c r="L4428" s="36"/>
      <c r="M4428" s="36"/>
      <c r="N4428" s="36"/>
      <c r="O4428" s="36"/>
      <c r="P4428" s="36"/>
      <c r="Q4428" s="36"/>
      <c r="R4428" s="36"/>
      <c r="S4428" s="36"/>
      <c r="T4428" s="36"/>
      <c r="U4428" s="36"/>
      <c r="V4428" s="36"/>
      <c r="W4428" s="15">
        <f t="shared" si="469"/>
        <v>0</v>
      </c>
      <c r="X4428" s="36"/>
      <c r="Y4428" s="36"/>
      <c r="Z4428" s="36"/>
      <c r="AA4428" s="36"/>
      <c r="AB4428" s="36"/>
      <c r="AC4428" s="36">
        <v>400</v>
      </c>
      <c r="AD4428" s="36"/>
      <c r="AE4428" s="36"/>
      <c r="AF4428" s="36"/>
      <c r="AG4428" s="36"/>
      <c r="AH4428" s="36"/>
      <c r="AI4428" s="36"/>
      <c r="AJ4428" s="15">
        <f t="shared" si="470"/>
        <v>400</v>
      </c>
      <c r="AK4428" s="14"/>
      <c r="AL4428" s="14"/>
      <c r="AM4428" s="14"/>
      <c r="AN4428" s="14"/>
      <c r="AO4428" s="14"/>
      <c r="AP4428" s="14"/>
      <c r="AQ4428" s="14"/>
      <c r="AR4428" s="14"/>
      <c r="AS4428" s="14"/>
      <c r="AT4428" s="14"/>
      <c r="AU4428" s="14"/>
      <c r="AV4428" s="14"/>
      <c r="AW4428" s="15"/>
      <c r="AX4428" s="16"/>
    </row>
    <row r="4429" spans="2:50" x14ac:dyDescent="0.2">
      <c r="B4429" s="7"/>
      <c r="C4429" s="8">
        <v>14694</v>
      </c>
      <c r="D4429" s="9" t="s">
        <v>538</v>
      </c>
      <c r="E4429" s="10" t="str">
        <f t="shared" si="466"/>
        <v>Rancho Landero No. 73</v>
      </c>
      <c r="F4429" s="10" t="str">
        <f t="shared" si="467"/>
        <v>Islas Palacios</v>
      </c>
      <c r="G4429" s="8">
        <v>1</v>
      </c>
      <c r="H4429" s="11">
        <v>400</v>
      </c>
      <c r="I4429" s="12">
        <v>42918</v>
      </c>
      <c r="J4429" s="35">
        <f t="shared" si="468"/>
        <v>0</v>
      </c>
      <c r="K4429" s="36"/>
      <c r="L4429" s="36"/>
      <c r="M4429" s="36"/>
      <c r="N4429" s="36"/>
      <c r="O4429" s="36"/>
      <c r="P4429" s="36"/>
      <c r="Q4429" s="36"/>
      <c r="R4429" s="36"/>
      <c r="S4429" s="36"/>
      <c r="T4429" s="36"/>
      <c r="U4429" s="36"/>
      <c r="V4429" s="36"/>
      <c r="W4429" s="15">
        <f t="shared" si="469"/>
        <v>0</v>
      </c>
      <c r="X4429" s="36"/>
      <c r="Y4429" s="36"/>
      <c r="Z4429" s="36"/>
      <c r="AA4429" s="36"/>
      <c r="AB4429" s="36"/>
      <c r="AC4429" s="36">
        <v>400</v>
      </c>
      <c r="AD4429" s="36"/>
      <c r="AE4429" s="36"/>
      <c r="AF4429" s="36"/>
      <c r="AG4429" s="36"/>
      <c r="AH4429" s="36"/>
      <c r="AI4429" s="36"/>
      <c r="AJ4429" s="15">
        <f t="shared" si="470"/>
        <v>400</v>
      </c>
      <c r="AK4429" s="14"/>
      <c r="AL4429" s="14"/>
      <c r="AM4429" s="14"/>
      <c r="AN4429" s="14"/>
      <c r="AO4429" s="14"/>
      <c r="AP4429" s="14"/>
      <c r="AQ4429" s="14"/>
      <c r="AR4429" s="14"/>
      <c r="AS4429" s="14"/>
      <c r="AT4429" s="14"/>
      <c r="AU4429" s="14"/>
      <c r="AV4429" s="14"/>
      <c r="AW4429" s="15"/>
      <c r="AX4429" s="16"/>
    </row>
    <row r="4430" spans="2:50" x14ac:dyDescent="0.2">
      <c r="B4430" s="7"/>
      <c r="C4430" s="8">
        <v>14695</v>
      </c>
      <c r="D4430" s="9" t="s">
        <v>241</v>
      </c>
      <c r="E4430" s="10" t="str">
        <f t="shared" ref="E4430:E4480" si="506">IF(D4430=0,"",VLOOKUP(D4430,BASE,2,FALSE))</f>
        <v>Rancho La Cuchilla No. 81, A</v>
      </c>
      <c r="F4430" s="10" t="str">
        <f t="shared" ref="F4430:F4480" si="507">IF(D4430=0,"",VLOOKUP(D4430,BASE,3,FALSE))</f>
        <v>Barrientos López</v>
      </c>
      <c r="G4430" s="8">
        <v>1</v>
      </c>
      <c r="H4430" s="11">
        <v>400</v>
      </c>
      <c r="I4430" s="12">
        <v>42918</v>
      </c>
      <c r="J4430" s="35">
        <f t="shared" ref="J4430:J4480" si="508">IF(G4430=1,SUM(W4430,AJ4430,-H4430),0)</f>
        <v>0</v>
      </c>
      <c r="K4430" s="36"/>
      <c r="L4430" s="36"/>
      <c r="M4430" s="36"/>
      <c r="N4430" s="36"/>
      <c r="O4430" s="36"/>
      <c r="P4430" s="36"/>
      <c r="Q4430" s="36"/>
      <c r="R4430" s="36"/>
      <c r="S4430" s="36"/>
      <c r="T4430" s="36"/>
      <c r="U4430" s="36"/>
      <c r="V4430" s="36"/>
      <c r="W4430" s="15">
        <f t="shared" ref="W4430:W4480" si="509">SUM(K4430:V4430)</f>
        <v>0</v>
      </c>
      <c r="X4430" s="36"/>
      <c r="Y4430" s="36"/>
      <c r="Z4430" s="36"/>
      <c r="AA4430" s="36"/>
      <c r="AB4430" s="36"/>
      <c r="AC4430" s="36"/>
      <c r="AD4430" s="36">
        <v>400</v>
      </c>
      <c r="AE4430" s="36"/>
      <c r="AF4430" s="36"/>
      <c r="AG4430" s="36"/>
      <c r="AH4430" s="36"/>
      <c r="AI4430" s="36"/>
      <c r="AJ4430" s="15">
        <f t="shared" ref="AJ4430:AJ4480" si="510">SUM(X4430:AI4430)</f>
        <v>400</v>
      </c>
      <c r="AK4430" s="14"/>
      <c r="AL4430" s="14"/>
      <c r="AM4430" s="14"/>
      <c r="AN4430" s="14"/>
      <c r="AO4430" s="14"/>
      <c r="AP4430" s="14"/>
      <c r="AQ4430" s="14"/>
      <c r="AR4430" s="14"/>
      <c r="AS4430" s="14"/>
      <c r="AT4430" s="14"/>
      <c r="AU4430" s="14"/>
      <c r="AV4430" s="14"/>
      <c r="AW4430" s="15"/>
      <c r="AX4430" s="16"/>
    </row>
    <row r="4431" spans="2:50" x14ac:dyDescent="0.2">
      <c r="B4431" s="7"/>
      <c r="C4431" s="8">
        <v>14696</v>
      </c>
      <c r="D4431" s="9" t="s">
        <v>174</v>
      </c>
      <c r="E4431" s="10" t="str">
        <f t="shared" si="506"/>
        <v>Rancho Upácuaro No. 18</v>
      </c>
      <c r="F4431" s="10" t="str">
        <f t="shared" si="507"/>
        <v>Guzmán</v>
      </c>
      <c r="G4431" s="8">
        <v>1</v>
      </c>
      <c r="H4431" s="11">
        <v>300</v>
      </c>
      <c r="I4431" s="12">
        <v>42918</v>
      </c>
      <c r="J4431" s="35">
        <f t="shared" si="508"/>
        <v>0</v>
      </c>
      <c r="K4431" s="36"/>
      <c r="L4431" s="36"/>
      <c r="M4431" s="36"/>
      <c r="N4431" s="36"/>
      <c r="O4431" s="36"/>
      <c r="P4431" s="36"/>
      <c r="Q4431" s="36"/>
      <c r="R4431" s="36"/>
      <c r="S4431" s="36"/>
      <c r="T4431" s="36"/>
      <c r="U4431" s="36"/>
      <c r="V4431" s="36"/>
      <c r="W4431" s="15">
        <f t="shared" si="509"/>
        <v>0</v>
      </c>
      <c r="X4431" s="36"/>
      <c r="Y4431" s="36"/>
      <c r="Z4431" s="36"/>
      <c r="AA4431" s="36"/>
      <c r="AB4431" s="36"/>
      <c r="AC4431" s="36"/>
      <c r="AD4431" s="36">
        <v>300</v>
      </c>
      <c r="AE4431" s="36"/>
      <c r="AF4431" s="36"/>
      <c r="AG4431" s="36"/>
      <c r="AH4431" s="36"/>
      <c r="AI4431" s="36"/>
      <c r="AJ4431" s="15">
        <f t="shared" si="510"/>
        <v>300</v>
      </c>
      <c r="AK4431" s="14"/>
      <c r="AL4431" s="14"/>
      <c r="AM4431" s="14"/>
      <c r="AN4431" s="14"/>
      <c r="AO4431" s="14"/>
      <c r="AP4431" s="14"/>
      <c r="AQ4431" s="14"/>
      <c r="AR4431" s="14"/>
      <c r="AS4431" s="14"/>
      <c r="AT4431" s="14"/>
      <c r="AU4431" s="14"/>
      <c r="AV4431" s="14"/>
      <c r="AW4431" s="15"/>
      <c r="AX4431" s="16"/>
    </row>
    <row r="4432" spans="2:50" x14ac:dyDescent="0.2">
      <c r="B4432" s="7"/>
      <c r="C4432" s="8">
        <v>14697</v>
      </c>
      <c r="D4432" s="9" t="s">
        <v>452</v>
      </c>
      <c r="E4432" s="10" t="str">
        <f t="shared" si="506"/>
        <v>Rancho Upácuaro No. 78</v>
      </c>
      <c r="F4432" s="10" t="str">
        <f t="shared" si="507"/>
        <v>Villaseñor Carranza</v>
      </c>
      <c r="G4432" s="8">
        <v>3</v>
      </c>
      <c r="H4432" s="11">
        <v>400</v>
      </c>
      <c r="I4432" s="12">
        <v>42918</v>
      </c>
      <c r="J4432" s="35">
        <f t="shared" si="508"/>
        <v>0</v>
      </c>
      <c r="K4432" s="36"/>
      <c r="L4432" s="36"/>
      <c r="M4432" s="36"/>
      <c r="N4432" s="36"/>
      <c r="O4432" s="36"/>
      <c r="P4432" s="36"/>
      <c r="Q4432" s="36"/>
      <c r="R4432" s="36"/>
      <c r="S4432" s="36"/>
      <c r="T4432" s="36"/>
      <c r="U4432" s="36"/>
      <c r="V4432" s="36"/>
      <c r="W4432" s="15">
        <f t="shared" si="509"/>
        <v>0</v>
      </c>
      <c r="X4432" s="36"/>
      <c r="Y4432" s="36"/>
      <c r="Z4432" s="36"/>
      <c r="AA4432" s="36"/>
      <c r="AB4432" s="36"/>
      <c r="AC4432" s="36"/>
      <c r="AD4432" s="36"/>
      <c r="AE4432" s="36"/>
      <c r="AF4432" s="36"/>
      <c r="AG4432" s="36"/>
      <c r="AH4432" s="36"/>
      <c r="AI4432" s="36"/>
      <c r="AJ4432" s="15">
        <f t="shared" si="510"/>
        <v>0</v>
      </c>
      <c r="AK4432" s="14"/>
      <c r="AL4432" s="14"/>
      <c r="AM4432" s="14"/>
      <c r="AN4432" s="14"/>
      <c r="AO4432" s="14"/>
      <c r="AP4432" s="14"/>
      <c r="AQ4432" s="14"/>
      <c r="AR4432" s="14"/>
      <c r="AS4432" s="14"/>
      <c r="AT4432" s="14"/>
      <c r="AU4432" s="14"/>
      <c r="AV4432" s="14"/>
      <c r="AW4432" s="15"/>
      <c r="AX4432" s="16"/>
    </row>
    <row r="4433" spans="2:50" x14ac:dyDescent="0.2">
      <c r="B4433" s="7"/>
      <c r="C4433" s="8">
        <v>14698</v>
      </c>
      <c r="D4433" s="9" t="s">
        <v>1042</v>
      </c>
      <c r="E4433" s="10" t="str">
        <f t="shared" si="506"/>
        <v>Rancho Landero No. 74</v>
      </c>
      <c r="F4433" s="10" t="str">
        <f t="shared" si="507"/>
        <v>Rabadam</v>
      </c>
      <c r="G4433" s="8">
        <v>1</v>
      </c>
      <c r="H4433" s="11">
        <v>1000</v>
      </c>
      <c r="I4433" s="12">
        <v>42918</v>
      </c>
      <c r="J4433" s="35">
        <f t="shared" si="508"/>
        <v>0</v>
      </c>
      <c r="K4433" s="36"/>
      <c r="L4433" s="36"/>
      <c r="M4433" s="36"/>
      <c r="N4433" s="36"/>
      <c r="O4433" s="36"/>
      <c r="P4433" s="36"/>
      <c r="Q4433" s="36"/>
      <c r="R4433" s="36"/>
      <c r="S4433" s="36"/>
      <c r="T4433" s="36"/>
      <c r="U4433" s="36"/>
      <c r="V4433" s="36"/>
      <c r="W4433" s="15">
        <f t="shared" si="509"/>
        <v>0</v>
      </c>
      <c r="X4433" s="36"/>
      <c r="Y4433" s="36">
        <v>100</v>
      </c>
      <c r="Z4433" s="36">
        <v>100</v>
      </c>
      <c r="AA4433" s="36">
        <v>100</v>
      </c>
      <c r="AB4433" s="36">
        <v>100</v>
      </c>
      <c r="AC4433" s="36">
        <v>100</v>
      </c>
      <c r="AD4433" s="36">
        <v>100</v>
      </c>
      <c r="AE4433" s="36">
        <v>100</v>
      </c>
      <c r="AF4433" s="36">
        <v>100</v>
      </c>
      <c r="AG4433" s="36">
        <v>100</v>
      </c>
      <c r="AH4433" s="36">
        <v>100</v>
      </c>
      <c r="AI4433" s="36"/>
      <c r="AJ4433" s="15">
        <f t="shared" si="510"/>
        <v>1000</v>
      </c>
      <c r="AK4433" s="14"/>
      <c r="AL4433" s="14"/>
      <c r="AM4433" s="14"/>
      <c r="AN4433" s="14"/>
      <c r="AO4433" s="14"/>
      <c r="AP4433" s="14"/>
      <c r="AQ4433" s="14"/>
      <c r="AR4433" s="14"/>
      <c r="AS4433" s="14"/>
      <c r="AT4433" s="14"/>
      <c r="AU4433" s="14"/>
      <c r="AV4433" s="14"/>
      <c r="AW4433" s="15"/>
      <c r="AX4433" s="16"/>
    </row>
    <row r="4434" spans="2:50" x14ac:dyDescent="0.2">
      <c r="B4434" s="7"/>
      <c r="C4434" s="8">
        <v>14699</v>
      </c>
      <c r="D4434" s="9" t="s">
        <v>794</v>
      </c>
      <c r="E4434" s="10" t="str">
        <f t="shared" si="506"/>
        <v>Rancho Landero No. 18</v>
      </c>
      <c r="F4434" s="10" t="str">
        <f t="shared" si="507"/>
        <v>Rosado</v>
      </c>
      <c r="G4434" s="8">
        <v>1</v>
      </c>
      <c r="H4434" s="11">
        <v>300</v>
      </c>
      <c r="I4434" s="12">
        <v>42918</v>
      </c>
      <c r="J4434" s="35">
        <f t="shared" si="508"/>
        <v>0</v>
      </c>
      <c r="K4434" s="36"/>
      <c r="L4434" s="36"/>
      <c r="M4434" s="36"/>
      <c r="N4434" s="36"/>
      <c r="O4434" s="36"/>
      <c r="P4434" s="36"/>
      <c r="Q4434" s="36"/>
      <c r="R4434" s="36"/>
      <c r="S4434" s="36"/>
      <c r="T4434" s="36"/>
      <c r="U4434" s="36"/>
      <c r="V4434" s="36"/>
      <c r="W4434" s="15">
        <f t="shared" si="509"/>
        <v>0</v>
      </c>
      <c r="X4434" s="36"/>
      <c r="Y4434" s="36"/>
      <c r="Z4434" s="36"/>
      <c r="AA4434" s="36"/>
      <c r="AB4434" s="36"/>
      <c r="AC4434" s="36">
        <v>300</v>
      </c>
      <c r="AD4434" s="36"/>
      <c r="AE4434" s="36"/>
      <c r="AF4434" s="36"/>
      <c r="AG4434" s="36"/>
      <c r="AH4434" s="36"/>
      <c r="AI4434" s="36"/>
      <c r="AJ4434" s="15">
        <f t="shared" si="510"/>
        <v>300</v>
      </c>
      <c r="AK4434" s="14"/>
      <c r="AL4434" s="14"/>
      <c r="AM4434" s="14"/>
      <c r="AN4434" s="14"/>
      <c r="AO4434" s="14"/>
      <c r="AP4434" s="14"/>
      <c r="AQ4434" s="14"/>
      <c r="AR4434" s="14"/>
      <c r="AS4434" s="14"/>
      <c r="AT4434" s="14"/>
      <c r="AU4434" s="14"/>
      <c r="AV4434" s="14"/>
      <c r="AW4434" s="15"/>
      <c r="AX4434" s="16"/>
    </row>
    <row r="4435" spans="2:50" x14ac:dyDescent="0.2">
      <c r="B4435" s="7"/>
      <c r="C4435" s="8">
        <v>14700</v>
      </c>
      <c r="D4435" s="9" t="s">
        <v>168</v>
      </c>
      <c r="E4435" s="10" t="str">
        <f t="shared" si="506"/>
        <v>Rancho Upácuaro No. 73, A</v>
      </c>
      <c r="F4435" s="10" t="str">
        <f t="shared" si="507"/>
        <v>Ortega</v>
      </c>
      <c r="G4435" s="8">
        <v>1</v>
      </c>
      <c r="H4435" s="11">
        <v>200</v>
      </c>
      <c r="I4435" s="12">
        <v>42918</v>
      </c>
      <c r="J4435" s="35">
        <f t="shared" si="508"/>
        <v>0</v>
      </c>
      <c r="K4435" s="36"/>
      <c r="L4435" s="36"/>
      <c r="M4435" s="36"/>
      <c r="N4435" s="36"/>
      <c r="O4435" s="36"/>
      <c r="P4435" s="36"/>
      <c r="Q4435" s="36"/>
      <c r="R4435" s="36"/>
      <c r="S4435" s="36"/>
      <c r="T4435" s="36"/>
      <c r="U4435" s="36"/>
      <c r="V4435" s="36"/>
      <c r="W4435" s="15">
        <f t="shared" si="509"/>
        <v>0</v>
      </c>
      <c r="X4435" s="36"/>
      <c r="Y4435" s="36"/>
      <c r="Z4435" s="36"/>
      <c r="AA4435" s="36"/>
      <c r="AB4435" s="36"/>
      <c r="AC4435" s="36">
        <v>200</v>
      </c>
      <c r="AD4435" s="36"/>
      <c r="AE4435" s="36"/>
      <c r="AF4435" s="36"/>
      <c r="AG4435" s="36"/>
      <c r="AH4435" s="36"/>
      <c r="AI4435" s="36"/>
      <c r="AJ4435" s="15">
        <f t="shared" si="510"/>
        <v>200</v>
      </c>
      <c r="AK4435" s="14"/>
      <c r="AL4435" s="14"/>
      <c r="AM4435" s="14"/>
      <c r="AN4435" s="14"/>
      <c r="AO4435" s="14"/>
      <c r="AP4435" s="14"/>
      <c r="AQ4435" s="14"/>
      <c r="AR4435" s="14"/>
      <c r="AS4435" s="14"/>
      <c r="AT4435" s="14"/>
      <c r="AU4435" s="14"/>
      <c r="AV4435" s="14"/>
      <c r="AW4435" s="15"/>
      <c r="AX4435" s="16"/>
    </row>
    <row r="4436" spans="2:50" x14ac:dyDescent="0.2">
      <c r="B4436" s="7"/>
      <c r="C4436" s="8">
        <v>14701</v>
      </c>
      <c r="D4436" s="9" t="s">
        <v>3178</v>
      </c>
      <c r="E4436" s="10" t="str">
        <f t="shared" si="506"/>
        <v>Rancho La Cuchilla No. 103</v>
      </c>
      <c r="F4436" s="10" t="str">
        <f t="shared" si="507"/>
        <v>Bernal</v>
      </c>
      <c r="G4436" s="8">
        <v>1</v>
      </c>
      <c r="H4436" s="11">
        <v>500</v>
      </c>
      <c r="I4436" s="12">
        <v>42918</v>
      </c>
      <c r="J4436" s="35">
        <f t="shared" si="508"/>
        <v>0</v>
      </c>
      <c r="K4436" s="36"/>
      <c r="L4436" s="36"/>
      <c r="M4436" s="36"/>
      <c r="N4436" s="36"/>
      <c r="O4436" s="36"/>
      <c r="P4436" s="36"/>
      <c r="Q4436" s="36"/>
      <c r="R4436" s="36"/>
      <c r="S4436" s="36"/>
      <c r="T4436" s="36"/>
      <c r="U4436" s="36"/>
      <c r="V4436" s="36"/>
      <c r="W4436" s="15">
        <f t="shared" si="509"/>
        <v>0</v>
      </c>
      <c r="X4436" s="36"/>
      <c r="Y4436" s="36"/>
      <c r="Z4436" s="36"/>
      <c r="AA4436" s="36"/>
      <c r="AB4436" s="36"/>
      <c r="AC4436" s="36"/>
      <c r="AD4436" s="36">
        <v>500</v>
      </c>
      <c r="AE4436" s="36"/>
      <c r="AF4436" s="36"/>
      <c r="AG4436" s="36"/>
      <c r="AH4436" s="36"/>
      <c r="AI4436" s="36"/>
      <c r="AJ4436" s="15">
        <f t="shared" si="510"/>
        <v>500</v>
      </c>
      <c r="AK4436" s="14"/>
      <c r="AL4436" s="14"/>
      <c r="AM4436" s="14"/>
      <c r="AN4436" s="14"/>
      <c r="AO4436" s="14"/>
      <c r="AP4436" s="14"/>
      <c r="AQ4436" s="14"/>
      <c r="AR4436" s="14"/>
      <c r="AS4436" s="14"/>
      <c r="AT4436" s="14"/>
      <c r="AU4436" s="14"/>
      <c r="AV4436" s="14"/>
      <c r="AW4436" s="15"/>
      <c r="AX4436" s="16"/>
    </row>
    <row r="4437" spans="2:50" x14ac:dyDescent="0.2">
      <c r="B4437" s="7"/>
      <c r="C4437" s="8">
        <v>14702</v>
      </c>
      <c r="D4437" s="9" t="s">
        <v>135</v>
      </c>
      <c r="E4437" s="10" t="str">
        <f t="shared" si="506"/>
        <v>Rancho Upácuaro No. 70</v>
      </c>
      <c r="F4437" s="10" t="str">
        <f t="shared" si="507"/>
        <v>Ramírez Tejeda</v>
      </c>
      <c r="G4437" s="8">
        <v>1</v>
      </c>
      <c r="H4437" s="11">
        <v>300</v>
      </c>
      <c r="I4437" s="12">
        <v>42918</v>
      </c>
      <c r="J4437" s="35">
        <f t="shared" si="508"/>
        <v>0</v>
      </c>
      <c r="K4437" s="36"/>
      <c r="L4437" s="36"/>
      <c r="M4437" s="36"/>
      <c r="N4437" s="36"/>
      <c r="O4437" s="36"/>
      <c r="P4437" s="36"/>
      <c r="Q4437" s="36"/>
      <c r="R4437" s="36"/>
      <c r="S4437" s="36"/>
      <c r="T4437" s="36"/>
      <c r="U4437" s="36"/>
      <c r="V4437" s="36"/>
      <c r="W4437" s="15">
        <f t="shared" si="509"/>
        <v>0</v>
      </c>
      <c r="X4437" s="36"/>
      <c r="Y4437" s="36"/>
      <c r="Z4437" s="36"/>
      <c r="AA4437" s="36"/>
      <c r="AB4437" s="36"/>
      <c r="AC4437" s="36"/>
      <c r="AD4437" s="36">
        <v>300</v>
      </c>
      <c r="AE4437" s="36"/>
      <c r="AF4437" s="36"/>
      <c r="AG4437" s="36"/>
      <c r="AH4437" s="36"/>
      <c r="AI4437" s="36"/>
      <c r="AJ4437" s="15">
        <f t="shared" si="510"/>
        <v>300</v>
      </c>
      <c r="AK4437" s="14"/>
      <c r="AL4437" s="14"/>
      <c r="AM4437" s="14"/>
      <c r="AN4437" s="14"/>
      <c r="AO4437" s="14"/>
      <c r="AP4437" s="14"/>
      <c r="AQ4437" s="14"/>
      <c r="AR4437" s="14"/>
      <c r="AS4437" s="14"/>
      <c r="AT4437" s="14"/>
      <c r="AU4437" s="14"/>
      <c r="AV4437" s="14"/>
      <c r="AW4437" s="15"/>
      <c r="AX4437" s="316">
        <f>SUM(H4385:H4437)</f>
        <v>23025</v>
      </c>
    </row>
    <row r="4438" spans="2:50" x14ac:dyDescent="0.2">
      <c r="B4438" s="7"/>
      <c r="C4438" s="8">
        <v>14703</v>
      </c>
      <c r="D4438" s="9" t="s">
        <v>205</v>
      </c>
      <c r="E4438" s="10" t="str">
        <f t="shared" si="506"/>
        <v>Rancho Landero No. 1, A</v>
      </c>
      <c r="F4438" s="10" t="str">
        <f t="shared" si="507"/>
        <v>Ebysos</v>
      </c>
      <c r="G4438" s="8">
        <v>1</v>
      </c>
      <c r="H4438" s="315">
        <v>600</v>
      </c>
      <c r="I4438" s="12">
        <v>42919</v>
      </c>
      <c r="J4438" s="35">
        <f t="shared" si="508"/>
        <v>0</v>
      </c>
      <c r="K4438" s="36"/>
      <c r="L4438" s="36"/>
      <c r="M4438" s="36"/>
      <c r="N4438" s="36"/>
      <c r="O4438" s="36"/>
      <c r="P4438" s="36"/>
      <c r="Q4438" s="36"/>
      <c r="R4438" s="36"/>
      <c r="S4438" s="36"/>
      <c r="T4438" s="36"/>
      <c r="U4438" s="36"/>
      <c r="V4438" s="36"/>
      <c r="W4438" s="15">
        <f t="shared" si="509"/>
        <v>0</v>
      </c>
      <c r="X4438" s="36"/>
      <c r="Y4438" s="36"/>
      <c r="Z4438" s="36"/>
      <c r="AA4438" s="36"/>
      <c r="AB4438" s="36"/>
      <c r="AC4438" s="36">
        <v>600</v>
      </c>
      <c r="AD4438" s="36"/>
      <c r="AE4438" s="36"/>
      <c r="AF4438" s="36"/>
      <c r="AG4438" s="36"/>
      <c r="AH4438" s="36"/>
      <c r="AI4438" s="36"/>
      <c r="AJ4438" s="15">
        <f t="shared" si="510"/>
        <v>600</v>
      </c>
      <c r="AK4438" s="14"/>
      <c r="AL4438" s="14"/>
      <c r="AM4438" s="14"/>
      <c r="AN4438" s="14"/>
      <c r="AO4438" s="14"/>
      <c r="AP4438" s="14"/>
      <c r="AQ4438" s="14"/>
      <c r="AR4438" s="14"/>
      <c r="AS4438" s="14"/>
      <c r="AT4438" s="14"/>
      <c r="AU4438" s="14"/>
      <c r="AV4438" s="14"/>
      <c r="AW4438" s="15"/>
      <c r="AX4438" s="16"/>
    </row>
    <row r="4439" spans="2:50" x14ac:dyDescent="0.2">
      <c r="B4439" s="7" t="s">
        <v>3523</v>
      </c>
      <c r="C4439" s="8">
        <v>14704</v>
      </c>
      <c r="D4439" s="9" t="s">
        <v>211</v>
      </c>
      <c r="E4439" s="10" t="str">
        <f t="shared" si="506"/>
        <v>Rancho Upácuaro No. 46</v>
      </c>
      <c r="F4439" s="10" t="str">
        <f t="shared" si="507"/>
        <v>Fuentes</v>
      </c>
      <c r="G4439" s="8">
        <v>1</v>
      </c>
      <c r="H4439" s="11"/>
      <c r="I4439" s="12">
        <v>42922</v>
      </c>
      <c r="J4439" s="35">
        <f t="shared" si="508"/>
        <v>0</v>
      </c>
      <c r="K4439" s="36"/>
      <c r="L4439" s="36"/>
      <c r="M4439" s="36"/>
      <c r="N4439" s="36"/>
      <c r="O4439" s="36"/>
      <c r="P4439" s="36"/>
      <c r="Q4439" s="36"/>
      <c r="R4439" s="36"/>
      <c r="S4439" s="36"/>
      <c r="T4439" s="36"/>
      <c r="U4439" s="36"/>
      <c r="V4439" s="36"/>
      <c r="W4439" s="15">
        <f t="shared" si="509"/>
        <v>0</v>
      </c>
      <c r="X4439" s="36"/>
      <c r="Y4439" s="36"/>
      <c r="Z4439" s="36"/>
      <c r="AA4439" s="36"/>
      <c r="AB4439" s="36"/>
      <c r="AC4439" s="36"/>
      <c r="AD4439" s="36"/>
      <c r="AE4439" s="36"/>
      <c r="AF4439" s="36"/>
      <c r="AG4439" s="36"/>
      <c r="AH4439" s="36"/>
      <c r="AI4439" s="36"/>
      <c r="AJ4439" s="15">
        <f t="shared" si="510"/>
        <v>0</v>
      </c>
      <c r="AK4439" s="14"/>
      <c r="AL4439" s="14"/>
      <c r="AM4439" s="14"/>
      <c r="AN4439" s="14"/>
      <c r="AO4439" s="14"/>
      <c r="AP4439" s="14"/>
      <c r="AQ4439" s="14"/>
      <c r="AR4439" s="14"/>
      <c r="AS4439" s="14"/>
      <c r="AT4439" s="14"/>
      <c r="AU4439" s="14"/>
      <c r="AV4439" s="14"/>
      <c r="AW4439" s="15"/>
      <c r="AX4439" s="16"/>
    </row>
    <row r="4440" spans="2:50" x14ac:dyDescent="0.2">
      <c r="B4440" s="7" t="s">
        <v>3523</v>
      </c>
      <c r="C4440" s="8">
        <v>14705</v>
      </c>
      <c r="D4440" s="9" t="s">
        <v>208</v>
      </c>
      <c r="E4440" s="10" t="str">
        <f t="shared" si="506"/>
        <v>Rancho La Cuchilla No. 29</v>
      </c>
      <c r="F4440" s="10" t="str">
        <f t="shared" si="507"/>
        <v>Vega Sánchez C.</v>
      </c>
      <c r="G4440" s="8">
        <v>1</v>
      </c>
      <c r="H4440" s="11"/>
      <c r="I4440" s="12">
        <v>42922</v>
      </c>
      <c r="J4440" s="35">
        <f t="shared" si="508"/>
        <v>0</v>
      </c>
      <c r="K4440" s="36"/>
      <c r="L4440" s="36"/>
      <c r="M4440" s="36"/>
      <c r="N4440" s="36"/>
      <c r="O4440" s="36"/>
      <c r="P4440" s="36"/>
      <c r="Q4440" s="36"/>
      <c r="R4440" s="36"/>
      <c r="S4440" s="36"/>
      <c r="T4440" s="36"/>
      <c r="U4440" s="36"/>
      <c r="V4440" s="36"/>
      <c r="W4440" s="15">
        <f t="shared" si="509"/>
        <v>0</v>
      </c>
      <c r="X4440" s="36"/>
      <c r="Y4440" s="36"/>
      <c r="Z4440" s="36"/>
      <c r="AA4440" s="36"/>
      <c r="AB4440" s="36"/>
      <c r="AC4440" s="36"/>
      <c r="AD4440" s="36"/>
      <c r="AE4440" s="36"/>
      <c r="AF4440" s="36"/>
      <c r="AG4440" s="36"/>
      <c r="AH4440" s="36"/>
      <c r="AI4440" s="36"/>
      <c r="AJ4440" s="15">
        <f t="shared" si="510"/>
        <v>0</v>
      </c>
      <c r="AK4440" s="14"/>
      <c r="AL4440" s="14"/>
      <c r="AM4440" s="14"/>
      <c r="AN4440" s="14"/>
      <c r="AO4440" s="14"/>
      <c r="AP4440" s="14"/>
      <c r="AQ4440" s="14"/>
      <c r="AR4440" s="14"/>
      <c r="AS4440" s="14"/>
      <c r="AT4440" s="14"/>
      <c r="AU4440" s="14"/>
      <c r="AV4440" s="14"/>
      <c r="AW4440" s="15"/>
      <c r="AX4440" s="16"/>
    </row>
    <row r="4441" spans="2:50" x14ac:dyDescent="0.2">
      <c r="B4441" s="7"/>
      <c r="C4441" s="8">
        <v>14706</v>
      </c>
      <c r="D4441" s="9" t="s">
        <v>226</v>
      </c>
      <c r="E4441" s="10" t="str">
        <f t="shared" si="506"/>
        <v>Rancho Landero No. 31</v>
      </c>
      <c r="F4441" s="10" t="str">
        <f t="shared" si="507"/>
        <v>Díaz Hernández</v>
      </c>
      <c r="G4441" s="8">
        <v>1</v>
      </c>
      <c r="H4441" s="11">
        <v>400</v>
      </c>
      <c r="I4441" s="12">
        <v>42922</v>
      </c>
      <c r="J4441" s="35">
        <f t="shared" si="508"/>
        <v>0</v>
      </c>
      <c r="K4441" s="36"/>
      <c r="L4441" s="36"/>
      <c r="M4441" s="36"/>
      <c r="N4441" s="36"/>
      <c r="O4441" s="36"/>
      <c r="P4441" s="36"/>
      <c r="Q4441" s="36"/>
      <c r="R4441" s="36"/>
      <c r="S4441" s="36"/>
      <c r="T4441" s="36"/>
      <c r="U4441" s="36"/>
      <c r="V4441" s="36"/>
      <c r="W4441" s="15">
        <f t="shared" si="509"/>
        <v>0</v>
      </c>
      <c r="X4441" s="36"/>
      <c r="Y4441" s="36"/>
      <c r="Z4441" s="36"/>
      <c r="AA4441" s="36"/>
      <c r="AB4441" s="36"/>
      <c r="AC4441" s="36">
        <v>200</v>
      </c>
      <c r="AD4441" s="36">
        <v>200</v>
      </c>
      <c r="AE4441" s="36"/>
      <c r="AF4441" s="36"/>
      <c r="AG4441" s="36"/>
      <c r="AH4441" s="36"/>
      <c r="AI4441" s="36"/>
      <c r="AJ4441" s="15">
        <f t="shared" si="510"/>
        <v>400</v>
      </c>
      <c r="AK4441" s="14"/>
      <c r="AL4441" s="14"/>
      <c r="AM4441" s="14"/>
      <c r="AN4441" s="14"/>
      <c r="AO4441" s="14"/>
      <c r="AP4441" s="14"/>
      <c r="AQ4441" s="14"/>
      <c r="AR4441" s="14"/>
      <c r="AS4441" s="14"/>
      <c r="AT4441" s="14"/>
      <c r="AU4441" s="14"/>
      <c r="AV4441" s="14"/>
      <c r="AW4441" s="15"/>
      <c r="AX4441" s="16"/>
    </row>
    <row r="4442" spans="2:50" x14ac:dyDescent="0.2">
      <c r="B4442" s="7"/>
      <c r="C4442" s="8">
        <v>14707</v>
      </c>
      <c r="D4442" s="9" t="s">
        <v>669</v>
      </c>
      <c r="E4442" s="10" t="str">
        <f t="shared" si="506"/>
        <v>Rancho Landero No. 24</v>
      </c>
      <c r="F4442" s="10" t="str">
        <f t="shared" si="507"/>
        <v>Vázquez Peralta</v>
      </c>
      <c r="G4442" s="8">
        <v>1</v>
      </c>
      <c r="H4442" s="11">
        <v>400</v>
      </c>
      <c r="I4442" s="12">
        <v>42922</v>
      </c>
      <c r="J4442" s="35">
        <f t="shared" si="508"/>
        <v>0</v>
      </c>
      <c r="K4442" s="36"/>
      <c r="L4442" s="36"/>
      <c r="M4442" s="36"/>
      <c r="N4442" s="36"/>
      <c r="O4442" s="36"/>
      <c r="P4442" s="36"/>
      <c r="Q4442" s="36"/>
      <c r="R4442" s="36"/>
      <c r="S4442" s="36"/>
      <c r="T4442" s="36"/>
      <c r="U4442" s="36"/>
      <c r="V4442" s="36"/>
      <c r="W4442" s="15">
        <f t="shared" si="509"/>
        <v>0</v>
      </c>
      <c r="X4442" s="36"/>
      <c r="Y4442" s="36"/>
      <c r="Z4442" s="36"/>
      <c r="AA4442" s="36"/>
      <c r="AB4442" s="36"/>
      <c r="AC4442" s="36">
        <v>400</v>
      </c>
      <c r="AD4442" s="36"/>
      <c r="AE4442" s="36"/>
      <c r="AF4442" s="36"/>
      <c r="AG4442" s="36"/>
      <c r="AH4442" s="36"/>
      <c r="AI4442" s="36"/>
      <c r="AJ4442" s="15">
        <f t="shared" si="510"/>
        <v>400</v>
      </c>
      <c r="AK4442" s="14"/>
      <c r="AL4442" s="14"/>
      <c r="AM4442" s="14"/>
      <c r="AN4442" s="14"/>
      <c r="AO4442" s="14"/>
      <c r="AP4442" s="14"/>
      <c r="AQ4442" s="14"/>
      <c r="AR4442" s="14"/>
      <c r="AS4442" s="14"/>
      <c r="AT4442" s="14"/>
      <c r="AU4442" s="14"/>
      <c r="AV4442" s="14"/>
      <c r="AW4442" s="15"/>
      <c r="AX4442" s="16"/>
    </row>
    <row r="4443" spans="2:50" x14ac:dyDescent="0.2">
      <c r="B4443" s="7"/>
      <c r="C4443" s="8">
        <v>14708</v>
      </c>
      <c r="D4443" s="9" t="s">
        <v>807</v>
      </c>
      <c r="E4443" s="10" t="str">
        <f t="shared" si="506"/>
        <v>Rancho La Cuchilla No. 61</v>
      </c>
      <c r="F4443" s="10" t="str">
        <f t="shared" si="507"/>
        <v>Rivera</v>
      </c>
      <c r="G4443" s="8">
        <v>1</v>
      </c>
      <c r="H4443" s="11">
        <v>400</v>
      </c>
      <c r="I4443" s="12">
        <v>42923</v>
      </c>
      <c r="J4443" s="35">
        <f t="shared" si="508"/>
        <v>0</v>
      </c>
      <c r="K4443" s="36"/>
      <c r="L4443" s="36"/>
      <c r="M4443" s="36"/>
      <c r="N4443" s="36"/>
      <c r="O4443" s="36"/>
      <c r="P4443" s="36"/>
      <c r="Q4443" s="36"/>
      <c r="R4443" s="36"/>
      <c r="S4443" s="36"/>
      <c r="T4443" s="36"/>
      <c r="U4443" s="36"/>
      <c r="V4443" s="36"/>
      <c r="W4443" s="15">
        <f t="shared" si="509"/>
        <v>0</v>
      </c>
      <c r="X4443" s="36"/>
      <c r="Y4443" s="36"/>
      <c r="Z4443" s="36"/>
      <c r="AA4443" s="36"/>
      <c r="AB4443" s="36">
        <v>200</v>
      </c>
      <c r="AC4443" s="36">
        <v>200</v>
      </c>
      <c r="AD4443" s="36"/>
      <c r="AE4443" s="36"/>
      <c r="AF4443" s="36"/>
      <c r="AG4443" s="36"/>
      <c r="AH4443" s="36"/>
      <c r="AI4443" s="36"/>
      <c r="AJ4443" s="15">
        <f t="shared" si="510"/>
        <v>400</v>
      </c>
      <c r="AK4443" s="14"/>
      <c r="AL4443" s="14"/>
      <c r="AM4443" s="14"/>
      <c r="AN4443" s="14"/>
      <c r="AO4443" s="14"/>
      <c r="AP4443" s="14"/>
      <c r="AQ4443" s="14"/>
      <c r="AR4443" s="14"/>
      <c r="AS4443" s="14"/>
      <c r="AT4443" s="14"/>
      <c r="AU4443" s="14"/>
      <c r="AV4443" s="14"/>
      <c r="AW4443" s="15"/>
      <c r="AX4443" s="16"/>
    </row>
    <row r="4444" spans="2:50" x14ac:dyDescent="0.2">
      <c r="B4444" s="7"/>
      <c r="C4444" s="8">
        <v>14709</v>
      </c>
      <c r="D4444" s="9" t="s">
        <v>611</v>
      </c>
      <c r="E4444" s="10" t="str">
        <f t="shared" ref="E4444:E4475" si="511">IF(D4444=0,"",VLOOKUP(D4444,BASE,2,FALSE))</f>
        <v>Rancho Estanzuela No. 47</v>
      </c>
      <c r="F4444" s="10" t="str">
        <f t="shared" ref="F4444:F4475" si="512">IF(D4444=0,"",VLOOKUP(D4444,BASE,3,FALSE))</f>
        <v>Bussey García</v>
      </c>
      <c r="G4444" s="8">
        <v>1</v>
      </c>
      <c r="H4444" s="11">
        <v>800</v>
      </c>
      <c r="I4444" s="12">
        <v>42925</v>
      </c>
      <c r="J4444" s="35">
        <f t="shared" ref="J4444:J4475" si="513">IF(G4444=1,SUM(W4444,AJ4444,-H4444),0)</f>
        <v>0</v>
      </c>
      <c r="K4444" s="36"/>
      <c r="L4444" s="36"/>
      <c r="M4444" s="36"/>
      <c r="N4444" s="36"/>
      <c r="O4444" s="36"/>
      <c r="P4444" s="36"/>
      <c r="Q4444" s="36"/>
      <c r="R4444" s="36"/>
      <c r="S4444" s="36"/>
      <c r="T4444" s="36"/>
      <c r="U4444" s="36"/>
      <c r="V4444" s="36"/>
      <c r="W4444" s="15">
        <f t="shared" ref="W4444:W4475" si="514">SUM(K4444:V4444)</f>
        <v>0</v>
      </c>
      <c r="X4444" s="36"/>
      <c r="Y4444" s="36"/>
      <c r="Z4444" s="36"/>
      <c r="AA4444" s="36"/>
      <c r="AB4444" s="36"/>
      <c r="AC4444" s="36">
        <v>400</v>
      </c>
      <c r="AD4444" s="36">
        <v>400</v>
      </c>
      <c r="AE4444" s="36"/>
      <c r="AF4444" s="36"/>
      <c r="AG4444" s="36"/>
      <c r="AH4444" s="36"/>
      <c r="AI4444" s="36"/>
      <c r="AJ4444" s="15">
        <f t="shared" ref="AJ4444:AJ4475" si="515">SUM(X4444:AI4444)</f>
        <v>800</v>
      </c>
      <c r="AK4444" s="14"/>
      <c r="AL4444" s="14"/>
      <c r="AM4444" s="14"/>
      <c r="AN4444" s="14"/>
      <c r="AO4444" s="14"/>
      <c r="AP4444" s="14"/>
      <c r="AQ4444" s="14"/>
      <c r="AR4444" s="14"/>
      <c r="AS4444" s="14"/>
      <c r="AT4444" s="14"/>
      <c r="AU4444" s="14"/>
      <c r="AV4444" s="14"/>
      <c r="AW4444" s="15"/>
      <c r="AX4444" s="16"/>
    </row>
    <row r="4445" spans="2:50" x14ac:dyDescent="0.2">
      <c r="B4445" s="7"/>
      <c r="C4445" s="8">
        <v>14710</v>
      </c>
      <c r="D4445" s="9" t="s">
        <v>574</v>
      </c>
      <c r="E4445" s="10" t="str">
        <f t="shared" si="511"/>
        <v xml:space="preserve">Rancho Upácuaro No. 94 </v>
      </c>
      <c r="F4445" s="10" t="str">
        <f t="shared" si="512"/>
        <v>Juárez Patiño</v>
      </c>
      <c r="G4445" s="8">
        <v>1</v>
      </c>
      <c r="H4445" s="11">
        <v>300</v>
      </c>
      <c r="I4445" s="12">
        <v>42925</v>
      </c>
      <c r="J4445" s="35">
        <f t="shared" si="513"/>
        <v>0</v>
      </c>
      <c r="K4445" s="36"/>
      <c r="L4445" s="36"/>
      <c r="M4445" s="36"/>
      <c r="N4445" s="36"/>
      <c r="O4445" s="36"/>
      <c r="P4445" s="36"/>
      <c r="Q4445" s="36"/>
      <c r="R4445" s="36"/>
      <c r="S4445" s="36"/>
      <c r="T4445" s="36"/>
      <c r="U4445" s="36"/>
      <c r="V4445" s="36"/>
      <c r="W4445" s="15">
        <f t="shared" si="514"/>
        <v>0</v>
      </c>
      <c r="X4445" s="36"/>
      <c r="Y4445" s="36"/>
      <c r="Z4445" s="36"/>
      <c r="AA4445" s="36"/>
      <c r="AB4445" s="36"/>
      <c r="AC4445" s="36"/>
      <c r="AD4445" s="36">
        <v>300</v>
      </c>
      <c r="AE4445" s="36"/>
      <c r="AF4445" s="36"/>
      <c r="AG4445" s="36"/>
      <c r="AH4445" s="36"/>
      <c r="AI4445" s="36"/>
      <c r="AJ4445" s="15">
        <f t="shared" si="515"/>
        <v>300</v>
      </c>
      <c r="AK4445" s="14"/>
      <c r="AL4445" s="14"/>
      <c r="AM4445" s="14"/>
      <c r="AN4445" s="14"/>
      <c r="AO4445" s="14"/>
      <c r="AP4445" s="14"/>
      <c r="AQ4445" s="14"/>
      <c r="AR4445" s="14"/>
      <c r="AS4445" s="14"/>
      <c r="AT4445" s="14"/>
      <c r="AU4445" s="14"/>
      <c r="AV4445" s="14"/>
      <c r="AW4445" s="15"/>
      <c r="AX4445" s="16"/>
    </row>
    <row r="4446" spans="2:50" x14ac:dyDescent="0.2">
      <c r="B4446" s="7"/>
      <c r="C4446" s="8">
        <v>14711</v>
      </c>
      <c r="D4446" s="9" t="s">
        <v>580</v>
      </c>
      <c r="E4446" s="10" t="str">
        <f t="shared" si="511"/>
        <v>Rancho La Cuchilla No. 59</v>
      </c>
      <c r="F4446" s="10" t="str">
        <f t="shared" si="512"/>
        <v>Ortega Vega</v>
      </c>
      <c r="G4446" s="8">
        <v>1</v>
      </c>
      <c r="H4446" s="11">
        <v>450</v>
      </c>
      <c r="I4446" s="12">
        <v>42925</v>
      </c>
      <c r="J4446" s="35">
        <f t="shared" si="513"/>
        <v>0</v>
      </c>
      <c r="K4446" s="36"/>
      <c r="L4446" s="36"/>
      <c r="M4446" s="36"/>
      <c r="N4446" s="36"/>
      <c r="O4446" s="36"/>
      <c r="P4446" s="36"/>
      <c r="Q4446" s="36"/>
      <c r="R4446" s="36"/>
      <c r="S4446" s="36"/>
      <c r="T4446" s="36"/>
      <c r="U4446" s="36"/>
      <c r="V4446" s="36"/>
      <c r="W4446" s="15">
        <f t="shared" si="514"/>
        <v>0</v>
      </c>
      <c r="X4446" s="36"/>
      <c r="Y4446" s="36"/>
      <c r="Z4446" s="36"/>
      <c r="AA4446" s="36"/>
      <c r="AB4446" s="36"/>
      <c r="AC4446" s="36"/>
      <c r="AD4446" s="36">
        <v>150</v>
      </c>
      <c r="AE4446" s="36">
        <v>150</v>
      </c>
      <c r="AF4446" s="36">
        <v>150</v>
      </c>
      <c r="AG4446" s="36"/>
      <c r="AH4446" s="36"/>
      <c r="AI4446" s="36"/>
      <c r="AJ4446" s="15">
        <f t="shared" si="515"/>
        <v>450</v>
      </c>
      <c r="AK4446" s="14"/>
      <c r="AL4446" s="14"/>
      <c r="AM4446" s="14"/>
      <c r="AN4446" s="14"/>
      <c r="AO4446" s="14"/>
      <c r="AP4446" s="14"/>
      <c r="AQ4446" s="14"/>
      <c r="AR4446" s="14"/>
      <c r="AS4446" s="14"/>
      <c r="AT4446" s="14"/>
      <c r="AU4446" s="14"/>
      <c r="AV4446" s="14"/>
      <c r="AW4446" s="15"/>
      <c r="AX4446" s="16"/>
    </row>
    <row r="4447" spans="2:50" x14ac:dyDescent="0.2">
      <c r="B4447" s="7"/>
      <c r="C4447" s="8">
        <v>14712</v>
      </c>
      <c r="D4447" s="9" t="s">
        <v>855</v>
      </c>
      <c r="E4447" s="10" t="str">
        <f t="shared" si="511"/>
        <v>Rancho Upácuaro No. 99</v>
      </c>
      <c r="F4447" s="10" t="str">
        <f t="shared" si="512"/>
        <v>Frías</v>
      </c>
      <c r="G4447" s="8">
        <v>1</v>
      </c>
      <c r="H4447" s="11">
        <v>800</v>
      </c>
      <c r="I4447" s="12">
        <v>42925</v>
      </c>
      <c r="J4447" s="35">
        <f t="shared" si="513"/>
        <v>0</v>
      </c>
      <c r="K4447" s="36"/>
      <c r="L4447" s="36"/>
      <c r="M4447" s="36"/>
      <c r="N4447" s="36"/>
      <c r="O4447" s="36"/>
      <c r="P4447" s="36"/>
      <c r="Q4447" s="36"/>
      <c r="R4447" s="36"/>
      <c r="S4447" s="36"/>
      <c r="T4447" s="36"/>
      <c r="U4447" s="36"/>
      <c r="V4447" s="36"/>
      <c r="W4447" s="15">
        <f t="shared" si="514"/>
        <v>0</v>
      </c>
      <c r="X4447" s="36"/>
      <c r="Y4447" s="36"/>
      <c r="Z4447" s="36"/>
      <c r="AA4447" s="36"/>
      <c r="AB4447" s="36"/>
      <c r="AC4447" s="36"/>
      <c r="AD4447" s="36">
        <v>200</v>
      </c>
      <c r="AE4447" s="36">
        <v>200</v>
      </c>
      <c r="AF4447" s="36">
        <v>200</v>
      </c>
      <c r="AG4447" s="36">
        <v>200</v>
      </c>
      <c r="AH4447" s="36"/>
      <c r="AI4447" s="36"/>
      <c r="AJ4447" s="15">
        <f t="shared" si="515"/>
        <v>800</v>
      </c>
      <c r="AK4447" s="14"/>
      <c r="AL4447" s="14"/>
      <c r="AM4447" s="14"/>
      <c r="AN4447" s="14"/>
      <c r="AO4447" s="14"/>
      <c r="AP4447" s="14"/>
      <c r="AQ4447" s="14"/>
      <c r="AR4447" s="14"/>
      <c r="AS4447" s="14"/>
      <c r="AT4447" s="14"/>
      <c r="AU4447" s="14"/>
      <c r="AV4447" s="14"/>
      <c r="AW4447" s="15"/>
      <c r="AX4447" s="16"/>
    </row>
    <row r="4448" spans="2:50" x14ac:dyDescent="0.2">
      <c r="B4448" s="7"/>
      <c r="C4448" s="8">
        <v>14713</v>
      </c>
      <c r="D4448" s="9" t="s">
        <v>617</v>
      </c>
      <c r="E4448" s="10" t="str">
        <f t="shared" si="511"/>
        <v>Rancho Zinamba No. 50</v>
      </c>
      <c r="F4448" s="10" t="str">
        <f t="shared" si="512"/>
        <v>Del Castillo</v>
      </c>
      <c r="G4448" s="8">
        <v>1</v>
      </c>
      <c r="H4448" s="11">
        <v>400</v>
      </c>
      <c r="I4448" s="12">
        <v>42925</v>
      </c>
      <c r="J4448" s="35">
        <f t="shared" si="513"/>
        <v>0</v>
      </c>
      <c r="K4448" s="36"/>
      <c r="L4448" s="36"/>
      <c r="M4448" s="36"/>
      <c r="N4448" s="36"/>
      <c r="O4448" s="36"/>
      <c r="P4448" s="36"/>
      <c r="Q4448" s="36"/>
      <c r="R4448" s="36"/>
      <c r="S4448" s="36"/>
      <c r="T4448" s="36"/>
      <c r="U4448" s="36"/>
      <c r="V4448" s="36"/>
      <c r="W4448" s="15">
        <f t="shared" si="514"/>
        <v>0</v>
      </c>
      <c r="X4448" s="36"/>
      <c r="Y4448" s="36"/>
      <c r="Z4448" s="36"/>
      <c r="AA4448" s="36"/>
      <c r="AB4448" s="36"/>
      <c r="AC4448" s="36">
        <v>400</v>
      </c>
      <c r="AD4448" s="36"/>
      <c r="AE4448" s="36"/>
      <c r="AF4448" s="36"/>
      <c r="AG4448" s="36"/>
      <c r="AH4448" s="36"/>
      <c r="AI4448" s="36"/>
      <c r="AJ4448" s="15">
        <f t="shared" si="515"/>
        <v>400</v>
      </c>
      <c r="AK4448" s="14"/>
      <c r="AL4448" s="14"/>
      <c r="AM4448" s="14"/>
      <c r="AN4448" s="14"/>
      <c r="AO4448" s="14"/>
      <c r="AP4448" s="14"/>
      <c r="AQ4448" s="14"/>
      <c r="AR4448" s="14"/>
      <c r="AS4448" s="14"/>
      <c r="AT4448" s="14"/>
      <c r="AU4448" s="14"/>
      <c r="AV4448" s="14"/>
      <c r="AW4448" s="15"/>
      <c r="AX4448" s="16"/>
    </row>
    <row r="4449" spans="2:50" x14ac:dyDescent="0.2">
      <c r="B4449" s="7"/>
      <c r="C4449" s="8">
        <v>14714</v>
      </c>
      <c r="D4449" s="9" t="s">
        <v>696</v>
      </c>
      <c r="E4449" s="10" t="str">
        <f t="shared" si="511"/>
        <v>Rancho Upácuaro No. 64</v>
      </c>
      <c r="F4449" s="10" t="str">
        <f t="shared" si="512"/>
        <v>Méndez Oliva</v>
      </c>
      <c r="G4449" s="8">
        <v>1</v>
      </c>
      <c r="H4449" s="11">
        <v>300</v>
      </c>
      <c r="I4449" s="12">
        <v>42925</v>
      </c>
      <c r="J4449" s="35">
        <f t="shared" si="513"/>
        <v>0</v>
      </c>
      <c r="K4449" s="36"/>
      <c r="L4449" s="36"/>
      <c r="M4449" s="36"/>
      <c r="N4449" s="36"/>
      <c r="O4449" s="36"/>
      <c r="P4449" s="36"/>
      <c r="Q4449" s="36"/>
      <c r="R4449" s="36"/>
      <c r="S4449" s="36"/>
      <c r="T4449" s="36"/>
      <c r="U4449" s="36"/>
      <c r="V4449" s="36"/>
      <c r="W4449" s="15">
        <f t="shared" si="514"/>
        <v>0</v>
      </c>
      <c r="X4449" s="36"/>
      <c r="Y4449" s="36"/>
      <c r="Z4449" s="36"/>
      <c r="AA4449" s="36"/>
      <c r="AB4449" s="36"/>
      <c r="AC4449" s="36"/>
      <c r="AD4449" s="36">
        <v>300</v>
      </c>
      <c r="AE4449" s="36"/>
      <c r="AF4449" s="36"/>
      <c r="AG4449" s="36"/>
      <c r="AH4449" s="36"/>
      <c r="AI4449" s="36"/>
      <c r="AJ4449" s="15">
        <f t="shared" si="515"/>
        <v>300</v>
      </c>
      <c r="AK4449" s="14"/>
      <c r="AL4449" s="14"/>
      <c r="AM4449" s="14"/>
      <c r="AN4449" s="14"/>
      <c r="AO4449" s="14"/>
      <c r="AP4449" s="14"/>
      <c r="AQ4449" s="14"/>
      <c r="AR4449" s="14"/>
      <c r="AS4449" s="14"/>
      <c r="AT4449" s="14"/>
      <c r="AU4449" s="14"/>
      <c r="AV4449" s="14"/>
      <c r="AW4449" s="15"/>
      <c r="AX4449" s="16"/>
    </row>
    <row r="4450" spans="2:50" x14ac:dyDescent="0.2">
      <c r="B4450" s="7"/>
      <c r="C4450" s="8">
        <v>14715</v>
      </c>
      <c r="D4450" s="9" t="s">
        <v>292</v>
      </c>
      <c r="E4450" s="10" t="str">
        <f t="shared" si="511"/>
        <v>Rancho Upácuaro No. 140</v>
      </c>
      <c r="F4450" s="10" t="str">
        <f t="shared" si="512"/>
        <v>Gozain</v>
      </c>
      <c r="G4450" s="8">
        <v>1</v>
      </c>
      <c r="H4450" s="11">
        <v>400</v>
      </c>
      <c r="I4450" s="12">
        <v>42925</v>
      </c>
      <c r="J4450" s="35">
        <f t="shared" si="513"/>
        <v>0</v>
      </c>
      <c r="K4450" s="36"/>
      <c r="L4450" s="36"/>
      <c r="M4450" s="36"/>
      <c r="N4450" s="36"/>
      <c r="O4450" s="36"/>
      <c r="P4450" s="36"/>
      <c r="Q4450" s="36"/>
      <c r="R4450" s="36"/>
      <c r="S4450" s="36"/>
      <c r="T4450" s="36"/>
      <c r="U4450" s="36"/>
      <c r="V4450" s="36"/>
      <c r="W4450" s="15">
        <f t="shared" si="514"/>
        <v>0</v>
      </c>
      <c r="X4450" s="36"/>
      <c r="Y4450" s="36"/>
      <c r="Z4450" s="36"/>
      <c r="AA4450" s="36"/>
      <c r="AB4450" s="36"/>
      <c r="AC4450" s="36"/>
      <c r="AD4450" s="36"/>
      <c r="AE4450" s="36">
        <v>400</v>
      </c>
      <c r="AF4450" s="36"/>
      <c r="AG4450" s="36"/>
      <c r="AH4450" s="36"/>
      <c r="AI4450" s="36"/>
      <c r="AJ4450" s="15">
        <f t="shared" si="515"/>
        <v>400</v>
      </c>
      <c r="AK4450" s="14"/>
      <c r="AL4450" s="14"/>
      <c r="AM4450" s="14"/>
      <c r="AN4450" s="14"/>
      <c r="AO4450" s="14"/>
      <c r="AP4450" s="14"/>
      <c r="AQ4450" s="14"/>
      <c r="AR4450" s="14"/>
      <c r="AS4450" s="14"/>
      <c r="AT4450" s="14"/>
      <c r="AU4450" s="14"/>
      <c r="AV4450" s="14"/>
      <c r="AW4450" s="15"/>
      <c r="AX4450" s="16"/>
    </row>
    <row r="4451" spans="2:50" x14ac:dyDescent="0.2">
      <c r="B4451" s="7"/>
      <c r="C4451" s="8">
        <v>14716</v>
      </c>
      <c r="D4451" s="9" t="s">
        <v>476</v>
      </c>
      <c r="E4451" s="10" t="str">
        <f t="shared" si="511"/>
        <v>Rancho Upácuaro No. 33</v>
      </c>
      <c r="F4451" s="10" t="str">
        <f t="shared" si="512"/>
        <v>Ulloa Miranda</v>
      </c>
      <c r="G4451" s="8">
        <v>1</v>
      </c>
      <c r="H4451" s="11">
        <v>400</v>
      </c>
      <c r="I4451" s="12">
        <v>42925</v>
      </c>
      <c r="J4451" s="35">
        <f t="shared" si="513"/>
        <v>0</v>
      </c>
      <c r="K4451" s="36"/>
      <c r="L4451" s="36"/>
      <c r="M4451" s="36"/>
      <c r="N4451" s="36"/>
      <c r="O4451" s="36"/>
      <c r="P4451" s="36"/>
      <c r="Q4451" s="36"/>
      <c r="R4451" s="36"/>
      <c r="S4451" s="36"/>
      <c r="T4451" s="36"/>
      <c r="U4451" s="36"/>
      <c r="V4451" s="36"/>
      <c r="W4451" s="15">
        <f t="shared" si="514"/>
        <v>0</v>
      </c>
      <c r="X4451" s="36"/>
      <c r="Y4451" s="36"/>
      <c r="Z4451" s="36"/>
      <c r="AA4451" s="36"/>
      <c r="AB4451" s="36"/>
      <c r="AC4451" s="36"/>
      <c r="AD4451" s="36">
        <v>400</v>
      </c>
      <c r="AE4451" s="36"/>
      <c r="AF4451" s="36"/>
      <c r="AG4451" s="36"/>
      <c r="AH4451" s="36"/>
      <c r="AI4451" s="36"/>
      <c r="AJ4451" s="15">
        <f t="shared" si="515"/>
        <v>400</v>
      </c>
      <c r="AK4451" s="14"/>
      <c r="AL4451" s="14"/>
      <c r="AM4451" s="14"/>
      <c r="AN4451" s="14"/>
      <c r="AO4451" s="14"/>
      <c r="AP4451" s="14"/>
      <c r="AQ4451" s="14"/>
      <c r="AR4451" s="14"/>
      <c r="AS4451" s="14"/>
      <c r="AT4451" s="14"/>
      <c r="AU4451" s="14"/>
      <c r="AV4451" s="14"/>
      <c r="AW4451" s="15"/>
      <c r="AX4451" s="16"/>
    </row>
    <row r="4452" spans="2:50" x14ac:dyDescent="0.2">
      <c r="B4452" s="7"/>
      <c r="C4452" s="8">
        <v>14717</v>
      </c>
      <c r="D4452" s="9" t="s">
        <v>247</v>
      </c>
      <c r="E4452" s="10" t="str">
        <f t="shared" si="511"/>
        <v>Rancho Landero No. 91</v>
      </c>
      <c r="F4452" s="10" t="str">
        <f t="shared" si="512"/>
        <v>Llaca</v>
      </c>
      <c r="G4452" s="8">
        <v>1</v>
      </c>
      <c r="H4452" s="11">
        <v>800</v>
      </c>
      <c r="I4452" s="12">
        <v>42925</v>
      </c>
      <c r="J4452" s="35">
        <f t="shared" si="513"/>
        <v>0</v>
      </c>
      <c r="K4452" s="36"/>
      <c r="L4452" s="36"/>
      <c r="M4452" s="36"/>
      <c r="N4452" s="36"/>
      <c r="O4452" s="36"/>
      <c r="P4452" s="36"/>
      <c r="Q4452" s="36"/>
      <c r="R4452" s="36"/>
      <c r="S4452" s="36"/>
      <c r="T4452" s="36"/>
      <c r="U4452" s="36"/>
      <c r="V4452" s="36"/>
      <c r="W4452" s="15">
        <f t="shared" si="514"/>
        <v>0</v>
      </c>
      <c r="X4452" s="36"/>
      <c r="Y4452" s="36"/>
      <c r="Z4452" s="36"/>
      <c r="AA4452" s="36"/>
      <c r="AB4452" s="36"/>
      <c r="AC4452" s="36"/>
      <c r="AD4452" s="36">
        <v>400</v>
      </c>
      <c r="AE4452" s="36">
        <v>400</v>
      </c>
      <c r="AF4452" s="36"/>
      <c r="AG4452" s="36"/>
      <c r="AH4452" s="36"/>
      <c r="AI4452" s="36"/>
      <c r="AJ4452" s="15">
        <f t="shared" si="515"/>
        <v>800</v>
      </c>
      <c r="AK4452" s="14"/>
      <c r="AL4452" s="14"/>
      <c r="AM4452" s="14"/>
      <c r="AN4452" s="14"/>
      <c r="AO4452" s="14"/>
      <c r="AP4452" s="14"/>
      <c r="AQ4452" s="14"/>
      <c r="AR4452" s="14"/>
      <c r="AS4452" s="14"/>
      <c r="AT4452" s="14"/>
      <c r="AU4452" s="14"/>
      <c r="AV4452" s="14"/>
      <c r="AW4452" s="15"/>
      <c r="AX4452" s="16"/>
    </row>
    <row r="4453" spans="2:50" x14ac:dyDescent="0.2">
      <c r="B4453" s="7"/>
      <c r="C4453" s="8">
        <v>14718</v>
      </c>
      <c r="D4453" s="9" t="s">
        <v>1092</v>
      </c>
      <c r="E4453" s="10" t="str">
        <f t="shared" si="511"/>
        <v>Rancho Estanzuela No. 9, A</v>
      </c>
      <c r="F4453" s="10" t="str">
        <f t="shared" si="512"/>
        <v>Castañeda</v>
      </c>
      <c r="G4453" s="8">
        <v>1</v>
      </c>
      <c r="H4453" s="11">
        <v>1000</v>
      </c>
      <c r="I4453" s="12">
        <v>42925</v>
      </c>
      <c r="J4453" s="35">
        <f t="shared" si="513"/>
        <v>0</v>
      </c>
      <c r="K4453" s="36"/>
      <c r="L4453" s="36"/>
      <c r="M4453" s="36"/>
      <c r="N4453" s="36"/>
      <c r="O4453" s="36"/>
      <c r="P4453" s="36"/>
      <c r="Q4453" s="36"/>
      <c r="R4453" s="36"/>
      <c r="S4453" s="36"/>
      <c r="T4453" s="36"/>
      <c r="U4453" s="36"/>
      <c r="V4453" s="36"/>
      <c r="W4453" s="15">
        <f t="shared" si="514"/>
        <v>0</v>
      </c>
      <c r="X4453" s="36"/>
      <c r="Y4453" s="36"/>
      <c r="Z4453" s="36"/>
      <c r="AA4453" s="36">
        <v>200</v>
      </c>
      <c r="AB4453" s="36">
        <v>200</v>
      </c>
      <c r="AC4453" s="36">
        <v>200</v>
      </c>
      <c r="AD4453" s="36">
        <v>200</v>
      </c>
      <c r="AE4453" s="36">
        <v>200</v>
      </c>
      <c r="AF4453" s="36"/>
      <c r="AG4453" s="36"/>
      <c r="AH4453" s="36"/>
      <c r="AI4453" s="36"/>
      <c r="AJ4453" s="15">
        <f t="shared" si="515"/>
        <v>1000</v>
      </c>
      <c r="AK4453" s="14"/>
      <c r="AL4453" s="14"/>
      <c r="AM4453" s="14"/>
      <c r="AN4453" s="14"/>
      <c r="AO4453" s="14"/>
      <c r="AP4453" s="14"/>
      <c r="AQ4453" s="14"/>
      <c r="AR4453" s="14"/>
      <c r="AS4453" s="14"/>
      <c r="AT4453" s="14"/>
      <c r="AU4453" s="14"/>
      <c r="AV4453" s="14"/>
      <c r="AW4453" s="15"/>
      <c r="AX4453" s="16"/>
    </row>
    <row r="4454" spans="2:50" x14ac:dyDescent="0.2">
      <c r="B4454" s="7"/>
      <c r="C4454" s="8">
        <v>14719</v>
      </c>
      <c r="D4454" s="9" t="s">
        <v>398</v>
      </c>
      <c r="E4454" s="10" t="str">
        <f t="shared" si="511"/>
        <v>Rancho Estanzuela No. 151</v>
      </c>
      <c r="F4454" s="10" t="str">
        <f t="shared" si="512"/>
        <v>Pérez Salazar</v>
      </c>
      <c r="G4454" s="8">
        <v>1</v>
      </c>
      <c r="H4454" s="11">
        <v>400</v>
      </c>
      <c r="I4454" s="12">
        <v>42925</v>
      </c>
      <c r="J4454" s="35">
        <f t="shared" si="513"/>
        <v>0</v>
      </c>
      <c r="K4454" s="36"/>
      <c r="L4454" s="36"/>
      <c r="M4454" s="36"/>
      <c r="N4454" s="36"/>
      <c r="O4454" s="36"/>
      <c r="P4454" s="36"/>
      <c r="Q4454" s="36"/>
      <c r="R4454" s="36"/>
      <c r="S4454" s="36"/>
      <c r="T4454" s="36"/>
      <c r="U4454" s="36"/>
      <c r="V4454" s="36"/>
      <c r="W4454" s="15">
        <f t="shared" si="514"/>
        <v>0</v>
      </c>
      <c r="X4454" s="36"/>
      <c r="Y4454" s="36"/>
      <c r="Z4454" s="36"/>
      <c r="AA4454" s="36"/>
      <c r="AB4454" s="36"/>
      <c r="AC4454" s="36"/>
      <c r="AD4454" s="36">
        <v>400</v>
      </c>
      <c r="AE4454" s="36"/>
      <c r="AF4454" s="36"/>
      <c r="AG4454" s="36"/>
      <c r="AH4454" s="36"/>
      <c r="AI4454" s="36"/>
      <c r="AJ4454" s="15">
        <f t="shared" si="515"/>
        <v>400</v>
      </c>
      <c r="AK4454" s="14"/>
      <c r="AL4454" s="14"/>
      <c r="AM4454" s="14"/>
      <c r="AN4454" s="14"/>
      <c r="AO4454" s="14"/>
      <c r="AP4454" s="14"/>
      <c r="AQ4454" s="14"/>
      <c r="AR4454" s="14"/>
      <c r="AS4454" s="14"/>
      <c r="AT4454" s="14"/>
      <c r="AU4454" s="14"/>
      <c r="AV4454" s="14"/>
      <c r="AW4454" s="15"/>
      <c r="AX4454" s="16"/>
    </row>
    <row r="4455" spans="2:50" x14ac:dyDescent="0.2">
      <c r="B4455" s="7"/>
      <c r="C4455" s="8">
        <v>14720</v>
      </c>
      <c r="D4455" s="9" t="s">
        <v>271</v>
      </c>
      <c r="E4455" s="10" t="str">
        <f t="shared" si="511"/>
        <v>Rancho Landero No. 76</v>
      </c>
      <c r="F4455" s="10" t="str">
        <f t="shared" si="512"/>
        <v>Ugarte</v>
      </c>
      <c r="G4455" s="8">
        <v>1</v>
      </c>
      <c r="H4455" s="11">
        <v>400</v>
      </c>
      <c r="I4455" s="12">
        <v>42925</v>
      </c>
      <c r="J4455" s="35">
        <f t="shared" si="513"/>
        <v>0</v>
      </c>
      <c r="K4455" s="36"/>
      <c r="L4455" s="36"/>
      <c r="M4455" s="36"/>
      <c r="N4455" s="36"/>
      <c r="O4455" s="36"/>
      <c r="P4455" s="36"/>
      <c r="Q4455" s="36"/>
      <c r="R4455" s="36"/>
      <c r="S4455" s="36"/>
      <c r="T4455" s="36"/>
      <c r="U4455" s="36"/>
      <c r="V4455" s="36"/>
      <c r="W4455" s="15">
        <f t="shared" si="514"/>
        <v>0</v>
      </c>
      <c r="X4455" s="36"/>
      <c r="Y4455" s="36"/>
      <c r="Z4455" s="36"/>
      <c r="AA4455" s="36"/>
      <c r="AB4455" s="36"/>
      <c r="AC4455" s="36"/>
      <c r="AD4455" s="36">
        <v>400</v>
      </c>
      <c r="AE4455" s="36"/>
      <c r="AF4455" s="36"/>
      <c r="AG4455" s="36"/>
      <c r="AH4455" s="36"/>
      <c r="AI4455" s="36"/>
      <c r="AJ4455" s="15">
        <f t="shared" si="515"/>
        <v>400</v>
      </c>
      <c r="AK4455" s="14"/>
      <c r="AL4455" s="14"/>
      <c r="AM4455" s="14"/>
      <c r="AN4455" s="14"/>
      <c r="AO4455" s="14"/>
      <c r="AP4455" s="14"/>
      <c r="AQ4455" s="14"/>
      <c r="AR4455" s="14"/>
      <c r="AS4455" s="14"/>
      <c r="AT4455" s="14"/>
      <c r="AU4455" s="14"/>
      <c r="AV4455" s="14"/>
      <c r="AW4455" s="15"/>
      <c r="AX4455" s="16"/>
    </row>
    <row r="4456" spans="2:50" x14ac:dyDescent="0.2">
      <c r="B4456" s="7"/>
      <c r="C4456" s="8">
        <v>14721</v>
      </c>
      <c r="D4456" s="9" t="s">
        <v>123</v>
      </c>
      <c r="E4456" s="10" t="str">
        <f t="shared" si="511"/>
        <v>Rancho Recoveco No. 175, B</v>
      </c>
      <c r="F4456" s="10" t="str">
        <f t="shared" si="512"/>
        <v>García Calderón</v>
      </c>
      <c r="G4456" s="8">
        <v>1</v>
      </c>
      <c r="H4456" s="11">
        <v>250</v>
      </c>
      <c r="I4456" s="12">
        <v>42925</v>
      </c>
      <c r="J4456" s="35">
        <f t="shared" si="513"/>
        <v>0</v>
      </c>
      <c r="K4456" s="36"/>
      <c r="L4456" s="36"/>
      <c r="M4456" s="36"/>
      <c r="N4456" s="36"/>
      <c r="O4456" s="36"/>
      <c r="P4456" s="36"/>
      <c r="Q4456" s="36"/>
      <c r="R4456" s="36"/>
      <c r="S4456" s="36"/>
      <c r="T4456" s="36"/>
      <c r="U4456" s="36"/>
      <c r="V4456" s="36"/>
      <c r="W4456" s="15">
        <f t="shared" si="514"/>
        <v>0</v>
      </c>
      <c r="X4456" s="36"/>
      <c r="Y4456" s="36"/>
      <c r="Z4456" s="36"/>
      <c r="AA4456" s="36"/>
      <c r="AB4456" s="36"/>
      <c r="AC4456" s="36"/>
      <c r="AD4456" s="36">
        <v>250</v>
      </c>
      <c r="AE4456" s="36"/>
      <c r="AF4456" s="36"/>
      <c r="AG4456" s="36"/>
      <c r="AH4456" s="36"/>
      <c r="AI4456" s="36"/>
      <c r="AJ4456" s="15">
        <f t="shared" si="515"/>
        <v>250</v>
      </c>
      <c r="AK4456" s="14"/>
      <c r="AL4456" s="14"/>
      <c r="AM4456" s="14"/>
      <c r="AN4456" s="14"/>
      <c r="AO4456" s="14"/>
      <c r="AP4456" s="14"/>
      <c r="AQ4456" s="14"/>
      <c r="AR4456" s="14"/>
      <c r="AS4456" s="14"/>
      <c r="AT4456" s="14"/>
      <c r="AU4456" s="14"/>
      <c r="AV4456" s="14"/>
      <c r="AW4456" s="15"/>
      <c r="AX4456" s="16"/>
    </row>
    <row r="4457" spans="2:50" x14ac:dyDescent="0.2">
      <c r="B4457" s="7"/>
      <c r="C4457" s="8">
        <v>14721</v>
      </c>
      <c r="D4457" s="9" t="s">
        <v>123</v>
      </c>
      <c r="E4457" s="10" t="str">
        <f t="shared" si="511"/>
        <v>Rancho Recoveco No. 175, B</v>
      </c>
      <c r="F4457" s="10" t="str">
        <f t="shared" si="512"/>
        <v>García Calderón</v>
      </c>
      <c r="G4457" s="8">
        <v>7</v>
      </c>
      <c r="H4457" s="11">
        <v>100</v>
      </c>
      <c r="I4457" s="12">
        <v>42925</v>
      </c>
      <c r="J4457" s="35">
        <f t="shared" si="513"/>
        <v>0</v>
      </c>
      <c r="K4457" s="36"/>
      <c r="L4457" s="36"/>
      <c r="M4457" s="36"/>
      <c r="N4457" s="36"/>
      <c r="O4457" s="36"/>
      <c r="P4457" s="36"/>
      <c r="Q4457" s="36"/>
      <c r="R4457" s="36"/>
      <c r="S4457" s="36"/>
      <c r="T4457" s="36"/>
      <c r="U4457" s="36"/>
      <c r="V4457" s="36"/>
      <c r="W4457" s="15">
        <f t="shared" si="514"/>
        <v>0</v>
      </c>
      <c r="X4457" s="36"/>
      <c r="Y4457" s="36"/>
      <c r="Z4457" s="36"/>
      <c r="AA4457" s="36"/>
      <c r="AB4457" s="36"/>
      <c r="AC4457" s="36"/>
      <c r="AD4457" s="36"/>
      <c r="AE4457" s="36"/>
      <c r="AF4457" s="36"/>
      <c r="AG4457" s="36"/>
      <c r="AH4457" s="36"/>
      <c r="AI4457" s="36"/>
      <c r="AJ4457" s="15">
        <f t="shared" si="515"/>
        <v>0</v>
      </c>
      <c r="AK4457" s="14"/>
      <c r="AL4457" s="14"/>
      <c r="AM4457" s="14"/>
      <c r="AN4457" s="14"/>
      <c r="AO4457" s="14"/>
      <c r="AP4457" s="14"/>
      <c r="AQ4457" s="14"/>
      <c r="AR4457" s="14"/>
      <c r="AS4457" s="14"/>
      <c r="AT4457" s="14"/>
      <c r="AU4457" s="14"/>
      <c r="AV4457" s="14"/>
      <c r="AW4457" s="15"/>
      <c r="AX4457" s="16" t="s">
        <v>3858</v>
      </c>
    </row>
    <row r="4458" spans="2:50" x14ac:dyDescent="0.2">
      <c r="B4458" s="7"/>
      <c r="C4458" s="8">
        <v>14722</v>
      </c>
      <c r="D4458" s="9" t="s">
        <v>649</v>
      </c>
      <c r="E4458" s="10" t="str">
        <f t="shared" si="511"/>
        <v>Rancho Estanzuela No. 57</v>
      </c>
      <c r="F4458" s="10" t="str">
        <f t="shared" si="512"/>
        <v>Olivares</v>
      </c>
      <c r="G4458" s="8">
        <v>1</v>
      </c>
      <c r="H4458" s="11">
        <v>600</v>
      </c>
      <c r="I4458" s="12">
        <v>42925</v>
      </c>
      <c r="J4458" s="35">
        <f t="shared" si="513"/>
        <v>0</v>
      </c>
      <c r="K4458" s="36"/>
      <c r="L4458" s="36"/>
      <c r="M4458" s="36"/>
      <c r="N4458" s="36"/>
      <c r="O4458" s="36"/>
      <c r="P4458" s="36"/>
      <c r="Q4458" s="36"/>
      <c r="R4458" s="36"/>
      <c r="S4458" s="36"/>
      <c r="T4458" s="36"/>
      <c r="U4458" s="36"/>
      <c r="V4458" s="36"/>
      <c r="W4458" s="15">
        <f t="shared" si="514"/>
        <v>0</v>
      </c>
      <c r="X4458" s="36"/>
      <c r="Y4458" s="36"/>
      <c r="Z4458" s="36"/>
      <c r="AA4458" s="36"/>
      <c r="AB4458" s="36"/>
      <c r="AC4458" s="36">
        <v>300</v>
      </c>
      <c r="AD4458" s="36">
        <v>300</v>
      </c>
      <c r="AE4458" s="36"/>
      <c r="AF4458" s="36"/>
      <c r="AG4458" s="36"/>
      <c r="AH4458" s="36"/>
      <c r="AI4458" s="36"/>
      <c r="AJ4458" s="15">
        <f t="shared" si="515"/>
        <v>600</v>
      </c>
      <c r="AK4458" s="14"/>
      <c r="AL4458" s="14"/>
      <c r="AM4458" s="14"/>
      <c r="AN4458" s="14"/>
      <c r="AO4458" s="14"/>
      <c r="AP4458" s="14"/>
      <c r="AQ4458" s="14"/>
      <c r="AR4458" s="14"/>
      <c r="AS4458" s="14"/>
      <c r="AT4458" s="14"/>
      <c r="AU4458" s="14"/>
      <c r="AV4458" s="14"/>
      <c r="AW4458" s="15"/>
      <c r="AX4458" s="16"/>
    </row>
    <row r="4459" spans="2:50" x14ac:dyDescent="0.2">
      <c r="B4459" s="7"/>
      <c r="C4459" s="8">
        <v>14723</v>
      </c>
      <c r="D4459" s="9" t="s">
        <v>526</v>
      </c>
      <c r="E4459" s="10" t="str">
        <f t="shared" si="511"/>
        <v>Rancho Landero No. 62</v>
      </c>
      <c r="F4459" s="10" t="str">
        <f t="shared" si="512"/>
        <v>Narvaez Sara</v>
      </c>
      <c r="G4459" s="8">
        <v>1</v>
      </c>
      <c r="H4459" s="11">
        <v>300</v>
      </c>
      <c r="I4459" s="12">
        <v>42925</v>
      </c>
      <c r="J4459" s="35">
        <f t="shared" si="513"/>
        <v>0</v>
      </c>
      <c r="K4459" s="36"/>
      <c r="L4459" s="36"/>
      <c r="M4459" s="36"/>
      <c r="N4459" s="36"/>
      <c r="O4459" s="36"/>
      <c r="P4459" s="36"/>
      <c r="Q4459" s="36"/>
      <c r="R4459" s="36"/>
      <c r="S4459" s="36"/>
      <c r="T4459" s="36"/>
      <c r="U4459" s="36"/>
      <c r="V4459" s="36"/>
      <c r="W4459" s="15">
        <f t="shared" si="514"/>
        <v>0</v>
      </c>
      <c r="X4459" s="36"/>
      <c r="Y4459" s="36"/>
      <c r="Z4459" s="36"/>
      <c r="AA4459" s="36"/>
      <c r="AB4459" s="36"/>
      <c r="AC4459" s="36">
        <v>300</v>
      </c>
      <c r="AD4459" s="36"/>
      <c r="AE4459" s="36"/>
      <c r="AF4459" s="36"/>
      <c r="AG4459" s="36"/>
      <c r="AH4459" s="36"/>
      <c r="AI4459" s="36"/>
      <c r="AJ4459" s="15">
        <f t="shared" si="515"/>
        <v>300</v>
      </c>
      <c r="AK4459" s="14"/>
      <c r="AL4459" s="14"/>
      <c r="AM4459" s="14"/>
      <c r="AN4459" s="14"/>
      <c r="AO4459" s="14"/>
      <c r="AP4459" s="14"/>
      <c r="AQ4459" s="14"/>
      <c r="AR4459" s="14"/>
      <c r="AS4459" s="14"/>
      <c r="AT4459" s="14"/>
      <c r="AU4459" s="14"/>
      <c r="AV4459" s="14"/>
      <c r="AW4459" s="15"/>
      <c r="AX4459" s="16"/>
    </row>
    <row r="4460" spans="2:50" x14ac:dyDescent="0.2">
      <c r="B4460" s="7"/>
      <c r="C4460" s="8">
        <v>14724</v>
      </c>
      <c r="D4460" s="9" t="s">
        <v>716</v>
      </c>
      <c r="E4460" s="10" t="str">
        <f t="shared" si="511"/>
        <v>Rancho Landero No. 20</v>
      </c>
      <c r="F4460" s="10" t="str">
        <f t="shared" si="512"/>
        <v>Velasco</v>
      </c>
      <c r="G4460" s="8">
        <v>1</v>
      </c>
      <c r="H4460" s="11">
        <v>300</v>
      </c>
      <c r="I4460" s="12">
        <v>42925</v>
      </c>
      <c r="J4460" s="35">
        <f t="shared" si="513"/>
        <v>0</v>
      </c>
      <c r="K4460" s="36"/>
      <c r="L4460" s="36"/>
      <c r="M4460" s="36"/>
      <c r="N4460" s="36"/>
      <c r="O4460" s="36"/>
      <c r="P4460" s="36"/>
      <c r="Q4460" s="36"/>
      <c r="R4460" s="36"/>
      <c r="S4460" s="36"/>
      <c r="T4460" s="36"/>
      <c r="U4460" s="36"/>
      <c r="V4460" s="36"/>
      <c r="W4460" s="15">
        <f t="shared" si="514"/>
        <v>0</v>
      </c>
      <c r="X4460" s="36"/>
      <c r="Y4460" s="36"/>
      <c r="Z4460" s="36"/>
      <c r="AA4460" s="36"/>
      <c r="AB4460" s="36"/>
      <c r="AC4460" s="36"/>
      <c r="AD4460" s="36">
        <v>300</v>
      </c>
      <c r="AE4460" s="36"/>
      <c r="AF4460" s="36"/>
      <c r="AG4460" s="36"/>
      <c r="AH4460" s="36"/>
      <c r="AI4460" s="36"/>
      <c r="AJ4460" s="15">
        <f t="shared" si="515"/>
        <v>300</v>
      </c>
      <c r="AK4460" s="14"/>
      <c r="AL4460" s="14"/>
      <c r="AM4460" s="14"/>
      <c r="AN4460" s="14"/>
      <c r="AO4460" s="14"/>
      <c r="AP4460" s="14"/>
      <c r="AQ4460" s="14"/>
      <c r="AR4460" s="14"/>
      <c r="AS4460" s="14"/>
      <c r="AT4460" s="14"/>
      <c r="AU4460" s="14"/>
      <c r="AV4460" s="14"/>
      <c r="AW4460" s="15"/>
      <c r="AX4460" s="16"/>
    </row>
    <row r="4461" spans="2:50" x14ac:dyDescent="0.2">
      <c r="B4461" s="7"/>
      <c r="C4461" s="8">
        <v>14725</v>
      </c>
      <c r="D4461" s="9" t="s">
        <v>395</v>
      </c>
      <c r="E4461" s="10" t="str">
        <f t="shared" si="511"/>
        <v>Rancho Landero No. 7</v>
      </c>
      <c r="F4461" s="10" t="str">
        <f t="shared" si="512"/>
        <v>Robles</v>
      </c>
      <c r="G4461" s="8">
        <v>1</v>
      </c>
      <c r="H4461" s="11">
        <v>200</v>
      </c>
      <c r="I4461" s="12">
        <v>42925</v>
      </c>
      <c r="J4461" s="35">
        <f t="shared" si="513"/>
        <v>0</v>
      </c>
      <c r="K4461" s="36"/>
      <c r="L4461" s="36"/>
      <c r="M4461" s="36"/>
      <c r="N4461" s="36"/>
      <c r="O4461" s="36"/>
      <c r="P4461" s="36"/>
      <c r="Q4461" s="36"/>
      <c r="R4461" s="36"/>
      <c r="S4461" s="36"/>
      <c r="T4461" s="36"/>
      <c r="U4461" s="36"/>
      <c r="V4461" s="36"/>
      <c r="W4461" s="15">
        <f t="shared" si="514"/>
        <v>0</v>
      </c>
      <c r="X4461" s="36"/>
      <c r="Y4461" s="36"/>
      <c r="Z4461" s="36"/>
      <c r="AA4461" s="36"/>
      <c r="AB4461" s="36"/>
      <c r="AC4461" s="36"/>
      <c r="AD4461" s="36">
        <v>200</v>
      </c>
      <c r="AE4461" s="36"/>
      <c r="AF4461" s="36"/>
      <c r="AG4461" s="36"/>
      <c r="AH4461" s="36"/>
      <c r="AI4461" s="36"/>
      <c r="AJ4461" s="15">
        <f t="shared" si="515"/>
        <v>200</v>
      </c>
      <c r="AK4461" s="14"/>
      <c r="AL4461" s="14"/>
      <c r="AM4461" s="14"/>
      <c r="AN4461" s="14"/>
      <c r="AO4461" s="14"/>
      <c r="AP4461" s="14"/>
      <c r="AQ4461" s="14"/>
      <c r="AR4461" s="14"/>
      <c r="AS4461" s="14"/>
      <c r="AT4461" s="14"/>
      <c r="AU4461" s="14"/>
      <c r="AV4461" s="14"/>
      <c r="AW4461" s="15"/>
      <c r="AX4461" s="16"/>
    </row>
    <row r="4462" spans="2:50" x14ac:dyDescent="0.2">
      <c r="B4462" s="7"/>
      <c r="C4462" s="8">
        <v>14726</v>
      </c>
      <c r="D4462" s="9" t="s">
        <v>259</v>
      </c>
      <c r="E4462" s="10" t="str">
        <f t="shared" si="511"/>
        <v>Rancho Estanzuela No. 55</v>
      </c>
      <c r="F4462" s="10" t="str">
        <f t="shared" si="512"/>
        <v>Rodríguez Acevedo</v>
      </c>
      <c r="G4462" s="8">
        <v>1</v>
      </c>
      <c r="H4462" s="11">
        <v>400</v>
      </c>
      <c r="I4462" s="12">
        <v>42925</v>
      </c>
      <c r="J4462" s="35">
        <f t="shared" si="513"/>
        <v>0</v>
      </c>
      <c r="K4462" s="36"/>
      <c r="L4462" s="36"/>
      <c r="M4462" s="36"/>
      <c r="N4462" s="36"/>
      <c r="O4462" s="36"/>
      <c r="P4462" s="36"/>
      <c r="Q4462" s="36"/>
      <c r="R4462" s="36"/>
      <c r="S4462" s="36"/>
      <c r="T4462" s="36"/>
      <c r="U4462" s="36"/>
      <c r="V4462" s="36"/>
      <c r="W4462" s="15">
        <f t="shared" si="514"/>
        <v>0</v>
      </c>
      <c r="X4462" s="36"/>
      <c r="Y4462" s="36"/>
      <c r="Z4462" s="36"/>
      <c r="AA4462" s="36"/>
      <c r="AB4462" s="36"/>
      <c r="AC4462" s="36"/>
      <c r="AD4462" s="36">
        <v>400</v>
      </c>
      <c r="AE4462" s="36"/>
      <c r="AF4462" s="36"/>
      <c r="AG4462" s="36"/>
      <c r="AH4462" s="36"/>
      <c r="AI4462" s="36"/>
      <c r="AJ4462" s="15">
        <f t="shared" si="515"/>
        <v>400</v>
      </c>
      <c r="AK4462" s="14"/>
      <c r="AL4462" s="14"/>
      <c r="AM4462" s="14"/>
      <c r="AN4462" s="14"/>
      <c r="AO4462" s="14"/>
      <c r="AP4462" s="14"/>
      <c r="AQ4462" s="14"/>
      <c r="AR4462" s="14"/>
      <c r="AS4462" s="14"/>
      <c r="AT4462" s="14"/>
      <c r="AU4462" s="14"/>
      <c r="AV4462" s="14"/>
      <c r="AW4462" s="15"/>
      <c r="AX4462" s="16"/>
    </row>
    <row r="4463" spans="2:50" x14ac:dyDescent="0.2">
      <c r="B4463" s="7"/>
      <c r="C4463" s="8">
        <v>14727</v>
      </c>
      <c r="D4463" s="9" t="s">
        <v>1299</v>
      </c>
      <c r="E4463" s="10" t="str">
        <f t="shared" si="511"/>
        <v>Rancho La Cuchilla No. 107</v>
      </c>
      <c r="F4463" s="10" t="str">
        <f t="shared" si="512"/>
        <v>Quiñones, Eduardo</v>
      </c>
      <c r="G4463" s="8">
        <v>1</v>
      </c>
      <c r="H4463" s="11">
        <v>400</v>
      </c>
      <c r="I4463" s="12">
        <v>42925</v>
      </c>
      <c r="J4463" s="35">
        <f t="shared" si="513"/>
        <v>0</v>
      </c>
      <c r="K4463" s="36"/>
      <c r="L4463" s="36"/>
      <c r="M4463" s="36"/>
      <c r="N4463" s="36"/>
      <c r="O4463" s="36"/>
      <c r="P4463" s="36"/>
      <c r="Q4463" s="36"/>
      <c r="R4463" s="36"/>
      <c r="S4463" s="36"/>
      <c r="T4463" s="36"/>
      <c r="U4463" s="36"/>
      <c r="V4463" s="36"/>
      <c r="W4463" s="15">
        <f t="shared" si="514"/>
        <v>0</v>
      </c>
      <c r="X4463" s="36"/>
      <c r="Y4463" s="36"/>
      <c r="Z4463" s="36"/>
      <c r="AA4463" s="36"/>
      <c r="AB4463" s="36"/>
      <c r="AC4463" s="36"/>
      <c r="AD4463" s="36">
        <v>400</v>
      </c>
      <c r="AE4463" s="36"/>
      <c r="AF4463" s="36"/>
      <c r="AG4463" s="36"/>
      <c r="AH4463" s="36"/>
      <c r="AI4463" s="36"/>
      <c r="AJ4463" s="15">
        <f t="shared" si="515"/>
        <v>400</v>
      </c>
      <c r="AK4463" s="14"/>
      <c r="AL4463" s="14"/>
      <c r="AM4463" s="14"/>
      <c r="AN4463" s="14"/>
      <c r="AO4463" s="14"/>
      <c r="AP4463" s="14"/>
      <c r="AQ4463" s="14"/>
      <c r="AR4463" s="14"/>
      <c r="AS4463" s="14"/>
      <c r="AT4463" s="14"/>
      <c r="AU4463" s="14"/>
      <c r="AV4463" s="14"/>
      <c r="AW4463" s="15"/>
      <c r="AX4463" s="16"/>
    </row>
    <row r="4464" spans="2:50" x14ac:dyDescent="0.2">
      <c r="B4464" s="7"/>
      <c r="C4464" s="8">
        <v>14727</v>
      </c>
      <c r="D4464" s="9" t="s">
        <v>1299</v>
      </c>
      <c r="E4464" s="10" t="str">
        <f t="shared" ref="E4464:E4474" si="516">IF(D4464=0,"",VLOOKUP(D4464,BASE,2,FALSE))</f>
        <v>Rancho La Cuchilla No. 107</v>
      </c>
      <c r="F4464" s="10" t="str">
        <f t="shared" ref="F4464:F4474" si="517">IF(D4464=0,"",VLOOKUP(D4464,BASE,3,FALSE))</f>
        <v>Quiñones, Eduardo</v>
      </c>
      <c r="G4464" s="8">
        <v>5</v>
      </c>
      <c r="H4464" s="11">
        <v>100</v>
      </c>
      <c r="I4464" s="12">
        <v>42925</v>
      </c>
      <c r="J4464" s="35">
        <f t="shared" ref="J4464:J4474" si="518">IF(G4464=1,SUM(W4464,AJ4464,-H4464),0)</f>
        <v>0</v>
      </c>
      <c r="K4464" s="36"/>
      <c r="L4464" s="36"/>
      <c r="M4464" s="36"/>
      <c r="N4464" s="36"/>
      <c r="O4464" s="36"/>
      <c r="P4464" s="36"/>
      <c r="Q4464" s="36"/>
      <c r="R4464" s="36"/>
      <c r="S4464" s="36"/>
      <c r="T4464" s="36"/>
      <c r="U4464" s="36"/>
      <c r="V4464" s="36"/>
      <c r="W4464" s="15">
        <f t="shared" ref="W4464:W4474" si="519">SUM(K4464:V4464)</f>
        <v>0</v>
      </c>
      <c r="X4464" s="36"/>
      <c r="Y4464" s="36"/>
      <c r="Z4464" s="36"/>
      <c r="AA4464" s="36"/>
      <c r="AB4464" s="36"/>
      <c r="AC4464" s="36"/>
      <c r="AD4464" s="36"/>
      <c r="AE4464" s="36"/>
      <c r="AF4464" s="36"/>
      <c r="AG4464" s="36"/>
      <c r="AH4464" s="36"/>
      <c r="AI4464" s="36"/>
      <c r="AJ4464" s="15">
        <f t="shared" ref="AJ4464:AJ4474" si="520">SUM(X4464:AI4464)</f>
        <v>0</v>
      </c>
      <c r="AK4464" s="14"/>
      <c r="AL4464" s="14"/>
      <c r="AM4464" s="14"/>
      <c r="AN4464" s="14"/>
      <c r="AO4464" s="14"/>
      <c r="AP4464" s="14"/>
      <c r="AQ4464" s="14"/>
      <c r="AR4464" s="14"/>
      <c r="AS4464" s="14"/>
      <c r="AT4464" s="14"/>
      <c r="AU4464" s="14"/>
      <c r="AV4464" s="14"/>
      <c r="AW4464" s="15"/>
      <c r="AX4464" s="16"/>
    </row>
    <row r="4465" spans="2:50" x14ac:dyDescent="0.2">
      <c r="B4465" s="7"/>
      <c r="C4465" s="8">
        <v>14728</v>
      </c>
      <c r="D4465" s="9" t="s">
        <v>769</v>
      </c>
      <c r="E4465" s="10" t="str">
        <f t="shared" si="516"/>
        <v>Rancho La Cuchilla No. 66</v>
      </c>
      <c r="F4465" s="10" t="str">
        <f t="shared" si="517"/>
        <v>Prieto</v>
      </c>
      <c r="G4465" s="8">
        <v>1</v>
      </c>
      <c r="H4465" s="11">
        <v>800</v>
      </c>
      <c r="I4465" s="12">
        <v>42925</v>
      </c>
      <c r="J4465" s="35">
        <f t="shared" si="518"/>
        <v>0</v>
      </c>
      <c r="K4465" s="36"/>
      <c r="L4465" s="36"/>
      <c r="M4465" s="36"/>
      <c r="N4465" s="36"/>
      <c r="O4465" s="36"/>
      <c r="P4465" s="36"/>
      <c r="Q4465" s="36"/>
      <c r="R4465" s="36"/>
      <c r="S4465" s="36"/>
      <c r="T4465" s="36"/>
      <c r="U4465" s="36"/>
      <c r="V4465" s="36"/>
      <c r="W4465" s="15">
        <f t="shared" si="519"/>
        <v>0</v>
      </c>
      <c r="X4465" s="36"/>
      <c r="Y4465" s="36"/>
      <c r="Z4465" s="36"/>
      <c r="AA4465" s="36"/>
      <c r="AB4465" s="36"/>
      <c r="AC4465" s="36">
        <v>400</v>
      </c>
      <c r="AD4465" s="36">
        <v>400</v>
      </c>
      <c r="AE4465" s="36"/>
      <c r="AF4465" s="36"/>
      <c r="AG4465" s="36"/>
      <c r="AH4465" s="36"/>
      <c r="AI4465" s="36"/>
      <c r="AJ4465" s="15">
        <f t="shared" si="520"/>
        <v>800</v>
      </c>
      <c r="AK4465" s="14"/>
      <c r="AL4465" s="14"/>
      <c r="AM4465" s="14"/>
      <c r="AN4465" s="14"/>
      <c r="AO4465" s="14"/>
      <c r="AP4465" s="14"/>
      <c r="AQ4465" s="14"/>
      <c r="AR4465" s="14"/>
      <c r="AS4465" s="14"/>
      <c r="AT4465" s="14"/>
      <c r="AU4465" s="14"/>
      <c r="AV4465" s="14"/>
      <c r="AW4465" s="15"/>
      <c r="AX4465" s="16"/>
    </row>
    <row r="4466" spans="2:50" x14ac:dyDescent="0.2">
      <c r="B4466" s="7"/>
      <c r="C4466" s="8">
        <v>14729</v>
      </c>
      <c r="D4466" s="9" t="s">
        <v>235</v>
      </c>
      <c r="E4466" s="10" t="str">
        <f t="shared" si="516"/>
        <v>Rancho La Cuchilla No. 43, A</v>
      </c>
      <c r="F4466" s="10" t="str">
        <f t="shared" si="517"/>
        <v>De la Rosa</v>
      </c>
      <c r="G4466" s="8">
        <v>1</v>
      </c>
      <c r="H4466" s="11">
        <v>400</v>
      </c>
      <c r="I4466" s="12">
        <v>42925</v>
      </c>
      <c r="J4466" s="35">
        <f t="shared" si="518"/>
        <v>0</v>
      </c>
      <c r="K4466" s="36"/>
      <c r="L4466" s="36"/>
      <c r="M4466" s="36"/>
      <c r="N4466" s="36"/>
      <c r="O4466" s="36"/>
      <c r="P4466" s="36"/>
      <c r="Q4466" s="36"/>
      <c r="R4466" s="36"/>
      <c r="S4466" s="36"/>
      <c r="T4466" s="36"/>
      <c r="U4466" s="36"/>
      <c r="V4466" s="36"/>
      <c r="W4466" s="15">
        <f t="shared" si="519"/>
        <v>0</v>
      </c>
      <c r="X4466" s="36"/>
      <c r="Y4466" s="36"/>
      <c r="Z4466" s="36"/>
      <c r="AA4466" s="36"/>
      <c r="AB4466" s="36"/>
      <c r="AC4466" s="36">
        <v>400</v>
      </c>
      <c r="AD4466" s="36"/>
      <c r="AE4466" s="36"/>
      <c r="AF4466" s="36"/>
      <c r="AG4466" s="36"/>
      <c r="AH4466" s="36"/>
      <c r="AI4466" s="36"/>
      <c r="AJ4466" s="15">
        <f t="shared" si="520"/>
        <v>400</v>
      </c>
      <c r="AK4466" s="14"/>
      <c r="AL4466" s="14"/>
      <c r="AM4466" s="14"/>
      <c r="AN4466" s="14"/>
      <c r="AO4466" s="14"/>
      <c r="AP4466" s="14"/>
      <c r="AQ4466" s="14"/>
      <c r="AR4466" s="14"/>
      <c r="AS4466" s="14"/>
      <c r="AT4466" s="14"/>
      <c r="AU4466" s="14"/>
      <c r="AV4466" s="14"/>
      <c r="AW4466" s="15"/>
      <c r="AX4466" s="16"/>
    </row>
    <row r="4467" spans="2:50" x14ac:dyDescent="0.2">
      <c r="B4467" s="7"/>
      <c r="C4467" s="8">
        <v>14730</v>
      </c>
      <c r="D4467" s="9" t="s">
        <v>51</v>
      </c>
      <c r="E4467" s="10" t="str">
        <f t="shared" si="516"/>
        <v>Rancho Landero No. 22</v>
      </c>
      <c r="F4467" s="10" t="str">
        <f t="shared" si="517"/>
        <v>Reyes</v>
      </c>
      <c r="G4467" s="8">
        <v>1</v>
      </c>
      <c r="H4467" s="11">
        <v>500</v>
      </c>
      <c r="I4467" s="12">
        <v>42925</v>
      </c>
      <c r="J4467" s="35">
        <f t="shared" si="518"/>
        <v>0</v>
      </c>
      <c r="K4467" s="36"/>
      <c r="L4467" s="36"/>
      <c r="M4467" s="36"/>
      <c r="N4467" s="36"/>
      <c r="O4467" s="36"/>
      <c r="P4467" s="36"/>
      <c r="Q4467" s="36"/>
      <c r="R4467" s="36"/>
      <c r="S4467" s="36"/>
      <c r="T4467" s="36"/>
      <c r="U4467" s="36"/>
      <c r="V4467" s="36"/>
      <c r="W4467" s="15">
        <f t="shared" si="519"/>
        <v>0</v>
      </c>
      <c r="X4467" s="36"/>
      <c r="Y4467" s="36"/>
      <c r="Z4467" s="36"/>
      <c r="AA4467" s="36"/>
      <c r="AB4467" s="36"/>
      <c r="AC4467" s="36">
        <v>250</v>
      </c>
      <c r="AD4467" s="36">
        <v>250</v>
      </c>
      <c r="AE4467" s="36"/>
      <c r="AF4467" s="36"/>
      <c r="AG4467" s="36"/>
      <c r="AH4467" s="36"/>
      <c r="AI4467" s="36"/>
      <c r="AJ4467" s="15">
        <f t="shared" si="520"/>
        <v>500</v>
      </c>
      <c r="AK4467" s="14"/>
      <c r="AL4467" s="14"/>
      <c r="AM4467" s="14"/>
      <c r="AN4467" s="14"/>
      <c r="AO4467" s="14"/>
      <c r="AP4467" s="14"/>
      <c r="AQ4467" s="14"/>
      <c r="AR4467" s="14"/>
      <c r="AS4467" s="14"/>
      <c r="AT4467" s="14"/>
      <c r="AU4467" s="14"/>
      <c r="AV4467" s="14"/>
      <c r="AW4467" s="15"/>
      <c r="AX4467" s="16"/>
    </row>
    <row r="4468" spans="2:50" x14ac:dyDescent="0.2">
      <c r="B4468" s="7"/>
      <c r="C4468" s="8">
        <v>14731</v>
      </c>
      <c r="D4468" s="9" t="s">
        <v>286</v>
      </c>
      <c r="E4468" s="10" t="str">
        <f t="shared" si="516"/>
        <v>Rancho Zinamba No. 20</v>
      </c>
      <c r="F4468" s="10" t="str">
        <f t="shared" si="517"/>
        <v>Cruz Vallejo</v>
      </c>
      <c r="G4468" s="8">
        <v>1</v>
      </c>
      <c r="H4468" s="11">
        <v>1200</v>
      </c>
      <c r="I4468" s="12">
        <v>42925</v>
      </c>
      <c r="J4468" s="35">
        <f t="shared" si="518"/>
        <v>0</v>
      </c>
      <c r="K4468" s="36"/>
      <c r="L4468" s="36"/>
      <c r="M4468" s="36"/>
      <c r="N4468" s="36"/>
      <c r="O4468" s="36"/>
      <c r="P4468" s="36"/>
      <c r="Q4468" s="36"/>
      <c r="R4468" s="36"/>
      <c r="S4468" s="36"/>
      <c r="T4468" s="36"/>
      <c r="U4468" s="36"/>
      <c r="V4468" s="36"/>
      <c r="W4468" s="15">
        <f t="shared" si="519"/>
        <v>0</v>
      </c>
      <c r="X4468" s="36"/>
      <c r="Y4468" s="36"/>
      <c r="Z4468" s="36"/>
      <c r="AA4468" s="36">
        <v>400</v>
      </c>
      <c r="AB4468" s="36">
        <v>400</v>
      </c>
      <c r="AC4468" s="36">
        <v>400</v>
      </c>
      <c r="AD4468" s="36"/>
      <c r="AE4468" s="36"/>
      <c r="AF4468" s="36"/>
      <c r="AG4468" s="36"/>
      <c r="AH4468" s="36"/>
      <c r="AI4468" s="36"/>
      <c r="AJ4468" s="15">
        <f t="shared" si="520"/>
        <v>1200</v>
      </c>
      <c r="AK4468" s="14"/>
      <c r="AL4468" s="14"/>
      <c r="AM4468" s="14"/>
      <c r="AN4468" s="14"/>
      <c r="AO4468" s="14"/>
      <c r="AP4468" s="14"/>
      <c r="AQ4468" s="14"/>
      <c r="AR4468" s="14"/>
      <c r="AS4468" s="14"/>
      <c r="AT4468" s="14"/>
      <c r="AU4468" s="14"/>
      <c r="AV4468" s="14"/>
      <c r="AW4468" s="15"/>
      <c r="AX4468" s="16"/>
    </row>
    <row r="4469" spans="2:50" x14ac:dyDescent="0.2">
      <c r="B4469" s="7"/>
      <c r="C4469" s="8">
        <v>14731</v>
      </c>
      <c r="D4469" s="9" t="s">
        <v>286</v>
      </c>
      <c r="E4469" s="10" t="str">
        <f t="shared" si="516"/>
        <v>Rancho Zinamba No. 20</v>
      </c>
      <c r="F4469" s="10" t="str">
        <f t="shared" si="517"/>
        <v>Cruz Vallejo</v>
      </c>
      <c r="G4469" s="8">
        <v>3</v>
      </c>
      <c r="H4469" s="11">
        <v>200</v>
      </c>
      <c r="I4469" s="12">
        <v>42925</v>
      </c>
      <c r="J4469" s="35">
        <f t="shared" si="518"/>
        <v>0</v>
      </c>
      <c r="K4469" s="36"/>
      <c r="L4469" s="36"/>
      <c r="M4469" s="36"/>
      <c r="N4469" s="36"/>
      <c r="O4469" s="36"/>
      <c r="P4469" s="36"/>
      <c r="Q4469" s="36"/>
      <c r="R4469" s="36"/>
      <c r="S4469" s="36"/>
      <c r="T4469" s="36"/>
      <c r="U4469" s="36"/>
      <c r="V4469" s="36"/>
      <c r="W4469" s="15">
        <f t="shared" si="519"/>
        <v>0</v>
      </c>
      <c r="X4469" s="36"/>
      <c r="Y4469" s="36"/>
      <c r="Z4469" s="36"/>
      <c r="AA4469" s="36"/>
      <c r="AB4469" s="36"/>
      <c r="AC4469" s="36"/>
      <c r="AD4469" s="36"/>
      <c r="AE4469" s="36"/>
      <c r="AF4469" s="36"/>
      <c r="AG4469" s="36"/>
      <c r="AH4469" s="36"/>
      <c r="AI4469" s="36"/>
      <c r="AJ4469" s="15">
        <f t="shared" si="520"/>
        <v>0</v>
      </c>
      <c r="AK4469" s="14"/>
      <c r="AL4469" s="14"/>
      <c r="AM4469" s="14"/>
      <c r="AN4469" s="14"/>
      <c r="AO4469" s="14"/>
      <c r="AP4469" s="14"/>
      <c r="AQ4469" s="14"/>
      <c r="AR4469" s="14"/>
      <c r="AS4469" s="14"/>
      <c r="AT4469" s="14"/>
      <c r="AU4469" s="14"/>
      <c r="AV4469" s="14"/>
      <c r="AW4469" s="15"/>
      <c r="AX4469" s="16"/>
    </row>
    <row r="4470" spans="2:50" x14ac:dyDescent="0.2">
      <c r="B4470" s="7"/>
      <c r="C4470" s="8">
        <v>14732</v>
      </c>
      <c r="D4470" s="9" t="s">
        <v>643</v>
      </c>
      <c r="E4470" s="10" t="str">
        <f t="shared" si="516"/>
        <v>Rancho Upácuaro No. 90</v>
      </c>
      <c r="F4470" s="10" t="str">
        <f t="shared" si="517"/>
        <v>Moreno Calderón</v>
      </c>
      <c r="G4470" s="8">
        <v>1</v>
      </c>
      <c r="H4470" s="11">
        <v>1000</v>
      </c>
      <c r="I4470" s="12">
        <v>42925</v>
      </c>
      <c r="J4470" s="35">
        <f t="shared" si="518"/>
        <v>0</v>
      </c>
      <c r="K4470" s="36"/>
      <c r="L4470" s="36"/>
      <c r="M4470" s="36"/>
      <c r="N4470" s="36"/>
      <c r="O4470" s="36"/>
      <c r="P4470" s="36"/>
      <c r="Q4470" s="36"/>
      <c r="R4470" s="36"/>
      <c r="S4470" s="36"/>
      <c r="T4470" s="36"/>
      <c r="U4470" s="36"/>
      <c r="V4470" s="36"/>
      <c r="W4470" s="15">
        <f t="shared" si="519"/>
        <v>0</v>
      </c>
      <c r="X4470" s="36"/>
      <c r="Y4470" s="36"/>
      <c r="Z4470" s="36">
        <v>200</v>
      </c>
      <c r="AA4470" s="36">
        <v>200</v>
      </c>
      <c r="AB4470" s="36">
        <v>200</v>
      </c>
      <c r="AC4470" s="36">
        <v>200</v>
      </c>
      <c r="AD4470" s="36">
        <v>200</v>
      </c>
      <c r="AE4470" s="36"/>
      <c r="AF4470" s="36"/>
      <c r="AG4470" s="36"/>
      <c r="AH4470" s="36"/>
      <c r="AI4470" s="36"/>
      <c r="AJ4470" s="15">
        <f t="shared" si="520"/>
        <v>1000</v>
      </c>
      <c r="AK4470" s="14"/>
      <c r="AL4470" s="14"/>
      <c r="AM4470" s="14"/>
      <c r="AN4470" s="14"/>
      <c r="AO4470" s="14"/>
      <c r="AP4470" s="14"/>
      <c r="AQ4470" s="14"/>
      <c r="AR4470" s="14"/>
      <c r="AS4470" s="14"/>
      <c r="AT4470" s="14"/>
      <c r="AU4470" s="14"/>
      <c r="AV4470" s="14"/>
      <c r="AW4470" s="15"/>
      <c r="AX4470" s="16"/>
    </row>
    <row r="4471" spans="2:50" x14ac:dyDescent="0.2">
      <c r="B4471" s="7"/>
      <c r="C4471" s="8">
        <v>14733</v>
      </c>
      <c r="D4471" s="9" t="s">
        <v>1017</v>
      </c>
      <c r="E4471" s="10" t="str">
        <f t="shared" si="516"/>
        <v>Rancho Estanzuela No. 119, 3</v>
      </c>
      <c r="F4471" s="10" t="str">
        <f t="shared" si="517"/>
        <v>Montecillo</v>
      </c>
      <c r="G4471" s="8">
        <v>1</v>
      </c>
      <c r="H4471" s="11">
        <v>400</v>
      </c>
      <c r="I4471" s="12">
        <v>42925</v>
      </c>
      <c r="J4471" s="35">
        <f t="shared" si="518"/>
        <v>0</v>
      </c>
      <c r="K4471" s="36"/>
      <c r="L4471" s="36"/>
      <c r="M4471" s="36"/>
      <c r="N4471" s="36"/>
      <c r="O4471" s="36"/>
      <c r="P4471" s="36"/>
      <c r="Q4471" s="36"/>
      <c r="R4471" s="36"/>
      <c r="S4471" s="36"/>
      <c r="T4471" s="36"/>
      <c r="U4471" s="36"/>
      <c r="V4471" s="36"/>
      <c r="W4471" s="15">
        <f t="shared" si="519"/>
        <v>0</v>
      </c>
      <c r="X4471" s="36"/>
      <c r="Y4471" s="36"/>
      <c r="Z4471" s="36"/>
      <c r="AA4471" s="36"/>
      <c r="AB4471" s="36"/>
      <c r="AC4471" s="36">
        <v>200</v>
      </c>
      <c r="AD4471" s="36">
        <v>200</v>
      </c>
      <c r="AE4471" s="36"/>
      <c r="AF4471" s="36"/>
      <c r="AG4471" s="36"/>
      <c r="AH4471" s="36"/>
      <c r="AI4471" s="36"/>
      <c r="AJ4471" s="15">
        <f t="shared" si="520"/>
        <v>400</v>
      </c>
      <c r="AK4471" s="14"/>
      <c r="AL4471" s="14"/>
      <c r="AM4471" s="14"/>
      <c r="AN4471" s="14"/>
      <c r="AO4471" s="14"/>
      <c r="AP4471" s="14"/>
      <c r="AQ4471" s="14"/>
      <c r="AR4471" s="14"/>
      <c r="AS4471" s="14"/>
      <c r="AT4471" s="14"/>
      <c r="AU4471" s="14"/>
      <c r="AV4471" s="14"/>
      <c r="AW4471" s="15"/>
      <c r="AX4471" s="16"/>
    </row>
    <row r="4472" spans="2:50" x14ac:dyDescent="0.2">
      <c r="B4472" s="7"/>
      <c r="C4472" s="8">
        <v>14734</v>
      </c>
      <c r="D4472" s="9" t="s">
        <v>637</v>
      </c>
      <c r="E4472" s="10" t="str">
        <f t="shared" si="516"/>
        <v>Rancho Recoveco No. 193</v>
      </c>
      <c r="F4472" s="10" t="str">
        <f t="shared" si="517"/>
        <v>Salazar Pérez</v>
      </c>
      <c r="G4472" s="8">
        <v>1</v>
      </c>
      <c r="H4472" s="11">
        <v>800</v>
      </c>
      <c r="I4472" s="12">
        <v>42925</v>
      </c>
      <c r="J4472" s="35">
        <f t="shared" si="518"/>
        <v>0</v>
      </c>
      <c r="K4472" s="36"/>
      <c r="L4472" s="36"/>
      <c r="M4472" s="36"/>
      <c r="N4472" s="36"/>
      <c r="O4472" s="36"/>
      <c r="P4472" s="36"/>
      <c r="Q4472" s="36"/>
      <c r="R4472" s="36"/>
      <c r="S4472" s="36"/>
      <c r="T4472" s="36"/>
      <c r="U4472" s="36"/>
      <c r="V4472" s="36"/>
      <c r="W4472" s="15">
        <f t="shared" si="519"/>
        <v>0</v>
      </c>
      <c r="X4472" s="36"/>
      <c r="Y4472" s="36"/>
      <c r="Z4472" s="36"/>
      <c r="AA4472" s="36"/>
      <c r="AB4472" s="36"/>
      <c r="AC4472" s="36">
        <v>400</v>
      </c>
      <c r="AD4472" s="36">
        <v>400</v>
      </c>
      <c r="AE4472" s="36"/>
      <c r="AF4472" s="36"/>
      <c r="AG4472" s="36"/>
      <c r="AH4472" s="36"/>
      <c r="AI4472" s="36"/>
      <c r="AJ4472" s="15">
        <f t="shared" si="520"/>
        <v>800</v>
      </c>
      <c r="AK4472" s="14"/>
      <c r="AL4472" s="14"/>
      <c r="AM4472" s="14"/>
      <c r="AN4472" s="14"/>
      <c r="AO4472" s="14"/>
      <c r="AP4472" s="14"/>
      <c r="AQ4472" s="14"/>
      <c r="AR4472" s="14"/>
      <c r="AS4472" s="14"/>
      <c r="AT4472" s="14"/>
      <c r="AU4472" s="14"/>
      <c r="AV4472" s="14"/>
      <c r="AW4472" s="15"/>
      <c r="AX4472" s="16"/>
    </row>
    <row r="4473" spans="2:50" x14ac:dyDescent="0.2">
      <c r="B4473" s="7"/>
      <c r="C4473" s="8">
        <v>14735</v>
      </c>
      <c r="D4473" s="9" t="s">
        <v>864</v>
      </c>
      <c r="E4473" s="10" t="str">
        <f t="shared" si="516"/>
        <v>Rancho Upácuaro No. 40</v>
      </c>
      <c r="F4473" s="10" t="str">
        <f t="shared" si="517"/>
        <v>López Ramírez</v>
      </c>
      <c r="G4473" s="8">
        <v>1</v>
      </c>
      <c r="H4473" s="11">
        <v>900</v>
      </c>
      <c r="I4473" s="12">
        <v>42925</v>
      </c>
      <c r="J4473" s="35">
        <f t="shared" si="518"/>
        <v>0</v>
      </c>
      <c r="K4473" s="36"/>
      <c r="L4473" s="36"/>
      <c r="M4473" s="36"/>
      <c r="N4473" s="36"/>
      <c r="O4473" s="36"/>
      <c r="P4473" s="36"/>
      <c r="Q4473" s="36"/>
      <c r="R4473" s="36"/>
      <c r="S4473" s="36"/>
      <c r="T4473" s="36"/>
      <c r="U4473" s="36"/>
      <c r="V4473" s="36"/>
      <c r="W4473" s="15">
        <f t="shared" si="519"/>
        <v>0</v>
      </c>
      <c r="X4473" s="36">
        <v>300</v>
      </c>
      <c r="Y4473" s="36">
        <v>300</v>
      </c>
      <c r="Z4473" s="36">
        <v>300</v>
      </c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15">
        <f t="shared" si="520"/>
        <v>900</v>
      </c>
      <c r="AK4473" s="14"/>
      <c r="AL4473" s="14"/>
      <c r="AM4473" s="14"/>
      <c r="AN4473" s="14"/>
      <c r="AO4473" s="14"/>
      <c r="AP4473" s="14"/>
      <c r="AQ4473" s="14"/>
      <c r="AR4473" s="14"/>
      <c r="AS4473" s="14"/>
      <c r="AT4473" s="14"/>
      <c r="AU4473" s="14"/>
      <c r="AV4473" s="14"/>
      <c r="AW4473" s="15"/>
      <c r="AX4473" s="16"/>
    </row>
    <row r="4474" spans="2:50" ht="12" customHeight="1" x14ac:dyDescent="0.2">
      <c r="B4474" s="7"/>
      <c r="C4474" s="8">
        <v>14736</v>
      </c>
      <c r="D4474" s="9" t="s">
        <v>614</v>
      </c>
      <c r="E4474" s="10" t="str">
        <f t="shared" si="516"/>
        <v>Rancho La Cuchilla No. 82</v>
      </c>
      <c r="F4474" s="10" t="str">
        <f t="shared" si="517"/>
        <v>Cruz</v>
      </c>
      <c r="G4474" s="8">
        <v>1</v>
      </c>
      <c r="H4474" s="11">
        <v>1200</v>
      </c>
      <c r="I4474" s="12">
        <v>42925</v>
      </c>
      <c r="J4474" s="35">
        <f t="shared" si="518"/>
        <v>0</v>
      </c>
      <c r="K4474" s="36"/>
      <c r="L4474" s="36"/>
      <c r="M4474" s="36"/>
      <c r="N4474" s="36"/>
      <c r="O4474" s="36"/>
      <c r="P4474" s="36"/>
      <c r="Q4474" s="36"/>
      <c r="R4474" s="36"/>
      <c r="S4474" s="36"/>
      <c r="T4474" s="36"/>
      <c r="U4474" s="36"/>
      <c r="V4474" s="36"/>
      <c r="W4474" s="15">
        <f t="shared" si="519"/>
        <v>0</v>
      </c>
      <c r="X4474" s="36"/>
      <c r="Y4474" s="36"/>
      <c r="Z4474" s="36"/>
      <c r="AA4474" s="36"/>
      <c r="AB4474" s="36">
        <v>400</v>
      </c>
      <c r="AC4474" s="36">
        <v>400</v>
      </c>
      <c r="AD4474" s="36">
        <v>400</v>
      </c>
      <c r="AE4474" s="36"/>
      <c r="AF4474" s="36"/>
      <c r="AG4474" s="36"/>
      <c r="AH4474" s="36"/>
      <c r="AI4474" s="36"/>
      <c r="AJ4474" s="15">
        <f t="shared" si="520"/>
        <v>1200</v>
      </c>
      <c r="AK4474" s="14"/>
      <c r="AL4474" s="14"/>
      <c r="AM4474" s="14"/>
      <c r="AN4474" s="14"/>
      <c r="AO4474" s="14"/>
      <c r="AP4474" s="14"/>
      <c r="AQ4474" s="14"/>
      <c r="AR4474" s="14"/>
      <c r="AS4474" s="14"/>
      <c r="AT4474" s="14"/>
      <c r="AU4474" s="14"/>
      <c r="AV4474" s="14"/>
      <c r="AW4474" s="15"/>
      <c r="AX4474" s="16"/>
    </row>
    <row r="4475" spans="2:50" x14ac:dyDescent="0.2">
      <c r="B4475" s="7"/>
      <c r="C4475" s="8">
        <v>14737</v>
      </c>
      <c r="D4475" s="9" t="s">
        <v>328</v>
      </c>
      <c r="E4475" s="10" t="str">
        <f t="shared" si="511"/>
        <v>Rancho La Cuchilla No. 130</v>
      </c>
      <c r="F4475" s="10" t="str">
        <f t="shared" si="512"/>
        <v>Gonzalez</v>
      </c>
      <c r="G4475" s="8">
        <v>1</v>
      </c>
      <c r="H4475" s="11">
        <v>400</v>
      </c>
      <c r="I4475" s="12">
        <v>42925</v>
      </c>
      <c r="J4475" s="35">
        <f t="shared" si="513"/>
        <v>0</v>
      </c>
      <c r="K4475" s="36"/>
      <c r="L4475" s="36"/>
      <c r="M4475" s="36"/>
      <c r="N4475" s="36"/>
      <c r="O4475" s="36"/>
      <c r="P4475" s="36"/>
      <c r="Q4475" s="36"/>
      <c r="R4475" s="36"/>
      <c r="S4475" s="36"/>
      <c r="T4475" s="36"/>
      <c r="U4475" s="36"/>
      <c r="V4475" s="36"/>
      <c r="W4475" s="15">
        <f t="shared" si="514"/>
        <v>0</v>
      </c>
      <c r="X4475" s="36"/>
      <c r="Y4475" s="36"/>
      <c r="Z4475" s="36"/>
      <c r="AA4475" s="36"/>
      <c r="AB4475" s="36"/>
      <c r="AC4475" s="36"/>
      <c r="AD4475" s="36">
        <v>400</v>
      </c>
      <c r="AE4475" s="36"/>
      <c r="AF4475" s="36"/>
      <c r="AG4475" s="36"/>
      <c r="AH4475" s="36"/>
      <c r="AI4475" s="36"/>
      <c r="AJ4475" s="15">
        <f t="shared" si="515"/>
        <v>400</v>
      </c>
      <c r="AK4475" s="14"/>
      <c r="AL4475" s="14"/>
      <c r="AM4475" s="14"/>
      <c r="AN4475" s="14"/>
      <c r="AO4475" s="14"/>
      <c r="AP4475" s="14"/>
      <c r="AQ4475" s="14"/>
      <c r="AR4475" s="14"/>
      <c r="AS4475" s="14"/>
      <c r="AT4475" s="14"/>
      <c r="AU4475" s="14"/>
      <c r="AV4475" s="14"/>
      <c r="AW4475" s="15"/>
      <c r="AX4475" s="16"/>
    </row>
    <row r="4476" spans="2:50" x14ac:dyDescent="0.2">
      <c r="B4476" s="7"/>
      <c r="C4476" s="8">
        <v>14738</v>
      </c>
      <c r="D4476" s="9" t="s">
        <v>553</v>
      </c>
      <c r="E4476" s="10" t="str">
        <f t="shared" si="506"/>
        <v>Rancho Landero No. 100</v>
      </c>
      <c r="F4476" s="10" t="str">
        <f t="shared" si="507"/>
        <v>Meingüer Gómez</v>
      </c>
      <c r="G4476" s="8">
        <v>1</v>
      </c>
      <c r="H4476" s="11">
        <v>800</v>
      </c>
      <c r="I4476" s="12">
        <v>42925</v>
      </c>
      <c r="J4476" s="35">
        <f t="shared" si="508"/>
        <v>0</v>
      </c>
      <c r="K4476" s="36"/>
      <c r="L4476" s="36"/>
      <c r="M4476" s="36"/>
      <c r="N4476" s="36"/>
      <c r="O4476" s="36"/>
      <c r="P4476" s="36"/>
      <c r="Q4476" s="36"/>
      <c r="R4476" s="36"/>
      <c r="S4476" s="36"/>
      <c r="T4476" s="36"/>
      <c r="U4476" s="36"/>
      <c r="V4476" s="36"/>
      <c r="W4476" s="15">
        <f t="shared" si="509"/>
        <v>0</v>
      </c>
      <c r="X4476" s="36"/>
      <c r="Y4476" s="36"/>
      <c r="Z4476" s="36"/>
      <c r="AA4476" s="36"/>
      <c r="AB4476" s="36"/>
      <c r="AC4476" s="36">
        <v>400</v>
      </c>
      <c r="AD4476" s="36">
        <v>400</v>
      </c>
      <c r="AE4476" s="36"/>
      <c r="AF4476" s="36"/>
      <c r="AG4476" s="36"/>
      <c r="AH4476" s="36"/>
      <c r="AI4476" s="36"/>
      <c r="AJ4476" s="15">
        <f t="shared" si="510"/>
        <v>800</v>
      </c>
      <c r="AK4476" s="14"/>
      <c r="AL4476" s="14"/>
      <c r="AM4476" s="14"/>
      <c r="AN4476" s="14"/>
      <c r="AO4476" s="14"/>
      <c r="AP4476" s="14"/>
      <c r="AQ4476" s="14"/>
      <c r="AR4476" s="14"/>
      <c r="AS4476" s="14"/>
      <c r="AT4476" s="14"/>
      <c r="AU4476" s="14"/>
      <c r="AV4476" s="14"/>
      <c r="AW4476" s="15"/>
      <c r="AX4476" s="16"/>
    </row>
    <row r="4477" spans="2:50" x14ac:dyDescent="0.2">
      <c r="B4477" s="7"/>
      <c r="C4477" s="8">
        <v>14739</v>
      </c>
      <c r="D4477" s="9" t="s">
        <v>416</v>
      </c>
      <c r="E4477" s="10" t="str">
        <f t="shared" si="506"/>
        <v>Rancho La Cuchilla No. 112, PB</v>
      </c>
      <c r="F4477" s="10" t="str">
        <f t="shared" si="507"/>
        <v>Soreque</v>
      </c>
      <c r="G4477" s="8">
        <v>1</v>
      </c>
      <c r="H4477" s="11">
        <v>200</v>
      </c>
      <c r="I4477" s="12">
        <v>42925</v>
      </c>
      <c r="J4477" s="35">
        <f t="shared" si="508"/>
        <v>0</v>
      </c>
      <c r="K4477" s="36"/>
      <c r="L4477" s="36"/>
      <c r="M4477" s="36"/>
      <c r="N4477" s="36"/>
      <c r="O4477" s="36"/>
      <c r="P4477" s="36"/>
      <c r="Q4477" s="36"/>
      <c r="R4477" s="36"/>
      <c r="S4477" s="36"/>
      <c r="T4477" s="36"/>
      <c r="U4477" s="36"/>
      <c r="V4477" s="36"/>
      <c r="W4477" s="15">
        <f t="shared" si="509"/>
        <v>0</v>
      </c>
      <c r="X4477" s="36"/>
      <c r="Y4477" s="36"/>
      <c r="Z4477" s="36"/>
      <c r="AA4477" s="36"/>
      <c r="AB4477" s="36"/>
      <c r="AC4477" s="36"/>
      <c r="AD4477" s="36">
        <v>200</v>
      </c>
      <c r="AE4477" s="36"/>
      <c r="AF4477" s="36"/>
      <c r="AG4477" s="36"/>
      <c r="AH4477" s="36"/>
      <c r="AI4477" s="36"/>
      <c r="AJ4477" s="15">
        <f t="shared" si="510"/>
        <v>200</v>
      </c>
      <c r="AK4477" s="14"/>
      <c r="AL4477" s="14"/>
      <c r="AM4477" s="14"/>
      <c r="AN4477" s="14"/>
      <c r="AO4477" s="14"/>
      <c r="AP4477" s="14"/>
      <c r="AQ4477" s="14"/>
      <c r="AR4477" s="14"/>
      <c r="AS4477" s="14"/>
      <c r="AT4477" s="14"/>
      <c r="AU4477" s="14"/>
      <c r="AV4477" s="14"/>
      <c r="AW4477" s="15"/>
      <c r="AX4477" s="16"/>
    </row>
    <row r="4478" spans="2:50" x14ac:dyDescent="0.2">
      <c r="B4478" s="7"/>
      <c r="C4478" s="8">
        <v>14740</v>
      </c>
      <c r="D4478" s="9" t="s">
        <v>195</v>
      </c>
      <c r="E4478" s="10" t="str">
        <f t="shared" si="506"/>
        <v>Rancho Estanzuela No. 100</v>
      </c>
      <c r="F4478" s="10" t="str">
        <f t="shared" si="507"/>
        <v>Arias Monter</v>
      </c>
      <c r="G4478" s="8">
        <v>1</v>
      </c>
      <c r="H4478" s="11">
        <v>3000</v>
      </c>
      <c r="I4478" s="12">
        <v>42925</v>
      </c>
      <c r="J4478" s="35">
        <f t="shared" si="508"/>
        <v>0</v>
      </c>
      <c r="K4478" s="36"/>
      <c r="L4478" s="36"/>
      <c r="M4478" s="36"/>
      <c r="N4478" s="36"/>
      <c r="O4478" s="36"/>
      <c r="P4478" s="36"/>
      <c r="Q4478" s="36"/>
      <c r="R4478" s="36"/>
      <c r="S4478" s="36"/>
      <c r="T4478" s="36"/>
      <c r="U4478" s="36"/>
      <c r="V4478" s="36">
        <v>200</v>
      </c>
      <c r="W4478" s="15">
        <f t="shared" si="509"/>
        <v>200</v>
      </c>
      <c r="X4478" s="36">
        <v>400</v>
      </c>
      <c r="Y4478" s="36">
        <v>400</v>
      </c>
      <c r="Z4478" s="36">
        <v>400</v>
      </c>
      <c r="AA4478" s="36">
        <v>400</v>
      </c>
      <c r="AB4478" s="36">
        <v>400</v>
      </c>
      <c r="AC4478" s="36">
        <v>400</v>
      </c>
      <c r="AD4478" s="36">
        <v>400</v>
      </c>
      <c r="AE4478" s="36"/>
      <c r="AF4478" s="36"/>
      <c r="AG4478" s="36"/>
      <c r="AH4478" s="36"/>
      <c r="AI4478" s="36"/>
      <c r="AJ4478" s="15">
        <f t="shared" si="510"/>
        <v>2800</v>
      </c>
      <c r="AK4478" s="14"/>
      <c r="AL4478" s="14"/>
      <c r="AM4478" s="14"/>
      <c r="AN4478" s="14"/>
      <c r="AO4478" s="14"/>
      <c r="AP4478" s="14"/>
      <c r="AQ4478" s="14"/>
      <c r="AR4478" s="14"/>
      <c r="AS4478" s="14"/>
      <c r="AT4478" s="14"/>
      <c r="AU4478" s="14"/>
      <c r="AV4478" s="14"/>
      <c r="AW4478" s="15"/>
      <c r="AX4478" s="16"/>
    </row>
    <row r="4479" spans="2:50" x14ac:dyDescent="0.2">
      <c r="B4479" s="7"/>
      <c r="C4479" s="8">
        <v>14741</v>
      </c>
      <c r="D4479" s="9" t="s">
        <v>129</v>
      </c>
      <c r="E4479" s="10" t="str">
        <f t="shared" si="506"/>
        <v>Rancho Zinamba No. 44</v>
      </c>
      <c r="F4479" s="10" t="str">
        <f t="shared" si="507"/>
        <v>Canales</v>
      </c>
      <c r="G4479" s="8">
        <v>1</v>
      </c>
      <c r="H4479" s="11">
        <v>400</v>
      </c>
      <c r="I4479" s="12">
        <v>42925</v>
      </c>
      <c r="J4479" s="35">
        <f t="shared" si="508"/>
        <v>0</v>
      </c>
      <c r="K4479" s="36"/>
      <c r="L4479" s="36"/>
      <c r="M4479" s="36"/>
      <c r="N4479" s="36"/>
      <c r="O4479" s="36"/>
      <c r="P4479" s="36"/>
      <c r="Q4479" s="36"/>
      <c r="R4479" s="36"/>
      <c r="S4479" s="36"/>
      <c r="T4479" s="36"/>
      <c r="U4479" s="36"/>
      <c r="V4479" s="36"/>
      <c r="W4479" s="15">
        <f t="shared" si="509"/>
        <v>0</v>
      </c>
      <c r="X4479" s="36"/>
      <c r="Y4479" s="36"/>
      <c r="Z4479" s="36"/>
      <c r="AA4479" s="36"/>
      <c r="AB4479" s="36"/>
      <c r="AC4479" s="36"/>
      <c r="AD4479" s="36">
        <v>400</v>
      </c>
      <c r="AE4479" s="36"/>
      <c r="AF4479" s="36"/>
      <c r="AG4479" s="36"/>
      <c r="AH4479" s="36"/>
      <c r="AI4479" s="36"/>
      <c r="AJ4479" s="15">
        <f t="shared" si="510"/>
        <v>400</v>
      </c>
      <c r="AK4479" s="14"/>
      <c r="AL4479" s="14"/>
      <c r="AM4479" s="14"/>
      <c r="AN4479" s="14"/>
      <c r="AO4479" s="14"/>
      <c r="AP4479" s="14"/>
      <c r="AQ4479" s="14"/>
      <c r="AR4479" s="14"/>
      <c r="AS4479" s="14"/>
      <c r="AT4479" s="14"/>
      <c r="AU4479" s="14"/>
      <c r="AV4479" s="14"/>
      <c r="AW4479" s="15"/>
      <c r="AX4479" s="316">
        <f>SUM(H4438:H4479)</f>
        <v>23100</v>
      </c>
    </row>
    <row r="4480" spans="2:50" x14ac:dyDescent="0.2">
      <c r="B4480" s="7"/>
      <c r="C4480" s="8">
        <v>14742</v>
      </c>
      <c r="D4480" s="9" t="s">
        <v>177</v>
      </c>
      <c r="E4480" s="10" t="str">
        <f t="shared" si="506"/>
        <v>Rancho Landero No. 71</v>
      </c>
      <c r="F4480" s="10" t="str">
        <f t="shared" si="507"/>
        <v xml:space="preserve">Luna  </v>
      </c>
      <c r="G4480" s="8">
        <v>1</v>
      </c>
      <c r="H4480" s="315">
        <v>400</v>
      </c>
      <c r="I4480" s="12">
        <v>42927</v>
      </c>
      <c r="J4480" s="35">
        <f t="shared" si="508"/>
        <v>0</v>
      </c>
      <c r="K4480" s="36"/>
      <c r="L4480" s="36"/>
      <c r="M4480" s="36"/>
      <c r="N4480" s="36"/>
      <c r="O4480" s="36"/>
      <c r="P4480" s="36"/>
      <c r="Q4480" s="36"/>
      <c r="R4480" s="36"/>
      <c r="S4480" s="36"/>
      <c r="T4480" s="36"/>
      <c r="U4480" s="36"/>
      <c r="V4480" s="36"/>
      <c r="W4480" s="15">
        <f t="shared" si="509"/>
        <v>0</v>
      </c>
      <c r="X4480" s="36"/>
      <c r="Y4480" s="36"/>
      <c r="Z4480" s="36"/>
      <c r="AA4480" s="36"/>
      <c r="AB4480" s="36"/>
      <c r="AC4480" s="36"/>
      <c r="AD4480" s="36">
        <v>400</v>
      </c>
      <c r="AE4480" s="36"/>
      <c r="AF4480" s="36"/>
      <c r="AG4480" s="36"/>
      <c r="AH4480" s="36"/>
      <c r="AI4480" s="36"/>
      <c r="AJ4480" s="15">
        <f t="shared" si="510"/>
        <v>400</v>
      </c>
      <c r="AK4480" s="14"/>
      <c r="AL4480" s="14"/>
      <c r="AM4480" s="14"/>
      <c r="AN4480" s="14"/>
      <c r="AO4480" s="14"/>
      <c r="AP4480" s="14"/>
      <c r="AQ4480" s="14"/>
      <c r="AR4480" s="14"/>
      <c r="AS4480" s="14"/>
      <c r="AT4480" s="14"/>
      <c r="AU4480" s="14"/>
      <c r="AV4480" s="14"/>
      <c r="AW4480" s="15"/>
      <c r="AX4480" s="16"/>
    </row>
    <row r="4481" spans="2:50" x14ac:dyDescent="0.2">
      <c r="B4481" s="7"/>
      <c r="C4481" s="8">
        <v>14743</v>
      </c>
      <c r="D4481" s="9" t="s">
        <v>1046</v>
      </c>
      <c r="E4481" s="10" t="str">
        <f t="shared" ref="E4481:E4949" si="521">IF(D4481=0,"",VLOOKUP(D4481,BASE,2,FALSE))</f>
        <v>Rancho Zinamba No. 40</v>
      </c>
      <c r="F4481" s="10" t="str">
        <f t="shared" ref="F4481:F4949" si="522">IF(D4481=0,"",VLOOKUP(D4481,BASE,3,FALSE))</f>
        <v>Correa Rojas</v>
      </c>
      <c r="G4481" s="8">
        <v>1</v>
      </c>
      <c r="H4481" s="11">
        <v>100</v>
      </c>
      <c r="I4481" s="12">
        <v>42927</v>
      </c>
      <c r="J4481" s="35">
        <f t="shared" ref="J4481" si="523">IF(G4481=1,SUM(W4481,AJ4481,-H4481),0)</f>
        <v>0</v>
      </c>
      <c r="K4481" s="36"/>
      <c r="L4481" s="36"/>
      <c r="M4481" s="36"/>
      <c r="N4481" s="36"/>
      <c r="O4481" s="36"/>
      <c r="P4481" s="36"/>
      <c r="Q4481" s="36"/>
      <c r="R4481" s="36"/>
      <c r="S4481" s="36"/>
      <c r="T4481" s="36"/>
      <c r="U4481" s="36"/>
      <c r="V4481" s="36"/>
      <c r="W4481" s="15">
        <f t="shared" ref="W4481:W4949" si="524">SUM(K4481:V4481)</f>
        <v>0</v>
      </c>
      <c r="X4481" s="36"/>
      <c r="Y4481" s="36"/>
      <c r="Z4481" s="36"/>
      <c r="AA4481" s="36"/>
      <c r="AB4481" s="36"/>
      <c r="AC4481" s="36"/>
      <c r="AD4481" s="36">
        <v>100</v>
      </c>
      <c r="AE4481" s="36"/>
      <c r="AF4481" s="36"/>
      <c r="AG4481" s="36"/>
      <c r="AH4481" s="36"/>
      <c r="AI4481" s="36"/>
      <c r="AJ4481" s="15">
        <f t="shared" ref="AJ4481:AJ4949" si="525">SUM(X4481:AI4481)</f>
        <v>100</v>
      </c>
      <c r="AK4481" s="14"/>
      <c r="AL4481" s="14"/>
      <c r="AM4481" s="14"/>
      <c r="AN4481" s="14"/>
      <c r="AO4481" s="14"/>
      <c r="AP4481" s="14"/>
      <c r="AQ4481" s="14"/>
      <c r="AR4481" s="14"/>
      <c r="AS4481" s="14"/>
      <c r="AT4481" s="14"/>
      <c r="AU4481" s="14"/>
      <c r="AV4481" s="14"/>
      <c r="AW4481" s="15"/>
      <c r="AX4481" s="16"/>
    </row>
    <row r="4482" spans="2:50" x14ac:dyDescent="0.2">
      <c r="B4482" s="7"/>
      <c r="C4482" s="8">
        <v>14744</v>
      </c>
      <c r="D4482" s="9"/>
      <c r="E4482" s="10" t="str">
        <f t="shared" ref="E4482:E4513" si="526">IF(D4482=0,"",VLOOKUP(D4482,BASE,2,FALSE))</f>
        <v/>
      </c>
      <c r="F4482" s="10" t="str">
        <f t="shared" ref="F4482:F4513" si="527">IF(D4482=0,"",VLOOKUP(D4482,BASE,3,FALSE))</f>
        <v/>
      </c>
      <c r="G4482" s="8">
        <v>8</v>
      </c>
      <c r="H4482" s="11"/>
      <c r="I4482" s="12"/>
      <c r="J4482" s="35">
        <f t="shared" ref="J4482:J4513" si="528">IF(G4482=1,SUM(W4482,AJ4482,-H4482),0)</f>
        <v>0</v>
      </c>
      <c r="K4482" s="36"/>
      <c r="L4482" s="36"/>
      <c r="M4482" s="36"/>
      <c r="N4482" s="36"/>
      <c r="O4482" s="36"/>
      <c r="P4482" s="36"/>
      <c r="Q4482" s="36"/>
      <c r="R4482" s="36"/>
      <c r="S4482" s="36"/>
      <c r="T4482" s="36"/>
      <c r="U4482" s="36"/>
      <c r="V4482" s="36"/>
      <c r="W4482" s="15">
        <f t="shared" ref="W4482:W4513" si="529">SUM(K4482:V4482)</f>
        <v>0</v>
      </c>
      <c r="X4482" s="36"/>
      <c r="Y4482" s="36"/>
      <c r="Z4482" s="36"/>
      <c r="AA4482" s="36"/>
      <c r="AB4482" s="36"/>
      <c r="AC4482" s="36"/>
      <c r="AD4482" s="36"/>
      <c r="AE4482" s="36"/>
      <c r="AF4482" s="36"/>
      <c r="AG4482" s="36"/>
      <c r="AH4482" s="36"/>
      <c r="AI4482" s="36"/>
      <c r="AJ4482" s="15">
        <f t="shared" ref="AJ4482:AJ4513" si="530">SUM(X4482:AI4482)</f>
        <v>0</v>
      </c>
      <c r="AK4482" s="14"/>
      <c r="AL4482" s="14"/>
      <c r="AM4482" s="14"/>
      <c r="AN4482" s="14"/>
      <c r="AO4482" s="14"/>
      <c r="AP4482" s="14"/>
      <c r="AQ4482" s="14"/>
      <c r="AR4482" s="14"/>
      <c r="AS4482" s="14"/>
      <c r="AT4482" s="14"/>
      <c r="AU4482" s="14"/>
      <c r="AV4482" s="14"/>
      <c r="AW4482" s="15"/>
      <c r="AX4482" s="16"/>
    </row>
    <row r="4483" spans="2:50" x14ac:dyDescent="0.2">
      <c r="B4483" s="7"/>
      <c r="C4483" s="8">
        <v>14745</v>
      </c>
      <c r="D4483" s="9" t="s">
        <v>425</v>
      </c>
      <c r="E4483" s="10" t="str">
        <f t="shared" si="526"/>
        <v>Rancho La Cuchilla No. 120</v>
      </c>
      <c r="F4483" s="10" t="str">
        <f t="shared" si="527"/>
        <v>Pozos Vilchis</v>
      </c>
      <c r="G4483" s="8">
        <v>1</v>
      </c>
      <c r="H4483" s="11">
        <v>400</v>
      </c>
      <c r="I4483" s="12">
        <v>42932</v>
      </c>
      <c r="J4483" s="35">
        <f t="shared" si="528"/>
        <v>0</v>
      </c>
      <c r="K4483" s="36"/>
      <c r="L4483" s="36"/>
      <c r="M4483" s="36"/>
      <c r="N4483" s="36"/>
      <c r="O4483" s="36"/>
      <c r="P4483" s="36"/>
      <c r="Q4483" s="36"/>
      <c r="R4483" s="36"/>
      <c r="S4483" s="36"/>
      <c r="T4483" s="36"/>
      <c r="U4483" s="36"/>
      <c r="V4483" s="36"/>
      <c r="W4483" s="15">
        <f t="shared" si="529"/>
        <v>0</v>
      </c>
      <c r="X4483" s="36"/>
      <c r="Y4483" s="36"/>
      <c r="Z4483" s="36"/>
      <c r="AA4483" s="36"/>
      <c r="AB4483" s="36"/>
      <c r="AC4483" s="36"/>
      <c r="AD4483" s="36">
        <v>400</v>
      </c>
      <c r="AE4483" s="36"/>
      <c r="AF4483" s="36"/>
      <c r="AG4483" s="36"/>
      <c r="AH4483" s="36"/>
      <c r="AI4483" s="36"/>
      <c r="AJ4483" s="15">
        <f t="shared" si="530"/>
        <v>400</v>
      </c>
      <c r="AK4483" s="14"/>
      <c r="AL4483" s="14"/>
      <c r="AM4483" s="14"/>
      <c r="AN4483" s="14"/>
      <c r="AO4483" s="14"/>
      <c r="AP4483" s="14"/>
      <c r="AQ4483" s="14"/>
      <c r="AR4483" s="14"/>
      <c r="AS4483" s="14"/>
      <c r="AT4483" s="14"/>
      <c r="AU4483" s="14"/>
      <c r="AV4483" s="14"/>
      <c r="AW4483" s="15"/>
      <c r="AX4483" s="16"/>
    </row>
    <row r="4484" spans="2:50" x14ac:dyDescent="0.2">
      <c r="B4484" s="7"/>
      <c r="C4484" s="8">
        <v>14746</v>
      </c>
      <c r="D4484" s="9" t="s">
        <v>407</v>
      </c>
      <c r="E4484" s="10" t="str">
        <f t="shared" si="526"/>
        <v>Rancho Estanzuela No. 99</v>
      </c>
      <c r="F4484" s="10" t="str">
        <f t="shared" si="527"/>
        <v>García López</v>
      </c>
      <c r="G4484" s="8">
        <v>1</v>
      </c>
      <c r="H4484" s="11">
        <v>400</v>
      </c>
      <c r="I4484" s="12">
        <v>42932</v>
      </c>
      <c r="J4484" s="35">
        <f t="shared" si="528"/>
        <v>0</v>
      </c>
      <c r="K4484" s="36"/>
      <c r="L4484" s="36"/>
      <c r="M4484" s="36"/>
      <c r="N4484" s="36"/>
      <c r="O4484" s="36"/>
      <c r="P4484" s="36"/>
      <c r="Q4484" s="36"/>
      <c r="R4484" s="36"/>
      <c r="S4484" s="36"/>
      <c r="T4484" s="36"/>
      <c r="U4484" s="36"/>
      <c r="V4484" s="36"/>
      <c r="W4484" s="15">
        <f t="shared" si="529"/>
        <v>0</v>
      </c>
      <c r="X4484" s="36"/>
      <c r="Y4484" s="36"/>
      <c r="Z4484" s="36"/>
      <c r="AA4484" s="36"/>
      <c r="AB4484" s="36"/>
      <c r="AC4484" s="36"/>
      <c r="AD4484" s="36">
        <v>400</v>
      </c>
      <c r="AE4484" s="36"/>
      <c r="AF4484" s="36"/>
      <c r="AG4484" s="36"/>
      <c r="AH4484" s="36"/>
      <c r="AI4484" s="36"/>
      <c r="AJ4484" s="15">
        <f t="shared" si="530"/>
        <v>400</v>
      </c>
      <c r="AK4484" s="14"/>
      <c r="AL4484" s="14"/>
      <c r="AM4484" s="14"/>
      <c r="AN4484" s="14"/>
      <c r="AO4484" s="14"/>
      <c r="AP4484" s="14"/>
      <c r="AQ4484" s="14"/>
      <c r="AR4484" s="14"/>
      <c r="AS4484" s="14"/>
      <c r="AT4484" s="14"/>
      <c r="AU4484" s="14"/>
      <c r="AV4484" s="14"/>
      <c r="AW4484" s="15"/>
      <c r="AX4484" s="16"/>
    </row>
    <row r="4485" spans="2:50" x14ac:dyDescent="0.2">
      <c r="B4485" s="7"/>
      <c r="C4485" s="8">
        <v>14747</v>
      </c>
      <c r="D4485" s="9" t="s">
        <v>740</v>
      </c>
      <c r="E4485" s="10" t="str">
        <f t="shared" si="526"/>
        <v>Rancho Upácuaro No. 65</v>
      </c>
      <c r="F4485" s="10" t="str">
        <f t="shared" si="527"/>
        <v>Cruz González</v>
      </c>
      <c r="G4485" s="8">
        <v>1</v>
      </c>
      <c r="H4485" s="11">
        <v>800</v>
      </c>
      <c r="I4485" s="12">
        <v>42932</v>
      </c>
      <c r="J4485" s="35">
        <f t="shared" si="528"/>
        <v>0</v>
      </c>
      <c r="K4485" s="36"/>
      <c r="L4485" s="36"/>
      <c r="M4485" s="36"/>
      <c r="N4485" s="36"/>
      <c r="O4485" s="36"/>
      <c r="P4485" s="36"/>
      <c r="Q4485" s="36"/>
      <c r="R4485" s="36"/>
      <c r="S4485" s="36"/>
      <c r="T4485" s="36"/>
      <c r="U4485" s="36"/>
      <c r="V4485" s="36"/>
      <c r="W4485" s="15">
        <f t="shared" si="529"/>
        <v>0</v>
      </c>
      <c r="X4485" s="36"/>
      <c r="Y4485" s="36"/>
      <c r="Z4485" s="36"/>
      <c r="AA4485" s="36"/>
      <c r="AB4485" s="36">
        <v>400</v>
      </c>
      <c r="AC4485" s="36">
        <v>400</v>
      </c>
      <c r="AD4485" s="36"/>
      <c r="AE4485" s="36"/>
      <c r="AF4485" s="36"/>
      <c r="AG4485" s="36"/>
      <c r="AH4485" s="36"/>
      <c r="AI4485" s="36"/>
      <c r="AJ4485" s="15">
        <f t="shared" si="530"/>
        <v>800</v>
      </c>
      <c r="AK4485" s="14"/>
      <c r="AL4485" s="14"/>
      <c r="AM4485" s="14"/>
      <c r="AN4485" s="14"/>
      <c r="AO4485" s="14"/>
      <c r="AP4485" s="14"/>
      <c r="AQ4485" s="14"/>
      <c r="AR4485" s="14"/>
      <c r="AS4485" s="14"/>
      <c r="AT4485" s="14"/>
      <c r="AU4485" s="14"/>
      <c r="AV4485" s="14"/>
      <c r="AW4485" s="15"/>
      <c r="AX4485" s="16"/>
    </row>
    <row r="4486" spans="2:50" x14ac:dyDescent="0.2">
      <c r="B4486" s="7"/>
      <c r="C4486" s="8">
        <v>14748</v>
      </c>
      <c r="D4486" s="9" t="s">
        <v>562</v>
      </c>
      <c r="E4486" s="10" t="str">
        <f t="shared" si="526"/>
        <v>Rancho Upácuaro No. 87</v>
      </c>
      <c r="F4486" s="10" t="str">
        <f t="shared" si="527"/>
        <v>Rodríguez Parés</v>
      </c>
      <c r="G4486" s="8">
        <v>1</v>
      </c>
      <c r="H4486" s="11">
        <v>400</v>
      </c>
      <c r="I4486" s="12">
        <v>42932</v>
      </c>
      <c r="J4486" s="35">
        <f t="shared" si="528"/>
        <v>0</v>
      </c>
      <c r="K4486" s="36"/>
      <c r="L4486" s="36"/>
      <c r="M4486" s="36"/>
      <c r="N4486" s="36"/>
      <c r="O4486" s="36"/>
      <c r="P4486" s="36"/>
      <c r="Q4486" s="36"/>
      <c r="R4486" s="36"/>
      <c r="S4486" s="36"/>
      <c r="T4486" s="36"/>
      <c r="U4486" s="36"/>
      <c r="V4486" s="36"/>
      <c r="W4486" s="15">
        <f t="shared" si="529"/>
        <v>0</v>
      </c>
      <c r="X4486" s="36"/>
      <c r="Y4486" s="36"/>
      <c r="Z4486" s="36"/>
      <c r="AA4486" s="36"/>
      <c r="AB4486" s="36"/>
      <c r="AC4486" s="36"/>
      <c r="AD4486" s="36">
        <v>400</v>
      </c>
      <c r="AE4486" s="36"/>
      <c r="AF4486" s="36"/>
      <c r="AG4486" s="36"/>
      <c r="AH4486" s="36"/>
      <c r="AI4486" s="36"/>
      <c r="AJ4486" s="15">
        <f t="shared" si="530"/>
        <v>400</v>
      </c>
      <c r="AK4486" s="14"/>
      <c r="AL4486" s="14"/>
      <c r="AM4486" s="14"/>
      <c r="AN4486" s="14"/>
      <c r="AO4486" s="14"/>
      <c r="AP4486" s="14"/>
      <c r="AQ4486" s="14"/>
      <c r="AR4486" s="14"/>
      <c r="AS4486" s="14"/>
      <c r="AT4486" s="14"/>
      <c r="AU4486" s="14"/>
      <c r="AV4486" s="14"/>
      <c r="AW4486" s="15"/>
      <c r="AX4486" s="16"/>
    </row>
    <row r="4487" spans="2:50" x14ac:dyDescent="0.2">
      <c r="B4487" s="7"/>
      <c r="C4487" s="8">
        <v>14749</v>
      </c>
      <c r="D4487" s="9" t="s">
        <v>434</v>
      </c>
      <c r="E4487" s="10" t="str">
        <f t="shared" si="526"/>
        <v>Rancho La Cuchilla No. 55</v>
      </c>
      <c r="F4487" s="10" t="str">
        <f t="shared" si="527"/>
        <v>López Velázquez</v>
      </c>
      <c r="G4487" s="8">
        <v>1</v>
      </c>
      <c r="H4487" s="11">
        <v>800</v>
      </c>
      <c r="I4487" s="12">
        <v>42932</v>
      </c>
      <c r="J4487" s="35">
        <f t="shared" si="528"/>
        <v>0</v>
      </c>
      <c r="K4487" s="36"/>
      <c r="L4487" s="36"/>
      <c r="M4487" s="36"/>
      <c r="N4487" s="36"/>
      <c r="O4487" s="36"/>
      <c r="P4487" s="36"/>
      <c r="Q4487" s="36"/>
      <c r="R4487" s="36"/>
      <c r="S4487" s="36"/>
      <c r="T4487" s="36"/>
      <c r="U4487" s="36"/>
      <c r="V4487" s="36"/>
      <c r="W4487" s="15">
        <f t="shared" si="529"/>
        <v>0</v>
      </c>
      <c r="X4487" s="36"/>
      <c r="Y4487" s="36"/>
      <c r="Z4487" s="36"/>
      <c r="AA4487" s="36"/>
      <c r="AB4487" s="36"/>
      <c r="AC4487" s="36"/>
      <c r="AD4487" s="36">
        <v>400</v>
      </c>
      <c r="AE4487" s="36">
        <v>400</v>
      </c>
      <c r="AF4487" s="36"/>
      <c r="AG4487" s="36"/>
      <c r="AH4487" s="36"/>
      <c r="AI4487" s="36"/>
      <c r="AJ4487" s="15">
        <f t="shared" si="530"/>
        <v>800</v>
      </c>
      <c r="AK4487" s="14"/>
      <c r="AL4487" s="14"/>
      <c r="AM4487" s="14"/>
      <c r="AN4487" s="14"/>
      <c r="AO4487" s="14"/>
      <c r="AP4487" s="14"/>
      <c r="AQ4487" s="14"/>
      <c r="AR4487" s="14"/>
      <c r="AS4487" s="14"/>
      <c r="AT4487" s="14"/>
      <c r="AU4487" s="14"/>
      <c r="AV4487" s="14"/>
      <c r="AW4487" s="15"/>
      <c r="AX4487" s="16"/>
    </row>
    <row r="4488" spans="2:50" x14ac:dyDescent="0.2">
      <c r="B4488" s="7"/>
      <c r="C4488" s="8">
        <v>14750</v>
      </c>
      <c r="D4488" s="9" t="s">
        <v>1079</v>
      </c>
      <c r="E4488" s="10" t="str">
        <f t="shared" si="526"/>
        <v>Rancho La Cuchilla No. 39</v>
      </c>
      <c r="F4488" s="10" t="str">
        <f t="shared" si="527"/>
        <v>Arenas</v>
      </c>
      <c r="G4488" s="8">
        <v>5</v>
      </c>
      <c r="H4488" s="11">
        <v>50</v>
      </c>
      <c r="I4488" s="12">
        <v>42932</v>
      </c>
      <c r="J4488" s="35">
        <f t="shared" si="528"/>
        <v>0</v>
      </c>
      <c r="K4488" s="36"/>
      <c r="L4488" s="36"/>
      <c r="M4488" s="36"/>
      <c r="N4488" s="36"/>
      <c r="O4488" s="36"/>
      <c r="P4488" s="36"/>
      <c r="Q4488" s="36"/>
      <c r="R4488" s="36"/>
      <c r="S4488" s="36"/>
      <c r="T4488" s="36"/>
      <c r="U4488" s="36"/>
      <c r="V4488" s="36"/>
      <c r="W4488" s="15">
        <f t="shared" si="529"/>
        <v>0</v>
      </c>
      <c r="X4488" s="36"/>
      <c r="Y4488" s="36"/>
      <c r="Z4488" s="36"/>
      <c r="AA4488" s="36"/>
      <c r="AB4488" s="36"/>
      <c r="AC4488" s="36"/>
      <c r="AD4488" s="36"/>
      <c r="AE4488" s="36"/>
      <c r="AF4488" s="36"/>
      <c r="AG4488" s="36"/>
      <c r="AH4488" s="36"/>
      <c r="AI4488" s="36"/>
      <c r="AJ4488" s="15">
        <f t="shared" si="530"/>
        <v>0</v>
      </c>
      <c r="AK4488" s="14"/>
      <c r="AL4488" s="14"/>
      <c r="AM4488" s="14"/>
      <c r="AN4488" s="14"/>
      <c r="AO4488" s="14"/>
      <c r="AP4488" s="14"/>
      <c r="AQ4488" s="14"/>
      <c r="AR4488" s="14"/>
      <c r="AS4488" s="14"/>
      <c r="AT4488" s="14"/>
      <c r="AU4488" s="14"/>
      <c r="AV4488" s="14"/>
      <c r="AW4488" s="15"/>
      <c r="AX4488" s="16" t="s">
        <v>4261</v>
      </c>
    </row>
    <row r="4489" spans="2:50" x14ac:dyDescent="0.2">
      <c r="B4489" s="7"/>
      <c r="C4489" s="8">
        <v>14751</v>
      </c>
      <c r="D4489" s="9" t="s">
        <v>568</v>
      </c>
      <c r="E4489" s="10" t="str">
        <f t="shared" si="526"/>
        <v>Rancho Landero No. 95</v>
      </c>
      <c r="F4489" s="10" t="str">
        <f t="shared" si="527"/>
        <v>Rivas Rangel</v>
      </c>
      <c r="G4489" s="8">
        <v>1</v>
      </c>
      <c r="H4489" s="11">
        <v>400</v>
      </c>
      <c r="I4489" s="12">
        <v>42932</v>
      </c>
      <c r="J4489" s="35">
        <f t="shared" si="528"/>
        <v>0</v>
      </c>
      <c r="K4489" s="36"/>
      <c r="L4489" s="36"/>
      <c r="M4489" s="36"/>
      <c r="N4489" s="36"/>
      <c r="O4489" s="36"/>
      <c r="P4489" s="36"/>
      <c r="Q4489" s="36"/>
      <c r="R4489" s="36"/>
      <c r="S4489" s="36"/>
      <c r="T4489" s="36"/>
      <c r="U4489" s="36"/>
      <c r="V4489" s="36"/>
      <c r="W4489" s="15">
        <f t="shared" si="529"/>
        <v>0</v>
      </c>
      <c r="X4489" s="36"/>
      <c r="Y4489" s="36"/>
      <c r="Z4489" s="36"/>
      <c r="AA4489" s="36"/>
      <c r="AB4489" s="36"/>
      <c r="AC4489" s="36"/>
      <c r="AD4489" s="36">
        <v>400</v>
      </c>
      <c r="AE4489" s="36"/>
      <c r="AF4489" s="36"/>
      <c r="AG4489" s="36"/>
      <c r="AH4489" s="36"/>
      <c r="AI4489" s="36"/>
      <c r="AJ4489" s="15">
        <f t="shared" si="530"/>
        <v>400</v>
      </c>
      <c r="AK4489" s="14"/>
      <c r="AL4489" s="14"/>
      <c r="AM4489" s="14"/>
      <c r="AN4489" s="14"/>
      <c r="AO4489" s="14"/>
      <c r="AP4489" s="14"/>
      <c r="AQ4489" s="14"/>
      <c r="AR4489" s="14"/>
      <c r="AS4489" s="14"/>
      <c r="AT4489" s="14"/>
      <c r="AU4489" s="14"/>
      <c r="AV4489" s="14"/>
      <c r="AW4489" s="15"/>
      <c r="AX4489" s="16"/>
    </row>
    <row r="4490" spans="2:50" x14ac:dyDescent="0.2">
      <c r="B4490" s="7"/>
      <c r="C4490" s="8">
        <v>14752</v>
      </c>
      <c r="D4490" s="9" t="s">
        <v>340</v>
      </c>
      <c r="E4490" s="10" t="str">
        <f t="shared" si="526"/>
        <v>Rancho Romeral No. 17</v>
      </c>
      <c r="F4490" s="10" t="str">
        <f t="shared" si="527"/>
        <v>Aguilar Lomelí</v>
      </c>
      <c r="G4490" s="8">
        <v>1</v>
      </c>
      <c r="H4490" s="11">
        <v>400</v>
      </c>
      <c r="I4490" s="12">
        <v>42932</v>
      </c>
      <c r="J4490" s="35">
        <f t="shared" si="528"/>
        <v>0</v>
      </c>
      <c r="K4490" s="36"/>
      <c r="L4490" s="36"/>
      <c r="M4490" s="36"/>
      <c r="N4490" s="36"/>
      <c r="O4490" s="36"/>
      <c r="P4490" s="36"/>
      <c r="Q4490" s="36"/>
      <c r="R4490" s="36"/>
      <c r="S4490" s="36"/>
      <c r="T4490" s="36"/>
      <c r="U4490" s="36"/>
      <c r="V4490" s="36"/>
      <c r="W4490" s="15">
        <f t="shared" si="529"/>
        <v>0</v>
      </c>
      <c r="X4490" s="36"/>
      <c r="Y4490" s="36"/>
      <c r="Z4490" s="36"/>
      <c r="AA4490" s="36"/>
      <c r="AB4490" s="36"/>
      <c r="AC4490" s="36"/>
      <c r="AD4490" s="36">
        <v>400</v>
      </c>
      <c r="AE4490" s="36"/>
      <c r="AF4490" s="36"/>
      <c r="AG4490" s="36"/>
      <c r="AH4490" s="36"/>
      <c r="AI4490" s="36"/>
      <c r="AJ4490" s="15">
        <f t="shared" si="530"/>
        <v>400</v>
      </c>
      <c r="AK4490" s="14"/>
      <c r="AL4490" s="14"/>
      <c r="AM4490" s="14"/>
      <c r="AN4490" s="14"/>
      <c r="AO4490" s="14"/>
      <c r="AP4490" s="14"/>
      <c r="AQ4490" s="14"/>
      <c r="AR4490" s="14"/>
      <c r="AS4490" s="14"/>
      <c r="AT4490" s="14"/>
      <c r="AU4490" s="14"/>
      <c r="AV4490" s="14"/>
      <c r="AW4490" s="15"/>
      <c r="AX4490" s="16"/>
    </row>
    <row r="4491" spans="2:50" x14ac:dyDescent="0.2">
      <c r="B4491" s="7"/>
      <c r="C4491" s="8">
        <v>14752</v>
      </c>
      <c r="D4491" s="9" t="s">
        <v>340</v>
      </c>
      <c r="E4491" s="10" t="str">
        <f t="shared" si="526"/>
        <v>Rancho Romeral No. 17</v>
      </c>
      <c r="F4491" s="10" t="str">
        <f t="shared" si="527"/>
        <v>Aguilar Lomelí</v>
      </c>
      <c r="G4491" s="8">
        <v>5</v>
      </c>
      <c r="H4491" s="11">
        <v>50</v>
      </c>
      <c r="I4491" s="12">
        <v>42932</v>
      </c>
      <c r="J4491" s="35">
        <f t="shared" si="528"/>
        <v>0</v>
      </c>
      <c r="K4491" s="36"/>
      <c r="L4491" s="36"/>
      <c r="M4491" s="36"/>
      <c r="N4491" s="36"/>
      <c r="O4491" s="36"/>
      <c r="P4491" s="36"/>
      <c r="Q4491" s="36"/>
      <c r="R4491" s="36"/>
      <c r="S4491" s="36"/>
      <c r="T4491" s="36"/>
      <c r="U4491" s="36"/>
      <c r="V4491" s="36"/>
      <c r="W4491" s="15">
        <f t="shared" si="529"/>
        <v>0</v>
      </c>
      <c r="X4491" s="36"/>
      <c r="Y4491" s="36"/>
      <c r="Z4491" s="36"/>
      <c r="AA4491" s="36"/>
      <c r="AB4491" s="36"/>
      <c r="AC4491" s="36"/>
      <c r="AD4491" s="36"/>
      <c r="AE4491" s="36"/>
      <c r="AF4491" s="36"/>
      <c r="AG4491" s="36"/>
      <c r="AH4491" s="36"/>
      <c r="AI4491" s="36"/>
      <c r="AJ4491" s="15">
        <f t="shared" si="530"/>
        <v>0</v>
      </c>
      <c r="AK4491" s="14"/>
      <c r="AL4491" s="14"/>
      <c r="AM4491" s="14"/>
      <c r="AN4491" s="14"/>
      <c r="AO4491" s="14"/>
      <c r="AP4491" s="14"/>
      <c r="AQ4491" s="14"/>
      <c r="AR4491" s="14"/>
      <c r="AS4491" s="14"/>
      <c r="AT4491" s="14"/>
      <c r="AU4491" s="14"/>
      <c r="AV4491" s="14"/>
      <c r="AW4491" s="15"/>
      <c r="AX4491" s="16"/>
    </row>
    <row r="4492" spans="2:50" x14ac:dyDescent="0.2">
      <c r="B4492" s="7"/>
      <c r="C4492" s="8">
        <v>14753</v>
      </c>
      <c r="D4492" s="9" t="s">
        <v>899</v>
      </c>
      <c r="E4492" s="10" t="str">
        <f t="shared" si="526"/>
        <v>Rancho Landero No. 8</v>
      </c>
      <c r="F4492" s="10" t="str">
        <f t="shared" si="527"/>
        <v>Garces Suarez</v>
      </c>
      <c r="G4492" s="8">
        <v>1</v>
      </c>
      <c r="H4492" s="11">
        <v>400</v>
      </c>
      <c r="I4492" s="12">
        <v>42932</v>
      </c>
      <c r="J4492" s="35">
        <f t="shared" si="528"/>
        <v>0</v>
      </c>
      <c r="K4492" s="36"/>
      <c r="L4492" s="36"/>
      <c r="M4492" s="36"/>
      <c r="N4492" s="36"/>
      <c r="O4492" s="36"/>
      <c r="P4492" s="36"/>
      <c r="Q4492" s="36"/>
      <c r="R4492" s="36"/>
      <c r="S4492" s="36"/>
      <c r="T4492" s="36"/>
      <c r="U4492" s="36"/>
      <c r="V4492" s="36"/>
      <c r="W4492" s="15">
        <f t="shared" si="529"/>
        <v>0</v>
      </c>
      <c r="X4492" s="36"/>
      <c r="Y4492" s="36"/>
      <c r="Z4492" s="36"/>
      <c r="AA4492" s="36"/>
      <c r="AB4492" s="36"/>
      <c r="AC4492" s="36"/>
      <c r="AD4492" s="36">
        <v>400</v>
      </c>
      <c r="AE4492" s="36"/>
      <c r="AF4492" s="36"/>
      <c r="AG4492" s="36"/>
      <c r="AH4492" s="36"/>
      <c r="AI4492" s="36"/>
      <c r="AJ4492" s="15">
        <f t="shared" si="530"/>
        <v>400</v>
      </c>
      <c r="AK4492" s="14"/>
      <c r="AL4492" s="14"/>
      <c r="AM4492" s="14"/>
      <c r="AN4492" s="14"/>
      <c r="AO4492" s="14"/>
      <c r="AP4492" s="14"/>
      <c r="AQ4492" s="14"/>
      <c r="AR4492" s="14"/>
      <c r="AS4492" s="14"/>
      <c r="AT4492" s="14"/>
      <c r="AU4492" s="14"/>
      <c r="AV4492" s="14"/>
      <c r="AW4492" s="15"/>
      <c r="AX4492" s="16"/>
    </row>
    <row r="4493" spans="2:50" x14ac:dyDescent="0.2">
      <c r="B4493" s="7"/>
      <c r="C4493" s="8">
        <v>14754</v>
      </c>
      <c r="D4493" s="9" t="s">
        <v>714</v>
      </c>
      <c r="E4493" s="10" t="str">
        <f t="shared" si="526"/>
        <v>Rancho Upácuaro No. 134</v>
      </c>
      <c r="F4493" s="10" t="str">
        <f t="shared" si="527"/>
        <v>Flores Pérez</v>
      </c>
      <c r="G4493" s="8">
        <v>1</v>
      </c>
      <c r="H4493" s="11">
        <v>800</v>
      </c>
      <c r="I4493" s="12">
        <v>42932</v>
      </c>
      <c r="J4493" s="35">
        <f t="shared" si="528"/>
        <v>0</v>
      </c>
      <c r="K4493" s="36"/>
      <c r="L4493" s="36"/>
      <c r="M4493" s="36"/>
      <c r="N4493" s="36"/>
      <c r="O4493" s="36"/>
      <c r="P4493" s="36"/>
      <c r="Q4493" s="36"/>
      <c r="R4493" s="36"/>
      <c r="S4493" s="36"/>
      <c r="T4493" s="36"/>
      <c r="U4493" s="36"/>
      <c r="V4493" s="36"/>
      <c r="W4493" s="15">
        <f t="shared" si="529"/>
        <v>0</v>
      </c>
      <c r="X4493" s="36"/>
      <c r="Y4493" s="36"/>
      <c r="Z4493" s="36"/>
      <c r="AA4493" s="36">
        <v>400</v>
      </c>
      <c r="AB4493" s="36">
        <v>400</v>
      </c>
      <c r="AC4493" s="36"/>
      <c r="AD4493" s="36"/>
      <c r="AE4493" s="36"/>
      <c r="AF4493" s="36"/>
      <c r="AG4493" s="36"/>
      <c r="AH4493" s="36"/>
      <c r="AI4493" s="36"/>
      <c r="AJ4493" s="15">
        <f t="shared" si="530"/>
        <v>800</v>
      </c>
      <c r="AK4493" s="14"/>
      <c r="AL4493" s="14"/>
      <c r="AM4493" s="14"/>
      <c r="AN4493" s="14"/>
      <c r="AO4493" s="14"/>
      <c r="AP4493" s="14"/>
      <c r="AQ4493" s="14"/>
      <c r="AR4493" s="14"/>
      <c r="AS4493" s="14"/>
      <c r="AT4493" s="14"/>
      <c r="AU4493" s="14"/>
      <c r="AV4493" s="14"/>
      <c r="AW4493" s="15"/>
      <c r="AX4493" s="16"/>
    </row>
    <row r="4494" spans="2:50" x14ac:dyDescent="0.2">
      <c r="B4494" s="7"/>
      <c r="C4494" s="8">
        <v>14755</v>
      </c>
      <c r="D4494" s="9" t="s">
        <v>262</v>
      </c>
      <c r="E4494" s="10" t="str">
        <f t="shared" si="526"/>
        <v>Rancho Recoveco No. 1</v>
      </c>
      <c r="F4494" s="10" t="str">
        <f t="shared" si="527"/>
        <v>Díaz</v>
      </c>
      <c r="G4494" s="8">
        <v>1</v>
      </c>
      <c r="H4494" s="11">
        <v>300</v>
      </c>
      <c r="I4494" s="12">
        <v>42932</v>
      </c>
      <c r="J4494" s="35">
        <f t="shared" si="528"/>
        <v>0</v>
      </c>
      <c r="K4494" s="36"/>
      <c r="L4494" s="36"/>
      <c r="M4494" s="36"/>
      <c r="N4494" s="36"/>
      <c r="O4494" s="36"/>
      <c r="P4494" s="36"/>
      <c r="Q4494" s="36"/>
      <c r="R4494" s="36"/>
      <c r="S4494" s="36"/>
      <c r="T4494" s="36"/>
      <c r="U4494" s="36"/>
      <c r="V4494" s="36"/>
      <c r="W4494" s="15">
        <f t="shared" si="529"/>
        <v>0</v>
      </c>
      <c r="X4494" s="36"/>
      <c r="Y4494" s="36"/>
      <c r="Z4494" s="36"/>
      <c r="AA4494" s="36"/>
      <c r="AB4494" s="36"/>
      <c r="AC4494" s="36"/>
      <c r="AD4494" s="36">
        <v>300</v>
      </c>
      <c r="AE4494" s="36"/>
      <c r="AF4494" s="36"/>
      <c r="AG4494" s="36"/>
      <c r="AH4494" s="36"/>
      <c r="AI4494" s="36"/>
      <c r="AJ4494" s="15">
        <f t="shared" si="530"/>
        <v>300</v>
      </c>
      <c r="AK4494" s="14"/>
      <c r="AL4494" s="14"/>
      <c r="AM4494" s="14"/>
      <c r="AN4494" s="14"/>
      <c r="AO4494" s="14"/>
      <c r="AP4494" s="14"/>
      <c r="AQ4494" s="14"/>
      <c r="AR4494" s="14"/>
      <c r="AS4494" s="14"/>
      <c r="AT4494" s="14"/>
      <c r="AU4494" s="14"/>
      <c r="AV4494" s="14"/>
      <c r="AW4494" s="15"/>
      <c r="AX4494" s="16"/>
    </row>
    <row r="4495" spans="2:50" x14ac:dyDescent="0.2">
      <c r="B4495" s="7"/>
      <c r="C4495" s="8">
        <v>14756</v>
      </c>
      <c r="D4495" s="9" t="s">
        <v>938</v>
      </c>
      <c r="E4495" s="10" t="str">
        <f t="shared" si="526"/>
        <v>Rancho Estanzuela No. 163</v>
      </c>
      <c r="F4495" s="10" t="str">
        <f t="shared" si="527"/>
        <v>González Rodríguez</v>
      </c>
      <c r="G4495" s="8">
        <v>1</v>
      </c>
      <c r="H4495" s="11">
        <v>400</v>
      </c>
      <c r="I4495" s="12">
        <v>42932</v>
      </c>
      <c r="J4495" s="35">
        <f t="shared" si="528"/>
        <v>0</v>
      </c>
      <c r="K4495" s="36"/>
      <c r="L4495" s="36"/>
      <c r="M4495" s="36"/>
      <c r="N4495" s="36"/>
      <c r="O4495" s="36"/>
      <c r="P4495" s="36"/>
      <c r="Q4495" s="36"/>
      <c r="R4495" s="36"/>
      <c r="S4495" s="36"/>
      <c r="T4495" s="36"/>
      <c r="U4495" s="36"/>
      <c r="V4495" s="36"/>
      <c r="W4495" s="15">
        <f t="shared" si="529"/>
        <v>0</v>
      </c>
      <c r="X4495" s="36">
        <v>400</v>
      </c>
      <c r="Y4495" s="36"/>
      <c r="Z4495" s="36"/>
      <c r="AA4495" s="36"/>
      <c r="AB4495" s="36"/>
      <c r="AC4495" s="36"/>
      <c r="AD4495" s="36"/>
      <c r="AE4495" s="36"/>
      <c r="AF4495" s="36"/>
      <c r="AG4495" s="36"/>
      <c r="AH4495" s="36"/>
      <c r="AI4495" s="36"/>
      <c r="AJ4495" s="15">
        <f t="shared" si="530"/>
        <v>400</v>
      </c>
      <c r="AK4495" s="14"/>
      <c r="AL4495" s="14"/>
      <c r="AM4495" s="14"/>
      <c r="AN4495" s="14"/>
      <c r="AO4495" s="14"/>
      <c r="AP4495" s="14"/>
      <c r="AQ4495" s="14"/>
      <c r="AR4495" s="14"/>
      <c r="AS4495" s="14"/>
      <c r="AT4495" s="14"/>
      <c r="AU4495" s="14"/>
      <c r="AV4495" s="14"/>
      <c r="AW4495" s="15"/>
      <c r="AX4495" s="16"/>
    </row>
    <row r="4496" spans="2:50" x14ac:dyDescent="0.2">
      <c r="B4496" s="7"/>
      <c r="C4496" s="8">
        <v>14757</v>
      </c>
      <c r="D4496" s="9"/>
      <c r="E4496" s="10" t="str">
        <f t="shared" si="526"/>
        <v/>
      </c>
      <c r="F4496" s="10" t="str">
        <f t="shared" si="527"/>
        <v/>
      </c>
      <c r="G4496" s="8">
        <v>8</v>
      </c>
      <c r="H4496" s="11"/>
      <c r="I4496" s="12"/>
      <c r="J4496" s="35">
        <f t="shared" si="528"/>
        <v>0</v>
      </c>
      <c r="K4496" s="36"/>
      <c r="L4496" s="36"/>
      <c r="M4496" s="36"/>
      <c r="N4496" s="36"/>
      <c r="O4496" s="36"/>
      <c r="P4496" s="36"/>
      <c r="Q4496" s="36"/>
      <c r="R4496" s="36"/>
      <c r="S4496" s="36"/>
      <c r="T4496" s="36"/>
      <c r="U4496" s="36"/>
      <c r="V4496" s="36"/>
      <c r="W4496" s="15">
        <f t="shared" si="529"/>
        <v>0</v>
      </c>
      <c r="X4496" s="36"/>
      <c r="Y4496" s="36"/>
      <c r="Z4496" s="36"/>
      <c r="AA4496" s="36"/>
      <c r="AB4496" s="36"/>
      <c r="AC4496" s="36"/>
      <c r="AD4496" s="36"/>
      <c r="AE4496" s="36"/>
      <c r="AF4496" s="36"/>
      <c r="AG4496" s="36"/>
      <c r="AH4496" s="36"/>
      <c r="AI4496" s="36"/>
      <c r="AJ4496" s="15">
        <f t="shared" si="530"/>
        <v>0</v>
      </c>
      <c r="AK4496" s="14"/>
      <c r="AL4496" s="14"/>
      <c r="AM4496" s="14"/>
      <c r="AN4496" s="14"/>
      <c r="AO4496" s="14"/>
      <c r="AP4496" s="14"/>
      <c r="AQ4496" s="14"/>
      <c r="AR4496" s="14"/>
      <c r="AS4496" s="14"/>
      <c r="AT4496" s="14"/>
      <c r="AU4496" s="14"/>
      <c r="AV4496" s="14"/>
      <c r="AW4496" s="15"/>
      <c r="AX4496" s="16"/>
    </row>
    <row r="4497" spans="2:50" x14ac:dyDescent="0.2">
      <c r="B4497" s="7"/>
      <c r="C4497" s="8">
        <v>14758</v>
      </c>
      <c r="D4497" s="9" t="s">
        <v>938</v>
      </c>
      <c r="E4497" s="10" t="str">
        <f t="shared" si="526"/>
        <v>Rancho Estanzuela No. 163</v>
      </c>
      <c r="F4497" s="10" t="str">
        <f t="shared" si="527"/>
        <v>González Rodríguez</v>
      </c>
      <c r="G4497" s="8">
        <v>5</v>
      </c>
      <c r="H4497" s="11">
        <v>50</v>
      </c>
      <c r="I4497" s="12">
        <v>42932</v>
      </c>
      <c r="J4497" s="35">
        <f t="shared" si="528"/>
        <v>0</v>
      </c>
      <c r="K4497" s="36"/>
      <c r="L4497" s="36"/>
      <c r="M4497" s="36"/>
      <c r="N4497" s="36"/>
      <c r="O4497" s="36"/>
      <c r="P4497" s="36"/>
      <c r="Q4497" s="36"/>
      <c r="R4497" s="36"/>
      <c r="S4497" s="36"/>
      <c r="T4497" s="36"/>
      <c r="U4497" s="36"/>
      <c r="V4497" s="36"/>
      <c r="W4497" s="15">
        <f t="shared" si="529"/>
        <v>0</v>
      </c>
      <c r="X4497" s="36"/>
      <c r="Y4497" s="36"/>
      <c r="Z4497" s="36"/>
      <c r="AA4497" s="36"/>
      <c r="AB4497" s="36"/>
      <c r="AC4497" s="36"/>
      <c r="AD4497" s="36"/>
      <c r="AE4497" s="36"/>
      <c r="AF4497" s="36"/>
      <c r="AG4497" s="36"/>
      <c r="AH4497" s="36"/>
      <c r="AI4497" s="36"/>
      <c r="AJ4497" s="15">
        <f t="shared" si="530"/>
        <v>0</v>
      </c>
      <c r="AK4497" s="14"/>
      <c r="AL4497" s="14"/>
      <c r="AM4497" s="14"/>
      <c r="AN4497" s="14"/>
      <c r="AO4497" s="14"/>
      <c r="AP4497" s="14"/>
      <c r="AQ4497" s="14"/>
      <c r="AR4497" s="14"/>
      <c r="AS4497" s="14"/>
      <c r="AT4497" s="14"/>
      <c r="AU4497" s="14"/>
      <c r="AV4497" s="14"/>
      <c r="AW4497" s="15"/>
      <c r="AX4497" s="16"/>
    </row>
    <row r="4498" spans="2:50" x14ac:dyDescent="0.2">
      <c r="B4498" s="7"/>
      <c r="C4498" s="8">
        <v>14759</v>
      </c>
      <c r="D4498" s="9" t="s">
        <v>568</v>
      </c>
      <c r="E4498" s="10" t="str">
        <f t="shared" si="526"/>
        <v>Rancho Landero No. 95</v>
      </c>
      <c r="F4498" s="10" t="str">
        <f t="shared" si="527"/>
        <v>Rivas Rangel</v>
      </c>
      <c r="G4498" s="8">
        <v>1</v>
      </c>
      <c r="H4498" s="11">
        <v>400</v>
      </c>
      <c r="I4498" s="12">
        <v>42932</v>
      </c>
      <c r="J4498" s="35">
        <f t="shared" si="528"/>
        <v>0</v>
      </c>
      <c r="K4498" s="36"/>
      <c r="L4498" s="36"/>
      <c r="M4498" s="36"/>
      <c r="N4498" s="36"/>
      <c r="O4498" s="36"/>
      <c r="P4498" s="36"/>
      <c r="Q4498" s="36"/>
      <c r="R4498" s="36"/>
      <c r="S4498" s="36"/>
      <c r="T4498" s="36"/>
      <c r="U4498" s="36"/>
      <c r="V4498" s="36"/>
      <c r="W4498" s="15">
        <f t="shared" si="529"/>
        <v>0</v>
      </c>
      <c r="X4498" s="36"/>
      <c r="Y4498" s="36"/>
      <c r="Z4498" s="36"/>
      <c r="AA4498" s="36"/>
      <c r="AB4498" s="36"/>
      <c r="AC4498" s="36">
        <v>400</v>
      </c>
      <c r="AD4498" s="36"/>
      <c r="AE4498" s="36"/>
      <c r="AF4498" s="36"/>
      <c r="AG4498" s="36"/>
      <c r="AH4498" s="36"/>
      <c r="AI4498" s="36"/>
      <c r="AJ4498" s="15">
        <f t="shared" si="530"/>
        <v>400</v>
      </c>
      <c r="AK4498" s="14"/>
      <c r="AL4498" s="14"/>
      <c r="AM4498" s="14"/>
      <c r="AN4498" s="14"/>
      <c r="AO4498" s="14"/>
      <c r="AP4498" s="14"/>
      <c r="AQ4498" s="14"/>
      <c r="AR4498" s="14"/>
      <c r="AS4498" s="14"/>
      <c r="AT4498" s="14"/>
      <c r="AU4498" s="14"/>
      <c r="AV4498" s="14"/>
      <c r="AW4498" s="15"/>
      <c r="AX4498" s="16"/>
    </row>
    <row r="4499" spans="2:50" x14ac:dyDescent="0.2">
      <c r="B4499" s="7"/>
      <c r="C4499" s="8">
        <v>14760</v>
      </c>
      <c r="D4499" s="9" t="s">
        <v>1192</v>
      </c>
      <c r="E4499" s="10" t="str">
        <f t="shared" si="526"/>
        <v>Rancho Landero No. 61</v>
      </c>
      <c r="F4499" s="10" t="str">
        <f t="shared" si="527"/>
        <v>Miramontes Pérez</v>
      </c>
      <c r="G4499" s="8">
        <v>1</v>
      </c>
      <c r="H4499" s="11">
        <v>400</v>
      </c>
      <c r="I4499" s="12">
        <v>42932</v>
      </c>
      <c r="J4499" s="35">
        <f t="shared" si="528"/>
        <v>0</v>
      </c>
      <c r="K4499" s="36"/>
      <c r="L4499" s="36"/>
      <c r="M4499" s="36"/>
      <c r="N4499" s="36"/>
      <c r="O4499" s="36"/>
      <c r="P4499" s="36"/>
      <c r="Q4499" s="36"/>
      <c r="R4499" s="36"/>
      <c r="S4499" s="36"/>
      <c r="T4499" s="36"/>
      <c r="U4499" s="36"/>
      <c r="V4499" s="36"/>
      <c r="W4499" s="15">
        <f t="shared" si="529"/>
        <v>0</v>
      </c>
      <c r="X4499" s="36"/>
      <c r="Y4499" s="36"/>
      <c r="Z4499" s="36"/>
      <c r="AA4499" s="36"/>
      <c r="AB4499" s="36"/>
      <c r="AC4499" s="36"/>
      <c r="AD4499" s="36">
        <v>400</v>
      </c>
      <c r="AE4499" s="36"/>
      <c r="AF4499" s="36"/>
      <c r="AG4499" s="36"/>
      <c r="AH4499" s="36"/>
      <c r="AI4499" s="36"/>
      <c r="AJ4499" s="15">
        <f t="shared" si="530"/>
        <v>400</v>
      </c>
      <c r="AK4499" s="14"/>
      <c r="AL4499" s="14"/>
      <c r="AM4499" s="14"/>
      <c r="AN4499" s="14"/>
      <c r="AO4499" s="14"/>
      <c r="AP4499" s="14"/>
      <c r="AQ4499" s="14"/>
      <c r="AR4499" s="14"/>
      <c r="AS4499" s="14"/>
      <c r="AT4499" s="14"/>
      <c r="AU4499" s="14"/>
      <c r="AV4499" s="14"/>
      <c r="AW4499" s="15"/>
      <c r="AX4499" s="16"/>
    </row>
    <row r="4500" spans="2:50" x14ac:dyDescent="0.2">
      <c r="B4500" s="7"/>
      <c r="C4500" s="8">
        <v>14761</v>
      </c>
      <c r="D4500" s="9" t="s">
        <v>295</v>
      </c>
      <c r="E4500" s="10" t="str">
        <f t="shared" si="526"/>
        <v>Rancho Landero No. 99</v>
      </c>
      <c r="F4500" s="10" t="str">
        <f t="shared" si="527"/>
        <v>Rangel</v>
      </c>
      <c r="G4500" s="8">
        <v>1</v>
      </c>
      <c r="H4500" s="11">
        <v>300</v>
      </c>
      <c r="I4500" s="12">
        <v>42932</v>
      </c>
      <c r="J4500" s="35">
        <f t="shared" si="528"/>
        <v>0</v>
      </c>
      <c r="K4500" s="36"/>
      <c r="L4500" s="36"/>
      <c r="M4500" s="36"/>
      <c r="N4500" s="36"/>
      <c r="O4500" s="36"/>
      <c r="P4500" s="36"/>
      <c r="Q4500" s="36"/>
      <c r="R4500" s="36"/>
      <c r="S4500" s="36"/>
      <c r="T4500" s="36"/>
      <c r="U4500" s="36"/>
      <c r="V4500" s="36"/>
      <c r="W4500" s="15">
        <f t="shared" si="529"/>
        <v>0</v>
      </c>
      <c r="X4500" s="36"/>
      <c r="Y4500" s="36"/>
      <c r="Z4500" s="36"/>
      <c r="AA4500" s="36"/>
      <c r="AB4500" s="36">
        <v>300</v>
      </c>
      <c r="AC4500" s="36"/>
      <c r="AD4500" s="36"/>
      <c r="AE4500" s="36"/>
      <c r="AF4500" s="36"/>
      <c r="AG4500" s="36"/>
      <c r="AH4500" s="36"/>
      <c r="AI4500" s="36"/>
      <c r="AJ4500" s="15">
        <f t="shared" si="530"/>
        <v>300</v>
      </c>
      <c r="AK4500" s="14"/>
      <c r="AL4500" s="14"/>
      <c r="AM4500" s="14"/>
      <c r="AN4500" s="14"/>
      <c r="AO4500" s="14"/>
      <c r="AP4500" s="14"/>
      <c r="AQ4500" s="14"/>
      <c r="AR4500" s="14"/>
      <c r="AS4500" s="14"/>
      <c r="AT4500" s="14"/>
      <c r="AU4500" s="14"/>
      <c r="AV4500" s="14"/>
      <c r="AW4500" s="15"/>
      <c r="AX4500" s="16"/>
    </row>
    <row r="4501" spans="2:50" x14ac:dyDescent="0.2">
      <c r="B4501" s="7"/>
      <c r="C4501" s="8">
        <v>14762</v>
      </c>
      <c r="D4501" s="9" t="s">
        <v>431</v>
      </c>
      <c r="E4501" s="10" t="str">
        <f t="shared" si="526"/>
        <v>Rancho Landero No. 63</v>
      </c>
      <c r="F4501" s="10" t="str">
        <f t="shared" si="527"/>
        <v>Hernández Chávez</v>
      </c>
      <c r="G4501" s="8">
        <v>1</v>
      </c>
      <c r="H4501" s="11">
        <v>400</v>
      </c>
      <c r="I4501" s="12">
        <v>42932</v>
      </c>
      <c r="J4501" s="35">
        <f t="shared" si="528"/>
        <v>0</v>
      </c>
      <c r="K4501" s="36"/>
      <c r="L4501" s="36"/>
      <c r="M4501" s="36"/>
      <c r="N4501" s="36"/>
      <c r="O4501" s="36"/>
      <c r="P4501" s="36"/>
      <c r="Q4501" s="36"/>
      <c r="R4501" s="36"/>
      <c r="S4501" s="36"/>
      <c r="T4501" s="36"/>
      <c r="U4501" s="36"/>
      <c r="V4501" s="36"/>
      <c r="W4501" s="15">
        <f t="shared" si="529"/>
        <v>0</v>
      </c>
      <c r="X4501" s="36"/>
      <c r="Y4501" s="36"/>
      <c r="Z4501" s="36"/>
      <c r="AA4501" s="36"/>
      <c r="AB4501" s="36"/>
      <c r="AC4501" s="36">
        <v>400</v>
      </c>
      <c r="AD4501" s="36"/>
      <c r="AE4501" s="36"/>
      <c r="AF4501" s="36"/>
      <c r="AG4501" s="36"/>
      <c r="AH4501" s="36"/>
      <c r="AI4501" s="36"/>
      <c r="AJ4501" s="15">
        <f t="shared" si="530"/>
        <v>400</v>
      </c>
      <c r="AK4501" s="14"/>
      <c r="AL4501" s="14"/>
      <c r="AM4501" s="14"/>
      <c r="AN4501" s="14"/>
      <c r="AO4501" s="14"/>
      <c r="AP4501" s="14"/>
      <c r="AQ4501" s="14"/>
      <c r="AR4501" s="14"/>
      <c r="AS4501" s="14"/>
      <c r="AT4501" s="14"/>
      <c r="AU4501" s="14"/>
      <c r="AV4501" s="14"/>
      <c r="AW4501" s="15"/>
      <c r="AX4501" s="16"/>
    </row>
    <row r="4502" spans="2:50" x14ac:dyDescent="0.2">
      <c r="B4502" s="7"/>
      <c r="C4502" s="8">
        <v>14763</v>
      </c>
      <c r="D4502" s="9" t="s">
        <v>349</v>
      </c>
      <c r="E4502" s="10" t="str">
        <f t="shared" si="526"/>
        <v>Rancho La Cuchilla No. 15</v>
      </c>
      <c r="F4502" s="10" t="str">
        <f t="shared" si="527"/>
        <v>Guerrero Ponce</v>
      </c>
      <c r="G4502" s="8">
        <v>1</v>
      </c>
      <c r="H4502" s="11">
        <v>600</v>
      </c>
      <c r="I4502" s="12">
        <v>42932</v>
      </c>
      <c r="J4502" s="35">
        <f t="shared" si="528"/>
        <v>0</v>
      </c>
      <c r="K4502" s="36"/>
      <c r="L4502" s="36"/>
      <c r="M4502" s="36"/>
      <c r="N4502" s="36"/>
      <c r="O4502" s="36"/>
      <c r="P4502" s="36"/>
      <c r="Q4502" s="36"/>
      <c r="R4502" s="36"/>
      <c r="S4502" s="36"/>
      <c r="T4502" s="36"/>
      <c r="U4502" s="36"/>
      <c r="V4502" s="36"/>
      <c r="W4502" s="15">
        <f t="shared" si="529"/>
        <v>0</v>
      </c>
      <c r="X4502" s="36"/>
      <c r="Y4502" s="36"/>
      <c r="Z4502" s="36"/>
      <c r="AA4502" s="36"/>
      <c r="AB4502" s="36"/>
      <c r="AC4502" s="36">
        <v>300</v>
      </c>
      <c r="AD4502" s="36">
        <v>300</v>
      </c>
      <c r="AE4502" s="36"/>
      <c r="AF4502" s="36"/>
      <c r="AG4502" s="36"/>
      <c r="AH4502" s="36"/>
      <c r="AI4502" s="36"/>
      <c r="AJ4502" s="15">
        <f t="shared" si="530"/>
        <v>600</v>
      </c>
      <c r="AK4502" s="14"/>
      <c r="AL4502" s="14"/>
      <c r="AM4502" s="14"/>
      <c r="AN4502" s="14"/>
      <c r="AO4502" s="14"/>
      <c r="AP4502" s="14"/>
      <c r="AQ4502" s="14"/>
      <c r="AR4502" s="14"/>
      <c r="AS4502" s="14"/>
      <c r="AT4502" s="14"/>
      <c r="AU4502" s="14"/>
      <c r="AV4502" s="14"/>
      <c r="AW4502" s="15"/>
      <c r="AX4502" s="16"/>
    </row>
    <row r="4503" spans="2:50" x14ac:dyDescent="0.2">
      <c r="B4503" s="7"/>
      <c r="C4503" s="8">
        <v>14764</v>
      </c>
      <c r="D4503" s="9" t="s">
        <v>705</v>
      </c>
      <c r="E4503" s="10" t="str">
        <f t="shared" si="526"/>
        <v>Rancho La Cuchilla No. 75</v>
      </c>
      <c r="F4503" s="10" t="str">
        <f t="shared" si="527"/>
        <v>Sosa Lucio</v>
      </c>
      <c r="G4503" s="8">
        <v>1</v>
      </c>
      <c r="H4503" s="11">
        <v>600</v>
      </c>
      <c r="I4503" s="12">
        <v>42932</v>
      </c>
      <c r="J4503" s="35">
        <f t="shared" si="528"/>
        <v>0</v>
      </c>
      <c r="K4503" s="36"/>
      <c r="L4503" s="36"/>
      <c r="M4503" s="36"/>
      <c r="N4503" s="36"/>
      <c r="O4503" s="36"/>
      <c r="P4503" s="36"/>
      <c r="Q4503" s="36"/>
      <c r="R4503" s="36"/>
      <c r="S4503" s="36"/>
      <c r="T4503" s="36"/>
      <c r="U4503" s="36"/>
      <c r="V4503" s="36"/>
      <c r="W4503" s="15">
        <f t="shared" si="529"/>
        <v>0</v>
      </c>
      <c r="X4503" s="36"/>
      <c r="Y4503" s="36"/>
      <c r="Z4503" s="36"/>
      <c r="AA4503" s="36"/>
      <c r="AB4503" s="36"/>
      <c r="AC4503" s="36">
        <v>300</v>
      </c>
      <c r="AD4503" s="36">
        <v>300</v>
      </c>
      <c r="AE4503" s="36"/>
      <c r="AF4503" s="36"/>
      <c r="AG4503" s="36"/>
      <c r="AH4503" s="36"/>
      <c r="AI4503" s="36"/>
      <c r="AJ4503" s="15">
        <f t="shared" si="530"/>
        <v>600</v>
      </c>
      <c r="AK4503" s="14"/>
      <c r="AL4503" s="14"/>
      <c r="AM4503" s="14"/>
      <c r="AN4503" s="14"/>
      <c r="AO4503" s="14"/>
      <c r="AP4503" s="14"/>
      <c r="AQ4503" s="14"/>
      <c r="AR4503" s="14"/>
      <c r="AS4503" s="14"/>
      <c r="AT4503" s="14"/>
      <c r="AU4503" s="14"/>
      <c r="AV4503" s="14"/>
      <c r="AW4503" s="15"/>
      <c r="AX4503" s="16"/>
    </row>
    <row r="4504" spans="2:50" x14ac:dyDescent="0.2">
      <c r="B4504" s="7"/>
      <c r="C4504" s="8">
        <v>14765</v>
      </c>
      <c r="D4504" s="9" t="s">
        <v>343</v>
      </c>
      <c r="E4504" s="10" t="str">
        <f t="shared" si="526"/>
        <v>Rancho Upácuaro No. 88</v>
      </c>
      <c r="F4504" s="10" t="str">
        <f t="shared" si="527"/>
        <v>Millán Núñez</v>
      </c>
      <c r="G4504" s="8">
        <v>1</v>
      </c>
      <c r="H4504" s="11">
        <v>400</v>
      </c>
      <c r="I4504" s="12">
        <v>42932</v>
      </c>
      <c r="J4504" s="35">
        <f t="shared" si="528"/>
        <v>0</v>
      </c>
      <c r="K4504" s="36"/>
      <c r="L4504" s="36"/>
      <c r="M4504" s="36"/>
      <c r="N4504" s="36"/>
      <c r="O4504" s="36"/>
      <c r="P4504" s="36"/>
      <c r="Q4504" s="36"/>
      <c r="R4504" s="36"/>
      <c r="S4504" s="36"/>
      <c r="T4504" s="36"/>
      <c r="U4504" s="36"/>
      <c r="V4504" s="36"/>
      <c r="W4504" s="15">
        <f t="shared" si="529"/>
        <v>0</v>
      </c>
      <c r="X4504" s="36"/>
      <c r="Y4504" s="36"/>
      <c r="Z4504" s="36"/>
      <c r="AA4504" s="36"/>
      <c r="AB4504" s="36"/>
      <c r="AC4504" s="36"/>
      <c r="AD4504" s="36">
        <v>400</v>
      </c>
      <c r="AE4504" s="36"/>
      <c r="AF4504" s="36"/>
      <c r="AG4504" s="36"/>
      <c r="AH4504" s="36"/>
      <c r="AI4504" s="36"/>
      <c r="AJ4504" s="15">
        <f t="shared" si="530"/>
        <v>400</v>
      </c>
      <c r="AK4504" s="14"/>
      <c r="AL4504" s="14"/>
      <c r="AM4504" s="14"/>
      <c r="AN4504" s="14"/>
      <c r="AO4504" s="14"/>
      <c r="AP4504" s="14"/>
      <c r="AQ4504" s="14"/>
      <c r="AR4504" s="14"/>
      <c r="AS4504" s="14"/>
      <c r="AT4504" s="14"/>
      <c r="AU4504" s="14"/>
      <c r="AV4504" s="14"/>
      <c r="AW4504" s="15"/>
      <c r="AX4504" s="16"/>
    </row>
    <row r="4505" spans="2:50" x14ac:dyDescent="0.2">
      <c r="B4505" s="7"/>
      <c r="C4505" s="8">
        <v>14766</v>
      </c>
      <c r="D4505" s="9" t="s">
        <v>791</v>
      </c>
      <c r="E4505" s="10" t="str">
        <f t="shared" si="526"/>
        <v>Rancho Upácuaro No. 116</v>
      </c>
      <c r="F4505" s="10" t="str">
        <f t="shared" si="527"/>
        <v>Zenteno</v>
      </c>
      <c r="G4505" s="8">
        <v>1</v>
      </c>
      <c r="H4505" s="11">
        <v>400</v>
      </c>
      <c r="I4505" s="12">
        <v>42932</v>
      </c>
      <c r="J4505" s="35">
        <f t="shared" si="528"/>
        <v>0</v>
      </c>
      <c r="K4505" s="36"/>
      <c r="L4505" s="36"/>
      <c r="M4505" s="36"/>
      <c r="N4505" s="36"/>
      <c r="O4505" s="36"/>
      <c r="P4505" s="36"/>
      <c r="Q4505" s="36"/>
      <c r="R4505" s="36"/>
      <c r="S4505" s="36"/>
      <c r="T4505" s="36"/>
      <c r="U4505" s="36"/>
      <c r="V4505" s="36"/>
      <c r="W4505" s="15">
        <f t="shared" si="529"/>
        <v>0</v>
      </c>
      <c r="X4505" s="36"/>
      <c r="Y4505" s="36"/>
      <c r="Z4505" s="36"/>
      <c r="AA4505" s="36"/>
      <c r="AB4505" s="36"/>
      <c r="AC4505" s="36"/>
      <c r="AD4505" s="36">
        <v>400</v>
      </c>
      <c r="AE4505" s="36"/>
      <c r="AF4505" s="36"/>
      <c r="AG4505" s="36"/>
      <c r="AH4505" s="36"/>
      <c r="AI4505" s="36"/>
      <c r="AJ4505" s="15">
        <f t="shared" si="530"/>
        <v>400</v>
      </c>
      <c r="AK4505" s="14"/>
      <c r="AL4505" s="14"/>
      <c r="AM4505" s="14"/>
      <c r="AN4505" s="14"/>
      <c r="AO4505" s="14"/>
      <c r="AP4505" s="14"/>
      <c r="AQ4505" s="14"/>
      <c r="AR4505" s="14"/>
      <c r="AS4505" s="14"/>
      <c r="AT4505" s="14"/>
      <c r="AU4505" s="14"/>
      <c r="AV4505" s="14"/>
      <c r="AW4505" s="15"/>
      <c r="AX4505" s="16"/>
    </row>
    <row r="4506" spans="2:50" x14ac:dyDescent="0.2">
      <c r="B4506" s="7"/>
      <c r="C4506" s="8">
        <v>14767</v>
      </c>
      <c r="D4506" s="9" t="s">
        <v>132</v>
      </c>
      <c r="E4506" s="10" t="str">
        <f t="shared" si="526"/>
        <v>Rancho La Cuchilla No. 129</v>
      </c>
      <c r="F4506" s="10" t="str">
        <f t="shared" si="527"/>
        <v>Gamboa Rueda</v>
      </c>
      <c r="G4506" s="8">
        <v>1</v>
      </c>
      <c r="H4506" s="11">
        <v>600</v>
      </c>
      <c r="I4506" s="12">
        <v>42932</v>
      </c>
      <c r="J4506" s="35">
        <f t="shared" si="528"/>
        <v>0</v>
      </c>
      <c r="K4506" s="36"/>
      <c r="L4506" s="36"/>
      <c r="M4506" s="36"/>
      <c r="N4506" s="36"/>
      <c r="O4506" s="36"/>
      <c r="P4506" s="36"/>
      <c r="Q4506" s="36"/>
      <c r="R4506" s="36"/>
      <c r="S4506" s="36"/>
      <c r="T4506" s="36"/>
      <c r="U4506" s="36"/>
      <c r="V4506" s="36"/>
      <c r="W4506" s="15">
        <f t="shared" si="529"/>
        <v>0</v>
      </c>
      <c r="X4506" s="36"/>
      <c r="Y4506" s="36"/>
      <c r="Z4506" s="36"/>
      <c r="AA4506" s="36">
        <v>300</v>
      </c>
      <c r="AB4506" s="36">
        <v>300</v>
      </c>
      <c r="AC4506" s="36"/>
      <c r="AD4506" s="36"/>
      <c r="AE4506" s="36"/>
      <c r="AF4506" s="36"/>
      <c r="AG4506" s="36"/>
      <c r="AH4506" s="36"/>
      <c r="AI4506" s="36"/>
      <c r="AJ4506" s="15">
        <f t="shared" si="530"/>
        <v>600</v>
      </c>
      <c r="AK4506" s="14"/>
      <c r="AL4506" s="14"/>
      <c r="AM4506" s="14"/>
      <c r="AN4506" s="14"/>
      <c r="AO4506" s="14"/>
      <c r="AP4506" s="14"/>
      <c r="AQ4506" s="14"/>
      <c r="AR4506" s="14"/>
      <c r="AS4506" s="14"/>
      <c r="AT4506" s="14"/>
      <c r="AU4506" s="14"/>
      <c r="AV4506" s="14"/>
      <c r="AW4506" s="15"/>
      <c r="AX4506" s="16"/>
    </row>
    <row r="4507" spans="2:50" x14ac:dyDescent="0.2">
      <c r="B4507" s="7"/>
      <c r="C4507" s="8">
        <v>14768</v>
      </c>
      <c r="D4507" s="9" t="s">
        <v>893</v>
      </c>
      <c r="E4507" s="10" t="str">
        <f t="shared" si="526"/>
        <v>Rancho Upácuaro No. 136</v>
      </c>
      <c r="F4507" s="10" t="str">
        <f t="shared" si="527"/>
        <v>López Lena</v>
      </c>
      <c r="G4507" s="8">
        <v>1</v>
      </c>
      <c r="H4507" s="11">
        <v>300</v>
      </c>
      <c r="I4507" s="12">
        <v>42932</v>
      </c>
      <c r="J4507" s="35">
        <f t="shared" si="528"/>
        <v>0</v>
      </c>
      <c r="K4507" s="36"/>
      <c r="L4507" s="36"/>
      <c r="M4507" s="36"/>
      <c r="N4507" s="36"/>
      <c r="O4507" s="36"/>
      <c r="P4507" s="36"/>
      <c r="Q4507" s="36"/>
      <c r="R4507" s="36"/>
      <c r="S4507" s="36"/>
      <c r="T4507" s="36"/>
      <c r="U4507" s="36"/>
      <c r="V4507" s="36"/>
      <c r="W4507" s="15">
        <f t="shared" si="529"/>
        <v>0</v>
      </c>
      <c r="X4507" s="36"/>
      <c r="Y4507" s="36"/>
      <c r="Z4507" s="36"/>
      <c r="AA4507" s="36"/>
      <c r="AB4507" s="36"/>
      <c r="AC4507" s="36">
        <v>300</v>
      </c>
      <c r="AD4507" s="36"/>
      <c r="AE4507" s="36"/>
      <c r="AF4507" s="36"/>
      <c r="AG4507" s="36"/>
      <c r="AH4507" s="36"/>
      <c r="AI4507" s="36"/>
      <c r="AJ4507" s="15">
        <f t="shared" si="530"/>
        <v>300</v>
      </c>
      <c r="AK4507" s="14"/>
      <c r="AL4507" s="14"/>
      <c r="AM4507" s="14"/>
      <c r="AN4507" s="14"/>
      <c r="AO4507" s="14"/>
      <c r="AP4507" s="14"/>
      <c r="AQ4507" s="14"/>
      <c r="AR4507" s="14"/>
      <c r="AS4507" s="14"/>
      <c r="AT4507" s="14"/>
      <c r="AU4507" s="14"/>
      <c r="AV4507" s="14"/>
      <c r="AW4507" s="15"/>
      <c r="AX4507" s="16"/>
    </row>
    <row r="4508" spans="2:50" x14ac:dyDescent="0.2">
      <c r="B4508" s="7"/>
      <c r="C4508" s="8">
        <v>14769</v>
      </c>
      <c r="D4508" s="9" t="s">
        <v>322</v>
      </c>
      <c r="E4508" s="10" t="str">
        <f t="shared" si="526"/>
        <v>Rancho Zinamba No. 8</v>
      </c>
      <c r="F4508" s="10" t="str">
        <f t="shared" si="527"/>
        <v>Florido</v>
      </c>
      <c r="G4508" s="8">
        <v>1</v>
      </c>
      <c r="H4508" s="11">
        <v>400</v>
      </c>
      <c r="I4508" s="12">
        <v>42932</v>
      </c>
      <c r="J4508" s="35">
        <f t="shared" si="528"/>
        <v>0</v>
      </c>
      <c r="K4508" s="36"/>
      <c r="L4508" s="36"/>
      <c r="M4508" s="36"/>
      <c r="N4508" s="36"/>
      <c r="O4508" s="36"/>
      <c r="P4508" s="36"/>
      <c r="Q4508" s="36"/>
      <c r="R4508" s="36"/>
      <c r="S4508" s="36"/>
      <c r="T4508" s="36"/>
      <c r="U4508" s="36"/>
      <c r="V4508" s="36"/>
      <c r="W4508" s="15">
        <f t="shared" si="529"/>
        <v>0</v>
      </c>
      <c r="X4508" s="36"/>
      <c r="Y4508" s="36"/>
      <c r="Z4508" s="36"/>
      <c r="AA4508" s="36"/>
      <c r="AB4508" s="36">
        <v>400</v>
      </c>
      <c r="AC4508" s="36"/>
      <c r="AD4508" s="36"/>
      <c r="AE4508" s="36"/>
      <c r="AF4508" s="36"/>
      <c r="AG4508" s="36"/>
      <c r="AH4508" s="36"/>
      <c r="AI4508" s="36"/>
      <c r="AJ4508" s="15">
        <f t="shared" si="530"/>
        <v>400</v>
      </c>
      <c r="AK4508" s="14"/>
      <c r="AL4508" s="14"/>
      <c r="AM4508" s="14"/>
      <c r="AN4508" s="14"/>
      <c r="AO4508" s="14"/>
      <c r="AP4508" s="14"/>
      <c r="AQ4508" s="14"/>
      <c r="AR4508" s="14"/>
      <c r="AS4508" s="14"/>
      <c r="AT4508" s="14"/>
      <c r="AU4508" s="14"/>
      <c r="AV4508" s="14"/>
      <c r="AW4508" s="15"/>
      <c r="AX4508" s="16"/>
    </row>
    <row r="4509" spans="2:50" x14ac:dyDescent="0.2">
      <c r="B4509" s="7"/>
      <c r="C4509" s="8">
        <v>14770</v>
      </c>
      <c r="D4509" s="9" t="s">
        <v>112</v>
      </c>
      <c r="E4509" s="10" t="str">
        <f t="shared" si="526"/>
        <v>Rancho Estanzuela No. 129</v>
      </c>
      <c r="F4509" s="10" t="str">
        <f t="shared" si="527"/>
        <v>Sta. María Mendoza</v>
      </c>
      <c r="G4509" s="8">
        <v>1</v>
      </c>
      <c r="H4509" s="11">
        <v>250</v>
      </c>
      <c r="I4509" s="12">
        <v>42932</v>
      </c>
      <c r="J4509" s="35">
        <f t="shared" si="528"/>
        <v>0</v>
      </c>
      <c r="K4509" s="36"/>
      <c r="L4509" s="36"/>
      <c r="M4509" s="36"/>
      <c r="N4509" s="36"/>
      <c r="O4509" s="36"/>
      <c r="P4509" s="36"/>
      <c r="Q4509" s="36"/>
      <c r="R4509" s="36"/>
      <c r="S4509" s="36"/>
      <c r="T4509" s="36"/>
      <c r="U4509" s="36"/>
      <c r="V4509" s="36"/>
      <c r="W4509" s="15">
        <f t="shared" si="529"/>
        <v>0</v>
      </c>
      <c r="X4509" s="36"/>
      <c r="Y4509" s="36"/>
      <c r="Z4509" s="36"/>
      <c r="AA4509" s="36"/>
      <c r="AB4509" s="36"/>
      <c r="AC4509" s="36">
        <v>250</v>
      </c>
      <c r="AD4509" s="36"/>
      <c r="AE4509" s="36"/>
      <c r="AF4509" s="36"/>
      <c r="AG4509" s="36"/>
      <c r="AH4509" s="36"/>
      <c r="AI4509" s="36"/>
      <c r="AJ4509" s="15">
        <f t="shared" si="530"/>
        <v>250</v>
      </c>
      <c r="AK4509" s="14"/>
      <c r="AL4509" s="14"/>
      <c r="AM4509" s="14"/>
      <c r="AN4509" s="14"/>
      <c r="AO4509" s="14"/>
      <c r="AP4509" s="14"/>
      <c r="AQ4509" s="14"/>
      <c r="AR4509" s="14"/>
      <c r="AS4509" s="14"/>
      <c r="AT4509" s="14"/>
      <c r="AU4509" s="14"/>
      <c r="AV4509" s="14"/>
      <c r="AW4509" s="15"/>
      <c r="AX4509" s="16"/>
    </row>
    <row r="4510" spans="2:50" x14ac:dyDescent="0.2">
      <c r="B4510" s="7"/>
      <c r="C4510" s="8">
        <v>14771</v>
      </c>
      <c r="D4510" s="9" t="s">
        <v>577</v>
      </c>
      <c r="E4510" s="10" t="str">
        <f t="shared" si="526"/>
        <v>Rancho La Cuchilla No. 46</v>
      </c>
      <c r="F4510" s="10" t="str">
        <f t="shared" si="527"/>
        <v>Cruz López</v>
      </c>
      <c r="G4510" s="8">
        <v>1</v>
      </c>
      <c r="H4510" s="11">
        <v>1200</v>
      </c>
      <c r="I4510" s="12">
        <v>42932</v>
      </c>
      <c r="J4510" s="35">
        <f t="shared" si="528"/>
        <v>0</v>
      </c>
      <c r="K4510" s="36"/>
      <c r="L4510" s="36"/>
      <c r="M4510" s="36"/>
      <c r="N4510" s="36"/>
      <c r="O4510" s="36"/>
      <c r="P4510" s="36"/>
      <c r="Q4510" s="36"/>
      <c r="R4510" s="36"/>
      <c r="S4510" s="36"/>
      <c r="T4510" s="36"/>
      <c r="U4510" s="36"/>
      <c r="V4510" s="36"/>
      <c r="W4510" s="15">
        <f t="shared" si="529"/>
        <v>0</v>
      </c>
      <c r="X4510" s="36"/>
      <c r="Y4510" s="36"/>
      <c r="Z4510" s="36"/>
      <c r="AA4510" s="36"/>
      <c r="AB4510" s="36"/>
      <c r="AC4510" s="36"/>
      <c r="AD4510" s="36">
        <v>400</v>
      </c>
      <c r="AE4510" s="36">
        <v>400</v>
      </c>
      <c r="AF4510" s="36">
        <v>400</v>
      </c>
      <c r="AG4510" s="36"/>
      <c r="AH4510" s="36"/>
      <c r="AI4510" s="36"/>
      <c r="AJ4510" s="15">
        <f t="shared" si="530"/>
        <v>1200</v>
      </c>
      <c r="AK4510" s="14"/>
      <c r="AL4510" s="14"/>
      <c r="AM4510" s="14"/>
      <c r="AN4510" s="14"/>
      <c r="AO4510" s="14"/>
      <c r="AP4510" s="14"/>
      <c r="AQ4510" s="14"/>
      <c r="AR4510" s="14"/>
      <c r="AS4510" s="14"/>
      <c r="AT4510" s="14"/>
      <c r="AU4510" s="14"/>
      <c r="AV4510" s="14"/>
      <c r="AW4510" s="15"/>
      <c r="AX4510" s="16"/>
    </row>
    <row r="4511" spans="2:50" x14ac:dyDescent="0.2">
      <c r="B4511" s="7"/>
      <c r="C4511" s="8">
        <v>14772</v>
      </c>
      <c r="D4511" s="9" t="s">
        <v>126</v>
      </c>
      <c r="E4511" s="10" t="str">
        <f t="shared" si="526"/>
        <v>Rancho Estanzuela No. 65</v>
      </c>
      <c r="F4511" s="10" t="str">
        <f t="shared" si="527"/>
        <v>López Becerril</v>
      </c>
      <c r="G4511" s="8">
        <v>1</v>
      </c>
      <c r="H4511" s="11">
        <v>800</v>
      </c>
      <c r="I4511" s="12">
        <v>42932</v>
      </c>
      <c r="J4511" s="35">
        <f t="shared" si="528"/>
        <v>0</v>
      </c>
      <c r="K4511" s="36"/>
      <c r="L4511" s="36"/>
      <c r="M4511" s="36"/>
      <c r="N4511" s="36"/>
      <c r="O4511" s="36"/>
      <c r="P4511" s="36"/>
      <c r="Q4511" s="36"/>
      <c r="R4511" s="36"/>
      <c r="S4511" s="36"/>
      <c r="T4511" s="36"/>
      <c r="U4511" s="36"/>
      <c r="V4511" s="36"/>
      <c r="W4511" s="15">
        <f t="shared" si="529"/>
        <v>0</v>
      </c>
      <c r="X4511" s="36"/>
      <c r="Y4511" s="36"/>
      <c r="Z4511" s="36"/>
      <c r="AA4511" s="36"/>
      <c r="AB4511" s="36">
        <v>400</v>
      </c>
      <c r="AC4511" s="36">
        <v>400</v>
      </c>
      <c r="AD4511" s="36"/>
      <c r="AE4511" s="36"/>
      <c r="AF4511" s="36"/>
      <c r="AG4511" s="36"/>
      <c r="AH4511" s="36"/>
      <c r="AI4511" s="36"/>
      <c r="AJ4511" s="15">
        <f t="shared" si="530"/>
        <v>800</v>
      </c>
      <c r="AK4511" s="14"/>
      <c r="AL4511" s="14"/>
      <c r="AM4511" s="14"/>
      <c r="AN4511" s="14"/>
      <c r="AO4511" s="14"/>
      <c r="AP4511" s="14"/>
      <c r="AQ4511" s="14"/>
      <c r="AR4511" s="14"/>
      <c r="AS4511" s="14"/>
      <c r="AT4511" s="14"/>
      <c r="AU4511" s="14"/>
      <c r="AV4511" s="14"/>
      <c r="AW4511" s="15"/>
      <c r="AX4511" s="316">
        <f>SUM(H4480:H4511)</f>
        <v>13200</v>
      </c>
    </row>
    <row r="4512" spans="2:50" x14ac:dyDescent="0.2">
      <c r="B4512" s="7"/>
      <c r="C4512" s="8">
        <v>14773</v>
      </c>
      <c r="D4512" s="9" t="s">
        <v>220</v>
      </c>
      <c r="E4512" s="10" t="str">
        <f t="shared" si="526"/>
        <v>Rancho Recoveco No. 3</v>
      </c>
      <c r="F4512" s="10" t="str">
        <f t="shared" si="527"/>
        <v>Garduño</v>
      </c>
      <c r="G4512" s="8">
        <v>1</v>
      </c>
      <c r="H4512" s="315">
        <v>600</v>
      </c>
      <c r="I4512" s="12">
        <v>42937</v>
      </c>
      <c r="J4512" s="35">
        <f t="shared" si="528"/>
        <v>0</v>
      </c>
      <c r="K4512" s="36"/>
      <c r="L4512" s="36"/>
      <c r="M4512" s="36"/>
      <c r="N4512" s="36"/>
      <c r="O4512" s="36"/>
      <c r="P4512" s="36"/>
      <c r="Q4512" s="36"/>
      <c r="R4512" s="36"/>
      <c r="S4512" s="36"/>
      <c r="T4512" s="36"/>
      <c r="U4512" s="36"/>
      <c r="V4512" s="36"/>
      <c r="W4512" s="15">
        <f t="shared" si="529"/>
        <v>0</v>
      </c>
      <c r="X4512" s="36"/>
      <c r="Y4512" s="36"/>
      <c r="Z4512" s="36"/>
      <c r="AA4512" s="36"/>
      <c r="AB4512" s="36"/>
      <c r="AC4512" s="36">
        <v>300</v>
      </c>
      <c r="AD4512" s="36">
        <v>300</v>
      </c>
      <c r="AE4512" s="36"/>
      <c r="AF4512" s="36"/>
      <c r="AG4512" s="36"/>
      <c r="AH4512" s="36"/>
      <c r="AI4512" s="36"/>
      <c r="AJ4512" s="15">
        <f t="shared" si="530"/>
        <v>600</v>
      </c>
      <c r="AK4512" s="14"/>
      <c r="AL4512" s="14"/>
      <c r="AM4512" s="14"/>
      <c r="AN4512" s="14"/>
      <c r="AO4512" s="14"/>
      <c r="AP4512" s="14"/>
      <c r="AQ4512" s="14"/>
      <c r="AR4512" s="14"/>
      <c r="AS4512" s="14"/>
      <c r="AT4512" s="14"/>
      <c r="AU4512" s="14"/>
      <c r="AV4512" s="14"/>
      <c r="AW4512" s="15"/>
      <c r="AX4512" s="16"/>
    </row>
    <row r="4513" spans="2:50" x14ac:dyDescent="0.2">
      <c r="B4513" s="7"/>
      <c r="C4513" s="8">
        <v>14774</v>
      </c>
      <c r="D4513" s="9" t="s">
        <v>253</v>
      </c>
      <c r="E4513" s="10" t="str">
        <f t="shared" si="526"/>
        <v>Rancho Upácuaro No. 75</v>
      </c>
      <c r="F4513" s="10" t="str">
        <f t="shared" si="527"/>
        <v>Montaño Zetina</v>
      </c>
      <c r="G4513" s="8">
        <v>4</v>
      </c>
      <c r="H4513" s="11">
        <v>200</v>
      </c>
      <c r="I4513" s="12">
        <v>42939</v>
      </c>
      <c r="J4513" s="35">
        <f t="shared" si="528"/>
        <v>0</v>
      </c>
      <c r="K4513" s="36"/>
      <c r="L4513" s="36"/>
      <c r="M4513" s="36"/>
      <c r="N4513" s="36"/>
      <c r="O4513" s="36"/>
      <c r="P4513" s="36"/>
      <c r="Q4513" s="36"/>
      <c r="R4513" s="36"/>
      <c r="S4513" s="36"/>
      <c r="T4513" s="36"/>
      <c r="U4513" s="36"/>
      <c r="V4513" s="36"/>
      <c r="W4513" s="15">
        <f t="shared" si="529"/>
        <v>0</v>
      </c>
      <c r="X4513" s="36"/>
      <c r="Y4513" s="36"/>
      <c r="Z4513" s="36"/>
      <c r="AA4513" s="36"/>
      <c r="AB4513" s="36"/>
      <c r="AC4513" s="36"/>
      <c r="AD4513" s="36"/>
      <c r="AE4513" s="36"/>
      <c r="AF4513" s="36"/>
      <c r="AG4513" s="36"/>
      <c r="AH4513" s="36"/>
      <c r="AI4513" s="36"/>
      <c r="AJ4513" s="15">
        <f t="shared" si="530"/>
        <v>0</v>
      </c>
      <c r="AK4513" s="14"/>
      <c r="AL4513" s="14"/>
      <c r="AM4513" s="14"/>
      <c r="AN4513" s="14"/>
      <c r="AO4513" s="14"/>
      <c r="AP4513" s="14"/>
      <c r="AQ4513" s="14"/>
      <c r="AR4513" s="14"/>
      <c r="AS4513" s="14"/>
      <c r="AT4513" s="14"/>
      <c r="AU4513" s="14"/>
      <c r="AV4513" s="14"/>
      <c r="AW4513" s="15"/>
      <c r="AX4513" s="16" t="s">
        <v>4262</v>
      </c>
    </row>
    <row r="4514" spans="2:50" x14ac:dyDescent="0.2">
      <c r="B4514" s="7"/>
      <c r="C4514" s="8">
        <v>14775</v>
      </c>
      <c r="D4514" s="9" t="s">
        <v>159</v>
      </c>
      <c r="E4514" s="10" t="str">
        <f t="shared" ref="E4514:E4535" si="531">IF(D4514=0,"",VLOOKUP(D4514,BASE,2,FALSE))</f>
        <v>Rancho Zinamba No. 24</v>
      </c>
      <c r="F4514" s="10" t="str">
        <f t="shared" ref="F4514:F4535" si="532">IF(D4514=0,"",VLOOKUP(D4514,BASE,3,FALSE))</f>
        <v>Monroy García</v>
      </c>
      <c r="G4514" s="8">
        <v>1</v>
      </c>
      <c r="H4514" s="11">
        <v>400</v>
      </c>
      <c r="I4514" s="12">
        <v>42939</v>
      </c>
      <c r="J4514" s="35">
        <f t="shared" ref="J4514:J4535" si="533">IF(G4514=1,SUM(W4514,AJ4514,-H4514),0)</f>
        <v>0</v>
      </c>
      <c r="K4514" s="36"/>
      <c r="L4514" s="36"/>
      <c r="M4514" s="36"/>
      <c r="N4514" s="36"/>
      <c r="O4514" s="36"/>
      <c r="P4514" s="36"/>
      <c r="Q4514" s="36"/>
      <c r="R4514" s="36"/>
      <c r="S4514" s="36"/>
      <c r="T4514" s="36"/>
      <c r="U4514" s="36"/>
      <c r="V4514" s="36"/>
      <c r="W4514" s="15">
        <f t="shared" ref="W4514:W4535" si="534">SUM(K4514:V4514)</f>
        <v>0</v>
      </c>
      <c r="X4514" s="36"/>
      <c r="Y4514" s="36"/>
      <c r="Z4514" s="36"/>
      <c r="AA4514" s="36"/>
      <c r="AB4514" s="36"/>
      <c r="AC4514" s="36"/>
      <c r="AD4514" s="36">
        <v>400</v>
      </c>
      <c r="AE4514" s="36"/>
      <c r="AF4514" s="36"/>
      <c r="AG4514" s="36"/>
      <c r="AH4514" s="36"/>
      <c r="AI4514" s="36"/>
      <c r="AJ4514" s="15">
        <f t="shared" ref="AJ4514:AJ4535" si="535">SUM(X4514:AI4514)</f>
        <v>400</v>
      </c>
      <c r="AK4514" s="14"/>
      <c r="AL4514" s="14"/>
      <c r="AM4514" s="14"/>
      <c r="AN4514" s="14"/>
      <c r="AO4514" s="14"/>
      <c r="AP4514" s="14"/>
      <c r="AQ4514" s="14"/>
      <c r="AR4514" s="14"/>
      <c r="AS4514" s="14"/>
      <c r="AT4514" s="14"/>
      <c r="AU4514" s="14"/>
      <c r="AV4514" s="14"/>
      <c r="AW4514" s="15"/>
      <c r="AX4514" s="16"/>
    </row>
    <row r="4515" spans="2:50" x14ac:dyDescent="0.2">
      <c r="B4515" s="7"/>
      <c r="C4515" s="8">
        <v>14776</v>
      </c>
      <c r="D4515" s="9"/>
      <c r="E4515" s="10" t="str">
        <f t="shared" si="531"/>
        <v/>
      </c>
      <c r="F4515" s="10" t="str">
        <f t="shared" si="532"/>
        <v/>
      </c>
      <c r="G4515" s="8">
        <v>8</v>
      </c>
      <c r="H4515" s="11"/>
      <c r="I4515" s="12"/>
      <c r="J4515" s="35">
        <f t="shared" si="533"/>
        <v>0</v>
      </c>
      <c r="K4515" s="36"/>
      <c r="L4515" s="36"/>
      <c r="M4515" s="36"/>
      <c r="N4515" s="36"/>
      <c r="O4515" s="36"/>
      <c r="P4515" s="36"/>
      <c r="Q4515" s="36"/>
      <c r="R4515" s="36"/>
      <c r="S4515" s="36"/>
      <c r="T4515" s="36"/>
      <c r="U4515" s="36"/>
      <c r="V4515" s="36"/>
      <c r="W4515" s="15">
        <f t="shared" si="534"/>
        <v>0</v>
      </c>
      <c r="X4515" s="36"/>
      <c r="Y4515" s="36"/>
      <c r="Z4515" s="36"/>
      <c r="AA4515" s="36"/>
      <c r="AB4515" s="36"/>
      <c r="AC4515" s="36"/>
      <c r="AD4515" s="36"/>
      <c r="AE4515" s="36"/>
      <c r="AF4515" s="36"/>
      <c r="AG4515" s="36"/>
      <c r="AH4515" s="36"/>
      <c r="AI4515" s="36"/>
      <c r="AJ4515" s="15">
        <f t="shared" si="535"/>
        <v>0</v>
      </c>
      <c r="AK4515" s="14"/>
      <c r="AL4515" s="14"/>
      <c r="AM4515" s="14"/>
      <c r="AN4515" s="14"/>
      <c r="AO4515" s="14"/>
      <c r="AP4515" s="14"/>
      <c r="AQ4515" s="14"/>
      <c r="AR4515" s="14"/>
      <c r="AS4515" s="14"/>
      <c r="AT4515" s="14"/>
      <c r="AU4515" s="14"/>
      <c r="AV4515" s="14"/>
      <c r="AW4515" s="15"/>
      <c r="AX4515" s="16"/>
    </row>
    <row r="4516" spans="2:50" x14ac:dyDescent="0.2">
      <c r="B4516" s="7"/>
      <c r="C4516" s="8">
        <v>14777</v>
      </c>
      <c r="D4516" s="9" t="s">
        <v>810</v>
      </c>
      <c r="E4516" s="10" t="str">
        <f t="shared" si="531"/>
        <v>Rancho La Cuchilla No. 90</v>
      </c>
      <c r="F4516" s="10" t="str">
        <f t="shared" si="532"/>
        <v>Porras Fuentes</v>
      </c>
      <c r="G4516" s="8">
        <v>5</v>
      </c>
      <c r="H4516" s="11">
        <v>100</v>
      </c>
      <c r="I4516" s="12">
        <v>42939</v>
      </c>
      <c r="J4516" s="35">
        <f t="shared" si="533"/>
        <v>0</v>
      </c>
      <c r="K4516" s="36"/>
      <c r="L4516" s="36"/>
      <c r="M4516" s="36"/>
      <c r="N4516" s="36"/>
      <c r="O4516" s="36"/>
      <c r="P4516" s="36"/>
      <c r="Q4516" s="36"/>
      <c r="R4516" s="36"/>
      <c r="S4516" s="36"/>
      <c r="T4516" s="36"/>
      <c r="U4516" s="36"/>
      <c r="V4516" s="36"/>
      <c r="W4516" s="15">
        <f t="shared" si="534"/>
        <v>0</v>
      </c>
      <c r="X4516" s="36"/>
      <c r="Y4516" s="36"/>
      <c r="Z4516" s="36"/>
      <c r="AA4516" s="36"/>
      <c r="AB4516" s="36"/>
      <c r="AC4516" s="36"/>
      <c r="AD4516" s="36"/>
      <c r="AE4516" s="36"/>
      <c r="AF4516" s="36"/>
      <c r="AG4516" s="36"/>
      <c r="AH4516" s="36"/>
      <c r="AI4516" s="36"/>
      <c r="AJ4516" s="15">
        <f t="shared" si="535"/>
        <v>0</v>
      </c>
      <c r="AK4516" s="14"/>
      <c r="AL4516" s="14"/>
      <c r="AM4516" s="14"/>
      <c r="AN4516" s="14"/>
      <c r="AO4516" s="14"/>
      <c r="AP4516" s="14"/>
      <c r="AQ4516" s="14"/>
      <c r="AR4516" s="14"/>
      <c r="AS4516" s="14"/>
      <c r="AT4516" s="14"/>
      <c r="AU4516" s="14"/>
      <c r="AV4516" s="14"/>
      <c r="AW4516" s="15"/>
      <c r="AX4516" s="16"/>
    </row>
    <row r="4517" spans="2:50" x14ac:dyDescent="0.2">
      <c r="B4517" s="7"/>
      <c r="C4517" s="8">
        <v>14778</v>
      </c>
      <c r="D4517" s="9" t="s">
        <v>3178</v>
      </c>
      <c r="E4517" s="10" t="str">
        <f t="shared" si="531"/>
        <v>Rancho La Cuchilla No. 103</v>
      </c>
      <c r="F4517" s="10" t="str">
        <f t="shared" si="532"/>
        <v>Bernal</v>
      </c>
      <c r="G4517" s="8">
        <v>1</v>
      </c>
      <c r="H4517" s="11">
        <v>500</v>
      </c>
      <c r="I4517" s="12">
        <v>42939</v>
      </c>
      <c r="J4517" s="35">
        <f t="shared" si="533"/>
        <v>0</v>
      </c>
      <c r="K4517" s="36"/>
      <c r="L4517" s="36"/>
      <c r="M4517" s="36"/>
      <c r="N4517" s="36"/>
      <c r="O4517" s="36"/>
      <c r="P4517" s="36"/>
      <c r="Q4517" s="36"/>
      <c r="R4517" s="36"/>
      <c r="S4517" s="36"/>
      <c r="T4517" s="36"/>
      <c r="U4517" s="36"/>
      <c r="V4517" s="36"/>
      <c r="W4517" s="15">
        <f t="shared" si="534"/>
        <v>0</v>
      </c>
      <c r="X4517" s="36"/>
      <c r="Y4517" s="36"/>
      <c r="Z4517" s="36"/>
      <c r="AA4517" s="36"/>
      <c r="AB4517" s="36"/>
      <c r="AC4517" s="36"/>
      <c r="AD4517" s="36"/>
      <c r="AE4517" s="36">
        <v>500</v>
      </c>
      <c r="AF4517" s="36"/>
      <c r="AG4517" s="36"/>
      <c r="AH4517" s="36"/>
      <c r="AI4517" s="36"/>
      <c r="AJ4517" s="15">
        <f t="shared" si="535"/>
        <v>500</v>
      </c>
      <c r="AK4517" s="14"/>
      <c r="AL4517" s="14"/>
      <c r="AM4517" s="14"/>
      <c r="AN4517" s="14"/>
      <c r="AO4517" s="14"/>
      <c r="AP4517" s="14"/>
      <c r="AQ4517" s="14"/>
      <c r="AR4517" s="14"/>
      <c r="AS4517" s="14"/>
      <c r="AT4517" s="14"/>
      <c r="AU4517" s="14"/>
      <c r="AV4517" s="14"/>
      <c r="AW4517" s="15"/>
      <c r="AX4517" s="16"/>
    </row>
    <row r="4518" spans="2:50" x14ac:dyDescent="0.2">
      <c r="B4518" s="7"/>
      <c r="C4518" s="8">
        <v>14779</v>
      </c>
      <c r="D4518" s="9" t="s">
        <v>283</v>
      </c>
      <c r="E4518" s="10" t="str">
        <f t="shared" si="531"/>
        <v>Rancho Estanzuela No. 115</v>
      </c>
      <c r="F4518" s="10" t="str">
        <f t="shared" si="532"/>
        <v>Frías Solórzano</v>
      </c>
      <c r="G4518" s="8">
        <v>1</v>
      </c>
      <c r="H4518" s="11">
        <v>500</v>
      </c>
      <c r="I4518" s="12">
        <v>42939</v>
      </c>
      <c r="J4518" s="35">
        <f t="shared" si="533"/>
        <v>0</v>
      </c>
      <c r="K4518" s="36"/>
      <c r="L4518" s="36"/>
      <c r="M4518" s="36"/>
      <c r="N4518" s="36"/>
      <c r="O4518" s="36"/>
      <c r="P4518" s="36"/>
      <c r="Q4518" s="36"/>
      <c r="R4518" s="36"/>
      <c r="S4518" s="36"/>
      <c r="T4518" s="36"/>
      <c r="U4518" s="36"/>
      <c r="V4518" s="36"/>
      <c r="W4518" s="15">
        <f t="shared" si="534"/>
        <v>0</v>
      </c>
      <c r="X4518" s="36"/>
      <c r="Y4518" s="36"/>
      <c r="Z4518" s="36"/>
      <c r="AA4518" s="36"/>
      <c r="AB4518" s="36"/>
      <c r="AC4518" s="36"/>
      <c r="AD4518" s="36">
        <v>250</v>
      </c>
      <c r="AE4518" s="36">
        <v>250</v>
      </c>
      <c r="AF4518" s="36"/>
      <c r="AG4518" s="36"/>
      <c r="AH4518" s="36"/>
      <c r="AI4518" s="36"/>
      <c r="AJ4518" s="15">
        <f t="shared" si="535"/>
        <v>500</v>
      </c>
      <c r="AK4518" s="14"/>
      <c r="AL4518" s="14"/>
      <c r="AM4518" s="14"/>
      <c r="AN4518" s="14"/>
      <c r="AO4518" s="14"/>
      <c r="AP4518" s="14"/>
      <c r="AQ4518" s="14"/>
      <c r="AR4518" s="14"/>
      <c r="AS4518" s="14"/>
      <c r="AT4518" s="14"/>
      <c r="AU4518" s="14"/>
      <c r="AV4518" s="14"/>
      <c r="AW4518" s="15"/>
      <c r="AX4518" s="16"/>
    </row>
    <row r="4519" spans="2:50" x14ac:dyDescent="0.2">
      <c r="B4519" s="7"/>
      <c r="C4519" s="8">
        <v>14780</v>
      </c>
      <c r="D4519" s="9" t="s">
        <v>452</v>
      </c>
      <c r="E4519" s="10" t="str">
        <f t="shared" si="531"/>
        <v>Rancho Upácuaro No. 78</v>
      </c>
      <c r="F4519" s="10" t="str">
        <f t="shared" si="532"/>
        <v>Villaseñor Carranza</v>
      </c>
      <c r="G4519" s="8">
        <v>3</v>
      </c>
      <c r="H4519" s="11">
        <v>200</v>
      </c>
      <c r="I4519" s="12">
        <v>42939</v>
      </c>
      <c r="J4519" s="35">
        <f t="shared" si="533"/>
        <v>0</v>
      </c>
      <c r="K4519" s="36"/>
      <c r="L4519" s="36"/>
      <c r="M4519" s="36"/>
      <c r="N4519" s="36"/>
      <c r="O4519" s="36"/>
      <c r="P4519" s="36"/>
      <c r="Q4519" s="36"/>
      <c r="R4519" s="36"/>
      <c r="S4519" s="36"/>
      <c r="T4519" s="36"/>
      <c r="U4519" s="36"/>
      <c r="V4519" s="36"/>
      <c r="W4519" s="15">
        <f t="shared" si="534"/>
        <v>0</v>
      </c>
      <c r="X4519" s="36"/>
      <c r="Y4519" s="36"/>
      <c r="Z4519" s="36"/>
      <c r="AA4519" s="36"/>
      <c r="AB4519" s="36"/>
      <c r="AC4519" s="36"/>
      <c r="AD4519" s="36"/>
      <c r="AE4519" s="36"/>
      <c r="AF4519" s="36"/>
      <c r="AG4519" s="36"/>
      <c r="AH4519" s="36"/>
      <c r="AI4519" s="36"/>
      <c r="AJ4519" s="15">
        <f t="shared" si="535"/>
        <v>0</v>
      </c>
      <c r="AK4519" s="14"/>
      <c r="AL4519" s="14"/>
      <c r="AM4519" s="14"/>
      <c r="AN4519" s="14"/>
      <c r="AO4519" s="14"/>
      <c r="AP4519" s="14"/>
      <c r="AQ4519" s="14"/>
      <c r="AR4519" s="14"/>
      <c r="AS4519" s="14"/>
      <c r="AT4519" s="14"/>
      <c r="AU4519" s="14"/>
      <c r="AV4519" s="14"/>
      <c r="AW4519" s="15"/>
      <c r="AX4519" s="16"/>
    </row>
    <row r="4520" spans="2:50" x14ac:dyDescent="0.2">
      <c r="B4520" s="7"/>
      <c r="C4520" s="8">
        <v>14781</v>
      </c>
      <c r="D4520" s="9" t="s">
        <v>814</v>
      </c>
      <c r="E4520" s="10" t="str">
        <f t="shared" si="531"/>
        <v>Rancho Landero No. 47</v>
      </c>
      <c r="F4520" s="10" t="str">
        <f t="shared" si="532"/>
        <v>García González</v>
      </c>
      <c r="G4520" s="8">
        <v>3</v>
      </c>
      <c r="H4520" s="11">
        <v>200</v>
      </c>
      <c r="I4520" s="12">
        <v>42939</v>
      </c>
      <c r="J4520" s="35">
        <f t="shared" si="533"/>
        <v>0</v>
      </c>
      <c r="K4520" s="36"/>
      <c r="L4520" s="36"/>
      <c r="M4520" s="36"/>
      <c r="N4520" s="36"/>
      <c r="O4520" s="36"/>
      <c r="P4520" s="36"/>
      <c r="Q4520" s="36"/>
      <c r="R4520" s="36"/>
      <c r="S4520" s="36"/>
      <c r="T4520" s="36"/>
      <c r="U4520" s="36"/>
      <c r="V4520" s="36"/>
      <c r="W4520" s="15">
        <f t="shared" si="534"/>
        <v>0</v>
      </c>
      <c r="X4520" s="36"/>
      <c r="Y4520" s="36"/>
      <c r="Z4520" s="36"/>
      <c r="AA4520" s="36"/>
      <c r="AB4520" s="36"/>
      <c r="AC4520" s="36"/>
      <c r="AD4520" s="36"/>
      <c r="AE4520" s="36"/>
      <c r="AF4520" s="36"/>
      <c r="AG4520" s="36"/>
      <c r="AH4520" s="36"/>
      <c r="AI4520" s="36"/>
      <c r="AJ4520" s="15">
        <f t="shared" si="535"/>
        <v>0</v>
      </c>
      <c r="AK4520" s="14"/>
      <c r="AL4520" s="14"/>
      <c r="AM4520" s="14"/>
      <c r="AN4520" s="14"/>
      <c r="AO4520" s="14"/>
      <c r="AP4520" s="14"/>
      <c r="AQ4520" s="14"/>
      <c r="AR4520" s="14"/>
      <c r="AS4520" s="14"/>
      <c r="AT4520" s="14"/>
      <c r="AU4520" s="14"/>
      <c r="AV4520" s="14"/>
      <c r="AW4520" s="15"/>
      <c r="AX4520" s="16"/>
    </row>
    <row r="4521" spans="2:50" x14ac:dyDescent="0.2">
      <c r="B4521" s="7"/>
      <c r="C4521" s="8">
        <v>14782</v>
      </c>
      <c r="D4521" s="9" t="s">
        <v>384</v>
      </c>
      <c r="E4521" s="10" t="str">
        <f t="shared" si="531"/>
        <v>Rancho Zinamba No. 88</v>
      </c>
      <c r="F4521" s="10" t="str">
        <f t="shared" si="532"/>
        <v>Martínez</v>
      </c>
      <c r="G4521" s="8">
        <v>1</v>
      </c>
      <c r="H4521" s="11">
        <v>300</v>
      </c>
      <c r="I4521" s="12">
        <v>42939</v>
      </c>
      <c r="J4521" s="35">
        <f t="shared" si="533"/>
        <v>0</v>
      </c>
      <c r="K4521" s="36"/>
      <c r="L4521" s="36"/>
      <c r="M4521" s="36"/>
      <c r="N4521" s="36"/>
      <c r="O4521" s="36"/>
      <c r="P4521" s="36"/>
      <c r="Q4521" s="36"/>
      <c r="R4521" s="36"/>
      <c r="S4521" s="36"/>
      <c r="T4521" s="36"/>
      <c r="U4521" s="36"/>
      <c r="V4521" s="36"/>
      <c r="W4521" s="15">
        <f t="shared" si="534"/>
        <v>0</v>
      </c>
      <c r="X4521" s="36"/>
      <c r="Y4521" s="36"/>
      <c r="Z4521" s="36"/>
      <c r="AA4521" s="36"/>
      <c r="AB4521" s="36"/>
      <c r="AC4521" s="36"/>
      <c r="AD4521" s="36">
        <v>300</v>
      </c>
      <c r="AE4521" s="36"/>
      <c r="AF4521" s="36"/>
      <c r="AG4521" s="36"/>
      <c r="AH4521" s="36"/>
      <c r="AI4521" s="36"/>
      <c r="AJ4521" s="15">
        <f t="shared" si="535"/>
        <v>300</v>
      </c>
      <c r="AK4521" s="14"/>
      <c r="AL4521" s="14"/>
      <c r="AM4521" s="14"/>
      <c r="AN4521" s="14"/>
      <c r="AO4521" s="14"/>
      <c r="AP4521" s="14"/>
      <c r="AQ4521" s="14"/>
      <c r="AR4521" s="14"/>
      <c r="AS4521" s="14"/>
      <c r="AT4521" s="14"/>
      <c r="AU4521" s="14"/>
      <c r="AV4521" s="14"/>
      <c r="AW4521" s="15"/>
      <c r="AX4521" s="16"/>
    </row>
    <row r="4522" spans="2:50" x14ac:dyDescent="0.2">
      <c r="B4522" s="7"/>
      <c r="C4522" s="8">
        <v>14783</v>
      </c>
      <c r="D4522" s="9" t="s">
        <v>58</v>
      </c>
      <c r="E4522" s="10" t="str">
        <f t="shared" si="531"/>
        <v>Rancho Landero No. 19</v>
      </c>
      <c r="F4522" s="10" t="str">
        <f t="shared" si="532"/>
        <v>Becerril Amaya</v>
      </c>
      <c r="G4522" s="8">
        <v>1</v>
      </c>
      <c r="H4522" s="11">
        <v>600</v>
      </c>
      <c r="I4522" s="12">
        <v>42939</v>
      </c>
      <c r="J4522" s="35">
        <f t="shared" si="533"/>
        <v>0</v>
      </c>
      <c r="K4522" s="36"/>
      <c r="L4522" s="36"/>
      <c r="M4522" s="36"/>
      <c r="N4522" s="36"/>
      <c r="O4522" s="36"/>
      <c r="P4522" s="36"/>
      <c r="Q4522" s="36"/>
      <c r="R4522" s="36"/>
      <c r="S4522" s="36"/>
      <c r="T4522" s="36"/>
      <c r="U4522" s="36"/>
      <c r="V4522" s="36"/>
      <c r="W4522" s="15">
        <f t="shared" si="534"/>
        <v>0</v>
      </c>
      <c r="X4522" s="36"/>
      <c r="Y4522" s="36"/>
      <c r="Z4522" s="36"/>
      <c r="AA4522" s="36"/>
      <c r="AB4522" s="36"/>
      <c r="AC4522" s="36">
        <v>300</v>
      </c>
      <c r="AD4522" s="36">
        <v>300</v>
      </c>
      <c r="AE4522" s="36"/>
      <c r="AF4522" s="36"/>
      <c r="AG4522" s="36"/>
      <c r="AH4522" s="36"/>
      <c r="AI4522" s="36"/>
      <c r="AJ4522" s="15">
        <f t="shared" si="535"/>
        <v>600</v>
      </c>
      <c r="AK4522" s="14"/>
      <c r="AL4522" s="14"/>
      <c r="AM4522" s="14"/>
      <c r="AN4522" s="14"/>
      <c r="AO4522" s="14"/>
      <c r="AP4522" s="14"/>
      <c r="AQ4522" s="14"/>
      <c r="AR4522" s="14"/>
      <c r="AS4522" s="14"/>
      <c r="AT4522" s="14"/>
      <c r="AU4522" s="14"/>
      <c r="AV4522" s="14"/>
      <c r="AW4522" s="15"/>
      <c r="AX4522" s="16"/>
    </row>
    <row r="4523" spans="2:50" x14ac:dyDescent="0.2">
      <c r="B4523" s="7"/>
      <c r="C4523" s="8">
        <v>14784</v>
      </c>
      <c r="D4523" s="9" t="s">
        <v>693</v>
      </c>
      <c r="E4523" s="10" t="str">
        <f t="shared" ref="E4523:E4530" si="536">IF(D4523=0,"",VLOOKUP(D4523,BASE,2,FALSE))</f>
        <v>Rancho Romeral No. 9, B</v>
      </c>
      <c r="F4523" s="10" t="str">
        <f t="shared" ref="F4523:F4530" si="537">IF(D4523=0,"",VLOOKUP(D4523,BASE,3,FALSE))</f>
        <v>Morales Macías</v>
      </c>
      <c r="G4523" s="8">
        <v>1</v>
      </c>
      <c r="H4523" s="11">
        <v>450</v>
      </c>
      <c r="I4523" s="12">
        <v>42939</v>
      </c>
      <c r="J4523" s="35">
        <f t="shared" ref="J4523:J4530" si="538">IF(G4523=1,SUM(W4523,AJ4523,-H4523),0)</f>
        <v>0</v>
      </c>
      <c r="K4523" s="36"/>
      <c r="L4523" s="36"/>
      <c r="M4523" s="36"/>
      <c r="N4523" s="36"/>
      <c r="O4523" s="36"/>
      <c r="P4523" s="36"/>
      <c r="Q4523" s="36"/>
      <c r="R4523" s="36"/>
      <c r="S4523" s="36"/>
      <c r="T4523" s="36"/>
      <c r="U4523" s="36"/>
      <c r="V4523" s="36"/>
      <c r="W4523" s="15">
        <f t="shared" ref="W4523:W4530" si="539">SUM(K4523:V4523)</f>
        <v>0</v>
      </c>
      <c r="X4523" s="36"/>
      <c r="Y4523" s="36"/>
      <c r="Z4523" s="36"/>
      <c r="AA4523" s="36"/>
      <c r="AB4523" s="36">
        <v>150</v>
      </c>
      <c r="AC4523" s="36">
        <v>150</v>
      </c>
      <c r="AD4523" s="36">
        <v>150</v>
      </c>
      <c r="AE4523" s="36"/>
      <c r="AF4523" s="36"/>
      <c r="AG4523" s="36"/>
      <c r="AH4523" s="36"/>
      <c r="AI4523" s="36"/>
      <c r="AJ4523" s="15">
        <f t="shared" ref="AJ4523:AJ4530" si="540">SUM(X4523:AI4523)</f>
        <v>450</v>
      </c>
      <c r="AK4523" s="14"/>
      <c r="AL4523" s="14"/>
      <c r="AM4523" s="14"/>
      <c r="AN4523" s="14"/>
      <c r="AO4523" s="14"/>
      <c r="AP4523" s="14"/>
      <c r="AQ4523" s="14"/>
      <c r="AR4523" s="14"/>
      <c r="AS4523" s="14"/>
      <c r="AT4523" s="14"/>
      <c r="AU4523" s="14"/>
      <c r="AV4523" s="14"/>
      <c r="AW4523" s="15"/>
      <c r="AX4523" s="16"/>
    </row>
    <row r="4524" spans="2:50" x14ac:dyDescent="0.2">
      <c r="B4524" s="7"/>
      <c r="C4524" s="8">
        <v>14785</v>
      </c>
      <c r="D4524" s="9" t="s">
        <v>1026</v>
      </c>
      <c r="E4524" s="10" t="str">
        <f t="shared" si="536"/>
        <v>Rancho Estanzuela No. 119, 2</v>
      </c>
      <c r="F4524" s="10" t="str">
        <f t="shared" si="537"/>
        <v>Lòpez Tovar</v>
      </c>
      <c r="G4524" s="8">
        <v>1</v>
      </c>
      <c r="H4524" s="11">
        <v>600</v>
      </c>
      <c r="I4524" s="12">
        <v>42939</v>
      </c>
      <c r="J4524" s="35">
        <f t="shared" si="538"/>
        <v>0</v>
      </c>
      <c r="K4524" s="36"/>
      <c r="L4524" s="36"/>
      <c r="M4524" s="36"/>
      <c r="N4524" s="36"/>
      <c r="O4524" s="36"/>
      <c r="P4524" s="36"/>
      <c r="Q4524" s="36"/>
      <c r="R4524" s="36"/>
      <c r="S4524" s="36"/>
      <c r="T4524" s="36"/>
      <c r="U4524" s="36"/>
      <c r="V4524" s="36"/>
      <c r="W4524" s="15">
        <f t="shared" si="539"/>
        <v>0</v>
      </c>
      <c r="X4524" s="36"/>
      <c r="Y4524" s="36"/>
      <c r="Z4524" s="36"/>
      <c r="AA4524" s="36"/>
      <c r="AB4524" s="36">
        <v>200</v>
      </c>
      <c r="AC4524" s="36">
        <v>200</v>
      </c>
      <c r="AD4524" s="36">
        <v>200</v>
      </c>
      <c r="AE4524" s="36"/>
      <c r="AF4524" s="36"/>
      <c r="AG4524" s="36"/>
      <c r="AH4524" s="36"/>
      <c r="AI4524" s="36"/>
      <c r="AJ4524" s="15">
        <f t="shared" si="540"/>
        <v>600</v>
      </c>
      <c r="AK4524" s="14"/>
      <c r="AL4524" s="14"/>
      <c r="AM4524" s="14"/>
      <c r="AN4524" s="14"/>
      <c r="AO4524" s="14"/>
      <c r="AP4524" s="14"/>
      <c r="AQ4524" s="14"/>
      <c r="AR4524" s="14"/>
      <c r="AS4524" s="14"/>
      <c r="AT4524" s="14"/>
      <c r="AU4524" s="14"/>
      <c r="AV4524" s="14"/>
      <c r="AW4524" s="15"/>
      <c r="AX4524" s="16"/>
    </row>
    <row r="4525" spans="2:50" x14ac:dyDescent="0.2">
      <c r="B4525" s="7"/>
      <c r="C4525" s="8">
        <v>14786</v>
      </c>
      <c r="D4525" s="9" t="s">
        <v>544</v>
      </c>
      <c r="E4525" s="10" t="str">
        <f t="shared" si="536"/>
        <v>Rancho Estanzuela No. 89</v>
      </c>
      <c r="F4525" s="10" t="str">
        <f t="shared" si="537"/>
        <v>Romero Ortiz</v>
      </c>
      <c r="G4525" s="8">
        <v>3</v>
      </c>
      <c r="H4525" s="11">
        <v>200</v>
      </c>
      <c r="I4525" s="12">
        <v>42939</v>
      </c>
      <c r="J4525" s="35">
        <f t="shared" si="538"/>
        <v>0</v>
      </c>
      <c r="K4525" s="36"/>
      <c r="L4525" s="36"/>
      <c r="M4525" s="36"/>
      <c r="N4525" s="36"/>
      <c r="O4525" s="36"/>
      <c r="P4525" s="36"/>
      <c r="Q4525" s="36"/>
      <c r="R4525" s="36"/>
      <c r="S4525" s="36"/>
      <c r="T4525" s="36"/>
      <c r="U4525" s="36"/>
      <c r="V4525" s="36"/>
      <c r="W4525" s="15">
        <f t="shared" si="539"/>
        <v>0</v>
      </c>
      <c r="X4525" s="36"/>
      <c r="Y4525" s="36"/>
      <c r="Z4525" s="36"/>
      <c r="AA4525" s="36"/>
      <c r="AB4525" s="36"/>
      <c r="AC4525" s="36"/>
      <c r="AD4525" s="36"/>
      <c r="AE4525" s="36"/>
      <c r="AF4525" s="36"/>
      <c r="AG4525" s="36"/>
      <c r="AH4525" s="36"/>
      <c r="AI4525" s="36"/>
      <c r="AJ4525" s="15">
        <f t="shared" si="540"/>
        <v>0</v>
      </c>
      <c r="AK4525" s="14"/>
      <c r="AL4525" s="14"/>
      <c r="AM4525" s="14"/>
      <c r="AN4525" s="14"/>
      <c r="AO4525" s="14"/>
      <c r="AP4525" s="14"/>
      <c r="AQ4525" s="14"/>
      <c r="AR4525" s="14"/>
      <c r="AS4525" s="14"/>
      <c r="AT4525" s="14"/>
      <c r="AU4525" s="14"/>
      <c r="AV4525" s="14"/>
      <c r="AW4525" s="15"/>
      <c r="AX4525" s="16"/>
    </row>
    <row r="4526" spans="2:50" x14ac:dyDescent="0.2">
      <c r="B4526" s="7"/>
      <c r="C4526" s="8">
        <v>14787</v>
      </c>
      <c r="D4526" s="9" t="s">
        <v>183</v>
      </c>
      <c r="E4526" s="10" t="str">
        <f t="shared" si="536"/>
        <v>Rancho La Cuchilla No. 54</v>
      </c>
      <c r="F4526" s="10" t="str">
        <f t="shared" si="537"/>
        <v>Mendoza León</v>
      </c>
      <c r="G4526" s="8">
        <v>1</v>
      </c>
      <c r="H4526" s="11">
        <v>400</v>
      </c>
      <c r="I4526" s="12">
        <v>42939</v>
      </c>
      <c r="J4526" s="35">
        <f t="shared" si="538"/>
        <v>0</v>
      </c>
      <c r="K4526" s="36"/>
      <c r="L4526" s="36"/>
      <c r="M4526" s="36"/>
      <c r="N4526" s="36"/>
      <c r="O4526" s="36"/>
      <c r="P4526" s="36"/>
      <c r="Q4526" s="36"/>
      <c r="R4526" s="36"/>
      <c r="S4526" s="36"/>
      <c r="T4526" s="36"/>
      <c r="U4526" s="36"/>
      <c r="V4526" s="36"/>
      <c r="W4526" s="15">
        <f t="shared" si="539"/>
        <v>0</v>
      </c>
      <c r="X4526" s="36"/>
      <c r="Y4526" s="36"/>
      <c r="Z4526" s="36"/>
      <c r="AA4526" s="36"/>
      <c r="AB4526" s="36"/>
      <c r="AC4526" s="36">
        <v>400</v>
      </c>
      <c r="AD4526" s="36"/>
      <c r="AE4526" s="36"/>
      <c r="AF4526" s="36"/>
      <c r="AG4526" s="36"/>
      <c r="AH4526" s="36"/>
      <c r="AI4526" s="36"/>
      <c r="AJ4526" s="15">
        <f t="shared" si="540"/>
        <v>400</v>
      </c>
      <c r="AK4526" s="14"/>
      <c r="AL4526" s="14"/>
      <c r="AM4526" s="14"/>
      <c r="AN4526" s="14"/>
      <c r="AO4526" s="14"/>
      <c r="AP4526" s="14"/>
      <c r="AQ4526" s="14"/>
      <c r="AR4526" s="14"/>
      <c r="AS4526" s="14"/>
      <c r="AT4526" s="14"/>
      <c r="AU4526" s="14"/>
      <c r="AV4526" s="14"/>
      <c r="AW4526" s="15"/>
      <c r="AX4526" s="16"/>
    </row>
    <row r="4527" spans="2:50" x14ac:dyDescent="0.2">
      <c r="B4527" s="7"/>
      <c r="C4527" s="8">
        <v>14788</v>
      </c>
      <c r="D4527" s="9" t="s">
        <v>361</v>
      </c>
      <c r="E4527" s="10" t="str">
        <f t="shared" si="536"/>
        <v>Rancho Upácuaro No. 101</v>
      </c>
      <c r="F4527" s="10" t="str">
        <f t="shared" si="537"/>
        <v>Chávez, Arturo</v>
      </c>
      <c r="G4527" s="8">
        <v>4</v>
      </c>
      <c r="H4527" s="11">
        <v>200</v>
      </c>
      <c r="I4527" s="12">
        <v>42939</v>
      </c>
      <c r="J4527" s="35">
        <f t="shared" si="538"/>
        <v>0</v>
      </c>
      <c r="K4527" s="36"/>
      <c r="L4527" s="36"/>
      <c r="M4527" s="36"/>
      <c r="N4527" s="36"/>
      <c r="O4527" s="36"/>
      <c r="P4527" s="36"/>
      <c r="Q4527" s="36"/>
      <c r="R4527" s="36"/>
      <c r="S4527" s="36"/>
      <c r="T4527" s="36"/>
      <c r="U4527" s="36"/>
      <c r="V4527" s="36"/>
      <c r="W4527" s="15">
        <f t="shared" si="539"/>
        <v>0</v>
      </c>
      <c r="X4527" s="36"/>
      <c r="Y4527" s="36"/>
      <c r="Z4527" s="36"/>
      <c r="AA4527" s="36"/>
      <c r="AB4527" s="36"/>
      <c r="AC4527" s="36"/>
      <c r="AD4527" s="36"/>
      <c r="AE4527" s="36"/>
      <c r="AF4527" s="36"/>
      <c r="AG4527" s="36"/>
      <c r="AH4527" s="36"/>
      <c r="AI4527" s="36"/>
      <c r="AJ4527" s="15">
        <f t="shared" si="540"/>
        <v>0</v>
      </c>
      <c r="AK4527" s="14"/>
      <c r="AL4527" s="14"/>
      <c r="AM4527" s="14"/>
      <c r="AN4527" s="14"/>
      <c r="AO4527" s="14"/>
      <c r="AP4527" s="14"/>
      <c r="AQ4527" s="14"/>
      <c r="AR4527" s="14"/>
      <c r="AS4527" s="14"/>
      <c r="AT4527" s="14"/>
      <c r="AU4527" s="14"/>
      <c r="AV4527" s="14"/>
      <c r="AW4527" s="15"/>
      <c r="AX4527" s="16" t="s">
        <v>4263</v>
      </c>
    </row>
    <row r="4528" spans="2:50" x14ac:dyDescent="0.2">
      <c r="B4528" s="7"/>
      <c r="C4528" s="8">
        <v>14789</v>
      </c>
      <c r="D4528" s="9" t="s">
        <v>497</v>
      </c>
      <c r="E4528" s="10" t="str">
        <f t="shared" si="536"/>
        <v>Rancho La Cuchilla No. 94</v>
      </c>
      <c r="F4528" s="10" t="str">
        <f t="shared" si="537"/>
        <v>Sánchez Márquez</v>
      </c>
      <c r="G4528" s="8">
        <v>1</v>
      </c>
      <c r="H4528" s="11">
        <v>400</v>
      </c>
      <c r="I4528" s="12">
        <v>42939</v>
      </c>
      <c r="J4528" s="35">
        <f t="shared" si="538"/>
        <v>0</v>
      </c>
      <c r="K4528" s="36"/>
      <c r="L4528" s="36"/>
      <c r="M4528" s="36"/>
      <c r="N4528" s="36"/>
      <c r="O4528" s="36"/>
      <c r="P4528" s="36"/>
      <c r="Q4528" s="36"/>
      <c r="R4528" s="36"/>
      <c r="S4528" s="36"/>
      <c r="T4528" s="36"/>
      <c r="U4528" s="36"/>
      <c r="V4528" s="36"/>
      <c r="W4528" s="15">
        <f t="shared" si="539"/>
        <v>0</v>
      </c>
      <c r="X4528" s="36"/>
      <c r="Y4528" s="36"/>
      <c r="Z4528" s="36"/>
      <c r="AA4528" s="36"/>
      <c r="AB4528" s="36"/>
      <c r="AC4528" s="36"/>
      <c r="AD4528" s="36">
        <v>400</v>
      </c>
      <c r="AE4528" s="36"/>
      <c r="AF4528" s="36"/>
      <c r="AG4528" s="36"/>
      <c r="AH4528" s="36"/>
      <c r="AI4528" s="36"/>
      <c r="AJ4528" s="15">
        <f t="shared" si="540"/>
        <v>400</v>
      </c>
      <c r="AK4528" s="14"/>
      <c r="AL4528" s="14"/>
      <c r="AM4528" s="14"/>
      <c r="AN4528" s="14"/>
      <c r="AO4528" s="14"/>
      <c r="AP4528" s="14"/>
      <c r="AQ4528" s="14"/>
      <c r="AR4528" s="14"/>
      <c r="AS4528" s="14"/>
      <c r="AT4528" s="14"/>
      <c r="AU4528" s="14"/>
      <c r="AV4528" s="14"/>
      <c r="AW4528" s="15"/>
      <c r="AX4528" s="16"/>
    </row>
    <row r="4529" spans="2:50" x14ac:dyDescent="0.2">
      <c r="B4529" s="7"/>
      <c r="C4529" s="8">
        <v>14790</v>
      </c>
      <c r="D4529" s="9" t="s">
        <v>286</v>
      </c>
      <c r="E4529" s="10" t="str">
        <f t="shared" si="536"/>
        <v>Rancho Zinamba No. 20</v>
      </c>
      <c r="F4529" s="10" t="str">
        <f t="shared" si="537"/>
        <v>Cruz Vallejo</v>
      </c>
      <c r="G4529" s="8">
        <v>1</v>
      </c>
      <c r="H4529" s="11">
        <v>400</v>
      </c>
      <c r="I4529" s="12">
        <v>42939</v>
      </c>
      <c r="J4529" s="35">
        <f t="shared" si="538"/>
        <v>0</v>
      </c>
      <c r="K4529" s="36"/>
      <c r="L4529" s="36"/>
      <c r="M4529" s="36"/>
      <c r="N4529" s="36"/>
      <c r="O4529" s="36"/>
      <c r="P4529" s="36"/>
      <c r="Q4529" s="36"/>
      <c r="R4529" s="36"/>
      <c r="S4529" s="36"/>
      <c r="T4529" s="36"/>
      <c r="U4529" s="36"/>
      <c r="V4529" s="36"/>
      <c r="W4529" s="15">
        <f t="shared" si="539"/>
        <v>0</v>
      </c>
      <c r="X4529" s="36"/>
      <c r="Y4529" s="36"/>
      <c r="Z4529" s="36"/>
      <c r="AA4529" s="36"/>
      <c r="AB4529" s="36"/>
      <c r="AC4529" s="36"/>
      <c r="AD4529" s="36">
        <v>400</v>
      </c>
      <c r="AE4529" s="36"/>
      <c r="AF4529" s="36"/>
      <c r="AG4529" s="36"/>
      <c r="AH4529" s="36"/>
      <c r="AI4529" s="36"/>
      <c r="AJ4529" s="15">
        <f t="shared" si="540"/>
        <v>400</v>
      </c>
      <c r="AK4529" s="14"/>
      <c r="AL4529" s="14"/>
      <c r="AM4529" s="14"/>
      <c r="AN4529" s="14"/>
      <c r="AO4529" s="14"/>
      <c r="AP4529" s="14"/>
      <c r="AQ4529" s="14"/>
      <c r="AR4529" s="14"/>
      <c r="AS4529" s="14"/>
      <c r="AT4529" s="14"/>
      <c r="AU4529" s="14"/>
      <c r="AV4529" s="14"/>
      <c r="AW4529" s="15"/>
      <c r="AX4529" s="16"/>
    </row>
    <row r="4530" spans="2:50" x14ac:dyDescent="0.2">
      <c r="B4530" s="7"/>
      <c r="C4530" s="8">
        <v>14790</v>
      </c>
      <c r="D4530" s="9" t="s">
        <v>286</v>
      </c>
      <c r="E4530" s="10" t="str">
        <f t="shared" si="536"/>
        <v>Rancho Zinamba No. 20</v>
      </c>
      <c r="F4530" s="10" t="str">
        <f t="shared" si="537"/>
        <v>Cruz Vallejo</v>
      </c>
      <c r="G4530" s="8">
        <v>3</v>
      </c>
      <c r="H4530" s="11">
        <v>200</v>
      </c>
      <c r="I4530" s="12">
        <v>42939</v>
      </c>
      <c r="J4530" s="35">
        <f t="shared" si="538"/>
        <v>0</v>
      </c>
      <c r="K4530" s="36"/>
      <c r="L4530" s="36"/>
      <c r="M4530" s="36"/>
      <c r="N4530" s="36"/>
      <c r="O4530" s="36"/>
      <c r="P4530" s="36"/>
      <c r="Q4530" s="36"/>
      <c r="R4530" s="36"/>
      <c r="S4530" s="36"/>
      <c r="T4530" s="36"/>
      <c r="U4530" s="36"/>
      <c r="V4530" s="36"/>
      <c r="W4530" s="15">
        <f t="shared" si="539"/>
        <v>0</v>
      </c>
      <c r="X4530" s="36"/>
      <c r="Y4530" s="36"/>
      <c r="Z4530" s="36"/>
      <c r="AA4530" s="36"/>
      <c r="AB4530" s="36"/>
      <c r="AC4530" s="36"/>
      <c r="AD4530" s="36"/>
      <c r="AE4530" s="36"/>
      <c r="AF4530" s="36"/>
      <c r="AG4530" s="36"/>
      <c r="AH4530" s="36"/>
      <c r="AI4530" s="36"/>
      <c r="AJ4530" s="15">
        <f t="shared" si="540"/>
        <v>0</v>
      </c>
      <c r="AK4530" s="14"/>
      <c r="AL4530" s="14"/>
      <c r="AM4530" s="14"/>
      <c r="AN4530" s="14"/>
      <c r="AO4530" s="14"/>
      <c r="AP4530" s="14"/>
      <c r="AQ4530" s="14"/>
      <c r="AR4530" s="14"/>
      <c r="AS4530" s="14"/>
      <c r="AT4530" s="14"/>
      <c r="AU4530" s="14"/>
      <c r="AV4530" s="14"/>
      <c r="AW4530" s="15"/>
      <c r="AX4530" s="16"/>
    </row>
    <row r="4531" spans="2:50" x14ac:dyDescent="0.2">
      <c r="B4531" s="7"/>
      <c r="C4531" s="8">
        <v>14791</v>
      </c>
      <c r="D4531" s="9" t="s">
        <v>313</v>
      </c>
      <c r="E4531" s="10" t="str">
        <f t="shared" si="531"/>
        <v>Rancho La Cuchilla No. 87</v>
      </c>
      <c r="F4531" s="10" t="str">
        <f t="shared" si="532"/>
        <v>Villanueva S.</v>
      </c>
      <c r="G4531" s="8">
        <v>1</v>
      </c>
      <c r="H4531" s="11">
        <v>400</v>
      </c>
      <c r="I4531" s="12">
        <v>42939</v>
      </c>
      <c r="J4531" s="35">
        <f t="shared" si="533"/>
        <v>0</v>
      </c>
      <c r="K4531" s="36"/>
      <c r="L4531" s="36"/>
      <c r="M4531" s="36"/>
      <c r="N4531" s="36"/>
      <c r="O4531" s="36"/>
      <c r="P4531" s="36"/>
      <c r="Q4531" s="36"/>
      <c r="R4531" s="36"/>
      <c r="S4531" s="36"/>
      <c r="T4531" s="36"/>
      <c r="U4531" s="36"/>
      <c r="V4531" s="36"/>
      <c r="W4531" s="15">
        <f t="shared" si="534"/>
        <v>0</v>
      </c>
      <c r="X4531" s="36"/>
      <c r="Y4531" s="36"/>
      <c r="Z4531" s="36"/>
      <c r="AA4531" s="36"/>
      <c r="AB4531" s="36"/>
      <c r="AC4531" s="36"/>
      <c r="AD4531" s="36">
        <v>400</v>
      </c>
      <c r="AE4531" s="36"/>
      <c r="AF4531" s="36"/>
      <c r="AG4531" s="36"/>
      <c r="AH4531" s="36"/>
      <c r="AI4531" s="36"/>
      <c r="AJ4531" s="15">
        <f t="shared" si="535"/>
        <v>400</v>
      </c>
      <c r="AK4531" s="14"/>
      <c r="AL4531" s="14"/>
      <c r="AM4531" s="14"/>
      <c r="AN4531" s="14"/>
      <c r="AO4531" s="14"/>
      <c r="AP4531" s="14"/>
      <c r="AQ4531" s="14"/>
      <c r="AR4531" s="14"/>
      <c r="AS4531" s="14"/>
      <c r="AT4531" s="14"/>
      <c r="AU4531" s="14"/>
      <c r="AV4531" s="14"/>
      <c r="AW4531" s="15"/>
      <c r="AX4531" s="16"/>
    </row>
    <row r="4532" spans="2:50" x14ac:dyDescent="0.2">
      <c r="B4532" s="7"/>
      <c r="C4532" s="8">
        <v>14792</v>
      </c>
      <c r="D4532" s="9" t="s">
        <v>277</v>
      </c>
      <c r="E4532" s="10" t="str">
        <f t="shared" si="531"/>
        <v>Rancho Estanzuela No. 7, A</v>
      </c>
      <c r="F4532" s="10" t="str">
        <f t="shared" si="532"/>
        <v>Herrera Izquierdo</v>
      </c>
      <c r="G4532" s="8">
        <v>1</v>
      </c>
      <c r="H4532" s="11">
        <v>200</v>
      </c>
      <c r="I4532" s="12">
        <v>42939</v>
      </c>
      <c r="J4532" s="35">
        <f t="shared" si="533"/>
        <v>0</v>
      </c>
      <c r="K4532" s="36"/>
      <c r="L4532" s="36"/>
      <c r="M4532" s="36"/>
      <c r="N4532" s="36"/>
      <c r="O4532" s="36"/>
      <c r="P4532" s="36"/>
      <c r="Q4532" s="36"/>
      <c r="R4532" s="36"/>
      <c r="S4532" s="36"/>
      <c r="T4532" s="36"/>
      <c r="U4532" s="36"/>
      <c r="V4532" s="36"/>
      <c r="W4532" s="15">
        <f t="shared" si="534"/>
        <v>0</v>
      </c>
      <c r="X4532" s="36"/>
      <c r="Y4532" s="36"/>
      <c r="Z4532" s="36"/>
      <c r="AA4532" s="36"/>
      <c r="AB4532" s="36"/>
      <c r="AC4532" s="36"/>
      <c r="AD4532" s="36">
        <v>200</v>
      </c>
      <c r="AE4532" s="36"/>
      <c r="AF4532" s="36"/>
      <c r="AG4532" s="36"/>
      <c r="AH4532" s="36"/>
      <c r="AI4532" s="36"/>
      <c r="AJ4532" s="15">
        <f t="shared" si="535"/>
        <v>200</v>
      </c>
      <c r="AK4532" s="14"/>
      <c r="AL4532" s="14"/>
      <c r="AM4532" s="14"/>
      <c r="AN4532" s="14"/>
      <c r="AO4532" s="14"/>
      <c r="AP4532" s="14"/>
      <c r="AQ4532" s="14"/>
      <c r="AR4532" s="14"/>
      <c r="AS4532" s="14"/>
      <c r="AT4532" s="14"/>
      <c r="AU4532" s="14"/>
      <c r="AV4532" s="14"/>
      <c r="AW4532" s="15"/>
      <c r="AX4532" s="16"/>
    </row>
    <row r="4533" spans="2:50" x14ac:dyDescent="0.2">
      <c r="B4533" s="7"/>
      <c r="C4533" s="8">
        <v>14793</v>
      </c>
      <c r="D4533" s="9" t="s">
        <v>719</v>
      </c>
      <c r="E4533" s="10" t="str">
        <f t="shared" si="531"/>
        <v>Rancho Estanzuela No. 119, 1</v>
      </c>
      <c r="F4533" s="10" t="str">
        <f t="shared" si="532"/>
        <v>Crespo</v>
      </c>
      <c r="G4533" s="8">
        <v>1</v>
      </c>
      <c r="H4533" s="11">
        <v>600</v>
      </c>
      <c r="I4533" s="12">
        <v>42939</v>
      </c>
      <c r="J4533" s="35">
        <f t="shared" si="533"/>
        <v>0</v>
      </c>
      <c r="K4533" s="36"/>
      <c r="L4533" s="36"/>
      <c r="M4533" s="36"/>
      <c r="N4533" s="36"/>
      <c r="O4533" s="36"/>
      <c r="P4533" s="36"/>
      <c r="Q4533" s="36"/>
      <c r="R4533" s="36"/>
      <c r="S4533" s="36"/>
      <c r="T4533" s="36"/>
      <c r="U4533" s="36"/>
      <c r="V4533" s="36"/>
      <c r="W4533" s="15">
        <f t="shared" si="534"/>
        <v>0</v>
      </c>
      <c r="X4533" s="36"/>
      <c r="Y4533" s="36"/>
      <c r="Z4533" s="36"/>
      <c r="AA4533" s="36"/>
      <c r="AB4533" s="36">
        <v>200</v>
      </c>
      <c r="AC4533" s="36">
        <v>200</v>
      </c>
      <c r="AD4533" s="36">
        <v>200</v>
      </c>
      <c r="AE4533" s="36"/>
      <c r="AF4533" s="36"/>
      <c r="AG4533" s="36"/>
      <c r="AH4533" s="36"/>
      <c r="AI4533" s="36"/>
      <c r="AJ4533" s="15">
        <f t="shared" si="535"/>
        <v>600</v>
      </c>
      <c r="AK4533" s="14"/>
      <c r="AL4533" s="14"/>
      <c r="AM4533" s="14"/>
      <c r="AN4533" s="14"/>
      <c r="AO4533" s="14"/>
      <c r="AP4533" s="14"/>
      <c r="AQ4533" s="14"/>
      <c r="AR4533" s="14"/>
      <c r="AS4533" s="14"/>
      <c r="AT4533" s="14"/>
      <c r="AU4533" s="14"/>
      <c r="AV4533" s="14"/>
      <c r="AW4533" s="15"/>
      <c r="AX4533" s="16"/>
    </row>
    <row r="4534" spans="2:50" x14ac:dyDescent="0.2">
      <c r="B4534" s="7"/>
      <c r="C4534" s="8">
        <v>14794</v>
      </c>
      <c r="D4534" s="9" t="s">
        <v>126</v>
      </c>
      <c r="E4534" s="10" t="str">
        <f t="shared" si="531"/>
        <v>Rancho Estanzuela No. 65</v>
      </c>
      <c r="F4534" s="10" t="str">
        <f t="shared" si="532"/>
        <v>López Becerril</v>
      </c>
      <c r="G4534" s="8">
        <v>1</v>
      </c>
      <c r="H4534" s="11">
        <v>400</v>
      </c>
      <c r="I4534" s="12">
        <v>42939</v>
      </c>
      <c r="J4534" s="35">
        <f t="shared" si="533"/>
        <v>0</v>
      </c>
      <c r="K4534" s="36"/>
      <c r="L4534" s="36"/>
      <c r="M4534" s="36"/>
      <c r="N4534" s="36"/>
      <c r="O4534" s="36"/>
      <c r="P4534" s="36"/>
      <c r="Q4534" s="36"/>
      <c r="R4534" s="36"/>
      <c r="S4534" s="36"/>
      <c r="T4534" s="36"/>
      <c r="U4534" s="36"/>
      <c r="V4534" s="36"/>
      <c r="W4534" s="15">
        <f t="shared" si="534"/>
        <v>0</v>
      </c>
      <c r="X4534" s="36"/>
      <c r="Y4534" s="36"/>
      <c r="Z4534" s="36"/>
      <c r="AA4534" s="36"/>
      <c r="AB4534" s="36"/>
      <c r="AC4534" s="36"/>
      <c r="AD4534" s="36">
        <v>400</v>
      </c>
      <c r="AE4534" s="36"/>
      <c r="AF4534" s="36"/>
      <c r="AG4534" s="36"/>
      <c r="AH4534" s="36"/>
      <c r="AI4534" s="36"/>
      <c r="AJ4534" s="15">
        <f t="shared" si="535"/>
        <v>400</v>
      </c>
      <c r="AK4534" s="14"/>
      <c r="AL4534" s="14"/>
      <c r="AM4534" s="14"/>
      <c r="AN4534" s="14"/>
      <c r="AO4534" s="14"/>
      <c r="AP4534" s="14"/>
      <c r="AQ4534" s="14"/>
      <c r="AR4534" s="14"/>
      <c r="AS4534" s="14"/>
      <c r="AT4534" s="14"/>
      <c r="AU4534" s="14"/>
      <c r="AV4534" s="14"/>
      <c r="AW4534" s="15"/>
      <c r="AX4534" s="316">
        <f>SUM(H4512:H4534)</f>
        <v>8050</v>
      </c>
    </row>
    <row r="4535" spans="2:50" x14ac:dyDescent="0.2">
      <c r="B4535" s="7"/>
      <c r="C4535" s="8">
        <v>14795</v>
      </c>
      <c r="D4535" s="9" t="s">
        <v>693</v>
      </c>
      <c r="E4535" s="10" t="str">
        <f t="shared" si="531"/>
        <v>Rancho Romeral No. 9, B</v>
      </c>
      <c r="F4535" s="10" t="str">
        <f t="shared" si="532"/>
        <v>Morales Macías</v>
      </c>
      <c r="G4535" s="8">
        <v>3</v>
      </c>
      <c r="H4535" s="315">
        <v>200</v>
      </c>
      <c r="I4535" s="12">
        <v>42940</v>
      </c>
      <c r="J4535" s="35">
        <f t="shared" si="533"/>
        <v>0</v>
      </c>
      <c r="K4535" s="36"/>
      <c r="L4535" s="36"/>
      <c r="M4535" s="36"/>
      <c r="N4535" s="36"/>
      <c r="O4535" s="36"/>
      <c r="P4535" s="36"/>
      <c r="Q4535" s="36"/>
      <c r="R4535" s="36"/>
      <c r="S4535" s="36"/>
      <c r="T4535" s="36"/>
      <c r="U4535" s="36"/>
      <c r="V4535" s="36"/>
      <c r="W4535" s="15">
        <f t="shared" si="534"/>
        <v>0</v>
      </c>
      <c r="X4535" s="36"/>
      <c r="Y4535" s="36"/>
      <c r="Z4535" s="36"/>
      <c r="AA4535" s="36"/>
      <c r="AB4535" s="36"/>
      <c r="AC4535" s="36"/>
      <c r="AD4535" s="36"/>
      <c r="AE4535" s="36"/>
      <c r="AF4535" s="36"/>
      <c r="AG4535" s="36"/>
      <c r="AH4535" s="36"/>
      <c r="AI4535" s="36"/>
      <c r="AJ4535" s="15">
        <f t="shared" si="535"/>
        <v>0</v>
      </c>
      <c r="AK4535" s="14"/>
      <c r="AL4535" s="14"/>
      <c r="AM4535" s="14"/>
      <c r="AN4535" s="14"/>
      <c r="AO4535" s="14"/>
      <c r="AP4535" s="14"/>
      <c r="AQ4535" s="14"/>
      <c r="AR4535" s="14"/>
      <c r="AS4535" s="14"/>
      <c r="AT4535" s="14"/>
      <c r="AU4535" s="14"/>
      <c r="AV4535" s="14"/>
      <c r="AW4535" s="15"/>
      <c r="AX4535" s="16"/>
    </row>
    <row r="4536" spans="2:50" x14ac:dyDescent="0.2">
      <c r="B4536" s="7"/>
      <c r="C4536" s="8">
        <v>14796</v>
      </c>
      <c r="D4536" s="9" t="s">
        <v>1417</v>
      </c>
      <c r="E4536" s="10" t="str">
        <f t="shared" ref="E4536:E4541" si="541">IF(D4536=0,"",VLOOKUP(D4536,BASE,2,FALSE))</f>
        <v>Rancho Upácuaro No. 34</v>
      </c>
      <c r="F4536" s="10" t="str">
        <f t="shared" ref="F4536:F4541" si="542">IF(D4536=0,"",VLOOKUP(D4536,BASE,3,FALSE))</f>
        <v>Gómez González</v>
      </c>
      <c r="G4536" s="8">
        <v>1</v>
      </c>
      <c r="H4536" s="11">
        <v>600</v>
      </c>
      <c r="I4536" s="12">
        <v>42941</v>
      </c>
      <c r="J4536" s="35">
        <f t="shared" ref="J4536:J4541" si="543">IF(G4536=1,SUM(W4536,AJ4536,-H4536),0)</f>
        <v>0</v>
      </c>
      <c r="K4536" s="36"/>
      <c r="L4536" s="36"/>
      <c r="M4536" s="36"/>
      <c r="N4536" s="36"/>
      <c r="O4536" s="36"/>
      <c r="P4536" s="36"/>
      <c r="Q4536" s="36"/>
      <c r="R4536" s="36"/>
      <c r="S4536" s="36"/>
      <c r="T4536" s="36"/>
      <c r="U4536" s="36"/>
      <c r="V4536" s="36"/>
      <c r="W4536" s="15">
        <f t="shared" ref="W4536:W4541" si="544">SUM(K4536:V4536)</f>
        <v>0</v>
      </c>
      <c r="X4536" s="36"/>
      <c r="Y4536" s="36"/>
      <c r="Z4536" s="36"/>
      <c r="AA4536" s="36"/>
      <c r="AB4536" s="36"/>
      <c r="AC4536" s="36">
        <v>300</v>
      </c>
      <c r="AD4536" s="36">
        <v>300</v>
      </c>
      <c r="AE4536" s="36"/>
      <c r="AF4536" s="36"/>
      <c r="AG4536" s="36"/>
      <c r="AH4536" s="36"/>
      <c r="AI4536" s="36"/>
      <c r="AJ4536" s="15">
        <f t="shared" ref="AJ4536:AJ4541" si="545">SUM(X4536:AI4536)</f>
        <v>600</v>
      </c>
      <c r="AK4536" s="14"/>
      <c r="AL4536" s="14"/>
      <c r="AM4536" s="14"/>
      <c r="AN4536" s="14"/>
      <c r="AO4536" s="14"/>
      <c r="AP4536" s="14"/>
      <c r="AQ4536" s="14"/>
      <c r="AR4536" s="14"/>
      <c r="AS4536" s="14"/>
      <c r="AT4536" s="14"/>
      <c r="AU4536" s="14"/>
      <c r="AV4536" s="14"/>
      <c r="AW4536" s="15"/>
      <c r="AX4536" s="16"/>
    </row>
    <row r="4537" spans="2:50" x14ac:dyDescent="0.2">
      <c r="B4537" s="7"/>
      <c r="C4537" s="8">
        <v>14797</v>
      </c>
      <c r="D4537" s="9" t="s">
        <v>488</v>
      </c>
      <c r="E4537" s="10" t="str">
        <f t="shared" si="541"/>
        <v>Rancho Landero No. 85</v>
      </c>
      <c r="F4537" s="10" t="str">
        <f t="shared" si="542"/>
        <v>Martínez Olague</v>
      </c>
      <c r="G4537" s="8">
        <v>1</v>
      </c>
      <c r="H4537" s="11">
        <v>400</v>
      </c>
      <c r="I4537" s="12">
        <v>42942</v>
      </c>
      <c r="J4537" s="35">
        <f t="shared" si="543"/>
        <v>0</v>
      </c>
      <c r="K4537" s="36"/>
      <c r="L4537" s="36"/>
      <c r="M4537" s="36"/>
      <c r="N4537" s="36"/>
      <c r="O4537" s="36"/>
      <c r="P4537" s="36"/>
      <c r="Q4537" s="36"/>
      <c r="R4537" s="36"/>
      <c r="S4537" s="36"/>
      <c r="T4537" s="36"/>
      <c r="U4537" s="36"/>
      <c r="V4537" s="36"/>
      <c r="W4537" s="15">
        <f t="shared" si="544"/>
        <v>0</v>
      </c>
      <c r="X4537" s="36"/>
      <c r="Y4537" s="36"/>
      <c r="Z4537" s="36"/>
      <c r="AA4537" s="36"/>
      <c r="AB4537" s="36"/>
      <c r="AC4537" s="36"/>
      <c r="AD4537" s="36">
        <v>400</v>
      </c>
      <c r="AE4537" s="36"/>
      <c r="AF4537" s="36"/>
      <c r="AG4537" s="36"/>
      <c r="AH4537" s="36"/>
      <c r="AI4537" s="36"/>
      <c r="AJ4537" s="15">
        <f t="shared" si="545"/>
        <v>400</v>
      </c>
      <c r="AK4537" s="14"/>
      <c r="AL4537" s="14"/>
      <c r="AM4537" s="14"/>
      <c r="AN4537" s="14"/>
      <c r="AO4537" s="14"/>
      <c r="AP4537" s="14"/>
      <c r="AQ4537" s="14"/>
      <c r="AR4537" s="14"/>
      <c r="AS4537" s="14"/>
      <c r="AT4537" s="14"/>
      <c r="AU4537" s="14"/>
      <c r="AV4537" s="14"/>
      <c r="AW4537" s="15"/>
      <c r="AX4537" s="16"/>
    </row>
    <row r="4538" spans="2:50" x14ac:dyDescent="0.2">
      <c r="B4538" s="7"/>
      <c r="C4538" s="8">
        <v>14798</v>
      </c>
      <c r="D4538" s="9" t="s">
        <v>731</v>
      </c>
      <c r="E4538" s="10" t="str">
        <f t="shared" si="541"/>
        <v>Rancho Estanzuela No. 133</v>
      </c>
      <c r="F4538" s="10" t="str">
        <f t="shared" si="542"/>
        <v>Hernández Salazar</v>
      </c>
      <c r="G4538" s="8">
        <v>1</v>
      </c>
      <c r="H4538" s="11">
        <v>600</v>
      </c>
      <c r="I4538" s="12">
        <v>42943</v>
      </c>
      <c r="J4538" s="35">
        <f t="shared" si="543"/>
        <v>0</v>
      </c>
      <c r="K4538" s="36"/>
      <c r="L4538" s="36"/>
      <c r="M4538" s="36"/>
      <c r="N4538" s="36"/>
      <c r="O4538" s="36"/>
      <c r="P4538" s="36"/>
      <c r="Q4538" s="36"/>
      <c r="R4538" s="36"/>
      <c r="S4538" s="36"/>
      <c r="T4538" s="36"/>
      <c r="U4538" s="36"/>
      <c r="V4538" s="36"/>
      <c r="W4538" s="15">
        <f t="shared" si="544"/>
        <v>0</v>
      </c>
      <c r="X4538" s="36"/>
      <c r="Y4538" s="36"/>
      <c r="Z4538" s="36"/>
      <c r="AA4538" s="36"/>
      <c r="AB4538" s="36"/>
      <c r="AC4538" s="36"/>
      <c r="AD4538" s="36">
        <v>300</v>
      </c>
      <c r="AE4538" s="36">
        <v>300</v>
      </c>
      <c r="AF4538" s="36"/>
      <c r="AG4538" s="36"/>
      <c r="AH4538" s="36"/>
      <c r="AI4538" s="36"/>
      <c r="AJ4538" s="15">
        <f t="shared" si="545"/>
        <v>600</v>
      </c>
      <c r="AK4538" s="14"/>
      <c r="AL4538" s="14"/>
      <c r="AM4538" s="14"/>
      <c r="AN4538" s="14"/>
      <c r="AO4538" s="14"/>
      <c r="AP4538" s="14"/>
      <c r="AQ4538" s="14"/>
      <c r="AR4538" s="14"/>
      <c r="AS4538" s="14"/>
      <c r="AT4538" s="14"/>
      <c r="AU4538" s="14"/>
      <c r="AV4538" s="14"/>
      <c r="AW4538" s="15"/>
      <c r="AX4538" s="16"/>
    </row>
    <row r="4539" spans="2:50" x14ac:dyDescent="0.2">
      <c r="B4539" s="7"/>
      <c r="C4539" s="8">
        <v>14799</v>
      </c>
      <c r="D4539" s="9" t="s">
        <v>1346</v>
      </c>
      <c r="E4539" s="10" t="str">
        <f t="shared" si="541"/>
        <v>Rancho Estanzuela No. 123</v>
      </c>
      <c r="F4539" s="10" t="str">
        <f t="shared" si="542"/>
        <v>Bueno Rendón</v>
      </c>
      <c r="G4539" s="8">
        <v>1</v>
      </c>
      <c r="H4539" s="11">
        <v>400</v>
      </c>
      <c r="I4539" s="12">
        <v>42943</v>
      </c>
      <c r="J4539" s="35">
        <f t="shared" si="543"/>
        <v>0</v>
      </c>
      <c r="K4539" s="36"/>
      <c r="L4539" s="36"/>
      <c r="M4539" s="36"/>
      <c r="N4539" s="36"/>
      <c r="O4539" s="36"/>
      <c r="P4539" s="36"/>
      <c r="Q4539" s="36"/>
      <c r="R4539" s="36"/>
      <c r="S4539" s="36"/>
      <c r="T4539" s="36"/>
      <c r="U4539" s="36"/>
      <c r="V4539" s="36"/>
      <c r="W4539" s="15">
        <f t="shared" si="544"/>
        <v>0</v>
      </c>
      <c r="X4539" s="36"/>
      <c r="Y4539" s="36"/>
      <c r="Z4539" s="36"/>
      <c r="AA4539" s="36"/>
      <c r="AB4539" s="36"/>
      <c r="AC4539" s="36">
        <v>200</v>
      </c>
      <c r="AD4539" s="36">
        <v>200</v>
      </c>
      <c r="AE4539" s="36"/>
      <c r="AF4539" s="36"/>
      <c r="AG4539" s="36"/>
      <c r="AH4539" s="36"/>
      <c r="AI4539" s="36"/>
      <c r="AJ4539" s="15">
        <f t="shared" si="545"/>
        <v>400</v>
      </c>
      <c r="AK4539" s="14"/>
      <c r="AL4539" s="14"/>
      <c r="AM4539" s="14"/>
      <c r="AN4539" s="14"/>
      <c r="AO4539" s="14"/>
      <c r="AP4539" s="14"/>
      <c r="AQ4539" s="14"/>
      <c r="AR4539" s="14"/>
      <c r="AS4539" s="14"/>
      <c r="AT4539" s="14"/>
      <c r="AU4539" s="14"/>
      <c r="AV4539" s="14"/>
      <c r="AW4539" s="15"/>
      <c r="AX4539" s="16"/>
    </row>
    <row r="4540" spans="2:50" x14ac:dyDescent="0.2">
      <c r="B4540" s="7"/>
      <c r="C4540" s="8">
        <v>14800</v>
      </c>
      <c r="D4540" s="9" t="s">
        <v>485</v>
      </c>
      <c r="E4540" s="10" t="str">
        <f t="shared" si="541"/>
        <v>Rancho Estanzuela No. 111</v>
      </c>
      <c r="F4540" s="10" t="str">
        <f t="shared" si="542"/>
        <v>Flores Pérez</v>
      </c>
      <c r="G4540" s="8">
        <v>1</v>
      </c>
      <c r="H4540" s="11">
        <v>1200</v>
      </c>
      <c r="I4540" s="12">
        <v>42943</v>
      </c>
      <c r="J4540" s="35">
        <f t="shared" si="543"/>
        <v>0</v>
      </c>
      <c r="K4540" s="36"/>
      <c r="L4540" s="36"/>
      <c r="M4540" s="36"/>
      <c r="N4540" s="36"/>
      <c r="O4540" s="36"/>
      <c r="P4540" s="36"/>
      <c r="Q4540" s="36"/>
      <c r="R4540" s="36"/>
      <c r="S4540" s="36"/>
      <c r="T4540" s="36"/>
      <c r="U4540" s="36"/>
      <c r="V4540" s="36"/>
      <c r="W4540" s="15">
        <f t="shared" si="544"/>
        <v>0</v>
      </c>
      <c r="X4540" s="36"/>
      <c r="Y4540" s="36"/>
      <c r="Z4540" s="36"/>
      <c r="AA4540" s="36"/>
      <c r="AB4540" s="36">
        <v>400</v>
      </c>
      <c r="AC4540" s="36">
        <v>400</v>
      </c>
      <c r="AD4540" s="36">
        <v>400</v>
      </c>
      <c r="AE4540" s="36"/>
      <c r="AF4540" s="36"/>
      <c r="AG4540" s="36"/>
      <c r="AH4540" s="36"/>
      <c r="AI4540" s="36"/>
      <c r="AJ4540" s="15">
        <f t="shared" si="545"/>
        <v>1200</v>
      </c>
      <c r="AK4540" s="14"/>
      <c r="AL4540" s="14"/>
      <c r="AM4540" s="14"/>
      <c r="AN4540" s="14"/>
      <c r="AO4540" s="14"/>
      <c r="AP4540" s="14"/>
      <c r="AQ4540" s="14"/>
      <c r="AR4540" s="14"/>
      <c r="AS4540" s="14"/>
      <c r="AT4540" s="14"/>
      <c r="AU4540" s="14"/>
      <c r="AV4540" s="14"/>
      <c r="AW4540" s="15"/>
      <c r="AX4540" s="316">
        <f>SUM(H4535:H4540)</f>
        <v>3400</v>
      </c>
    </row>
    <row r="4541" spans="2:50" x14ac:dyDescent="0.2">
      <c r="B4541" s="7"/>
      <c r="C4541" s="8">
        <v>14801</v>
      </c>
      <c r="D4541" s="9" t="s">
        <v>214</v>
      </c>
      <c r="E4541" s="10" t="str">
        <f t="shared" si="541"/>
        <v>Rancho Romeral No. 30</v>
      </c>
      <c r="F4541" s="10" t="str">
        <f t="shared" si="542"/>
        <v>Osorio</v>
      </c>
      <c r="G4541" s="8">
        <v>1</v>
      </c>
      <c r="H4541" s="315">
        <v>800</v>
      </c>
      <c r="I4541" s="12">
        <v>42946</v>
      </c>
      <c r="J4541" s="35">
        <f t="shared" si="543"/>
        <v>0</v>
      </c>
      <c r="K4541" s="36"/>
      <c r="L4541" s="36"/>
      <c r="M4541" s="36"/>
      <c r="N4541" s="36"/>
      <c r="O4541" s="36"/>
      <c r="P4541" s="36"/>
      <c r="Q4541" s="36"/>
      <c r="R4541" s="36"/>
      <c r="S4541" s="36"/>
      <c r="T4541" s="36"/>
      <c r="U4541" s="36"/>
      <c r="V4541" s="36"/>
      <c r="W4541" s="15">
        <f t="shared" si="544"/>
        <v>0</v>
      </c>
      <c r="X4541" s="36">
        <v>200</v>
      </c>
      <c r="Y4541" s="36">
        <v>200</v>
      </c>
      <c r="Z4541" s="36">
        <v>200</v>
      </c>
      <c r="AA4541" s="36">
        <v>200</v>
      </c>
      <c r="AB4541" s="36"/>
      <c r="AC4541" s="36"/>
      <c r="AD4541" s="36"/>
      <c r="AE4541" s="36"/>
      <c r="AF4541" s="36"/>
      <c r="AG4541" s="36"/>
      <c r="AH4541" s="36"/>
      <c r="AI4541" s="36"/>
      <c r="AJ4541" s="15">
        <f t="shared" si="545"/>
        <v>800</v>
      </c>
      <c r="AK4541" s="14"/>
      <c r="AL4541" s="14"/>
      <c r="AM4541" s="14"/>
      <c r="AN4541" s="14"/>
      <c r="AO4541" s="14"/>
      <c r="AP4541" s="14"/>
      <c r="AQ4541" s="14"/>
      <c r="AR4541" s="14"/>
      <c r="AS4541" s="14"/>
      <c r="AT4541" s="14"/>
      <c r="AU4541" s="14"/>
      <c r="AV4541" s="14"/>
      <c r="AW4541" s="15"/>
      <c r="AX4541" s="16"/>
    </row>
    <row r="4542" spans="2:50" x14ac:dyDescent="0.2">
      <c r="B4542" s="7"/>
      <c r="C4542" s="8">
        <v>14802</v>
      </c>
      <c r="D4542" s="9" t="s">
        <v>932</v>
      </c>
      <c r="E4542" s="10" t="str">
        <f t="shared" ref="E4542:E4562" si="546">IF(D4542=0,"",VLOOKUP(D4542,BASE,2,FALSE))</f>
        <v>Rancho Landero No. 58</v>
      </c>
      <c r="F4542" s="10" t="str">
        <f t="shared" ref="F4542:F4562" si="547">IF(D4542=0,"",VLOOKUP(D4542,BASE,3,FALSE))</f>
        <v>Valero</v>
      </c>
      <c r="G4542" s="8">
        <v>1</v>
      </c>
      <c r="H4542" s="11">
        <v>2000</v>
      </c>
      <c r="I4542" s="12">
        <v>42946</v>
      </c>
      <c r="J4542" s="35">
        <f t="shared" ref="J4542:J4562" si="548">IF(G4542=1,SUM(W4542,AJ4542,-H4542),0)</f>
        <v>0</v>
      </c>
      <c r="K4542" s="36"/>
      <c r="L4542" s="36"/>
      <c r="M4542" s="36"/>
      <c r="N4542" s="36"/>
      <c r="O4542" s="36"/>
      <c r="P4542" s="36"/>
      <c r="Q4542" s="36"/>
      <c r="R4542" s="36"/>
      <c r="S4542" s="36"/>
      <c r="T4542" s="36"/>
      <c r="U4542" s="36"/>
      <c r="V4542" s="36"/>
      <c r="W4542" s="15">
        <f t="shared" ref="W4542:W4562" si="549">SUM(K4542:V4542)</f>
        <v>0</v>
      </c>
      <c r="X4542" s="36"/>
      <c r="Y4542" s="36"/>
      <c r="Z4542" s="36"/>
      <c r="AA4542" s="36">
        <v>400</v>
      </c>
      <c r="AB4542" s="36">
        <v>400</v>
      </c>
      <c r="AC4542" s="36">
        <v>400</v>
      </c>
      <c r="AD4542" s="36">
        <v>400</v>
      </c>
      <c r="AE4542" s="36">
        <v>400</v>
      </c>
      <c r="AF4542" s="36"/>
      <c r="AG4542" s="36"/>
      <c r="AH4542" s="36"/>
      <c r="AI4542" s="36"/>
      <c r="AJ4542" s="15">
        <f t="shared" ref="AJ4542:AJ4562" si="550">SUM(X4542:AI4542)</f>
        <v>2000</v>
      </c>
      <c r="AK4542" s="14"/>
      <c r="AL4542" s="14"/>
      <c r="AM4542" s="14"/>
      <c r="AN4542" s="14"/>
      <c r="AO4542" s="14"/>
      <c r="AP4542" s="14"/>
      <c r="AQ4542" s="14"/>
      <c r="AR4542" s="14"/>
      <c r="AS4542" s="14"/>
      <c r="AT4542" s="14"/>
      <c r="AU4542" s="14"/>
      <c r="AV4542" s="14"/>
      <c r="AW4542" s="15"/>
      <c r="AX4542" s="16"/>
    </row>
    <row r="4543" spans="2:50" x14ac:dyDescent="0.2">
      <c r="B4543" s="7"/>
      <c r="C4543" s="8">
        <v>14803</v>
      </c>
      <c r="D4543" s="9" t="s">
        <v>514</v>
      </c>
      <c r="E4543" s="10" t="str">
        <f t="shared" si="546"/>
        <v>Rancho Upácuaro No. 114</v>
      </c>
      <c r="F4543" s="10" t="str">
        <f t="shared" si="547"/>
        <v>Hernández Cornejo</v>
      </c>
      <c r="G4543" s="8">
        <v>1</v>
      </c>
      <c r="H4543" s="11">
        <v>400</v>
      </c>
      <c r="I4543" s="12">
        <v>42946</v>
      </c>
      <c r="J4543" s="35">
        <f t="shared" si="548"/>
        <v>0</v>
      </c>
      <c r="K4543" s="36"/>
      <c r="L4543" s="36"/>
      <c r="M4543" s="36"/>
      <c r="N4543" s="36"/>
      <c r="O4543" s="36"/>
      <c r="P4543" s="36"/>
      <c r="Q4543" s="36"/>
      <c r="R4543" s="36"/>
      <c r="S4543" s="36"/>
      <c r="T4543" s="36"/>
      <c r="U4543" s="36"/>
      <c r="V4543" s="36"/>
      <c r="W4543" s="15">
        <f t="shared" si="549"/>
        <v>0</v>
      </c>
      <c r="X4543" s="36"/>
      <c r="Y4543" s="36"/>
      <c r="Z4543" s="36"/>
      <c r="AA4543" s="36"/>
      <c r="AB4543" s="36"/>
      <c r="AC4543" s="36"/>
      <c r="AD4543" s="36">
        <v>400</v>
      </c>
      <c r="AE4543" s="36"/>
      <c r="AF4543" s="36"/>
      <c r="AG4543" s="36"/>
      <c r="AH4543" s="36"/>
      <c r="AI4543" s="36"/>
      <c r="AJ4543" s="15">
        <f t="shared" si="550"/>
        <v>400</v>
      </c>
      <c r="AK4543" s="14"/>
      <c r="AL4543" s="14"/>
      <c r="AM4543" s="14"/>
      <c r="AN4543" s="14"/>
      <c r="AO4543" s="14"/>
      <c r="AP4543" s="14"/>
      <c r="AQ4543" s="14"/>
      <c r="AR4543" s="14"/>
      <c r="AS4543" s="14"/>
      <c r="AT4543" s="14"/>
      <c r="AU4543" s="14"/>
      <c r="AV4543" s="14"/>
      <c r="AW4543" s="15"/>
      <c r="AX4543" s="16"/>
    </row>
    <row r="4544" spans="2:50" x14ac:dyDescent="0.2">
      <c r="B4544" s="7"/>
      <c r="C4544" s="8">
        <v>14804</v>
      </c>
      <c r="D4544" s="9" t="s">
        <v>640</v>
      </c>
      <c r="E4544" s="10" t="str">
        <f t="shared" si="546"/>
        <v>Rancho Estopila No. 22, A</v>
      </c>
      <c r="F4544" s="10" t="str">
        <f t="shared" si="547"/>
        <v>Ayala Carranza</v>
      </c>
      <c r="G4544" s="8">
        <v>1</v>
      </c>
      <c r="H4544" s="11">
        <v>400</v>
      </c>
      <c r="I4544" s="12">
        <v>42946</v>
      </c>
      <c r="J4544" s="35">
        <f t="shared" si="548"/>
        <v>0</v>
      </c>
      <c r="K4544" s="36"/>
      <c r="L4544" s="36"/>
      <c r="M4544" s="36"/>
      <c r="N4544" s="36"/>
      <c r="O4544" s="36"/>
      <c r="P4544" s="36"/>
      <c r="Q4544" s="36"/>
      <c r="R4544" s="36"/>
      <c r="S4544" s="36"/>
      <c r="T4544" s="36"/>
      <c r="U4544" s="36"/>
      <c r="V4544" s="36"/>
      <c r="W4544" s="15">
        <f t="shared" si="549"/>
        <v>0</v>
      </c>
      <c r="X4544" s="36"/>
      <c r="Y4544" s="36"/>
      <c r="Z4544" s="36"/>
      <c r="AA4544" s="36"/>
      <c r="AB4544" s="36"/>
      <c r="AC4544" s="36">
        <v>200</v>
      </c>
      <c r="AD4544" s="36">
        <v>200</v>
      </c>
      <c r="AE4544" s="36"/>
      <c r="AF4544" s="36"/>
      <c r="AG4544" s="36"/>
      <c r="AH4544" s="36"/>
      <c r="AI4544" s="36"/>
      <c r="AJ4544" s="15">
        <f t="shared" si="550"/>
        <v>400</v>
      </c>
      <c r="AK4544" s="14"/>
      <c r="AL4544" s="14"/>
      <c r="AM4544" s="14"/>
      <c r="AN4544" s="14"/>
      <c r="AO4544" s="14"/>
      <c r="AP4544" s="14"/>
      <c r="AQ4544" s="14"/>
      <c r="AR4544" s="14"/>
      <c r="AS4544" s="14"/>
      <c r="AT4544" s="14"/>
      <c r="AU4544" s="14"/>
      <c r="AV4544" s="14"/>
      <c r="AW4544" s="15"/>
      <c r="AX4544" s="16"/>
    </row>
    <row r="4545" spans="2:50" x14ac:dyDescent="0.2">
      <c r="B4545" s="7"/>
      <c r="C4545" s="8">
        <v>14805</v>
      </c>
      <c r="D4545" s="9" t="s">
        <v>100</v>
      </c>
      <c r="E4545" s="10" t="str">
        <f t="shared" si="546"/>
        <v>Rancho Upácuaro No. 32</v>
      </c>
      <c r="F4545" s="10" t="str">
        <f t="shared" si="547"/>
        <v>Sairafi Carmen</v>
      </c>
      <c r="G4545" s="8">
        <v>1</v>
      </c>
      <c r="H4545" s="11">
        <v>400</v>
      </c>
      <c r="I4545" s="12">
        <v>42946</v>
      </c>
      <c r="J4545" s="35">
        <f t="shared" si="548"/>
        <v>0</v>
      </c>
      <c r="K4545" s="36"/>
      <c r="L4545" s="36"/>
      <c r="M4545" s="36"/>
      <c r="N4545" s="36"/>
      <c r="O4545" s="36"/>
      <c r="P4545" s="36"/>
      <c r="Q4545" s="36"/>
      <c r="R4545" s="36"/>
      <c r="S4545" s="36"/>
      <c r="T4545" s="36"/>
      <c r="U4545" s="36"/>
      <c r="V4545" s="36"/>
      <c r="W4545" s="15">
        <f t="shared" si="549"/>
        <v>0</v>
      </c>
      <c r="X4545" s="36"/>
      <c r="Y4545" s="36"/>
      <c r="Z4545" s="36"/>
      <c r="AA4545" s="36"/>
      <c r="AB4545" s="36"/>
      <c r="AC4545" s="36"/>
      <c r="AD4545" s="36"/>
      <c r="AE4545" s="36">
        <v>400</v>
      </c>
      <c r="AF4545" s="36"/>
      <c r="AG4545" s="36"/>
      <c r="AH4545" s="36"/>
      <c r="AI4545" s="36"/>
      <c r="AJ4545" s="15">
        <f t="shared" si="550"/>
        <v>400</v>
      </c>
      <c r="AK4545" s="14"/>
      <c r="AL4545" s="14"/>
      <c r="AM4545" s="14"/>
      <c r="AN4545" s="14"/>
      <c r="AO4545" s="14"/>
      <c r="AP4545" s="14"/>
      <c r="AQ4545" s="14"/>
      <c r="AR4545" s="14"/>
      <c r="AS4545" s="14"/>
      <c r="AT4545" s="14"/>
      <c r="AU4545" s="14"/>
      <c r="AV4545" s="14"/>
      <c r="AW4545" s="15"/>
      <c r="AX4545" s="16"/>
    </row>
    <row r="4546" spans="2:50" x14ac:dyDescent="0.2">
      <c r="B4546" s="7"/>
      <c r="C4546" s="8">
        <v>14805</v>
      </c>
      <c r="D4546" s="9" t="s">
        <v>100</v>
      </c>
      <c r="E4546" s="10" t="str">
        <f t="shared" si="546"/>
        <v>Rancho Upácuaro No. 32</v>
      </c>
      <c r="F4546" s="10" t="str">
        <f t="shared" si="547"/>
        <v>Sairafi Carmen</v>
      </c>
      <c r="G4546" s="8">
        <v>5</v>
      </c>
      <c r="H4546" s="11">
        <v>50</v>
      </c>
      <c r="I4546" s="12">
        <v>42946</v>
      </c>
      <c r="J4546" s="35">
        <f t="shared" si="548"/>
        <v>0</v>
      </c>
      <c r="K4546" s="36"/>
      <c r="L4546" s="36"/>
      <c r="M4546" s="36"/>
      <c r="N4546" s="36"/>
      <c r="O4546" s="36"/>
      <c r="P4546" s="36"/>
      <c r="Q4546" s="36"/>
      <c r="R4546" s="36"/>
      <c r="S4546" s="36"/>
      <c r="T4546" s="36"/>
      <c r="U4546" s="36"/>
      <c r="V4546" s="36"/>
      <c r="W4546" s="15">
        <f t="shared" si="549"/>
        <v>0</v>
      </c>
      <c r="X4546" s="36"/>
      <c r="Y4546" s="36"/>
      <c r="Z4546" s="36"/>
      <c r="AA4546" s="36"/>
      <c r="AB4546" s="36"/>
      <c r="AC4546" s="36"/>
      <c r="AD4546" s="36"/>
      <c r="AE4546" s="36"/>
      <c r="AF4546" s="36"/>
      <c r="AG4546" s="36"/>
      <c r="AH4546" s="36"/>
      <c r="AI4546" s="36"/>
      <c r="AJ4546" s="15">
        <f t="shared" si="550"/>
        <v>0</v>
      </c>
      <c r="AK4546" s="14"/>
      <c r="AL4546" s="14"/>
      <c r="AM4546" s="14"/>
      <c r="AN4546" s="14"/>
      <c r="AO4546" s="14"/>
      <c r="AP4546" s="14"/>
      <c r="AQ4546" s="14"/>
      <c r="AR4546" s="14"/>
      <c r="AS4546" s="14"/>
      <c r="AT4546" s="14"/>
      <c r="AU4546" s="14"/>
      <c r="AV4546" s="14"/>
      <c r="AW4546" s="15"/>
      <c r="AX4546" s="16"/>
    </row>
    <row r="4547" spans="2:50" x14ac:dyDescent="0.2">
      <c r="B4547" s="7"/>
      <c r="C4547" s="8">
        <v>14806</v>
      </c>
      <c r="D4547" s="9" t="s">
        <v>725</v>
      </c>
      <c r="E4547" s="10" t="str">
        <f t="shared" si="546"/>
        <v>Rancho Zinamba No. 34</v>
      </c>
      <c r="F4547" s="10" t="str">
        <f t="shared" si="547"/>
        <v>Torres Zavala</v>
      </c>
      <c r="G4547" s="8">
        <v>1</v>
      </c>
      <c r="H4547" s="11">
        <v>800</v>
      </c>
      <c r="I4547" s="12">
        <v>42946</v>
      </c>
      <c r="J4547" s="35">
        <f t="shared" si="548"/>
        <v>0</v>
      </c>
      <c r="K4547" s="36"/>
      <c r="L4547" s="36"/>
      <c r="M4547" s="36"/>
      <c r="N4547" s="36"/>
      <c r="O4547" s="36"/>
      <c r="P4547" s="36"/>
      <c r="Q4547" s="36"/>
      <c r="R4547" s="36"/>
      <c r="S4547" s="36"/>
      <c r="T4547" s="36"/>
      <c r="U4547" s="36"/>
      <c r="V4547" s="36"/>
      <c r="W4547" s="15">
        <f t="shared" si="549"/>
        <v>0</v>
      </c>
      <c r="X4547" s="36"/>
      <c r="Y4547" s="36"/>
      <c r="Z4547" s="36"/>
      <c r="AA4547" s="36"/>
      <c r="AB4547" s="36">
        <v>400</v>
      </c>
      <c r="AC4547" s="36">
        <v>400</v>
      </c>
      <c r="AD4547" s="36"/>
      <c r="AE4547" s="36"/>
      <c r="AF4547" s="36"/>
      <c r="AG4547" s="36"/>
      <c r="AH4547" s="36"/>
      <c r="AI4547" s="36"/>
      <c r="AJ4547" s="15">
        <f t="shared" si="550"/>
        <v>800</v>
      </c>
      <c r="AK4547" s="14"/>
      <c r="AL4547" s="14"/>
      <c r="AM4547" s="14"/>
      <c r="AN4547" s="14"/>
      <c r="AO4547" s="14"/>
      <c r="AP4547" s="14"/>
      <c r="AQ4547" s="14"/>
      <c r="AR4547" s="14"/>
      <c r="AS4547" s="14"/>
      <c r="AT4547" s="14"/>
      <c r="AU4547" s="14"/>
      <c r="AV4547" s="14"/>
      <c r="AW4547" s="15"/>
      <c r="AX4547" s="16"/>
    </row>
    <row r="4548" spans="2:50" x14ac:dyDescent="0.2">
      <c r="B4548" s="7"/>
      <c r="C4548" s="8">
        <v>14807</v>
      </c>
      <c r="D4548" s="9" t="s">
        <v>737</v>
      </c>
      <c r="E4548" s="10" t="str">
        <f t="shared" si="546"/>
        <v>Rancho Romeral No. 9, A</v>
      </c>
      <c r="F4548" s="10" t="str">
        <f t="shared" si="547"/>
        <v>Quiñones Hernández</v>
      </c>
      <c r="G4548" s="8">
        <v>1</v>
      </c>
      <c r="H4548" s="11">
        <v>1200</v>
      </c>
      <c r="I4548" s="12">
        <v>42946</v>
      </c>
      <c r="J4548" s="35">
        <f t="shared" si="548"/>
        <v>0</v>
      </c>
      <c r="K4548" s="36"/>
      <c r="L4548" s="36"/>
      <c r="M4548" s="36"/>
      <c r="N4548" s="36"/>
      <c r="O4548" s="36"/>
      <c r="P4548" s="36"/>
      <c r="Q4548" s="36"/>
      <c r="R4548" s="36"/>
      <c r="S4548" s="36"/>
      <c r="T4548" s="36"/>
      <c r="U4548" s="36"/>
      <c r="V4548" s="36"/>
      <c r="W4548" s="15">
        <f t="shared" si="549"/>
        <v>0</v>
      </c>
      <c r="X4548" s="36"/>
      <c r="Y4548" s="36"/>
      <c r="Z4548" s="36"/>
      <c r="AA4548" s="36"/>
      <c r="AB4548" s="36"/>
      <c r="AC4548" s="36"/>
      <c r="AD4548" s="36">
        <v>400</v>
      </c>
      <c r="AE4548" s="36">
        <v>400</v>
      </c>
      <c r="AF4548" s="36">
        <v>400</v>
      </c>
      <c r="AG4548" s="36"/>
      <c r="AH4548" s="36"/>
      <c r="AI4548" s="36"/>
      <c r="AJ4548" s="15">
        <f t="shared" si="550"/>
        <v>1200</v>
      </c>
      <c r="AK4548" s="14"/>
      <c r="AL4548" s="14"/>
      <c r="AM4548" s="14"/>
      <c r="AN4548" s="14"/>
      <c r="AO4548" s="14"/>
      <c r="AP4548" s="14"/>
      <c r="AQ4548" s="14"/>
      <c r="AR4548" s="14"/>
      <c r="AS4548" s="14"/>
      <c r="AT4548" s="14"/>
      <c r="AU4548" s="14"/>
      <c r="AV4548" s="14"/>
      <c r="AW4548" s="15"/>
      <c r="AX4548" s="16"/>
    </row>
    <row r="4549" spans="2:50" x14ac:dyDescent="0.2">
      <c r="B4549" s="7"/>
      <c r="C4549" s="8">
        <v>14808</v>
      </c>
      <c r="D4549" s="9" t="s">
        <v>589</v>
      </c>
      <c r="E4549" s="10" t="str">
        <f t="shared" si="546"/>
        <v>Rancho La Cuchilla No. 149</v>
      </c>
      <c r="F4549" s="10" t="str">
        <f t="shared" si="547"/>
        <v>Montes Irineos</v>
      </c>
      <c r="G4549" s="8">
        <v>1</v>
      </c>
      <c r="H4549" s="11">
        <v>800</v>
      </c>
      <c r="I4549" s="12">
        <v>42946</v>
      </c>
      <c r="J4549" s="35">
        <f t="shared" si="548"/>
        <v>0</v>
      </c>
      <c r="K4549" s="36"/>
      <c r="L4549" s="36"/>
      <c r="M4549" s="36"/>
      <c r="N4549" s="36"/>
      <c r="O4549" s="36"/>
      <c r="P4549" s="36"/>
      <c r="Q4549" s="36"/>
      <c r="R4549" s="36"/>
      <c r="S4549" s="36"/>
      <c r="T4549" s="36"/>
      <c r="U4549" s="36"/>
      <c r="V4549" s="36"/>
      <c r="W4549" s="15">
        <f t="shared" si="549"/>
        <v>0</v>
      </c>
      <c r="X4549" s="36"/>
      <c r="Y4549" s="36"/>
      <c r="Z4549" s="36">
        <v>400</v>
      </c>
      <c r="AA4549" s="36">
        <v>400</v>
      </c>
      <c r="AB4549" s="36"/>
      <c r="AC4549" s="36"/>
      <c r="AD4549" s="36"/>
      <c r="AE4549" s="36"/>
      <c r="AF4549" s="36"/>
      <c r="AG4549" s="36"/>
      <c r="AH4549" s="36"/>
      <c r="AI4549" s="36"/>
      <c r="AJ4549" s="15">
        <f t="shared" si="550"/>
        <v>800</v>
      </c>
      <c r="AK4549" s="14"/>
      <c r="AL4549" s="14"/>
      <c r="AM4549" s="14"/>
      <c r="AN4549" s="14"/>
      <c r="AO4549" s="14"/>
      <c r="AP4549" s="14"/>
      <c r="AQ4549" s="14"/>
      <c r="AR4549" s="14"/>
      <c r="AS4549" s="14"/>
      <c r="AT4549" s="14"/>
      <c r="AU4549" s="14"/>
      <c r="AV4549" s="14"/>
      <c r="AW4549" s="15"/>
      <c r="AX4549" s="16"/>
    </row>
    <row r="4550" spans="2:50" x14ac:dyDescent="0.2">
      <c r="B4550" s="7"/>
      <c r="C4550" s="8">
        <v>14809</v>
      </c>
      <c r="D4550" s="9" t="s">
        <v>589</v>
      </c>
      <c r="E4550" s="10" t="str">
        <f t="shared" si="546"/>
        <v>Rancho La Cuchilla No. 149</v>
      </c>
      <c r="F4550" s="10" t="str">
        <f t="shared" si="547"/>
        <v>Montes Irineos</v>
      </c>
      <c r="G4550" s="8">
        <v>3</v>
      </c>
      <c r="H4550" s="11">
        <v>200</v>
      </c>
      <c r="I4550" s="12">
        <v>42946</v>
      </c>
      <c r="J4550" s="35">
        <f t="shared" si="548"/>
        <v>0</v>
      </c>
      <c r="K4550" s="36"/>
      <c r="L4550" s="36"/>
      <c r="M4550" s="36"/>
      <c r="N4550" s="36"/>
      <c r="O4550" s="36"/>
      <c r="P4550" s="36"/>
      <c r="Q4550" s="36"/>
      <c r="R4550" s="36"/>
      <c r="S4550" s="36"/>
      <c r="T4550" s="36"/>
      <c r="U4550" s="36"/>
      <c r="V4550" s="36"/>
      <c r="W4550" s="15">
        <f t="shared" si="549"/>
        <v>0</v>
      </c>
      <c r="X4550" s="36"/>
      <c r="Y4550" s="36"/>
      <c r="Z4550" s="36"/>
      <c r="AA4550" s="36"/>
      <c r="AB4550" s="36"/>
      <c r="AC4550" s="36"/>
      <c r="AD4550" s="36"/>
      <c r="AE4550" s="36"/>
      <c r="AF4550" s="36"/>
      <c r="AG4550" s="36"/>
      <c r="AH4550" s="36"/>
      <c r="AI4550" s="36"/>
      <c r="AJ4550" s="15">
        <f t="shared" si="550"/>
        <v>0</v>
      </c>
      <c r="AK4550" s="14"/>
      <c r="AL4550" s="14"/>
      <c r="AM4550" s="14"/>
      <c r="AN4550" s="14"/>
      <c r="AO4550" s="14"/>
      <c r="AP4550" s="14"/>
      <c r="AQ4550" s="14"/>
      <c r="AR4550" s="14"/>
      <c r="AS4550" s="14"/>
      <c r="AT4550" s="14"/>
      <c r="AU4550" s="14"/>
      <c r="AV4550" s="14"/>
      <c r="AW4550" s="15"/>
      <c r="AX4550" s="16"/>
    </row>
    <row r="4551" spans="2:50" x14ac:dyDescent="0.2">
      <c r="B4551" s="7"/>
      <c r="C4551" s="8">
        <v>14810</v>
      </c>
      <c r="D4551" s="9" t="s">
        <v>1148</v>
      </c>
      <c r="E4551" s="10" t="str">
        <f t="shared" si="546"/>
        <v>Rancho La Cuchilla No. 118</v>
      </c>
      <c r="F4551" s="10" t="str">
        <f t="shared" si="547"/>
        <v>Astorga Ruiz</v>
      </c>
      <c r="G4551" s="8">
        <v>1</v>
      </c>
      <c r="H4551" s="11">
        <v>1600</v>
      </c>
      <c r="I4551" s="12">
        <v>42946</v>
      </c>
      <c r="J4551" s="35">
        <f t="shared" si="548"/>
        <v>0</v>
      </c>
      <c r="K4551" s="36"/>
      <c r="L4551" s="36"/>
      <c r="M4551" s="36"/>
      <c r="N4551" s="36"/>
      <c r="O4551" s="36"/>
      <c r="P4551" s="36"/>
      <c r="Q4551" s="36"/>
      <c r="R4551" s="36"/>
      <c r="S4551" s="36"/>
      <c r="T4551" s="36"/>
      <c r="U4551" s="36"/>
      <c r="V4551" s="36"/>
      <c r="W4551" s="15">
        <f t="shared" si="549"/>
        <v>0</v>
      </c>
      <c r="X4551" s="36"/>
      <c r="Y4551" s="36">
        <v>400</v>
      </c>
      <c r="Z4551" s="36">
        <v>400</v>
      </c>
      <c r="AA4551" s="36">
        <v>400</v>
      </c>
      <c r="AB4551" s="36">
        <v>400</v>
      </c>
      <c r="AC4551" s="36"/>
      <c r="AD4551" s="36"/>
      <c r="AE4551" s="36"/>
      <c r="AF4551" s="36"/>
      <c r="AG4551" s="36"/>
      <c r="AH4551" s="36"/>
      <c r="AI4551" s="36"/>
      <c r="AJ4551" s="15">
        <f t="shared" si="550"/>
        <v>1600</v>
      </c>
      <c r="AK4551" s="14"/>
      <c r="AL4551" s="14"/>
      <c r="AM4551" s="14"/>
      <c r="AN4551" s="14"/>
      <c r="AO4551" s="14"/>
      <c r="AP4551" s="14"/>
      <c r="AQ4551" s="14"/>
      <c r="AR4551" s="14"/>
      <c r="AS4551" s="14"/>
      <c r="AT4551" s="14"/>
      <c r="AU4551" s="14"/>
      <c r="AV4551" s="14"/>
      <c r="AW4551" s="15"/>
      <c r="AX4551" s="16"/>
    </row>
    <row r="4552" spans="2:50" x14ac:dyDescent="0.2">
      <c r="B4552" s="7"/>
      <c r="C4552" s="8">
        <v>14811</v>
      </c>
      <c r="D4552" s="9" t="s">
        <v>785</v>
      </c>
      <c r="E4552" s="10" t="str">
        <f t="shared" si="546"/>
        <v>Rancho Estanzuela No. 61</v>
      </c>
      <c r="F4552" s="10" t="str">
        <f t="shared" si="547"/>
        <v>González Almazán</v>
      </c>
      <c r="G4552" s="8">
        <v>1</v>
      </c>
      <c r="H4552" s="11">
        <v>400</v>
      </c>
      <c r="I4552" s="12">
        <v>42946</v>
      </c>
      <c r="J4552" s="35">
        <f t="shared" si="548"/>
        <v>0</v>
      </c>
      <c r="K4552" s="36"/>
      <c r="L4552" s="36"/>
      <c r="M4552" s="36"/>
      <c r="N4552" s="36"/>
      <c r="O4552" s="36"/>
      <c r="P4552" s="36"/>
      <c r="Q4552" s="36"/>
      <c r="R4552" s="36"/>
      <c r="S4552" s="36"/>
      <c r="T4552" s="36"/>
      <c r="U4552" s="36"/>
      <c r="V4552" s="36"/>
      <c r="W4552" s="15">
        <f t="shared" si="549"/>
        <v>0</v>
      </c>
      <c r="X4552" s="36"/>
      <c r="Y4552" s="36"/>
      <c r="Z4552" s="36"/>
      <c r="AA4552" s="36">
        <v>200</v>
      </c>
      <c r="AB4552" s="36">
        <v>200</v>
      </c>
      <c r="AC4552" s="36"/>
      <c r="AD4552" s="36"/>
      <c r="AE4552" s="36"/>
      <c r="AF4552" s="36"/>
      <c r="AG4552" s="36"/>
      <c r="AH4552" s="36"/>
      <c r="AI4552" s="36"/>
      <c r="AJ4552" s="15">
        <f t="shared" si="550"/>
        <v>400</v>
      </c>
      <c r="AK4552" s="14"/>
      <c r="AL4552" s="14"/>
      <c r="AM4552" s="14"/>
      <c r="AN4552" s="14"/>
      <c r="AO4552" s="14"/>
      <c r="AP4552" s="14"/>
      <c r="AQ4552" s="14"/>
      <c r="AR4552" s="14"/>
      <c r="AS4552" s="14"/>
      <c r="AT4552" s="14"/>
      <c r="AU4552" s="14"/>
      <c r="AV4552" s="14"/>
      <c r="AW4552" s="15"/>
      <c r="AX4552" s="16"/>
    </row>
    <row r="4553" spans="2:50" x14ac:dyDescent="0.2">
      <c r="B4553" s="7"/>
      <c r="C4553" s="8">
        <v>14812</v>
      </c>
      <c r="D4553" s="9" t="s">
        <v>325</v>
      </c>
      <c r="E4553" s="10" t="str">
        <f t="shared" si="546"/>
        <v>Rancho Upácuaro No. 120</v>
      </c>
      <c r="F4553" s="10" t="str">
        <f t="shared" si="547"/>
        <v>Rayas Rivera</v>
      </c>
      <c r="G4553" s="8">
        <v>1</v>
      </c>
      <c r="H4553" s="11">
        <v>400</v>
      </c>
      <c r="I4553" s="12">
        <v>42946</v>
      </c>
      <c r="J4553" s="35">
        <f t="shared" si="548"/>
        <v>0</v>
      </c>
      <c r="K4553" s="36"/>
      <c r="L4553" s="36"/>
      <c r="M4553" s="36"/>
      <c r="N4553" s="36"/>
      <c r="O4553" s="36"/>
      <c r="P4553" s="36"/>
      <c r="Q4553" s="36"/>
      <c r="R4553" s="36"/>
      <c r="S4553" s="36"/>
      <c r="T4553" s="36"/>
      <c r="U4553" s="36"/>
      <c r="V4553" s="36"/>
      <c r="W4553" s="15">
        <f t="shared" si="549"/>
        <v>0</v>
      </c>
      <c r="X4553" s="36"/>
      <c r="Y4553" s="36"/>
      <c r="Z4553" s="36"/>
      <c r="AA4553" s="36"/>
      <c r="AB4553" s="36"/>
      <c r="AC4553" s="36"/>
      <c r="AD4553" s="36"/>
      <c r="AE4553" s="36">
        <v>400</v>
      </c>
      <c r="AF4553" s="36"/>
      <c r="AG4553" s="36"/>
      <c r="AH4553" s="36"/>
      <c r="AI4553" s="36"/>
      <c r="AJ4553" s="15">
        <f t="shared" si="550"/>
        <v>400</v>
      </c>
      <c r="AK4553" s="14"/>
      <c r="AL4553" s="14"/>
      <c r="AM4553" s="14"/>
      <c r="AN4553" s="14"/>
      <c r="AO4553" s="14"/>
      <c r="AP4553" s="14"/>
      <c r="AQ4553" s="14"/>
      <c r="AR4553" s="14"/>
      <c r="AS4553" s="14"/>
      <c r="AT4553" s="14"/>
      <c r="AU4553" s="14"/>
      <c r="AV4553" s="14"/>
      <c r="AW4553" s="15"/>
      <c r="AX4553" s="16"/>
    </row>
    <row r="4554" spans="2:50" x14ac:dyDescent="0.2">
      <c r="B4554" s="7"/>
      <c r="C4554" s="8">
        <v>14813</v>
      </c>
      <c r="D4554" s="9" t="s">
        <v>301</v>
      </c>
      <c r="E4554" s="10" t="str">
        <f t="shared" si="546"/>
        <v>Rancho Upácuaro No. 51, 2</v>
      </c>
      <c r="F4554" s="10" t="str">
        <f t="shared" si="547"/>
        <v>Santoyo</v>
      </c>
      <c r="G4554" s="8">
        <v>1</v>
      </c>
      <c r="H4554" s="11">
        <v>400</v>
      </c>
      <c r="I4554" s="12">
        <v>42946</v>
      </c>
      <c r="J4554" s="35">
        <f t="shared" si="548"/>
        <v>0</v>
      </c>
      <c r="K4554" s="36"/>
      <c r="L4554" s="36"/>
      <c r="M4554" s="36"/>
      <c r="N4554" s="36"/>
      <c r="O4554" s="36"/>
      <c r="P4554" s="36"/>
      <c r="Q4554" s="36"/>
      <c r="R4554" s="36"/>
      <c r="S4554" s="36"/>
      <c r="T4554" s="36"/>
      <c r="U4554" s="36"/>
      <c r="V4554" s="36"/>
      <c r="W4554" s="15">
        <f t="shared" si="549"/>
        <v>0</v>
      </c>
      <c r="X4554" s="36"/>
      <c r="Y4554" s="36"/>
      <c r="Z4554" s="36"/>
      <c r="AA4554" s="36"/>
      <c r="AB4554" s="36"/>
      <c r="AC4554" s="36"/>
      <c r="AD4554" s="36">
        <v>200</v>
      </c>
      <c r="AE4554" s="36">
        <v>200</v>
      </c>
      <c r="AF4554" s="36"/>
      <c r="AG4554" s="36"/>
      <c r="AH4554" s="36"/>
      <c r="AI4554" s="36"/>
      <c r="AJ4554" s="15">
        <f t="shared" si="550"/>
        <v>400</v>
      </c>
      <c r="AK4554" s="14"/>
      <c r="AL4554" s="14"/>
      <c r="AM4554" s="14"/>
      <c r="AN4554" s="14"/>
      <c r="AO4554" s="14"/>
      <c r="AP4554" s="14"/>
      <c r="AQ4554" s="14"/>
      <c r="AR4554" s="14"/>
      <c r="AS4554" s="14"/>
      <c r="AT4554" s="14"/>
      <c r="AU4554" s="14"/>
      <c r="AV4554" s="14"/>
      <c r="AW4554" s="15"/>
      <c r="AX4554" s="16"/>
    </row>
    <row r="4555" spans="2:50" x14ac:dyDescent="0.2">
      <c r="B4555" s="7"/>
      <c r="C4555" s="8">
        <v>14814</v>
      </c>
      <c r="D4555" s="9" t="s">
        <v>678</v>
      </c>
      <c r="E4555" s="10" t="str">
        <f t="shared" si="546"/>
        <v>Rancho Upácuaro No. 76</v>
      </c>
      <c r="F4555" s="10" t="str">
        <f t="shared" si="547"/>
        <v>Ruiz de San Pedro</v>
      </c>
      <c r="G4555" s="8">
        <v>1</v>
      </c>
      <c r="H4555" s="11">
        <v>400</v>
      </c>
      <c r="I4555" s="12">
        <v>42946</v>
      </c>
      <c r="J4555" s="35">
        <f t="shared" si="548"/>
        <v>0</v>
      </c>
      <c r="K4555" s="36"/>
      <c r="L4555" s="36"/>
      <c r="M4555" s="36"/>
      <c r="N4555" s="36"/>
      <c r="O4555" s="36"/>
      <c r="P4555" s="36"/>
      <c r="Q4555" s="36"/>
      <c r="R4555" s="36"/>
      <c r="S4555" s="36"/>
      <c r="T4555" s="36"/>
      <c r="U4555" s="36"/>
      <c r="V4555" s="36"/>
      <c r="W4555" s="15">
        <f t="shared" si="549"/>
        <v>0</v>
      </c>
      <c r="X4555" s="36"/>
      <c r="Y4555" s="36"/>
      <c r="Z4555" s="36"/>
      <c r="AA4555" s="36"/>
      <c r="AB4555" s="36"/>
      <c r="AC4555" s="36"/>
      <c r="AD4555" s="36"/>
      <c r="AE4555" s="36">
        <v>400</v>
      </c>
      <c r="AF4555" s="36"/>
      <c r="AG4555" s="36"/>
      <c r="AH4555" s="36"/>
      <c r="AI4555" s="36"/>
      <c r="AJ4555" s="15">
        <f t="shared" si="550"/>
        <v>400</v>
      </c>
      <c r="AK4555" s="14"/>
      <c r="AL4555" s="14"/>
      <c r="AM4555" s="14"/>
      <c r="AN4555" s="14"/>
      <c r="AO4555" s="14"/>
      <c r="AP4555" s="14"/>
      <c r="AQ4555" s="14"/>
      <c r="AR4555" s="14"/>
      <c r="AS4555" s="14"/>
      <c r="AT4555" s="14"/>
      <c r="AU4555" s="14"/>
      <c r="AV4555" s="14"/>
      <c r="AW4555" s="15"/>
      <c r="AX4555" s="16"/>
    </row>
    <row r="4556" spans="2:50" x14ac:dyDescent="0.2">
      <c r="B4556" s="7"/>
      <c r="C4556" s="8">
        <v>14815</v>
      </c>
      <c r="D4556" s="9" t="s">
        <v>655</v>
      </c>
      <c r="E4556" s="10" t="str">
        <f t="shared" si="546"/>
        <v>Rancho La Cuchilla No. 115</v>
      </c>
      <c r="F4556" s="10" t="str">
        <f t="shared" si="547"/>
        <v>Alfaro</v>
      </c>
      <c r="G4556" s="8">
        <v>1</v>
      </c>
      <c r="H4556" s="11">
        <v>800</v>
      </c>
      <c r="I4556" s="12">
        <v>42946</v>
      </c>
      <c r="J4556" s="35">
        <f t="shared" si="548"/>
        <v>0</v>
      </c>
      <c r="K4556" s="36"/>
      <c r="L4556" s="36"/>
      <c r="M4556" s="36"/>
      <c r="N4556" s="36"/>
      <c r="O4556" s="36"/>
      <c r="P4556" s="36"/>
      <c r="Q4556" s="36"/>
      <c r="R4556" s="36"/>
      <c r="S4556" s="36"/>
      <c r="T4556" s="36"/>
      <c r="U4556" s="36"/>
      <c r="V4556" s="36"/>
      <c r="W4556" s="15">
        <f t="shared" si="549"/>
        <v>0</v>
      </c>
      <c r="X4556" s="36">
        <v>400</v>
      </c>
      <c r="Y4556" s="36">
        <v>400</v>
      </c>
      <c r="Z4556" s="36"/>
      <c r="AA4556" s="36"/>
      <c r="AB4556" s="36"/>
      <c r="AC4556" s="36"/>
      <c r="AD4556" s="36"/>
      <c r="AE4556" s="36"/>
      <c r="AF4556" s="36"/>
      <c r="AG4556" s="36"/>
      <c r="AH4556" s="36"/>
      <c r="AI4556" s="36"/>
      <c r="AJ4556" s="15">
        <f t="shared" si="550"/>
        <v>800</v>
      </c>
      <c r="AK4556" s="14"/>
      <c r="AL4556" s="14"/>
      <c r="AM4556" s="14"/>
      <c r="AN4556" s="14"/>
      <c r="AO4556" s="14"/>
      <c r="AP4556" s="14"/>
      <c r="AQ4556" s="14"/>
      <c r="AR4556" s="14"/>
      <c r="AS4556" s="14"/>
      <c r="AT4556" s="14"/>
      <c r="AU4556" s="14"/>
      <c r="AV4556" s="14"/>
      <c r="AW4556" s="15"/>
      <c r="AX4556" s="16"/>
    </row>
    <row r="4557" spans="2:50" x14ac:dyDescent="0.2">
      <c r="B4557" s="7"/>
      <c r="C4557" s="8">
        <v>14815</v>
      </c>
      <c r="D4557" s="9" t="s">
        <v>655</v>
      </c>
      <c r="E4557" s="10" t="str">
        <f t="shared" si="546"/>
        <v>Rancho La Cuchilla No. 115</v>
      </c>
      <c r="F4557" s="10" t="str">
        <f t="shared" si="547"/>
        <v>Alfaro</v>
      </c>
      <c r="G4557" s="8">
        <v>5</v>
      </c>
      <c r="H4557" s="11">
        <v>50</v>
      </c>
      <c r="I4557" s="12">
        <v>42946</v>
      </c>
      <c r="J4557" s="35">
        <f t="shared" si="548"/>
        <v>0</v>
      </c>
      <c r="K4557" s="36"/>
      <c r="L4557" s="36"/>
      <c r="M4557" s="36"/>
      <c r="N4557" s="36"/>
      <c r="O4557" s="36"/>
      <c r="P4557" s="36"/>
      <c r="Q4557" s="36"/>
      <c r="R4557" s="36"/>
      <c r="S4557" s="36"/>
      <c r="T4557" s="36"/>
      <c r="U4557" s="36"/>
      <c r="V4557" s="36"/>
      <c r="W4557" s="15">
        <f t="shared" si="549"/>
        <v>0</v>
      </c>
      <c r="X4557" s="36"/>
      <c r="Y4557" s="36"/>
      <c r="Z4557" s="36"/>
      <c r="AA4557" s="36"/>
      <c r="AB4557" s="36"/>
      <c r="AC4557" s="36"/>
      <c r="AD4557" s="36"/>
      <c r="AE4557" s="36"/>
      <c r="AF4557" s="36"/>
      <c r="AG4557" s="36"/>
      <c r="AH4557" s="36"/>
      <c r="AI4557" s="36"/>
      <c r="AJ4557" s="15">
        <f t="shared" si="550"/>
        <v>0</v>
      </c>
      <c r="AK4557" s="14"/>
      <c r="AL4557" s="14"/>
      <c r="AM4557" s="14"/>
      <c r="AN4557" s="14"/>
      <c r="AO4557" s="14"/>
      <c r="AP4557" s="14"/>
      <c r="AQ4557" s="14"/>
      <c r="AR4557" s="14"/>
      <c r="AS4557" s="14"/>
      <c r="AT4557" s="14"/>
      <c r="AU4557" s="14"/>
      <c r="AV4557" s="14"/>
      <c r="AW4557" s="15"/>
      <c r="AX4557" s="16"/>
    </row>
    <row r="4558" spans="2:50" x14ac:dyDescent="0.2">
      <c r="B4558" s="7"/>
      <c r="C4558" s="8">
        <v>14816</v>
      </c>
      <c r="D4558" s="9" t="s">
        <v>346</v>
      </c>
      <c r="E4558" s="10" t="str">
        <f t="shared" si="546"/>
        <v>Rancho Upácuaro No. 108</v>
      </c>
      <c r="F4558" s="10" t="str">
        <f t="shared" si="547"/>
        <v>Mejía</v>
      </c>
      <c r="G4558" s="8">
        <v>1</v>
      </c>
      <c r="H4558" s="11">
        <v>600</v>
      </c>
      <c r="I4558" s="12">
        <v>42946</v>
      </c>
      <c r="J4558" s="35">
        <f t="shared" si="548"/>
        <v>0</v>
      </c>
      <c r="K4558" s="36"/>
      <c r="L4558" s="36"/>
      <c r="M4558" s="36"/>
      <c r="N4558" s="36"/>
      <c r="O4558" s="36"/>
      <c r="P4558" s="36"/>
      <c r="Q4558" s="36"/>
      <c r="R4558" s="36"/>
      <c r="S4558" s="36"/>
      <c r="T4558" s="36"/>
      <c r="U4558" s="36"/>
      <c r="V4558" s="36"/>
      <c r="W4558" s="15">
        <f t="shared" si="549"/>
        <v>0</v>
      </c>
      <c r="X4558" s="36"/>
      <c r="Y4558" s="36"/>
      <c r="Z4558" s="36"/>
      <c r="AA4558" s="36"/>
      <c r="AB4558" s="36"/>
      <c r="AC4558" s="36"/>
      <c r="AD4558" s="36">
        <v>300</v>
      </c>
      <c r="AE4558" s="36">
        <v>300</v>
      </c>
      <c r="AF4558" s="36"/>
      <c r="AG4558" s="36"/>
      <c r="AH4558" s="36"/>
      <c r="AI4558" s="36"/>
      <c r="AJ4558" s="15">
        <f t="shared" si="550"/>
        <v>600</v>
      </c>
      <c r="AK4558" s="14"/>
      <c r="AL4558" s="14"/>
      <c r="AM4558" s="14"/>
      <c r="AN4558" s="14"/>
      <c r="AO4558" s="14"/>
      <c r="AP4558" s="14"/>
      <c r="AQ4558" s="14"/>
      <c r="AR4558" s="14"/>
      <c r="AS4558" s="14"/>
      <c r="AT4558" s="14"/>
      <c r="AU4558" s="14"/>
      <c r="AV4558" s="14"/>
      <c r="AW4558" s="15"/>
      <c r="AX4558" s="16"/>
    </row>
    <row r="4559" spans="2:50" x14ac:dyDescent="0.2">
      <c r="B4559" s="7"/>
      <c r="C4559" s="8">
        <v>14817</v>
      </c>
      <c r="D4559" s="9" t="s">
        <v>965</v>
      </c>
      <c r="E4559" s="10" t="str">
        <f t="shared" si="546"/>
        <v>Rancho La Cuchilla No. 52</v>
      </c>
      <c r="F4559" s="10" t="str">
        <f t="shared" si="547"/>
        <v>Velázquez</v>
      </c>
      <c r="G4559" s="8">
        <v>1</v>
      </c>
      <c r="H4559" s="11">
        <v>400</v>
      </c>
      <c r="I4559" s="12">
        <v>42946</v>
      </c>
      <c r="J4559" s="35">
        <f t="shared" si="548"/>
        <v>0</v>
      </c>
      <c r="K4559" s="36"/>
      <c r="L4559" s="36"/>
      <c r="M4559" s="36"/>
      <c r="N4559" s="36"/>
      <c r="O4559" s="36"/>
      <c r="P4559" s="36"/>
      <c r="Q4559" s="36"/>
      <c r="R4559" s="36"/>
      <c r="S4559" s="36"/>
      <c r="T4559" s="36"/>
      <c r="U4559" s="36"/>
      <c r="V4559" s="36"/>
      <c r="W4559" s="15">
        <f t="shared" si="549"/>
        <v>0</v>
      </c>
      <c r="X4559" s="36"/>
      <c r="Y4559" s="36"/>
      <c r="Z4559" s="36"/>
      <c r="AA4559" s="36"/>
      <c r="AB4559" s="36"/>
      <c r="AC4559" s="36">
        <v>400</v>
      </c>
      <c r="AD4559" s="36"/>
      <c r="AE4559" s="36"/>
      <c r="AF4559" s="36"/>
      <c r="AG4559" s="36"/>
      <c r="AH4559" s="36"/>
      <c r="AI4559" s="36"/>
      <c r="AJ4559" s="15">
        <f t="shared" si="550"/>
        <v>400</v>
      </c>
      <c r="AK4559" s="14"/>
      <c r="AL4559" s="14"/>
      <c r="AM4559" s="14"/>
      <c r="AN4559" s="14"/>
      <c r="AO4559" s="14"/>
      <c r="AP4559" s="14"/>
      <c r="AQ4559" s="14"/>
      <c r="AR4559" s="14"/>
      <c r="AS4559" s="14"/>
      <c r="AT4559" s="14"/>
      <c r="AU4559" s="14"/>
      <c r="AV4559" s="14"/>
      <c r="AW4559" s="15"/>
      <c r="AX4559" s="16"/>
    </row>
    <row r="4560" spans="2:50" x14ac:dyDescent="0.2">
      <c r="B4560" s="7"/>
      <c r="C4560" s="8">
        <v>14818</v>
      </c>
      <c r="D4560" s="9" t="s">
        <v>1157</v>
      </c>
      <c r="E4560" s="10" t="str">
        <f t="shared" si="546"/>
        <v>Rancho Upácuaro No. 43</v>
      </c>
      <c r="F4560" s="10" t="str">
        <f t="shared" si="547"/>
        <v>Yolanda</v>
      </c>
      <c r="G4560" s="8">
        <v>1</v>
      </c>
      <c r="H4560" s="11">
        <v>400</v>
      </c>
      <c r="I4560" s="12">
        <v>42946</v>
      </c>
      <c r="J4560" s="35">
        <f t="shared" si="548"/>
        <v>0</v>
      </c>
      <c r="K4560" s="36"/>
      <c r="L4560" s="36"/>
      <c r="M4560" s="36"/>
      <c r="N4560" s="36"/>
      <c r="O4560" s="36"/>
      <c r="P4560" s="36"/>
      <c r="Q4560" s="36"/>
      <c r="R4560" s="36"/>
      <c r="S4560" s="36"/>
      <c r="T4560" s="36"/>
      <c r="U4560" s="36"/>
      <c r="V4560" s="36"/>
      <c r="W4560" s="15">
        <f t="shared" si="549"/>
        <v>0</v>
      </c>
      <c r="X4560" s="36"/>
      <c r="Y4560" s="36"/>
      <c r="Z4560" s="36"/>
      <c r="AA4560" s="36">
        <v>200</v>
      </c>
      <c r="AB4560" s="36">
        <v>200</v>
      </c>
      <c r="AC4560" s="36"/>
      <c r="AD4560" s="36"/>
      <c r="AE4560" s="36"/>
      <c r="AF4560" s="36"/>
      <c r="AG4560" s="36"/>
      <c r="AH4560" s="36"/>
      <c r="AI4560" s="36"/>
      <c r="AJ4560" s="15">
        <f t="shared" si="550"/>
        <v>400</v>
      </c>
      <c r="AK4560" s="14"/>
      <c r="AL4560" s="14"/>
      <c r="AM4560" s="14"/>
      <c r="AN4560" s="14"/>
      <c r="AO4560" s="14"/>
      <c r="AP4560" s="14"/>
      <c r="AQ4560" s="14"/>
      <c r="AR4560" s="14"/>
      <c r="AS4560" s="14"/>
      <c r="AT4560" s="14"/>
      <c r="AU4560" s="14"/>
      <c r="AV4560" s="14"/>
      <c r="AW4560" s="15"/>
      <c r="AX4560" s="16"/>
    </row>
    <row r="4561" spans="1:50" x14ac:dyDescent="0.2">
      <c r="B4561" s="7"/>
      <c r="C4561" s="8">
        <v>14819</v>
      </c>
      <c r="D4561" s="9" t="s">
        <v>129</v>
      </c>
      <c r="E4561" s="10" t="str">
        <f t="shared" si="546"/>
        <v>Rancho Zinamba No. 44</v>
      </c>
      <c r="F4561" s="10" t="str">
        <f t="shared" si="547"/>
        <v>Canales</v>
      </c>
      <c r="G4561" s="8">
        <v>1</v>
      </c>
      <c r="H4561" s="11">
        <v>400</v>
      </c>
      <c r="I4561" s="12">
        <v>42946</v>
      </c>
      <c r="J4561" s="35">
        <f t="shared" si="548"/>
        <v>0</v>
      </c>
      <c r="K4561" s="36"/>
      <c r="L4561" s="36"/>
      <c r="M4561" s="36"/>
      <c r="N4561" s="36"/>
      <c r="O4561" s="36"/>
      <c r="P4561" s="36"/>
      <c r="Q4561" s="36"/>
      <c r="R4561" s="36"/>
      <c r="S4561" s="36"/>
      <c r="T4561" s="36"/>
      <c r="U4561" s="36"/>
      <c r="V4561" s="36"/>
      <c r="W4561" s="15">
        <f t="shared" si="549"/>
        <v>0</v>
      </c>
      <c r="X4561" s="36"/>
      <c r="Y4561" s="36"/>
      <c r="Z4561" s="36"/>
      <c r="AA4561" s="36"/>
      <c r="AB4561" s="36"/>
      <c r="AC4561" s="36"/>
      <c r="AD4561" s="36"/>
      <c r="AE4561" s="36">
        <v>400</v>
      </c>
      <c r="AF4561" s="36"/>
      <c r="AG4561" s="36"/>
      <c r="AH4561" s="36"/>
      <c r="AI4561" s="36"/>
      <c r="AJ4561" s="15">
        <f t="shared" si="550"/>
        <v>400</v>
      </c>
      <c r="AK4561" s="14"/>
      <c r="AL4561" s="14"/>
      <c r="AM4561" s="14"/>
      <c r="AN4561" s="14"/>
      <c r="AO4561" s="14"/>
      <c r="AP4561" s="14"/>
      <c r="AQ4561" s="14"/>
      <c r="AR4561" s="14"/>
      <c r="AS4561" s="14"/>
      <c r="AT4561" s="14"/>
      <c r="AU4561" s="14"/>
      <c r="AV4561" s="14"/>
      <c r="AW4561" s="15"/>
      <c r="AX4561" s="16"/>
    </row>
    <row r="4562" spans="1:50" x14ac:dyDescent="0.2">
      <c r="B4562" s="7"/>
      <c r="C4562" s="8">
        <v>14820</v>
      </c>
      <c r="D4562" s="9" t="s">
        <v>628</v>
      </c>
      <c r="E4562" s="10" t="str">
        <f t="shared" si="546"/>
        <v>Rancho Landero No. 51</v>
      </c>
      <c r="F4562" s="10" t="str">
        <f t="shared" si="547"/>
        <v>H. Robles Tamayo</v>
      </c>
      <c r="G4562" s="8">
        <v>1</v>
      </c>
      <c r="H4562" s="11">
        <v>400</v>
      </c>
      <c r="I4562" s="12">
        <v>42946</v>
      </c>
      <c r="J4562" s="35">
        <f t="shared" si="548"/>
        <v>0</v>
      </c>
      <c r="K4562" s="36"/>
      <c r="L4562" s="36"/>
      <c r="M4562" s="36"/>
      <c r="N4562" s="36"/>
      <c r="O4562" s="36"/>
      <c r="P4562" s="36"/>
      <c r="Q4562" s="36"/>
      <c r="R4562" s="36"/>
      <c r="S4562" s="36"/>
      <c r="T4562" s="36"/>
      <c r="U4562" s="36"/>
      <c r="V4562" s="36"/>
      <c r="W4562" s="15">
        <f t="shared" si="549"/>
        <v>0</v>
      </c>
      <c r="X4562" s="36"/>
      <c r="Y4562" s="36"/>
      <c r="Z4562" s="36"/>
      <c r="AA4562" s="36"/>
      <c r="AB4562" s="36"/>
      <c r="AC4562" s="36"/>
      <c r="AD4562" s="36">
        <v>400</v>
      </c>
      <c r="AE4562" s="36"/>
      <c r="AF4562" s="36"/>
      <c r="AG4562" s="36"/>
      <c r="AH4562" s="36"/>
      <c r="AI4562" s="36"/>
      <c r="AJ4562" s="15">
        <f t="shared" si="550"/>
        <v>400</v>
      </c>
      <c r="AK4562" s="14"/>
      <c r="AL4562" s="14"/>
      <c r="AM4562" s="14"/>
      <c r="AN4562" s="14"/>
      <c r="AO4562" s="14"/>
      <c r="AP4562" s="14"/>
      <c r="AQ4562" s="14"/>
      <c r="AR4562" s="14"/>
      <c r="AS4562" s="14"/>
      <c r="AT4562" s="14"/>
      <c r="AU4562" s="14"/>
      <c r="AV4562" s="14"/>
      <c r="AW4562" s="15"/>
      <c r="AX4562" s="16"/>
    </row>
    <row r="4563" spans="1:50" x14ac:dyDescent="0.2">
      <c r="B4563" s="7"/>
      <c r="C4563" s="8">
        <v>14821</v>
      </c>
      <c r="D4563" s="9" t="s">
        <v>165</v>
      </c>
      <c r="E4563" s="10" t="str">
        <f t="shared" ref="E4563:E4568" si="551">IF(D4563=0,"",VLOOKUP(D4563,BASE,2,FALSE))</f>
        <v>Rancho Upácuaro No. 23</v>
      </c>
      <c r="F4563" s="10" t="str">
        <f t="shared" ref="F4563:F4568" si="552">IF(D4563=0,"",VLOOKUP(D4563,BASE,3,FALSE))</f>
        <v>Gutièrrez Muñòz</v>
      </c>
      <c r="G4563" s="8">
        <v>1</v>
      </c>
      <c r="H4563" s="11">
        <v>700</v>
      </c>
      <c r="I4563" s="12">
        <v>42946</v>
      </c>
      <c r="J4563" s="35">
        <f t="shared" ref="J4563:J4568" si="553">IF(G4563=1,SUM(W4563,AJ4563,-H4563),0)</f>
        <v>0</v>
      </c>
      <c r="K4563" s="36"/>
      <c r="L4563" s="36"/>
      <c r="M4563" s="36"/>
      <c r="N4563" s="36"/>
      <c r="O4563" s="36"/>
      <c r="P4563" s="36"/>
      <c r="Q4563" s="36"/>
      <c r="R4563" s="36"/>
      <c r="S4563" s="36"/>
      <c r="T4563" s="36"/>
      <c r="U4563" s="36"/>
      <c r="V4563" s="36"/>
      <c r="W4563" s="15">
        <f t="shared" ref="W4563:W4568" si="554">SUM(K4563:V4563)</f>
        <v>0</v>
      </c>
      <c r="X4563" s="36"/>
      <c r="Y4563" s="36"/>
      <c r="Z4563" s="36"/>
      <c r="AA4563" s="36"/>
      <c r="AB4563" s="36"/>
      <c r="AC4563" s="36"/>
      <c r="AD4563" s="36"/>
      <c r="AE4563" s="36">
        <v>350</v>
      </c>
      <c r="AF4563" s="36">
        <v>350</v>
      </c>
      <c r="AG4563" s="36"/>
      <c r="AH4563" s="36"/>
      <c r="AI4563" s="36"/>
      <c r="AJ4563" s="15">
        <f t="shared" ref="AJ4563:AJ4568" si="555">SUM(X4563:AI4563)</f>
        <v>700</v>
      </c>
      <c r="AK4563" s="14"/>
      <c r="AL4563" s="14"/>
      <c r="AM4563" s="14"/>
      <c r="AN4563" s="14"/>
      <c r="AO4563" s="14"/>
      <c r="AP4563" s="14"/>
      <c r="AQ4563" s="14"/>
      <c r="AR4563" s="14"/>
      <c r="AS4563" s="14"/>
      <c r="AT4563" s="14"/>
      <c r="AU4563" s="14"/>
      <c r="AV4563" s="14"/>
      <c r="AW4563" s="15"/>
      <c r="AX4563" s="16"/>
    </row>
    <row r="4564" spans="1:50" x14ac:dyDescent="0.2">
      <c r="B4564" s="7"/>
      <c r="C4564" s="8">
        <v>14822</v>
      </c>
      <c r="D4564" s="9" t="s">
        <v>1039</v>
      </c>
      <c r="E4564" s="10" t="str">
        <f t="shared" si="551"/>
        <v>Rancho Upácuaro No. 77</v>
      </c>
      <c r="F4564" s="10" t="str">
        <f t="shared" si="552"/>
        <v>Alvarado</v>
      </c>
      <c r="G4564" s="8">
        <v>1</v>
      </c>
      <c r="H4564" s="11">
        <v>400</v>
      </c>
      <c r="I4564" s="12">
        <v>42946</v>
      </c>
      <c r="J4564" s="35">
        <f t="shared" si="553"/>
        <v>0</v>
      </c>
      <c r="K4564" s="36"/>
      <c r="L4564" s="36"/>
      <c r="M4564" s="36"/>
      <c r="N4564" s="36"/>
      <c r="O4564" s="36"/>
      <c r="P4564" s="36"/>
      <c r="Q4564" s="36"/>
      <c r="R4564" s="36"/>
      <c r="S4564" s="36"/>
      <c r="T4564" s="36"/>
      <c r="U4564" s="36"/>
      <c r="V4564" s="36"/>
      <c r="W4564" s="15">
        <f t="shared" si="554"/>
        <v>0</v>
      </c>
      <c r="X4564" s="36"/>
      <c r="Y4564" s="36"/>
      <c r="Z4564" s="36"/>
      <c r="AA4564" s="36"/>
      <c r="AB4564" s="36"/>
      <c r="AC4564" s="36"/>
      <c r="AD4564" s="36">
        <v>400</v>
      </c>
      <c r="AE4564" s="36"/>
      <c r="AF4564" s="36"/>
      <c r="AG4564" s="36"/>
      <c r="AH4564" s="36"/>
      <c r="AI4564" s="36"/>
      <c r="AJ4564" s="15">
        <f t="shared" si="555"/>
        <v>400</v>
      </c>
      <c r="AK4564" s="14"/>
      <c r="AL4564" s="14"/>
      <c r="AM4564" s="14"/>
      <c r="AN4564" s="14"/>
      <c r="AO4564" s="14"/>
      <c r="AP4564" s="14"/>
      <c r="AQ4564" s="14"/>
      <c r="AR4564" s="14"/>
      <c r="AS4564" s="14"/>
      <c r="AT4564" s="14"/>
      <c r="AU4564" s="14"/>
      <c r="AV4564" s="14"/>
      <c r="AW4564" s="15"/>
      <c r="AX4564" s="16"/>
    </row>
    <row r="4565" spans="1:50" x14ac:dyDescent="0.2">
      <c r="B4565" s="7"/>
      <c r="C4565" s="8">
        <v>14823</v>
      </c>
      <c r="D4565" s="9" t="s">
        <v>387</v>
      </c>
      <c r="E4565" s="10" t="str">
        <f t="shared" si="551"/>
        <v>Rancho Upácuaro No. 69</v>
      </c>
      <c r="F4565" s="10" t="str">
        <f t="shared" si="552"/>
        <v>Gómez</v>
      </c>
      <c r="G4565" s="8">
        <v>1</v>
      </c>
      <c r="H4565" s="11">
        <v>1200</v>
      </c>
      <c r="I4565" s="12">
        <v>42946</v>
      </c>
      <c r="J4565" s="35">
        <f t="shared" si="553"/>
        <v>0</v>
      </c>
      <c r="K4565" s="36"/>
      <c r="L4565" s="36"/>
      <c r="M4565" s="36"/>
      <c r="N4565" s="36"/>
      <c r="O4565" s="36"/>
      <c r="P4565" s="36"/>
      <c r="Q4565" s="36"/>
      <c r="R4565" s="36"/>
      <c r="S4565" s="36"/>
      <c r="T4565" s="36"/>
      <c r="U4565" s="36"/>
      <c r="V4565" s="36"/>
      <c r="W4565" s="15">
        <f t="shared" si="554"/>
        <v>0</v>
      </c>
      <c r="X4565" s="36"/>
      <c r="Y4565" s="36"/>
      <c r="Z4565" s="36"/>
      <c r="AA4565" s="36"/>
      <c r="AB4565" s="36">
        <v>400</v>
      </c>
      <c r="AC4565" s="36">
        <v>400</v>
      </c>
      <c r="AD4565" s="36">
        <v>400</v>
      </c>
      <c r="AE4565" s="36"/>
      <c r="AF4565" s="36"/>
      <c r="AG4565" s="36"/>
      <c r="AH4565" s="36"/>
      <c r="AI4565" s="36"/>
      <c r="AJ4565" s="15">
        <f t="shared" si="555"/>
        <v>1200</v>
      </c>
      <c r="AK4565" s="14"/>
      <c r="AL4565" s="14"/>
      <c r="AM4565" s="14"/>
      <c r="AN4565" s="14"/>
      <c r="AO4565" s="14"/>
      <c r="AP4565" s="14"/>
      <c r="AQ4565" s="14"/>
      <c r="AR4565" s="14"/>
      <c r="AS4565" s="14"/>
      <c r="AT4565" s="14"/>
      <c r="AU4565" s="14"/>
      <c r="AV4565" s="14"/>
      <c r="AW4565" s="15"/>
      <c r="AX4565" s="16"/>
    </row>
    <row r="4566" spans="1:50" x14ac:dyDescent="0.2">
      <c r="B4566" s="7"/>
      <c r="C4566" s="8">
        <v>14824</v>
      </c>
      <c r="D4566" s="9" t="s">
        <v>803</v>
      </c>
      <c r="E4566" s="10" t="str">
        <f t="shared" si="551"/>
        <v>Rancho La Cuchilla No. 36</v>
      </c>
      <c r="F4566" s="10" t="str">
        <f t="shared" si="552"/>
        <v>Castillo</v>
      </c>
      <c r="G4566" s="8">
        <v>1</v>
      </c>
      <c r="H4566" s="11">
        <v>800</v>
      </c>
      <c r="I4566" s="12">
        <v>42946</v>
      </c>
      <c r="J4566" s="35">
        <f t="shared" si="553"/>
        <v>0</v>
      </c>
      <c r="K4566" s="36"/>
      <c r="L4566" s="36"/>
      <c r="M4566" s="36"/>
      <c r="N4566" s="36"/>
      <c r="O4566" s="36"/>
      <c r="P4566" s="36"/>
      <c r="Q4566" s="36"/>
      <c r="R4566" s="36"/>
      <c r="S4566" s="36"/>
      <c r="T4566" s="36"/>
      <c r="U4566" s="36"/>
      <c r="V4566" s="36"/>
      <c r="W4566" s="15">
        <f t="shared" si="554"/>
        <v>0</v>
      </c>
      <c r="X4566" s="36"/>
      <c r="Y4566" s="36"/>
      <c r="Z4566" s="36"/>
      <c r="AA4566" s="36"/>
      <c r="AB4566" s="36"/>
      <c r="AC4566" s="36">
        <v>400</v>
      </c>
      <c r="AD4566" s="36">
        <v>400</v>
      </c>
      <c r="AE4566" s="36"/>
      <c r="AF4566" s="36"/>
      <c r="AG4566" s="36"/>
      <c r="AH4566" s="36"/>
      <c r="AI4566" s="36"/>
      <c r="AJ4566" s="15">
        <f t="shared" si="555"/>
        <v>800</v>
      </c>
      <c r="AK4566" s="14"/>
      <c r="AL4566" s="14"/>
      <c r="AM4566" s="14"/>
      <c r="AN4566" s="14"/>
      <c r="AO4566" s="14"/>
      <c r="AP4566" s="14"/>
      <c r="AQ4566" s="14"/>
      <c r="AR4566" s="14"/>
      <c r="AS4566" s="14"/>
      <c r="AT4566" s="14"/>
      <c r="AU4566" s="14"/>
      <c r="AV4566" s="14"/>
      <c r="AW4566" s="15"/>
      <c r="AX4566" s="316">
        <f>SUM(H4541:H4566)</f>
        <v>16400</v>
      </c>
    </row>
    <row r="4567" spans="1:50" x14ac:dyDescent="0.2">
      <c r="B4567" s="7"/>
      <c r="C4567" s="8">
        <v>14830</v>
      </c>
      <c r="D4567" s="9" t="s">
        <v>208</v>
      </c>
      <c r="E4567" s="10" t="str">
        <f t="shared" si="551"/>
        <v>Rancho La Cuchilla No. 29</v>
      </c>
      <c r="F4567" s="10" t="str">
        <f t="shared" si="552"/>
        <v>Vega Sánchez C.</v>
      </c>
      <c r="G4567" s="8">
        <v>1</v>
      </c>
      <c r="H4567" s="11">
        <v>400</v>
      </c>
      <c r="I4567" s="12">
        <v>42923</v>
      </c>
      <c r="J4567" s="35">
        <f t="shared" si="553"/>
        <v>0</v>
      </c>
      <c r="K4567" s="36"/>
      <c r="L4567" s="36"/>
      <c r="M4567" s="36"/>
      <c r="N4567" s="36"/>
      <c r="O4567" s="36"/>
      <c r="P4567" s="36"/>
      <c r="Q4567" s="36"/>
      <c r="R4567" s="36"/>
      <c r="S4567" s="36"/>
      <c r="T4567" s="36"/>
      <c r="U4567" s="36"/>
      <c r="V4567" s="36"/>
      <c r="W4567" s="15">
        <f t="shared" si="554"/>
        <v>0</v>
      </c>
      <c r="X4567" s="36"/>
      <c r="Y4567" s="36"/>
      <c r="Z4567" s="36"/>
      <c r="AA4567" s="36"/>
      <c r="AB4567" s="36"/>
      <c r="AC4567" s="36"/>
      <c r="AD4567" s="36">
        <v>400</v>
      </c>
      <c r="AE4567" s="36"/>
      <c r="AF4567" s="36"/>
      <c r="AG4567" s="36"/>
      <c r="AH4567" s="36"/>
      <c r="AI4567" s="36"/>
      <c r="AJ4567" s="15">
        <f t="shared" si="555"/>
        <v>400</v>
      </c>
      <c r="AK4567" s="14"/>
      <c r="AL4567" s="14"/>
      <c r="AM4567" s="14"/>
      <c r="AN4567" s="14"/>
      <c r="AO4567" s="14"/>
      <c r="AP4567" s="14"/>
      <c r="AQ4567" s="14"/>
      <c r="AR4567" s="14"/>
      <c r="AS4567" s="14"/>
      <c r="AT4567" s="14"/>
      <c r="AU4567" s="14"/>
      <c r="AV4567" s="14"/>
      <c r="AW4567" s="15"/>
      <c r="AX4567" s="16"/>
    </row>
    <row r="4568" spans="1:50" x14ac:dyDescent="0.2">
      <c r="A4568" s="320" t="s">
        <v>2884</v>
      </c>
      <c r="B4568" s="7"/>
      <c r="C4568" s="8">
        <v>14831</v>
      </c>
      <c r="D4568" s="9" t="s">
        <v>211</v>
      </c>
      <c r="E4568" s="10" t="str">
        <f t="shared" si="551"/>
        <v>Rancho Upácuaro No. 46</v>
      </c>
      <c r="F4568" s="10" t="str">
        <f t="shared" si="552"/>
        <v>Fuentes</v>
      </c>
      <c r="G4568" s="8">
        <v>1</v>
      </c>
      <c r="H4568" s="11">
        <v>300</v>
      </c>
      <c r="I4568" s="12">
        <v>42927</v>
      </c>
      <c r="J4568" s="35">
        <f t="shared" si="553"/>
        <v>0</v>
      </c>
      <c r="K4568" s="36"/>
      <c r="L4568" s="36"/>
      <c r="M4568" s="36"/>
      <c r="N4568" s="36"/>
      <c r="O4568" s="36"/>
      <c r="P4568" s="36"/>
      <c r="Q4568" s="36"/>
      <c r="R4568" s="36"/>
      <c r="S4568" s="36"/>
      <c r="T4568" s="36"/>
      <c r="U4568" s="36"/>
      <c r="V4568" s="36"/>
      <c r="W4568" s="15">
        <f t="shared" si="554"/>
        <v>0</v>
      </c>
      <c r="X4568" s="36"/>
      <c r="Y4568" s="36"/>
      <c r="Z4568" s="36"/>
      <c r="AA4568" s="36"/>
      <c r="AB4568" s="36"/>
      <c r="AC4568" s="36"/>
      <c r="AD4568" s="36">
        <v>300</v>
      </c>
      <c r="AE4568" s="36"/>
      <c r="AF4568" s="36"/>
      <c r="AG4568" s="36"/>
      <c r="AH4568" s="36"/>
      <c r="AI4568" s="36"/>
      <c r="AJ4568" s="15">
        <f t="shared" si="555"/>
        <v>300</v>
      </c>
      <c r="AK4568" s="14"/>
      <c r="AL4568" s="14"/>
      <c r="AM4568" s="14"/>
      <c r="AN4568" s="14"/>
      <c r="AO4568" s="14"/>
      <c r="AP4568" s="14"/>
      <c r="AQ4568" s="14"/>
      <c r="AR4568" s="14"/>
      <c r="AS4568" s="14"/>
      <c r="AT4568" s="14"/>
      <c r="AU4568" s="14"/>
      <c r="AV4568" s="14"/>
      <c r="AW4568" s="15"/>
      <c r="AX4568" s="16"/>
    </row>
    <row r="4569" spans="1:50" x14ac:dyDescent="0.2">
      <c r="B4569" s="7"/>
      <c r="C4569" s="8"/>
      <c r="D4569" s="9" t="s">
        <v>806</v>
      </c>
      <c r="E4569" s="10" t="str">
        <f t="shared" ref="E4569:E4575" si="556">IF(D4569=0,"",VLOOKUP(D4569,BASE,2,FALSE))</f>
        <v>Rancho Estanzuela No. 130, A</v>
      </c>
      <c r="F4569" s="10" t="str">
        <f t="shared" ref="F4569:F4575" si="557">IF(D4569=0,"",VLOOKUP(D4569,BASE,3,FALSE))</f>
        <v>Colegio Carmel</v>
      </c>
      <c r="G4569" s="8">
        <v>1</v>
      </c>
      <c r="H4569" s="11">
        <v>11000</v>
      </c>
      <c r="I4569" s="12">
        <v>42937</v>
      </c>
      <c r="J4569" s="35">
        <f t="shared" ref="J4569:J4575" si="558">IF(G4569=1,SUM(W4569,AJ4569,-H4569),0)</f>
        <v>0</v>
      </c>
      <c r="K4569" s="36"/>
      <c r="L4569" s="36"/>
      <c r="M4569" s="36"/>
      <c r="N4569" s="36"/>
      <c r="O4569" s="36"/>
      <c r="P4569" s="36"/>
      <c r="Q4569" s="36"/>
      <c r="R4569" s="36"/>
      <c r="S4569" s="36"/>
      <c r="T4569" s="36"/>
      <c r="U4569" s="36"/>
      <c r="V4569" s="36"/>
      <c r="W4569" s="15">
        <f t="shared" ref="W4569:W4575" si="559">SUM(K4569:V4569)</f>
        <v>0</v>
      </c>
      <c r="X4569" s="36"/>
      <c r="Y4569" s="36"/>
      <c r="Z4569" s="36"/>
      <c r="AA4569" s="36"/>
      <c r="AB4569" s="36"/>
      <c r="AC4569" s="36"/>
      <c r="AD4569" s="36">
        <v>11000</v>
      </c>
      <c r="AE4569" s="36"/>
      <c r="AF4569" s="36"/>
      <c r="AG4569" s="36"/>
      <c r="AH4569" s="36"/>
      <c r="AI4569" s="36"/>
      <c r="AJ4569" s="15">
        <f t="shared" ref="AJ4569:AJ4575" si="560">SUM(X4569:AI4569)</f>
        <v>11000</v>
      </c>
      <c r="AK4569" s="14"/>
      <c r="AL4569" s="14"/>
      <c r="AM4569" s="14"/>
      <c r="AN4569" s="14"/>
      <c r="AO4569" s="14"/>
      <c r="AP4569" s="14"/>
      <c r="AQ4569" s="14"/>
      <c r="AR4569" s="14"/>
      <c r="AS4569" s="14"/>
      <c r="AT4569" s="14"/>
      <c r="AU4569" s="14"/>
      <c r="AV4569" s="14"/>
      <c r="AW4569" s="15"/>
      <c r="AX4569" s="316">
        <f>SUM(H4385:H4569)</f>
        <v>98875</v>
      </c>
    </row>
    <row r="4570" spans="1:50" x14ac:dyDescent="0.2">
      <c r="B4570" s="7"/>
      <c r="C4570" s="8"/>
      <c r="D4570" s="9"/>
      <c r="E4570" s="10" t="str">
        <f t="shared" si="556"/>
        <v/>
      </c>
      <c r="F4570" s="10" t="str">
        <f t="shared" si="557"/>
        <v/>
      </c>
      <c r="G4570" s="8"/>
      <c r="H4570" s="11"/>
      <c r="I4570" s="12"/>
      <c r="J4570" s="35">
        <f t="shared" si="558"/>
        <v>0</v>
      </c>
      <c r="K4570" s="36"/>
      <c r="L4570" s="36"/>
      <c r="M4570" s="36"/>
      <c r="N4570" s="36"/>
      <c r="O4570" s="36"/>
      <c r="P4570" s="36"/>
      <c r="Q4570" s="36"/>
      <c r="R4570" s="36"/>
      <c r="S4570" s="36"/>
      <c r="T4570" s="36"/>
      <c r="U4570" s="36"/>
      <c r="V4570" s="36"/>
      <c r="W4570" s="15">
        <f t="shared" si="559"/>
        <v>0</v>
      </c>
      <c r="X4570" s="36"/>
      <c r="Y4570" s="36"/>
      <c r="Z4570" s="36"/>
      <c r="AA4570" s="36"/>
      <c r="AB4570" s="36"/>
      <c r="AC4570" s="36"/>
      <c r="AD4570" s="36"/>
      <c r="AE4570" s="36"/>
      <c r="AF4570" s="36"/>
      <c r="AG4570" s="36"/>
      <c r="AH4570" s="36"/>
      <c r="AI4570" s="36"/>
      <c r="AJ4570" s="15">
        <f t="shared" si="560"/>
        <v>0</v>
      </c>
      <c r="AK4570" s="14"/>
      <c r="AL4570" s="14"/>
      <c r="AM4570" s="14"/>
      <c r="AN4570" s="14"/>
      <c r="AO4570" s="14"/>
      <c r="AP4570" s="14"/>
      <c r="AQ4570" s="14"/>
      <c r="AR4570" s="14"/>
      <c r="AS4570" s="14"/>
      <c r="AT4570" s="14"/>
      <c r="AU4570" s="14"/>
      <c r="AV4570" s="14"/>
      <c r="AW4570" s="15"/>
      <c r="AX4570" s="16"/>
    </row>
    <row r="4571" spans="1:50" ht="22.5" x14ac:dyDescent="0.2">
      <c r="A4571" s="2"/>
      <c r="B4571" s="3" t="s">
        <v>1</v>
      </c>
      <c r="C4571" s="3" t="s">
        <v>2</v>
      </c>
      <c r="D4571" s="3" t="s">
        <v>3</v>
      </c>
      <c r="E4571" s="337" t="s">
        <v>4</v>
      </c>
      <c r="F4571" s="337" t="s">
        <v>5</v>
      </c>
      <c r="G4571" s="3" t="s">
        <v>6</v>
      </c>
      <c r="H4571" s="3" t="s">
        <v>7</v>
      </c>
      <c r="I4571" s="3" t="s">
        <v>8</v>
      </c>
      <c r="J4571" s="337" t="s">
        <v>9</v>
      </c>
      <c r="K4571" s="4" t="s">
        <v>10</v>
      </c>
      <c r="L4571" s="4" t="s">
        <v>11</v>
      </c>
      <c r="M4571" s="4" t="s">
        <v>12</v>
      </c>
      <c r="N4571" s="4" t="s">
        <v>13</v>
      </c>
      <c r="O4571" s="4" t="s">
        <v>14</v>
      </c>
      <c r="P4571" s="4" t="s">
        <v>15</v>
      </c>
      <c r="Q4571" s="4" t="s">
        <v>16</v>
      </c>
      <c r="R4571" s="4" t="s">
        <v>17</v>
      </c>
      <c r="S4571" s="4" t="s">
        <v>18</v>
      </c>
      <c r="T4571" s="4" t="s">
        <v>19</v>
      </c>
      <c r="U4571" s="4" t="s">
        <v>20</v>
      </c>
      <c r="V4571" s="4" t="s">
        <v>21</v>
      </c>
      <c r="W4571" s="338" t="s">
        <v>22</v>
      </c>
      <c r="X4571" s="4" t="s">
        <v>23</v>
      </c>
      <c r="Y4571" s="4" t="s">
        <v>24</v>
      </c>
      <c r="Z4571" s="4" t="s">
        <v>25</v>
      </c>
      <c r="AA4571" s="4" t="s">
        <v>26</v>
      </c>
      <c r="AB4571" s="4" t="s">
        <v>27</v>
      </c>
      <c r="AC4571" s="4" t="s">
        <v>28</v>
      </c>
      <c r="AD4571" s="4" t="s">
        <v>29</v>
      </c>
      <c r="AE4571" s="4" t="s">
        <v>30</v>
      </c>
      <c r="AF4571" s="4" t="s">
        <v>31</v>
      </c>
      <c r="AG4571" s="4" t="s">
        <v>32</v>
      </c>
      <c r="AH4571" s="4" t="s">
        <v>33</v>
      </c>
      <c r="AI4571" s="4" t="s">
        <v>34</v>
      </c>
      <c r="AJ4571" s="338" t="s">
        <v>35</v>
      </c>
      <c r="AK4571" s="4" t="s">
        <v>4607</v>
      </c>
      <c r="AL4571" s="4" t="s">
        <v>4608</v>
      </c>
      <c r="AM4571" s="4" t="s">
        <v>4609</v>
      </c>
      <c r="AN4571" s="4" t="s">
        <v>4610</v>
      </c>
      <c r="AO4571" s="4" t="s">
        <v>4611</v>
      </c>
      <c r="AP4571" s="4" t="s">
        <v>4612</v>
      </c>
      <c r="AQ4571" s="4" t="s">
        <v>4613</v>
      </c>
      <c r="AR4571" s="4" t="s">
        <v>4614</v>
      </c>
      <c r="AS4571" s="4" t="s">
        <v>4615</v>
      </c>
      <c r="AT4571" s="4" t="s">
        <v>4616</v>
      </c>
      <c r="AU4571" s="4" t="s">
        <v>4617</v>
      </c>
      <c r="AV4571" s="4" t="s">
        <v>4618</v>
      </c>
      <c r="AW4571" s="338" t="s">
        <v>4619</v>
      </c>
      <c r="AX4571" s="6" t="s">
        <v>36</v>
      </c>
    </row>
    <row r="4572" spans="1:50" x14ac:dyDescent="0.2">
      <c r="B4572" s="7"/>
      <c r="C4572" s="8">
        <v>14825</v>
      </c>
      <c r="D4572" s="9" t="s">
        <v>205</v>
      </c>
      <c r="E4572" s="10" t="str">
        <f t="shared" si="556"/>
        <v>Rancho Landero No. 1, A</v>
      </c>
      <c r="F4572" s="10" t="str">
        <f t="shared" si="557"/>
        <v>Ebysos</v>
      </c>
      <c r="G4572" s="8">
        <v>1</v>
      </c>
      <c r="H4572" s="11">
        <v>600</v>
      </c>
      <c r="I4572" s="12">
        <v>42948</v>
      </c>
      <c r="J4572" s="35">
        <f t="shared" si="558"/>
        <v>0</v>
      </c>
      <c r="K4572" s="36"/>
      <c r="L4572" s="36"/>
      <c r="M4572" s="36"/>
      <c r="N4572" s="36"/>
      <c r="O4572" s="36"/>
      <c r="P4572" s="36"/>
      <c r="Q4572" s="36"/>
      <c r="R4572" s="36"/>
      <c r="S4572" s="36"/>
      <c r="T4572" s="36"/>
      <c r="U4572" s="36"/>
      <c r="V4572" s="36"/>
      <c r="W4572" s="15">
        <f t="shared" si="559"/>
        <v>0</v>
      </c>
      <c r="X4572" s="36"/>
      <c r="Y4572" s="36"/>
      <c r="Z4572" s="36"/>
      <c r="AA4572" s="36"/>
      <c r="AB4572" s="36"/>
      <c r="AC4572" s="36"/>
      <c r="AD4572" s="36">
        <v>600</v>
      </c>
      <c r="AE4572" s="36"/>
      <c r="AF4572" s="36"/>
      <c r="AG4572" s="36"/>
      <c r="AH4572" s="36"/>
      <c r="AI4572" s="36"/>
      <c r="AJ4572" s="15">
        <f t="shared" si="560"/>
        <v>600</v>
      </c>
      <c r="AK4572" s="14"/>
      <c r="AL4572" s="14"/>
      <c r="AM4572" s="14"/>
      <c r="AN4572" s="14"/>
      <c r="AO4572" s="14"/>
      <c r="AP4572" s="14"/>
      <c r="AQ4572" s="14"/>
      <c r="AR4572" s="14"/>
      <c r="AS4572" s="14"/>
      <c r="AT4572" s="14"/>
      <c r="AU4572" s="14"/>
      <c r="AV4572" s="14"/>
      <c r="AW4572" s="15"/>
      <c r="AX4572" s="16"/>
    </row>
    <row r="4573" spans="1:50" x14ac:dyDescent="0.2">
      <c r="B4573" s="7"/>
      <c r="C4573" s="8">
        <v>14826</v>
      </c>
      <c r="D4573" s="9" t="s">
        <v>852</v>
      </c>
      <c r="E4573" s="10" t="str">
        <f t="shared" si="556"/>
        <v>Rancho La Cuchilla No. 97</v>
      </c>
      <c r="F4573" s="10" t="str">
        <f t="shared" si="557"/>
        <v>López Ruiz</v>
      </c>
      <c r="G4573" s="8">
        <v>1</v>
      </c>
      <c r="H4573" s="11">
        <v>900</v>
      </c>
      <c r="I4573" s="12">
        <v>42948</v>
      </c>
      <c r="J4573" s="35">
        <f t="shared" si="558"/>
        <v>0</v>
      </c>
      <c r="K4573" s="36"/>
      <c r="L4573" s="36"/>
      <c r="M4573" s="36"/>
      <c r="N4573" s="36"/>
      <c r="O4573" s="36"/>
      <c r="P4573" s="36"/>
      <c r="Q4573" s="36"/>
      <c r="R4573" s="36"/>
      <c r="S4573" s="36"/>
      <c r="T4573" s="36"/>
      <c r="U4573" s="36"/>
      <c r="V4573" s="36"/>
      <c r="W4573" s="15">
        <f t="shared" si="559"/>
        <v>0</v>
      </c>
      <c r="X4573" s="36"/>
      <c r="Y4573" s="36"/>
      <c r="Z4573" s="36"/>
      <c r="AA4573" s="36"/>
      <c r="AB4573" s="36"/>
      <c r="AC4573" s="36">
        <v>300</v>
      </c>
      <c r="AD4573" s="36">
        <v>300</v>
      </c>
      <c r="AE4573" s="36">
        <v>300</v>
      </c>
      <c r="AF4573" s="36"/>
      <c r="AG4573" s="36"/>
      <c r="AH4573" s="36"/>
      <c r="AI4573" s="36"/>
      <c r="AJ4573" s="15">
        <f t="shared" si="560"/>
        <v>900</v>
      </c>
      <c r="AK4573" s="14"/>
      <c r="AL4573" s="14"/>
      <c r="AM4573" s="14"/>
      <c r="AN4573" s="14"/>
      <c r="AO4573" s="14"/>
      <c r="AP4573" s="14"/>
      <c r="AQ4573" s="14"/>
      <c r="AR4573" s="14"/>
      <c r="AS4573" s="14"/>
      <c r="AT4573" s="14"/>
      <c r="AU4573" s="14"/>
      <c r="AV4573" s="14"/>
      <c r="AW4573" s="15"/>
      <c r="AX4573" s="16"/>
    </row>
    <row r="4574" spans="1:50" x14ac:dyDescent="0.2">
      <c r="B4574" s="7"/>
      <c r="C4574" s="8">
        <v>14827</v>
      </c>
      <c r="D4574" s="9" t="s">
        <v>494</v>
      </c>
      <c r="E4574" s="10" t="str">
        <f t="shared" si="556"/>
        <v>Rancho Landero No. 2, B</v>
      </c>
      <c r="F4574" s="10" t="str">
        <f t="shared" si="557"/>
        <v>Pack Mail</v>
      </c>
      <c r="G4574" s="8">
        <v>1</v>
      </c>
      <c r="H4574" s="11">
        <v>450</v>
      </c>
      <c r="I4574" s="12">
        <v>42948</v>
      </c>
      <c r="J4574" s="35">
        <f t="shared" si="558"/>
        <v>0</v>
      </c>
      <c r="K4574" s="36"/>
      <c r="L4574" s="36"/>
      <c r="M4574" s="36"/>
      <c r="N4574" s="36"/>
      <c r="O4574" s="36"/>
      <c r="P4574" s="36"/>
      <c r="Q4574" s="36"/>
      <c r="R4574" s="36"/>
      <c r="S4574" s="36"/>
      <c r="T4574" s="36"/>
      <c r="U4574" s="36"/>
      <c r="V4574" s="36"/>
      <c r="W4574" s="15">
        <f t="shared" si="559"/>
        <v>0</v>
      </c>
      <c r="X4574" s="36"/>
      <c r="Y4574" s="36"/>
      <c r="Z4574" s="36"/>
      <c r="AA4574" s="36"/>
      <c r="AB4574" s="36">
        <v>150</v>
      </c>
      <c r="AC4574" s="36">
        <v>150</v>
      </c>
      <c r="AD4574" s="36">
        <v>150</v>
      </c>
      <c r="AE4574" s="36"/>
      <c r="AF4574" s="36"/>
      <c r="AG4574" s="36"/>
      <c r="AH4574" s="36"/>
      <c r="AI4574" s="36"/>
      <c r="AJ4574" s="15">
        <f t="shared" si="560"/>
        <v>450</v>
      </c>
      <c r="AK4574" s="14"/>
      <c r="AL4574" s="14"/>
      <c r="AM4574" s="14"/>
      <c r="AN4574" s="14"/>
      <c r="AO4574" s="14"/>
      <c r="AP4574" s="14"/>
      <c r="AQ4574" s="14"/>
      <c r="AR4574" s="14"/>
      <c r="AS4574" s="14"/>
      <c r="AT4574" s="14"/>
      <c r="AU4574" s="14"/>
      <c r="AV4574" s="14"/>
      <c r="AW4574" s="15"/>
      <c r="AX4574" s="16"/>
    </row>
    <row r="4575" spans="1:50" x14ac:dyDescent="0.2">
      <c r="B4575" s="7"/>
      <c r="C4575" s="8">
        <v>14828</v>
      </c>
      <c r="D4575" s="9" t="s">
        <v>911</v>
      </c>
      <c r="E4575" s="10" t="str">
        <f t="shared" si="556"/>
        <v>Rancho Estanzuela No. 19</v>
      </c>
      <c r="F4575" s="10" t="str">
        <f t="shared" si="557"/>
        <v>Robles</v>
      </c>
      <c r="G4575" s="8">
        <v>1</v>
      </c>
      <c r="H4575" s="11">
        <v>800</v>
      </c>
      <c r="I4575" s="12">
        <v>42950</v>
      </c>
      <c r="J4575" s="35">
        <f t="shared" si="558"/>
        <v>0</v>
      </c>
      <c r="K4575" s="36"/>
      <c r="L4575" s="36"/>
      <c r="M4575" s="36"/>
      <c r="N4575" s="36"/>
      <c r="O4575" s="36"/>
      <c r="P4575" s="36"/>
      <c r="Q4575" s="36"/>
      <c r="R4575" s="36"/>
      <c r="S4575" s="36"/>
      <c r="T4575" s="36"/>
      <c r="U4575" s="36"/>
      <c r="V4575" s="36"/>
      <c r="W4575" s="15">
        <f t="shared" si="559"/>
        <v>0</v>
      </c>
      <c r="X4575" s="36"/>
      <c r="Y4575" s="36"/>
      <c r="Z4575" s="36"/>
      <c r="AA4575" s="36"/>
      <c r="AB4575" s="36"/>
      <c r="AC4575" s="36"/>
      <c r="AD4575" s="36">
        <v>400</v>
      </c>
      <c r="AE4575" s="36">
        <v>400</v>
      </c>
      <c r="AF4575" s="36"/>
      <c r="AG4575" s="36"/>
      <c r="AH4575" s="36"/>
      <c r="AI4575" s="36"/>
      <c r="AJ4575" s="15">
        <f t="shared" si="560"/>
        <v>800</v>
      </c>
      <c r="AK4575" s="14"/>
      <c r="AL4575" s="14"/>
      <c r="AM4575" s="14"/>
      <c r="AN4575" s="14"/>
      <c r="AO4575" s="14"/>
      <c r="AP4575" s="14"/>
      <c r="AQ4575" s="14"/>
      <c r="AR4575" s="14"/>
      <c r="AS4575" s="14"/>
      <c r="AT4575" s="14"/>
      <c r="AU4575" s="14"/>
      <c r="AV4575" s="14"/>
      <c r="AW4575" s="15"/>
      <c r="AX4575" s="16"/>
    </row>
    <row r="4576" spans="1:50" x14ac:dyDescent="0.2">
      <c r="B4576" s="7"/>
      <c r="C4576" s="8">
        <v>14829</v>
      </c>
      <c r="D4576" s="9" t="s">
        <v>202</v>
      </c>
      <c r="E4576" s="10" t="str">
        <f t="shared" ref="E4576:E4626" si="561">IF(D4576=0,"",VLOOKUP(D4576,BASE,2,FALSE))</f>
        <v>Rancho Estanzuela No. 25</v>
      </c>
      <c r="F4576" s="10" t="str">
        <f t="shared" ref="F4576:F4626" si="562">IF(D4576=0,"",VLOOKUP(D4576,BASE,3,FALSE))</f>
        <v>Contreras Figueroa</v>
      </c>
      <c r="G4576" s="8">
        <v>1</v>
      </c>
      <c r="H4576" s="11">
        <v>400</v>
      </c>
      <c r="I4576" s="12">
        <v>42950</v>
      </c>
      <c r="J4576" s="35">
        <f t="shared" ref="J4576:J4626" si="563">IF(G4576=1,SUM(W4576,AJ4576,-H4576),0)</f>
        <v>0</v>
      </c>
      <c r="K4576" s="36"/>
      <c r="L4576" s="36"/>
      <c r="M4576" s="36"/>
      <c r="N4576" s="36"/>
      <c r="O4576" s="36"/>
      <c r="P4576" s="36"/>
      <c r="Q4576" s="36"/>
      <c r="R4576" s="36"/>
      <c r="S4576" s="36"/>
      <c r="T4576" s="36"/>
      <c r="U4576" s="36"/>
      <c r="V4576" s="36"/>
      <c r="W4576" s="15">
        <f t="shared" ref="W4576:W4626" si="564">SUM(K4576:V4576)</f>
        <v>0</v>
      </c>
      <c r="X4576" s="36"/>
      <c r="Y4576" s="36"/>
      <c r="Z4576" s="36"/>
      <c r="AA4576" s="36"/>
      <c r="AB4576" s="36"/>
      <c r="AC4576" s="36"/>
      <c r="AD4576" s="36"/>
      <c r="AE4576" s="36">
        <v>400</v>
      </c>
      <c r="AF4576" s="36"/>
      <c r="AG4576" s="36"/>
      <c r="AH4576" s="36"/>
      <c r="AI4576" s="36"/>
      <c r="AJ4576" s="15">
        <f t="shared" ref="AJ4576:AJ4626" si="565">SUM(X4576:AI4576)</f>
        <v>400</v>
      </c>
      <c r="AK4576" s="14"/>
      <c r="AL4576" s="14"/>
      <c r="AM4576" s="14"/>
      <c r="AN4576" s="14"/>
      <c r="AO4576" s="14"/>
      <c r="AP4576" s="14"/>
      <c r="AQ4576" s="14"/>
      <c r="AR4576" s="14"/>
      <c r="AS4576" s="14"/>
      <c r="AT4576" s="14"/>
      <c r="AU4576" s="14"/>
      <c r="AV4576" s="14"/>
      <c r="AW4576" s="15"/>
      <c r="AX4576" s="16"/>
    </row>
    <row r="4577" spans="2:50" x14ac:dyDescent="0.2">
      <c r="B4577" s="7" t="s">
        <v>3523</v>
      </c>
      <c r="C4577" s="8">
        <v>14830</v>
      </c>
      <c r="D4577" s="9" t="s">
        <v>208</v>
      </c>
      <c r="E4577" s="10" t="str">
        <f t="shared" si="561"/>
        <v>Rancho La Cuchilla No. 29</v>
      </c>
      <c r="F4577" s="10" t="str">
        <f t="shared" si="562"/>
        <v>Vega Sánchez C.</v>
      </c>
      <c r="G4577" s="8"/>
      <c r="H4577" s="11"/>
      <c r="I4577" s="12"/>
      <c r="J4577" s="35">
        <f t="shared" si="563"/>
        <v>0</v>
      </c>
      <c r="K4577" s="36"/>
      <c r="L4577" s="36"/>
      <c r="M4577" s="36"/>
      <c r="N4577" s="36"/>
      <c r="O4577" s="36"/>
      <c r="P4577" s="36"/>
      <c r="Q4577" s="36"/>
      <c r="R4577" s="36"/>
      <c r="S4577" s="36"/>
      <c r="T4577" s="36"/>
      <c r="U4577" s="36"/>
      <c r="V4577" s="36"/>
      <c r="W4577" s="15">
        <f t="shared" si="564"/>
        <v>0</v>
      </c>
      <c r="X4577" s="36"/>
      <c r="Y4577" s="36"/>
      <c r="Z4577" s="36"/>
      <c r="AA4577" s="36"/>
      <c r="AB4577" s="36"/>
      <c r="AC4577" s="36"/>
      <c r="AD4577" s="36"/>
      <c r="AE4577" s="36"/>
      <c r="AF4577" s="36"/>
      <c r="AG4577" s="36"/>
      <c r="AH4577" s="36"/>
      <c r="AI4577" s="36"/>
      <c r="AJ4577" s="15">
        <f t="shared" si="565"/>
        <v>0</v>
      </c>
      <c r="AK4577" s="14"/>
      <c r="AL4577" s="14"/>
      <c r="AM4577" s="14"/>
      <c r="AN4577" s="14"/>
      <c r="AO4577" s="14"/>
      <c r="AP4577" s="14"/>
      <c r="AQ4577" s="14"/>
      <c r="AR4577" s="14"/>
      <c r="AS4577" s="14"/>
      <c r="AT4577" s="14"/>
      <c r="AU4577" s="14"/>
      <c r="AV4577" s="14"/>
      <c r="AW4577" s="15"/>
      <c r="AX4577" s="16"/>
    </row>
    <row r="4578" spans="2:50" x14ac:dyDescent="0.2">
      <c r="B4578" s="7" t="s">
        <v>3523</v>
      </c>
      <c r="C4578" s="8">
        <v>14831</v>
      </c>
      <c r="D4578" s="9" t="s">
        <v>211</v>
      </c>
      <c r="E4578" s="10" t="str">
        <f t="shared" si="561"/>
        <v>Rancho Upácuaro No. 46</v>
      </c>
      <c r="F4578" s="10" t="str">
        <f t="shared" si="562"/>
        <v>Fuentes</v>
      </c>
      <c r="G4578" s="8"/>
      <c r="H4578" s="11"/>
      <c r="I4578" s="12"/>
      <c r="J4578" s="35">
        <f t="shared" si="563"/>
        <v>0</v>
      </c>
      <c r="K4578" s="36"/>
      <c r="L4578" s="36"/>
      <c r="M4578" s="36"/>
      <c r="N4578" s="36"/>
      <c r="O4578" s="36"/>
      <c r="P4578" s="36"/>
      <c r="Q4578" s="36"/>
      <c r="R4578" s="36"/>
      <c r="S4578" s="36"/>
      <c r="T4578" s="36"/>
      <c r="U4578" s="36"/>
      <c r="V4578" s="36"/>
      <c r="W4578" s="15">
        <f t="shared" si="564"/>
        <v>0</v>
      </c>
      <c r="X4578" s="36"/>
      <c r="Y4578" s="36"/>
      <c r="Z4578" s="36"/>
      <c r="AA4578" s="36"/>
      <c r="AB4578" s="36"/>
      <c r="AC4578" s="36"/>
      <c r="AD4578" s="36"/>
      <c r="AE4578" s="36"/>
      <c r="AF4578" s="36"/>
      <c r="AG4578" s="36"/>
      <c r="AH4578" s="36"/>
      <c r="AI4578" s="36"/>
      <c r="AJ4578" s="15">
        <f t="shared" si="565"/>
        <v>0</v>
      </c>
      <c r="AK4578" s="14"/>
      <c r="AL4578" s="14"/>
      <c r="AM4578" s="14"/>
      <c r="AN4578" s="14"/>
      <c r="AO4578" s="14"/>
      <c r="AP4578" s="14"/>
      <c r="AQ4578" s="14"/>
      <c r="AR4578" s="14"/>
      <c r="AS4578" s="14"/>
      <c r="AT4578" s="14"/>
      <c r="AU4578" s="14"/>
      <c r="AV4578" s="14"/>
      <c r="AW4578" s="15"/>
      <c r="AX4578" s="16"/>
    </row>
    <row r="4579" spans="2:50" x14ac:dyDescent="0.2">
      <c r="B4579" s="7"/>
      <c r="C4579" s="8">
        <v>14832</v>
      </c>
      <c r="D4579" s="9" t="s">
        <v>681</v>
      </c>
      <c r="E4579" s="10" t="str">
        <f t="shared" si="561"/>
        <v>Rancho Landero No. 87</v>
      </c>
      <c r="F4579" s="10" t="str">
        <f t="shared" si="562"/>
        <v>Fey Lafferla</v>
      </c>
      <c r="G4579" s="8">
        <v>1</v>
      </c>
      <c r="H4579" s="11">
        <v>300</v>
      </c>
      <c r="I4579" s="12">
        <v>42953</v>
      </c>
      <c r="J4579" s="35">
        <f t="shared" si="563"/>
        <v>0</v>
      </c>
      <c r="K4579" s="36"/>
      <c r="L4579" s="36"/>
      <c r="M4579" s="36"/>
      <c r="N4579" s="36"/>
      <c r="O4579" s="36"/>
      <c r="P4579" s="36"/>
      <c r="Q4579" s="36"/>
      <c r="R4579" s="36"/>
      <c r="S4579" s="36"/>
      <c r="T4579" s="36"/>
      <c r="U4579" s="36"/>
      <c r="V4579" s="36"/>
      <c r="W4579" s="15">
        <f t="shared" si="564"/>
        <v>0</v>
      </c>
      <c r="X4579" s="36"/>
      <c r="Y4579" s="36"/>
      <c r="Z4579" s="36"/>
      <c r="AA4579" s="36"/>
      <c r="AB4579" s="36">
        <v>300</v>
      </c>
      <c r="AC4579" s="36"/>
      <c r="AD4579" s="36"/>
      <c r="AE4579" s="36"/>
      <c r="AF4579" s="36"/>
      <c r="AG4579" s="36"/>
      <c r="AH4579" s="36"/>
      <c r="AI4579" s="36"/>
      <c r="AJ4579" s="15">
        <f t="shared" si="565"/>
        <v>300</v>
      </c>
      <c r="AK4579" s="14"/>
      <c r="AL4579" s="14"/>
      <c r="AM4579" s="14"/>
      <c r="AN4579" s="14"/>
      <c r="AO4579" s="14"/>
      <c r="AP4579" s="14"/>
      <c r="AQ4579" s="14"/>
      <c r="AR4579" s="14"/>
      <c r="AS4579" s="14"/>
      <c r="AT4579" s="14"/>
      <c r="AU4579" s="14"/>
      <c r="AV4579" s="14"/>
      <c r="AW4579" s="15"/>
      <c r="AX4579" s="16"/>
    </row>
    <row r="4580" spans="2:50" x14ac:dyDescent="0.2">
      <c r="B4580" s="7"/>
      <c r="C4580" s="8">
        <v>14833</v>
      </c>
      <c r="D4580" s="9" t="s">
        <v>94</v>
      </c>
      <c r="E4580" s="10" t="str">
        <f t="shared" si="561"/>
        <v>Rancho Landero No. 42</v>
      </c>
      <c r="F4580" s="10" t="str">
        <f t="shared" si="562"/>
        <v>Ávila Fidel</v>
      </c>
      <c r="G4580" s="8">
        <v>1</v>
      </c>
      <c r="H4580" s="11">
        <v>400</v>
      </c>
      <c r="I4580" s="12">
        <v>42953</v>
      </c>
      <c r="J4580" s="35">
        <f t="shared" si="563"/>
        <v>0</v>
      </c>
      <c r="K4580" s="36"/>
      <c r="L4580" s="36"/>
      <c r="M4580" s="36"/>
      <c r="N4580" s="36"/>
      <c r="O4580" s="36"/>
      <c r="P4580" s="36"/>
      <c r="Q4580" s="36"/>
      <c r="R4580" s="36"/>
      <c r="S4580" s="36"/>
      <c r="T4580" s="36"/>
      <c r="U4580" s="36"/>
      <c r="V4580" s="36"/>
      <c r="W4580" s="15">
        <f t="shared" si="564"/>
        <v>0</v>
      </c>
      <c r="X4580" s="36"/>
      <c r="Y4580" s="36"/>
      <c r="Z4580" s="36"/>
      <c r="AA4580" s="36"/>
      <c r="AB4580" s="36"/>
      <c r="AC4580" s="36"/>
      <c r="AD4580" s="36"/>
      <c r="AE4580" s="36">
        <v>400</v>
      </c>
      <c r="AF4580" s="36"/>
      <c r="AG4580" s="36"/>
      <c r="AH4580" s="36"/>
      <c r="AI4580" s="36"/>
      <c r="AJ4580" s="15">
        <f t="shared" si="565"/>
        <v>400</v>
      </c>
      <c r="AK4580" s="14"/>
      <c r="AL4580" s="14"/>
      <c r="AM4580" s="14"/>
      <c r="AN4580" s="14"/>
      <c r="AO4580" s="14"/>
      <c r="AP4580" s="14"/>
      <c r="AQ4580" s="14"/>
      <c r="AR4580" s="14"/>
      <c r="AS4580" s="14"/>
      <c r="AT4580" s="14"/>
      <c r="AU4580" s="14"/>
      <c r="AV4580" s="14"/>
      <c r="AW4580" s="15"/>
      <c r="AX4580" s="16"/>
    </row>
    <row r="4581" spans="2:50" x14ac:dyDescent="0.2">
      <c r="B4581" s="7"/>
      <c r="C4581" s="8">
        <v>14834</v>
      </c>
      <c r="D4581" s="9" t="s">
        <v>253</v>
      </c>
      <c r="E4581" s="10" t="str">
        <f t="shared" si="561"/>
        <v>Rancho Upácuaro No. 75</v>
      </c>
      <c r="F4581" s="10" t="str">
        <f t="shared" si="562"/>
        <v>Montaño Zetina</v>
      </c>
      <c r="G4581" s="8">
        <v>5</v>
      </c>
      <c r="H4581" s="11">
        <v>50</v>
      </c>
      <c r="I4581" s="12">
        <v>42953</v>
      </c>
      <c r="J4581" s="35">
        <f t="shared" si="563"/>
        <v>0</v>
      </c>
      <c r="K4581" s="36"/>
      <c r="L4581" s="36"/>
      <c r="M4581" s="36"/>
      <c r="N4581" s="36"/>
      <c r="O4581" s="36"/>
      <c r="P4581" s="36"/>
      <c r="Q4581" s="36"/>
      <c r="R4581" s="36"/>
      <c r="S4581" s="36"/>
      <c r="T4581" s="36"/>
      <c r="U4581" s="36"/>
      <c r="V4581" s="36"/>
      <c r="W4581" s="15">
        <f t="shared" si="564"/>
        <v>0</v>
      </c>
      <c r="X4581" s="36"/>
      <c r="Y4581" s="36"/>
      <c r="Z4581" s="36"/>
      <c r="AA4581" s="36"/>
      <c r="AB4581" s="36"/>
      <c r="AC4581" s="36"/>
      <c r="AD4581" s="36"/>
      <c r="AE4581" s="36"/>
      <c r="AF4581" s="36"/>
      <c r="AG4581" s="36"/>
      <c r="AH4581" s="36"/>
      <c r="AI4581" s="36"/>
      <c r="AJ4581" s="15">
        <f t="shared" si="565"/>
        <v>0</v>
      </c>
      <c r="AK4581" s="14"/>
      <c r="AL4581" s="14"/>
      <c r="AM4581" s="14"/>
      <c r="AN4581" s="14"/>
      <c r="AO4581" s="14"/>
      <c r="AP4581" s="14"/>
      <c r="AQ4581" s="14"/>
      <c r="AR4581" s="14"/>
      <c r="AS4581" s="14"/>
      <c r="AT4581" s="14"/>
      <c r="AU4581" s="14"/>
      <c r="AV4581" s="14"/>
      <c r="AW4581" s="15"/>
      <c r="AX4581" s="16"/>
    </row>
    <row r="4582" spans="2:50" x14ac:dyDescent="0.2">
      <c r="B4582" s="7"/>
      <c r="C4582" s="8">
        <v>14835</v>
      </c>
      <c r="D4582" s="9" t="s">
        <v>135</v>
      </c>
      <c r="E4582" s="10" t="str">
        <f t="shared" si="561"/>
        <v>Rancho Upácuaro No. 70</v>
      </c>
      <c r="F4582" s="10" t="str">
        <f t="shared" si="562"/>
        <v>Ramírez Tejeda</v>
      </c>
      <c r="G4582" s="8">
        <v>1</v>
      </c>
      <c r="H4582" s="11">
        <v>300</v>
      </c>
      <c r="I4582" s="12">
        <v>42953</v>
      </c>
      <c r="J4582" s="35">
        <f t="shared" si="563"/>
        <v>0</v>
      </c>
      <c r="K4582" s="36"/>
      <c r="L4582" s="36"/>
      <c r="M4582" s="36"/>
      <c r="N4582" s="36"/>
      <c r="O4582" s="36"/>
      <c r="P4582" s="36"/>
      <c r="Q4582" s="36"/>
      <c r="R4582" s="36"/>
      <c r="S4582" s="36"/>
      <c r="T4582" s="36"/>
      <c r="U4582" s="36"/>
      <c r="V4582" s="36"/>
      <c r="W4582" s="15">
        <f t="shared" si="564"/>
        <v>0</v>
      </c>
      <c r="X4582" s="36"/>
      <c r="Y4582" s="36"/>
      <c r="Z4582" s="36"/>
      <c r="AA4582" s="36"/>
      <c r="AB4582" s="36"/>
      <c r="AC4582" s="36"/>
      <c r="AD4582" s="36"/>
      <c r="AE4582" s="36">
        <v>300</v>
      </c>
      <c r="AF4582" s="36"/>
      <c r="AG4582" s="36"/>
      <c r="AH4582" s="36"/>
      <c r="AI4582" s="36"/>
      <c r="AJ4582" s="15">
        <f t="shared" si="565"/>
        <v>300</v>
      </c>
      <c r="AK4582" s="14"/>
      <c r="AL4582" s="14"/>
      <c r="AM4582" s="14"/>
      <c r="AN4582" s="14"/>
      <c r="AO4582" s="14"/>
      <c r="AP4582" s="14"/>
      <c r="AQ4582" s="14"/>
      <c r="AR4582" s="14"/>
      <c r="AS4582" s="14"/>
      <c r="AT4582" s="14"/>
      <c r="AU4582" s="14"/>
      <c r="AV4582" s="14"/>
      <c r="AW4582" s="15"/>
      <c r="AX4582" s="16"/>
    </row>
    <row r="4583" spans="2:50" x14ac:dyDescent="0.2">
      <c r="B4583" s="7"/>
      <c r="C4583" s="8">
        <v>14836</v>
      </c>
      <c r="D4583" s="9" t="s">
        <v>241</v>
      </c>
      <c r="E4583" s="10" t="str">
        <f t="shared" si="561"/>
        <v>Rancho La Cuchilla No. 81, A</v>
      </c>
      <c r="F4583" s="10" t="str">
        <f t="shared" si="562"/>
        <v>Barrientos López</v>
      </c>
      <c r="G4583" s="8">
        <v>1</v>
      </c>
      <c r="H4583" s="11">
        <v>400</v>
      </c>
      <c r="I4583" s="12">
        <v>42953</v>
      </c>
      <c r="J4583" s="35">
        <f t="shared" si="563"/>
        <v>0</v>
      </c>
      <c r="K4583" s="36"/>
      <c r="L4583" s="36"/>
      <c r="M4583" s="36"/>
      <c r="N4583" s="36"/>
      <c r="O4583" s="36"/>
      <c r="P4583" s="36"/>
      <c r="Q4583" s="36"/>
      <c r="R4583" s="36"/>
      <c r="S4583" s="36"/>
      <c r="T4583" s="36"/>
      <c r="U4583" s="36"/>
      <c r="V4583" s="36"/>
      <c r="W4583" s="15">
        <f t="shared" si="564"/>
        <v>0</v>
      </c>
      <c r="X4583" s="36"/>
      <c r="Y4583" s="36"/>
      <c r="Z4583" s="36"/>
      <c r="AA4583" s="36"/>
      <c r="AB4583" s="36"/>
      <c r="AC4583" s="36"/>
      <c r="AD4583" s="36"/>
      <c r="AE4583" s="36">
        <v>400</v>
      </c>
      <c r="AF4583" s="36"/>
      <c r="AG4583" s="36"/>
      <c r="AH4583" s="36"/>
      <c r="AI4583" s="36"/>
      <c r="AJ4583" s="15">
        <f t="shared" si="565"/>
        <v>400</v>
      </c>
      <c r="AK4583" s="14"/>
      <c r="AL4583" s="14"/>
      <c r="AM4583" s="14"/>
      <c r="AN4583" s="14"/>
      <c r="AO4583" s="14"/>
      <c r="AP4583" s="14"/>
      <c r="AQ4583" s="14"/>
      <c r="AR4583" s="14"/>
      <c r="AS4583" s="14"/>
      <c r="AT4583" s="14"/>
      <c r="AU4583" s="14"/>
      <c r="AV4583" s="14"/>
      <c r="AW4583" s="15"/>
      <c r="AX4583" s="16"/>
    </row>
    <row r="4584" spans="2:50" x14ac:dyDescent="0.2">
      <c r="B4584" s="7"/>
      <c r="C4584" s="8">
        <v>14837</v>
      </c>
      <c r="D4584" s="9" t="s">
        <v>820</v>
      </c>
      <c r="E4584" s="10" t="str">
        <f t="shared" si="561"/>
        <v>Rancho Zinamba No. 84</v>
      </c>
      <c r="F4584" s="10" t="str">
        <f t="shared" si="562"/>
        <v>Lobato</v>
      </c>
      <c r="G4584" s="8">
        <v>1</v>
      </c>
      <c r="H4584" s="11">
        <v>600</v>
      </c>
      <c r="I4584" s="12">
        <v>42953</v>
      </c>
      <c r="J4584" s="35">
        <f t="shared" si="563"/>
        <v>0</v>
      </c>
      <c r="K4584" s="36"/>
      <c r="L4584" s="36"/>
      <c r="M4584" s="36"/>
      <c r="N4584" s="36"/>
      <c r="O4584" s="36"/>
      <c r="P4584" s="36"/>
      <c r="Q4584" s="36"/>
      <c r="R4584" s="36"/>
      <c r="S4584" s="36"/>
      <c r="T4584" s="36"/>
      <c r="U4584" s="36"/>
      <c r="V4584" s="36"/>
      <c r="W4584" s="15">
        <f t="shared" si="564"/>
        <v>0</v>
      </c>
      <c r="X4584" s="36"/>
      <c r="Y4584" s="36"/>
      <c r="Z4584" s="36"/>
      <c r="AA4584" s="36"/>
      <c r="AB4584" s="36"/>
      <c r="AC4584" s="36"/>
      <c r="AD4584" s="36">
        <v>300</v>
      </c>
      <c r="AE4584" s="36">
        <v>300</v>
      </c>
      <c r="AF4584" s="36"/>
      <c r="AG4584" s="36"/>
      <c r="AH4584" s="36"/>
      <c r="AI4584" s="36"/>
      <c r="AJ4584" s="15">
        <f t="shared" si="565"/>
        <v>600</v>
      </c>
      <c r="AK4584" s="14"/>
      <c r="AL4584" s="14"/>
      <c r="AM4584" s="14"/>
      <c r="AN4584" s="14"/>
      <c r="AO4584" s="14"/>
      <c r="AP4584" s="14"/>
      <c r="AQ4584" s="14"/>
      <c r="AR4584" s="14"/>
      <c r="AS4584" s="14"/>
      <c r="AT4584" s="14"/>
      <c r="AU4584" s="14"/>
      <c r="AV4584" s="14"/>
      <c r="AW4584" s="15"/>
      <c r="AX4584" s="16"/>
    </row>
    <row r="4585" spans="2:50" x14ac:dyDescent="0.2">
      <c r="B4585" s="7"/>
      <c r="C4585" s="8">
        <v>14838</v>
      </c>
      <c r="D4585" s="9" t="s">
        <v>328</v>
      </c>
      <c r="E4585" s="10" t="str">
        <f t="shared" si="561"/>
        <v>Rancho La Cuchilla No. 130</v>
      </c>
      <c r="F4585" s="10" t="str">
        <f t="shared" si="562"/>
        <v>Gonzalez</v>
      </c>
      <c r="G4585" s="8">
        <v>1</v>
      </c>
      <c r="H4585" s="11">
        <v>400</v>
      </c>
      <c r="I4585" s="12">
        <v>42953</v>
      </c>
      <c r="J4585" s="35">
        <f t="shared" si="563"/>
        <v>0</v>
      </c>
      <c r="K4585" s="36"/>
      <c r="L4585" s="36"/>
      <c r="M4585" s="36"/>
      <c r="N4585" s="36"/>
      <c r="O4585" s="36"/>
      <c r="P4585" s="36"/>
      <c r="Q4585" s="36"/>
      <c r="R4585" s="36"/>
      <c r="S4585" s="36"/>
      <c r="T4585" s="36"/>
      <c r="U4585" s="36"/>
      <c r="V4585" s="36"/>
      <c r="W4585" s="15">
        <f t="shared" si="564"/>
        <v>0</v>
      </c>
      <c r="X4585" s="36"/>
      <c r="Y4585" s="36"/>
      <c r="Z4585" s="36"/>
      <c r="AA4585" s="36"/>
      <c r="AB4585" s="36"/>
      <c r="AC4585" s="36"/>
      <c r="AD4585" s="36"/>
      <c r="AE4585" s="36">
        <v>400</v>
      </c>
      <c r="AF4585" s="36"/>
      <c r="AG4585" s="36"/>
      <c r="AH4585" s="36"/>
      <c r="AI4585" s="36"/>
      <c r="AJ4585" s="15">
        <f t="shared" si="565"/>
        <v>400</v>
      </c>
      <c r="AK4585" s="14"/>
      <c r="AL4585" s="14"/>
      <c r="AM4585" s="14"/>
      <c r="AN4585" s="14"/>
      <c r="AO4585" s="14"/>
      <c r="AP4585" s="14"/>
      <c r="AQ4585" s="14"/>
      <c r="AR4585" s="14"/>
      <c r="AS4585" s="14"/>
      <c r="AT4585" s="14"/>
      <c r="AU4585" s="14"/>
      <c r="AV4585" s="14"/>
      <c r="AW4585" s="15"/>
      <c r="AX4585" s="16"/>
    </row>
    <row r="4586" spans="2:50" x14ac:dyDescent="0.2">
      <c r="B4586" s="7"/>
      <c r="C4586" s="8">
        <v>14839</v>
      </c>
      <c r="D4586" s="9" t="s">
        <v>416</v>
      </c>
      <c r="E4586" s="10" t="str">
        <f t="shared" si="561"/>
        <v>Rancho La Cuchilla No. 112, PB</v>
      </c>
      <c r="F4586" s="10" t="str">
        <f t="shared" si="562"/>
        <v>Soreque</v>
      </c>
      <c r="G4586" s="8">
        <v>1</v>
      </c>
      <c r="H4586" s="11">
        <v>200</v>
      </c>
      <c r="I4586" s="12">
        <v>42953</v>
      </c>
      <c r="J4586" s="35">
        <f t="shared" si="563"/>
        <v>0</v>
      </c>
      <c r="K4586" s="36"/>
      <c r="L4586" s="36"/>
      <c r="M4586" s="36"/>
      <c r="N4586" s="36"/>
      <c r="O4586" s="36"/>
      <c r="P4586" s="36"/>
      <c r="Q4586" s="36"/>
      <c r="R4586" s="36"/>
      <c r="S4586" s="36"/>
      <c r="T4586" s="36"/>
      <c r="U4586" s="36"/>
      <c r="V4586" s="36"/>
      <c r="W4586" s="15">
        <f t="shared" si="564"/>
        <v>0</v>
      </c>
      <c r="X4586" s="36"/>
      <c r="Y4586" s="36"/>
      <c r="Z4586" s="36"/>
      <c r="AA4586" s="36"/>
      <c r="AB4586" s="36"/>
      <c r="AC4586" s="36"/>
      <c r="AD4586" s="36"/>
      <c r="AE4586" s="36">
        <v>200</v>
      </c>
      <c r="AF4586" s="36"/>
      <c r="AG4586" s="36"/>
      <c r="AH4586" s="36"/>
      <c r="AI4586" s="36"/>
      <c r="AJ4586" s="15">
        <f t="shared" si="565"/>
        <v>200</v>
      </c>
      <c r="AK4586" s="14"/>
      <c r="AL4586" s="14"/>
      <c r="AM4586" s="14"/>
      <c r="AN4586" s="14"/>
      <c r="AO4586" s="14"/>
      <c r="AP4586" s="14"/>
      <c r="AQ4586" s="14"/>
      <c r="AR4586" s="14"/>
      <c r="AS4586" s="14"/>
      <c r="AT4586" s="14"/>
      <c r="AU4586" s="14"/>
      <c r="AV4586" s="14"/>
      <c r="AW4586" s="15"/>
      <c r="AX4586" s="16"/>
    </row>
    <row r="4587" spans="2:50" x14ac:dyDescent="0.2">
      <c r="B4587" s="7"/>
      <c r="C4587" s="8">
        <v>14840</v>
      </c>
      <c r="D4587" s="9" t="s">
        <v>583</v>
      </c>
      <c r="E4587" s="10" t="str">
        <f t="shared" si="561"/>
        <v>Rancho La Cuchilla No. 111</v>
      </c>
      <c r="F4587" s="10" t="str">
        <f t="shared" si="562"/>
        <v>García Santos Ofelia</v>
      </c>
      <c r="G4587" s="8">
        <v>1</v>
      </c>
      <c r="H4587" s="11">
        <v>400</v>
      </c>
      <c r="I4587" s="12">
        <v>42953</v>
      </c>
      <c r="J4587" s="35">
        <f t="shared" si="563"/>
        <v>0</v>
      </c>
      <c r="K4587" s="36"/>
      <c r="L4587" s="36"/>
      <c r="M4587" s="36"/>
      <c r="N4587" s="36"/>
      <c r="O4587" s="36"/>
      <c r="P4587" s="36"/>
      <c r="Q4587" s="36"/>
      <c r="R4587" s="36"/>
      <c r="S4587" s="36"/>
      <c r="T4587" s="36"/>
      <c r="U4587" s="36"/>
      <c r="V4587" s="36"/>
      <c r="W4587" s="15">
        <f t="shared" si="564"/>
        <v>0</v>
      </c>
      <c r="X4587" s="36"/>
      <c r="Y4587" s="36"/>
      <c r="Z4587" s="36"/>
      <c r="AA4587" s="36"/>
      <c r="AB4587" s="36"/>
      <c r="AC4587" s="36"/>
      <c r="AD4587" s="36">
        <v>200</v>
      </c>
      <c r="AE4587" s="36">
        <v>200</v>
      </c>
      <c r="AF4587" s="36"/>
      <c r="AG4587" s="36"/>
      <c r="AH4587" s="36"/>
      <c r="AI4587" s="36"/>
      <c r="AJ4587" s="15">
        <f t="shared" si="565"/>
        <v>400</v>
      </c>
      <c r="AK4587" s="14"/>
      <c r="AL4587" s="14"/>
      <c r="AM4587" s="14"/>
      <c r="AN4587" s="14"/>
      <c r="AO4587" s="14"/>
      <c r="AP4587" s="14"/>
      <c r="AQ4587" s="14"/>
      <c r="AR4587" s="14"/>
      <c r="AS4587" s="14"/>
      <c r="AT4587" s="14"/>
      <c r="AU4587" s="14"/>
      <c r="AV4587" s="14"/>
      <c r="AW4587" s="15"/>
      <c r="AX4587" s="16"/>
    </row>
    <row r="4588" spans="2:50" x14ac:dyDescent="0.2">
      <c r="B4588" s="7"/>
      <c r="C4588" s="8">
        <v>14841</v>
      </c>
      <c r="D4588" s="9" t="s">
        <v>797</v>
      </c>
      <c r="E4588" s="10" t="str">
        <f t="shared" si="561"/>
        <v>Rancho Recoveco No. 195</v>
      </c>
      <c r="F4588" s="10" t="str">
        <f t="shared" si="562"/>
        <v>Sandoval</v>
      </c>
      <c r="G4588" s="8">
        <v>1</v>
      </c>
      <c r="H4588" s="11">
        <v>500</v>
      </c>
      <c r="I4588" s="12">
        <v>42953</v>
      </c>
      <c r="J4588" s="35">
        <f t="shared" si="563"/>
        <v>0</v>
      </c>
      <c r="K4588" s="36"/>
      <c r="L4588" s="36"/>
      <c r="M4588" s="36"/>
      <c r="N4588" s="36"/>
      <c r="O4588" s="36"/>
      <c r="P4588" s="36"/>
      <c r="Q4588" s="36"/>
      <c r="R4588" s="36"/>
      <c r="S4588" s="36"/>
      <c r="T4588" s="36"/>
      <c r="U4588" s="36"/>
      <c r="V4588" s="36"/>
      <c r="W4588" s="15">
        <f t="shared" si="564"/>
        <v>0</v>
      </c>
      <c r="X4588" s="36"/>
      <c r="Y4588" s="36"/>
      <c r="Z4588" s="36"/>
      <c r="AA4588" s="36"/>
      <c r="AB4588" s="36"/>
      <c r="AC4588" s="36"/>
      <c r="AD4588" s="36">
        <v>250</v>
      </c>
      <c r="AE4588" s="36">
        <v>250</v>
      </c>
      <c r="AF4588" s="36"/>
      <c r="AG4588" s="36"/>
      <c r="AH4588" s="36"/>
      <c r="AI4588" s="36"/>
      <c r="AJ4588" s="15">
        <f t="shared" si="565"/>
        <v>500</v>
      </c>
      <c r="AK4588" s="14"/>
      <c r="AL4588" s="14"/>
      <c r="AM4588" s="14"/>
      <c r="AN4588" s="14"/>
      <c r="AO4588" s="14"/>
      <c r="AP4588" s="14"/>
      <c r="AQ4588" s="14"/>
      <c r="AR4588" s="14"/>
      <c r="AS4588" s="14"/>
      <c r="AT4588" s="14"/>
      <c r="AU4588" s="14"/>
      <c r="AV4588" s="14"/>
      <c r="AW4588" s="15"/>
      <c r="AX4588" s="16"/>
    </row>
    <row r="4589" spans="2:50" x14ac:dyDescent="0.2">
      <c r="B4589" s="7"/>
      <c r="C4589" s="8">
        <v>14842</v>
      </c>
      <c r="D4589" s="9" t="s">
        <v>103</v>
      </c>
      <c r="E4589" s="10" t="str">
        <f t="shared" si="561"/>
        <v>Rancho La Cuchilla No. 41</v>
      </c>
      <c r="F4589" s="10" t="str">
        <f t="shared" si="562"/>
        <v>Arriaga Lemus</v>
      </c>
      <c r="G4589" s="8">
        <v>1</v>
      </c>
      <c r="H4589" s="11">
        <v>400</v>
      </c>
      <c r="I4589" s="12">
        <v>42953</v>
      </c>
      <c r="J4589" s="35">
        <f t="shared" si="563"/>
        <v>0</v>
      </c>
      <c r="K4589" s="36"/>
      <c r="L4589" s="36"/>
      <c r="M4589" s="36"/>
      <c r="N4589" s="36"/>
      <c r="O4589" s="36"/>
      <c r="P4589" s="36"/>
      <c r="Q4589" s="36"/>
      <c r="R4589" s="36"/>
      <c r="S4589" s="36"/>
      <c r="T4589" s="36"/>
      <c r="U4589" s="36"/>
      <c r="V4589" s="36"/>
      <c r="W4589" s="15">
        <f t="shared" si="564"/>
        <v>0</v>
      </c>
      <c r="X4589" s="36"/>
      <c r="Y4589" s="36"/>
      <c r="Z4589" s="36"/>
      <c r="AA4589" s="36"/>
      <c r="AB4589" s="36"/>
      <c r="AC4589" s="36"/>
      <c r="AD4589" s="36">
        <v>400</v>
      </c>
      <c r="AE4589" s="36"/>
      <c r="AF4589" s="36"/>
      <c r="AG4589" s="36"/>
      <c r="AH4589" s="36"/>
      <c r="AI4589" s="36"/>
      <c r="AJ4589" s="15">
        <f t="shared" si="565"/>
        <v>400</v>
      </c>
      <c r="AK4589" s="14"/>
      <c r="AL4589" s="14"/>
      <c r="AM4589" s="14"/>
      <c r="AN4589" s="14"/>
      <c r="AO4589" s="14"/>
      <c r="AP4589" s="14"/>
      <c r="AQ4589" s="14"/>
      <c r="AR4589" s="14"/>
      <c r="AS4589" s="14"/>
      <c r="AT4589" s="14"/>
      <c r="AU4589" s="14"/>
      <c r="AV4589" s="14"/>
      <c r="AW4589" s="15"/>
      <c r="AX4589" s="16"/>
    </row>
    <row r="4590" spans="2:50" x14ac:dyDescent="0.2">
      <c r="B4590" s="7"/>
      <c r="C4590" s="8">
        <v>14843</v>
      </c>
      <c r="D4590" s="9" t="s">
        <v>794</v>
      </c>
      <c r="E4590" s="10" t="str">
        <f t="shared" si="561"/>
        <v>Rancho Landero No. 18</v>
      </c>
      <c r="F4590" s="10" t="str">
        <f t="shared" si="562"/>
        <v>Rosado</v>
      </c>
      <c r="G4590" s="8">
        <v>1</v>
      </c>
      <c r="H4590" s="11">
        <v>300</v>
      </c>
      <c r="I4590" s="12">
        <v>42953</v>
      </c>
      <c r="J4590" s="35">
        <f t="shared" si="563"/>
        <v>0</v>
      </c>
      <c r="K4590" s="36"/>
      <c r="L4590" s="36"/>
      <c r="M4590" s="36"/>
      <c r="N4590" s="36"/>
      <c r="O4590" s="36"/>
      <c r="P4590" s="36"/>
      <c r="Q4590" s="36"/>
      <c r="R4590" s="36"/>
      <c r="S4590" s="36"/>
      <c r="T4590" s="36"/>
      <c r="U4590" s="36"/>
      <c r="V4590" s="36"/>
      <c r="W4590" s="15">
        <f t="shared" si="564"/>
        <v>0</v>
      </c>
      <c r="X4590" s="36"/>
      <c r="Y4590" s="36"/>
      <c r="Z4590" s="36"/>
      <c r="AA4590" s="36"/>
      <c r="AB4590" s="36"/>
      <c r="AC4590" s="36"/>
      <c r="AD4590" s="36">
        <v>300</v>
      </c>
      <c r="AE4590" s="36"/>
      <c r="AF4590" s="36"/>
      <c r="AG4590" s="36"/>
      <c r="AH4590" s="36"/>
      <c r="AI4590" s="36"/>
      <c r="AJ4590" s="15">
        <f t="shared" si="565"/>
        <v>300</v>
      </c>
      <c r="AK4590" s="14"/>
      <c r="AL4590" s="14"/>
      <c r="AM4590" s="14"/>
      <c r="AN4590" s="14"/>
      <c r="AO4590" s="14"/>
      <c r="AP4590" s="14"/>
      <c r="AQ4590" s="14"/>
      <c r="AR4590" s="14"/>
      <c r="AS4590" s="14"/>
      <c r="AT4590" s="14"/>
      <c r="AU4590" s="14"/>
      <c r="AV4590" s="14"/>
      <c r="AW4590" s="15"/>
      <c r="AX4590" s="16"/>
    </row>
    <row r="4591" spans="2:50" x14ac:dyDescent="0.2">
      <c r="B4591" s="7"/>
      <c r="C4591" s="8">
        <v>14844</v>
      </c>
      <c r="D4591" s="9" t="s">
        <v>810</v>
      </c>
      <c r="E4591" s="10" t="str">
        <f t="shared" si="561"/>
        <v>Rancho La Cuchilla No. 90</v>
      </c>
      <c r="F4591" s="10" t="str">
        <f t="shared" si="562"/>
        <v>Porras Fuentes</v>
      </c>
      <c r="G4591" s="8">
        <v>1</v>
      </c>
      <c r="H4591" s="11">
        <v>200</v>
      </c>
      <c r="I4591" s="12" t="s">
        <v>4304</v>
      </c>
      <c r="J4591" s="35">
        <f t="shared" si="563"/>
        <v>0</v>
      </c>
      <c r="K4591" s="36"/>
      <c r="L4591" s="36"/>
      <c r="M4591" s="36"/>
      <c r="N4591" s="36"/>
      <c r="O4591" s="36"/>
      <c r="P4591" s="36"/>
      <c r="Q4591" s="36"/>
      <c r="R4591" s="36"/>
      <c r="S4591" s="36"/>
      <c r="T4591" s="36"/>
      <c r="U4591" s="36"/>
      <c r="V4591" s="36"/>
      <c r="W4591" s="15">
        <f t="shared" si="564"/>
        <v>0</v>
      </c>
      <c r="X4591" s="36"/>
      <c r="Y4591" s="36"/>
      <c r="Z4591" s="36"/>
      <c r="AA4591" s="36"/>
      <c r="AB4591" s="36"/>
      <c r="AC4591" s="36"/>
      <c r="AD4591" s="36"/>
      <c r="AE4591" s="36"/>
      <c r="AF4591" s="36">
        <v>200</v>
      </c>
      <c r="AG4591" s="36"/>
      <c r="AH4591" s="36"/>
      <c r="AI4591" s="36"/>
      <c r="AJ4591" s="15">
        <f t="shared" si="565"/>
        <v>200</v>
      </c>
      <c r="AK4591" s="14"/>
      <c r="AL4591" s="14"/>
      <c r="AM4591" s="14"/>
      <c r="AN4591" s="14"/>
      <c r="AO4591" s="14"/>
      <c r="AP4591" s="14"/>
      <c r="AQ4591" s="14"/>
      <c r="AR4591" s="14"/>
      <c r="AS4591" s="14"/>
      <c r="AT4591" s="14"/>
      <c r="AU4591" s="14"/>
      <c r="AV4591" s="14"/>
      <c r="AW4591" s="15"/>
      <c r="AX4591" s="16"/>
    </row>
    <row r="4592" spans="2:50" x14ac:dyDescent="0.2">
      <c r="B4592" s="7"/>
      <c r="C4592" s="8">
        <v>14844</v>
      </c>
      <c r="D4592" s="9" t="s">
        <v>810</v>
      </c>
      <c r="E4592" s="10" t="str">
        <f t="shared" si="561"/>
        <v>Rancho La Cuchilla No. 90</v>
      </c>
      <c r="F4592" s="10" t="str">
        <f t="shared" si="562"/>
        <v>Porras Fuentes</v>
      </c>
      <c r="G4592" s="8">
        <v>3</v>
      </c>
      <c r="H4592" s="11">
        <v>200</v>
      </c>
      <c r="I4592" s="12">
        <v>42953</v>
      </c>
      <c r="J4592" s="35">
        <f t="shared" si="563"/>
        <v>0</v>
      </c>
      <c r="K4592" s="36"/>
      <c r="L4592" s="36"/>
      <c r="M4592" s="36"/>
      <c r="N4592" s="36"/>
      <c r="O4592" s="36"/>
      <c r="P4592" s="36"/>
      <c r="Q4592" s="36"/>
      <c r="R4592" s="36"/>
      <c r="S4592" s="36"/>
      <c r="T4592" s="36"/>
      <c r="U4592" s="36"/>
      <c r="V4592" s="36"/>
      <c r="W4592" s="15">
        <f t="shared" si="564"/>
        <v>0</v>
      </c>
      <c r="X4592" s="36"/>
      <c r="Y4592" s="36"/>
      <c r="Z4592" s="36"/>
      <c r="AA4592" s="36"/>
      <c r="AB4592" s="36"/>
      <c r="AC4592" s="36"/>
      <c r="AD4592" s="36"/>
      <c r="AE4592" s="36"/>
      <c r="AF4592" s="36"/>
      <c r="AG4592" s="36"/>
      <c r="AH4592" s="36"/>
      <c r="AI4592" s="36"/>
      <c r="AJ4592" s="15">
        <f t="shared" si="565"/>
        <v>0</v>
      </c>
      <c r="AK4592" s="14"/>
      <c r="AL4592" s="14"/>
      <c r="AM4592" s="14"/>
      <c r="AN4592" s="14"/>
      <c r="AO4592" s="14"/>
      <c r="AP4592" s="14"/>
      <c r="AQ4592" s="14"/>
      <c r="AR4592" s="14"/>
      <c r="AS4592" s="14"/>
      <c r="AT4592" s="14"/>
      <c r="AU4592" s="14"/>
      <c r="AV4592" s="14"/>
      <c r="AW4592" s="15"/>
      <c r="AX4592" s="16"/>
    </row>
    <row r="4593" spans="2:50" x14ac:dyDescent="0.2">
      <c r="B4593" s="7"/>
      <c r="C4593" s="8">
        <v>14845</v>
      </c>
      <c r="D4593" s="9" t="s">
        <v>238</v>
      </c>
      <c r="E4593" s="10" t="str">
        <f t="shared" si="561"/>
        <v>Rancho La Cuchilla No. 43, B</v>
      </c>
      <c r="F4593" s="10" t="str">
        <f t="shared" si="562"/>
        <v>Luna Albertano</v>
      </c>
      <c r="G4593" s="8">
        <v>1</v>
      </c>
      <c r="H4593" s="11">
        <v>125</v>
      </c>
      <c r="I4593" s="12">
        <v>42953</v>
      </c>
      <c r="J4593" s="35">
        <f t="shared" si="563"/>
        <v>0</v>
      </c>
      <c r="K4593" s="36"/>
      <c r="L4593" s="36"/>
      <c r="M4593" s="36"/>
      <c r="N4593" s="36"/>
      <c r="O4593" s="36"/>
      <c r="P4593" s="36"/>
      <c r="Q4593" s="36"/>
      <c r="R4593" s="36"/>
      <c r="S4593" s="36"/>
      <c r="T4593" s="36"/>
      <c r="U4593" s="36"/>
      <c r="V4593" s="36"/>
      <c r="W4593" s="15">
        <f t="shared" si="564"/>
        <v>0</v>
      </c>
      <c r="X4593" s="36"/>
      <c r="Y4593" s="36"/>
      <c r="Z4593" s="36"/>
      <c r="AA4593" s="36"/>
      <c r="AB4593" s="36"/>
      <c r="AC4593" s="36"/>
      <c r="AD4593" s="36"/>
      <c r="AE4593" s="36">
        <v>125</v>
      </c>
      <c r="AF4593" s="36"/>
      <c r="AG4593" s="36"/>
      <c r="AH4593" s="36"/>
      <c r="AI4593" s="36"/>
      <c r="AJ4593" s="15">
        <f t="shared" si="565"/>
        <v>125</v>
      </c>
      <c r="AK4593" s="14"/>
      <c r="AL4593" s="14"/>
      <c r="AM4593" s="14"/>
      <c r="AN4593" s="14"/>
      <c r="AO4593" s="14"/>
      <c r="AP4593" s="14"/>
      <c r="AQ4593" s="14"/>
      <c r="AR4593" s="14"/>
      <c r="AS4593" s="14"/>
      <c r="AT4593" s="14"/>
      <c r="AU4593" s="14"/>
      <c r="AV4593" s="14"/>
      <c r="AW4593" s="15"/>
      <c r="AX4593" s="16"/>
    </row>
    <row r="4594" spans="2:50" x14ac:dyDescent="0.2">
      <c r="B4594" s="7"/>
      <c r="C4594" s="8">
        <v>14846</v>
      </c>
      <c r="D4594" s="9" t="s">
        <v>622</v>
      </c>
      <c r="E4594" s="10" t="str">
        <f t="shared" si="561"/>
        <v>Rancho Recoveco No. 175</v>
      </c>
      <c r="F4594" s="10" t="str">
        <f t="shared" si="562"/>
        <v>Ramírez</v>
      </c>
      <c r="G4594" s="8">
        <v>1</v>
      </c>
      <c r="H4594" s="11">
        <v>1600</v>
      </c>
      <c r="I4594" s="12">
        <v>42953</v>
      </c>
      <c r="J4594" s="35">
        <f t="shared" si="563"/>
        <v>0</v>
      </c>
      <c r="K4594" s="36"/>
      <c r="L4594" s="36"/>
      <c r="M4594" s="36"/>
      <c r="N4594" s="36"/>
      <c r="O4594" s="36"/>
      <c r="P4594" s="36"/>
      <c r="Q4594" s="36"/>
      <c r="R4594" s="36"/>
      <c r="S4594" s="36"/>
      <c r="T4594" s="36"/>
      <c r="U4594" s="36"/>
      <c r="V4594" s="36"/>
      <c r="W4594" s="15">
        <f t="shared" si="564"/>
        <v>0</v>
      </c>
      <c r="X4594" s="36"/>
      <c r="Y4594" s="36"/>
      <c r="Z4594" s="36"/>
      <c r="AA4594" s="36">
        <v>400</v>
      </c>
      <c r="AB4594" s="36">
        <v>400</v>
      </c>
      <c r="AC4594" s="36">
        <v>400</v>
      </c>
      <c r="AD4594" s="36">
        <v>400</v>
      </c>
      <c r="AE4594" s="36"/>
      <c r="AF4594" s="36"/>
      <c r="AG4594" s="36"/>
      <c r="AH4594" s="36"/>
      <c r="AI4594" s="36"/>
      <c r="AJ4594" s="15">
        <f t="shared" si="565"/>
        <v>1600</v>
      </c>
      <c r="AK4594" s="14"/>
      <c r="AL4594" s="14"/>
      <c r="AM4594" s="14"/>
      <c r="AN4594" s="14"/>
      <c r="AO4594" s="14"/>
      <c r="AP4594" s="14"/>
      <c r="AQ4594" s="14"/>
      <c r="AR4594" s="14"/>
      <c r="AS4594" s="14"/>
      <c r="AT4594" s="14"/>
      <c r="AU4594" s="14"/>
      <c r="AV4594" s="14"/>
      <c r="AW4594" s="15"/>
      <c r="AX4594" s="16"/>
    </row>
    <row r="4595" spans="2:50" x14ac:dyDescent="0.2">
      <c r="B4595" s="7"/>
      <c r="C4595" s="8">
        <v>14847</v>
      </c>
      <c r="D4595" s="9" t="s">
        <v>622</v>
      </c>
      <c r="E4595" s="10" t="str">
        <f t="shared" si="561"/>
        <v>Rancho Recoveco No. 175</v>
      </c>
      <c r="F4595" s="10" t="str">
        <f t="shared" si="562"/>
        <v>Ramírez</v>
      </c>
      <c r="G4595" s="8">
        <v>5</v>
      </c>
      <c r="H4595" s="11">
        <v>50</v>
      </c>
      <c r="I4595" s="12">
        <v>42953</v>
      </c>
      <c r="J4595" s="35">
        <f t="shared" si="563"/>
        <v>0</v>
      </c>
      <c r="K4595" s="36"/>
      <c r="L4595" s="36"/>
      <c r="M4595" s="36"/>
      <c r="N4595" s="36"/>
      <c r="O4595" s="36"/>
      <c r="P4595" s="36"/>
      <c r="Q4595" s="36"/>
      <c r="R4595" s="36"/>
      <c r="S4595" s="36"/>
      <c r="T4595" s="36"/>
      <c r="U4595" s="36"/>
      <c r="V4595" s="36"/>
      <c r="W4595" s="15">
        <f t="shared" si="564"/>
        <v>0</v>
      </c>
      <c r="X4595" s="36"/>
      <c r="Y4595" s="36"/>
      <c r="Z4595" s="36"/>
      <c r="AA4595" s="36"/>
      <c r="AB4595" s="36"/>
      <c r="AC4595" s="36"/>
      <c r="AD4595" s="36"/>
      <c r="AE4595" s="36"/>
      <c r="AF4595" s="36"/>
      <c r="AG4595" s="36"/>
      <c r="AH4595" s="36"/>
      <c r="AI4595" s="36"/>
      <c r="AJ4595" s="15">
        <f t="shared" si="565"/>
        <v>0</v>
      </c>
      <c r="AK4595" s="14"/>
      <c r="AL4595" s="14"/>
      <c r="AM4595" s="14"/>
      <c r="AN4595" s="14"/>
      <c r="AO4595" s="14"/>
      <c r="AP4595" s="14"/>
      <c r="AQ4595" s="14"/>
      <c r="AR4595" s="14"/>
      <c r="AS4595" s="14"/>
      <c r="AT4595" s="14"/>
      <c r="AU4595" s="14"/>
      <c r="AV4595" s="14"/>
      <c r="AW4595" s="15"/>
      <c r="AX4595" s="16"/>
    </row>
    <row r="4596" spans="2:50" x14ac:dyDescent="0.2">
      <c r="B4596" s="7"/>
      <c r="C4596" s="8">
        <v>14847</v>
      </c>
      <c r="D4596" s="9" t="s">
        <v>716</v>
      </c>
      <c r="E4596" s="10" t="str">
        <f t="shared" si="561"/>
        <v>Rancho Landero No. 20</v>
      </c>
      <c r="F4596" s="10" t="str">
        <f t="shared" si="562"/>
        <v>Velasco</v>
      </c>
      <c r="G4596" s="8">
        <v>1</v>
      </c>
      <c r="H4596" s="11">
        <v>300</v>
      </c>
      <c r="I4596" s="12">
        <v>42953</v>
      </c>
      <c r="J4596" s="35">
        <f t="shared" si="563"/>
        <v>0</v>
      </c>
      <c r="K4596" s="36"/>
      <c r="L4596" s="36"/>
      <c r="M4596" s="36"/>
      <c r="N4596" s="36"/>
      <c r="O4596" s="36"/>
      <c r="P4596" s="36"/>
      <c r="Q4596" s="36"/>
      <c r="R4596" s="36"/>
      <c r="S4596" s="36"/>
      <c r="T4596" s="36"/>
      <c r="U4596" s="36"/>
      <c r="V4596" s="36"/>
      <c r="W4596" s="15">
        <f t="shared" si="564"/>
        <v>0</v>
      </c>
      <c r="X4596" s="36"/>
      <c r="Y4596" s="36"/>
      <c r="Z4596" s="36"/>
      <c r="AA4596" s="36"/>
      <c r="AB4596" s="36"/>
      <c r="AC4596" s="36"/>
      <c r="AD4596" s="36"/>
      <c r="AE4596" s="36">
        <v>300</v>
      </c>
      <c r="AF4596" s="36"/>
      <c r="AG4596" s="36"/>
      <c r="AH4596" s="36"/>
      <c r="AI4596" s="36"/>
      <c r="AJ4596" s="15">
        <f t="shared" si="565"/>
        <v>300</v>
      </c>
      <c r="AK4596" s="14"/>
      <c r="AL4596" s="14"/>
      <c r="AM4596" s="14"/>
      <c r="AN4596" s="14"/>
      <c r="AO4596" s="14"/>
      <c r="AP4596" s="14"/>
      <c r="AQ4596" s="14"/>
      <c r="AR4596" s="14"/>
      <c r="AS4596" s="14"/>
      <c r="AT4596" s="14"/>
      <c r="AU4596" s="14"/>
      <c r="AV4596" s="14"/>
      <c r="AW4596" s="15"/>
      <c r="AX4596" s="16"/>
    </row>
    <row r="4597" spans="2:50" x14ac:dyDescent="0.2">
      <c r="B4597" s="7"/>
      <c r="C4597" s="8">
        <v>14848</v>
      </c>
      <c r="D4597" s="9" t="s">
        <v>449</v>
      </c>
      <c r="E4597" s="10" t="str">
        <f t="shared" si="561"/>
        <v>Rancho La Cuchilla No. 132</v>
      </c>
      <c r="F4597" s="10" t="str">
        <f t="shared" si="562"/>
        <v>Téllez Girón</v>
      </c>
      <c r="G4597" s="8">
        <v>1</v>
      </c>
      <c r="H4597" s="11">
        <v>900</v>
      </c>
      <c r="I4597" s="12">
        <v>42953</v>
      </c>
      <c r="J4597" s="35">
        <f t="shared" si="563"/>
        <v>0</v>
      </c>
      <c r="K4597" s="36"/>
      <c r="L4597" s="36"/>
      <c r="M4597" s="36"/>
      <c r="N4597" s="36"/>
      <c r="O4597" s="36"/>
      <c r="P4597" s="36"/>
      <c r="Q4597" s="36"/>
      <c r="R4597" s="36"/>
      <c r="S4597" s="36"/>
      <c r="T4597" s="36"/>
      <c r="U4597" s="36"/>
      <c r="V4597" s="36"/>
      <c r="W4597" s="15">
        <f t="shared" si="564"/>
        <v>0</v>
      </c>
      <c r="X4597" s="36"/>
      <c r="Y4597" s="36"/>
      <c r="Z4597" s="36"/>
      <c r="AA4597" s="36"/>
      <c r="AB4597" s="36"/>
      <c r="AC4597" s="36">
        <v>300</v>
      </c>
      <c r="AD4597" s="36">
        <v>300</v>
      </c>
      <c r="AE4597" s="36">
        <v>300</v>
      </c>
      <c r="AF4597" s="36"/>
      <c r="AG4597" s="36"/>
      <c r="AH4597" s="36"/>
      <c r="AI4597" s="36"/>
      <c r="AJ4597" s="15">
        <f t="shared" si="565"/>
        <v>900</v>
      </c>
      <c r="AK4597" s="14"/>
      <c r="AL4597" s="14"/>
      <c r="AM4597" s="14"/>
      <c r="AN4597" s="14"/>
      <c r="AO4597" s="14"/>
      <c r="AP4597" s="14"/>
      <c r="AQ4597" s="14"/>
      <c r="AR4597" s="14"/>
      <c r="AS4597" s="14"/>
      <c r="AT4597" s="14"/>
      <c r="AU4597" s="14"/>
      <c r="AV4597" s="14"/>
      <c r="AW4597" s="15"/>
      <c r="AX4597" s="16"/>
    </row>
    <row r="4598" spans="2:50" x14ac:dyDescent="0.2">
      <c r="B4598" s="7"/>
      <c r="C4598" s="8">
        <v>14849</v>
      </c>
      <c r="D4598" s="9" t="s">
        <v>150</v>
      </c>
      <c r="E4598" s="10" t="str">
        <f t="shared" si="561"/>
        <v>Rancho La Cuchilla No. 33</v>
      </c>
      <c r="F4598" s="10" t="str">
        <f t="shared" si="562"/>
        <v>Tanús</v>
      </c>
      <c r="G4598" s="8">
        <v>1</v>
      </c>
      <c r="H4598" s="11">
        <v>400</v>
      </c>
      <c r="I4598" s="12">
        <v>42953</v>
      </c>
      <c r="J4598" s="35">
        <f t="shared" si="563"/>
        <v>0</v>
      </c>
      <c r="K4598" s="36"/>
      <c r="L4598" s="36"/>
      <c r="M4598" s="36"/>
      <c r="N4598" s="36"/>
      <c r="O4598" s="36"/>
      <c r="P4598" s="36"/>
      <c r="Q4598" s="36"/>
      <c r="R4598" s="36"/>
      <c r="S4598" s="36"/>
      <c r="T4598" s="36"/>
      <c r="U4598" s="36"/>
      <c r="V4598" s="36"/>
      <c r="W4598" s="15">
        <f t="shared" si="564"/>
        <v>0</v>
      </c>
      <c r="X4598" s="36"/>
      <c r="Y4598" s="36"/>
      <c r="Z4598" s="36"/>
      <c r="AA4598" s="36"/>
      <c r="AB4598" s="36"/>
      <c r="AC4598" s="36"/>
      <c r="AD4598" s="36"/>
      <c r="AE4598" s="36">
        <v>400</v>
      </c>
      <c r="AF4598" s="36"/>
      <c r="AG4598" s="36"/>
      <c r="AH4598" s="36"/>
      <c r="AI4598" s="36"/>
      <c r="AJ4598" s="15">
        <f t="shared" si="565"/>
        <v>400</v>
      </c>
      <c r="AK4598" s="14"/>
      <c r="AL4598" s="14"/>
      <c r="AM4598" s="14"/>
      <c r="AN4598" s="14"/>
      <c r="AO4598" s="14"/>
      <c r="AP4598" s="14"/>
      <c r="AQ4598" s="14"/>
      <c r="AR4598" s="14"/>
      <c r="AS4598" s="14"/>
      <c r="AT4598" s="14"/>
      <c r="AU4598" s="14"/>
      <c r="AV4598" s="14"/>
      <c r="AW4598" s="15"/>
      <c r="AX4598" s="16"/>
    </row>
    <row r="4599" spans="2:50" x14ac:dyDescent="0.2">
      <c r="B4599" s="7"/>
      <c r="C4599" s="8">
        <v>14850</v>
      </c>
      <c r="D4599" s="9" t="s">
        <v>123</v>
      </c>
      <c r="E4599" s="10" t="str">
        <f t="shared" si="561"/>
        <v>Rancho Recoveco No. 175, B</v>
      </c>
      <c r="F4599" s="10" t="str">
        <f t="shared" si="562"/>
        <v>García Calderón</v>
      </c>
      <c r="G4599" s="8">
        <v>1</v>
      </c>
      <c r="H4599" s="11">
        <v>250</v>
      </c>
      <c r="I4599" s="12">
        <v>42953</v>
      </c>
      <c r="J4599" s="35">
        <f t="shared" si="563"/>
        <v>0</v>
      </c>
      <c r="K4599" s="36"/>
      <c r="L4599" s="36"/>
      <c r="M4599" s="36"/>
      <c r="N4599" s="36"/>
      <c r="O4599" s="36"/>
      <c r="P4599" s="36"/>
      <c r="Q4599" s="36"/>
      <c r="R4599" s="36"/>
      <c r="S4599" s="36"/>
      <c r="T4599" s="36"/>
      <c r="U4599" s="36"/>
      <c r="V4599" s="36"/>
      <c r="W4599" s="15">
        <f t="shared" si="564"/>
        <v>0</v>
      </c>
      <c r="X4599" s="36"/>
      <c r="Y4599" s="36"/>
      <c r="Z4599" s="36"/>
      <c r="AA4599" s="36"/>
      <c r="AB4599" s="36"/>
      <c r="AC4599" s="36"/>
      <c r="AD4599" s="36"/>
      <c r="AE4599" s="36">
        <v>250</v>
      </c>
      <c r="AF4599" s="36"/>
      <c r="AG4599" s="36"/>
      <c r="AH4599" s="36"/>
      <c r="AI4599" s="36"/>
      <c r="AJ4599" s="15">
        <f t="shared" si="565"/>
        <v>250</v>
      </c>
      <c r="AK4599" s="14"/>
      <c r="AL4599" s="14"/>
      <c r="AM4599" s="14"/>
      <c r="AN4599" s="14"/>
      <c r="AO4599" s="14"/>
      <c r="AP4599" s="14"/>
      <c r="AQ4599" s="14"/>
      <c r="AR4599" s="14"/>
      <c r="AS4599" s="14"/>
      <c r="AT4599" s="14"/>
      <c r="AU4599" s="14"/>
      <c r="AV4599" s="14"/>
      <c r="AW4599" s="15"/>
      <c r="AX4599" s="16"/>
    </row>
    <row r="4600" spans="2:50" x14ac:dyDescent="0.2">
      <c r="B4600" s="7"/>
      <c r="C4600" s="8">
        <v>14850</v>
      </c>
      <c r="D4600" s="9" t="s">
        <v>123</v>
      </c>
      <c r="E4600" s="10" t="str">
        <f t="shared" si="561"/>
        <v>Rancho Recoveco No. 175, B</v>
      </c>
      <c r="F4600" s="10" t="str">
        <f t="shared" si="562"/>
        <v>García Calderón</v>
      </c>
      <c r="G4600" s="8">
        <v>7</v>
      </c>
      <c r="H4600" s="11">
        <v>100</v>
      </c>
      <c r="I4600" s="12">
        <v>42953</v>
      </c>
      <c r="J4600" s="35">
        <f t="shared" si="563"/>
        <v>0</v>
      </c>
      <c r="K4600" s="36"/>
      <c r="L4600" s="36"/>
      <c r="M4600" s="36"/>
      <c r="N4600" s="36"/>
      <c r="O4600" s="36"/>
      <c r="P4600" s="36"/>
      <c r="Q4600" s="36"/>
      <c r="R4600" s="36"/>
      <c r="S4600" s="36"/>
      <c r="T4600" s="36"/>
      <c r="U4600" s="36"/>
      <c r="V4600" s="36"/>
      <c r="W4600" s="15">
        <f t="shared" si="564"/>
        <v>0</v>
      </c>
      <c r="X4600" s="36"/>
      <c r="Y4600" s="36"/>
      <c r="Z4600" s="36"/>
      <c r="AA4600" s="36"/>
      <c r="AB4600" s="36"/>
      <c r="AC4600" s="36"/>
      <c r="AD4600" s="36"/>
      <c r="AE4600" s="36"/>
      <c r="AF4600" s="36"/>
      <c r="AG4600" s="36"/>
      <c r="AH4600" s="36"/>
      <c r="AI4600" s="36"/>
      <c r="AJ4600" s="15">
        <f t="shared" si="565"/>
        <v>0</v>
      </c>
      <c r="AK4600" s="14"/>
      <c r="AL4600" s="14"/>
      <c r="AM4600" s="14"/>
      <c r="AN4600" s="14"/>
      <c r="AO4600" s="14"/>
      <c r="AP4600" s="14"/>
      <c r="AQ4600" s="14"/>
      <c r="AR4600" s="14"/>
      <c r="AS4600" s="14"/>
      <c r="AT4600" s="14"/>
      <c r="AU4600" s="14"/>
      <c r="AV4600" s="14"/>
      <c r="AW4600" s="15"/>
      <c r="AX4600" s="16" t="s">
        <v>4305</v>
      </c>
    </row>
    <row r="4601" spans="2:50" x14ac:dyDescent="0.2">
      <c r="B4601" s="7"/>
      <c r="C4601" s="8">
        <v>14851</v>
      </c>
      <c r="D4601" s="9" t="s">
        <v>562</v>
      </c>
      <c r="E4601" s="10" t="str">
        <f t="shared" si="561"/>
        <v>Rancho Upácuaro No. 87</v>
      </c>
      <c r="F4601" s="10" t="str">
        <f t="shared" si="562"/>
        <v>Rodríguez Parés</v>
      </c>
      <c r="G4601" s="8">
        <v>1</v>
      </c>
      <c r="H4601" s="11">
        <v>400</v>
      </c>
      <c r="I4601" s="12">
        <v>42953</v>
      </c>
      <c r="J4601" s="35">
        <f t="shared" si="563"/>
        <v>0</v>
      </c>
      <c r="K4601" s="36"/>
      <c r="L4601" s="36"/>
      <c r="M4601" s="36"/>
      <c r="N4601" s="36"/>
      <c r="O4601" s="36"/>
      <c r="P4601" s="36"/>
      <c r="Q4601" s="36"/>
      <c r="R4601" s="36"/>
      <c r="S4601" s="36"/>
      <c r="T4601" s="36"/>
      <c r="U4601" s="36"/>
      <c r="V4601" s="36"/>
      <c r="W4601" s="15">
        <f t="shared" si="564"/>
        <v>0</v>
      </c>
      <c r="X4601" s="36"/>
      <c r="Y4601" s="36"/>
      <c r="Z4601" s="36"/>
      <c r="AA4601" s="36"/>
      <c r="AB4601" s="36"/>
      <c r="AC4601" s="36"/>
      <c r="AD4601" s="36"/>
      <c r="AE4601" s="36">
        <v>400</v>
      </c>
      <c r="AF4601" s="36"/>
      <c r="AG4601" s="36"/>
      <c r="AH4601" s="36"/>
      <c r="AI4601" s="36"/>
      <c r="AJ4601" s="15">
        <f t="shared" si="565"/>
        <v>400</v>
      </c>
      <c r="AK4601" s="14"/>
      <c r="AL4601" s="14"/>
      <c r="AM4601" s="14"/>
      <c r="AN4601" s="14"/>
      <c r="AO4601" s="14"/>
      <c r="AP4601" s="14"/>
      <c r="AQ4601" s="14"/>
      <c r="AR4601" s="14"/>
      <c r="AS4601" s="14"/>
      <c r="AT4601" s="14"/>
      <c r="AU4601" s="14"/>
      <c r="AV4601" s="14"/>
      <c r="AW4601" s="15"/>
      <c r="AX4601" s="16"/>
    </row>
    <row r="4602" spans="2:50" x14ac:dyDescent="0.2">
      <c r="B4602" s="7"/>
      <c r="C4602" s="8">
        <v>14852</v>
      </c>
      <c r="D4602" s="9" t="s">
        <v>743</v>
      </c>
      <c r="E4602" s="10" t="str">
        <f t="shared" si="561"/>
        <v>Rancho Upácuaro No. 106</v>
      </c>
      <c r="F4602" s="10" t="str">
        <f t="shared" si="562"/>
        <v>Hernández Sánchez</v>
      </c>
      <c r="G4602" s="8">
        <v>1</v>
      </c>
      <c r="H4602" s="11">
        <v>1200</v>
      </c>
      <c r="I4602" s="12">
        <v>42953</v>
      </c>
      <c r="J4602" s="35">
        <f t="shared" si="563"/>
        <v>0</v>
      </c>
      <c r="K4602" s="36"/>
      <c r="L4602" s="36"/>
      <c r="M4602" s="36"/>
      <c r="N4602" s="36"/>
      <c r="O4602" s="36"/>
      <c r="P4602" s="36"/>
      <c r="Q4602" s="36"/>
      <c r="R4602" s="36"/>
      <c r="S4602" s="36"/>
      <c r="T4602" s="36"/>
      <c r="U4602" s="36"/>
      <c r="V4602" s="36"/>
      <c r="W4602" s="15">
        <f t="shared" si="564"/>
        <v>0</v>
      </c>
      <c r="X4602" s="36">
        <v>400</v>
      </c>
      <c r="Y4602" s="36">
        <v>400</v>
      </c>
      <c r="Z4602" s="36">
        <v>400</v>
      </c>
      <c r="AA4602" s="36"/>
      <c r="AB4602" s="36"/>
      <c r="AC4602" s="36"/>
      <c r="AD4602" s="36"/>
      <c r="AE4602" s="36"/>
      <c r="AF4602" s="36"/>
      <c r="AG4602" s="36"/>
      <c r="AH4602" s="36"/>
      <c r="AI4602" s="36"/>
      <c r="AJ4602" s="15">
        <f t="shared" si="565"/>
        <v>1200</v>
      </c>
      <c r="AK4602" s="14"/>
      <c r="AL4602" s="14"/>
      <c r="AM4602" s="14"/>
      <c r="AN4602" s="14"/>
      <c r="AO4602" s="14"/>
      <c r="AP4602" s="14"/>
      <c r="AQ4602" s="14"/>
      <c r="AR4602" s="14"/>
      <c r="AS4602" s="14"/>
      <c r="AT4602" s="14"/>
      <c r="AU4602" s="14"/>
      <c r="AV4602" s="14"/>
      <c r="AW4602" s="15"/>
      <c r="AX4602" s="16"/>
    </row>
    <row r="4603" spans="2:50" x14ac:dyDescent="0.2">
      <c r="B4603" s="7"/>
      <c r="C4603" s="8">
        <v>14853</v>
      </c>
      <c r="D4603" s="9"/>
      <c r="E4603" s="10" t="str">
        <f t="shared" si="561"/>
        <v/>
      </c>
      <c r="F4603" s="10" t="str">
        <f t="shared" si="562"/>
        <v/>
      </c>
      <c r="G4603" s="8">
        <v>8</v>
      </c>
      <c r="H4603" s="11"/>
      <c r="I4603" s="12"/>
      <c r="J4603" s="35">
        <f t="shared" si="563"/>
        <v>0</v>
      </c>
      <c r="K4603" s="36"/>
      <c r="L4603" s="36"/>
      <c r="M4603" s="36"/>
      <c r="N4603" s="36"/>
      <c r="O4603" s="36"/>
      <c r="P4603" s="36"/>
      <c r="Q4603" s="36"/>
      <c r="R4603" s="36"/>
      <c r="S4603" s="36"/>
      <c r="T4603" s="36"/>
      <c r="U4603" s="36"/>
      <c r="V4603" s="36"/>
      <c r="W4603" s="15">
        <f t="shared" si="564"/>
        <v>0</v>
      </c>
      <c r="X4603" s="36"/>
      <c r="Y4603" s="36"/>
      <c r="Z4603" s="36"/>
      <c r="AA4603" s="36"/>
      <c r="AB4603" s="36"/>
      <c r="AC4603" s="36"/>
      <c r="AD4603" s="36"/>
      <c r="AE4603" s="36"/>
      <c r="AF4603" s="36"/>
      <c r="AG4603" s="36"/>
      <c r="AH4603" s="36"/>
      <c r="AI4603" s="36"/>
      <c r="AJ4603" s="15">
        <f t="shared" si="565"/>
        <v>0</v>
      </c>
      <c r="AK4603" s="14"/>
      <c r="AL4603" s="14"/>
      <c r="AM4603" s="14"/>
      <c r="AN4603" s="14"/>
      <c r="AO4603" s="14"/>
      <c r="AP4603" s="14"/>
      <c r="AQ4603" s="14"/>
      <c r="AR4603" s="14"/>
      <c r="AS4603" s="14"/>
      <c r="AT4603" s="14"/>
      <c r="AU4603" s="14"/>
      <c r="AV4603" s="14"/>
      <c r="AW4603" s="15"/>
      <c r="AX4603" s="16"/>
    </row>
    <row r="4604" spans="2:50" x14ac:dyDescent="0.2">
      <c r="B4604" s="7"/>
      <c r="C4604" s="8">
        <v>14854</v>
      </c>
      <c r="D4604" s="9" t="s">
        <v>631</v>
      </c>
      <c r="E4604" s="10" t="str">
        <f t="shared" si="561"/>
        <v>Rancho Romeral No. 10, B</v>
      </c>
      <c r="F4604" s="10" t="str">
        <f t="shared" si="562"/>
        <v>López Castellano</v>
      </c>
      <c r="G4604" s="8">
        <v>1</v>
      </c>
      <c r="H4604" s="11">
        <v>600</v>
      </c>
      <c r="I4604" s="12">
        <v>42953</v>
      </c>
      <c r="J4604" s="35">
        <f t="shared" si="563"/>
        <v>0</v>
      </c>
      <c r="K4604" s="36"/>
      <c r="L4604" s="36"/>
      <c r="M4604" s="36"/>
      <c r="N4604" s="36"/>
      <c r="O4604" s="36"/>
      <c r="P4604" s="36"/>
      <c r="Q4604" s="36"/>
      <c r="R4604" s="36"/>
      <c r="S4604" s="36"/>
      <c r="T4604" s="36"/>
      <c r="U4604" s="36"/>
      <c r="V4604" s="36"/>
      <c r="W4604" s="15">
        <f t="shared" si="564"/>
        <v>0</v>
      </c>
      <c r="X4604" s="36"/>
      <c r="Y4604" s="36"/>
      <c r="Z4604" s="36"/>
      <c r="AA4604" s="36"/>
      <c r="AB4604" s="36"/>
      <c r="AC4604" s="36">
        <v>300</v>
      </c>
      <c r="AD4604" s="36">
        <v>300</v>
      </c>
      <c r="AE4604" s="36"/>
      <c r="AF4604" s="36"/>
      <c r="AG4604" s="36"/>
      <c r="AH4604" s="36"/>
      <c r="AI4604" s="36"/>
      <c r="AJ4604" s="15">
        <f t="shared" si="565"/>
        <v>600</v>
      </c>
      <c r="AK4604" s="14"/>
      <c r="AL4604" s="14"/>
      <c r="AM4604" s="14"/>
      <c r="AN4604" s="14"/>
      <c r="AO4604" s="14"/>
      <c r="AP4604" s="14"/>
      <c r="AQ4604" s="14"/>
      <c r="AR4604" s="14"/>
      <c r="AS4604" s="14"/>
      <c r="AT4604" s="14"/>
      <c r="AU4604" s="14"/>
      <c r="AV4604" s="14"/>
      <c r="AW4604" s="15"/>
      <c r="AX4604" s="16"/>
    </row>
    <row r="4605" spans="2:50" x14ac:dyDescent="0.2">
      <c r="B4605" s="7"/>
      <c r="C4605" s="8">
        <v>14855</v>
      </c>
      <c r="D4605" s="9" t="s">
        <v>538</v>
      </c>
      <c r="E4605" s="10" t="str">
        <f t="shared" si="561"/>
        <v>Rancho Landero No. 73</v>
      </c>
      <c r="F4605" s="10" t="str">
        <f t="shared" si="562"/>
        <v>Islas Palacios</v>
      </c>
      <c r="G4605" s="8">
        <v>1</v>
      </c>
      <c r="H4605" s="11">
        <v>400</v>
      </c>
      <c r="I4605" s="12">
        <v>42953</v>
      </c>
      <c r="J4605" s="35">
        <f t="shared" si="563"/>
        <v>0</v>
      </c>
      <c r="K4605" s="36"/>
      <c r="L4605" s="36"/>
      <c r="M4605" s="36"/>
      <c r="N4605" s="36"/>
      <c r="O4605" s="36"/>
      <c r="P4605" s="36"/>
      <c r="Q4605" s="36"/>
      <c r="R4605" s="36"/>
      <c r="S4605" s="36"/>
      <c r="T4605" s="36"/>
      <c r="U4605" s="36"/>
      <c r="V4605" s="36"/>
      <c r="W4605" s="15">
        <f t="shared" si="564"/>
        <v>0</v>
      </c>
      <c r="X4605" s="36"/>
      <c r="Y4605" s="36"/>
      <c r="Z4605" s="36"/>
      <c r="AA4605" s="36"/>
      <c r="AB4605" s="36"/>
      <c r="AC4605" s="36"/>
      <c r="AD4605" s="36">
        <v>400</v>
      </c>
      <c r="AE4605" s="36"/>
      <c r="AF4605" s="36"/>
      <c r="AG4605" s="36"/>
      <c r="AH4605" s="36"/>
      <c r="AI4605" s="36"/>
      <c r="AJ4605" s="15">
        <f t="shared" si="565"/>
        <v>400</v>
      </c>
      <c r="AK4605" s="14"/>
      <c r="AL4605" s="14"/>
      <c r="AM4605" s="14"/>
      <c r="AN4605" s="14"/>
      <c r="AO4605" s="14"/>
      <c r="AP4605" s="14"/>
      <c r="AQ4605" s="14"/>
      <c r="AR4605" s="14"/>
      <c r="AS4605" s="14"/>
      <c r="AT4605" s="14"/>
      <c r="AU4605" s="14"/>
      <c r="AV4605" s="14"/>
      <c r="AW4605" s="15"/>
      <c r="AX4605" s="16"/>
    </row>
    <row r="4606" spans="2:50" x14ac:dyDescent="0.2">
      <c r="B4606" s="7"/>
      <c r="C4606" s="8">
        <v>14856</v>
      </c>
      <c r="D4606" s="9" t="s">
        <v>631</v>
      </c>
      <c r="E4606" s="10" t="str">
        <f t="shared" si="561"/>
        <v>Rancho Romeral No. 10, B</v>
      </c>
      <c r="F4606" s="10" t="str">
        <f t="shared" si="562"/>
        <v>López Castellano</v>
      </c>
      <c r="G4606" s="8">
        <v>1</v>
      </c>
      <c r="H4606" s="11">
        <v>600</v>
      </c>
      <c r="I4606" s="12">
        <v>42953</v>
      </c>
      <c r="J4606" s="35">
        <f t="shared" si="563"/>
        <v>0</v>
      </c>
      <c r="K4606" s="36"/>
      <c r="L4606" s="36"/>
      <c r="M4606" s="36"/>
      <c r="N4606" s="36"/>
      <c r="O4606" s="36"/>
      <c r="P4606" s="36"/>
      <c r="Q4606" s="36"/>
      <c r="R4606" s="36"/>
      <c r="S4606" s="36"/>
      <c r="T4606" s="36"/>
      <c r="U4606" s="36"/>
      <c r="V4606" s="36"/>
      <c r="W4606" s="15">
        <f t="shared" si="564"/>
        <v>0</v>
      </c>
      <c r="X4606" s="36"/>
      <c r="Y4606" s="36"/>
      <c r="Z4606" s="36"/>
      <c r="AA4606" s="36"/>
      <c r="AB4606" s="36">
        <v>300</v>
      </c>
      <c r="AC4606" s="36"/>
      <c r="AD4606" s="36"/>
      <c r="AE4606" s="36">
        <v>300</v>
      </c>
      <c r="AF4606" s="36"/>
      <c r="AG4606" s="36"/>
      <c r="AH4606" s="36"/>
      <c r="AI4606" s="36"/>
      <c r="AJ4606" s="15">
        <f t="shared" si="565"/>
        <v>600</v>
      </c>
      <c r="AK4606" s="14"/>
      <c r="AL4606" s="14"/>
      <c r="AM4606" s="14"/>
      <c r="AN4606" s="14"/>
      <c r="AO4606" s="14"/>
      <c r="AP4606" s="14"/>
      <c r="AQ4606" s="14"/>
      <c r="AR4606" s="14"/>
      <c r="AS4606" s="14"/>
      <c r="AT4606" s="14"/>
      <c r="AU4606" s="14"/>
      <c r="AV4606" s="14"/>
      <c r="AW4606" s="15"/>
      <c r="AX4606" s="16"/>
    </row>
    <row r="4607" spans="2:50" x14ac:dyDescent="0.2">
      <c r="B4607" s="7"/>
      <c r="C4607" s="8">
        <v>14857</v>
      </c>
      <c r="D4607" s="9" t="s">
        <v>384</v>
      </c>
      <c r="E4607" s="10" t="str">
        <f t="shared" si="561"/>
        <v>Rancho Zinamba No. 88</v>
      </c>
      <c r="F4607" s="10" t="str">
        <f t="shared" si="562"/>
        <v>Martínez</v>
      </c>
      <c r="G4607" s="8">
        <v>1</v>
      </c>
      <c r="H4607" s="11">
        <v>300</v>
      </c>
      <c r="I4607" s="12">
        <v>42953</v>
      </c>
      <c r="J4607" s="35">
        <f t="shared" si="563"/>
        <v>0</v>
      </c>
      <c r="K4607" s="36"/>
      <c r="L4607" s="36"/>
      <c r="M4607" s="36"/>
      <c r="N4607" s="36"/>
      <c r="O4607" s="36"/>
      <c r="P4607" s="36"/>
      <c r="Q4607" s="36"/>
      <c r="R4607" s="36"/>
      <c r="S4607" s="36"/>
      <c r="T4607" s="36"/>
      <c r="U4607" s="36"/>
      <c r="V4607" s="36"/>
      <c r="W4607" s="15">
        <f t="shared" si="564"/>
        <v>0</v>
      </c>
      <c r="X4607" s="36"/>
      <c r="Y4607" s="36"/>
      <c r="Z4607" s="36"/>
      <c r="AA4607" s="36"/>
      <c r="AB4607" s="36"/>
      <c r="AC4607" s="36"/>
      <c r="AD4607" s="36"/>
      <c r="AE4607" s="36">
        <v>300</v>
      </c>
      <c r="AF4607" s="36"/>
      <c r="AG4607" s="36"/>
      <c r="AH4607" s="36"/>
      <c r="AI4607" s="36"/>
      <c r="AJ4607" s="15">
        <f t="shared" si="565"/>
        <v>300</v>
      </c>
      <c r="AK4607" s="14"/>
      <c r="AL4607" s="14"/>
      <c r="AM4607" s="14"/>
      <c r="AN4607" s="14"/>
      <c r="AO4607" s="14"/>
      <c r="AP4607" s="14"/>
      <c r="AQ4607" s="14"/>
      <c r="AR4607" s="14"/>
      <c r="AS4607" s="14"/>
      <c r="AT4607" s="14"/>
      <c r="AU4607" s="14"/>
      <c r="AV4607" s="14"/>
      <c r="AW4607" s="15"/>
      <c r="AX4607" s="16"/>
    </row>
    <row r="4608" spans="2:50" x14ac:dyDescent="0.2">
      <c r="B4608" s="7"/>
      <c r="C4608" s="8">
        <v>14858</v>
      </c>
      <c r="D4608" s="9" t="s">
        <v>672</v>
      </c>
      <c r="E4608" s="10" t="str">
        <f t="shared" si="561"/>
        <v>Rancho Estanzuela No. 11, B</v>
      </c>
      <c r="F4608" s="10" t="str">
        <f t="shared" si="562"/>
        <v>Gómez Miguel</v>
      </c>
      <c r="G4608" s="8">
        <v>1</v>
      </c>
      <c r="H4608" s="11">
        <v>400</v>
      </c>
      <c r="I4608" s="12">
        <v>42953</v>
      </c>
      <c r="J4608" s="35">
        <f t="shared" si="563"/>
        <v>0</v>
      </c>
      <c r="K4608" s="36"/>
      <c r="L4608" s="36"/>
      <c r="M4608" s="36"/>
      <c r="N4608" s="36"/>
      <c r="O4608" s="36"/>
      <c r="P4608" s="36"/>
      <c r="Q4608" s="36"/>
      <c r="R4608" s="36"/>
      <c r="S4608" s="36"/>
      <c r="T4608" s="36"/>
      <c r="U4608" s="36"/>
      <c r="V4608" s="36"/>
      <c r="W4608" s="15">
        <f t="shared" si="564"/>
        <v>0</v>
      </c>
      <c r="X4608" s="36"/>
      <c r="Y4608" s="36"/>
      <c r="Z4608" s="36"/>
      <c r="AA4608" s="36"/>
      <c r="AB4608" s="36"/>
      <c r="AC4608" s="36"/>
      <c r="AD4608" s="36">
        <v>200</v>
      </c>
      <c r="AE4608" s="36">
        <v>200</v>
      </c>
      <c r="AF4608" s="36"/>
      <c r="AG4608" s="36"/>
      <c r="AH4608" s="36"/>
      <c r="AI4608" s="36"/>
      <c r="AJ4608" s="15">
        <f t="shared" si="565"/>
        <v>400</v>
      </c>
      <c r="AK4608" s="14"/>
      <c r="AL4608" s="14"/>
      <c r="AM4608" s="14"/>
      <c r="AN4608" s="14"/>
      <c r="AO4608" s="14"/>
      <c r="AP4608" s="14"/>
      <c r="AQ4608" s="14"/>
      <c r="AR4608" s="14"/>
      <c r="AS4608" s="14"/>
      <c r="AT4608" s="14"/>
      <c r="AU4608" s="14"/>
      <c r="AV4608" s="14"/>
      <c r="AW4608" s="15"/>
      <c r="AX4608" s="16"/>
    </row>
    <row r="4609" spans="2:50" x14ac:dyDescent="0.2">
      <c r="B4609" s="7"/>
      <c r="C4609" s="8">
        <v>14859</v>
      </c>
      <c r="D4609" s="9" t="s">
        <v>476</v>
      </c>
      <c r="E4609" s="10" t="str">
        <f t="shared" si="561"/>
        <v>Rancho Upácuaro No. 33</v>
      </c>
      <c r="F4609" s="10" t="str">
        <f t="shared" si="562"/>
        <v>Ulloa Miranda</v>
      </c>
      <c r="G4609" s="8">
        <v>1</v>
      </c>
      <c r="H4609" s="11">
        <v>400</v>
      </c>
      <c r="I4609" s="12">
        <v>42953</v>
      </c>
      <c r="J4609" s="35">
        <f t="shared" si="563"/>
        <v>0</v>
      </c>
      <c r="K4609" s="36"/>
      <c r="L4609" s="36"/>
      <c r="M4609" s="36"/>
      <c r="N4609" s="36"/>
      <c r="O4609" s="36"/>
      <c r="P4609" s="36"/>
      <c r="Q4609" s="36"/>
      <c r="R4609" s="36"/>
      <c r="S4609" s="36"/>
      <c r="T4609" s="36"/>
      <c r="U4609" s="36"/>
      <c r="V4609" s="36"/>
      <c r="W4609" s="15">
        <f t="shared" si="564"/>
        <v>0</v>
      </c>
      <c r="X4609" s="36"/>
      <c r="Y4609" s="36"/>
      <c r="Z4609" s="36"/>
      <c r="AA4609" s="36"/>
      <c r="AB4609" s="36"/>
      <c r="AC4609" s="36"/>
      <c r="AD4609" s="36"/>
      <c r="AE4609" s="36">
        <v>400</v>
      </c>
      <c r="AF4609" s="36"/>
      <c r="AG4609" s="36"/>
      <c r="AH4609" s="36"/>
      <c r="AI4609" s="36"/>
      <c r="AJ4609" s="15">
        <f t="shared" si="565"/>
        <v>400</v>
      </c>
      <c r="AK4609" s="14"/>
      <c r="AL4609" s="14"/>
      <c r="AM4609" s="14"/>
      <c r="AN4609" s="14"/>
      <c r="AO4609" s="14"/>
      <c r="AP4609" s="14"/>
      <c r="AQ4609" s="14"/>
      <c r="AR4609" s="14"/>
      <c r="AS4609" s="14"/>
      <c r="AT4609" s="14"/>
      <c r="AU4609" s="14"/>
      <c r="AV4609" s="14"/>
      <c r="AW4609" s="15"/>
      <c r="AX4609" s="16"/>
    </row>
    <row r="4610" spans="2:50" x14ac:dyDescent="0.2">
      <c r="B4610" s="7"/>
      <c r="C4610" s="8">
        <v>14860</v>
      </c>
      <c r="D4610" s="9" t="s">
        <v>280</v>
      </c>
      <c r="E4610" s="10" t="str">
        <f t="shared" si="561"/>
        <v>Rancho La Cuchilla No. 40</v>
      </c>
      <c r="F4610" s="10" t="str">
        <f t="shared" si="562"/>
        <v>López Pico</v>
      </c>
      <c r="G4610" s="8">
        <v>1</v>
      </c>
      <c r="H4610" s="11">
        <v>400</v>
      </c>
      <c r="I4610" s="12">
        <v>42953</v>
      </c>
      <c r="J4610" s="35">
        <f t="shared" si="563"/>
        <v>0</v>
      </c>
      <c r="K4610" s="36"/>
      <c r="L4610" s="36"/>
      <c r="M4610" s="36"/>
      <c r="N4610" s="36"/>
      <c r="O4610" s="36"/>
      <c r="P4610" s="36"/>
      <c r="Q4610" s="36"/>
      <c r="R4610" s="36"/>
      <c r="S4610" s="36"/>
      <c r="T4610" s="36"/>
      <c r="U4610" s="36"/>
      <c r="V4610" s="36"/>
      <c r="W4610" s="15">
        <f t="shared" si="564"/>
        <v>0</v>
      </c>
      <c r="X4610" s="36"/>
      <c r="Y4610" s="36"/>
      <c r="Z4610" s="36"/>
      <c r="AA4610" s="36"/>
      <c r="AB4610" s="36"/>
      <c r="AC4610" s="36"/>
      <c r="AD4610" s="36"/>
      <c r="AE4610" s="36">
        <v>400</v>
      </c>
      <c r="AF4610" s="36"/>
      <c r="AG4610" s="36"/>
      <c r="AH4610" s="36"/>
      <c r="AI4610" s="36"/>
      <c r="AJ4610" s="15">
        <f t="shared" si="565"/>
        <v>400</v>
      </c>
      <c r="AK4610" s="14"/>
      <c r="AL4610" s="14"/>
      <c r="AM4610" s="14"/>
      <c r="AN4610" s="14"/>
      <c r="AO4610" s="14"/>
      <c r="AP4610" s="14"/>
      <c r="AQ4610" s="14"/>
      <c r="AR4610" s="14"/>
      <c r="AS4610" s="14"/>
      <c r="AT4610" s="14"/>
      <c r="AU4610" s="14"/>
      <c r="AV4610" s="14"/>
      <c r="AW4610" s="15"/>
      <c r="AX4610" s="16"/>
    </row>
    <row r="4611" spans="2:50" x14ac:dyDescent="0.2">
      <c r="B4611" s="7"/>
      <c r="C4611" s="8">
        <v>14861</v>
      </c>
      <c r="D4611" s="9" t="s">
        <v>174</v>
      </c>
      <c r="E4611" s="10" t="str">
        <f t="shared" si="561"/>
        <v>Rancho Upácuaro No. 18</v>
      </c>
      <c r="F4611" s="10" t="str">
        <f t="shared" si="562"/>
        <v>Guzmán</v>
      </c>
      <c r="G4611" s="8">
        <v>1</v>
      </c>
      <c r="H4611" s="11">
        <v>300</v>
      </c>
      <c r="I4611" s="12">
        <v>42953</v>
      </c>
      <c r="J4611" s="35">
        <f t="shared" si="563"/>
        <v>0</v>
      </c>
      <c r="K4611" s="36"/>
      <c r="L4611" s="36"/>
      <c r="M4611" s="36"/>
      <c r="N4611" s="36"/>
      <c r="O4611" s="36"/>
      <c r="P4611" s="36"/>
      <c r="Q4611" s="36"/>
      <c r="R4611" s="36"/>
      <c r="S4611" s="36"/>
      <c r="T4611" s="36"/>
      <c r="U4611" s="36"/>
      <c r="V4611" s="36"/>
      <c r="W4611" s="15">
        <f t="shared" si="564"/>
        <v>0</v>
      </c>
      <c r="X4611" s="36"/>
      <c r="Y4611" s="36"/>
      <c r="Z4611" s="36"/>
      <c r="AA4611" s="36"/>
      <c r="AB4611" s="36"/>
      <c r="AC4611" s="36"/>
      <c r="AD4611" s="36"/>
      <c r="AE4611" s="36">
        <v>300</v>
      </c>
      <c r="AF4611" s="36"/>
      <c r="AG4611" s="36"/>
      <c r="AH4611" s="36"/>
      <c r="AI4611" s="36"/>
      <c r="AJ4611" s="15">
        <f t="shared" si="565"/>
        <v>300</v>
      </c>
      <c r="AK4611" s="14"/>
      <c r="AL4611" s="14"/>
      <c r="AM4611" s="14"/>
      <c r="AN4611" s="14"/>
      <c r="AO4611" s="14"/>
      <c r="AP4611" s="14"/>
      <c r="AQ4611" s="14"/>
      <c r="AR4611" s="14"/>
      <c r="AS4611" s="14"/>
      <c r="AT4611" s="14"/>
      <c r="AU4611" s="14"/>
      <c r="AV4611" s="14"/>
      <c r="AW4611" s="15"/>
      <c r="AX4611" s="16"/>
    </row>
    <row r="4612" spans="2:50" x14ac:dyDescent="0.2">
      <c r="B4612" s="7"/>
      <c r="C4612" s="8">
        <v>14862</v>
      </c>
      <c r="D4612" s="9" t="s">
        <v>479</v>
      </c>
      <c r="E4612" s="10" t="str">
        <f t="shared" si="561"/>
        <v>Rancho Zinamba No. 68</v>
      </c>
      <c r="F4612" s="10" t="str">
        <f t="shared" si="562"/>
        <v>Rivera Villicaña</v>
      </c>
      <c r="G4612" s="8">
        <v>1</v>
      </c>
      <c r="H4612" s="11">
        <v>300</v>
      </c>
      <c r="I4612" s="12">
        <v>42953</v>
      </c>
      <c r="J4612" s="35">
        <f t="shared" si="563"/>
        <v>0</v>
      </c>
      <c r="K4612" s="36"/>
      <c r="L4612" s="36"/>
      <c r="M4612" s="36"/>
      <c r="N4612" s="36"/>
      <c r="O4612" s="36"/>
      <c r="P4612" s="36"/>
      <c r="Q4612" s="36"/>
      <c r="R4612" s="36"/>
      <c r="S4612" s="36"/>
      <c r="T4612" s="36"/>
      <c r="U4612" s="36"/>
      <c r="V4612" s="36"/>
      <c r="W4612" s="15">
        <f t="shared" si="564"/>
        <v>0</v>
      </c>
      <c r="X4612" s="36"/>
      <c r="Y4612" s="36"/>
      <c r="Z4612" s="36"/>
      <c r="AA4612" s="36"/>
      <c r="AB4612" s="36"/>
      <c r="AC4612" s="36"/>
      <c r="AD4612" s="36"/>
      <c r="AE4612" s="36">
        <v>300</v>
      </c>
      <c r="AF4612" s="36"/>
      <c r="AG4612" s="36"/>
      <c r="AH4612" s="36"/>
      <c r="AI4612" s="36"/>
      <c r="AJ4612" s="15">
        <f t="shared" si="565"/>
        <v>300</v>
      </c>
      <c r="AK4612" s="14"/>
      <c r="AL4612" s="14"/>
      <c r="AM4612" s="14"/>
      <c r="AN4612" s="14"/>
      <c r="AO4612" s="14"/>
      <c r="AP4612" s="14"/>
      <c r="AQ4612" s="14"/>
      <c r="AR4612" s="14"/>
      <c r="AS4612" s="14"/>
      <c r="AT4612" s="14"/>
      <c r="AU4612" s="14"/>
      <c r="AV4612" s="14"/>
      <c r="AW4612" s="15"/>
      <c r="AX4612" s="16"/>
    </row>
    <row r="4613" spans="2:50" x14ac:dyDescent="0.2">
      <c r="B4613" s="7"/>
      <c r="C4613" s="8">
        <v>14863</v>
      </c>
      <c r="D4613" s="9" t="s">
        <v>586</v>
      </c>
      <c r="E4613" s="10" t="str">
        <f t="shared" si="561"/>
        <v>Rancho Estanzuela No. 161, 1</v>
      </c>
      <c r="F4613" s="10" t="str">
        <f t="shared" si="562"/>
        <v>Guevara</v>
      </c>
      <c r="G4613" s="8">
        <v>1</v>
      </c>
      <c r="H4613" s="11">
        <v>200</v>
      </c>
      <c r="I4613" s="12">
        <v>42953</v>
      </c>
      <c r="J4613" s="35">
        <f t="shared" si="563"/>
        <v>0</v>
      </c>
      <c r="K4613" s="36"/>
      <c r="L4613" s="36"/>
      <c r="M4613" s="36"/>
      <c r="N4613" s="36"/>
      <c r="O4613" s="36"/>
      <c r="P4613" s="36"/>
      <c r="Q4613" s="36"/>
      <c r="R4613" s="36"/>
      <c r="S4613" s="36"/>
      <c r="T4613" s="36"/>
      <c r="U4613" s="36"/>
      <c r="V4613" s="36"/>
      <c r="W4613" s="15">
        <f t="shared" si="564"/>
        <v>0</v>
      </c>
      <c r="X4613" s="36"/>
      <c r="Y4613" s="36"/>
      <c r="Z4613" s="36"/>
      <c r="AA4613" s="36"/>
      <c r="AB4613" s="36"/>
      <c r="AC4613" s="36"/>
      <c r="AD4613" s="36">
        <v>200</v>
      </c>
      <c r="AE4613" s="36"/>
      <c r="AF4613" s="36"/>
      <c r="AG4613" s="36"/>
      <c r="AH4613" s="36"/>
      <c r="AI4613" s="36"/>
      <c r="AJ4613" s="15">
        <f t="shared" si="565"/>
        <v>200</v>
      </c>
      <c r="AK4613" s="14"/>
      <c r="AL4613" s="14"/>
      <c r="AM4613" s="14"/>
      <c r="AN4613" s="14"/>
      <c r="AO4613" s="14"/>
      <c r="AP4613" s="14"/>
      <c r="AQ4613" s="14"/>
      <c r="AR4613" s="14"/>
      <c r="AS4613" s="14"/>
      <c r="AT4613" s="14"/>
      <c r="AU4613" s="14"/>
      <c r="AV4613" s="14"/>
      <c r="AW4613" s="15"/>
      <c r="AX4613" s="16"/>
    </row>
    <row r="4614" spans="2:50" x14ac:dyDescent="0.2">
      <c r="B4614" s="7"/>
      <c r="C4614" s="8">
        <v>14864</v>
      </c>
      <c r="D4614" s="9" t="s">
        <v>313</v>
      </c>
      <c r="E4614" s="10" t="str">
        <f t="shared" si="561"/>
        <v>Rancho La Cuchilla No. 87</v>
      </c>
      <c r="F4614" s="10" t="str">
        <f t="shared" si="562"/>
        <v>Villanueva S.</v>
      </c>
      <c r="G4614" s="8">
        <v>1</v>
      </c>
      <c r="H4614" s="11">
        <v>400</v>
      </c>
      <c r="I4614" s="12">
        <v>42953</v>
      </c>
      <c r="J4614" s="35">
        <f t="shared" si="563"/>
        <v>0</v>
      </c>
      <c r="K4614" s="36"/>
      <c r="L4614" s="36"/>
      <c r="M4614" s="36"/>
      <c r="N4614" s="36"/>
      <c r="O4614" s="36"/>
      <c r="P4614" s="36"/>
      <c r="Q4614" s="36"/>
      <c r="R4614" s="36"/>
      <c r="S4614" s="36"/>
      <c r="T4614" s="36"/>
      <c r="U4614" s="36"/>
      <c r="V4614" s="36"/>
      <c r="W4614" s="15">
        <f t="shared" si="564"/>
        <v>0</v>
      </c>
      <c r="X4614" s="36"/>
      <c r="Y4614" s="36"/>
      <c r="Z4614" s="36"/>
      <c r="AA4614" s="36"/>
      <c r="AB4614" s="36"/>
      <c r="AC4614" s="36"/>
      <c r="AD4614" s="36"/>
      <c r="AE4614" s="36">
        <v>400</v>
      </c>
      <c r="AF4614" s="36"/>
      <c r="AG4614" s="36"/>
      <c r="AH4614" s="36"/>
      <c r="AI4614" s="36"/>
      <c r="AJ4614" s="15">
        <f t="shared" si="565"/>
        <v>400</v>
      </c>
      <c r="AK4614" s="14"/>
      <c r="AL4614" s="14"/>
      <c r="AM4614" s="14"/>
      <c r="AN4614" s="14"/>
      <c r="AO4614" s="14"/>
      <c r="AP4614" s="14"/>
      <c r="AQ4614" s="14"/>
      <c r="AR4614" s="14"/>
      <c r="AS4614" s="14"/>
      <c r="AT4614" s="14"/>
      <c r="AU4614" s="14"/>
      <c r="AV4614" s="14"/>
      <c r="AW4614" s="15"/>
      <c r="AX4614" s="16"/>
    </row>
    <row r="4615" spans="2:50" x14ac:dyDescent="0.2">
      <c r="B4615" s="7"/>
      <c r="C4615" s="8">
        <v>14865</v>
      </c>
      <c r="D4615" s="9" t="s">
        <v>235</v>
      </c>
      <c r="E4615" s="10" t="str">
        <f t="shared" si="561"/>
        <v>Rancho La Cuchilla No. 43, A</v>
      </c>
      <c r="F4615" s="10" t="str">
        <f t="shared" si="562"/>
        <v>De la Rosa</v>
      </c>
      <c r="G4615" s="8">
        <v>1</v>
      </c>
      <c r="H4615" s="11">
        <v>400</v>
      </c>
      <c r="I4615" s="12">
        <v>42953</v>
      </c>
      <c r="J4615" s="35">
        <f t="shared" si="563"/>
        <v>0</v>
      </c>
      <c r="K4615" s="36"/>
      <c r="L4615" s="36"/>
      <c r="M4615" s="36"/>
      <c r="N4615" s="36"/>
      <c r="O4615" s="36"/>
      <c r="P4615" s="36"/>
      <c r="Q4615" s="36"/>
      <c r="R4615" s="36"/>
      <c r="S4615" s="36"/>
      <c r="T4615" s="36"/>
      <c r="U4615" s="36"/>
      <c r="V4615" s="36"/>
      <c r="W4615" s="15">
        <f t="shared" si="564"/>
        <v>0</v>
      </c>
      <c r="X4615" s="36"/>
      <c r="Y4615" s="36"/>
      <c r="Z4615" s="36"/>
      <c r="AA4615" s="36"/>
      <c r="AB4615" s="36"/>
      <c r="AC4615" s="36"/>
      <c r="AD4615" s="36">
        <v>400</v>
      </c>
      <c r="AE4615" s="36"/>
      <c r="AF4615" s="36"/>
      <c r="AG4615" s="36"/>
      <c r="AH4615" s="36"/>
      <c r="AI4615" s="36"/>
      <c r="AJ4615" s="15">
        <f t="shared" si="565"/>
        <v>400</v>
      </c>
      <c r="AK4615" s="14"/>
      <c r="AL4615" s="14"/>
      <c r="AM4615" s="14"/>
      <c r="AN4615" s="14"/>
      <c r="AO4615" s="14"/>
      <c r="AP4615" s="14"/>
      <c r="AQ4615" s="14"/>
      <c r="AR4615" s="14"/>
      <c r="AS4615" s="14"/>
      <c r="AT4615" s="14"/>
      <c r="AU4615" s="14"/>
      <c r="AV4615" s="14"/>
      <c r="AW4615" s="15"/>
      <c r="AX4615" s="16"/>
    </row>
    <row r="4616" spans="2:50" x14ac:dyDescent="0.2">
      <c r="B4616" s="7"/>
      <c r="C4616" s="8">
        <v>14866</v>
      </c>
      <c r="D4616" s="9" t="s">
        <v>699</v>
      </c>
      <c r="E4616" s="10" t="str">
        <f t="shared" si="561"/>
        <v>Rancho La Cuchilla No. 18</v>
      </c>
      <c r="F4616" s="10" t="str">
        <f t="shared" si="562"/>
        <v>Aldana Sánchez</v>
      </c>
      <c r="G4616" s="8">
        <v>1</v>
      </c>
      <c r="H4616" s="11">
        <v>800</v>
      </c>
      <c r="I4616" s="12">
        <v>42953</v>
      </c>
      <c r="J4616" s="35">
        <f t="shared" si="563"/>
        <v>0</v>
      </c>
      <c r="K4616" s="36"/>
      <c r="L4616" s="36"/>
      <c r="M4616" s="36"/>
      <c r="N4616" s="36"/>
      <c r="O4616" s="36"/>
      <c r="P4616" s="36"/>
      <c r="Q4616" s="36"/>
      <c r="R4616" s="36"/>
      <c r="S4616" s="36"/>
      <c r="T4616" s="36"/>
      <c r="U4616" s="36"/>
      <c r="V4616" s="36"/>
      <c r="W4616" s="15">
        <f t="shared" si="564"/>
        <v>0</v>
      </c>
      <c r="X4616" s="36"/>
      <c r="Y4616" s="36"/>
      <c r="Z4616" s="36"/>
      <c r="AA4616" s="36"/>
      <c r="AB4616" s="36"/>
      <c r="AC4616" s="36"/>
      <c r="AD4616" s="36">
        <v>400</v>
      </c>
      <c r="AE4616" s="36">
        <v>400</v>
      </c>
      <c r="AF4616" s="36"/>
      <c r="AG4616" s="36"/>
      <c r="AH4616" s="36"/>
      <c r="AI4616" s="36"/>
      <c r="AJ4616" s="15">
        <f t="shared" si="565"/>
        <v>800</v>
      </c>
      <c r="AK4616" s="14"/>
      <c r="AL4616" s="14"/>
      <c r="AM4616" s="14"/>
      <c r="AN4616" s="14"/>
      <c r="AO4616" s="14"/>
      <c r="AP4616" s="14"/>
      <c r="AQ4616" s="14"/>
      <c r="AR4616" s="14"/>
      <c r="AS4616" s="14"/>
      <c r="AT4616" s="14"/>
      <c r="AU4616" s="14"/>
      <c r="AV4616" s="14"/>
      <c r="AW4616" s="15"/>
      <c r="AX4616" s="16"/>
    </row>
    <row r="4617" spans="2:50" x14ac:dyDescent="0.2">
      <c r="B4617" s="7"/>
      <c r="C4617" s="8">
        <v>14867</v>
      </c>
      <c r="D4617" s="9" t="s">
        <v>1181</v>
      </c>
      <c r="E4617" s="10" t="str">
        <f t="shared" si="561"/>
        <v>Rancho Upácuaro No. 31</v>
      </c>
      <c r="F4617" s="10" t="str">
        <f t="shared" si="562"/>
        <v>Gallardo Ávila</v>
      </c>
      <c r="G4617" s="8">
        <v>1</v>
      </c>
      <c r="H4617" s="11">
        <v>400</v>
      </c>
      <c r="I4617" s="12">
        <v>42953</v>
      </c>
      <c r="J4617" s="35">
        <f t="shared" si="563"/>
        <v>0</v>
      </c>
      <c r="K4617" s="36"/>
      <c r="L4617" s="36"/>
      <c r="M4617" s="36"/>
      <c r="N4617" s="36"/>
      <c r="O4617" s="36"/>
      <c r="P4617" s="36"/>
      <c r="Q4617" s="36"/>
      <c r="R4617" s="36"/>
      <c r="S4617" s="36"/>
      <c r="T4617" s="36"/>
      <c r="U4617" s="36"/>
      <c r="V4617" s="36"/>
      <c r="W4617" s="15">
        <f t="shared" si="564"/>
        <v>0</v>
      </c>
      <c r="X4617" s="36"/>
      <c r="Y4617" s="36"/>
      <c r="Z4617" s="36"/>
      <c r="AA4617" s="36"/>
      <c r="AB4617" s="36">
        <v>200</v>
      </c>
      <c r="AC4617" s="36">
        <v>200</v>
      </c>
      <c r="AD4617" s="36"/>
      <c r="AE4617" s="36"/>
      <c r="AF4617" s="36"/>
      <c r="AG4617" s="36"/>
      <c r="AH4617" s="36"/>
      <c r="AI4617" s="36"/>
      <c r="AJ4617" s="15">
        <f t="shared" si="565"/>
        <v>400</v>
      </c>
      <c r="AK4617" s="14"/>
      <c r="AL4617" s="14"/>
      <c r="AM4617" s="14"/>
      <c r="AN4617" s="14"/>
      <c r="AO4617" s="14"/>
      <c r="AP4617" s="14"/>
      <c r="AQ4617" s="14"/>
      <c r="AR4617" s="14"/>
      <c r="AS4617" s="14"/>
      <c r="AT4617" s="14"/>
      <c r="AU4617" s="14"/>
      <c r="AV4617" s="14"/>
      <c r="AW4617" s="15"/>
      <c r="AX4617" s="16"/>
    </row>
    <row r="4618" spans="2:50" x14ac:dyDescent="0.2">
      <c r="B4618" s="7"/>
      <c r="C4618" s="8">
        <v>14868</v>
      </c>
      <c r="D4618" s="9" t="s">
        <v>171</v>
      </c>
      <c r="E4618" s="10" t="str">
        <f t="shared" si="561"/>
        <v>Rancho La Cuchilla No. 72</v>
      </c>
      <c r="F4618" s="10" t="str">
        <f t="shared" si="562"/>
        <v>Ortiz González</v>
      </c>
      <c r="G4618" s="8">
        <v>1</v>
      </c>
      <c r="H4618" s="11">
        <v>400</v>
      </c>
      <c r="I4618" s="12">
        <v>42953</v>
      </c>
      <c r="J4618" s="35">
        <f t="shared" si="563"/>
        <v>0</v>
      </c>
      <c r="K4618" s="36"/>
      <c r="L4618" s="36"/>
      <c r="M4618" s="36"/>
      <c r="N4618" s="36"/>
      <c r="O4618" s="36"/>
      <c r="P4618" s="36"/>
      <c r="Q4618" s="36"/>
      <c r="R4618" s="36"/>
      <c r="S4618" s="36"/>
      <c r="T4618" s="36"/>
      <c r="U4618" s="36"/>
      <c r="V4618" s="36"/>
      <c r="W4618" s="15">
        <f t="shared" si="564"/>
        <v>0</v>
      </c>
      <c r="X4618" s="36"/>
      <c r="Y4618" s="36"/>
      <c r="Z4618" s="36"/>
      <c r="AA4618" s="36"/>
      <c r="AB4618" s="36"/>
      <c r="AC4618" s="36"/>
      <c r="AD4618" s="36"/>
      <c r="AE4618" s="36">
        <v>400</v>
      </c>
      <c r="AF4618" s="36"/>
      <c r="AG4618" s="36"/>
      <c r="AH4618" s="36"/>
      <c r="AI4618" s="36"/>
      <c r="AJ4618" s="15">
        <f t="shared" si="565"/>
        <v>400</v>
      </c>
      <c r="AK4618" s="14"/>
      <c r="AL4618" s="14"/>
      <c r="AM4618" s="14"/>
      <c r="AN4618" s="14"/>
      <c r="AO4618" s="14"/>
      <c r="AP4618" s="14"/>
      <c r="AQ4618" s="14"/>
      <c r="AR4618" s="14"/>
      <c r="AS4618" s="14"/>
      <c r="AT4618" s="14"/>
      <c r="AU4618" s="14"/>
      <c r="AV4618" s="14"/>
      <c r="AW4618" s="15"/>
      <c r="AX4618" s="16"/>
    </row>
    <row r="4619" spans="2:50" x14ac:dyDescent="0.2">
      <c r="B4619" s="7"/>
      <c r="C4619" s="8">
        <v>14869</v>
      </c>
      <c r="D4619" s="9" t="s">
        <v>687</v>
      </c>
      <c r="E4619" s="10" t="str">
        <f t="shared" si="561"/>
        <v>Rancho Upácuaro No. 21</v>
      </c>
      <c r="F4619" s="10" t="str">
        <f t="shared" si="562"/>
        <v>Fierro Betancourt</v>
      </c>
      <c r="G4619" s="8">
        <v>1</v>
      </c>
      <c r="H4619" s="11">
        <v>600</v>
      </c>
      <c r="I4619" s="12">
        <v>42953</v>
      </c>
      <c r="J4619" s="35">
        <f t="shared" si="563"/>
        <v>0</v>
      </c>
      <c r="K4619" s="36"/>
      <c r="L4619" s="36"/>
      <c r="M4619" s="36"/>
      <c r="N4619" s="36"/>
      <c r="O4619" s="36"/>
      <c r="P4619" s="36"/>
      <c r="Q4619" s="36"/>
      <c r="R4619" s="36"/>
      <c r="S4619" s="36"/>
      <c r="T4619" s="36"/>
      <c r="U4619" s="36"/>
      <c r="V4619" s="36"/>
      <c r="W4619" s="15">
        <f t="shared" si="564"/>
        <v>0</v>
      </c>
      <c r="X4619" s="36"/>
      <c r="Y4619" s="36"/>
      <c r="Z4619" s="36"/>
      <c r="AA4619" s="36"/>
      <c r="AB4619" s="36"/>
      <c r="AC4619" s="36">
        <v>200</v>
      </c>
      <c r="AD4619" s="36">
        <v>200</v>
      </c>
      <c r="AE4619" s="36">
        <v>200</v>
      </c>
      <c r="AF4619" s="36"/>
      <c r="AG4619" s="36"/>
      <c r="AH4619" s="36"/>
      <c r="AI4619" s="36"/>
      <c r="AJ4619" s="15">
        <f t="shared" si="565"/>
        <v>600</v>
      </c>
      <c r="AK4619" s="14"/>
      <c r="AL4619" s="14"/>
      <c r="AM4619" s="14"/>
      <c r="AN4619" s="14"/>
      <c r="AO4619" s="14"/>
      <c r="AP4619" s="14"/>
      <c r="AQ4619" s="14"/>
      <c r="AR4619" s="14"/>
      <c r="AS4619" s="14"/>
      <c r="AT4619" s="14"/>
      <c r="AU4619" s="14"/>
      <c r="AV4619" s="14"/>
      <c r="AW4619" s="15"/>
      <c r="AX4619" s="16"/>
    </row>
    <row r="4620" spans="2:50" x14ac:dyDescent="0.2">
      <c r="B4620" s="7"/>
      <c r="C4620" s="8">
        <v>14870</v>
      </c>
      <c r="D4620" s="9" t="s">
        <v>395</v>
      </c>
      <c r="E4620" s="10" t="str">
        <f t="shared" si="561"/>
        <v>Rancho Landero No. 7</v>
      </c>
      <c r="F4620" s="10" t="str">
        <f t="shared" si="562"/>
        <v>Robles</v>
      </c>
      <c r="G4620" s="8">
        <v>1</v>
      </c>
      <c r="H4620" s="11">
        <v>200</v>
      </c>
      <c r="I4620" s="12">
        <v>42953</v>
      </c>
      <c r="J4620" s="35">
        <f t="shared" si="563"/>
        <v>0</v>
      </c>
      <c r="K4620" s="36"/>
      <c r="L4620" s="36"/>
      <c r="M4620" s="36"/>
      <c r="N4620" s="36"/>
      <c r="O4620" s="36"/>
      <c r="P4620" s="36"/>
      <c r="Q4620" s="36"/>
      <c r="R4620" s="36"/>
      <c r="S4620" s="36"/>
      <c r="T4620" s="36"/>
      <c r="U4620" s="36"/>
      <c r="V4620" s="36"/>
      <c r="W4620" s="15">
        <f t="shared" si="564"/>
        <v>0</v>
      </c>
      <c r="X4620" s="36"/>
      <c r="Y4620" s="36"/>
      <c r="Z4620" s="36"/>
      <c r="AA4620" s="36"/>
      <c r="AB4620" s="36"/>
      <c r="AC4620" s="36"/>
      <c r="AD4620" s="36"/>
      <c r="AE4620" s="36">
        <v>200</v>
      </c>
      <c r="AF4620" s="36"/>
      <c r="AG4620" s="36"/>
      <c r="AH4620" s="36"/>
      <c r="AI4620" s="36"/>
      <c r="AJ4620" s="15">
        <f t="shared" si="565"/>
        <v>200</v>
      </c>
      <c r="AK4620" s="14"/>
      <c r="AL4620" s="14"/>
      <c r="AM4620" s="14"/>
      <c r="AN4620" s="14"/>
      <c r="AO4620" s="14"/>
      <c r="AP4620" s="14"/>
      <c r="AQ4620" s="14"/>
      <c r="AR4620" s="14"/>
      <c r="AS4620" s="14"/>
      <c r="AT4620" s="14"/>
      <c r="AU4620" s="14"/>
      <c r="AV4620" s="14"/>
      <c r="AW4620" s="15"/>
      <c r="AX4620" s="16"/>
    </row>
    <row r="4621" spans="2:50" x14ac:dyDescent="0.2">
      <c r="B4621" s="7"/>
      <c r="C4621" s="8">
        <v>14871</v>
      </c>
      <c r="D4621" s="9" t="s">
        <v>183</v>
      </c>
      <c r="E4621" s="10" t="str">
        <f t="shared" si="561"/>
        <v>Rancho La Cuchilla No. 54</v>
      </c>
      <c r="F4621" s="10" t="str">
        <f t="shared" si="562"/>
        <v>Mendoza León</v>
      </c>
      <c r="G4621" s="8">
        <v>1</v>
      </c>
      <c r="H4621" s="11">
        <v>400</v>
      </c>
      <c r="I4621" s="12">
        <v>42953</v>
      </c>
      <c r="J4621" s="35">
        <f t="shared" si="563"/>
        <v>0</v>
      </c>
      <c r="K4621" s="36"/>
      <c r="L4621" s="36"/>
      <c r="M4621" s="36"/>
      <c r="N4621" s="36"/>
      <c r="O4621" s="36"/>
      <c r="P4621" s="36"/>
      <c r="Q4621" s="36"/>
      <c r="R4621" s="36"/>
      <c r="S4621" s="36"/>
      <c r="T4621" s="36"/>
      <c r="U4621" s="36"/>
      <c r="V4621" s="36"/>
      <c r="W4621" s="15">
        <f t="shared" si="564"/>
        <v>0</v>
      </c>
      <c r="X4621" s="36"/>
      <c r="Y4621" s="36"/>
      <c r="Z4621" s="36"/>
      <c r="AA4621" s="36"/>
      <c r="AB4621" s="36"/>
      <c r="AC4621" s="36"/>
      <c r="AD4621" s="36">
        <v>400</v>
      </c>
      <c r="AE4621" s="36"/>
      <c r="AF4621" s="36"/>
      <c r="AG4621" s="36"/>
      <c r="AH4621" s="36"/>
      <c r="AI4621" s="36"/>
      <c r="AJ4621" s="15">
        <f t="shared" si="565"/>
        <v>400</v>
      </c>
      <c r="AK4621" s="14"/>
      <c r="AL4621" s="14"/>
      <c r="AM4621" s="14"/>
      <c r="AN4621" s="14"/>
      <c r="AO4621" s="14"/>
      <c r="AP4621" s="14"/>
      <c r="AQ4621" s="14"/>
      <c r="AR4621" s="14"/>
      <c r="AS4621" s="14"/>
      <c r="AT4621" s="14"/>
      <c r="AU4621" s="14"/>
      <c r="AV4621" s="14"/>
      <c r="AW4621" s="15"/>
      <c r="AX4621" s="16"/>
    </row>
    <row r="4622" spans="2:50" x14ac:dyDescent="0.2">
      <c r="B4622" s="7"/>
      <c r="C4622" s="8">
        <v>14872</v>
      </c>
      <c r="D4622" s="9" t="s">
        <v>156</v>
      </c>
      <c r="E4622" s="10" t="str">
        <f t="shared" si="561"/>
        <v>Rancho Zinamba No. 80</v>
      </c>
      <c r="F4622" s="10" t="str">
        <f t="shared" si="562"/>
        <v>Vázquez</v>
      </c>
      <c r="G4622" s="8">
        <v>1</v>
      </c>
      <c r="H4622" s="11">
        <v>300</v>
      </c>
      <c r="I4622" s="12">
        <v>42953</v>
      </c>
      <c r="J4622" s="35">
        <f t="shared" si="563"/>
        <v>0</v>
      </c>
      <c r="K4622" s="36"/>
      <c r="L4622" s="36"/>
      <c r="M4622" s="36"/>
      <c r="N4622" s="36"/>
      <c r="O4622" s="36"/>
      <c r="P4622" s="36"/>
      <c r="Q4622" s="36"/>
      <c r="R4622" s="36"/>
      <c r="S4622" s="36"/>
      <c r="T4622" s="36"/>
      <c r="U4622" s="36"/>
      <c r="V4622" s="36"/>
      <c r="W4622" s="15">
        <f t="shared" si="564"/>
        <v>0</v>
      </c>
      <c r="X4622" s="36"/>
      <c r="Y4622" s="36"/>
      <c r="Z4622" s="36"/>
      <c r="AA4622" s="36"/>
      <c r="AB4622" s="36"/>
      <c r="AC4622" s="36"/>
      <c r="AD4622" s="36"/>
      <c r="AE4622" s="36">
        <v>300</v>
      </c>
      <c r="AF4622" s="36"/>
      <c r="AG4622" s="36"/>
      <c r="AH4622" s="36"/>
      <c r="AI4622" s="36"/>
      <c r="AJ4622" s="15">
        <f t="shared" si="565"/>
        <v>300</v>
      </c>
      <c r="AK4622" s="14"/>
      <c r="AL4622" s="14"/>
      <c r="AM4622" s="14"/>
      <c r="AN4622" s="14"/>
      <c r="AO4622" s="14"/>
      <c r="AP4622" s="14"/>
      <c r="AQ4622" s="14"/>
      <c r="AR4622" s="14"/>
      <c r="AS4622" s="14"/>
      <c r="AT4622" s="14"/>
      <c r="AU4622" s="14"/>
      <c r="AV4622" s="14"/>
      <c r="AW4622" s="15"/>
      <c r="AX4622" s="16"/>
    </row>
    <row r="4623" spans="2:50" x14ac:dyDescent="0.2">
      <c r="B4623" s="7"/>
      <c r="C4623" s="8">
        <v>14873</v>
      </c>
      <c r="D4623" s="9"/>
      <c r="E4623" s="10" t="str">
        <f t="shared" si="561"/>
        <v/>
      </c>
      <c r="F4623" s="10" t="str">
        <f t="shared" si="562"/>
        <v/>
      </c>
      <c r="G4623" s="8">
        <v>8</v>
      </c>
      <c r="H4623" s="11"/>
      <c r="I4623" s="12"/>
      <c r="J4623" s="35">
        <f t="shared" si="563"/>
        <v>0</v>
      </c>
      <c r="K4623" s="36"/>
      <c r="L4623" s="36"/>
      <c r="M4623" s="36"/>
      <c r="N4623" s="36"/>
      <c r="O4623" s="36"/>
      <c r="P4623" s="36"/>
      <c r="Q4623" s="36"/>
      <c r="R4623" s="36"/>
      <c r="S4623" s="36"/>
      <c r="T4623" s="36"/>
      <c r="U4623" s="36"/>
      <c r="V4623" s="36"/>
      <c r="W4623" s="15">
        <f t="shared" si="564"/>
        <v>0</v>
      </c>
      <c r="X4623" s="36"/>
      <c r="Y4623" s="36"/>
      <c r="Z4623" s="36"/>
      <c r="AA4623" s="36"/>
      <c r="AB4623" s="36"/>
      <c r="AC4623" s="36"/>
      <c r="AD4623" s="36"/>
      <c r="AE4623" s="36"/>
      <c r="AF4623" s="36"/>
      <c r="AG4623" s="36"/>
      <c r="AH4623" s="36"/>
      <c r="AI4623" s="36"/>
      <c r="AJ4623" s="15">
        <f t="shared" si="565"/>
        <v>0</v>
      </c>
      <c r="AK4623" s="14"/>
      <c r="AL4623" s="14"/>
      <c r="AM4623" s="14"/>
      <c r="AN4623" s="14"/>
      <c r="AO4623" s="14"/>
      <c r="AP4623" s="14"/>
      <c r="AQ4623" s="14"/>
      <c r="AR4623" s="14"/>
      <c r="AS4623" s="14"/>
      <c r="AT4623" s="14"/>
      <c r="AU4623" s="14"/>
      <c r="AV4623" s="14"/>
      <c r="AW4623" s="15"/>
      <c r="AX4623" s="16"/>
    </row>
    <row r="4624" spans="2:50" x14ac:dyDescent="0.2">
      <c r="B4624" s="7"/>
      <c r="C4624" s="8">
        <v>14874</v>
      </c>
      <c r="D4624" s="9" t="s">
        <v>1095</v>
      </c>
      <c r="E4624" s="10" t="str">
        <f t="shared" si="561"/>
        <v>Rancho La Cuchilla No. 35</v>
      </c>
      <c r="F4624" s="10" t="str">
        <f t="shared" si="562"/>
        <v>Mendoza</v>
      </c>
      <c r="G4624" s="8">
        <v>1</v>
      </c>
      <c r="H4624" s="11">
        <v>1000</v>
      </c>
      <c r="I4624" s="12">
        <v>42953</v>
      </c>
      <c r="J4624" s="35">
        <f t="shared" si="563"/>
        <v>0</v>
      </c>
      <c r="K4624" s="36"/>
      <c r="L4624" s="36"/>
      <c r="M4624" s="36"/>
      <c r="N4624" s="36"/>
      <c r="O4624" s="36"/>
      <c r="P4624" s="36"/>
      <c r="Q4624" s="36"/>
      <c r="R4624" s="36"/>
      <c r="S4624" s="36"/>
      <c r="T4624" s="36"/>
      <c r="U4624" s="36"/>
      <c r="V4624" s="36"/>
      <c r="W4624" s="15">
        <f t="shared" si="564"/>
        <v>0</v>
      </c>
      <c r="X4624" s="36"/>
      <c r="Y4624" s="36"/>
      <c r="Z4624" s="36">
        <v>250</v>
      </c>
      <c r="AA4624" s="36">
        <v>250</v>
      </c>
      <c r="AB4624" s="36">
        <v>250</v>
      </c>
      <c r="AC4624" s="36">
        <v>250</v>
      </c>
      <c r="AD4624" s="36"/>
      <c r="AE4624" s="36"/>
      <c r="AF4624" s="36"/>
      <c r="AG4624" s="36"/>
      <c r="AH4624" s="36"/>
      <c r="AI4624" s="36"/>
      <c r="AJ4624" s="15">
        <f t="shared" si="565"/>
        <v>1000</v>
      </c>
      <c r="AK4624" s="14"/>
      <c r="AL4624" s="14"/>
      <c r="AM4624" s="14"/>
      <c r="AN4624" s="14"/>
      <c r="AO4624" s="14"/>
      <c r="AP4624" s="14"/>
      <c r="AQ4624" s="14"/>
      <c r="AR4624" s="14"/>
      <c r="AS4624" s="14"/>
      <c r="AT4624" s="14"/>
      <c r="AU4624" s="14"/>
      <c r="AV4624" s="14"/>
      <c r="AW4624" s="15"/>
      <c r="AX4624" s="16"/>
    </row>
    <row r="4625" spans="2:51" x14ac:dyDescent="0.2">
      <c r="B4625" s="7"/>
      <c r="C4625" s="8">
        <v>14875</v>
      </c>
      <c r="D4625" s="9" t="s">
        <v>97</v>
      </c>
      <c r="E4625" s="10" t="str">
        <f t="shared" si="561"/>
        <v>Rancho La Cuchilla No. 78</v>
      </c>
      <c r="F4625" s="10" t="str">
        <f t="shared" si="562"/>
        <v>García</v>
      </c>
      <c r="G4625" s="8">
        <v>1</v>
      </c>
      <c r="H4625" s="11">
        <v>400</v>
      </c>
      <c r="I4625" s="12">
        <v>42953</v>
      </c>
      <c r="J4625" s="35">
        <f t="shared" si="563"/>
        <v>0</v>
      </c>
      <c r="K4625" s="36"/>
      <c r="L4625" s="36"/>
      <c r="M4625" s="36"/>
      <c r="N4625" s="36"/>
      <c r="O4625" s="36"/>
      <c r="P4625" s="36"/>
      <c r="Q4625" s="36"/>
      <c r="R4625" s="36"/>
      <c r="S4625" s="36"/>
      <c r="T4625" s="36"/>
      <c r="U4625" s="36"/>
      <c r="V4625" s="36"/>
      <c r="W4625" s="15">
        <f t="shared" si="564"/>
        <v>0</v>
      </c>
      <c r="X4625" s="36"/>
      <c r="Y4625" s="36"/>
      <c r="Z4625" s="36"/>
      <c r="AA4625" s="36"/>
      <c r="AB4625" s="36"/>
      <c r="AC4625" s="36"/>
      <c r="AD4625" s="36"/>
      <c r="AE4625" s="36">
        <v>400</v>
      </c>
      <c r="AF4625" s="36"/>
      <c r="AG4625" s="36"/>
      <c r="AH4625" s="36"/>
      <c r="AI4625" s="36"/>
      <c r="AJ4625" s="15">
        <f t="shared" si="565"/>
        <v>400</v>
      </c>
      <c r="AK4625" s="14"/>
      <c r="AL4625" s="14"/>
      <c r="AM4625" s="14"/>
      <c r="AN4625" s="14"/>
      <c r="AO4625" s="14"/>
      <c r="AP4625" s="14"/>
      <c r="AQ4625" s="14"/>
      <c r="AR4625" s="14"/>
      <c r="AS4625" s="14"/>
      <c r="AT4625" s="14"/>
      <c r="AU4625" s="14"/>
      <c r="AV4625" s="14"/>
      <c r="AW4625" s="15"/>
      <c r="AX4625" s="316">
        <f>SUM(H4572:H4625)</f>
        <v>22325</v>
      </c>
    </row>
    <row r="4626" spans="2:51" x14ac:dyDescent="0.2">
      <c r="B4626" s="7"/>
      <c r="C4626" s="8">
        <v>14877</v>
      </c>
      <c r="D4626" s="9" t="s">
        <v>983</v>
      </c>
      <c r="E4626" s="10" t="str">
        <f t="shared" si="561"/>
        <v>Rancho Landero No. 93</v>
      </c>
      <c r="F4626" s="10" t="str">
        <f t="shared" si="562"/>
        <v>Ortega López</v>
      </c>
      <c r="G4626" s="8">
        <v>1</v>
      </c>
      <c r="H4626" s="315">
        <v>800</v>
      </c>
      <c r="I4626" s="12">
        <v>42954</v>
      </c>
      <c r="J4626" s="35">
        <f t="shared" si="563"/>
        <v>0</v>
      </c>
      <c r="K4626" s="36"/>
      <c r="L4626" s="36"/>
      <c r="M4626" s="36"/>
      <c r="N4626" s="36"/>
      <c r="O4626" s="36"/>
      <c r="P4626" s="36"/>
      <c r="Q4626" s="36"/>
      <c r="R4626" s="36"/>
      <c r="S4626" s="36"/>
      <c r="T4626" s="36"/>
      <c r="U4626" s="36"/>
      <c r="V4626" s="36"/>
      <c r="W4626" s="15">
        <f t="shared" si="564"/>
        <v>0</v>
      </c>
      <c r="X4626" s="36"/>
      <c r="Y4626" s="36"/>
      <c r="Z4626" s="36"/>
      <c r="AA4626" s="36"/>
      <c r="AB4626" s="36"/>
      <c r="AC4626" s="36"/>
      <c r="AD4626" s="36">
        <v>400</v>
      </c>
      <c r="AE4626" s="36">
        <v>400</v>
      </c>
      <c r="AF4626" s="36"/>
      <c r="AG4626" s="36"/>
      <c r="AH4626" s="36"/>
      <c r="AI4626" s="36"/>
      <c r="AJ4626" s="15">
        <f t="shared" si="565"/>
        <v>800</v>
      </c>
      <c r="AK4626" s="14"/>
      <c r="AL4626" s="14"/>
      <c r="AM4626" s="14"/>
      <c r="AN4626" s="14"/>
      <c r="AO4626" s="14"/>
      <c r="AP4626" s="14"/>
      <c r="AQ4626" s="14"/>
      <c r="AR4626" s="14"/>
      <c r="AS4626" s="14"/>
      <c r="AT4626" s="14"/>
      <c r="AU4626" s="14"/>
      <c r="AV4626" s="14"/>
      <c r="AW4626" s="15"/>
      <c r="AX4626" s="16"/>
    </row>
    <row r="4627" spans="2:51" x14ac:dyDescent="0.2">
      <c r="B4627" s="7"/>
      <c r="C4627" s="8">
        <v>14878</v>
      </c>
      <c r="D4627" s="9" t="s">
        <v>220</v>
      </c>
      <c r="E4627" s="10" t="str">
        <f t="shared" ref="E4627:E4740" si="566">IF(D4627=0,"",VLOOKUP(D4627,BASE,2,FALSE))</f>
        <v>Rancho Recoveco No. 3</v>
      </c>
      <c r="F4627" s="10" t="str">
        <f t="shared" ref="F4627:F4740" si="567">IF(D4627=0,"",VLOOKUP(D4627,BASE,3,FALSE))</f>
        <v>Garduño</v>
      </c>
      <c r="G4627" s="8">
        <v>3</v>
      </c>
      <c r="H4627" s="11">
        <v>200</v>
      </c>
      <c r="I4627" s="12">
        <v>42954</v>
      </c>
      <c r="J4627" s="35">
        <f t="shared" ref="J4627:J4740" si="568">IF(G4627=1,SUM(W4627,AJ4627,-H4627),0)</f>
        <v>0</v>
      </c>
      <c r="K4627" s="36"/>
      <c r="L4627" s="36"/>
      <c r="M4627" s="36"/>
      <c r="N4627" s="36"/>
      <c r="O4627" s="36"/>
      <c r="P4627" s="36"/>
      <c r="Q4627" s="36"/>
      <c r="R4627" s="36"/>
      <c r="S4627" s="36"/>
      <c r="T4627" s="36"/>
      <c r="U4627" s="36"/>
      <c r="V4627" s="36"/>
      <c r="W4627" s="15">
        <f t="shared" ref="W4627:W4740" si="569">SUM(K4627:V4627)</f>
        <v>0</v>
      </c>
      <c r="X4627" s="36"/>
      <c r="Y4627" s="36"/>
      <c r="Z4627" s="36"/>
      <c r="AA4627" s="36"/>
      <c r="AB4627" s="36"/>
      <c r="AC4627" s="36"/>
      <c r="AD4627" s="36"/>
      <c r="AE4627" s="36"/>
      <c r="AF4627" s="36"/>
      <c r="AG4627" s="36"/>
      <c r="AH4627" s="36"/>
      <c r="AI4627" s="36"/>
      <c r="AJ4627" s="15">
        <f t="shared" ref="AJ4627:AJ4740" si="570">SUM(X4627:AI4627)</f>
        <v>0</v>
      </c>
      <c r="AK4627" s="14"/>
      <c r="AL4627" s="14"/>
      <c r="AM4627" s="14"/>
      <c r="AN4627" s="14"/>
      <c r="AO4627" s="14"/>
      <c r="AP4627" s="14"/>
      <c r="AQ4627" s="14"/>
      <c r="AR4627" s="14"/>
      <c r="AS4627" s="14"/>
      <c r="AT4627" s="14"/>
      <c r="AU4627" s="14"/>
      <c r="AV4627" s="14"/>
      <c r="AW4627" s="15"/>
      <c r="AX4627" s="16"/>
    </row>
    <row r="4628" spans="2:51" x14ac:dyDescent="0.2">
      <c r="B4628" s="7"/>
      <c r="C4628" s="8">
        <v>14879</v>
      </c>
      <c r="D4628" s="9"/>
      <c r="E4628" s="10" t="str">
        <f t="shared" ref="E4628:E4644" si="571">IF(D4628=0,"",VLOOKUP(D4628,BASE,2,FALSE))</f>
        <v/>
      </c>
      <c r="F4628" s="10" t="str">
        <f t="shared" ref="F4628:F4644" si="572">IF(D4628=0,"",VLOOKUP(D4628,BASE,3,FALSE))</f>
        <v/>
      </c>
      <c r="G4628" s="8">
        <v>8</v>
      </c>
      <c r="H4628" s="11"/>
      <c r="I4628" s="12"/>
      <c r="J4628" s="35">
        <f t="shared" ref="J4628:J4644" si="573">IF(G4628=1,SUM(W4628,AJ4628,-H4628),0)</f>
        <v>0</v>
      </c>
      <c r="K4628" s="36"/>
      <c r="L4628" s="36"/>
      <c r="M4628" s="36"/>
      <c r="N4628" s="36"/>
      <c r="O4628" s="36"/>
      <c r="P4628" s="36"/>
      <c r="Q4628" s="36"/>
      <c r="R4628" s="36"/>
      <c r="S4628" s="36"/>
      <c r="T4628" s="36"/>
      <c r="U4628" s="36"/>
      <c r="V4628" s="36"/>
      <c r="W4628" s="15">
        <f t="shared" ref="W4628:W4644" si="574">SUM(K4628:V4628)</f>
        <v>0</v>
      </c>
      <c r="X4628" s="36"/>
      <c r="Y4628" s="36"/>
      <c r="Z4628" s="36"/>
      <c r="AA4628" s="36"/>
      <c r="AB4628" s="36"/>
      <c r="AC4628" s="36"/>
      <c r="AD4628" s="36"/>
      <c r="AE4628" s="36"/>
      <c r="AF4628" s="36"/>
      <c r="AG4628" s="36"/>
      <c r="AH4628" s="36"/>
      <c r="AI4628" s="36"/>
      <c r="AJ4628" s="15">
        <f t="shared" ref="AJ4628:AJ4644" si="575">SUM(X4628:AI4628)</f>
        <v>0</v>
      </c>
      <c r="AK4628" s="14"/>
      <c r="AL4628" s="14"/>
      <c r="AM4628" s="14"/>
      <c r="AN4628" s="14"/>
      <c r="AO4628" s="14"/>
      <c r="AP4628" s="14"/>
      <c r="AQ4628" s="14"/>
      <c r="AR4628" s="14"/>
      <c r="AS4628" s="14"/>
      <c r="AT4628" s="14"/>
      <c r="AU4628" s="14"/>
      <c r="AV4628" s="14"/>
      <c r="AW4628" s="15"/>
      <c r="AX4628" s="16"/>
    </row>
    <row r="4629" spans="2:51" x14ac:dyDescent="0.2">
      <c r="B4629" s="7"/>
      <c r="C4629" s="8">
        <v>14880</v>
      </c>
      <c r="D4629" s="9" t="s">
        <v>598</v>
      </c>
      <c r="E4629" s="10" t="str">
        <f t="shared" si="571"/>
        <v>Rancho Estanzuela No. 21</v>
      </c>
      <c r="F4629" s="10" t="str">
        <f t="shared" si="572"/>
        <v>Morales</v>
      </c>
      <c r="G4629" s="8">
        <v>1</v>
      </c>
      <c r="H4629" s="11">
        <v>1600</v>
      </c>
      <c r="I4629" s="12">
        <v>42924</v>
      </c>
      <c r="J4629" s="35">
        <f t="shared" si="573"/>
        <v>0</v>
      </c>
      <c r="K4629" s="36"/>
      <c r="L4629" s="36"/>
      <c r="M4629" s="36"/>
      <c r="N4629" s="36"/>
      <c r="O4629" s="36"/>
      <c r="P4629" s="36"/>
      <c r="Q4629" s="36"/>
      <c r="R4629" s="36"/>
      <c r="S4629" s="36"/>
      <c r="T4629" s="36"/>
      <c r="U4629" s="36"/>
      <c r="V4629" s="36"/>
      <c r="W4629" s="15">
        <f t="shared" si="574"/>
        <v>0</v>
      </c>
      <c r="X4629" s="36"/>
      <c r="Y4629" s="36"/>
      <c r="Z4629" s="36"/>
      <c r="AA4629" s="36"/>
      <c r="AB4629" s="36"/>
      <c r="AC4629" s="36">
        <v>400</v>
      </c>
      <c r="AD4629" s="36">
        <v>400</v>
      </c>
      <c r="AE4629" s="36">
        <v>400</v>
      </c>
      <c r="AF4629" s="36">
        <v>400</v>
      </c>
      <c r="AG4629" s="36"/>
      <c r="AH4629" s="36"/>
      <c r="AI4629" s="36"/>
      <c r="AJ4629" s="15">
        <f t="shared" si="575"/>
        <v>1600</v>
      </c>
      <c r="AK4629" s="14"/>
      <c r="AL4629" s="14"/>
      <c r="AM4629" s="14"/>
      <c r="AN4629" s="14"/>
      <c r="AO4629" s="14"/>
      <c r="AP4629" s="14"/>
      <c r="AQ4629" s="14"/>
      <c r="AR4629" s="14"/>
      <c r="AS4629" s="14"/>
      <c r="AT4629" s="14"/>
      <c r="AU4629" s="14"/>
      <c r="AV4629" s="14"/>
      <c r="AW4629" s="15"/>
      <c r="AX4629" s="16"/>
    </row>
    <row r="4630" spans="2:51" x14ac:dyDescent="0.2">
      <c r="B4630" s="7"/>
      <c r="C4630" s="8">
        <v>14881</v>
      </c>
      <c r="D4630" s="9" t="s">
        <v>112</v>
      </c>
      <c r="E4630" s="10" t="str">
        <f t="shared" si="571"/>
        <v>Rancho Estanzuela No. 129</v>
      </c>
      <c r="F4630" s="10" t="str">
        <f t="shared" si="572"/>
        <v>Sta. María Mendoza</v>
      </c>
      <c r="G4630" s="8">
        <v>1</v>
      </c>
      <c r="H4630" s="11">
        <v>250</v>
      </c>
      <c r="I4630" s="12">
        <v>42955</v>
      </c>
      <c r="J4630" s="35">
        <f t="shared" si="573"/>
        <v>0</v>
      </c>
      <c r="K4630" s="36"/>
      <c r="L4630" s="36"/>
      <c r="M4630" s="36"/>
      <c r="N4630" s="36"/>
      <c r="O4630" s="36"/>
      <c r="P4630" s="36"/>
      <c r="Q4630" s="36"/>
      <c r="R4630" s="36"/>
      <c r="S4630" s="36"/>
      <c r="T4630" s="36"/>
      <c r="U4630" s="36"/>
      <c r="V4630" s="36"/>
      <c r="W4630" s="15">
        <f t="shared" si="574"/>
        <v>0</v>
      </c>
      <c r="X4630" s="36"/>
      <c r="Y4630" s="36"/>
      <c r="Z4630" s="36"/>
      <c r="AA4630" s="36"/>
      <c r="AB4630" s="36"/>
      <c r="AC4630" s="36"/>
      <c r="AD4630" s="36">
        <v>250</v>
      </c>
      <c r="AE4630" s="36"/>
      <c r="AF4630" s="36"/>
      <c r="AG4630" s="36"/>
      <c r="AH4630" s="36"/>
      <c r="AI4630" s="36"/>
      <c r="AJ4630" s="15">
        <f t="shared" si="575"/>
        <v>250</v>
      </c>
      <c r="AK4630" s="14"/>
      <c r="AL4630" s="14"/>
      <c r="AM4630" s="14"/>
      <c r="AN4630" s="14"/>
      <c r="AO4630" s="14"/>
      <c r="AP4630" s="14"/>
      <c r="AQ4630" s="14"/>
      <c r="AR4630" s="14"/>
      <c r="AS4630" s="14"/>
      <c r="AT4630" s="14"/>
      <c r="AU4630" s="14"/>
      <c r="AV4630" s="14"/>
      <c r="AW4630" s="15"/>
      <c r="AX4630" s="16"/>
    </row>
    <row r="4631" spans="2:51" x14ac:dyDescent="0.2">
      <c r="B4631" s="7"/>
      <c r="C4631" s="8">
        <v>14882</v>
      </c>
      <c r="D4631" s="9" t="s">
        <v>509</v>
      </c>
      <c r="E4631" s="10" t="str">
        <f t="shared" si="571"/>
        <v>Rancho La Cuchilla No. 77</v>
      </c>
      <c r="F4631" s="10" t="str">
        <f t="shared" si="572"/>
        <v>Loperena</v>
      </c>
      <c r="G4631" s="8">
        <v>1</v>
      </c>
      <c r="H4631" s="11">
        <v>300</v>
      </c>
      <c r="I4631" s="12">
        <v>42956</v>
      </c>
      <c r="J4631" s="35">
        <f t="shared" si="573"/>
        <v>0</v>
      </c>
      <c r="K4631" s="36"/>
      <c r="L4631" s="36"/>
      <c r="M4631" s="36"/>
      <c r="N4631" s="36"/>
      <c r="O4631" s="36"/>
      <c r="P4631" s="36"/>
      <c r="Q4631" s="36"/>
      <c r="R4631" s="36"/>
      <c r="S4631" s="36"/>
      <c r="T4631" s="36"/>
      <c r="U4631" s="36"/>
      <c r="V4631" s="36"/>
      <c r="W4631" s="15">
        <f t="shared" si="574"/>
        <v>0</v>
      </c>
      <c r="X4631" s="36"/>
      <c r="Y4631" s="36"/>
      <c r="Z4631" s="36"/>
      <c r="AA4631" s="36"/>
      <c r="AB4631" s="36"/>
      <c r="AC4631" s="36"/>
      <c r="AD4631" s="36"/>
      <c r="AE4631" s="36">
        <v>300</v>
      </c>
      <c r="AF4631" s="36"/>
      <c r="AG4631" s="36"/>
      <c r="AH4631" s="36"/>
      <c r="AI4631" s="36"/>
      <c r="AJ4631" s="15">
        <f t="shared" si="575"/>
        <v>300</v>
      </c>
      <c r="AK4631" s="14"/>
      <c r="AL4631" s="14"/>
      <c r="AM4631" s="14"/>
      <c r="AN4631" s="14"/>
      <c r="AO4631" s="14"/>
      <c r="AP4631" s="14"/>
      <c r="AQ4631" s="14"/>
      <c r="AR4631" s="14"/>
      <c r="AS4631" s="14"/>
      <c r="AT4631" s="14"/>
      <c r="AU4631" s="14"/>
      <c r="AV4631" s="14"/>
      <c r="AW4631" s="15"/>
      <c r="AX4631" s="16"/>
    </row>
    <row r="4632" spans="2:51" x14ac:dyDescent="0.2">
      <c r="B4632" s="7"/>
      <c r="C4632" s="8">
        <v>14883</v>
      </c>
      <c r="D4632" s="9" t="s">
        <v>512</v>
      </c>
      <c r="E4632" s="10" t="str">
        <f t="shared" si="571"/>
        <v>Rancho Landero No. 35</v>
      </c>
      <c r="F4632" s="10" t="str">
        <f t="shared" si="572"/>
        <v>Loperena</v>
      </c>
      <c r="G4632" s="8">
        <v>1</v>
      </c>
      <c r="H4632" s="11">
        <v>1600</v>
      </c>
      <c r="I4632" s="12">
        <v>42956</v>
      </c>
      <c r="J4632" s="35">
        <f t="shared" si="573"/>
        <v>0</v>
      </c>
      <c r="K4632" s="36"/>
      <c r="L4632" s="36"/>
      <c r="M4632" s="36"/>
      <c r="N4632" s="36"/>
      <c r="O4632" s="36"/>
      <c r="P4632" s="36"/>
      <c r="Q4632" s="36"/>
      <c r="R4632" s="36"/>
      <c r="S4632" s="36"/>
      <c r="T4632" s="36"/>
      <c r="U4632" s="36"/>
      <c r="V4632" s="36"/>
      <c r="W4632" s="15">
        <f t="shared" si="574"/>
        <v>0</v>
      </c>
      <c r="X4632" s="36"/>
      <c r="Y4632" s="36"/>
      <c r="Z4632" s="36"/>
      <c r="AA4632" s="36"/>
      <c r="AB4632" s="36">
        <v>400</v>
      </c>
      <c r="AC4632" s="36">
        <v>400</v>
      </c>
      <c r="AD4632" s="36">
        <v>400</v>
      </c>
      <c r="AE4632" s="36">
        <v>400</v>
      </c>
      <c r="AF4632" s="36"/>
      <c r="AG4632" s="36"/>
      <c r="AH4632" s="36"/>
      <c r="AI4632" s="36"/>
      <c r="AJ4632" s="15">
        <f t="shared" si="575"/>
        <v>1600</v>
      </c>
      <c r="AK4632" s="14"/>
      <c r="AL4632" s="14"/>
      <c r="AM4632" s="14"/>
      <c r="AN4632" s="14"/>
      <c r="AO4632" s="14"/>
      <c r="AP4632" s="14"/>
      <c r="AQ4632" s="14"/>
      <c r="AR4632" s="14"/>
      <c r="AS4632" s="14"/>
      <c r="AT4632" s="14"/>
      <c r="AU4632" s="14"/>
      <c r="AV4632" s="14"/>
      <c r="AW4632" s="15"/>
      <c r="AX4632" s="16"/>
    </row>
    <row r="4633" spans="2:51" x14ac:dyDescent="0.2">
      <c r="B4633" s="7"/>
      <c r="C4633" s="8">
        <v>14884</v>
      </c>
      <c r="D4633" s="9" t="s">
        <v>935</v>
      </c>
      <c r="E4633" s="10" t="str">
        <f t="shared" si="571"/>
        <v>Rancho Landero No. 39</v>
      </c>
      <c r="F4633" s="10" t="str">
        <f t="shared" si="572"/>
        <v>Soto del Cueto</v>
      </c>
      <c r="G4633" s="8">
        <v>1</v>
      </c>
      <c r="H4633" s="11">
        <v>750</v>
      </c>
      <c r="I4633" s="12">
        <v>42956</v>
      </c>
      <c r="J4633" s="35">
        <f t="shared" si="573"/>
        <v>0</v>
      </c>
      <c r="K4633" s="36"/>
      <c r="L4633" s="36"/>
      <c r="M4633" s="36"/>
      <c r="N4633" s="36"/>
      <c r="O4633" s="36"/>
      <c r="P4633" s="36"/>
      <c r="Q4633" s="36"/>
      <c r="R4633" s="36"/>
      <c r="S4633" s="36"/>
      <c r="T4633" s="36"/>
      <c r="U4633" s="36"/>
      <c r="V4633" s="36"/>
      <c r="W4633" s="15">
        <f t="shared" si="574"/>
        <v>0</v>
      </c>
      <c r="X4633" s="36"/>
      <c r="Y4633" s="36"/>
      <c r="Z4633" s="36"/>
      <c r="AA4633" s="36"/>
      <c r="AB4633" s="36"/>
      <c r="AC4633" s="36">
        <v>250</v>
      </c>
      <c r="AD4633" s="36">
        <v>250</v>
      </c>
      <c r="AE4633" s="36">
        <v>250</v>
      </c>
      <c r="AF4633" s="36"/>
      <c r="AG4633" s="36"/>
      <c r="AH4633" s="36"/>
      <c r="AI4633" s="36"/>
      <c r="AJ4633" s="15">
        <f t="shared" si="575"/>
        <v>750</v>
      </c>
      <c r="AK4633" s="14"/>
      <c r="AL4633" s="14"/>
      <c r="AM4633" s="14"/>
      <c r="AN4633" s="14"/>
      <c r="AO4633" s="14"/>
      <c r="AP4633" s="14"/>
      <c r="AQ4633" s="14"/>
      <c r="AR4633" s="14"/>
      <c r="AS4633" s="14"/>
      <c r="AT4633" s="14"/>
      <c r="AU4633" s="14"/>
      <c r="AV4633" s="14"/>
      <c r="AW4633" s="15"/>
      <c r="AX4633" s="16"/>
    </row>
    <row r="4634" spans="2:51" x14ac:dyDescent="0.2">
      <c r="B4634" s="7"/>
      <c r="C4634" s="8">
        <v>14885</v>
      </c>
      <c r="D4634" s="9" t="s">
        <v>960</v>
      </c>
      <c r="E4634" s="10" t="str">
        <f t="shared" si="571"/>
        <v>Rancho Landero No. 28</v>
      </c>
      <c r="F4634" s="10" t="str">
        <f t="shared" si="572"/>
        <v>Hernàndez Orteales</v>
      </c>
      <c r="G4634" s="8">
        <v>1</v>
      </c>
      <c r="H4634" s="11">
        <v>2400</v>
      </c>
      <c r="I4634" s="12">
        <v>42958</v>
      </c>
      <c r="J4634" s="35">
        <f t="shared" si="573"/>
        <v>0</v>
      </c>
      <c r="K4634" s="36"/>
      <c r="L4634" s="36"/>
      <c r="M4634" s="36"/>
      <c r="N4634" s="36"/>
      <c r="O4634" s="36"/>
      <c r="P4634" s="36"/>
      <c r="Q4634" s="36"/>
      <c r="R4634" s="36"/>
      <c r="S4634" s="36"/>
      <c r="T4634" s="36"/>
      <c r="U4634" s="36"/>
      <c r="V4634" s="36"/>
      <c r="W4634" s="15">
        <f t="shared" si="574"/>
        <v>0</v>
      </c>
      <c r="X4634" s="36"/>
      <c r="Y4634" s="36"/>
      <c r="Z4634" s="36"/>
      <c r="AA4634" s="36"/>
      <c r="AB4634" s="36"/>
      <c r="AC4634" s="36">
        <v>400</v>
      </c>
      <c r="AD4634" s="36">
        <v>400</v>
      </c>
      <c r="AE4634" s="36">
        <v>400</v>
      </c>
      <c r="AF4634" s="36">
        <v>400</v>
      </c>
      <c r="AG4634" s="36">
        <v>400</v>
      </c>
      <c r="AH4634" s="36">
        <v>400</v>
      </c>
      <c r="AI4634" s="36"/>
      <c r="AJ4634" s="15">
        <f t="shared" si="575"/>
        <v>2400</v>
      </c>
      <c r="AK4634" s="14"/>
      <c r="AL4634" s="14"/>
      <c r="AM4634" s="14"/>
      <c r="AN4634" s="14"/>
      <c r="AO4634" s="14"/>
      <c r="AP4634" s="14"/>
      <c r="AQ4634" s="14"/>
      <c r="AR4634" s="14"/>
      <c r="AS4634" s="14"/>
      <c r="AT4634" s="14"/>
      <c r="AU4634" s="14"/>
      <c r="AV4634" s="14"/>
      <c r="AW4634" s="15"/>
      <c r="AX4634" s="16" t="s">
        <v>4145</v>
      </c>
    </row>
    <row r="4635" spans="2:51" x14ac:dyDescent="0.2">
      <c r="B4635" s="7"/>
      <c r="C4635" s="8">
        <v>14886</v>
      </c>
      <c r="D4635" s="9" t="s">
        <v>669</v>
      </c>
      <c r="E4635" s="10" t="str">
        <f t="shared" si="571"/>
        <v>Rancho Landero No. 24</v>
      </c>
      <c r="F4635" s="10" t="str">
        <f t="shared" si="572"/>
        <v>Vázquez Peralta</v>
      </c>
      <c r="G4635" s="8">
        <v>1</v>
      </c>
      <c r="H4635" s="11">
        <v>2000</v>
      </c>
      <c r="I4635" s="12">
        <v>42958</v>
      </c>
      <c r="J4635" s="35">
        <f t="shared" si="573"/>
        <v>0</v>
      </c>
      <c r="K4635" s="36"/>
      <c r="L4635" s="36"/>
      <c r="M4635" s="36"/>
      <c r="N4635" s="36"/>
      <c r="O4635" s="36"/>
      <c r="P4635" s="36"/>
      <c r="Q4635" s="36"/>
      <c r="R4635" s="36"/>
      <c r="S4635" s="36"/>
      <c r="T4635" s="36"/>
      <c r="U4635" s="36"/>
      <c r="V4635" s="36"/>
      <c r="W4635" s="15">
        <f t="shared" si="574"/>
        <v>0</v>
      </c>
      <c r="X4635" s="36"/>
      <c r="Y4635" s="36"/>
      <c r="Z4635" s="36"/>
      <c r="AA4635" s="36"/>
      <c r="AB4635" s="36"/>
      <c r="AC4635" s="36"/>
      <c r="AD4635" s="36">
        <v>400</v>
      </c>
      <c r="AE4635" s="36">
        <v>400</v>
      </c>
      <c r="AF4635" s="36">
        <v>400</v>
      </c>
      <c r="AG4635" s="36">
        <v>400</v>
      </c>
      <c r="AH4635" s="36">
        <v>400</v>
      </c>
      <c r="AI4635" s="36"/>
      <c r="AJ4635" s="15">
        <f t="shared" si="575"/>
        <v>2000</v>
      </c>
      <c r="AK4635" s="14"/>
      <c r="AL4635" s="14"/>
      <c r="AM4635" s="14"/>
      <c r="AN4635" s="14"/>
      <c r="AO4635" s="14"/>
      <c r="AP4635" s="14"/>
      <c r="AQ4635" s="14"/>
      <c r="AR4635" s="14"/>
      <c r="AS4635" s="14"/>
      <c r="AT4635" s="14"/>
      <c r="AU4635" s="14"/>
      <c r="AV4635" s="14"/>
      <c r="AW4635" s="15"/>
      <c r="AX4635" s="16" t="s">
        <v>4145</v>
      </c>
      <c r="AY4635" s="112">
        <f>SUM(H4626:H4635)</f>
        <v>9900</v>
      </c>
    </row>
    <row r="4636" spans="2:51" x14ac:dyDescent="0.2">
      <c r="B4636" s="7"/>
      <c r="C4636" s="8">
        <v>14887</v>
      </c>
      <c r="D4636" s="9" t="s">
        <v>611</v>
      </c>
      <c r="E4636" s="10" t="str">
        <f t="shared" si="571"/>
        <v>Rancho Estanzuela No. 47</v>
      </c>
      <c r="F4636" s="10" t="str">
        <f t="shared" si="572"/>
        <v>Bussey García</v>
      </c>
      <c r="G4636" s="8">
        <v>1</v>
      </c>
      <c r="H4636" s="315">
        <v>400</v>
      </c>
      <c r="I4636" s="12">
        <v>42960</v>
      </c>
      <c r="J4636" s="35">
        <f t="shared" si="573"/>
        <v>0</v>
      </c>
      <c r="K4636" s="36"/>
      <c r="L4636" s="36"/>
      <c r="M4636" s="36"/>
      <c r="N4636" s="36"/>
      <c r="O4636" s="36"/>
      <c r="P4636" s="36"/>
      <c r="Q4636" s="36"/>
      <c r="R4636" s="36"/>
      <c r="S4636" s="36"/>
      <c r="T4636" s="36"/>
      <c r="U4636" s="36"/>
      <c r="V4636" s="36"/>
      <c r="W4636" s="15">
        <f t="shared" si="574"/>
        <v>0</v>
      </c>
      <c r="X4636" s="36"/>
      <c r="Y4636" s="36"/>
      <c r="Z4636" s="36"/>
      <c r="AA4636" s="36"/>
      <c r="AB4636" s="36"/>
      <c r="AC4636" s="36"/>
      <c r="AD4636" s="36"/>
      <c r="AE4636" s="36">
        <v>400</v>
      </c>
      <c r="AF4636" s="36"/>
      <c r="AG4636" s="36"/>
      <c r="AH4636" s="36"/>
      <c r="AI4636" s="36"/>
      <c r="AJ4636" s="15">
        <f t="shared" si="575"/>
        <v>400</v>
      </c>
      <c r="AK4636" s="14"/>
      <c r="AL4636" s="14"/>
      <c r="AM4636" s="14"/>
      <c r="AN4636" s="14"/>
      <c r="AO4636" s="14"/>
      <c r="AP4636" s="14"/>
      <c r="AQ4636" s="14"/>
      <c r="AR4636" s="14"/>
      <c r="AS4636" s="14"/>
      <c r="AT4636" s="14"/>
      <c r="AU4636" s="14"/>
      <c r="AV4636" s="14"/>
      <c r="AW4636" s="15"/>
      <c r="AX4636" s="16"/>
    </row>
    <row r="4637" spans="2:51" x14ac:dyDescent="0.2">
      <c r="B4637" s="7"/>
      <c r="C4637" s="8">
        <v>14888</v>
      </c>
      <c r="D4637" s="9" t="s">
        <v>814</v>
      </c>
      <c r="E4637" s="10" t="str">
        <f t="shared" si="571"/>
        <v>Rancho Landero No. 47</v>
      </c>
      <c r="F4637" s="10" t="str">
        <f t="shared" si="572"/>
        <v>García González</v>
      </c>
      <c r="G4637" s="8">
        <v>1</v>
      </c>
      <c r="H4637" s="11">
        <v>1200</v>
      </c>
      <c r="I4637" s="12">
        <v>42960</v>
      </c>
      <c r="J4637" s="35">
        <f t="shared" si="573"/>
        <v>0</v>
      </c>
      <c r="K4637" s="36"/>
      <c r="L4637" s="36"/>
      <c r="M4637" s="36"/>
      <c r="N4637" s="36"/>
      <c r="O4637" s="36"/>
      <c r="P4637" s="36"/>
      <c r="Q4637" s="36"/>
      <c r="R4637" s="36"/>
      <c r="S4637" s="36"/>
      <c r="T4637" s="36"/>
      <c r="U4637" s="36"/>
      <c r="V4637" s="36"/>
      <c r="W4637" s="15">
        <f t="shared" si="574"/>
        <v>0</v>
      </c>
      <c r="X4637" s="36"/>
      <c r="Y4637" s="36"/>
      <c r="Z4637" s="36"/>
      <c r="AA4637" s="36"/>
      <c r="AB4637" s="36"/>
      <c r="AC4637" s="36"/>
      <c r="AD4637" s="36">
        <v>400</v>
      </c>
      <c r="AE4637" s="36">
        <v>400</v>
      </c>
      <c r="AF4637" s="36">
        <v>400</v>
      </c>
      <c r="AG4637" s="36"/>
      <c r="AH4637" s="36"/>
      <c r="AI4637" s="36"/>
      <c r="AJ4637" s="15">
        <f t="shared" si="575"/>
        <v>1200</v>
      </c>
      <c r="AK4637" s="14"/>
      <c r="AL4637" s="14"/>
      <c r="AM4637" s="14"/>
      <c r="AN4637" s="14"/>
      <c r="AO4637" s="14"/>
      <c r="AP4637" s="14"/>
      <c r="AQ4637" s="14"/>
      <c r="AR4637" s="14"/>
      <c r="AS4637" s="14"/>
      <c r="AT4637" s="14"/>
      <c r="AU4637" s="14"/>
      <c r="AV4637" s="14"/>
      <c r="AW4637" s="15"/>
      <c r="AX4637" s="16"/>
    </row>
    <row r="4638" spans="2:51" x14ac:dyDescent="0.2">
      <c r="B4638" s="7"/>
      <c r="C4638" s="8">
        <v>14889</v>
      </c>
      <c r="D4638" s="9" t="s">
        <v>1420</v>
      </c>
      <c r="E4638" s="10" t="str">
        <f t="shared" si="571"/>
        <v>Rancho Upácuaro No. 35</v>
      </c>
      <c r="F4638" s="10" t="str">
        <f t="shared" si="572"/>
        <v>García</v>
      </c>
      <c r="G4638" s="8">
        <v>3</v>
      </c>
      <c r="H4638" s="11">
        <v>200</v>
      </c>
      <c r="I4638" s="12">
        <v>42960</v>
      </c>
      <c r="J4638" s="35">
        <f t="shared" si="573"/>
        <v>0</v>
      </c>
      <c r="K4638" s="36"/>
      <c r="L4638" s="36"/>
      <c r="M4638" s="36"/>
      <c r="N4638" s="36"/>
      <c r="O4638" s="36"/>
      <c r="P4638" s="36"/>
      <c r="Q4638" s="36"/>
      <c r="R4638" s="36"/>
      <c r="S4638" s="36"/>
      <c r="T4638" s="36"/>
      <c r="U4638" s="36"/>
      <c r="V4638" s="36"/>
      <c r="W4638" s="15">
        <f t="shared" si="574"/>
        <v>0</v>
      </c>
      <c r="X4638" s="36"/>
      <c r="Y4638" s="36"/>
      <c r="Z4638" s="36"/>
      <c r="AA4638" s="36"/>
      <c r="AB4638" s="36"/>
      <c r="AC4638" s="36"/>
      <c r="AD4638" s="36"/>
      <c r="AE4638" s="36"/>
      <c r="AF4638" s="36"/>
      <c r="AG4638" s="36"/>
      <c r="AH4638" s="36"/>
      <c r="AI4638" s="36"/>
      <c r="AJ4638" s="15">
        <f t="shared" si="575"/>
        <v>0</v>
      </c>
      <c r="AK4638" s="14"/>
      <c r="AL4638" s="14"/>
      <c r="AM4638" s="14"/>
      <c r="AN4638" s="14"/>
      <c r="AO4638" s="14"/>
      <c r="AP4638" s="14"/>
      <c r="AQ4638" s="14"/>
      <c r="AR4638" s="14"/>
      <c r="AS4638" s="14"/>
      <c r="AT4638" s="14"/>
      <c r="AU4638" s="14"/>
      <c r="AV4638" s="14"/>
      <c r="AW4638" s="15"/>
      <c r="AX4638" s="16"/>
    </row>
    <row r="4639" spans="2:51" x14ac:dyDescent="0.2">
      <c r="B4639" s="7"/>
      <c r="C4639" s="8">
        <v>14890</v>
      </c>
      <c r="D4639" s="9" t="s">
        <v>262</v>
      </c>
      <c r="E4639" s="10" t="str">
        <f t="shared" si="571"/>
        <v>Rancho Recoveco No. 1</v>
      </c>
      <c r="F4639" s="10" t="str">
        <f t="shared" si="572"/>
        <v>Díaz</v>
      </c>
      <c r="G4639" s="8">
        <v>1</v>
      </c>
      <c r="H4639" s="11">
        <v>300</v>
      </c>
      <c r="I4639" s="12">
        <v>42960</v>
      </c>
      <c r="J4639" s="35">
        <f t="shared" si="573"/>
        <v>0</v>
      </c>
      <c r="K4639" s="36"/>
      <c r="L4639" s="36"/>
      <c r="M4639" s="36"/>
      <c r="N4639" s="36"/>
      <c r="O4639" s="36"/>
      <c r="P4639" s="36"/>
      <c r="Q4639" s="36"/>
      <c r="R4639" s="36"/>
      <c r="S4639" s="36"/>
      <c r="T4639" s="36"/>
      <c r="U4639" s="36"/>
      <c r="V4639" s="36"/>
      <c r="W4639" s="15">
        <f t="shared" si="574"/>
        <v>0</v>
      </c>
      <c r="X4639" s="36"/>
      <c r="Y4639" s="36"/>
      <c r="Z4639" s="36"/>
      <c r="AA4639" s="36"/>
      <c r="AB4639" s="36"/>
      <c r="AC4639" s="36"/>
      <c r="AD4639" s="36"/>
      <c r="AE4639" s="36">
        <v>300</v>
      </c>
      <c r="AF4639" s="36"/>
      <c r="AG4639" s="36"/>
      <c r="AH4639" s="36"/>
      <c r="AI4639" s="36"/>
      <c r="AJ4639" s="15">
        <f t="shared" si="575"/>
        <v>300</v>
      </c>
      <c r="AK4639" s="14"/>
      <c r="AL4639" s="14"/>
      <c r="AM4639" s="14"/>
      <c r="AN4639" s="14"/>
      <c r="AO4639" s="14"/>
      <c r="AP4639" s="14"/>
      <c r="AQ4639" s="14"/>
      <c r="AR4639" s="14"/>
      <c r="AS4639" s="14"/>
      <c r="AT4639" s="14"/>
      <c r="AU4639" s="14"/>
      <c r="AV4639" s="14"/>
      <c r="AW4639" s="15"/>
      <c r="AX4639" s="16"/>
    </row>
    <row r="4640" spans="2:51" x14ac:dyDescent="0.2">
      <c r="B4640" s="7"/>
      <c r="C4640" s="8">
        <v>14891</v>
      </c>
      <c r="D4640" s="9" t="s">
        <v>265</v>
      </c>
      <c r="E4640" s="10" t="str">
        <f t="shared" si="571"/>
        <v>Rancho Upácuaro No. 85</v>
      </c>
      <c r="F4640" s="10" t="str">
        <f t="shared" si="572"/>
        <v>Del Toro Huerta</v>
      </c>
      <c r="G4640" s="8">
        <v>1</v>
      </c>
      <c r="H4640" s="11">
        <v>400</v>
      </c>
      <c r="I4640" s="12">
        <v>42960</v>
      </c>
      <c r="J4640" s="35">
        <f t="shared" si="573"/>
        <v>0</v>
      </c>
      <c r="K4640" s="36"/>
      <c r="L4640" s="36"/>
      <c r="M4640" s="36"/>
      <c r="N4640" s="36"/>
      <c r="O4640" s="36"/>
      <c r="P4640" s="36"/>
      <c r="Q4640" s="36"/>
      <c r="R4640" s="36"/>
      <c r="S4640" s="36"/>
      <c r="T4640" s="36"/>
      <c r="U4640" s="36"/>
      <c r="V4640" s="36"/>
      <c r="W4640" s="15">
        <f t="shared" si="574"/>
        <v>0</v>
      </c>
      <c r="X4640" s="36"/>
      <c r="Y4640" s="36"/>
      <c r="Z4640" s="36"/>
      <c r="AA4640" s="36"/>
      <c r="AB4640" s="36"/>
      <c r="AC4640" s="36"/>
      <c r="AD4640" s="36"/>
      <c r="AE4640" s="36">
        <v>400</v>
      </c>
      <c r="AF4640" s="36"/>
      <c r="AG4640" s="36"/>
      <c r="AH4640" s="36"/>
      <c r="AI4640" s="36"/>
      <c r="AJ4640" s="15">
        <f t="shared" si="575"/>
        <v>400</v>
      </c>
      <c r="AK4640" s="14"/>
      <c r="AL4640" s="14"/>
      <c r="AM4640" s="14"/>
      <c r="AN4640" s="14"/>
      <c r="AO4640" s="14"/>
      <c r="AP4640" s="14"/>
      <c r="AQ4640" s="14"/>
      <c r="AR4640" s="14"/>
      <c r="AS4640" s="14"/>
      <c r="AT4640" s="14"/>
      <c r="AU4640" s="14"/>
      <c r="AV4640" s="14"/>
      <c r="AW4640" s="15"/>
      <c r="AX4640" s="16"/>
    </row>
    <row r="4641" spans="2:50" x14ac:dyDescent="0.2">
      <c r="B4641" s="7"/>
      <c r="C4641" s="8">
        <v>14892</v>
      </c>
      <c r="D4641" s="9" t="s">
        <v>681</v>
      </c>
      <c r="E4641" s="10" t="str">
        <f t="shared" si="571"/>
        <v>Rancho Landero No. 87</v>
      </c>
      <c r="F4641" s="10" t="str">
        <f t="shared" si="572"/>
        <v>Fey Lafferla</v>
      </c>
      <c r="G4641" s="8">
        <v>1</v>
      </c>
      <c r="H4641" s="11">
        <v>300</v>
      </c>
      <c r="I4641" s="12">
        <v>42960</v>
      </c>
      <c r="J4641" s="35">
        <f t="shared" si="573"/>
        <v>0</v>
      </c>
      <c r="K4641" s="36"/>
      <c r="L4641" s="36"/>
      <c r="M4641" s="36"/>
      <c r="N4641" s="36"/>
      <c r="O4641" s="36"/>
      <c r="P4641" s="36"/>
      <c r="Q4641" s="36"/>
      <c r="R4641" s="36"/>
      <c r="S4641" s="36"/>
      <c r="T4641" s="36"/>
      <c r="U4641" s="36"/>
      <c r="V4641" s="36"/>
      <c r="W4641" s="15">
        <f t="shared" si="574"/>
        <v>0</v>
      </c>
      <c r="X4641" s="36"/>
      <c r="Y4641" s="36"/>
      <c r="Z4641" s="36"/>
      <c r="AA4641" s="36"/>
      <c r="AB4641" s="36"/>
      <c r="AC4641" s="36">
        <v>300</v>
      </c>
      <c r="AD4641" s="36"/>
      <c r="AE4641" s="36"/>
      <c r="AF4641" s="36"/>
      <c r="AG4641" s="36"/>
      <c r="AH4641" s="36"/>
      <c r="AI4641" s="36"/>
      <c r="AJ4641" s="15">
        <f t="shared" si="575"/>
        <v>300</v>
      </c>
      <c r="AK4641" s="14"/>
      <c r="AL4641" s="14"/>
      <c r="AM4641" s="14"/>
      <c r="AN4641" s="14"/>
      <c r="AO4641" s="14"/>
      <c r="AP4641" s="14"/>
      <c r="AQ4641" s="14"/>
      <c r="AR4641" s="14"/>
      <c r="AS4641" s="14"/>
      <c r="AT4641" s="14"/>
      <c r="AU4641" s="14"/>
      <c r="AV4641" s="14"/>
      <c r="AW4641" s="15"/>
      <c r="AX4641" s="16"/>
    </row>
    <row r="4642" spans="2:50" x14ac:dyDescent="0.2">
      <c r="B4642" s="7"/>
      <c r="C4642" s="8">
        <v>14893</v>
      </c>
      <c r="D4642" s="9" t="s">
        <v>106</v>
      </c>
      <c r="E4642" s="10" t="str">
        <f t="shared" si="571"/>
        <v>Rancho La Cuchilla No. 45</v>
      </c>
      <c r="F4642" s="10" t="str">
        <f t="shared" si="572"/>
        <v>Estévez Hernández</v>
      </c>
      <c r="G4642" s="8">
        <v>3</v>
      </c>
      <c r="H4642" s="11">
        <v>200</v>
      </c>
      <c r="I4642" s="12">
        <v>42960</v>
      </c>
      <c r="J4642" s="35">
        <f t="shared" si="573"/>
        <v>0</v>
      </c>
      <c r="K4642" s="36"/>
      <c r="L4642" s="36"/>
      <c r="M4642" s="36"/>
      <c r="N4642" s="36"/>
      <c r="O4642" s="36"/>
      <c r="P4642" s="36"/>
      <c r="Q4642" s="36"/>
      <c r="R4642" s="36"/>
      <c r="S4642" s="36"/>
      <c r="T4642" s="36"/>
      <c r="U4642" s="36"/>
      <c r="V4642" s="36"/>
      <c r="W4642" s="15">
        <f t="shared" si="574"/>
        <v>0</v>
      </c>
      <c r="X4642" s="36"/>
      <c r="Y4642" s="36"/>
      <c r="Z4642" s="36"/>
      <c r="AA4642" s="36"/>
      <c r="AB4642" s="36"/>
      <c r="AC4642" s="36"/>
      <c r="AD4642" s="36"/>
      <c r="AE4642" s="36"/>
      <c r="AF4642" s="36"/>
      <c r="AG4642" s="36"/>
      <c r="AH4642" s="36"/>
      <c r="AI4642" s="36"/>
      <c r="AJ4642" s="15">
        <f t="shared" si="575"/>
        <v>0</v>
      </c>
      <c r="AK4642" s="14"/>
      <c r="AL4642" s="14"/>
      <c r="AM4642" s="14"/>
      <c r="AN4642" s="14"/>
      <c r="AO4642" s="14"/>
      <c r="AP4642" s="14"/>
      <c r="AQ4642" s="14"/>
      <c r="AR4642" s="14"/>
      <c r="AS4642" s="14"/>
      <c r="AT4642" s="14"/>
      <c r="AU4642" s="14"/>
      <c r="AV4642" s="14"/>
      <c r="AW4642" s="15"/>
      <c r="AX4642" s="16"/>
    </row>
    <row r="4643" spans="2:50" x14ac:dyDescent="0.2">
      <c r="B4643" s="7"/>
      <c r="C4643" s="8">
        <v>14894</v>
      </c>
      <c r="D4643" s="9" t="s">
        <v>358</v>
      </c>
      <c r="E4643" s="10" t="str">
        <f t="shared" si="571"/>
        <v>Rancho Landero No. 2, 4</v>
      </c>
      <c r="F4643" s="10" t="str">
        <f t="shared" si="572"/>
        <v>Astudillo Ramírez</v>
      </c>
      <c r="G4643" s="8">
        <v>1</v>
      </c>
      <c r="H4643" s="11">
        <v>150</v>
      </c>
      <c r="I4643" s="12">
        <v>42960</v>
      </c>
      <c r="J4643" s="35">
        <f t="shared" si="573"/>
        <v>0</v>
      </c>
      <c r="K4643" s="36"/>
      <c r="L4643" s="36"/>
      <c r="M4643" s="36"/>
      <c r="N4643" s="36"/>
      <c r="O4643" s="36"/>
      <c r="P4643" s="36"/>
      <c r="Q4643" s="36"/>
      <c r="R4643" s="36"/>
      <c r="S4643" s="36"/>
      <c r="T4643" s="36"/>
      <c r="U4643" s="36"/>
      <c r="V4643" s="36"/>
      <c r="W4643" s="15">
        <f t="shared" si="574"/>
        <v>0</v>
      </c>
      <c r="X4643" s="36"/>
      <c r="Y4643" s="36"/>
      <c r="Z4643" s="36"/>
      <c r="AA4643" s="36"/>
      <c r="AB4643" s="36"/>
      <c r="AC4643" s="36"/>
      <c r="AD4643" s="36"/>
      <c r="AE4643" s="36">
        <v>150</v>
      </c>
      <c r="AF4643" s="36"/>
      <c r="AG4643" s="36"/>
      <c r="AH4643" s="36"/>
      <c r="AI4643" s="36"/>
      <c r="AJ4643" s="15">
        <f t="shared" si="575"/>
        <v>150</v>
      </c>
      <c r="AK4643" s="14"/>
      <c r="AL4643" s="14"/>
      <c r="AM4643" s="14"/>
      <c r="AN4643" s="14"/>
      <c r="AO4643" s="14"/>
      <c r="AP4643" s="14"/>
      <c r="AQ4643" s="14"/>
      <c r="AR4643" s="14"/>
      <c r="AS4643" s="14"/>
      <c r="AT4643" s="14"/>
      <c r="AU4643" s="14"/>
      <c r="AV4643" s="14"/>
      <c r="AW4643" s="15"/>
      <c r="AX4643" s="16"/>
    </row>
    <row r="4644" spans="2:50" x14ac:dyDescent="0.2">
      <c r="B4644" s="7"/>
      <c r="C4644" s="8">
        <v>14894</v>
      </c>
      <c r="D4644" s="9" t="s">
        <v>358</v>
      </c>
      <c r="E4644" s="10" t="str">
        <f t="shared" si="571"/>
        <v>Rancho Landero No. 2, 4</v>
      </c>
      <c r="F4644" s="10" t="str">
        <f t="shared" si="572"/>
        <v>Astudillo Ramírez</v>
      </c>
      <c r="G4644" s="8">
        <v>3</v>
      </c>
      <c r="H4644" s="11">
        <v>200</v>
      </c>
      <c r="I4644" s="12">
        <v>42960</v>
      </c>
      <c r="J4644" s="35">
        <f t="shared" si="573"/>
        <v>0</v>
      </c>
      <c r="K4644" s="36"/>
      <c r="L4644" s="36"/>
      <c r="M4644" s="36"/>
      <c r="N4644" s="36"/>
      <c r="O4644" s="36"/>
      <c r="P4644" s="36"/>
      <c r="Q4644" s="36"/>
      <c r="R4644" s="36"/>
      <c r="S4644" s="36"/>
      <c r="T4644" s="36"/>
      <c r="U4644" s="36"/>
      <c r="V4644" s="36"/>
      <c r="W4644" s="15">
        <f t="shared" si="574"/>
        <v>0</v>
      </c>
      <c r="X4644" s="36"/>
      <c r="Y4644" s="36"/>
      <c r="Z4644" s="36"/>
      <c r="AA4644" s="36"/>
      <c r="AB4644" s="36"/>
      <c r="AC4644" s="36"/>
      <c r="AD4644" s="36"/>
      <c r="AE4644" s="36"/>
      <c r="AF4644" s="36"/>
      <c r="AG4644" s="36"/>
      <c r="AH4644" s="36"/>
      <c r="AI4644" s="36"/>
      <c r="AJ4644" s="15">
        <f t="shared" si="575"/>
        <v>0</v>
      </c>
      <c r="AK4644" s="14"/>
      <c r="AL4644" s="14"/>
      <c r="AM4644" s="14"/>
      <c r="AN4644" s="14"/>
      <c r="AO4644" s="14"/>
      <c r="AP4644" s="14"/>
      <c r="AQ4644" s="14"/>
      <c r="AR4644" s="14"/>
      <c r="AS4644" s="14"/>
      <c r="AT4644" s="14"/>
      <c r="AU4644" s="14"/>
      <c r="AV4644" s="14"/>
      <c r="AW4644" s="15"/>
      <c r="AX4644" s="16"/>
    </row>
    <row r="4645" spans="2:50" x14ac:dyDescent="0.2">
      <c r="B4645" s="7"/>
      <c r="C4645" s="8">
        <v>14895</v>
      </c>
      <c r="D4645" s="9" t="s">
        <v>574</v>
      </c>
      <c r="E4645" s="10" t="str">
        <f t="shared" si="566"/>
        <v xml:space="preserve">Rancho Upácuaro No. 94 </v>
      </c>
      <c r="F4645" s="10" t="str">
        <f t="shared" si="567"/>
        <v>Juárez Patiño</v>
      </c>
      <c r="G4645" s="8">
        <v>1</v>
      </c>
      <c r="H4645" s="11">
        <v>300</v>
      </c>
      <c r="I4645" s="12">
        <v>42960</v>
      </c>
      <c r="J4645" s="35">
        <f t="shared" si="568"/>
        <v>0</v>
      </c>
      <c r="K4645" s="36"/>
      <c r="L4645" s="36"/>
      <c r="M4645" s="36"/>
      <c r="N4645" s="36"/>
      <c r="O4645" s="36"/>
      <c r="P4645" s="36"/>
      <c r="Q4645" s="36"/>
      <c r="R4645" s="36"/>
      <c r="S4645" s="36"/>
      <c r="T4645" s="36"/>
      <c r="U4645" s="36"/>
      <c r="V4645" s="36"/>
      <c r="W4645" s="15">
        <f t="shared" si="569"/>
        <v>0</v>
      </c>
      <c r="X4645" s="36"/>
      <c r="Y4645" s="36"/>
      <c r="Z4645" s="36"/>
      <c r="AA4645" s="36"/>
      <c r="AB4645" s="36"/>
      <c r="AC4645" s="36"/>
      <c r="AD4645" s="36"/>
      <c r="AE4645" s="36">
        <v>300</v>
      </c>
      <c r="AF4645" s="36"/>
      <c r="AG4645" s="36"/>
      <c r="AH4645" s="36"/>
      <c r="AI4645" s="36"/>
      <c r="AJ4645" s="15">
        <f t="shared" si="570"/>
        <v>300</v>
      </c>
      <c r="AK4645" s="14"/>
      <c r="AL4645" s="14"/>
      <c r="AM4645" s="14"/>
      <c r="AN4645" s="14"/>
      <c r="AO4645" s="14"/>
      <c r="AP4645" s="14"/>
      <c r="AQ4645" s="14"/>
      <c r="AR4645" s="14"/>
      <c r="AS4645" s="14"/>
      <c r="AT4645" s="14"/>
      <c r="AU4645" s="14"/>
      <c r="AV4645" s="14"/>
      <c r="AW4645" s="15"/>
      <c r="AX4645" s="16"/>
    </row>
    <row r="4646" spans="2:50" x14ac:dyDescent="0.2">
      <c r="B4646" s="7"/>
      <c r="C4646" s="8">
        <v>14896</v>
      </c>
      <c r="D4646" s="9" t="s">
        <v>361</v>
      </c>
      <c r="E4646" s="10" t="str">
        <f t="shared" si="566"/>
        <v>Rancho Upácuaro No. 101</v>
      </c>
      <c r="F4646" s="10" t="str">
        <f t="shared" si="567"/>
        <v>Chávez, Arturo</v>
      </c>
      <c r="G4646" s="8">
        <v>1</v>
      </c>
      <c r="H4646" s="11">
        <v>400</v>
      </c>
      <c r="I4646" s="12">
        <v>42960</v>
      </c>
      <c r="J4646" s="35">
        <f t="shared" si="568"/>
        <v>0</v>
      </c>
      <c r="K4646" s="36"/>
      <c r="L4646" s="36"/>
      <c r="M4646" s="36"/>
      <c r="N4646" s="36"/>
      <c r="O4646" s="36"/>
      <c r="P4646" s="36"/>
      <c r="Q4646" s="36"/>
      <c r="R4646" s="36"/>
      <c r="S4646" s="36"/>
      <c r="T4646" s="36"/>
      <c r="U4646" s="36"/>
      <c r="V4646" s="36"/>
      <c r="W4646" s="15">
        <f t="shared" si="569"/>
        <v>0</v>
      </c>
      <c r="X4646" s="36"/>
      <c r="Y4646" s="36"/>
      <c r="Z4646" s="36"/>
      <c r="AA4646" s="36"/>
      <c r="AB4646" s="36"/>
      <c r="AC4646" s="36"/>
      <c r="AD4646" s="36">
        <v>400</v>
      </c>
      <c r="AE4646" s="36"/>
      <c r="AF4646" s="36"/>
      <c r="AG4646" s="36"/>
      <c r="AH4646" s="36"/>
      <c r="AI4646" s="36"/>
      <c r="AJ4646" s="15">
        <f t="shared" si="570"/>
        <v>400</v>
      </c>
      <c r="AK4646" s="14"/>
      <c r="AL4646" s="14"/>
      <c r="AM4646" s="14"/>
      <c r="AN4646" s="14"/>
      <c r="AO4646" s="14"/>
      <c r="AP4646" s="14"/>
      <c r="AQ4646" s="14"/>
      <c r="AR4646" s="14"/>
      <c r="AS4646" s="14"/>
      <c r="AT4646" s="14"/>
      <c r="AU4646" s="14"/>
      <c r="AV4646" s="14"/>
      <c r="AW4646" s="15"/>
      <c r="AX4646" s="16"/>
    </row>
    <row r="4647" spans="2:50" x14ac:dyDescent="0.2">
      <c r="B4647" s="7"/>
      <c r="C4647" s="8">
        <v>14897</v>
      </c>
      <c r="D4647" s="9" t="s">
        <v>544</v>
      </c>
      <c r="E4647" s="10" t="str">
        <f t="shared" si="566"/>
        <v>Rancho Estanzuela No. 89</v>
      </c>
      <c r="F4647" s="10" t="str">
        <f t="shared" si="567"/>
        <v>Romero Ortiz</v>
      </c>
      <c r="G4647" s="8">
        <v>1</v>
      </c>
      <c r="H4647" s="11">
        <v>400</v>
      </c>
      <c r="I4647" s="12">
        <v>42960</v>
      </c>
      <c r="J4647" s="35">
        <f t="shared" si="568"/>
        <v>0</v>
      </c>
      <c r="K4647" s="36"/>
      <c r="L4647" s="36"/>
      <c r="M4647" s="36"/>
      <c r="N4647" s="36"/>
      <c r="O4647" s="36"/>
      <c r="P4647" s="36"/>
      <c r="Q4647" s="36"/>
      <c r="R4647" s="36"/>
      <c r="S4647" s="36"/>
      <c r="T4647" s="36"/>
      <c r="U4647" s="36"/>
      <c r="V4647" s="36"/>
      <c r="W4647" s="15">
        <f t="shared" si="569"/>
        <v>0</v>
      </c>
      <c r="X4647" s="36"/>
      <c r="Y4647" s="36"/>
      <c r="Z4647" s="36"/>
      <c r="AA4647" s="36"/>
      <c r="AB4647" s="36"/>
      <c r="AC4647" s="36"/>
      <c r="AD4647" s="36"/>
      <c r="AE4647" s="36">
        <v>400</v>
      </c>
      <c r="AF4647" s="36"/>
      <c r="AG4647" s="36"/>
      <c r="AH4647" s="36"/>
      <c r="AI4647" s="36"/>
      <c r="AJ4647" s="15">
        <f t="shared" si="570"/>
        <v>400</v>
      </c>
      <c r="AK4647" s="14"/>
      <c r="AL4647" s="14"/>
      <c r="AM4647" s="14"/>
      <c r="AN4647" s="14"/>
      <c r="AO4647" s="14"/>
      <c r="AP4647" s="14"/>
      <c r="AQ4647" s="14"/>
      <c r="AR4647" s="14"/>
      <c r="AS4647" s="14"/>
      <c r="AT4647" s="14"/>
      <c r="AU4647" s="14"/>
      <c r="AV4647" s="14"/>
      <c r="AW4647" s="15"/>
      <c r="AX4647" s="16"/>
    </row>
    <row r="4648" spans="2:50" x14ac:dyDescent="0.2">
      <c r="B4648" s="7"/>
      <c r="C4648" s="8">
        <v>14898</v>
      </c>
      <c r="D4648" s="9" t="s">
        <v>398</v>
      </c>
      <c r="E4648" s="10" t="str">
        <f t="shared" si="566"/>
        <v>Rancho Estanzuela No. 151</v>
      </c>
      <c r="F4648" s="10" t="str">
        <f t="shared" si="567"/>
        <v>Pérez Salazar</v>
      </c>
      <c r="G4648" s="8">
        <v>1</v>
      </c>
      <c r="H4648" s="11">
        <v>400</v>
      </c>
      <c r="I4648" s="12">
        <v>42960</v>
      </c>
      <c r="J4648" s="35">
        <f t="shared" si="568"/>
        <v>0</v>
      </c>
      <c r="K4648" s="36"/>
      <c r="L4648" s="36"/>
      <c r="M4648" s="36"/>
      <c r="N4648" s="36"/>
      <c r="O4648" s="36"/>
      <c r="P4648" s="36"/>
      <c r="Q4648" s="36"/>
      <c r="R4648" s="36"/>
      <c r="S4648" s="36"/>
      <c r="T4648" s="36"/>
      <c r="U4648" s="36"/>
      <c r="V4648" s="36"/>
      <c r="W4648" s="15">
        <f t="shared" si="569"/>
        <v>0</v>
      </c>
      <c r="X4648" s="36"/>
      <c r="Y4648" s="36"/>
      <c r="Z4648" s="36"/>
      <c r="AA4648" s="36"/>
      <c r="AB4648" s="36"/>
      <c r="AC4648" s="36"/>
      <c r="AD4648" s="36"/>
      <c r="AE4648" s="36">
        <v>400</v>
      </c>
      <c r="AF4648" s="36"/>
      <c r="AG4648" s="36"/>
      <c r="AH4648" s="36"/>
      <c r="AI4648" s="36"/>
      <c r="AJ4648" s="15">
        <f t="shared" si="570"/>
        <v>400</v>
      </c>
      <c r="AK4648" s="14"/>
      <c r="AL4648" s="14"/>
      <c r="AM4648" s="14"/>
      <c r="AN4648" s="14"/>
      <c r="AO4648" s="14"/>
      <c r="AP4648" s="14"/>
      <c r="AQ4648" s="14"/>
      <c r="AR4648" s="14"/>
      <c r="AS4648" s="14"/>
      <c r="AT4648" s="14"/>
      <c r="AU4648" s="14"/>
      <c r="AV4648" s="14"/>
      <c r="AW4648" s="15"/>
      <c r="AX4648" s="16"/>
    </row>
    <row r="4649" spans="2:50" x14ac:dyDescent="0.2">
      <c r="B4649" s="7"/>
      <c r="C4649" s="8">
        <v>14899</v>
      </c>
      <c r="D4649" s="9" t="s">
        <v>340</v>
      </c>
      <c r="E4649" s="10" t="str">
        <f t="shared" si="566"/>
        <v>Rancho Romeral No. 17</v>
      </c>
      <c r="F4649" s="10" t="str">
        <f t="shared" si="567"/>
        <v>Aguilar Lomelí</v>
      </c>
      <c r="G4649" s="8">
        <v>1</v>
      </c>
      <c r="H4649" s="11">
        <v>400</v>
      </c>
      <c r="I4649" s="12">
        <v>42960</v>
      </c>
      <c r="J4649" s="35">
        <f t="shared" si="568"/>
        <v>0</v>
      </c>
      <c r="K4649" s="36"/>
      <c r="L4649" s="36"/>
      <c r="M4649" s="36"/>
      <c r="N4649" s="36"/>
      <c r="O4649" s="36"/>
      <c r="P4649" s="36"/>
      <c r="Q4649" s="36"/>
      <c r="R4649" s="36"/>
      <c r="S4649" s="36"/>
      <c r="T4649" s="36"/>
      <c r="U4649" s="36"/>
      <c r="V4649" s="36"/>
      <c r="W4649" s="15">
        <f t="shared" si="569"/>
        <v>0</v>
      </c>
      <c r="X4649" s="36"/>
      <c r="Y4649" s="36"/>
      <c r="Z4649" s="36"/>
      <c r="AA4649" s="36"/>
      <c r="AB4649" s="36"/>
      <c r="AC4649" s="36"/>
      <c r="AD4649" s="36"/>
      <c r="AE4649" s="36">
        <v>400</v>
      </c>
      <c r="AF4649" s="36"/>
      <c r="AG4649" s="36"/>
      <c r="AH4649" s="36"/>
      <c r="AI4649" s="36"/>
      <c r="AJ4649" s="15">
        <f t="shared" si="570"/>
        <v>400</v>
      </c>
      <c r="AK4649" s="14"/>
      <c r="AL4649" s="14"/>
      <c r="AM4649" s="14"/>
      <c r="AN4649" s="14"/>
      <c r="AO4649" s="14"/>
      <c r="AP4649" s="14"/>
      <c r="AQ4649" s="14"/>
      <c r="AR4649" s="14"/>
      <c r="AS4649" s="14"/>
      <c r="AT4649" s="14"/>
      <c r="AU4649" s="14"/>
      <c r="AV4649" s="14"/>
      <c r="AW4649" s="15"/>
      <c r="AX4649" s="16"/>
    </row>
    <row r="4650" spans="2:50" x14ac:dyDescent="0.2">
      <c r="B4650" s="7"/>
      <c r="C4650" s="8">
        <v>14900</v>
      </c>
      <c r="D4650" s="9" t="s">
        <v>728</v>
      </c>
      <c r="E4650" s="10" t="str">
        <f t="shared" si="566"/>
        <v>Rancho Estanzuela No. 77</v>
      </c>
      <c r="F4650" s="10" t="str">
        <f t="shared" si="567"/>
        <v>De la Rosa Rico</v>
      </c>
      <c r="G4650" s="8">
        <v>1</v>
      </c>
      <c r="H4650" s="11">
        <v>400</v>
      </c>
      <c r="I4650" s="12">
        <v>42960</v>
      </c>
      <c r="J4650" s="35">
        <f t="shared" si="568"/>
        <v>0</v>
      </c>
      <c r="K4650" s="36"/>
      <c r="L4650" s="36"/>
      <c r="M4650" s="36"/>
      <c r="N4650" s="36"/>
      <c r="O4650" s="36"/>
      <c r="P4650" s="36"/>
      <c r="Q4650" s="36"/>
      <c r="R4650" s="36"/>
      <c r="S4650" s="36"/>
      <c r="T4650" s="36"/>
      <c r="U4650" s="36"/>
      <c r="V4650" s="36"/>
      <c r="W4650" s="15">
        <f t="shared" si="569"/>
        <v>0</v>
      </c>
      <c r="X4650" s="36"/>
      <c r="Y4650" s="36"/>
      <c r="Z4650" s="36"/>
      <c r="AA4650" s="36"/>
      <c r="AB4650" s="36"/>
      <c r="AC4650" s="36"/>
      <c r="AD4650" s="36">
        <v>400</v>
      </c>
      <c r="AE4650" s="36"/>
      <c r="AF4650" s="36"/>
      <c r="AG4650" s="36"/>
      <c r="AH4650" s="36"/>
      <c r="AI4650" s="36"/>
      <c r="AJ4650" s="15">
        <f t="shared" si="570"/>
        <v>400</v>
      </c>
      <c r="AK4650" s="14"/>
      <c r="AL4650" s="14"/>
      <c r="AM4650" s="14"/>
      <c r="AN4650" s="14"/>
      <c r="AO4650" s="14"/>
      <c r="AP4650" s="14"/>
      <c r="AQ4650" s="14"/>
      <c r="AR4650" s="14"/>
      <c r="AS4650" s="14"/>
      <c r="AT4650" s="14"/>
      <c r="AU4650" s="14"/>
      <c r="AV4650" s="14"/>
      <c r="AW4650" s="15"/>
      <c r="AX4650" s="16"/>
    </row>
    <row r="4651" spans="2:50" x14ac:dyDescent="0.2">
      <c r="B4651" s="7"/>
      <c r="C4651" s="8">
        <v>14901</v>
      </c>
      <c r="D4651" s="9" t="s">
        <v>295</v>
      </c>
      <c r="E4651" s="10" t="str">
        <f t="shared" si="566"/>
        <v>Rancho Landero No. 99</v>
      </c>
      <c r="F4651" s="10" t="str">
        <f t="shared" si="567"/>
        <v>Rangel</v>
      </c>
      <c r="G4651" s="8">
        <v>1</v>
      </c>
      <c r="H4651" s="11">
        <v>300</v>
      </c>
      <c r="I4651" s="12">
        <v>42960</v>
      </c>
      <c r="J4651" s="35">
        <f t="shared" si="568"/>
        <v>0</v>
      </c>
      <c r="K4651" s="36"/>
      <c r="L4651" s="36"/>
      <c r="M4651" s="36"/>
      <c r="N4651" s="36"/>
      <c r="O4651" s="36"/>
      <c r="P4651" s="36"/>
      <c r="Q4651" s="36"/>
      <c r="R4651" s="36"/>
      <c r="S4651" s="36"/>
      <c r="T4651" s="36"/>
      <c r="U4651" s="36"/>
      <c r="V4651" s="36"/>
      <c r="W4651" s="15">
        <f t="shared" si="569"/>
        <v>0</v>
      </c>
      <c r="X4651" s="36"/>
      <c r="Y4651" s="36"/>
      <c r="Z4651" s="36"/>
      <c r="AA4651" s="36"/>
      <c r="AB4651" s="36"/>
      <c r="AC4651" s="36">
        <v>300</v>
      </c>
      <c r="AD4651" s="36"/>
      <c r="AE4651" s="36"/>
      <c r="AF4651" s="36"/>
      <c r="AG4651" s="36"/>
      <c r="AH4651" s="36"/>
      <c r="AI4651" s="36"/>
      <c r="AJ4651" s="15">
        <f t="shared" si="570"/>
        <v>300</v>
      </c>
      <c r="AK4651" s="14"/>
      <c r="AL4651" s="14"/>
      <c r="AM4651" s="14"/>
      <c r="AN4651" s="14"/>
      <c r="AO4651" s="14"/>
      <c r="AP4651" s="14"/>
      <c r="AQ4651" s="14"/>
      <c r="AR4651" s="14"/>
      <c r="AS4651" s="14"/>
      <c r="AT4651" s="14"/>
      <c r="AU4651" s="14"/>
      <c r="AV4651" s="14"/>
      <c r="AW4651" s="15"/>
      <c r="AX4651" s="16"/>
    </row>
    <row r="4652" spans="2:50" x14ac:dyDescent="0.2">
      <c r="B4652" s="7"/>
      <c r="C4652" s="8">
        <v>14902</v>
      </c>
      <c r="D4652" s="9" t="s">
        <v>307</v>
      </c>
      <c r="E4652" s="10" t="str">
        <f t="shared" si="566"/>
        <v>Rancho Landero No. 83</v>
      </c>
      <c r="F4652" s="10" t="str">
        <f t="shared" si="567"/>
        <v>Aguilar</v>
      </c>
      <c r="G4652" s="8">
        <v>1</v>
      </c>
      <c r="H4652" s="11">
        <v>350</v>
      </c>
      <c r="I4652" s="12">
        <v>42960</v>
      </c>
      <c r="J4652" s="35">
        <f t="shared" si="568"/>
        <v>0</v>
      </c>
      <c r="K4652" s="36"/>
      <c r="L4652" s="36"/>
      <c r="M4652" s="36"/>
      <c r="N4652" s="36"/>
      <c r="O4652" s="36"/>
      <c r="P4652" s="36"/>
      <c r="Q4652" s="36"/>
      <c r="R4652" s="36"/>
      <c r="S4652" s="36"/>
      <c r="T4652" s="36"/>
      <c r="U4652" s="36"/>
      <c r="V4652" s="36"/>
      <c r="W4652" s="15">
        <f t="shared" si="569"/>
        <v>0</v>
      </c>
      <c r="X4652" s="36"/>
      <c r="Y4652" s="36"/>
      <c r="Z4652" s="36"/>
      <c r="AA4652" s="36"/>
      <c r="AB4652" s="36"/>
      <c r="AC4652" s="36"/>
      <c r="AD4652" s="36"/>
      <c r="AE4652" s="36">
        <v>350</v>
      </c>
      <c r="AF4652" s="36"/>
      <c r="AG4652" s="36"/>
      <c r="AH4652" s="36"/>
      <c r="AI4652" s="36"/>
      <c r="AJ4652" s="15">
        <f t="shared" si="570"/>
        <v>350</v>
      </c>
      <c r="AK4652" s="14"/>
      <c r="AL4652" s="14"/>
      <c r="AM4652" s="14"/>
      <c r="AN4652" s="14"/>
      <c r="AO4652" s="14"/>
      <c r="AP4652" s="14"/>
      <c r="AQ4652" s="14"/>
      <c r="AR4652" s="14"/>
      <c r="AS4652" s="14"/>
      <c r="AT4652" s="14"/>
      <c r="AU4652" s="14"/>
      <c r="AV4652" s="14"/>
      <c r="AW4652" s="15"/>
      <c r="AX4652" s="16"/>
    </row>
    <row r="4653" spans="2:50" x14ac:dyDescent="0.2">
      <c r="B4653" s="7"/>
      <c r="C4653" s="8">
        <v>14903</v>
      </c>
      <c r="D4653" s="9" t="s">
        <v>87</v>
      </c>
      <c r="E4653" s="10" t="str">
        <f t="shared" si="566"/>
        <v>Rancho Zinamba No. 36</v>
      </c>
      <c r="F4653" s="10" t="str">
        <f t="shared" si="567"/>
        <v>Rodríguez Ortiz</v>
      </c>
      <c r="G4653" s="8">
        <v>1</v>
      </c>
      <c r="H4653" s="11">
        <v>800</v>
      </c>
      <c r="I4653" s="12">
        <v>42960</v>
      </c>
      <c r="J4653" s="35">
        <f t="shared" si="568"/>
        <v>0</v>
      </c>
      <c r="K4653" s="36"/>
      <c r="L4653" s="36"/>
      <c r="M4653" s="36"/>
      <c r="N4653" s="36"/>
      <c r="O4653" s="36"/>
      <c r="P4653" s="36"/>
      <c r="Q4653" s="36"/>
      <c r="R4653" s="36"/>
      <c r="S4653" s="36"/>
      <c r="T4653" s="36"/>
      <c r="U4653" s="36"/>
      <c r="V4653" s="36"/>
      <c r="W4653" s="15">
        <f t="shared" si="569"/>
        <v>0</v>
      </c>
      <c r="X4653" s="36"/>
      <c r="Y4653" s="36"/>
      <c r="Z4653" s="36"/>
      <c r="AA4653" s="36"/>
      <c r="AB4653" s="36"/>
      <c r="AC4653" s="36"/>
      <c r="AD4653" s="36"/>
      <c r="AE4653" s="36">
        <v>400</v>
      </c>
      <c r="AF4653" s="36">
        <v>400</v>
      </c>
      <c r="AG4653" s="36"/>
      <c r="AH4653" s="36"/>
      <c r="AI4653" s="36"/>
      <c r="AJ4653" s="15">
        <f t="shared" si="570"/>
        <v>800</v>
      </c>
      <c r="AK4653" s="14"/>
      <c r="AL4653" s="14"/>
      <c r="AM4653" s="14"/>
      <c r="AN4653" s="14"/>
      <c r="AO4653" s="14"/>
      <c r="AP4653" s="14"/>
      <c r="AQ4653" s="14"/>
      <c r="AR4653" s="14"/>
      <c r="AS4653" s="14"/>
      <c r="AT4653" s="14"/>
      <c r="AU4653" s="14"/>
      <c r="AV4653" s="14"/>
      <c r="AW4653" s="15"/>
      <c r="AX4653" s="16"/>
    </row>
    <row r="4654" spans="2:50" x14ac:dyDescent="0.2">
      <c r="B4654" s="7"/>
      <c r="C4654" s="8">
        <v>14904</v>
      </c>
      <c r="D4654" s="9" t="s">
        <v>980</v>
      </c>
      <c r="E4654" s="10" t="str">
        <f t="shared" si="566"/>
        <v>Rancho Estanzuela No. 141</v>
      </c>
      <c r="F4654" s="10" t="str">
        <f t="shared" si="567"/>
        <v>Castillo Toledano</v>
      </c>
      <c r="G4654" s="8">
        <v>1</v>
      </c>
      <c r="H4654" s="11">
        <v>400</v>
      </c>
      <c r="I4654" s="12">
        <v>42960</v>
      </c>
      <c r="J4654" s="35">
        <f t="shared" si="568"/>
        <v>0</v>
      </c>
      <c r="K4654" s="36"/>
      <c r="L4654" s="36"/>
      <c r="M4654" s="36"/>
      <c r="N4654" s="36"/>
      <c r="O4654" s="36"/>
      <c r="P4654" s="36"/>
      <c r="Q4654" s="36"/>
      <c r="R4654" s="36"/>
      <c r="S4654" s="36"/>
      <c r="T4654" s="36"/>
      <c r="U4654" s="36"/>
      <c r="V4654" s="36"/>
      <c r="W4654" s="15">
        <f t="shared" si="569"/>
        <v>0</v>
      </c>
      <c r="X4654" s="36"/>
      <c r="Y4654" s="36"/>
      <c r="Z4654" s="36"/>
      <c r="AA4654" s="36"/>
      <c r="AB4654" s="36"/>
      <c r="AC4654" s="36"/>
      <c r="AD4654" s="36"/>
      <c r="AE4654" s="36">
        <v>400</v>
      </c>
      <c r="AF4654" s="36"/>
      <c r="AG4654" s="36"/>
      <c r="AH4654" s="36"/>
      <c r="AI4654" s="36"/>
      <c r="AJ4654" s="15">
        <f t="shared" si="570"/>
        <v>400</v>
      </c>
      <c r="AK4654" s="14"/>
      <c r="AL4654" s="14"/>
      <c r="AM4654" s="14"/>
      <c r="AN4654" s="14"/>
      <c r="AO4654" s="14"/>
      <c r="AP4654" s="14"/>
      <c r="AQ4654" s="14"/>
      <c r="AR4654" s="14"/>
      <c r="AS4654" s="14"/>
      <c r="AT4654" s="14"/>
      <c r="AU4654" s="14"/>
      <c r="AV4654" s="14"/>
      <c r="AW4654" s="15"/>
      <c r="AX4654" s="16"/>
    </row>
    <row r="4655" spans="2:50" x14ac:dyDescent="0.2">
      <c r="B4655" s="7"/>
      <c r="C4655" s="8">
        <v>14905</v>
      </c>
      <c r="D4655" s="9" t="s">
        <v>322</v>
      </c>
      <c r="E4655" s="10" t="str">
        <f t="shared" si="566"/>
        <v>Rancho Zinamba No. 8</v>
      </c>
      <c r="F4655" s="10" t="str">
        <f t="shared" si="567"/>
        <v>Florido</v>
      </c>
      <c r="G4655" s="8">
        <v>1</v>
      </c>
      <c r="H4655" s="11">
        <v>400</v>
      </c>
      <c r="I4655" s="12">
        <v>42960</v>
      </c>
      <c r="J4655" s="35">
        <f t="shared" si="568"/>
        <v>0</v>
      </c>
      <c r="K4655" s="36"/>
      <c r="L4655" s="36"/>
      <c r="M4655" s="36"/>
      <c r="N4655" s="36"/>
      <c r="O4655" s="36"/>
      <c r="P4655" s="36"/>
      <c r="Q4655" s="36"/>
      <c r="R4655" s="36"/>
      <c r="S4655" s="36"/>
      <c r="T4655" s="36"/>
      <c r="U4655" s="36"/>
      <c r="V4655" s="36"/>
      <c r="W4655" s="15">
        <f t="shared" si="569"/>
        <v>0</v>
      </c>
      <c r="X4655" s="36"/>
      <c r="Y4655" s="36"/>
      <c r="Z4655" s="36"/>
      <c r="AA4655" s="36"/>
      <c r="AB4655" s="36"/>
      <c r="AC4655" s="36">
        <v>400</v>
      </c>
      <c r="AD4655" s="36"/>
      <c r="AE4655" s="36"/>
      <c r="AF4655" s="36"/>
      <c r="AG4655" s="36"/>
      <c r="AH4655" s="36"/>
      <c r="AI4655" s="36"/>
      <c r="AJ4655" s="15">
        <f t="shared" si="570"/>
        <v>400</v>
      </c>
      <c r="AK4655" s="14"/>
      <c r="AL4655" s="14"/>
      <c r="AM4655" s="14"/>
      <c r="AN4655" s="14"/>
      <c r="AO4655" s="14"/>
      <c r="AP4655" s="14"/>
      <c r="AQ4655" s="14"/>
      <c r="AR4655" s="14"/>
      <c r="AS4655" s="14"/>
      <c r="AT4655" s="14"/>
      <c r="AU4655" s="14"/>
      <c r="AV4655" s="14"/>
      <c r="AW4655" s="15"/>
      <c r="AX4655" s="16"/>
    </row>
    <row r="4656" spans="2:50" x14ac:dyDescent="0.2">
      <c r="B4656" s="7"/>
      <c r="C4656" s="8">
        <v>14906</v>
      </c>
      <c r="D4656" s="9" t="s">
        <v>740</v>
      </c>
      <c r="E4656" s="10" t="str">
        <f t="shared" si="566"/>
        <v>Rancho Upácuaro No. 65</v>
      </c>
      <c r="F4656" s="10" t="str">
        <f t="shared" si="567"/>
        <v>Cruz González</v>
      </c>
      <c r="G4656" s="8">
        <v>1</v>
      </c>
      <c r="H4656" s="11">
        <v>800</v>
      </c>
      <c r="I4656" s="12">
        <v>42960</v>
      </c>
      <c r="J4656" s="35">
        <f t="shared" si="568"/>
        <v>0</v>
      </c>
      <c r="K4656" s="36"/>
      <c r="L4656" s="36"/>
      <c r="M4656" s="36"/>
      <c r="N4656" s="36"/>
      <c r="O4656" s="36"/>
      <c r="P4656" s="36"/>
      <c r="Q4656" s="36"/>
      <c r="R4656" s="36"/>
      <c r="S4656" s="36"/>
      <c r="T4656" s="36"/>
      <c r="U4656" s="36"/>
      <c r="V4656" s="36"/>
      <c r="W4656" s="15">
        <f t="shared" si="569"/>
        <v>0</v>
      </c>
      <c r="X4656" s="36"/>
      <c r="Y4656" s="36"/>
      <c r="Z4656" s="36"/>
      <c r="AA4656" s="36"/>
      <c r="AB4656" s="36"/>
      <c r="AC4656" s="36"/>
      <c r="AD4656" s="36">
        <v>400</v>
      </c>
      <c r="AE4656" s="36">
        <v>400</v>
      </c>
      <c r="AF4656" s="36"/>
      <c r="AG4656" s="36"/>
      <c r="AH4656" s="36"/>
      <c r="AI4656" s="36"/>
      <c r="AJ4656" s="15">
        <f t="shared" si="570"/>
        <v>800</v>
      </c>
      <c r="AK4656" s="14"/>
      <c r="AL4656" s="14"/>
      <c r="AM4656" s="14"/>
      <c r="AN4656" s="14"/>
      <c r="AO4656" s="14"/>
      <c r="AP4656" s="14"/>
      <c r="AQ4656" s="14"/>
      <c r="AR4656" s="14"/>
      <c r="AS4656" s="14"/>
      <c r="AT4656" s="14"/>
      <c r="AU4656" s="14"/>
      <c r="AV4656" s="14"/>
      <c r="AW4656" s="15"/>
      <c r="AX4656" s="16"/>
    </row>
    <row r="4657" spans="2:50" x14ac:dyDescent="0.2">
      <c r="B4657" s="7"/>
      <c r="C4657" s="8">
        <v>14907</v>
      </c>
      <c r="D4657" s="9" t="s">
        <v>268</v>
      </c>
      <c r="E4657" s="10" t="str">
        <f t="shared" si="566"/>
        <v>Rancho Landero No. 90</v>
      </c>
      <c r="F4657" s="10" t="str">
        <f t="shared" si="567"/>
        <v>Córdova Reséndiz</v>
      </c>
      <c r="G4657" s="8">
        <v>1</v>
      </c>
      <c r="H4657" s="11">
        <v>600</v>
      </c>
      <c r="I4657" s="12">
        <v>42960</v>
      </c>
      <c r="J4657" s="35">
        <f t="shared" si="568"/>
        <v>0</v>
      </c>
      <c r="K4657" s="36"/>
      <c r="L4657" s="36"/>
      <c r="M4657" s="36"/>
      <c r="N4657" s="36"/>
      <c r="O4657" s="36"/>
      <c r="P4657" s="36"/>
      <c r="Q4657" s="36"/>
      <c r="R4657" s="36"/>
      <c r="S4657" s="36"/>
      <c r="T4657" s="36"/>
      <c r="U4657" s="36"/>
      <c r="V4657" s="36"/>
      <c r="W4657" s="15">
        <f t="shared" si="569"/>
        <v>0</v>
      </c>
      <c r="X4657" s="36"/>
      <c r="Y4657" s="36"/>
      <c r="Z4657" s="36"/>
      <c r="AA4657" s="36"/>
      <c r="AB4657" s="36"/>
      <c r="AC4657" s="36"/>
      <c r="AD4657" s="36">
        <v>300</v>
      </c>
      <c r="AE4657" s="36">
        <v>300</v>
      </c>
      <c r="AF4657" s="36"/>
      <c r="AG4657" s="36"/>
      <c r="AH4657" s="36"/>
      <c r="AI4657" s="36"/>
      <c r="AJ4657" s="15">
        <f t="shared" si="570"/>
        <v>600</v>
      </c>
      <c r="AK4657" s="14"/>
      <c r="AL4657" s="14"/>
      <c r="AM4657" s="14"/>
      <c r="AN4657" s="14"/>
      <c r="AO4657" s="14"/>
      <c r="AP4657" s="14"/>
      <c r="AQ4657" s="14"/>
      <c r="AR4657" s="14"/>
      <c r="AS4657" s="14"/>
      <c r="AT4657" s="14"/>
      <c r="AU4657" s="14"/>
      <c r="AV4657" s="14"/>
      <c r="AW4657" s="15"/>
      <c r="AX4657" s="16"/>
    </row>
    <row r="4658" spans="2:50" x14ac:dyDescent="0.2">
      <c r="B4658" s="7"/>
      <c r="C4658" s="8">
        <v>14908</v>
      </c>
      <c r="D4658" s="9" t="s">
        <v>109</v>
      </c>
      <c r="E4658" s="10" t="str">
        <f t="shared" si="566"/>
        <v>Rancho Estanzuela No. 31</v>
      </c>
      <c r="F4658" s="10" t="str">
        <f t="shared" si="567"/>
        <v>Chávez Valdés</v>
      </c>
      <c r="G4658" s="8">
        <v>1</v>
      </c>
      <c r="H4658" s="11">
        <v>800</v>
      </c>
      <c r="I4658" s="12">
        <v>42960</v>
      </c>
      <c r="J4658" s="35">
        <f t="shared" si="568"/>
        <v>0</v>
      </c>
      <c r="K4658" s="36"/>
      <c r="L4658" s="36"/>
      <c r="M4658" s="36"/>
      <c r="N4658" s="36"/>
      <c r="O4658" s="36"/>
      <c r="P4658" s="36"/>
      <c r="Q4658" s="36"/>
      <c r="R4658" s="36"/>
      <c r="S4658" s="36"/>
      <c r="T4658" s="36"/>
      <c r="U4658" s="36"/>
      <c r="V4658" s="36"/>
      <c r="W4658" s="15">
        <f t="shared" si="569"/>
        <v>0</v>
      </c>
      <c r="X4658" s="36"/>
      <c r="Y4658" s="36"/>
      <c r="Z4658" s="36"/>
      <c r="AA4658" s="36"/>
      <c r="AB4658" s="36"/>
      <c r="AC4658" s="36">
        <v>400</v>
      </c>
      <c r="AD4658" s="36">
        <v>400</v>
      </c>
      <c r="AE4658" s="36"/>
      <c r="AF4658" s="36"/>
      <c r="AG4658" s="36"/>
      <c r="AH4658" s="36"/>
      <c r="AI4658" s="36"/>
      <c r="AJ4658" s="15">
        <f t="shared" si="570"/>
        <v>800</v>
      </c>
      <c r="AK4658" s="14"/>
      <c r="AL4658" s="14"/>
      <c r="AM4658" s="14"/>
      <c r="AN4658" s="14"/>
      <c r="AO4658" s="14"/>
      <c r="AP4658" s="14"/>
      <c r="AQ4658" s="14"/>
      <c r="AR4658" s="14"/>
      <c r="AS4658" s="14"/>
      <c r="AT4658" s="14"/>
      <c r="AU4658" s="14"/>
      <c r="AV4658" s="14"/>
      <c r="AW4658" s="15"/>
      <c r="AX4658" s="16"/>
    </row>
    <row r="4659" spans="2:50" x14ac:dyDescent="0.2">
      <c r="B4659" s="7"/>
      <c r="C4659" s="8">
        <v>14909</v>
      </c>
      <c r="D4659" s="9" t="s">
        <v>652</v>
      </c>
      <c r="E4659" s="10" t="str">
        <f t="shared" si="566"/>
        <v>Rancho Zinamba No. 74</v>
      </c>
      <c r="F4659" s="10" t="str">
        <f t="shared" si="567"/>
        <v>García Castellanos</v>
      </c>
      <c r="G4659" s="8">
        <v>1</v>
      </c>
      <c r="H4659" s="11">
        <v>400</v>
      </c>
      <c r="I4659" s="12">
        <v>42960</v>
      </c>
      <c r="J4659" s="35">
        <f t="shared" si="568"/>
        <v>0</v>
      </c>
      <c r="K4659" s="36"/>
      <c r="L4659" s="36"/>
      <c r="M4659" s="36"/>
      <c r="N4659" s="36"/>
      <c r="O4659" s="36"/>
      <c r="P4659" s="36"/>
      <c r="Q4659" s="36"/>
      <c r="R4659" s="36"/>
      <c r="S4659" s="36"/>
      <c r="T4659" s="36"/>
      <c r="U4659" s="36"/>
      <c r="V4659" s="36"/>
      <c r="W4659" s="15">
        <f t="shared" si="569"/>
        <v>0</v>
      </c>
      <c r="X4659" s="36"/>
      <c r="Y4659" s="36"/>
      <c r="Z4659" s="36"/>
      <c r="AA4659" s="36"/>
      <c r="AB4659" s="36">
        <v>400</v>
      </c>
      <c r="AC4659" s="36"/>
      <c r="AD4659" s="36"/>
      <c r="AE4659" s="36"/>
      <c r="AF4659" s="36"/>
      <c r="AG4659" s="36"/>
      <c r="AH4659" s="36"/>
      <c r="AI4659" s="36"/>
      <c r="AJ4659" s="15">
        <f t="shared" si="570"/>
        <v>400</v>
      </c>
      <c r="AK4659" s="14"/>
      <c r="AL4659" s="14"/>
      <c r="AM4659" s="14"/>
      <c r="AN4659" s="14"/>
      <c r="AO4659" s="14"/>
      <c r="AP4659" s="14"/>
      <c r="AQ4659" s="14"/>
      <c r="AR4659" s="14"/>
      <c r="AS4659" s="14"/>
      <c r="AT4659" s="14"/>
      <c r="AU4659" s="14"/>
      <c r="AV4659" s="14"/>
      <c r="AW4659" s="15"/>
      <c r="AX4659" s="16"/>
    </row>
    <row r="4660" spans="2:50" x14ac:dyDescent="0.2">
      <c r="B4660" s="7"/>
      <c r="C4660" s="8">
        <v>14910</v>
      </c>
      <c r="D4660" s="9" t="s">
        <v>425</v>
      </c>
      <c r="E4660" s="10" t="str">
        <f t="shared" si="566"/>
        <v>Rancho La Cuchilla No. 120</v>
      </c>
      <c r="F4660" s="10" t="str">
        <f t="shared" si="567"/>
        <v>Pozos Vilchis</v>
      </c>
      <c r="G4660" s="8">
        <v>1</v>
      </c>
      <c r="H4660" s="11">
        <v>400</v>
      </c>
      <c r="I4660" s="12">
        <v>42960</v>
      </c>
      <c r="J4660" s="35">
        <f t="shared" si="568"/>
        <v>0</v>
      </c>
      <c r="K4660" s="36"/>
      <c r="L4660" s="36"/>
      <c r="M4660" s="36"/>
      <c r="N4660" s="36"/>
      <c r="O4660" s="36"/>
      <c r="P4660" s="36"/>
      <c r="Q4660" s="36"/>
      <c r="R4660" s="36"/>
      <c r="S4660" s="36"/>
      <c r="T4660" s="36"/>
      <c r="U4660" s="36"/>
      <c r="V4660" s="36"/>
      <c r="W4660" s="15">
        <f t="shared" si="569"/>
        <v>0</v>
      </c>
      <c r="X4660" s="36"/>
      <c r="Y4660" s="36"/>
      <c r="Z4660" s="36"/>
      <c r="AA4660" s="36"/>
      <c r="AB4660" s="36"/>
      <c r="AC4660" s="36"/>
      <c r="AD4660" s="36"/>
      <c r="AE4660" s="36">
        <v>400</v>
      </c>
      <c r="AF4660" s="36"/>
      <c r="AG4660" s="36"/>
      <c r="AH4660" s="36"/>
      <c r="AI4660" s="36"/>
      <c r="AJ4660" s="15">
        <f t="shared" si="570"/>
        <v>400</v>
      </c>
      <c r="AK4660" s="14"/>
      <c r="AL4660" s="14"/>
      <c r="AM4660" s="14"/>
      <c r="AN4660" s="14"/>
      <c r="AO4660" s="14"/>
      <c r="AP4660" s="14"/>
      <c r="AQ4660" s="14"/>
      <c r="AR4660" s="14"/>
      <c r="AS4660" s="14"/>
      <c r="AT4660" s="14"/>
      <c r="AU4660" s="14"/>
      <c r="AV4660" s="14"/>
      <c r="AW4660" s="15"/>
      <c r="AX4660" s="16"/>
    </row>
    <row r="4661" spans="2:50" x14ac:dyDescent="0.2">
      <c r="B4661" s="7"/>
      <c r="C4661" s="8">
        <v>14911</v>
      </c>
      <c r="D4661" s="9" t="s">
        <v>186</v>
      </c>
      <c r="E4661" s="10" t="str">
        <f t="shared" si="566"/>
        <v>Rancho Upácuaro No. 100</v>
      </c>
      <c r="F4661" s="10" t="str">
        <f t="shared" si="567"/>
        <v>Valdez</v>
      </c>
      <c r="G4661" s="8">
        <v>1</v>
      </c>
      <c r="H4661" s="11">
        <v>800</v>
      </c>
      <c r="I4661" s="12">
        <v>42960</v>
      </c>
      <c r="J4661" s="35">
        <f t="shared" si="568"/>
        <v>0</v>
      </c>
      <c r="K4661" s="36"/>
      <c r="L4661" s="36"/>
      <c r="M4661" s="36"/>
      <c r="N4661" s="36"/>
      <c r="O4661" s="36"/>
      <c r="P4661" s="36"/>
      <c r="Q4661" s="36"/>
      <c r="R4661" s="36"/>
      <c r="S4661" s="36"/>
      <c r="T4661" s="36"/>
      <c r="U4661" s="36"/>
      <c r="V4661" s="36"/>
      <c r="W4661" s="15">
        <f t="shared" si="569"/>
        <v>0</v>
      </c>
      <c r="X4661" s="36"/>
      <c r="Y4661" s="36"/>
      <c r="Z4661" s="36"/>
      <c r="AA4661" s="36"/>
      <c r="AB4661" s="36"/>
      <c r="AC4661" s="36"/>
      <c r="AD4661" s="36">
        <v>400</v>
      </c>
      <c r="AE4661" s="36">
        <v>400</v>
      </c>
      <c r="AF4661" s="36"/>
      <c r="AG4661" s="36"/>
      <c r="AH4661" s="36"/>
      <c r="AI4661" s="36"/>
      <c r="AJ4661" s="15">
        <f t="shared" si="570"/>
        <v>800</v>
      </c>
      <c r="AK4661" s="14"/>
      <c r="AL4661" s="14"/>
      <c r="AM4661" s="14"/>
      <c r="AN4661" s="14"/>
      <c r="AO4661" s="14"/>
      <c r="AP4661" s="14"/>
      <c r="AQ4661" s="14"/>
      <c r="AR4661" s="14"/>
      <c r="AS4661" s="14"/>
      <c r="AT4661" s="14"/>
      <c r="AU4661" s="14"/>
      <c r="AV4661" s="14"/>
      <c r="AW4661" s="15"/>
      <c r="AX4661" s="16"/>
    </row>
    <row r="4662" spans="2:50" x14ac:dyDescent="0.2">
      <c r="B4662" s="7"/>
      <c r="C4662" s="8">
        <v>14912</v>
      </c>
      <c r="D4662" s="9" t="s">
        <v>843</v>
      </c>
      <c r="E4662" s="10" t="str">
        <f t="shared" si="566"/>
        <v>Rancho Landero No. 12</v>
      </c>
      <c r="F4662" s="10" t="str">
        <f t="shared" si="567"/>
        <v>Guzmán Silva</v>
      </c>
      <c r="G4662" s="8">
        <v>1</v>
      </c>
      <c r="H4662" s="11">
        <v>1400</v>
      </c>
      <c r="I4662" s="12">
        <v>42960</v>
      </c>
      <c r="J4662" s="35">
        <f t="shared" si="568"/>
        <v>0</v>
      </c>
      <c r="K4662" s="36"/>
      <c r="L4662" s="36"/>
      <c r="M4662" s="36"/>
      <c r="N4662" s="36"/>
      <c r="O4662" s="36"/>
      <c r="P4662" s="36"/>
      <c r="Q4662" s="36"/>
      <c r="R4662" s="36"/>
      <c r="S4662" s="36"/>
      <c r="T4662" s="36"/>
      <c r="U4662" s="36"/>
      <c r="V4662" s="36"/>
      <c r="W4662" s="15">
        <f t="shared" si="569"/>
        <v>0</v>
      </c>
      <c r="X4662" s="36"/>
      <c r="Y4662" s="36"/>
      <c r="Z4662" s="36">
        <v>200</v>
      </c>
      <c r="AA4662" s="36">
        <v>200</v>
      </c>
      <c r="AB4662" s="36">
        <v>200</v>
      </c>
      <c r="AC4662" s="36">
        <v>200</v>
      </c>
      <c r="AD4662" s="36">
        <v>200</v>
      </c>
      <c r="AE4662" s="36">
        <v>200</v>
      </c>
      <c r="AF4662" s="36">
        <v>200</v>
      </c>
      <c r="AG4662" s="36"/>
      <c r="AH4662" s="36"/>
      <c r="AI4662" s="36"/>
      <c r="AJ4662" s="15">
        <f t="shared" si="570"/>
        <v>1400</v>
      </c>
      <c r="AK4662" s="14"/>
      <c r="AL4662" s="14"/>
      <c r="AM4662" s="14"/>
      <c r="AN4662" s="14"/>
      <c r="AO4662" s="14"/>
      <c r="AP4662" s="14"/>
      <c r="AQ4662" s="14"/>
      <c r="AR4662" s="14"/>
      <c r="AS4662" s="14"/>
      <c r="AT4662" s="14"/>
      <c r="AU4662" s="14"/>
      <c r="AV4662" s="14"/>
      <c r="AW4662" s="15"/>
      <c r="AX4662" s="16"/>
    </row>
    <row r="4663" spans="2:50" x14ac:dyDescent="0.2">
      <c r="B4663" s="7"/>
      <c r="C4663" s="8">
        <v>14913</v>
      </c>
      <c r="D4663" s="9" t="s">
        <v>935</v>
      </c>
      <c r="E4663" s="10" t="str">
        <f t="shared" si="566"/>
        <v>Rancho Landero No. 39</v>
      </c>
      <c r="F4663" s="10" t="str">
        <f t="shared" si="567"/>
        <v>Soto del Cueto</v>
      </c>
      <c r="G4663" s="8">
        <v>3</v>
      </c>
      <c r="H4663" s="11">
        <v>200</v>
      </c>
      <c r="I4663" s="12">
        <v>42960</v>
      </c>
      <c r="J4663" s="35">
        <f t="shared" si="568"/>
        <v>0</v>
      </c>
      <c r="K4663" s="36"/>
      <c r="L4663" s="36"/>
      <c r="M4663" s="36"/>
      <c r="N4663" s="36"/>
      <c r="O4663" s="36"/>
      <c r="P4663" s="36"/>
      <c r="Q4663" s="36"/>
      <c r="R4663" s="36"/>
      <c r="S4663" s="36"/>
      <c r="T4663" s="36"/>
      <c r="U4663" s="36"/>
      <c r="V4663" s="36"/>
      <c r="W4663" s="15">
        <f t="shared" si="569"/>
        <v>0</v>
      </c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15">
        <f t="shared" si="570"/>
        <v>0</v>
      </c>
      <c r="AK4663" s="14"/>
      <c r="AL4663" s="14"/>
      <c r="AM4663" s="14"/>
      <c r="AN4663" s="14"/>
      <c r="AO4663" s="14"/>
      <c r="AP4663" s="14"/>
      <c r="AQ4663" s="14"/>
      <c r="AR4663" s="14"/>
      <c r="AS4663" s="14"/>
      <c r="AT4663" s="14"/>
      <c r="AU4663" s="14"/>
      <c r="AV4663" s="14"/>
      <c r="AW4663" s="15"/>
      <c r="AX4663" s="16"/>
    </row>
    <row r="4664" spans="2:50" x14ac:dyDescent="0.2">
      <c r="B4664" s="7"/>
      <c r="C4664" s="8">
        <v>14914</v>
      </c>
      <c r="D4664" s="9" t="s">
        <v>766</v>
      </c>
      <c r="E4664" s="10" t="str">
        <f t="shared" si="566"/>
        <v>Rancho Landero No. 88</v>
      </c>
      <c r="F4664" s="10" t="str">
        <f t="shared" si="567"/>
        <v>Torres Raúl</v>
      </c>
      <c r="G4664" s="8">
        <v>1</v>
      </c>
      <c r="H4664" s="11">
        <v>1600</v>
      </c>
      <c r="I4664" s="12">
        <v>42960</v>
      </c>
      <c r="J4664" s="35">
        <f t="shared" si="568"/>
        <v>0</v>
      </c>
      <c r="K4664" s="36"/>
      <c r="L4664" s="36"/>
      <c r="M4664" s="36"/>
      <c r="N4664" s="36"/>
      <c r="O4664" s="36"/>
      <c r="P4664" s="36"/>
      <c r="Q4664" s="36"/>
      <c r="R4664" s="36"/>
      <c r="S4664" s="36"/>
      <c r="T4664" s="36"/>
      <c r="U4664" s="36"/>
      <c r="V4664" s="36"/>
      <c r="W4664" s="15">
        <f t="shared" si="569"/>
        <v>0</v>
      </c>
      <c r="X4664" s="36"/>
      <c r="Y4664" s="36"/>
      <c r="Z4664" s="36"/>
      <c r="AA4664" s="36"/>
      <c r="AB4664" s="36">
        <v>400</v>
      </c>
      <c r="AC4664" s="36">
        <v>400</v>
      </c>
      <c r="AD4664" s="36">
        <v>400</v>
      </c>
      <c r="AE4664" s="36">
        <v>400</v>
      </c>
      <c r="AF4664" s="36"/>
      <c r="AG4664" s="36"/>
      <c r="AH4664" s="36"/>
      <c r="AI4664" s="36"/>
      <c r="AJ4664" s="15">
        <f t="shared" si="570"/>
        <v>1600</v>
      </c>
      <c r="AK4664" s="14"/>
      <c r="AL4664" s="14"/>
      <c r="AM4664" s="14"/>
      <c r="AN4664" s="14"/>
      <c r="AO4664" s="14"/>
      <c r="AP4664" s="14"/>
      <c r="AQ4664" s="14"/>
      <c r="AR4664" s="14"/>
      <c r="AS4664" s="14"/>
      <c r="AT4664" s="14"/>
      <c r="AU4664" s="14"/>
      <c r="AV4664" s="14"/>
      <c r="AW4664" s="15"/>
      <c r="AX4664" s="16"/>
    </row>
    <row r="4665" spans="2:50" x14ac:dyDescent="0.2">
      <c r="B4665" s="7"/>
      <c r="C4665" s="8">
        <v>14915</v>
      </c>
      <c r="D4665" s="9" t="s">
        <v>932</v>
      </c>
      <c r="E4665" s="10" t="str">
        <f t="shared" si="566"/>
        <v>Rancho Landero No. 58</v>
      </c>
      <c r="F4665" s="10" t="str">
        <f t="shared" si="567"/>
        <v>Valero</v>
      </c>
      <c r="G4665" s="8">
        <v>4</v>
      </c>
      <c r="H4665" s="11">
        <v>200</v>
      </c>
      <c r="I4665" s="12">
        <v>42960</v>
      </c>
      <c r="J4665" s="35">
        <f t="shared" si="568"/>
        <v>0</v>
      </c>
      <c r="K4665" s="36"/>
      <c r="L4665" s="36"/>
      <c r="M4665" s="36"/>
      <c r="N4665" s="36"/>
      <c r="O4665" s="36"/>
      <c r="P4665" s="36"/>
      <c r="Q4665" s="36"/>
      <c r="R4665" s="36"/>
      <c r="S4665" s="36"/>
      <c r="T4665" s="36"/>
      <c r="U4665" s="36"/>
      <c r="V4665" s="36"/>
      <c r="W4665" s="15">
        <f t="shared" si="569"/>
        <v>0</v>
      </c>
      <c r="X4665" s="36"/>
      <c r="Y4665" s="36"/>
      <c r="Z4665" s="36"/>
      <c r="AA4665" s="36"/>
      <c r="AB4665" s="36"/>
      <c r="AC4665" s="36"/>
      <c r="AD4665" s="36"/>
      <c r="AE4665" s="36"/>
      <c r="AF4665" s="36"/>
      <c r="AG4665" s="36"/>
      <c r="AH4665" s="36"/>
      <c r="AI4665" s="36"/>
      <c r="AJ4665" s="15">
        <f t="shared" si="570"/>
        <v>0</v>
      </c>
      <c r="AK4665" s="14"/>
      <c r="AL4665" s="14"/>
      <c r="AM4665" s="14"/>
      <c r="AN4665" s="14"/>
      <c r="AO4665" s="14"/>
      <c r="AP4665" s="14"/>
      <c r="AQ4665" s="14"/>
      <c r="AR4665" s="14"/>
      <c r="AS4665" s="14"/>
      <c r="AT4665" s="14"/>
      <c r="AU4665" s="14"/>
      <c r="AV4665" s="14"/>
      <c r="AW4665" s="15"/>
      <c r="AX4665" s="16" t="s">
        <v>4327</v>
      </c>
    </row>
    <row r="4666" spans="2:50" x14ac:dyDescent="0.2">
      <c r="B4666" s="7"/>
      <c r="C4666" s="8">
        <v>14915</v>
      </c>
      <c r="D4666" s="9" t="s">
        <v>932</v>
      </c>
      <c r="E4666" s="10" t="str">
        <f t="shared" si="566"/>
        <v>Rancho Landero No. 58</v>
      </c>
      <c r="F4666" s="10" t="str">
        <f t="shared" si="567"/>
        <v>Valero</v>
      </c>
      <c r="G4666" s="8">
        <v>7</v>
      </c>
      <c r="H4666" s="11">
        <v>25</v>
      </c>
      <c r="I4666" s="12">
        <v>42960</v>
      </c>
      <c r="J4666" s="35">
        <f t="shared" si="568"/>
        <v>0</v>
      </c>
      <c r="K4666" s="36"/>
      <c r="L4666" s="36"/>
      <c r="M4666" s="36"/>
      <c r="N4666" s="36"/>
      <c r="O4666" s="36"/>
      <c r="P4666" s="36"/>
      <c r="Q4666" s="36"/>
      <c r="R4666" s="36"/>
      <c r="S4666" s="36"/>
      <c r="T4666" s="36"/>
      <c r="U4666" s="36"/>
      <c r="V4666" s="36"/>
      <c r="W4666" s="15">
        <f t="shared" si="569"/>
        <v>0</v>
      </c>
      <c r="X4666" s="36"/>
      <c r="Y4666" s="36"/>
      <c r="Z4666" s="36"/>
      <c r="AA4666" s="36"/>
      <c r="AB4666" s="36"/>
      <c r="AC4666" s="36"/>
      <c r="AD4666" s="36"/>
      <c r="AE4666" s="36"/>
      <c r="AF4666" s="36"/>
      <c r="AG4666" s="36"/>
      <c r="AH4666" s="36"/>
      <c r="AI4666" s="36"/>
      <c r="AJ4666" s="15">
        <f t="shared" si="570"/>
        <v>0</v>
      </c>
      <c r="AK4666" s="14"/>
      <c r="AL4666" s="14"/>
      <c r="AM4666" s="14"/>
      <c r="AN4666" s="14"/>
      <c r="AO4666" s="14"/>
      <c r="AP4666" s="14"/>
      <c r="AQ4666" s="14"/>
      <c r="AR4666" s="14"/>
      <c r="AS4666" s="14"/>
      <c r="AT4666" s="14"/>
      <c r="AU4666" s="14"/>
      <c r="AV4666" s="14"/>
      <c r="AW4666" s="15"/>
      <c r="AX4666" s="16" t="s">
        <v>4328</v>
      </c>
    </row>
    <row r="4667" spans="2:50" x14ac:dyDescent="0.2">
      <c r="B4667" s="7"/>
      <c r="C4667" s="8">
        <v>14916</v>
      </c>
      <c r="D4667" s="9" t="s">
        <v>81</v>
      </c>
      <c r="E4667" s="10" t="str">
        <f t="shared" si="566"/>
        <v>Rancho Estanzuela No. 3</v>
      </c>
      <c r="F4667" s="10" t="str">
        <f t="shared" si="567"/>
        <v>Villanueva Nájera</v>
      </c>
      <c r="G4667" s="8">
        <v>5</v>
      </c>
      <c r="H4667" s="11">
        <v>50</v>
      </c>
      <c r="I4667" s="12" t="s">
        <v>4329</v>
      </c>
      <c r="J4667" s="35">
        <f t="shared" si="568"/>
        <v>0</v>
      </c>
      <c r="K4667" s="36"/>
      <c r="L4667" s="36"/>
      <c r="M4667" s="36"/>
      <c r="N4667" s="36"/>
      <c r="O4667" s="36"/>
      <c r="P4667" s="36"/>
      <c r="Q4667" s="36"/>
      <c r="R4667" s="36"/>
      <c r="S4667" s="36"/>
      <c r="T4667" s="36"/>
      <c r="U4667" s="36"/>
      <c r="V4667" s="36"/>
      <c r="W4667" s="15">
        <f t="shared" si="569"/>
        <v>0</v>
      </c>
      <c r="X4667" s="36"/>
      <c r="Y4667" s="36"/>
      <c r="Z4667" s="36"/>
      <c r="AA4667" s="36"/>
      <c r="AB4667" s="36"/>
      <c r="AC4667" s="36"/>
      <c r="AD4667" s="36"/>
      <c r="AE4667" s="36"/>
      <c r="AF4667" s="36"/>
      <c r="AG4667" s="36"/>
      <c r="AH4667" s="36"/>
      <c r="AI4667" s="36"/>
      <c r="AJ4667" s="15">
        <f t="shared" si="570"/>
        <v>0</v>
      </c>
      <c r="AK4667" s="14"/>
      <c r="AL4667" s="14"/>
      <c r="AM4667" s="14"/>
      <c r="AN4667" s="14"/>
      <c r="AO4667" s="14"/>
      <c r="AP4667" s="14"/>
      <c r="AQ4667" s="14"/>
      <c r="AR4667" s="14"/>
      <c r="AS4667" s="14"/>
      <c r="AT4667" s="14"/>
      <c r="AU4667" s="14"/>
      <c r="AV4667" s="14"/>
      <c r="AW4667" s="15"/>
      <c r="AX4667" s="316">
        <f>SUM(H4636:H4667)</f>
        <v>15175</v>
      </c>
    </row>
    <row r="4668" spans="2:50" x14ac:dyDescent="0.2">
      <c r="B4668" s="7"/>
      <c r="C4668" s="8">
        <v>14917</v>
      </c>
      <c r="D4668" s="9" t="s">
        <v>364</v>
      </c>
      <c r="E4668" s="10" t="str">
        <f t="shared" si="566"/>
        <v>Rancho Landero No. 37</v>
      </c>
      <c r="F4668" s="10" t="str">
        <f t="shared" si="567"/>
        <v>Hernández</v>
      </c>
      <c r="G4668" s="8">
        <v>1</v>
      </c>
      <c r="H4668" s="315">
        <v>900</v>
      </c>
      <c r="I4668" s="12">
        <v>42961</v>
      </c>
      <c r="J4668" s="35">
        <f t="shared" si="568"/>
        <v>0</v>
      </c>
      <c r="K4668" s="36"/>
      <c r="L4668" s="36"/>
      <c r="M4668" s="36"/>
      <c r="N4668" s="36"/>
      <c r="O4668" s="36"/>
      <c r="P4668" s="36"/>
      <c r="Q4668" s="36"/>
      <c r="R4668" s="36"/>
      <c r="S4668" s="36"/>
      <c r="T4668" s="36"/>
      <c r="U4668" s="36"/>
      <c r="V4668" s="36"/>
      <c r="W4668" s="15">
        <f t="shared" si="569"/>
        <v>0</v>
      </c>
      <c r="X4668" s="36"/>
      <c r="Y4668" s="36"/>
      <c r="Z4668" s="36"/>
      <c r="AA4668" s="36"/>
      <c r="AB4668" s="36"/>
      <c r="AC4668" s="36">
        <v>300</v>
      </c>
      <c r="AD4668" s="36">
        <v>300</v>
      </c>
      <c r="AE4668" s="36">
        <v>300</v>
      </c>
      <c r="AF4668" s="36"/>
      <c r="AG4668" s="36"/>
      <c r="AH4668" s="36"/>
      <c r="AI4668" s="36"/>
      <c r="AJ4668" s="15">
        <f t="shared" si="570"/>
        <v>900</v>
      </c>
      <c r="AK4668" s="14"/>
      <c r="AL4668" s="14"/>
      <c r="AM4668" s="14"/>
      <c r="AN4668" s="14"/>
      <c r="AO4668" s="14"/>
      <c r="AP4668" s="14"/>
      <c r="AQ4668" s="14"/>
      <c r="AR4668" s="14"/>
      <c r="AS4668" s="14"/>
      <c r="AT4668" s="14"/>
      <c r="AU4668" s="14"/>
      <c r="AV4668" s="14"/>
      <c r="AW4668" s="15"/>
      <c r="AX4668" s="16"/>
    </row>
    <row r="4669" spans="2:50" x14ac:dyDescent="0.2">
      <c r="B4669" s="7"/>
      <c r="C4669" s="8">
        <v>14918</v>
      </c>
      <c r="D4669" s="9" t="s">
        <v>217</v>
      </c>
      <c r="E4669" s="10" t="str">
        <f t="shared" si="566"/>
        <v>Rancho Recoveco No. 173</v>
      </c>
      <c r="F4669" s="10" t="str">
        <f t="shared" si="567"/>
        <v>Velarde</v>
      </c>
      <c r="G4669" s="8">
        <v>1</v>
      </c>
      <c r="H4669" s="11">
        <v>1200</v>
      </c>
      <c r="I4669" s="12">
        <v>42963</v>
      </c>
      <c r="J4669" s="35">
        <f t="shared" si="568"/>
        <v>0</v>
      </c>
      <c r="K4669" s="36"/>
      <c r="L4669" s="36"/>
      <c r="M4669" s="36"/>
      <c r="N4669" s="36"/>
      <c r="O4669" s="36"/>
      <c r="P4669" s="36"/>
      <c r="Q4669" s="36"/>
      <c r="R4669" s="36"/>
      <c r="S4669" s="36"/>
      <c r="T4669" s="36"/>
      <c r="U4669" s="36"/>
      <c r="V4669" s="36"/>
      <c r="W4669" s="15">
        <f t="shared" si="569"/>
        <v>0</v>
      </c>
      <c r="X4669" s="36"/>
      <c r="Y4669" s="36"/>
      <c r="Z4669" s="36"/>
      <c r="AA4669" s="36"/>
      <c r="AB4669" s="36"/>
      <c r="AC4669" s="36"/>
      <c r="AD4669" s="36"/>
      <c r="AE4669" s="36">
        <v>300</v>
      </c>
      <c r="AF4669" s="36">
        <v>300</v>
      </c>
      <c r="AG4669" s="36">
        <v>300</v>
      </c>
      <c r="AH4669" s="36">
        <v>300</v>
      </c>
      <c r="AI4669" s="36"/>
      <c r="AJ4669" s="15">
        <f t="shared" si="570"/>
        <v>1200</v>
      </c>
      <c r="AK4669" s="14"/>
      <c r="AL4669" s="14"/>
      <c r="AM4669" s="14"/>
      <c r="AN4669" s="14"/>
      <c r="AO4669" s="14"/>
      <c r="AP4669" s="14"/>
      <c r="AQ4669" s="14"/>
      <c r="AR4669" s="14"/>
      <c r="AS4669" s="14"/>
      <c r="AT4669" s="14"/>
      <c r="AU4669" s="14"/>
      <c r="AV4669" s="14"/>
      <c r="AW4669" s="15"/>
      <c r="AX4669" s="16"/>
    </row>
    <row r="4670" spans="2:50" x14ac:dyDescent="0.2">
      <c r="B4670" s="7"/>
      <c r="C4670" s="8">
        <v>14819</v>
      </c>
      <c r="D4670" s="9" t="s">
        <v>1046</v>
      </c>
      <c r="E4670" s="10" t="str">
        <f t="shared" si="566"/>
        <v>Rancho Zinamba No. 40</v>
      </c>
      <c r="F4670" s="10" t="str">
        <f t="shared" si="567"/>
        <v>Correa Rojas</v>
      </c>
      <c r="G4670" s="8">
        <v>1</v>
      </c>
      <c r="H4670" s="11">
        <v>100</v>
      </c>
      <c r="I4670" s="12">
        <v>42964</v>
      </c>
      <c r="J4670" s="35">
        <f t="shared" si="568"/>
        <v>0</v>
      </c>
      <c r="K4670" s="36"/>
      <c r="L4670" s="36"/>
      <c r="M4670" s="36"/>
      <c r="N4670" s="36"/>
      <c r="O4670" s="36"/>
      <c r="P4670" s="36"/>
      <c r="Q4670" s="36"/>
      <c r="R4670" s="36"/>
      <c r="S4670" s="36"/>
      <c r="T4670" s="36"/>
      <c r="U4670" s="36"/>
      <c r="V4670" s="36"/>
      <c r="W4670" s="15">
        <f t="shared" si="569"/>
        <v>0</v>
      </c>
      <c r="X4670" s="36"/>
      <c r="Y4670" s="36"/>
      <c r="Z4670" s="36"/>
      <c r="AA4670" s="36"/>
      <c r="AB4670" s="36"/>
      <c r="AC4670" s="36"/>
      <c r="AD4670" s="36"/>
      <c r="AE4670" s="36">
        <v>100</v>
      </c>
      <c r="AF4670" s="36"/>
      <c r="AG4670" s="36"/>
      <c r="AH4670" s="36"/>
      <c r="AI4670" s="36"/>
      <c r="AJ4670" s="15">
        <f t="shared" si="570"/>
        <v>100</v>
      </c>
      <c r="AK4670" s="14"/>
      <c r="AL4670" s="14"/>
      <c r="AM4670" s="14"/>
      <c r="AN4670" s="14"/>
      <c r="AO4670" s="14"/>
      <c r="AP4670" s="14"/>
      <c r="AQ4670" s="14"/>
      <c r="AR4670" s="14"/>
      <c r="AS4670" s="14"/>
      <c r="AT4670" s="14"/>
      <c r="AU4670" s="14"/>
      <c r="AV4670" s="14"/>
      <c r="AW4670" s="15"/>
      <c r="AX4670" s="316">
        <f>SUM(H4668:H4670)</f>
        <v>2200</v>
      </c>
    </row>
    <row r="4671" spans="2:50" x14ac:dyDescent="0.2">
      <c r="B4671" s="7"/>
      <c r="C4671" s="8">
        <v>14820</v>
      </c>
      <c r="D4671" s="9" t="s">
        <v>1055</v>
      </c>
      <c r="E4671" s="10" t="str">
        <f t="shared" ref="E4671:E4738" si="576">IF(D4671=0,"",VLOOKUP(D4671,BASE,2,FALSE))</f>
        <v>Rancho Estanzuela No. 119, 4</v>
      </c>
      <c r="F4671" s="10" t="str">
        <f t="shared" ref="F4671:F4738" si="577">IF(D4671=0,"",VLOOKUP(D4671,BASE,3,FALSE))</f>
        <v>Pérez Martínez</v>
      </c>
      <c r="G4671" s="8">
        <v>1</v>
      </c>
      <c r="H4671" s="315">
        <v>400</v>
      </c>
      <c r="I4671" s="12">
        <v>42964</v>
      </c>
      <c r="J4671" s="35">
        <f t="shared" ref="J4671:J4738" si="578">IF(G4671=1,SUM(W4671,AJ4671,-H4671),0)</f>
        <v>0</v>
      </c>
      <c r="K4671" s="36"/>
      <c r="L4671" s="36"/>
      <c r="M4671" s="36"/>
      <c r="N4671" s="36"/>
      <c r="O4671" s="36"/>
      <c r="P4671" s="36"/>
      <c r="Q4671" s="36"/>
      <c r="R4671" s="36"/>
      <c r="S4671" s="36"/>
      <c r="T4671" s="36"/>
      <c r="U4671" s="36"/>
      <c r="V4671" s="36"/>
      <c r="W4671" s="15">
        <f t="shared" ref="W4671:W4738" si="579">SUM(K4671:V4671)</f>
        <v>0</v>
      </c>
      <c r="X4671" s="36"/>
      <c r="Y4671" s="36"/>
      <c r="Z4671" s="36"/>
      <c r="AA4671" s="36"/>
      <c r="AB4671" s="36"/>
      <c r="AC4671" s="36">
        <v>200</v>
      </c>
      <c r="AD4671" s="36">
        <v>200</v>
      </c>
      <c r="AE4671" s="36"/>
      <c r="AF4671" s="36"/>
      <c r="AG4671" s="36"/>
      <c r="AH4671" s="36"/>
      <c r="AI4671" s="36"/>
      <c r="AJ4671" s="15">
        <f t="shared" ref="AJ4671:AJ4738" si="580">SUM(X4671:AI4671)</f>
        <v>400</v>
      </c>
      <c r="AK4671" s="14"/>
      <c r="AL4671" s="14"/>
      <c r="AM4671" s="14"/>
      <c r="AN4671" s="14"/>
      <c r="AO4671" s="14"/>
      <c r="AP4671" s="14"/>
      <c r="AQ4671" s="14"/>
      <c r="AR4671" s="14"/>
      <c r="AS4671" s="14"/>
      <c r="AT4671" s="14"/>
      <c r="AU4671" s="14"/>
      <c r="AV4671" s="14"/>
      <c r="AW4671" s="15"/>
      <c r="AX4671" s="16"/>
    </row>
    <row r="4672" spans="2:50" x14ac:dyDescent="0.2">
      <c r="B4672" s="7"/>
      <c r="C4672" s="8">
        <v>14821</v>
      </c>
      <c r="D4672" s="9" t="s">
        <v>640</v>
      </c>
      <c r="E4672" s="10" t="str">
        <f t="shared" si="576"/>
        <v>Rancho Estopila No. 22, A</v>
      </c>
      <c r="F4672" s="10" t="str">
        <f t="shared" si="577"/>
        <v>Ayala Carranza</v>
      </c>
      <c r="G4672" s="8">
        <v>1</v>
      </c>
      <c r="H4672" s="11">
        <v>200</v>
      </c>
      <c r="I4672" s="12">
        <v>42964</v>
      </c>
      <c r="J4672" s="35">
        <f t="shared" si="578"/>
        <v>0</v>
      </c>
      <c r="K4672" s="36"/>
      <c r="L4672" s="36"/>
      <c r="M4672" s="36"/>
      <c r="N4672" s="36"/>
      <c r="O4672" s="36"/>
      <c r="P4672" s="36"/>
      <c r="Q4672" s="36"/>
      <c r="R4672" s="36"/>
      <c r="S4672" s="36"/>
      <c r="T4672" s="36"/>
      <c r="U4672" s="36"/>
      <c r="V4672" s="36"/>
      <c r="W4672" s="15">
        <f t="shared" si="579"/>
        <v>0</v>
      </c>
      <c r="X4672" s="36"/>
      <c r="Y4672" s="36"/>
      <c r="Z4672" s="36"/>
      <c r="AA4672" s="36"/>
      <c r="AB4672" s="36"/>
      <c r="AC4672" s="36"/>
      <c r="AD4672" s="36"/>
      <c r="AE4672" s="36">
        <v>200</v>
      </c>
      <c r="AF4672" s="36"/>
      <c r="AG4672" s="36"/>
      <c r="AH4672" s="36"/>
      <c r="AI4672" s="36"/>
      <c r="AJ4672" s="15">
        <f t="shared" si="580"/>
        <v>200</v>
      </c>
      <c r="AK4672" s="14"/>
      <c r="AL4672" s="14"/>
      <c r="AM4672" s="14"/>
      <c r="AN4672" s="14"/>
      <c r="AO4672" s="14"/>
      <c r="AP4672" s="14"/>
      <c r="AQ4672" s="14"/>
      <c r="AR4672" s="14"/>
      <c r="AS4672" s="14"/>
      <c r="AT4672" s="14"/>
      <c r="AU4672" s="14"/>
      <c r="AV4672" s="14"/>
      <c r="AW4672" s="15"/>
      <c r="AX4672" s="16"/>
    </row>
    <row r="4673" spans="2:50" x14ac:dyDescent="0.2">
      <c r="B4673" s="7"/>
      <c r="C4673" s="8">
        <v>14822</v>
      </c>
      <c r="D4673" s="9" t="s">
        <v>407</v>
      </c>
      <c r="E4673" s="10" t="str">
        <f t="shared" si="576"/>
        <v>Rancho Estanzuela No. 99</v>
      </c>
      <c r="F4673" s="10" t="str">
        <f t="shared" si="577"/>
        <v>García López</v>
      </c>
      <c r="G4673" s="8">
        <v>1</v>
      </c>
      <c r="H4673" s="11">
        <v>400</v>
      </c>
      <c r="I4673" s="12">
        <v>42967</v>
      </c>
      <c r="J4673" s="35">
        <f t="shared" si="578"/>
        <v>0</v>
      </c>
      <c r="K4673" s="36"/>
      <c r="L4673" s="36"/>
      <c r="M4673" s="36"/>
      <c r="N4673" s="36"/>
      <c r="O4673" s="36"/>
      <c r="P4673" s="36"/>
      <c r="Q4673" s="36"/>
      <c r="R4673" s="36"/>
      <c r="S4673" s="36"/>
      <c r="T4673" s="36"/>
      <c r="U4673" s="36"/>
      <c r="V4673" s="36"/>
      <c r="W4673" s="15">
        <f t="shared" si="579"/>
        <v>0</v>
      </c>
      <c r="X4673" s="36"/>
      <c r="Y4673" s="36"/>
      <c r="Z4673" s="36"/>
      <c r="AA4673" s="36"/>
      <c r="AB4673" s="36"/>
      <c r="AC4673" s="36"/>
      <c r="AD4673" s="36"/>
      <c r="AE4673" s="36">
        <v>400</v>
      </c>
      <c r="AF4673" s="36"/>
      <c r="AG4673" s="36"/>
      <c r="AH4673" s="36"/>
      <c r="AI4673" s="36"/>
      <c r="AJ4673" s="15">
        <f t="shared" si="580"/>
        <v>400</v>
      </c>
      <c r="AK4673" s="14"/>
      <c r="AL4673" s="14"/>
      <c r="AM4673" s="14"/>
      <c r="AN4673" s="14"/>
      <c r="AO4673" s="14"/>
      <c r="AP4673" s="14"/>
      <c r="AQ4673" s="14"/>
      <c r="AR4673" s="14"/>
      <c r="AS4673" s="14"/>
      <c r="AT4673" s="14"/>
      <c r="AU4673" s="14"/>
      <c r="AV4673" s="14"/>
      <c r="AW4673" s="15"/>
      <c r="AX4673" s="16"/>
    </row>
    <row r="4674" spans="2:50" x14ac:dyDescent="0.2">
      <c r="B4674" s="7"/>
      <c r="C4674" s="8">
        <v>14823</v>
      </c>
      <c r="D4674" s="9" t="s">
        <v>277</v>
      </c>
      <c r="E4674" s="10" t="str">
        <f t="shared" si="576"/>
        <v>Rancho Estanzuela No. 7, A</v>
      </c>
      <c r="F4674" s="10" t="str">
        <f t="shared" si="577"/>
        <v>Herrera Izquierdo</v>
      </c>
      <c r="G4674" s="8">
        <v>1</v>
      </c>
      <c r="H4674" s="11">
        <v>200</v>
      </c>
      <c r="I4674" s="12">
        <v>42967</v>
      </c>
      <c r="J4674" s="35">
        <f t="shared" si="578"/>
        <v>0</v>
      </c>
      <c r="K4674" s="36"/>
      <c r="L4674" s="36"/>
      <c r="M4674" s="36"/>
      <c r="N4674" s="36"/>
      <c r="O4674" s="36"/>
      <c r="P4674" s="36"/>
      <c r="Q4674" s="36"/>
      <c r="R4674" s="36"/>
      <c r="S4674" s="36"/>
      <c r="T4674" s="36"/>
      <c r="U4674" s="36"/>
      <c r="V4674" s="36"/>
      <c r="W4674" s="15">
        <f t="shared" si="579"/>
        <v>0</v>
      </c>
      <c r="X4674" s="36"/>
      <c r="Y4674" s="36"/>
      <c r="Z4674" s="36"/>
      <c r="AA4674" s="36"/>
      <c r="AB4674" s="36"/>
      <c r="AC4674" s="36"/>
      <c r="AD4674" s="36"/>
      <c r="AE4674" s="36">
        <v>200</v>
      </c>
      <c r="AF4674" s="36"/>
      <c r="AG4674" s="36"/>
      <c r="AH4674" s="36"/>
      <c r="AI4674" s="36"/>
      <c r="AJ4674" s="15">
        <f t="shared" si="580"/>
        <v>200</v>
      </c>
      <c r="AK4674" s="14"/>
      <c r="AL4674" s="14"/>
      <c r="AM4674" s="14"/>
      <c r="AN4674" s="14"/>
      <c r="AO4674" s="14"/>
      <c r="AP4674" s="14"/>
      <c r="AQ4674" s="14"/>
      <c r="AR4674" s="14"/>
      <c r="AS4674" s="14"/>
      <c r="AT4674" s="14"/>
      <c r="AU4674" s="14"/>
      <c r="AV4674" s="14"/>
      <c r="AW4674" s="15"/>
      <c r="AX4674" s="16"/>
    </row>
    <row r="4675" spans="2:50" x14ac:dyDescent="0.2">
      <c r="B4675" s="7"/>
      <c r="C4675" s="8">
        <v>14824</v>
      </c>
      <c r="D4675" s="9" t="s">
        <v>112</v>
      </c>
      <c r="E4675" s="10" t="str">
        <f t="shared" si="576"/>
        <v>Rancho Estanzuela No. 129</v>
      </c>
      <c r="F4675" s="10" t="str">
        <f t="shared" si="577"/>
        <v>Sta. María Mendoza</v>
      </c>
      <c r="G4675" s="8">
        <v>1</v>
      </c>
      <c r="H4675" s="11">
        <v>250</v>
      </c>
      <c r="I4675" s="12">
        <v>42967</v>
      </c>
      <c r="J4675" s="35">
        <f t="shared" si="578"/>
        <v>0</v>
      </c>
      <c r="K4675" s="36"/>
      <c r="L4675" s="36"/>
      <c r="M4675" s="36"/>
      <c r="N4675" s="36"/>
      <c r="O4675" s="36"/>
      <c r="P4675" s="36"/>
      <c r="Q4675" s="36"/>
      <c r="R4675" s="36"/>
      <c r="S4675" s="36"/>
      <c r="T4675" s="36"/>
      <c r="U4675" s="36"/>
      <c r="V4675" s="36"/>
      <c r="W4675" s="15">
        <f t="shared" si="579"/>
        <v>0</v>
      </c>
      <c r="X4675" s="36"/>
      <c r="Y4675" s="36"/>
      <c r="Z4675" s="36"/>
      <c r="AA4675" s="36"/>
      <c r="AB4675" s="36"/>
      <c r="AC4675" s="36"/>
      <c r="AD4675" s="36"/>
      <c r="AE4675" s="36">
        <v>250</v>
      </c>
      <c r="AF4675" s="36"/>
      <c r="AG4675" s="36"/>
      <c r="AH4675" s="36"/>
      <c r="AI4675" s="36"/>
      <c r="AJ4675" s="15">
        <f t="shared" si="580"/>
        <v>250</v>
      </c>
      <c r="AK4675" s="14"/>
      <c r="AL4675" s="14"/>
      <c r="AM4675" s="14"/>
      <c r="AN4675" s="14"/>
      <c r="AO4675" s="14"/>
      <c r="AP4675" s="14"/>
      <c r="AQ4675" s="14"/>
      <c r="AR4675" s="14"/>
      <c r="AS4675" s="14"/>
      <c r="AT4675" s="14"/>
      <c r="AU4675" s="14"/>
      <c r="AV4675" s="14"/>
      <c r="AW4675" s="15"/>
      <c r="AX4675" s="16"/>
    </row>
    <row r="4676" spans="2:50" x14ac:dyDescent="0.2">
      <c r="B4676" s="7"/>
      <c r="C4676" s="8">
        <v>14825</v>
      </c>
      <c r="D4676" s="9" t="s">
        <v>259</v>
      </c>
      <c r="E4676" s="10" t="str">
        <f t="shared" si="576"/>
        <v>Rancho Estanzuela No. 55</v>
      </c>
      <c r="F4676" s="10" t="str">
        <f t="shared" si="577"/>
        <v>Rodríguez Acevedo</v>
      </c>
      <c r="G4676" s="8">
        <v>1</v>
      </c>
      <c r="H4676" s="11">
        <v>400</v>
      </c>
      <c r="I4676" s="12">
        <v>42967</v>
      </c>
      <c r="J4676" s="35">
        <f t="shared" si="578"/>
        <v>0</v>
      </c>
      <c r="K4676" s="36"/>
      <c r="L4676" s="36"/>
      <c r="M4676" s="36"/>
      <c r="N4676" s="36"/>
      <c r="O4676" s="36"/>
      <c r="P4676" s="36"/>
      <c r="Q4676" s="36"/>
      <c r="R4676" s="36"/>
      <c r="S4676" s="36"/>
      <c r="T4676" s="36"/>
      <c r="U4676" s="36"/>
      <c r="V4676" s="36"/>
      <c r="W4676" s="15">
        <f t="shared" si="579"/>
        <v>0</v>
      </c>
      <c r="X4676" s="36"/>
      <c r="Y4676" s="36"/>
      <c r="Z4676" s="36"/>
      <c r="AA4676" s="36"/>
      <c r="AB4676" s="36"/>
      <c r="AC4676" s="36"/>
      <c r="AD4676" s="36"/>
      <c r="AE4676" s="36">
        <v>400</v>
      </c>
      <c r="AF4676" s="36"/>
      <c r="AG4676" s="36"/>
      <c r="AH4676" s="36"/>
      <c r="AI4676" s="36"/>
      <c r="AJ4676" s="15">
        <f t="shared" si="580"/>
        <v>400</v>
      </c>
      <c r="AK4676" s="14"/>
      <c r="AL4676" s="14"/>
      <c r="AM4676" s="14"/>
      <c r="AN4676" s="14"/>
      <c r="AO4676" s="14"/>
      <c r="AP4676" s="14"/>
      <c r="AQ4676" s="14"/>
      <c r="AR4676" s="14"/>
      <c r="AS4676" s="14"/>
      <c r="AT4676" s="14"/>
      <c r="AU4676" s="14"/>
      <c r="AV4676" s="14"/>
      <c r="AW4676" s="15"/>
      <c r="AX4676" s="16"/>
    </row>
    <row r="4677" spans="2:50" x14ac:dyDescent="0.2">
      <c r="B4677" s="7"/>
      <c r="C4677" s="8">
        <v>14826</v>
      </c>
      <c r="D4677" s="9" t="s">
        <v>192</v>
      </c>
      <c r="E4677" s="10" t="str">
        <f t="shared" si="576"/>
        <v>Rancho Landero No. 77</v>
      </c>
      <c r="F4677" s="10" t="str">
        <f t="shared" si="577"/>
        <v>Muñoz</v>
      </c>
      <c r="G4677" s="8">
        <v>1</v>
      </c>
      <c r="H4677" s="11">
        <v>800</v>
      </c>
      <c r="I4677" s="12">
        <v>42967</v>
      </c>
      <c r="J4677" s="35">
        <f t="shared" si="578"/>
        <v>0</v>
      </c>
      <c r="K4677" s="36"/>
      <c r="L4677" s="36"/>
      <c r="M4677" s="36"/>
      <c r="N4677" s="36"/>
      <c r="O4677" s="36"/>
      <c r="P4677" s="36"/>
      <c r="Q4677" s="36"/>
      <c r="R4677" s="36"/>
      <c r="S4677" s="36"/>
      <c r="T4677" s="36"/>
      <c r="U4677" s="36"/>
      <c r="V4677" s="36"/>
      <c r="W4677" s="15">
        <f t="shared" si="579"/>
        <v>0</v>
      </c>
      <c r="X4677" s="36"/>
      <c r="Y4677" s="36"/>
      <c r="Z4677" s="36"/>
      <c r="AA4677" s="36"/>
      <c r="AB4677" s="36"/>
      <c r="AC4677" s="36"/>
      <c r="AD4677" s="36">
        <v>400</v>
      </c>
      <c r="AE4677" s="36">
        <v>400</v>
      </c>
      <c r="AF4677" s="36"/>
      <c r="AG4677" s="36"/>
      <c r="AH4677" s="36"/>
      <c r="AI4677" s="36"/>
      <c r="AJ4677" s="15">
        <f t="shared" si="580"/>
        <v>800</v>
      </c>
      <c r="AK4677" s="14"/>
      <c r="AL4677" s="14"/>
      <c r="AM4677" s="14"/>
      <c r="AN4677" s="14"/>
      <c r="AO4677" s="14"/>
      <c r="AP4677" s="14"/>
      <c r="AQ4677" s="14"/>
      <c r="AR4677" s="14"/>
      <c r="AS4677" s="14"/>
      <c r="AT4677" s="14"/>
      <c r="AU4677" s="14"/>
      <c r="AV4677" s="14"/>
      <c r="AW4677" s="15"/>
      <c r="AX4677" s="16"/>
    </row>
    <row r="4678" spans="2:50" x14ac:dyDescent="0.2">
      <c r="B4678" s="7"/>
      <c r="C4678" s="8">
        <v>14827</v>
      </c>
      <c r="D4678" s="9"/>
      <c r="E4678" s="10" t="str">
        <f t="shared" si="576"/>
        <v/>
      </c>
      <c r="F4678" s="10" t="str">
        <f t="shared" si="577"/>
        <v/>
      </c>
      <c r="G4678" s="8">
        <v>8</v>
      </c>
      <c r="H4678" s="11"/>
      <c r="I4678" s="12"/>
      <c r="J4678" s="35">
        <f t="shared" si="578"/>
        <v>0</v>
      </c>
      <c r="K4678" s="36"/>
      <c r="L4678" s="36"/>
      <c r="M4678" s="36"/>
      <c r="N4678" s="36"/>
      <c r="O4678" s="36"/>
      <c r="P4678" s="36"/>
      <c r="Q4678" s="36"/>
      <c r="R4678" s="36"/>
      <c r="S4678" s="36"/>
      <c r="T4678" s="36"/>
      <c r="U4678" s="36"/>
      <c r="V4678" s="36"/>
      <c r="W4678" s="15">
        <f t="shared" si="579"/>
        <v>0</v>
      </c>
      <c r="X4678" s="36"/>
      <c r="Y4678" s="36"/>
      <c r="Z4678" s="36"/>
      <c r="AA4678" s="36"/>
      <c r="AB4678" s="36"/>
      <c r="AC4678" s="36"/>
      <c r="AD4678" s="36"/>
      <c r="AE4678" s="36"/>
      <c r="AF4678" s="36"/>
      <c r="AG4678" s="36"/>
      <c r="AH4678" s="36"/>
      <c r="AI4678" s="36"/>
      <c r="AJ4678" s="15">
        <f t="shared" si="580"/>
        <v>0</v>
      </c>
      <c r="AK4678" s="14"/>
      <c r="AL4678" s="14"/>
      <c r="AM4678" s="14"/>
      <c r="AN4678" s="14"/>
      <c r="AO4678" s="14"/>
      <c r="AP4678" s="14"/>
      <c r="AQ4678" s="14"/>
      <c r="AR4678" s="14"/>
      <c r="AS4678" s="14"/>
      <c r="AT4678" s="14"/>
      <c r="AU4678" s="14"/>
      <c r="AV4678" s="14"/>
      <c r="AW4678" s="15"/>
      <c r="AX4678" s="16"/>
    </row>
    <row r="4679" spans="2:50" x14ac:dyDescent="0.2">
      <c r="B4679" s="7"/>
      <c r="C4679" s="8">
        <v>14828</v>
      </c>
      <c r="D4679" s="9" t="s">
        <v>514</v>
      </c>
      <c r="E4679" s="10" t="str">
        <f t="shared" si="576"/>
        <v>Rancho Upácuaro No. 114</v>
      </c>
      <c r="F4679" s="10" t="str">
        <f t="shared" si="577"/>
        <v>Hernández Cornejo</v>
      </c>
      <c r="G4679" s="8">
        <v>1</v>
      </c>
      <c r="H4679" s="11">
        <v>400</v>
      </c>
      <c r="I4679" s="12">
        <v>42967</v>
      </c>
      <c r="J4679" s="35">
        <f t="shared" si="578"/>
        <v>0</v>
      </c>
      <c r="K4679" s="36"/>
      <c r="L4679" s="36"/>
      <c r="M4679" s="36"/>
      <c r="N4679" s="36"/>
      <c r="O4679" s="36"/>
      <c r="P4679" s="36"/>
      <c r="Q4679" s="36"/>
      <c r="R4679" s="36"/>
      <c r="S4679" s="36"/>
      <c r="T4679" s="36"/>
      <c r="U4679" s="36"/>
      <c r="V4679" s="36"/>
      <c r="W4679" s="15">
        <f t="shared" si="579"/>
        <v>0</v>
      </c>
      <c r="X4679" s="36"/>
      <c r="Y4679" s="36"/>
      <c r="Z4679" s="36"/>
      <c r="AA4679" s="36"/>
      <c r="AB4679" s="36"/>
      <c r="AC4679" s="36"/>
      <c r="AD4679" s="36"/>
      <c r="AE4679" s="36">
        <v>400</v>
      </c>
      <c r="AF4679" s="36"/>
      <c r="AG4679" s="36"/>
      <c r="AH4679" s="36"/>
      <c r="AI4679" s="36"/>
      <c r="AJ4679" s="15">
        <f t="shared" si="580"/>
        <v>400</v>
      </c>
      <c r="AK4679" s="14"/>
      <c r="AL4679" s="14"/>
      <c r="AM4679" s="14"/>
      <c r="AN4679" s="14"/>
      <c r="AO4679" s="14"/>
      <c r="AP4679" s="14"/>
      <c r="AQ4679" s="14"/>
      <c r="AR4679" s="14"/>
      <c r="AS4679" s="14"/>
      <c r="AT4679" s="14"/>
      <c r="AU4679" s="14"/>
      <c r="AV4679" s="14"/>
      <c r="AW4679" s="15"/>
      <c r="AX4679" s="16"/>
    </row>
    <row r="4680" spans="2:50" x14ac:dyDescent="0.2">
      <c r="B4680" s="7"/>
      <c r="C4680" s="8">
        <v>14829</v>
      </c>
      <c r="D4680" s="9" t="s">
        <v>541</v>
      </c>
      <c r="E4680" s="10" t="str">
        <f t="shared" si="576"/>
        <v>Rancho Estanzuela No. 103, B</v>
      </c>
      <c r="F4680" s="10" t="str">
        <f t="shared" si="577"/>
        <v>Olivares Flores</v>
      </c>
      <c r="G4680" s="8">
        <v>1</v>
      </c>
      <c r="H4680" s="11">
        <v>800</v>
      </c>
      <c r="I4680" s="12">
        <v>42967</v>
      </c>
      <c r="J4680" s="35">
        <f t="shared" si="578"/>
        <v>0</v>
      </c>
      <c r="K4680" s="36"/>
      <c r="L4680" s="36"/>
      <c r="M4680" s="36"/>
      <c r="N4680" s="36"/>
      <c r="O4680" s="36"/>
      <c r="P4680" s="36"/>
      <c r="Q4680" s="36"/>
      <c r="R4680" s="36"/>
      <c r="S4680" s="36"/>
      <c r="T4680" s="36"/>
      <c r="U4680" s="36"/>
      <c r="V4680" s="36"/>
      <c r="W4680" s="15">
        <f t="shared" si="579"/>
        <v>0</v>
      </c>
      <c r="X4680" s="36"/>
      <c r="Y4680" s="36"/>
      <c r="Z4680" s="36"/>
      <c r="AA4680" s="36"/>
      <c r="AB4680" s="36"/>
      <c r="AC4680" s="36"/>
      <c r="AD4680" s="36">
        <v>400</v>
      </c>
      <c r="AE4680" s="36">
        <v>400</v>
      </c>
      <c r="AF4680" s="36"/>
      <c r="AG4680" s="36"/>
      <c r="AH4680" s="36"/>
      <c r="AI4680" s="36"/>
      <c r="AJ4680" s="15">
        <f t="shared" si="580"/>
        <v>800</v>
      </c>
      <c r="AK4680" s="14"/>
      <c r="AL4680" s="14"/>
      <c r="AM4680" s="14"/>
      <c r="AN4680" s="14"/>
      <c r="AO4680" s="14"/>
      <c r="AP4680" s="14"/>
      <c r="AQ4680" s="14"/>
      <c r="AR4680" s="14"/>
      <c r="AS4680" s="14"/>
      <c r="AT4680" s="14"/>
      <c r="AU4680" s="14"/>
      <c r="AV4680" s="14"/>
      <c r="AW4680" s="15"/>
      <c r="AX4680" s="16"/>
    </row>
    <row r="4681" spans="2:50" x14ac:dyDescent="0.2">
      <c r="B4681" s="7"/>
      <c r="C4681" s="8">
        <v>14830</v>
      </c>
      <c r="D4681" s="9" t="s">
        <v>714</v>
      </c>
      <c r="E4681" s="10" t="str">
        <f t="shared" si="576"/>
        <v>Rancho Upácuaro No. 134</v>
      </c>
      <c r="F4681" s="10" t="str">
        <f t="shared" si="577"/>
        <v>Flores Pérez</v>
      </c>
      <c r="G4681" s="8">
        <v>3</v>
      </c>
      <c r="H4681" s="11">
        <v>200</v>
      </c>
      <c r="I4681" s="12">
        <v>42967</v>
      </c>
      <c r="J4681" s="35">
        <f t="shared" si="578"/>
        <v>0</v>
      </c>
      <c r="K4681" s="36"/>
      <c r="L4681" s="36"/>
      <c r="M4681" s="36"/>
      <c r="N4681" s="36"/>
      <c r="O4681" s="36"/>
      <c r="P4681" s="36"/>
      <c r="Q4681" s="36"/>
      <c r="R4681" s="36"/>
      <c r="S4681" s="36"/>
      <c r="T4681" s="36"/>
      <c r="U4681" s="36"/>
      <c r="V4681" s="36"/>
      <c r="W4681" s="15">
        <f t="shared" si="579"/>
        <v>0</v>
      </c>
      <c r="X4681" s="36"/>
      <c r="Y4681" s="36"/>
      <c r="Z4681" s="36"/>
      <c r="AA4681" s="36"/>
      <c r="AB4681" s="36"/>
      <c r="AC4681" s="36"/>
      <c r="AD4681" s="36"/>
      <c r="AE4681" s="36"/>
      <c r="AF4681" s="36"/>
      <c r="AG4681" s="36"/>
      <c r="AH4681" s="36"/>
      <c r="AI4681" s="36"/>
      <c r="AJ4681" s="15">
        <f t="shared" si="580"/>
        <v>0</v>
      </c>
      <c r="AK4681" s="14"/>
      <c r="AL4681" s="14"/>
      <c r="AM4681" s="14"/>
      <c r="AN4681" s="14"/>
      <c r="AO4681" s="14"/>
      <c r="AP4681" s="14"/>
      <c r="AQ4681" s="14"/>
      <c r="AR4681" s="14"/>
      <c r="AS4681" s="14"/>
      <c r="AT4681" s="14"/>
      <c r="AU4681" s="14"/>
      <c r="AV4681" s="14"/>
      <c r="AW4681" s="15"/>
      <c r="AX4681" s="16"/>
    </row>
    <row r="4682" spans="2:50" x14ac:dyDescent="0.2">
      <c r="B4682" s="7"/>
      <c r="C4682" s="8">
        <v>14831</v>
      </c>
      <c r="D4682" s="9" t="s">
        <v>556</v>
      </c>
      <c r="E4682" s="10" t="str">
        <f t="shared" si="576"/>
        <v>Rancho Zinamba No. 26</v>
      </c>
      <c r="F4682" s="10" t="str">
        <f t="shared" si="577"/>
        <v>Ayala</v>
      </c>
      <c r="G4682" s="8">
        <v>1</v>
      </c>
      <c r="H4682" s="11">
        <v>800</v>
      </c>
      <c r="I4682" s="12">
        <v>42967</v>
      </c>
      <c r="J4682" s="35">
        <f t="shared" si="578"/>
        <v>0</v>
      </c>
      <c r="K4682" s="36"/>
      <c r="L4682" s="36"/>
      <c r="M4682" s="36"/>
      <c r="N4682" s="36"/>
      <c r="O4682" s="36"/>
      <c r="P4682" s="36"/>
      <c r="Q4682" s="36"/>
      <c r="R4682" s="36"/>
      <c r="S4682" s="36"/>
      <c r="T4682" s="36"/>
      <c r="U4682" s="36"/>
      <c r="V4682" s="36"/>
      <c r="W4682" s="15">
        <f t="shared" si="579"/>
        <v>0</v>
      </c>
      <c r="X4682" s="36"/>
      <c r="Y4682" s="36"/>
      <c r="Z4682" s="36"/>
      <c r="AA4682" s="36">
        <v>400</v>
      </c>
      <c r="AB4682" s="36">
        <v>400</v>
      </c>
      <c r="AC4682" s="36"/>
      <c r="AD4682" s="36"/>
      <c r="AE4682" s="36"/>
      <c r="AF4682" s="36"/>
      <c r="AG4682" s="36"/>
      <c r="AH4682" s="36"/>
      <c r="AI4682" s="36"/>
      <c r="AJ4682" s="15">
        <f t="shared" si="580"/>
        <v>800</v>
      </c>
      <c r="AK4682" s="14"/>
      <c r="AL4682" s="14"/>
      <c r="AM4682" s="14"/>
      <c r="AN4682" s="14"/>
      <c r="AO4682" s="14"/>
      <c r="AP4682" s="14"/>
      <c r="AQ4682" s="14"/>
      <c r="AR4682" s="14"/>
      <c r="AS4682" s="14"/>
      <c r="AT4682" s="14"/>
      <c r="AU4682" s="14"/>
      <c r="AV4682" s="14"/>
      <c r="AW4682" s="15"/>
      <c r="AX4682" s="16"/>
    </row>
    <row r="4683" spans="2:50" x14ac:dyDescent="0.2">
      <c r="B4683" s="7"/>
      <c r="C4683" s="8">
        <v>14832</v>
      </c>
      <c r="D4683" s="9" t="s">
        <v>708</v>
      </c>
      <c r="E4683" s="10" t="str">
        <f t="shared" si="576"/>
        <v>Rancho Landero No. 21</v>
      </c>
      <c r="F4683" s="10" t="str">
        <f t="shared" si="577"/>
        <v>Meza</v>
      </c>
      <c r="G4683" s="8">
        <v>1</v>
      </c>
      <c r="H4683" s="11">
        <v>1200</v>
      </c>
      <c r="I4683" s="12">
        <v>42967</v>
      </c>
      <c r="J4683" s="35">
        <f t="shared" si="578"/>
        <v>0</v>
      </c>
      <c r="K4683" s="36"/>
      <c r="L4683" s="36"/>
      <c r="M4683" s="36"/>
      <c r="N4683" s="36"/>
      <c r="O4683" s="36"/>
      <c r="P4683" s="36"/>
      <c r="Q4683" s="36"/>
      <c r="R4683" s="36"/>
      <c r="S4683" s="36"/>
      <c r="T4683" s="36"/>
      <c r="U4683" s="36"/>
      <c r="V4683" s="36"/>
      <c r="W4683" s="15">
        <f t="shared" si="579"/>
        <v>0</v>
      </c>
      <c r="X4683" s="36"/>
      <c r="Y4683" s="36"/>
      <c r="Z4683" s="36"/>
      <c r="AA4683" s="36"/>
      <c r="AB4683" s="36"/>
      <c r="AC4683" s="36">
        <v>400</v>
      </c>
      <c r="AD4683" s="36">
        <v>400</v>
      </c>
      <c r="AE4683" s="36">
        <v>400</v>
      </c>
      <c r="AF4683" s="36"/>
      <c r="AG4683" s="36"/>
      <c r="AH4683" s="36"/>
      <c r="AI4683" s="36"/>
      <c r="AJ4683" s="15">
        <f t="shared" si="580"/>
        <v>1200</v>
      </c>
      <c r="AK4683" s="14"/>
      <c r="AL4683" s="14"/>
      <c r="AM4683" s="14"/>
      <c r="AN4683" s="14"/>
      <c r="AO4683" s="14"/>
      <c r="AP4683" s="14"/>
      <c r="AQ4683" s="14"/>
      <c r="AR4683" s="14"/>
      <c r="AS4683" s="14"/>
      <c r="AT4683" s="14"/>
      <c r="AU4683" s="14"/>
      <c r="AV4683" s="14"/>
      <c r="AW4683" s="15"/>
      <c r="AX4683" s="16"/>
    </row>
    <row r="4684" spans="2:50" x14ac:dyDescent="0.2">
      <c r="B4684" s="7"/>
      <c r="C4684" s="8">
        <v>14833</v>
      </c>
      <c r="D4684" s="9" t="s">
        <v>437</v>
      </c>
      <c r="E4684" s="10" t="str">
        <f t="shared" si="576"/>
        <v>Rancho Upácuaro No. 47</v>
      </c>
      <c r="F4684" s="10" t="str">
        <f t="shared" si="577"/>
        <v>Flores Muñoz</v>
      </c>
      <c r="G4684" s="8">
        <v>1</v>
      </c>
      <c r="H4684" s="11">
        <v>400</v>
      </c>
      <c r="I4684" s="12">
        <v>42967</v>
      </c>
      <c r="J4684" s="35">
        <f t="shared" si="578"/>
        <v>0</v>
      </c>
      <c r="K4684" s="36"/>
      <c r="L4684" s="36"/>
      <c r="M4684" s="36"/>
      <c r="N4684" s="36"/>
      <c r="O4684" s="36"/>
      <c r="P4684" s="36"/>
      <c r="Q4684" s="36"/>
      <c r="R4684" s="36"/>
      <c r="S4684" s="36"/>
      <c r="T4684" s="36"/>
      <c r="U4684" s="36"/>
      <c r="V4684" s="36"/>
      <c r="W4684" s="15">
        <f t="shared" si="579"/>
        <v>0</v>
      </c>
      <c r="X4684" s="36"/>
      <c r="Y4684" s="36"/>
      <c r="Z4684" s="36"/>
      <c r="AA4684" s="36"/>
      <c r="AB4684" s="36"/>
      <c r="AC4684" s="36"/>
      <c r="AD4684" s="36"/>
      <c r="AE4684" s="36">
        <v>400</v>
      </c>
      <c r="AF4684" s="36"/>
      <c r="AG4684" s="36"/>
      <c r="AH4684" s="36"/>
      <c r="AI4684" s="36"/>
      <c r="AJ4684" s="15">
        <f t="shared" si="580"/>
        <v>400</v>
      </c>
      <c r="AK4684" s="14"/>
      <c r="AL4684" s="14"/>
      <c r="AM4684" s="14"/>
      <c r="AN4684" s="14"/>
      <c r="AO4684" s="14"/>
      <c r="AP4684" s="14"/>
      <c r="AQ4684" s="14"/>
      <c r="AR4684" s="14"/>
      <c r="AS4684" s="14"/>
      <c r="AT4684" s="14"/>
      <c r="AU4684" s="14"/>
      <c r="AV4684" s="14"/>
      <c r="AW4684" s="15"/>
      <c r="AX4684" s="16"/>
    </row>
    <row r="4685" spans="2:50" x14ac:dyDescent="0.2">
      <c r="B4685" s="7"/>
      <c r="C4685" s="8">
        <v>14834</v>
      </c>
      <c r="D4685" s="9" t="s">
        <v>550</v>
      </c>
      <c r="E4685" s="10" t="str">
        <f t="shared" si="576"/>
        <v>Rancho Landero No. 89</v>
      </c>
      <c r="F4685" s="10" t="str">
        <f t="shared" si="577"/>
        <v>Del Pozo Solís</v>
      </c>
      <c r="G4685" s="8">
        <v>1</v>
      </c>
      <c r="H4685" s="11">
        <v>250</v>
      </c>
      <c r="I4685" s="12">
        <v>42967</v>
      </c>
      <c r="J4685" s="35">
        <f t="shared" si="578"/>
        <v>0</v>
      </c>
      <c r="K4685" s="36"/>
      <c r="L4685" s="36"/>
      <c r="M4685" s="36"/>
      <c r="N4685" s="36"/>
      <c r="O4685" s="36"/>
      <c r="P4685" s="36"/>
      <c r="Q4685" s="36"/>
      <c r="R4685" s="36"/>
      <c r="S4685" s="36"/>
      <c r="T4685" s="36"/>
      <c r="U4685" s="36"/>
      <c r="V4685" s="36"/>
      <c r="W4685" s="15">
        <f t="shared" si="579"/>
        <v>0</v>
      </c>
      <c r="X4685" s="36"/>
      <c r="Y4685" s="36"/>
      <c r="Z4685" s="36"/>
      <c r="AA4685" s="36"/>
      <c r="AB4685" s="36"/>
      <c r="AC4685" s="36"/>
      <c r="AD4685" s="36"/>
      <c r="AE4685" s="36">
        <v>250</v>
      </c>
      <c r="AF4685" s="36"/>
      <c r="AG4685" s="36"/>
      <c r="AH4685" s="36"/>
      <c r="AI4685" s="36"/>
      <c r="AJ4685" s="15">
        <f t="shared" si="580"/>
        <v>250</v>
      </c>
      <c r="AK4685" s="14"/>
      <c r="AL4685" s="14"/>
      <c r="AM4685" s="14"/>
      <c r="AN4685" s="14"/>
      <c r="AO4685" s="14"/>
      <c r="AP4685" s="14"/>
      <c r="AQ4685" s="14"/>
      <c r="AR4685" s="14"/>
      <c r="AS4685" s="14"/>
      <c r="AT4685" s="14"/>
      <c r="AU4685" s="14"/>
      <c r="AV4685" s="14"/>
      <c r="AW4685" s="15"/>
      <c r="AX4685" s="16"/>
    </row>
    <row r="4686" spans="2:50" x14ac:dyDescent="0.2">
      <c r="B4686" s="7"/>
      <c r="C4686" s="8">
        <v>14835</v>
      </c>
      <c r="D4686" s="9" t="s">
        <v>823</v>
      </c>
      <c r="E4686" s="10" t="str">
        <f t="shared" si="576"/>
        <v>Rancho La Cuchilla No. 122</v>
      </c>
      <c r="F4686" s="10" t="str">
        <f t="shared" si="577"/>
        <v>Mendoza</v>
      </c>
      <c r="G4686" s="8">
        <v>1</v>
      </c>
      <c r="H4686" s="11">
        <v>600</v>
      </c>
      <c r="I4686" s="12">
        <v>42967</v>
      </c>
      <c r="J4686" s="35">
        <f t="shared" si="578"/>
        <v>0</v>
      </c>
      <c r="K4686" s="36"/>
      <c r="L4686" s="36"/>
      <c r="M4686" s="36"/>
      <c r="N4686" s="36"/>
      <c r="O4686" s="36"/>
      <c r="P4686" s="36"/>
      <c r="Q4686" s="36"/>
      <c r="R4686" s="36"/>
      <c r="S4686" s="36"/>
      <c r="T4686" s="36"/>
      <c r="U4686" s="36"/>
      <c r="V4686" s="36"/>
      <c r="W4686" s="15">
        <f t="shared" si="579"/>
        <v>0</v>
      </c>
      <c r="X4686" s="36"/>
      <c r="Y4686" s="36"/>
      <c r="Z4686" s="36"/>
      <c r="AA4686" s="36"/>
      <c r="AB4686" s="36"/>
      <c r="AC4686" s="36">
        <v>200</v>
      </c>
      <c r="AD4686" s="36">
        <v>200</v>
      </c>
      <c r="AE4686" s="36">
        <v>200</v>
      </c>
      <c r="AF4686" s="36"/>
      <c r="AG4686" s="36"/>
      <c r="AH4686" s="36"/>
      <c r="AI4686" s="36"/>
      <c r="AJ4686" s="15">
        <f t="shared" si="580"/>
        <v>600</v>
      </c>
      <c r="AK4686" s="14"/>
      <c r="AL4686" s="14"/>
      <c r="AM4686" s="14"/>
      <c r="AN4686" s="14"/>
      <c r="AO4686" s="14"/>
      <c r="AP4686" s="14"/>
      <c r="AQ4686" s="14"/>
      <c r="AR4686" s="14"/>
      <c r="AS4686" s="14"/>
      <c r="AT4686" s="14"/>
      <c r="AU4686" s="14"/>
      <c r="AV4686" s="14"/>
      <c r="AW4686" s="15"/>
      <c r="AX4686" s="16"/>
    </row>
    <row r="4687" spans="2:50" x14ac:dyDescent="0.2">
      <c r="B4687" s="7"/>
      <c r="C4687" s="8">
        <v>14836</v>
      </c>
      <c r="D4687" s="9" t="s">
        <v>310</v>
      </c>
      <c r="E4687" s="10" t="str">
        <f t="shared" si="576"/>
        <v>Rancho Recoveco No. 181</v>
      </c>
      <c r="F4687" s="10" t="str">
        <f t="shared" si="577"/>
        <v>Castillo</v>
      </c>
      <c r="G4687" s="8">
        <v>1</v>
      </c>
      <c r="H4687" s="11">
        <v>800</v>
      </c>
      <c r="I4687" s="12">
        <v>42967</v>
      </c>
      <c r="J4687" s="35">
        <f t="shared" si="578"/>
        <v>0</v>
      </c>
      <c r="K4687" s="36"/>
      <c r="L4687" s="36"/>
      <c r="M4687" s="36"/>
      <c r="N4687" s="36"/>
      <c r="O4687" s="36"/>
      <c r="P4687" s="36"/>
      <c r="Q4687" s="36"/>
      <c r="R4687" s="36"/>
      <c r="S4687" s="36"/>
      <c r="T4687" s="36"/>
      <c r="U4687" s="36"/>
      <c r="V4687" s="36"/>
      <c r="W4687" s="15">
        <f t="shared" si="579"/>
        <v>0</v>
      </c>
      <c r="X4687" s="36"/>
      <c r="Y4687" s="36"/>
      <c r="Z4687" s="36"/>
      <c r="AA4687" s="36"/>
      <c r="AB4687" s="36"/>
      <c r="AC4687" s="36"/>
      <c r="AD4687" s="36">
        <v>400</v>
      </c>
      <c r="AE4687" s="36">
        <v>400</v>
      </c>
      <c r="AF4687" s="36"/>
      <c r="AG4687" s="36"/>
      <c r="AH4687" s="36"/>
      <c r="AI4687" s="36"/>
      <c r="AJ4687" s="15">
        <f t="shared" si="580"/>
        <v>800</v>
      </c>
      <c r="AK4687" s="14"/>
      <c r="AL4687" s="14"/>
      <c r="AM4687" s="14"/>
      <c r="AN4687" s="14"/>
      <c r="AO4687" s="14"/>
      <c r="AP4687" s="14"/>
      <c r="AQ4687" s="14"/>
      <c r="AR4687" s="14"/>
      <c r="AS4687" s="14"/>
      <c r="AT4687" s="14"/>
      <c r="AU4687" s="14"/>
      <c r="AV4687" s="14"/>
      <c r="AW4687" s="15"/>
      <c r="AX4687" s="16"/>
    </row>
    <row r="4688" spans="2:50" x14ac:dyDescent="0.2">
      <c r="B4688" s="7"/>
      <c r="C4688" s="8">
        <v>14937</v>
      </c>
      <c r="D4688" s="9" t="s">
        <v>509</v>
      </c>
      <c r="E4688" s="10" t="str">
        <f t="shared" si="576"/>
        <v>Rancho La Cuchilla No. 77</v>
      </c>
      <c r="F4688" s="10" t="str">
        <f t="shared" si="577"/>
        <v>Loperena</v>
      </c>
      <c r="G4688" s="8">
        <v>5</v>
      </c>
      <c r="H4688" s="11">
        <v>50</v>
      </c>
      <c r="I4688" s="12">
        <v>42967</v>
      </c>
      <c r="J4688" s="35">
        <f t="shared" si="578"/>
        <v>0</v>
      </c>
      <c r="K4688" s="36"/>
      <c r="L4688" s="36"/>
      <c r="M4688" s="36"/>
      <c r="N4688" s="36"/>
      <c r="O4688" s="36"/>
      <c r="P4688" s="36"/>
      <c r="Q4688" s="36"/>
      <c r="R4688" s="36"/>
      <c r="S4688" s="36"/>
      <c r="T4688" s="36"/>
      <c r="U4688" s="36"/>
      <c r="V4688" s="36"/>
      <c r="W4688" s="15">
        <f t="shared" si="579"/>
        <v>0</v>
      </c>
      <c r="X4688" s="36"/>
      <c r="Y4688" s="36"/>
      <c r="Z4688" s="36"/>
      <c r="AA4688" s="36"/>
      <c r="AB4688" s="36"/>
      <c r="AC4688" s="36"/>
      <c r="AD4688" s="36"/>
      <c r="AE4688" s="36"/>
      <c r="AF4688" s="36"/>
      <c r="AG4688" s="36"/>
      <c r="AH4688" s="36"/>
      <c r="AI4688" s="36"/>
      <c r="AJ4688" s="15">
        <f t="shared" si="580"/>
        <v>0</v>
      </c>
      <c r="AK4688" s="14"/>
      <c r="AL4688" s="14"/>
      <c r="AM4688" s="14"/>
      <c r="AN4688" s="14"/>
      <c r="AO4688" s="14"/>
      <c r="AP4688" s="14"/>
      <c r="AQ4688" s="14"/>
      <c r="AR4688" s="14"/>
      <c r="AS4688" s="14"/>
      <c r="AT4688" s="14"/>
      <c r="AU4688" s="14"/>
      <c r="AV4688" s="14"/>
      <c r="AW4688" s="15"/>
      <c r="AX4688" s="16"/>
    </row>
    <row r="4689" spans="2:51" x14ac:dyDescent="0.2">
      <c r="B4689" s="7"/>
      <c r="C4689" s="8">
        <v>14938</v>
      </c>
      <c r="D4689" s="9" t="s">
        <v>831</v>
      </c>
      <c r="E4689" s="10" t="str">
        <f t="shared" si="576"/>
        <v>Rancho Upácuaro No. 80</v>
      </c>
      <c r="F4689" s="10" t="str">
        <f t="shared" si="577"/>
        <v>De los Ríos</v>
      </c>
      <c r="G4689" s="8">
        <v>1</v>
      </c>
      <c r="H4689" s="11">
        <v>800</v>
      </c>
      <c r="I4689" s="12">
        <v>42967</v>
      </c>
      <c r="J4689" s="35">
        <f t="shared" si="578"/>
        <v>0</v>
      </c>
      <c r="K4689" s="36"/>
      <c r="L4689" s="36"/>
      <c r="M4689" s="36"/>
      <c r="N4689" s="36"/>
      <c r="O4689" s="36"/>
      <c r="P4689" s="36"/>
      <c r="Q4689" s="36"/>
      <c r="R4689" s="36"/>
      <c r="S4689" s="36"/>
      <c r="T4689" s="36"/>
      <c r="U4689" s="36"/>
      <c r="V4689" s="36"/>
      <c r="W4689" s="15">
        <f t="shared" si="579"/>
        <v>0</v>
      </c>
      <c r="X4689" s="36"/>
      <c r="Y4689" s="36"/>
      <c r="Z4689" s="36"/>
      <c r="AA4689" s="36"/>
      <c r="AB4689" s="36"/>
      <c r="AC4689" s="36"/>
      <c r="AD4689" s="36"/>
      <c r="AE4689" s="36">
        <v>400</v>
      </c>
      <c r="AF4689" s="36">
        <v>400</v>
      </c>
      <c r="AG4689" s="36"/>
      <c r="AH4689" s="36"/>
      <c r="AI4689" s="36"/>
      <c r="AJ4689" s="15">
        <f t="shared" si="580"/>
        <v>800</v>
      </c>
      <c r="AK4689" s="14"/>
      <c r="AL4689" s="14"/>
      <c r="AM4689" s="14"/>
      <c r="AN4689" s="14"/>
      <c r="AO4689" s="14"/>
      <c r="AP4689" s="14"/>
      <c r="AQ4689" s="14"/>
      <c r="AR4689" s="14"/>
      <c r="AS4689" s="14"/>
      <c r="AT4689" s="14"/>
      <c r="AU4689" s="14"/>
      <c r="AV4689" s="14"/>
      <c r="AW4689" s="15"/>
      <c r="AX4689" s="16"/>
    </row>
    <row r="4690" spans="2:51" x14ac:dyDescent="0.2">
      <c r="B4690" s="7"/>
      <c r="C4690" s="8">
        <v>14939</v>
      </c>
      <c r="D4690" s="9" t="s">
        <v>361</v>
      </c>
      <c r="E4690" s="10" t="str">
        <f t="shared" si="576"/>
        <v>Rancho Upácuaro No. 101</v>
      </c>
      <c r="F4690" s="10" t="str">
        <f t="shared" si="577"/>
        <v>Chávez, Arturo</v>
      </c>
      <c r="G4690" s="8">
        <v>1</v>
      </c>
      <c r="H4690" s="11">
        <v>400</v>
      </c>
      <c r="I4690" s="12">
        <v>42967</v>
      </c>
      <c r="J4690" s="35">
        <f t="shared" si="578"/>
        <v>0</v>
      </c>
      <c r="K4690" s="36"/>
      <c r="L4690" s="36"/>
      <c r="M4690" s="36"/>
      <c r="N4690" s="36"/>
      <c r="O4690" s="36"/>
      <c r="P4690" s="36"/>
      <c r="Q4690" s="36"/>
      <c r="R4690" s="36"/>
      <c r="S4690" s="36"/>
      <c r="T4690" s="36"/>
      <c r="U4690" s="36"/>
      <c r="V4690" s="36"/>
      <c r="W4690" s="15">
        <f t="shared" si="579"/>
        <v>0</v>
      </c>
      <c r="X4690" s="36"/>
      <c r="Y4690" s="36"/>
      <c r="Z4690" s="36"/>
      <c r="AA4690" s="36"/>
      <c r="AB4690" s="36"/>
      <c r="AC4690" s="36"/>
      <c r="AD4690" s="36"/>
      <c r="AE4690" s="36">
        <v>400</v>
      </c>
      <c r="AF4690" s="36"/>
      <c r="AG4690" s="36"/>
      <c r="AH4690" s="36"/>
      <c r="AI4690" s="36"/>
      <c r="AJ4690" s="15">
        <f t="shared" si="580"/>
        <v>400</v>
      </c>
      <c r="AK4690" s="14"/>
      <c r="AL4690" s="14"/>
      <c r="AM4690" s="14"/>
      <c r="AN4690" s="14"/>
      <c r="AO4690" s="14"/>
      <c r="AP4690" s="14"/>
      <c r="AQ4690" s="14"/>
      <c r="AR4690" s="14"/>
      <c r="AS4690" s="14"/>
      <c r="AT4690" s="14"/>
      <c r="AU4690" s="14"/>
      <c r="AV4690" s="14"/>
      <c r="AW4690" s="15"/>
      <c r="AX4690" s="16"/>
    </row>
    <row r="4691" spans="2:51" x14ac:dyDescent="0.2">
      <c r="B4691" s="7"/>
      <c r="C4691" s="8">
        <v>14940</v>
      </c>
      <c r="D4691" s="9" t="s">
        <v>3852</v>
      </c>
      <c r="E4691" s="10" t="str">
        <f t="shared" si="576"/>
        <v>Rancho Estopila No. 44_2</v>
      </c>
      <c r="F4691" s="10" t="str">
        <f t="shared" si="577"/>
        <v>Blanca Herrera</v>
      </c>
      <c r="G4691" s="8">
        <v>1</v>
      </c>
      <c r="H4691" s="11">
        <v>200</v>
      </c>
      <c r="I4691" s="12">
        <v>42967</v>
      </c>
      <c r="J4691" s="35">
        <f t="shared" si="578"/>
        <v>0</v>
      </c>
      <c r="K4691" s="36"/>
      <c r="L4691" s="36"/>
      <c r="M4691" s="36"/>
      <c r="N4691" s="36"/>
      <c r="O4691" s="36"/>
      <c r="P4691" s="36"/>
      <c r="Q4691" s="36"/>
      <c r="R4691" s="36"/>
      <c r="S4691" s="36"/>
      <c r="T4691" s="36"/>
      <c r="U4691" s="36"/>
      <c r="V4691" s="36"/>
      <c r="W4691" s="15">
        <f t="shared" si="579"/>
        <v>0</v>
      </c>
      <c r="X4691" s="36"/>
      <c r="Y4691" s="36"/>
      <c r="Z4691" s="36"/>
      <c r="AA4691" s="36"/>
      <c r="AB4691" s="36"/>
      <c r="AC4691" s="36"/>
      <c r="AD4691" s="36"/>
      <c r="AE4691" s="36">
        <v>200</v>
      </c>
      <c r="AF4691" s="36"/>
      <c r="AG4691" s="36"/>
      <c r="AH4691" s="36"/>
      <c r="AI4691" s="36"/>
      <c r="AJ4691" s="15">
        <f t="shared" si="580"/>
        <v>200</v>
      </c>
      <c r="AK4691" s="14"/>
      <c r="AL4691" s="14"/>
      <c r="AM4691" s="14"/>
      <c r="AN4691" s="14"/>
      <c r="AO4691" s="14"/>
      <c r="AP4691" s="14"/>
      <c r="AQ4691" s="14"/>
      <c r="AR4691" s="14"/>
      <c r="AS4691" s="14"/>
      <c r="AT4691" s="14"/>
      <c r="AU4691" s="14"/>
      <c r="AV4691" s="14"/>
      <c r="AW4691" s="15"/>
      <c r="AX4691" s="16"/>
    </row>
    <row r="4692" spans="2:51" x14ac:dyDescent="0.2">
      <c r="B4692" s="7"/>
      <c r="C4692" s="8">
        <v>14941</v>
      </c>
      <c r="D4692" s="9" t="s">
        <v>568</v>
      </c>
      <c r="E4692" s="10" t="str">
        <f t="shared" si="576"/>
        <v>Rancho Landero No. 95</v>
      </c>
      <c r="F4692" s="10" t="str">
        <f t="shared" si="577"/>
        <v>Rivas Rangel</v>
      </c>
      <c r="G4692" s="8">
        <v>1</v>
      </c>
      <c r="H4692" s="11">
        <v>400</v>
      </c>
      <c r="I4692" s="12">
        <v>42967</v>
      </c>
      <c r="J4692" s="35">
        <f t="shared" si="578"/>
        <v>0</v>
      </c>
      <c r="K4692" s="36"/>
      <c r="L4692" s="36"/>
      <c r="M4692" s="36"/>
      <c r="N4692" s="36"/>
      <c r="O4692" s="36"/>
      <c r="P4692" s="36"/>
      <c r="Q4692" s="36"/>
      <c r="R4692" s="36"/>
      <c r="S4692" s="36"/>
      <c r="T4692" s="36"/>
      <c r="U4692" s="36"/>
      <c r="V4692" s="36"/>
      <c r="W4692" s="15">
        <f t="shared" si="579"/>
        <v>0</v>
      </c>
      <c r="X4692" s="36"/>
      <c r="Y4692" s="36"/>
      <c r="Z4692" s="36"/>
      <c r="AA4692" s="36"/>
      <c r="AB4692" s="36"/>
      <c r="AC4692" s="36"/>
      <c r="AD4692" s="36"/>
      <c r="AE4692" s="36">
        <v>400</v>
      </c>
      <c r="AF4692" s="36"/>
      <c r="AG4692" s="36"/>
      <c r="AH4692" s="36"/>
      <c r="AI4692" s="36"/>
      <c r="AJ4692" s="15">
        <f t="shared" si="580"/>
        <v>400</v>
      </c>
      <c r="AK4692" s="14"/>
      <c r="AL4692" s="14"/>
      <c r="AM4692" s="14"/>
      <c r="AN4692" s="14"/>
      <c r="AO4692" s="14"/>
      <c r="AP4692" s="14"/>
      <c r="AQ4692" s="14"/>
      <c r="AR4692" s="14"/>
      <c r="AS4692" s="14"/>
      <c r="AT4692" s="14"/>
      <c r="AU4692" s="14"/>
      <c r="AV4692" s="14"/>
      <c r="AW4692" s="15"/>
      <c r="AX4692" s="16"/>
    </row>
    <row r="4693" spans="2:51" x14ac:dyDescent="0.2">
      <c r="B4693" s="7"/>
      <c r="C4693" s="8">
        <v>14942</v>
      </c>
      <c r="D4693" s="9" t="s">
        <v>455</v>
      </c>
      <c r="E4693" s="10" t="str">
        <f t="shared" si="576"/>
        <v>Rancho Zinamba No. 38</v>
      </c>
      <c r="F4693" s="10" t="str">
        <f t="shared" si="577"/>
        <v>Ramírez Díaz</v>
      </c>
      <c r="G4693" s="8">
        <v>1</v>
      </c>
      <c r="H4693" s="11">
        <v>400</v>
      </c>
      <c r="I4693" s="12">
        <v>42967</v>
      </c>
      <c r="J4693" s="35">
        <f t="shared" si="578"/>
        <v>0</v>
      </c>
      <c r="K4693" s="36"/>
      <c r="L4693" s="36"/>
      <c r="M4693" s="36"/>
      <c r="N4693" s="36"/>
      <c r="O4693" s="36"/>
      <c r="P4693" s="36"/>
      <c r="Q4693" s="36"/>
      <c r="R4693" s="36"/>
      <c r="S4693" s="36"/>
      <c r="T4693" s="36"/>
      <c r="U4693" s="36"/>
      <c r="V4693" s="36"/>
      <c r="W4693" s="15">
        <f t="shared" si="579"/>
        <v>0</v>
      </c>
      <c r="X4693" s="36"/>
      <c r="Y4693" s="36"/>
      <c r="Z4693" s="36"/>
      <c r="AA4693" s="36"/>
      <c r="AB4693" s="36"/>
      <c r="AC4693" s="36"/>
      <c r="AD4693" s="36"/>
      <c r="AE4693" s="36">
        <v>400</v>
      </c>
      <c r="AF4693" s="36"/>
      <c r="AG4693" s="36"/>
      <c r="AH4693" s="36"/>
      <c r="AI4693" s="36"/>
      <c r="AJ4693" s="15">
        <f t="shared" si="580"/>
        <v>400</v>
      </c>
      <c r="AK4693" s="14"/>
      <c r="AL4693" s="14"/>
      <c r="AM4693" s="14"/>
      <c r="AN4693" s="14"/>
      <c r="AO4693" s="14"/>
      <c r="AP4693" s="14"/>
      <c r="AQ4693" s="14"/>
      <c r="AR4693" s="14"/>
      <c r="AS4693" s="14"/>
      <c r="AT4693" s="14"/>
      <c r="AU4693" s="14"/>
      <c r="AV4693" s="14"/>
      <c r="AW4693" s="15"/>
      <c r="AX4693" s="16"/>
    </row>
    <row r="4694" spans="2:51" x14ac:dyDescent="0.2">
      <c r="B4694" s="7"/>
      <c r="C4694" s="8">
        <v>14943</v>
      </c>
      <c r="D4694" s="9" t="s">
        <v>696</v>
      </c>
      <c r="E4694" s="10" t="str">
        <f t="shared" si="576"/>
        <v>Rancho Upácuaro No. 64</v>
      </c>
      <c r="F4694" s="10" t="str">
        <f t="shared" si="577"/>
        <v>Méndez Oliva</v>
      </c>
      <c r="G4694" s="8">
        <v>1</v>
      </c>
      <c r="H4694" s="11">
        <v>300</v>
      </c>
      <c r="I4694" s="12">
        <v>42967</v>
      </c>
      <c r="J4694" s="35">
        <f t="shared" si="578"/>
        <v>0</v>
      </c>
      <c r="K4694" s="36"/>
      <c r="L4694" s="36"/>
      <c r="M4694" s="36"/>
      <c r="N4694" s="36"/>
      <c r="O4694" s="36"/>
      <c r="P4694" s="36"/>
      <c r="Q4694" s="36"/>
      <c r="R4694" s="36"/>
      <c r="S4694" s="36"/>
      <c r="T4694" s="36"/>
      <c r="U4694" s="36"/>
      <c r="V4694" s="36"/>
      <c r="W4694" s="15">
        <f t="shared" si="579"/>
        <v>0</v>
      </c>
      <c r="X4694" s="36"/>
      <c r="Y4694" s="36"/>
      <c r="Z4694" s="36"/>
      <c r="AA4694" s="36"/>
      <c r="AB4694" s="36"/>
      <c r="AC4694" s="36"/>
      <c r="AD4694" s="36"/>
      <c r="AE4694" s="36">
        <v>300</v>
      </c>
      <c r="AF4694" s="36"/>
      <c r="AG4694" s="36"/>
      <c r="AH4694" s="36"/>
      <c r="AI4694" s="36"/>
      <c r="AJ4694" s="15">
        <f t="shared" si="580"/>
        <v>300</v>
      </c>
      <c r="AK4694" s="14"/>
      <c r="AL4694" s="14"/>
      <c r="AM4694" s="14"/>
      <c r="AN4694" s="14"/>
      <c r="AO4694" s="14"/>
      <c r="AP4694" s="14"/>
      <c r="AQ4694" s="14"/>
      <c r="AR4694" s="14"/>
      <c r="AS4694" s="14"/>
      <c r="AT4694" s="14"/>
      <c r="AU4694" s="14"/>
      <c r="AV4694" s="14"/>
      <c r="AW4694" s="15"/>
      <c r="AX4694" s="16"/>
    </row>
    <row r="4695" spans="2:51" x14ac:dyDescent="0.2">
      <c r="B4695" s="7"/>
      <c r="C4695" s="8">
        <v>14944</v>
      </c>
      <c r="D4695" s="9" t="s">
        <v>840</v>
      </c>
      <c r="E4695" s="10" t="str">
        <f t="shared" si="576"/>
        <v>Rancho Landero No. 33</v>
      </c>
      <c r="F4695" s="10" t="str">
        <f t="shared" si="577"/>
        <v>González Uribe</v>
      </c>
      <c r="G4695" s="8">
        <v>1</v>
      </c>
      <c r="H4695" s="11">
        <v>800</v>
      </c>
      <c r="I4695" s="12">
        <v>42967</v>
      </c>
      <c r="J4695" s="35">
        <f t="shared" si="578"/>
        <v>0</v>
      </c>
      <c r="K4695" s="36"/>
      <c r="L4695" s="36"/>
      <c r="M4695" s="36"/>
      <c r="N4695" s="36"/>
      <c r="O4695" s="36"/>
      <c r="P4695" s="36"/>
      <c r="Q4695" s="36"/>
      <c r="R4695" s="36"/>
      <c r="S4695" s="36"/>
      <c r="T4695" s="36"/>
      <c r="U4695" s="36"/>
      <c r="V4695" s="36"/>
      <c r="W4695" s="15">
        <f t="shared" si="579"/>
        <v>0</v>
      </c>
      <c r="X4695" s="36"/>
      <c r="Y4695" s="36"/>
      <c r="Z4695" s="36"/>
      <c r="AA4695" s="36"/>
      <c r="AB4695" s="36"/>
      <c r="AC4695" s="36"/>
      <c r="AD4695" s="36">
        <v>400</v>
      </c>
      <c r="AE4695" s="36">
        <v>400</v>
      </c>
      <c r="AF4695" s="36"/>
      <c r="AG4695" s="36"/>
      <c r="AH4695" s="36"/>
      <c r="AI4695" s="36"/>
      <c r="AJ4695" s="15">
        <f t="shared" si="580"/>
        <v>800</v>
      </c>
      <c r="AK4695" s="14"/>
      <c r="AL4695" s="14"/>
      <c r="AM4695" s="14"/>
      <c r="AN4695" s="14"/>
      <c r="AO4695" s="14"/>
      <c r="AP4695" s="14"/>
      <c r="AQ4695" s="14"/>
      <c r="AR4695" s="14"/>
      <c r="AS4695" s="14"/>
      <c r="AT4695" s="14"/>
      <c r="AU4695" s="14"/>
      <c r="AV4695" s="14"/>
      <c r="AW4695" s="15"/>
      <c r="AX4695" s="316">
        <f>SUM(H4671:H4695)</f>
        <v>11450</v>
      </c>
    </row>
    <row r="4696" spans="2:51" x14ac:dyDescent="0.2">
      <c r="B4696" s="7"/>
      <c r="C4696" s="8">
        <v>14945</v>
      </c>
      <c r="D4696" s="9" t="s">
        <v>494</v>
      </c>
      <c r="E4696" s="10" t="str">
        <f t="shared" si="576"/>
        <v>Rancho Landero No. 2, B</v>
      </c>
      <c r="F4696" s="10" t="str">
        <f t="shared" si="577"/>
        <v>Pack Mail</v>
      </c>
      <c r="G4696" s="8">
        <v>1</v>
      </c>
      <c r="H4696" s="315">
        <v>150</v>
      </c>
      <c r="I4696" s="12">
        <v>42967</v>
      </c>
      <c r="J4696" s="35">
        <f t="shared" si="578"/>
        <v>0</v>
      </c>
      <c r="K4696" s="36"/>
      <c r="L4696" s="36"/>
      <c r="M4696" s="36"/>
      <c r="N4696" s="36"/>
      <c r="O4696" s="36"/>
      <c r="P4696" s="36"/>
      <c r="Q4696" s="36"/>
      <c r="R4696" s="36"/>
      <c r="S4696" s="36"/>
      <c r="T4696" s="36"/>
      <c r="U4696" s="36"/>
      <c r="V4696" s="36"/>
      <c r="W4696" s="15">
        <f t="shared" si="579"/>
        <v>0</v>
      </c>
      <c r="X4696" s="36"/>
      <c r="Y4696" s="36"/>
      <c r="Z4696" s="36"/>
      <c r="AA4696" s="36"/>
      <c r="AB4696" s="36"/>
      <c r="AC4696" s="36"/>
      <c r="AD4696" s="36"/>
      <c r="AE4696" s="36">
        <v>150</v>
      </c>
      <c r="AF4696" s="36"/>
      <c r="AG4696" s="36"/>
      <c r="AH4696" s="36"/>
      <c r="AI4696" s="36"/>
      <c r="AJ4696" s="15">
        <f t="shared" si="580"/>
        <v>150</v>
      </c>
      <c r="AK4696" s="14"/>
      <c r="AL4696" s="14"/>
      <c r="AM4696" s="14"/>
      <c r="AN4696" s="14"/>
      <c r="AO4696" s="14"/>
      <c r="AP4696" s="14"/>
      <c r="AQ4696" s="14"/>
      <c r="AR4696" s="14"/>
      <c r="AS4696" s="14"/>
      <c r="AT4696" s="14"/>
      <c r="AU4696" s="14"/>
      <c r="AV4696" s="14"/>
      <c r="AW4696" s="15"/>
      <c r="AX4696" s="16"/>
    </row>
    <row r="4697" spans="2:51" x14ac:dyDescent="0.2">
      <c r="B4697" s="7"/>
      <c r="C4697" s="8">
        <v>14946</v>
      </c>
      <c r="D4697" s="9" t="s">
        <v>954</v>
      </c>
      <c r="E4697" s="10" t="str">
        <f t="shared" si="576"/>
        <v>Rancho Landero No. 36</v>
      </c>
      <c r="F4697" s="10" t="str">
        <f t="shared" si="577"/>
        <v>Jaime</v>
      </c>
      <c r="G4697" s="8">
        <v>3</v>
      </c>
      <c r="H4697" s="11">
        <v>200</v>
      </c>
      <c r="I4697" s="12">
        <v>42971</v>
      </c>
      <c r="J4697" s="35">
        <f t="shared" si="578"/>
        <v>0</v>
      </c>
      <c r="K4697" s="36"/>
      <c r="L4697" s="36"/>
      <c r="M4697" s="36"/>
      <c r="N4697" s="36"/>
      <c r="O4697" s="36"/>
      <c r="P4697" s="36"/>
      <c r="Q4697" s="36"/>
      <c r="R4697" s="36"/>
      <c r="S4697" s="36"/>
      <c r="T4697" s="36"/>
      <c r="U4697" s="36"/>
      <c r="V4697" s="36"/>
      <c r="W4697" s="15">
        <f t="shared" si="579"/>
        <v>0</v>
      </c>
      <c r="X4697" s="36"/>
      <c r="Y4697" s="36"/>
      <c r="Z4697" s="36"/>
      <c r="AA4697" s="36"/>
      <c r="AB4697" s="36"/>
      <c r="AC4697" s="36"/>
      <c r="AD4697" s="36"/>
      <c r="AE4697" s="36"/>
      <c r="AF4697" s="36"/>
      <c r="AG4697" s="36"/>
      <c r="AH4697" s="36"/>
      <c r="AI4697" s="36"/>
      <c r="AJ4697" s="15">
        <f t="shared" si="580"/>
        <v>0</v>
      </c>
      <c r="AK4697" s="14"/>
      <c r="AL4697" s="14"/>
      <c r="AM4697" s="14"/>
      <c r="AN4697" s="14"/>
      <c r="AO4697" s="14"/>
      <c r="AP4697" s="14"/>
      <c r="AQ4697" s="14"/>
      <c r="AR4697" s="14"/>
      <c r="AS4697" s="14"/>
      <c r="AT4697" s="14"/>
      <c r="AU4697" s="14"/>
      <c r="AV4697" s="14"/>
      <c r="AW4697" s="15"/>
      <c r="AX4697" s="16"/>
    </row>
    <row r="4698" spans="2:51" x14ac:dyDescent="0.2">
      <c r="B4698" s="7"/>
      <c r="C4698" s="8">
        <v>14947</v>
      </c>
      <c r="D4698" s="9" t="s">
        <v>226</v>
      </c>
      <c r="E4698" s="10" t="str">
        <f t="shared" si="576"/>
        <v>Rancho Landero No. 31</v>
      </c>
      <c r="F4698" s="10" t="str">
        <f t="shared" si="577"/>
        <v>Díaz Hernández</v>
      </c>
      <c r="G4698" s="8">
        <v>1</v>
      </c>
      <c r="H4698" s="11">
        <v>200</v>
      </c>
      <c r="I4698" s="12">
        <v>42971</v>
      </c>
      <c r="J4698" s="35">
        <f t="shared" si="578"/>
        <v>0</v>
      </c>
      <c r="K4698" s="36"/>
      <c r="L4698" s="36"/>
      <c r="M4698" s="36"/>
      <c r="N4698" s="36"/>
      <c r="O4698" s="36"/>
      <c r="P4698" s="36"/>
      <c r="Q4698" s="36"/>
      <c r="R4698" s="36"/>
      <c r="S4698" s="36"/>
      <c r="T4698" s="36"/>
      <c r="U4698" s="36"/>
      <c r="V4698" s="36"/>
      <c r="W4698" s="15">
        <f t="shared" si="579"/>
        <v>0</v>
      </c>
      <c r="X4698" s="36"/>
      <c r="Y4698" s="36"/>
      <c r="Z4698" s="36"/>
      <c r="AA4698" s="36"/>
      <c r="AB4698" s="36"/>
      <c r="AC4698" s="36"/>
      <c r="AD4698" s="36"/>
      <c r="AE4698" s="36">
        <v>200</v>
      </c>
      <c r="AF4698" s="36"/>
      <c r="AG4698" s="36"/>
      <c r="AH4698" s="36"/>
      <c r="AI4698" s="36"/>
      <c r="AJ4698" s="15">
        <f t="shared" si="580"/>
        <v>200</v>
      </c>
      <c r="AK4698" s="14"/>
      <c r="AL4698" s="14"/>
      <c r="AM4698" s="14"/>
      <c r="AN4698" s="14"/>
      <c r="AO4698" s="14"/>
      <c r="AP4698" s="14"/>
      <c r="AQ4698" s="14"/>
      <c r="AR4698" s="14"/>
      <c r="AS4698" s="14"/>
      <c r="AT4698" s="14"/>
      <c r="AU4698" s="14"/>
      <c r="AV4698" s="14"/>
      <c r="AW4698" s="15"/>
      <c r="AX4698" s="16"/>
    </row>
    <row r="4699" spans="2:51" x14ac:dyDescent="0.2">
      <c r="B4699" s="7"/>
      <c r="C4699" s="8">
        <v>14948</v>
      </c>
      <c r="D4699" s="9" t="s">
        <v>488</v>
      </c>
      <c r="E4699" s="10" t="str">
        <f t="shared" si="576"/>
        <v>Rancho Landero No. 85</v>
      </c>
      <c r="F4699" s="10" t="str">
        <f t="shared" si="577"/>
        <v>Martínez Olague</v>
      </c>
      <c r="G4699" s="8">
        <v>1</v>
      </c>
      <c r="H4699" s="11">
        <v>400</v>
      </c>
      <c r="I4699" s="12">
        <v>42971</v>
      </c>
      <c r="J4699" s="35">
        <f t="shared" si="578"/>
        <v>0</v>
      </c>
      <c r="K4699" s="36"/>
      <c r="L4699" s="36"/>
      <c r="M4699" s="36"/>
      <c r="N4699" s="36"/>
      <c r="O4699" s="36"/>
      <c r="P4699" s="36"/>
      <c r="Q4699" s="36"/>
      <c r="R4699" s="36"/>
      <c r="S4699" s="36"/>
      <c r="T4699" s="36"/>
      <c r="U4699" s="36"/>
      <c r="V4699" s="36"/>
      <c r="W4699" s="15">
        <f t="shared" si="579"/>
        <v>0</v>
      </c>
      <c r="X4699" s="36"/>
      <c r="Y4699" s="36"/>
      <c r="Z4699" s="36"/>
      <c r="AA4699" s="36"/>
      <c r="AB4699" s="36"/>
      <c r="AC4699" s="36"/>
      <c r="AD4699" s="36"/>
      <c r="AE4699" s="36">
        <v>400</v>
      </c>
      <c r="AF4699" s="36"/>
      <c r="AG4699" s="36"/>
      <c r="AH4699" s="36"/>
      <c r="AI4699" s="36"/>
      <c r="AJ4699" s="15">
        <f t="shared" si="580"/>
        <v>400</v>
      </c>
      <c r="AK4699" s="14"/>
      <c r="AL4699" s="14"/>
      <c r="AM4699" s="14"/>
      <c r="AN4699" s="14"/>
      <c r="AO4699" s="14"/>
      <c r="AP4699" s="14"/>
      <c r="AQ4699" s="14"/>
      <c r="AR4699" s="14"/>
      <c r="AS4699" s="14"/>
      <c r="AT4699" s="14"/>
      <c r="AU4699" s="14"/>
      <c r="AV4699" s="14"/>
      <c r="AW4699" s="15"/>
      <c r="AX4699" s="16"/>
    </row>
    <row r="4700" spans="2:51" x14ac:dyDescent="0.2">
      <c r="B4700" s="7"/>
      <c r="C4700" s="8">
        <v>14949</v>
      </c>
      <c r="D4700" s="9" t="s">
        <v>1029</v>
      </c>
      <c r="E4700" s="10" t="str">
        <f t="shared" si="576"/>
        <v>Rancho La Cuchilla No. 134</v>
      </c>
      <c r="F4700" s="10" t="str">
        <f t="shared" si="577"/>
        <v>Moreno Sánchez</v>
      </c>
      <c r="G4700" s="8">
        <v>1</v>
      </c>
      <c r="H4700" s="11">
        <v>3200</v>
      </c>
      <c r="I4700" s="12">
        <v>42972</v>
      </c>
      <c r="J4700" s="35">
        <f t="shared" si="578"/>
        <v>0</v>
      </c>
      <c r="K4700" s="36"/>
      <c r="L4700" s="36"/>
      <c r="M4700" s="36"/>
      <c r="N4700" s="36"/>
      <c r="O4700" s="36"/>
      <c r="P4700" s="36"/>
      <c r="Q4700" s="36"/>
      <c r="R4700" s="36"/>
      <c r="S4700" s="36"/>
      <c r="T4700" s="36"/>
      <c r="U4700" s="36"/>
      <c r="V4700" s="36"/>
      <c r="W4700" s="15">
        <f t="shared" si="579"/>
        <v>0</v>
      </c>
      <c r="X4700" s="36"/>
      <c r="Y4700" s="36"/>
      <c r="Z4700" s="36"/>
      <c r="AA4700" s="36">
        <v>400</v>
      </c>
      <c r="AB4700" s="36">
        <v>400</v>
      </c>
      <c r="AC4700" s="36">
        <v>400</v>
      </c>
      <c r="AD4700" s="36">
        <v>400</v>
      </c>
      <c r="AE4700" s="36">
        <v>400</v>
      </c>
      <c r="AF4700" s="36">
        <v>400</v>
      </c>
      <c r="AG4700" s="36">
        <v>400</v>
      </c>
      <c r="AH4700" s="36">
        <v>400</v>
      </c>
      <c r="AI4700" s="36"/>
      <c r="AJ4700" s="15">
        <f t="shared" si="580"/>
        <v>3200</v>
      </c>
      <c r="AK4700" s="14"/>
      <c r="AL4700" s="14"/>
      <c r="AM4700" s="14"/>
      <c r="AN4700" s="14"/>
      <c r="AO4700" s="14"/>
      <c r="AP4700" s="14"/>
      <c r="AQ4700" s="14"/>
      <c r="AR4700" s="14"/>
      <c r="AS4700" s="14"/>
      <c r="AT4700" s="14"/>
      <c r="AU4700" s="14"/>
      <c r="AV4700" s="14"/>
      <c r="AW4700" s="15"/>
      <c r="AX4700" s="16" t="s">
        <v>4145</v>
      </c>
    </row>
    <row r="4701" spans="2:51" x14ac:dyDescent="0.2">
      <c r="B4701" s="7"/>
      <c r="C4701" s="8">
        <v>14950</v>
      </c>
      <c r="D4701" s="9" t="s">
        <v>1014</v>
      </c>
      <c r="E4701" s="10" t="str">
        <f t="shared" si="576"/>
        <v>Rancho La Cuchilla No. 86</v>
      </c>
      <c r="F4701" s="10" t="str">
        <f t="shared" si="577"/>
        <v>Del Villar</v>
      </c>
      <c r="G4701" s="8">
        <v>1</v>
      </c>
      <c r="H4701" s="11">
        <v>4400</v>
      </c>
      <c r="I4701" s="12">
        <v>42972</v>
      </c>
      <c r="J4701" s="35">
        <f t="shared" si="578"/>
        <v>0</v>
      </c>
      <c r="K4701" s="36"/>
      <c r="L4701" s="36"/>
      <c r="M4701" s="36"/>
      <c r="N4701" s="36"/>
      <c r="O4701" s="36"/>
      <c r="P4701" s="36"/>
      <c r="Q4701" s="36"/>
      <c r="R4701" s="36"/>
      <c r="S4701" s="36"/>
      <c r="T4701" s="36"/>
      <c r="U4701" s="36"/>
      <c r="V4701" s="36"/>
      <c r="W4701" s="15">
        <f t="shared" si="579"/>
        <v>0</v>
      </c>
      <c r="X4701" s="36">
        <v>400</v>
      </c>
      <c r="Y4701" s="36">
        <v>400</v>
      </c>
      <c r="Z4701" s="36">
        <v>400</v>
      </c>
      <c r="AA4701" s="36">
        <v>400</v>
      </c>
      <c r="AB4701" s="36">
        <v>400</v>
      </c>
      <c r="AC4701" s="36">
        <v>400</v>
      </c>
      <c r="AD4701" s="36">
        <v>400</v>
      </c>
      <c r="AE4701" s="36">
        <v>400</v>
      </c>
      <c r="AF4701" s="36">
        <v>400</v>
      </c>
      <c r="AG4701" s="36">
        <v>400</v>
      </c>
      <c r="AH4701" s="36">
        <v>400</v>
      </c>
      <c r="AI4701" s="36"/>
      <c r="AJ4701" s="15">
        <f t="shared" si="580"/>
        <v>4400</v>
      </c>
      <c r="AK4701" s="14"/>
      <c r="AL4701" s="14"/>
      <c r="AM4701" s="14"/>
      <c r="AN4701" s="14"/>
      <c r="AO4701" s="14"/>
      <c r="AP4701" s="14"/>
      <c r="AQ4701" s="14"/>
      <c r="AR4701" s="14"/>
      <c r="AS4701" s="14"/>
      <c r="AT4701" s="14"/>
      <c r="AU4701" s="14"/>
      <c r="AV4701" s="14"/>
      <c r="AW4701" s="15"/>
      <c r="AX4701" s="16" t="s">
        <v>3176</v>
      </c>
      <c r="AY4701" s="112">
        <f>SUM(H4696:H4701)</f>
        <v>8550</v>
      </c>
    </row>
    <row r="4702" spans="2:51" x14ac:dyDescent="0.2">
      <c r="B4702" s="7"/>
      <c r="C4702" s="8">
        <v>14951</v>
      </c>
      <c r="D4702" s="9" t="s">
        <v>725</v>
      </c>
      <c r="E4702" s="10" t="str">
        <f t="shared" ref="E4702:E4726" si="581">IF(D4702=0,"",VLOOKUP(D4702,BASE,2,FALSE))</f>
        <v>Rancho Zinamba No. 34</v>
      </c>
      <c r="F4702" s="10" t="str">
        <f t="shared" ref="F4702:F4726" si="582">IF(D4702=0,"",VLOOKUP(D4702,BASE,3,FALSE))</f>
        <v>Torres Zavala</v>
      </c>
      <c r="G4702" s="8">
        <v>1</v>
      </c>
      <c r="H4702" s="315">
        <v>800</v>
      </c>
      <c r="I4702" s="12">
        <v>42974</v>
      </c>
      <c r="J4702" s="35">
        <f t="shared" ref="J4702:J4726" si="583">IF(G4702=1,SUM(W4702,AJ4702,-H4702),0)</f>
        <v>0</v>
      </c>
      <c r="K4702" s="36"/>
      <c r="L4702" s="36"/>
      <c r="M4702" s="36"/>
      <c r="N4702" s="36"/>
      <c r="O4702" s="36"/>
      <c r="P4702" s="36"/>
      <c r="Q4702" s="36"/>
      <c r="R4702" s="36"/>
      <c r="S4702" s="36"/>
      <c r="T4702" s="36"/>
      <c r="U4702" s="36"/>
      <c r="V4702" s="36"/>
      <c r="W4702" s="15">
        <f t="shared" ref="W4702:W4726" si="584">SUM(K4702:V4702)</f>
        <v>0</v>
      </c>
      <c r="X4702" s="36"/>
      <c r="Y4702" s="36"/>
      <c r="Z4702" s="36"/>
      <c r="AA4702" s="36"/>
      <c r="AB4702" s="36"/>
      <c r="AC4702" s="36"/>
      <c r="AD4702" s="36">
        <v>400</v>
      </c>
      <c r="AE4702" s="36">
        <v>400</v>
      </c>
      <c r="AF4702" s="36"/>
      <c r="AG4702" s="36"/>
      <c r="AH4702" s="36"/>
      <c r="AI4702" s="36"/>
      <c r="AJ4702" s="15">
        <f t="shared" ref="AJ4702:AJ4726" si="585">SUM(X4702:AI4702)</f>
        <v>800</v>
      </c>
      <c r="AK4702" s="14"/>
      <c r="AL4702" s="14"/>
      <c r="AM4702" s="14"/>
      <c r="AN4702" s="14"/>
      <c r="AO4702" s="14"/>
      <c r="AP4702" s="14"/>
      <c r="AQ4702" s="14"/>
      <c r="AR4702" s="14"/>
      <c r="AS4702" s="14"/>
      <c r="AT4702" s="14"/>
      <c r="AU4702" s="14"/>
      <c r="AV4702" s="14"/>
      <c r="AW4702" s="15"/>
      <c r="AX4702" s="16"/>
    </row>
    <row r="4703" spans="2:51" x14ac:dyDescent="0.2">
      <c r="B4703" s="7"/>
      <c r="C4703" s="8">
        <v>14951</v>
      </c>
      <c r="D4703" s="9" t="s">
        <v>725</v>
      </c>
      <c r="E4703" s="10" t="str">
        <f t="shared" si="581"/>
        <v>Rancho Zinamba No. 34</v>
      </c>
      <c r="F4703" s="10" t="str">
        <f t="shared" si="582"/>
        <v>Torres Zavala</v>
      </c>
      <c r="G4703" s="8">
        <v>4</v>
      </c>
      <c r="H4703" s="11">
        <v>200</v>
      </c>
      <c r="I4703" s="12">
        <v>42974</v>
      </c>
      <c r="J4703" s="35">
        <f t="shared" si="583"/>
        <v>0</v>
      </c>
      <c r="K4703" s="36"/>
      <c r="L4703" s="36"/>
      <c r="M4703" s="36"/>
      <c r="N4703" s="36"/>
      <c r="O4703" s="36"/>
      <c r="P4703" s="36"/>
      <c r="Q4703" s="36"/>
      <c r="R4703" s="36"/>
      <c r="S4703" s="36"/>
      <c r="T4703" s="36"/>
      <c r="U4703" s="36"/>
      <c r="V4703" s="36"/>
      <c r="W4703" s="15">
        <f t="shared" si="584"/>
        <v>0</v>
      </c>
      <c r="X4703" s="36"/>
      <c r="Y4703" s="36"/>
      <c r="Z4703" s="36"/>
      <c r="AA4703" s="36"/>
      <c r="AB4703" s="36"/>
      <c r="AC4703" s="36"/>
      <c r="AD4703" s="36"/>
      <c r="AE4703" s="36"/>
      <c r="AF4703" s="36"/>
      <c r="AG4703" s="36"/>
      <c r="AH4703" s="36"/>
      <c r="AI4703" s="36"/>
      <c r="AJ4703" s="15">
        <f t="shared" si="585"/>
        <v>0</v>
      </c>
      <c r="AK4703" s="14"/>
      <c r="AL4703" s="14"/>
      <c r="AM4703" s="14"/>
      <c r="AN4703" s="14"/>
      <c r="AO4703" s="14"/>
      <c r="AP4703" s="14"/>
      <c r="AQ4703" s="14"/>
      <c r="AR4703" s="14"/>
      <c r="AS4703" s="14"/>
      <c r="AT4703" s="14"/>
      <c r="AU4703" s="14"/>
      <c r="AV4703" s="14"/>
      <c r="AW4703" s="15"/>
      <c r="AX4703" s="16" t="s">
        <v>4386</v>
      </c>
    </row>
    <row r="4704" spans="2:51" x14ac:dyDescent="0.2">
      <c r="B4704" s="7"/>
      <c r="C4704" s="8">
        <v>14952</v>
      </c>
      <c r="D4704" s="9" t="s">
        <v>837</v>
      </c>
      <c r="E4704" s="10" t="str">
        <f t="shared" si="581"/>
        <v>Rancho Estanzuela No. 67</v>
      </c>
      <c r="F4704" s="10" t="str">
        <f t="shared" si="582"/>
        <v>Carmona Galarza</v>
      </c>
      <c r="G4704" s="8">
        <v>1</v>
      </c>
      <c r="H4704" s="11">
        <v>1200</v>
      </c>
      <c r="I4704" s="12">
        <v>42974</v>
      </c>
      <c r="J4704" s="35">
        <f t="shared" si="583"/>
        <v>0</v>
      </c>
      <c r="K4704" s="36"/>
      <c r="L4704" s="36"/>
      <c r="M4704" s="36"/>
      <c r="N4704" s="36"/>
      <c r="O4704" s="36"/>
      <c r="P4704" s="36"/>
      <c r="Q4704" s="36"/>
      <c r="R4704" s="36"/>
      <c r="S4704" s="36"/>
      <c r="T4704" s="36"/>
      <c r="U4704" s="36"/>
      <c r="V4704" s="36"/>
      <c r="W4704" s="15">
        <f t="shared" si="584"/>
        <v>0</v>
      </c>
      <c r="X4704" s="36"/>
      <c r="Y4704" s="36"/>
      <c r="Z4704" s="36"/>
      <c r="AA4704" s="36"/>
      <c r="AB4704" s="36"/>
      <c r="AC4704" s="36"/>
      <c r="AD4704" s="36"/>
      <c r="AE4704" s="36">
        <v>400</v>
      </c>
      <c r="AF4704" s="36">
        <v>400</v>
      </c>
      <c r="AG4704" s="36">
        <v>400</v>
      </c>
      <c r="AH4704" s="36"/>
      <c r="AI4704" s="36"/>
      <c r="AJ4704" s="15">
        <f t="shared" si="585"/>
        <v>1200</v>
      </c>
      <c r="AK4704" s="14"/>
      <c r="AL4704" s="14"/>
      <c r="AM4704" s="14"/>
      <c r="AN4704" s="14"/>
      <c r="AO4704" s="14"/>
      <c r="AP4704" s="14"/>
      <c r="AQ4704" s="14"/>
      <c r="AR4704" s="14"/>
      <c r="AS4704" s="14"/>
      <c r="AT4704" s="14"/>
      <c r="AU4704" s="14"/>
      <c r="AV4704" s="14"/>
      <c r="AW4704" s="15"/>
      <c r="AX4704" s="16"/>
    </row>
    <row r="4705" spans="2:50" x14ac:dyDescent="0.2">
      <c r="B4705" s="7"/>
      <c r="C4705" s="8">
        <v>14953</v>
      </c>
      <c r="D4705" s="9" t="s">
        <v>523</v>
      </c>
      <c r="E4705" s="10" t="str">
        <f t="shared" si="581"/>
        <v>Rancho Estanzuela No. 139</v>
      </c>
      <c r="F4705" s="10" t="str">
        <f t="shared" si="582"/>
        <v xml:space="preserve">Ortiz   </v>
      </c>
      <c r="G4705" s="8">
        <v>1</v>
      </c>
      <c r="H4705" s="11">
        <v>800</v>
      </c>
      <c r="I4705" s="12">
        <v>42974</v>
      </c>
      <c r="J4705" s="35">
        <f t="shared" si="583"/>
        <v>0</v>
      </c>
      <c r="K4705" s="36"/>
      <c r="L4705" s="36"/>
      <c r="M4705" s="36"/>
      <c r="N4705" s="36"/>
      <c r="O4705" s="36"/>
      <c r="P4705" s="36"/>
      <c r="Q4705" s="36"/>
      <c r="R4705" s="36"/>
      <c r="S4705" s="36"/>
      <c r="T4705" s="36"/>
      <c r="U4705" s="36"/>
      <c r="V4705" s="36"/>
      <c r="W4705" s="15">
        <f t="shared" si="584"/>
        <v>0</v>
      </c>
      <c r="X4705" s="36"/>
      <c r="Y4705" s="36"/>
      <c r="Z4705" s="36"/>
      <c r="AA4705" s="36"/>
      <c r="AB4705" s="36"/>
      <c r="AC4705" s="36"/>
      <c r="AD4705" s="36">
        <v>400</v>
      </c>
      <c r="AE4705" s="36">
        <v>400</v>
      </c>
      <c r="AF4705" s="36"/>
      <c r="AG4705" s="36"/>
      <c r="AH4705" s="36"/>
      <c r="AI4705" s="36"/>
      <c r="AJ4705" s="15">
        <f t="shared" si="585"/>
        <v>800</v>
      </c>
      <c r="AK4705" s="14"/>
      <c r="AL4705" s="14"/>
      <c r="AM4705" s="14"/>
      <c r="AN4705" s="14"/>
      <c r="AO4705" s="14"/>
      <c r="AP4705" s="14"/>
      <c r="AQ4705" s="14"/>
      <c r="AR4705" s="14"/>
      <c r="AS4705" s="14"/>
      <c r="AT4705" s="14"/>
      <c r="AU4705" s="14"/>
      <c r="AV4705" s="14"/>
      <c r="AW4705" s="15"/>
      <c r="AX4705" s="16"/>
    </row>
    <row r="4706" spans="2:50" x14ac:dyDescent="0.2">
      <c r="B4706" s="7"/>
      <c r="C4706" s="8">
        <v>14954</v>
      </c>
      <c r="D4706" s="9" t="s">
        <v>132</v>
      </c>
      <c r="E4706" s="10" t="str">
        <f t="shared" si="581"/>
        <v>Rancho La Cuchilla No. 129</v>
      </c>
      <c r="F4706" s="10" t="str">
        <f t="shared" si="582"/>
        <v>Gamboa Rueda</v>
      </c>
      <c r="G4706" s="8">
        <v>1</v>
      </c>
      <c r="H4706" s="11">
        <v>100</v>
      </c>
      <c r="I4706" s="12">
        <v>42974</v>
      </c>
      <c r="J4706" s="35">
        <f t="shared" si="583"/>
        <v>0</v>
      </c>
      <c r="K4706" s="36"/>
      <c r="L4706" s="36"/>
      <c r="M4706" s="36"/>
      <c r="N4706" s="36"/>
      <c r="O4706" s="36"/>
      <c r="P4706" s="36"/>
      <c r="Q4706" s="36"/>
      <c r="R4706" s="36"/>
      <c r="S4706" s="36"/>
      <c r="T4706" s="36"/>
      <c r="U4706" s="36"/>
      <c r="V4706" s="36"/>
      <c r="W4706" s="15">
        <f t="shared" si="584"/>
        <v>0</v>
      </c>
      <c r="X4706" s="36"/>
      <c r="Y4706" s="36"/>
      <c r="Z4706" s="36"/>
      <c r="AA4706" s="36"/>
      <c r="AB4706" s="36"/>
      <c r="AC4706" s="36"/>
      <c r="AD4706" s="36"/>
      <c r="AE4706" s="36"/>
      <c r="AF4706" s="36">
        <v>100</v>
      </c>
      <c r="AG4706" s="36"/>
      <c r="AH4706" s="36"/>
      <c r="AI4706" s="36"/>
      <c r="AJ4706" s="15">
        <f t="shared" si="585"/>
        <v>100</v>
      </c>
      <c r="AK4706" s="14"/>
      <c r="AL4706" s="14"/>
      <c r="AM4706" s="14"/>
      <c r="AN4706" s="14"/>
      <c r="AO4706" s="14"/>
      <c r="AP4706" s="14"/>
      <c r="AQ4706" s="14"/>
      <c r="AR4706" s="14"/>
      <c r="AS4706" s="14"/>
      <c r="AT4706" s="14"/>
      <c r="AU4706" s="14"/>
      <c r="AV4706" s="14"/>
      <c r="AW4706" s="15"/>
      <c r="AX4706" s="16"/>
    </row>
    <row r="4707" spans="2:50" x14ac:dyDescent="0.2">
      <c r="B4707" s="7"/>
      <c r="C4707" s="8">
        <v>14955</v>
      </c>
      <c r="D4707" s="9" t="s">
        <v>271</v>
      </c>
      <c r="E4707" s="10" t="str">
        <f t="shared" si="581"/>
        <v>Rancho Landero No. 76</v>
      </c>
      <c r="F4707" s="10" t="str">
        <f t="shared" si="582"/>
        <v>Ugarte</v>
      </c>
      <c r="G4707" s="8">
        <v>1</v>
      </c>
      <c r="H4707" s="11">
        <v>800</v>
      </c>
      <c r="I4707" s="12">
        <v>42974</v>
      </c>
      <c r="J4707" s="35">
        <f t="shared" si="583"/>
        <v>0</v>
      </c>
      <c r="K4707" s="36"/>
      <c r="L4707" s="36"/>
      <c r="M4707" s="36"/>
      <c r="N4707" s="36"/>
      <c r="O4707" s="36"/>
      <c r="P4707" s="36"/>
      <c r="Q4707" s="36"/>
      <c r="R4707" s="36"/>
      <c r="S4707" s="36"/>
      <c r="T4707" s="36"/>
      <c r="U4707" s="36"/>
      <c r="V4707" s="36"/>
      <c r="W4707" s="15">
        <f t="shared" si="584"/>
        <v>0</v>
      </c>
      <c r="X4707" s="36"/>
      <c r="Y4707" s="36"/>
      <c r="Z4707" s="36"/>
      <c r="AA4707" s="36"/>
      <c r="AB4707" s="36"/>
      <c r="AC4707" s="36"/>
      <c r="AD4707" s="36"/>
      <c r="AE4707" s="36">
        <v>400</v>
      </c>
      <c r="AF4707" s="36">
        <v>400</v>
      </c>
      <c r="AG4707" s="36"/>
      <c r="AH4707" s="36"/>
      <c r="AI4707" s="36"/>
      <c r="AJ4707" s="15">
        <f t="shared" si="585"/>
        <v>800</v>
      </c>
      <c r="AK4707" s="14"/>
      <c r="AL4707" s="14"/>
      <c r="AM4707" s="14"/>
      <c r="AN4707" s="14"/>
      <c r="AO4707" s="14"/>
      <c r="AP4707" s="14"/>
      <c r="AQ4707" s="14"/>
      <c r="AR4707" s="14"/>
      <c r="AS4707" s="14"/>
      <c r="AT4707" s="14"/>
      <c r="AU4707" s="14"/>
      <c r="AV4707" s="14"/>
      <c r="AW4707" s="15"/>
      <c r="AX4707" s="16"/>
    </row>
    <row r="4708" spans="2:50" x14ac:dyDescent="0.2">
      <c r="B4708" s="7"/>
      <c r="C4708" s="8">
        <v>14956</v>
      </c>
      <c r="D4708" s="9" t="s">
        <v>103</v>
      </c>
      <c r="E4708" s="10" t="str">
        <f t="shared" si="581"/>
        <v>Rancho La Cuchilla No. 41</v>
      </c>
      <c r="F4708" s="10" t="str">
        <f t="shared" si="582"/>
        <v>Arriaga Lemus</v>
      </c>
      <c r="G4708" s="8">
        <v>1</v>
      </c>
      <c r="H4708" s="11">
        <v>400</v>
      </c>
      <c r="I4708" s="12">
        <v>42974</v>
      </c>
      <c r="J4708" s="35">
        <f t="shared" si="583"/>
        <v>0</v>
      </c>
      <c r="K4708" s="36"/>
      <c r="L4708" s="36"/>
      <c r="M4708" s="36"/>
      <c r="N4708" s="36"/>
      <c r="O4708" s="36"/>
      <c r="P4708" s="36"/>
      <c r="Q4708" s="36"/>
      <c r="R4708" s="36"/>
      <c r="S4708" s="36"/>
      <c r="T4708" s="36"/>
      <c r="U4708" s="36"/>
      <c r="V4708" s="36"/>
      <c r="W4708" s="15">
        <f t="shared" si="584"/>
        <v>0</v>
      </c>
      <c r="X4708" s="36"/>
      <c r="Y4708" s="36"/>
      <c r="Z4708" s="36"/>
      <c r="AA4708" s="36"/>
      <c r="AB4708" s="36"/>
      <c r="AC4708" s="36"/>
      <c r="AD4708" s="36"/>
      <c r="AE4708" s="36">
        <v>400</v>
      </c>
      <c r="AF4708" s="36"/>
      <c r="AG4708" s="36"/>
      <c r="AH4708" s="36"/>
      <c r="AI4708" s="36"/>
      <c r="AJ4708" s="15">
        <f t="shared" si="585"/>
        <v>400</v>
      </c>
      <c r="AK4708" s="14"/>
      <c r="AL4708" s="14"/>
      <c r="AM4708" s="14"/>
      <c r="AN4708" s="14"/>
      <c r="AO4708" s="14"/>
      <c r="AP4708" s="14"/>
      <c r="AQ4708" s="14"/>
      <c r="AR4708" s="14"/>
      <c r="AS4708" s="14"/>
      <c r="AT4708" s="14"/>
      <c r="AU4708" s="14"/>
      <c r="AV4708" s="14"/>
      <c r="AW4708" s="15"/>
      <c r="AX4708" s="16"/>
    </row>
    <row r="4709" spans="2:50" x14ac:dyDescent="0.2">
      <c r="B4709" s="7"/>
      <c r="C4709" s="8">
        <v>14957</v>
      </c>
      <c r="D4709" s="9" t="s">
        <v>404</v>
      </c>
      <c r="E4709" s="10" t="str">
        <f t="shared" si="581"/>
        <v>Rancho La Cuchilla No. 89</v>
      </c>
      <c r="F4709" s="10" t="str">
        <f t="shared" si="582"/>
        <v>Gálvez</v>
      </c>
      <c r="G4709" s="8">
        <v>1</v>
      </c>
      <c r="H4709" s="11">
        <v>800</v>
      </c>
      <c r="I4709" s="12">
        <v>42974</v>
      </c>
      <c r="J4709" s="35">
        <f t="shared" si="583"/>
        <v>0</v>
      </c>
      <c r="K4709" s="36"/>
      <c r="L4709" s="36"/>
      <c r="M4709" s="36"/>
      <c r="N4709" s="36"/>
      <c r="O4709" s="36"/>
      <c r="P4709" s="36"/>
      <c r="Q4709" s="36"/>
      <c r="R4709" s="36"/>
      <c r="S4709" s="36"/>
      <c r="T4709" s="36"/>
      <c r="U4709" s="36"/>
      <c r="V4709" s="36"/>
      <c r="W4709" s="15">
        <f t="shared" si="584"/>
        <v>0</v>
      </c>
      <c r="X4709" s="36"/>
      <c r="Y4709" s="36"/>
      <c r="Z4709" s="36"/>
      <c r="AA4709" s="36"/>
      <c r="AB4709" s="36"/>
      <c r="AC4709" s="36"/>
      <c r="AD4709" s="36"/>
      <c r="AE4709" s="36">
        <v>400</v>
      </c>
      <c r="AF4709" s="36">
        <v>400</v>
      </c>
      <c r="AG4709" s="36"/>
      <c r="AH4709" s="36"/>
      <c r="AI4709" s="36"/>
      <c r="AJ4709" s="15">
        <f t="shared" si="585"/>
        <v>800</v>
      </c>
      <c r="AK4709" s="14"/>
      <c r="AL4709" s="14"/>
      <c r="AM4709" s="14"/>
      <c r="AN4709" s="14"/>
      <c r="AO4709" s="14"/>
      <c r="AP4709" s="14"/>
      <c r="AQ4709" s="14"/>
      <c r="AR4709" s="14"/>
      <c r="AS4709" s="14"/>
      <c r="AT4709" s="14"/>
      <c r="AU4709" s="14"/>
      <c r="AV4709" s="14"/>
      <c r="AW4709" s="15"/>
      <c r="AX4709" s="16"/>
    </row>
    <row r="4710" spans="2:50" x14ac:dyDescent="0.2">
      <c r="B4710" s="7"/>
      <c r="C4710" s="8">
        <v>14958</v>
      </c>
      <c r="D4710" s="9" t="s">
        <v>899</v>
      </c>
      <c r="E4710" s="10" t="str">
        <f t="shared" si="581"/>
        <v>Rancho Landero No. 8</v>
      </c>
      <c r="F4710" s="10" t="str">
        <f t="shared" si="582"/>
        <v>Garces Suarez</v>
      </c>
      <c r="G4710" s="8">
        <v>1</v>
      </c>
      <c r="H4710" s="11">
        <v>800</v>
      </c>
      <c r="I4710" s="12">
        <v>42974</v>
      </c>
      <c r="J4710" s="35">
        <f t="shared" si="583"/>
        <v>0</v>
      </c>
      <c r="K4710" s="36"/>
      <c r="L4710" s="36"/>
      <c r="M4710" s="36"/>
      <c r="N4710" s="36"/>
      <c r="O4710" s="36"/>
      <c r="P4710" s="36"/>
      <c r="Q4710" s="36"/>
      <c r="R4710" s="36"/>
      <c r="S4710" s="36"/>
      <c r="T4710" s="36"/>
      <c r="U4710" s="36"/>
      <c r="V4710" s="36"/>
      <c r="W4710" s="15">
        <f t="shared" si="584"/>
        <v>0</v>
      </c>
      <c r="X4710" s="36"/>
      <c r="Y4710" s="36"/>
      <c r="Z4710" s="36"/>
      <c r="AA4710" s="36"/>
      <c r="AB4710" s="36"/>
      <c r="AC4710" s="36"/>
      <c r="AD4710" s="36"/>
      <c r="AE4710" s="36">
        <v>400</v>
      </c>
      <c r="AF4710" s="36">
        <v>400</v>
      </c>
      <c r="AG4710" s="36"/>
      <c r="AH4710" s="36"/>
      <c r="AI4710" s="36"/>
      <c r="AJ4710" s="15">
        <f t="shared" si="585"/>
        <v>800</v>
      </c>
      <c r="AK4710" s="14"/>
      <c r="AL4710" s="14"/>
      <c r="AM4710" s="14"/>
      <c r="AN4710" s="14"/>
      <c r="AO4710" s="14"/>
      <c r="AP4710" s="14"/>
      <c r="AQ4710" s="14"/>
      <c r="AR4710" s="14"/>
      <c r="AS4710" s="14"/>
      <c r="AT4710" s="14"/>
      <c r="AU4710" s="14"/>
      <c r="AV4710" s="14"/>
      <c r="AW4710" s="15"/>
      <c r="AX4710" s="16"/>
    </row>
    <row r="4711" spans="2:50" x14ac:dyDescent="0.2">
      <c r="B4711" s="7"/>
      <c r="C4711" s="8">
        <v>14959</v>
      </c>
      <c r="D4711" s="9" t="s">
        <v>62</v>
      </c>
      <c r="E4711" s="10" t="str">
        <f t="shared" si="581"/>
        <v>Rancho Romeral No. 10, A</v>
      </c>
      <c r="F4711" s="10" t="str">
        <f t="shared" si="582"/>
        <v>Casillas Álvarez</v>
      </c>
      <c r="G4711" s="8">
        <v>1</v>
      </c>
      <c r="H4711" s="11">
        <v>200</v>
      </c>
      <c r="I4711" s="12">
        <v>42974</v>
      </c>
      <c r="J4711" s="35">
        <f t="shared" si="583"/>
        <v>0</v>
      </c>
      <c r="K4711" s="36"/>
      <c r="L4711" s="36"/>
      <c r="M4711" s="36"/>
      <c r="N4711" s="36"/>
      <c r="O4711" s="36"/>
      <c r="P4711" s="36"/>
      <c r="Q4711" s="36"/>
      <c r="R4711" s="36"/>
      <c r="S4711" s="36"/>
      <c r="T4711" s="36"/>
      <c r="U4711" s="36"/>
      <c r="V4711" s="36"/>
      <c r="W4711" s="15">
        <f t="shared" si="584"/>
        <v>0</v>
      </c>
      <c r="X4711" s="36"/>
      <c r="Y4711" s="36"/>
      <c r="Z4711" s="36"/>
      <c r="AA4711" s="36"/>
      <c r="AB4711" s="36"/>
      <c r="AC4711" s="36"/>
      <c r="AD4711" s="36"/>
      <c r="AE4711" s="36"/>
      <c r="AF4711" s="36">
        <v>200</v>
      </c>
      <c r="AG4711" s="36"/>
      <c r="AH4711" s="36"/>
      <c r="AI4711" s="36"/>
      <c r="AJ4711" s="15">
        <f t="shared" si="585"/>
        <v>200</v>
      </c>
      <c r="AK4711" s="14"/>
      <c r="AL4711" s="14"/>
      <c r="AM4711" s="14"/>
      <c r="AN4711" s="14"/>
      <c r="AO4711" s="14"/>
      <c r="AP4711" s="14"/>
      <c r="AQ4711" s="14"/>
      <c r="AR4711" s="14"/>
      <c r="AS4711" s="14"/>
      <c r="AT4711" s="14"/>
      <c r="AU4711" s="14"/>
      <c r="AV4711" s="14"/>
      <c r="AW4711" s="15"/>
      <c r="AX4711" s="16"/>
    </row>
    <row r="4712" spans="2:50" x14ac:dyDescent="0.2">
      <c r="B4712" s="7"/>
      <c r="C4712" s="8">
        <v>14960</v>
      </c>
      <c r="D4712" s="9" t="s">
        <v>625</v>
      </c>
      <c r="E4712" s="10" t="str">
        <f t="shared" si="581"/>
        <v>Rancho Upácuaro No. 60</v>
      </c>
      <c r="F4712" s="10" t="str">
        <f t="shared" si="582"/>
        <v>Zavala</v>
      </c>
      <c r="G4712" s="8">
        <v>1</v>
      </c>
      <c r="H4712" s="11">
        <v>400</v>
      </c>
      <c r="I4712" s="12">
        <v>42974</v>
      </c>
      <c r="J4712" s="35">
        <f t="shared" si="583"/>
        <v>0</v>
      </c>
      <c r="K4712" s="36"/>
      <c r="L4712" s="36"/>
      <c r="M4712" s="36"/>
      <c r="N4712" s="36"/>
      <c r="O4712" s="36"/>
      <c r="P4712" s="36"/>
      <c r="Q4712" s="36"/>
      <c r="R4712" s="36"/>
      <c r="S4712" s="36"/>
      <c r="T4712" s="36"/>
      <c r="U4712" s="36"/>
      <c r="V4712" s="36"/>
      <c r="W4712" s="15">
        <f t="shared" si="584"/>
        <v>0</v>
      </c>
      <c r="X4712" s="36"/>
      <c r="Y4712" s="36"/>
      <c r="Z4712" s="36"/>
      <c r="AA4712" s="36"/>
      <c r="AB4712" s="36"/>
      <c r="AC4712" s="36"/>
      <c r="AD4712" s="36">
        <v>400</v>
      </c>
      <c r="AE4712" s="36"/>
      <c r="AF4712" s="36"/>
      <c r="AG4712" s="36"/>
      <c r="AH4712" s="36"/>
      <c r="AI4712" s="36"/>
      <c r="AJ4712" s="15">
        <f t="shared" si="585"/>
        <v>400</v>
      </c>
      <c r="AK4712" s="14"/>
      <c r="AL4712" s="14"/>
      <c r="AM4712" s="14"/>
      <c r="AN4712" s="14"/>
      <c r="AO4712" s="14"/>
      <c r="AP4712" s="14"/>
      <c r="AQ4712" s="14"/>
      <c r="AR4712" s="14"/>
      <c r="AS4712" s="14"/>
      <c r="AT4712" s="14"/>
      <c r="AU4712" s="14"/>
      <c r="AV4712" s="14"/>
      <c r="AW4712" s="15"/>
      <c r="AX4712" s="16"/>
    </row>
    <row r="4713" spans="2:50" x14ac:dyDescent="0.2">
      <c r="B4713" s="7"/>
      <c r="C4713" s="8">
        <v>14961</v>
      </c>
      <c r="D4713" s="9" t="s">
        <v>87</v>
      </c>
      <c r="E4713" s="10" t="str">
        <f t="shared" si="581"/>
        <v>Rancho Zinamba No. 36</v>
      </c>
      <c r="F4713" s="10" t="str">
        <f t="shared" si="582"/>
        <v>Rodríguez Ortiz</v>
      </c>
      <c r="G4713" s="8">
        <v>5</v>
      </c>
      <c r="H4713" s="11">
        <v>50</v>
      </c>
      <c r="I4713" s="12">
        <v>42974</v>
      </c>
      <c r="J4713" s="35">
        <f t="shared" si="583"/>
        <v>0</v>
      </c>
      <c r="K4713" s="36"/>
      <c r="L4713" s="36"/>
      <c r="M4713" s="36"/>
      <c r="N4713" s="36"/>
      <c r="O4713" s="36"/>
      <c r="P4713" s="36"/>
      <c r="Q4713" s="36"/>
      <c r="R4713" s="36"/>
      <c r="S4713" s="36"/>
      <c r="T4713" s="36"/>
      <c r="U4713" s="36"/>
      <c r="V4713" s="36"/>
      <c r="W4713" s="15">
        <f t="shared" si="584"/>
        <v>0</v>
      </c>
      <c r="X4713" s="36"/>
      <c r="Y4713" s="36"/>
      <c r="Z4713" s="36"/>
      <c r="AA4713" s="36"/>
      <c r="AB4713" s="36"/>
      <c r="AC4713" s="36"/>
      <c r="AD4713" s="36"/>
      <c r="AE4713" s="36"/>
      <c r="AF4713" s="36"/>
      <c r="AG4713" s="36"/>
      <c r="AH4713" s="36"/>
      <c r="AI4713" s="36"/>
      <c r="AJ4713" s="15">
        <f t="shared" si="585"/>
        <v>0</v>
      </c>
      <c r="AK4713" s="14"/>
      <c r="AL4713" s="14"/>
      <c r="AM4713" s="14"/>
      <c r="AN4713" s="14"/>
      <c r="AO4713" s="14"/>
      <c r="AP4713" s="14"/>
      <c r="AQ4713" s="14"/>
      <c r="AR4713" s="14"/>
      <c r="AS4713" s="14"/>
      <c r="AT4713" s="14"/>
      <c r="AU4713" s="14"/>
      <c r="AV4713" s="14"/>
      <c r="AW4713" s="15"/>
      <c r="AX4713" s="16"/>
    </row>
    <row r="4714" spans="2:50" x14ac:dyDescent="0.2">
      <c r="B4714" s="7"/>
      <c r="C4714" s="8">
        <v>14962</v>
      </c>
      <c r="D4714" s="9" t="s">
        <v>473</v>
      </c>
      <c r="E4714" s="10" t="str">
        <f t="shared" si="581"/>
        <v>Rancho Zinamba No. 14</v>
      </c>
      <c r="F4714" s="10" t="str">
        <f t="shared" si="582"/>
        <v>Gutiérrez García</v>
      </c>
      <c r="G4714" s="8">
        <v>1</v>
      </c>
      <c r="H4714" s="11">
        <v>800</v>
      </c>
      <c r="I4714" s="12">
        <v>42974</v>
      </c>
      <c r="J4714" s="35">
        <f t="shared" si="583"/>
        <v>0</v>
      </c>
      <c r="K4714" s="36"/>
      <c r="L4714" s="36"/>
      <c r="M4714" s="36"/>
      <c r="N4714" s="36"/>
      <c r="O4714" s="36"/>
      <c r="P4714" s="36"/>
      <c r="Q4714" s="36"/>
      <c r="R4714" s="36"/>
      <c r="S4714" s="36"/>
      <c r="T4714" s="36"/>
      <c r="U4714" s="36"/>
      <c r="V4714" s="36"/>
      <c r="W4714" s="15">
        <f t="shared" si="584"/>
        <v>0</v>
      </c>
      <c r="X4714" s="36"/>
      <c r="Y4714" s="36"/>
      <c r="Z4714" s="36"/>
      <c r="AA4714" s="36"/>
      <c r="AB4714" s="36"/>
      <c r="AC4714" s="36"/>
      <c r="AD4714" s="36">
        <v>400</v>
      </c>
      <c r="AE4714" s="36">
        <v>400</v>
      </c>
      <c r="AF4714" s="36"/>
      <c r="AG4714" s="36"/>
      <c r="AH4714" s="36"/>
      <c r="AI4714" s="36"/>
      <c r="AJ4714" s="15">
        <f t="shared" si="585"/>
        <v>800</v>
      </c>
      <c r="AK4714" s="14"/>
      <c r="AL4714" s="14"/>
      <c r="AM4714" s="14"/>
      <c r="AN4714" s="14"/>
      <c r="AO4714" s="14"/>
      <c r="AP4714" s="14"/>
      <c r="AQ4714" s="14"/>
      <c r="AR4714" s="14"/>
      <c r="AS4714" s="14"/>
      <c r="AT4714" s="14"/>
      <c r="AU4714" s="14"/>
      <c r="AV4714" s="14"/>
      <c r="AW4714" s="15"/>
      <c r="AX4714" s="16"/>
    </row>
    <row r="4715" spans="2:50" x14ac:dyDescent="0.2">
      <c r="B4715" s="7"/>
      <c r="C4715" s="8">
        <v>14963</v>
      </c>
      <c r="D4715" s="9" t="s">
        <v>1170</v>
      </c>
      <c r="E4715" s="10" t="str">
        <f t="shared" si="581"/>
        <v>Rancho La Cuchilla No. 117</v>
      </c>
      <c r="F4715" s="10" t="str">
        <f t="shared" si="582"/>
        <v>Gómez</v>
      </c>
      <c r="G4715" s="8">
        <v>1</v>
      </c>
      <c r="H4715" s="11">
        <v>800</v>
      </c>
      <c r="I4715" s="12">
        <v>42974</v>
      </c>
      <c r="J4715" s="35">
        <f t="shared" si="583"/>
        <v>0</v>
      </c>
      <c r="K4715" s="36"/>
      <c r="L4715" s="36"/>
      <c r="M4715" s="36"/>
      <c r="N4715" s="36"/>
      <c r="O4715" s="36"/>
      <c r="P4715" s="36"/>
      <c r="Q4715" s="36"/>
      <c r="R4715" s="36"/>
      <c r="S4715" s="36"/>
      <c r="T4715" s="36"/>
      <c r="U4715" s="36"/>
      <c r="V4715" s="36"/>
      <c r="W4715" s="15">
        <f t="shared" si="584"/>
        <v>0</v>
      </c>
      <c r="X4715" s="36">
        <v>400</v>
      </c>
      <c r="Y4715" s="36">
        <v>400</v>
      </c>
      <c r="Z4715" s="36"/>
      <c r="AA4715" s="36"/>
      <c r="AB4715" s="36"/>
      <c r="AC4715" s="36"/>
      <c r="AD4715" s="36"/>
      <c r="AE4715" s="36"/>
      <c r="AF4715" s="36"/>
      <c r="AG4715" s="36"/>
      <c r="AH4715" s="36"/>
      <c r="AI4715" s="36"/>
      <c r="AJ4715" s="15">
        <f t="shared" si="585"/>
        <v>800</v>
      </c>
      <c r="AK4715" s="14"/>
      <c r="AL4715" s="14"/>
      <c r="AM4715" s="14"/>
      <c r="AN4715" s="14"/>
      <c r="AO4715" s="14"/>
      <c r="AP4715" s="14"/>
      <c r="AQ4715" s="14"/>
      <c r="AR4715" s="14"/>
      <c r="AS4715" s="14"/>
      <c r="AT4715" s="14"/>
      <c r="AU4715" s="14"/>
      <c r="AV4715" s="14"/>
      <c r="AW4715" s="15"/>
      <c r="AX4715" s="16"/>
    </row>
    <row r="4716" spans="2:50" x14ac:dyDescent="0.2">
      <c r="B4716" s="7"/>
      <c r="C4716" s="8">
        <v>14964</v>
      </c>
      <c r="D4716" s="9" t="s">
        <v>617</v>
      </c>
      <c r="E4716" s="10" t="str">
        <f t="shared" si="581"/>
        <v>Rancho Zinamba No. 50</v>
      </c>
      <c r="F4716" s="10" t="str">
        <f t="shared" si="582"/>
        <v>Del Castillo</v>
      </c>
      <c r="G4716" s="8">
        <v>1</v>
      </c>
      <c r="H4716" s="11">
        <v>400</v>
      </c>
      <c r="I4716" s="12">
        <v>42974</v>
      </c>
      <c r="J4716" s="35">
        <f t="shared" si="583"/>
        <v>0</v>
      </c>
      <c r="K4716" s="36"/>
      <c r="L4716" s="36"/>
      <c r="M4716" s="36"/>
      <c r="N4716" s="36"/>
      <c r="O4716" s="36"/>
      <c r="P4716" s="36"/>
      <c r="Q4716" s="36"/>
      <c r="R4716" s="36"/>
      <c r="S4716" s="36"/>
      <c r="T4716" s="36"/>
      <c r="U4716" s="36"/>
      <c r="V4716" s="36"/>
      <c r="W4716" s="15">
        <f t="shared" si="584"/>
        <v>0</v>
      </c>
      <c r="X4716" s="36"/>
      <c r="Y4716" s="36"/>
      <c r="Z4716" s="36"/>
      <c r="AA4716" s="36"/>
      <c r="AB4716" s="36"/>
      <c r="AC4716" s="36"/>
      <c r="AD4716" s="36">
        <v>400</v>
      </c>
      <c r="AE4716" s="36"/>
      <c r="AF4716" s="36"/>
      <c r="AG4716" s="36"/>
      <c r="AH4716" s="36"/>
      <c r="AI4716" s="36"/>
      <c r="AJ4716" s="15">
        <f t="shared" si="585"/>
        <v>400</v>
      </c>
      <c r="AK4716" s="14"/>
      <c r="AL4716" s="14"/>
      <c r="AM4716" s="14"/>
      <c r="AN4716" s="14"/>
      <c r="AO4716" s="14"/>
      <c r="AP4716" s="14"/>
      <c r="AQ4716" s="14"/>
      <c r="AR4716" s="14"/>
      <c r="AS4716" s="14"/>
      <c r="AT4716" s="14"/>
      <c r="AU4716" s="14"/>
      <c r="AV4716" s="14"/>
      <c r="AW4716" s="15"/>
      <c r="AX4716" s="16"/>
    </row>
    <row r="4717" spans="2:50" x14ac:dyDescent="0.2">
      <c r="B4717" s="7"/>
      <c r="C4717" s="8">
        <v>14965</v>
      </c>
      <c r="D4717" s="9" t="s">
        <v>431</v>
      </c>
      <c r="E4717" s="10" t="str">
        <f t="shared" si="581"/>
        <v>Rancho Landero No. 63</v>
      </c>
      <c r="F4717" s="10" t="str">
        <f t="shared" si="582"/>
        <v>Hernández Chávez</v>
      </c>
      <c r="G4717" s="8">
        <v>1</v>
      </c>
      <c r="H4717" s="11">
        <v>400</v>
      </c>
      <c r="I4717" s="12">
        <v>42974</v>
      </c>
      <c r="J4717" s="35">
        <f t="shared" si="583"/>
        <v>0</v>
      </c>
      <c r="K4717" s="36"/>
      <c r="L4717" s="36"/>
      <c r="M4717" s="36"/>
      <c r="N4717" s="36"/>
      <c r="O4717" s="36"/>
      <c r="P4717" s="36"/>
      <c r="Q4717" s="36"/>
      <c r="R4717" s="36"/>
      <c r="S4717" s="36"/>
      <c r="T4717" s="36"/>
      <c r="U4717" s="36"/>
      <c r="V4717" s="36"/>
      <c r="W4717" s="15">
        <f t="shared" si="584"/>
        <v>0</v>
      </c>
      <c r="X4717" s="36"/>
      <c r="Y4717" s="36"/>
      <c r="Z4717" s="36"/>
      <c r="AA4717" s="36"/>
      <c r="AB4717" s="36"/>
      <c r="AC4717" s="36"/>
      <c r="AD4717" s="36"/>
      <c r="AE4717" s="36">
        <v>400</v>
      </c>
      <c r="AF4717" s="36"/>
      <c r="AG4717" s="36"/>
      <c r="AH4717" s="36"/>
      <c r="AI4717" s="36"/>
      <c r="AJ4717" s="15">
        <f t="shared" si="585"/>
        <v>400</v>
      </c>
      <c r="AK4717" s="14"/>
      <c r="AL4717" s="14"/>
      <c r="AM4717" s="14"/>
      <c r="AN4717" s="14"/>
      <c r="AO4717" s="14"/>
      <c r="AP4717" s="14"/>
      <c r="AQ4717" s="14"/>
      <c r="AR4717" s="14"/>
      <c r="AS4717" s="14"/>
      <c r="AT4717" s="14"/>
      <c r="AU4717" s="14"/>
      <c r="AV4717" s="14"/>
      <c r="AW4717" s="15"/>
      <c r="AX4717" s="16"/>
    </row>
    <row r="4718" spans="2:50" x14ac:dyDescent="0.2">
      <c r="B4718" s="7"/>
      <c r="C4718" s="8">
        <v>14966</v>
      </c>
      <c r="D4718" s="9" t="s">
        <v>373</v>
      </c>
      <c r="E4718" s="10" t="str">
        <f t="shared" si="581"/>
        <v>Rancho Upácuaro No. 118</v>
      </c>
      <c r="F4718" s="10" t="str">
        <f t="shared" si="582"/>
        <v>Siegrist</v>
      </c>
      <c r="G4718" s="8">
        <v>7</v>
      </c>
      <c r="H4718" s="11">
        <v>50</v>
      </c>
      <c r="I4718" s="12">
        <v>42974</v>
      </c>
      <c r="J4718" s="35">
        <f t="shared" si="583"/>
        <v>0</v>
      </c>
      <c r="K4718" s="36"/>
      <c r="L4718" s="36"/>
      <c r="M4718" s="36"/>
      <c r="N4718" s="36"/>
      <c r="O4718" s="36"/>
      <c r="P4718" s="36"/>
      <c r="Q4718" s="36"/>
      <c r="R4718" s="36"/>
      <c r="S4718" s="36"/>
      <c r="T4718" s="36"/>
      <c r="U4718" s="36"/>
      <c r="V4718" s="36"/>
      <c r="W4718" s="15">
        <f t="shared" si="584"/>
        <v>0</v>
      </c>
      <c r="X4718" s="36"/>
      <c r="Y4718" s="36"/>
      <c r="Z4718" s="36"/>
      <c r="AA4718" s="36"/>
      <c r="AB4718" s="36"/>
      <c r="AC4718" s="36"/>
      <c r="AD4718" s="36"/>
      <c r="AE4718" s="36"/>
      <c r="AF4718" s="36"/>
      <c r="AG4718" s="36"/>
      <c r="AH4718" s="36"/>
      <c r="AI4718" s="36"/>
      <c r="AJ4718" s="15">
        <f t="shared" si="585"/>
        <v>0</v>
      </c>
      <c r="AK4718" s="14"/>
      <c r="AL4718" s="14"/>
      <c r="AM4718" s="14"/>
      <c r="AN4718" s="14"/>
      <c r="AO4718" s="14"/>
      <c r="AP4718" s="14"/>
      <c r="AQ4718" s="14"/>
      <c r="AR4718" s="14"/>
      <c r="AS4718" s="14"/>
      <c r="AT4718" s="14"/>
      <c r="AU4718" s="14"/>
      <c r="AV4718" s="14"/>
      <c r="AW4718" s="15"/>
      <c r="AX4718" s="16" t="s">
        <v>4387</v>
      </c>
    </row>
    <row r="4719" spans="2:50" x14ac:dyDescent="0.2">
      <c r="B4719" s="7"/>
      <c r="C4719" s="8">
        <v>14967</v>
      </c>
      <c r="D4719" s="9" t="s">
        <v>828</v>
      </c>
      <c r="E4719" s="10" t="str">
        <f t="shared" si="581"/>
        <v>Rancho Upácuaro No. 130</v>
      </c>
      <c r="F4719" s="10" t="str">
        <f t="shared" si="582"/>
        <v>Rodríguez Álvarez</v>
      </c>
      <c r="G4719" s="8">
        <v>1</v>
      </c>
      <c r="H4719" s="11">
        <v>400</v>
      </c>
      <c r="I4719" s="12">
        <v>42974</v>
      </c>
      <c r="J4719" s="35">
        <f t="shared" si="583"/>
        <v>0</v>
      </c>
      <c r="K4719" s="36"/>
      <c r="L4719" s="36"/>
      <c r="M4719" s="36"/>
      <c r="N4719" s="36"/>
      <c r="O4719" s="36"/>
      <c r="P4719" s="36"/>
      <c r="Q4719" s="36"/>
      <c r="R4719" s="36"/>
      <c r="S4719" s="36"/>
      <c r="T4719" s="36"/>
      <c r="U4719" s="36"/>
      <c r="V4719" s="36"/>
      <c r="W4719" s="15">
        <f t="shared" si="584"/>
        <v>0</v>
      </c>
      <c r="X4719" s="36"/>
      <c r="Y4719" s="36"/>
      <c r="Z4719" s="36"/>
      <c r="AA4719" s="36"/>
      <c r="AB4719" s="36"/>
      <c r="AC4719" s="36"/>
      <c r="AD4719" s="36">
        <v>200</v>
      </c>
      <c r="AE4719" s="36">
        <v>200</v>
      </c>
      <c r="AF4719" s="36"/>
      <c r="AG4719" s="36"/>
      <c r="AH4719" s="36"/>
      <c r="AI4719" s="36"/>
      <c r="AJ4719" s="15">
        <f t="shared" si="585"/>
        <v>400</v>
      </c>
      <c r="AK4719" s="14"/>
      <c r="AL4719" s="14"/>
      <c r="AM4719" s="14"/>
      <c r="AN4719" s="14"/>
      <c r="AO4719" s="14"/>
      <c r="AP4719" s="14"/>
      <c r="AQ4719" s="14"/>
      <c r="AR4719" s="14"/>
      <c r="AS4719" s="14"/>
      <c r="AT4719" s="14"/>
      <c r="AU4719" s="14"/>
      <c r="AV4719" s="14"/>
      <c r="AW4719" s="15"/>
      <c r="AX4719" s="16"/>
    </row>
    <row r="4720" spans="2:50" x14ac:dyDescent="0.2">
      <c r="B4720" s="7"/>
      <c r="C4720" s="8">
        <v>14968</v>
      </c>
      <c r="D4720" s="9" t="s">
        <v>538</v>
      </c>
      <c r="E4720" s="10" t="str">
        <f t="shared" si="581"/>
        <v>Rancho Landero No. 73</v>
      </c>
      <c r="F4720" s="10" t="str">
        <f t="shared" si="582"/>
        <v>Islas Palacios</v>
      </c>
      <c r="G4720" s="8">
        <v>1</v>
      </c>
      <c r="H4720" s="11">
        <v>400</v>
      </c>
      <c r="I4720" s="12">
        <v>42974</v>
      </c>
      <c r="J4720" s="35">
        <f t="shared" si="583"/>
        <v>0</v>
      </c>
      <c r="K4720" s="36"/>
      <c r="L4720" s="36"/>
      <c r="M4720" s="36"/>
      <c r="N4720" s="36"/>
      <c r="O4720" s="36"/>
      <c r="P4720" s="36"/>
      <c r="Q4720" s="36"/>
      <c r="R4720" s="36"/>
      <c r="S4720" s="36"/>
      <c r="T4720" s="36"/>
      <c r="U4720" s="36"/>
      <c r="V4720" s="36"/>
      <c r="W4720" s="15">
        <f t="shared" si="584"/>
        <v>0</v>
      </c>
      <c r="X4720" s="36"/>
      <c r="Y4720" s="36"/>
      <c r="Z4720" s="36"/>
      <c r="AA4720" s="36"/>
      <c r="AB4720" s="36"/>
      <c r="AC4720" s="36"/>
      <c r="AD4720" s="36"/>
      <c r="AE4720" s="36">
        <v>400</v>
      </c>
      <c r="AF4720" s="36"/>
      <c r="AG4720" s="36"/>
      <c r="AH4720" s="36"/>
      <c r="AI4720" s="36"/>
      <c r="AJ4720" s="15">
        <f t="shared" si="585"/>
        <v>400</v>
      </c>
      <c r="AK4720" s="14"/>
      <c r="AL4720" s="14"/>
      <c r="AM4720" s="14"/>
      <c r="AN4720" s="14"/>
      <c r="AO4720" s="14"/>
      <c r="AP4720" s="14"/>
      <c r="AQ4720" s="14"/>
      <c r="AR4720" s="14"/>
      <c r="AS4720" s="14"/>
      <c r="AT4720" s="14"/>
      <c r="AU4720" s="14"/>
      <c r="AV4720" s="14"/>
      <c r="AW4720" s="15"/>
      <c r="AX4720" s="16"/>
    </row>
    <row r="4721" spans="1:51" x14ac:dyDescent="0.2">
      <c r="B4721" s="7"/>
      <c r="C4721" s="8">
        <v>14969</v>
      </c>
      <c r="D4721" s="9" t="s">
        <v>769</v>
      </c>
      <c r="E4721" s="10" t="str">
        <f t="shared" si="581"/>
        <v>Rancho La Cuchilla No. 66</v>
      </c>
      <c r="F4721" s="10" t="str">
        <f t="shared" si="582"/>
        <v>Prieto</v>
      </c>
      <c r="G4721" s="8">
        <v>1</v>
      </c>
      <c r="H4721" s="11">
        <v>400</v>
      </c>
      <c r="I4721" s="12">
        <v>42974</v>
      </c>
      <c r="J4721" s="35">
        <f t="shared" si="583"/>
        <v>0</v>
      </c>
      <c r="K4721" s="36"/>
      <c r="L4721" s="36"/>
      <c r="M4721" s="36"/>
      <c r="N4721" s="36"/>
      <c r="O4721" s="36"/>
      <c r="P4721" s="36"/>
      <c r="Q4721" s="36"/>
      <c r="R4721" s="36"/>
      <c r="S4721" s="36"/>
      <c r="T4721" s="36"/>
      <c r="U4721" s="36"/>
      <c r="V4721" s="36"/>
      <c r="W4721" s="15">
        <f t="shared" si="584"/>
        <v>0</v>
      </c>
      <c r="X4721" s="36"/>
      <c r="Y4721" s="36"/>
      <c r="Z4721" s="36"/>
      <c r="AA4721" s="36"/>
      <c r="AB4721" s="36"/>
      <c r="AC4721" s="36"/>
      <c r="AD4721" s="36"/>
      <c r="AE4721" s="36">
        <v>400</v>
      </c>
      <c r="AF4721" s="36"/>
      <c r="AG4721" s="36"/>
      <c r="AH4721" s="36"/>
      <c r="AI4721" s="36"/>
      <c r="AJ4721" s="15">
        <f t="shared" si="585"/>
        <v>400</v>
      </c>
      <c r="AK4721" s="14"/>
      <c r="AL4721" s="14"/>
      <c r="AM4721" s="14"/>
      <c r="AN4721" s="14"/>
      <c r="AO4721" s="14"/>
      <c r="AP4721" s="14"/>
      <c r="AQ4721" s="14"/>
      <c r="AR4721" s="14"/>
      <c r="AS4721" s="14"/>
      <c r="AT4721" s="14"/>
      <c r="AU4721" s="14"/>
      <c r="AV4721" s="14"/>
      <c r="AW4721" s="15"/>
      <c r="AX4721" s="16"/>
    </row>
    <row r="4722" spans="1:51" x14ac:dyDescent="0.2">
      <c r="B4722" s="7"/>
      <c r="C4722" s="8">
        <v>14970</v>
      </c>
      <c r="D4722" s="9" t="s">
        <v>882</v>
      </c>
      <c r="E4722" s="10" t="str">
        <f t="shared" si="581"/>
        <v>Rancho Upácuaro No. 54</v>
      </c>
      <c r="F4722" s="10" t="str">
        <f t="shared" si="582"/>
        <v>García Rueda</v>
      </c>
      <c r="G4722" s="8">
        <v>1</v>
      </c>
      <c r="H4722" s="11">
        <v>400</v>
      </c>
      <c r="I4722" s="12">
        <v>42974</v>
      </c>
      <c r="J4722" s="35">
        <f t="shared" si="583"/>
        <v>0</v>
      </c>
      <c r="K4722" s="36"/>
      <c r="L4722" s="36"/>
      <c r="M4722" s="36"/>
      <c r="N4722" s="36"/>
      <c r="O4722" s="36"/>
      <c r="P4722" s="36"/>
      <c r="Q4722" s="36"/>
      <c r="R4722" s="36"/>
      <c r="S4722" s="36"/>
      <c r="T4722" s="36"/>
      <c r="U4722" s="36"/>
      <c r="V4722" s="36"/>
      <c r="W4722" s="15">
        <f t="shared" si="584"/>
        <v>0</v>
      </c>
      <c r="X4722" s="36"/>
      <c r="Y4722" s="36"/>
      <c r="Z4722" s="36"/>
      <c r="AA4722" s="36"/>
      <c r="AB4722" s="36"/>
      <c r="AC4722" s="36"/>
      <c r="AD4722" s="36">
        <v>200</v>
      </c>
      <c r="AE4722" s="36">
        <v>200</v>
      </c>
      <c r="AF4722" s="36"/>
      <c r="AG4722" s="36"/>
      <c r="AH4722" s="36"/>
      <c r="AI4722" s="36"/>
      <c r="AJ4722" s="15">
        <f t="shared" si="585"/>
        <v>400</v>
      </c>
      <c r="AK4722" s="14"/>
      <c r="AL4722" s="14"/>
      <c r="AM4722" s="14"/>
      <c r="AN4722" s="14"/>
      <c r="AO4722" s="14"/>
      <c r="AP4722" s="14"/>
      <c r="AQ4722" s="14"/>
      <c r="AR4722" s="14"/>
      <c r="AS4722" s="14"/>
      <c r="AT4722" s="14"/>
      <c r="AU4722" s="14"/>
      <c r="AV4722" s="14"/>
      <c r="AW4722" s="15"/>
      <c r="AX4722" s="16"/>
    </row>
    <row r="4723" spans="1:51" x14ac:dyDescent="0.2">
      <c r="B4723" s="7"/>
      <c r="C4723" s="8">
        <v>14970</v>
      </c>
      <c r="D4723" s="9" t="s">
        <v>882</v>
      </c>
      <c r="E4723" s="10" t="str">
        <f t="shared" si="581"/>
        <v>Rancho Upácuaro No. 54</v>
      </c>
      <c r="F4723" s="10" t="str">
        <f t="shared" si="582"/>
        <v>García Rueda</v>
      </c>
      <c r="G4723" s="8">
        <v>4</v>
      </c>
      <c r="H4723" s="11">
        <v>200</v>
      </c>
      <c r="I4723" s="12">
        <v>42974</v>
      </c>
      <c r="J4723" s="35">
        <f t="shared" si="583"/>
        <v>0</v>
      </c>
      <c r="K4723" s="36"/>
      <c r="L4723" s="36"/>
      <c r="M4723" s="36"/>
      <c r="N4723" s="36"/>
      <c r="O4723" s="36"/>
      <c r="P4723" s="36"/>
      <c r="Q4723" s="36"/>
      <c r="R4723" s="36"/>
      <c r="S4723" s="36"/>
      <c r="T4723" s="36"/>
      <c r="U4723" s="36"/>
      <c r="V4723" s="36"/>
      <c r="W4723" s="15">
        <f t="shared" si="584"/>
        <v>0</v>
      </c>
      <c r="X4723" s="36"/>
      <c r="Y4723" s="36"/>
      <c r="Z4723" s="36"/>
      <c r="AA4723" s="36"/>
      <c r="AB4723" s="36"/>
      <c r="AC4723" s="36"/>
      <c r="AD4723" s="36"/>
      <c r="AE4723" s="36"/>
      <c r="AF4723" s="36"/>
      <c r="AG4723" s="36"/>
      <c r="AH4723" s="36"/>
      <c r="AI4723" s="36"/>
      <c r="AJ4723" s="15">
        <f t="shared" si="585"/>
        <v>0</v>
      </c>
      <c r="AK4723" s="14"/>
      <c r="AL4723" s="14"/>
      <c r="AM4723" s="14"/>
      <c r="AN4723" s="14"/>
      <c r="AO4723" s="14"/>
      <c r="AP4723" s="14"/>
      <c r="AQ4723" s="14"/>
      <c r="AR4723" s="14"/>
      <c r="AS4723" s="14"/>
      <c r="AT4723" s="14"/>
      <c r="AU4723" s="14"/>
      <c r="AV4723" s="14"/>
      <c r="AW4723" s="15"/>
      <c r="AX4723" s="16" t="s">
        <v>4388</v>
      </c>
    </row>
    <row r="4724" spans="1:51" x14ac:dyDescent="0.2">
      <c r="B4724" s="7"/>
      <c r="C4724" s="8">
        <v>14971</v>
      </c>
      <c r="D4724" s="9" t="s">
        <v>208</v>
      </c>
      <c r="E4724" s="10" t="str">
        <f t="shared" si="581"/>
        <v>Rancho La Cuchilla No. 29</v>
      </c>
      <c r="F4724" s="10" t="str">
        <f t="shared" si="582"/>
        <v>Vega Sánchez C.</v>
      </c>
      <c r="G4724" s="8">
        <v>5</v>
      </c>
      <c r="H4724" s="11">
        <v>50</v>
      </c>
      <c r="I4724" s="12">
        <v>42974</v>
      </c>
      <c r="J4724" s="35">
        <f t="shared" si="583"/>
        <v>0</v>
      </c>
      <c r="K4724" s="36"/>
      <c r="L4724" s="36"/>
      <c r="M4724" s="36"/>
      <c r="N4724" s="36"/>
      <c r="O4724" s="36"/>
      <c r="P4724" s="36"/>
      <c r="Q4724" s="36"/>
      <c r="R4724" s="36"/>
      <c r="S4724" s="36"/>
      <c r="T4724" s="36"/>
      <c r="U4724" s="36"/>
      <c r="V4724" s="36"/>
      <c r="W4724" s="15">
        <f t="shared" si="584"/>
        <v>0</v>
      </c>
      <c r="X4724" s="36"/>
      <c r="Y4724" s="36"/>
      <c r="Z4724" s="36"/>
      <c r="AA4724" s="36"/>
      <c r="AB4724" s="36"/>
      <c r="AC4724" s="36"/>
      <c r="AD4724" s="36"/>
      <c r="AE4724" s="36"/>
      <c r="AF4724" s="36"/>
      <c r="AG4724" s="36"/>
      <c r="AH4724" s="36"/>
      <c r="AI4724" s="36"/>
      <c r="AJ4724" s="15">
        <f t="shared" si="585"/>
        <v>0</v>
      </c>
      <c r="AK4724" s="14"/>
      <c r="AL4724" s="14"/>
      <c r="AM4724" s="14"/>
      <c r="AN4724" s="14"/>
      <c r="AO4724" s="14"/>
      <c r="AP4724" s="14"/>
      <c r="AQ4724" s="14"/>
      <c r="AR4724" s="14"/>
      <c r="AS4724" s="14"/>
      <c r="AT4724" s="14"/>
      <c r="AU4724" s="14"/>
      <c r="AV4724" s="14"/>
      <c r="AW4724" s="15"/>
      <c r="AX4724" s="316">
        <f>SUM(H4702:H4724)</f>
        <v>10850</v>
      </c>
      <c r="AY4724" s="112">
        <f>SUM(H4696:H4724)</f>
        <v>19400</v>
      </c>
    </row>
    <row r="4725" spans="1:51" x14ac:dyDescent="0.2">
      <c r="B4725" s="7"/>
      <c r="C4725" s="8">
        <v>14972</v>
      </c>
      <c r="D4725" s="9" t="s">
        <v>954</v>
      </c>
      <c r="E4725" s="10" t="str">
        <f t="shared" si="581"/>
        <v>Rancho Landero No. 36</v>
      </c>
      <c r="F4725" s="10" t="str">
        <f t="shared" si="582"/>
        <v>Jaime</v>
      </c>
      <c r="G4725" s="8">
        <v>1</v>
      </c>
      <c r="H4725" s="315">
        <v>400</v>
      </c>
      <c r="I4725" s="12">
        <v>42975</v>
      </c>
      <c r="J4725" s="35">
        <f t="shared" si="583"/>
        <v>0</v>
      </c>
      <c r="K4725" s="36"/>
      <c r="L4725" s="36"/>
      <c r="M4725" s="36"/>
      <c r="N4725" s="36"/>
      <c r="O4725" s="36"/>
      <c r="P4725" s="36"/>
      <c r="Q4725" s="36"/>
      <c r="R4725" s="36"/>
      <c r="S4725" s="36"/>
      <c r="T4725" s="36"/>
      <c r="U4725" s="36"/>
      <c r="V4725" s="36"/>
      <c r="W4725" s="15">
        <f t="shared" si="584"/>
        <v>0</v>
      </c>
      <c r="X4725" s="36"/>
      <c r="Y4725" s="36"/>
      <c r="Z4725" s="36"/>
      <c r="AA4725" s="36"/>
      <c r="AB4725" s="36"/>
      <c r="AC4725" s="36"/>
      <c r="AD4725" s="36"/>
      <c r="AE4725" s="36">
        <v>400</v>
      </c>
      <c r="AF4725" s="36"/>
      <c r="AG4725" s="36"/>
      <c r="AH4725" s="36"/>
      <c r="AI4725" s="36"/>
      <c r="AJ4725" s="15">
        <f t="shared" si="585"/>
        <v>400</v>
      </c>
      <c r="AK4725" s="14"/>
      <c r="AL4725" s="14"/>
      <c r="AM4725" s="14"/>
      <c r="AN4725" s="14"/>
      <c r="AO4725" s="14"/>
      <c r="AP4725" s="14"/>
      <c r="AQ4725" s="14"/>
      <c r="AR4725" s="14"/>
      <c r="AS4725" s="14"/>
      <c r="AT4725" s="14"/>
      <c r="AU4725" s="14"/>
      <c r="AV4725" s="14"/>
      <c r="AW4725" s="15"/>
      <c r="AX4725" s="16"/>
    </row>
    <row r="4726" spans="1:51" x14ac:dyDescent="0.2">
      <c r="B4726" s="7"/>
      <c r="C4726" s="8">
        <v>14973</v>
      </c>
      <c r="D4726" s="9" t="s">
        <v>1167</v>
      </c>
      <c r="E4726" s="10" t="str">
        <f t="shared" si="581"/>
        <v>Rancho Landero No. 53</v>
      </c>
      <c r="F4726" s="10" t="str">
        <f t="shared" si="582"/>
        <v>Hernàndez Martìnez</v>
      </c>
      <c r="G4726" s="8">
        <v>1</v>
      </c>
      <c r="H4726" s="11">
        <v>1600</v>
      </c>
      <c r="I4726" s="12">
        <v>42977</v>
      </c>
      <c r="J4726" s="35">
        <f t="shared" si="583"/>
        <v>0</v>
      </c>
      <c r="K4726" s="36"/>
      <c r="L4726" s="36"/>
      <c r="M4726" s="36"/>
      <c r="N4726" s="36"/>
      <c r="O4726" s="36"/>
      <c r="P4726" s="36"/>
      <c r="Q4726" s="36"/>
      <c r="R4726" s="36"/>
      <c r="S4726" s="36"/>
      <c r="T4726" s="36"/>
      <c r="U4726" s="36"/>
      <c r="V4726" s="36"/>
      <c r="W4726" s="15">
        <f t="shared" si="584"/>
        <v>0</v>
      </c>
      <c r="X4726" s="36"/>
      <c r="Y4726" s="36"/>
      <c r="Z4726" s="36"/>
      <c r="AA4726" s="36"/>
      <c r="AB4726" s="36">
        <v>400</v>
      </c>
      <c r="AC4726" s="36">
        <v>400</v>
      </c>
      <c r="AD4726" s="36">
        <v>400</v>
      </c>
      <c r="AE4726" s="36">
        <v>400</v>
      </c>
      <c r="AF4726" s="36"/>
      <c r="AG4726" s="36"/>
      <c r="AH4726" s="36"/>
      <c r="AI4726" s="36"/>
      <c r="AJ4726" s="15">
        <f t="shared" si="585"/>
        <v>1600</v>
      </c>
      <c r="AK4726" s="14"/>
      <c r="AL4726" s="14"/>
      <c r="AM4726" s="14"/>
      <c r="AN4726" s="14"/>
      <c r="AO4726" s="14"/>
      <c r="AP4726" s="14"/>
      <c r="AQ4726" s="14"/>
      <c r="AR4726" s="14"/>
      <c r="AS4726" s="14"/>
      <c r="AT4726" s="14"/>
      <c r="AU4726" s="14"/>
      <c r="AV4726" s="14"/>
      <c r="AW4726" s="15"/>
      <c r="AX4726" s="16"/>
    </row>
    <row r="4727" spans="1:51" x14ac:dyDescent="0.2">
      <c r="B4727" s="7"/>
      <c r="C4727" s="8">
        <v>14973</v>
      </c>
      <c r="D4727" s="9" t="s">
        <v>1167</v>
      </c>
      <c r="E4727" s="10" t="str">
        <f t="shared" si="576"/>
        <v>Rancho Landero No. 53</v>
      </c>
      <c r="F4727" s="10" t="str">
        <f t="shared" si="577"/>
        <v>Hernàndez Martìnez</v>
      </c>
      <c r="G4727" s="8">
        <v>3</v>
      </c>
      <c r="H4727" s="11">
        <v>200</v>
      </c>
      <c r="I4727" s="12">
        <v>42977</v>
      </c>
      <c r="J4727" s="35">
        <f t="shared" si="578"/>
        <v>0</v>
      </c>
      <c r="K4727" s="36"/>
      <c r="L4727" s="36"/>
      <c r="M4727" s="36"/>
      <c r="N4727" s="36"/>
      <c r="O4727" s="36"/>
      <c r="P4727" s="36"/>
      <c r="Q4727" s="36"/>
      <c r="R4727" s="36"/>
      <c r="S4727" s="36"/>
      <c r="T4727" s="36"/>
      <c r="U4727" s="36"/>
      <c r="V4727" s="36"/>
      <c r="W4727" s="15">
        <f t="shared" si="579"/>
        <v>0</v>
      </c>
      <c r="X4727" s="36"/>
      <c r="Y4727" s="36"/>
      <c r="Z4727" s="36"/>
      <c r="AA4727" s="36"/>
      <c r="AB4727" s="36"/>
      <c r="AC4727" s="36"/>
      <c r="AD4727" s="36"/>
      <c r="AE4727" s="36"/>
      <c r="AF4727" s="36"/>
      <c r="AG4727" s="36"/>
      <c r="AH4727" s="36"/>
      <c r="AI4727" s="36"/>
      <c r="AJ4727" s="15">
        <f t="shared" si="580"/>
        <v>0</v>
      </c>
      <c r="AK4727" s="14"/>
      <c r="AL4727" s="14"/>
      <c r="AM4727" s="14"/>
      <c r="AN4727" s="14"/>
      <c r="AO4727" s="14"/>
      <c r="AP4727" s="14"/>
      <c r="AQ4727" s="14"/>
      <c r="AR4727" s="14"/>
      <c r="AS4727" s="14"/>
      <c r="AT4727" s="14"/>
      <c r="AU4727" s="14"/>
      <c r="AV4727" s="14"/>
      <c r="AW4727" s="15"/>
      <c r="AX4727" s="16"/>
    </row>
    <row r="4728" spans="1:51" x14ac:dyDescent="0.2">
      <c r="A4728" s="320" t="s">
        <v>2885</v>
      </c>
      <c r="B4728" s="7" t="s">
        <v>3523</v>
      </c>
      <c r="C4728" s="8">
        <v>14974</v>
      </c>
      <c r="D4728" s="9" t="s">
        <v>211</v>
      </c>
      <c r="E4728" s="10" t="str">
        <f t="shared" ref="E4728:E4736" si="586">IF(D4728=0,"",VLOOKUP(D4728,BASE,2,FALSE))</f>
        <v>Rancho Upácuaro No. 46</v>
      </c>
      <c r="F4728" s="10" t="str">
        <f t="shared" ref="F4728:F4736" si="587">IF(D4728=0,"",VLOOKUP(D4728,BASE,3,FALSE))</f>
        <v>Fuentes</v>
      </c>
      <c r="G4728" s="8">
        <v>1</v>
      </c>
      <c r="H4728" s="11">
        <v>300</v>
      </c>
      <c r="I4728" s="12">
        <v>42977</v>
      </c>
      <c r="J4728" s="35">
        <f t="shared" ref="J4728:J4736" si="588">IF(G4728=1,SUM(W4728,AJ4728,-H4728),0)</f>
        <v>0</v>
      </c>
      <c r="K4728" s="36"/>
      <c r="L4728" s="36"/>
      <c r="M4728" s="36"/>
      <c r="N4728" s="36"/>
      <c r="O4728" s="36"/>
      <c r="P4728" s="36"/>
      <c r="Q4728" s="36"/>
      <c r="R4728" s="36"/>
      <c r="S4728" s="36"/>
      <c r="T4728" s="36"/>
      <c r="U4728" s="36"/>
      <c r="V4728" s="36"/>
      <c r="W4728" s="15">
        <f t="shared" ref="W4728:W4736" si="589">SUM(K4728:V4728)</f>
        <v>0</v>
      </c>
      <c r="X4728" s="36"/>
      <c r="Y4728" s="36"/>
      <c r="Z4728" s="36"/>
      <c r="AA4728" s="36"/>
      <c r="AB4728" s="36"/>
      <c r="AC4728" s="36"/>
      <c r="AD4728" s="36"/>
      <c r="AE4728" s="36">
        <v>300</v>
      </c>
      <c r="AF4728" s="36"/>
      <c r="AG4728" s="36"/>
      <c r="AH4728" s="36"/>
      <c r="AI4728" s="36"/>
      <c r="AJ4728" s="15">
        <f t="shared" ref="AJ4728:AJ4736" si="590">SUM(X4728:AI4728)</f>
        <v>300</v>
      </c>
      <c r="AK4728" s="14"/>
      <c r="AL4728" s="14"/>
      <c r="AM4728" s="14"/>
      <c r="AN4728" s="14"/>
      <c r="AO4728" s="14"/>
      <c r="AP4728" s="14"/>
      <c r="AQ4728" s="14"/>
      <c r="AR4728" s="14"/>
      <c r="AS4728" s="14"/>
      <c r="AT4728" s="14"/>
      <c r="AU4728" s="14"/>
      <c r="AV4728" s="14"/>
      <c r="AW4728" s="15"/>
      <c r="AX4728" s="16"/>
    </row>
    <row r="4729" spans="1:51" x14ac:dyDescent="0.2">
      <c r="B4729" s="7" t="s">
        <v>3523</v>
      </c>
      <c r="C4729" s="8">
        <v>14975</v>
      </c>
      <c r="D4729" s="9" t="s">
        <v>208</v>
      </c>
      <c r="E4729" s="10" t="str">
        <f t="shared" si="586"/>
        <v>Rancho La Cuchilla No. 29</v>
      </c>
      <c r="F4729" s="10" t="str">
        <f t="shared" si="587"/>
        <v>Vega Sánchez C.</v>
      </c>
      <c r="G4729" s="8">
        <v>1</v>
      </c>
      <c r="H4729" s="11">
        <v>400</v>
      </c>
      <c r="I4729" s="12">
        <v>42977</v>
      </c>
      <c r="J4729" s="35">
        <f t="shared" si="588"/>
        <v>0</v>
      </c>
      <c r="K4729" s="36"/>
      <c r="L4729" s="36"/>
      <c r="M4729" s="36"/>
      <c r="N4729" s="36"/>
      <c r="O4729" s="36"/>
      <c r="P4729" s="36"/>
      <c r="Q4729" s="36"/>
      <c r="R4729" s="36"/>
      <c r="S4729" s="36"/>
      <c r="T4729" s="36"/>
      <c r="U4729" s="36"/>
      <c r="V4729" s="36"/>
      <c r="W4729" s="15">
        <f t="shared" si="589"/>
        <v>0</v>
      </c>
      <c r="X4729" s="36"/>
      <c r="Y4729" s="36"/>
      <c r="Z4729" s="36"/>
      <c r="AA4729" s="36"/>
      <c r="AB4729" s="36"/>
      <c r="AC4729" s="36"/>
      <c r="AD4729" s="36"/>
      <c r="AE4729" s="36">
        <v>400</v>
      </c>
      <c r="AF4729" s="36"/>
      <c r="AG4729" s="36"/>
      <c r="AH4729" s="36"/>
      <c r="AI4729" s="36"/>
      <c r="AJ4729" s="15">
        <f t="shared" si="590"/>
        <v>400</v>
      </c>
      <c r="AK4729" s="14"/>
      <c r="AL4729" s="14"/>
      <c r="AM4729" s="14"/>
      <c r="AN4729" s="14"/>
      <c r="AO4729" s="14"/>
      <c r="AP4729" s="14"/>
      <c r="AQ4729" s="14"/>
      <c r="AR4729" s="14"/>
      <c r="AS4729" s="14"/>
      <c r="AT4729" s="14"/>
      <c r="AU4729" s="14"/>
      <c r="AV4729" s="14"/>
      <c r="AW4729" s="15"/>
      <c r="AX4729" s="16"/>
    </row>
    <row r="4730" spans="1:51" x14ac:dyDescent="0.2">
      <c r="B4730" s="7"/>
      <c r="C4730" s="8">
        <v>14976</v>
      </c>
      <c r="D4730" s="9" t="s">
        <v>177</v>
      </c>
      <c r="E4730" s="10" t="str">
        <f t="shared" si="586"/>
        <v>Rancho Landero No. 71</v>
      </c>
      <c r="F4730" s="10" t="str">
        <f t="shared" si="587"/>
        <v xml:space="preserve">Luna  </v>
      </c>
      <c r="G4730" s="8">
        <v>1</v>
      </c>
      <c r="H4730" s="11">
        <v>400</v>
      </c>
      <c r="I4730" s="12">
        <v>42978</v>
      </c>
      <c r="J4730" s="35">
        <f t="shared" si="588"/>
        <v>0</v>
      </c>
      <c r="K4730" s="36"/>
      <c r="L4730" s="36"/>
      <c r="M4730" s="36"/>
      <c r="N4730" s="36"/>
      <c r="O4730" s="36"/>
      <c r="P4730" s="36"/>
      <c r="Q4730" s="36"/>
      <c r="R4730" s="36"/>
      <c r="S4730" s="36"/>
      <c r="T4730" s="36"/>
      <c r="U4730" s="36"/>
      <c r="V4730" s="36"/>
      <c r="W4730" s="15">
        <f t="shared" si="589"/>
        <v>0</v>
      </c>
      <c r="X4730" s="36"/>
      <c r="Y4730" s="36"/>
      <c r="Z4730" s="36"/>
      <c r="AA4730" s="36"/>
      <c r="AB4730" s="36"/>
      <c r="AC4730" s="36"/>
      <c r="AD4730" s="36"/>
      <c r="AE4730" s="36">
        <v>400</v>
      </c>
      <c r="AF4730" s="36"/>
      <c r="AG4730" s="36"/>
      <c r="AH4730" s="36"/>
      <c r="AI4730" s="36"/>
      <c r="AJ4730" s="15">
        <f t="shared" si="590"/>
        <v>400</v>
      </c>
      <c r="AK4730" s="14"/>
      <c r="AL4730" s="14"/>
      <c r="AM4730" s="14"/>
      <c r="AN4730" s="14"/>
      <c r="AO4730" s="14"/>
      <c r="AP4730" s="14"/>
      <c r="AQ4730" s="14"/>
      <c r="AR4730" s="14"/>
      <c r="AS4730" s="14"/>
      <c r="AT4730" s="14"/>
      <c r="AU4730" s="14"/>
      <c r="AV4730" s="14"/>
      <c r="AW4730" s="15"/>
      <c r="AX4730" s="16"/>
    </row>
    <row r="4731" spans="1:51" x14ac:dyDescent="0.2">
      <c r="B4731" s="7" t="s">
        <v>3523</v>
      </c>
      <c r="C4731" s="8">
        <v>14977</v>
      </c>
      <c r="D4731" s="9" t="s">
        <v>571</v>
      </c>
      <c r="E4731" s="10" t="str">
        <f t="shared" si="586"/>
        <v>Rancho Estanzuela No. 15, A</v>
      </c>
      <c r="F4731" s="10" t="str">
        <f t="shared" si="587"/>
        <v>González</v>
      </c>
      <c r="G4731" s="8">
        <v>1</v>
      </c>
      <c r="H4731" s="11">
        <v>600</v>
      </c>
      <c r="I4731" s="12">
        <v>42978</v>
      </c>
      <c r="J4731" s="35">
        <f t="shared" si="588"/>
        <v>0</v>
      </c>
      <c r="K4731" s="36"/>
      <c r="L4731" s="36"/>
      <c r="M4731" s="36"/>
      <c r="N4731" s="36"/>
      <c r="O4731" s="36"/>
      <c r="P4731" s="36"/>
      <c r="Q4731" s="36"/>
      <c r="R4731" s="36"/>
      <c r="S4731" s="36"/>
      <c r="T4731" s="36"/>
      <c r="U4731" s="36"/>
      <c r="V4731" s="36"/>
      <c r="W4731" s="15">
        <f t="shared" si="589"/>
        <v>0</v>
      </c>
      <c r="X4731" s="36"/>
      <c r="Y4731" s="36"/>
      <c r="Z4731" s="36"/>
      <c r="AA4731" s="36"/>
      <c r="AB4731" s="36"/>
      <c r="AC4731" s="36"/>
      <c r="AD4731" s="36">
        <v>200</v>
      </c>
      <c r="AE4731" s="36">
        <v>200</v>
      </c>
      <c r="AF4731" s="36">
        <v>200</v>
      </c>
      <c r="AG4731" s="36"/>
      <c r="AH4731" s="36"/>
      <c r="AI4731" s="36"/>
      <c r="AJ4731" s="15">
        <f t="shared" si="590"/>
        <v>600</v>
      </c>
      <c r="AK4731" s="14"/>
      <c r="AL4731" s="14"/>
      <c r="AM4731" s="14"/>
      <c r="AN4731" s="14"/>
      <c r="AO4731" s="14"/>
      <c r="AP4731" s="14"/>
      <c r="AQ4731" s="14"/>
      <c r="AR4731" s="14"/>
      <c r="AS4731" s="14"/>
      <c r="AT4731" s="14"/>
      <c r="AU4731" s="14"/>
      <c r="AV4731" s="14"/>
      <c r="AW4731" s="15"/>
      <c r="AX4731" s="16"/>
    </row>
    <row r="4732" spans="1:51" x14ac:dyDescent="0.2">
      <c r="B4732" s="7"/>
      <c r="C4732" s="8">
        <v>14978</v>
      </c>
      <c r="D4732" s="9" t="s">
        <v>669</v>
      </c>
      <c r="E4732" s="10" t="str">
        <f t="shared" si="586"/>
        <v>Rancho Landero No. 24</v>
      </c>
      <c r="F4732" s="10" t="str">
        <f t="shared" si="587"/>
        <v>Vázquez Peralta</v>
      </c>
      <c r="G4732" s="8">
        <v>7</v>
      </c>
      <c r="H4732" s="11">
        <v>8073</v>
      </c>
      <c r="I4732" s="12">
        <v>42978</v>
      </c>
      <c r="J4732" s="35">
        <f t="shared" si="588"/>
        <v>0</v>
      </c>
      <c r="K4732" s="36"/>
      <c r="L4732" s="36"/>
      <c r="M4732" s="36"/>
      <c r="N4732" s="36"/>
      <c r="O4732" s="36"/>
      <c r="P4732" s="36"/>
      <c r="Q4732" s="36"/>
      <c r="R4732" s="36"/>
      <c r="S4732" s="36"/>
      <c r="T4732" s="36"/>
      <c r="U4732" s="36"/>
      <c r="V4732" s="36"/>
      <c r="W4732" s="15">
        <f t="shared" si="589"/>
        <v>0</v>
      </c>
      <c r="X4732" s="36"/>
      <c r="Y4732" s="36"/>
      <c r="Z4732" s="36"/>
      <c r="AA4732" s="36"/>
      <c r="AB4732" s="36"/>
      <c r="AC4732" s="36"/>
      <c r="AD4732" s="36"/>
      <c r="AE4732" s="36"/>
      <c r="AF4732" s="36"/>
      <c r="AG4732" s="36"/>
      <c r="AH4732" s="36"/>
      <c r="AI4732" s="36"/>
      <c r="AJ4732" s="15">
        <f t="shared" si="590"/>
        <v>0</v>
      </c>
      <c r="AK4732" s="14"/>
      <c r="AL4732" s="14"/>
      <c r="AM4732" s="14"/>
      <c r="AN4732" s="14"/>
      <c r="AO4732" s="14"/>
      <c r="AP4732" s="14"/>
      <c r="AQ4732" s="14"/>
      <c r="AR4732" s="14"/>
      <c r="AS4732" s="14"/>
      <c r="AT4732" s="14"/>
      <c r="AU4732" s="14"/>
      <c r="AV4732" s="14"/>
      <c r="AW4732" s="15"/>
      <c r="AX4732" s="16" t="s">
        <v>4421</v>
      </c>
    </row>
    <row r="4733" spans="1:51" x14ac:dyDescent="0.2">
      <c r="B4733" s="7"/>
      <c r="C4733" s="8">
        <v>14879</v>
      </c>
      <c r="D4733" s="9" t="s">
        <v>669</v>
      </c>
      <c r="E4733" s="10" t="str">
        <f t="shared" ref="E4733" si="591">IF(D4733=0,"",VLOOKUP(D4733,BASE,2,FALSE))</f>
        <v>Rancho Landero No. 24</v>
      </c>
      <c r="F4733" s="10" t="str">
        <f t="shared" ref="F4733" si="592">IF(D4733=0,"",VLOOKUP(D4733,BASE,3,FALSE))</f>
        <v>Vázquez Peralta</v>
      </c>
      <c r="G4733" s="8">
        <v>7</v>
      </c>
      <c r="H4733" s="11">
        <v>1040</v>
      </c>
      <c r="I4733" s="12">
        <v>42978</v>
      </c>
      <c r="J4733" s="35">
        <f t="shared" ref="J4733" si="593">IF(G4733=1,SUM(W4733,AJ4733,-H4733),0)</f>
        <v>0</v>
      </c>
      <c r="K4733" s="36"/>
      <c r="L4733" s="36"/>
      <c r="M4733" s="36"/>
      <c r="N4733" s="36"/>
      <c r="O4733" s="36"/>
      <c r="P4733" s="36"/>
      <c r="Q4733" s="36"/>
      <c r="R4733" s="36"/>
      <c r="S4733" s="36"/>
      <c r="T4733" s="36"/>
      <c r="U4733" s="36"/>
      <c r="V4733" s="36"/>
      <c r="W4733" s="15">
        <f t="shared" ref="W4733" si="594">SUM(K4733:V4733)</f>
        <v>0</v>
      </c>
      <c r="X4733" s="36"/>
      <c r="Y4733" s="36"/>
      <c r="Z4733" s="36"/>
      <c r="AA4733" s="36"/>
      <c r="AB4733" s="36"/>
      <c r="AC4733" s="36"/>
      <c r="AD4733" s="36"/>
      <c r="AE4733" s="36"/>
      <c r="AF4733" s="36"/>
      <c r="AG4733" s="36"/>
      <c r="AH4733" s="36"/>
      <c r="AI4733" s="36"/>
      <c r="AJ4733" s="15">
        <f t="shared" ref="AJ4733" si="595">SUM(X4733:AI4733)</f>
        <v>0</v>
      </c>
      <c r="AK4733" s="14"/>
      <c r="AL4733" s="14"/>
      <c r="AM4733" s="14"/>
      <c r="AN4733" s="14"/>
      <c r="AO4733" s="14"/>
      <c r="AP4733" s="14"/>
      <c r="AQ4733" s="14"/>
      <c r="AR4733" s="14"/>
      <c r="AS4733" s="14"/>
      <c r="AT4733" s="14"/>
      <c r="AU4733" s="14"/>
      <c r="AV4733" s="14"/>
      <c r="AW4733" s="15"/>
      <c r="AX4733" s="16" t="s">
        <v>4422</v>
      </c>
    </row>
    <row r="4734" spans="1:51" x14ac:dyDescent="0.2">
      <c r="B4734" s="7"/>
      <c r="C4734" s="8"/>
      <c r="D4734" s="9" t="s">
        <v>806</v>
      </c>
      <c r="E4734" s="10" t="str">
        <f t="shared" si="586"/>
        <v>Rancho Estanzuela No. 130, A</v>
      </c>
      <c r="F4734" s="10" t="str">
        <f t="shared" si="587"/>
        <v>Colegio Carmel</v>
      </c>
      <c r="G4734" s="8">
        <v>1</v>
      </c>
      <c r="H4734" s="11">
        <v>11000</v>
      </c>
      <c r="I4734" s="12">
        <v>42978</v>
      </c>
      <c r="J4734" s="35">
        <f t="shared" si="588"/>
        <v>0</v>
      </c>
      <c r="K4734" s="36"/>
      <c r="L4734" s="36"/>
      <c r="M4734" s="36"/>
      <c r="N4734" s="36"/>
      <c r="O4734" s="36"/>
      <c r="P4734" s="36"/>
      <c r="Q4734" s="36"/>
      <c r="R4734" s="36"/>
      <c r="S4734" s="36"/>
      <c r="T4734" s="36"/>
      <c r="U4734" s="36"/>
      <c r="V4734" s="36"/>
      <c r="W4734" s="15">
        <f t="shared" si="589"/>
        <v>0</v>
      </c>
      <c r="X4734" s="36"/>
      <c r="Y4734" s="36"/>
      <c r="Z4734" s="36"/>
      <c r="AA4734" s="36"/>
      <c r="AB4734" s="36"/>
      <c r="AC4734" s="36"/>
      <c r="AD4734" s="36"/>
      <c r="AE4734" s="36">
        <v>11000</v>
      </c>
      <c r="AF4734" s="36"/>
      <c r="AG4734" s="36"/>
      <c r="AH4734" s="36"/>
      <c r="AI4734" s="36"/>
      <c r="AJ4734" s="15">
        <f t="shared" si="590"/>
        <v>11000</v>
      </c>
      <c r="AK4734" s="14"/>
      <c r="AL4734" s="14"/>
      <c r="AM4734" s="14"/>
      <c r="AN4734" s="14"/>
      <c r="AO4734" s="14"/>
      <c r="AP4734" s="14"/>
      <c r="AQ4734" s="14"/>
      <c r="AR4734" s="14"/>
      <c r="AS4734" s="14"/>
      <c r="AT4734" s="14"/>
      <c r="AU4734" s="14"/>
      <c r="AV4734" s="14"/>
      <c r="AW4734" s="15"/>
      <c r="AX4734" s="16"/>
    </row>
    <row r="4735" spans="1:51" x14ac:dyDescent="0.2">
      <c r="B4735" s="7"/>
      <c r="C4735" s="8"/>
      <c r="D4735" s="9"/>
      <c r="E4735" s="10" t="str">
        <f t="shared" si="586"/>
        <v/>
      </c>
      <c r="F4735" s="10" t="str">
        <f t="shared" si="587"/>
        <v/>
      </c>
      <c r="G4735" s="8"/>
      <c r="H4735" s="11"/>
      <c r="I4735" s="12"/>
      <c r="J4735" s="35">
        <f t="shared" si="588"/>
        <v>0</v>
      </c>
      <c r="K4735" s="36"/>
      <c r="L4735" s="36"/>
      <c r="M4735" s="36"/>
      <c r="N4735" s="36"/>
      <c r="O4735" s="36"/>
      <c r="P4735" s="36"/>
      <c r="Q4735" s="36"/>
      <c r="R4735" s="36"/>
      <c r="S4735" s="36"/>
      <c r="T4735" s="36"/>
      <c r="U4735" s="36"/>
      <c r="V4735" s="36"/>
      <c r="W4735" s="15">
        <f t="shared" si="589"/>
        <v>0</v>
      </c>
      <c r="X4735" s="36"/>
      <c r="Y4735" s="36"/>
      <c r="Z4735" s="36"/>
      <c r="AA4735" s="36"/>
      <c r="AB4735" s="36"/>
      <c r="AC4735" s="36"/>
      <c r="AD4735" s="36"/>
      <c r="AE4735" s="36"/>
      <c r="AF4735" s="36"/>
      <c r="AG4735" s="36"/>
      <c r="AH4735" s="36"/>
      <c r="AI4735" s="36"/>
      <c r="AJ4735" s="15">
        <f t="shared" si="590"/>
        <v>0</v>
      </c>
      <c r="AK4735" s="14"/>
      <c r="AL4735" s="14"/>
      <c r="AM4735" s="14"/>
      <c r="AN4735" s="14"/>
      <c r="AO4735" s="14"/>
      <c r="AP4735" s="14"/>
      <c r="AQ4735" s="14"/>
      <c r="AR4735" s="14"/>
      <c r="AS4735" s="14"/>
      <c r="AT4735" s="14"/>
      <c r="AU4735" s="14"/>
      <c r="AV4735" s="14"/>
      <c r="AW4735" s="15"/>
      <c r="AX4735" s="16"/>
    </row>
    <row r="4736" spans="1:51" x14ac:dyDescent="0.2">
      <c r="A4736" s="2"/>
      <c r="B4736" s="7"/>
      <c r="C4736" s="8"/>
      <c r="D4736" s="9"/>
      <c r="E4736" s="10" t="str">
        <f t="shared" si="586"/>
        <v/>
      </c>
      <c r="F4736" s="10" t="str">
        <f t="shared" si="587"/>
        <v/>
      </c>
      <c r="G4736" s="8"/>
      <c r="H4736" s="11"/>
      <c r="I4736" s="12"/>
      <c r="J4736" s="35">
        <f t="shared" si="588"/>
        <v>0</v>
      </c>
      <c r="K4736" s="36"/>
      <c r="L4736" s="36"/>
      <c r="M4736" s="36"/>
      <c r="N4736" s="36"/>
      <c r="O4736" s="36"/>
      <c r="P4736" s="36"/>
      <c r="Q4736" s="36"/>
      <c r="R4736" s="36"/>
      <c r="S4736" s="36"/>
      <c r="T4736" s="36"/>
      <c r="U4736" s="36"/>
      <c r="V4736" s="36"/>
      <c r="W4736" s="15">
        <f t="shared" si="589"/>
        <v>0</v>
      </c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15">
        <f t="shared" si="590"/>
        <v>0</v>
      </c>
      <c r="AK4736" s="14"/>
      <c r="AL4736" s="14"/>
      <c r="AM4736" s="14"/>
      <c r="AN4736" s="14"/>
      <c r="AO4736" s="14"/>
      <c r="AP4736" s="14"/>
      <c r="AQ4736" s="14"/>
      <c r="AR4736" s="14"/>
      <c r="AS4736" s="14"/>
      <c r="AT4736" s="14"/>
      <c r="AU4736" s="14"/>
      <c r="AV4736" s="14"/>
      <c r="AW4736" s="15"/>
      <c r="AX4736" s="16"/>
    </row>
    <row r="4737" spans="2:50" ht="22.5" x14ac:dyDescent="0.2">
      <c r="B4737" s="3" t="s">
        <v>1</v>
      </c>
      <c r="C4737" s="3" t="s">
        <v>2</v>
      </c>
      <c r="D4737" s="3" t="s">
        <v>3</v>
      </c>
      <c r="E4737" s="337" t="s">
        <v>4</v>
      </c>
      <c r="F4737" s="337" t="s">
        <v>5</v>
      </c>
      <c r="G4737" s="3" t="s">
        <v>6</v>
      </c>
      <c r="H4737" s="3" t="s">
        <v>7</v>
      </c>
      <c r="I4737" s="3" t="s">
        <v>8</v>
      </c>
      <c r="J4737" s="337" t="s">
        <v>9</v>
      </c>
      <c r="K4737" s="4" t="s">
        <v>10</v>
      </c>
      <c r="L4737" s="4" t="s">
        <v>11</v>
      </c>
      <c r="M4737" s="4" t="s">
        <v>12</v>
      </c>
      <c r="N4737" s="4" t="s">
        <v>13</v>
      </c>
      <c r="O4737" s="4" t="s">
        <v>14</v>
      </c>
      <c r="P4737" s="4" t="s">
        <v>15</v>
      </c>
      <c r="Q4737" s="4" t="s">
        <v>16</v>
      </c>
      <c r="R4737" s="4" t="s">
        <v>17</v>
      </c>
      <c r="S4737" s="4" t="s">
        <v>18</v>
      </c>
      <c r="T4737" s="4" t="s">
        <v>19</v>
      </c>
      <c r="U4737" s="4" t="s">
        <v>20</v>
      </c>
      <c r="V4737" s="4" t="s">
        <v>21</v>
      </c>
      <c r="W4737" s="338" t="s">
        <v>22</v>
      </c>
      <c r="X4737" s="4" t="s">
        <v>23</v>
      </c>
      <c r="Y4737" s="4" t="s">
        <v>24</v>
      </c>
      <c r="Z4737" s="4" t="s">
        <v>25</v>
      </c>
      <c r="AA4737" s="4" t="s">
        <v>26</v>
      </c>
      <c r="AB4737" s="4" t="s">
        <v>27</v>
      </c>
      <c r="AC4737" s="4" t="s">
        <v>28</v>
      </c>
      <c r="AD4737" s="4" t="s">
        <v>29</v>
      </c>
      <c r="AE4737" s="4" t="s">
        <v>30</v>
      </c>
      <c r="AF4737" s="4" t="s">
        <v>31</v>
      </c>
      <c r="AG4737" s="4" t="s">
        <v>32</v>
      </c>
      <c r="AH4737" s="4" t="s">
        <v>33</v>
      </c>
      <c r="AI4737" s="4" t="s">
        <v>34</v>
      </c>
      <c r="AJ4737" s="338" t="s">
        <v>35</v>
      </c>
      <c r="AK4737" s="4" t="s">
        <v>4607</v>
      </c>
      <c r="AL4737" s="4" t="s">
        <v>4608</v>
      </c>
      <c r="AM4737" s="4" t="s">
        <v>4609</v>
      </c>
      <c r="AN4737" s="4" t="s">
        <v>4610</v>
      </c>
      <c r="AO4737" s="4" t="s">
        <v>4611</v>
      </c>
      <c r="AP4737" s="4" t="s">
        <v>4612</v>
      </c>
      <c r="AQ4737" s="4" t="s">
        <v>4613</v>
      </c>
      <c r="AR4737" s="4" t="s">
        <v>4614</v>
      </c>
      <c r="AS4737" s="4" t="s">
        <v>4615</v>
      </c>
      <c r="AT4737" s="4" t="s">
        <v>4616</v>
      </c>
      <c r="AU4737" s="4" t="s">
        <v>4617</v>
      </c>
      <c r="AV4737" s="4" t="s">
        <v>4618</v>
      </c>
      <c r="AW4737" s="338" t="s">
        <v>4619</v>
      </c>
      <c r="AX4737" s="6" t="s">
        <v>36</v>
      </c>
    </row>
    <row r="4738" spans="2:50" x14ac:dyDescent="0.2">
      <c r="B4738" s="7"/>
      <c r="C4738" s="8">
        <v>14980</v>
      </c>
      <c r="D4738" s="9" t="s">
        <v>220</v>
      </c>
      <c r="E4738" s="10" t="str">
        <f t="shared" si="576"/>
        <v>Rancho Recoveco No. 3</v>
      </c>
      <c r="F4738" s="10" t="str">
        <f t="shared" si="577"/>
        <v>Garduño</v>
      </c>
      <c r="G4738" s="8">
        <v>1</v>
      </c>
      <c r="H4738" s="11">
        <v>300</v>
      </c>
      <c r="I4738" s="12">
        <v>42979</v>
      </c>
      <c r="J4738" s="35">
        <f t="shared" si="578"/>
        <v>0</v>
      </c>
      <c r="K4738" s="36"/>
      <c r="L4738" s="36"/>
      <c r="M4738" s="36"/>
      <c r="N4738" s="36"/>
      <c r="O4738" s="36"/>
      <c r="P4738" s="36"/>
      <c r="Q4738" s="36"/>
      <c r="R4738" s="36"/>
      <c r="S4738" s="36"/>
      <c r="T4738" s="36"/>
      <c r="U4738" s="36"/>
      <c r="V4738" s="36"/>
      <c r="W4738" s="15">
        <f t="shared" si="579"/>
        <v>0</v>
      </c>
      <c r="X4738" s="36"/>
      <c r="Y4738" s="36"/>
      <c r="Z4738" s="36"/>
      <c r="AA4738" s="36"/>
      <c r="AB4738" s="36"/>
      <c r="AC4738" s="36"/>
      <c r="AD4738" s="36"/>
      <c r="AE4738" s="36">
        <v>300</v>
      </c>
      <c r="AF4738" s="36"/>
      <c r="AG4738" s="36"/>
      <c r="AH4738" s="36"/>
      <c r="AI4738" s="36"/>
      <c r="AJ4738" s="15">
        <f t="shared" si="580"/>
        <v>300</v>
      </c>
      <c r="AK4738" s="14"/>
      <c r="AL4738" s="14"/>
      <c r="AM4738" s="14"/>
      <c r="AN4738" s="14"/>
      <c r="AO4738" s="14"/>
      <c r="AP4738" s="14"/>
      <c r="AQ4738" s="14"/>
      <c r="AR4738" s="14"/>
      <c r="AS4738" s="14"/>
      <c r="AT4738" s="14"/>
      <c r="AU4738" s="14"/>
      <c r="AV4738" s="14"/>
      <c r="AW4738" s="15"/>
      <c r="AX4738" s="16"/>
    </row>
    <row r="4739" spans="2:50" x14ac:dyDescent="0.2">
      <c r="B4739" s="7"/>
      <c r="C4739" s="8">
        <v>14981</v>
      </c>
      <c r="D4739" s="9" t="s">
        <v>1100</v>
      </c>
      <c r="E4739" s="10" t="str">
        <f t="shared" si="566"/>
        <v>Rancho Upácuaro No. 45</v>
      </c>
      <c r="F4739" s="10" t="str">
        <f t="shared" si="567"/>
        <v>Enrique Vázquez</v>
      </c>
      <c r="G4739" s="8">
        <v>1</v>
      </c>
      <c r="H4739" s="11">
        <v>500</v>
      </c>
      <c r="I4739" s="12">
        <v>42979</v>
      </c>
      <c r="J4739" s="35">
        <f t="shared" si="568"/>
        <v>0</v>
      </c>
      <c r="K4739" s="36"/>
      <c r="L4739" s="36"/>
      <c r="M4739" s="36"/>
      <c r="N4739" s="36"/>
      <c r="O4739" s="36"/>
      <c r="P4739" s="36"/>
      <c r="Q4739" s="36"/>
      <c r="R4739" s="36"/>
      <c r="S4739" s="36"/>
      <c r="T4739" s="36"/>
      <c r="U4739" s="36"/>
      <c r="V4739" s="36"/>
      <c r="W4739" s="15">
        <f t="shared" si="569"/>
        <v>0</v>
      </c>
      <c r="X4739" s="36"/>
      <c r="Y4739" s="36"/>
      <c r="Z4739" s="36"/>
      <c r="AA4739" s="36"/>
      <c r="AB4739" s="36">
        <v>100</v>
      </c>
      <c r="AC4739" s="36">
        <v>100</v>
      </c>
      <c r="AD4739" s="36">
        <v>100</v>
      </c>
      <c r="AE4739" s="36">
        <v>100</v>
      </c>
      <c r="AF4739" s="36">
        <v>100</v>
      </c>
      <c r="AG4739" s="36"/>
      <c r="AH4739" s="36"/>
      <c r="AI4739" s="36"/>
      <c r="AJ4739" s="15">
        <f t="shared" si="570"/>
        <v>500</v>
      </c>
      <c r="AK4739" s="14"/>
      <c r="AL4739" s="14"/>
      <c r="AM4739" s="14"/>
      <c r="AN4739" s="14"/>
      <c r="AO4739" s="14"/>
      <c r="AP4739" s="14"/>
      <c r="AQ4739" s="14"/>
      <c r="AR4739" s="14"/>
      <c r="AS4739" s="14"/>
      <c r="AT4739" s="14"/>
      <c r="AU4739" s="14"/>
      <c r="AV4739" s="14"/>
      <c r="AW4739" s="15"/>
      <c r="AX4739" s="16"/>
    </row>
    <row r="4740" spans="2:50" x14ac:dyDescent="0.2">
      <c r="B4740" s="7"/>
      <c r="C4740" s="8">
        <v>14982</v>
      </c>
      <c r="D4740" s="9" t="s">
        <v>156</v>
      </c>
      <c r="E4740" s="10" t="str">
        <f t="shared" si="566"/>
        <v>Rancho Zinamba No. 80</v>
      </c>
      <c r="F4740" s="10" t="str">
        <f t="shared" si="567"/>
        <v>Vázquez</v>
      </c>
      <c r="G4740" s="8">
        <v>1</v>
      </c>
      <c r="H4740" s="315">
        <v>300</v>
      </c>
      <c r="I4740" s="12">
        <v>42981</v>
      </c>
      <c r="J4740" s="35">
        <f t="shared" si="568"/>
        <v>0</v>
      </c>
      <c r="K4740" s="36"/>
      <c r="L4740" s="36"/>
      <c r="M4740" s="36"/>
      <c r="N4740" s="36"/>
      <c r="O4740" s="36"/>
      <c r="P4740" s="36"/>
      <c r="Q4740" s="36"/>
      <c r="R4740" s="36"/>
      <c r="S4740" s="36"/>
      <c r="T4740" s="36"/>
      <c r="U4740" s="36"/>
      <c r="V4740" s="36"/>
      <c r="W4740" s="15">
        <f t="shared" si="569"/>
        <v>0</v>
      </c>
      <c r="X4740" s="36"/>
      <c r="Y4740" s="36"/>
      <c r="Z4740" s="36"/>
      <c r="AA4740" s="36"/>
      <c r="AB4740" s="36"/>
      <c r="AC4740" s="36"/>
      <c r="AD4740" s="36"/>
      <c r="AE4740" s="36"/>
      <c r="AF4740" s="36">
        <v>300</v>
      </c>
      <c r="AG4740" s="36"/>
      <c r="AH4740" s="36"/>
      <c r="AI4740" s="36"/>
      <c r="AJ4740" s="15">
        <f t="shared" si="570"/>
        <v>300</v>
      </c>
      <c r="AK4740" s="14"/>
      <c r="AL4740" s="14"/>
      <c r="AM4740" s="14"/>
      <c r="AN4740" s="14"/>
      <c r="AO4740" s="14"/>
      <c r="AP4740" s="14"/>
      <c r="AQ4740" s="14"/>
      <c r="AR4740" s="14"/>
      <c r="AS4740" s="14"/>
      <c r="AT4740" s="14"/>
      <c r="AU4740" s="14"/>
      <c r="AV4740" s="14"/>
      <c r="AW4740" s="15"/>
      <c r="AX4740" s="16"/>
    </row>
    <row r="4741" spans="2:50" x14ac:dyDescent="0.2">
      <c r="B4741" s="7"/>
      <c r="C4741" s="8">
        <v>14983</v>
      </c>
      <c r="D4741" s="9" t="s">
        <v>422</v>
      </c>
      <c r="E4741" s="10" t="str">
        <f t="shared" ref="E4741:E4948" si="596">IF(D4741=0,"",VLOOKUP(D4741,BASE,2,FALSE))</f>
        <v>Rancho Recoveco No. 183</v>
      </c>
      <c r="F4741" s="10" t="str">
        <f t="shared" ref="F4741:F4948" si="597">IF(D4741=0,"",VLOOKUP(D4741,BASE,3,FALSE))</f>
        <v>Atilano Limón</v>
      </c>
      <c r="G4741" s="8">
        <v>1</v>
      </c>
      <c r="H4741" s="11">
        <v>4400</v>
      </c>
      <c r="I4741" s="12">
        <v>42981</v>
      </c>
      <c r="J4741" s="35">
        <f t="shared" ref="J4741:J4821" si="598">IF(G4741=1,SUM(W4741,AJ4741,-H4741),0)</f>
        <v>0</v>
      </c>
      <c r="K4741" s="36"/>
      <c r="L4741" s="36"/>
      <c r="M4741" s="36"/>
      <c r="N4741" s="36"/>
      <c r="O4741" s="36"/>
      <c r="P4741" s="36"/>
      <c r="Q4741" s="36"/>
      <c r="R4741" s="36"/>
      <c r="S4741" s="36"/>
      <c r="T4741" s="36"/>
      <c r="U4741" s="36"/>
      <c r="V4741" s="36"/>
      <c r="W4741" s="15">
        <f t="shared" ref="W4741:W4948" si="599">SUM(K4741:V4741)</f>
        <v>0</v>
      </c>
      <c r="X4741" s="36">
        <v>400</v>
      </c>
      <c r="Y4741" s="36">
        <v>400</v>
      </c>
      <c r="Z4741" s="36">
        <v>400</v>
      </c>
      <c r="AA4741" s="36">
        <v>400</v>
      </c>
      <c r="AB4741" s="36">
        <v>400</v>
      </c>
      <c r="AC4741" s="36">
        <v>400</v>
      </c>
      <c r="AD4741" s="36">
        <v>400</v>
      </c>
      <c r="AE4741" s="36">
        <v>400</v>
      </c>
      <c r="AF4741" s="36">
        <v>400</v>
      </c>
      <c r="AG4741" s="36">
        <v>400</v>
      </c>
      <c r="AH4741" s="36">
        <v>400</v>
      </c>
      <c r="AI4741" s="36"/>
      <c r="AJ4741" s="15">
        <f t="shared" ref="AJ4741:AJ4948" si="600">SUM(X4741:AI4741)</f>
        <v>4400</v>
      </c>
      <c r="AK4741" s="14"/>
      <c r="AL4741" s="14"/>
      <c r="AM4741" s="14"/>
      <c r="AN4741" s="14"/>
      <c r="AO4741" s="14"/>
      <c r="AP4741" s="14"/>
      <c r="AQ4741" s="14"/>
      <c r="AR4741" s="14"/>
      <c r="AS4741" s="14"/>
      <c r="AT4741" s="14"/>
      <c r="AU4741" s="14"/>
      <c r="AV4741" s="14"/>
      <c r="AW4741" s="15"/>
      <c r="AX4741" s="16" t="s">
        <v>4428</v>
      </c>
    </row>
    <row r="4742" spans="2:50" x14ac:dyDescent="0.2">
      <c r="B4742" s="7"/>
      <c r="C4742" s="8">
        <v>14983</v>
      </c>
      <c r="D4742" s="9" t="s">
        <v>422</v>
      </c>
      <c r="E4742" s="10" t="str">
        <f t="shared" si="596"/>
        <v>Rancho Recoveco No. 183</v>
      </c>
      <c r="F4742" s="10" t="str">
        <f t="shared" si="597"/>
        <v>Atilano Limón</v>
      </c>
      <c r="G4742" s="8">
        <v>5</v>
      </c>
      <c r="H4742" s="11">
        <v>50</v>
      </c>
      <c r="I4742" s="12">
        <v>42981</v>
      </c>
      <c r="J4742" s="35">
        <f t="shared" si="598"/>
        <v>0</v>
      </c>
      <c r="K4742" s="36"/>
      <c r="L4742" s="36"/>
      <c r="M4742" s="36"/>
      <c r="N4742" s="36"/>
      <c r="O4742" s="36"/>
      <c r="P4742" s="36"/>
      <c r="Q4742" s="36"/>
      <c r="R4742" s="36"/>
      <c r="S4742" s="36"/>
      <c r="T4742" s="36"/>
      <c r="U4742" s="36"/>
      <c r="V4742" s="36"/>
      <c r="W4742" s="15">
        <f t="shared" si="599"/>
        <v>0</v>
      </c>
      <c r="X4742" s="36"/>
      <c r="Y4742" s="36"/>
      <c r="Z4742" s="36"/>
      <c r="AA4742" s="36"/>
      <c r="AB4742" s="36"/>
      <c r="AC4742" s="36"/>
      <c r="AD4742" s="36"/>
      <c r="AE4742" s="36"/>
      <c r="AF4742" s="36"/>
      <c r="AG4742" s="36"/>
      <c r="AH4742" s="36"/>
      <c r="AI4742" s="36"/>
      <c r="AJ4742" s="15">
        <f t="shared" si="600"/>
        <v>0</v>
      </c>
      <c r="AK4742" s="14"/>
      <c r="AL4742" s="14"/>
      <c r="AM4742" s="14"/>
      <c r="AN4742" s="14"/>
      <c r="AO4742" s="14"/>
      <c r="AP4742" s="14"/>
      <c r="AQ4742" s="14"/>
      <c r="AR4742" s="14"/>
      <c r="AS4742" s="14"/>
      <c r="AT4742" s="14"/>
      <c r="AU4742" s="14"/>
      <c r="AV4742" s="14"/>
      <c r="AW4742" s="15"/>
      <c r="AX4742" s="16"/>
    </row>
    <row r="4743" spans="2:50" x14ac:dyDescent="0.2">
      <c r="B4743" s="7"/>
      <c r="C4743" s="8">
        <v>14984</v>
      </c>
      <c r="D4743" s="9"/>
      <c r="E4743" s="10" t="str">
        <f t="shared" si="596"/>
        <v/>
      </c>
      <c r="F4743" s="10" t="str">
        <f t="shared" si="597"/>
        <v/>
      </c>
      <c r="G4743" s="8">
        <v>8</v>
      </c>
      <c r="H4743" s="11"/>
      <c r="I4743" s="12"/>
      <c r="J4743" s="35">
        <f t="shared" si="598"/>
        <v>0</v>
      </c>
      <c r="K4743" s="36"/>
      <c r="L4743" s="36"/>
      <c r="M4743" s="36"/>
      <c r="N4743" s="36"/>
      <c r="O4743" s="36"/>
      <c r="P4743" s="36"/>
      <c r="Q4743" s="36"/>
      <c r="R4743" s="36"/>
      <c r="S4743" s="36"/>
      <c r="T4743" s="36"/>
      <c r="U4743" s="36"/>
      <c r="V4743" s="36"/>
      <c r="W4743" s="15">
        <f t="shared" si="599"/>
        <v>0</v>
      </c>
      <c r="X4743" s="36"/>
      <c r="Y4743" s="36"/>
      <c r="Z4743" s="36"/>
      <c r="AA4743" s="36"/>
      <c r="AB4743" s="36"/>
      <c r="AC4743" s="36"/>
      <c r="AD4743" s="36"/>
      <c r="AE4743" s="36"/>
      <c r="AF4743" s="36"/>
      <c r="AG4743" s="36"/>
      <c r="AH4743" s="36"/>
      <c r="AI4743" s="36"/>
      <c r="AJ4743" s="15">
        <f t="shared" si="600"/>
        <v>0</v>
      </c>
      <c r="AK4743" s="14"/>
      <c r="AL4743" s="14"/>
      <c r="AM4743" s="14"/>
      <c r="AN4743" s="14"/>
      <c r="AO4743" s="14"/>
      <c r="AP4743" s="14"/>
      <c r="AQ4743" s="14"/>
      <c r="AR4743" s="14"/>
      <c r="AS4743" s="14"/>
      <c r="AT4743" s="14"/>
      <c r="AU4743" s="14"/>
      <c r="AV4743" s="14"/>
      <c r="AW4743" s="15"/>
      <c r="AX4743" s="16"/>
    </row>
    <row r="4744" spans="2:50" x14ac:dyDescent="0.2">
      <c r="B4744" s="7"/>
      <c r="C4744" s="8">
        <v>14985</v>
      </c>
      <c r="D4744" s="9" t="s">
        <v>97</v>
      </c>
      <c r="E4744" s="10" t="str">
        <f t="shared" si="596"/>
        <v>Rancho La Cuchilla No. 78</v>
      </c>
      <c r="F4744" s="10" t="str">
        <f t="shared" si="597"/>
        <v>García</v>
      </c>
      <c r="G4744" s="8">
        <v>1</v>
      </c>
      <c r="H4744" s="11">
        <v>400</v>
      </c>
      <c r="I4744" s="12">
        <v>42981</v>
      </c>
      <c r="J4744" s="35">
        <f t="shared" si="598"/>
        <v>0</v>
      </c>
      <c r="K4744" s="36"/>
      <c r="L4744" s="36"/>
      <c r="M4744" s="36"/>
      <c r="N4744" s="36"/>
      <c r="O4744" s="36"/>
      <c r="P4744" s="36"/>
      <c r="Q4744" s="36"/>
      <c r="R4744" s="36"/>
      <c r="S4744" s="36"/>
      <c r="T4744" s="36"/>
      <c r="U4744" s="36"/>
      <c r="V4744" s="36"/>
      <c r="W4744" s="15">
        <f t="shared" si="599"/>
        <v>0</v>
      </c>
      <c r="X4744" s="36"/>
      <c r="Y4744" s="36"/>
      <c r="Z4744" s="36"/>
      <c r="AA4744" s="36"/>
      <c r="AB4744" s="36"/>
      <c r="AC4744" s="36"/>
      <c r="AD4744" s="36"/>
      <c r="AE4744" s="36"/>
      <c r="AF4744" s="36">
        <v>400</v>
      </c>
      <c r="AG4744" s="36"/>
      <c r="AH4744" s="36"/>
      <c r="AI4744" s="36"/>
      <c r="AJ4744" s="15">
        <f t="shared" si="600"/>
        <v>400</v>
      </c>
      <c r="AK4744" s="14"/>
      <c r="AL4744" s="14"/>
      <c r="AM4744" s="14"/>
      <c r="AN4744" s="14"/>
      <c r="AO4744" s="14"/>
      <c r="AP4744" s="14"/>
      <c r="AQ4744" s="14"/>
      <c r="AR4744" s="14"/>
      <c r="AS4744" s="14"/>
      <c r="AT4744" s="14"/>
      <c r="AU4744" s="14"/>
      <c r="AV4744" s="14"/>
      <c r="AW4744" s="15"/>
      <c r="AX4744" s="16"/>
    </row>
    <row r="4745" spans="2:50" x14ac:dyDescent="0.2">
      <c r="B4745" s="7"/>
      <c r="C4745" s="8">
        <v>14986</v>
      </c>
      <c r="D4745" s="9" t="s">
        <v>794</v>
      </c>
      <c r="E4745" s="10" t="str">
        <f t="shared" si="596"/>
        <v>Rancho Landero No. 18</v>
      </c>
      <c r="F4745" s="10" t="str">
        <f t="shared" si="597"/>
        <v>Rosado</v>
      </c>
      <c r="G4745" s="8">
        <v>1</v>
      </c>
      <c r="H4745" s="11">
        <v>300</v>
      </c>
      <c r="I4745" s="12">
        <v>42981</v>
      </c>
      <c r="J4745" s="35">
        <f t="shared" si="598"/>
        <v>0</v>
      </c>
      <c r="K4745" s="36"/>
      <c r="L4745" s="36"/>
      <c r="M4745" s="36"/>
      <c r="N4745" s="36"/>
      <c r="O4745" s="36"/>
      <c r="P4745" s="36"/>
      <c r="Q4745" s="36"/>
      <c r="R4745" s="36"/>
      <c r="S4745" s="36"/>
      <c r="T4745" s="36"/>
      <c r="U4745" s="36"/>
      <c r="V4745" s="36"/>
      <c r="W4745" s="15">
        <f t="shared" si="599"/>
        <v>0</v>
      </c>
      <c r="X4745" s="36"/>
      <c r="Y4745" s="36"/>
      <c r="Z4745" s="36"/>
      <c r="AA4745" s="36"/>
      <c r="AB4745" s="36"/>
      <c r="AC4745" s="36"/>
      <c r="AD4745" s="36"/>
      <c r="AE4745" s="36">
        <v>300</v>
      </c>
      <c r="AF4745" s="36"/>
      <c r="AG4745" s="36"/>
      <c r="AH4745" s="36"/>
      <c r="AI4745" s="36"/>
      <c r="AJ4745" s="15">
        <f t="shared" si="600"/>
        <v>300</v>
      </c>
      <c r="AK4745" s="14"/>
      <c r="AL4745" s="14"/>
      <c r="AM4745" s="14"/>
      <c r="AN4745" s="14"/>
      <c r="AO4745" s="14"/>
      <c r="AP4745" s="14"/>
      <c r="AQ4745" s="14"/>
      <c r="AR4745" s="14"/>
      <c r="AS4745" s="14"/>
      <c r="AT4745" s="14"/>
      <c r="AU4745" s="14"/>
      <c r="AV4745" s="14"/>
      <c r="AW4745" s="15"/>
      <c r="AX4745" s="16"/>
    </row>
    <row r="4746" spans="2:50" x14ac:dyDescent="0.2">
      <c r="B4746" s="7"/>
      <c r="C4746" s="8">
        <v>14987</v>
      </c>
      <c r="D4746" s="9" t="s">
        <v>343</v>
      </c>
      <c r="E4746" s="10" t="str">
        <f t="shared" si="596"/>
        <v>Rancho Upácuaro No. 88</v>
      </c>
      <c r="F4746" s="10" t="str">
        <f t="shared" si="597"/>
        <v>Millán Núñez</v>
      </c>
      <c r="G4746" s="8">
        <v>1</v>
      </c>
      <c r="H4746" s="11">
        <v>800</v>
      </c>
      <c r="I4746" s="12">
        <v>42981</v>
      </c>
      <c r="J4746" s="35">
        <f t="shared" si="598"/>
        <v>0</v>
      </c>
      <c r="K4746" s="36"/>
      <c r="L4746" s="36"/>
      <c r="M4746" s="36"/>
      <c r="N4746" s="36"/>
      <c r="O4746" s="36"/>
      <c r="P4746" s="36"/>
      <c r="Q4746" s="36"/>
      <c r="R4746" s="36"/>
      <c r="S4746" s="36"/>
      <c r="T4746" s="36"/>
      <c r="U4746" s="36"/>
      <c r="V4746" s="36"/>
      <c r="W4746" s="15">
        <f t="shared" si="599"/>
        <v>0</v>
      </c>
      <c r="X4746" s="36"/>
      <c r="Y4746" s="36"/>
      <c r="Z4746" s="36"/>
      <c r="AA4746" s="36"/>
      <c r="AB4746" s="36"/>
      <c r="AC4746" s="36"/>
      <c r="AD4746" s="36"/>
      <c r="AE4746" s="36">
        <v>400</v>
      </c>
      <c r="AF4746" s="36">
        <v>400</v>
      </c>
      <c r="AG4746" s="36"/>
      <c r="AH4746" s="36"/>
      <c r="AI4746" s="36"/>
      <c r="AJ4746" s="15">
        <f t="shared" si="600"/>
        <v>800</v>
      </c>
      <c r="AK4746" s="14"/>
      <c r="AL4746" s="14"/>
      <c r="AM4746" s="14"/>
      <c r="AN4746" s="14"/>
      <c r="AO4746" s="14"/>
      <c r="AP4746" s="14"/>
      <c r="AQ4746" s="14"/>
      <c r="AR4746" s="14"/>
      <c r="AS4746" s="14"/>
      <c r="AT4746" s="14"/>
      <c r="AU4746" s="14"/>
      <c r="AV4746" s="14"/>
      <c r="AW4746" s="15"/>
      <c r="AX4746" s="16"/>
    </row>
    <row r="4747" spans="2:50" x14ac:dyDescent="0.2">
      <c r="B4747" s="7"/>
      <c r="C4747" s="8">
        <v>14988</v>
      </c>
      <c r="D4747" s="9" t="s">
        <v>589</v>
      </c>
      <c r="E4747" s="10" t="str">
        <f t="shared" si="596"/>
        <v>Rancho La Cuchilla No. 149</v>
      </c>
      <c r="F4747" s="10" t="str">
        <f t="shared" si="597"/>
        <v>Montes Irineos</v>
      </c>
      <c r="G4747" s="8">
        <v>1</v>
      </c>
      <c r="H4747" s="11">
        <v>800</v>
      </c>
      <c r="I4747" s="12">
        <v>42981</v>
      </c>
      <c r="J4747" s="35">
        <f t="shared" si="598"/>
        <v>0</v>
      </c>
      <c r="K4747" s="36"/>
      <c r="L4747" s="36"/>
      <c r="M4747" s="36"/>
      <c r="N4747" s="36"/>
      <c r="O4747" s="36"/>
      <c r="P4747" s="36"/>
      <c r="Q4747" s="36"/>
      <c r="R4747" s="36"/>
      <c r="S4747" s="36"/>
      <c r="T4747" s="36"/>
      <c r="U4747" s="36"/>
      <c r="V4747" s="36"/>
      <c r="W4747" s="15">
        <f t="shared" si="599"/>
        <v>0</v>
      </c>
      <c r="X4747" s="36"/>
      <c r="Y4747" s="36"/>
      <c r="Z4747" s="36"/>
      <c r="AA4747" s="36"/>
      <c r="AB4747" s="36">
        <v>400</v>
      </c>
      <c r="AC4747" s="36">
        <v>400</v>
      </c>
      <c r="AD4747" s="36"/>
      <c r="AE4747" s="36"/>
      <c r="AF4747" s="36"/>
      <c r="AG4747" s="36"/>
      <c r="AH4747" s="36"/>
      <c r="AI4747" s="36"/>
      <c r="AJ4747" s="15">
        <f t="shared" si="600"/>
        <v>800</v>
      </c>
      <c r="AK4747" s="14"/>
      <c r="AL4747" s="14"/>
      <c r="AM4747" s="14"/>
      <c r="AN4747" s="14"/>
      <c r="AO4747" s="14"/>
      <c r="AP4747" s="14"/>
      <c r="AQ4747" s="14"/>
      <c r="AR4747" s="14"/>
      <c r="AS4747" s="14"/>
      <c r="AT4747" s="14"/>
      <c r="AU4747" s="14"/>
      <c r="AV4747" s="14"/>
      <c r="AW4747" s="15"/>
      <c r="AX4747" s="16"/>
    </row>
    <row r="4748" spans="2:50" x14ac:dyDescent="0.2">
      <c r="B4748" s="7"/>
      <c r="C4748" s="8">
        <v>14989</v>
      </c>
      <c r="D4748" s="9" t="s">
        <v>874</v>
      </c>
      <c r="E4748" s="10" t="str">
        <f t="shared" si="596"/>
        <v>Rancho Zinamba No. 46</v>
      </c>
      <c r="F4748" s="10" t="str">
        <f t="shared" si="597"/>
        <v>Olguín</v>
      </c>
      <c r="G4748" s="8">
        <v>1</v>
      </c>
      <c r="H4748" s="11">
        <v>600</v>
      </c>
      <c r="I4748" s="12">
        <v>42981</v>
      </c>
      <c r="J4748" s="35">
        <f t="shared" si="598"/>
        <v>0</v>
      </c>
      <c r="K4748" s="36"/>
      <c r="L4748" s="36"/>
      <c r="M4748" s="36"/>
      <c r="N4748" s="36"/>
      <c r="O4748" s="36"/>
      <c r="P4748" s="36"/>
      <c r="Q4748" s="36"/>
      <c r="R4748" s="36"/>
      <c r="S4748" s="36"/>
      <c r="T4748" s="36"/>
      <c r="U4748" s="36"/>
      <c r="V4748" s="36"/>
      <c r="W4748" s="15">
        <f t="shared" si="599"/>
        <v>0</v>
      </c>
      <c r="X4748" s="36"/>
      <c r="Y4748" s="36"/>
      <c r="Z4748" s="36"/>
      <c r="AA4748" s="36"/>
      <c r="AB4748" s="36"/>
      <c r="AC4748" s="36"/>
      <c r="AD4748" s="36">
        <v>200</v>
      </c>
      <c r="AE4748" s="36">
        <v>200</v>
      </c>
      <c r="AF4748" s="36">
        <v>200</v>
      </c>
      <c r="AG4748" s="36"/>
      <c r="AH4748" s="36"/>
      <c r="AI4748" s="36"/>
      <c r="AJ4748" s="15">
        <f t="shared" si="600"/>
        <v>600</v>
      </c>
      <c r="AK4748" s="14"/>
      <c r="AL4748" s="14"/>
      <c r="AM4748" s="14"/>
      <c r="AN4748" s="14"/>
      <c r="AO4748" s="14"/>
      <c r="AP4748" s="14"/>
      <c r="AQ4748" s="14"/>
      <c r="AR4748" s="14"/>
      <c r="AS4748" s="14"/>
      <c r="AT4748" s="14"/>
      <c r="AU4748" s="14"/>
      <c r="AV4748" s="14"/>
      <c r="AW4748" s="15"/>
      <c r="AX4748" s="16"/>
    </row>
    <row r="4749" spans="2:50" x14ac:dyDescent="0.2">
      <c r="B4749" s="7"/>
      <c r="C4749" s="8">
        <v>14990</v>
      </c>
      <c r="D4749" s="9" t="s">
        <v>455</v>
      </c>
      <c r="E4749" s="10" t="str">
        <f t="shared" si="596"/>
        <v>Rancho Zinamba No. 38</v>
      </c>
      <c r="F4749" s="10" t="str">
        <f t="shared" si="597"/>
        <v>Ramírez Díaz</v>
      </c>
      <c r="G4749" s="8">
        <v>1</v>
      </c>
      <c r="H4749" s="11">
        <v>400</v>
      </c>
      <c r="I4749" s="12">
        <v>42981</v>
      </c>
      <c r="J4749" s="35">
        <f t="shared" si="598"/>
        <v>0</v>
      </c>
      <c r="K4749" s="36"/>
      <c r="L4749" s="36"/>
      <c r="M4749" s="36"/>
      <c r="N4749" s="36"/>
      <c r="O4749" s="36"/>
      <c r="P4749" s="36"/>
      <c r="Q4749" s="36"/>
      <c r="R4749" s="36"/>
      <c r="S4749" s="36"/>
      <c r="T4749" s="36"/>
      <c r="U4749" s="36"/>
      <c r="V4749" s="36"/>
      <c r="W4749" s="15">
        <f t="shared" si="599"/>
        <v>0</v>
      </c>
      <c r="X4749" s="36"/>
      <c r="Y4749" s="36"/>
      <c r="Z4749" s="36"/>
      <c r="AA4749" s="36"/>
      <c r="AB4749" s="36"/>
      <c r="AC4749" s="36"/>
      <c r="AD4749" s="36"/>
      <c r="AE4749" s="36"/>
      <c r="AF4749" s="36">
        <v>400</v>
      </c>
      <c r="AG4749" s="36"/>
      <c r="AH4749" s="36"/>
      <c r="AI4749" s="36"/>
      <c r="AJ4749" s="15">
        <f t="shared" si="600"/>
        <v>400</v>
      </c>
      <c r="AK4749" s="14"/>
      <c r="AL4749" s="14"/>
      <c r="AM4749" s="14"/>
      <c r="AN4749" s="14"/>
      <c r="AO4749" s="14"/>
      <c r="AP4749" s="14"/>
      <c r="AQ4749" s="14"/>
      <c r="AR4749" s="14"/>
      <c r="AS4749" s="14"/>
      <c r="AT4749" s="14"/>
      <c r="AU4749" s="14"/>
      <c r="AV4749" s="14"/>
      <c r="AW4749" s="15"/>
      <c r="AX4749" s="16"/>
    </row>
    <row r="4750" spans="2:50" x14ac:dyDescent="0.2">
      <c r="B4750" s="7"/>
      <c r="C4750" s="8">
        <v>14991</v>
      </c>
      <c r="D4750" s="9" t="s">
        <v>141</v>
      </c>
      <c r="E4750" s="10" t="str">
        <f t="shared" si="596"/>
        <v>Rancho Estanzuela No. 91</v>
      </c>
      <c r="F4750" s="10" t="str">
        <f t="shared" si="597"/>
        <v>Lobato Hernàndez</v>
      </c>
      <c r="G4750" s="8">
        <v>1</v>
      </c>
      <c r="H4750" s="11">
        <v>1200</v>
      </c>
      <c r="I4750" s="12">
        <v>42981</v>
      </c>
      <c r="J4750" s="35">
        <f t="shared" si="598"/>
        <v>0</v>
      </c>
      <c r="K4750" s="36"/>
      <c r="L4750" s="36"/>
      <c r="M4750" s="36"/>
      <c r="N4750" s="36"/>
      <c r="O4750" s="36"/>
      <c r="P4750" s="36"/>
      <c r="Q4750" s="36"/>
      <c r="R4750" s="36"/>
      <c r="S4750" s="36"/>
      <c r="T4750" s="36"/>
      <c r="U4750" s="36"/>
      <c r="V4750" s="36"/>
      <c r="W4750" s="15">
        <f t="shared" si="599"/>
        <v>0</v>
      </c>
      <c r="X4750" s="36"/>
      <c r="Y4750" s="36"/>
      <c r="Z4750" s="36"/>
      <c r="AA4750" s="36"/>
      <c r="AB4750" s="36"/>
      <c r="AC4750" s="36"/>
      <c r="AD4750" s="36">
        <v>400</v>
      </c>
      <c r="AE4750" s="36">
        <v>400</v>
      </c>
      <c r="AF4750" s="36">
        <v>400</v>
      </c>
      <c r="AG4750" s="36"/>
      <c r="AH4750" s="36"/>
      <c r="AI4750" s="36"/>
      <c r="AJ4750" s="15">
        <f t="shared" si="600"/>
        <v>1200</v>
      </c>
      <c r="AK4750" s="14"/>
      <c r="AL4750" s="14"/>
      <c r="AM4750" s="14"/>
      <c r="AN4750" s="14"/>
      <c r="AO4750" s="14"/>
      <c r="AP4750" s="14"/>
      <c r="AQ4750" s="14"/>
      <c r="AR4750" s="14"/>
      <c r="AS4750" s="14"/>
      <c r="AT4750" s="14"/>
      <c r="AU4750" s="14"/>
      <c r="AV4750" s="14"/>
      <c r="AW4750" s="15"/>
      <c r="AX4750" s="16"/>
    </row>
    <row r="4751" spans="2:50" x14ac:dyDescent="0.2">
      <c r="B4751" s="7"/>
      <c r="C4751" s="8">
        <v>14992</v>
      </c>
      <c r="D4751" s="9" t="s">
        <v>262</v>
      </c>
      <c r="E4751" s="10" t="str">
        <f t="shared" si="596"/>
        <v>Rancho Recoveco No. 1</v>
      </c>
      <c r="F4751" s="10" t="str">
        <f t="shared" si="597"/>
        <v>Díaz</v>
      </c>
      <c r="G4751" s="8">
        <v>1</v>
      </c>
      <c r="H4751" s="11">
        <v>300</v>
      </c>
      <c r="I4751" s="12">
        <v>42981</v>
      </c>
      <c r="J4751" s="35">
        <f t="shared" si="598"/>
        <v>0</v>
      </c>
      <c r="K4751" s="36"/>
      <c r="L4751" s="36"/>
      <c r="M4751" s="36"/>
      <c r="N4751" s="36"/>
      <c r="O4751" s="36"/>
      <c r="P4751" s="36"/>
      <c r="Q4751" s="36"/>
      <c r="R4751" s="36"/>
      <c r="S4751" s="36"/>
      <c r="T4751" s="36"/>
      <c r="U4751" s="36"/>
      <c r="V4751" s="36"/>
      <c r="W4751" s="15">
        <f t="shared" si="599"/>
        <v>0</v>
      </c>
      <c r="X4751" s="36"/>
      <c r="Y4751" s="36"/>
      <c r="Z4751" s="36"/>
      <c r="AA4751" s="36"/>
      <c r="AB4751" s="36"/>
      <c r="AC4751" s="36"/>
      <c r="AD4751" s="36"/>
      <c r="AE4751" s="36"/>
      <c r="AF4751" s="36">
        <v>300</v>
      </c>
      <c r="AG4751" s="36"/>
      <c r="AH4751" s="36"/>
      <c r="AI4751" s="36"/>
      <c r="AJ4751" s="15">
        <f t="shared" si="600"/>
        <v>300</v>
      </c>
      <c r="AK4751" s="14"/>
      <c r="AL4751" s="14"/>
      <c r="AM4751" s="14"/>
      <c r="AN4751" s="14"/>
      <c r="AO4751" s="14"/>
      <c r="AP4751" s="14"/>
      <c r="AQ4751" s="14"/>
      <c r="AR4751" s="14"/>
      <c r="AS4751" s="14"/>
      <c r="AT4751" s="14"/>
      <c r="AU4751" s="14"/>
      <c r="AV4751" s="14"/>
      <c r="AW4751" s="15"/>
      <c r="AX4751" s="16"/>
    </row>
    <row r="4752" spans="2:50" x14ac:dyDescent="0.2">
      <c r="B4752" s="7"/>
      <c r="C4752" s="8">
        <v>14993</v>
      </c>
      <c r="D4752" s="9" t="s">
        <v>678</v>
      </c>
      <c r="E4752" s="10" t="str">
        <f t="shared" si="596"/>
        <v>Rancho Upácuaro No. 76</v>
      </c>
      <c r="F4752" s="10" t="str">
        <f t="shared" si="597"/>
        <v>Ruiz de San Pedro</v>
      </c>
      <c r="G4752" s="8">
        <v>1</v>
      </c>
      <c r="H4752" s="11">
        <v>400</v>
      </c>
      <c r="I4752" s="12">
        <v>42981</v>
      </c>
      <c r="J4752" s="35">
        <f t="shared" si="598"/>
        <v>0</v>
      </c>
      <c r="K4752" s="36"/>
      <c r="L4752" s="36"/>
      <c r="M4752" s="36"/>
      <c r="N4752" s="36"/>
      <c r="O4752" s="36"/>
      <c r="P4752" s="36"/>
      <c r="Q4752" s="36"/>
      <c r="R4752" s="36"/>
      <c r="S4752" s="36"/>
      <c r="T4752" s="36"/>
      <c r="U4752" s="36"/>
      <c r="V4752" s="36"/>
      <c r="W4752" s="15">
        <f t="shared" si="599"/>
        <v>0</v>
      </c>
      <c r="X4752" s="36"/>
      <c r="Y4752" s="36"/>
      <c r="Z4752" s="36"/>
      <c r="AA4752" s="36"/>
      <c r="AB4752" s="36"/>
      <c r="AC4752" s="36"/>
      <c r="AD4752" s="36"/>
      <c r="AE4752" s="36"/>
      <c r="AF4752" s="36">
        <v>400</v>
      </c>
      <c r="AG4752" s="36"/>
      <c r="AH4752" s="36"/>
      <c r="AI4752" s="36"/>
      <c r="AJ4752" s="15">
        <f t="shared" si="600"/>
        <v>400</v>
      </c>
      <c r="AK4752" s="14"/>
      <c r="AL4752" s="14"/>
      <c r="AM4752" s="14"/>
      <c r="AN4752" s="14"/>
      <c r="AO4752" s="14"/>
      <c r="AP4752" s="14"/>
      <c r="AQ4752" s="14"/>
      <c r="AR4752" s="14"/>
      <c r="AS4752" s="14"/>
      <c r="AT4752" s="14"/>
      <c r="AU4752" s="14"/>
      <c r="AV4752" s="14"/>
      <c r="AW4752" s="15"/>
      <c r="AX4752" s="16"/>
    </row>
    <row r="4753" spans="2:50" x14ac:dyDescent="0.2">
      <c r="B4753" s="7"/>
      <c r="C4753" s="8">
        <v>14994</v>
      </c>
      <c r="D4753" s="9" t="s">
        <v>150</v>
      </c>
      <c r="E4753" s="10" t="str">
        <f t="shared" si="596"/>
        <v>Rancho La Cuchilla No. 33</v>
      </c>
      <c r="F4753" s="10" t="str">
        <f t="shared" si="597"/>
        <v>Tanús</v>
      </c>
      <c r="G4753" s="8">
        <v>1</v>
      </c>
      <c r="H4753" s="11">
        <v>400</v>
      </c>
      <c r="I4753" s="12">
        <v>42981</v>
      </c>
      <c r="J4753" s="35">
        <f t="shared" si="598"/>
        <v>0</v>
      </c>
      <c r="K4753" s="36"/>
      <c r="L4753" s="36"/>
      <c r="M4753" s="36"/>
      <c r="N4753" s="36"/>
      <c r="O4753" s="36"/>
      <c r="P4753" s="36"/>
      <c r="Q4753" s="36"/>
      <c r="R4753" s="36"/>
      <c r="S4753" s="36"/>
      <c r="T4753" s="36"/>
      <c r="U4753" s="36"/>
      <c r="V4753" s="36"/>
      <c r="W4753" s="15">
        <f t="shared" si="599"/>
        <v>0</v>
      </c>
      <c r="X4753" s="36"/>
      <c r="Y4753" s="36"/>
      <c r="Z4753" s="36"/>
      <c r="AA4753" s="36"/>
      <c r="AB4753" s="36"/>
      <c r="AC4753" s="36"/>
      <c r="AD4753" s="36"/>
      <c r="AE4753" s="36"/>
      <c r="AF4753" s="36">
        <v>400</v>
      </c>
      <c r="AG4753" s="36"/>
      <c r="AH4753" s="36"/>
      <c r="AI4753" s="36"/>
      <c r="AJ4753" s="15">
        <f t="shared" si="600"/>
        <v>400</v>
      </c>
      <c r="AK4753" s="14"/>
      <c r="AL4753" s="14"/>
      <c r="AM4753" s="14"/>
      <c r="AN4753" s="14"/>
      <c r="AO4753" s="14"/>
      <c r="AP4753" s="14"/>
      <c r="AQ4753" s="14"/>
      <c r="AR4753" s="14"/>
      <c r="AS4753" s="14"/>
      <c r="AT4753" s="14"/>
      <c r="AU4753" s="14"/>
      <c r="AV4753" s="14"/>
      <c r="AW4753" s="15"/>
      <c r="AX4753" s="16"/>
    </row>
    <row r="4754" spans="2:50" x14ac:dyDescent="0.2">
      <c r="B4754" s="7"/>
      <c r="C4754" s="8">
        <v>14995</v>
      </c>
      <c r="D4754" s="9" t="s">
        <v>965</v>
      </c>
      <c r="E4754" s="10" t="str">
        <f t="shared" si="596"/>
        <v>Rancho La Cuchilla No. 52</v>
      </c>
      <c r="F4754" s="10" t="str">
        <f t="shared" si="597"/>
        <v>Velázquez</v>
      </c>
      <c r="G4754" s="8">
        <v>1</v>
      </c>
      <c r="H4754" s="11">
        <v>400</v>
      </c>
      <c r="I4754" s="12">
        <v>42981</v>
      </c>
      <c r="J4754" s="35">
        <f t="shared" si="598"/>
        <v>0</v>
      </c>
      <c r="K4754" s="36"/>
      <c r="L4754" s="36"/>
      <c r="M4754" s="36"/>
      <c r="N4754" s="36"/>
      <c r="O4754" s="36"/>
      <c r="P4754" s="36"/>
      <c r="Q4754" s="36"/>
      <c r="R4754" s="36"/>
      <c r="S4754" s="36"/>
      <c r="T4754" s="36"/>
      <c r="U4754" s="36"/>
      <c r="V4754" s="36"/>
      <c r="W4754" s="15">
        <f t="shared" si="599"/>
        <v>0</v>
      </c>
      <c r="X4754" s="36"/>
      <c r="Y4754" s="36"/>
      <c r="Z4754" s="36"/>
      <c r="AA4754" s="36"/>
      <c r="AB4754" s="36"/>
      <c r="AC4754" s="36"/>
      <c r="AD4754" s="36">
        <v>400</v>
      </c>
      <c r="AE4754" s="36"/>
      <c r="AF4754" s="36"/>
      <c r="AG4754" s="36"/>
      <c r="AH4754" s="36"/>
      <c r="AI4754" s="36"/>
      <c r="AJ4754" s="15">
        <f t="shared" si="600"/>
        <v>400</v>
      </c>
      <c r="AK4754" s="14"/>
      <c r="AL4754" s="14"/>
      <c r="AM4754" s="14"/>
      <c r="AN4754" s="14"/>
      <c r="AO4754" s="14"/>
      <c r="AP4754" s="14"/>
      <c r="AQ4754" s="14"/>
      <c r="AR4754" s="14"/>
      <c r="AS4754" s="14"/>
      <c r="AT4754" s="14"/>
      <c r="AU4754" s="14"/>
      <c r="AV4754" s="14"/>
      <c r="AW4754" s="15"/>
      <c r="AX4754" s="16"/>
    </row>
    <row r="4755" spans="2:50" x14ac:dyDescent="0.2">
      <c r="B4755" s="7"/>
      <c r="C4755" s="8">
        <v>14996</v>
      </c>
      <c r="D4755" s="9" t="s">
        <v>467</v>
      </c>
      <c r="E4755" s="10" t="str">
        <f t="shared" si="596"/>
        <v>Rancho Upácuaro No. 138</v>
      </c>
      <c r="F4755" s="10" t="str">
        <f t="shared" si="597"/>
        <v>Ramírez Valencia</v>
      </c>
      <c r="G4755" s="8">
        <v>1</v>
      </c>
      <c r="H4755" s="11">
        <v>2400</v>
      </c>
      <c r="I4755" s="12">
        <v>42981</v>
      </c>
      <c r="J4755" s="35">
        <f t="shared" si="598"/>
        <v>0</v>
      </c>
      <c r="K4755" s="36"/>
      <c r="L4755" s="36"/>
      <c r="M4755" s="36"/>
      <c r="N4755" s="36"/>
      <c r="O4755" s="36"/>
      <c r="P4755" s="36"/>
      <c r="Q4755" s="36"/>
      <c r="R4755" s="36"/>
      <c r="S4755" s="36"/>
      <c r="T4755" s="36"/>
      <c r="U4755" s="36"/>
      <c r="V4755" s="36"/>
      <c r="W4755" s="15">
        <f t="shared" si="599"/>
        <v>0</v>
      </c>
      <c r="X4755" s="36"/>
      <c r="Y4755" s="36"/>
      <c r="Z4755" s="36">
        <v>400</v>
      </c>
      <c r="AA4755" s="36">
        <v>400</v>
      </c>
      <c r="AB4755" s="36">
        <v>400</v>
      </c>
      <c r="AC4755" s="36">
        <v>400</v>
      </c>
      <c r="AD4755" s="36">
        <v>400</v>
      </c>
      <c r="AE4755" s="36">
        <v>400</v>
      </c>
      <c r="AF4755" s="36"/>
      <c r="AG4755" s="36"/>
      <c r="AH4755" s="36"/>
      <c r="AI4755" s="36"/>
      <c r="AJ4755" s="15">
        <f t="shared" si="600"/>
        <v>2400</v>
      </c>
      <c r="AK4755" s="14"/>
      <c r="AL4755" s="14"/>
      <c r="AM4755" s="14"/>
      <c r="AN4755" s="14"/>
      <c r="AO4755" s="14"/>
      <c r="AP4755" s="14"/>
      <c r="AQ4755" s="14"/>
      <c r="AR4755" s="14"/>
      <c r="AS4755" s="14"/>
      <c r="AT4755" s="14"/>
      <c r="AU4755" s="14"/>
      <c r="AV4755" s="14"/>
      <c r="AW4755" s="15"/>
      <c r="AX4755" s="16"/>
    </row>
    <row r="4756" spans="2:50" x14ac:dyDescent="0.2">
      <c r="B4756" s="7"/>
      <c r="C4756" s="8">
        <v>14997</v>
      </c>
      <c r="D4756" s="9" t="s">
        <v>331</v>
      </c>
      <c r="E4756" s="10" t="str">
        <f t="shared" si="596"/>
        <v>Rancho Recoveco No. 197</v>
      </c>
      <c r="F4756" s="10" t="str">
        <f t="shared" si="597"/>
        <v>Colín González</v>
      </c>
      <c r="G4756" s="8">
        <v>1</v>
      </c>
      <c r="H4756" s="11">
        <v>800</v>
      </c>
      <c r="I4756" s="12">
        <v>42981</v>
      </c>
      <c r="J4756" s="35">
        <f t="shared" si="598"/>
        <v>0</v>
      </c>
      <c r="K4756" s="36"/>
      <c r="L4756" s="36"/>
      <c r="M4756" s="36"/>
      <c r="N4756" s="36"/>
      <c r="O4756" s="36"/>
      <c r="P4756" s="36"/>
      <c r="Q4756" s="36"/>
      <c r="R4756" s="36"/>
      <c r="S4756" s="36"/>
      <c r="T4756" s="36"/>
      <c r="U4756" s="36"/>
      <c r="V4756" s="36"/>
      <c r="W4756" s="15">
        <f t="shared" si="599"/>
        <v>0</v>
      </c>
      <c r="X4756" s="36"/>
      <c r="Y4756" s="36"/>
      <c r="Z4756" s="36"/>
      <c r="AA4756" s="36"/>
      <c r="AB4756" s="36"/>
      <c r="AC4756" s="36"/>
      <c r="AD4756" s="36"/>
      <c r="AE4756" s="36">
        <v>400</v>
      </c>
      <c r="AF4756" s="36">
        <v>400</v>
      </c>
      <c r="AG4756" s="36"/>
      <c r="AH4756" s="36"/>
      <c r="AI4756" s="36"/>
      <c r="AJ4756" s="15">
        <f t="shared" si="600"/>
        <v>800</v>
      </c>
      <c r="AK4756" s="14"/>
      <c r="AL4756" s="14"/>
      <c r="AM4756" s="14"/>
      <c r="AN4756" s="14"/>
      <c r="AO4756" s="14"/>
      <c r="AP4756" s="14"/>
      <c r="AQ4756" s="14"/>
      <c r="AR4756" s="14"/>
      <c r="AS4756" s="14"/>
      <c r="AT4756" s="14"/>
      <c r="AU4756" s="14"/>
      <c r="AV4756" s="14"/>
      <c r="AW4756" s="15"/>
      <c r="AX4756" s="16"/>
    </row>
    <row r="4757" spans="2:50" x14ac:dyDescent="0.2">
      <c r="B4757" s="7"/>
      <c r="C4757" s="8">
        <v>14998</v>
      </c>
      <c r="D4757" s="9" t="s">
        <v>162</v>
      </c>
      <c r="E4757" s="10" t="str">
        <f t="shared" si="596"/>
        <v>Rancho La Cuchilla No. 20</v>
      </c>
      <c r="F4757" s="10" t="str">
        <f t="shared" si="597"/>
        <v>Sánchez López</v>
      </c>
      <c r="G4757" s="8">
        <v>1</v>
      </c>
      <c r="H4757" s="11">
        <v>800</v>
      </c>
      <c r="I4757" s="12">
        <v>42981</v>
      </c>
      <c r="J4757" s="35">
        <f t="shared" si="598"/>
        <v>0</v>
      </c>
      <c r="K4757" s="36"/>
      <c r="L4757" s="36"/>
      <c r="M4757" s="36"/>
      <c r="N4757" s="36"/>
      <c r="O4757" s="36"/>
      <c r="P4757" s="36"/>
      <c r="Q4757" s="36"/>
      <c r="R4757" s="36"/>
      <c r="S4757" s="36"/>
      <c r="T4757" s="36"/>
      <c r="U4757" s="36"/>
      <c r="V4757" s="36"/>
      <c r="W4757" s="15">
        <f t="shared" si="599"/>
        <v>0</v>
      </c>
      <c r="X4757" s="36"/>
      <c r="Y4757" s="36"/>
      <c r="Z4757" s="36"/>
      <c r="AA4757" s="36"/>
      <c r="AB4757" s="36"/>
      <c r="AC4757" s="36"/>
      <c r="AD4757" s="36"/>
      <c r="AE4757" s="36"/>
      <c r="AF4757" s="36">
        <v>400</v>
      </c>
      <c r="AG4757" s="36">
        <v>400</v>
      </c>
      <c r="AH4757" s="36"/>
      <c r="AI4757" s="36"/>
      <c r="AJ4757" s="15">
        <f t="shared" si="600"/>
        <v>800</v>
      </c>
      <c r="AK4757" s="14"/>
      <c r="AL4757" s="14"/>
      <c r="AM4757" s="14"/>
      <c r="AN4757" s="14"/>
      <c r="AO4757" s="14"/>
      <c r="AP4757" s="14"/>
      <c r="AQ4757" s="14"/>
      <c r="AR4757" s="14"/>
      <c r="AS4757" s="14"/>
      <c r="AT4757" s="14"/>
      <c r="AU4757" s="14"/>
      <c r="AV4757" s="14"/>
      <c r="AW4757" s="15"/>
      <c r="AX4757" s="16"/>
    </row>
    <row r="4758" spans="2:50" x14ac:dyDescent="0.2">
      <c r="B4758" s="7"/>
      <c r="C4758" s="8">
        <v>14999</v>
      </c>
      <c r="D4758" s="9" t="s">
        <v>238</v>
      </c>
      <c r="E4758" s="10" t="str">
        <f t="shared" si="596"/>
        <v>Rancho La Cuchilla No. 43, B</v>
      </c>
      <c r="F4758" s="10" t="str">
        <f t="shared" si="597"/>
        <v>Luna Albertano</v>
      </c>
      <c r="G4758" s="8">
        <v>1</v>
      </c>
      <c r="H4758" s="11">
        <v>125</v>
      </c>
      <c r="I4758" s="12">
        <v>42981</v>
      </c>
      <c r="J4758" s="35">
        <f t="shared" si="598"/>
        <v>0</v>
      </c>
      <c r="K4758" s="36"/>
      <c r="L4758" s="36"/>
      <c r="M4758" s="36"/>
      <c r="N4758" s="36"/>
      <c r="O4758" s="36"/>
      <c r="P4758" s="36"/>
      <c r="Q4758" s="36"/>
      <c r="R4758" s="36"/>
      <c r="S4758" s="36"/>
      <c r="T4758" s="36"/>
      <c r="U4758" s="36"/>
      <c r="V4758" s="36"/>
      <c r="W4758" s="15">
        <f t="shared" si="599"/>
        <v>0</v>
      </c>
      <c r="X4758" s="36"/>
      <c r="Y4758" s="36"/>
      <c r="Z4758" s="36"/>
      <c r="AA4758" s="36"/>
      <c r="AB4758" s="36"/>
      <c r="AC4758" s="36"/>
      <c r="AD4758" s="36"/>
      <c r="AE4758" s="36"/>
      <c r="AF4758" s="36">
        <v>125</v>
      </c>
      <c r="AG4758" s="36"/>
      <c r="AH4758" s="36"/>
      <c r="AI4758" s="36"/>
      <c r="AJ4758" s="15">
        <f t="shared" si="600"/>
        <v>125</v>
      </c>
      <c r="AK4758" s="14"/>
      <c r="AL4758" s="14"/>
      <c r="AM4758" s="14"/>
      <c r="AN4758" s="14"/>
      <c r="AO4758" s="14"/>
      <c r="AP4758" s="14"/>
      <c r="AQ4758" s="14"/>
      <c r="AR4758" s="14"/>
      <c r="AS4758" s="14"/>
      <c r="AT4758" s="14"/>
      <c r="AU4758" s="14"/>
      <c r="AV4758" s="14"/>
      <c r="AW4758" s="15"/>
      <c r="AX4758" s="16"/>
    </row>
    <row r="4759" spans="2:50" x14ac:dyDescent="0.2">
      <c r="B4759" s="7"/>
      <c r="C4759" s="8">
        <v>15000</v>
      </c>
      <c r="D4759" s="9" t="s">
        <v>473</v>
      </c>
      <c r="E4759" s="10" t="str">
        <f t="shared" si="596"/>
        <v>Rancho Zinamba No. 14</v>
      </c>
      <c r="F4759" s="10" t="str">
        <f t="shared" si="597"/>
        <v>Gutiérrez García</v>
      </c>
      <c r="G4759" s="8">
        <v>1</v>
      </c>
      <c r="H4759" s="11">
        <v>400</v>
      </c>
      <c r="I4759" s="12">
        <v>42981</v>
      </c>
      <c r="J4759" s="35">
        <f t="shared" si="598"/>
        <v>0</v>
      </c>
      <c r="K4759" s="36"/>
      <c r="L4759" s="36"/>
      <c r="M4759" s="36"/>
      <c r="N4759" s="36"/>
      <c r="O4759" s="36"/>
      <c r="P4759" s="36"/>
      <c r="Q4759" s="36"/>
      <c r="R4759" s="36"/>
      <c r="S4759" s="36"/>
      <c r="T4759" s="36"/>
      <c r="U4759" s="36"/>
      <c r="V4759" s="36"/>
      <c r="W4759" s="15">
        <f t="shared" si="599"/>
        <v>0</v>
      </c>
      <c r="X4759" s="36"/>
      <c r="Y4759" s="36"/>
      <c r="Z4759" s="36"/>
      <c r="AA4759" s="36"/>
      <c r="AB4759" s="36"/>
      <c r="AC4759" s="36"/>
      <c r="AD4759" s="36"/>
      <c r="AE4759" s="36"/>
      <c r="AF4759" s="36">
        <v>400</v>
      </c>
      <c r="AG4759" s="36"/>
      <c r="AH4759" s="36"/>
      <c r="AI4759" s="36"/>
      <c r="AJ4759" s="15">
        <f t="shared" si="600"/>
        <v>400</v>
      </c>
      <c r="AK4759" s="14"/>
      <c r="AL4759" s="14"/>
      <c r="AM4759" s="14"/>
      <c r="AN4759" s="14"/>
      <c r="AO4759" s="14"/>
      <c r="AP4759" s="14"/>
      <c r="AQ4759" s="14"/>
      <c r="AR4759" s="14"/>
      <c r="AS4759" s="14"/>
      <c r="AT4759" s="14"/>
      <c r="AU4759" s="14"/>
      <c r="AV4759" s="14"/>
      <c r="AW4759" s="15"/>
      <c r="AX4759" s="16"/>
    </row>
    <row r="4760" spans="2:50" x14ac:dyDescent="0.2">
      <c r="B4760" s="7"/>
      <c r="C4760" s="8">
        <v>15000</v>
      </c>
      <c r="D4760" s="9" t="s">
        <v>473</v>
      </c>
      <c r="E4760" s="10" t="str">
        <f t="shared" si="596"/>
        <v>Rancho Zinamba No. 14</v>
      </c>
      <c r="F4760" s="10" t="str">
        <f t="shared" si="597"/>
        <v>Gutiérrez García</v>
      </c>
      <c r="G4760" s="8">
        <v>4</v>
      </c>
      <c r="H4760" s="11">
        <v>200</v>
      </c>
      <c r="I4760" s="12">
        <v>42981</v>
      </c>
      <c r="J4760" s="35">
        <f t="shared" si="598"/>
        <v>0</v>
      </c>
      <c r="K4760" s="36"/>
      <c r="L4760" s="36"/>
      <c r="M4760" s="36"/>
      <c r="N4760" s="36"/>
      <c r="O4760" s="36"/>
      <c r="P4760" s="36"/>
      <c r="Q4760" s="36"/>
      <c r="R4760" s="36"/>
      <c r="S4760" s="36"/>
      <c r="T4760" s="36"/>
      <c r="U4760" s="36"/>
      <c r="V4760" s="36"/>
      <c r="W4760" s="15">
        <f t="shared" si="599"/>
        <v>0</v>
      </c>
      <c r="X4760" s="36"/>
      <c r="Y4760" s="36"/>
      <c r="Z4760" s="36"/>
      <c r="AA4760" s="36"/>
      <c r="AB4760" s="36"/>
      <c r="AC4760" s="36"/>
      <c r="AD4760" s="36"/>
      <c r="AE4760" s="36"/>
      <c r="AF4760" s="36"/>
      <c r="AG4760" s="36"/>
      <c r="AH4760" s="36"/>
      <c r="AI4760" s="36"/>
      <c r="AJ4760" s="15">
        <f t="shared" si="600"/>
        <v>0</v>
      </c>
      <c r="AK4760" s="14"/>
      <c r="AL4760" s="14"/>
      <c r="AM4760" s="14"/>
      <c r="AN4760" s="14"/>
      <c r="AO4760" s="14"/>
      <c r="AP4760" s="14"/>
      <c r="AQ4760" s="14"/>
      <c r="AR4760" s="14"/>
      <c r="AS4760" s="14"/>
      <c r="AT4760" s="14"/>
      <c r="AU4760" s="14"/>
      <c r="AV4760" s="14"/>
      <c r="AW4760" s="15"/>
      <c r="AX4760" s="16" t="s">
        <v>4429</v>
      </c>
    </row>
    <row r="4761" spans="2:50" x14ac:dyDescent="0.2">
      <c r="B4761" s="7"/>
      <c r="C4761" s="8">
        <v>15001</v>
      </c>
      <c r="D4761" s="9" t="s">
        <v>893</v>
      </c>
      <c r="E4761" s="10" t="str">
        <f t="shared" si="596"/>
        <v>Rancho Upácuaro No. 136</v>
      </c>
      <c r="F4761" s="10" t="str">
        <f t="shared" si="597"/>
        <v>López Lena</v>
      </c>
      <c r="G4761" s="8">
        <v>1</v>
      </c>
      <c r="H4761" s="11">
        <v>600</v>
      </c>
      <c r="I4761" s="12">
        <v>42981</v>
      </c>
      <c r="J4761" s="35">
        <f t="shared" si="598"/>
        <v>0</v>
      </c>
      <c r="K4761" s="36"/>
      <c r="L4761" s="36"/>
      <c r="M4761" s="36"/>
      <c r="N4761" s="36"/>
      <c r="O4761" s="36"/>
      <c r="P4761" s="36"/>
      <c r="Q4761" s="36"/>
      <c r="R4761" s="36"/>
      <c r="S4761" s="36"/>
      <c r="T4761" s="36"/>
      <c r="U4761" s="36"/>
      <c r="V4761" s="36"/>
      <c r="W4761" s="15">
        <f t="shared" si="599"/>
        <v>0</v>
      </c>
      <c r="X4761" s="36"/>
      <c r="Y4761" s="36"/>
      <c r="Z4761" s="36"/>
      <c r="AA4761" s="36"/>
      <c r="AB4761" s="36"/>
      <c r="AC4761" s="36"/>
      <c r="AD4761" s="36">
        <v>300</v>
      </c>
      <c r="AE4761" s="36">
        <v>300</v>
      </c>
      <c r="AF4761" s="36"/>
      <c r="AG4761" s="36"/>
      <c r="AH4761" s="36"/>
      <c r="AI4761" s="36"/>
      <c r="AJ4761" s="15">
        <f t="shared" si="600"/>
        <v>600</v>
      </c>
      <c r="AK4761" s="14"/>
      <c r="AL4761" s="14"/>
      <c r="AM4761" s="14"/>
      <c r="AN4761" s="14"/>
      <c r="AO4761" s="14"/>
      <c r="AP4761" s="14"/>
      <c r="AQ4761" s="14"/>
      <c r="AR4761" s="14"/>
      <c r="AS4761" s="14"/>
      <c r="AT4761" s="14"/>
      <c r="AU4761" s="14"/>
      <c r="AV4761" s="14"/>
      <c r="AW4761" s="15"/>
      <c r="AX4761" s="16"/>
    </row>
    <row r="4762" spans="2:50" x14ac:dyDescent="0.2">
      <c r="B4762" s="7"/>
      <c r="C4762" s="8">
        <v>15002</v>
      </c>
      <c r="D4762" s="9" t="s">
        <v>1192</v>
      </c>
      <c r="E4762" s="10" t="str">
        <f t="shared" si="596"/>
        <v>Rancho Landero No. 61</v>
      </c>
      <c r="F4762" s="10" t="str">
        <f t="shared" si="597"/>
        <v>Miramontes Pérez</v>
      </c>
      <c r="G4762" s="8">
        <v>1</v>
      </c>
      <c r="H4762" s="11">
        <v>400</v>
      </c>
      <c r="I4762" s="12">
        <v>42981</v>
      </c>
      <c r="J4762" s="35">
        <f t="shared" si="598"/>
        <v>0</v>
      </c>
      <c r="K4762" s="36"/>
      <c r="L4762" s="36"/>
      <c r="M4762" s="36"/>
      <c r="N4762" s="36"/>
      <c r="O4762" s="36"/>
      <c r="P4762" s="36"/>
      <c r="Q4762" s="36"/>
      <c r="R4762" s="36"/>
      <c r="S4762" s="36"/>
      <c r="T4762" s="36"/>
      <c r="U4762" s="36"/>
      <c r="V4762" s="36"/>
      <c r="W4762" s="15">
        <f t="shared" si="599"/>
        <v>0</v>
      </c>
      <c r="X4762" s="36"/>
      <c r="Y4762" s="36"/>
      <c r="Z4762" s="36"/>
      <c r="AA4762" s="36"/>
      <c r="AB4762" s="36"/>
      <c r="AC4762" s="36"/>
      <c r="AD4762" s="36"/>
      <c r="AE4762" s="36">
        <v>400</v>
      </c>
      <c r="AF4762" s="36"/>
      <c r="AG4762" s="36"/>
      <c r="AH4762" s="36"/>
      <c r="AI4762" s="36"/>
      <c r="AJ4762" s="15">
        <f t="shared" si="600"/>
        <v>400</v>
      </c>
      <c r="AK4762" s="14"/>
      <c r="AL4762" s="14"/>
      <c r="AM4762" s="14"/>
      <c r="AN4762" s="14"/>
      <c r="AO4762" s="14"/>
      <c r="AP4762" s="14"/>
      <c r="AQ4762" s="14"/>
      <c r="AR4762" s="14"/>
      <c r="AS4762" s="14"/>
      <c r="AT4762" s="14"/>
      <c r="AU4762" s="14"/>
      <c r="AV4762" s="14"/>
      <c r="AW4762" s="15"/>
      <c r="AX4762" s="16"/>
    </row>
    <row r="4763" spans="2:50" x14ac:dyDescent="0.2">
      <c r="B4763" s="7"/>
      <c r="C4763" s="8">
        <v>15003</v>
      </c>
      <c r="D4763" s="9" t="s">
        <v>416</v>
      </c>
      <c r="E4763" s="10" t="str">
        <f t="shared" si="596"/>
        <v>Rancho La Cuchilla No. 112, PB</v>
      </c>
      <c r="F4763" s="10" t="str">
        <f t="shared" si="597"/>
        <v>Soreque</v>
      </c>
      <c r="G4763" s="8">
        <v>1</v>
      </c>
      <c r="H4763" s="11">
        <v>200</v>
      </c>
      <c r="I4763" s="12">
        <v>42981</v>
      </c>
      <c r="J4763" s="35">
        <f t="shared" si="598"/>
        <v>0</v>
      </c>
      <c r="K4763" s="36"/>
      <c r="L4763" s="36"/>
      <c r="M4763" s="36"/>
      <c r="N4763" s="36"/>
      <c r="O4763" s="36"/>
      <c r="P4763" s="36"/>
      <c r="Q4763" s="36"/>
      <c r="R4763" s="36"/>
      <c r="S4763" s="36"/>
      <c r="T4763" s="36"/>
      <c r="U4763" s="36"/>
      <c r="V4763" s="36"/>
      <c r="W4763" s="15">
        <f t="shared" si="599"/>
        <v>0</v>
      </c>
      <c r="X4763" s="36"/>
      <c r="Y4763" s="36"/>
      <c r="Z4763" s="36"/>
      <c r="AA4763" s="36"/>
      <c r="AB4763" s="36"/>
      <c r="AC4763" s="36"/>
      <c r="AD4763" s="36"/>
      <c r="AE4763" s="36"/>
      <c r="AF4763" s="36">
        <v>200</v>
      </c>
      <c r="AG4763" s="36"/>
      <c r="AH4763" s="36"/>
      <c r="AI4763" s="36"/>
      <c r="AJ4763" s="15">
        <f t="shared" si="600"/>
        <v>200</v>
      </c>
      <c r="AK4763" s="14"/>
      <c r="AL4763" s="14"/>
      <c r="AM4763" s="14"/>
      <c r="AN4763" s="14"/>
      <c r="AO4763" s="14"/>
      <c r="AP4763" s="14"/>
      <c r="AQ4763" s="14"/>
      <c r="AR4763" s="14"/>
      <c r="AS4763" s="14"/>
      <c r="AT4763" s="14"/>
      <c r="AU4763" s="14"/>
      <c r="AV4763" s="14"/>
      <c r="AW4763" s="15"/>
      <c r="AX4763" s="16"/>
    </row>
    <row r="4764" spans="2:50" x14ac:dyDescent="0.2">
      <c r="B4764" s="7"/>
      <c r="C4764" s="8">
        <v>15004</v>
      </c>
      <c r="D4764" s="9" t="s">
        <v>479</v>
      </c>
      <c r="E4764" s="10" t="str">
        <f t="shared" si="596"/>
        <v>Rancho Zinamba No. 68</v>
      </c>
      <c r="F4764" s="10" t="str">
        <f t="shared" si="597"/>
        <v>Rivera Villicaña</v>
      </c>
      <c r="G4764" s="8">
        <v>1</v>
      </c>
      <c r="H4764" s="11">
        <v>300</v>
      </c>
      <c r="I4764" s="12">
        <v>42981</v>
      </c>
      <c r="J4764" s="35">
        <f t="shared" si="598"/>
        <v>0</v>
      </c>
      <c r="K4764" s="36"/>
      <c r="L4764" s="36"/>
      <c r="M4764" s="36"/>
      <c r="N4764" s="36"/>
      <c r="O4764" s="36"/>
      <c r="P4764" s="36"/>
      <c r="Q4764" s="36"/>
      <c r="R4764" s="36"/>
      <c r="S4764" s="36"/>
      <c r="T4764" s="36"/>
      <c r="U4764" s="36"/>
      <c r="V4764" s="36"/>
      <c r="W4764" s="15">
        <f t="shared" si="599"/>
        <v>0</v>
      </c>
      <c r="X4764" s="36"/>
      <c r="Y4764" s="36"/>
      <c r="Z4764" s="36"/>
      <c r="AA4764" s="36"/>
      <c r="AB4764" s="36"/>
      <c r="AC4764" s="36"/>
      <c r="AD4764" s="36"/>
      <c r="AE4764" s="36"/>
      <c r="AF4764" s="36">
        <v>300</v>
      </c>
      <c r="AG4764" s="36"/>
      <c r="AH4764" s="36"/>
      <c r="AI4764" s="36"/>
      <c r="AJ4764" s="15">
        <f t="shared" si="600"/>
        <v>300</v>
      </c>
      <c r="AK4764" s="14"/>
      <c r="AL4764" s="14"/>
      <c r="AM4764" s="14"/>
      <c r="AN4764" s="14"/>
      <c r="AO4764" s="14"/>
      <c r="AP4764" s="14"/>
      <c r="AQ4764" s="14"/>
      <c r="AR4764" s="14"/>
      <c r="AS4764" s="14"/>
      <c r="AT4764" s="14"/>
      <c r="AU4764" s="14"/>
      <c r="AV4764" s="14"/>
      <c r="AW4764" s="15"/>
      <c r="AX4764" s="16"/>
    </row>
    <row r="4765" spans="2:50" x14ac:dyDescent="0.2">
      <c r="B4765" s="7"/>
      <c r="C4765" s="8">
        <v>15005</v>
      </c>
      <c r="D4765" s="9" t="s">
        <v>602</v>
      </c>
      <c r="E4765" s="10" t="str">
        <f t="shared" si="596"/>
        <v>Rancho Upácuaro No. 30</v>
      </c>
      <c r="F4765" s="10" t="str">
        <f t="shared" si="597"/>
        <v>Dorantes</v>
      </c>
      <c r="G4765" s="8">
        <v>1</v>
      </c>
      <c r="H4765" s="11">
        <v>400</v>
      </c>
      <c r="I4765" s="12">
        <v>42981</v>
      </c>
      <c r="J4765" s="35">
        <f t="shared" si="598"/>
        <v>0</v>
      </c>
      <c r="K4765" s="36"/>
      <c r="L4765" s="36"/>
      <c r="M4765" s="36"/>
      <c r="N4765" s="36"/>
      <c r="O4765" s="36"/>
      <c r="P4765" s="36"/>
      <c r="Q4765" s="36"/>
      <c r="R4765" s="36"/>
      <c r="S4765" s="36"/>
      <c r="T4765" s="36"/>
      <c r="U4765" s="36"/>
      <c r="V4765" s="36"/>
      <c r="W4765" s="15">
        <f t="shared" si="599"/>
        <v>0</v>
      </c>
      <c r="X4765" s="36"/>
      <c r="Y4765" s="36"/>
      <c r="Z4765" s="36"/>
      <c r="AA4765" s="36"/>
      <c r="AB4765" s="36"/>
      <c r="AC4765" s="36"/>
      <c r="AD4765" s="36">
        <v>200</v>
      </c>
      <c r="AE4765" s="36">
        <v>200</v>
      </c>
      <c r="AF4765" s="36"/>
      <c r="AG4765" s="36"/>
      <c r="AH4765" s="36"/>
      <c r="AI4765" s="36"/>
      <c r="AJ4765" s="15">
        <f t="shared" si="600"/>
        <v>400</v>
      </c>
      <c r="AK4765" s="14"/>
      <c r="AL4765" s="14"/>
      <c r="AM4765" s="14"/>
      <c r="AN4765" s="14"/>
      <c r="AO4765" s="14"/>
      <c r="AP4765" s="14"/>
      <c r="AQ4765" s="14"/>
      <c r="AR4765" s="14"/>
      <c r="AS4765" s="14"/>
      <c r="AT4765" s="14"/>
      <c r="AU4765" s="14"/>
      <c r="AV4765" s="14"/>
      <c r="AW4765" s="15"/>
      <c r="AX4765" s="16"/>
    </row>
    <row r="4766" spans="2:50" x14ac:dyDescent="0.2">
      <c r="B4766" s="7"/>
      <c r="C4766" s="8">
        <v>15006</v>
      </c>
      <c r="D4766" s="9" t="s">
        <v>129</v>
      </c>
      <c r="E4766" s="10" t="str">
        <f t="shared" si="596"/>
        <v>Rancho Zinamba No. 44</v>
      </c>
      <c r="F4766" s="10" t="str">
        <f t="shared" si="597"/>
        <v>Canales</v>
      </c>
      <c r="G4766" s="8">
        <v>1</v>
      </c>
      <c r="H4766" s="11">
        <v>400</v>
      </c>
      <c r="I4766" s="12">
        <v>42981</v>
      </c>
      <c r="J4766" s="35">
        <f t="shared" si="598"/>
        <v>0</v>
      </c>
      <c r="K4766" s="36"/>
      <c r="L4766" s="36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  <c r="W4766" s="15">
        <f t="shared" si="599"/>
        <v>0</v>
      </c>
      <c r="X4766" s="36"/>
      <c r="Y4766" s="36"/>
      <c r="Z4766" s="36"/>
      <c r="AA4766" s="36"/>
      <c r="AB4766" s="36"/>
      <c r="AC4766" s="36"/>
      <c r="AD4766" s="36"/>
      <c r="AE4766" s="36"/>
      <c r="AF4766" s="36">
        <v>400</v>
      </c>
      <c r="AG4766" s="36"/>
      <c r="AH4766" s="36"/>
      <c r="AI4766" s="36"/>
      <c r="AJ4766" s="15">
        <f t="shared" si="600"/>
        <v>400</v>
      </c>
      <c r="AK4766" s="14"/>
      <c r="AL4766" s="14"/>
      <c r="AM4766" s="14"/>
      <c r="AN4766" s="14"/>
      <c r="AO4766" s="14"/>
      <c r="AP4766" s="14"/>
      <c r="AQ4766" s="14"/>
      <c r="AR4766" s="14"/>
      <c r="AS4766" s="14"/>
      <c r="AT4766" s="14"/>
      <c r="AU4766" s="14"/>
      <c r="AV4766" s="14"/>
      <c r="AW4766" s="15"/>
      <c r="AX4766" s="16"/>
    </row>
    <row r="4767" spans="2:50" x14ac:dyDescent="0.2">
      <c r="B4767" s="7"/>
      <c r="C4767" s="8">
        <v>15007</v>
      </c>
      <c r="D4767" s="9" t="s">
        <v>646</v>
      </c>
      <c r="E4767" s="10" t="str">
        <f t="shared" si="596"/>
        <v>Rancho Landero No. 84</v>
      </c>
      <c r="F4767" s="10" t="str">
        <f t="shared" si="597"/>
        <v>Alcántara</v>
      </c>
      <c r="G4767" s="8">
        <v>1</v>
      </c>
      <c r="H4767" s="11">
        <v>750</v>
      </c>
      <c r="I4767" s="12">
        <v>42981</v>
      </c>
      <c r="J4767" s="35">
        <f t="shared" si="598"/>
        <v>0</v>
      </c>
      <c r="K4767" s="36"/>
      <c r="L4767" s="36"/>
      <c r="M4767" s="36"/>
      <c r="N4767" s="36"/>
      <c r="O4767" s="36"/>
      <c r="P4767" s="36"/>
      <c r="Q4767" s="36"/>
      <c r="R4767" s="36"/>
      <c r="S4767" s="36"/>
      <c r="T4767" s="36"/>
      <c r="U4767" s="36"/>
      <c r="V4767" s="36"/>
      <c r="W4767" s="15">
        <f t="shared" si="599"/>
        <v>0</v>
      </c>
      <c r="X4767" s="36"/>
      <c r="Y4767" s="36"/>
      <c r="Z4767" s="36"/>
      <c r="AA4767" s="36"/>
      <c r="AB4767" s="36"/>
      <c r="AC4767" s="36"/>
      <c r="AD4767" s="36">
        <v>250</v>
      </c>
      <c r="AE4767" s="36">
        <v>250</v>
      </c>
      <c r="AF4767" s="36">
        <v>250</v>
      </c>
      <c r="AG4767" s="36"/>
      <c r="AH4767" s="36"/>
      <c r="AI4767" s="36"/>
      <c r="AJ4767" s="15">
        <f t="shared" si="600"/>
        <v>750</v>
      </c>
      <c r="AK4767" s="14"/>
      <c r="AL4767" s="14"/>
      <c r="AM4767" s="14"/>
      <c r="AN4767" s="14"/>
      <c r="AO4767" s="14"/>
      <c r="AP4767" s="14"/>
      <c r="AQ4767" s="14"/>
      <c r="AR4767" s="14"/>
      <c r="AS4767" s="14"/>
      <c r="AT4767" s="14"/>
      <c r="AU4767" s="14"/>
      <c r="AV4767" s="14"/>
      <c r="AW4767" s="15"/>
      <c r="AX4767" s="16"/>
    </row>
    <row r="4768" spans="2:50" x14ac:dyDescent="0.2">
      <c r="B4768" s="7"/>
      <c r="C4768" s="8">
        <v>15008</v>
      </c>
      <c r="D4768" s="9" t="s">
        <v>135</v>
      </c>
      <c r="E4768" s="10" t="str">
        <f t="shared" si="596"/>
        <v>Rancho Upácuaro No. 70</v>
      </c>
      <c r="F4768" s="10" t="str">
        <f t="shared" si="597"/>
        <v>Ramírez Tejeda</v>
      </c>
      <c r="G4768" s="8">
        <v>1</v>
      </c>
      <c r="H4768" s="11">
        <v>300</v>
      </c>
      <c r="I4768" s="12">
        <v>42981</v>
      </c>
      <c r="J4768" s="35">
        <f t="shared" si="598"/>
        <v>0</v>
      </c>
      <c r="K4768" s="36"/>
      <c r="L4768" s="36"/>
      <c r="M4768" s="36"/>
      <c r="N4768" s="36"/>
      <c r="O4768" s="36"/>
      <c r="P4768" s="36"/>
      <c r="Q4768" s="36"/>
      <c r="R4768" s="36"/>
      <c r="S4768" s="36"/>
      <c r="T4768" s="36"/>
      <c r="U4768" s="36"/>
      <c r="V4768" s="36"/>
      <c r="W4768" s="15">
        <f t="shared" si="599"/>
        <v>0</v>
      </c>
      <c r="X4768" s="36"/>
      <c r="Y4768" s="36"/>
      <c r="Z4768" s="36"/>
      <c r="AA4768" s="36"/>
      <c r="AB4768" s="36"/>
      <c r="AC4768" s="36"/>
      <c r="AD4768" s="36"/>
      <c r="AE4768" s="36"/>
      <c r="AF4768" s="36">
        <v>300</v>
      </c>
      <c r="AG4768" s="36"/>
      <c r="AH4768" s="36"/>
      <c r="AI4768" s="36"/>
      <c r="AJ4768" s="15">
        <f t="shared" si="600"/>
        <v>300</v>
      </c>
      <c r="AK4768" s="14"/>
      <c r="AL4768" s="14"/>
      <c r="AM4768" s="14"/>
      <c r="AN4768" s="14"/>
      <c r="AO4768" s="14"/>
      <c r="AP4768" s="14"/>
      <c r="AQ4768" s="14"/>
      <c r="AR4768" s="14"/>
      <c r="AS4768" s="14"/>
      <c r="AT4768" s="14"/>
      <c r="AU4768" s="14"/>
      <c r="AV4768" s="14"/>
      <c r="AW4768" s="15"/>
      <c r="AX4768" s="16"/>
    </row>
    <row r="4769" spans="2:50" x14ac:dyDescent="0.2">
      <c r="B4769" s="7"/>
      <c r="C4769" s="8">
        <v>15009</v>
      </c>
      <c r="D4769" s="9" t="s">
        <v>568</v>
      </c>
      <c r="E4769" s="10" t="str">
        <f t="shared" si="596"/>
        <v>Rancho Landero No. 95</v>
      </c>
      <c r="F4769" s="10" t="str">
        <f t="shared" si="597"/>
        <v>Rivas Rangel</v>
      </c>
      <c r="G4769" s="8">
        <v>1</v>
      </c>
      <c r="H4769" s="11">
        <v>400</v>
      </c>
      <c r="I4769" s="12">
        <v>42981</v>
      </c>
      <c r="J4769" s="35">
        <f t="shared" si="598"/>
        <v>0</v>
      </c>
      <c r="K4769" s="36"/>
      <c r="L4769" s="36"/>
      <c r="M4769" s="36"/>
      <c r="N4769" s="36"/>
      <c r="O4769" s="36"/>
      <c r="P4769" s="36"/>
      <c r="Q4769" s="36"/>
      <c r="R4769" s="36"/>
      <c r="S4769" s="36"/>
      <c r="T4769" s="36"/>
      <c r="U4769" s="36"/>
      <c r="V4769" s="36"/>
      <c r="W4769" s="15">
        <f t="shared" si="599"/>
        <v>0</v>
      </c>
      <c r="X4769" s="36"/>
      <c r="Y4769" s="36"/>
      <c r="Z4769" s="36"/>
      <c r="AA4769" s="36"/>
      <c r="AB4769" s="36"/>
      <c r="AC4769" s="36"/>
      <c r="AD4769" s="36"/>
      <c r="AE4769" s="36"/>
      <c r="AF4769" s="36">
        <v>400</v>
      </c>
      <c r="AG4769" s="36"/>
      <c r="AH4769" s="36"/>
      <c r="AI4769" s="36"/>
      <c r="AJ4769" s="15">
        <f t="shared" si="600"/>
        <v>400</v>
      </c>
      <c r="AK4769" s="14"/>
      <c r="AL4769" s="14"/>
      <c r="AM4769" s="14"/>
      <c r="AN4769" s="14"/>
      <c r="AO4769" s="14"/>
      <c r="AP4769" s="14"/>
      <c r="AQ4769" s="14"/>
      <c r="AR4769" s="14"/>
      <c r="AS4769" s="14"/>
      <c r="AT4769" s="14"/>
      <c r="AU4769" s="14"/>
      <c r="AV4769" s="14"/>
      <c r="AW4769" s="15"/>
      <c r="AX4769" s="16"/>
    </row>
    <row r="4770" spans="2:50" x14ac:dyDescent="0.2">
      <c r="B4770" s="7"/>
      <c r="C4770" s="8">
        <v>15010</v>
      </c>
      <c r="D4770" s="9" t="s">
        <v>192</v>
      </c>
      <c r="E4770" s="10" t="str">
        <f t="shared" si="596"/>
        <v>Rancho Landero No. 77</v>
      </c>
      <c r="F4770" s="10" t="str">
        <f t="shared" si="597"/>
        <v>Muñoz</v>
      </c>
      <c r="G4770" s="8">
        <v>1</v>
      </c>
      <c r="H4770" s="11">
        <v>400</v>
      </c>
      <c r="I4770" s="12">
        <v>42981</v>
      </c>
      <c r="J4770" s="35">
        <f t="shared" si="598"/>
        <v>0</v>
      </c>
      <c r="K4770" s="36"/>
      <c r="L4770" s="36"/>
      <c r="M4770" s="36"/>
      <c r="N4770" s="36"/>
      <c r="O4770" s="36"/>
      <c r="P4770" s="36"/>
      <c r="Q4770" s="36"/>
      <c r="R4770" s="36"/>
      <c r="S4770" s="36"/>
      <c r="T4770" s="36"/>
      <c r="U4770" s="36"/>
      <c r="V4770" s="36"/>
      <c r="W4770" s="15">
        <f t="shared" si="599"/>
        <v>0</v>
      </c>
      <c r="X4770" s="36"/>
      <c r="Y4770" s="36"/>
      <c r="Z4770" s="36"/>
      <c r="AA4770" s="36"/>
      <c r="AB4770" s="36"/>
      <c r="AC4770" s="36"/>
      <c r="AD4770" s="36"/>
      <c r="AE4770" s="36"/>
      <c r="AF4770" s="36">
        <v>400</v>
      </c>
      <c r="AG4770" s="36"/>
      <c r="AH4770" s="36"/>
      <c r="AI4770" s="36"/>
      <c r="AJ4770" s="15">
        <f t="shared" si="600"/>
        <v>400</v>
      </c>
      <c r="AK4770" s="14"/>
      <c r="AL4770" s="14"/>
      <c r="AM4770" s="14"/>
      <c r="AN4770" s="14"/>
      <c r="AO4770" s="14"/>
      <c r="AP4770" s="14"/>
      <c r="AQ4770" s="14"/>
      <c r="AR4770" s="14"/>
      <c r="AS4770" s="14"/>
      <c r="AT4770" s="14"/>
      <c r="AU4770" s="14"/>
      <c r="AV4770" s="14"/>
      <c r="AW4770" s="15"/>
      <c r="AX4770" s="16"/>
    </row>
    <row r="4771" spans="2:50" x14ac:dyDescent="0.2">
      <c r="B4771" s="7"/>
      <c r="C4771" s="8">
        <v>15011</v>
      </c>
      <c r="D4771" s="9" t="s">
        <v>3178</v>
      </c>
      <c r="E4771" s="10" t="str">
        <f t="shared" si="596"/>
        <v>Rancho La Cuchilla No. 103</v>
      </c>
      <c r="F4771" s="10" t="str">
        <f t="shared" si="597"/>
        <v>Bernal</v>
      </c>
      <c r="G4771" s="8">
        <v>1</v>
      </c>
      <c r="H4771" s="11">
        <v>500</v>
      </c>
      <c r="I4771" s="12">
        <v>42981</v>
      </c>
      <c r="J4771" s="35">
        <f t="shared" si="598"/>
        <v>0</v>
      </c>
      <c r="K4771" s="36"/>
      <c r="L4771" s="36"/>
      <c r="M4771" s="36"/>
      <c r="N4771" s="36"/>
      <c r="O4771" s="36"/>
      <c r="P4771" s="36"/>
      <c r="Q4771" s="36"/>
      <c r="R4771" s="36"/>
      <c r="S4771" s="36"/>
      <c r="T4771" s="36"/>
      <c r="U4771" s="36"/>
      <c r="V4771" s="36"/>
      <c r="W4771" s="15">
        <f t="shared" si="599"/>
        <v>0</v>
      </c>
      <c r="X4771" s="36"/>
      <c r="Y4771" s="36"/>
      <c r="Z4771" s="36"/>
      <c r="AA4771" s="36"/>
      <c r="AB4771" s="36"/>
      <c r="AC4771" s="36"/>
      <c r="AD4771" s="36"/>
      <c r="AE4771" s="36"/>
      <c r="AF4771" s="36">
        <v>500</v>
      </c>
      <c r="AG4771" s="36"/>
      <c r="AH4771" s="36"/>
      <c r="AI4771" s="36"/>
      <c r="AJ4771" s="15">
        <f t="shared" si="600"/>
        <v>500</v>
      </c>
      <c r="AK4771" s="14"/>
      <c r="AL4771" s="14"/>
      <c r="AM4771" s="14"/>
      <c r="AN4771" s="14"/>
      <c r="AO4771" s="14"/>
      <c r="AP4771" s="14"/>
      <c r="AQ4771" s="14"/>
      <c r="AR4771" s="14"/>
      <c r="AS4771" s="14"/>
      <c r="AT4771" s="14"/>
      <c r="AU4771" s="14"/>
      <c r="AV4771" s="14"/>
      <c r="AW4771" s="15"/>
      <c r="AX4771" s="16"/>
    </row>
    <row r="4772" spans="2:50" x14ac:dyDescent="0.2">
      <c r="B4772" s="7"/>
      <c r="C4772" s="8">
        <v>15012</v>
      </c>
      <c r="D4772" s="9" t="s">
        <v>497</v>
      </c>
      <c r="E4772" s="10" t="str">
        <f t="shared" si="596"/>
        <v>Rancho La Cuchilla No. 94</v>
      </c>
      <c r="F4772" s="10" t="str">
        <f t="shared" si="597"/>
        <v>Sánchez Márquez</v>
      </c>
      <c r="G4772" s="8">
        <v>1</v>
      </c>
      <c r="H4772" s="11">
        <v>800</v>
      </c>
      <c r="I4772" s="12">
        <v>42981</v>
      </c>
      <c r="J4772" s="35">
        <f t="shared" si="598"/>
        <v>0</v>
      </c>
      <c r="K4772" s="36"/>
      <c r="L4772" s="36"/>
      <c r="M4772" s="36"/>
      <c r="N4772" s="36"/>
      <c r="O4772" s="36"/>
      <c r="P4772" s="36"/>
      <c r="Q4772" s="36"/>
      <c r="R4772" s="36"/>
      <c r="S4772" s="36"/>
      <c r="T4772" s="36"/>
      <c r="U4772" s="36"/>
      <c r="V4772" s="36"/>
      <c r="W4772" s="15">
        <f t="shared" si="599"/>
        <v>0</v>
      </c>
      <c r="X4772" s="36"/>
      <c r="Y4772" s="36"/>
      <c r="Z4772" s="36"/>
      <c r="AA4772" s="36"/>
      <c r="AB4772" s="36"/>
      <c r="AC4772" s="36"/>
      <c r="AD4772" s="36"/>
      <c r="AE4772" s="36">
        <v>400</v>
      </c>
      <c r="AF4772" s="36">
        <v>400</v>
      </c>
      <c r="AG4772" s="36"/>
      <c r="AH4772" s="36"/>
      <c r="AI4772" s="36"/>
      <c r="AJ4772" s="15">
        <f t="shared" si="600"/>
        <v>800</v>
      </c>
      <c r="AK4772" s="14"/>
      <c r="AL4772" s="14"/>
      <c r="AM4772" s="14"/>
      <c r="AN4772" s="14"/>
      <c r="AO4772" s="14"/>
      <c r="AP4772" s="14"/>
      <c r="AQ4772" s="14"/>
      <c r="AR4772" s="14"/>
      <c r="AS4772" s="14"/>
      <c r="AT4772" s="14"/>
      <c r="AU4772" s="14"/>
      <c r="AV4772" s="14"/>
      <c r="AW4772" s="15"/>
      <c r="AX4772" s="16"/>
    </row>
    <row r="4773" spans="2:50" x14ac:dyDescent="0.2">
      <c r="B4773" s="7"/>
      <c r="C4773" s="8">
        <v>15013</v>
      </c>
      <c r="D4773" s="9" t="s">
        <v>328</v>
      </c>
      <c r="E4773" s="10" t="str">
        <f t="shared" si="596"/>
        <v>Rancho La Cuchilla No. 130</v>
      </c>
      <c r="F4773" s="10" t="str">
        <f t="shared" si="597"/>
        <v>Gonzalez</v>
      </c>
      <c r="G4773" s="8">
        <v>1</v>
      </c>
      <c r="H4773" s="11">
        <v>400</v>
      </c>
      <c r="I4773" s="12">
        <v>42981</v>
      </c>
      <c r="J4773" s="35">
        <f t="shared" si="598"/>
        <v>0</v>
      </c>
      <c r="K4773" s="36"/>
      <c r="L4773" s="36"/>
      <c r="M4773" s="36"/>
      <c r="N4773" s="36"/>
      <c r="O4773" s="36"/>
      <c r="P4773" s="36"/>
      <c r="Q4773" s="36"/>
      <c r="R4773" s="36"/>
      <c r="S4773" s="36"/>
      <c r="T4773" s="36"/>
      <c r="U4773" s="36"/>
      <c r="V4773" s="36"/>
      <c r="W4773" s="15">
        <f t="shared" si="599"/>
        <v>0</v>
      </c>
      <c r="X4773" s="36"/>
      <c r="Y4773" s="36"/>
      <c r="Z4773" s="36"/>
      <c r="AA4773" s="36"/>
      <c r="AB4773" s="36"/>
      <c r="AC4773" s="36"/>
      <c r="AD4773" s="36"/>
      <c r="AE4773" s="36"/>
      <c r="AF4773" s="36">
        <v>400</v>
      </c>
      <c r="AG4773" s="36"/>
      <c r="AH4773" s="36"/>
      <c r="AI4773" s="36"/>
      <c r="AJ4773" s="15">
        <f t="shared" si="600"/>
        <v>400</v>
      </c>
      <c r="AK4773" s="14"/>
      <c r="AL4773" s="14"/>
      <c r="AM4773" s="14"/>
      <c r="AN4773" s="14"/>
      <c r="AO4773" s="14"/>
      <c r="AP4773" s="14"/>
      <c r="AQ4773" s="14"/>
      <c r="AR4773" s="14"/>
      <c r="AS4773" s="14"/>
      <c r="AT4773" s="14"/>
      <c r="AU4773" s="14"/>
      <c r="AV4773" s="14"/>
      <c r="AW4773" s="15"/>
      <c r="AX4773" s="16"/>
    </row>
    <row r="4774" spans="2:50" x14ac:dyDescent="0.2">
      <c r="B4774" s="7"/>
      <c r="C4774" s="8">
        <v>15014</v>
      </c>
      <c r="D4774" s="9" t="s">
        <v>265</v>
      </c>
      <c r="E4774" s="10" t="str">
        <f t="shared" si="596"/>
        <v>Rancho Upácuaro No. 85</v>
      </c>
      <c r="F4774" s="10" t="str">
        <f t="shared" si="597"/>
        <v>Del Toro Huerta</v>
      </c>
      <c r="G4774" s="8">
        <v>1</v>
      </c>
      <c r="H4774" s="11">
        <v>400</v>
      </c>
      <c r="I4774" s="12">
        <v>42981</v>
      </c>
      <c r="J4774" s="35">
        <f t="shared" si="598"/>
        <v>0</v>
      </c>
      <c r="K4774" s="36"/>
      <c r="L4774" s="36"/>
      <c r="M4774" s="36"/>
      <c r="N4774" s="36"/>
      <c r="O4774" s="36"/>
      <c r="P4774" s="36"/>
      <c r="Q4774" s="36"/>
      <c r="R4774" s="36"/>
      <c r="S4774" s="36"/>
      <c r="T4774" s="36"/>
      <c r="U4774" s="36"/>
      <c r="V4774" s="36"/>
      <c r="W4774" s="15">
        <f t="shared" si="599"/>
        <v>0</v>
      </c>
      <c r="X4774" s="36"/>
      <c r="Y4774" s="36"/>
      <c r="Z4774" s="36"/>
      <c r="AA4774" s="36"/>
      <c r="AB4774" s="36"/>
      <c r="AC4774" s="36"/>
      <c r="AD4774" s="36"/>
      <c r="AE4774" s="36"/>
      <c r="AF4774" s="36">
        <v>400</v>
      </c>
      <c r="AG4774" s="36"/>
      <c r="AH4774" s="36"/>
      <c r="AI4774" s="36"/>
      <c r="AJ4774" s="15">
        <f t="shared" si="600"/>
        <v>400</v>
      </c>
      <c r="AK4774" s="14"/>
      <c r="AL4774" s="14"/>
      <c r="AM4774" s="14"/>
      <c r="AN4774" s="14"/>
      <c r="AO4774" s="14"/>
      <c r="AP4774" s="14"/>
      <c r="AQ4774" s="14"/>
      <c r="AR4774" s="14"/>
      <c r="AS4774" s="14"/>
      <c r="AT4774" s="14"/>
      <c r="AU4774" s="14"/>
      <c r="AV4774" s="14"/>
      <c r="AW4774" s="15"/>
      <c r="AX4774" s="16"/>
    </row>
    <row r="4775" spans="2:50" x14ac:dyDescent="0.2">
      <c r="B4775" s="7"/>
      <c r="C4775" s="8">
        <v>15015</v>
      </c>
      <c r="D4775" s="9" t="s">
        <v>313</v>
      </c>
      <c r="E4775" s="10" t="str">
        <f t="shared" si="596"/>
        <v>Rancho La Cuchilla No. 87</v>
      </c>
      <c r="F4775" s="10" t="str">
        <f t="shared" si="597"/>
        <v>Villanueva S.</v>
      </c>
      <c r="G4775" s="8">
        <v>1</v>
      </c>
      <c r="H4775" s="11">
        <v>400</v>
      </c>
      <c r="I4775" s="12">
        <v>42981</v>
      </c>
      <c r="J4775" s="35">
        <f t="shared" si="598"/>
        <v>0</v>
      </c>
      <c r="K4775" s="36"/>
      <c r="L4775" s="36"/>
      <c r="M4775" s="36"/>
      <c r="N4775" s="36"/>
      <c r="O4775" s="36"/>
      <c r="P4775" s="36"/>
      <c r="Q4775" s="36"/>
      <c r="R4775" s="36"/>
      <c r="S4775" s="36"/>
      <c r="T4775" s="36"/>
      <c r="U4775" s="36"/>
      <c r="V4775" s="36"/>
      <c r="W4775" s="15">
        <f t="shared" si="599"/>
        <v>0</v>
      </c>
      <c r="X4775" s="36"/>
      <c r="Y4775" s="36"/>
      <c r="Z4775" s="36"/>
      <c r="AA4775" s="36"/>
      <c r="AB4775" s="36"/>
      <c r="AC4775" s="36"/>
      <c r="AD4775" s="36"/>
      <c r="AE4775" s="36"/>
      <c r="AF4775" s="36">
        <v>400</v>
      </c>
      <c r="AG4775" s="36"/>
      <c r="AH4775" s="36"/>
      <c r="AI4775" s="36"/>
      <c r="AJ4775" s="15">
        <f t="shared" si="600"/>
        <v>400</v>
      </c>
      <c r="AK4775" s="14"/>
      <c r="AL4775" s="14"/>
      <c r="AM4775" s="14"/>
      <c r="AN4775" s="14"/>
      <c r="AO4775" s="14"/>
      <c r="AP4775" s="14"/>
      <c r="AQ4775" s="14"/>
      <c r="AR4775" s="14"/>
      <c r="AS4775" s="14"/>
      <c r="AT4775" s="14"/>
      <c r="AU4775" s="14"/>
      <c r="AV4775" s="14"/>
      <c r="AW4775" s="15"/>
      <c r="AX4775" s="16"/>
    </row>
    <row r="4776" spans="2:50" x14ac:dyDescent="0.2">
      <c r="B4776" s="7"/>
      <c r="C4776" s="8">
        <v>15016</v>
      </c>
      <c r="D4776" s="9" t="s">
        <v>183</v>
      </c>
      <c r="E4776" s="10" t="str">
        <f t="shared" si="596"/>
        <v>Rancho La Cuchilla No. 54</v>
      </c>
      <c r="F4776" s="10" t="str">
        <f t="shared" si="597"/>
        <v>Mendoza León</v>
      </c>
      <c r="G4776" s="8">
        <v>1</v>
      </c>
      <c r="H4776" s="11">
        <v>400</v>
      </c>
      <c r="I4776" s="12">
        <v>42981</v>
      </c>
      <c r="J4776" s="35">
        <f t="shared" si="598"/>
        <v>0</v>
      </c>
      <c r="K4776" s="36"/>
      <c r="L4776" s="36"/>
      <c r="M4776" s="36"/>
      <c r="N4776" s="36"/>
      <c r="O4776" s="36"/>
      <c r="P4776" s="36"/>
      <c r="Q4776" s="36"/>
      <c r="R4776" s="36"/>
      <c r="S4776" s="36"/>
      <c r="T4776" s="36"/>
      <c r="U4776" s="36"/>
      <c r="V4776" s="36"/>
      <c r="W4776" s="15">
        <f t="shared" si="599"/>
        <v>0</v>
      </c>
      <c r="X4776" s="36"/>
      <c r="Y4776" s="36"/>
      <c r="Z4776" s="36"/>
      <c r="AA4776" s="36"/>
      <c r="AB4776" s="36"/>
      <c r="AC4776" s="36"/>
      <c r="AD4776" s="36"/>
      <c r="AE4776" s="36">
        <v>400</v>
      </c>
      <c r="AF4776" s="36"/>
      <c r="AG4776" s="36"/>
      <c r="AH4776" s="36"/>
      <c r="AI4776" s="36"/>
      <c r="AJ4776" s="15">
        <f t="shared" si="600"/>
        <v>400</v>
      </c>
      <c r="AK4776" s="14"/>
      <c r="AL4776" s="14"/>
      <c r="AM4776" s="14"/>
      <c r="AN4776" s="14"/>
      <c r="AO4776" s="14"/>
      <c r="AP4776" s="14"/>
      <c r="AQ4776" s="14"/>
      <c r="AR4776" s="14"/>
      <c r="AS4776" s="14"/>
      <c r="AT4776" s="14"/>
      <c r="AU4776" s="14"/>
      <c r="AV4776" s="14"/>
      <c r="AW4776" s="15"/>
      <c r="AX4776" s="16"/>
    </row>
    <row r="4777" spans="2:50" x14ac:dyDescent="0.2">
      <c r="B4777" s="7"/>
      <c r="C4777" s="8">
        <v>15017</v>
      </c>
      <c r="D4777" s="9" t="s">
        <v>174</v>
      </c>
      <c r="E4777" s="10" t="str">
        <f t="shared" si="596"/>
        <v>Rancho Upácuaro No. 18</v>
      </c>
      <c r="F4777" s="10" t="str">
        <f t="shared" si="597"/>
        <v>Guzmán</v>
      </c>
      <c r="G4777" s="8">
        <v>1</v>
      </c>
      <c r="H4777" s="11">
        <v>300</v>
      </c>
      <c r="I4777" s="12">
        <v>42981</v>
      </c>
      <c r="J4777" s="35">
        <f t="shared" si="598"/>
        <v>0</v>
      </c>
      <c r="K4777" s="36"/>
      <c r="L4777" s="36"/>
      <c r="M4777" s="36"/>
      <c r="N4777" s="36"/>
      <c r="O4777" s="36"/>
      <c r="P4777" s="36"/>
      <c r="Q4777" s="36"/>
      <c r="R4777" s="36"/>
      <c r="S4777" s="36"/>
      <c r="T4777" s="36"/>
      <c r="U4777" s="36"/>
      <c r="V4777" s="36"/>
      <c r="W4777" s="15">
        <f t="shared" si="599"/>
        <v>0</v>
      </c>
      <c r="X4777" s="36"/>
      <c r="Y4777" s="36"/>
      <c r="Z4777" s="36"/>
      <c r="AA4777" s="36"/>
      <c r="AB4777" s="36"/>
      <c r="AC4777" s="36"/>
      <c r="AD4777" s="36"/>
      <c r="AE4777" s="36"/>
      <c r="AF4777" s="36">
        <v>300</v>
      </c>
      <c r="AG4777" s="36"/>
      <c r="AH4777" s="36"/>
      <c r="AI4777" s="36"/>
      <c r="AJ4777" s="15">
        <f t="shared" si="600"/>
        <v>300</v>
      </c>
      <c r="AK4777" s="14"/>
      <c r="AL4777" s="14"/>
      <c r="AM4777" s="14"/>
      <c r="AN4777" s="14"/>
      <c r="AO4777" s="14"/>
      <c r="AP4777" s="14"/>
      <c r="AQ4777" s="14"/>
      <c r="AR4777" s="14"/>
      <c r="AS4777" s="14"/>
      <c r="AT4777" s="14"/>
      <c r="AU4777" s="14"/>
      <c r="AV4777" s="14"/>
      <c r="AW4777" s="15"/>
      <c r="AX4777" s="16"/>
    </row>
    <row r="4778" spans="2:50" x14ac:dyDescent="0.2">
      <c r="B4778" s="7"/>
      <c r="C4778" s="8">
        <v>15018</v>
      </c>
      <c r="D4778" s="9" t="s">
        <v>171</v>
      </c>
      <c r="E4778" s="10" t="str">
        <f t="shared" si="596"/>
        <v>Rancho La Cuchilla No. 72</v>
      </c>
      <c r="F4778" s="10" t="str">
        <f t="shared" si="597"/>
        <v>Ortiz González</v>
      </c>
      <c r="G4778" s="8">
        <v>1</v>
      </c>
      <c r="H4778" s="11">
        <v>400</v>
      </c>
      <c r="I4778" s="12">
        <v>42981</v>
      </c>
      <c r="J4778" s="35">
        <f t="shared" si="598"/>
        <v>0</v>
      </c>
      <c r="K4778" s="36"/>
      <c r="L4778" s="36"/>
      <c r="M4778" s="36"/>
      <c r="N4778" s="36"/>
      <c r="O4778" s="36"/>
      <c r="P4778" s="36"/>
      <c r="Q4778" s="36"/>
      <c r="R4778" s="36"/>
      <c r="S4778" s="36"/>
      <c r="T4778" s="36"/>
      <c r="U4778" s="36"/>
      <c r="V4778" s="36"/>
      <c r="W4778" s="15">
        <f t="shared" si="599"/>
        <v>0</v>
      </c>
      <c r="X4778" s="36"/>
      <c r="Y4778" s="36"/>
      <c r="Z4778" s="36"/>
      <c r="AA4778" s="36"/>
      <c r="AB4778" s="36"/>
      <c r="AC4778" s="36"/>
      <c r="AD4778" s="36"/>
      <c r="AE4778" s="36"/>
      <c r="AF4778" s="36">
        <v>400</v>
      </c>
      <c r="AG4778" s="36"/>
      <c r="AH4778" s="36"/>
      <c r="AI4778" s="36"/>
      <c r="AJ4778" s="15">
        <f t="shared" si="600"/>
        <v>400</v>
      </c>
      <c r="AK4778" s="14"/>
      <c r="AL4778" s="14"/>
      <c r="AM4778" s="14"/>
      <c r="AN4778" s="14"/>
      <c r="AO4778" s="14"/>
      <c r="AP4778" s="14"/>
      <c r="AQ4778" s="14"/>
      <c r="AR4778" s="14"/>
      <c r="AS4778" s="14"/>
      <c r="AT4778" s="14"/>
      <c r="AU4778" s="14"/>
      <c r="AV4778" s="14"/>
      <c r="AW4778" s="15"/>
      <c r="AX4778" s="16"/>
    </row>
    <row r="4779" spans="2:50" x14ac:dyDescent="0.2">
      <c r="B4779" s="7"/>
      <c r="C4779" s="8">
        <v>15019</v>
      </c>
      <c r="D4779" s="9" t="s">
        <v>716</v>
      </c>
      <c r="E4779" s="10" t="str">
        <f t="shared" si="596"/>
        <v>Rancho Landero No. 20</v>
      </c>
      <c r="F4779" s="10" t="str">
        <f t="shared" si="597"/>
        <v>Velasco</v>
      </c>
      <c r="G4779" s="8">
        <v>1</v>
      </c>
      <c r="H4779" s="11">
        <v>300</v>
      </c>
      <c r="I4779" s="12">
        <v>42981</v>
      </c>
      <c r="J4779" s="35">
        <f t="shared" si="598"/>
        <v>0</v>
      </c>
      <c r="K4779" s="36"/>
      <c r="L4779" s="36"/>
      <c r="M4779" s="36"/>
      <c r="N4779" s="36"/>
      <c r="O4779" s="36"/>
      <c r="P4779" s="36"/>
      <c r="Q4779" s="36"/>
      <c r="R4779" s="36"/>
      <c r="S4779" s="36"/>
      <c r="T4779" s="36"/>
      <c r="U4779" s="36"/>
      <c r="V4779" s="36"/>
      <c r="W4779" s="15">
        <f t="shared" si="599"/>
        <v>0</v>
      </c>
      <c r="X4779" s="36"/>
      <c r="Y4779" s="36"/>
      <c r="Z4779" s="36"/>
      <c r="AA4779" s="36"/>
      <c r="AB4779" s="36"/>
      <c r="AC4779" s="36"/>
      <c r="AD4779" s="36"/>
      <c r="AE4779" s="36"/>
      <c r="AF4779" s="36">
        <v>300</v>
      </c>
      <c r="AG4779" s="36"/>
      <c r="AH4779" s="36"/>
      <c r="AI4779" s="36"/>
      <c r="AJ4779" s="15">
        <f t="shared" si="600"/>
        <v>300</v>
      </c>
      <c r="AK4779" s="14"/>
      <c r="AL4779" s="14"/>
      <c r="AM4779" s="14"/>
      <c r="AN4779" s="14"/>
      <c r="AO4779" s="14"/>
      <c r="AP4779" s="14"/>
      <c r="AQ4779" s="14"/>
      <c r="AR4779" s="14"/>
      <c r="AS4779" s="14"/>
      <c r="AT4779" s="14"/>
      <c r="AU4779" s="14"/>
      <c r="AV4779" s="14"/>
      <c r="AW4779" s="15"/>
      <c r="AX4779" s="16"/>
    </row>
    <row r="4780" spans="2:50" x14ac:dyDescent="0.2">
      <c r="B4780" s="7"/>
      <c r="C4780" s="8">
        <v>15020</v>
      </c>
      <c r="D4780" s="9" t="s">
        <v>772</v>
      </c>
      <c r="E4780" s="10" t="str">
        <f t="shared" si="596"/>
        <v>Rancho La Cuchilla No. 79</v>
      </c>
      <c r="F4780" s="10" t="str">
        <f t="shared" si="597"/>
        <v>De la Rosa</v>
      </c>
      <c r="G4780" s="8">
        <v>1</v>
      </c>
      <c r="H4780" s="11">
        <v>400</v>
      </c>
      <c r="I4780" s="12">
        <v>42981</v>
      </c>
      <c r="J4780" s="35">
        <f t="shared" si="598"/>
        <v>0</v>
      </c>
      <c r="K4780" s="36"/>
      <c r="L4780" s="36"/>
      <c r="M4780" s="36"/>
      <c r="N4780" s="36"/>
      <c r="O4780" s="36"/>
      <c r="P4780" s="36"/>
      <c r="Q4780" s="36"/>
      <c r="R4780" s="36"/>
      <c r="S4780" s="36"/>
      <c r="T4780" s="36"/>
      <c r="U4780" s="36"/>
      <c r="V4780" s="36"/>
      <c r="W4780" s="15">
        <f t="shared" si="599"/>
        <v>0</v>
      </c>
      <c r="X4780" s="36"/>
      <c r="Y4780" s="36"/>
      <c r="Z4780" s="36"/>
      <c r="AA4780" s="36"/>
      <c r="AB4780" s="36"/>
      <c r="AC4780" s="36"/>
      <c r="AD4780" s="36">
        <v>200</v>
      </c>
      <c r="AE4780" s="36">
        <v>200</v>
      </c>
      <c r="AF4780" s="36"/>
      <c r="AG4780" s="36"/>
      <c r="AH4780" s="36"/>
      <c r="AI4780" s="36"/>
      <c r="AJ4780" s="15">
        <f t="shared" si="600"/>
        <v>400</v>
      </c>
      <c r="AK4780" s="14"/>
      <c r="AL4780" s="14"/>
      <c r="AM4780" s="14"/>
      <c r="AN4780" s="14"/>
      <c r="AO4780" s="14"/>
      <c r="AP4780" s="14"/>
      <c r="AQ4780" s="14"/>
      <c r="AR4780" s="14"/>
      <c r="AS4780" s="14"/>
      <c r="AT4780" s="14"/>
      <c r="AU4780" s="14"/>
      <c r="AV4780" s="14"/>
      <c r="AW4780" s="15"/>
      <c r="AX4780" s="16"/>
    </row>
    <row r="4781" spans="2:50" x14ac:dyDescent="0.2">
      <c r="B4781" s="7"/>
      <c r="C4781" s="8">
        <v>15021</v>
      </c>
      <c r="D4781" s="9" t="s">
        <v>911</v>
      </c>
      <c r="E4781" s="10" t="str">
        <f t="shared" si="596"/>
        <v>Rancho Estanzuela No. 19</v>
      </c>
      <c r="F4781" s="10" t="str">
        <f t="shared" si="597"/>
        <v>Robles</v>
      </c>
      <c r="G4781" s="8">
        <v>1</v>
      </c>
      <c r="H4781" s="11">
        <v>400</v>
      </c>
      <c r="I4781" s="12">
        <v>42981</v>
      </c>
      <c r="J4781" s="35">
        <f t="shared" si="598"/>
        <v>0</v>
      </c>
      <c r="K4781" s="36"/>
      <c r="L4781" s="36"/>
      <c r="M4781" s="36"/>
      <c r="N4781" s="36"/>
      <c r="O4781" s="36"/>
      <c r="P4781" s="36"/>
      <c r="Q4781" s="36"/>
      <c r="R4781" s="36"/>
      <c r="S4781" s="36"/>
      <c r="T4781" s="36"/>
      <c r="U4781" s="36"/>
      <c r="V4781" s="36"/>
      <c r="W4781" s="15">
        <f t="shared" si="599"/>
        <v>0</v>
      </c>
      <c r="X4781" s="36"/>
      <c r="Y4781" s="36"/>
      <c r="Z4781" s="36"/>
      <c r="AA4781" s="36"/>
      <c r="AB4781" s="36"/>
      <c r="AC4781" s="36"/>
      <c r="AD4781" s="36"/>
      <c r="AE4781" s="36"/>
      <c r="AF4781" s="36">
        <v>400</v>
      </c>
      <c r="AG4781" s="36"/>
      <c r="AH4781" s="36"/>
      <c r="AI4781" s="36"/>
      <c r="AJ4781" s="15">
        <f t="shared" si="600"/>
        <v>400</v>
      </c>
      <c r="AK4781" s="14"/>
      <c r="AL4781" s="14"/>
      <c r="AM4781" s="14"/>
      <c r="AN4781" s="14"/>
      <c r="AO4781" s="14"/>
      <c r="AP4781" s="14"/>
      <c r="AQ4781" s="14"/>
      <c r="AR4781" s="14"/>
      <c r="AS4781" s="14"/>
      <c r="AT4781" s="14"/>
      <c r="AU4781" s="14"/>
      <c r="AV4781" s="14"/>
      <c r="AW4781" s="15"/>
      <c r="AX4781" s="16"/>
    </row>
    <row r="4782" spans="2:50" x14ac:dyDescent="0.2">
      <c r="B4782" s="7"/>
      <c r="C4782" s="8">
        <v>15022</v>
      </c>
      <c r="D4782" s="9" t="s">
        <v>126</v>
      </c>
      <c r="E4782" s="10" t="str">
        <f t="shared" si="596"/>
        <v>Rancho Estanzuela No. 65</v>
      </c>
      <c r="F4782" s="10" t="str">
        <f t="shared" si="597"/>
        <v>López Becerril</v>
      </c>
      <c r="G4782" s="8">
        <v>1</v>
      </c>
      <c r="H4782" s="11">
        <v>400</v>
      </c>
      <c r="I4782" s="12">
        <v>42981</v>
      </c>
      <c r="J4782" s="35">
        <f t="shared" si="598"/>
        <v>0</v>
      </c>
      <c r="K4782" s="36"/>
      <c r="L4782" s="36"/>
      <c r="M4782" s="36"/>
      <c r="N4782" s="36"/>
      <c r="O4782" s="36"/>
      <c r="P4782" s="36"/>
      <c r="Q4782" s="36"/>
      <c r="R4782" s="36"/>
      <c r="S4782" s="36"/>
      <c r="T4782" s="36"/>
      <c r="U4782" s="36"/>
      <c r="V4782" s="36"/>
      <c r="W4782" s="15">
        <f t="shared" si="599"/>
        <v>0</v>
      </c>
      <c r="X4782" s="36"/>
      <c r="Y4782" s="36"/>
      <c r="Z4782" s="36"/>
      <c r="AA4782" s="36"/>
      <c r="AB4782" s="36"/>
      <c r="AC4782" s="36"/>
      <c r="AD4782" s="36"/>
      <c r="AE4782" s="36">
        <v>400</v>
      </c>
      <c r="AF4782" s="36"/>
      <c r="AG4782" s="36"/>
      <c r="AH4782" s="36"/>
      <c r="AI4782" s="36"/>
      <c r="AJ4782" s="15">
        <f t="shared" si="600"/>
        <v>400</v>
      </c>
      <c r="AK4782" s="14"/>
      <c r="AL4782" s="14"/>
      <c r="AM4782" s="14"/>
      <c r="AN4782" s="14"/>
      <c r="AO4782" s="14"/>
      <c r="AP4782" s="14"/>
      <c r="AQ4782" s="14"/>
      <c r="AR4782" s="14"/>
      <c r="AS4782" s="14"/>
      <c r="AT4782" s="14"/>
      <c r="AU4782" s="14"/>
      <c r="AV4782" s="14"/>
      <c r="AW4782" s="15"/>
      <c r="AX4782" s="16"/>
    </row>
    <row r="4783" spans="2:50" x14ac:dyDescent="0.2">
      <c r="B4783" s="7"/>
      <c r="C4783" s="8">
        <v>15023</v>
      </c>
      <c r="D4783" s="9" t="s">
        <v>292</v>
      </c>
      <c r="E4783" s="10" t="str">
        <f t="shared" si="596"/>
        <v>Rancho Upácuaro No. 140</v>
      </c>
      <c r="F4783" s="10" t="str">
        <f t="shared" si="597"/>
        <v>Gozain</v>
      </c>
      <c r="G4783" s="8">
        <v>1</v>
      </c>
      <c r="H4783" s="11">
        <v>400</v>
      </c>
      <c r="I4783" s="12">
        <v>42981</v>
      </c>
      <c r="J4783" s="35">
        <f t="shared" si="598"/>
        <v>0</v>
      </c>
      <c r="K4783" s="36"/>
      <c r="L4783" s="36"/>
      <c r="M4783" s="36"/>
      <c r="N4783" s="36"/>
      <c r="O4783" s="36"/>
      <c r="P4783" s="36"/>
      <c r="Q4783" s="36"/>
      <c r="R4783" s="36"/>
      <c r="S4783" s="36"/>
      <c r="T4783" s="36"/>
      <c r="U4783" s="36"/>
      <c r="V4783" s="36"/>
      <c r="W4783" s="15">
        <f t="shared" si="599"/>
        <v>0</v>
      </c>
      <c r="X4783" s="36"/>
      <c r="Y4783" s="36"/>
      <c r="Z4783" s="36"/>
      <c r="AA4783" s="36"/>
      <c r="AB4783" s="36"/>
      <c r="AC4783" s="36"/>
      <c r="AD4783" s="36"/>
      <c r="AE4783" s="36"/>
      <c r="AF4783" s="36">
        <v>400</v>
      </c>
      <c r="AG4783" s="36"/>
      <c r="AH4783" s="36"/>
      <c r="AI4783" s="36"/>
      <c r="AJ4783" s="15">
        <f t="shared" si="600"/>
        <v>400</v>
      </c>
      <c r="AK4783" s="14"/>
      <c r="AL4783" s="14"/>
      <c r="AM4783" s="14"/>
      <c r="AN4783" s="14"/>
      <c r="AO4783" s="14"/>
      <c r="AP4783" s="14"/>
      <c r="AQ4783" s="14"/>
      <c r="AR4783" s="14"/>
      <c r="AS4783" s="14"/>
      <c r="AT4783" s="14"/>
      <c r="AU4783" s="14"/>
      <c r="AV4783" s="14"/>
      <c r="AW4783" s="15"/>
      <c r="AX4783" s="16"/>
    </row>
    <row r="4784" spans="2:50" x14ac:dyDescent="0.2">
      <c r="B4784" s="7"/>
      <c r="C4784" s="8">
        <v>15024</v>
      </c>
      <c r="D4784" s="9" t="s">
        <v>1020</v>
      </c>
      <c r="E4784" s="10" t="str">
        <f t="shared" si="596"/>
        <v>Rancho Landero No. 52</v>
      </c>
      <c r="F4784" s="10" t="str">
        <f t="shared" si="597"/>
        <v>Feregrino</v>
      </c>
      <c r="G4784" s="8">
        <v>1</v>
      </c>
      <c r="H4784" s="11">
        <v>1600</v>
      </c>
      <c r="I4784" s="12">
        <v>42981</v>
      </c>
      <c r="J4784" s="35">
        <f t="shared" si="598"/>
        <v>0</v>
      </c>
      <c r="K4784" s="36"/>
      <c r="L4784" s="36"/>
      <c r="M4784" s="36"/>
      <c r="N4784" s="36"/>
      <c r="O4784" s="36"/>
      <c r="P4784" s="36"/>
      <c r="Q4784" s="36"/>
      <c r="R4784" s="36"/>
      <c r="S4784" s="36"/>
      <c r="T4784" s="36"/>
      <c r="U4784" s="36"/>
      <c r="V4784" s="36"/>
      <c r="W4784" s="15">
        <f t="shared" si="599"/>
        <v>0</v>
      </c>
      <c r="X4784" s="36"/>
      <c r="Y4784" s="36"/>
      <c r="Z4784" s="36"/>
      <c r="AA4784" s="36"/>
      <c r="AB4784" s="36"/>
      <c r="AC4784" s="36">
        <v>400</v>
      </c>
      <c r="AD4784" s="36">
        <v>400</v>
      </c>
      <c r="AE4784" s="36">
        <v>400</v>
      </c>
      <c r="AF4784" s="36">
        <v>400</v>
      </c>
      <c r="AG4784" s="36"/>
      <c r="AH4784" s="36"/>
      <c r="AI4784" s="36"/>
      <c r="AJ4784" s="15">
        <f t="shared" si="600"/>
        <v>1600</v>
      </c>
      <c r="AK4784" s="14"/>
      <c r="AL4784" s="14"/>
      <c r="AM4784" s="14"/>
      <c r="AN4784" s="14"/>
      <c r="AO4784" s="14"/>
      <c r="AP4784" s="14"/>
      <c r="AQ4784" s="14"/>
      <c r="AR4784" s="14"/>
      <c r="AS4784" s="14"/>
      <c r="AT4784" s="14"/>
      <c r="AU4784" s="14"/>
      <c r="AV4784" s="14"/>
      <c r="AW4784" s="15"/>
      <c r="AX4784" s="16"/>
    </row>
    <row r="4785" spans="2:51" x14ac:dyDescent="0.2">
      <c r="B4785" s="7"/>
      <c r="C4785" s="8">
        <v>15025</v>
      </c>
      <c r="D4785" s="9" t="s">
        <v>440</v>
      </c>
      <c r="E4785" s="10" t="str">
        <f t="shared" si="596"/>
        <v>Rancho Estanzuela No. 159</v>
      </c>
      <c r="F4785" s="10" t="str">
        <f t="shared" si="597"/>
        <v>Silva</v>
      </c>
      <c r="G4785" s="8">
        <v>1</v>
      </c>
      <c r="H4785" s="11">
        <v>600</v>
      </c>
      <c r="I4785" s="12">
        <v>42981</v>
      </c>
      <c r="J4785" s="35">
        <f t="shared" si="598"/>
        <v>0</v>
      </c>
      <c r="K4785" s="36"/>
      <c r="L4785" s="36"/>
      <c r="M4785" s="36"/>
      <c r="N4785" s="36"/>
      <c r="O4785" s="36"/>
      <c r="P4785" s="36"/>
      <c r="Q4785" s="36"/>
      <c r="R4785" s="36"/>
      <c r="S4785" s="36"/>
      <c r="T4785" s="36"/>
      <c r="U4785" s="36"/>
      <c r="V4785" s="36"/>
      <c r="W4785" s="15">
        <f t="shared" si="599"/>
        <v>0</v>
      </c>
      <c r="X4785" s="36"/>
      <c r="Y4785" s="36"/>
      <c r="Z4785" s="36"/>
      <c r="AA4785" s="36"/>
      <c r="AB4785" s="36"/>
      <c r="AC4785" s="36"/>
      <c r="AD4785" s="36">
        <v>300</v>
      </c>
      <c r="AE4785" s="36">
        <v>300</v>
      </c>
      <c r="AF4785" s="36"/>
      <c r="AG4785" s="36"/>
      <c r="AH4785" s="36"/>
      <c r="AI4785" s="36"/>
      <c r="AJ4785" s="15">
        <f t="shared" si="600"/>
        <v>600</v>
      </c>
      <c r="AK4785" s="14"/>
      <c r="AL4785" s="14"/>
      <c r="AM4785" s="14"/>
      <c r="AN4785" s="14"/>
      <c r="AO4785" s="14"/>
      <c r="AP4785" s="14"/>
      <c r="AQ4785" s="14"/>
      <c r="AR4785" s="14"/>
      <c r="AS4785" s="14"/>
      <c r="AT4785" s="14"/>
      <c r="AU4785" s="14"/>
      <c r="AV4785" s="14"/>
      <c r="AW4785" s="15"/>
      <c r="AX4785" s="316">
        <f>SUM(H4740:H4785)</f>
        <v>27325</v>
      </c>
      <c r="AY4785" s="112">
        <f>SUM(H4741:H4785)</f>
        <v>27025</v>
      </c>
    </row>
    <row r="4786" spans="2:51" x14ac:dyDescent="0.2">
      <c r="B4786" s="7"/>
      <c r="C4786" s="8">
        <v>15026</v>
      </c>
      <c r="D4786" s="9" t="s">
        <v>205</v>
      </c>
      <c r="E4786" s="10" t="str">
        <f t="shared" si="596"/>
        <v>Rancho Landero No. 1, A</v>
      </c>
      <c r="F4786" s="10" t="str">
        <f t="shared" si="597"/>
        <v>Ebysos</v>
      </c>
      <c r="G4786" s="8">
        <v>1</v>
      </c>
      <c r="H4786" s="315">
        <v>600</v>
      </c>
      <c r="I4786" s="12">
        <v>42983</v>
      </c>
      <c r="J4786" s="35">
        <f t="shared" si="598"/>
        <v>0</v>
      </c>
      <c r="K4786" s="36"/>
      <c r="L4786" s="36"/>
      <c r="M4786" s="36"/>
      <c r="N4786" s="36"/>
      <c r="O4786" s="36"/>
      <c r="P4786" s="36"/>
      <c r="Q4786" s="36"/>
      <c r="R4786" s="36"/>
      <c r="S4786" s="36"/>
      <c r="T4786" s="36"/>
      <c r="U4786" s="36"/>
      <c r="V4786" s="36"/>
      <c r="W4786" s="15">
        <f t="shared" si="599"/>
        <v>0</v>
      </c>
      <c r="X4786" s="36"/>
      <c r="Y4786" s="36"/>
      <c r="Z4786" s="36"/>
      <c r="AA4786" s="36"/>
      <c r="AB4786" s="36"/>
      <c r="AC4786" s="36"/>
      <c r="AD4786" s="36"/>
      <c r="AE4786" s="36">
        <v>600</v>
      </c>
      <c r="AF4786" s="36"/>
      <c r="AG4786" s="36"/>
      <c r="AH4786" s="36"/>
      <c r="AI4786" s="36"/>
      <c r="AJ4786" s="15">
        <f t="shared" si="600"/>
        <v>600</v>
      </c>
      <c r="AK4786" s="14"/>
      <c r="AL4786" s="14"/>
      <c r="AM4786" s="14"/>
      <c r="AN4786" s="14"/>
      <c r="AO4786" s="14"/>
      <c r="AP4786" s="14"/>
      <c r="AQ4786" s="14"/>
      <c r="AR4786" s="14"/>
      <c r="AS4786" s="14"/>
      <c r="AT4786" s="14"/>
      <c r="AU4786" s="14"/>
      <c r="AV4786" s="14"/>
      <c r="AW4786" s="15"/>
      <c r="AX4786" s="16"/>
    </row>
    <row r="4787" spans="2:51" x14ac:dyDescent="0.2">
      <c r="B4787" s="7"/>
      <c r="C4787" s="8">
        <v>15027</v>
      </c>
      <c r="D4787" s="9" t="s">
        <v>915</v>
      </c>
      <c r="E4787" s="10" t="str">
        <f t="shared" si="596"/>
        <v>Rancho Upácuaro No. 73, B</v>
      </c>
      <c r="F4787" s="10" t="str">
        <f t="shared" si="597"/>
        <v>Chávez</v>
      </c>
      <c r="G4787" s="8">
        <v>1</v>
      </c>
      <c r="H4787" s="11">
        <v>2200</v>
      </c>
      <c r="I4787" s="12">
        <v>42983</v>
      </c>
      <c r="J4787" s="35">
        <f t="shared" si="598"/>
        <v>0</v>
      </c>
      <c r="K4787" s="36"/>
      <c r="L4787" s="36"/>
      <c r="M4787" s="36"/>
      <c r="N4787" s="36"/>
      <c r="O4787" s="36"/>
      <c r="P4787" s="36"/>
      <c r="Q4787" s="36"/>
      <c r="R4787" s="36"/>
      <c r="S4787" s="36"/>
      <c r="T4787" s="36"/>
      <c r="U4787" s="36"/>
      <c r="V4787" s="36"/>
      <c r="W4787" s="15">
        <f t="shared" si="599"/>
        <v>0</v>
      </c>
      <c r="X4787" s="36">
        <v>200</v>
      </c>
      <c r="Y4787" s="36">
        <v>200</v>
      </c>
      <c r="Z4787" s="36">
        <v>200</v>
      </c>
      <c r="AA4787" s="36">
        <v>200</v>
      </c>
      <c r="AB4787" s="36">
        <v>200</v>
      </c>
      <c r="AC4787" s="36">
        <v>200</v>
      </c>
      <c r="AD4787" s="36">
        <v>200</v>
      </c>
      <c r="AE4787" s="36">
        <v>200</v>
      </c>
      <c r="AF4787" s="36">
        <v>200</v>
      </c>
      <c r="AG4787" s="36">
        <v>200</v>
      </c>
      <c r="AH4787" s="36">
        <v>200</v>
      </c>
      <c r="AI4787" s="36"/>
      <c r="AJ4787" s="15">
        <f t="shared" si="600"/>
        <v>2200</v>
      </c>
      <c r="AK4787" s="14"/>
      <c r="AL4787" s="14"/>
      <c r="AM4787" s="14"/>
      <c r="AN4787" s="14"/>
      <c r="AO4787" s="14"/>
      <c r="AP4787" s="14"/>
      <c r="AQ4787" s="14"/>
      <c r="AR4787" s="14"/>
      <c r="AS4787" s="14"/>
      <c r="AT4787" s="14"/>
      <c r="AU4787" s="14"/>
      <c r="AV4787" s="14"/>
      <c r="AW4787" s="15"/>
      <c r="AX4787" s="16" t="s">
        <v>4431</v>
      </c>
    </row>
    <row r="4788" spans="2:51" x14ac:dyDescent="0.2">
      <c r="B4788" s="7"/>
      <c r="C4788" s="8">
        <v>15028</v>
      </c>
      <c r="D4788" s="9" t="s">
        <v>199</v>
      </c>
      <c r="E4788" s="10" t="str">
        <f t="shared" si="596"/>
        <v>Rancho Estanzuela No. 135</v>
      </c>
      <c r="F4788" s="10" t="str">
        <f t="shared" si="597"/>
        <v>Iglesias</v>
      </c>
      <c r="G4788" s="8">
        <v>1</v>
      </c>
      <c r="H4788" s="11">
        <v>2000</v>
      </c>
      <c r="I4788" s="12">
        <v>42986</v>
      </c>
      <c r="J4788" s="35">
        <f t="shared" si="598"/>
        <v>0</v>
      </c>
      <c r="K4788" s="36"/>
      <c r="L4788" s="36"/>
      <c r="M4788" s="36"/>
      <c r="N4788" s="36"/>
      <c r="O4788" s="36"/>
      <c r="P4788" s="36"/>
      <c r="Q4788" s="36"/>
      <c r="R4788" s="36"/>
      <c r="S4788" s="36"/>
      <c r="T4788" s="36"/>
      <c r="U4788" s="36"/>
      <c r="V4788" s="36"/>
      <c r="W4788" s="15">
        <f t="shared" si="599"/>
        <v>0</v>
      </c>
      <c r="X4788" s="36"/>
      <c r="Y4788" s="36"/>
      <c r="Z4788" s="36">
        <v>400</v>
      </c>
      <c r="AA4788" s="36">
        <v>400</v>
      </c>
      <c r="AB4788" s="36">
        <v>400</v>
      </c>
      <c r="AC4788" s="36">
        <v>400</v>
      </c>
      <c r="AD4788" s="36">
        <v>400</v>
      </c>
      <c r="AE4788" s="36"/>
      <c r="AF4788" s="36"/>
      <c r="AG4788" s="36"/>
      <c r="AH4788" s="36"/>
      <c r="AI4788" s="36"/>
      <c r="AJ4788" s="15">
        <f t="shared" si="600"/>
        <v>2000</v>
      </c>
      <c r="AK4788" s="14"/>
      <c r="AL4788" s="14"/>
      <c r="AM4788" s="14"/>
      <c r="AN4788" s="14"/>
      <c r="AO4788" s="14"/>
      <c r="AP4788" s="14"/>
      <c r="AQ4788" s="14"/>
      <c r="AR4788" s="14"/>
      <c r="AS4788" s="14"/>
      <c r="AT4788" s="14"/>
      <c r="AU4788" s="14"/>
      <c r="AV4788" s="14"/>
      <c r="AW4788" s="15"/>
      <c r="AX4788" s="16"/>
    </row>
    <row r="4789" spans="2:51" x14ac:dyDescent="0.2">
      <c r="B4789" s="7"/>
      <c r="C4789" s="8">
        <v>15029</v>
      </c>
      <c r="D4789" s="9" t="s">
        <v>1331</v>
      </c>
      <c r="E4789" s="10" t="str">
        <f t="shared" si="596"/>
        <v>Rancho Estanzuela No. 43</v>
      </c>
      <c r="F4789" s="10" t="str">
        <f t="shared" si="597"/>
        <v>Granados</v>
      </c>
      <c r="G4789" s="8">
        <v>1</v>
      </c>
      <c r="H4789" s="11">
        <v>1600</v>
      </c>
      <c r="I4789" s="12">
        <v>42986</v>
      </c>
      <c r="J4789" s="35">
        <f t="shared" si="598"/>
        <v>0</v>
      </c>
      <c r="K4789" s="36"/>
      <c r="L4789" s="36"/>
      <c r="M4789" s="36"/>
      <c r="N4789" s="36"/>
      <c r="O4789" s="36"/>
      <c r="P4789" s="36"/>
      <c r="Q4789" s="36"/>
      <c r="R4789" s="36"/>
      <c r="S4789" s="36"/>
      <c r="T4789" s="36"/>
      <c r="U4789" s="36"/>
      <c r="V4789" s="36"/>
      <c r="W4789" s="15">
        <f t="shared" si="599"/>
        <v>0</v>
      </c>
      <c r="X4789" s="36"/>
      <c r="Y4789" s="36"/>
      <c r="Z4789" s="36"/>
      <c r="AA4789" s="36"/>
      <c r="AB4789" s="36"/>
      <c r="AC4789" s="36"/>
      <c r="AD4789" s="36">
        <v>400</v>
      </c>
      <c r="AE4789" s="36">
        <v>400</v>
      </c>
      <c r="AF4789" s="36">
        <v>400</v>
      </c>
      <c r="AG4789" s="36">
        <v>400</v>
      </c>
      <c r="AH4789" s="36"/>
      <c r="AI4789" s="36"/>
      <c r="AJ4789" s="15">
        <f t="shared" si="600"/>
        <v>1600</v>
      </c>
      <c r="AK4789" s="14"/>
      <c r="AL4789" s="14"/>
      <c r="AM4789" s="14"/>
      <c r="AN4789" s="14"/>
      <c r="AO4789" s="14"/>
      <c r="AP4789" s="14"/>
      <c r="AQ4789" s="14"/>
      <c r="AR4789" s="14"/>
      <c r="AS4789" s="14"/>
      <c r="AT4789" s="14"/>
      <c r="AU4789" s="14"/>
      <c r="AV4789" s="14"/>
      <c r="AW4789" s="15"/>
      <c r="AX4789" s="16"/>
    </row>
    <row r="4790" spans="2:51" x14ac:dyDescent="0.2">
      <c r="B4790" s="7"/>
      <c r="C4790" s="8">
        <v>15030</v>
      </c>
      <c r="D4790" s="9" t="s">
        <v>94</v>
      </c>
      <c r="E4790" s="10" t="str">
        <f t="shared" si="596"/>
        <v>Rancho Landero No. 42</v>
      </c>
      <c r="F4790" s="10" t="str">
        <f t="shared" si="597"/>
        <v>Ávila Fidel</v>
      </c>
      <c r="G4790" s="8">
        <v>1</v>
      </c>
      <c r="H4790" s="11">
        <v>400</v>
      </c>
      <c r="I4790" s="12">
        <v>42986</v>
      </c>
      <c r="J4790" s="35">
        <f t="shared" si="598"/>
        <v>0</v>
      </c>
      <c r="K4790" s="36"/>
      <c r="L4790" s="36"/>
      <c r="M4790" s="36"/>
      <c r="N4790" s="36"/>
      <c r="O4790" s="36"/>
      <c r="P4790" s="36"/>
      <c r="Q4790" s="36"/>
      <c r="R4790" s="36"/>
      <c r="S4790" s="36"/>
      <c r="T4790" s="36"/>
      <c r="U4790" s="36"/>
      <c r="V4790" s="36"/>
      <c r="W4790" s="15">
        <f t="shared" si="599"/>
        <v>0</v>
      </c>
      <c r="X4790" s="36"/>
      <c r="Y4790" s="36"/>
      <c r="Z4790" s="36"/>
      <c r="AA4790" s="36"/>
      <c r="AB4790" s="36"/>
      <c r="AC4790" s="36"/>
      <c r="AD4790" s="36"/>
      <c r="AE4790" s="36"/>
      <c r="AF4790" s="36">
        <v>400</v>
      </c>
      <c r="AG4790" s="36"/>
      <c r="AH4790" s="36"/>
      <c r="AI4790" s="36"/>
      <c r="AJ4790" s="15">
        <f t="shared" si="600"/>
        <v>400</v>
      </c>
      <c r="AK4790" s="14"/>
      <c r="AL4790" s="14"/>
      <c r="AM4790" s="14"/>
      <c r="AN4790" s="14"/>
      <c r="AO4790" s="14"/>
      <c r="AP4790" s="14"/>
      <c r="AQ4790" s="14"/>
      <c r="AR4790" s="14"/>
      <c r="AS4790" s="14"/>
      <c r="AT4790" s="14"/>
      <c r="AU4790" s="14"/>
      <c r="AV4790" s="14"/>
      <c r="AW4790" s="15"/>
      <c r="AX4790" s="16"/>
    </row>
    <row r="4791" spans="2:51" x14ac:dyDescent="0.2">
      <c r="B4791" s="7"/>
      <c r="C4791" s="8">
        <v>15031</v>
      </c>
      <c r="D4791" s="9" t="s">
        <v>611</v>
      </c>
      <c r="E4791" s="10" t="str">
        <f t="shared" si="596"/>
        <v>Rancho Estanzuela No. 47</v>
      </c>
      <c r="F4791" s="10" t="str">
        <f t="shared" si="597"/>
        <v>Bussey García</v>
      </c>
      <c r="G4791" s="8">
        <v>1</v>
      </c>
      <c r="H4791" s="11">
        <v>400</v>
      </c>
      <c r="I4791" s="12">
        <v>42988</v>
      </c>
      <c r="J4791" s="35">
        <f t="shared" si="598"/>
        <v>0</v>
      </c>
      <c r="K4791" s="36"/>
      <c r="L4791" s="36"/>
      <c r="M4791" s="36"/>
      <c r="N4791" s="36"/>
      <c r="O4791" s="36"/>
      <c r="P4791" s="36"/>
      <c r="Q4791" s="36"/>
      <c r="R4791" s="36"/>
      <c r="S4791" s="36"/>
      <c r="T4791" s="36"/>
      <c r="U4791" s="36"/>
      <c r="V4791" s="36"/>
      <c r="W4791" s="15">
        <f t="shared" si="599"/>
        <v>0</v>
      </c>
      <c r="X4791" s="36"/>
      <c r="Y4791" s="36"/>
      <c r="Z4791" s="36"/>
      <c r="AA4791" s="36"/>
      <c r="AB4791" s="36"/>
      <c r="AC4791" s="36"/>
      <c r="AD4791" s="36"/>
      <c r="AE4791" s="36"/>
      <c r="AF4791" s="36">
        <v>400</v>
      </c>
      <c r="AG4791" s="36"/>
      <c r="AH4791" s="36"/>
      <c r="AI4791" s="36"/>
      <c r="AJ4791" s="15">
        <f t="shared" si="600"/>
        <v>400</v>
      </c>
      <c r="AK4791" s="14"/>
      <c r="AL4791" s="14"/>
      <c r="AM4791" s="14"/>
      <c r="AN4791" s="14"/>
      <c r="AO4791" s="14"/>
      <c r="AP4791" s="14"/>
      <c r="AQ4791" s="14"/>
      <c r="AR4791" s="14"/>
      <c r="AS4791" s="14"/>
      <c r="AT4791" s="14"/>
      <c r="AU4791" s="14"/>
      <c r="AV4791" s="14"/>
      <c r="AW4791" s="15"/>
      <c r="AX4791" s="16"/>
    </row>
    <row r="4792" spans="2:51" x14ac:dyDescent="0.2">
      <c r="B4792" s="7"/>
      <c r="C4792" s="8">
        <v>15032</v>
      </c>
      <c r="D4792" s="9" t="s">
        <v>301</v>
      </c>
      <c r="E4792" s="10" t="str">
        <f t="shared" ref="E4792:E4818" si="601">IF(D4792=0,"",VLOOKUP(D4792,BASE,2,FALSE))</f>
        <v>Rancho Upácuaro No. 51, 2</v>
      </c>
      <c r="F4792" s="10" t="str">
        <f t="shared" ref="F4792:F4818" si="602">IF(D4792=0,"",VLOOKUP(D4792,BASE,3,FALSE))</f>
        <v>Santoyo</v>
      </c>
      <c r="G4792" s="8">
        <v>1</v>
      </c>
      <c r="H4792" s="11">
        <v>200</v>
      </c>
      <c r="I4792" s="12">
        <v>42988</v>
      </c>
      <c r="J4792" s="35">
        <f t="shared" ref="J4792:J4818" si="603">IF(G4792=1,SUM(W4792,AJ4792,-H4792),0)</f>
        <v>0</v>
      </c>
      <c r="K4792" s="36"/>
      <c r="L4792" s="36"/>
      <c r="M4792" s="36"/>
      <c r="N4792" s="36"/>
      <c r="O4792" s="36"/>
      <c r="P4792" s="36"/>
      <c r="Q4792" s="36"/>
      <c r="R4792" s="36"/>
      <c r="S4792" s="36"/>
      <c r="T4792" s="36"/>
      <c r="U4792" s="36"/>
      <c r="V4792" s="36"/>
      <c r="W4792" s="15">
        <f t="shared" ref="W4792:W4818" si="604">SUM(K4792:V4792)</f>
        <v>0</v>
      </c>
      <c r="X4792" s="36"/>
      <c r="Y4792" s="36"/>
      <c r="Z4792" s="36"/>
      <c r="AA4792" s="36"/>
      <c r="AB4792" s="36"/>
      <c r="AC4792" s="36"/>
      <c r="AD4792" s="36"/>
      <c r="AE4792" s="36"/>
      <c r="AF4792" s="36">
        <v>200</v>
      </c>
      <c r="AG4792" s="36"/>
      <c r="AH4792" s="36"/>
      <c r="AI4792" s="36"/>
      <c r="AJ4792" s="15">
        <f t="shared" ref="AJ4792:AJ4818" si="605">SUM(X4792:AI4792)</f>
        <v>200</v>
      </c>
      <c r="AK4792" s="14"/>
      <c r="AL4792" s="14"/>
      <c r="AM4792" s="14"/>
      <c r="AN4792" s="14"/>
      <c r="AO4792" s="14"/>
      <c r="AP4792" s="14"/>
      <c r="AQ4792" s="14"/>
      <c r="AR4792" s="14"/>
      <c r="AS4792" s="14"/>
      <c r="AT4792" s="14"/>
      <c r="AU4792" s="14"/>
      <c r="AV4792" s="14"/>
      <c r="AW4792" s="15"/>
      <c r="AX4792" s="16"/>
    </row>
    <row r="4793" spans="2:51" x14ac:dyDescent="0.2">
      <c r="B4793" s="7"/>
      <c r="C4793" s="8">
        <v>15033</v>
      </c>
      <c r="D4793" s="9" t="s">
        <v>247</v>
      </c>
      <c r="E4793" s="10" t="str">
        <f t="shared" ref="E4793" si="606">IF(D4793=0,"",VLOOKUP(D4793,BASE,2,FALSE))</f>
        <v>Rancho Landero No. 91</v>
      </c>
      <c r="F4793" s="10" t="str">
        <f t="shared" ref="F4793" si="607">IF(D4793=0,"",VLOOKUP(D4793,BASE,3,FALSE))</f>
        <v>Llaca</v>
      </c>
      <c r="G4793" s="8">
        <v>1</v>
      </c>
      <c r="H4793" s="11">
        <v>800</v>
      </c>
      <c r="I4793" s="12">
        <v>42988</v>
      </c>
      <c r="J4793" s="35">
        <f t="shared" si="603"/>
        <v>0</v>
      </c>
      <c r="K4793" s="36"/>
      <c r="L4793" s="36"/>
      <c r="M4793" s="36"/>
      <c r="N4793" s="36"/>
      <c r="O4793" s="36"/>
      <c r="P4793" s="36"/>
      <c r="Q4793" s="36"/>
      <c r="R4793" s="36"/>
      <c r="S4793" s="36"/>
      <c r="T4793" s="36"/>
      <c r="U4793" s="36"/>
      <c r="V4793" s="36"/>
      <c r="W4793" s="15">
        <f t="shared" si="604"/>
        <v>0</v>
      </c>
      <c r="X4793" s="36"/>
      <c r="Y4793" s="36"/>
      <c r="Z4793" s="36"/>
      <c r="AA4793" s="36"/>
      <c r="AB4793" s="36"/>
      <c r="AC4793" s="36"/>
      <c r="AD4793" s="36"/>
      <c r="AE4793" s="36"/>
      <c r="AF4793" s="36">
        <v>400</v>
      </c>
      <c r="AG4793" s="36">
        <v>400</v>
      </c>
      <c r="AH4793" s="36"/>
      <c r="AI4793" s="36"/>
      <c r="AJ4793" s="15">
        <f t="shared" si="605"/>
        <v>800</v>
      </c>
      <c r="AK4793" s="14"/>
      <c r="AL4793" s="14"/>
      <c r="AM4793" s="14"/>
      <c r="AN4793" s="14"/>
      <c r="AO4793" s="14"/>
      <c r="AP4793" s="14"/>
      <c r="AQ4793" s="14"/>
      <c r="AR4793" s="14"/>
      <c r="AS4793" s="14"/>
      <c r="AT4793" s="14"/>
      <c r="AU4793" s="14"/>
      <c r="AV4793" s="14"/>
      <c r="AW4793" s="15"/>
      <c r="AX4793" s="16"/>
    </row>
    <row r="4794" spans="2:51" x14ac:dyDescent="0.2">
      <c r="B4794" s="7"/>
      <c r="C4794" s="8">
        <v>15034</v>
      </c>
      <c r="D4794" s="9" t="s">
        <v>100</v>
      </c>
      <c r="E4794" s="10" t="str">
        <f t="shared" si="601"/>
        <v>Rancho Upácuaro No. 32</v>
      </c>
      <c r="F4794" s="10" t="str">
        <f t="shared" si="602"/>
        <v>Sairafi Carmen</v>
      </c>
      <c r="G4794" s="8">
        <v>1</v>
      </c>
      <c r="H4794" s="11">
        <v>400</v>
      </c>
      <c r="I4794" s="12">
        <v>42988</v>
      </c>
      <c r="J4794" s="35">
        <f t="shared" si="603"/>
        <v>0</v>
      </c>
      <c r="K4794" s="36"/>
      <c r="L4794" s="36"/>
      <c r="M4794" s="36"/>
      <c r="N4794" s="36"/>
      <c r="O4794" s="36"/>
      <c r="P4794" s="36"/>
      <c r="Q4794" s="36"/>
      <c r="R4794" s="36"/>
      <c r="S4794" s="36"/>
      <c r="T4794" s="36"/>
      <c r="U4794" s="36"/>
      <c r="V4794" s="36"/>
      <c r="W4794" s="15">
        <f t="shared" si="604"/>
        <v>0</v>
      </c>
      <c r="X4794" s="36"/>
      <c r="Y4794" s="36"/>
      <c r="Z4794" s="36"/>
      <c r="AA4794" s="36"/>
      <c r="AB4794" s="36"/>
      <c r="AC4794" s="36"/>
      <c r="AD4794" s="36"/>
      <c r="AE4794" s="36"/>
      <c r="AF4794" s="36">
        <v>400</v>
      </c>
      <c r="AG4794" s="36"/>
      <c r="AH4794" s="36"/>
      <c r="AI4794" s="36"/>
      <c r="AJ4794" s="15">
        <f t="shared" si="605"/>
        <v>400</v>
      </c>
      <c r="AK4794" s="14"/>
      <c r="AL4794" s="14"/>
      <c r="AM4794" s="14"/>
      <c r="AN4794" s="14"/>
      <c r="AO4794" s="14"/>
      <c r="AP4794" s="14"/>
      <c r="AQ4794" s="14"/>
      <c r="AR4794" s="14"/>
      <c r="AS4794" s="14"/>
      <c r="AT4794" s="14"/>
      <c r="AU4794" s="14"/>
      <c r="AV4794" s="14"/>
      <c r="AW4794" s="15"/>
      <c r="AX4794" s="16"/>
    </row>
    <row r="4795" spans="2:51" x14ac:dyDescent="0.2">
      <c r="B4795" s="7"/>
      <c r="C4795" s="8">
        <v>15035</v>
      </c>
      <c r="D4795" s="9" t="s">
        <v>44</v>
      </c>
      <c r="E4795" s="10" t="str">
        <f t="shared" si="601"/>
        <v>Rancho Landero No. 14</v>
      </c>
      <c r="F4795" s="10" t="str">
        <f t="shared" si="602"/>
        <v xml:space="preserve">Castrejón  </v>
      </c>
      <c r="G4795" s="8">
        <v>1</v>
      </c>
      <c r="H4795" s="11">
        <v>1600</v>
      </c>
      <c r="I4795" s="12">
        <v>42988</v>
      </c>
      <c r="J4795" s="35">
        <f t="shared" si="603"/>
        <v>0</v>
      </c>
      <c r="K4795" s="36"/>
      <c r="L4795" s="36"/>
      <c r="M4795" s="36"/>
      <c r="N4795" s="36"/>
      <c r="O4795" s="36"/>
      <c r="P4795" s="36"/>
      <c r="Q4795" s="36"/>
      <c r="R4795" s="36"/>
      <c r="S4795" s="36"/>
      <c r="T4795" s="36"/>
      <c r="U4795" s="36"/>
      <c r="V4795" s="36"/>
      <c r="W4795" s="15">
        <f t="shared" si="604"/>
        <v>0</v>
      </c>
      <c r="X4795" s="36"/>
      <c r="Y4795" s="36"/>
      <c r="Z4795" s="36"/>
      <c r="AA4795" s="36"/>
      <c r="AB4795" s="36"/>
      <c r="AC4795" s="36"/>
      <c r="AD4795" s="36"/>
      <c r="AE4795" s="36">
        <v>400</v>
      </c>
      <c r="AF4795" s="36">
        <v>400</v>
      </c>
      <c r="AG4795" s="36">
        <v>400</v>
      </c>
      <c r="AH4795" s="36">
        <v>400</v>
      </c>
      <c r="AI4795" s="36"/>
      <c r="AJ4795" s="15">
        <f t="shared" si="605"/>
        <v>1600</v>
      </c>
      <c r="AK4795" s="14"/>
      <c r="AL4795" s="14"/>
      <c r="AM4795" s="14"/>
      <c r="AN4795" s="14"/>
      <c r="AO4795" s="14"/>
      <c r="AP4795" s="14"/>
      <c r="AQ4795" s="14"/>
      <c r="AR4795" s="14"/>
      <c r="AS4795" s="14"/>
      <c r="AT4795" s="14"/>
      <c r="AU4795" s="14"/>
      <c r="AV4795" s="14"/>
      <c r="AW4795" s="15"/>
      <c r="AX4795" s="16"/>
    </row>
    <row r="4796" spans="2:51" x14ac:dyDescent="0.2">
      <c r="B4796" s="7"/>
      <c r="C4796" s="8">
        <v>15036</v>
      </c>
      <c r="D4796" s="9" t="s">
        <v>407</v>
      </c>
      <c r="E4796" s="10" t="str">
        <f t="shared" si="601"/>
        <v>Rancho Estanzuela No. 99</v>
      </c>
      <c r="F4796" s="10" t="str">
        <f t="shared" si="602"/>
        <v>García López</v>
      </c>
      <c r="G4796" s="8">
        <v>1</v>
      </c>
      <c r="H4796" s="11">
        <v>400</v>
      </c>
      <c r="I4796" s="12">
        <v>42988</v>
      </c>
      <c r="J4796" s="35">
        <f t="shared" si="603"/>
        <v>0</v>
      </c>
      <c r="K4796" s="36"/>
      <c r="L4796" s="36"/>
      <c r="M4796" s="36"/>
      <c r="N4796" s="36"/>
      <c r="O4796" s="36"/>
      <c r="P4796" s="36"/>
      <c r="Q4796" s="36"/>
      <c r="R4796" s="36"/>
      <c r="S4796" s="36"/>
      <c r="T4796" s="36"/>
      <c r="U4796" s="36"/>
      <c r="V4796" s="36"/>
      <c r="W4796" s="15">
        <f t="shared" si="604"/>
        <v>0</v>
      </c>
      <c r="X4796" s="36"/>
      <c r="Y4796" s="36"/>
      <c r="Z4796" s="36"/>
      <c r="AA4796" s="36"/>
      <c r="AB4796" s="36"/>
      <c r="AC4796" s="36"/>
      <c r="AD4796" s="36"/>
      <c r="AE4796" s="36"/>
      <c r="AF4796" s="36">
        <v>400</v>
      </c>
      <c r="AG4796" s="36"/>
      <c r="AH4796" s="36"/>
      <c r="AI4796" s="36"/>
      <c r="AJ4796" s="15">
        <f t="shared" si="605"/>
        <v>400</v>
      </c>
      <c r="AK4796" s="14"/>
      <c r="AL4796" s="14"/>
      <c r="AM4796" s="14"/>
      <c r="AN4796" s="14"/>
      <c r="AO4796" s="14"/>
      <c r="AP4796" s="14"/>
      <c r="AQ4796" s="14"/>
      <c r="AR4796" s="14"/>
      <c r="AS4796" s="14"/>
      <c r="AT4796" s="14"/>
      <c r="AU4796" s="14"/>
      <c r="AV4796" s="14"/>
      <c r="AW4796" s="15"/>
      <c r="AX4796" s="16"/>
    </row>
    <row r="4797" spans="2:51" x14ac:dyDescent="0.2">
      <c r="B4797" s="7"/>
      <c r="C4797" s="8">
        <v>15037</v>
      </c>
      <c r="D4797" s="9" t="s">
        <v>476</v>
      </c>
      <c r="E4797" s="10" t="str">
        <f t="shared" si="601"/>
        <v>Rancho Upácuaro No. 33</v>
      </c>
      <c r="F4797" s="10" t="str">
        <f t="shared" si="602"/>
        <v>Ulloa Miranda</v>
      </c>
      <c r="G4797" s="8">
        <v>1</v>
      </c>
      <c r="H4797" s="11">
        <v>400</v>
      </c>
      <c r="I4797" s="12">
        <v>42988</v>
      </c>
      <c r="J4797" s="35">
        <f t="shared" si="603"/>
        <v>0</v>
      </c>
      <c r="K4797" s="36"/>
      <c r="L4797" s="36"/>
      <c r="M4797" s="36"/>
      <c r="N4797" s="36"/>
      <c r="O4797" s="36"/>
      <c r="P4797" s="36"/>
      <c r="Q4797" s="36"/>
      <c r="R4797" s="36"/>
      <c r="S4797" s="36"/>
      <c r="T4797" s="36"/>
      <c r="U4797" s="36"/>
      <c r="V4797" s="36"/>
      <c r="W4797" s="15">
        <f t="shared" si="604"/>
        <v>0</v>
      </c>
      <c r="X4797" s="36"/>
      <c r="Y4797" s="36"/>
      <c r="Z4797" s="36"/>
      <c r="AA4797" s="36"/>
      <c r="AB4797" s="36"/>
      <c r="AC4797" s="36"/>
      <c r="AD4797" s="36"/>
      <c r="AE4797" s="36"/>
      <c r="AF4797" s="36">
        <v>400</v>
      </c>
      <c r="AG4797" s="36"/>
      <c r="AH4797" s="36"/>
      <c r="AI4797" s="36"/>
      <c r="AJ4797" s="15">
        <f t="shared" si="605"/>
        <v>400</v>
      </c>
      <c r="AK4797" s="14"/>
      <c r="AL4797" s="14"/>
      <c r="AM4797" s="14"/>
      <c r="AN4797" s="14"/>
      <c r="AO4797" s="14"/>
      <c r="AP4797" s="14"/>
      <c r="AQ4797" s="14"/>
      <c r="AR4797" s="14"/>
      <c r="AS4797" s="14"/>
      <c r="AT4797" s="14"/>
      <c r="AU4797" s="14"/>
      <c r="AV4797" s="14"/>
      <c r="AW4797" s="15"/>
      <c r="AX4797" s="16"/>
    </row>
    <row r="4798" spans="2:51" x14ac:dyDescent="0.2">
      <c r="B4798" s="7"/>
      <c r="C4798" s="8">
        <v>15038</v>
      </c>
      <c r="D4798" s="9" t="s">
        <v>280</v>
      </c>
      <c r="E4798" s="10" t="str">
        <f t="shared" si="601"/>
        <v>Rancho La Cuchilla No. 40</v>
      </c>
      <c r="F4798" s="10" t="str">
        <f t="shared" si="602"/>
        <v>López Pico</v>
      </c>
      <c r="G4798" s="8">
        <v>1</v>
      </c>
      <c r="H4798" s="11">
        <v>400</v>
      </c>
      <c r="I4798" s="12">
        <v>42988</v>
      </c>
      <c r="J4798" s="35">
        <f t="shared" si="603"/>
        <v>0</v>
      </c>
      <c r="K4798" s="36"/>
      <c r="L4798" s="36"/>
      <c r="M4798" s="36"/>
      <c r="N4798" s="36"/>
      <c r="O4798" s="36"/>
      <c r="P4798" s="36"/>
      <c r="Q4798" s="36"/>
      <c r="R4798" s="36"/>
      <c r="S4798" s="36"/>
      <c r="T4798" s="36"/>
      <c r="U4798" s="36"/>
      <c r="V4798" s="36"/>
      <c r="W4798" s="15">
        <f t="shared" si="604"/>
        <v>0</v>
      </c>
      <c r="X4798" s="36"/>
      <c r="Y4798" s="36"/>
      <c r="Z4798" s="36"/>
      <c r="AA4798" s="36"/>
      <c r="AB4798" s="36"/>
      <c r="AC4798" s="36"/>
      <c r="AD4798" s="36"/>
      <c r="AE4798" s="36"/>
      <c r="AF4798" s="36">
        <v>400</v>
      </c>
      <c r="AG4798" s="36"/>
      <c r="AH4798" s="36"/>
      <c r="AI4798" s="36"/>
      <c r="AJ4798" s="15">
        <f t="shared" si="605"/>
        <v>400</v>
      </c>
      <c r="AK4798" s="14"/>
      <c r="AL4798" s="14"/>
      <c r="AM4798" s="14"/>
      <c r="AN4798" s="14"/>
      <c r="AO4798" s="14"/>
      <c r="AP4798" s="14"/>
      <c r="AQ4798" s="14"/>
      <c r="AR4798" s="14"/>
      <c r="AS4798" s="14"/>
      <c r="AT4798" s="14"/>
      <c r="AU4798" s="14"/>
      <c r="AV4798" s="14"/>
      <c r="AW4798" s="15"/>
      <c r="AX4798" s="16"/>
    </row>
    <row r="4799" spans="2:51" x14ac:dyDescent="0.2">
      <c r="B4799" s="7"/>
      <c r="C4799" s="8">
        <v>15039</v>
      </c>
      <c r="D4799" s="9" t="s">
        <v>625</v>
      </c>
      <c r="E4799" s="10" t="str">
        <f t="shared" si="601"/>
        <v>Rancho Upácuaro No. 60</v>
      </c>
      <c r="F4799" s="10" t="str">
        <f t="shared" si="602"/>
        <v>Zavala</v>
      </c>
      <c r="G4799" s="8">
        <v>1</v>
      </c>
      <c r="H4799" s="11">
        <v>400</v>
      </c>
      <c r="I4799" s="12">
        <v>42988</v>
      </c>
      <c r="J4799" s="35">
        <f t="shared" si="603"/>
        <v>0</v>
      </c>
      <c r="K4799" s="36"/>
      <c r="L4799" s="36"/>
      <c r="M4799" s="36"/>
      <c r="N4799" s="36"/>
      <c r="O4799" s="36"/>
      <c r="P4799" s="36"/>
      <c r="Q4799" s="36"/>
      <c r="R4799" s="36"/>
      <c r="S4799" s="36"/>
      <c r="T4799" s="36"/>
      <c r="U4799" s="36"/>
      <c r="V4799" s="36"/>
      <c r="W4799" s="15">
        <f t="shared" si="604"/>
        <v>0</v>
      </c>
      <c r="X4799" s="36"/>
      <c r="Y4799" s="36"/>
      <c r="Z4799" s="36"/>
      <c r="AA4799" s="36"/>
      <c r="AB4799" s="36"/>
      <c r="AC4799" s="36"/>
      <c r="AD4799" s="36"/>
      <c r="AE4799" s="36">
        <v>400</v>
      </c>
      <c r="AF4799" s="36"/>
      <c r="AG4799" s="36"/>
      <c r="AH4799" s="36"/>
      <c r="AI4799" s="36"/>
      <c r="AJ4799" s="15">
        <f t="shared" si="605"/>
        <v>400</v>
      </c>
      <c r="AK4799" s="14"/>
      <c r="AL4799" s="14"/>
      <c r="AM4799" s="14"/>
      <c r="AN4799" s="14"/>
      <c r="AO4799" s="14"/>
      <c r="AP4799" s="14"/>
      <c r="AQ4799" s="14"/>
      <c r="AR4799" s="14"/>
      <c r="AS4799" s="14"/>
      <c r="AT4799" s="14"/>
      <c r="AU4799" s="14"/>
      <c r="AV4799" s="14"/>
      <c r="AW4799" s="15"/>
      <c r="AX4799" s="16"/>
    </row>
    <row r="4800" spans="2:51" x14ac:dyDescent="0.2">
      <c r="B4800" s="7"/>
      <c r="C4800" s="8">
        <v>15040</v>
      </c>
      <c r="D4800" s="9" t="s">
        <v>655</v>
      </c>
      <c r="E4800" s="10" t="str">
        <f t="shared" si="601"/>
        <v>Rancho La Cuchilla No. 115</v>
      </c>
      <c r="F4800" s="10" t="str">
        <f t="shared" si="602"/>
        <v>Alfaro</v>
      </c>
      <c r="G4800" s="8">
        <v>1</v>
      </c>
      <c r="H4800" s="11">
        <v>1200</v>
      </c>
      <c r="I4800" s="12">
        <v>42988</v>
      </c>
      <c r="J4800" s="35">
        <f t="shared" si="603"/>
        <v>0</v>
      </c>
      <c r="K4800" s="36"/>
      <c r="L4800" s="36"/>
      <c r="M4800" s="36"/>
      <c r="N4800" s="36"/>
      <c r="O4800" s="36"/>
      <c r="P4800" s="36"/>
      <c r="Q4800" s="36"/>
      <c r="R4800" s="36"/>
      <c r="S4800" s="36"/>
      <c r="T4800" s="36"/>
      <c r="U4800" s="36"/>
      <c r="V4800" s="36"/>
      <c r="W4800" s="15">
        <f t="shared" si="604"/>
        <v>0</v>
      </c>
      <c r="X4800" s="36"/>
      <c r="Y4800" s="36"/>
      <c r="Z4800" s="36">
        <v>400</v>
      </c>
      <c r="AA4800" s="36">
        <v>400</v>
      </c>
      <c r="AB4800" s="36">
        <v>400</v>
      </c>
      <c r="AC4800" s="36"/>
      <c r="AD4800" s="36"/>
      <c r="AE4800" s="36"/>
      <c r="AF4800" s="36"/>
      <c r="AG4800" s="36"/>
      <c r="AH4800" s="36"/>
      <c r="AI4800" s="36"/>
      <c r="AJ4800" s="15">
        <f t="shared" si="605"/>
        <v>1200</v>
      </c>
      <c r="AK4800" s="14"/>
      <c r="AL4800" s="14"/>
      <c r="AM4800" s="14"/>
      <c r="AN4800" s="14"/>
      <c r="AO4800" s="14"/>
      <c r="AP4800" s="14"/>
      <c r="AQ4800" s="14"/>
      <c r="AR4800" s="14"/>
      <c r="AS4800" s="14"/>
      <c r="AT4800" s="14"/>
      <c r="AU4800" s="14"/>
      <c r="AV4800" s="14"/>
      <c r="AW4800" s="15"/>
      <c r="AX4800" s="16"/>
    </row>
    <row r="4801" spans="2:50" x14ac:dyDescent="0.2">
      <c r="B4801" s="7"/>
      <c r="C4801" s="8">
        <v>15041</v>
      </c>
      <c r="D4801" s="9" t="s">
        <v>307</v>
      </c>
      <c r="E4801" s="10" t="str">
        <f t="shared" si="601"/>
        <v>Rancho Landero No. 83</v>
      </c>
      <c r="F4801" s="10" t="str">
        <f t="shared" si="602"/>
        <v>Aguilar</v>
      </c>
      <c r="G4801" s="8">
        <v>1</v>
      </c>
      <c r="H4801" s="11">
        <v>350</v>
      </c>
      <c r="I4801" s="12">
        <v>42988</v>
      </c>
      <c r="J4801" s="35">
        <f t="shared" si="603"/>
        <v>0</v>
      </c>
      <c r="K4801" s="36"/>
      <c r="L4801" s="36"/>
      <c r="M4801" s="36"/>
      <c r="N4801" s="36"/>
      <c r="O4801" s="36"/>
      <c r="P4801" s="36"/>
      <c r="Q4801" s="36"/>
      <c r="R4801" s="36"/>
      <c r="S4801" s="36"/>
      <c r="T4801" s="36"/>
      <c r="U4801" s="36"/>
      <c r="V4801" s="36"/>
      <c r="W4801" s="15">
        <f t="shared" si="604"/>
        <v>0</v>
      </c>
      <c r="X4801" s="36"/>
      <c r="Y4801" s="36"/>
      <c r="Z4801" s="36"/>
      <c r="AA4801" s="36"/>
      <c r="AB4801" s="36"/>
      <c r="AC4801" s="36"/>
      <c r="AD4801" s="36"/>
      <c r="AE4801" s="36"/>
      <c r="AF4801" s="36">
        <v>350</v>
      </c>
      <c r="AG4801" s="36"/>
      <c r="AH4801" s="36"/>
      <c r="AI4801" s="36"/>
      <c r="AJ4801" s="15">
        <f t="shared" si="605"/>
        <v>350</v>
      </c>
      <c r="AK4801" s="14"/>
      <c r="AL4801" s="14"/>
      <c r="AM4801" s="14"/>
      <c r="AN4801" s="14"/>
      <c r="AO4801" s="14"/>
      <c r="AP4801" s="14"/>
      <c r="AQ4801" s="14"/>
      <c r="AR4801" s="14"/>
      <c r="AS4801" s="14"/>
      <c r="AT4801" s="14"/>
      <c r="AU4801" s="14"/>
      <c r="AV4801" s="14"/>
      <c r="AW4801" s="15"/>
      <c r="AX4801" s="16"/>
    </row>
    <row r="4802" spans="2:50" x14ac:dyDescent="0.2">
      <c r="B4802" s="7"/>
      <c r="C4802" s="8">
        <v>15042</v>
      </c>
      <c r="D4802" s="9" t="s">
        <v>395</v>
      </c>
      <c r="E4802" s="10" t="str">
        <f t="shared" si="601"/>
        <v>Rancho Landero No. 7</v>
      </c>
      <c r="F4802" s="10" t="str">
        <f t="shared" si="602"/>
        <v>Robles</v>
      </c>
      <c r="G4802" s="8">
        <v>1</v>
      </c>
      <c r="H4802" s="11">
        <v>200</v>
      </c>
      <c r="I4802" s="12">
        <v>42988</v>
      </c>
      <c r="J4802" s="35">
        <f t="shared" si="603"/>
        <v>0</v>
      </c>
      <c r="K4802" s="36"/>
      <c r="L4802" s="36"/>
      <c r="M4802" s="36"/>
      <c r="N4802" s="36"/>
      <c r="O4802" s="36"/>
      <c r="P4802" s="36"/>
      <c r="Q4802" s="36"/>
      <c r="R4802" s="36"/>
      <c r="S4802" s="36"/>
      <c r="T4802" s="36"/>
      <c r="U4802" s="36"/>
      <c r="V4802" s="36"/>
      <c r="W4802" s="15">
        <f t="shared" si="604"/>
        <v>0</v>
      </c>
      <c r="X4802" s="36"/>
      <c r="Y4802" s="36"/>
      <c r="Z4802" s="36"/>
      <c r="AA4802" s="36"/>
      <c r="AB4802" s="36"/>
      <c r="AC4802" s="36"/>
      <c r="AD4802" s="36"/>
      <c r="AE4802" s="36"/>
      <c r="AF4802" s="36">
        <v>200</v>
      </c>
      <c r="AG4802" s="36"/>
      <c r="AH4802" s="36"/>
      <c r="AI4802" s="36"/>
      <c r="AJ4802" s="15">
        <f t="shared" si="605"/>
        <v>200</v>
      </c>
      <c r="AK4802" s="14"/>
      <c r="AL4802" s="14"/>
      <c r="AM4802" s="14"/>
      <c r="AN4802" s="14"/>
      <c r="AO4802" s="14"/>
      <c r="AP4802" s="14"/>
      <c r="AQ4802" s="14"/>
      <c r="AR4802" s="14"/>
      <c r="AS4802" s="14"/>
      <c r="AT4802" s="14"/>
      <c r="AU4802" s="14"/>
      <c r="AV4802" s="14"/>
      <c r="AW4802" s="15"/>
      <c r="AX4802" s="16"/>
    </row>
    <row r="4803" spans="2:50" x14ac:dyDescent="0.2">
      <c r="B4803" s="7"/>
      <c r="C4803" s="8">
        <v>15043</v>
      </c>
      <c r="D4803" s="9" t="s">
        <v>950</v>
      </c>
      <c r="E4803" s="10" t="str">
        <f t="shared" si="601"/>
        <v>Rancho La Cuchilla No. 93</v>
      </c>
      <c r="F4803" s="10" t="str">
        <f t="shared" si="602"/>
        <v>Alcántara Silva</v>
      </c>
      <c r="G4803" s="8">
        <v>1</v>
      </c>
      <c r="H4803" s="11">
        <v>1200</v>
      </c>
      <c r="I4803" s="12">
        <v>42988</v>
      </c>
      <c r="J4803" s="35">
        <f t="shared" si="603"/>
        <v>0</v>
      </c>
      <c r="K4803" s="36"/>
      <c r="L4803" s="36"/>
      <c r="M4803" s="36"/>
      <c r="N4803" s="36"/>
      <c r="O4803" s="36"/>
      <c r="P4803" s="36"/>
      <c r="Q4803" s="36"/>
      <c r="R4803" s="36"/>
      <c r="S4803" s="36"/>
      <c r="T4803" s="36"/>
      <c r="U4803" s="36"/>
      <c r="V4803" s="36"/>
      <c r="W4803" s="15">
        <f t="shared" si="604"/>
        <v>0</v>
      </c>
      <c r="X4803" s="36"/>
      <c r="Y4803" s="36"/>
      <c r="Z4803" s="36"/>
      <c r="AA4803" s="36"/>
      <c r="AB4803" s="36">
        <v>400</v>
      </c>
      <c r="AC4803" s="36">
        <v>400</v>
      </c>
      <c r="AD4803" s="36">
        <v>400</v>
      </c>
      <c r="AE4803" s="36"/>
      <c r="AF4803" s="36"/>
      <c r="AG4803" s="36"/>
      <c r="AH4803" s="36"/>
      <c r="AI4803" s="36"/>
      <c r="AJ4803" s="15">
        <f t="shared" si="605"/>
        <v>1200</v>
      </c>
      <c r="AK4803" s="14"/>
      <c r="AL4803" s="14"/>
      <c r="AM4803" s="14"/>
      <c r="AN4803" s="14"/>
      <c r="AO4803" s="14"/>
      <c r="AP4803" s="14"/>
      <c r="AQ4803" s="14"/>
      <c r="AR4803" s="14"/>
      <c r="AS4803" s="14"/>
      <c r="AT4803" s="14"/>
      <c r="AU4803" s="14"/>
      <c r="AV4803" s="14"/>
      <c r="AW4803" s="15"/>
      <c r="AX4803" s="16"/>
    </row>
    <row r="4804" spans="2:50" x14ac:dyDescent="0.2">
      <c r="B4804" s="7"/>
      <c r="C4804" s="8">
        <v>15044</v>
      </c>
      <c r="D4804" s="9" t="s">
        <v>268</v>
      </c>
      <c r="E4804" s="10" t="str">
        <f t="shared" si="601"/>
        <v>Rancho Landero No. 90</v>
      </c>
      <c r="F4804" s="10" t="str">
        <f t="shared" si="602"/>
        <v>Córdova Reséndiz</v>
      </c>
      <c r="G4804" s="8">
        <v>1</v>
      </c>
      <c r="H4804" s="11">
        <v>300</v>
      </c>
      <c r="I4804" s="12">
        <v>42988</v>
      </c>
      <c r="J4804" s="35">
        <f t="shared" si="603"/>
        <v>0</v>
      </c>
      <c r="K4804" s="36"/>
      <c r="L4804" s="36"/>
      <c r="M4804" s="36"/>
      <c r="N4804" s="36"/>
      <c r="O4804" s="36"/>
      <c r="P4804" s="36"/>
      <c r="Q4804" s="36"/>
      <c r="R4804" s="36"/>
      <c r="S4804" s="36"/>
      <c r="T4804" s="36"/>
      <c r="U4804" s="36"/>
      <c r="V4804" s="36"/>
      <c r="W4804" s="15">
        <f t="shared" si="604"/>
        <v>0</v>
      </c>
      <c r="X4804" s="36"/>
      <c r="Y4804" s="36"/>
      <c r="Z4804" s="36"/>
      <c r="AA4804" s="36"/>
      <c r="AB4804" s="36"/>
      <c r="AC4804" s="36"/>
      <c r="AD4804" s="36"/>
      <c r="AE4804" s="36"/>
      <c r="AF4804" s="36">
        <v>300</v>
      </c>
      <c r="AG4804" s="36"/>
      <c r="AH4804" s="36"/>
      <c r="AI4804" s="36"/>
      <c r="AJ4804" s="15">
        <f t="shared" si="605"/>
        <v>300</v>
      </c>
      <c r="AK4804" s="14"/>
      <c r="AL4804" s="14"/>
      <c r="AM4804" s="14"/>
      <c r="AN4804" s="14"/>
      <c r="AO4804" s="14"/>
      <c r="AP4804" s="14"/>
      <c r="AQ4804" s="14"/>
      <c r="AR4804" s="14"/>
      <c r="AS4804" s="14"/>
      <c r="AT4804" s="14"/>
      <c r="AU4804" s="14"/>
      <c r="AV4804" s="14"/>
      <c r="AW4804" s="15"/>
      <c r="AX4804" s="16"/>
    </row>
    <row r="4805" spans="2:50" x14ac:dyDescent="0.2">
      <c r="B4805" s="7"/>
      <c r="C4805" s="8">
        <v>15045</v>
      </c>
      <c r="D4805" s="9" t="s">
        <v>253</v>
      </c>
      <c r="E4805" s="10" t="str">
        <f t="shared" si="601"/>
        <v>Rancho Upácuaro No. 75</v>
      </c>
      <c r="F4805" s="10" t="str">
        <f t="shared" si="602"/>
        <v>Montaño Zetina</v>
      </c>
      <c r="G4805" s="8">
        <v>3</v>
      </c>
      <c r="H4805" s="11">
        <v>200</v>
      </c>
      <c r="I4805" s="12">
        <v>42988</v>
      </c>
      <c r="J4805" s="35">
        <f t="shared" si="603"/>
        <v>0</v>
      </c>
      <c r="K4805" s="36"/>
      <c r="L4805" s="36"/>
      <c r="M4805" s="36"/>
      <c r="N4805" s="36"/>
      <c r="O4805" s="36"/>
      <c r="P4805" s="36"/>
      <c r="Q4805" s="36"/>
      <c r="R4805" s="36"/>
      <c r="S4805" s="36"/>
      <c r="T4805" s="36"/>
      <c r="U4805" s="36"/>
      <c r="V4805" s="36"/>
      <c r="W4805" s="15">
        <f t="shared" si="604"/>
        <v>0</v>
      </c>
      <c r="X4805" s="36"/>
      <c r="Y4805" s="36"/>
      <c r="Z4805" s="36"/>
      <c r="AA4805" s="36"/>
      <c r="AB4805" s="36"/>
      <c r="AC4805" s="36"/>
      <c r="AD4805" s="36"/>
      <c r="AE4805" s="36"/>
      <c r="AF4805" s="36"/>
      <c r="AG4805" s="36"/>
      <c r="AH4805" s="36"/>
      <c r="AI4805" s="36"/>
      <c r="AJ4805" s="15">
        <f t="shared" si="605"/>
        <v>0</v>
      </c>
      <c r="AK4805" s="14"/>
      <c r="AL4805" s="14"/>
      <c r="AM4805" s="14"/>
      <c r="AN4805" s="14"/>
      <c r="AO4805" s="14"/>
      <c r="AP4805" s="14"/>
      <c r="AQ4805" s="14"/>
      <c r="AR4805" s="14"/>
      <c r="AS4805" s="14"/>
      <c r="AT4805" s="14"/>
      <c r="AU4805" s="14"/>
      <c r="AV4805" s="14"/>
      <c r="AW4805" s="15"/>
      <c r="AX4805" s="16"/>
    </row>
    <row r="4806" spans="2:50" x14ac:dyDescent="0.2">
      <c r="B4806" s="7"/>
      <c r="C4806" s="8">
        <v>15046</v>
      </c>
      <c r="D4806" s="9" t="s">
        <v>325</v>
      </c>
      <c r="E4806" s="10" t="str">
        <f t="shared" si="601"/>
        <v>Rancho Upácuaro No. 120</v>
      </c>
      <c r="F4806" s="10" t="str">
        <f t="shared" si="602"/>
        <v>Rayas Rivera</v>
      </c>
      <c r="G4806" s="8">
        <v>1</v>
      </c>
      <c r="H4806" s="11">
        <v>400</v>
      </c>
      <c r="I4806" s="12">
        <v>42988</v>
      </c>
      <c r="J4806" s="35">
        <f t="shared" si="603"/>
        <v>0</v>
      </c>
      <c r="K4806" s="36"/>
      <c r="L4806" s="36"/>
      <c r="M4806" s="36"/>
      <c r="N4806" s="36"/>
      <c r="O4806" s="36"/>
      <c r="P4806" s="36"/>
      <c r="Q4806" s="36"/>
      <c r="R4806" s="36"/>
      <c r="S4806" s="36"/>
      <c r="T4806" s="36"/>
      <c r="U4806" s="36"/>
      <c r="V4806" s="36"/>
      <c r="W4806" s="15">
        <f t="shared" si="604"/>
        <v>0</v>
      </c>
      <c r="X4806" s="36"/>
      <c r="Y4806" s="36"/>
      <c r="Z4806" s="36"/>
      <c r="AA4806" s="36"/>
      <c r="AB4806" s="36"/>
      <c r="AC4806" s="36"/>
      <c r="AD4806" s="36"/>
      <c r="AE4806" s="36"/>
      <c r="AF4806" s="36">
        <v>400</v>
      </c>
      <c r="AG4806" s="36"/>
      <c r="AH4806" s="36"/>
      <c r="AI4806" s="36"/>
      <c r="AJ4806" s="15">
        <f t="shared" si="605"/>
        <v>400</v>
      </c>
      <c r="AK4806" s="14"/>
      <c r="AL4806" s="14"/>
      <c r="AM4806" s="14"/>
      <c r="AN4806" s="14"/>
      <c r="AO4806" s="14"/>
      <c r="AP4806" s="14"/>
      <c r="AQ4806" s="14"/>
      <c r="AR4806" s="14"/>
      <c r="AS4806" s="14"/>
      <c r="AT4806" s="14"/>
      <c r="AU4806" s="14"/>
      <c r="AV4806" s="14"/>
      <c r="AW4806" s="15"/>
      <c r="AX4806" s="16"/>
    </row>
    <row r="4807" spans="2:50" x14ac:dyDescent="0.2">
      <c r="B4807" s="7"/>
      <c r="C4807" s="8">
        <v>15047</v>
      </c>
      <c r="D4807" s="9" t="s">
        <v>544</v>
      </c>
      <c r="E4807" s="10" t="str">
        <f t="shared" si="601"/>
        <v>Rancho Estanzuela No. 89</v>
      </c>
      <c r="F4807" s="10" t="str">
        <f t="shared" si="602"/>
        <v>Romero Ortiz</v>
      </c>
      <c r="G4807" s="8">
        <v>1</v>
      </c>
      <c r="H4807" s="11">
        <v>400</v>
      </c>
      <c r="I4807" s="12">
        <v>42988</v>
      </c>
      <c r="J4807" s="35">
        <f t="shared" si="603"/>
        <v>0</v>
      </c>
      <c r="K4807" s="36"/>
      <c r="L4807" s="36"/>
      <c r="M4807" s="36"/>
      <c r="N4807" s="36"/>
      <c r="O4807" s="36"/>
      <c r="P4807" s="36"/>
      <c r="Q4807" s="36"/>
      <c r="R4807" s="36"/>
      <c r="S4807" s="36"/>
      <c r="T4807" s="36"/>
      <c r="U4807" s="36"/>
      <c r="V4807" s="36"/>
      <c r="W4807" s="15">
        <f t="shared" si="604"/>
        <v>0</v>
      </c>
      <c r="X4807" s="36"/>
      <c r="Y4807" s="36"/>
      <c r="Z4807" s="36"/>
      <c r="AA4807" s="36"/>
      <c r="AB4807" s="36"/>
      <c r="AC4807" s="36"/>
      <c r="AD4807" s="36"/>
      <c r="AE4807" s="36"/>
      <c r="AF4807" s="36">
        <v>400</v>
      </c>
      <c r="AG4807" s="36"/>
      <c r="AH4807" s="36"/>
      <c r="AI4807" s="36"/>
      <c r="AJ4807" s="15">
        <f t="shared" si="605"/>
        <v>400</v>
      </c>
      <c r="AK4807" s="14"/>
      <c r="AL4807" s="14"/>
      <c r="AM4807" s="14"/>
      <c r="AN4807" s="14"/>
      <c r="AO4807" s="14"/>
      <c r="AP4807" s="14"/>
      <c r="AQ4807" s="14"/>
      <c r="AR4807" s="14"/>
      <c r="AS4807" s="14"/>
      <c r="AT4807" s="14"/>
      <c r="AU4807" s="14"/>
      <c r="AV4807" s="14"/>
      <c r="AW4807" s="15"/>
      <c r="AX4807" s="16"/>
    </row>
    <row r="4808" spans="2:50" x14ac:dyDescent="0.2">
      <c r="B4808" s="7"/>
      <c r="C4808" s="8">
        <v>15048</v>
      </c>
      <c r="D4808" s="9" t="s">
        <v>241</v>
      </c>
      <c r="E4808" s="10" t="str">
        <f t="shared" si="601"/>
        <v>Rancho La Cuchilla No. 81, A</v>
      </c>
      <c r="F4808" s="10" t="str">
        <f t="shared" si="602"/>
        <v>Barrientos López</v>
      </c>
      <c r="G4808" s="8">
        <v>1</v>
      </c>
      <c r="H4808" s="11">
        <v>400</v>
      </c>
      <c r="I4808" s="12">
        <v>42988</v>
      </c>
      <c r="J4808" s="35">
        <f t="shared" si="603"/>
        <v>0</v>
      </c>
      <c r="K4808" s="36"/>
      <c r="L4808" s="36"/>
      <c r="M4808" s="36"/>
      <c r="N4808" s="36"/>
      <c r="O4808" s="36"/>
      <c r="P4808" s="36"/>
      <c r="Q4808" s="36"/>
      <c r="R4808" s="36"/>
      <c r="S4808" s="36"/>
      <c r="T4808" s="36"/>
      <c r="U4808" s="36"/>
      <c r="V4808" s="36"/>
      <c r="W4808" s="15">
        <f t="shared" si="604"/>
        <v>0</v>
      </c>
      <c r="X4808" s="36"/>
      <c r="Y4808" s="36"/>
      <c r="Z4808" s="36"/>
      <c r="AA4808" s="36"/>
      <c r="AB4808" s="36"/>
      <c r="AC4808" s="36"/>
      <c r="AD4808" s="36"/>
      <c r="AE4808" s="36"/>
      <c r="AF4808" s="36">
        <v>400</v>
      </c>
      <c r="AG4808" s="36"/>
      <c r="AH4808" s="36"/>
      <c r="AI4808" s="36"/>
      <c r="AJ4808" s="15">
        <f t="shared" si="605"/>
        <v>400</v>
      </c>
      <c r="AK4808" s="14"/>
      <c r="AL4808" s="14"/>
      <c r="AM4808" s="14"/>
      <c r="AN4808" s="14"/>
      <c r="AO4808" s="14"/>
      <c r="AP4808" s="14"/>
      <c r="AQ4808" s="14"/>
      <c r="AR4808" s="14"/>
      <c r="AS4808" s="14"/>
      <c r="AT4808" s="14"/>
      <c r="AU4808" s="14"/>
      <c r="AV4808" s="14"/>
      <c r="AW4808" s="15"/>
      <c r="AX4808" s="16"/>
    </row>
    <row r="4809" spans="2:50" x14ac:dyDescent="0.2">
      <c r="B4809" s="7"/>
      <c r="C4809" s="8">
        <v>15049</v>
      </c>
      <c r="D4809" s="9" t="s">
        <v>437</v>
      </c>
      <c r="E4809" s="10" t="str">
        <f t="shared" si="601"/>
        <v>Rancho Upácuaro No. 47</v>
      </c>
      <c r="F4809" s="10" t="str">
        <f t="shared" si="602"/>
        <v>Flores Muñoz</v>
      </c>
      <c r="G4809" s="8">
        <v>1</v>
      </c>
      <c r="H4809" s="11">
        <v>400</v>
      </c>
      <c r="I4809" s="12">
        <v>42988</v>
      </c>
      <c r="J4809" s="35">
        <f t="shared" si="603"/>
        <v>0</v>
      </c>
      <c r="K4809" s="36"/>
      <c r="L4809" s="36"/>
      <c r="M4809" s="36"/>
      <c r="N4809" s="36"/>
      <c r="O4809" s="36"/>
      <c r="P4809" s="36"/>
      <c r="Q4809" s="36"/>
      <c r="R4809" s="36"/>
      <c r="S4809" s="36"/>
      <c r="T4809" s="36"/>
      <c r="U4809" s="36"/>
      <c r="V4809" s="36"/>
      <c r="W4809" s="15">
        <f t="shared" si="604"/>
        <v>0</v>
      </c>
      <c r="X4809" s="36"/>
      <c r="Y4809" s="36"/>
      <c r="Z4809" s="36"/>
      <c r="AA4809" s="36"/>
      <c r="AB4809" s="36"/>
      <c r="AC4809" s="36"/>
      <c r="AD4809" s="36"/>
      <c r="AE4809" s="36"/>
      <c r="AF4809" s="36">
        <v>400</v>
      </c>
      <c r="AG4809" s="36"/>
      <c r="AH4809" s="36"/>
      <c r="AI4809" s="36"/>
      <c r="AJ4809" s="15">
        <f t="shared" si="605"/>
        <v>400</v>
      </c>
      <c r="AK4809" s="14"/>
      <c r="AL4809" s="14"/>
      <c r="AM4809" s="14"/>
      <c r="AN4809" s="14"/>
      <c r="AO4809" s="14"/>
      <c r="AP4809" s="14"/>
      <c r="AQ4809" s="14"/>
      <c r="AR4809" s="14"/>
      <c r="AS4809" s="14"/>
      <c r="AT4809" s="14"/>
      <c r="AU4809" s="14"/>
      <c r="AV4809" s="14"/>
      <c r="AW4809" s="15"/>
      <c r="AX4809" s="16"/>
    </row>
    <row r="4810" spans="2:50" x14ac:dyDescent="0.2">
      <c r="B4810" s="7"/>
      <c r="C4810" s="8">
        <v>15050</v>
      </c>
      <c r="D4810" s="9" t="s">
        <v>1299</v>
      </c>
      <c r="E4810" s="10" t="str">
        <f t="shared" si="601"/>
        <v>Rancho La Cuchilla No. 107</v>
      </c>
      <c r="F4810" s="10" t="str">
        <f t="shared" si="602"/>
        <v>Quiñones, Eduardo</v>
      </c>
      <c r="G4810" s="8">
        <v>1</v>
      </c>
      <c r="H4810" s="11">
        <v>800</v>
      </c>
      <c r="I4810" s="12">
        <v>42988</v>
      </c>
      <c r="J4810" s="35">
        <f t="shared" si="603"/>
        <v>0</v>
      </c>
      <c r="K4810" s="36"/>
      <c r="L4810" s="36"/>
      <c r="M4810" s="36"/>
      <c r="N4810" s="36"/>
      <c r="O4810" s="36"/>
      <c r="P4810" s="36"/>
      <c r="Q4810" s="36"/>
      <c r="R4810" s="36"/>
      <c r="S4810" s="36"/>
      <c r="T4810" s="36"/>
      <c r="U4810" s="36"/>
      <c r="V4810" s="36"/>
      <c r="W4810" s="15">
        <f t="shared" si="604"/>
        <v>0</v>
      </c>
      <c r="X4810" s="36"/>
      <c r="Y4810" s="36"/>
      <c r="Z4810" s="36"/>
      <c r="AA4810" s="36"/>
      <c r="AB4810" s="36"/>
      <c r="AC4810" s="36"/>
      <c r="AD4810" s="36"/>
      <c r="AE4810" s="36">
        <v>400</v>
      </c>
      <c r="AF4810" s="36">
        <v>400</v>
      </c>
      <c r="AG4810" s="36"/>
      <c r="AH4810" s="36"/>
      <c r="AI4810" s="36"/>
      <c r="AJ4810" s="15">
        <f t="shared" si="605"/>
        <v>800</v>
      </c>
      <c r="AK4810" s="14"/>
      <c r="AL4810" s="14"/>
      <c r="AM4810" s="14"/>
      <c r="AN4810" s="14"/>
      <c r="AO4810" s="14"/>
      <c r="AP4810" s="14"/>
      <c r="AQ4810" s="14"/>
      <c r="AR4810" s="14"/>
      <c r="AS4810" s="14"/>
      <c r="AT4810" s="14"/>
      <c r="AU4810" s="14"/>
      <c r="AV4810" s="14"/>
      <c r="AW4810" s="15"/>
      <c r="AX4810" s="16"/>
    </row>
    <row r="4811" spans="2:50" x14ac:dyDescent="0.2">
      <c r="B4811" s="7"/>
      <c r="C4811" s="8">
        <v>15051</v>
      </c>
      <c r="D4811" s="9" t="s">
        <v>583</v>
      </c>
      <c r="E4811" s="10" t="str">
        <f t="shared" si="601"/>
        <v>Rancho La Cuchilla No. 111</v>
      </c>
      <c r="F4811" s="10" t="str">
        <f t="shared" si="602"/>
        <v>García Santos Ofelia</v>
      </c>
      <c r="G4811" s="8">
        <v>1</v>
      </c>
      <c r="H4811" s="11">
        <v>200</v>
      </c>
      <c r="I4811" s="12">
        <v>42988</v>
      </c>
      <c r="J4811" s="35">
        <f t="shared" si="603"/>
        <v>0</v>
      </c>
      <c r="K4811" s="36"/>
      <c r="L4811" s="36"/>
      <c r="M4811" s="36"/>
      <c r="N4811" s="36"/>
      <c r="O4811" s="36"/>
      <c r="P4811" s="36"/>
      <c r="Q4811" s="36"/>
      <c r="R4811" s="36"/>
      <c r="S4811" s="36"/>
      <c r="T4811" s="36"/>
      <c r="U4811" s="36"/>
      <c r="V4811" s="36"/>
      <c r="W4811" s="15">
        <f t="shared" si="604"/>
        <v>0</v>
      </c>
      <c r="X4811" s="36"/>
      <c r="Y4811" s="36"/>
      <c r="Z4811" s="36"/>
      <c r="AA4811" s="36"/>
      <c r="AB4811" s="36"/>
      <c r="AC4811" s="36"/>
      <c r="AD4811" s="36"/>
      <c r="AE4811" s="36"/>
      <c r="AF4811" s="36">
        <v>200</v>
      </c>
      <c r="AG4811" s="36"/>
      <c r="AH4811" s="36"/>
      <c r="AI4811" s="36"/>
      <c r="AJ4811" s="15">
        <f t="shared" si="605"/>
        <v>200</v>
      </c>
      <c r="AK4811" s="14"/>
      <c r="AL4811" s="14"/>
      <c r="AM4811" s="14"/>
      <c r="AN4811" s="14"/>
      <c r="AO4811" s="14"/>
      <c r="AP4811" s="14"/>
      <c r="AQ4811" s="14"/>
      <c r="AR4811" s="14"/>
      <c r="AS4811" s="14"/>
      <c r="AT4811" s="14"/>
      <c r="AU4811" s="14"/>
      <c r="AV4811" s="14"/>
      <c r="AW4811" s="15"/>
      <c r="AX4811" s="16"/>
    </row>
    <row r="4812" spans="2:50" x14ac:dyDescent="0.2">
      <c r="B4812" s="7"/>
      <c r="C4812" s="8">
        <v>15052</v>
      </c>
      <c r="D4812" s="9" t="s">
        <v>434</v>
      </c>
      <c r="E4812" s="10" t="str">
        <f t="shared" si="601"/>
        <v>Rancho La Cuchilla No. 55</v>
      </c>
      <c r="F4812" s="10" t="str">
        <f t="shared" si="602"/>
        <v>López Velázquez</v>
      </c>
      <c r="G4812" s="8">
        <v>1</v>
      </c>
      <c r="H4812" s="11">
        <v>800</v>
      </c>
      <c r="I4812" s="12">
        <v>42988</v>
      </c>
      <c r="J4812" s="35">
        <f t="shared" si="603"/>
        <v>0</v>
      </c>
      <c r="K4812" s="36"/>
      <c r="L4812" s="36"/>
      <c r="M4812" s="36"/>
      <c r="N4812" s="36"/>
      <c r="O4812" s="36"/>
      <c r="P4812" s="36"/>
      <c r="Q4812" s="36"/>
      <c r="R4812" s="36"/>
      <c r="S4812" s="36"/>
      <c r="T4812" s="36"/>
      <c r="U4812" s="36"/>
      <c r="V4812" s="36"/>
      <c r="W4812" s="15">
        <f t="shared" si="604"/>
        <v>0</v>
      </c>
      <c r="X4812" s="36"/>
      <c r="Y4812" s="36"/>
      <c r="Z4812" s="36"/>
      <c r="AA4812" s="36"/>
      <c r="AB4812" s="36"/>
      <c r="AC4812" s="36"/>
      <c r="AD4812" s="36"/>
      <c r="AE4812" s="36"/>
      <c r="AF4812" s="36">
        <v>400</v>
      </c>
      <c r="AG4812" s="36">
        <v>400</v>
      </c>
      <c r="AH4812" s="36"/>
      <c r="AI4812" s="36"/>
      <c r="AJ4812" s="15">
        <f t="shared" si="605"/>
        <v>800</v>
      </c>
      <c r="AK4812" s="14"/>
      <c r="AL4812" s="14"/>
      <c r="AM4812" s="14"/>
      <c r="AN4812" s="14"/>
      <c r="AO4812" s="14"/>
      <c r="AP4812" s="14"/>
      <c r="AQ4812" s="14"/>
      <c r="AR4812" s="14"/>
      <c r="AS4812" s="14"/>
      <c r="AT4812" s="14"/>
      <c r="AU4812" s="14"/>
      <c r="AV4812" s="14"/>
      <c r="AW4812" s="15"/>
      <c r="AX4812" s="16"/>
    </row>
    <row r="4813" spans="2:50" x14ac:dyDescent="0.2">
      <c r="B4813" s="7"/>
      <c r="C4813" s="8">
        <v>15053</v>
      </c>
      <c r="D4813" s="9" t="s">
        <v>473</v>
      </c>
      <c r="E4813" s="10" t="str">
        <f t="shared" si="601"/>
        <v>Rancho Zinamba No. 14</v>
      </c>
      <c r="F4813" s="10" t="str">
        <f t="shared" si="602"/>
        <v>Gutiérrez García</v>
      </c>
      <c r="G4813" s="8">
        <v>3</v>
      </c>
      <c r="H4813" s="11">
        <v>200</v>
      </c>
      <c r="I4813" s="12">
        <v>42988</v>
      </c>
      <c r="J4813" s="35">
        <f t="shared" si="603"/>
        <v>0</v>
      </c>
      <c r="K4813" s="36"/>
      <c r="L4813" s="36"/>
      <c r="M4813" s="36"/>
      <c r="N4813" s="36"/>
      <c r="O4813" s="36"/>
      <c r="P4813" s="36"/>
      <c r="Q4813" s="36"/>
      <c r="R4813" s="36"/>
      <c r="S4813" s="36"/>
      <c r="T4813" s="36"/>
      <c r="U4813" s="36"/>
      <c r="V4813" s="36"/>
      <c r="W4813" s="15">
        <f t="shared" si="604"/>
        <v>0</v>
      </c>
      <c r="X4813" s="36"/>
      <c r="Y4813" s="36"/>
      <c r="Z4813" s="36"/>
      <c r="AA4813" s="36"/>
      <c r="AB4813" s="36"/>
      <c r="AC4813" s="36"/>
      <c r="AD4813" s="36"/>
      <c r="AE4813" s="36"/>
      <c r="AF4813" s="36"/>
      <c r="AG4813" s="36"/>
      <c r="AH4813" s="36"/>
      <c r="AI4813" s="36"/>
      <c r="AJ4813" s="15">
        <f t="shared" si="605"/>
        <v>0</v>
      </c>
      <c r="AK4813" s="14"/>
      <c r="AL4813" s="14"/>
      <c r="AM4813" s="14"/>
      <c r="AN4813" s="14"/>
      <c r="AO4813" s="14"/>
      <c r="AP4813" s="14"/>
      <c r="AQ4813" s="14"/>
      <c r="AR4813" s="14"/>
      <c r="AS4813" s="14"/>
      <c r="AT4813" s="14"/>
      <c r="AU4813" s="14"/>
      <c r="AV4813" s="14"/>
      <c r="AW4813" s="15"/>
      <c r="AX4813" s="16"/>
    </row>
    <row r="4814" spans="2:50" x14ac:dyDescent="0.2">
      <c r="B4814" s="7"/>
      <c r="C4814" s="8">
        <v>15054</v>
      </c>
      <c r="D4814" s="9" t="s">
        <v>168</v>
      </c>
      <c r="E4814" s="10" t="str">
        <f t="shared" si="601"/>
        <v>Rancho Upácuaro No. 73, A</v>
      </c>
      <c r="F4814" s="10" t="str">
        <f t="shared" si="602"/>
        <v>Ortega</v>
      </c>
      <c r="G4814" s="8">
        <v>1</v>
      </c>
      <c r="H4814" s="11">
        <v>400</v>
      </c>
      <c r="I4814" s="12">
        <v>42988</v>
      </c>
      <c r="J4814" s="35">
        <f t="shared" si="603"/>
        <v>0</v>
      </c>
      <c r="K4814" s="36"/>
      <c r="L4814" s="36"/>
      <c r="M4814" s="36"/>
      <c r="N4814" s="36"/>
      <c r="O4814" s="36"/>
      <c r="P4814" s="36"/>
      <c r="Q4814" s="36"/>
      <c r="R4814" s="36"/>
      <c r="S4814" s="36"/>
      <c r="T4814" s="36"/>
      <c r="U4814" s="36"/>
      <c r="V4814" s="36"/>
      <c r="W4814" s="15">
        <f t="shared" si="604"/>
        <v>0</v>
      </c>
      <c r="X4814" s="36"/>
      <c r="Y4814" s="36"/>
      <c r="Z4814" s="36"/>
      <c r="AA4814" s="36"/>
      <c r="AB4814" s="36"/>
      <c r="AC4814" s="36"/>
      <c r="AD4814" s="36">
        <v>200</v>
      </c>
      <c r="AE4814" s="36">
        <v>200</v>
      </c>
      <c r="AF4814" s="36"/>
      <c r="AG4814" s="36"/>
      <c r="AH4814" s="36"/>
      <c r="AI4814" s="36"/>
      <c r="AJ4814" s="15">
        <f t="shared" si="605"/>
        <v>400</v>
      </c>
      <c r="AK4814" s="14"/>
      <c r="AL4814" s="14"/>
      <c r="AM4814" s="14"/>
      <c r="AN4814" s="14"/>
      <c r="AO4814" s="14"/>
      <c r="AP4814" s="14"/>
      <c r="AQ4814" s="14"/>
      <c r="AR4814" s="14"/>
      <c r="AS4814" s="14"/>
      <c r="AT4814" s="14"/>
      <c r="AU4814" s="14"/>
      <c r="AV4814" s="14"/>
      <c r="AW4814" s="15"/>
      <c r="AX4814" s="16"/>
    </row>
    <row r="4815" spans="2:50" x14ac:dyDescent="0.2">
      <c r="B4815" s="7"/>
      <c r="C4815" s="8">
        <v>15055</v>
      </c>
      <c r="D4815" s="9" t="s">
        <v>1073</v>
      </c>
      <c r="E4815" s="10" t="str">
        <f t="shared" si="601"/>
        <v>Rancho Upácuaro No. 96</v>
      </c>
      <c r="F4815" s="10" t="str">
        <f t="shared" si="602"/>
        <v>Daza Gutiérrez</v>
      </c>
      <c r="G4815" s="8">
        <v>1</v>
      </c>
      <c r="H4815" s="11">
        <v>2800</v>
      </c>
      <c r="I4815" s="12">
        <v>42988</v>
      </c>
      <c r="J4815" s="35">
        <f t="shared" si="603"/>
        <v>0</v>
      </c>
      <c r="K4815" s="36"/>
      <c r="L4815" s="36"/>
      <c r="M4815" s="36"/>
      <c r="N4815" s="36"/>
      <c r="O4815" s="36"/>
      <c r="P4815" s="36"/>
      <c r="Q4815" s="36"/>
      <c r="R4815" s="36"/>
      <c r="S4815" s="36"/>
      <c r="T4815" s="36"/>
      <c r="U4815" s="36"/>
      <c r="V4815" s="36"/>
      <c r="W4815" s="15">
        <f t="shared" si="604"/>
        <v>0</v>
      </c>
      <c r="X4815" s="36">
        <v>400</v>
      </c>
      <c r="Y4815" s="36">
        <v>400</v>
      </c>
      <c r="Z4815" s="36">
        <v>400</v>
      </c>
      <c r="AA4815" s="36">
        <v>400</v>
      </c>
      <c r="AB4815" s="36">
        <v>400</v>
      </c>
      <c r="AC4815" s="36">
        <v>400</v>
      </c>
      <c r="AD4815" s="36">
        <v>400</v>
      </c>
      <c r="AE4815" s="36"/>
      <c r="AF4815" s="36"/>
      <c r="AG4815" s="36"/>
      <c r="AH4815" s="36"/>
      <c r="AI4815" s="36"/>
      <c r="AJ4815" s="15">
        <f t="shared" si="605"/>
        <v>2800</v>
      </c>
      <c r="AK4815" s="14"/>
      <c r="AL4815" s="14"/>
      <c r="AM4815" s="14"/>
      <c r="AN4815" s="14"/>
      <c r="AO4815" s="14"/>
      <c r="AP4815" s="14"/>
      <c r="AQ4815" s="14"/>
      <c r="AR4815" s="14"/>
      <c r="AS4815" s="14"/>
      <c r="AT4815" s="14"/>
      <c r="AU4815" s="14"/>
      <c r="AV4815" s="14"/>
      <c r="AW4815" s="15"/>
      <c r="AX4815" s="16"/>
    </row>
    <row r="4816" spans="2:50" x14ac:dyDescent="0.2">
      <c r="B4816" s="7"/>
      <c r="C4816" s="8">
        <v>15056</v>
      </c>
      <c r="D4816" s="9" t="s">
        <v>283</v>
      </c>
      <c r="E4816" s="10" t="str">
        <f t="shared" si="601"/>
        <v>Rancho Estanzuela No. 115</v>
      </c>
      <c r="F4816" s="10" t="str">
        <f t="shared" si="602"/>
        <v>Frías Solórzano</v>
      </c>
      <c r="G4816" s="8">
        <v>1</v>
      </c>
      <c r="H4816" s="11">
        <v>1000</v>
      </c>
      <c r="I4816" s="12">
        <v>42988</v>
      </c>
      <c r="J4816" s="35">
        <f t="shared" si="603"/>
        <v>0</v>
      </c>
      <c r="K4816" s="36"/>
      <c r="L4816" s="36"/>
      <c r="M4816" s="36"/>
      <c r="N4816" s="36"/>
      <c r="O4816" s="36"/>
      <c r="P4816" s="36"/>
      <c r="Q4816" s="36"/>
      <c r="R4816" s="36"/>
      <c r="S4816" s="36"/>
      <c r="T4816" s="36"/>
      <c r="U4816" s="36"/>
      <c r="V4816" s="36"/>
      <c r="W4816" s="15">
        <f t="shared" si="604"/>
        <v>0</v>
      </c>
      <c r="X4816" s="36"/>
      <c r="Y4816" s="36"/>
      <c r="Z4816" s="36"/>
      <c r="AA4816" s="36"/>
      <c r="AB4816" s="36"/>
      <c r="AC4816" s="36"/>
      <c r="AD4816" s="36"/>
      <c r="AE4816" s="36"/>
      <c r="AF4816" s="36">
        <v>250</v>
      </c>
      <c r="AG4816" s="36">
        <v>250</v>
      </c>
      <c r="AH4816" s="36">
        <v>250</v>
      </c>
      <c r="AI4816" s="36">
        <v>250</v>
      </c>
      <c r="AJ4816" s="15">
        <f t="shared" si="605"/>
        <v>1000</v>
      </c>
      <c r="AK4816" s="14"/>
      <c r="AL4816" s="14"/>
      <c r="AM4816" s="14"/>
      <c r="AN4816" s="14"/>
      <c r="AO4816" s="14"/>
      <c r="AP4816" s="14"/>
      <c r="AQ4816" s="14"/>
      <c r="AR4816" s="14"/>
      <c r="AS4816" s="14"/>
      <c r="AT4816" s="14"/>
      <c r="AU4816" s="14"/>
      <c r="AV4816" s="14"/>
      <c r="AW4816" s="15"/>
      <c r="AX4816" s="16"/>
    </row>
    <row r="4817" spans="2:50" x14ac:dyDescent="0.2">
      <c r="B4817" s="7"/>
      <c r="C4817" s="8">
        <v>15057</v>
      </c>
      <c r="D4817" s="9" t="s">
        <v>1017</v>
      </c>
      <c r="E4817" s="10" t="str">
        <f t="shared" si="601"/>
        <v>Rancho Estanzuela No. 119, 3</v>
      </c>
      <c r="F4817" s="10" t="str">
        <f t="shared" si="602"/>
        <v>Montecillo</v>
      </c>
      <c r="G4817" s="8">
        <v>1</v>
      </c>
      <c r="H4817" s="11">
        <v>200</v>
      </c>
      <c r="I4817" s="12">
        <v>42988</v>
      </c>
      <c r="J4817" s="35">
        <f t="shared" si="603"/>
        <v>0</v>
      </c>
      <c r="K4817" s="36"/>
      <c r="L4817" s="36"/>
      <c r="M4817" s="36"/>
      <c r="N4817" s="36"/>
      <c r="O4817" s="36"/>
      <c r="P4817" s="36"/>
      <c r="Q4817" s="36"/>
      <c r="R4817" s="36"/>
      <c r="S4817" s="36"/>
      <c r="T4817" s="36"/>
      <c r="U4817" s="36"/>
      <c r="V4817" s="36"/>
      <c r="W4817" s="15">
        <f t="shared" si="604"/>
        <v>0</v>
      </c>
      <c r="X4817" s="36"/>
      <c r="Y4817" s="36"/>
      <c r="Z4817" s="36"/>
      <c r="AA4817" s="36"/>
      <c r="AB4817" s="36"/>
      <c r="AC4817" s="36"/>
      <c r="AD4817" s="36"/>
      <c r="AE4817" s="36">
        <v>200</v>
      </c>
      <c r="AF4817" s="36"/>
      <c r="AG4817" s="36"/>
      <c r="AH4817" s="36"/>
      <c r="AI4817" s="36"/>
      <c r="AJ4817" s="15">
        <f t="shared" si="605"/>
        <v>200</v>
      </c>
      <c r="AK4817" s="14"/>
      <c r="AL4817" s="14"/>
      <c r="AM4817" s="14"/>
      <c r="AN4817" s="14"/>
      <c r="AO4817" s="14"/>
      <c r="AP4817" s="14"/>
      <c r="AQ4817" s="14"/>
      <c r="AR4817" s="14"/>
      <c r="AS4817" s="14"/>
      <c r="AT4817" s="14"/>
      <c r="AU4817" s="14"/>
      <c r="AV4817" s="14"/>
      <c r="AW4817" s="15"/>
      <c r="AX4817" s="16"/>
    </row>
    <row r="4818" spans="2:50" x14ac:dyDescent="0.2">
      <c r="B4818" s="7"/>
      <c r="C4818" s="8">
        <v>15058</v>
      </c>
      <c r="D4818" s="9" t="s">
        <v>109</v>
      </c>
      <c r="E4818" s="10" t="str">
        <f t="shared" si="601"/>
        <v>Rancho Estanzuela No. 31</v>
      </c>
      <c r="F4818" s="10" t="str">
        <f t="shared" si="602"/>
        <v>Chávez Valdés</v>
      </c>
      <c r="G4818" s="8">
        <v>1</v>
      </c>
      <c r="H4818" s="11">
        <v>400</v>
      </c>
      <c r="I4818" s="12">
        <v>42988</v>
      </c>
      <c r="J4818" s="35">
        <f t="shared" si="603"/>
        <v>0</v>
      </c>
      <c r="K4818" s="36"/>
      <c r="L4818" s="36"/>
      <c r="M4818" s="36"/>
      <c r="N4818" s="36"/>
      <c r="O4818" s="36"/>
      <c r="P4818" s="36"/>
      <c r="Q4818" s="36"/>
      <c r="R4818" s="36"/>
      <c r="S4818" s="36"/>
      <c r="T4818" s="36"/>
      <c r="U4818" s="36"/>
      <c r="V4818" s="36"/>
      <c r="W4818" s="15">
        <f t="shared" si="604"/>
        <v>0</v>
      </c>
      <c r="X4818" s="36"/>
      <c r="Y4818" s="36"/>
      <c r="Z4818" s="36"/>
      <c r="AA4818" s="36"/>
      <c r="AB4818" s="36"/>
      <c r="AC4818" s="36"/>
      <c r="AD4818" s="36"/>
      <c r="AE4818" s="36">
        <v>400</v>
      </c>
      <c r="AF4818" s="36"/>
      <c r="AG4818" s="36"/>
      <c r="AH4818" s="36"/>
      <c r="AI4818" s="36"/>
      <c r="AJ4818" s="15">
        <f t="shared" si="605"/>
        <v>400</v>
      </c>
      <c r="AK4818" s="14"/>
      <c r="AL4818" s="14"/>
      <c r="AM4818" s="14"/>
      <c r="AN4818" s="14"/>
      <c r="AO4818" s="14"/>
      <c r="AP4818" s="14"/>
      <c r="AQ4818" s="14"/>
      <c r="AR4818" s="14"/>
      <c r="AS4818" s="14"/>
      <c r="AT4818" s="14"/>
      <c r="AU4818" s="14"/>
      <c r="AV4818" s="14"/>
      <c r="AW4818" s="15"/>
      <c r="AX4818" s="16"/>
    </row>
    <row r="4819" spans="2:50" x14ac:dyDescent="0.2">
      <c r="B4819" s="7"/>
      <c r="C4819" s="8">
        <v>15059</v>
      </c>
      <c r="D4819" s="9" t="s">
        <v>186</v>
      </c>
      <c r="E4819" s="10" t="str">
        <f t="shared" si="596"/>
        <v>Rancho Upácuaro No. 100</v>
      </c>
      <c r="F4819" s="10" t="str">
        <f t="shared" si="597"/>
        <v>Valdez</v>
      </c>
      <c r="G4819" s="8">
        <v>1</v>
      </c>
      <c r="H4819" s="11">
        <v>400</v>
      </c>
      <c r="I4819" s="12">
        <v>42988</v>
      </c>
      <c r="J4819" s="35">
        <f t="shared" si="598"/>
        <v>0</v>
      </c>
      <c r="K4819" s="36"/>
      <c r="L4819" s="36"/>
      <c r="M4819" s="36"/>
      <c r="N4819" s="36"/>
      <c r="O4819" s="36"/>
      <c r="P4819" s="36"/>
      <c r="Q4819" s="36"/>
      <c r="R4819" s="36"/>
      <c r="S4819" s="36"/>
      <c r="T4819" s="36"/>
      <c r="U4819" s="36"/>
      <c r="V4819" s="36"/>
      <c r="W4819" s="15">
        <f t="shared" si="599"/>
        <v>0</v>
      </c>
      <c r="X4819" s="36"/>
      <c r="Y4819" s="36"/>
      <c r="Z4819" s="36"/>
      <c r="AA4819" s="36"/>
      <c r="AB4819" s="36"/>
      <c r="AC4819" s="36"/>
      <c r="AD4819" s="36"/>
      <c r="AE4819" s="36"/>
      <c r="AF4819" s="36">
        <v>400</v>
      </c>
      <c r="AG4819" s="36"/>
      <c r="AH4819" s="36"/>
      <c r="AI4819" s="36"/>
      <c r="AJ4819" s="15">
        <f t="shared" si="600"/>
        <v>400</v>
      </c>
      <c r="AK4819" s="14"/>
      <c r="AL4819" s="14"/>
      <c r="AM4819" s="14"/>
      <c r="AN4819" s="14"/>
      <c r="AO4819" s="14"/>
      <c r="AP4819" s="14"/>
      <c r="AQ4819" s="14"/>
      <c r="AR4819" s="14"/>
      <c r="AS4819" s="14"/>
      <c r="AT4819" s="14"/>
      <c r="AU4819" s="14"/>
      <c r="AV4819" s="14"/>
      <c r="AW4819" s="15"/>
      <c r="AX4819" s="16"/>
    </row>
    <row r="4820" spans="2:50" x14ac:dyDescent="0.2">
      <c r="B4820" s="7"/>
      <c r="C4820" s="8">
        <v>15060</v>
      </c>
      <c r="D4820" s="9" t="s">
        <v>159</v>
      </c>
      <c r="E4820" s="10" t="str">
        <f t="shared" si="596"/>
        <v>Rancho Zinamba No. 24</v>
      </c>
      <c r="F4820" s="10" t="str">
        <f t="shared" si="597"/>
        <v>Monroy García</v>
      </c>
      <c r="G4820" s="8">
        <v>1</v>
      </c>
      <c r="H4820" s="11">
        <v>800</v>
      </c>
      <c r="I4820" s="12">
        <v>42988</v>
      </c>
      <c r="J4820" s="35">
        <f t="shared" si="598"/>
        <v>0</v>
      </c>
      <c r="K4820" s="36"/>
      <c r="L4820" s="36"/>
      <c r="M4820" s="36"/>
      <c r="N4820" s="36"/>
      <c r="O4820" s="36"/>
      <c r="P4820" s="36"/>
      <c r="Q4820" s="36"/>
      <c r="R4820" s="36"/>
      <c r="S4820" s="36"/>
      <c r="T4820" s="36"/>
      <c r="U4820" s="36"/>
      <c r="V4820" s="36"/>
      <c r="W4820" s="15">
        <f t="shared" si="599"/>
        <v>0</v>
      </c>
      <c r="X4820" s="36"/>
      <c r="Y4820" s="36"/>
      <c r="Z4820" s="36"/>
      <c r="AA4820" s="36"/>
      <c r="AB4820" s="36"/>
      <c r="AC4820" s="36"/>
      <c r="AD4820" s="36"/>
      <c r="AE4820" s="36">
        <v>400</v>
      </c>
      <c r="AF4820" s="36">
        <v>400</v>
      </c>
      <c r="AG4820" s="36"/>
      <c r="AH4820" s="36"/>
      <c r="AI4820" s="36"/>
      <c r="AJ4820" s="15">
        <f t="shared" si="600"/>
        <v>800</v>
      </c>
      <c r="AK4820" s="14"/>
      <c r="AL4820" s="14"/>
      <c r="AM4820" s="14"/>
      <c r="AN4820" s="14"/>
      <c r="AO4820" s="14"/>
      <c r="AP4820" s="14"/>
      <c r="AQ4820" s="14"/>
      <c r="AR4820" s="14"/>
      <c r="AS4820" s="14"/>
      <c r="AT4820" s="14"/>
      <c r="AU4820" s="14"/>
      <c r="AV4820" s="14"/>
      <c r="AW4820" s="15"/>
      <c r="AX4820" s="16"/>
    </row>
    <row r="4821" spans="2:50" x14ac:dyDescent="0.2">
      <c r="B4821" s="7"/>
      <c r="C4821" s="8">
        <v>15061</v>
      </c>
      <c r="D4821" s="9" t="s">
        <v>562</v>
      </c>
      <c r="E4821" s="10" t="str">
        <f t="shared" si="596"/>
        <v>Rancho Upácuaro No. 87</v>
      </c>
      <c r="F4821" s="10" t="str">
        <f t="shared" si="597"/>
        <v>Rodríguez Parés</v>
      </c>
      <c r="G4821" s="8">
        <v>1</v>
      </c>
      <c r="H4821" s="11">
        <v>400</v>
      </c>
      <c r="I4821" s="12">
        <v>42988</v>
      </c>
      <c r="J4821" s="35">
        <f t="shared" si="598"/>
        <v>0</v>
      </c>
      <c r="K4821" s="36"/>
      <c r="L4821" s="36"/>
      <c r="M4821" s="36"/>
      <c r="N4821" s="36"/>
      <c r="O4821" s="36"/>
      <c r="P4821" s="36"/>
      <c r="Q4821" s="36"/>
      <c r="R4821" s="36"/>
      <c r="S4821" s="36"/>
      <c r="T4821" s="36"/>
      <c r="U4821" s="36"/>
      <c r="V4821" s="36"/>
      <c r="W4821" s="15">
        <f t="shared" si="599"/>
        <v>0</v>
      </c>
      <c r="X4821" s="36"/>
      <c r="Y4821" s="36"/>
      <c r="Z4821" s="36"/>
      <c r="AA4821" s="36"/>
      <c r="AB4821" s="36"/>
      <c r="AC4821" s="36"/>
      <c r="AD4821" s="36"/>
      <c r="AE4821" s="36"/>
      <c r="AF4821" s="36">
        <v>400</v>
      </c>
      <c r="AG4821" s="36"/>
      <c r="AH4821" s="36"/>
      <c r="AI4821" s="36"/>
      <c r="AJ4821" s="15">
        <f t="shared" si="600"/>
        <v>400</v>
      </c>
      <c r="AK4821" s="14"/>
      <c r="AL4821" s="14"/>
      <c r="AM4821" s="14"/>
      <c r="AN4821" s="14"/>
      <c r="AO4821" s="14"/>
      <c r="AP4821" s="14"/>
      <c r="AQ4821" s="14"/>
      <c r="AR4821" s="14"/>
      <c r="AS4821" s="14"/>
      <c r="AT4821" s="14"/>
      <c r="AU4821" s="14"/>
      <c r="AV4821" s="14"/>
      <c r="AW4821" s="15"/>
      <c r="AX4821" s="16"/>
    </row>
    <row r="4822" spans="2:50" x14ac:dyDescent="0.2">
      <c r="B4822" s="7"/>
      <c r="C4822" s="8">
        <v>15062</v>
      </c>
      <c r="D4822" s="9" t="s">
        <v>562</v>
      </c>
      <c r="E4822" s="10" t="str">
        <f t="shared" ref="E4822:E4825" si="608">IF(D4822=0,"",VLOOKUP(D4822,BASE,2,FALSE))</f>
        <v>Rancho Upácuaro No. 87</v>
      </c>
      <c r="F4822" s="10" t="str">
        <f t="shared" ref="F4822:F4825" si="609">IF(D4822=0,"",VLOOKUP(D4822,BASE,3,FALSE))</f>
        <v>Rodríguez Parés</v>
      </c>
      <c r="G4822" s="8">
        <v>5</v>
      </c>
      <c r="H4822" s="11">
        <v>50</v>
      </c>
      <c r="I4822" s="12">
        <v>42988</v>
      </c>
      <c r="J4822" s="35">
        <f t="shared" ref="J4822:J4825" si="610">IF(G4822=1,SUM(W4822,AJ4822,-H4822),0)</f>
        <v>0</v>
      </c>
      <c r="K4822" s="36"/>
      <c r="L4822" s="36"/>
      <c r="M4822" s="36"/>
      <c r="N4822" s="36"/>
      <c r="O4822" s="36"/>
      <c r="P4822" s="36"/>
      <c r="Q4822" s="36"/>
      <c r="R4822" s="36"/>
      <c r="S4822" s="36"/>
      <c r="T4822" s="36"/>
      <c r="U4822" s="36"/>
      <c r="V4822" s="36"/>
      <c r="W4822" s="15">
        <f t="shared" ref="W4822:W4825" si="611">SUM(K4822:V4822)</f>
        <v>0</v>
      </c>
      <c r="X4822" s="36"/>
      <c r="Y4822" s="36"/>
      <c r="Z4822" s="36"/>
      <c r="AA4822" s="36"/>
      <c r="AB4822" s="36"/>
      <c r="AC4822" s="36"/>
      <c r="AD4822" s="36"/>
      <c r="AE4822" s="36"/>
      <c r="AF4822" s="36"/>
      <c r="AG4822" s="36"/>
      <c r="AH4822" s="36"/>
      <c r="AI4822" s="36"/>
      <c r="AJ4822" s="15">
        <f t="shared" ref="AJ4822:AJ4825" si="612">SUM(X4822:AI4822)</f>
        <v>0</v>
      </c>
      <c r="AK4822" s="14"/>
      <c r="AL4822" s="14"/>
      <c r="AM4822" s="14"/>
      <c r="AN4822" s="14"/>
      <c r="AO4822" s="14"/>
      <c r="AP4822" s="14"/>
      <c r="AQ4822" s="14"/>
      <c r="AR4822" s="14"/>
      <c r="AS4822" s="14"/>
      <c r="AT4822" s="14"/>
      <c r="AU4822" s="14"/>
      <c r="AV4822" s="14"/>
      <c r="AW4822" s="15"/>
      <c r="AX4822" s="16"/>
    </row>
    <row r="4823" spans="2:50" x14ac:dyDescent="0.2">
      <c r="B4823" s="7"/>
      <c r="C4823" s="8">
        <v>15063</v>
      </c>
      <c r="D4823" s="9" t="s">
        <v>470</v>
      </c>
      <c r="E4823" s="10" t="str">
        <f t="shared" si="608"/>
        <v>Rancho Zinamba No. 42</v>
      </c>
      <c r="F4823" s="10" t="str">
        <f t="shared" si="609"/>
        <v>López Aldave</v>
      </c>
      <c r="G4823" s="8">
        <v>1</v>
      </c>
      <c r="H4823" s="11">
        <v>900</v>
      </c>
      <c r="I4823" s="12">
        <v>42988</v>
      </c>
      <c r="J4823" s="35">
        <f t="shared" si="610"/>
        <v>0</v>
      </c>
      <c r="K4823" s="36"/>
      <c r="L4823" s="36"/>
      <c r="M4823" s="36"/>
      <c r="N4823" s="36"/>
      <c r="O4823" s="36"/>
      <c r="P4823" s="36"/>
      <c r="Q4823" s="36"/>
      <c r="R4823" s="36"/>
      <c r="S4823" s="36"/>
      <c r="T4823" s="36"/>
      <c r="U4823" s="36"/>
      <c r="V4823" s="36"/>
      <c r="W4823" s="15">
        <f t="shared" si="611"/>
        <v>0</v>
      </c>
      <c r="X4823" s="36"/>
      <c r="Y4823" s="36"/>
      <c r="Z4823" s="36"/>
      <c r="AA4823" s="36"/>
      <c r="AB4823" s="36"/>
      <c r="AC4823" s="36"/>
      <c r="AD4823" s="36">
        <v>300</v>
      </c>
      <c r="AE4823" s="36">
        <v>300</v>
      </c>
      <c r="AF4823" s="36">
        <v>300</v>
      </c>
      <c r="AG4823" s="36"/>
      <c r="AH4823" s="36"/>
      <c r="AI4823" s="36"/>
      <c r="AJ4823" s="15">
        <f t="shared" si="612"/>
        <v>900</v>
      </c>
      <c r="AK4823" s="14"/>
      <c r="AL4823" s="14"/>
      <c r="AM4823" s="14"/>
      <c r="AN4823" s="14"/>
      <c r="AO4823" s="14"/>
      <c r="AP4823" s="14"/>
      <c r="AQ4823" s="14"/>
      <c r="AR4823" s="14"/>
      <c r="AS4823" s="14"/>
      <c r="AT4823" s="14"/>
      <c r="AU4823" s="14"/>
      <c r="AV4823" s="14"/>
      <c r="AW4823" s="15"/>
      <c r="AX4823" s="16"/>
    </row>
    <row r="4824" spans="2:50" x14ac:dyDescent="0.2">
      <c r="B4824" s="7"/>
      <c r="C4824" s="8">
        <v>15064</v>
      </c>
      <c r="D4824" s="9" t="s">
        <v>470</v>
      </c>
      <c r="E4824" s="10" t="str">
        <f t="shared" si="608"/>
        <v>Rancho Zinamba No. 42</v>
      </c>
      <c r="F4824" s="10" t="str">
        <f t="shared" si="609"/>
        <v>López Aldave</v>
      </c>
      <c r="G4824" s="8">
        <v>5</v>
      </c>
      <c r="H4824" s="11">
        <v>50</v>
      </c>
      <c r="I4824" s="12">
        <v>42988</v>
      </c>
      <c r="J4824" s="35">
        <f t="shared" si="610"/>
        <v>0</v>
      </c>
      <c r="K4824" s="36"/>
      <c r="L4824" s="36"/>
      <c r="M4824" s="36"/>
      <c r="N4824" s="36"/>
      <c r="O4824" s="36"/>
      <c r="P4824" s="36"/>
      <c r="Q4824" s="36"/>
      <c r="R4824" s="36"/>
      <c r="S4824" s="36"/>
      <c r="T4824" s="36"/>
      <c r="U4824" s="36"/>
      <c r="V4824" s="36"/>
      <c r="W4824" s="15">
        <f t="shared" si="611"/>
        <v>0</v>
      </c>
      <c r="X4824" s="36"/>
      <c r="Y4824" s="36"/>
      <c r="Z4824" s="36"/>
      <c r="AA4824" s="36"/>
      <c r="AB4824" s="36"/>
      <c r="AC4824" s="36"/>
      <c r="AD4824" s="36"/>
      <c r="AE4824" s="36"/>
      <c r="AF4824" s="36"/>
      <c r="AG4824" s="36"/>
      <c r="AH4824" s="36"/>
      <c r="AI4824" s="36"/>
      <c r="AJ4824" s="15">
        <f t="shared" si="612"/>
        <v>0</v>
      </c>
      <c r="AK4824" s="14"/>
      <c r="AL4824" s="14"/>
      <c r="AM4824" s="14"/>
      <c r="AN4824" s="14"/>
      <c r="AO4824" s="14"/>
      <c r="AP4824" s="14"/>
      <c r="AQ4824" s="14"/>
      <c r="AR4824" s="14"/>
      <c r="AS4824" s="14"/>
      <c r="AT4824" s="14"/>
      <c r="AU4824" s="14"/>
      <c r="AV4824" s="14"/>
      <c r="AW4824" s="15"/>
      <c r="AX4824" s="316">
        <f>SUM(H4786:H4824)</f>
        <v>26250</v>
      </c>
    </row>
    <row r="4825" spans="2:50" x14ac:dyDescent="0.2">
      <c r="B4825" s="7"/>
      <c r="C4825" s="8">
        <v>15065</v>
      </c>
      <c r="D4825" s="9"/>
      <c r="E4825" s="10" t="str">
        <f t="shared" si="608"/>
        <v/>
      </c>
      <c r="F4825" s="10" t="str">
        <f t="shared" si="609"/>
        <v/>
      </c>
      <c r="G4825" s="8">
        <v>8</v>
      </c>
      <c r="H4825" s="315"/>
      <c r="I4825" s="12"/>
      <c r="J4825" s="35">
        <f t="shared" si="610"/>
        <v>0</v>
      </c>
      <c r="K4825" s="36"/>
      <c r="L4825" s="36"/>
      <c r="M4825" s="36"/>
      <c r="N4825" s="36"/>
      <c r="O4825" s="36"/>
      <c r="P4825" s="36"/>
      <c r="Q4825" s="36"/>
      <c r="R4825" s="36"/>
      <c r="S4825" s="36"/>
      <c r="T4825" s="36"/>
      <c r="U4825" s="36"/>
      <c r="V4825" s="36"/>
      <c r="W4825" s="15">
        <f t="shared" si="611"/>
        <v>0</v>
      </c>
      <c r="X4825" s="36"/>
      <c r="Y4825" s="36"/>
      <c r="Z4825" s="36"/>
      <c r="AA4825" s="36"/>
      <c r="AB4825" s="36"/>
      <c r="AC4825" s="36"/>
      <c r="AD4825" s="36"/>
      <c r="AE4825" s="36"/>
      <c r="AF4825" s="36"/>
      <c r="AG4825" s="36"/>
      <c r="AH4825" s="36"/>
      <c r="AI4825" s="36"/>
      <c r="AJ4825" s="15">
        <f t="shared" si="612"/>
        <v>0</v>
      </c>
      <c r="AK4825" s="14"/>
      <c r="AL4825" s="14"/>
      <c r="AM4825" s="14"/>
      <c r="AN4825" s="14"/>
      <c r="AO4825" s="14"/>
      <c r="AP4825" s="14"/>
      <c r="AQ4825" s="14"/>
      <c r="AR4825" s="14"/>
      <c r="AS4825" s="14"/>
      <c r="AT4825" s="14"/>
      <c r="AU4825" s="14"/>
      <c r="AV4825" s="14"/>
      <c r="AW4825" s="15"/>
      <c r="AX4825" s="16"/>
    </row>
    <row r="4826" spans="2:50" x14ac:dyDescent="0.2">
      <c r="B4826" s="7"/>
      <c r="C4826" s="8">
        <v>15066</v>
      </c>
      <c r="D4826" s="9" t="s">
        <v>373</v>
      </c>
      <c r="E4826" s="10" t="str">
        <f t="shared" ref="E4826:E4882" si="613">IF(D4826=0,"",VLOOKUP(D4826,BASE,2,FALSE))</f>
        <v>Rancho Upácuaro No. 118</v>
      </c>
      <c r="F4826" s="10" t="str">
        <f t="shared" ref="F4826:F4882" si="614">IF(D4826=0,"",VLOOKUP(D4826,BASE,3,FALSE))</f>
        <v>Siegrist</v>
      </c>
      <c r="G4826" s="8">
        <v>1</v>
      </c>
      <c r="H4826" s="11">
        <v>1200</v>
      </c>
      <c r="I4826" s="12">
        <v>42959</v>
      </c>
      <c r="J4826" s="35">
        <f t="shared" ref="J4826:J4882" si="615">IF(G4826=1,SUM(W4826,AJ4826,-H4826),0)</f>
        <v>0</v>
      </c>
      <c r="K4826" s="36"/>
      <c r="L4826" s="36"/>
      <c r="M4826" s="36"/>
      <c r="N4826" s="36"/>
      <c r="O4826" s="36"/>
      <c r="P4826" s="36"/>
      <c r="Q4826" s="36"/>
      <c r="R4826" s="36"/>
      <c r="S4826" s="36"/>
      <c r="T4826" s="36"/>
      <c r="U4826" s="36"/>
      <c r="V4826" s="36"/>
      <c r="W4826" s="15">
        <f t="shared" ref="W4826:W4882" si="616">SUM(K4826:V4826)</f>
        <v>0</v>
      </c>
      <c r="X4826" s="36"/>
      <c r="Y4826" s="36"/>
      <c r="Z4826" s="36"/>
      <c r="AA4826" s="36"/>
      <c r="AB4826" s="36"/>
      <c r="AC4826" s="36"/>
      <c r="AD4826" s="36">
        <v>400</v>
      </c>
      <c r="AE4826" s="36">
        <v>400</v>
      </c>
      <c r="AF4826" s="36">
        <v>400</v>
      </c>
      <c r="AG4826" s="36"/>
      <c r="AH4826" s="36"/>
      <c r="AI4826" s="36"/>
      <c r="AJ4826" s="15">
        <f t="shared" ref="AJ4826:AJ4882" si="617">SUM(X4826:AI4826)</f>
        <v>1200</v>
      </c>
      <c r="AK4826" s="14"/>
      <c r="AL4826" s="14"/>
      <c r="AM4826" s="14"/>
      <c r="AN4826" s="14"/>
      <c r="AO4826" s="14"/>
      <c r="AP4826" s="14"/>
      <c r="AQ4826" s="14"/>
      <c r="AR4826" s="14"/>
      <c r="AS4826" s="14"/>
      <c r="AT4826" s="14"/>
      <c r="AU4826" s="14"/>
      <c r="AV4826" s="14"/>
      <c r="AW4826" s="15"/>
      <c r="AX4826" s="16"/>
    </row>
    <row r="4827" spans="2:50" x14ac:dyDescent="0.2">
      <c r="B4827" s="7"/>
      <c r="C4827" s="8">
        <v>15067</v>
      </c>
      <c r="D4827" s="9" t="s">
        <v>1029</v>
      </c>
      <c r="E4827" s="10" t="str">
        <f t="shared" si="613"/>
        <v>Rancho La Cuchilla No. 134</v>
      </c>
      <c r="F4827" s="10" t="str">
        <f t="shared" si="614"/>
        <v>Moreno Sánchez</v>
      </c>
      <c r="G4827" s="8">
        <v>4</v>
      </c>
      <c r="H4827" s="11">
        <v>200</v>
      </c>
      <c r="I4827" s="12">
        <v>42993</v>
      </c>
      <c r="J4827" s="35">
        <f t="shared" si="615"/>
        <v>0</v>
      </c>
      <c r="K4827" s="36"/>
      <c r="L4827" s="36"/>
      <c r="M4827" s="36"/>
      <c r="N4827" s="36"/>
      <c r="O4827" s="36"/>
      <c r="P4827" s="36"/>
      <c r="Q4827" s="36"/>
      <c r="R4827" s="36"/>
      <c r="S4827" s="36"/>
      <c r="T4827" s="36"/>
      <c r="U4827" s="36"/>
      <c r="V4827" s="36"/>
      <c r="W4827" s="15">
        <f t="shared" si="616"/>
        <v>0</v>
      </c>
      <c r="X4827" s="36"/>
      <c r="Y4827" s="36"/>
      <c r="Z4827" s="36"/>
      <c r="AA4827" s="36"/>
      <c r="AB4827" s="36"/>
      <c r="AC4827" s="36"/>
      <c r="AD4827" s="36"/>
      <c r="AE4827" s="36"/>
      <c r="AF4827" s="36"/>
      <c r="AG4827" s="36"/>
      <c r="AH4827" s="36"/>
      <c r="AI4827" s="36"/>
      <c r="AJ4827" s="15">
        <f t="shared" si="617"/>
        <v>0</v>
      </c>
      <c r="AK4827" s="14"/>
      <c r="AL4827" s="14"/>
      <c r="AM4827" s="14"/>
      <c r="AN4827" s="14"/>
      <c r="AO4827" s="14"/>
      <c r="AP4827" s="14"/>
      <c r="AQ4827" s="14"/>
      <c r="AR4827" s="14"/>
      <c r="AS4827" s="14"/>
      <c r="AT4827" s="14"/>
      <c r="AU4827" s="14"/>
      <c r="AV4827" s="14"/>
      <c r="AW4827" s="15"/>
      <c r="AX4827" s="16" t="s">
        <v>4476</v>
      </c>
    </row>
    <row r="4828" spans="2:50" x14ac:dyDescent="0.2">
      <c r="B4828" s="7"/>
      <c r="C4828" s="8">
        <v>15067</v>
      </c>
      <c r="D4828" s="9" t="s">
        <v>1029</v>
      </c>
      <c r="E4828" s="10" t="str">
        <f t="shared" si="613"/>
        <v>Rancho La Cuchilla No. 134</v>
      </c>
      <c r="F4828" s="10" t="str">
        <f t="shared" si="614"/>
        <v>Moreno Sánchez</v>
      </c>
      <c r="G4828" s="8">
        <v>5</v>
      </c>
      <c r="H4828" s="11">
        <v>50</v>
      </c>
      <c r="I4828" s="12">
        <v>42993</v>
      </c>
      <c r="J4828" s="35">
        <f t="shared" si="615"/>
        <v>0</v>
      </c>
      <c r="K4828" s="36"/>
      <c r="L4828" s="36"/>
      <c r="M4828" s="36"/>
      <c r="N4828" s="36"/>
      <c r="O4828" s="36"/>
      <c r="P4828" s="36"/>
      <c r="Q4828" s="36"/>
      <c r="R4828" s="36"/>
      <c r="S4828" s="36"/>
      <c r="T4828" s="36"/>
      <c r="U4828" s="36"/>
      <c r="V4828" s="36"/>
      <c r="W4828" s="15">
        <f t="shared" si="616"/>
        <v>0</v>
      </c>
      <c r="X4828" s="36"/>
      <c r="Y4828" s="36"/>
      <c r="Z4828" s="36"/>
      <c r="AA4828" s="36"/>
      <c r="AB4828" s="36"/>
      <c r="AC4828" s="36"/>
      <c r="AD4828" s="36"/>
      <c r="AE4828" s="36"/>
      <c r="AF4828" s="36"/>
      <c r="AG4828" s="36"/>
      <c r="AH4828" s="36"/>
      <c r="AI4828" s="36"/>
      <c r="AJ4828" s="15">
        <f t="shared" si="617"/>
        <v>0</v>
      </c>
      <c r="AK4828" s="14"/>
      <c r="AL4828" s="14"/>
      <c r="AM4828" s="14"/>
      <c r="AN4828" s="14"/>
      <c r="AO4828" s="14"/>
      <c r="AP4828" s="14"/>
      <c r="AQ4828" s="14"/>
      <c r="AR4828" s="14"/>
      <c r="AS4828" s="14"/>
      <c r="AT4828" s="14"/>
      <c r="AU4828" s="14"/>
      <c r="AV4828" s="14"/>
      <c r="AW4828" s="15"/>
      <c r="AX4828" s="16"/>
    </row>
    <row r="4829" spans="2:50" x14ac:dyDescent="0.2">
      <c r="B4829" s="7"/>
      <c r="C4829" s="8">
        <v>15068</v>
      </c>
      <c r="D4829" s="9" t="s">
        <v>807</v>
      </c>
      <c r="E4829" s="10" t="str">
        <f t="shared" si="613"/>
        <v>Rancho La Cuchilla No. 61</v>
      </c>
      <c r="F4829" s="10" t="str">
        <f t="shared" si="614"/>
        <v>Rivera</v>
      </c>
      <c r="G4829" s="8">
        <v>1</v>
      </c>
      <c r="H4829" s="11">
        <v>400</v>
      </c>
      <c r="I4829" s="12">
        <v>42995</v>
      </c>
      <c r="J4829" s="35">
        <f t="shared" si="615"/>
        <v>0</v>
      </c>
      <c r="K4829" s="36"/>
      <c r="L4829" s="36"/>
      <c r="M4829" s="36"/>
      <c r="N4829" s="36"/>
      <c r="O4829" s="36"/>
      <c r="P4829" s="36"/>
      <c r="Q4829" s="36"/>
      <c r="R4829" s="36"/>
      <c r="S4829" s="36"/>
      <c r="T4829" s="36"/>
      <c r="U4829" s="36"/>
      <c r="V4829" s="36"/>
      <c r="W4829" s="15">
        <f t="shared" si="616"/>
        <v>0</v>
      </c>
      <c r="X4829" s="36"/>
      <c r="Y4829" s="36"/>
      <c r="Z4829" s="36"/>
      <c r="AA4829" s="36"/>
      <c r="AB4829" s="36"/>
      <c r="AC4829" s="36"/>
      <c r="AD4829" s="36">
        <v>200</v>
      </c>
      <c r="AE4829" s="36">
        <v>200</v>
      </c>
      <c r="AF4829" s="36"/>
      <c r="AG4829" s="36"/>
      <c r="AH4829" s="36"/>
      <c r="AI4829" s="36"/>
      <c r="AJ4829" s="15">
        <f t="shared" si="617"/>
        <v>400</v>
      </c>
      <c r="AK4829" s="14"/>
      <c r="AL4829" s="14"/>
      <c r="AM4829" s="14"/>
      <c r="AN4829" s="14"/>
      <c r="AO4829" s="14"/>
      <c r="AP4829" s="14"/>
      <c r="AQ4829" s="14"/>
      <c r="AR4829" s="14"/>
      <c r="AS4829" s="14"/>
      <c r="AT4829" s="14"/>
      <c r="AU4829" s="14"/>
      <c r="AV4829" s="14"/>
      <c r="AW4829" s="15"/>
      <c r="AX4829" s="16"/>
    </row>
    <row r="4830" spans="2:50" x14ac:dyDescent="0.2">
      <c r="B4830" s="7"/>
      <c r="C4830" s="8">
        <v>15069</v>
      </c>
      <c r="D4830" s="9" t="s">
        <v>520</v>
      </c>
      <c r="E4830" s="10" t="str">
        <f t="shared" ref="E4830" si="618">IF(D4830=0,"",VLOOKUP(D4830,BASE,2,FALSE))</f>
        <v>Rancho Landero No. 38</v>
      </c>
      <c r="F4830" s="10" t="str">
        <f t="shared" ref="F4830" si="619">IF(D4830=0,"",VLOOKUP(D4830,BASE,3,FALSE))</f>
        <v>Sánchez Peña</v>
      </c>
      <c r="G4830" s="8">
        <v>1</v>
      </c>
      <c r="H4830" s="11">
        <v>800</v>
      </c>
      <c r="I4830" s="12">
        <v>42995</v>
      </c>
      <c r="J4830" s="35">
        <f t="shared" ref="J4830" si="620">IF(G4830=1,SUM(W4830,AJ4830,-H4830),0)</f>
        <v>0</v>
      </c>
      <c r="K4830" s="36"/>
      <c r="L4830" s="36"/>
      <c r="M4830" s="36"/>
      <c r="N4830" s="36"/>
      <c r="O4830" s="36"/>
      <c r="P4830" s="36"/>
      <c r="Q4830" s="36"/>
      <c r="R4830" s="36"/>
      <c r="S4830" s="36"/>
      <c r="T4830" s="36"/>
      <c r="U4830" s="36"/>
      <c r="V4830" s="36"/>
      <c r="W4830" s="15">
        <f t="shared" ref="W4830" si="621">SUM(K4830:V4830)</f>
        <v>0</v>
      </c>
      <c r="X4830" s="36"/>
      <c r="Y4830" s="36"/>
      <c r="Z4830" s="36"/>
      <c r="AA4830" s="36"/>
      <c r="AB4830" s="36"/>
      <c r="AC4830" s="36"/>
      <c r="AD4830" s="36"/>
      <c r="AE4830" s="36"/>
      <c r="AF4830" s="36">
        <v>400</v>
      </c>
      <c r="AG4830" s="36">
        <v>400</v>
      </c>
      <c r="AH4830" s="36"/>
      <c r="AI4830" s="36"/>
      <c r="AJ4830" s="15">
        <f t="shared" ref="AJ4830" si="622">SUM(X4830:AI4830)</f>
        <v>800</v>
      </c>
      <c r="AK4830" s="14"/>
      <c r="AL4830" s="14"/>
      <c r="AM4830" s="14"/>
      <c r="AN4830" s="14"/>
      <c r="AO4830" s="14"/>
      <c r="AP4830" s="14"/>
      <c r="AQ4830" s="14"/>
      <c r="AR4830" s="14"/>
      <c r="AS4830" s="14"/>
      <c r="AT4830" s="14"/>
      <c r="AU4830" s="14"/>
      <c r="AV4830" s="14"/>
      <c r="AW4830" s="15"/>
      <c r="AX4830" s="16"/>
    </row>
    <row r="4831" spans="2:50" x14ac:dyDescent="0.2">
      <c r="B4831" s="7"/>
      <c r="C4831" s="8">
        <v>15070</v>
      </c>
      <c r="D4831" s="9" t="s">
        <v>265</v>
      </c>
      <c r="E4831" s="10" t="str">
        <f t="shared" ref="E4831:E4854" si="623">IF(D4831=0,"",VLOOKUP(D4831,BASE,2,FALSE))</f>
        <v>Rancho Upácuaro No. 85</v>
      </c>
      <c r="F4831" s="10" t="str">
        <f t="shared" ref="F4831:F4854" si="624">IF(D4831=0,"",VLOOKUP(D4831,BASE,3,FALSE))</f>
        <v>Del Toro Huerta</v>
      </c>
      <c r="G4831" s="8">
        <v>5</v>
      </c>
      <c r="H4831" s="11">
        <v>50</v>
      </c>
      <c r="I4831" s="12">
        <v>42995</v>
      </c>
      <c r="J4831" s="35">
        <f t="shared" ref="J4831:J4854" si="625">IF(G4831=1,SUM(W4831,AJ4831,-H4831),0)</f>
        <v>0</v>
      </c>
      <c r="K4831" s="36"/>
      <c r="L4831" s="36"/>
      <c r="M4831" s="36"/>
      <c r="N4831" s="36"/>
      <c r="O4831" s="36"/>
      <c r="P4831" s="36"/>
      <c r="Q4831" s="36"/>
      <c r="R4831" s="36"/>
      <c r="S4831" s="36"/>
      <c r="T4831" s="36"/>
      <c r="U4831" s="36"/>
      <c r="V4831" s="36"/>
      <c r="W4831" s="15">
        <f t="shared" ref="W4831:W4854" si="626">SUM(K4831:V4831)</f>
        <v>0</v>
      </c>
      <c r="X4831" s="36"/>
      <c r="Y4831" s="36"/>
      <c r="Z4831" s="36"/>
      <c r="AA4831" s="36"/>
      <c r="AB4831" s="36"/>
      <c r="AC4831" s="36"/>
      <c r="AD4831" s="36"/>
      <c r="AE4831" s="36"/>
      <c r="AF4831" s="36"/>
      <c r="AG4831" s="36"/>
      <c r="AH4831" s="36"/>
      <c r="AI4831" s="36"/>
      <c r="AJ4831" s="15">
        <f t="shared" ref="AJ4831:AJ4854" si="627">SUM(X4831:AI4831)</f>
        <v>0</v>
      </c>
      <c r="AK4831" s="14"/>
      <c r="AL4831" s="14"/>
      <c r="AM4831" s="14"/>
      <c r="AN4831" s="14"/>
      <c r="AO4831" s="14"/>
      <c r="AP4831" s="14"/>
      <c r="AQ4831" s="14"/>
      <c r="AR4831" s="14"/>
      <c r="AS4831" s="14"/>
      <c r="AT4831" s="14"/>
      <c r="AU4831" s="14"/>
      <c r="AV4831" s="14"/>
      <c r="AW4831" s="15"/>
      <c r="AX4831" s="16"/>
    </row>
    <row r="4832" spans="2:50" x14ac:dyDescent="0.2">
      <c r="B4832" s="7"/>
      <c r="C4832" s="8">
        <v>15071</v>
      </c>
      <c r="D4832" s="9" t="s">
        <v>640</v>
      </c>
      <c r="E4832" s="10" t="str">
        <f t="shared" si="623"/>
        <v>Rancho Estopila No. 22, A</v>
      </c>
      <c r="F4832" s="10" t="str">
        <f t="shared" si="624"/>
        <v>Ayala Carranza</v>
      </c>
      <c r="G4832" s="8">
        <v>1</v>
      </c>
      <c r="H4832" s="11">
        <v>200</v>
      </c>
      <c r="I4832" s="12">
        <v>42995</v>
      </c>
      <c r="J4832" s="35">
        <f t="shared" si="625"/>
        <v>0</v>
      </c>
      <c r="K4832" s="36"/>
      <c r="L4832" s="36"/>
      <c r="M4832" s="36"/>
      <c r="N4832" s="36"/>
      <c r="O4832" s="36"/>
      <c r="P4832" s="36"/>
      <c r="Q4832" s="36"/>
      <c r="R4832" s="36"/>
      <c r="S4832" s="36"/>
      <c r="T4832" s="36"/>
      <c r="U4832" s="36"/>
      <c r="V4832" s="36"/>
      <c r="W4832" s="15">
        <f t="shared" si="626"/>
        <v>0</v>
      </c>
      <c r="X4832" s="36"/>
      <c r="Y4832" s="36"/>
      <c r="Z4832" s="36"/>
      <c r="AA4832" s="36"/>
      <c r="AB4832" s="36"/>
      <c r="AC4832" s="36"/>
      <c r="AD4832" s="36"/>
      <c r="AE4832" s="36"/>
      <c r="AF4832" s="36">
        <v>200</v>
      </c>
      <c r="AG4832" s="36"/>
      <c r="AH4832" s="36"/>
      <c r="AI4832" s="36"/>
      <c r="AJ4832" s="15">
        <f t="shared" si="627"/>
        <v>200</v>
      </c>
      <c r="AK4832" s="14"/>
      <c r="AL4832" s="14"/>
      <c r="AM4832" s="14"/>
      <c r="AN4832" s="14"/>
      <c r="AO4832" s="14"/>
      <c r="AP4832" s="14"/>
      <c r="AQ4832" s="14"/>
      <c r="AR4832" s="14"/>
      <c r="AS4832" s="14"/>
      <c r="AT4832" s="14"/>
      <c r="AU4832" s="14"/>
      <c r="AV4832" s="14"/>
      <c r="AW4832" s="15"/>
      <c r="AX4832" s="16"/>
    </row>
    <row r="4833" spans="2:50" x14ac:dyDescent="0.2">
      <c r="B4833" s="7"/>
      <c r="C4833" s="8">
        <v>15072</v>
      </c>
      <c r="D4833" s="9" t="s">
        <v>425</v>
      </c>
      <c r="E4833" s="10" t="str">
        <f t="shared" si="623"/>
        <v>Rancho La Cuchilla No. 120</v>
      </c>
      <c r="F4833" s="10" t="str">
        <f t="shared" si="624"/>
        <v>Pozos Vilchis</v>
      </c>
      <c r="G4833" s="8">
        <v>1</v>
      </c>
      <c r="H4833" s="11">
        <v>400</v>
      </c>
      <c r="I4833" s="12">
        <v>42995</v>
      </c>
      <c r="J4833" s="35">
        <f t="shared" si="625"/>
        <v>0</v>
      </c>
      <c r="K4833" s="36"/>
      <c r="L4833" s="36"/>
      <c r="M4833" s="36"/>
      <c r="N4833" s="36"/>
      <c r="O4833" s="36"/>
      <c r="P4833" s="36"/>
      <c r="Q4833" s="36"/>
      <c r="R4833" s="36"/>
      <c r="S4833" s="36"/>
      <c r="T4833" s="36"/>
      <c r="U4833" s="36"/>
      <c r="V4833" s="36"/>
      <c r="W4833" s="15">
        <f t="shared" si="626"/>
        <v>0</v>
      </c>
      <c r="X4833" s="36"/>
      <c r="Y4833" s="36"/>
      <c r="Z4833" s="36"/>
      <c r="AA4833" s="36"/>
      <c r="AB4833" s="36"/>
      <c r="AC4833" s="36"/>
      <c r="AD4833" s="36"/>
      <c r="AE4833" s="36"/>
      <c r="AF4833" s="36">
        <v>400</v>
      </c>
      <c r="AG4833" s="36"/>
      <c r="AH4833" s="36"/>
      <c r="AI4833" s="36"/>
      <c r="AJ4833" s="15">
        <f t="shared" si="627"/>
        <v>400</v>
      </c>
      <c r="AK4833" s="14"/>
      <c r="AL4833" s="14"/>
      <c r="AM4833" s="14"/>
      <c r="AN4833" s="14"/>
      <c r="AO4833" s="14"/>
      <c r="AP4833" s="14"/>
      <c r="AQ4833" s="14"/>
      <c r="AR4833" s="14"/>
      <c r="AS4833" s="14"/>
      <c r="AT4833" s="14"/>
      <c r="AU4833" s="14"/>
      <c r="AV4833" s="14"/>
      <c r="AW4833" s="15"/>
      <c r="AX4833" s="16"/>
    </row>
    <row r="4834" spans="2:50" x14ac:dyDescent="0.2">
      <c r="B4834" s="7"/>
      <c r="C4834" s="8">
        <v>15073</v>
      </c>
      <c r="D4834" s="9" t="s">
        <v>286</v>
      </c>
      <c r="E4834" s="10" t="str">
        <f t="shared" si="623"/>
        <v>Rancho Zinamba No. 20</v>
      </c>
      <c r="F4834" s="10" t="str">
        <f t="shared" si="624"/>
        <v>Cruz Vallejo</v>
      </c>
      <c r="G4834" s="8">
        <v>1</v>
      </c>
      <c r="H4834" s="11">
        <v>800</v>
      </c>
      <c r="I4834" s="12">
        <v>42995</v>
      </c>
      <c r="J4834" s="35">
        <f t="shared" si="625"/>
        <v>0</v>
      </c>
      <c r="K4834" s="36"/>
      <c r="L4834" s="36"/>
      <c r="M4834" s="36"/>
      <c r="N4834" s="36"/>
      <c r="O4834" s="36"/>
      <c r="P4834" s="36"/>
      <c r="Q4834" s="36"/>
      <c r="R4834" s="36"/>
      <c r="S4834" s="36"/>
      <c r="T4834" s="36"/>
      <c r="U4834" s="36"/>
      <c r="V4834" s="36"/>
      <c r="W4834" s="15">
        <f t="shared" si="626"/>
        <v>0</v>
      </c>
      <c r="X4834" s="36"/>
      <c r="Y4834" s="36"/>
      <c r="Z4834" s="36"/>
      <c r="AA4834" s="36"/>
      <c r="AB4834" s="36"/>
      <c r="AC4834" s="36"/>
      <c r="AD4834" s="36"/>
      <c r="AE4834" s="36">
        <v>400</v>
      </c>
      <c r="AF4834" s="36">
        <v>400</v>
      </c>
      <c r="AG4834" s="36"/>
      <c r="AH4834" s="36"/>
      <c r="AI4834" s="36"/>
      <c r="AJ4834" s="15">
        <f t="shared" si="627"/>
        <v>800</v>
      </c>
      <c r="AK4834" s="14"/>
      <c r="AL4834" s="14"/>
      <c r="AM4834" s="14"/>
      <c r="AN4834" s="14"/>
      <c r="AO4834" s="14"/>
      <c r="AP4834" s="14"/>
      <c r="AQ4834" s="14"/>
      <c r="AR4834" s="14"/>
      <c r="AS4834" s="14"/>
      <c r="AT4834" s="14"/>
      <c r="AU4834" s="14"/>
      <c r="AV4834" s="14"/>
      <c r="AW4834" s="15"/>
      <c r="AX4834" s="16"/>
    </row>
    <row r="4835" spans="2:50" x14ac:dyDescent="0.2">
      <c r="B4835" s="7"/>
      <c r="C4835" s="8">
        <v>15073</v>
      </c>
      <c r="D4835" s="9" t="s">
        <v>286</v>
      </c>
      <c r="E4835" s="10" t="str">
        <f t="shared" si="623"/>
        <v>Rancho Zinamba No. 20</v>
      </c>
      <c r="F4835" s="10" t="str">
        <f t="shared" si="624"/>
        <v>Cruz Vallejo</v>
      </c>
      <c r="G4835" s="8">
        <v>3</v>
      </c>
      <c r="H4835" s="11">
        <v>200</v>
      </c>
      <c r="I4835" s="12">
        <v>42995</v>
      </c>
      <c r="J4835" s="35">
        <f t="shared" si="625"/>
        <v>0</v>
      </c>
      <c r="K4835" s="36"/>
      <c r="L4835" s="36"/>
      <c r="M4835" s="36"/>
      <c r="N4835" s="36"/>
      <c r="O4835" s="36"/>
      <c r="P4835" s="36"/>
      <c r="Q4835" s="36"/>
      <c r="R4835" s="36"/>
      <c r="S4835" s="36"/>
      <c r="T4835" s="36"/>
      <c r="U4835" s="36"/>
      <c r="V4835" s="36"/>
      <c r="W4835" s="15">
        <f t="shared" si="626"/>
        <v>0</v>
      </c>
      <c r="X4835" s="36"/>
      <c r="Y4835" s="36"/>
      <c r="Z4835" s="36"/>
      <c r="AA4835" s="36"/>
      <c r="AB4835" s="36"/>
      <c r="AC4835" s="36"/>
      <c r="AD4835" s="36"/>
      <c r="AE4835" s="36"/>
      <c r="AF4835" s="36"/>
      <c r="AG4835" s="36"/>
      <c r="AH4835" s="36"/>
      <c r="AI4835" s="36"/>
      <c r="AJ4835" s="15">
        <f t="shared" si="627"/>
        <v>0</v>
      </c>
      <c r="AK4835" s="14"/>
      <c r="AL4835" s="14"/>
      <c r="AM4835" s="14"/>
      <c r="AN4835" s="14"/>
      <c r="AO4835" s="14"/>
      <c r="AP4835" s="14"/>
      <c r="AQ4835" s="14"/>
      <c r="AR4835" s="14"/>
      <c r="AS4835" s="14"/>
      <c r="AT4835" s="14"/>
      <c r="AU4835" s="14"/>
      <c r="AV4835" s="14"/>
      <c r="AW4835" s="15"/>
      <c r="AX4835" s="16"/>
    </row>
    <row r="4836" spans="2:50" x14ac:dyDescent="0.2">
      <c r="B4836" s="7"/>
      <c r="C4836" s="8">
        <v>15074</v>
      </c>
      <c r="D4836" s="9" t="s">
        <v>413</v>
      </c>
      <c r="E4836" s="10" t="str">
        <f t="shared" si="623"/>
        <v>Rancho Upácuaro No. 79</v>
      </c>
      <c r="F4836" s="10" t="str">
        <f t="shared" si="624"/>
        <v>Macías</v>
      </c>
      <c r="G4836" s="8">
        <v>1</v>
      </c>
      <c r="H4836" s="11">
        <v>800</v>
      </c>
      <c r="I4836" s="12">
        <v>42995</v>
      </c>
      <c r="J4836" s="35">
        <f t="shared" si="625"/>
        <v>0</v>
      </c>
      <c r="K4836" s="36"/>
      <c r="L4836" s="36"/>
      <c r="M4836" s="36"/>
      <c r="N4836" s="36"/>
      <c r="O4836" s="36"/>
      <c r="P4836" s="36"/>
      <c r="Q4836" s="36"/>
      <c r="R4836" s="36"/>
      <c r="S4836" s="36"/>
      <c r="T4836" s="36"/>
      <c r="U4836" s="36"/>
      <c r="V4836" s="36"/>
      <c r="W4836" s="15">
        <f t="shared" si="626"/>
        <v>0</v>
      </c>
      <c r="X4836" s="36"/>
      <c r="Y4836" s="36"/>
      <c r="Z4836" s="36"/>
      <c r="AA4836" s="36"/>
      <c r="AB4836" s="36"/>
      <c r="AC4836" s="36"/>
      <c r="AD4836" s="36"/>
      <c r="AE4836" s="36"/>
      <c r="AF4836" s="36">
        <v>400</v>
      </c>
      <c r="AG4836" s="36">
        <v>400</v>
      </c>
      <c r="AH4836" s="36"/>
      <c r="AI4836" s="36"/>
      <c r="AJ4836" s="15">
        <f t="shared" si="627"/>
        <v>800</v>
      </c>
      <c r="AK4836" s="14"/>
      <c r="AL4836" s="14"/>
      <c r="AM4836" s="14"/>
      <c r="AN4836" s="14"/>
      <c r="AO4836" s="14"/>
      <c r="AP4836" s="14"/>
      <c r="AQ4836" s="14"/>
      <c r="AR4836" s="14"/>
      <c r="AS4836" s="14"/>
      <c r="AT4836" s="14"/>
      <c r="AU4836" s="14"/>
      <c r="AV4836" s="14"/>
      <c r="AW4836" s="15"/>
      <c r="AX4836" s="16"/>
    </row>
    <row r="4837" spans="2:50" x14ac:dyDescent="0.2">
      <c r="B4837" s="7"/>
      <c r="C4837" s="8">
        <v>15074</v>
      </c>
      <c r="D4837" s="9" t="s">
        <v>413</v>
      </c>
      <c r="E4837" s="10" t="str">
        <f t="shared" ref="E4837:E4853" si="628">IF(D4837=0,"",VLOOKUP(D4837,BASE,2,FALSE))</f>
        <v>Rancho Upácuaro No. 79</v>
      </c>
      <c r="F4837" s="10" t="str">
        <f t="shared" ref="F4837:F4853" si="629">IF(D4837=0,"",VLOOKUP(D4837,BASE,3,FALSE))</f>
        <v>Macías</v>
      </c>
      <c r="G4837" s="8">
        <v>5</v>
      </c>
      <c r="H4837" s="11">
        <v>50</v>
      </c>
      <c r="I4837" s="12">
        <v>42995</v>
      </c>
      <c r="J4837" s="35">
        <f t="shared" ref="J4837:J4853" si="630">IF(G4837=1,SUM(W4837,AJ4837,-H4837),0)</f>
        <v>0</v>
      </c>
      <c r="K4837" s="36"/>
      <c r="L4837" s="36"/>
      <c r="M4837" s="36"/>
      <c r="N4837" s="36"/>
      <c r="O4837" s="36"/>
      <c r="P4837" s="36"/>
      <c r="Q4837" s="36"/>
      <c r="R4837" s="36"/>
      <c r="S4837" s="36"/>
      <c r="T4837" s="36"/>
      <c r="U4837" s="36"/>
      <c r="V4837" s="36"/>
      <c r="W4837" s="15">
        <f t="shared" ref="W4837:W4853" si="631">SUM(K4837:V4837)</f>
        <v>0</v>
      </c>
      <c r="X4837" s="36"/>
      <c r="Y4837" s="36"/>
      <c r="Z4837" s="36"/>
      <c r="AA4837" s="36"/>
      <c r="AB4837" s="36"/>
      <c r="AC4837" s="36"/>
      <c r="AD4837" s="36"/>
      <c r="AE4837" s="36"/>
      <c r="AF4837" s="36"/>
      <c r="AG4837" s="36"/>
      <c r="AH4837" s="36"/>
      <c r="AI4837" s="36"/>
      <c r="AJ4837" s="15">
        <f t="shared" ref="AJ4837:AJ4853" si="632">SUM(X4837:AI4837)</f>
        <v>0</v>
      </c>
      <c r="AK4837" s="14"/>
      <c r="AL4837" s="14"/>
      <c r="AM4837" s="14"/>
      <c r="AN4837" s="14"/>
      <c r="AO4837" s="14"/>
      <c r="AP4837" s="14"/>
      <c r="AQ4837" s="14"/>
      <c r="AR4837" s="14"/>
      <c r="AS4837" s="14"/>
      <c r="AT4837" s="14"/>
      <c r="AU4837" s="14"/>
      <c r="AV4837" s="14"/>
      <c r="AW4837" s="15"/>
      <c r="AX4837" s="16"/>
    </row>
    <row r="4838" spans="2:50" x14ac:dyDescent="0.2">
      <c r="B4838" s="7"/>
      <c r="C4838" s="8">
        <v>15075</v>
      </c>
      <c r="D4838" s="9" t="s">
        <v>608</v>
      </c>
      <c r="E4838" s="10" t="str">
        <f t="shared" si="628"/>
        <v>Rancho Upácuaro No. 146</v>
      </c>
      <c r="F4838" s="10" t="str">
        <f t="shared" si="629"/>
        <v>Islas</v>
      </c>
      <c r="G4838" s="8">
        <v>1</v>
      </c>
      <c r="H4838" s="11">
        <v>800</v>
      </c>
      <c r="I4838" s="12">
        <v>42995</v>
      </c>
      <c r="J4838" s="35">
        <f t="shared" si="630"/>
        <v>0</v>
      </c>
      <c r="K4838" s="36"/>
      <c r="L4838" s="36"/>
      <c r="M4838" s="36"/>
      <c r="N4838" s="36"/>
      <c r="O4838" s="36"/>
      <c r="P4838" s="36"/>
      <c r="Q4838" s="36"/>
      <c r="R4838" s="36"/>
      <c r="S4838" s="36"/>
      <c r="T4838" s="36"/>
      <c r="U4838" s="36"/>
      <c r="V4838" s="36"/>
      <c r="W4838" s="15">
        <f t="shared" si="631"/>
        <v>0</v>
      </c>
      <c r="X4838" s="36"/>
      <c r="Y4838" s="36"/>
      <c r="Z4838" s="36"/>
      <c r="AA4838" s="36"/>
      <c r="AB4838" s="36"/>
      <c r="AC4838" s="36"/>
      <c r="AD4838" s="36">
        <v>400</v>
      </c>
      <c r="AE4838" s="36">
        <v>400</v>
      </c>
      <c r="AF4838" s="36"/>
      <c r="AG4838" s="36"/>
      <c r="AH4838" s="36"/>
      <c r="AI4838" s="36"/>
      <c r="AJ4838" s="15">
        <f t="shared" si="632"/>
        <v>800</v>
      </c>
      <c r="AK4838" s="14"/>
      <c r="AL4838" s="14"/>
      <c r="AM4838" s="14"/>
      <c r="AN4838" s="14"/>
      <c r="AO4838" s="14"/>
      <c r="AP4838" s="14"/>
      <c r="AQ4838" s="14"/>
      <c r="AR4838" s="14"/>
      <c r="AS4838" s="14"/>
      <c r="AT4838" s="14"/>
      <c r="AU4838" s="14"/>
      <c r="AV4838" s="14"/>
      <c r="AW4838" s="15"/>
      <c r="AX4838" s="16"/>
    </row>
    <row r="4839" spans="2:50" x14ac:dyDescent="0.2">
      <c r="B4839" s="7"/>
      <c r="C4839" s="8">
        <v>15076</v>
      </c>
      <c r="D4839" s="9" t="s">
        <v>911</v>
      </c>
      <c r="E4839" s="10" t="str">
        <f t="shared" si="628"/>
        <v>Rancho Estanzuela No. 19</v>
      </c>
      <c r="F4839" s="10" t="str">
        <f t="shared" si="629"/>
        <v>Robles</v>
      </c>
      <c r="G4839" s="8">
        <v>3</v>
      </c>
      <c r="H4839" s="11">
        <v>200</v>
      </c>
      <c r="I4839" s="12">
        <v>42995</v>
      </c>
      <c r="J4839" s="35">
        <f t="shared" si="630"/>
        <v>0</v>
      </c>
      <c r="K4839" s="36"/>
      <c r="L4839" s="36"/>
      <c r="M4839" s="36"/>
      <c r="N4839" s="36"/>
      <c r="O4839" s="36"/>
      <c r="P4839" s="36"/>
      <c r="Q4839" s="36"/>
      <c r="R4839" s="36"/>
      <c r="S4839" s="36"/>
      <c r="T4839" s="36"/>
      <c r="U4839" s="36"/>
      <c r="V4839" s="36"/>
      <c r="W4839" s="15">
        <f t="shared" si="631"/>
        <v>0</v>
      </c>
      <c r="X4839" s="36"/>
      <c r="Y4839" s="36"/>
      <c r="Z4839" s="36"/>
      <c r="AA4839" s="36"/>
      <c r="AB4839" s="36"/>
      <c r="AC4839" s="36"/>
      <c r="AD4839" s="36"/>
      <c r="AE4839" s="36"/>
      <c r="AF4839" s="36"/>
      <c r="AG4839" s="36"/>
      <c r="AH4839" s="36"/>
      <c r="AI4839" s="36"/>
      <c r="AJ4839" s="15">
        <f t="shared" si="632"/>
        <v>0</v>
      </c>
      <c r="AK4839" s="14"/>
      <c r="AL4839" s="14"/>
      <c r="AM4839" s="14"/>
      <c r="AN4839" s="14"/>
      <c r="AO4839" s="14"/>
      <c r="AP4839" s="14"/>
      <c r="AQ4839" s="14"/>
      <c r="AR4839" s="14"/>
      <c r="AS4839" s="14"/>
      <c r="AT4839" s="14"/>
      <c r="AU4839" s="14"/>
      <c r="AV4839" s="14"/>
      <c r="AW4839" s="15"/>
      <c r="AX4839" s="16"/>
    </row>
    <row r="4840" spans="2:50" x14ac:dyDescent="0.2">
      <c r="B4840" s="7"/>
      <c r="C4840" s="8">
        <v>15077</v>
      </c>
      <c r="D4840" s="9" t="s">
        <v>846</v>
      </c>
      <c r="E4840" s="10" t="str">
        <f t="shared" si="628"/>
        <v>Rancho Estanzuela No. 95</v>
      </c>
      <c r="F4840" s="10" t="str">
        <f t="shared" si="629"/>
        <v>Castro Puente</v>
      </c>
      <c r="G4840" s="8">
        <v>1</v>
      </c>
      <c r="H4840" s="11">
        <v>800</v>
      </c>
      <c r="I4840" s="12">
        <v>42995</v>
      </c>
      <c r="J4840" s="35">
        <f t="shared" si="630"/>
        <v>0</v>
      </c>
      <c r="K4840" s="36"/>
      <c r="L4840" s="36"/>
      <c r="M4840" s="36"/>
      <c r="N4840" s="36"/>
      <c r="O4840" s="36"/>
      <c r="P4840" s="36"/>
      <c r="Q4840" s="36"/>
      <c r="R4840" s="36"/>
      <c r="S4840" s="36"/>
      <c r="T4840" s="36"/>
      <c r="U4840" s="36"/>
      <c r="V4840" s="36"/>
      <c r="W4840" s="15">
        <f t="shared" si="631"/>
        <v>0</v>
      </c>
      <c r="X4840" s="36"/>
      <c r="Y4840" s="36"/>
      <c r="Z4840" s="36"/>
      <c r="AA4840" s="36"/>
      <c r="AB4840" s="36"/>
      <c r="AC4840" s="36"/>
      <c r="AD4840" s="36"/>
      <c r="AE4840" s="36"/>
      <c r="AF4840" s="36">
        <v>400</v>
      </c>
      <c r="AG4840" s="36">
        <v>400</v>
      </c>
      <c r="AH4840" s="36"/>
      <c r="AI4840" s="36"/>
      <c r="AJ4840" s="15">
        <f t="shared" si="632"/>
        <v>800</v>
      </c>
      <c r="AK4840" s="14"/>
      <c r="AL4840" s="14"/>
      <c r="AM4840" s="14"/>
      <c r="AN4840" s="14"/>
      <c r="AO4840" s="14"/>
      <c r="AP4840" s="14"/>
      <c r="AQ4840" s="14"/>
      <c r="AR4840" s="14"/>
      <c r="AS4840" s="14"/>
      <c r="AT4840" s="14"/>
      <c r="AU4840" s="14"/>
      <c r="AV4840" s="14"/>
      <c r="AW4840" s="15"/>
      <c r="AX4840" s="16"/>
    </row>
    <row r="4841" spans="2:50" x14ac:dyDescent="0.2">
      <c r="B4841" s="7"/>
      <c r="C4841" s="8">
        <v>15078</v>
      </c>
      <c r="D4841" s="9" t="s">
        <v>322</v>
      </c>
      <c r="E4841" s="10" t="str">
        <f t="shared" si="628"/>
        <v>Rancho Zinamba No. 8</v>
      </c>
      <c r="F4841" s="10" t="str">
        <f t="shared" si="629"/>
        <v>Florido</v>
      </c>
      <c r="G4841" s="8">
        <v>1</v>
      </c>
      <c r="H4841" s="11">
        <v>400</v>
      </c>
      <c r="I4841" s="12">
        <v>42995</v>
      </c>
      <c r="J4841" s="35">
        <f t="shared" si="630"/>
        <v>0</v>
      </c>
      <c r="K4841" s="36"/>
      <c r="L4841" s="36"/>
      <c r="M4841" s="36"/>
      <c r="N4841" s="36"/>
      <c r="O4841" s="36"/>
      <c r="P4841" s="36"/>
      <c r="Q4841" s="36"/>
      <c r="R4841" s="36"/>
      <c r="S4841" s="36"/>
      <c r="T4841" s="36"/>
      <c r="U4841" s="36"/>
      <c r="V4841" s="36"/>
      <c r="W4841" s="15">
        <f t="shared" si="631"/>
        <v>0</v>
      </c>
      <c r="X4841" s="36"/>
      <c r="Y4841" s="36"/>
      <c r="Z4841" s="36"/>
      <c r="AA4841" s="36"/>
      <c r="AB4841" s="36"/>
      <c r="AC4841" s="36"/>
      <c r="AD4841" s="36">
        <v>400</v>
      </c>
      <c r="AE4841" s="36"/>
      <c r="AF4841" s="36"/>
      <c r="AG4841" s="36"/>
      <c r="AH4841" s="36"/>
      <c r="AI4841" s="36"/>
      <c r="AJ4841" s="15">
        <f t="shared" si="632"/>
        <v>400</v>
      </c>
      <c r="AK4841" s="14"/>
      <c r="AL4841" s="14"/>
      <c r="AM4841" s="14"/>
      <c r="AN4841" s="14"/>
      <c r="AO4841" s="14"/>
      <c r="AP4841" s="14"/>
      <c r="AQ4841" s="14"/>
      <c r="AR4841" s="14"/>
      <c r="AS4841" s="14"/>
      <c r="AT4841" s="14"/>
      <c r="AU4841" s="14"/>
      <c r="AV4841" s="14"/>
      <c r="AW4841" s="15"/>
      <c r="AX4841" s="16"/>
    </row>
    <row r="4842" spans="2:50" x14ac:dyDescent="0.2">
      <c r="B4842" s="7"/>
      <c r="C4842" s="8">
        <v>15079</v>
      </c>
      <c r="D4842" s="9" t="s">
        <v>123</v>
      </c>
      <c r="E4842" s="10" t="str">
        <f t="shared" si="628"/>
        <v>Rancho Recoveco No. 175, B</v>
      </c>
      <c r="F4842" s="10" t="str">
        <f t="shared" si="629"/>
        <v>García Calderón</v>
      </c>
      <c r="G4842" s="8">
        <v>1</v>
      </c>
      <c r="H4842" s="11">
        <v>250</v>
      </c>
      <c r="I4842" s="12">
        <v>42995</v>
      </c>
      <c r="J4842" s="35">
        <f t="shared" si="630"/>
        <v>0</v>
      </c>
      <c r="K4842" s="36"/>
      <c r="L4842" s="36"/>
      <c r="M4842" s="36"/>
      <c r="N4842" s="36"/>
      <c r="O4842" s="36"/>
      <c r="P4842" s="36"/>
      <c r="Q4842" s="36"/>
      <c r="R4842" s="36"/>
      <c r="S4842" s="36"/>
      <c r="T4842" s="36"/>
      <c r="U4842" s="36"/>
      <c r="V4842" s="36"/>
      <c r="W4842" s="15">
        <f t="shared" si="631"/>
        <v>0</v>
      </c>
      <c r="X4842" s="36"/>
      <c r="Y4842" s="36"/>
      <c r="Z4842" s="36"/>
      <c r="AA4842" s="36"/>
      <c r="AB4842" s="36"/>
      <c r="AC4842" s="36"/>
      <c r="AD4842" s="36"/>
      <c r="AE4842" s="36"/>
      <c r="AF4842" s="36">
        <v>250</v>
      </c>
      <c r="AG4842" s="36"/>
      <c r="AH4842" s="36"/>
      <c r="AI4842" s="36"/>
      <c r="AJ4842" s="15">
        <f t="shared" si="632"/>
        <v>250</v>
      </c>
      <c r="AK4842" s="14"/>
      <c r="AL4842" s="14"/>
      <c r="AM4842" s="14"/>
      <c r="AN4842" s="14"/>
      <c r="AO4842" s="14"/>
      <c r="AP4842" s="14"/>
      <c r="AQ4842" s="14"/>
      <c r="AR4842" s="14"/>
      <c r="AS4842" s="14"/>
      <c r="AT4842" s="14"/>
      <c r="AU4842" s="14"/>
      <c r="AV4842" s="14"/>
      <c r="AW4842" s="15"/>
      <c r="AX4842" s="16"/>
    </row>
    <row r="4843" spans="2:50" x14ac:dyDescent="0.2">
      <c r="B4843" s="7"/>
      <c r="C4843" s="8">
        <v>15080</v>
      </c>
      <c r="D4843" s="9" t="s">
        <v>189</v>
      </c>
      <c r="E4843" s="10" t="str">
        <f t="shared" si="628"/>
        <v>Rancho La Cuchilla No. 42</v>
      </c>
      <c r="F4843" s="10" t="str">
        <f t="shared" si="629"/>
        <v>Mac Kinney</v>
      </c>
      <c r="G4843" s="8">
        <v>1</v>
      </c>
      <c r="H4843" s="11">
        <v>800</v>
      </c>
      <c r="I4843" s="12">
        <v>42995</v>
      </c>
      <c r="J4843" s="35">
        <f t="shared" si="630"/>
        <v>0</v>
      </c>
      <c r="K4843" s="36"/>
      <c r="L4843" s="36"/>
      <c r="M4843" s="36"/>
      <c r="N4843" s="36"/>
      <c r="O4843" s="36"/>
      <c r="P4843" s="36"/>
      <c r="Q4843" s="36"/>
      <c r="R4843" s="36"/>
      <c r="S4843" s="36"/>
      <c r="T4843" s="36"/>
      <c r="U4843" s="36"/>
      <c r="V4843" s="36"/>
      <c r="W4843" s="15">
        <f t="shared" si="631"/>
        <v>0</v>
      </c>
      <c r="X4843" s="36"/>
      <c r="Y4843" s="36"/>
      <c r="Z4843" s="36"/>
      <c r="AA4843" s="36"/>
      <c r="AB4843" s="36">
        <v>400</v>
      </c>
      <c r="AC4843" s="36">
        <v>400</v>
      </c>
      <c r="AD4843" s="36"/>
      <c r="AE4843" s="36"/>
      <c r="AF4843" s="36"/>
      <c r="AG4843" s="36"/>
      <c r="AH4843" s="36"/>
      <c r="AI4843" s="36"/>
      <c r="AJ4843" s="15">
        <f t="shared" si="632"/>
        <v>800</v>
      </c>
      <c r="AK4843" s="14"/>
      <c r="AL4843" s="14"/>
      <c r="AM4843" s="14"/>
      <c r="AN4843" s="14"/>
      <c r="AO4843" s="14"/>
      <c r="AP4843" s="14"/>
      <c r="AQ4843" s="14"/>
      <c r="AR4843" s="14"/>
      <c r="AS4843" s="14"/>
      <c r="AT4843" s="14"/>
      <c r="AU4843" s="14"/>
      <c r="AV4843" s="14"/>
      <c r="AW4843" s="15"/>
      <c r="AX4843" s="16"/>
    </row>
    <row r="4844" spans="2:50" x14ac:dyDescent="0.2">
      <c r="B4844" s="7"/>
      <c r="C4844" s="8">
        <v>15081</v>
      </c>
      <c r="D4844" s="9" t="s">
        <v>398</v>
      </c>
      <c r="E4844" s="10" t="str">
        <f t="shared" si="628"/>
        <v>Rancho Estanzuela No. 151</v>
      </c>
      <c r="F4844" s="10" t="str">
        <f t="shared" si="629"/>
        <v>Pérez Salazar</v>
      </c>
      <c r="G4844" s="8">
        <v>1</v>
      </c>
      <c r="H4844" s="11">
        <v>400</v>
      </c>
      <c r="I4844" s="12">
        <v>42995</v>
      </c>
      <c r="J4844" s="35">
        <f t="shared" si="630"/>
        <v>0</v>
      </c>
      <c r="K4844" s="36"/>
      <c r="L4844" s="36"/>
      <c r="M4844" s="36"/>
      <c r="N4844" s="36"/>
      <c r="O4844" s="36"/>
      <c r="P4844" s="36"/>
      <c r="Q4844" s="36"/>
      <c r="R4844" s="36"/>
      <c r="S4844" s="36"/>
      <c r="T4844" s="36"/>
      <c r="U4844" s="36"/>
      <c r="V4844" s="36"/>
      <c r="W4844" s="15">
        <f t="shared" si="631"/>
        <v>0</v>
      </c>
      <c r="X4844" s="36"/>
      <c r="Y4844" s="36"/>
      <c r="Z4844" s="36"/>
      <c r="AA4844" s="36"/>
      <c r="AB4844" s="36"/>
      <c r="AC4844" s="36"/>
      <c r="AD4844" s="36"/>
      <c r="AE4844" s="36"/>
      <c r="AF4844" s="36">
        <v>400</v>
      </c>
      <c r="AG4844" s="36"/>
      <c r="AH4844" s="36"/>
      <c r="AI4844" s="36"/>
      <c r="AJ4844" s="15">
        <f t="shared" si="632"/>
        <v>400</v>
      </c>
      <c r="AK4844" s="14"/>
      <c r="AL4844" s="14"/>
      <c r="AM4844" s="14"/>
      <c r="AN4844" s="14"/>
      <c r="AO4844" s="14"/>
      <c r="AP4844" s="14"/>
      <c r="AQ4844" s="14"/>
      <c r="AR4844" s="14"/>
      <c r="AS4844" s="14"/>
      <c r="AT4844" s="14"/>
      <c r="AU4844" s="14"/>
      <c r="AV4844" s="14"/>
      <c r="AW4844" s="15"/>
      <c r="AX4844" s="16"/>
    </row>
    <row r="4845" spans="2:50" x14ac:dyDescent="0.2">
      <c r="B4845" s="7"/>
      <c r="C4845" s="8">
        <v>15082</v>
      </c>
      <c r="D4845" s="9" t="s">
        <v>763</v>
      </c>
      <c r="E4845" s="10" t="str">
        <f t="shared" si="628"/>
        <v>Rancho Estanzuela No. 79</v>
      </c>
      <c r="F4845" s="10" t="str">
        <f t="shared" si="629"/>
        <v>Mendoza</v>
      </c>
      <c r="G4845" s="8">
        <v>1</v>
      </c>
      <c r="H4845" s="11">
        <v>400</v>
      </c>
      <c r="I4845" s="12">
        <v>42995</v>
      </c>
      <c r="J4845" s="35">
        <f t="shared" si="630"/>
        <v>0</v>
      </c>
      <c r="K4845" s="36"/>
      <c r="L4845" s="36"/>
      <c r="M4845" s="36"/>
      <c r="N4845" s="36"/>
      <c r="O4845" s="36"/>
      <c r="P4845" s="36"/>
      <c r="Q4845" s="36"/>
      <c r="R4845" s="36"/>
      <c r="S4845" s="36"/>
      <c r="T4845" s="36"/>
      <c r="U4845" s="36"/>
      <c r="V4845" s="36"/>
      <c r="W4845" s="15">
        <f t="shared" si="631"/>
        <v>0</v>
      </c>
      <c r="X4845" s="36"/>
      <c r="Y4845" s="36"/>
      <c r="Z4845" s="36"/>
      <c r="AA4845" s="36"/>
      <c r="AB4845" s="36"/>
      <c r="AC4845" s="36">
        <v>200</v>
      </c>
      <c r="AD4845" s="36">
        <v>200</v>
      </c>
      <c r="AE4845" s="36"/>
      <c r="AF4845" s="36"/>
      <c r="AG4845" s="36"/>
      <c r="AH4845" s="36"/>
      <c r="AI4845" s="36"/>
      <c r="AJ4845" s="15">
        <f t="shared" si="632"/>
        <v>400</v>
      </c>
      <c r="AK4845" s="14"/>
      <c r="AL4845" s="14"/>
      <c r="AM4845" s="14"/>
      <c r="AN4845" s="14"/>
      <c r="AO4845" s="14"/>
      <c r="AP4845" s="14"/>
      <c r="AQ4845" s="14"/>
      <c r="AR4845" s="14"/>
      <c r="AS4845" s="14"/>
      <c r="AT4845" s="14"/>
      <c r="AU4845" s="14"/>
      <c r="AV4845" s="14"/>
      <c r="AW4845" s="15"/>
      <c r="AX4845" s="16"/>
    </row>
    <row r="4846" spans="2:50" x14ac:dyDescent="0.2">
      <c r="B4846" s="7"/>
      <c r="C4846" s="8">
        <v>15083</v>
      </c>
      <c r="D4846" s="9" t="s">
        <v>687</v>
      </c>
      <c r="E4846" s="10" t="str">
        <f t="shared" ref="E4846:E4852" si="633">IF(D4846=0,"",VLOOKUP(D4846,BASE,2,FALSE))</f>
        <v>Rancho Upácuaro No. 21</v>
      </c>
      <c r="F4846" s="10" t="str">
        <f t="shared" ref="F4846:F4852" si="634">IF(D4846=0,"",VLOOKUP(D4846,BASE,3,FALSE))</f>
        <v>Fierro Betancourt</v>
      </c>
      <c r="G4846" s="8">
        <v>1</v>
      </c>
      <c r="H4846" s="11">
        <v>200</v>
      </c>
      <c r="I4846" s="12">
        <v>42995</v>
      </c>
      <c r="J4846" s="35">
        <f t="shared" ref="J4846:J4852" si="635">IF(G4846=1,SUM(W4846,AJ4846,-H4846),0)</f>
        <v>0</v>
      </c>
      <c r="K4846" s="36"/>
      <c r="L4846" s="36"/>
      <c r="M4846" s="36"/>
      <c r="N4846" s="36"/>
      <c r="O4846" s="36"/>
      <c r="P4846" s="36"/>
      <c r="Q4846" s="36"/>
      <c r="R4846" s="36"/>
      <c r="S4846" s="36"/>
      <c r="T4846" s="36"/>
      <c r="U4846" s="36"/>
      <c r="V4846" s="36"/>
      <c r="W4846" s="15">
        <f t="shared" ref="W4846:W4852" si="636">SUM(K4846:V4846)</f>
        <v>0</v>
      </c>
      <c r="X4846" s="36"/>
      <c r="Y4846" s="36"/>
      <c r="Z4846" s="36"/>
      <c r="AA4846" s="36"/>
      <c r="AB4846" s="36"/>
      <c r="AC4846" s="36"/>
      <c r="AD4846" s="36"/>
      <c r="AE4846" s="36"/>
      <c r="AF4846" s="36">
        <v>200</v>
      </c>
      <c r="AG4846" s="36"/>
      <c r="AH4846" s="36"/>
      <c r="AI4846" s="36"/>
      <c r="AJ4846" s="15">
        <f t="shared" ref="AJ4846:AJ4852" si="637">SUM(X4846:AI4846)</f>
        <v>200</v>
      </c>
      <c r="AK4846" s="14"/>
      <c r="AL4846" s="14"/>
      <c r="AM4846" s="14"/>
      <c r="AN4846" s="14"/>
      <c r="AO4846" s="14"/>
      <c r="AP4846" s="14"/>
      <c r="AQ4846" s="14"/>
      <c r="AR4846" s="14"/>
      <c r="AS4846" s="14"/>
      <c r="AT4846" s="14"/>
      <c r="AU4846" s="14"/>
      <c r="AV4846" s="14"/>
      <c r="AW4846" s="15"/>
      <c r="AX4846" s="16"/>
    </row>
    <row r="4847" spans="2:50" x14ac:dyDescent="0.2">
      <c r="B4847" s="7"/>
      <c r="C4847" s="8">
        <v>15084</v>
      </c>
      <c r="D4847" s="9" t="s">
        <v>401</v>
      </c>
      <c r="E4847" s="10" t="str">
        <f t="shared" si="633"/>
        <v>Rancho Landero No. 68</v>
      </c>
      <c r="F4847" s="10" t="str">
        <f t="shared" si="634"/>
        <v>Moreno</v>
      </c>
      <c r="G4847" s="8">
        <v>1</v>
      </c>
      <c r="H4847" s="11">
        <v>1200</v>
      </c>
      <c r="I4847" s="12">
        <v>42995</v>
      </c>
      <c r="J4847" s="35">
        <f t="shared" si="635"/>
        <v>0</v>
      </c>
      <c r="K4847" s="36"/>
      <c r="L4847" s="36"/>
      <c r="M4847" s="36"/>
      <c r="N4847" s="36"/>
      <c r="O4847" s="36"/>
      <c r="P4847" s="36"/>
      <c r="Q4847" s="36"/>
      <c r="R4847" s="36"/>
      <c r="S4847" s="36"/>
      <c r="T4847" s="36"/>
      <c r="U4847" s="36"/>
      <c r="V4847" s="36"/>
      <c r="W4847" s="15">
        <f t="shared" si="636"/>
        <v>0</v>
      </c>
      <c r="X4847" s="36"/>
      <c r="Y4847" s="36"/>
      <c r="Z4847" s="36"/>
      <c r="AA4847" s="36"/>
      <c r="AB4847" s="36"/>
      <c r="AC4847" s="36"/>
      <c r="AD4847" s="36">
        <v>400</v>
      </c>
      <c r="AE4847" s="36">
        <v>400</v>
      </c>
      <c r="AF4847" s="36">
        <v>400</v>
      </c>
      <c r="AG4847" s="36"/>
      <c r="AH4847" s="36"/>
      <c r="AI4847" s="36"/>
      <c r="AJ4847" s="15">
        <f t="shared" si="637"/>
        <v>1200</v>
      </c>
      <c r="AK4847" s="14"/>
      <c r="AL4847" s="14"/>
      <c r="AM4847" s="14"/>
      <c r="AN4847" s="14"/>
      <c r="AO4847" s="14"/>
      <c r="AP4847" s="14"/>
      <c r="AQ4847" s="14"/>
      <c r="AR4847" s="14"/>
      <c r="AS4847" s="14"/>
      <c r="AT4847" s="14"/>
      <c r="AU4847" s="14"/>
      <c r="AV4847" s="14"/>
      <c r="AW4847" s="15"/>
      <c r="AX4847" s="16" t="s">
        <v>4477</v>
      </c>
    </row>
    <row r="4848" spans="2:50" x14ac:dyDescent="0.2">
      <c r="B4848" s="7"/>
      <c r="C4848" s="8">
        <v>15085</v>
      </c>
      <c r="D4848" s="9" t="s">
        <v>458</v>
      </c>
      <c r="E4848" s="10" t="str">
        <f t="shared" si="633"/>
        <v>Rancho Estanzuela No. 143, B</v>
      </c>
      <c r="F4848" s="10" t="str">
        <f t="shared" si="634"/>
        <v>López</v>
      </c>
      <c r="G4848" s="8">
        <v>1</v>
      </c>
      <c r="H4848" s="11">
        <v>800</v>
      </c>
      <c r="I4848" s="12">
        <v>42995</v>
      </c>
      <c r="J4848" s="35">
        <f t="shared" si="635"/>
        <v>0</v>
      </c>
      <c r="K4848" s="36"/>
      <c r="L4848" s="36"/>
      <c r="M4848" s="36"/>
      <c r="N4848" s="36"/>
      <c r="O4848" s="36"/>
      <c r="P4848" s="36"/>
      <c r="Q4848" s="36"/>
      <c r="R4848" s="36"/>
      <c r="S4848" s="36"/>
      <c r="T4848" s="36"/>
      <c r="U4848" s="36"/>
      <c r="V4848" s="36"/>
      <c r="W4848" s="15">
        <f t="shared" si="636"/>
        <v>0</v>
      </c>
      <c r="X4848" s="36"/>
      <c r="Y4848" s="36"/>
      <c r="Z4848" s="36"/>
      <c r="AA4848" s="36"/>
      <c r="AB4848" s="36"/>
      <c r="AC4848" s="36"/>
      <c r="AD4848" s="36"/>
      <c r="AE4848" s="36">
        <v>400</v>
      </c>
      <c r="AF4848" s="36">
        <v>400</v>
      </c>
      <c r="AG4848" s="36"/>
      <c r="AH4848" s="36"/>
      <c r="AI4848" s="36"/>
      <c r="AJ4848" s="15">
        <f t="shared" si="637"/>
        <v>800</v>
      </c>
      <c r="AK4848" s="14"/>
      <c r="AL4848" s="14"/>
      <c r="AM4848" s="14"/>
      <c r="AN4848" s="14"/>
      <c r="AO4848" s="14"/>
      <c r="AP4848" s="14"/>
      <c r="AQ4848" s="14"/>
      <c r="AR4848" s="14"/>
      <c r="AS4848" s="14"/>
      <c r="AT4848" s="14"/>
      <c r="AU4848" s="14"/>
      <c r="AV4848" s="14"/>
      <c r="AW4848" s="15"/>
      <c r="AX4848" s="16"/>
    </row>
    <row r="4849" spans="2:50" x14ac:dyDescent="0.2">
      <c r="B4849" s="7"/>
      <c r="C4849" s="8">
        <v>15086</v>
      </c>
      <c r="D4849" s="9" t="s">
        <v>1267</v>
      </c>
      <c r="E4849" s="10" t="str">
        <f t="shared" si="633"/>
        <v>Rancho La Cuchilla No. 31</v>
      </c>
      <c r="F4849" s="10" t="str">
        <f t="shared" si="634"/>
        <v>Lince</v>
      </c>
      <c r="G4849" s="8">
        <v>1</v>
      </c>
      <c r="H4849" s="11">
        <v>900</v>
      </c>
      <c r="I4849" s="12">
        <v>42995</v>
      </c>
      <c r="J4849" s="35">
        <f t="shared" si="635"/>
        <v>0</v>
      </c>
      <c r="K4849" s="36"/>
      <c r="L4849" s="36"/>
      <c r="M4849" s="36"/>
      <c r="N4849" s="36"/>
      <c r="O4849" s="36"/>
      <c r="P4849" s="36"/>
      <c r="Q4849" s="36"/>
      <c r="R4849" s="36"/>
      <c r="S4849" s="36"/>
      <c r="T4849" s="36"/>
      <c r="U4849" s="36"/>
      <c r="V4849" s="36"/>
      <c r="W4849" s="15">
        <f t="shared" si="636"/>
        <v>0</v>
      </c>
      <c r="X4849" s="36"/>
      <c r="Y4849" s="36"/>
      <c r="Z4849" s="36"/>
      <c r="AA4849" s="36"/>
      <c r="AB4849" s="36">
        <v>300</v>
      </c>
      <c r="AC4849" s="36">
        <v>300</v>
      </c>
      <c r="AD4849" s="36">
        <v>300</v>
      </c>
      <c r="AE4849" s="36"/>
      <c r="AF4849" s="36"/>
      <c r="AG4849" s="36"/>
      <c r="AH4849" s="36"/>
      <c r="AI4849" s="36"/>
      <c r="AJ4849" s="15">
        <f t="shared" si="637"/>
        <v>900</v>
      </c>
      <c r="AK4849" s="14"/>
      <c r="AL4849" s="14"/>
      <c r="AM4849" s="14"/>
      <c r="AN4849" s="14"/>
      <c r="AO4849" s="14"/>
      <c r="AP4849" s="14"/>
      <c r="AQ4849" s="14"/>
      <c r="AR4849" s="14"/>
      <c r="AS4849" s="14"/>
      <c r="AT4849" s="14"/>
      <c r="AU4849" s="14"/>
      <c r="AV4849" s="14"/>
      <c r="AW4849" s="15"/>
      <c r="AX4849" s="16"/>
    </row>
    <row r="4850" spans="2:50" x14ac:dyDescent="0.2">
      <c r="B4850" s="7"/>
      <c r="C4850" s="8">
        <v>15087</v>
      </c>
      <c r="D4850" s="9" t="s">
        <v>526</v>
      </c>
      <c r="E4850" s="10" t="str">
        <f t="shared" si="633"/>
        <v>Rancho Landero No. 62</v>
      </c>
      <c r="F4850" s="10" t="str">
        <f t="shared" si="634"/>
        <v>Narvaez Sara</v>
      </c>
      <c r="G4850" s="8">
        <v>1</v>
      </c>
      <c r="H4850" s="11">
        <v>900</v>
      </c>
      <c r="I4850" s="12">
        <v>42995</v>
      </c>
      <c r="J4850" s="35">
        <f t="shared" si="635"/>
        <v>0</v>
      </c>
      <c r="K4850" s="36"/>
      <c r="L4850" s="36"/>
      <c r="M4850" s="36"/>
      <c r="N4850" s="36"/>
      <c r="O4850" s="36"/>
      <c r="P4850" s="36"/>
      <c r="Q4850" s="36"/>
      <c r="R4850" s="36"/>
      <c r="S4850" s="36"/>
      <c r="T4850" s="36"/>
      <c r="U4850" s="36"/>
      <c r="V4850" s="36"/>
      <c r="W4850" s="15">
        <f t="shared" si="636"/>
        <v>0</v>
      </c>
      <c r="X4850" s="36"/>
      <c r="Y4850" s="36"/>
      <c r="Z4850" s="36"/>
      <c r="AA4850" s="36"/>
      <c r="AB4850" s="36"/>
      <c r="AC4850" s="36"/>
      <c r="AD4850" s="36">
        <v>300</v>
      </c>
      <c r="AE4850" s="36">
        <v>300</v>
      </c>
      <c r="AF4850" s="36">
        <v>300</v>
      </c>
      <c r="AG4850" s="36"/>
      <c r="AH4850" s="36"/>
      <c r="AI4850" s="36"/>
      <c r="AJ4850" s="15">
        <f t="shared" si="637"/>
        <v>900</v>
      </c>
      <c r="AK4850" s="14"/>
      <c r="AL4850" s="14"/>
      <c r="AM4850" s="14"/>
      <c r="AN4850" s="14"/>
      <c r="AO4850" s="14"/>
      <c r="AP4850" s="14"/>
      <c r="AQ4850" s="14"/>
      <c r="AR4850" s="14"/>
      <c r="AS4850" s="14"/>
      <c r="AT4850" s="14"/>
      <c r="AU4850" s="14"/>
      <c r="AV4850" s="14"/>
      <c r="AW4850" s="15"/>
      <c r="AX4850" s="16"/>
    </row>
    <row r="4851" spans="2:50" x14ac:dyDescent="0.2">
      <c r="B4851" s="7"/>
      <c r="C4851" s="8">
        <v>15088</v>
      </c>
      <c r="D4851" s="9" t="s">
        <v>526</v>
      </c>
      <c r="E4851" s="10" t="str">
        <f t="shared" si="633"/>
        <v>Rancho Landero No. 62</v>
      </c>
      <c r="F4851" s="10" t="str">
        <f t="shared" si="634"/>
        <v>Narvaez Sara</v>
      </c>
      <c r="G4851" s="8">
        <v>4</v>
      </c>
      <c r="H4851" s="11">
        <v>200</v>
      </c>
      <c r="I4851" s="12">
        <v>42995</v>
      </c>
      <c r="J4851" s="35">
        <f t="shared" si="635"/>
        <v>0</v>
      </c>
      <c r="K4851" s="36"/>
      <c r="L4851" s="36"/>
      <c r="M4851" s="36"/>
      <c r="N4851" s="36"/>
      <c r="O4851" s="36"/>
      <c r="P4851" s="36"/>
      <c r="Q4851" s="36"/>
      <c r="R4851" s="36"/>
      <c r="S4851" s="36"/>
      <c r="T4851" s="36"/>
      <c r="U4851" s="36"/>
      <c r="V4851" s="36"/>
      <c r="W4851" s="15">
        <f t="shared" si="636"/>
        <v>0</v>
      </c>
      <c r="X4851" s="36"/>
      <c r="Y4851" s="36"/>
      <c r="Z4851" s="36"/>
      <c r="AA4851" s="36"/>
      <c r="AB4851" s="36"/>
      <c r="AC4851" s="36"/>
      <c r="AD4851" s="36"/>
      <c r="AE4851" s="36"/>
      <c r="AF4851" s="36"/>
      <c r="AG4851" s="36"/>
      <c r="AH4851" s="36"/>
      <c r="AI4851" s="36"/>
      <c r="AJ4851" s="15">
        <f t="shared" si="637"/>
        <v>0</v>
      </c>
      <c r="AK4851" s="14"/>
      <c r="AL4851" s="14"/>
      <c r="AM4851" s="14"/>
      <c r="AN4851" s="14"/>
      <c r="AO4851" s="14"/>
      <c r="AP4851" s="14"/>
      <c r="AQ4851" s="14"/>
      <c r="AR4851" s="14"/>
      <c r="AS4851" s="14"/>
      <c r="AT4851" s="14"/>
      <c r="AU4851" s="14"/>
      <c r="AV4851" s="14"/>
      <c r="AW4851" s="15"/>
      <c r="AX4851" s="16" t="s">
        <v>4478</v>
      </c>
    </row>
    <row r="4852" spans="2:50" x14ac:dyDescent="0.2">
      <c r="B4852" s="7"/>
      <c r="C4852" s="8">
        <v>15089</v>
      </c>
      <c r="D4852" s="9" t="s">
        <v>637</v>
      </c>
      <c r="E4852" s="10" t="str">
        <f t="shared" si="633"/>
        <v>Rancho Recoveco No. 193</v>
      </c>
      <c r="F4852" s="10" t="str">
        <f t="shared" si="634"/>
        <v>Salazar Pérez</v>
      </c>
      <c r="G4852" s="8">
        <v>1</v>
      </c>
      <c r="H4852" s="11">
        <v>800</v>
      </c>
      <c r="I4852" s="12">
        <v>42995</v>
      </c>
      <c r="J4852" s="35">
        <f t="shared" si="635"/>
        <v>0</v>
      </c>
      <c r="K4852" s="36"/>
      <c r="L4852" s="36"/>
      <c r="M4852" s="36"/>
      <c r="N4852" s="36"/>
      <c r="O4852" s="36"/>
      <c r="P4852" s="36"/>
      <c r="Q4852" s="36"/>
      <c r="R4852" s="36"/>
      <c r="S4852" s="36"/>
      <c r="T4852" s="36"/>
      <c r="U4852" s="36"/>
      <c r="V4852" s="36"/>
      <c r="W4852" s="15">
        <f t="shared" si="636"/>
        <v>0</v>
      </c>
      <c r="X4852" s="36"/>
      <c r="Y4852" s="36"/>
      <c r="Z4852" s="36"/>
      <c r="AA4852" s="36"/>
      <c r="AB4852" s="36"/>
      <c r="AC4852" s="36"/>
      <c r="AD4852" s="36"/>
      <c r="AE4852" s="36">
        <v>400</v>
      </c>
      <c r="AF4852" s="36">
        <v>400</v>
      </c>
      <c r="AG4852" s="36"/>
      <c r="AH4852" s="36"/>
      <c r="AI4852" s="36"/>
      <c r="AJ4852" s="15">
        <f t="shared" si="637"/>
        <v>800</v>
      </c>
      <c r="AK4852" s="14"/>
      <c r="AL4852" s="14"/>
      <c r="AM4852" s="14"/>
      <c r="AN4852" s="14"/>
      <c r="AO4852" s="14"/>
      <c r="AP4852" s="14"/>
      <c r="AQ4852" s="14"/>
      <c r="AR4852" s="14"/>
      <c r="AS4852" s="14"/>
      <c r="AT4852" s="14"/>
      <c r="AU4852" s="14"/>
      <c r="AV4852" s="14"/>
      <c r="AW4852" s="15"/>
      <c r="AX4852" s="16"/>
    </row>
    <row r="4853" spans="2:50" x14ac:dyDescent="0.2">
      <c r="B4853" s="7"/>
      <c r="C4853" s="8">
        <v>15090</v>
      </c>
      <c r="D4853" s="9" t="s">
        <v>574</v>
      </c>
      <c r="E4853" s="10" t="str">
        <f t="shared" si="628"/>
        <v xml:space="preserve">Rancho Upácuaro No. 94 </v>
      </c>
      <c r="F4853" s="10" t="str">
        <f t="shared" si="629"/>
        <v>Juárez Patiño</v>
      </c>
      <c r="G4853" s="8">
        <v>1</v>
      </c>
      <c r="H4853" s="11">
        <v>300</v>
      </c>
      <c r="I4853" s="12">
        <v>42995</v>
      </c>
      <c r="J4853" s="35">
        <f t="shared" si="630"/>
        <v>0</v>
      </c>
      <c r="K4853" s="36"/>
      <c r="L4853" s="36"/>
      <c r="M4853" s="36"/>
      <c r="N4853" s="36"/>
      <c r="O4853" s="36"/>
      <c r="P4853" s="36"/>
      <c r="Q4853" s="36"/>
      <c r="R4853" s="36"/>
      <c r="S4853" s="36"/>
      <c r="T4853" s="36"/>
      <c r="U4853" s="36"/>
      <c r="V4853" s="36"/>
      <c r="W4853" s="15">
        <f t="shared" si="631"/>
        <v>0</v>
      </c>
      <c r="X4853" s="36"/>
      <c r="Y4853" s="36"/>
      <c r="Z4853" s="36"/>
      <c r="AA4853" s="36"/>
      <c r="AB4853" s="36"/>
      <c r="AC4853" s="36"/>
      <c r="AD4853" s="36"/>
      <c r="AE4853" s="36"/>
      <c r="AF4853" s="36">
        <v>300</v>
      </c>
      <c r="AG4853" s="36"/>
      <c r="AH4853" s="36"/>
      <c r="AI4853" s="36"/>
      <c r="AJ4853" s="15">
        <f t="shared" si="632"/>
        <v>300</v>
      </c>
      <c r="AK4853" s="14"/>
      <c r="AL4853" s="14"/>
      <c r="AM4853" s="14"/>
      <c r="AN4853" s="14"/>
      <c r="AO4853" s="14"/>
      <c r="AP4853" s="14"/>
      <c r="AQ4853" s="14"/>
      <c r="AR4853" s="14"/>
      <c r="AS4853" s="14"/>
      <c r="AT4853" s="14"/>
      <c r="AU4853" s="14"/>
      <c r="AV4853" s="14"/>
      <c r="AW4853" s="15"/>
      <c r="AX4853" s="16"/>
    </row>
    <row r="4854" spans="2:50" x14ac:dyDescent="0.2">
      <c r="B4854" s="7"/>
      <c r="C4854" s="8">
        <v>15090</v>
      </c>
      <c r="D4854" s="9" t="s">
        <v>574</v>
      </c>
      <c r="E4854" s="10" t="str">
        <f t="shared" si="623"/>
        <v xml:space="preserve">Rancho Upácuaro No. 94 </v>
      </c>
      <c r="F4854" s="10" t="str">
        <f t="shared" si="624"/>
        <v>Juárez Patiño</v>
      </c>
      <c r="G4854" s="8">
        <v>5</v>
      </c>
      <c r="H4854" s="11">
        <v>50</v>
      </c>
      <c r="I4854" s="12">
        <v>42995</v>
      </c>
      <c r="J4854" s="35">
        <f t="shared" si="625"/>
        <v>0</v>
      </c>
      <c r="K4854" s="36"/>
      <c r="L4854" s="36"/>
      <c r="M4854" s="36"/>
      <c r="N4854" s="36"/>
      <c r="O4854" s="36"/>
      <c r="P4854" s="36"/>
      <c r="Q4854" s="36"/>
      <c r="R4854" s="36"/>
      <c r="S4854" s="36"/>
      <c r="T4854" s="36"/>
      <c r="U4854" s="36"/>
      <c r="V4854" s="36"/>
      <c r="W4854" s="15">
        <f t="shared" si="626"/>
        <v>0</v>
      </c>
      <c r="X4854" s="36"/>
      <c r="Y4854" s="36"/>
      <c r="Z4854" s="36"/>
      <c r="AA4854" s="36"/>
      <c r="AB4854" s="36"/>
      <c r="AC4854" s="36"/>
      <c r="AD4854" s="36"/>
      <c r="AE4854" s="36"/>
      <c r="AF4854" s="36"/>
      <c r="AG4854" s="36"/>
      <c r="AH4854" s="36"/>
      <c r="AI4854" s="36"/>
      <c r="AJ4854" s="15">
        <f t="shared" si="627"/>
        <v>0</v>
      </c>
      <c r="AK4854" s="14"/>
      <c r="AL4854" s="14"/>
      <c r="AM4854" s="14"/>
      <c r="AN4854" s="14"/>
      <c r="AO4854" s="14"/>
      <c r="AP4854" s="14"/>
      <c r="AQ4854" s="14"/>
      <c r="AR4854" s="14"/>
      <c r="AS4854" s="14"/>
      <c r="AT4854" s="14"/>
      <c r="AU4854" s="14"/>
      <c r="AV4854" s="14"/>
      <c r="AW4854" s="15"/>
      <c r="AX4854" s="16"/>
    </row>
    <row r="4855" spans="2:50" x14ac:dyDescent="0.2">
      <c r="B4855" s="7"/>
      <c r="C4855" s="8">
        <v>15091</v>
      </c>
      <c r="D4855" s="9" t="s">
        <v>346</v>
      </c>
      <c r="E4855" s="10" t="str">
        <f t="shared" si="613"/>
        <v>Rancho Upácuaro No. 108</v>
      </c>
      <c r="F4855" s="10" t="str">
        <f t="shared" si="614"/>
        <v>Mejía</v>
      </c>
      <c r="G4855" s="8">
        <v>1</v>
      </c>
      <c r="H4855" s="11">
        <v>300</v>
      </c>
      <c r="I4855" s="12">
        <v>42995</v>
      </c>
      <c r="J4855" s="35">
        <f t="shared" si="615"/>
        <v>0</v>
      </c>
      <c r="K4855" s="36"/>
      <c r="L4855" s="36"/>
      <c r="M4855" s="36"/>
      <c r="N4855" s="36"/>
      <c r="O4855" s="36"/>
      <c r="P4855" s="36"/>
      <c r="Q4855" s="36"/>
      <c r="R4855" s="36"/>
      <c r="S4855" s="36"/>
      <c r="T4855" s="36"/>
      <c r="U4855" s="36"/>
      <c r="V4855" s="36"/>
      <c r="W4855" s="15">
        <f t="shared" si="616"/>
        <v>0</v>
      </c>
      <c r="X4855" s="36"/>
      <c r="Y4855" s="36"/>
      <c r="Z4855" s="36"/>
      <c r="AA4855" s="36"/>
      <c r="AB4855" s="36"/>
      <c r="AC4855" s="36"/>
      <c r="AD4855" s="36"/>
      <c r="AE4855" s="36"/>
      <c r="AF4855" s="36">
        <v>300</v>
      </c>
      <c r="AG4855" s="36"/>
      <c r="AH4855" s="36"/>
      <c r="AI4855" s="36"/>
      <c r="AJ4855" s="15">
        <f t="shared" si="617"/>
        <v>300</v>
      </c>
      <c r="AK4855" s="14"/>
      <c r="AL4855" s="14"/>
      <c r="AM4855" s="14"/>
      <c r="AN4855" s="14"/>
      <c r="AO4855" s="14"/>
      <c r="AP4855" s="14"/>
      <c r="AQ4855" s="14"/>
      <c r="AR4855" s="14"/>
      <c r="AS4855" s="14"/>
      <c r="AT4855" s="14"/>
      <c r="AU4855" s="14"/>
      <c r="AV4855" s="14"/>
      <c r="AW4855" s="15"/>
      <c r="AX4855" s="16"/>
    </row>
    <row r="4856" spans="2:50" x14ac:dyDescent="0.2">
      <c r="B4856" s="7"/>
      <c r="C4856" s="8">
        <v>15092</v>
      </c>
      <c r="D4856" s="9" t="s">
        <v>422</v>
      </c>
      <c r="E4856" s="10" t="str">
        <f t="shared" si="613"/>
        <v>Rancho Recoveco No. 183</v>
      </c>
      <c r="F4856" s="10" t="str">
        <f t="shared" si="614"/>
        <v>Atilano Limón</v>
      </c>
      <c r="G4856" s="8">
        <v>3</v>
      </c>
      <c r="H4856" s="11">
        <v>200</v>
      </c>
      <c r="I4856" s="12">
        <v>42995</v>
      </c>
      <c r="J4856" s="35">
        <f t="shared" si="615"/>
        <v>0</v>
      </c>
      <c r="K4856" s="36"/>
      <c r="L4856" s="36"/>
      <c r="M4856" s="36"/>
      <c r="N4856" s="36"/>
      <c r="O4856" s="36"/>
      <c r="P4856" s="36"/>
      <c r="Q4856" s="36"/>
      <c r="R4856" s="36"/>
      <c r="S4856" s="36"/>
      <c r="T4856" s="36"/>
      <c r="U4856" s="36"/>
      <c r="V4856" s="36"/>
      <c r="W4856" s="15">
        <f t="shared" si="616"/>
        <v>0</v>
      </c>
      <c r="X4856" s="36"/>
      <c r="Y4856" s="36"/>
      <c r="Z4856" s="36"/>
      <c r="AA4856" s="36"/>
      <c r="AB4856" s="36"/>
      <c r="AC4856" s="36"/>
      <c r="AD4856" s="36"/>
      <c r="AE4856" s="36"/>
      <c r="AF4856" s="36"/>
      <c r="AG4856" s="36"/>
      <c r="AH4856" s="36"/>
      <c r="AI4856" s="36"/>
      <c r="AJ4856" s="15">
        <f t="shared" si="617"/>
        <v>0</v>
      </c>
      <c r="AK4856" s="14"/>
      <c r="AL4856" s="14"/>
      <c r="AM4856" s="14"/>
      <c r="AN4856" s="14"/>
      <c r="AO4856" s="14"/>
      <c r="AP4856" s="14"/>
      <c r="AQ4856" s="14"/>
      <c r="AR4856" s="14"/>
      <c r="AS4856" s="14"/>
      <c r="AT4856" s="14"/>
      <c r="AU4856" s="14"/>
      <c r="AV4856" s="14"/>
      <c r="AW4856" s="15"/>
      <c r="AX4856" s="16"/>
    </row>
    <row r="4857" spans="2:50" x14ac:dyDescent="0.2">
      <c r="B4857" s="7"/>
      <c r="C4857" s="8">
        <v>15092</v>
      </c>
      <c r="D4857" s="9" t="s">
        <v>422</v>
      </c>
      <c r="E4857" s="10" t="str">
        <f t="shared" si="613"/>
        <v>Rancho Recoveco No. 183</v>
      </c>
      <c r="F4857" s="10" t="str">
        <f t="shared" si="614"/>
        <v>Atilano Limón</v>
      </c>
      <c r="G4857" s="8">
        <v>5</v>
      </c>
      <c r="H4857" s="11">
        <v>50</v>
      </c>
      <c r="I4857" s="12">
        <v>42995</v>
      </c>
      <c r="J4857" s="35">
        <f t="shared" si="615"/>
        <v>0</v>
      </c>
      <c r="K4857" s="36"/>
      <c r="L4857" s="36"/>
      <c r="M4857" s="36"/>
      <c r="N4857" s="36"/>
      <c r="O4857" s="36"/>
      <c r="P4857" s="36"/>
      <c r="Q4857" s="36"/>
      <c r="R4857" s="36"/>
      <c r="S4857" s="36"/>
      <c r="T4857" s="36"/>
      <c r="U4857" s="36"/>
      <c r="V4857" s="36"/>
      <c r="W4857" s="15">
        <f t="shared" si="616"/>
        <v>0</v>
      </c>
      <c r="X4857" s="36"/>
      <c r="Y4857" s="36"/>
      <c r="Z4857" s="36"/>
      <c r="AA4857" s="36"/>
      <c r="AB4857" s="36"/>
      <c r="AC4857" s="36"/>
      <c r="AD4857" s="36"/>
      <c r="AE4857" s="36"/>
      <c r="AF4857" s="36"/>
      <c r="AG4857" s="36"/>
      <c r="AH4857" s="36"/>
      <c r="AI4857" s="36"/>
      <c r="AJ4857" s="15">
        <f t="shared" si="617"/>
        <v>0</v>
      </c>
      <c r="AK4857" s="14"/>
      <c r="AL4857" s="14"/>
      <c r="AM4857" s="14"/>
      <c r="AN4857" s="14"/>
      <c r="AO4857" s="14"/>
      <c r="AP4857" s="14"/>
      <c r="AQ4857" s="14"/>
      <c r="AR4857" s="14"/>
      <c r="AS4857" s="14"/>
      <c r="AT4857" s="14"/>
      <c r="AU4857" s="14"/>
      <c r="AV4857" s="14"/>
      <c r="AW4857" s="15"/>
      <c r="AX4857" s="16"/>
    </row>
    <row r="4858" spans="2:50" x14ac:dyDescent="0.2">
      <c r="B4858" s="7"/>
      <c r="C4858" s="8">
        <v>15093</v>
      </c>
      <c r="D4858" s="9" t="s">
        <v>620</v>
      </c>
      <c r="E4858" s="10" t="str">
        <f t="shared" si="613"/>
        <v>Rancho La Cuchilla No. 32</v>
      </c>
      <c r="F4858" s="10" t="str">
        <f t="shared" si="614"/>
        <v>Hernández</v>
      </c>
      <c r="G4858" s="8">
        <v>1</v>
      </c>
      <c r="H4858" s="11">
        <v>800</v>
      </c>
      <c r="I4858" s="12">
        <v>42995</v>
      </c>
      <c r="J4858" s="35">
        <f t="shared" si="615"/>
        <v>0</v>
      </c>
      <c r="K4858" s="36"/>
      <c r="L4858" s="36"/>
      <c r="M4858" s="36"/>
      <c r="N4858" s="36"/>
      <c r="O4858" s="36"/>
      <c r="P4858" s="36"/>
      <c r="Q4858" s="36"/>
      <c r="R4858" s="36"/>
      <c r="S4858" s="36"/>
      <c r="T4858" s="36"/>
      <c r="U4858" s="36"/>
      <c r="V4858" s="36"/>
      <c r="W4858" s="15">
        <f t="shared" si="616"/>
        <v>0</v>
      </c>
      <c r="X4858" s="36"/>
      <c r="Y4858" s="36"/>
      <c r="Z4858" s="36"/>
      <c r="AA4858" s="36"/>
      <c r="AB4858" s="36"/>
      <c r="AC4858" s="36">
        <v>400</v>
      </c>
      <c r="AD4858" s="36">
        <v>400</v>
      </c>
      <c r="AE4858" s="36"/>
      <c r="AF4858" s="36"/>
      <c r="AG4858" s="36"/>
      <c r="AH4858" s="36"/>
      <c r="AI4858" s="36"/>
      <c r="AJ4858" s="15">
        <f t="shared" si="617"/>
        <v>800</v>
      </c>
      <c r="AK4858" s="14"/>
      <c r="AL4858" s="14"/>
      <c r="AM4858" s="14"/>
      <c r="AN4858" s="14"/>
      <c r="AO4858" s="14"/>
      <c r="AP4858" s="14"/>
      <c r="AQ4858" s="14"/>
      <c r="AR4858" s="14"/>
      <c r="AS4858" s="14"/>
      <c r="AT4858" s="14"/>
      <c r="AU4858" s="14"/>
      <c r="AV4858" s="14"/>
      <c r="AW4858" s="15"/>
      <c r="AX4858" s="16"/>
    </row>
    <row r="4859" spans="2:50" x14ac:dyDescent="0.2">
      <c r="B4859" s="7"/>
      <c r="C4859" s="8">
        <v>15094</v>
      </c>
      <c r="D4859" s="9" t="s">
        <v>1017</v>
      </c>
      <c r="E4859" s="10" t="str">
        <f t="shared" si="613"/>
        <v>Rancho Estanzuela No. 119, 3</v>
      </c>
      <c r="F4859" s="10" t="str">
        <f t="shared" si="614"/>
        <v>Montecillo</v>
      </c>
      <c r="G4859" s="8">
        <v>1</v>
      </c>
      <c r="H4859" s="11">
        <v>200</v>
      </c>
      <c r="I4859" s="12">
        <v>42995</v>
      </c>
      <c r="J4859" s="35">
        <f t="shared" si="615"/>
        <v>0</v>
      </c>
      <c r="K4859" s="36"/>
      <c r="L4859" s="36"/>
      <c r="M4859" s="36"/>
      <c r="N4859" s="36"/>
      <c r="O4859" s="36"/>
      <c r="P4859" s="36"/>
      <c r="Q4859" s="36"/>
      <c r="R4859" s="36"/>
      <c r="S4859" s="36"/>
      <c r="T4859" s="36"/>
      <c r="U4859" s="36"/>
      <c r="V4859" s="36"/>
      <c r="W4859" s="15">
        <f t="shared" si="616"/>
        <v>0</v>
      </c>
      <c r="X4859" s="36"/>
      <c r="Y4859" s="36"/>
      <c r="Z4859" s="36"/>
      <c r="AA4859" s="36"/>
      <c r="AB4859" s="36"/>
      <c r="AC4859" s="36"/>
      <c r="AD4859" s="36"/>
      <c r="AE4859" s="36"/>
      <c r="AF4859" s="36">
        <v>200</v>
      </c>
      <c r="AG4859" s="36"/>
      <c r="AH4859" s="36"/>
      <c r="AI4859" s="36"/>
      <c r="AJ4859" s="15">
        <f t="shared" si="617"/>
        <v>200</v>
      </c>
      <c r="AK4859" s="14"/>
      <c r="AL4859" s="14"/>
      <c r="AM4859" s="14"/>
      <c r="AN4859" s="14"/>
      <c r="AO4859" s="14"/>
      <c r="AP4859" s="14"/>
      <c r="AQ4859" s="14"/>
      <c r="AR4859" s="14"/>
      <c r="AS4859" s="14"/>
      <c r="AT4859" s="14"/>
      <c r="AU4859" s="14"/>
      <c r="AV4859" s="14"/>
      <c r="AW4859" s="15"/>
      <c r="AX4859" s="16"/>
    </row>
    <row r="4860" spans="2:50" x14ac:dyDescent="0.2">
      <c r="B4860" s="7"/>
      <c r="C4860" s="8">
        <v>15095</v>
      </c>
      <c r="D4860" s="9" t="s">
        <v>705</v>
      </c>
      <c r="E4860" s="10" t="str">
        <f t="shared" si="613"/>
        <v>Rancho La Cuchilla No. 75</v>
      </c>
      <c r="F4860" s="10" t="str">
        <f t="shared" si="614"/>
        <v>Sosa Lucio</v>
      </c>
      <c r="G4860" s="8">
        <v>1</v>
      </c>
      <c r="H4860" s="11">
        <v>600</v>
      </c>
      <c r="I4860" s="12">
        <v>42995</v>
      </c>
      <c r="J4860" s="35">
        <f t="shared" si="615"/>
        <v>0</v>
      </c>
      <c r="K4860" s="36"/>
      <c r="L4860" s="36"/>
      <c r="M4860" s="36"/>
      <c r="N4860" s="36"/>
      <c r="O4860" s="36"/>
      <c r="P4860" s="36"/>
      <c r="Q4860" s="36"/>
      <c r="R4860" s="36"/>
      <c r="S4860" s="36"/>
      <c r="T4860" s="36"/>
      <c r="U4860" s="36"/>
      <c r="V4860" s="36"/>
      <c r="W4860" s="15">
        <f t="shared" si="616"/>
        <v>0</v>
      </c>
      <c r="X4860" s="36"/>
      <c r="Y4860" s="36"/>
      <c r="Z4860" s="36"/>
      <c r="AA4860" s="36"/>
      <c r="AB4860" s="36"/>
      <c r="AC4860" s="36"/>
      <c r="AD4860" s="36"/>
      <c r="AE4860" s="36">
        <v>300</v>
      </c>
      <c r="AF4860" s="36">
        <v>300</v>
      </c>
      <c r="AG4860" s="36"/>
      <c r="AH4860" s="36"/>
      <c r="AI4860" s="36"/>
      <c r="AJ4860" s="15">
        <f t="shared" si="617"/>
        <v>600</v>
      </c>
      <c r="AK4860" s="14"/>
      <c r="AL4860" s="14"/>
      <c r="AM4860" s="14"/>
      <c r="AN4860" s="14"/>
      <c r="AO4860" s="14"/>
      <c r="AP4860" s="14"/>
      <c r="AQ4860" s="14"/>
      <c r="AR4860" s="14"/>
      <c r="AS4860" s="14"/>
      <c r="AT4860" s="14"/>
      <c r="AU4860" s="14"/>
      <c r="AV4860" s="14"/>
      <c r="AW4860" s="15"/>
      <c r="AX4860" s="16"/>
    </row>
    <row r="4861" spans="2:50" x14ac:dyDescent="0.2">
      <c r="B4861" s="7"/>
      <c r="C4861" s="8">
        <v>15096</v>
      </c>
      <c r="D4861" s="9" t="s">
        <v>649</v>
      </c>
      <c r="E4861" s="10" t="str">
        <f t="shared" si="613"/>
        <v>Rancho Estanzuela No. 57</v>
      </c>
      <c r="F4861" s="10" t="str">
        <f t="shared" si="614"/>
        <v>Olivares</v>
      </c>
      <c r="G4861" s="8">
        <v>1</v>
      </c>
      <c r="H4861" s="11">
        <v>600</v>
      </c>
      <c r="I4861" s="12">
        <v>42995</v>
      </c>
      <c r="J4861" s="35">
        <f t="shared" si="615"/>
        <v>0</v>
      </c>
      <c r="K4861" s="36"/>
      <c r="L4861" s="36"/>
      <c r="M4861" s="36"/>
      <c r="N4861" s="36"/>
      <c r="O4861" s="36"/>
      <c r="P4861" s="36"/>
      <c r="Q4861" s="36"/>
      <c r="R4861" s="36"/>
      <c r="S4861" s="36"/>
      <c r="T4861" s="36"/>
      <c r="U4861" s="36"/>
      <c r="V4861" s="36"/>
      <c r="W4861" s="15">
        <f t="shared" si="616"/>
        <v>0</v>
      </c>
      <c r="X4861" s="36"/>
      <c r="Y4861" s="36"/>
      <c r="Z4861" s="36"/>
      <c r="AA4861" s="36"/>
      <c r="AB4861" s="36"/>
      <c r="AC4861" s="36"/>
      <c r="AD4861" s="36"/>
      <c r="AE4861" s="36">
        <v>300</v>
      </c>
      <c r="AF4861" s="36">
        <v>300</v>
      </c>
      <c r="AG4861" s="36"/>
      <c r="AH4861" s="36"/>
      <c r="AI4861" s="36"/>
      <c r="AJ4861" s="15">
        <f t="shared" si="617"/>
        <v>600</v>
      </c>
      <c r="AK4861" s="14"/>
      <c r="AL4861" s="14"/>
      <c r="AM4861" s="14"/>
      <c r="AN4861" s="14"/>
      <c r="AO4861" s="14"/>
      <c r="AP4861" s="14"/>
      <c r="AQ4861" s="14"/>
      <c r="AR4861" s="14"/>
      <c r="AS4861" s="14"/>
      <c r="AT4861" s="14"/>
      <c r="AU4861" s="14"/>
      <c r="AV4861" s="14"/>
      <c r="AW4861" s="15"/>
      <c r="AX4861" s="16"/>
    </row>
    <row r="4862" spans="2:50" x14ac:dyDescent="0.2">
      <c r="B4862" s="7"/>
      <c r="C4862" s="8">
        <v>15097</v>
      </c>
      <c r="D4862" s="9" t="s">
        <v>112</v>
      </c>
      <c r="E4862" s="10" t="str">
        <f t="shared" si="613"/>
        <v>Rancho Estanzuela No. 129</v>
      </c>
      <c r="F4862" s="10" t="str">
        <f t="shared" si="614"/>
        <v>Sta. María Mendoza</v>
      </c>
      <c r="G4862" s="8">
        <v>1</v>
      </c>
      <c r="H4862" s="11">
        <v>250</v>
      </c>
      <c r="I4862" s="12">
        <v>42995</v>
      </c>
      <c r="J4862" s="35">
        <f t="shared" si="615"/>
        <v>0</v>
      </c>
      <c r="K4862" s="36"/>
      <c r="L4862" s="36"/>
      <c r="M4862" s="36"/>
      <c r="N4862" s="36"/>
      <c r="O4862" s="36"/>
      <c r="P4862" s="36"/>
      <c r="Q4862" s="36"/>
      <c r="R4862" s="36"/>
      <c r="S4862" s="36"/>
      <c r="T4862" s="36"/>
      <c r="U4862" s="36"/>
      <c r="V4862" s="36"/>
      <c r="W4862" s="15">
        <f t="shared" si="616"/>
        <v>0</v>
      </c>
      <c r="X4862" s="36"/>
      <c r="Y4862" s="36"/>
      <c r="Z4862" s="36"/>
      <c r="AA4862" s="36"/>
      <c r="AB4862" s="36"/>
      <c r="AC4862" s="36"/>
      <c r="AD4862" s="36"/>
      <c r="AE4862" s="36"/>
      <c r="AF4862" s="36">
        <v>250</v>
      </c>
      <c r="AG4862" s="36"/>
      <c r="AH4862" s="36"/>
      <c r="AI4862" s="36"/>
      <c r="AJ4862" s="15">
        <f t="shared" si="617"/>
        <v>250</v>
      </c>
      <c r="AK4862" s="14"/>
      <c r="AL4862" s="14"/>
      <c r="AM4862" s="14"/>
      <c r="AN4862" s="14"/>
      <c r="AO4862" s="14"/>
      <c r="AP4862" s="14"/>
      <c r="AQ4862" s="14"/>
      <c r="AR4862" s="14"/>
      <c r="AS4862" s="14"/>
      <c r="AT4862" s="14"/>
      <c r="AU4862" s="14"/>
      <c r="AV4862" s="14"/>
      <c r="AW4862" s="15"/>
      <c r="AX4862" s="16"/>
    </row>
    <row r="4863" spans="2:50" x14ac:dyDescent="0.2">
      <c r="B4863" s="7"/>
      <c r="C4863" s="8">
        <v>15098</v>
      </c>
      <c r="D4863" s="9" t="s">
        <v>1157</v>
      </c>
      <c r="E4863" s="10" t="str">
        <f t="shared" si="613"/>
        <v>Rancho Upácuaro No. 43</v>
      </c>
      <c r="F4863" s="10" t="str">
        <f t="shared" si="614"/>
        <v>Yolanda</v>
      </c>
      <c r="G4863" s="8">
        <v>1</v>
      </c>
      <c r="H4863" s="11">
        <v>400</v>
      </c>
      <c r="I4863" s="12">
        <v>42995</v>
      </c>
      <c r="J4863" s="35">
        <f t="shared" si="615"/>
        <v>0</v>
      </c>
      <c r="K4863" s="36"/>
      <c r="L4863" s="36"/>
      <c r="M4863" s="36"/>
      <c r="N4863" s="36"/>
      <c r="O4863" s="36"/>
      <c r="P4863" s="36"/>
      <c r="Q4863" s="36"/>
      <c r="R4863" s="36"/>
      <c r="S4863" s="36"/>
      <c r="T4863" s="36"/>
      <c r="U4863" s="36"/>
      <c r="V4863" s="36"/>
      <c r="W4863" s="15">
        <f t="shared" si="616"/>
        <v>0</v>
      </c>
      <c r="X4863" s="36"/>
      <c r="Y4863" s="36"/>
      <c r="Z4863" s="36"/>
      <c r="AA4863" s="36"/>
      <c r="AB4863" s="36"/>
      <c r="AC4863" s="36">
        <v>200</v>
      </c>
      <c r="AD4863" s="36">
        <v>200</v>
      </c>
      <c r="AE4863" s="36"/>
      <c r="AF4863" s="36"/>
      <c r="AG4863" s="36"/>
      <c r="AH4863" s="36"/>
      <c r="AI4863" s="36"/>
      <c r="AJ4863" s="15">
        <f t="shared" si="617"/>
        <v>400</v>
      </c>
      <c r="AK4863" s="14"/>
      <c r="AL4863" s="14"/>
      <c r="AM4863" s="14"/>
      <c r="AN4863" s="14"/>
      <c r="AO4863" s="14"/>
      <c r="AP4863" s="14"/>
      <c r="AQ4863" s="14"/>
      <c r="AR4863" s="14"/>
      <c r="AS4863" s="14"/>
      <c r="AT4863" s="14"/>
      <c r="AU4863" s="14"/>
      <c r="AV4863" s="14"/>
      <c r="AW4863" s="15"/>
      <c r="AX4863" s="316">
        <f>SUM(H4825:H4863)</f>
        <v>17950</v>
      </c>
    </row>
    <row r="4864" spans="2:50" x14ac:dyDescent="0.2">
      <c r="B4864" s="7"/>
      <c r="C4864" s="8">
        <v>15099</v>
      </c>
      <c r="D4864" s="9" t="s">
        <v>1198</v>
      </c>
      <c r="E4864" s="10" t="str">
        <f t="shared" si="613"/>
        <v>Rancho Upácuaro No. 95</v>
      </c>
      <c r="F4864" s="10" t="str">
        <f t="shared" si="614"/>
        <v>Flores</v>
      </c>
      <c r="G4864" s="8">
        <v>1</v>
      </c>
      <c r="H4864" s="315">
        <v>800</v>
      </c>
      <c r="I4864" s="12">
        <v>42995</v>
      </c>
      <c r="J4864" s="35">
        <f t="shared" si="615"/>
        <v>0</v>
      </c>
      <c r="K4864" s="36"/>
      <c r="L4864" s="36"/>
      <c r="M4864" s="36"/>
      <c r="N4864" s="36"/>
      <c r="O4864" s="36"/>
      <c r="P4864" s="36"/>
      <c r="Q4864" s="36"/>
      <c r="R4864" s="36"/>
      <c r="S4864" s="36"/>
      <c r="T4864" s="36"/>
      <c r="U4864" s="36"/>
      <c r="V4864" s="36"/>
      <c r="W4864" s="15">
        <f t="shared" si="616"/>
        <v>0</v>
      </c>
      <c r="X4864" s="36">
        <v>400</v>
      </c>
      <c r="Y4864" s="36"/>
      <c r="Z4864" s="36"/>
      <c r="AA4864" s="36"/>
      <c r="AB4864" s="36"/>
      <c r="AC4864" s="36"/>
      <c r="AD4864" s="36"/>
      <c r="AE4864" s="36"/>
      <c r="AF4864" s="36">
        <v>400</v>
      </c>
      <c r="AG4864" s="36"/>
      <c r="AH4864" s="36"/>
      <c r="AI4864" s="36"/>
      <c r="AJ4864" s="15">
        <f t="shared" si="617"/>
        <v>800</v>
      </c>
      <c r="AK4864" s="14"/>
      <c r="AL4864" s="14"/>
      <c r="AM4864" s="14"/>
      <c r="AN4864" s="14"/>
      <c r="AO4864" s="14"/>
      <c r="AP4864" s="14"/>
      <c r="AQ4864" s="14"/>
      <c r="AR4864" s="14"/>
      <c r="AS4864" s="14"/>
      <c r="AT4864" s="14"/>
      <c r="AU4864" s="14"/>
      <c r="AV4864" s="14"/>
      <c r="AW4864" s="15"/>
      <c r="AX4864" s="16"/>
    </row>
    <row r="4865" spans="2:51" x14ac:dyDescent="0.2">
      <c r="B4865" s="7"/>
      <c r="C4865" s="8">
        <v>15100</v>
      </c>
      <c r="D4865" s="9" t="s">
        <v>488</v>
      </c>
      <c r="E4865" s="10" t="str">
        <f t="shared" si="613"/>
        <v>Rancho Landero No. 85</v>
      </c>
      <c r="F4865" s="10" t="str">
        <f t="shared" si="614"/>
        <v>Martínez Olague</v>
      </c>
      <c r="G4865" s="8">
        <v>1</v>
      </c>
      <c r="H4865" s="11">
        <v>400</v>
      </c>
      <c r="I4865" s="12">
        <v>42995</v>
      </c>
      <c r="J4865" s="35">
        <f t="shared" si="615"/>
        <v>0</v>
      </c>
      <c r="K4865" s="36"/>
      <c r="L4865" s="36"/>
      <c r="M4865" s="36"/>
      <c r="N4865" s="36"/>
      <c r="O4865" s="36"/>
      <c r="P4865" s="36"/>
      <c r="Q4865" s="36"/>
      <c r="R4865" s="36"/>
      <c r="S4865" s="36"/>
      <c r="T4865" s="36"/>
      <c r="U4865" s="36"/>
      <c r="V4865" s="36"/>
      <c r="W4865" s="15">
        <f t="shared" si="616"/>
        <v>0</v>
      </c>
      <c r="X4865" s="36"/>
      <c r="Y4865" s="36"/>
      <c r="Z4865" s="36"/>
      <c r="AA4865" s="36"/>
      <c r="AB4865" s="36"/>
      <c r="AC4865" s="36"/>
      <c r="AD4865" s="36"/>
      <c r="AE4865" s="36"/>
      <c r="AF4865" s="36">
        <v>400</v>
      </c>
      <c r="AG4865" s="36"/>
      <c r="AH4865" s="36"/>
      <c r="AI4865" s="36"/>
      <c r="AJ4865" s="15">
        <f t="shared" si="617"/>
        <v>400</v>
      </c>
      <c r="AK4865" s="14"/>
      <c r="AL4865" s="14"/>
      <c r="AM4865" s="14"/>
      <c r="AN4865" s="14"/>
      <c r="AO4865" s="14"/>
      <c r="AP4865" s="14"/>
      <c r="AQ4865" s="14"/>
      <c r="AR4865" s="14"/>
      <c r="AS4865" s="14"/>
      <c r="AT4865" s="14"/>
      <c r="AU4865" s="14"/>
      <c r="AV4865" s="14"/>
      <c r="AW4865" s="15"/>
      <c r="AX4865" s="16"/>
    </row>
    <row r="4866" spans="2:51" x14ac:dyDescent="0.2">
      <c r="B4866" s="7"/>
      <c r="C4866" s="8">
        <v>15101</v>
      </c>
      <c r="D4866" s="9" t="s">
        <v>728</v>
      </c>
      <c r="E4866" s="10" t="str">
        <f t="shared" si="613"/>
        <v>Rancho Estanzuela No. 77</v>
      </c>
      <c r="F4866" s="10" t="str">
        <f t="shared" si="614"/>
        <v>De la Rosa Rico</v>
      </c>
      <c r="G4866" s="8">
        <v>1</v>
      </c>
      <c r="H4866" s="11">
        <v>800</v>
      </c>
      <c r="I4866" s="12">
        <v>43002</v>
      </c>
      <c r="J4866" s="35">
        <f t="shared" si="615"/>
        <v>0</v>
      </c>
      <c r="K4866" s="36"/>
      <c r="L4866" s="36"/>
      <c r="M4866" s="36"/>
      <c r="N4866" s="36"/>
      <c r="O4866" s="36"/>
      <c r="P4866" s="36"/>
      <c r="Q4866" s="36"/>
      <c r="R4866" s="36"/>
      <c r="S4866" s="36"/>
      <c r="T4866" s="36"/>
      <c r="U4866" s="36"/>
      <c r="V4866" s="36"/>
      <c r="W4866" s="15">
        <f t="shared" si="616"/>
        <v>0</v>
      </c>
      <c r="X4866" s="36"/>
      <c r="Y4866" s="36"/>
      <c r="Z4866" s="36"/>
      <c r="AA4866" s="36"/>
      <c r="AB4866" s="36"/>
      <c r="AC4866" s="36"/>
      <c r="AD4866" s="36"/>
      <c r="AE4866" s="36">
        <v>400</v>
      </c>
      <c r="AF4866" s="36">
        <v>400</v>
      </c>
      <c r="AG4866" s="36"/>
      <c r="AH4866" s="36"/>
      <c r="AI4866" s="36"/>
      <c r="AJ4866" s="15">
        <f t="shared" si="617"/>
        <v>800</v>
      </c>
      <c r="AK4866" s="14"/>
      <c r="AL4866" s="14"/>
      <c r="AM4866" s="14"/>
      <c r="AN4866" s="14"/>
      <c r="AO4866" s="14"/>
      <c r="AP4866" s="14"/>
      <c r="AQ4866" s="14"/>
      <c r="AR4866" s="14"/>
      <c r="AS4866" s="14"/>
      <c r="AT4866" s="14"/>
      <c r="AU4866" s="14"/>
      <c r="AV4866" s="14"/>
      <c r="AW4866" s="15"/>
      <c r="AX4866" s="16"/>
    </row>
    <row r="4867" spans="2:51" x14ac:dyDescent="0.2">
      <c r="B4867" s="7"/>
      <c r="C4867" s="8">
        <v>15102</v>
      </c>
      <c r="D4867" s="9" t="s">
        <v>820</v>
      </c>
      <c r="E4867" s="10" t="str">
        <f t="shared" si="613"/>
        <v>Rancho Zinamba No. 84</v>
      </c>
      <c r="F4867" s="10" t="str">
        <f t="shared" si="614"/>
        <v>Lobato</v>
      </c>
      <c r="G4867" s="8">
        <v>1</v>
      </c>
      <c r="H4867" s="11">
        <v>300</v>
      </c>
      <c r="I4867" s="12">
        <v>43002</v>
      </c>
      <c r="J4867" s="35">
        <f t="shared" si="615"/>
        <v>0</v>
      </c>
      <c r="K4867" s="36"/>
      <c r="L4867" s="36"/>
      <c r="M4867" s="36"/>
      <c r="N4867" s="36"/>
      <c r="O4867" s="36"/>
      <c r="P4867" s="36"/>
      <c r="Q4867" s="36"/>
      <c r="R4867" s="36"/>
      <c r="S4867" s="36"/>
      <c r="T4867" s="36"/>
      <c r="U4867" s="36"/>
      <c r="V4867" s="36"/>
      <c r="W4867" s="15">
        <f t="shared" si="616"/>
        <v>0</v>
      </c>
      <c r="X4867" s="36"/>
      <c r="Y4867" s="36"/>
      <c r="Z4867" s="36"/>
      <c r="AA4867" s="36"/>
      <c r="AB4867" s="36"/>
      <c r="AC4867" s="36"/>
      <c r="AD4867" s="36"/>
      <c r="AE4867" s="36"/>
      <c r="AF4867" s="36">
        <v>300</v>
      </c>
      <c r="AG4867" s="36"/>
      <c r="AH4867" s="36"/>
      <c r="AI4867" s="36"/>
      <c r="AJ4867" s="15">
        <f t="shared" si="617"/>
        <v>300</v>
      </c>
      <c r="AK4867" s="14"/>
      <c r="AL4867" s="14"/>
      <c r="AM4867" s="14"/>
      <c r="AN4867" s="14"/>
      <c r="AO4867" s="14"/>
      <c r="AP4867" s="14"/>
      <c r="AQ4867" s="14"/>
      <c r="AR4867" s="14"/>
      <c r="AS4867" s="14"/>
      <c r="AT4867" s="14"/>
      <c r="AU4867" s="14"/>
      <c r="AV4867" s="14"/>
      <c r="AW4867" s="15"/>
      <c r="AX4867" s="16"/>
    </row>
    <row r="4868" spans="2:51" x14ac:dyDescent="0.2">
      <c r="B4868" s="7"/>
      <c r="C4868" s="8">
        <v>15103</v>
      </c>
      <c r="D4868" s="9" t="s">
        <v>322</v>
      </c>
      <c r="E4868" s="10" t="str">
        <f t="shared" si="613"/>
        <v>Rancho Zinamba No. 8</v>
      </c>
      <c r="F4868" s="10" t="str">
        <f t="shared" si="614"/>
        <v>Florido</v>
      </c>
      <c r="G4868" s="8">
        <v>1</v>
      </c>
      <c r="H4868" s="11">
        <v>400</v>
      </c>
      <c r="I4868" s="12">
        <v>43002</v>
      </c>
      <c r="J4868" s="35">
        <f t="shared" si="615"/>
        <v>0</v>
      </c>
      <c r="K4868" s="36"/>
      <c r="L4868" s="36"/>
      <c r="M4868" s="36"/>
      <c r="N4868" s="36"/>
      <c r="O4868" s="36"/>
      <c r="P4868" s="36"/>
      <c r="Q4868" s="36"/>
      <c r="R4868" s="36"/>
      <c r="S4868" s="36"/>
      <c r="T4868" s="36"/>
      <c r="U4868" s="36"/>
      <c r="V4868" s="36"/>
      <c r="W4868" s="15">
        <f t="shared" si="616"/>
        <v>0</v>
      </c>
      <c r="X4868" s="36"/>
      <c r="Y4868" s="36"/>
      <c r="Z4868" s="36"/>
      <c r="AA4868" s="36"/>
      <c r="AB4868" s="36"/>
      <c r="AC4868" s="36"/>
      <c r="AD4868" s="36"/>
      <c r="AE4868" s="36">
        <v>400</v>
      </c>
      <c r="AF4868" s="36"/>
      <c r="AG4868" s="36"/>
      <c r="AH4868" s="36"/>
      <c r="AI4868" s="36"/>
      <c r="AJ4868" s="15">
        <f t="shared" si="617"/>
        <v>400</v>
      </c>
      <c r="AK4868" s="14"/>
      <c r="AL4868" s="14"/>
      <c r="AM4868" s="14"/>
      <c r="AN4868" s="14"/>
      <c r="AO4868" s="14"/>
      <c r="AP4868" s="14"/>
      <c r="AQ4868" s="14"/>
      <c r="AR4868" s="14"/>
      <c r="AS4868" s="14"/>
      <c r="AT4868" s="14"/>
      <c r="AU4868" s="14"/>
      <c r="AV4868" s="14"/>
      <c r="AW4868" s="15"/>
      <c r="AX4868" s="16"/>
    </row>
    <row r="4869" spans="2:51" x14ac:dyDescent="0.2">
      <c r="B4869" s="7"/>
      <c r="C4869" s="8">
        <v>15104</v>
      </c>
      <c r="D4869" s="9" t="s">
        <v>586</v>
      </c>
      <c r="E4869" s="10" t="str">
        <f t="shared" si="613"/>
        <v>Rancho Estanzuela No. 161, 1</v>
      </c>
      <c r="F4869" s="10" t="str">
        <f t="shared" si="614"/>
        <v>Guevara</v>
      </c>
      <c r="G4869" s="8">
        <v>1</v>
      </c>
      <c r="H4869" s="11">
        <v>400</v>
      </c>
      <c r="I4869" s="12">
        <v>43002</v>
      </c>
      <c r="J4869" s="35">
        <f t="shared" si="615"/>
        <v>0</v>
      </c>
      <c r="K4869" s="36"/>
      <c r="L4869" s="36"/>
      <c r="M4869" s="36"/>
      <c r="N4869" s="36"/>
      <c r="O4869" s="36"/>
      <c r="P4869" s="36"/>
      <c r="Q4869" s="36"/>
      <c r="R4869" s="36"/>
      <c r="S4869" s="36"/>
      <c r="T4869" s="36"/>
      <c r="U4869" s="36"/>
      <c r="V4869" s="36"/>
      <c r="W4869" s="15">
        <f t="shared" si="616"/>
        <v>0</v>
      </c>
      <c r="X4869" s="36"/>
      <c r="Y4869" s="36"/>
      <c r="Z4869" s="36"/>
      <c r="AA4869" s="36"/>
      <c r="AB4869" s="36"/>
      <c r="AC4869" s="36"/>
      <c r="AD4869" s="36"/>
      <c r="AE4869" s="36">
        <v>200</v>
      </c>
      <c r="AF4869" s="36">
        <v>200</v>
      </c>
      <c r="AG4869" s="36"/>
      <c r="AH4869" s="36"/>
      <c r="AI4869" s="36"/>
      <c r="AJ4869" s="15">
        <f t="shared" si="617"/>
        <v>400</v>
      </c>
      <c r="AK4869" s="14"/>
      <c r="AL4869" s="14"/>
      <c r="AM4869" s="14"/>
      <c r="AN4869" s="14"/>
      <c r="AO4869" s="14"/>
      <c r="AP4869" s="14"/>
      <c r="AQ4869" s="14"/>
      <c r="AR4869" s="14"/>
      <c r="AS4869" s="14"/>
      <c r="AT4869" s="14"/>
      <c r="AU4869" s="14"/>
      <c r="AV4869" s="14"/>
      <c r="AW4869" s="15"/>
      <c r="AX4869" s="16"/>
    </row>
    <row r="4870" spans="2:51" x14ac:dyDescent="0.2">
      <c r="B4870" s="7"/>
      <c r="C4870" s="8">
        <v>15105</v>
      </c>
      <c r="D4870" s="9" t="s">
        <v>103</v>
      </c>
      <c r="E4870" s="10" t="str">
        <f t="shared" si="613"/>
        <v>Rancho La Cuchilla No. 41</v>
      </c>
      <c r="F4870" s="10" t="str">
        <f t="shared" si="614"/>
        <v>Arriaga Lemus</v>
      </c>
      <c r="G4870" s="8">
        <v>1</v>
      </c>
      <c r="H4870" s="11">
        <v>400</v>
      </c>
      <c r="I4870" s="12">
        <v>43002</v>
      </c>
      <c r="J4870" s="35">
        <f t="shared" si="615"/>
        <v>0</v>
      </c>
      <c r="K4870" s="36"/>
      <c r="L4870" s="36"/>
      <c r="M4870" s="36"/>
      <c r="N4870" s="36"/>
      <c r="O4870" s="36"/>
      <c r="P4870" s="36"/>
      <c r="Q4870" s="36"/>
      <c r="R4870" s="36"/>
      <c r="S4870" s="36"/>
      <c r="T4870" s="36"/>
      <c r="U4870" s="36"/>
      <c r="V4870" s="36"/>
      <c r="W4870" s="15">
        <f t="shared" si="616"/>
        <v>0</v>
      </c>
      <c r="X4870" s="36"/>
      <c r="Y4870" s="36"/>
      <c r="Z4870" s="36"/>
      <c r="AA4870" s="36"/>
      <c r="AB4870" s="36"/>
      <c r="AC4870" s="36"/>
      <c r="AD4870" s="36"/>
      <c r="AE4870" s="36"/>
      <c r="AF4870" s="36">
        <v>400</v>
      </c>
      <c r="AG4870" s="36"/>
      <c r="AH4870" s="36"/>
      <c r="AI4870" s="36"/>
      <c r="AJ4870" s="15">
        <f t="shared" si="617"/>
        <v>400</v>
      </c>
      <c r="AK4870" s="14"/>
      <c r="AL4870" s="14"/>
      <c r="AM4870" s="14"/>
      <c r="AN4870" s="14"/>
      <c r="AO4870" s="14"/>
      <c r="AP4870" s="14"/>
      <c r="AQ4870" s="14"/>
      <c r="AR4870" s="14"/>
      <c r="AS4870" s="14"/>
      <c r="AT4870" s="14"/>
      <c r="AU4870" s="14"/>
      <c r="AV4870" s="14"/>
      <c r="AW4870" s="15"/>
      <c r="AX4870" s="16"/>
    </row>
    <row r="4871" spans="2:51" x14ac:dyDescent="0.2">
      <c r="B4871" s="7"/>
      <c r="C4871" s="8">
        <v>15106</v>
      </c>
      <c r="D4871" s="9" t="s">
        <v>652</v>
      </c>
      <c r="E4871" s="10" t="str">
        <f t="shared" si="613"/>
        <v>Rancho Zinamba No. 74</v>
      </c>
      <c r="F4871" s="10" t="str">
        <f t="shared" si="614"/>
        <v>García Castellanos</v>
      </c>
      <c r="G4871" s="8">
        <v>1</v>
      </c>
      <c r="H4871" s="11">
        <v>400</v>
      </c>
      <c r="I4871" s="12">
        <v>43002</v>
      </c>
      <c r="J4871" s="35">
        <f t="shared" si="615"/>
        <v>0</v>
      </c>
      <c r="K4871" s="36"/>
      <c r="L4871" s="36"/>
      <c r="M4871" s="36"/>
      <c r="N4871" s="36"/>
      <c r="O4871" s="36"/>
      <c r="P4871" s="36"/>
      <c r="Q4871" s="36"/>
      <c r="R4871" s="36"/>
      <c r="S4871" s="36"/>
      <c r="T4871" s="36"/>
      <c r="U4871" s="36"/>
      <c r="V4871" s="36"/>
      <c r="W4871" s="15">
        <f t="shared" si="616"/>
        <v>0</v>
      </c>
      <c r="X4871" s="36"/>
      <c r="Y4871" s="36"/>
      <c r="Z4871" s="36"/>
      <c r="AA4871" s="36"/>
      <c r="AB4871" s="36"/>
      <c r="AC4871" s="36">
        <v>400</v>
      </c>
      <c r="AD4871" s="36"/>
      <c r="AE4871" s="36"/>
      <c r="AF4871" s="36"/>
      <c r="AG4871" s="36"/>
      <c r="AH4871" s="36"/>
      <c r="AI4871" s="36"/>
      <c r="AJ4871" s="15">
        <f t="shared" si="617"/>
        <v>400</v>
      </c>
      <c r="AK4871" s="14"/>
      <c r="AL4871" s="14"/>
      <c r="AM4871" s="14"/>
      <c r="AN4871" s="14"/>
      <c r="AO4871" s="14"/>
      <c r="AP4871" s="14"/>
      <c r="AQ4871" s="14"/>
      <c r="AR4871" s="14"/>
      <c r="AS4871" s="14"/>
      <c r="AT4871" s="14"/>
      <c r="AU4871" s="14"/>
      <c r="AV4871" s="14"/>
      <c r="AW4871" s="15"/>
      <c r="AX4871" s="16"/>
    </row>
    <row r="4872" spans="2:51" x14ac:dyDescent="0.2">
      <c r="B4872" s="7"/>
      <c r="C4872" s="8">
        <v>15107</v>
      </c>
      <c r="D4872" s="9" t="s">
        <v>631</v>
      </c>
      <c r="E4872" s="10" t="str">
        <f t="shared" si="613"/>
        <v>Rancho Romeral No. 10, B</v>
      </c>
      <c r="F4872" s="10" t="str">
        <f t="shared" si="614"/>
        <v>López Castellano</v>
      </c>
      <c r="G4872" s="8">
        <v>1</v>
      </c>
      <c r="H4872" s="11">
        <v>300</v>
      </c>
      <c r="I4872" s="12">
        <v>43002</v>
      </c>
      <c r="J4872" s="35">
        <f t="shared" si="615"/>
        <v>0</v>
      </c>
      <c r="K4872" s="36"/>
      <c r="L4872" s="36"/>
      <c r="M4872" s="36"/>
      <c r="N4872" s="36"/>
      <c r="O4872" s="36"/>
      <c r="P4872" s="36"/>
      <c r="Q4872" s="36"/>
      <c r="R4872" s="36"/>
      <c r="S4872" s="36"/>
      <c r="T4872" s="36"/>
      <c r="U4872" s="36"/>
      <c r="V4872" s="36"/>
      <c r="W4872" s="15">
        <f t="shared" si="616"/>
        <v>0</v>
      </c>
      <c r="X4872" s="36"/>
      <c r="Y4872" s="36"/>
      <c r="Z4872" s="36"/>
      <c r="AA4872" s="36"/>
      <c r="AB4872" s="36"/>
      <c r="AC4872" s="36"/>
      <c r="AD4872" s="36"/>
      <c r="AE4872" s="36"/>
      <c r="AF4872" s="36">
        <v>300</v>
      </c>
      <c r="AG4872" s="36"/>
      <c r="AH4872" s="36"/>
      <c r="AI4872" s="36"/>
      <c r="AJ4872" s="15">
        <f t="shared" si="617"/>
        <v>300</v>
      </c>
      <c r="AK4872" s="14"/>
      <c r="AL4872" s="14"/>
      <c r="AM4872" s="14"/>
      <c r="AN4872" s="14"/>
      <c r="AO4872" s="14"/>
      <c r="AP4872" s="14"/>
      <c r="AQ4872" s="14"/>
      <c r="AR4872" s="14"/>
      <c r="AS4872" s="14"/>
      <c r="AT4872" s="14"/>
      <c r="AU4872" s="14"/>
      <c r="AV4872" s="14"/>
      <c r="AW4872" s="15"/>
      <c r="AX4872" s="16"/>
    </row>
    <row r="4873" spans="2:51" x14ac:dyDescent="0.2">
      <c r="B4873" s="7"/>
      <c r="C4873" s="8">
        <v>15108</v>
      </c>
      <c r="D4873" s="9" t="s">
        <v>547</v>
      </c>
      <c r="E4873" s="10" t="str">
        <f t="shared" si="613"/>
        <v>Rancho Zinamba No. 72</v>
      </c>
      <c r="F4873" s="10" t="str">
        <f t="shared" si="614"/>
        <v>Romo de Vivar</v>
      </c>
      <c r="G4873" s="8">
        <v>1</v>
      </c>
      <c r="H4873" s="11">
        <v>600</v>
      </c>
      <c r="I4873" s="12">
        <v>43002</v>
      </c>
      <c r="J4873" s="35">
        <f t="shared" si="615"/>
        <v>0</v>
      </c>
      <c r="K4873" s="36"/>
      <c r="L4873" s="36"/>
      <c r="M4873" s="36"/>
      <c r="N4873" s="36"/>
      <c r="O4873" s="36"/>
      <c r="P4873" s="36"/>
      <c r="Q4873" s="36"/>
      <c r="R4873" s="36"/>
      <c r="S4873" s="36"/>
      <c r="T4873" s="36"/>
      <c r="U4873" s="36"/>
      <c r="V4873" s="36"/>
      <c r="W4873" s="15">
        <f t="shared" si="616"/>
        <v>0</v>
      </c>
      <c r="X4873" s="36"/>
      <c r="Y4873" s="36"/>
      <c r="Z4873" s="36"/>
      <c r="AA4873" s="36"/>
      <c r="AB4873" s="36"/>
      <c r="AC4873" s="36">
        <v>200</v>
      </c>
      <c r="AD4873" s="36">
        <v>200</v>
      </c>
      <c r="AE4873" s="36">
        <v>200</v>
      </c>
      <c r="AF4873" s="36"/>
      <c r="AG4873" s="36"/>
      <c r="AH4873" s="36"/>
      <c r="AI4873" s="36"/>
      <c r="AJ4873" s="15">
        <f t="shared" si="617"/>
        <v>600</v>
      </c>
      <c r="AK4873" s="14"/>
      <c r="AL4873" s="14"/>
      <c r="AM4873" s="14"/>
      <c r="AN4873" s="14"/>
      <c r="AO4873" s="14"/>
      <c r="AP4873" s="14"/>
      <c r="AQ4873" s="14"/>
      <c r="AR4873" s="14"/>
      <c r="AS4873" s="14"/>
      <c r="AT4873" s="14"/>
      <c r="AU4873" s="14"/>
      <c r="AV4873" s="14"/>
      <c r="AW4873" s="15"/>
      <c r="AX4873" s="16"/>
    </row>
    <row r="4874" spans="2:51" x14ac:dyDescent="0.2">
      <c r="B4874" s="7"/>
      <c r="C4874" s="8">
        <v>15109</v>
      </c>
      <c r="D4874" s="9" t="s">
        <v>3527</v>
      </c>
      <c r="E4874" s="10" t="str">
        <f t="shared" si="613"/>
        <v>Rancho Estopila No. 44_6</v>
      </c>
      <c r="F4874" s="10" t="str">
        <f t="shared" si="614"/>
        <v>González Ramos</v>
      </c>
      <c r="G4874" s="8">
        <v>1</v>
      </c>
      <c r="H4874" s="11">
        <v>600</v>
      </c>
      <c r="I4874" s="12">
        <v>43002</v>
      </c>
      <c r="J4874" s="35">
        <f t="shared" si="615"/>
        <v>0</v>
      </c>
      <c r="K4874" s="36"/>
      <c r="L4874" s="36"/>
      <c r="M4874" s="36"/>
      <c r="N4874" s="36"/>
      <c r="O4874" s="36"/>
      <c r="P4874" s="36"/>
      <c r="Q4874" s="36"/>
      <c r="R4874" s="36"/>
      <c r="S4874" s="36"/>
      <c r="T4874" s="36"/>
      <c r="U4874" s="36"/>
      <c r="V4874" s="36"/>
      <c r="W4874" s="15">
        <f t="shared" si="616"/>
        <v>0</v>
      </c>
      <c r="X4874" s="36"/>
      <c r="Y4874" s="36"/>
      <c r="Z4874" s="36"/>
      <c r="AA4874" s="36"/>
      <c r="AB4874" s="36"/>
      <c r="AC4874" s="36"/>
      <c r="AD4874" s="36"/>
      <c r="AE4874" s="36">
        <v>200</v>
      </c>
      <c r="AF4874" s="36">
        <v>200</v>
      </c>
      <c r="AG4874" s="36">
        <v>200</v>
      </c>
      <c r="AH4874" s="36"/>
      <c r="AI4874" s="36"/>
      <c r="AJ4874" s="15">
        <f t="shared" si="617"/>
        <v>600</v>
      </c>
      <c r="AK4874" s="14"/>
      <c r="AL4874" s="14"/>
      <c r="AM4874" s="14"/>
      <c r="AN4874" s="14"/>
      <c r="AO4874" s="14"/>
      <c r="AP4874" s="14"/>
      <c r="AQ4874" s="14"/>
      <c r="AR4874" s="14"/>
      <c r="AS4874" s="14"/>
      <c r="AT4874" s="14"/>
      <c r="AU4874" s="14"/>
      <c r="AV4874" s="14"/>
      <c r="AW4874" s="15"/>
      <c r="AX4874" s="16"/>
    </row>
    <row r="4875" spans="2:51" x14ac:dyDescent="0.2">
      <c r="B4875" s="7"/>
      <c r="C4875" s="8">
        <v>15110</v>
      </c>
      <c r="D4875" s="9" t="s">
        <v>3527</v>
      </c>
      <c r="E4875" s="10" t="str">
        <f t="shared" si="613"/>
        <v>Rancho Estopila No. 44_6</v>
      </c>
      <c r="F4875" s="10" t="str">
        <f t="shared" si="614"/>
        <v>González Ramos</v>
      </c>
      <c r="G4875" s="8">
        <v>5</v>
      </c>
      <c r="H4875" s="11">
        <v>50</v>
      </c>
      <c r="I4875" s="12">
        <v>43002</v>
      </c>
      <c r="J4875" s="35">
        <f t="shared" si="615"/>
        <v>0</v>
      </c>
      <c r="K4875" s="36"/>
      <c r="L4875" s="36"/>
      <c r="M4875" s="36"/>
      <c r="N4875" s="36"/>
      <c r="O4875" s="36"/>
      <c r="P4875" s="36"/>
      <c r="Q4875" s="36"/>
      <c r="R4875" s="36"/>
      <c r="S4875" s="36"/>
      <c r="T4875" s="36"/>
      <c r="U4875" s="36"/>
      <c r="V4875" s="36"/>
      <c r="W4875" s="15">
        <f t="shared" si="616"/>
        <v>0</v>
      </c>
      <c r="X4875" s="36"/>
      <c r="Y4875" s="36"/>
      <c r="Z4875" s="36"/>
      <c r="AA4875" s="36"/>
      <c r="AB4875" s="36"/>
      <c r="AC4875" s="36"/>
      <c r="AD4875" s="36"/>
      <c r="AE4875" s="36"/>
      <c r="AF4875" s="36"/>
      <c r="AG4875" s="36"/>
      <c r="AH4875" s="36"/>
      <c r="AI4875" s="36"/>
      <c r="AJ4875" s="15">
        <f t="shared" si="617"/>
        <v>0</v>
      </c>
      <c r="AK4875" s="14"/>
      <c r="AL4875" s="14"/>
      <c r="AM4875" s="14"/>
      <c r="AN4875" s="14"/>
      <c r="AO4875" s="14"/>
      <c r="AP4875" s="14"/>
      <c r="AQ4875" s="14"/>
      <c r="AR4875" s="14"/>
      <c r="AS4875" s="14"/>
      <c r="AT4875" s="14"/>
      <c r="AU4875" s="14"/>
      <c r="AV4875" s="14"/>
      <c r="AW4875" s="15"/>
      <c r="AX4875" s="16"/>
    </row>
    <row r="4876" spans="2:51" x14ac:dyDescent="0.2">
      <c r="B4876" s="7"/>
      <c r="C4876" s="8">
        <v>15111</v>
      </c>
      <c r="D4876" s="9" t="s">
        <v>340</v>
      </c>
      <c r="E4876" s="10" t="str">
        <f t="shared" si="613"/>
        <v>Rancho Romeral No. 17</v>
      </c>
      <c r="F4876" s="10" t="str">
        <f t="shared" si="614"/>
        <v>Aguilar Lomelí</v>
      </c>
      <c r="G4876" s="8">
        <v>1</v>
      </c>
      <c r="H4876" s="11">
        <v>400</v>
      </c>
      <c r="I4876" s="12">
        <v>43002</v>
      </c>
      <c r="J4876" s="35">
        <f t="shared" si="615"/>
        <v>0</v>
      </c>
      <c r="K4876" s="36"/>
      <c r="L4876" s="36"/>
      <c r="M4876" s="36"/>
      <c r="N4876" s="36"/>
      <c r="O4876" s="36"/>
      <c r="P4876" s="36"/>
      <c r="Q4876" s="36"/>
      <c r="R4876" s="36"/>
      <c r="S4876" s="36"/>
      <c r="T4876" s="36"/>
      <c r="U4876" s="36"/>
      <c r="V4876" s="36"/>
      <c r="W4876" s="15">
        <f t="shared" si="616"/>
        <v>0</v>
      </c>
      <c r="X4876" s="36"/>
      <c r="Y4876" s="36"/>
      <c r="Z4876" s="36"/>
      <c r="AA4876" s="36"/>
      <c r="AB4876" s="36"/>
      <c r="AC4876" s="36"/>
      <c r="AD4876" s="36"/>
      <c r="AE4876" s="36"/>
      <c r="AF4876" s="36">
        <v>400</v>
      </c>
      <c r="AG4876" s="36"/>
      <c r="AH4876" s="36"/>
      <c r="AI4876" s="36"/>
      <c r="AJ4876" s="15">
        <f t="shared" si="617"/>
        <v>400</v>
      </c>
      <c r="AK4876" s="14"/>
      <c r="AL4876" s="14"/>
      <c r="AM4876" s="14"/>
      <c r="AN4876" s="14"/>
      <c r="AO4876" s="14"/>
      <c r="AP4876" s="14"/>
      <c r="AQ4876" s="14"/>
      <c r="AR4876" s="14"/>
      <c r="AS4876" s="14"/>
      <c r="AT4876" s="14"/>
      <c r="AU4876" s="14"/>
      <c r="AV4876" s="14"/>
      <c r="AW4876" s="15"/>
      <c r="AX4876" s="16"/>
    </row>
    <row r="4877" spans="2:51" x14ac:dyDescent="0.2">
      <c r="B4877" s="7"/>
      <c r="C4877" s="8">
        <v>15112</v>
      </c>
      <c r="D4877" s="9" t="s">
        <v>655</v>
      </c>
      <c r="E4877" s="10" t="str">
        <f t="shared" si="613"/>
        <v>Rancho La Cuchilla No. 115</v>
      </c>
      <c r="F4877" s="10" t="str">
        <f t="shared" si="614"/>
        <v>Alfaro</v>
      </c>
      <c r="G4877" s="8">
        <v>1</v>
      </c>
      <c r="H4877" s="11">
        <v>400</v>
      </c>
      <c r="I4877" s="12">
        <v>43002</v>
      </c>
      <c r="J4877" s="35">
        <f t="shared" si="615"/>
        <v>0</v>
      </c>
      <c r="K4877" s="36"/>
      <c r="L4877" s="36"/>
      <c r="M4877" s="36"/>
      <c r="N4877" s="36"/>
      <c r="O4877" s="36"/>
      <c r="P4877" s="36"/>
      <c r="Q4877" s="36"/>
      <c r="R4877" s="36"/>
      <c r="S4877" s="36"/>
      <c r="T4877" s="36"/>
      <c r="U4877" s="36"/>
      <c r="V4877" s="36"/>
      <c r="W4877" s="15">
        <f t="shared" si="616"/>
        <v>0</v>
      </c>
      <c r="X4877" s="36"/>
      <c r="Y4877" s="36"/>
      <c r="Z4877" s="36"/>
      <c r="AA4877" s="36"/>
      <c r="AB4877" s="36"/>
      <c r="AC4877" s="36">
        <v>400</v>
      </c>
      <c r="AD4877" s="36"/>
      <c r="AE4877" s="36"/>
      <c r="AF4877" s="36"/>
      <c r="AG4877" s="36"/>
      <c r="AH4877" s="36"/>
      <c r="AI4877" s="36"/>
      <c r="AJ4877" s="15">
        <f t="shared" si="617"/>
        <v>400</v>
      </c>
      <c r="AK4877" s="14"/>
      <c r="AL4877" s="14"/>
      <c r="AM4877" s="14"/>
      <c r="AN4877" s="14"/>
      <c r="AO4877" s="14"/>
      <c r="AP4877" s="14"/>
      <c r="AQ4877" s="14"/>
      <c r="AR4877" s="14"/>
      <c r="AS4877" s="14"/>
      <c r="AT4877" s="14"/>
      <c r="AU4877" s="14"/>
      <c r="AV4877" s="14"/>
      <c r="AW4877" s="15"/>
      <c r="AX4877" s="16"/>
    </row>
    <row r="4878" spans="2:51" x14ac:dyDescent="0.2">
      <c r="B4878" s="7"/>
      <c r="C4878" s="8">
        <v>15113</v>
      </c>
      <c r="D4878" s="9" t="s">
        <v>259</v>
      </c>
      <c r="E4878" s="10" t="str">
        <f t="shared" si="613"/>
        <v>Rancho Estanzuela No. 55</v>
      </c>
      <c r="F4878" s="10" t="str">
        <f t="shared" si="614"/>
        <v>Rodríguez Acevedo</v>
      </c>
      <c r="G4878" s="8">
        <v>1</v>
      </c>
      <c r="H4878" s="11">
        <v>400</v>
      </c>
      <c r="I4878" s="12">
        <v>43002</v>
      </c>
      <c r="J4878" s="35">
        <f t="shared" si="615"/>
        <v>0</v>
      </c>
      <c r="K4878" s="36"/>
      <c r="L4878" s="36"/>
      <c r="M4878" s="36"/>
      <c r="N4878" s="36"/>
      <c r="O4878" s="36"/>
      <c r="P4878" s="36"/>
      <c r="Q4878" s="36"/>
      <c r="R4878" s="36"/>
      <c r="S4878" s="36"/>
      <c r="T4878" s="36"/>
      <c r="U4878" s="36"/>
      <c r="V4878" s="36"/>
      <c r="W4878" s="15">
        <f t="shared" si="616"/>
        <v>0</v>
      </c>
      <c r="X4878" s="36"/>
      <c r="Y4878" s="36"/>
      <c r="Z4878" s="36"/>
      <c r="AA4878" s="36"/>
      <c r="AB4878" s="36"/>
      <c r="AC4878" s="36"/>
      <c r="AD4878" s="36"/>
      <c r="AE4878" s="36"/>
      <c r="AF4878" s="36">
        <v>400</v>
      </c>
      <c r="AG4878" s="36"/>
      <c r="AH4878" s="36"/>
      <c r="AI4878" s="36"/>
      <c r="AJ4878" s="15">
        <f t="shared" si="617"/>
        <v>400</v>
      </c>
      <c r="AK4878" s="14"/>
      <c r="AL4878" s="14"/>
      <c r="AM4878" s="14"/>
      <c r="AN4878" s="14"/>
      <c r="AO4878" s="14"/>
      <c r="AP4878" s="14"/>
      <c r="AQ4878" s="14"/>
      <c r="AR4878" s="14"/>
      <c r="AS4878" s="14"/>
      <c r="AT4878" s="14"/>
      <c r="AU4878" s="14"/>
      <c r="AV4878" s="14"/>
      <c r="AW4878" s="15"/>
      <c r="AX4878" s="16"/>
    </row>
    <row r="4879" spans="2:51" x14ac:dyDescent="0.2">
      <c r="B4879" s="7"/>
      <c r="C4879" s="8">
        <v>15114</v>
      </c>
      <c r="D4879" s="9" t="s">
        <v>1128</v>
      </c>
      <c r="E4879" s="10" t="str">
        <f t="shared" si="613"/>
        <v>Rancho Upácuaro No. 26</v>
      </c>
      <c r="F4879" s="10" t="str">
        <f t="shared" si="614"/>
        <v>Salazar</v>
      </c>
      <c r="G4879" s="8">
        <v>1</v>
      </c>
      <c r="H4879" s="11">
        <v>1600</v>
      </c>
      <c r="I4879" s="12">
        <v>43002</v>
      </c>
      <c r="J4879" s="35">
        <f t="shared" si="615"/>
        <v>0</v>
      </c>
      <c r="K4879" s="36"/>
      <c r="L4879" s="36"/>
      <c r="M4879" s="36"/>
      <c r="N4879" s="36"/>
      <c r="O4879" s="36"/>
      <c r="P4879" s="36"/>
      <c r="Q4879" s="36"/>
      <c r="R4879" s="36"/>
      <c r="S4879" s="36"/>
      <c r="T4879" s="36"/>
      <c r="U4879" s="36"/>
      <c r="V4879" s="36"/>
      <c r="W4879" s="15">
        <f t="shared" si="616"/>
        <v>0</v>
      </c>
      <c r="X4879" s="36"/>
      <c r="Y4879" s="36"/>
      <c r="Z4879" s="36"/>
      <c r="AA4879" s="36"/>
      <c r="AB4879" s="36"/>
      <c r="AC4879" s="36"/>
      <c r="AD4879" s="36"/>
      <c r="AE4879" s="36"/>
      <c r="AF4879" s="36">
        <v>400</v>
      </c>
      <c r="AG4879" s="36">
        <v>400</v>
      </c>
      <c r="AH4879" s="36">
        <v>400</v>
      </c>
      <c r="AI4879" s="36">
        <v>400</v>
      </c>
      <c r="AJ4879" s="15">
        <f t="shared" si="617"/>
        <v>1600</v>
      </c>
      <c r="AK4879" s="14"/>
      <c r="AL4879" s="14"/>
      <c r="AM4879" s="14"/>
      <c r="AN4879" s="14"/>
      <c r="AO4879" s="14"/>
      <c r="AP4879" s="14"/>
      <c r="AQ4879" s="14"/>
      <c r="AR4879" s="14"/>
      <c r="AS4879" s="14"/>
      <c r="AT4879" s="14"/>
      <c r="AU4879" s="14"/>
      <c r="AV4879" s="14"/>
      <c r="AW4879" s="15"/>
      <c r="AX4879" s="316" t="s">
        <v>4495</v>
      </c>
      <c r="AY4879" s="383">
        <v>8250</v>
      </c>
    </row>
    <row r="4880" spans="2:51" x14ac:dyDescent="0.2">
      <c r="B4880" s="7"/>
      <c r="C4880" s="8">
        <v>15115</v>
      </c>
      <c r="D4880" s="9" t="s">
        <v>696</v>
      </c>
      <c r="E4880" s="10" t="str">
        <f t="shared" si="613"/>
        <v>Rancho Upácuaro No. 64</v>
      </c>
      <c r="F4880" s="10" t="str">
        <f t="shared" si="614"/>
        <v>Méndez Oliva</v>
      </c>
      <c r="G4880" s="8">
        <v>1</v>
      </c>
      <c r="H4880" s="315">
        <v>300</v>
      </c>
      <c r="I4880" s="12">
        <v>43002</v>
      </c>
      <c r="J4880" s="35">
        <f t="shared" si="615"/>
        <v>0</v>
      </c>
      <c r="K4880" s="36"/>
      <c r="L4880" s="36"/>
      <c r="M4880" s="36"/>
      <c r="N4880" s="36"/>
      <c r="O4880" s="36"/>
      <c r="P4880" s="36"/>
      <c r="Q4880" s="36"/>
      <c r="R4880" s="36"/>
      <c r="S4880" s="36"/>
      <c r="T4880" s="36"/>
      <c r="U4880" s="36"/>
      <c r="V4880" s="36"/>
      <c r="W4880" s="15">
        <f t="shared" si="616"/>
        <v>0</v>
      </c>
      <c r="X4880" s="36"/>
      <c r="Y4880" s="36"/>
      <c r="Z4880" s="36"/>
      <c r="AA4880" s="36"/>
      <c r="AB4880" s="36"/>
      <c r="AC4880" s="36"/>
      <c r="AD4880" s="36"/>
      <c r="AE4880" s="36"/>
      <c r="AF4880" s="36">
        <v>300</v>
      </c>
      <c r="AG4880" s="36"/>
      <c r="AH4880" s="36"/>
      <c r="AI4880" s="36"/>
      <c r="AJ4880" s="15">
        <f t="shared" si="617"/>
        <v>300</v>
      </c>
      <c r="AK4880" s="14"/>
      <c r="AL4880" s="14"/>
      <c r="AM4880" s="14"/>
      <c r="AN4880" s="14"/>
      <c r="AO4880" s="14"/>
      <c r="AP4880" s="14"/>
      <c r="AQ4880" s="14"/>
      <c r="AR4880" s="14"/>
      <c r="AS4880" s="14"/>
      <c r="AT4880" s="14"/>
      <c r="AU4880" s="14"/>
      <c r="AV4880" s="14"/>
      <c r="AW4880" s="15"/>
      <c r="AX4880" s="16"/>
    </row>
    <row r="4881" spans="1:50" x14ac:dyDescent="0.2">
      <c r="B4881" s="7"/>
      <c r="C4881" s="8">
        <v>15116</v>
      </c>
      <c r="D4881" s="9" t="s">
        <v>449</v>
      </c>
      <c r="E4881" s="10" t="str">
        <f t="shared" si="613"/>
        <v>Rancho La Cuchilla No. 132</v>
      </c>
      <c r="F4881" s="10" t="str">
        <f t="shared" si="614"/>
        <v>Téllez Girón</v>
      </c>
      <c r="G4881" s="8">
        <v>3</v>
      </c>
      <c r="H4881" s="11">
        <v>200</v>
      </c>
      <c r="I4881" s="12">
        <v>43005</v>
      </c>
      <c r="J4881" s="35">
        <f t="shared" si="615"/>
        <v>0</v>
      </c>
      <c r="K4881" s="36"/>
      <c r="L4881" s="36"/>
      <c r="M4881" s="36"/>
      <c r="N4881" s="36"/>
      <c r="O4881" s="36"/>
      <c r="P4881" s="36"/>
      <c r="Q4881" s="36"/>
      <c r="R4881" s="36"/>
      <c r="S4881" s="36"/>
      <c r="T4881" s="36"/>
      <c r="U4881" s="36"/>
      <c r="V4881" s="36"/>
      <c r="W4881" s="15">
        <f t="shared" si="616"/>
        <v>0</v>
      </c>
      <c r="X4881" s="36"/>
      <c r="Y4881" s="36"/>
      <c r="Z4881" s="36"/>
      <c r="AA4881" s="36"/>
      <c r="AB4881" s="36"/>
      <c r="AC4881" s="36"/>
      <c r="AD4881" s="36"/>
      <c r="AE4881" s="36"/>
      <c r="AF4881" s="36"/>
      <c r="AG4881" s="36"/>
      <c r="AH4881" s="36"/>
      <c r="AI4881" s="36"/>
      <c r="AJ4881" s="15">
        <f t="shared" si="617"/>
        <v>0</v>
      </c>
      <c r="AK4881" s="14"/>
      <c r="AL4881" s="14"/>
      <c r="AM4881" s="14"/>
      <c r="AN4881" s="14"/>
      <c r="AO4881" s="14"/>
      <c r="AP4881" s="14"/>
      <c r="AQ4881" s="14"/>
      <c r="AR4881" s="14"/>
      <c r="AS4881" s="14"/>
      <c r="AT4881" s="14"/>
      <c r="AU4881" s="14"/>
      <c r="AV4881" s="14"/>
      <c r="AW4881" s="15"/>
      <c r="AX4881" s="16"/>
    </row>
    <row r="4882" spans="1:50" x14ac:dyDescent="0.2">
      <c r="B4882" s="7"/>
      <c r="C4882" s="8">
        <v>15117</v>
      </c>
      <c r="D4882" s="9" t="s">
        <v>202</v>
      </c>
      <c r="E4882" s="10" t="str">
        <f t="shared" si="613"/>
        <v>Rancho Estanzuela No. 25</v>
      </c>
      <c r="F4882" s="10" t="str">
        <f t="shared" si="614"/>
        <v>Contreras Figueroa</v>
      </c>
      <c r="G4882" s="8">
        <v>1</v>
      </c>
      <c r="H4882" s="11">
        <v>400</v>
      </c>
      <c r="I4882" s="12">
        <v>43006</v>
      </c>
      <c r="J4882" s="35">
        <f t="shared" si="615"/>
        <v>0</v>
      </c>
      <c r="K4882" s="36"/>
      <c r="L4882" s="36"/>
      <c r="M4882" s="36"/>
      <c r="N4882" s="36"/>
      <c r="O4882" s="36"/>
      <c r="P4882" s="36"/>
      <c r="Q4882" s="36"/>
      <c r="R4882" s="36"/>
      <c r="S4882" s="36"/>
      <c r="T4882" s="36"/>
      <c r="U4882" s="36"/>
      <c r="V4882" s="36"/>
      <c r="W4882" s="15">
        <f t="shared" si="616"/>
        <v>0</v>
      </c>
      <c r="X4882" s="36"/>
      <c r="Y4882" s="36"/>
      <c r="Z4882" s="36"/>
      <c r="AA4882" s="36"/>
      <c r="AB4882" s="36"/>
      <c r="AC4882" s="36"/>
      <c r="AD4882" s="36"/>
      <c r="AE4882" s="36"/>
      <c r="AF4882" s="36">
        <v>400</v>
      </c>
      <c r="AG4882" s="36"/>
      <c r="AH4882" s="36"/>
      <c r="AI4882" s="36"/>
      <c r="AJ4882" s="15">
        <f t="shared" si="617"/>
        <v>400</v>
      </c>
      <c r="AK4882" s="14"/>
      <c r="AL4882" s="14"/>
      <c r="AM4882" s="14"/>
      <c r="AN4882" s="14"/>
      <c r="AO4882" s="14"/>
      <c r="AP4882" s="14"/>
      <c r="AQ4882" s="14"/>
      <c r="AR4882" s="14"/>
      <c r="AS4882" s="14"/>
      <c r="AT4882" s="14"/>
      <c r="AU4882" s="14"/>
      <c r="AV4882" s="14"/>
      <c r="AW4882" s="15"/>
      <c r="AX4882" s="16"/>
    </row>
    <row r="4883" spans="1:50" x14ac:dyDescent="0.2">
      <c r="A4883" s="320" t="s">
        <v>2886</v>
      </c>
      <c r="B4883" s="7" t="s">
        <v>3523</v>
      </c>
      <c r="C4883" s="8">
        <v>15118</v>
      </c>
      <c r="D4883" s="9" t="s">
        <v>211</v>
      </c>
      <c r="E4883" s="10" t="str">
        <f t="shared" ref="E4883:E4894" si="638">IF(D4883=0,"",VLOOKUP(D4883,BASE,2,FALSE))</f>
        <v>Rancho Upácuaro No. 46</v>
      </c>
      <c r="F4883" s="10" t="str">
        <f t="shared" ref="F4883:F4894" si="639">IF(D4883=0,"",VLOOKUP(D4883,BASE,3,FALSE))</f>
        <v>Fuentes</v>
      </c>
      <c r="G4883" s="8">
        <v>1</v>
      </c>
      <c r="H4883" s="11">
        <v>300</v>
      </c>
      <c r="I4883" s="12">
        <v>43006</v>
      </c>
      <c r="J4883" s="35">
        <f t="shared" ref="J4883:J4887" si="640">IF(G4883=1,SUM(W4883,AJ4883,-H4883),0)</f>
        <v>0</v>
      </c>
      <c r="K4883" s="36"/>
      <c r="L4883" s="36"/>
      <c r="M4883" s="36"/>
      <c r="N4883" s="36"/>
      <c r="O4883" s="36"/>
      <c r="P4883" s="36"/>
      <c r="Q4883" s="36"/>
      <c r="R4883" s="36"/>
      <c r="S4883" s="36"/>
      <c r="T4883" s="36"/>
      <c r="U4883" s="36"/>
      <c r="V4883" s="36"/>
      <c r="W4883" s="15">
        <f t="shared" ref="W4883:W4894" si="641">SUM(K4883:V4883)</f>
        <v>0</v>
      </c>
      <c r="X4883" s="36"/>
      <c r="Y4883" s="36"/>
      <c r="Z4883" s="36"/>
      <c r="AA4883" s="36"/>
      <c r="AB4883" s="36"/>
      <c r="AC4883" s="36"/>
      <c r="AD4883" s="36"/>
      <c r="AE4883" s="36"/>
      <c r="AF4883" s="36">
        <v>300</v>
      </c>
      <c r="AG4883" s="36"/>
      <c r="AH4883" s="36"/>
      <c r="AI4883" s="36"/>
      <c r="AJ4883" s="15">
        <f t="shared" ref="AJ4883:AJ4894" si="642">SUM(X4883:AI4883)</f>
        <v>300</v>
      </c>
      <c r="AK4883" s="14"/>
      <c r="AL4883" s="14"/>
      <c r="AM4883" s="14"/>
      <c r="AN4883" s="14"/>
      <c r="AO4883" s="14"/>
      <c r="AP4883" s="14"/>
      <c r="AQ4883" s="14"/>
      <c r="AR4883" s="14"/>
      <c r="AS4883" s="14"/>
      <c r="AT4883" s="14"/>
      <c r="AU4883" s="14"/>
      <c r="AV4883" s="14"/>
      <c r="AW4883" s="15"/>
      <c r="AX4883" s="316">
        <f>SUM(H4880:H4883)</f>
        <v>1200</v>
      </c>
    </row>
    <row r="4884" spans="1:50" x14ac:dyDescent="0.2">
      <c r="B4884" s="7"/>
      <c r="C4884" s="8"/>
      <c r="D4884" s="9" t="s">
        <v>806</v>
      </c>
      <c r="E4884" s="10" t="str">
        <f t="shared" si="638"/>
        <v>Rancho Estanzuela No. 130, A</v>
      </c>
      <c r="F4884" s="10" t="str">
        <f t="shared" si="639"/>
        <v>Colegio Carmel</v>
      </c>
      <c r="G4884" s="8">
        <v>1</v>
      </c>
      <c r="H4884" s="11">
        <v>11000</v>
      </c>
      <c r="I4884" s="12">
        <v>43004</v>
      </c>
      <c r="J4884" s="35">
        <f t="shared" si="640"/>
        <v>0</v>
      </c>
      <c r="K4884" s="36"/>
      <c r="L4884" s="36"/>
      <c r="M4884" s="36"/>
      <c r="N4884" s="36"/>
      <c r="O4884" s="36"/>
      <c r="P4884" s="36"/>
      <c r="Q4884" s="36"/>
      <c r="R4884" s="36"/>
      <c r="S4884" s="36"/>
      <c r="T4884" s="36"/>
      <c r="U4884" s="36"/>
      <c r="V4884" s="36"/>
      <c r="W4884" s="15">
        <f t="shared" si="641"/>
        <v>0</v>
      </c>
      <c r="X4884" s="36"/>
      <c r="Y4884" s="36"/>
      <c r="Z4884" s="36"/>
      <c r="AA4884" s="36"/>
      <c r="AB4884" s="36"/>
      <c r="AC4884" s="36"/>
      <c r="AD4884" s="36"/>
      <c r="AE4884" s="36"/>
      <c r="AF4884" s="36">
        <v>11000</v>
      </c>
      <c r="AG4884" s="36"/>
      <c r="AH4884" s="36"/>
      <c r="AI4884" s="36"/>
      <c r="AJ4884" s="15">
        <f t="shared" si="642"/>
        <v>11000</v>
      </c>
      <c r="AK4884" s="14"/>
      <c r="AL4884" s="14"/>
      <c r="AM4884" s="14"/>
      <c r="AN4884" s="14"/>
      <c r="AO4884" s="14"/>
      <c r="AP4884" s="14"/>
      <c r="AQ4884" s="14"/>
      <c r="AR4884" s="14"/>
      <c r="AS4884" s="14"/>
      <c r="AT4884" s="14"/>
      <c r="AU4884" s="14"/>
      <c r="AV4884" s="14"/>
      <c r="AW4884" s="15"/>
      <c r="AX4884" s="16"/>
    </row>
    <row r="4885" spans="1:50" x14ac:dyDescent="0.2">
      <c r="B4885" s="7"/>
      <c r="C4885" s="8">
        <v>15173</v>
      </c>
      <c r="D4885" s="9" t="s">
        <v>119</v>
      </c>
      <c r="E4885" s="10" t="str">
        <f t="shared" si="638"/>
        <v>Rancho Landero No. 25</v>
      </c>
      <c r="F4885" s="10" t="str">
        <f t="shared" si="639"/>
        <v>Escamilla Martínez</v>
      </c>
      <c r="G4885" s="8">
        <v>1</v>
      </c>
      <c r="H4885" s="11">
        <v>800</v>
      </c>
      <c r="I4885" s="12">
        <v>43007</v>
      </c>
      <c r="J4885" s="35">
        <f t="shared" si="640"/>
        <v>0</v>
      </c>
      <c r="K4885" s="36"/>
      <c r="L4885" s="36"/>
      <c r="M4885" s="36"/>
      <c r="N4885" s="36"/>
      <c r="O4885" s="36"/>
      <c r="P4885" s="36"/>
      <c r="Q4885" s="36"/>
      <c r="R4885" s="36"/>
      <c r="S4885" s="36"/>
      <c r="T4885" s="36"/>
      <c r="U4885" s="36"/>
      <c r="V4885" s="36"/>
      <c r="W4885" s="15">
        <f t="shared" si="641"/>
        <v>0</v>
      </c>
      <c r="X4885" s="36"/>
      <c r="Y4885" s="36"/>
      <c r="Z4885" s="36"/>
      <c r="AA4885" s="36"/>
      <c r="AB4885" s="36">
        <v>400</v>
      </c>
      <c r="AC4885" s="36">
        <v>400</v>
      </c>
      <c r="AD4885" s="36"/>
      <c r="AE4885" s="36"/>
      <c r="AF4885" s="36"/>
      <c r="AG4885" s="36"/>
      <c r="AH4885" s="36"/>
      <c r="AI4885" s="36"/>
      <c r="AJ4885" s="15">
        <f t="shared" si="642"/>
        <v>800</v>
      </c>
      <c r="AK4885" s="14"/>
      <c r="AL4885" s="14"/>
      <c r="AM4885" s="14"/>
      <c r="AN4885" s="14"/>
      <c r="AO4885" s="14"/>
      <c r="AP4885" s="14"/>
      <c r="AQ4885" s="14"/>
      <c r="AR4885" s="14"/>
      <c r="AS4885" s="14"/>
      <c r="AT4885" s="14"/>
      <c r="AU4885" s="14"/>
      <c r="AV4885" s="14"/>
      <c r="AW4885" s="15"/>
      <c r="AX4885" s="385"/>
    </row>
    <row r="4886" spans="1:50" x14ac:dyDescent="0.2">
      <c r="B4886" s="7"/>
      <c r="C4886" s="8"/>
      <c r="D4886" s="9"/>
      <c r="E4886" s="10" t="str">
        <f t="shared" si="638"/>
        <v/>
      </c>
      <c r="F4886" s="10" t="str">
        <f t="shared" si="639"/>
        <v/>
      </c>
      <c r="G4886" s="8"/>
      <c r="H4886" s="11"/>
      <c r="I4886" s="12"/>
      <c r="J4886" s="35">
        <f t="shared" si="640"/>
        <v>0</v>
      </c>
      <c r="K4886" s="36"/>
      <c r="L4886" s="36"/>
      <c r="M4886" s="36"/>
      <c r="N4886" s="36"/>
      <c r="O4886" s="36"/>
      <c r="P4886" s="36"/>
      <c r="Q4886" s="36"/>
      <c r="R4886" s="36"/>
      <c r="S4886" s="36"/>
      <c r="T4886" s="36"/>
      <c r="U4886" s="36"/>
      <c r="V4886" s="36"/>
      <c r="W4886" s="15">
        <f t="shared" si="641"/>
        <v>0</v>
      </c>
      <c r="X4886" s="36"/>
      <c r="Y4886" s="36"/>
      <c r="Z4886" s="36"/>
      <c r="AA4886" s="36"/>
      <c r="AB4886" s="36"/>
      <c r="AC4886" s="36"/>
      <c r="AD4886" s="36"/>
      <c r="AE4886" s="36"/>
      <c r="AF4886" s="36"/>
      <c r="AG4886" s="36"/>
      <c r="AH4886" s="36"/>
      <c r="AI4886" s="36"/>
      <c r="AJ4886" s="15">
        <f t="shared" si="642"/>
        <v>0</v>
      </c>
      <c r="AK4886" s="14"/>
      <c r="AL4886" s="14"/>
      <c r="AM4886" s="14"/>
      <c r="AN4886" s="14"/>
      <c r="AO4886" s="14"/>
      <c r="AP4886" s="14"/>
      <c r="AQ4886" s="14"/>
      <c r="AR4886" s="14"/>
      <c r="AS4886" s="14"/>
      <c r="AT4886" s="14"/>
      <c r="AU4886" s="14"/>
      <c r="AV4886" s="14"/>
      <c r="AW4886" s="15"/>
      <c r="AX4886" s="316">
        <f>SUM(H4738:H4885)</f>
        <v>93575</v>
      </c>
    </row>
    <row r="4887" spans="1:50" x14ac:dyDescent="0.2">
      <c r="B4887" s="7"/>
      <c r="C4887" s="8"/>
      <c r="D4887" s="9"/>
      <c r="E4887" s="10" t="str">
        <f t="shared" si="638"/>
        <v/>
      </c>
      <c r="F4887" s="10" t="str">
        <f t="shared" si="639"/>
        <v/>
      </c>
      <c r="G4887" s="8"/>
      <c r="H4887" s="11"/>
      <c r="I4887" s="12"/>
      <c r="J4887" s="35">
        <f t="shared" si="640"/>
        <v>0</v>
      </c>
      <c r="K4887" s="36"/>
      <c r="L4887" s="36"/>
      <c r="M4887" s="36"/>
      <c r="N4887" s="36"/>
      <c r="O4887" s="36"/>
      <c r="P4887" s="36"/>
      <c r="Q4887" s="36"/>
      <c r="R4887" s="36"/>
      <c r="S4887" s="36"/>
      <c r="T4887" s="36"/>
      <c r="U4887" s="36"/>
      <c r="V4887" s="36"/>
      <c r="W4887" s="15">
        <f t="shared" si="641"/>
        <v>0</v>
      </c>
      <c r="X4887" s="36"/>
      <c r="Y4887" s="36"/>
      <c r="Z4887" s="36"/>
      <c r="AA4887" s="36"/>
      <c r="AB4887" s="36"/>
      <c r="AC4887" s="36"/>
      <c r="AD4887" s="36"/>
      <c r="AE4887" s="36"/>
      <c r="AF4887" s="36"/>
      <c r="AG4887" s="36"/>
      <c r="AH4887" s="36"/>
      <c r="AI4887" s="36"/>
      <c r="AJ4887" s="15">
        <f t="shared" si="642"/>
        <v>0</v>
      </c>
      <c r="AK4887" s="14"/>
      <c r="AL4887" s="14"/>
      <c r="AM4887" s="14"/>
      <c r="AN4887" s="14"/>
      <c r="AO4887" s="14"/>
      <c r="AP4887" s="14"/>
      <c r="AQ4887" s="14"/>
      <c r="AR4887" s="14"/>
      <c r="AS4887" s="14"/>
      <c r="AT4887" s="14"/>
      <c r="AU4887" s="14"/>
      <c r="AV4887" s="14"/>
      <c r="AW4887" s="15"/>
      <c r="AX4887" s="16"/>
    </row>
    <row r="4888" spans="1:50" ht="22.5" x14ac:dyDescent="0.2">
      <c r="A4888" s="2"/>
      <c r="B4888" s="3" t="s">
        <v>1</v>
      </c>
      <c r="C4888" s="3" t="s">
        <v>2</v>
      </c>
      <c r="D4888" s="3" t="s">
        <v>3</v>
      </c>
      <c r="E4888" s="337" t="s">
        <v>4</v>
      </c>
      <c r="F4888" s="337" t="s">
        <v>5</v>
      </c>
      <c r="G4888" s="3" t="s">
        <v>6</v>
      </c>
      <c r="H4888" s="3" t="s">
        <v>7</v>
      </c>
      <c r="I4888" s="3" t="s">
        <v>8</v>
      </c>
      <c r="J4888" s="337" t="s">
        <v>9</v>
      </c>
      <c r="K4888" s="4" t="s">
        <v>10</v>
      </c>
      <c r="L4888" s="4" t="s">
        <v>11</v>
      </c>
      <c r="M4888" s="4" t="s">
        <v>12</v>
      </c>
      <c r="N4888" s="4" t="s">
        <v>13</v>
      </c>
      <c r="O4888" s="4" t="s">
        <v>14</v>
      </c>
      <c r="P4888" s="4" t="s">
        <v>15</v>
      </c>
      <c r="Q4888" s="4" t="s">
        <v>16</v>
      </c>
      <c r="R4888" s="4" t="s">
        <v>17</v>
      </c>
      <c r="S4888" s="4" t="s">
        <v>18</v>
      </c>
      <c r="T4888" s="4" t="s">
        <v>19</v>
      </c>
      <c r="U4888" s="4" t="s">
        <v>20</v>
      </c>
      <c r="V4888" s="4" t="s">
        <v>21</v>
      </c>
      <c r="W4888" s="338" t="s">
        <v>22</v>
      </c>
      <c r="X4888" s="4" t="s">
        <v>23</v>
      </c>
      <c r="Y4888" s="4" t="s">
        <v>24</v>
      </c>
      <c r="Z4888" s="4" t="s">
        <v>25</v>
      </c>
      <c r="AA4888" s="4" t="s">
        <v>26</v>
      </c>
      <c r="AB4888" s="4" t="s">
        <v>27</v>
      </c>
      <c r="AC4888" s="4" t="s">
        <v>28</v>
      </c>
      <c r="AD4888" s="4" t="s">
        <v>29</v>
      </c>
      <c r="AE4888" s="4" t="s">
        <v>30</v>
      </c>
      <c r="AF4888" s="4" t="s">
        <v>31</v>
      </c>
      <c r="AG4888" s="4" t="s">
        <v>32</v>
      </c>
      <c r="AH4888" s="4" t="s">
        <v>33</v>
      </c>
      <c r="AI4888" s="4" t="s">
        <v>34</v>
      </c>
      <c r="AJ4888" s="338" t="s">
        <v>35</v>
      </c>
      <c r="AK4888" s="4" t="s">
        <v>4607</v>
      </c>
      <c r="AL4888" s="4" t="s">
        <v>4608</v>
      </c>
      <c r="AM4888" s="4" t="s">
        <v>4609</v>
      </c>
      <c r="AN4888" s="4" t="s">
        <v>4610</v>
      </c>
      <c r="AO4888" s="4" t="s">
        <v>4611</v>
      </c>
      <c r="AP4888" s="4" t="s">
        <v>4612</v>
      </c>
      <c r="AQ4888" s="4" t="s">
        <v>4613</v>
      </c>
      <c r="AR4888" s="4" t="s">
        <v>4614</v>
      </c>
      <c r="AS4888" s="4" t="s">
        <v>4615</v>
      </c>
      <c r="AT4888" s="4" t="s">
        <v>4616</v>
      </c>
      <c r="AU4888" s="4" t="s">
        <v>4617</v>
      </c>
      <c r="AV4888" s="4" t="s">
        <v>4618</v>
      </c>
      <c r="AW4888" s="338" t="s">
        <v>4619</v>
      </c>
      <c r="AX4888" s="6" t="s">
        <v>36</v>
      </c>
    </row>
    <row r="4889" spans="1:50" x14ac:dyDescent="0.2">
      <c r="B4889" s="7"/>
      <c r="C4889" s="8">
        <v>15119</v>
      </c>
      <c r="D4889" s="9" t="s">
        <v>100</v>
      </c>
      <c r="E4889" s="10" t="str">
        <f t="shared" si="638"/>
        <v>Rancho Upácuaro No. 32</v>
      </c>
      <c r="F4889" s="10" t="str">
        <f t="shared" si="639"/>
        <v>Sairafi Carmen</v>
      </c>
      <c r="G4889" s="8">
        <v>1</v>
      </c>
      <c r="H4889" s="11">
        <v>400</v>
      </c>
      <c r="I4889" s="12">
        <v>43009</v>
      </c>
      <c r="J4889" s="35">
        <f t="shared" ref="J4889:J4920" si="643">IF(G4889=1,SUM(W4889,AJ4889,AW4889,-H4889),0)</f>
        <v>0</v>
      </c>
      <c r="K4889" s="36"/>
      <c r="L4889" s="36"/>
      <c r="M4889" s="36"/>
      <c r="N4889" s="36"/>
      <c r="O4889" s="36"/>
      <c r="P4889" s="36"/>
      <c r="Q4889" s="36"/>
      <c r="R4889" s="36"/>
      <c r="S4889" s="36"/>
      <c r="T4889" s="36"/>
      <c r="U4889" s="36"/>
      <c r="V4889" s="36"/>
      <c r="W4889" s="15">
        <f t="shared" si="641"/>
        <v>0</v>
      </c>
      <c r="X4889" s="36"/>
      <c r="Y4889" s="36"/>
      <c r="Z4889" s="36"/>
      <c r="AA4889" s="36"/>
      <c r="AB4889" s="36"/>
      <c r="AC4889" s="36"/>
      <c r="AD4889" s="36"/>
      <c r="AE4889" s="36"/>
      <c r="AF4889" s="36"/>
      <c r="AG4889" s="36">
        <v>400</v>
      </c>
      <c r="AH4889" s="36"/>
      <c r="AI4889" s="36"/>
      <c r="AJ4889" s="15">
        <f t="shared" si="642"/>
        <v>400</v>
      </c>
      <c r="AK4889" s="14"/>
      <c r="AL4889" s="14"/>
      <c r="AM4889" s="14"/>
      <c r="AN4889" s="14"/>
      <c r="AO4889" s="14"/>
      <c r="AP4889" s="14"/>
      <c r="AQ4889" s="14"/>
      <c r="AR4889" s="14"/>
      <c r="AS4889" s="14"/>
      <c r="AT4889" s="14"/>
      <c r="AU4889" s="14"/>
      <c r="AV4889" s="14"/>
      <c r="AW4889" s="15">
        <f t="shared" ref="AW4889:AW4920" si="644">SUM(AK4889:AV4889)</f>
        <v>0</v>
      </c>
      <c r="AX4889" s="16"/>
    </row>
    <row r="4890" spans="1:50" x14ac:dyDescent="0.2">
      <c r="B4890" s="7"/>
      <c r="C4890" s="8">
        <v>15120</v>
      </c>
      <c r="D4890" s="9" t="s">
        <v>265</v>
      </c>
      <c r="E4890" s="10" t="str">
        <f t="shared" si="638"/>
        <v>Rancho Upácuaro No. 85</v>
      </c>
      <c r="F4890" s="10" t="str">
        <f t="shared" si="639"/>
        <v>Del Toro Huerta</v>
      </c>
      <c r="G4890" s="8">
        <v>1</v>
      </c>
      <c r="H4890" s="11">
        <v>400</v>
      </c>
      <c r="I4890" s="12">
        <v>43009</v>
      </c>
      <c r="J4890" s="35">
        <f t="shared" si="643"/>
        <v>0</v>
      </c>
      <c r="K4890" s="36"/>
      <c r="L4890" s="36"/>
      <c r="M4890" s="36"/>
      <c r="N4890" s="36"/>
      <c r="O4890" s="36"/>
      <c r="P4890" s="36"/>
      <c r="Q4890" s="36"/>
      <c r="R4890" s="36"/>
      <c r="S4890" s="36"/>
      <c r="T4890" s="36"/>
      <c r="U4890" s="36"/>
      <c r="V4890" s="36"/>
      <c r="W4890" s="15">
        <f t="shared" si="641"/>
        <v>0</v>
      </c>
      <c r="X4890" s="36"/>
      <c r="Y4890" s="36"/>
      <c r="Z4890" s="36"/>
      <c r="AA4890" s="36"/>
      <c r="AB4890" s="36"/>
      <c r="AC4890" s="36"/>
      <c r="AD4890" s="36"/>
      <c r="AE4890" s="36"/>
      <c r="AF4890" s="36"/>
      <c r="AG4890" s="36">
        <v>400</v>
      </c>
      <c r="AH4890" s="36"/>
      <c r="AI4890" s="36"/>
      <c r="AJ4890" s="15">
        <f t="shared" si="642"/>
        <v>400</v>
      </c>
      <c r="AK4890" s="14"/>
      <c r="AL4890" s="14"/>
      <c r="AM4890" s="14"/>
      <c r="AN4890" s="14"/>
      <c r="AO4890" s="14"/>
      <c r="AP4890" s="14"/>
      <c r="AQ4890" s="14"/>
      <c r="AR4890" s="14"/>
      <c r="AS4890" s="14"/>
      <c r="AT4890" s="14"/>
      <c r="AU4890" s="14"/>
      <c r="AV4890" s="14"/>
      <c r="AW4890" s="15">
        <f t="shared" si="644"/>
        <v>0</v>
      </c>
      <c r="AX4890" s="16"/>
    </row>
    <row r="4891" spans="1:50" x14ac:dyDescent="0.2">
      <c r="B4891" s="7"/>
      <c r="C4891" s="8">
        <v>15120</v>
      </c>
      <c r="D4891" s="9" t="s">
        <v>265</v>
      </c>
      <c r="E4891" s="10" t="str">
        <f t="shared" si="638"/>
        <v>Rancho Upácuaro No. 85</v>
      </c>
      <c r="F4891" s="10" t="str">
        <f t="shared" si="639"/>
        <v>Del Toro Huerta</v>
      </c>
      <c r="G4891" s="8">
        <v>5</v>
      </c>
      <c r="H4891" s="11">
        <v>50</v>
      </c>
      <c r="I4891" s="12">
        <v>43009</v>
      </c>
      <c r="J4891" s="35">
        <f t="shared" si="643"/>
        <v>0</v>
      </c>
      <c r="K4891" s="36"/>
      <c r="L4891" s="36"/>
      <c r="M4891" s="36"/>
      <c r="N4891" s="36"/>
      <c r="O4891" s="36"/>
      <c r="P4891" s="36"/>
      <c r="Q4891" s="36"/>
      <c r="R4891" s="36"/>
      <c r="S4891" s="36"/>
      <c r="T4891" s="36"/>
      <c r="U4891" s="36"/>
      <c r="V4891" s="36"/>
      <c r="W4891" s="15">
        <f t="shared" si="641"/>
        <v>0</v>
      </c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15">
        <f t="shared" si="642"/>
        <v>0</v>
      </c>
      <c r="AK4891" s="14"/>
      <c r="AL4891" s="14"/>
      <c r="AM4891" s="14"/>
      <c r="AN4891" s="14"/>
      <c r="AO4891" s="14"/>
      <c r="AP4891" s="14"/>
      <c r="AQ4891" s="14"/>
      <c r="AR4891" s="14"/>
      <c r="AS4891" s="14"/>
      <c r="AT4891" s="14"/>
      <c r="AU4891" s="14"/>
      <c r="AV4891" s="14"/>
      <c r="AW4891" s="15">
        <f t="shared" si="644"/>
        <v>0</v>
      </c>
      <c r="AX4891" s="16"/>
    </row>
    <row r="4892" spans="1:50" x14ac:dyDescent="0.2">
      <c r="B4892" s="7"/>
      <c r="C4892" s="8">
        <v>15121</v>
      </c>
      <c r="D4892" s="9" t="s">
        <v>171</v>
      </c>
      <c r="E4892" s="10" t="str">
        <f t="shared" si="638"/>
        <v>Rancho La Cuchilla No. 72</v>
      </c>
      <c r="F4892" s="10" t="str">
        <f t="shared" si="639"/>
        <v>Ortiz González</v>
      </c>
      <c r="G4892" s="8">
        <v>1</v>
      </c>
      <c r="H4892" s="11">
        <v>400</v>
      </c>
      <c r="I4892" s="12">
        <v>43009</v>
      </c>
      <c r="J4892" s="35">
        <f t="shared" si="643"/>
        <v>0</v>
      </c>
      <c r="K4892" s="36"/>
      <c r="L4892" s="36"/>
      <c r="M4892" s="36"/>
      <c r="N4892" s="36"/>
      <c r="O4892" s="36"/>
      <c r="P4892" s="36"/>
      <c r="Q4892" s="36"/>
      <c r="R4892" s="36"/>
      <c r="S4892" s="36"/>
      <c r="T4892" s="36"/>
      <c r="U4892" s="36"/>
      <c r="V4892" s="36"/>
      <c r="W4892" s="15">
        <f t="shared" si="641"/>
        <v>0</v>
      </c>
      <c r="X4892" s="36"/>
      <c r="Y4892" s="36"/>
      <c r="Z4892" s="36"/>
      <c r="AA4892" s="36"/>
      <c r="AB4892" s="36"/>
      <c r="AC4892" s="36"/>
      <c r="AD4892" s="36"/>
      <c r="AE4892" s="36"/>
      <c r="AF4892" s="36"/>
      <c r="AG4892" s="36">
        <v>400</v>
      </c>
      <c r="AH4892" s="36"/>
      <c r="AI4892" s="36"/>
      <c r="AJ4892" s="15">
        <f t="shared" si="642"/>
        <v>400</v>
      </c>
      <c r="AK4892" s="14"/>
      <c r="AL4892" s="14"/>
      <c r="AM4892" s="14"/>
      <c r="AN4892" s="14"/>
      <c r="AO4892" s="14"/>
      <c r="AP4892" s="14"/>
      <c r="AQ4892" s="14"/>
      <c r="AR4892" s="14"/>
      <c r="AS4892" s="14"/>
      <c r="AT4892" s="14"/>
      <c r="AU4892" s="14"/>
      <c r="AV4892" s="14"/>
      <c r="AW4892" s="15">
        <f t="shared" si="644"/>
        <v>0</v>
      </c>
      <c r="AX4892" s="16"/>
    </row>
    <row r="4893" spans="1:50" x14ac:dyDescent="0.2">
      <c r="B4893" s="7"/>
      <c r="C4893" s="8">
        <v>15122</v>
      </c>
      <c r="D4893" s="9" t="s">
        <v>929</v>
      </c>
      <c r="E4893" s="10" t="str">
        <f t="shared" si="638"/>
        <v>Rancho Estanzuela No. 157, 3</v>
      </c>
      <c r="F4893" s="10" t="str">
        <f t="shared" si="639"/>
        <v>Valdez</v>
      </c>
      <c r="G4893" s="8">
        <v>1</v>
      </c>
      <c r="H4893" s="11">
        <v>300</v>
      </c>
      <c r="I4893" s="12">
        <v>43009</v>
      </c>
      <c r="J4893" s="35">
        <f t="shared" si="643"/>
        <v>0</v>
      </c>
      <c r="K4893" s="36"/>
      <c r="L4893" s="36"/>
      <c r="M4893" s="36"/>
      <c r="N4893" s="36"/>
      <c r="O4893" s="36"/>
      <c r="P4893" s="36"/>
      <c r="Q4893" s="36"/>
      <c r="R4893" s="36"/>
      <c r="S4893" s="36"/>
      <c r="T4893" s="36"/>
      <c r="U4893" s="36"/>
      <c r="V4893" s="36"/>
      <c r="W4893" s="15">
        <f t="shared" si="641"/>
        <v>0</v>
      </c>
      <c r="X4893" s="36"/>
      <c r="Y4893" s="36"/>
      <c r="Z4893" s="36"/>
      <c r="AA4893" s="36"/>
      <c r="AB4893" s="36">
        <v>150</v>
      </c>
      <c r="AC4893" s="36">
        <v>150</v>
      </c>
      <c r="AD4893" s="36"/>
      <c r="AE4893" s="36"/>
      <c r="AF4893" s="36"/>
      <c r="AG4893" s="36"/>
      <c r="AH4893" s="36"/>
      <c r="AI4893" s="36"/>
      <c r="AJ4893" s="15">
        <f t="shared" si="642"/>
        <v>300</v>
      </c>
      <c r="AK4893" s="14"/>
      <c r="AL4893" s="14"/>
      <c r="AM4893" s="14"/>
      <c r="AN4893" s="14"/>
      <c r="AO4893" s="14"/>
      <c r="AP4893" s="14"/>
      <c r="AQ4893" s="14"/>
      <c r="AR4893" s="14"/>
      <c r="AS4893" s="14"/>
      <c r="AT4893" s="14"/>
      <c r="AU4893" s="14"/>
      <c r="AV4893" s="14"/>
      <c r="AW4893" s="15">
        <f t="shared" si="644"/>
        <v>0</v>
      </c>
      <c r="AX4893" s="16"/>
    </row>
    <row r="4894" spans="1:50" x14ac:dyDescent="0.2">
      <c r="B4894" s="7"/>
      <c r="C4894" s="8">
        <v>15122</v>
      </c>
      <c r="D4894" s="9" t="s">
        <v>929</v>
      </c>
      <c r="E4894" s="10" t="str">
        <f t="shared" si="638"/>
        <v>Rancho Estanzuela No. 157, 3</v>
      </c>
      <c r="F4894" s="10" t="str">
        <f t="shared" si="639"/>
        <v>Valdez</v>
      </c>
      <c r="G4894" s="8">
        <v>3</v>
      </c>
      <c r="H4894" s="11">
        <v>200</v>
      </c>
      <c r="I4894" s="12">
        <v>43009</v>
      </c>
      <c r="J4894" s="35">
        <f t="shared" si="643"/>
        <v>0</v>
      </c>
      <c r="K4894" s="36"/>
      <c r="L4894" s="36"/>
      <c r="M4894" s="36"/>
      <c r="N4894" s="36"/>
      <c r="O4894" s="36"/>
      <c r="P4894" s="36"/>
      <c r="Q4894" s="36"/>
      <c r="R4894" s="36"/>
      <c r="S4894" s="36"/>
      <c r="T4894" s="36"/>
      <c r="U4894" s="36"/>
      <c r="V4894" s="36"/>
      <c r="W4894" s="15">
        <f t="shared" si="641"/>
        <v>0</v>
      </c>
      <c r="X4894" s="36"/>
      <c r="Y4894" s="36"/>
      <c r="Z4894" s="36"/>
      <c r="AA4894" s="36"/>
      <c r="AB4894" s="36"/>
      <c r="AC4894" s="36"/>
      <c r="AD4894" s="36"/>
      <c r="AE4894" s="36"/>
      <c r="AF4894" s="36"/>
      <c r="AG4894" s="36"/>
      <c r="AH4894" s="36"/>
      <c r="AI4894" s="36"/>
      <c r="AJ4894" s="15">
        <f t="shared" si="642"/>
        <v>0</v>
      </c>
      <c r="AK4894" s="14"/>
      <c r="AL4894" s="14"/>
      <c r="AM4894" s="14"/>
      <c r="AN4894" s="14"/>
      <c r="AO4894" s="14"/>
      <c r="AP4894" s="14"/>
      <c r="AQ4894" s="14"/>
      <c r="AR4894" s="14"/>
      <c r="AS4894" s="14"/>
      <c r="AT4894" s="14"/>
      <c r="AU4894" s="14"/>
      <c r="AV4894" s="14"/>
      <c r="AW4894" s="15">
        <f t="shared" si="644"/>
        <v>0</v>
      </c>
      <c r="AX4894" s="16"/>
    </row>
    <row r="4895" spans="1:50" x14ac:dyDescent="0.2">
      <c r="B4895" s="7"/>
      <c r="C4895" s="8">
        <v>15123</v>
      </c>
      <c r="D4895" s="9" t="s">
        <v>280</v>
      </c>
      <c r="E4895" s="10" t="str">
        <f t="shared" ref="E4895:E4922" si="645">IF(D4895=0,"",VLOOKUP(D4895,BASE,2,FALSE))</f>
        <v>Rancho La Cuchilla No. 40</v>
      </c>
      <c r="F4895" s="10" t="str">
        <f t="shared" ref="F4895:F4922" si="646">IF(D4895=0,"",VLOOKUP(D4895,BASE,3,FALSE))</f>
        <v>López Pico</v>
      </c>
      <c r="G4895" s="8">
        <v>1</v>
      </c>
      <c r="H4895" s="11">
        <v>400</v>
      </c>
      <c r="I4895" s="12">
        <v>43009</v>
      </c>
      <c r="J4895" s="35">
        <f t="shared" si="643"/>
        <v>0</v>
      </c>
      <c r="K4895" s="36"/>
      <c r="L4895" s="36"/>
      <c r="M4895" s="36"/>
      <c r="N4895" s="36"/>
      <c r="O4895" s="36"/>
      <c r="P4895" s="36"/>
      <c r="Q4895" s="36"/>
      <c r="R4895" s="36"/>
      <c r="S4895" s="36"/>
      <c r="T4895" s="36"/>
      <c r="U4895" s="36"/>
      <c r="V4895" s="36"/>
      <c r="W4895" s="15">
        <f t="shared" ref="W4895:W4922" si="647">SUM(K4895:V4895)</f>
        <v>0</v>
      </c>
      <c r="X4895" s="36"/>
      <c r="Y4895" s="36"/>
      <c r="Z4895" s="36"/>
      <c r="AA4895" s="36"/>
      <c r="AB4895" s="36"/>
      <c r="AC4895" s="36"/>
      <c r="AD4895" s="36"/>
      <c r="AE4895" s="36"/>
      <c r="AF4895" s="36"/>
      <c r="AG4895" s="36">
        <v>400</v>
      </c>
      <c r="AH4895" s="36"/>
      <c r="AI4895" s="36"/>
      <c r="AJ4895" s="15">
        <f t="shared" ref="AJ4895:AJ4922" si="648">SUM(X4895:AI4895)</f>
        <v>400</v>
      </c>
      <c r="AK4895" s="14"/>
      <c r="AL4895" s="14"/>
      <c r="AM4895" s="14"/>
      <c r="AN4895" s="14"/>
      <c r="AO4895" s="14"/>
      <c r="AP4895" s="14"/>
      <c r="AQ4895" s="14"/>
      <c r="AR4895" s="14"/>
      <c r="AS4895" s="14"/>
      <c r="AT4895" s="14"/>
      <c r="AU4895" s="14"/>
      <c r="AV4895" s="14"/>
      <c r="AW4895" s="15">
        <f t="shared" si="644"/>
        <v>0</v>
      </c>
      <c r="AX4895" s="16"/>
    </row>
    <row r="4896" spans="1:50" x14ac:dyDescent="0.2">
      <c r="B4896" s="7"/>
      <c r="C4896" s="8">
        <v>15124</v>
      </c>
      <c r="D4896" s="9" t="s">
        <v>292</v>
      </c>
      <c r="E4896" s="10" t="str">
        <f t="shared" si="645"/>
        <v>Rancho Upácuaro No. 140</v>
      </c>
      <c r="F4896" s="10" t="str">
        <f t="shared" si="646"/>
        <v>Gozain</v>
      </c>
      <c r="G4896" s="8">
        <v>1</v>
      </c>
      <c r="H4896" s="11">
        <v>400</v>
      </c>
      <c r="I4896" s="12">
        <v>43009</v>
      </c>
      <c r="J4896" s="35">
        <f t="shared" si="643"/>
        <v>0</v>
      </c>
      <c r="K4896" s="36"/>
      <c r="L4896" s="36"/>
      <c r="M4896" s="36"/>
      <c r="N4896" s="36"/>
      <c r="O4896" s="36"/>
      <c r="P4896" s="36"/>
      <c r="Q4896" s="36"/>
      <c r="R4896" s="36"/>
      <c r="S4896" s="36"/>
      <c r="T4896" s="36"/>
      <c r="U4896" s="36"/>
      <c r="V4896" s="36"/>
      <c r="W4896" s="15">
        <f t="shared" si="647"/>
        <v>0</v>
      </c>
      <c r="X4896" s="36"/>
      <c r="Y4896" s="36"/>
      <c r="Z4896" s="36"/>
      <c r="AA4896" s="36"/>
      <c r="AB4896" s="36"/>
      <c r="AC4896" s="36"/>
      <c r="AD4896" s="36"/>
      <c r="AE4896" s="36"/>
      <c r="AF4896" s="36"/>
      <c r="AG4896" s="36">
        <v>400</v>
      </c>
      <c r="AH4896" s="36"/>
      <c r="AI4896" s="36"/>
      <c r="AJ4896" s="15">
        <f t="shared" si="648"/>
        <v>400</v>
      </c>
      <c r="AK4896" s="14"/>
      <c r="AL4896" s="14"/>
      <c r="AM4896" s="14"/>
      <c r="AN4896" s="14"/>
      <c r="AO4896" s="14"/>
      <c r="AP4896" s="14"/>
      <c r="AQ4896" s="14"/>
      <c r="AR4896" s="14"/>
      <c r="AS4896" s="14"/>
      <c r="AT4896" s="14"/>
      <c r="AU4896" s="14"/>
      <c r="AV4896" s="14"/>
      <c r="AW4896" s="15">
        <f t="shared" si="644"/>
        <v>0</v>
      </c>
      <c r="AX4896" s="16"/>
    </row>
    <row r="4897" spans="2:50" x14ac:dyDescent="0.2">
      <c r="B4897" s="7"/>
      <c r="C4897" s="8">
        <v>15124</v>
      </c>
      <c r="D4897" s="9" t="s">
        <v>292</v>
      </c>
      <c r="E4897" s="10" t="str">
        <f t="shared" si="645"/>
        <v>Rancho Upácuaro No. 140</v>
      </c>
      <c r="F4897" s="10" t="str">
        <f t="shared" si="646"/>
        <v>Gozain</v>
      </c>
      <c r="G4897" s="8">
        <v>3</v>
      </c>
      <c r="H4897" s="11">
        <v>200</v>
      </c>
      <c r="I4897" s="12">
        <v>43009</v>
      </c>
      <c r="J4897" s="35">
        <f t="shared" si="643"/>
        <v>0</v>
      </c>
      <c r="K4897" s="36"/>
      <c r="L4897" s="36"/>
      <c r="M4897" s="36"/>
      <c r="N4897" s="36"/>
      <c r="O4897" s="36"/>
      <c r="P4897" s="36"/>
      <c r="Q4897" s="36"/>
      <c r="R4897" s="36"/>
      <c r="S4897" s="36"/>
      <c r="T4897" s="36"/>
      <c r="U4897" s="36"/>
      <c r="V4897" s="36"/>
      <c r="W4897" s="15">
        <f t="shared" si="647"/>
        <v>0</v>
      </c>
      <c r="X4897" s="36"/>
      <c r="Y4897" s="36"/>
      <c r="Z4897" s="36"/>
      <c r="AA4897" s="36"/>
      <c r="AB4897" s="36"/>
      <c r="AC4897" s="36"/>
      <c r="AD4897" s="36"/>
      <c r="AE4897" s="36"/>
      <c r="AF4897" s="36"/>
      <c r="AG4897" s="36"/>
      <c r="AH4897" s="36"/>
      <c r="AI4897" s="36"/>
      <c r="AJ4897" s="15">
        <f t="shared" si="648"/>
        <v>0</v>
      </c>
      <c r="AK4897" s="14"/>
      <c r="AL4897" s="14"/>
      <c r="AM4897" s="14"/>
      <c r="AN4897" s="14"/>
      <c r="AO4897" s="14"/>
      <c r="AP4897" s="14"/>
      <c r="AQ4897" s="14"/>
      <c r="AR4897" s="14"/>
      <c r="AS4897" s="14"/>
      <c r="AT4897" s="14"/>
      <c r="AU4897" s="14"/>
      <c r="AV4897" s="14"/>
      <c r="AW4897" s="15">
        <f t="shared" si="644"/>
        <v>0</v>
      </c>
      <c r="AX4897" s="16"/>
    </row>
    <row r="4898" spans="2:50" x14ac:dyDescent="0.2">
      <c r="B4898" s="7"/>
      <c r="C4898" s="8">
        <v>15125</v>
      </c>
      <c r="D4898" s="9" t="s">
        <v>307</v>
      </c>
      <c r="E4898" s="10" t="str">
        <f t="shared" si="645"/>
        <v>Rancho Landero No. 83</v>
      </c>
      <c r="F4898" s="10" t="str">
        <f t="shared" si="646"/>
        <v>Aguilar</v>
      </c>
      <c r="G4898" s="8">
        <v>1</v>
      </c>
      <c r="H4898" s="11">
        <v>350</v>
      </c>
      <c r="I4898" s="12">
        <v>43009</v>
      </c>
      <c r="J4898" s="35">
        <f t="shared" si="643"/>
        <v>0</v>
      </c>
      <c r="K4898" s="36"/>
      <c r="L4898" s="36"/>
      <c r="M4898" s="36"/>
      <c r="N4898" s="36"/>
      <c r="O4898" s="36"/>
      <c r="P4898" s="36"/>
      <c r="Q4898" s="36"/>
      <c r="R4898" s="36"/>
      <c r="S4898" s="36"/>
      <c r="T4898" s="36"/>
      <c r="U4898" s="36"/>
      <c r="V4898" s="36"/>
      <c r="W4898" s="15">
        <f t="shared" si="647"/>
        <v>0</v>
      </c>
      <c r="X4898" s="36"/>
      <c r="Y4898" s="36"/>
      <c r="Z4898" s="36"/>
      <c r="AA4898" s="36"/>
      <c r="AB4898" s="36"/>
      <c r="AC4898" s="36"/>
      <c r="AD4898" s="36"/>
      <c r="AE4898" s="36"/>
      <c r="AF4898" s="36"/>
      <c r="AG4898" s="36">
        <v>350</v>
      </c>
      <c r="AH4898" s="36"/>
      <c r="AI4898" s="36"/>
      <c r="AJ4898" s="15">
        <f t="shared" si="648"/>
        <v>350</v>
      </c>
      <c r="AK4898" s="14"/>
      <c r="AL4898" s="14"/>
      <c r="AM4898" s="14"/>
      <c r="AN4898" s="14"/>
      <c r="AO4898" s="14"/>
      <c r="AP4898" s="14"/>
      <c r="AQ4898" s="14"/>
      <c r="AR4898" s="14"/>
      <c r="AS4898" s="14"/>
      <c r="AT4898" s="14"/>
      <c r="AU4898" s="14"/>
      <c r="AV4898" s="14"/>
      <c r="AW4898" s="15">
        <f t="shared" si="644"/>
        <v>0</v>
      </c>
      <c r="AX4898" s="16"/>
    </row>
    <row r="4899" spans="2:50" x14ac:dyDescent="0.2">
      <c r="B4899" s="7"/>
      <c r="C4899" s="8">
        <v>15126</v>
      </c>
      <c r="D4899" s="9" t="s">
        <v>541</v>
      </c>
      <c r="E4899" s="10" t="str">
        <f t="shared" si="645"/>
        <v>Rancho Estanzuela No. 103, B</v>
      </c>
      <c r="F4899" s="10" t="str">
        <f t="shared" si="646"/>
        <v>Olivares Flores</v>
      </c>
      <c r="G4899" s="8">
        <v>1</v>
      </c>
      <c r="H4899" s="11">
        <v>400</v>
      </c>
      <c r="I4899" s="12">
        <v>43009</v>
      </c>
      <c r="J4899" s="35">
        <f t="shared" si="643"/>
        <v>0</v>
      </c>
      <c r="K4899" s="36"/>
      <c r="L4899" s="36"/>
      <c r="M4899" s="36"/>
      <c r="N4899" s="36"/>
      <c r="O4899" s="36"/>
      <c r="P4899" s="36"/>
      <c r="Q4899" s="36"/>
      <c r="R4899" s="36"/>
      <c r="S4899" s="36"/>
      <c r="T4899" s="36"/>
      <c r="U4899" s="36"/>
      <c r="V4899" s="36"/>
      <c r="W4899" s="15">
        <f t="shared" si="647"/>
        <v>0</v>
      </c>
      <c r="X4899" s="36"/>
      <c r="Y4899" s="36"/>
      <c r="Z4899" s="36"/>
      <c r="AA4899" s="36"/>
      <c r="AB4899" s="36"/>
      <c r="AC4899" s="36"/>
      <c r="AD4899" s="36"/>
      <c r="AE4899" s="36"/>
      <c r="AF4899" s="36">
        <v>400</v>
      </c>
      <c r="AG4899" s="36"/>
      <c r="AH4899" s="36"/>
      <c r="AI4899" s="36"/>
      <c r="AJ4899" s="15">
        <f t="shared" si="648"/>
        <v>400</v>
      </c>
      <c r="AK4899" s="14"/>
      <c r="AL4899" s="14"/>
      <c r="AM4899" s="14"/>
      <c r="AN4899" s="14"/>
      <c r="AO4899" s="14"/>
      <c r="AP4899" s="14"/>
      <c r="AQ4899" s="14"/>
      <c r="AR4899" s="14"/>
      <c r="AS4899" s="14"/>
      <c r="AT4899" s="14"/>
      <c r="AU4899" s="14"/>
      <c r="AV4899" s="14"/>
      <c r="AW4899" s="15">
        <f t="shared" si="644"/>
        <v>0</v>
      </c>
      <c r="AX4899" s="16"/>
    </row>
    <row r="4900" spans="2:50" x14ac:dyDescent="0.2">
      <c r="B4900" s="7"/>
      <c r="C4900" s="8">
        <v>15127</v>
      </c>
      <c r="D4900" s="9" t="s">
        <v>180</v>
      </c>
      <c r="E4900" s="10" t="str">
        <f t="shared" si="645"/>
        <v>Rancho Landero No. 80</v>
      </c>
      <c r="F4900" s="10" t="str">
        <f t="shared" si="646"/>
        <v>Caballero</v>
      </c>
      <c r="G4900" s="8">
        <v>1</v>
      </c>
      <c r="H4900" s="11">
        <v>2400</v>
      </c>
      <c r="I4900" s="12">
        <v>43009</v>
      </c>
      <c r="J4900" s="35">
        <f t="shared" si="643"/>
        <v>0</v>
      </c>
      <c r="K4900" s="36"/>
      <c r="L4900" s="36"/>
      <c r="M4900" s="36"/>
      <c r="N4900" s="36"/>
      <c r="O4900" s="36"/>
      <c r="P4900" s="36"/>
      <c r="Q4900" s="36"/>
      <c r="R4900" s="36"/>
      <c r="S4900" s="36"/>
      <c r="T4900" s="36"/>
      <c r="U4900" s="36"/>
      <c r="V4900" s="36"/>
      <c r="W4900" s="15">
        <f t="shared" si="647"/>
        <v>0</v>
      </c>
      <c r="X4900" s="36"/>
      <c r="Y4900" s="36"/>
      <c r="Z4900" s="36"/>
      <c r="AA4900" s="36"/>
      <c r="AB4900" s="36">
        <v>400</v>
      </c>
      <c r="AC4900" s="36">
        <v>400</v>
      </c>
      <c r="AD4900" s="36">
        <v>400</v>
      </c>
      <c r="AE4900" s="36">
        <v>400</v>
      </c>
      <c r="AF4900" s="36">
        <v>400</v>
      </c>
      <c r="AG4900" s="36">
        <v>400</v>
      </c>
      <c r="AH4900" s="36"/>
      <c r="AI4900" s="36"/>
      <c r="AJ4900" s="15">
        <f t="shared" si="648"/>
        <v>2400</v>
      </c>
      <c r="AK4900" s="14"/>
      <c r="AL4900" s="14"/>
      <c r="AM4900" s="14"/>
      <c r="AN4900" s="14"/>
      <c r="AO4900" s="14"/>
      <c r="AP4900" s="14"/>
      <c r="AQ4900" s="14"/>
      <c r="AR4900" s="14"/>
      <c r="AS4900" s="14"/>
      <c r="AT4900" s="14"/>
      <c r="AU4900" s="14"/>
      <c r="AV4900" s="14"/>
      <c r="AW4900" s="15">
        <f t="shared" si="644"/>
        <v>0</v>
      </c>
      <c r="AX4900" s="16"/>
    </row>
    <row r="4901" spans="2:50" x14ac:dyDescent="0.2">
      <c r="B4901" s="7"/>
      <c r="C4901" s="8">
        <v>15127</v>
      </c>
      <c r="D4901" s="9" t="s">
        <v>180</v>
      </c>
      <c r="E4901" s="10" t="str">
        <f t="shared" si="645"/>
        <v>Rancho Landero No. 80</v>
      </c>
      <c r="F4901" s="10" t="str">
        <f t="shared" si="646"/>
        <v>Caballero</v>
      </c>
      <c r="G4901" s="8">
        <v>5</v>
      </c>
      <c r="H4901" s="11">
        <v>50</v>
      </c>
      <c r="I4901" s="12">
        <v>43009</v>
      </c>
      <c r="J4901" s="35">
        <f t="shared" si="643"/>
        <v>0</v>
      </c>
      <c r="K4901" s="36"/>
      <c r="L4901" s="36"/>
      <c r="M4901" s="36"/>
      <c r="N4901" s="36"/>
      <c r="O4901" s="36"/>
      <c r="P4901" s="36"/>
      <c r="Q4901" s="36"/>
      <c r="R4901" s="36"/>
      <c r="S4901" s="36"/>
      <c r="T4901" s="36"/>
      <c r="U4901" s="36"/>
      <c r="V4901" s="36"/>
      <c r="W4901" s="15">
        <f t="shared" si="647"/>
        <v>0</v>
      </c>
      <c r="X4901" s="36"/>
      <c r="Y4901" s="36"/>
      <c r="Z4901" s="36"/>
      <c r="AA4901" s="36"/>
      <c r="AB4901" s="36"/>
      <c r="AC4901" s="36"/>
      <c r="AD4901" s="36"/>
      <c r="AE4901" s="36"/>
      <c r="AF4901" s="36"/>
      <c r="AG4901" s="36"/>
      <c r="AH4901" s="36"/>
      <c r="AI4901" s="36"/>
      <c r="AJ4901" s="15">
        <f t="shared" si="648"/>
        <v>0</v>
      </c>
      <c r="AK4901" s="14"/>
      <c r="AL4901" s="14"/>
      <c r="AM4901" s="14"/>
      <c r="AN4901" s="14"/>
      <c r="AO4901" s="14"/>
      <c r="AP4901" s="14"/>
      <c r="AQ4901" s="14"/>
      <c r="AR4901" s="14"/>
      <c r="AS4901" s="14"/>
      <c r="AT4901" s="14"/>
      <c r="AU4901" s="14"/>
      <c r="AV4901" s="14"/>
      <c r="AW4901" s="15">
        <f t="shared" si="644"/>
        <v>0</v>
      </c>
      <c r="AX4901" s="16"/>
    </row>
    <row r="4902" spans="2:50" x14ac:dyDescent="0.2">
      <c r="B4902" s="7"/>
      <c r="C4902" s="8">
        <v>15128</v>
      </c>
      <c r="D4902" s="9" t="s">
        <v>544</v>
      </c>
      <c r="E4902" s="10" t="str">
        <f t="shared" si="645"/>
        <v>Rancho Estanzuela No. 89</v>
      </c>
      <c r="F4902" s="10" t="str">
        <f t="shared" si="646"/>
        <v>Romero Ortiz</v>
      </c>
      <c r="G4902" s="8">
        <v>1</v>
      </c>
      <c r="H4902" s="11">
        <v>400</v>
      </c>
      <c r="I4902" s="12">
        <v>43009</v>
      </c>
      <c r="J4902" s="35">
        <f t="shared" si="643"/>
        <v>0</v>
      </c>
      <c r="K4902" s="36"/>
      <c r="L4902" s="36"/>
      <c r="M4902" s="36"/>
      <c r="N4902" s="36"/>
      <c r="O4902" s="36"/>
      <c r="P4902" s="36"/>
      <c r="Q4902" s="36"/>
      <c r="R4902" s="36"/>
      <c r="S4902" s="36"/>
      <c r="T4902" s="36"/>
      <c r="U4902" s="36"/>
      <c r="V4902" s="36"/>
      <c r="W4902" s="15">
        <f t="shared" si="647"/>
        <v>0</v>
      </c>
      <c r="X4902" s="36"/>
      <c r="Y4902" s="36"/>
      <c r="Z4902" s="36"/>
      <c r="AA4902" s="36"/>
      <c r="AB4902" s="36"/>
      <c r="AC4902" s="36"/>
      <c r="AD4902" s="36"/>
      <c r="AE4902" s="36"/>
      <c r="AF4902" s="36"/>
      <c r="AG4902" s="36">
        <v>400</v>
      </c>
      <c r="AH4902" s="36"/>
      <c r="AI4902" s="36"/>
      <c r="AJ4902" s="15">
        <f t="shared" si="648"/>
        <v>400</v>
      </c>
      <c r="AK4902" s="14"/>
      <c r="AL4902" s="14"/>
      <c r="AM4902" s="14"/>
      <c r="AN4902" s="14"/>
      <c r="AO4902" s="14"/>
      <c r="AP4902" s="14"/>
      <c r="AQ4902" s="14"/>
      <c r="AR4902" s="14"/>
      <c r="AS4902" s="14"/>
      <c r="AT4902" s="14"/>
      <c r="AU4902" s="14"/>
      <c r="AV4902" s="14"/>
      <c r="AW4902" s="15">
        <f t="shared" si="644"/>
        <v>0</v>
      </c>
      <c r="AX4902" s="16"/>
    </row>
    <row r="4903" spans="2:50" x14ac:dyDescent="0.2">
      <c r="B4903" s="7"/>
      <c r="C4903" s="8">
        <v>15129</v>
      </c>
      <c r="D4903" s="9" t="s">
        <v>135</v>
      </c>
      <c r="E4903" s="10" t="str">
        <f t="shared" si="645"/>
        <v>Rancho Upácuaro No. 70</v>
      </c>
      <c r="F4903" s="10" t="str">
        <f t="shared" si="646"/>
        <v>Ramírez Tejeda</v>
      </c>
      <c r="G4903" s="8">
        <v>1</v>
      </c>
      <c r="H4903" s="11">
        <v>300</v>
      </c>
      <c r="I4903" s="12">
        <v>43009</v>
      </c>
      <c r="J4903" s="35">
        <f t="shared" si="643"/>
        <v>0</v>
      </c>
      <c r="K4903" s="36"/>
      <c r="L4903" s="36"/>
      <c r="M4903" s="36"/>
      <c r="N4903" s="36"/>
      <c r="O4903" s="36"/>
      <c r="P4903" s="36"/>
      <c r="Q4903" s="36"/>
      <c r="R4903" s="36"/>
      <c r="S4903" s="36"/>
      <c r="T4903" s="36"/>
      <c r="U4903" s="36"/>
      <c r="V4903" s="36"/>
      <c r="W4903" s="15">
        <f t="shared" si="647"/>
        <v>0</v>
      </c>
      <c r="X4903" s="36"/>
      <c r="Y4903" s="36"/>
      <c r="Z4903" s="36"/>
      <c r="AA4903" s="36"/>
      <c r="AB4903" s="36"/>
      <c r="AC4903" s="36"/>
      <c r="AD4903" s="36"/>
      <c r="AE4903" s="36"/>
      <c r="AF4903" s="36"/>
      <c r="AG4903" s="36">
        <v>300</v>
      </c>
      <c r="AH4903" s="36"/>
      <c r="AI4903" s="36"/>
      <c r="AJ4903" s="15">
        <f t="shared" si="648"/>
        <v>300</v>
      </c>
      <c r="AK4903" s="14"/>
      <c r="AL4903" s="14"/>
      <c r="AM4903" s="14"/>
      <c r="AN4903" s="14"/>
      <c r="AO4903" s="14"/>
      <c r="AP4903" s="14"/>
      <c r="AQ4903" s="14"/>
      <c r="AR4903" s="14"/>
      <c r="AS4903" s="14"/>
      <c r="AT4903" s="14"/>
      <c r="AU4903" s="14"/>
      <c r="AV4903" s="14"/>
      <c r="AW4903" s="15">
        <f t="shared" si="644"/>
        <v>0</v>
      </c>
      <c r="AX4903" s="16"/>
    </row>
    <row r="4904" spans="2:50" x14ac:dyDescent="0.2">
      <c r="B4904" s="7"/>
      <c r="C4904" s="8">
        <v>15130</v>
      </c>
      <c r="D4904" s="9" t="s">
        <v>687</v>
      </c>
      <c r="E4904" s="10" t="str">
        <f t="shared" si="645"/>
        <v>Rancho Upácuaro No. 21</v>
      </c>
      <c r="F4904" s="10" t="str">
        <f t="shared" si="646"/>
        <v>Fierro Betancourt</v>
      </c>
      <c r="G4904" s="8">
        <v>1</v>
      </c>
      <c r="H4904" s="11">
        <v>400</v>
      </c>
      <c r="I4904" s="12">
        <v>43009</v>
      </c>
      <c r="J4904" s="35">
        <f t="shared" si="643"/>
        <v>0</v>
      </c>
      <c r="K4904" s="36"/>
      <c r="L4904" s="36"/>
      <c r="M4904" s="36"/>
      <c r="N4904" s="36"/>
      <c r="O4904" s="36"/>
      <c r="P4904" s="36"/>
      <c r="Q4904" s="36"/>
      <c r="R4904" s="36"/>
      <c r="S4904" s="36"/>
      <c r="T4904" s="36"/>
      <c r="U4904" s="36"/>
      <c r="V4904" s="36"/>
      <c r="W4904" s="15">
        <f t="shared" si="647"/>
        <v>0</v>
      </c>
      <c r="X4904" s="36"/>
      <c r="Y4904" s="36"/>
      <c r="Z4904" s="36"/>
      <c r="AA4904" s="36"/>
      <c r="AB4904" s="36"/>
      <c r="AC4904" s="36"/>
      <c r="AD4904" s="36"/>
      <c r="AE4904" s="36"/>
      <c r="AF4904" s="36"/>
      <c r="AG4904" s="36">
        <v>200</v>
      </c>
      <c r="AH4904" s="36">
        <v>200</v>
      </c>
      <c r="AI4904" s="36"/>
      <c r="AJ4904" s="15">
        <f t="shared" si="648"/>
        <v>400</v>
      </c>
      <c r="AK4904" s="14"/>
      <c r="AL4904" s="14"/>
      <c r="AM4904" s="14"/>
      <c r="AN4904" s="14"/>
      <c r="AO4904" s="14"/>
      <c r="AP4904" s="14"/>
      <c r="AQ4904" s="14"/>
      <c r="AR4904" s="14"/>
      <c r="AS4904" s="14"/>
      <c r="AT4904" s="14"/>
      <c r="AU4904" s="14"/>
      <c r="AV4904" s="14"/>
      <c r="AW4904" s="15">
        <f t="shared" si="644"/>
        <v>0</v>
      </c>
      <c r="AX4904" s="16"/>
    </row>
    <row r="4905" spans="2:50" x14ac:dyDescent="0.2">
      <c r="B4905" s="7"/>
      <c r="C4905" s="8">
        <v>15131</v>
      </c>
      <c r="D4905" s="9" t="s">
        <v>882</v>
      </c>
      <c r="E4905" s="10" t="str">
        <f t="shared" si="645"/>
        <v>Rancho Upácuaro No. 54</v>
      </c>
      <c r="F4905" s="10" t="str">
        <f t="shared" si="646"/>
        <v>García Rueda</v>
      </c>
      <c r="G4905" s="8">
        <v>1</v>
      </c>
      <c r="H4905" s="11">
        <v>400</v>
      </c>
      <c r="I4905" s="12">
        <v>43009</v>
      </c>
      <c r="J4905" s="35">
        <f t="shared" si="643"/>
        <v>0</v>
      </c>
      <c r="K4905" s="36"/>
      <c r="L4905" s="36"/>
      <c r="M4905" s="36"/>
      <c r="N4905" s="36"/>
      <c r="O4905" s="36"/>
      <c r="P4905" s="36"/>
      <c r="Q4905" s="36"/>
      <c r="R4905" s="36"/>
      <c r="S4905" s="36"/>
      <c r="T4905" s="36"/>
      <c r="U4905" s="36"/>
      <c r="V4905" s="36"/>
      <c r="W4905" s="15">
        <f t="shared" si="647"/>
        <v>0</v>
      </c>
      <c r="X4905" s="36"/>
      <c r="Y4905" s="36"/>
      <c r="Z4905" s="36"/>
      <c r="AA4905" s="36"/>
      <c r="AB4905" s="36"/>
      <c r="AC4905" s="36"/>
      <c r="AD4905" s="36"/>
      <c r="AE4905" s="36"/>
      <c r="AF4905" s="36">
        <v>200</v>
      </c>
      <c r="AG4905" s="36">
        <v>200</v>
      </c>
      <c r="AH4905" s="36"/>
      <c r="AI4905" s="36"/>
      <c r="AJ4905" s="15">
        <f t="shared" si="648"/>
        <v>400</v>
      </c>
      <c r="AK4905" s="14"/>
      <c r="AL4905" s="14"/>
      <c r="AM4905" s="14"/>
      <c r="AN4905" s="14"/>
      <c r="AO4905" s="14"/>
      <c r="AP4905" s="14"/>
      <c r="AQ4905" s="14"/>
      <c r="AR4905" s="14"/>
      <c r="AS4905" s="14"/>
      <c r="AT4905" s="14"/>
      <c r="AU4905" s="14"/>
      <c r="AV4905" s="14"/>
      <c r="AW4905" s="15">
        <f t="shared" si="644"/>
        <v>0</v>
      </c>
      <c r="AX4905" s="16"/>
    </row>
    <row r="4906" spans="2:50" x14ac:dyDescent="0.2">
      <c r="B4906" s="7"/>
      <c r="C4906" s="8">
        <v>15132</v>
      </c>
      <c r="D4906" s="9" t="s">
        <v>803</v>
      </c>
      <c r="E4906" s="10" t="str">
        <f t="shared" si="645"/>
        <v>Rancho La Cuchilla No. 36</v>
      </c>
      <c r="F4906" s="10" t="str">
        <f t="shared" si="646"/>
        <v>Castillo</v>
      </c>
      <c r="G4906" s="8">
        <v>1</v>
      </c>
      <c r="H4906" s="11">
        <v>800</v>
      </c>
      <c r="I4906" s="12">
        <v>43009</v>
      </c>
      <c r="J4906" s="35">
        <f t="shared" si="643"/>
        <v>0</v>
      </c>
      <c r="K4906" s="36"/>
      <c r="L4906" s="36"/>
      <c r="M4906" s="36"/>
      <c r="N4906" s="36"/>
      <c r="O4906" s="36"/>
      <c r="P4906" s="36"/>
      <c r="Q4906" s="36"/>
      <c r="R4906" s="36"/>
      <c r="S4906" s="36"/>
      <c r="T4906" s="36"/>
      <c r="U4906" s="36"/>
      <c r="V4906" s="36"/>
      <c r="W4906" s="15">
        <f t="shared" si="647"/>
        <v>0</v>
      </c>
      <c r="X4906" s="36"/>
      <c r="Y4906" s="36"/>
      <c r="Z4906" s="36"/>
      <c r="AA4906" s="36"/>
      <c r="AB4906" s="36"/>
      <c r="AC4906" s="36"/>
      <c r="AD4906" s="36"/>
      <c r="AE4906" s="36">
        <v>400</v>
      </c>
      <c r="AF4906" s="36">
        <v>400</v>
      </c>
      <c r="AG4906" s="36"/>
      <c r="AH4906" s="36"/>
      <c r="AI4906" s="36"/>
      <c r="AJ4906" s="15">
        <f t="shared" si="648"/>
        <v>800</v>
      </c>
      <c r="AK4906" s="14"/>
      <c r="AL4906" s="14"/>
      <c r="AM4906" s="14"/>
      <c r="AN4906" s="14"/>
      <c r="AO4906" s="14"/>
      <c r="AP4906" s="14"/>
      <c r="AQ4906" s="14"/>
      <c r="AR4906" s="14"/>
      <c r="AS4906" s="14"/>
      <c r="AT4906" s="14"/>
      <c r="AU4906" s="14"/>
      <c r="AV4906" s="14"/>
      <c r="AW4906" s="15">
        <f t="shared" si="644"/>
        <v>0</v>
      </c>
      <c r="AX4906" s="16"/>
    </row>
    <row r="4907" spans="2:50" x14ac:dyDescent="0.2">
      <c r="B4907" s="7"/>
      <c r="C4907" s="8">
        <v>15133</v>
      </c>
      <c r="D4907" s="9" t="s">
        <v>769</v>
      </c>
      <c r="E4907" s="10" t="str">
        <f t="shared" si="645"/>
        <v>Rancho La Cuchilla No. 66</v>
      </c>
      <c r="F4907" s="10" t="str">
        <f t="shared" si="646"/>
        <v>Prieto</v>
      </c>
      <c r="G4907" s="8">
        <v>1</v>
      </c>
      <c r="H4907" s="11">
        <v>400</v>
      </c>
      <c r="I4907" s="12">
        <v>43009</v>
      </c>
      <c r="J4907" s="35">
        <f t="shared" si="643"/>
        <v>0</v>
      </c>
      <c r="K4907" s="36"/>
      <c r="L4907" s="36"/>
      <c r="M4907" s="36"/>
      <c r="N4907" s="36"/>
      <c r="O4907" s="36"/>
      <c r="P4907" s="36"/>
      <c r="Q4907" s="36"/>
      <c r="R4907" s="36"/>
      <c r="S4907" s="36"/>
      <c r="T4907" s="36"/>
      <c r="U4907" s="36"/>
      <c r="V4907" s="36"/>
      <c r="W4907" s="15">
        <f t="shared" si="647"/>
        <v>0</v>
      </c>
      <c r="X4907" s="36"/>
      <c r="Y4907" s="36"/>
      <c r="Z4907" s="36"/>
      <c r="AA4907" s="36"/>
      <c r="AB4907" s="36"/>
      <c r="AC4907" s="36"/>
      <c r="AD4907" s="36"/>
      <c r="AE4907" s="36"/>
      <c r="AF4907" s="36">
        <v>400</v>
      </c>
      <c r="AG4907" s="36"/>
      <c r="AH4907" s="36"/>
      <c r="AI4907" s="36"/>
      <c r="AJ4907" s="15">
        <f t="shared" si="648"/>
        <v>400</v>
      </c>
      <c r="AK4907" s="14"/>
      <c r="AL4907" s="14"/>
      <c r="AM4907" s="14"/>
      <c r="AN4907" s="14"/>
      <c r="AO4907" s="14"/>
      <c r="AP4907" s="14"/>
      <c r="AQ4907" s="14"/>
      <c r="AR4907" s="14"/>
      <c r="AS4907" s="14"/>
      <c r="AT4907" s="14"/>
      <c r="AU4907" s="14"/>
      <c r="AV4907" s="14"/>
      <c r="AW4907" s="15">
        <f t="shared" si="644"/>
        <v>0</v>
      </c>
      <c r="AX4907" s="16"/>
    </row>
    <row r="4908" spans="2:50" x14ac:dyDescent="0.2">
      <c r="B4908" s="7"/>
      <c r="C4908" s="8">
        <v>15134</v>
      </c>
      <c r="D4908" s="9" t="s">
        <v>556</v>
      </c>
      <c r="E4908" s="10" t="str">
        <f t="shared" si="645"/>
        <v>Rancho Zinamba No. 26</v>
      </c>
      <c r="F4908" s="10" t="str">
        <f t="shared" si="646"/>
        <v>Ayala</v>
      </c>
      <c r="G4908" s="8">
        <v>1</v>
      </c>
      <c r="H4908" s="11">
        <v>800</v>
      </c>
      <c r="I4908" s="12">
        <v>43009</v>
      </c>
      <c r="J4908" s="35">
        <f t="shared" si="643"/>
        <v>0</v>
      </c>
      <c r="K4908" s="36"/>
      <c r="L4908" s="36"/>
      <c r="M4908" s="36"/>
      <c r="N4908" s="36"/>
      <c r="O4908" s="36"/>
      <c r="P4908" s="36"/>
      <c r="Q4908" s="36"/>
      <c r="R4908" s="36"/>
      <c r="S4908" s="36"/>
      <c r="T4908" s="36"/>
      <c r="U4908" s="36"/>
      <c r="V4908" s="36"/>
      <c r="W4908" s="15">
        <f t="shared" si="647"/>
        <v>0</v>
      </c>
      <c r="X4908" s="36"/>
      <c r="Y4908" s="36"/>
      <c r="Z4908" s="36"/>
      <c r="AA4908" s="36"/>
      <c r="AB4908" s="36"/>
      <c r="AC4908" s="36">
        <v>400</v>
      </c>
      <c r="AD4908" s="36">
        <v>400</v>
      </c>
      <c r="AE4908" s="36"/>
      <c r="AF4908" s="36"/>
      <c r="AG4908" s="36"/>
      <c r="AH4908" s="36"/>
      <c r="AI4908" s="36"/>
      <c r="AJ4908" s="15">
        <f t="shared" si="648"/>
        <v>800</v>
      </c>
      <c r="AK4908" s="14"/>
      <c r="AL4908" s="14"/>
      <c r="AM4908" s="14"/>
      <c r="AN4908" s="14"/>
      <c r="AO4908" s="14"/>
      <c r="AP4908" s="14"/>
      <c r="AQ4908" s="14"/>
      <c r="AR4908" s="14"/>
      <c r="AS4908" s="14"/>
      <c r="AT4908" s="14"/>
      <c r="AU4908" s="14"/>
      <c r="AV4908" s="14"/>
      <c r="AW4908" s="15">
        <f t="shared" si="644"/>
        <v>0</v>
      </c>
      <c r="AX4908" s="16"/>
    </row>
    <row r="4909" spans="2:50" x14ac:dyDescent="0.2">
      <c r="B4909" s="7"/>
      <c r="C4909" s="8">
        <v>15135</v>
      </c>
      <c r="D4909" s="9" t="s">
        <v>238</v>
      </c>
      <c r="E4909" s="10" t="str">
        <f t="shared" si="645"/>
        <v>Rancho La Cuchilla No. 43, B</v>
      </c>
      <c r="F4909" s="10" t="str">
        <f t="shared" si="646"/>
        <v>Luna Albertano</v>
      </c>
      <c r="G4909" s="8">
        <v>1</v>
      </c>
      <c r="H4909" s="11">
        <v>125</v>
      </c>
      <c r="I4909" s="12">
        <v>43009</v>
      </c>
      <c r="J4909" s="35">
        <f t="shared" si="643"/>
        <v>0</v>
      </c>
      <c r="K4909" s="36"/>
      <c r="L4909" s="36"/>
      <c r="M4909" s="36"/>
      <c r="N4909" s="36"/>
      <c r="O4909" s="36"/>
      <c r="P4909" s="36"/>
      <c r="Q4909" s="36"/>
      <c r="R4909" s="36"/>
      <c r="S4909" s="36"/>
      <c r="T4909" s="36"/>
      <c r="U4909" s="36"/>
      <c r="V4909" s="36"/>
      <c r="W4909" s="15">
        <f t="shared" si="647"/>
        <v>0</v>
      </c>
      <c r="X4909" s="36"/>
      <c r="Y4909" s="36"/>
      <c r="Z4909" s="36"/>
      <c r="AA4909" s="36"/>
      <c r="AB4909" s="36"/>
      <c r="AC4909" s="36"/>
      <c r="AD4909" s="36"/>
      <c r="AE4909" s="36"/>
      <c r="AF4909" s="36"/>
      <c r="AG4909" s="36">
        <v>125</v>
      </c>
      <c r="AH4909" s="36"/>
      <c r="AI4909" s="36"/>
      <c r="AJ4909" s="15">
        <f t="shared" si="648"/>
        <v>125</v>
      </c>
      <c r="AK4909" s="14"/>
      <c r="AL4909" s="14"/>
      <c r="AM4909" s="14"/>
      <c r="AN4909" s="14"/>
      <c r="AO4909" s="14"/>
      <c r="AP4909" s="14"/>
      <c r="AQ4909" s="14"/>
      <c r="AR4909" s="14"/>
      <c r="AS4909" s="14"/>
      <c r="AT4909" s="14"/>
      <c r="AU4909" s="14"/>
      <c r="AV4909" s="14"/>
      <c r="AW4909" s="15">
        <f t="shared" si="644"/>
        <v>0</v>
      </c>
      <c r="AX4909" s="16"/>
    </row>
    <row r="4910" spans="2:50" x14ac:dyDescent="0.2">
      <c r="B4910" s="7"/>
      <c r="C4910" s="8">
        <v>15136</v>
      </c>
      <c r="D4910" s="9" t="s">
        <v>208</v>
      </c>
      <c r="E4910" s="10" t="str">
        <f t="shared" si="645"/>
        <v>Rancho La Cuchilla No. 29</v>
      </c>
      <c r="F4910" s="10" t="str">
        <f t="shared" si="646"/>
        <v>Vega Sánchez C.</v>
      </c>
      <c r="G4910" s="8">
        <v>3</v>
      </c>
      <c r="H4910" s="11">
        <v>200</v>
      </c>
      <c r="I4910" s="12">
        <v>43009</v>
      </c>
      <c r="J4910" s="35">
        <f t="shared" si="643"/>
        <v>0</v>
      </c>
      <c r="K4910" s="36"/>
      <c r="L4910" s="36"/>
      <c r="M4910" s="36"/>
      <c r="N4910" s="36"/>
      <c r="O4910" s="36"/>
      <c r="P4910" s="36"/>
      <c r="Q4910" s="36"/>
      <c r="R4910" s="36"/>
      <c r="S4910" s="36"/>
      <c r="T4910" s="36"/>
      <c r="U4910" s="36"/>
      <c r="V4910" s="36"/>
      <c r="W4910" s="15">
        <f t="shared" si="647"/>
        <v>0</v>
      </c>
      <c r="X4910" s="36"/>
      <c r="Y4910" s="36"/>
      <c r="Z4910" s="36"/>
      <c r="AA4910" s="36"/>
      <c r="AB4910" s="36"/>
      <c r="AC4910" s="36"/>
      <c r="AD4910" s="36"/>
      <c r="AE4910" s="36"/>
      <c r="AF4910" s="36"/>
      <c r="AG4910" s="36"/>
      <c r="AH4910" s="36"/>
      <c r="AI4910" s="36"/>
      <c r="AJ4910" s="15">
        <f t="shared" si="648"/>
        <v>0</v>
      </c>
      <c r="AK4910" s="14"/>
      <c r="AL4910" s="14"/>
      <c r="AM4910" s="14"/>
      <c r="AN4910" s="14"/>
      <c r="AO4910" s="14"/>
      <c r="AP4910" s="14"/>
      <c r="AQ4910" s="14"/>
      <c r="AR4910" s="14"/>
      <c r="AS4910" s="14"/>
      <c r="AT4910" s="14"/>
      <c r="AU4910" s="14"/>
      <c r="AV4910" s="14"/>
      <c r="AW4910" s="15">
        <f t="shared" si="644"/>
        <v>0</v>
      </c>
      <c r="AX4910" s="16"/>
    </row>
    <row r="4911" spans="2:50" x14ac:dyDescent="0.2">
      <c r="B4911" s="7"/>
      <c r="C4911" s="8">
        <v>15137</v>
      </c>
      <c r="D4911" s="9" t="s">
        <v>791</v>
      </c>
      <c r="E4911" s="10" t="str">
        <f t="shared" si="645"/>
        <v>Rancho Upácuaro No. 116</v>
      </c>
      <c r="F4911" s="10" t="str">
        <f t="shared" si="646"/>
        <v>Zenteno</v>
      </c>
      <c r="G4911" s="8">
        <v>1</v>
      </c>
      <c r="H4911" s="11">
        <v>1200</v>
      </c>
      <c r="I4911" s="12">
        <v>43009</v>
      </c>
      <c r="J4911" s="35">
        <f t="shared" si="643"/>
        <v>0</v>
      </c>
      <c r="K4911" s="36"/>
      <c r="L4911" s="36"/>
      <c r="M4911" s="36"/>
      <c r="N4911" s="36"/>
      <c r="O4911" s="36"/>
      <c r="P4911" s="36"/>
      <c r="Q4911" s="36"/>
      <c r="R4911" s="36"/>
      <c r="S4911" s="36"/>
      <c r="T4911" s="36"/>
      <c r="U4911" s="36"/>
      <c r="V4911" s="36"/>
      <c r="W4911" s="15">
        <f t="shared" si="647"/>
        <v>0</v>
      </c>
      <c r="X4911" s="36"/>
      <c r="Y4911" s="36"/>
      <c r="Z4911" s="36"/>
      <c r="AA4911" s="36"/>
      <c r="AB4911" s="36"/>
      <c r="AC4911" s="36"/>
      <c r="AD4911" s="36"/>
      <c r="AE4911" s="36">
        <v>400</v>
      </c>
      <c r="AF4911" s="36">
        <v>400</v>
      </c>
      <c r="AG4911" s="36">
        <v>400</v>
      </c>
      <c r="AH4911" s="36"/>
      <c r="AI4911" s="36"/>
      <c r="AJ4911" s="15">
        <f t="shared" si="648"/>
        <v>1200</v>
      </c>
      <c r="AK4911" s="14"/>
      <c r="AL4911" s="14"/>
      <c r="AM4911" s="14"/>
      <c r="AN4911" s="14"/>
      <c r="AO4911" s="14"/>
      <c r="AP4911" s="14"/>
      <c r="AQ4911" s="14"/>
      <c r="AR4911" s="14"/>
      <c r="AS4911" s="14"/>
      <c r="AT4911" s="14"/>
      <c r="AU4911" s="14"/>
      <c r="AV4911" s="14"/>
      <c r="AW4911" s="15">
        <f t="shared" si="644"/>
        <v>0</v>
      </c>
      <c r="AX4911" s="16"/>
    </row>
    <row r="4912" spans="2:50" x14ac:dyDescent="0.2">
      <c r="B4912" s="7"/>
      <c r="C4912" s="8">
        <v>15138</v>
      </c>
      <c r="D4912" s="9" t="s">
        <v>268</v>
      </c>
      <c r="E4912" s="10" t="str">
        <f t="shared" si="645"/>
        <v>Rancho Landero No. 90</v>
      </c>
      <c r="F4912" s="10" t="str">
        <f t="shared" si="646"/>
        <v>Córdova Reséndiz</v>
      </c>
      <c r="G4912" s="8">
        <v>1</v>
      </c>
      <c r="H4912" s="11">
        <v>300</v>
      </c>
      <c r="I4912" s="12">
        <v>43009</v>
      </c>
      <c r="J4912" s="35">
        <f t="shared" si="643"/>
        <v>0</v>
      </c>
      <c r="K4912" s="36"/>
      <c r="L4912" s="36"/>
      <c r="M4912" s="36"/>
      <c r="N4912" s="36"/>
      <c r="O4912" s="36"/>
      <c r="P4912" s="36"/>
      <c r="Q4912" s="36"/>
      <c r="R4912" s="36"/>
      <c r="S4912" s="36"/>
      <c r="T4912" s="36"/>
      <c r="U4912" s="36"/>
      <c r="V4912" s="36"/>
      <c r="W4912" s="15">
        <f t="shared" si="647"/>
        <v>0</v>
      </c>
      <c r="X4912" s="36"/>
      <c r="Y4912" s="36"/>
      <c r="Z4912" s="36"/>
      <c r="AA4912" s="36"/>
      <c r="AB4912" s="36"/>
      <c r="AC4912" s="36"/>
      <c r="AD4912" s="36"/>
      <c r="AE4912" s="36"/>
      <c r="AF4912" s="36"/>
      <c r="AG4912" s="36">
        <v>300</v>
      </c>
      <c r="AH4912" s="36"/>
      <c r="AI4912" s="36"/>
      <c r="AJ4912" s="15">
        <f t="shared" si="648"/>
        <v>300</v>
      </c>
      <c r="AK4912" s="14"/>
      <c r="AL4912" s="14"/>
      <c r="AM4912" s="14"/>
      <c r="AN4912" s="14"/>
      <c r="AO4912" s="14"/>
      <c r="AP4912" s="14"/>
      <c r="AQ4912" s="14"/>
      <c r="AR4912" s="14"/>
      <c r="AS4912" s="14"/>
      <c r="AT4912" s="14"/>
      <c r="AU4912" s="14"/>
      <c r="AV4912" s="14"/>
      <c r="AW4912" s="15">
        <f t="shared" si="644"/>
        <v>0</v>
      </c>
      <c r="AX4912" s="16"/>
    </row>
    <row r="4913" spans="2:50" x14ac:dyDescent="0.2">
      <c r="B4913" s="7"/>
      <c r="C4913" s="8">
        <v>15139</v>
      </c>
      <c r="D4913" s="9" t="s">
        <v>817</v>
      </c>
      <c r="E4913" s="10" t="str">
        <f t="shared" si="645"/>
        <v>Rancho Estanzuela No. 7, B</v>
      </c>
      <c r="F4913" s="10" t="str">
        <f t="shared" si="646"/>
        <v>Camargo Romero</v>
      </c>
      <c r="G4913" s="8">
        <v>1</v>
      </c>
      <c r="H4913" s="11">
        <v>800</v>
      </c>
      <c r="I4913" s="12">
        <v>43009</v>
      </c>
      <c r="J4913" s="35">
        <f t="shared" si="643"/>
        <v>0</v>
      </c>
      <c r="K4913" s="36"/>
      <c r="L4913" s="36"/>
      <c r="M4913" s="36"/>
      <c r="N4913" s="36"/>
      <c r="O4913" s="36"/>
      <c r="P4913" s="36"/>
      <c r="Q4913" s="36"/>
      <c r="R4913" s="36"/>
      <c r="S4913" s="36"/>
      <c r="T4913" s="36"/>
      <c r="U4913" s="36"/>
      <c r="V4913" s="36"/>
      <c r="W4913" s="15">
        <f t="shared" si="647"/>
        <v>0</v>
      </c>
      <c r="X4913" s="36"/>
      <c r="Y4913" s="36"/>
      <c r="Z4913" s="36"/>
      <c r="AA4913" s="36"/>
      <c r="AB4913" s="36"/>
      <c r="AC4913" s="36"/>
      <c r="AD4913" s="36">
        <v>200</v>
      </c>
      <c r="AE4913" s="36">
        <v>200</v>
      </c>
      <c r="AF4913" s="36">
        <v>200</v>
      </c>
      <c r="AG4913" s="36">
        <v>200</v>
      </c>
      <c r="AH4913" s="36"/>
      <c r="AI4913" s="36"/>
      <c r="AJ4913" s="15">
        <f t="shared" si="648"/>
        <v>800</v>
      </c>
      <c r="AK4913" s="14"/>
      <c r="AL4913" s="14"/>
      <c r="AM4913" s="14"/>
      <c r="AN4913" s="14"/>
      <c r="AO4913" s="14"/>
      <c r="AP4913" s="14"/>
      <c r="AQ4913" s="14"/>
      <c r="AR4913" s="14"/>
      <c r="AS4913" s="14"/>
      <c r="AT4913" s="14"/>
      <c r="AU4913" s="14"/>
      <c r="AV4913" s="14"/>
      <c r="AW4913" s="15">
        <f t="shared" si="644"/>
        <v>0</v>
      </c>
      <c r="AX4913" s="16"/>
    </row>
    <row r="4914" spans="2:50" x14ac:dyDescent="0.2">
      <c r="B4914" s="7"/>
      <c r="C4914" s="8">
        <v>15140</v>
      </c>
      <c r="D4914" s="9" t="s">
        <v>905</v>
      </c>
      <c r="E4914" s="10" t="str">
        <f t="shared" si="645"/>
        <v>Rancho Landero No. 81</v>
      </c>
      <c r="F4914" s="10" t="str">
        <f t="shared" si="646"/>
        <v>Cebrían Saldaña</v>
      </c>
      <c r="G4914" s="8">
        <v>1</v>
      </c>
      <c r="H4914" s="11">
        <v>400</v>
      </c>
      <c r="I4914" s="12">
        <v>43009</v>
      </c>
      <c r="J4914" s="35">
        <f t="shared" si="643"/>
        <v>0</v>
      </c>
      <c r="K4914" s="36"/>
      <c r="L4914" s="36"/>
      <c r="M4914" s="36"/>
      <c r="N4914" s="36"/>
      <c r="O4914" s="36"/>
      <c r="P4914" s="36"/>
      <c r="Q4914" s="36"/>
      <c r="R4914" s="36"/>
      <c r="S4914" s="36"/>
      <c r="T4914" s="36"/>
      <c r="U4914" s="36"/>
      <c r="V4914" s="36"/>
      <c r="W4914" s="15">
        <f t="shared" si="647"/>
        <v>0</v>
      </c>
      <c r="X4914" s="36"/>
      <c r="Y4914" s="36"/>
      <c r="Z4914" s="36"/>
      <c r="AA4914" s="36"/>
      <c r="AB4914" s="36"/>
      <c r="AC4914" s="36"/>
      <c r="AD4914" s="36">
        <v>200</v>
      </c>
      <c r="AE4914" s="36">
        <v>200</v>
      </c>
      <c r="AF4914" s="36"/>
      <c r="AG4914" s="36"/>
      <c r="AH4914" s="36"/>
      <c r="AI4914" s="36"/>
      <c r="AJ4914" s="15">
        <f t="shared" si="648"/>
        <v>400</v>
      </c>
      <c r="AK4914" s="14"/>
      <c r="AL4914" s="14"/>
      <c r="AM4914" s="14"/>
      <c r="AN4914" s="14"/>
      <c r="AO4914" s="14"/>
      <c r="AP4914" s="14"/>
      <c r="AQ4914" s="14"/>
      <c r="AR4914" s="14"/>
      <c r="AS4914" s="14"/>
      <c r="AT4914" s="14"/>
      <c r="AU4914" s="14"/>
      <c r="AV4914" s="14"/>
      <c r="AW4914" s="15">
        <f t="shared" si="644"/>
        <v>0</v>
      </c>
      <c r="AX4914" s="16"/>
    </row>
    <row r="4915" spans="2:50" x14ac:dyDescent="0.2">
      <c r="B4915" s="7"/>
      <c r="C4915" s="8">
        <v>15141</v>
      </c>
      <c r="D4915" s="9" t="s">
        <v>168</v>
      </c>
      <c r="E4915" s="10" t="str">
        <f t="shared" si="645"/>
        <v>Rancho Upácuaro No. 73, A</v>
      </c>
      <c r="F4915" s="10" t="str">
        <f t="shared" si="646"/>
        <v>Ortega</v>
      </c>
      <c r="G4915" s="8">
        <v>3</v>
      </c>
      <c r="H4915" s="11">
        <v>200</v>
      </c>
      <c r="I4915" s="12">
        <v>43009</v>
      </c>
      <c r="J4915" s="35">
        <f t="shared" si="643"/>
        <v>0</v>
      </c>
      <c r="K4915" s="36"/>
      <c r="L4915" s="36"/>
      <c r="M4915" s="36"/>
      <c r="N4915" s="36"/>
      <c r="O4915" s="36"/>
      <c r="P4915" s="36"/>
      <c r="Q4915" s="36"/>
      <c r="R4915" s="36"/>
      <c r="S4915" s="36"/>
      <c r="T4915" s="36"/>
      <c r="U4915" s="36"/>
      <c r="V4915" s="36"/>
      <c r="W4915" s="15">
        <f t="shared" si="647"/>
        <v>0</v>
      </c>
      <c r="X4915" s="36"/>
      <c r="Y4915" s="36"/>
      <c r="Z4915" s="36"/>
      <c r="AA4915" s="36"/>
      <c r="AB4915" s="36"/>
      <c r="AC4915" s="36"/>
      <c r="AD4915" s="36"/>
      <c r="AE4915" s="36"/>
      <c r="AF4915" s="36"/>
      <c r="AG4915" s="36"/>
      <c r="AH4915" s="36"/>
      <c r="AI4915" s="36"/>
      <c r="AJ4915" s="15">
        <f t="shared" si="648"/>
        <v>0</v>
      </c>
      <c r="AK4915" s="14"/>
      <c r="AL4915" s="14"/>
      <c r="AM4915" s="14"/>
      <c r="AN4915" s="14"/>
      <c r="AO4915" s="14"/>
      <c r="AP4915" s="14"/>
      <c r="AQ4915" s="14"/>
      <c r="AR4915" s="14"/>
      <c r="AS4915" s="14"/>
      <c r="AT4915" s="14"/>
      <c r="AU4915" s="14"/>
      <c r="AV4915" s="14"/>
      <c r="AW4915" s="15">
        <f t="shared" si="644"/>
        <v>0</v>
      </c>
      <c r="AX4915" s="16"/>
    </row>
    <row r="4916" spans="2:50" x14ac:dyDescent="0.2">
      <c r="B4916" s="7"/>
      <c r="C4916" s="8">
        <v>15142</v>
      </c>
      <c r="D4916" s="9" t="s">
        <v>97</v>
      </c>
      <c r="E4916" s="10" t="str">
        <f t="shared" si="645"/>
        <v>Rancho La Cuchilla No. 78</v>
      </c>
      <c r="F4916" s="10" t="str">
        <f t="shared" si="646"/>
        <v>García</v>
      </c>
      <c r="G4916" s="8">
        <v>1</v>
      </c>
      <c r="H4916" s="11">
        <v>400</v>
      </c>
      <c r="I4916" s="12">
        <v>43009</v>
      </c>
      <c r="J4916" s="35">
        <f t="shared" si="643"/>
        <v>0</v>
      </c>
      <c r="K4916" s="36"/>
      <c r="L4916" s="36"/>
      <c r="M4916" s="36"/>
      <c r="N4916" s="36"/>
      <c r="O4916" s="36"/>
      <c r="P4916" s="36"/>
      <c r="Q4916" s="36"/>
      <c r="R4916" s="36"/>
      <c r="S4916" s="36"/>
      <c r="T4916" s="36"/>
      <c r="U4916" s="36"/>
      <c r="V4916" s="36"/>
      <c r="W4916" s="15">
        <f t="shared" si="647"/>
        <v>0</v>
      </c>
      <c r="X4916" s="36"/>
      <c r="Y4916" s="36"/>
      <c r="Z4916" s="36"/>
      <c r="AA4916" s="36"/>
      <c r="AB4916" s="36"/>
      <c r="AC4916" s="36"/>
      <c r="AD4916" s="36"/>
      <c r="AE4916" s="36"/>
      <c r="AF4916" s="36"/>
      <c r="AG4916" s="36">
        <v>400</v>
      </c>
      <c r="AH4916" s="36"/>
      <c r="AI4916" s="36"/>
      <c r="AJ4916" s="15">
        <f t="shared" si="648"/>
        <v>400</v>
      </c>
      <c r="AK4916" s="14"/>
      <c r="AL4916" s="14"/>
      <c r="AM4916" s="14"/>
      <c r="AN4916" s="14"/>
      <c r="AO4916" s="14"/>
      <c r="AP4916" s="14"/>
      <c r="AQ4916" s="14"/>
      <c r="AR4916" s="14"/>
      <c r="AS4916" s="14"/>
      <c r="AT4916" s="14"/>
      <c r="AU4916" s="14"/>
      <c r="AV4916" s="14"/>
      <c r="AW4916" s="15">
        <f t="shared" si="644"/>
        <v>0</v>
      </c>
      <c r="AX4916" s="16"/>
    </row>
    <row r="4917" spans="2:50" x14ac:dyDescent="0.2">
      <c r="B4917" s="7"/>
      <c r="C4917" s="8">
        <v>15143</v>
      </c>
      <c r="D4917" s="9" t="s">
        <v>301</v>
      </c>
      <c r="E4917" s="10" t="str">
        <f t="shared" si="645"/>
        <v>Rancho Upácuaro No. 51, 2</v>
      </c>
      <c r="F4917" s="10" t="str">
        <f t="shared" si="646"/>
        <v>Santoyo</v>
      </c>
      <c r="G4917" s="8">
        <v>1</v>
      </c>
      <c r="H4917" s="11">
        <v>200</v>
      </c>
      <c r="I4917" s="12">
        <v>43009</v>
      </c>
      <c r="J4917" s="35">
        <f t="shared" si="643"/>
        <v>0</v>
      </c>
      <c r="K4917" s="36"/>
      <c r="L4917" s="36"/>
      <c r="M4917" s="36"/>
      <c r="N4917" s="36"/>
      <c r="O4917" s="36"/>
      <c r="P4917" s="36"/>
      <c r="Q4917" s="36"/>
      <c r="R4917" s="36"/>
      <c r="S4917" s="36"/>
      <c r="T4917" s="36"/>
      <c r="U4917" s="36"/>
      <c r="V4917" s="36"/>
      <c r="W4917" s="15">
        <f t="shared" si="647"/>
        <v>0</v>
      </c>
      <c r="X4917" s="36"/>
      <c r="Y4917" s="36"/>
      <c r="Z4917" s="36"/>
      <c r="AA4917" s="36"/>
      <c r="AB4917" s="36"/>
      <c r="AC4917" s="36"/>
      <c r="AD4917" s="36"/>
      <c r="AE4917" s="36"/>
      <c r="AF4917" s="36"/>
      <c r="AG4917" s="36">
        <v>200</v>
      </c>
      <c r="AH4917" s="36"/>
      <c r="AI4917" s="36"/>
      <c r="AJ4917" s="15">
        <f t="shared" si="648"/>
        <v>200</v>
      </c>
      <c r="AK4917" s="14"/>
      <c r="AL4917" s="14"/>
      <c r="AM4917" s="14"/>
      <c r="AN4917" s="14"/>
      <c r="AO4917" s="14"/>
      <c r="AP4917" s="14"/>
      <c r="AQ4917" s="14"/>
      <c r="AR4917" s="14"/>
      <c r="AS4917" s="14"/>
      <c r="AT4917" s="14"/>
      <c r="AU4917" s="14"/>
      <c r="AV4917" s="14"/>
      <c r="AW4917" s="15">
        <f t="shared" si="644"/>
        <v>0</v>
      </c>
      <c r="AX4917" s="16"/>
    </row>
    <row r="4918" spans="2:50" x14ac:dyDescent="0.2">
      <c r="B4918" s="7"/>
      <c r="C4918" s="8">
        <v>15144</v>
      </c>
      <c r="D4918" s="9" t="s">
        <v>183</v>
      </c>
      <c r="E4918" s="10" t="str">
        <f t="shared" si="645"/>
        <v>Rancho La Cuchilla No. 54</v>
      </c>
      <c r="F4918" s="10" t="str">
        <f t="shared" si="646"/>
        <v>Mendoza León</v>
      </c>
      <c r="G4918" s="8">
        <v>1</v>
      </c>
      <c r="H4918" s="11">
        <v>400</v>
      </c>
      <c r="I4918" s="12">
        <v>43009</v>
      </c>
      <c r="J4918" s="35">
        <f t="shared" si="643"/>
        <v>0</v>
      </c>
      <c r="K4918" s="36"/>
      <c r="L4918" s="36"/>
      <c r="M4918" s="36"/>
      <c r="N4918" s="36"/>
      <c r="O4918" s="36"/>
      <c r="P4918" s="36"/>
      <c r="Q4918" s="36"/>
      <c r="R4918" s="36"/>
      <c r="S4918" s="36"/>
      <c r="T4918" s="36"/>
      <c r="U4918" s="36"/>
      <c r="V4918" s="36"/>
      <c r="W4918" s="15">
        <f t="shared" si="647"/>
        <v>0</v>
      </c>
      <c r="X4918" s="36"/>
      <c r="Y4918" s="36"/>
      <c r="Z4918" s="36"/>
      <c r="AA4918" s="36"/>
      <c r="AB4918" s="36"/>
      <c r="AC4918" s="36"/>
      <c r="AD4918" s="36"/>
      <c r="AE4918" s="36"/>
      <c r="AF4918" s="36">
        <v>400</v>
      </c>
      <c r="AG4918" s="36"/>
      <c r="AH4918" s="36"/>
      <c r="AI4918" s="36"/>
      <c r="AJ4918" s="15">
        <f t="shared" si="648"/>
        <v>400</v>
      </c>
      <c r="AK4918" s="14"/>
      <c r="AL4918" s="14"/>
      <c r="AM4918" s="14"/>
      <c r="AN4918" s="14"/>
      <c r="AO4918" s="14"/>
      <c r="AP4918" s="14"/>
      <c r="AQ4918" s="14"/>
      <c r="AR4918" s="14"/>
      <c r="AS4918" s="14"/>
      <c r="AT4918" s="14"/>
      <c r="AU4918" s="14"/>
      <c r="AV4918" s="14"/>
      <c r="AW4918" s="15">
        <f t="shared" si="644"/>
        <v>0</v>
      </c>
      <c r="AX4918" s="16"/>
    </row>
    <row r="4919" spans="2:50" x14ac:dyDescent="0.2">
      <c r="B4919" s="7"/>
      <c r="C4919" s="8">
        <v>15145</v>
      </c>
      <c r="D4919" s="9" t="s">
        <v>1306</v>
      </c>
      <c r="E4919" s="10" t="str">
        <f t="shared" si="645"/>
        <v>Rancho La Cuchilla No. 131</v>
      </c>
      <c r="F4919" s="10" t="str">
        <f t="shared" si="646"/>
        <v>Cabrera Marquez</v>
      </c>
      <c r="G4919" s="8">
        <v>1</v>
      </c>
      <c r="H4919" s="11">
        <v>200</v>
      </c>
      <c r="I4919" s="12">
        <v>43009</v>
      </c>
      <c r="J4919" s="35">
        <f t="shared" si="643"/>
        <v>0</v>
      </c>
      <c r="K4919" s="36"/>
      <c r="L4919" s="36"/>
      <c r="M4919" s="36"/>
      <c r="N4919" s="36"/>
      <c r="O4919" s="36"/>
      <c r="P4919" s="36"/>
      <c r="Q4919" s="36"/>
      <c r="R4919" s="36"/>
      <c r="S4919" s="36"/>
      <c r="T4919" s="36"/>
      <c r="U4919" s="36"/>
      <c r="V4919" s="36"/>
      <c r="W4919" s="15">
        <f t="shared" si="647"/>
        <v>0</v>
      </c>
      <c r="X4919" s="36"/>
      <c r="Y4919" s="36"/>
      <c r="Z4919" s="36"/>
      <c r="AA4919" s="36"/>
      <c r="AB4919" s="36"/>
      <c r="AC4919" s="36"/>
      <c r="AD4919" s="36"/>
      <c r="AE4919" s="36"/>
      <c r="AF4919" s="36"/>
      <c r="AG4919" s="36">
        <v>200</v>
      </c>
      <c r="AH4919" s="36"/>
      <c r="AI4919" s="36"/>
      <c r="AJ4919" s="15">
        <f t="shared" si="648"/>
        <v>200</v>
      </c>
      <c r="AK4919" s="14"/>
      <c r="AL4919" s="14"/>
      <c r="AM4919" s="14"/>
      <c r="AN4919" s="14"/>
      <c r="AO4919" s="14"/>
      <c r="AP4919" s="14"/>
      <c r="AQ4919" s="14"/>
      <c r="AR4919" s="14"/>
      <c r="AS4919" s="14"/>
      <c r="AT4919" s="14"/>
      <c r="AU4919" s="14"/>
      <c r="AV4919" s="14"/>
      <c r="AW4919" s="15">
        <f t="shared" si="644"/>
        <v>0</v>
      </c>
      <c r="AX4919" s="16"/>
    </row>
    <row r="4920" spans="2:50" x14ac:dyDescent="0.2">
      <c r="B4920" s="7"/>
      <c r="C4920" s="8">
        <v>15146</v>
      </c>
      <c r="D4920" s="9" t="s">
        <v>1306</v>
      </c>
      <c r="E4920" s="10" t="str">
        <f t="shared" si="645"/>
        <v>Rancho La Cuchilla No. 131</v>
      </c>
      <c r="F4920" s="10" t="str">
        <f t="shared" si="646"/>
        <v>Cabrera Marquez</v>
      </c>
      <c r="G4920" s="8">
        <v>3</v>
      </c>
      <c r="H4920" s="11">
        <v>200</v>
      </c>
      <c r="I4920" s="12">
        <v>43009</v>
      </c>
      <c r="J4920" s="35">
        <f t="shared" si="643"/>
        <v>0</v>
      </c>
      <c r="K4920" s="36"/>
      <c r="L4920" s="36"/>
      <c r="M4920" s="36"/>
      <c r="N4920" s="36"/>
      <c r="O4920" s="36"/>
      <c r="P4920" s="36"/>
      <c r="Q4920" s="36"/>
      <c r="R4920" s="36"/>
      <c r="S4920" s="36"/>
      <c r="T4920" s="36"/>
      <c r="U4920" s="36"/>
      <c r="V4920" s="36"/>
      <c r="W4920" s="15">
        <f t="shared" si="647"/>
        <v>0</v>
      </c>
      <c r="X4920" s="36"/>
      <c r="Y4920" s="36"/>
      <c r="Z4920" s="36"/>
      <c r="AA4920" s="36"/>
      <c r="AB4920" s="36"/>
      <c r="AC4920" s="36"/>
      <c r="AD4920" s="36"/>
      <c r="AE4920" s="36"/>
      <c r="AF4920" s="36"/>
      <c r="AG4920" s="36"/>
      <c r="AH4920" s="36"/>
      <c r="AI4920" s="36"/>
      <c r="AJ4920" s="15">
        <f t="shared" si="648"/>
        <v>0</v>
      </c>
      <c r="AK4920" s="14"/>
      <c r="AL4920" s="14"/>
      <c r="AM4920" s="14"/>
      <c r="AN4920" s="14"/>
      <c r="AO4920" s="14"/>
      <c r="AP4920" s="14"/>
      <c r="AQ4920" s="14"/>
      <c r="AR4920" s="14"/>
      <c r="AS4920" s="14"/>
      <c r="AT4920" s="14"/>
      <c r="AU4920" s="14"/>
      <c r="AV4920" s="14"/>
      <c r="AW4920" s="15">
        <f t="shared" si="644"/>
        <v>0</v>
      </c>
      <c r="AX4920" s="16"/>
    </row>
    <row r="4921" spans="2:50" x14ac:dyDescent="0.2">
      <c r="B4921" s="7"/>
      <c r="C4921" s="8">
        <v>15147</v>
      </c>
      <c r="D4921" s="9" t="s">
        <v>295</v>
      </c>
      <c r="E4921" s="10" t="str">
        <f t="shared" si="645"/>
        <v>Rancho Landero No. 99</v>
      </c>
      <c r="F4921" s="10" t="str">
        <f t="shared" si="646"/>
        <v>Rangel</v>
      </c>
      <c r="G4921" s="8">
        <v>1</v>
      </c>
      <c r="H4921" s="11">
        <v>300</v>
      </c>
      <c r="I4921" s="12">
        <v>43009</v>
      </c>
      <c r="J4921" s="35">
        <f t="shared" ref="J4921:J4952" si="649">IF(G4921=1,SUM(W4921,AJ4921,AW4921,-H4921),0)</f>
        <v>0</v>
      </c>
      <c r="K4921" s="36"/>
      <c r="L4921" s="36"/>
      <c r="M4921" s="36"/>
      <c r="N4921" s="36"/>
      <c r="O4921" s="36"/>
      <c r="P4921" s="36"/>
      <c r="Q4921" s="36"/>
      <c r="R4921" s="36"/>
      <c r="S4921" s="36"/>
      <c r="T4921" s="36"/>
      <c r="U4921" s="36"/>
      <c r="V4921" s="36"/>
      <c r="W4921" s="15">
        <f t="shared" si="647"/>
        <v>0</v>
      </c>
      <c r="X4921" s="36"/>
      <c r="Y4921" s="36"/>
      <c r="Z4921" s="36"/>
      <c r="AA4921" s="36"/>
      <c r="AB4921" s="36"/>
      <c r="AC4921" s="36"/>
      <c r="AD4921" s="36">
        <v>300</v>
      </c>
      <c r="AE4921" s="36"/>
      <c r="AF4921" s="36"/>
      <c r="AG4921" s="36"/>
      <c r="AH4921" s="36"/>
      <c r="AI4921" s="36"/>
      <c r="AJ4921" s="15">
        <f t="shared" si="648"/>
        <v>300</v>
      </c>
      <c r="AK4921" s="14"/>
      <c r="AL4921" s="14"/>
      <c r="AM4921" s="14"/>
      <c r="AN4921" s="14"/>
      <c r="AO4921" s="14"/>
      <c r="AP4921" s="14"/>
      <c r="AQ4921" s="14"/>
      <c r="AR4921" s="14"/>
      <c r="AS4921" s="14"/>
      <c r="AT4921" s="14"/>
      <c r="AU4921" s="14"/>
      <c r="AV4921" s="14"/>
      <c r="AW4921" s="15">
        <f t="shared" ref="AW4921:AW4952" si="650">SUM(AK4921:AV4921)</f>
        <v>0</v>
      </c>
      <c r="AX4921" s="16"/>
    </row>
    <row r="4922" spans="2:50" x14ac:dyDescent="0.2">
      <c r="B4922" s="7"/>
      <c r="C4922" s="8">
        <v>15148</v>
      </c>
      <c r="D4922" s="9" t="s">
        <v>1306</v>
      </c>
      <c r="E4922" s="10" t="str">
        <f t="shared" si="645"/>
        <v>Rancho La Cuchilla No. 131</v>
      </c>
      <c r="F4922" s="10" t="str">
        <f t="shared" si="646"/>
        <v>Cabrera Marquez</v>
      </c>
      <c r="G4922" s="8">
        <v>5</v>
      </c>
      <c r="H4922" s="11">
        <v>50</v>
      </c>
      <c r="I4922" s="12">
        <v>43009</v>
      </c>
      <c r="J4922" s="35">
        <f t="shared" si="649"/>
        <v>0</v>
      </c>
      <c r="K4922" s="36"/>
      <c r="L4922" s="36"/>
      <c r="M4922" s="36"/>
      <c r="N4922" s="36"/>
      <c r="O4922" s="36"/>
      <c r="P4922" s="36"/>
      <c r="Q4922" s="36"/>
      <c r="R4922" s="36"/>
      <c r="S4922" s="36"/>
      <c r="T4922" s="36"/>
      <c r="U4922" s="36"/>
      <c r="V4922" s="36"/>
      <c r="W4922" s="15">
        <f t="shared" si="647"/>
        <v>0</v>
      </c>
      <c r="X4922" s="36"/>
      <c r="Y4922" s="36"/>
      <c r="Z4922" s="36"/>
      <c r="AA4922" s="36"/>
      <c r="AB4922" s="36"/>
      <c r="AC4922" s="36"/>
      <c r="AD4922" s="36"/>
      <c r="AE4922" s="36"/>
      <c r="AF4922" s="36"/>
      <c r="AG4922" s="36"/>
      <c r="AH4922" s="36"/>
      <c r="AI4922" s="36"/>
      <c r="AJ4922" s="15">
        <f t="shared" si="648"/>
        <v>0</v>
      </c>
      <c r="AK4922" s="14"/>
      <c r="AL4922" s="14"/>
      <c r="AM4922" s="14"/>
      <c r="AN4922" s="14"/>
      <c r="AO4922" s="14"/>
      <c r="AP4922" s="14"/>
      <c r="AQ4922" s="14"/>
      <c r="AR4922" s="14"/>
      <c r="AS4922" s="14"/>
      <c r="AT4922" s="14"/>
      <c r="AU4922" s="14"/>
      <c r="AV4922" s="14"/>
      <c r="AW4922" s="15">
        <f t="shared" si="650"/>
        <v>0</v>
      </c>
      <c r="AX4922" s="16"/>
    </row>
    <row r="4923" spans="2:50" x14ac:dyDescent="0.2">
      <c r="B4923" s="7"/>
      <c r="C4923" s="8">
        <v>15149</v>
      </c>
      <c r="D4923" s="9" t="s">
        <v>479</v>
      </c>
      <c r="E4923" s="10" t="str">
        <f t="shared" ref="E4923:E4940" si="651">IF(D4923=0,"",VLOOKUP(D4923,BASE,2,FALSE))</f>
        <v>Rancho Zinamba No. 68</v>
      </c>
      <c r="F4923" s="10" t="str">
        <f t="shared" ref="F4923:F4940" si="652">IF(D4923=0,"",VLOOKUP(D4923,BASE,3,FALSE))</f>
        <v>Rivera Villicaña</v>
      </c>
      <c r="G4923" s="8">
        <v>1</v>
      </c>
      <c r="H4923" s="11">
        <v>300</v>
      </c>
      <c r="I4923" s="12">
        <v>43009</v>
      </c>
      <c r="J4923" s="35">
        <f t="shared" si="649"/>
        <v>0</v>
      </c>
      <c r="K4923" s="36"/>
      <c r="L4923" s="36"/>
      <c r="M4923" s="36"/>
      <c r="N4923" s="36"/>
      <c r="O4923" s="36"/>
      <c r="P4923" s="36"/>
      <c r="Q4923" s="36"/>
      <c r="R4923" s="36"/>
      <c r="S4923" s="36"/>
      <c r="T4923" s="36"/>
      <c r="U4923" s="36"/>
      <c r="V4923" s="36"/>
      <c r="W4923" s="15">
        <f t="shared" ref="W4923:W4940" si="653">SUM(K4923:V4923)</f>
        <v>0</v>
      </c>
      <c r="X4923" s="36"/>
      <c r="Y4923" s="36"/>
      <c r="Z4923" s="36"/>
      <c r="AA4923" s="36"/>
      <c r="AB4923" s="36"/>
      <c r="AC4923" s="36"/>
      <c r="AD4923" s="36"/>
      <c r="AE4923" s="36"/>
      <c r="AF4923" s="36"/>
      <c r="AG4923" s="36">
        <v>300</v>
      </c>
      <c r="AH4923" s="36"/>
      <c r="AI4923" s="36"/>
      <c r="AJ4923" s="15">
        <f t="shared" ref="AJ4923:AJ4940" si="654">SUM(X4923:AI4923)</f>
        <v>300</v>
      </c>
      <c r="AK4923" s="14"/>
      <c r="AL4923" s="14"/>
      <c r="AM4923" s="14"/>
      <c r="AN4923" s="14"/>
      <c r="AO4923" s="14"/>
      <c r="AP4923" s="14"/>
      <c r="AQ4923" s="14"/>
      <c r="AR4923" s="14"/>
      <c r="AS4923" s="14"/>
      <c r="AT4923" s="14"/>
      <c r="AU4923" s="14"/>
      <c r="AV4923" s="14"/>
      <c r="AW4923" s="15">
        <f t="shared" si="650"/>
        <v>0</v>
      </c>
      <c r="AX4923" s="16"/>
    </row>
    <row r="4924" spans="2:50" x14ac:dyDescent="0.2">
      <c r="B4924" s="7"/>
      <c r="C4924" s="8">
        <v>15150</v>
      </c>
      <c r="D4924" s="9" t="s">
        <v>174</v>
      </c>
      <c r="E4924" s="10" t="str">
        <f t="shared" si="651"/>
        <v>Rancho Upácuaro No. 18</v>
      </c>
      <c r="F4924" s="10" t="str">
        <f t="shared" si="652"/>
        <v>Guzmán</v>
      </c>
      <c r="G4924" s="8">
        <v>1</v>
      </c>
      <c r="H4924" s="11">
        <v>300</v>
      </c>
      <c r="I4924" s="12">
        <v>43009</v>
      </c>
      <c r="J4924" s="35">
        <f t="shared" si="649"/>
        <v>0</v>
      </c>
      <c r="K4924" s="36"/>
      <c r="L4924" s="36"/>
      <c r="M4924" s="36"/>
      <c r="N4924" s="36"/>
      <c r="O4924" s="36"/>
      <c r="P4924" s="36"/>
      <c r="Q4924" s="36"/>
      <c r="R4924" s="36"/>
      <c r="S4924" s="36"/>
      <c r="T4924" s="36"/>
      <c r="U4924" s="36"/>
      <c r="V4924" s="36"/>
      <c r="W4924" s="15">
        <f t="shared" si="653"/>
        <v>0</v>
      </c>
      <c r="X4924" s="36"/>
      <c r="Y4924" s="36"/>
      <c r="Z4924" s="36"/>
      <c r="AA4924" s="36"/>
      <c r="AB4924" s="36"/>
      <c r="AC4924" s="36"/>
      <c r="AD4924" s="36"/>
      <c r="AE4924" s="36"/>
      <c r="AF4924" s="36"/>
      <c r="AG4924" s="36">
        <v>300</v>
      </c>
      <c r="AH4924" s="36"/>
      <c r="AI4924" s="36"/>
      <c r="AJ4924" s="15">
        <f t="shared" si="654"/>
        <v>300</v>
      </c>
      <c r="AK4924" s="14"/>
      <c r="AL4924" s="14"/>
      <c r="AM4924" s="14"/>
      <c r="AN4924" s="14"/>
      <c r="AO4924" s="14"/>
      <c r="AP4924" s="14"/>
      <c r="AQ4924" s="14"/>
      <c r="AR4924" s="14"/>
      <c r="AS4924" s="14"/>
      <c r="AT4924" s="14"/>
      <c r="AU4924" s="14"/>
      <c r="AV4924" s="14"/>
      <c r="AW4924" s="15">
        <f t="shared" si="650"/>
        <v>0</v>
      </c>
      <c r="AX4924" s="16"/>
    </row>
    <row r="4925" spans="2:50" x14ac:dyDescent="0.2">
      <c r="B4925" s="7"/>
      <c r="C4925" s="8">
        <v>15151</v>
      </c>
      <c r="D4925" s="9" t="s">
        <v>150</v>
      </c>
      <c r="E4925" s="10" t="str">
        <f t="shared" si="651"/>
        <v>Rancho La Cuchilla No. 33</v>
      </c>
      <c r="F4925" s="10" t="str">
        <f t="shared" si="652"/>
        <v>Tanús</v>
      </c>
      <c r="G4925" s="8">
        <v>1</v>
      </c>
      <c r="H4925" s="11">
        <v>400</v>
      </c>
      <c r="I4925" s="12">
        <v>43009</v>
      </c>
      <c r="J4925" s="35">
        <f t="shared" si="649"/>
        <v>0</v>
      </c>
      <c r="K4925" s="36"/>
      <c r="L4925" s="36"/>
      <c r="M4925" s="36"/>
      <c r="N4925" s="36"/>
      <c r="O4925" s="36"/>
      <c r="P4925" s="36"/>
      <c r="Q4925" s="36"/>
      <c r="R4925" s="36"/>
      <c r="S4925" s="36"/>
      <c r="T4925" s="36"/>
      <c r="U4925" s="36"/>
      <c r="V4925" s="36"/>
      <c r="W4925" s="15">
        <f t="shared" si="653"/>
        <v>0</v>
      </c>
      <c r="X4925" s="36"/>
      <c r="Y4925" s="36"/>
      <c r="Z4925" s="36"/>
      <c r="AA4925" s="36"/>
      <c r="AB4925" s="36"/>
      <c r="AC4925" s="36"/>
      <c r="AD4925" s="36"/>
      <c r="AE4925" s="36"/>
      <c r="AF4925" s="36"/>
      <c r="AG4925" s="36">
        <v>400</v>
      </c>
      <c r="AH4925" s="36"/>
      <c r="AI4925" s="36"/>
      <c r="AJ4925" s="15">
        <f t="shared" si="654"/>
        <v>400</v>
      </c>
      <c r="AK4925" s="14"/>
      <c r="AL4925" s="14"/>
      <c r="AM4925" s="14"/>
      <c r="AN4925" s="14"/>
      <c r="AO4925" s="14"/>
      <c r="AP4925" s="14"/>
      <c r="AQ4925" s="14"/>
      <c r="AR4925" s="14"/>
      <c r="AS4925" s="14"/>
      <c r="AT4925" s="14"/>
      <c r="AU4925" s="14"/>
      <c r="AV4925" s="14"/>
      <c r="AW4925" s="15">
        <f t="shared" si="650"/>
        <v>0</v>
      </c>
      <c r="AX4925" s="16"/>
    </row>
    <row r="4926" spans="2:50" x14ac:dyDescent="0.2">
      <c r="B4926" s="7"/>
      <c r="C4926" s="8">
        <v>15152</v>
      </c>
      <c r="D4926" s="9" t="s">
        <v>3178</v>
      </c>
      <c r="E4926" s="10" t="str">
        <f t="shared" si="651"/>
        <v>Rancho La Cuchilla No. 103</v>
      </c>
      <c r="F4926" s="10" t="str">
        <f t="shared" si="652"/>
        <v>Bernal</v>
      </c>
      <c r="G4926" s="8">
        <v>1</v>
      </c>
      <c r="H4926" s="11">
        <v>500</v>
      </c>
      <c r="I4926" s="12">
        <v>43009</v>
      </c>
      <c r="J4926" s="35">
        <f t="shared" si="649"/>
        <v>0</v>
      </c>
      <c r="K4926" s="36"/>
      <c r="L4926" s="36"/>
      <c r="M4926" s="36"/>
      <c r="N4926" s="36"/>
      <c r="O4926" s="36"/>
      <c r="P4926" s="36"/>
      <c r="Q4926" s="36"/>
      <c r="R4926" s="36"/>
      <c r="S4926" s="36"/>
      <c r="T4926" s="36"/>
      <c r="U4926" s="36"/>
      <c r="V4926" s="36"/>
      <c r="W4926" s="15">
        <f t="shared" si="653"/>
        <v>0</v>
      </c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>
        <v>500</v>
      </c>
      <c r="AH4926" s="36"/>
      <c r="AI4926" s="36"/>
      <c r="AJ4926" s="15">
        <f t="shared" si="654"/>
        <v>500</v>
      </c>
      <c r="AK4926" s="14"/>
      <c r="AL4926" s="14"/>
      <c r="AM4926" s="14"/>
      <c r="AN4926" s="14"/>
      <c r="AO4926" s="14"/>
      <c r="AP4926" s="14"/>
      <c r="AQ4926" s="14"/>
      <c r="AR4926" s="14"/>
      <c r="AS4926" s="14"/>
      <c r="AT4926" s="14"/>
      <c r="AU4926" s="14"/>
      <c r="AV4926" s="14"/>
      <c r="AW4926" s="15">
        <f t="shared" si="650"/>
        <v>0</v>
      </c>
      <c r="AX4926" s="16"/>
    </row>
    <row r="4927" spans="2:50" x14ac:dyDescent="0.2">
      <c r="B4927" s="7"/>
      <c r="C4927" s="8">
        <v>15153</v>
      </c>
      <c r="D4927" s="9" t="s">
        <v>407</v>
      </c>
      <c r="E4927" s="10" t="str">
        <f t="shared" si="651"/>
        <v>Rancho Estanzuela No. 99</v>
      </c>
      <c r="F4927" s="10" t="str">
        <f t="shared" si="652"/>
        <v>García López</v>
      </c>
      <c r="G4927" s="8">
        <v>3</v>
      </c>
      <c r="H4927" s="11">
        <v>200</v>
      </c>
      <c r="I4927" s="12">
        <v>43009</v>
      </c>
      <c r="J4927" s="35">
        <f t="shared" si="649"/>
        <v>0</v>
      </c>
      <c r="K4927" s="36"/>
      <c r="L4927" s="36"/>
      <c r="M4927" s="36"/>
      <c r="N4927" s="36"/>
      <c r="O4927" s="36"/>
      <c r="P4927" s="36"/>
      <c r="Q4927" s="36"/>
      <c r="R4927" s="36"/>
      <c r="S4927" s="36"/>
      <c r="T4927" s="36"/>
      <c r="U4927" s="36"/>
      <c r="V4927" s="36"/>
      <c r="W4927" s="15">
        <f t="shared" si="653"/>
        <v>0</v>
      </c>
      <c r="X4927" s="36"/>
      <c r="Y4927" s="36"/>
      <c r="Z4927" s="36"/>
      <c r="AA4927" s="36"/>
      <c r="AB4927" s="36"/>
      <c r="AC4927" s="36"/>
      <c r="AD4927" s="36"/>
      <c r="AE4927" s="36"/>
      <c r="AF4927" s="36"/>
      <c r="AG4927" s="36"/>
      <c r="AH4927" s="36"/>
      <c r="AI4927" s="36"/>
      <c r="AJ4927" s="15">
        <f t="shared" si="654"/>
        <v>0</v>
      </c>
      <c r="AK4927" s="14"/>
      <c r="AL4927" s="14"/>
      <c r="AM4927" s="14"/>
      <c r="AN4927" s="14"/>
      <c r="AO4927" s="14"/>
      <c r="AP4927" s="14"/>
      <c r="AQ4927" s="14"/>
      <c r="AR4927" s="14"/>
      <c r="AS4927" s="14"/>
      <c r="AT4927" s="14"/>
      <c r="AU4927" s="14"/>
      <c r="AV4927" s="14"/>
      <c r="AW4927" s="15">
        <f t="shared" si="650"/>
        <v>0</v>
      </c>
      <c r="AX4927" s="16"/>
    </row>
    <row r="4928" spans="2:50" x14ac:dyDescent="0.2">
      <c r="B4928" s="7"/>
      <c r="C4928" s="8">
        <v>15154</v>
      </c>
      <c r="D4928" s="9" t="s">
        <v>678</v>
      </c>
      <c r="E4928" s="10" t="str">
        <f t="shared" si="651"/>
        <v>Rancho Upácuaro No. 76</v>
      </c>
      <c r="F4928" s="10" t="str">
        <f t="shared" si="652"/>
        <v>Ruiz de San Pedro</v>
      </c>
      <c r="G4928" s="8">
        <v>1</v>
      </c>
      <c r="H4928" s="11">
        <v>400</v>
      </c>
      <c r="I4928" s="12">
        <v>43009</v>
      </c>
      <c r="J4928" s="35">
        <f t="shared" si="649"/>
        <v>0</v>
      </c>
      <c r="K4928" s="36"/>
      <c r="L4928" s="36"/>
      <c r="M4928" s="36"/>
      <c r="N4928" s="36"/>
      <c r="O4928" s="36"/>
      <c r="P4928" s="36"/>
      <c r="Q4928" s="36"/>
      <c r="R4928" s="36"/>
      <c r="S4928" s="36"/>
      <c r="T4928" s="36"/>
      <c r="U4928" s="36"/>
      <c r="V4928" s="36"/>
      <c r="W4928" s="15">
        <f t="shared" si="653"/>
        <v>0</v>
      </c>
      <c r="X4928" s="36"/>
      <c r="Y4928" s="36"/>
      <c r="Z4928" s="36"/>
      <c r="AA4928" s="36"/>
      <c r="AB4928" s="36"/>
      <c r="AC4928" s="36"/>
      <c r="AD4928" s="36"/>
      <c r="AE4928" s="36"/>
      <c r="AF4928" s="36"/>
      <c r="AG4928" s="36">
        <v>400</v>
      </c>
      <c r="AH4928" s="36"/>
      <c r="AI4928" s="36"/>
      <c r="AJ4928" s="15">
        <f t="shared" si="654"/>
        <v>400</v>
      </c>
      <c r="AK4928" s="14"/>
      <c r="AL4928" s="14"/>
      <c r="AM4928" s="14"/>
      <c r="AN4928" s="14"/>
      <c r="AO4928" s="14"/>
      <c r="AP4928" s="14"/>
      <c r="AQ4928" s="14"/>
      <c r="AR4928" s="14"/>
      <c r="AS4928" s="14"/>
      <c r="AT4928" s="14"/>
      <c r="AU4928" s="14"/>
      <c r="AV4928" s="14"/>
      <c r="AW4928" s="15">
        <f t="shared" si="650"/>
        <v>0</v>
      </c>
      <c r="AX4928" s="16"/>
    </row>
    <row r="4929" spans="2:50" x14ac:dyDescent="0.2">
      <c r="B4929" s="7"/>
      <c r="C4929" s="8">
        <v>15155</v>
      </c>
      <c r="D4929" s="9" t="s">
        <v>1095</v>
      </c>
      <c r="E4929" s="10" t="str">
        <f t="shared" si="651"/>
        <v>Rancho La Cuchilla No. 35</v>
      </c>
      <c r="F4929" s="10" t="str">
        <f t="shared" si="652"/>
        <v>Mendoza</v>
      </c>
      <c r="G4929" s="8">
        <v>1</v>
      </c>
      <c r="H4929" s="11">
        <v>750</v>
      </c>
      <c r="I4929" s="12">
        <v>43009</v>
      </c>
      <c r="J4929" s="35">
        <f t="shared" si="649"/>
        <v>0</v>
      </c>
      <c r="K4929" s="36"/>
      <c r="L4929" s="36"/>
      <c r="M4929" s="36"/>
      <c r="N4929" s="36"/>
      <c r="O4929" s="36"/>
      <c r="P4929" s="36"/>
      <c r="Q4929" s="36"/>
      <c r="R4929" s="36"/>
      <c r="S4929" s="36"/>
      <c r="T4929" s="36"/>
      <c r="U4929" s="36"/>
      <c r="V4929" s="36"/>
      <c r="W4929" s="15">
        <f t="shared" si="653"/>
        <v>0</v>
      </c>
      <c r="X4929" s="36"/>
      <c r="Y4929" s="36"/>
      <c r="Z4929" s="36"/>
      <c r="AA4929" s="36"/>
      <c r="AB4929" s="36"/>
      <c r="AC4929" s="36"/>
      <c r="AD4929" s="36">
        <v>250</v>
      </c>
      <c r="AE4929" s="36">
        <v>250</v>
      </c>
      <c r="AF4929" s="36">
        <v>250</v>
      </c>
      <c r="AG4929" s="36"/>
      <c r="AH4929" s="36"/>
      <c r="AI4929" s="36"/>
      <c r="AJ4929" s="15">
        <f t="shared" si="654"/>
        <v>750</v>
      </c>
      <c r="AK4929" s="14"/>
      <c r="AL4929" s="14"/>
      <c r="AM4929" s="14"/>
      <c r="AN4929" s="14"/>
      <c r="AO4929" s="14"/>
      <c r="AP4929" s="14"/>
      <c r="AQ4929" s="14"/>
      <c r="AR4929" s="14"/>
      <c r="AS4929" s="14"/>
      <c r="AT4929" s="14"/>
      <c r="AU4929" s="14"/>
      <c r="AV4929" s="14"/>
      <c r="AW4929" s="15">
        <f t="shared" si="650"/>
        <v>0</v>
      </c>
      <c r="AX4929" s="16"/>
    </row>
    <row r="4930" spans="2:50" x14ac:dyDescent="0.2">
      <c r="B4930" s="7"/>
      <c r="C4930" s="8">
        <v>15156</v>
      </c>
      <c r="D4930" s="9" t="s">
        <v>186</v>
      </c>
      <c r="E4930" s="10" t="str">
        <f t="shared" si="651"/>
        <v>Rancho Upácuaro No. 100</v>
      </c>
      <c r="F4930" s="10" t="str">
        <f t="shared" si="652"/>
        <v>Valdez</v>
      </c>
      <c r="G4930" s="8">
        <v>1</v>
      </c>
      <c r="H4930" s="11">
        <v>400</v>
      </c>
      <c r="I4930" s="12">
        <v>43009</v>
      </c>
      <c r="J4930" s="35">
        <f t="shared" si="649"/>
        <v>0</v>
      </c>
      <c r="K4930" s="36"/>
      <c r="L4930" s="36"/>
      <c r="M4930" s="36"/>
      <c r="N4930" s="36"/>
      <c r="O4930" s="36"/>
      <c r="P4930" s="36"/>
      <c r="Q4930" s="36"/>
      <c r="R4930" s="36"/>
      <c r="S4930" s="36"/>
      <c r="T4930" s="36"/>
      <c r="U4930" s="36"/>
      <c r="V4930" s="36"/>
      <c r="W4930" s="15">
        <f t="shared" si="653"/>
        <v>0</v>
      </c>
      <c r="X4930" s="36"/>
      <c r="Y4930" s="36"/>
      <c r="Z4930" s="36"/>
      <c r="AA4930" s="36"/>
      <c r="AB4930" s="36"/>
      <c r="AC4930" s="36"/>
      <c r="AD4930" s="36"/>
      <c r="AE4930" s="36"/>
      <c r="AF4930" s="36"/>
      <c r="AG4930" s="36">
        <v>400</v>
      </c>
      <c r="AH4930" s="36"/>
      <c r="AI4930" s="36"/>
      <c r="AJ4930" s="15">
        <f t="shared" si="654"/>
        <v>400</v>
      </c>
      <c r="AK4930" s="14"/>
      <c r="AL4930" s="14"/>
      <c r="AM4930" s="14"/>
      <c r="AN4930" s="14"/>
      <c r="AO4930" s="14"/>
      <c r="AP4930" s="14"/>
      <c r="AQ4930" s="14"/>
      <c r="AR4930" s="14"/>
      <c r="AS4930" s="14"/>
      <c r="AT4930" s="14"/>
      <c r="AU4930" s="14"/>
      <c r="AV4930" s="14"/>
      <c r="AW4930" s="15">
        <f t="shared" si="650"/>
        <v>0</v>
      </c>
      <c r="AX4930" s="16"/>
    </row>
    <row r="4931" spans="2:50" x14ac:dyDescent="0.2">
      <c r="B4931" s="7"/>
      <c r="C4931" s="8">
        <v>15156</v>
      </c>
      <c r="D4931" s="9" t="s">
        <v>186</v>
      </c>
      <c r="E4931" s="10" t="str">
        <f t="shared" si="651"/>
        <v>Rancho Upácuaro No. 100</v>
      </c>
      <c r="F4931" s="10" t="str">
        <f t="shared" si="652"/>
        <v>Valdez</v>
      </c>
      <c r="G4931" s="8">
        <v>5</v>
      </c>
      <c r="H4931" s="11">
        <v>50</v>
      </c>
      <c r="I4931" s="12">
        <v>43009</v>
      </c>
      <c r="J4931" s="35">
        <f t="shared" si="649"/>
        <v>0</v>
      </c>
      <c r="K4931" s="36"/>
      <c r="L4931" s="36"/>
      <c r="M4931" s="36"/>
      <c r="N4931" s="36"/>
      <c r="O4931" s="36"/>
      <c r="P4931" s="36"/>
      <c r="Q4931" s="36"/>
      <c r="R4931" s="36"/>
      <c r="S4931" s="36"/>
      <c r="T4931" s="36"/>
      <c r="U4931" s="36"/>
      <c r="V4931" s="36"/>
      <c r="W4931" s="15">
        <f t="shared" si="653"/>
        <v>0</v>
      </c>
      <c r="X4931" s="36"/>
      <c r="Y4931" s="36"/>
      <c r="Z4931" s="36"/>
      <c r="AA4931" s="36"/>
      <c r="AB4931" s="36"/>
      <c r="AC4931" s="36"/>
      <c r="AD4931" s="36"/>
      <c r="AE4931" s="36"/>
      <c r="AF4931" s="36"/>
      <c r="AG4931" s="36"/>
      <c r="AH4931" s="36"/>
      <c r="AI4931" s="36"/>
      <c r="AJ4931" s="15">
        <f t="shared" si="654"/>
        <v>0</v>
      </c>
      <c r="AK4931" s="14"/>
      <c r="AL4931" s="14"/>
      <c r="AM4931" s="14"/>
      <c r="AN4931" s="14"/>
      <c r="AO4931" s="14"/>
      <c r="AP4931" s="14"/>
      <c r="AQ4931" s="14"/>
      <c r="AR4931" s="14"/>
      <c r="AS4931" s="14"/>
      <c r="AT4931" s="14"/>
      <c r="AU4931" s="14"/>
      <c r="AV4931" s="14"/>
      <c r="AW4931" s="15">
        <f t="shared" si="650"/>
        <v>0</v>
      </c>
      <c r="AX4931" s="16"/>
    </row>
    <row r="4932" spans="2:50" x14ac:dyDescent="0.2">
      <c r="B4932" s="7"/>
      <c r="C4932" s="8">
        <v>15157</v>
      </c>
      <c r="D4932" s="9" t="s">
        <v>509</v>
      </c>
      <c r="E4932" s="10" t="str">
        <f t="shared" si="651"/>
        <v>Rancho La Cuchilla No. 77</v>
      </c>
      <c r="F4932" s="10" t="str">
        <f t="shared" si="652"/>
        <v>Loperena</v>
      </c>
      <c r="G4932" s="8">
        <v>1</v>
      </c>
      <c r="H4932" s="11">
        <v>600</v>
      </c>
      <c r="I4932" s="12">
        <v>43009</v>
      </c>
      <c r="J4932" s="35">
        <f t="shared" si="649"/>
        <v>0</v>
      </c>
      <c r="K4932" s="36"/>
      <c r="L4932" s="36"/>
      <c r="M4932" s="36"/>
      <c r="N4932" s="36"/>
      <c r="O4932" s="36"/>
      <c r="P4932" s="36"/>
      <c r="Q4932" s="36"/>
      <c r="R4932" s="36"/>
      <c r="S4932" s="36"/>
      <c r="T4932" s="36"/>
      <c r="U4932" s="36"/>
      <c r="V4932" s="36"/>
      <c r="W4932" s="15">
        <f t="shared" si="653"/>
        <v>0</v>
      </c>
      <c r="X4932" s="36"/>
      <c r="Y4932" s="36"/>
      <c r="Z4932" s="36"/>
      <c r="AA4932" s="36"/>
      <c r="AB4932" s="36"/>
      <c r="AC4932" s="36"/>
      <c r="AD4932" s="36"/>
      <c r="AE4932" s="36"/>
      <c r="AF4932" s="36">
        <v>300</v>
      </c>
      <c r="AG4932" s="36">
        <v>300</v>
      </c>
      <c r="AH4932" s="36"/>
      <c r="AI4932" s="36"/>
      <c r="AJ4932" s="15">
        <f t="shared" si="654"/>
        <v>600</v>
      </c>
      <c r="AK4932" s="14"/>
      <c r="AL4932" s="14"/>
      <c r="AM4932" s="14"/>
      <c r="AN4932" s="14"/>
      <c r="AO4932" s="14"/>
      <c r="AP4932" s="14"/>
      <c r="AQ4932" s="14"/>
      <c r="AR4932" s="14"/>
      <c r="AS4932" s="14"/>
      <c r="AT4932" s="14"/>
      <c r="AU4932" s="14"/>
      <c r="AV4932" s="14"/>
      <c r="AW4932" s="15">
        <f t="shared" si="650"/>
        <v>0</v>
      </c>
      <c r="AX4932" s="16"/>
    </row>
    <row r="4933" spans="2:50" x14ac:dyDescent="0.2">
      <c r="B4933" s="7"/>
      <c r="C4933" s="8">
        <v>15158</v>
      </c>
      <c r="D4933" s="9" t="s">
        <v>313</v>
      </c>
      <c r="E4933" s="10" t="str">
        <f t="shared" si="651"/>
        <v>Rancho La Cuchilla No. 87</v>
      </c>
      <c r="F4933" s="10" t="str">
        <f t="shared" si="652"/>
        <v>Villanueva S.</v>
      </c>
      <c r="G4933" s="8">
        <v>1</v>
      </c>
      <c r="H4933" s="11">
        <v>400</v>
      </c>
      <c r="I4933" s="12">
        <v>43009</v>
      </c>
      <c r="J4933" s="35">
        <f t="shared" si="649"/>
        <v>0</v>
      </c>
      <c r="K4933" s="36"/>
      <c r="L4933" s="36"/>
      <c r="M4933" s="36"/>
      <c r="N4933" s="36"/>
      <c r="O4933" s="36"/>
      <c r="P4933" s="36"/>
      <c r="Q4933" s="36"/>
      <c r="R4933" s="36"/>
      <c r="S4933" s="36"/>
      <c r="T4933" s="36"/>
      <c r="U4933" s="36"/>
      <c r="V4933" s="36"/>
      <c r="W4933" s="15">
        <f t="shared" si="653"/>
        <v>0</v>
      </c>
      <c r="X4933" s="36"/>
      <c r="Y4933" s="36"/>
      <c r="Z4933" s="36"/>
      <c r="AA4933" s="36"/>
      <c r="AB4933" s="36"/>
      <c r="AC4933" s="36"/>
      <c r="AD4933" s="36"/>
      <c r="AE4933" s="36"/>
      <c r="AF4933" s="36"/>
      <c r="AG4933" s="36">
        <v>400</v>
      </c>
      <c r="AH4933" s="36"/>
      <c r="AI4933" s="36"/>
      <c r="AJ4933" s="15">
        <f t="shared" si="654"/>
        <v>400</v>
      </c>
      <c r="AK4933" s="14"/>
      <c r="AL4933" s="14"/>
      <c r="AM4933" s="14"/>
      <c r="AN4933" s="14"/>
      <c r="AO4933" s="14"/>
      <c r="AP4933" s="14"/>
      <c r="AQ4933" s="14"/>
      <c r="AR4933" s="14"/>
      <c r="AS4933" s="14"/>
      <c r="AT4933" s="14"/>
      <c r="AU4933" s="14"/>
      <c r="AV4933" s="14"/>
      <c r="AW4933" s="15">
        <f t="shared" si="650"/>
        <v>0</v>
      </c>
      <c r="AX4933" s="16"/>
    </row>
    <row r="4934" spans="2:50" x14ac:dyDescent="0.2">
      <c r="B4934" s="7"/>
      <c r="C4934" s="8">
        <v>15159</v>
      </c>
      <c r="D4934" s="9" t="s">
        <v>514</v>
      </c>
      <c r="E4934" s="10" t="str">
        <f t="shared" si="651"/>
        <v>Rancho Upácuaro No. 114</v>
      </c>
      <c r="F4934" s="10" t="str">
        <f t="shared" si="652"/>
        <v>Hernández Cornejo</v>
      </c>
      <c r="G4934" s="8">
        <v>1</v>
      </c>
      <c r="H4934" s="11">
        <v>800</v>
      </c>
      <c r="I4934" s="12">
        <v>43009</v>
      </c>
      <c r="J4934" s="35">
        <f t="shared" si="649"/>
        <v>0</v>
      </c>
      <c r="K4934" s="36"/>
      <c r="L4934" s="36"/>
      <c r="M4934" s="36"/>
      <c r="N4934" s="36"/>
      <c r="O4934" s="36"/>
      <c r="P4934" s="36"/>
      <c r="Q4934" s="36"/>
      <c r="R4934" s="36"/>
      <c r="S4934" s="36"/>
      <c r="T4934" s="36"/>
      <c r="U4934" s="36"/>
      <c r="V4934" s="36"/>
      <c r="W4934" s="15">
        <f t="shared" si="653"/>
        <v>0</v>
      </c>
      <c r="X4934" s="36"/>
      <c r="Y4934" s="36"/>
      <c r="Z4934" s="36"/>
      <c r="AA4934" s="36"/>
      <c r="AB4934" s="36"/>
      <c r="AC4934" s="36"/>
      <c r="AD4934" s="36"/>
      <c r="AE4934" s="36"/>
      <c r="AF4934" s="36">
        <v>400</v>
      </c>
      <c r="AG4934" s="36">
        <v>400</v>
      </c>
      <c r="AH4934" s="36"/>
      <c r="AI4934" s="36"/>
      <c r="AJ4934" s="15">
        <f t="shared" si="654"/>
        <v>800</v>
      </c>
      <c r="AK4934" s="14"/>
      <c r="AL4934" s="14"/>
      <c r="AM4934" s="14"/>
      <c r="AN4934" s="14"/>
      <c r="AO4934" s="14"/>
      <c r="AP4934" s="14"/>
      <c r="AQ4934" s="14"/>
      <c r="AR4934" s="14"/>
      <c r="AS4934" s="14"/>
      <c r="AT4934" s="14"/>
      <c r="AU4934" s="14"/>
      <c r="AV4934" s="14"/>
      <c r="AW4934" s="15">
        <f t="shared" si="650"/>
        <v>0</v>
      </c>
      <c r="AX4934" s="16"/>
    </row>
    <row r="4935" spans="2:50" x14ac:dyDescent="0.2">
      <c r="B4935" s="7"/>
      <c r="C4935" s="8">
        <v>15160</v>
      </c>
      <c r="D4935" s="9" t="s">
        <v>84</v>
      </c>
      <c r="E4935" s="10" t="str">
        <f t="shared" si="651"/>
        <v>Rancho La Cuchilla No. 139</v>
      </c>
      <c r="F4935" s="10" t="str">
        <f t="shared" si="652"/>
        <v>Garcia</v>
      </c>
      <c r="G4935" s="8">
        <v>1</v>
      </c>
      <c r="H4935" s="11">
        <v>400</v>
      </c>
      <c r="I4935" s="12">
        <v>43009</v>
      </c>
      <c r="J4935" s="35">
        <f t="shared" si="649"/>
        <v>0</v>
      </c>
      <c r="K4935" s="36"/>
      <c r="L4935" s="36"/>
      <c r="M4935" s="36"/>
      <c r="N4935" s="36"/>
      <c r="O4935" s="36"/>
      <c r="P4935" s="36"/>
      <c r="Q4935" s="36"/>
      <c r="R4935" s="36"/>
      <c r="S4935" s="36"/>
      <c r="T4935" s="36"/>
      <c r="U4935" s="36"/>
      <c r="V4935" s="36"/>
      <c r="W4935" s="15">
        <f t="shared" si="653"/>
        <v>0</v>
      </c>
      <c r="X4935" s="36"/>
      <c r="Y4935" s="36"/>
      <c r="Z4935" s="36"/>
      <c r="AA4935" s="36"/>
      <c r="AB4935" s="36"/>
      <c r="AC4935" s="36"/>
      <c r="AD4935" s="36"/>
      <c r="AE4935" s="36">
        <v>200</v>
      </c>
      <c r="AF4935" s="36">
        <v>200</v>
      </c>
      <c r="AG4935" s="36"/>
      <c r="AH4935" s="36"/>
      <c r="AI4935" s="36"/>
      <c r="AJ4935" s="15">
        <f t="shared" si="654"/>
        <v>400</v>
      </c>
      <c r="AK4935" s="14"/>
      <c r="AL4935" s="14"/>
      <c r="AM4935" s="14"/>
      <c r="AN4935" s="14"/>
      <c r="AO4935" s="14"/>
      <c r="AP4935" s="14"/>
      <c r="AQ4935" s="14"/>
      <c r="AR4935" s="14"/>
      <c r="AS4935" s="14"/>
      <c r="AT4935" s="14"/>
      <c r="AU4935" s="14"/>
      <c r="AV4935" s="14"/>
      <c r="AW4935" s="15">
        <f t="shared" si="650"/>
        <v>0</v>
      </c>
      <c r="AX4935" s="16"/>
    </row>
    <row r="4936" spans="2:50" x14ac:dyDescent="0.2">
      <c r="B4936" s="7"/>
      <c r="C4936" s="8">
        <v>15161</v>
      </c>
      <c r="D4936" s="9" t="s">
        <v>51</v>
      </c>
      <c r="E4936" s="10" t="str">
        <f t="shared" si="651"/>
        <v>Rancho Landero No. 22</v>
      </c>
      <c r="F4936" s="10" t="str">
        <f t="shared" si="652"/>
        <v>Reyes</v>
      </c>
      <c r="G4936" s="8">
        <v>1</v>
      </c>
      <c r="H4936" s="11">
        <v>500</v>
      </c>
      <c r="I4936" s="12">
        <v>43009</v>
      </c>
      <c r="J4936" s="35">
        <f t="shared" si="649"/>
        <v>0</v>
      </c>
      <c r="K4936" s="36"/>
      <c r="L4936" s="36"/>
      <c r="M4936" s="36"/>
      <c r="N4936" s="36"/>
      <c r="O4936" s="36"/>
      <c r="P4936" s="36"/>
      <c r="Q4936" s="36"/>
      <c r="R4936" s="36"/>
      <c r="S4936" s="36"/>
      <c r="T4936" s="36"/>
      <c r="U4936" s="36"/>
      <c r="V4936" s="36"/>
      <c r="W4936" s="15">
        <f t="shared" si="653"/>
        <v>0</v>
      </c>
      <c r="X4936" s="36"/>
      <c r="Y4936" s="36"/>
      <c r="Z4936" s="36"/>
      <c r="AA4936" s="36"/>
      <c r="AB4936" s="36"/>
      <c r="AC4936" s="36"/>
      <c r="AD4936" s="36"/>
      <c r="AE4936" s="36">
        <v>250</v>
      </c>
      <c r="AF4936" s="36">
        <v>250</v>
      </c>
      <c r="AG4936" s="36"/>
      <c r="AH4936" s="36"/>
      <c r="AI4936" s="36"/>
      <c r="AJ4936" s="15">
        <f t="shared" si="654"/>
        <v>500</v>
      </c>
      <c r="AK4936" s="14"/>
      <c r="AL4936" s="14"/>
      <c r="AM4936" s="14"/>
      <c r="AN4936" s="14"/>
      <c r="AO4936" s="14"/>
      <c r="AP4936" s="14"/>
      <c r="AQ4936" s="14"/>
      <c r="AR4936" s="14"/>
      <c r="AS4936" s="14"/>
      <c r="AT4936" s="14"/>
      <c r="AU4936" s="14"/>
      <c r="AV4936" s="14"/>
      <c r="AW4936" s="15">
        <f t="shared" si="650"/>
        <v>0</v>
      </c>
      <c r="AX4936" s="16"/>
    </row>
    <row r="4937" spans="2:50" x14ac:dyDescent="0.2">
      <c r="B4937" s="7"/>
      <c r="C4937" s="8">
        <v>15162</v>
      </c>
      <c r="D4937" s="9" t="s">
        <v>589</v>
      </c>
      <c r="E4937" s="10" t="str">
        <f t="shared" si="651"/>
        <v>Rancho La Cuchilla No. 149</v>
      </c>
      <c r="F4937" s="10" t="str">
        <f t="shared" si="652"/>
        <v>Montes Irineos</v>
      </c>
      <c r="G4937" s="8">
        <v>1</v>
      </c>
      <c r="H4937" s="11">
        <v>800</v>
      </c>
      <c r="I4937" s="12">
        <v>43009</v>
      </c>
      <c r="J4937" s="35">
        <f t="shared" si="649"/>
        <v>0</v>
      </c>
      <c r="K4937" s="36"/>
      <c r="L4937" s="36"/>
      <c r="M4937" s="36"/>
      <c r="N4937" s="36"/>
      <c r="O4937" s="36"/>
      <c r="P4937" s="36"/>
      <c r="Q4937" s="36"/>
      <c r="R4937" s="36"/>
      <c r="S4937" s="36"/>
      <c r="T4937" s="36"/>
      <c r="U4937" s="36"/>
      <c r="V4937" s="36"/>
      <c r="W4937" s="15">
        <f t="shared" si="653"/>
        <v>0</v>
      </c>
      <c r="X4937" s="36"/>
      <c r="Y4937" s="36"/>
      <c r="Z4937" s="36"/>
      <c r="AA4937" s="36"/>
      <c r="AB4937" s="36"/>
      <c r="AC4937" s="36"/>
      <c r="AD4937" s="36">
        <v>400</v>
      </c>
      <c r="AE4937" s="36">
        <v>400</v>
      </c>
      <c r="AF4937" s="36"/>
      <c r="AG4937" s="36"/>
      <c r="AH4937" s="36"/>
      <c r="AI4937" s="36"/>
      <c r="AJ4937" s="15">
        <f t="shared" si="654"/>
        <v>800</v>
      </c>
      <c r="AK4937" s="14"/>
      <c r="AL4937" s="14"/>
      <c r="AM4937" s="14"/>
      <c r="AN4937" s="14"/>
      <c r="AO4937" s="14"/>
      <c r="AP4937" s="14"/>
      <c r="AQ4937" s="14"/>
      <c r="AR4937" s="14"/>
      <c r="AS4937" s="14"/>
      <c r="AT4937" s="14"/>
      <c r="AU4937" s="14"/>
      <c r="AV4937" s="14"/>
      <c r="AW4937" s="15">
        <f t="shared" si="650"/>
        <v>0</v>
      </c>
      <c r="AX4937" s="16"/>
    </row>
    <row r="4938" spans="2:50" x14ac:dyDescent="0.2">
      <c r="B4938" s="7"/>
      <c r="C4938" s="8">
        <v>15163</v>
      </c>
      <c r="D4938" s="9" t="s">
        <v>126</v>
      </c>
      <c r="E4938" s="10" t="str">
        <f t="shared" si="651"/>
        <v>Rancho Estanzuela No. 65</v>
      </c>
      <c r="F4938" s="10" t="str">
        <f t="shared" si="652"/>
        <v>López Becerril</v>
      </c>
      <c r="G4938" s="8">
        <v>1</v>
      </c>
      <c r="H4938" s="11">
        <v>400</v>
      </c>
      <c r="I4938" s="12">
        <v>43009</v>
      </c>
      <c r="J4938" s="35">
        <f t="shared" si="649"/>
        <v>0</v>
      </c>
      <c r="K4938" s="36"/>
      <c r="L4938" s="36"/>
      <c r="M4938" s="36"/>
      <c r="N4938" s="36"/>
      <c r="O4938" s="36"/>
      <c r="P4938" s="36"/>
      <c r="Q4938" s="36"/>
      <c r="R4938" s="36"/>
      <c r="S4938" s="36"/>
      <c r="T4938" s="36"/>
      <c r="U4938" s="36"/>
      <c r="V4938" s="36"/>
      <c r="W4938" s="15">
        <f t="shared" si="653"/>
        <v>0</v>
      </c>
      <c r="X4938" s="36"/>
      <c r="Y4938" s="36"/>
      <c r="Z4938" s="36"/>
      <c r="AA4938" s="36"/>
      <c r="AB4938" s="36"/>
      <c r="AC4938" s="36"/>
      <c r="AD4938" s="36"/>
      <c r="AE4938" s="36"/>
      <c r="AF4938" s="36">
        <v>400</v>
      </c>
      <c r="AG4938" s="36"/>
      <c r="AH4938" s="36"/>
      <c r="AI4938" s="36"/>
      <c r="AJ4938" s="15">
        <f t="shared" si="654"/>
        <v>400</v>
      </c>
      <c r="AK4938" s="14"/>
      <c r="AL4938" s="14"/>
      <c r="AM4938" s="14"/>
      <c r="AN4938" s="14"/>
      <c r="AO4938" s="14"/>
      <c r="AP4938" s="14"/>
      <c r="AQ4938" s="14"/>
      <c r="AR4938" s="14"/>
      <c r="AS4938" s="14"/>
      <c r="AT4938" s="14"/>
      <c r="AU4938" s="14"/>
      <c r="AV4938" s="14"/>
      <c r="AW4938" s="15">
        <f t="shared" si="650"/>
        <v>0</v>
      </c>
      <c r="AX4938" s="16"/>
    </row>
    <row r="4939" spans="2:50" x14ac:dyDescent="0.2">
      <c r="B4939" s="7"/>
      <c r="C4939" s="8">
        <v>15164</v>
      </c>
      <c r="D4939" s="9" t="s">
        <v>1192</v>
      </c>
      <c r="E4939" s="10" t="str">
        <f t="shared" si="651"/>
        <v>Rancho Landero No. 61</v>
      </c>
      <c r="F4939" s="10" t="str">
        <f t="shared" si="652"/>
        <v>Miramontes Pérez</v>
      </c>
      <c r="G4939" s="8">
        <v>1</v>
      </c>
      <c r="H4939" s="11">
        <v>400</v>
      </c>
      <c r="I4939" s="12">
        <v>43009</v>
      </c>
      <c r="J4939" s="35">
        <f t="shared" si="649"/>
        <v>0</v>
      </c>
      <c r="K4939" s="36"/>
      <c r="L4939" s="36"/>
      <c r="M4939" s="36"/>
      <c r="N4939" s="36"/>
      <c r="O4939" s="36"/>
      <c r="P4939" s="36"/>
      <c r="Q4939" s="36"/>
      <c r="R4939" s="36"/>
      <c r="S4939" s="36"/>
      <c r="T4939" s="36"/>
      <c r="U4939" s="36"/>
      <c r="V4939" s="36"/>
      <c r="W4939" s="15">
        <f t="shared" si="653"/>
        <v>0</v>
      </c>
      <c r="X4939" s="36"/>
      <c r="Y4939" s="36"/>
      <c r="Z4939" s="36"/>
      <c r="AA4939" s="36"/>
      <c r="AB4939" s="36"/>
      <c r="AC4939" s="36"/>
      <c r="AD4939" s="36"/>
      <c r="AE4939" s="36"/>
      <c r="AF4939" s="36">
        <v>400</v>
      </c>
      <c r="AG4939" s="36"/>
      <c r="AH4939" s="36"/>
      <c r="AI4939" s="36"/>
      <c r="AJ4939" s="15">
        <f t="shared" si="654"/>
        <v>400</v>
      </c>
      <c r="AK4939" s="14"/>
      <c r="AL4939" s="14"/>
      <c r="AM4939" s="14"/>
      <c r="AN4939" s="14"/>
      <c r="AO4939" s="14"/>
      <c r="AP4939" s="14"/>
      <c r="AQ4939" s="14"/>
      <c r="AR4939" s="14"/>
      <c r="AS4939" s="14"/>
      <c r="AT4939" s="14"/>
      <c r="AU4939" s="14"/>
      <c r="AV4939" s="14"/>
      <c r="AW4939" s="15">
        <f t="shared" si="650"/>
        <v>0</v>
      </c>
      <c r="AX4939" s="16"/>
    </row>
    <row r="4940" spans="2:50" x14ac:dyDescent="0.2">
      <c r="B4940" s="7"/>
      <c r="C4940" s="8">
        <v>15165</v>
      </c>
      <c r="D4940" s="9" t="s">
        <v>129</v>
      </c>
      <c r="E4940" s="10" t="str">
        <f t="shared" si="651"/>
        <v>Rancho Zinamba No. 44</v>
      </c>
      <c r="F4940" s="10" t="str">
        <f t="shared" si="652"/>
        <v>Canales</v>
      </c>
      <c r="G4940" s="8">
        <v>1</v>
      </c>
      <c r="H4940" s="11">
        <v>400</v>
      </c>
      <c r="I4940" s="12">
        <v>43009</v>
      </c>
      <c r="J4940" s="35">
        <f t="shared" si="649"/>
        <v>0</v>
      </c>
      <c r="K4940" s="36"/>
      <c r="L4940" s="36"/>
      <c r="M4940" s="36"/>
      <c r="N4940" s="36"/>
      <c r="O4940" s="36"/>
      <c r="P4940" s="36"/>
      <c r="Q4940" s="36"/>
      <c r="R4940" s="36"/>
      <c r="S4940" s="36"/>
      <c r="T4940" s="36"/>
      <c r="U4940" s="36"/>
      <c r="V4940" s="36"/>
      <c r="W4940" s="15">
        <f t="shared" si="653"/>
        <v>0</v>
      </c>
      <c r="X4940" s="36"/>
      <c r="Y4940" s="36"/>
      <c r="Z4940" s="36"/>
      <c r="AA4940" s="36"/>
      <c r="AB4940" s="36"/>
      <c r="AC4940" s="36"/>
      <c r="AD4940" s="36"/>
      <c r="AE4940" s="36"/>
      <c r="AF4940" s="36"/>
      <c r="AG4940" s="36">
        <v>400</v>
      </c>
      <c r="AH4940" s="36"/>
      <c r="AI4940" s="36"/>
      <c r="AJ4940" s="15">
        <f t="shared" si="654"/>
        <v>400</v>
      </c>
      <c r="AK4940" s="14"/>
      <c r="AL4940" s="14"/>
      <c r="AM4940" s="14"/>
      <c r="AN4940" s="14"/>
      <c r="AO4940" s="14"/>
      <c r="AP4940" s="14"/>
      <c r="AQ4940" s="14"/>
      <c r="AR4940" s="14"/>
      <c r="AS4940" s="14"/>
      <c r="AT4940" s="14"/>
      <c r="AU4940" s="14"/>
      <c r="AV4940" s="14"/>
      <c r="AW4940" s="15">
        <f t="shared" si="650"/>
        <v>0</v>
      </c>
      <c r="AX4940" s="16"/>
    </row>
    <row r="4941" spans="2:50" x14ac:dyDescent="0.2">
      <c r="B4941" s="7"/>
      <c r="C4941" s="8">
        <v>15166</v>
      </c>
      <c r="D4941" s="9" t="s">
        <v>384</v>
      </c>
      <c r="E4941" s="10" t="str">
        <f t="shared" ref="E4941:E4947" si="655">IF(D4941=0,"",VLOOKUP(D4941,BASE,2,FALSE))</f>
        <v>Rancho Zinamba No. 88</v>
      </c>
      <c r="F4941" s="10" t="str">
        <f t="shared" ref="F4941:F4947" si="656">IF(D4941=0,"",VLOOKUP(D4941,BASE,3,FALSE))</f>
        <v>Martínez</v>
      </c>
      <c r="G4941" s="8">
        <v>1</v>
      </c>
      <c r="H4941" s="11">
        <v>300</v>
      </c>
      <c r="I4941" s="12">
        <v>43009</v>
      </c>
      <c r="J4941" s="35">
        <f t="shared" si="649"/>
        <v>0</v>
      </c>
      <c r="K4941" s="36"/>
      <c r="L4941" s="36"/>
      <c r="M4941" s="36"/>
      <c r="N4941" s="36"/>
      <c r="O4941" s="36"/>
      <c r="P4941" s="36"/>
      <c r="Q4941" s="36"/>
      <c r="R4941" s="36"/>
      <c r="S4941" s="36"/>
      <c r="T4941" s="36"/>
      <c r="U4941" s="36"/>
      <c r="V4941" s="36"/>
      <c r="W4941" s="15">
        <f t="shared" ref="W4941:W4947" si="657">SUM(K4941:V4941)</f>
        <v>0</v>
      </c>
      <c r="X4941" s="36"/>
      <c r="Y4941" s="36"/>
      <c r="Z4941" s="36"/>
      <c r="AA4941" s="36"/>
      <c r="AB4941" s="36"/>
      <c r="AC4941" s="36"/>
      <c r="AD4941" s="36"/>
      <c r="AE4941" s="36"/>
      <c r="AF4941" s="36">
        <v>300</v>
      </c>
      <c r="AG4941" s="36"/>
      <c r="AH4941" s="36"/>
      <c r="AI4941" s="36"/>
      <c r="AJ4941" s="15">
        <f t="shared" ref="AJ4941:AJ4947" si="658">SUM(X4941:AI4941)</f>
        <v>300</v>
      </c>
      <c r="AK4941" s="14"/>
      <c r="AL4941" s="14"/>
      <c r="AM4941" s="14"/>
      <c r="AN4941" s="14"/>
      <c r="AO4941" s="14"/>
      <c r="AP4941" s="14"/>
      <c r="AQ4941" s="14"/>
      <c r="AR4941" s="14"/>
      <c r="AS4941" s="14"/>
      <c r="AT4941" s="14"/>
      <c r="AU4941" s="14"/>
      <c r="AV4941" s="14"/>
      <c r="AW4941" s="15">
        <f t="shared" si="650"/>
        <v>0</v>
      </c>
      <c r="AX4941" s="16"/>
    </row>
    <row r="4942" spans="2:50" x14ac:dyDescent="0.2">
      <c r="B4942" s="7"/>
      <c r="C4942" s="8">
        <v>15167</v>
      </c>
      <c r="D4942" s="9" t="s">
        <v>384</v>
      </c>
      <c r="E4942" s="10" t="str">
        <f t="shared" si="655"/>
        <v>Rancho Zinamba No. 88</v>
      </c>
      <c r="F4942" s="10" t="str">
        <f t="shared" si="656"/>
        <v>Martínez</v>
      </c>
      <c r="G4942" s="8">
        <v>1</v>
      </c>
      <c r="H4942" s="11">
        <v>300</v>
      </c>
      <c r="I4942" s="12">
        <v>43009</v>
      </c>
      <c r="J4942" s="35">
        <f t="shared" si="649"/>
        <v>0</v>
      </c>
      <c r="K4942" s="36"/>
      <c r="L4942" s="36"/>
      <c r="M4942" s="36"/>
      <c r="N4942" s="36"/>
      <c r="O4942" s="36"/>
      <c r="P4942" s="36"/>
      <c r="Q4942" s="36"/>
      <c r="R4942" s="36"/>
      <c r="S4942" s="36"/>
      <c r="T4942" s="36"/>
      <c r="U4942" s="36"/>
      <c r="V4942" s="36"/>
      <c r="W4942" s="15">
        <f t="shared" si="657"/>
        <v>0</v>
      </c>
      <c r="X4942" s="36"/>
      <c r="Y4942" s="36"/>
      <c r="Z4942" s="36"/>
      <c r="AA4942" s="36"/>
      <c r="AB4942" s="36"/>
      <c r="AC4942" s="36"/>
      <c r="AD4942" s="36"/>
      <c r="AE4942" s="36"/>
      <c r="AF4942" s="36"/>
      <c r="AG4942" s="36">
        <v>300</v>
      </c>
      <c r="AH4942" s="36"/>
      <c r="AI4942" s="36"/>
      <c r="AJ4942" s="15">
        <f t="shared" si="658"/>
        <v>300</v>
      </c>
      <c r="AK4942" s="14"/>
      <c r="AL4942" s="14"/>
      <c r="AM4942" s="14"/>
      <c r="AN4942" s="14"/>
      <c r="AO4942" s="14"/>
      <c r="AP4942" s="14"/>
      <c r="AQ4942" s="14"/>
      <c r="AR4942" s="14"/>
      <c r="AS4942" s="14"/>
      <c r="AT4942" s="14"/>
      <c r="AU4942" s="14"/>
      <c r="AV4942" s="14"/>
      <c r="AW4942" s="15">
        <f t="shared" si="650"/>
        <v>0</v>
      </c>
      <c r="AX4942" s="16"/>
    </row>
    <row r="4943" spans="2:50" x14ac:dyDescent="0.2">
      <c r="B4943" s="7"/>
      <c r="C4943" s="8">
        <v>15168</v>
      </c>
      <c r="D4943" s="9" t="s">
        <v>349</v>
      </c>
      <c r="E4943" s="10" t="str">
        <f t="shared" si="655"/>
        <v>Rancho La Cuchilla No. 15</v>
      </c>
      <c r="F4943" s="10" t="str">
        <f t="shared" si="656"/>
        <v>Guerrero Ponce</v>
      </c>
      <c r="G4943" s="8">
        <v>1</v>
      </c>
      <c r="H4943" s="11">
        <v>600</v>
      </c>
      <c r="I4943" s="12">
        <v>43009</v>
      </c>
      <c r="J4943" s="35">
        <f t="shared" si="649"/>
        <v>0</v>
      </c>
      <c r="K4943" s="36"/>
      <c r="L4943" s="36"/>
      <c r="M4943" s="36"/>
      <c r="N4943" s="36"/>
      <c r="O4943" s="36"/>
      <c r="P4943" s="36"/>
      <c r="Q4943" s="36"/>
      <c r="R4943" s="36"/>
      <c r="S4943" s="36"/>
      <c r="T4943" s="36"/>
      <c r="U4943" s="36"/>
      <c r="V4943" s="36"/>
      <c r="W4943" s="15">
        <f t="shared" si="657"/>
        <v>0</v>
      </c>
      <c r="X4943" s="36"/>
      <c r="Y4943" s="36"/>
      <c r="Z4943" s="36"/>
      <c r="AA4943" s="36"/>
      <c r="AB4943" s="36"/>
      <c r="AC4943" s="36"/>
      <c r="AD4943" s="36"/>
      <c r="AE4943" s="36">
        <v>300</v>
      </c>
      <c r="AF4943" s="36">
        <v>300</v>
      </c>
      <c r="AG4943" s="36"/>
      <c r="AH4943" s="36"/>
      <c r="AI4943" s="36"/>
      <c r="AJ4943" s="15">
        <f t="shared" si="658"/>
        <v>600</v>
      </c>
      <c r="AK4943" s="14"/>
      <c r="AL4943" s="14"/>
      <c r="AM4943" s="14"/>
      <c r="AN4943" s="14"/>
      <c r="AO4943" s="14"/>
      <c r="AP4943" s="14"/>
      <c r="AQ4943" s="14"/>
      <c r="AR4943" s="14"/>
      <c r="AS4943" s="14"/>
      <c r="AT4943" s="14"/>
      <c r="AU4943" s="14"/>
      <c r="AV4943" s="14"/>
      <c r="AW4943" s="15">
        <f t="shared" si="650"/>
        <v>0</v>
      </c>
      <c r="AX4943" s="16"/>
    </row>
    <row r="4944" spans="2:50" x14ac:dyDescent="0.2">
      <c r="B4944" s="7"/>
      <c r="C4944" s="8">
        <v>15169</v>
      </c>
      <c r="D4944" s="9" t="s">
        <v>476</v>
      </c>
      <c r="E4944" s="10" t="str">
        <f t="shared" si="655"/>
        <v>Rancho Upácuaro No. 33</v>
      </c>
      <c r="F4944" s="10" t="str">
        <f t="shared" si="656"/>
        <v>Ulloa Miranda</v>
      </c>
      <c r="G4944" s="8">
        <v>1</v>
      </c>
      <c r="H4944" s="11">
        <v>400</v>
      </c>
      <c r="I4944" s="12">
        <v>43009</v>
      </c>
      <c r="J4944" s="35">
        <f t="shared" si="649"/>
        <v>0</v>
      </c>
      <c r="K4944" s="36"/>
      <c r="L4944" s="36"/>
      <c r="M4944" s="36"/>
      <c r="N4944" s="36"/>
      <c r="O4944" s="36"/>
      <c r="P4944" s="36"/>
      <c r="Q4944" s="36"/>
      <c r="R4944" s="36"/>
      <c r="S4944" s="36"/>
      <c r="T4944" s="36"/>
      <c r="U4944" s="36"/>
      <c r="V4944" s="36"/>
      <c r="W4944" s="15">
        <f t="shared" si="657"/>
        <v>0</v>
      </c>
      <c r="X4944" s="36"/>
      <c r="Y4944" s="36"/>
      <c r="Z4944" s="36"/>
      <c r="AA4944" s="36"/>
      <c r="AB4944" s="36"/>
      <c r="AC4944" s="36"/>
      <c r="AD4944" s="36"/>
      <c r="AE4944" s="36"/>
      <c r="AF4944" s="36"/>
      <c r="AG4944" s="36">
        <v>400</v>
      </c>
      <c r="AH4944" s="36"/>
      <c r="AI4944" s="36"/>
      <c r="AJ4944" s="15">
        <f t="shared" si="658"/>
        <v>400</v>
      </c>
      <c r="AK4944" s="14"/>
      <c r="AL4944" s="14"/>
      <c r="AM4944" s="14"/>
      <c r="AN4944" s="14"/>
      <c r="AO4944" s="14"/>
      <c r="AP4944" s="14"/>
      <c r="AQ4944" s="14"/>
      <c r="AR4944" s="14"/>
      <c r="AS4944" s="14"/>
      <c r="AT4944" s="14"/>
      <c r="AU4944" s="14"/>
      <c r="AV4944" s="14"/>
      <c r="AW4944" s="15">
        <f t="shared" si="650"/>
        <v>0</v>
      </c>
      <c r="AX4944" s="16"/>
    </row>
    <row r="4945" spans="2:50" x14ac:dyDescent="0.2">
      <c r="B4945" s="7"/>
      <c r="C4945" s="8">
        <v>15170</v>
      </c>
      <c r="D4945" s="9" t="s">
        <v>580</v>
      </c>
      <c r="E4945" s="10" t="str">
        <f t="shared" si="655"/>
        <v>Rancho La Cuchilla No. 59</v>
      </c>
      <c r="F4945" s="10" t="str">
        <f t="shared" si="656"/>
        <v>Ortega Vega</v>
      </c>
      <c r="G4945" s="8">
        <v>1</v>
      </c>
      <c r="H4945" s="11">
        <v>450</v>
      </c>
      <c r="I4945" s="12">
        <v>43009</v>
      </c>
      <c r="J4945" s="35">
        <f t="shared" si="649"/>
        <v>0</v>
      </c>
      <c r="K4945" s="36"/>
      <c r="L4945" s="36"/>
      <c r="M4945" s="36"/>
      <c r="N4945" s="36"/>
      <c r="O4945" s="36"/>
      <c r="P4945" s="36"/>
      <c r="Q4945" s="36"/>
      <c r="R4945" s="36"/>
      <c r="S4945" s="36"/>
      <c r="T4945" s="36"/>
      <c r="U4945" s="36"/>
      <c r="V4945" s="36"/>
      <c r="W4945" s="15">
        <f t="shared" si="657"/>
        <v>0</v>
      </c>
      <c r="X4945" s="36"/>
      <c r="Y4945" s="36"/>
      <c r="Z4945" s="36"/>
      <c r="AA4945" s="36"/>
      <c r="AB4945" s="36"/>
      <c r="AC4945" s="36"/>
      <c r="AD4945" s="36"/>
      <c r="AE4945" s="36"/>
      <c r="AF4945" s="36"/>
      <c r="AG4945" s="36">
        <v>150</v>
      </c>
      <c r="AH4945" s="36">
        <v>150</v>
      </c>
      <c r="AI4945" s="36">
        <v>150</v>
      </c>
      <c r="AJ4945" s="15">
        <f t="shared" si="658"/>
        <v>450</v>
      </c>
      <c r="AK4945" s="14"/>
      <c r="AL4945" s="14"/>
      <c r="AM4945" s="14"/>
      <c r="AN4945" s="14"/>
      <c r="AO4945" s="14"/>
      <c r="AP4945" s="14"/>
      <c r="AQ4945" s="14"/>
      <c r="AR4945" s="14"/>
      <c r="AS4945" s="14"/>
      <c r="AT4945" s="14"/>
      <c r="AU4945" s="14"/>
      <c r="AV4945" s="14"/>
      <c r="AW4945" s="15">
        <f t="shared" si="650"/>
        <v>0</v>
      </c>
      <c r="AX4945" s="16"/>
    </row>
    <row r="4946" spans="2:50" x14ac:dyDescent="0.2">
      <c r="B4946" s="7"/>
      <c r="C4946" s="8">
        <v>15171</v>
      </c>
      <c r="D4946" s="9" t="s">
        <v>565</v>
      </c>
      <c r="E4946" s="10" t="str">
        <f t="shared" si="655"/>
        <v>Rancho Zinamba No. 62</v>
      </c>
      <c r="F4946" s="10" t="str">
        <f t="shared" si="656"/>
        <v>Martínez León</v>
      </c>
      <c r="G4946" s="8">
        <v>1</v>
      </c>
      <c r="H4946" s="11">
        <v>750</v>
      </c>
      <c r="I4946" s="12">
        <v>43009</v>
      </c>
      <c r="J4946" s="35">
        <f t="shared" si="649"/>
        <v>0</v>
      </c>
      <c r="K4946" s="36"/>
      <c r="L4946" s="36"/>
      <c r="M4946" s="36"/>
      <c r="N4946" s="36"/>
      <c r="O4946" s="36"/>
      <c r="P4946" s="36"/>
      <c r="Q4946" s="36"/>
      <c r="R4946" s="36"/>
      <c r="S4946" s="36"/>
      <c r="T4946" s="36"/>
      <c r="U4946" s="36"/>
      <c r="V4946" s="36"/>
      <c r="W4946" s="15">
        <f t="shared" si="657"/>
        <v>0</v>
      </c>
      <c r="X4946" s="36"/>
      <c r="Y4946" s="36"/>
      <c r="Z4946" s="36"/>
      <c r="AA4946" s="36"/>
      <c r="AB4946" s="36"/>
      <c r="AC4946" s="36">
        <v>250</v>
      </c>
      <c r="AD4946" s="36">
        <v>250</v>
      </c>
      <c r="AE4946" s="36">
        <v>250</v>
      </c>
      <c r="AF4946" s="36"/>
      <c r="AG4946" s="36"/>
      <c r="AH4946" s="36"/>
      <c r="AI4946" s="36"/>
      <c r="AJ4946" s="15">
        <f t="shared" si="658"/>
        <v>750</v>
      </c>
      <c r="AK4946" s="14"/>
      <c r="AL4946" s="14"/>
      <c r="AM4946" s="14"/>
      <c r="AN4946" s="14"/>
      <c r="AO4946" s="14"/>
      <c r="AP4946" s="14"/>
      <c r="AQ4946" s="14"/>
      <c r="AR4946" s="14"/>
      <c r="AS4946" s="14"/>
      <c r="AT4946" s="14"/>
      <c r="AU4946" s="14"/>
      <c r="AV4946" s="14"/>
      <c r="AW4946" s="15">
        <f t="shared" si="650"/>
        <v>0</v>
      </c>
      <c r="AX4946" s="16"/>
    </row>
    <row r="4947" spans="2:50" x14ac:dyDescent="0.2">
      <c r="B4947" s="7"/>
      <c r="C4947" s="8">
        <v>15172</v>
      </c>
      <c r="D4947" s="9" t="s">
        <v>123</v>
      </c>
      <c r="E4947" s="10" t="str">
        <f t="shared" si="655"/>
        <v>Rancho Recoveco No. 175, B</v>
      </c>
      <c r="F4947" s="10" t="str">
        <f t="shared" si="656"/>
        <v>García Calderón</v>
      </c>
      <c r="G4947" s="8">
        <v>1</v>
      </c>
      <c r="H4947" s="11">
        <v>250</v>
      </c>
      <c r="I4947" s="12">
        <v>43009</v>
      </c>
      <c r="J4947" s="35">
        <f t="shared" si="649"/>
        <v>0</v>
      </c>
      <c r="K4947" s="36"/>
      <c r="L4947" s="36"/>
      <c r="M4947" s="36"/>
      <c r="N4947" s="36"/>
      <c r="O4947" s="36"/>
      <c r="P4947" s="36"/>
      <c r="Q4947" s="36"/>
      <c r="R4947" s="36"/>
      <c r="S4947" s="36"/>
      <c r="T4947" s="36"/>
      <c r="U4947" s="36"/>
      <c r="V4947" s="36"/>
      <c r="W4947" s="15">
        <f t="shared" si="657"/>
        <v>0</v>
      </c>
      <c r="X4947" s="36"/>
      <c r="Y4947" s="36"/>
      <c r="Z4947" s="36"/>
      <c r="AA4947" s="36"/>
      <c r="AB4947" s="36"/>
      <c r="AC4947" s="36"/>
      <c r="AD4947" s="36"/>
      <c r="AE4947" s="36"/>
      <c r="AF4947" s="36"/>
      <c r="AG4947" s="36">
        <v>250</v>
      </c>
      <c r="AH4947" s="36"/>
      <c r="AI4947" s="36"/>
      <c r="AJ4947" s="15">
        <f t="shared" si="658"/>
        <v>250</v>
      </c>
      <c r="AK4947" s="14"/>
      <c r="AL4947" s="14"/>
      <c r="AM4947" s="14"/>
      <c r="AN4947" s="14"/>
      <c r="AO4947" s="14"/>
      <c r="AP4947" s="14"/>
      <c r="AQ4947" s="14"/>
      <c r="AR4947" s="14"/>
      <c r="AS4947" s="14"/>
      <c r="AT4947" s="14"/>
      <c r="AU4947" s="14"/>
      <c r="AV4947" s="14"/>
      <c r="AW4947" s="15">
        <f t="shared" si="650"/>
        <v>0</v>
      </c>
      <c r="AX4947" s="316">
        <f>SUM(H4889:H4947)</f>
        <v>25475</v>
      </c>
    </row>
    <row r="4948" spans="2:50" x14ac:dyDescent="0.2">
      <c r="B4948" s="7" t="s">
        <v>3523</v>
      </c>
      <c r="C4948" s="8">
        <v>15173</v>
      </c>
      <c r="D4948" s="9" t="s">
        <v>119</v>
      </c>
      <c r="E4948" s="10" t="str">
        <f t="shared" si="596"/>
        <v>Rancho Landero No. 25</v>
      </c>
      <c r="F4948" s="10" t="str">
        <f t="shared" si="597"/>
        <v>Escamilla Martínez</v>
      </c>
      <c r="G4948" s="8"/>
      <c r="H4948" s="315"/>
      <c r="I4948" s="12"/>
      <c r="J4948" s="35">
        <f t="shared" si="649"/>
        <v>0</v>
      </c>
      <c r="K4948" s="36"/>
      <c r="L4948" s="36"/>
      <c r="M4948" s="36"/>
      <c r="N4948" s="36"/>
      <c r="O4948" s="36"/>
      <c r="P4948" s="36"/>
      <c r="Q4948" s="36"/>
      <c r="R4948" s="36"/>
      <c r="S4948" s="36"/>
      <c r="T4948" s="36"/>
      <c r="U4948" s="36"/>
      <c r="V4948" s="36"/>
      <c r="W4948" s="15">
        <f t="shared" si="599"/>
        <v>0</v>
      </c>
      <c r="X4948" s="36"/>
      <c r="Y4948" s="36"/>
      <c r="Z4948" s="36"/>
      <c r="AA4948" s="36"/>
      <c r="AB4948" s="36"/>
      <c r="AC4948" s="36"/>
      <c r="AD4948" s="36"/>
      <c r="AE4948" s="36"/>
      <c r="AF4948" s="36"/>
      <c r="AG4948" s="36"/>
      <c r="AH4948" s="36"/>
      <c r="AI4948" s="36"/>
      <c r="AJ4948" s="15">
        <f t="shared" si="600"/>
        <v>0</v>
      </c>
      <c r="AK4948" s="14"/>
      <c r="AL4948" s="14"/>
      <c r="AM4948" s="14"/>
      <c r="AN4948" s="14"/>
      <c r="AO4948" s="14"/>
      <c r="AP4948" s="14"/>
      <c r="AQ4948" s="14"/>
      <c r="AR4948" s="14"/>
      <c r="AS4948" s="14"/>
      <c r="AT4948" s="14"/>
      <c r="AU4948" s="14"/>
      <c r="AV4948" s="14"/>
      <c r="AW4948" s="15">
        <f t="shared" si="650"/>
        <v>0</v>
      </c>
      <c r="AX4948" s="16"/>
    </row>
    <row r="4949" spans="2:50" x14ac:dyDescent="0.2">
      <c r="B4949" s="7"/>
      <c r="C4949" s="8">
        <v>15174</v>
      </c>
      <c r="D4949" s="9" t="s">
        <v>220</v>
      </c>
      <c r="E4949" s="10" t="str">
        <f t="shared" si="521"/>
        <v>Rancho Recoveco No. 3</v>
      </c>
      <c r="F4949" s="10" t="str">
        <f t="shared" si="522"/>
        <v>Garduño</v>
      </c>
      <c r="G4949" s="8">
        <v>1</v>
      </c>
      <c r="H4949" s="11">
        <v>300</v>
      </c>
      <c r="I4949" s="12">
        <v>43011</v>
      </c>
      <c r="J4949" s="35">
        <f t="shared" si="649"/>
        <v>0</v>
      </c>
      <c r="K4949" s="36"/>
      <c r="L4949" s="36"/>
      <c r="M4949" s="36"/>
      <c r="N4949" s="36"/>
      <c r="O4949" s="36"/>
      <c r="P4949" s="36"/>
      <c r="Q4949" s="36"/>
      <c r="R4949" s="36"/>
      <c r="S4949" s="36"/>
      <c r="T4949" s="36"/>
      <c r="U4949" s="36"/>
      <c r="V4949" s="36"/>
      <c r="W4949" s="15">
        <f t="shared" si="524"/>
        <v>0</v>
      </c>
      <c r="X4949" s="36"/>
      <c r="Y4949" s="36"/>
      <c r="Z4949" s="36"/>
      <c r="AA4949" s="36"/>
      <c r="AB4949" s="36"/>
      <c r="AC4949" s="36"/>
      <c r="AD4949" s="36"/>
      <c r="AE4949" s="36"/>
      <c r="AF4949" s="36">
        <v>300</v>
      </c>
      <c r="AG4949" s="36"/>
      <c r="AH4949" s="36"/>
      <c r="AI4949" s="36"/>
      <c r="AJ4949" s="15">
        <f t="shared" si="525"/>
        <v>300</v>
      </c>
      <c r="AK4949" s="14"/>
      <c r="AL4949" s="14"/>
      <c r="AM4949" s="14"/>
      <c r="AN4949" s="14"/>
      <c r="AO4949" s="14"/>
      <c r="AP4949" s="14"/>
      <c r="AQ4949" s="14"/>
      <c r="AR4949" s="14"/>
      <c r="AS4949" s="14"/>
      <c r="AT4949" s="14"/>
      <c r="AU4949" s="14"/>
      <c r="AV4949" s="14"/>
      <c r="AW4949" s="15">
        <f t="shared" si="650"/>
        <v>0</v>
      </c>
      <c r="AX4949" s="16"/>
    </row>
    <row r="4950" spans="2:50" x14ac:dyDescent="0.2">
      <c r="B4950" s="7"/>
      <c r="C4950" s="8">
        <v>15175</v>
      </c>
      <c r="D4950" s="9" t="s">
        <v>355</v>
      </c>
      <c r="E4950" s="10" t="str">
        <f t="shared" ref="E4950:E5040" si="659">IF(D4950=0,"",VLOOKUP(D4950,BASE,2,FALSE))</f>
        <v>Rancho Estanzuela No. 11, A</v>
      </c>
      <c r="F4950" s="10" t="str">
        <f t="shared" ref="F4950:F5040" si="660">IF(D4950=0,"",VLOOKUP(D4950,BASE,3,FALSE))</f>
        <v>Evans González</v>
      </c>
      <c r="G4950" s="8">
        <v>1</v>
      </c>
      <c r="H4950" s="11">
        <v>1500</v>
      </c>
      <c r="I4950" s="12">
        <v>43011</v>
      </c>
      <c r="J4950" s="35">
        <f t="shared" si="649"/>
        <v>0</v>
      </c>
      <c r="K4950" s="36"/>
      <c r="L4950" s="36"/>
      <c r="M4950" s="36"/>
      <c r="N4950" s="36"/>
      <c r="O4950" s="36"/>
      <c r="P4950" s="36"/>
      <c r="Q4950" s="36"/>
      <c r="R4950" s="36"/>
      <c r="S4950" s="36"/>
      <c r="T4950" s="36"/>
      <c r="U4950" s="36"/>
      <c r="V4950" s="36"/>
      <c r="W4950" s="15">
        <f t="shared" ref="W4950:W5040" si="661">SUM(K4950:V4950)</f>
        <v>0</v>
      </c>
      <c r="X4950" s="36"/>
      <c r="Y4950" s="36"/>
      <c r="Z4950" s="36"/>
      <c r="AA4950" s="36"/>
      <c r="AB4950" s="36"/>
      <c r="AC4950" s="36">
        <v>300</v>
      </c>
      <c r="AD4950" s="36">
        <v>300</v>
      </c>
      <c r="AE4950" s="36">
        <v>300</v>
      </c>
      <c r="AF4950" s="36">
        <v>300</v>
      </c>
      <c r="AG4950" s="36">
        <v>300</v>
      </c>
      <c r="AH4950" s="36"/>
      <c r="AI4950" s="36"/>
      <c r="AJ4950" s="15">
        <f t="shared" ref="AJ4950:AJ5040" si="662">SUM(X4950:AI4950)</f>
        <v>1500</v>
      </c>
      <c r="AK4950" s="14"/>
      <c r="AL4950" s="14"/>
      <c r="AM4950" s="14"/>
      <c r="AN4950" s="14"/>
      <c r="AO4950" s="14"/>
      <c r="AP4950" s="14"/>
      <c r="AQ4950" s="14"/>
      <c r="AR4950" s="14"/>
      <c r="AS4950" s="14"/>
      <c r="AT4950" s="14"/>
      <c r="AU4950" s="14"/>
      <c r="AV4950" s="14"/>
      <c r="AW4950" s="15">
        <f t="shared" si="650"/>
        <v>0</v>
      </c>
      <c r="AX4950" s="16"/>
    </row>
    <row r="4951" spans="2:50" x14ac:dyDescent="0.2">
      <c r="B4951" s="7"/>
      <c r="C4951" s="8">
        <v>15176</v>
      </c>
      <c r="D4951" s="9" t="s">
        <v>1276</v>
      </c>
      <c r="E4951" s="10" t="str">
        <f t="shared" si="659"/>
        <v>Rancho La Cuchilla No. 63</v>
      </c>
      <c r="F4951" s="10" t="str">
        <f t="shared" si="660"/>
        <v>Díaz de la Rosa</v>
      </c>
      <c r="G4951" s="8">
        <v>1</v>
      </c>
      <c r="H4951" s="11">
        <v>400</v>
      </c>
      <c r="I4951" s="12">
        <v>43013</v>
      </c>
      <c r="J4951" s="35">
        <f t="shared" si="649"/>
        <v>0</v>
      </c>
      <c r="K4951" s="36"/>
      <c r="L4951" s="36"/>
      <c r="M4951" s="36"/>
      <c r="N4951" s="36"/>
      <c r="O4951" s="36"/>
      <c r="P4951" s="36"/>
      <c r="Q4951" s="36"/>
      <c r="R4951" s="36"/>
      <c r="S4951" s="36"/>
      <c r="T4951" s="36"/>
      <c r="U4951" s="36"/>
      <c r="V4951" s="36"/>
      <c r="W4951" s="15">
        <f t="shared" si="661"/>
        <v>0</v>
      </c>
      <c r="X4951" s="36"/>
      <c r="Y4951" s="36"/>
      <c r="Z4951" s="36"/>
      <c r="AA4951" s="36"/>
      <c r="AB4951" s="36"/>
      <c r="AC4951" s="36"/>
      <c r="AD4951" s="36"/>
      <c r="AE4951" s="36"/>
      <c r="AF4951" s="36">
        <v>200</v>
      </c>
      <c r="AG4951" s="36">
        <v>200</v>
      </c>
      <c r="AH4951" s="36"/>
      <c r="AI4951" s="36"/>
      <c r="AJ4951" s="15">
        <f t="shared" si="662"/>
        <v>400</v>
      </c>
      <c r="AK4951" s="14"/>
      <c r="AL4951" s="14"/>
      <c r="AM4951" s="14"/>
      <c r="AN4951" s="14"/>
      <c r="AO4951" s="14"/>
      <c r="AP4951" s="14"/>
      <c r="AQ4951" s="14"/>
      <c r="AR4951" s="14"/>
      <c r="AS4951" s="14"/>
      <c r="AT4951" s="14"/>
      <c r="AU4951" s="14"/>
      <c r="AV4951" s="14"/>
      <c r="AW4951" s="15">
        <f t="shared" si="650"/>
        <v>0</v>
      </c>
      <c r="AX4951" s="16"/>
    </row>
    <row r="4952" spans="2:50" x14ac:dyDescent="0.2">
      <c r="B4952" s="7"/>
      <c r="C4952" s="8">
        <v>15177</v>
      </c>
      <c r="D4952" s="9" t="s">
        <v>205</v>
      </c>
      <c r="E4952" s="10" t="str">
        <f t="shared" si="659"/>
        <v>Rancho Landero No. 1, A</v>
      </c>
      <c r="F4952" s="10" t="str">
        <f t="shared" si="660"/>
        <v>Ebysos</v>
      </c>
      <c r="G4952" s="8">
        <v>1</v>
      </c>
      <c r="H4952" s="11">
        <v>600</v>
      </c>
      <c r="I4952" s="12">
        <v>43013</v>
      </c>
      <c r="J4952" s="35">
        <f t="shared" si="649"/>
        <v>0</v>
      </c>
      <c r="K4952" s="36"/>
      <c r="L4952" s="36"/>
      <c r="M4952" s="36"/>
      <c r="N4952" s="36"/>
      <c r="O4952" s="36"/>
      <c r="P4952" s="36"/>
      <c r="Q4952" s="36"/>
      <c r="R4952" s="36"/>
      <c r="S4952" s="36"/>
      <c r="T4952" s="36"/>
      <c r="U4952" s="36"/>
      <c r="V4952" s="36"/>
      <c r="W4952" s="15">
        <f t="shared" si="661"/>
        <v>0</v>
      </c>
      <c r="X4952" s="36"/>
      <c r="Y4952" s="36"/>
      <c r="Z4952" s="36"/>
      <c r="AA4952" s="36"/>
      <c r="AB4952" s="36"/>
      <c r="AC4952" s="36"/>
      <c r="AD4952" s="36"/>
      <c r="AE4952" s="36"/>
      <c r="AF4952" s="36">
        <v>600</v>
      </c>
      <c r="AG4952" s="36"/>
      <c r="AH4952" s="36"/>
      <c r="AI4952" s="36"/>
      <c r="AJ4952" s="15">
        <f t="shared" si="662"/>
        <v>600</v>
      </c>
      <c r="AK4952" s="14"/>
      <c r="AL4952" s="14"/>
      <c r="AM4952" s="14"/>
      <c r="AN4952" s="14"/>
      <c r="AO4952" s="14"/>
      <c r="AP4952" s="14"/>
      <c r="AQ4952" s="14"/>
      <c r="AR4952" s="14"/>
      <c r="AS4952" s="14"/>
      <c r="AT4952" s="14"/>
      <c r="AU4952" s="14"/>
      <c r="AV4952" s="14"/>
      <c r="AW4952" s="15">
        <f t="shared" si="650"/>
        <v>0</v>
      </c>
      <c r="AX4952" s="16"/>
    </row>
    <row r="4953" spans="2:50" x14ac:dyDescent="0.2">
      <c r="B4953" s="7"/>
      <c r="C4953" s="8">
        <v>15178</v>
      </c>
      <c r="D4953" s="9" t="s">
        <v>574</v>
      </c>
      <c r="E4953" s="10" t="str">
        <f t="shared" si="659"/>
        <v xml:space="preserve">Rancho Upácuaro No. 94 </v>
      </c>
      <c r="F4953" s="10" t="str">
        <f t="shared" si="660"/>
        <v>Juárez Patiño</v>
      </c>
      <c r="G4953" s="8">
        <v>3</v>
      </c>
      <c r="H4953" s="11">
        <v>200</v>
      </c>
      <c r="I4953" s="12">
        <v>43014</v>
      </c>
      <c r="J4953" s="35">
        <f t="shared" ref="J4953:J4984" si="663">IF(G4953=1,SUM(W4953,AJ4953,AW4953,-H4953),0)</f>
        <v>0</v>
      </c>
      <c r="K4953" s="36"/>
      <c r="L4953" s="36"/>
      <c r="M4953" s="36"/>
      <c r="N4953" s="36"/>
      <c r="O4953" s="36"/>
      <c r="P4953" s="36"/>
      <c r="Q4953" s="36"/>
      <c r="R4953" s="36"/>
      <c r="S4953" s="36"/>
      <c r="T4953" s="36"/>
      <c r="U4953" s="36"/>
      <c r="V4953" s="36"/>
      <c r="W4953" s="15">
        <f t="shared" si="661"/>
        <v>0</v>
      </c>
      <c r="X4953" s="36"/>
      <c r="Y4953" s="36"/>
      <c r="Z4953" s="36"/>
      <c r="AA4953" s="36"/>
      <c r="AB4953" s="36"/>
      <c r="AC4953" s="36"/>
      <c r="AD4953" s="36"/>
      <c r="AE4953" s="36"/>
      <c r="AF4953" s="36"/>
      <c r="AG4953" s="36"/>
      <c r="AH4953" s="36"/>
      <c r="AI4953" s="36"/>
      <c r="AJ4953" s="15">
        <f t="shared" si="662"/>
        <v>0</v>
      </c>
      <c r="AK4953" s="14"/>
      <c r="AL4953" s="14"/>
      <c r="AM4953" s="14"/>
      <c r="AN4953" s="14"/>
      <c r="AO4953" s="14"/>
      <c r="AP4953" s="14"/>
      <c r="AQ4953" s="14"/>
      <c r="AR4953" s="14"/>
      <c r="AS4953" s="14"/>
      <c r="AT4953" s="14"/>
      <c r="AU4953" s="14"/>
      <c r="AV4953" s="14"/>
      <c r="AW4953" s="15">
        <f t="shared" ref="AW4953:AW4984" si="664">SUM(AK4953:AV4953)</f>
        <v>0</v>
      </c>
      <c r="AX4953" s="16"/>
    </row>
    <row r="4954" spans="2:50" x14ac:dyDescent="0.2">
      <c r="B4954" s="7"/>
      <c r="C4954" s="8">
        <v>15179</v>
      </c>
      <c r="D4954" s="9" t="s">
        <v>574</v>
      </c>
      <c r="E4954" s="10" t="str">
        <f t="shared" si="659"/>
        <v xml:space="preserve">Rancho Upácuaro No. 94 </v>
      </c>
      <c r="F4954" s="10" t="str">
        <f t="shared" si="660"/>
        <v>Juárez Patiño</v>
      </c>
      <c r="G4954" s="8">
        <v>1</v>
      </c>
      <c r="H4954" s="11">
        <v>300</v>
      </c>
      <c r="I4954" s="12">
        <v>43014</v>
      </c>
      <c r="J4954" s="35">
        <f t="shared" si="663"/>
        <v>0</v>
      </c>
      <c r="K4954" s="36"/>
      <c r="L4954" s="36"/>
      <c r="M4954" s="36"/>
      <c r="N4954" s="36"/>
      <c r="O4954" s="36"/>
      <c r="P4954" s="36"/>
      <c r="Q4954" s="36"/>
      <c r="R4954" s="36"/>
      <c r="S4954" s="36"/>
      <c r="T4954" s="36"/>
      <c r="U4954" s="36"/>
      <c r="V4954" s="36"/>
      <c r="W4954" s="15">
        <f t="shared" si="661"/>
        <v>0</v>
      </c>
      <c r="X4954" s="36"/>
      <c r="Y4954" s="36"/>
      <c r="Z4954" s="36"/>
      <c r="AA4954" s="36"/>
      <c r="AB4954" s="36"/>
      <c r="AC4954" s="36"/>
      <c r="AD4954" s="36"/>
      <c r="AE4954" s="36"/>
      <c r="AF4954" s="36"/>
      <c r="AG4954" s="36">
        <v>300</v>
      </c>
      <c r="AH4954" s="36"/>
      <c r="AI4954" s="36"/>
      <c r="AJ4954" s="15">
        <f t="shared" si="662"/>
        <v>300</v>
      </c>
      <c r="AK4954" s="14"/>
      <c r="AL4954" s="14"/>
      <c r="AM4954" s="14"/>
      <c r="AN4954" s="14"/>
      <c r="AO4954" s="14"/>
      <c r="AP4954" s="14"/>
      <c r="AQ4954" s="14"/>
      <c r="AR4954" s="14"/>
      <c r="AS4954" s="14"/>
      <c r="AT4954" s="14"/>
      <c r="AU4954" s="14"/>
      <c r="AV4954" s="14"/>
      <c r="AW4954" s="15">
        <f t="shared" si="664"/>
        <v>0</v>
      </c>
      <c r="AX4954" s="16"/>
    </row>
    <row r="4955" spans="2:50" x14ac:dyDescent="0.2">
      <c r="B4955" s="7"/>
      <c r="C4955" s="8">
        <v>15180</v>
      </c>
      <c r="D4955" s="9" t="s">
        <v>617</v>
      </c>
      <c r="E4955" s="10" t="str">
        <f t="shared" si="659"/>
        <v>Rancho Zinamba No. 50</v>
      </c>
      <c r="F4955" s="10" t="str">
        <f t="shared" si="660"/>
        <v>Del Castillo</v>
      </c>
      <c r="G4955" s="8">
        <v>1</v>
      </c>
      <c r="H4955" s="11">
        <v>400</v>
      </c>
      <c r="I4955" s="12">
        <v>43016</v>
      </c>
      <c r="J4955" s="35">
        <f t="shared" si="663"/>
        <v>0</v>
      </c>
      <c r="K4955" s="36"/>
      <c r="L4955" s="36"/>
      <c r="M4955" s="36"/>
      <c r="N4955" s="36"/>
      <c r="O4955" s="36"/>
      <c r="P4955" s="36"/>
      <c r="Q4955" s="36"/>
      <c r="R4955" s="36"/>
      <c r="S4955" s="36"/>
      <c r="T4955" s="36"/>
      <c r="U4955" s="36"/>
      <c r="V4955" s="36"/>
      <c r="W4955" s="15">
        <f t="shared" si="661"/>
        <v>0</v>
      </c>
      <c r="X4955" s="36"/>
      <c r="Y4955" s="36"/>
      <c r="Z4955" s="36"/>
      <c r="AA4955" s="36"/>
      <c r="AB4955" s="36"/>
      <c r="AC4955" s="36"/>
      <c r="AD4955" s="36"/>
      <c r="AE4955" s="36">
        <v>400</v>
      </c>
      <c r="AF4955" s="36"/>
      <c r="AG4955" s="36"/>
      <c r="AH4955" s="36"/>
      <c r="AI4955" s="36"/>
      <c r="AJ4955" s="15">
        <f t="shared" si="662"/>
        <v>400</v>
      </c>
      <c r="AK4955" s="14"/>
      <c r="AL4955" s="14"/>
      <c r="AM4955" s="14"/>
      <c r="AN4955" s="14"/>
      <c r="AO4955" s="14"/>
      <c r="AP4955" s="14"/>
      <c r="AQ4955" s="14"/>
      <c r="AR4955" s="14"/>
      <c r="AS4955" s="14"/>
      <c r="AT4955" s="14"/>
      <c r="AU4955" s="14"/>
      <c r="AV4955" s="14"/>
      <c r="AW4955" s="15">
        <f t="shared" si="664"/>
        <v>0</v>
      </c>
      <c r="AX4955" s="16"/>
    </row>
    <row r="4956" spans="2:50" x14ac:dyDescent="0.2">
      <c r="B4956" s="7"/>
      <c r="C4956" s="8">
        <v>15180</v>
      </c>
      <c r="D4956" s="9" t="s">
        <v>617</v>
      </c>
      <c r="E4956" s="10" t="str">
        <f t="shared" si="659"/>
        <v>Rancho Zinamba No. 50</v>
      </c>
      <c r="F4956" s="10" t="str">
        <f t="shared" si="660"/>
        <v>Del Castillo</v>
      </c>
      <c r="G4956" s="8">
        <v>5</v>
      </c>
      <c r="H4956" s="11">
        <v>100</v>
      </c>
      <c r="I4956" s="12">
        <v>43016</v>
      </c>
      <c r="J4956" s="35">
        <f t="shared" si="663"/>
        <v>0</v>
      </c>
      <c r="K4956" s="36"/>
      <c r="L4956" s="36"/>
      <c r="M4956" s="36"/>
      <c r="N4956" s="36"/>
      <c r="O4956" s="36"/>
      <c r="P4956" s="36"/>
      <c r="Q4956" s="36"/>
      <c r="R4956" s="36"/>
      <c r="S4956" s="36"/>
      <c r="T4956" s="36"/>
      <c r="U4956" s="36"/>
      <c r="V4956" s="36"/>
      <c r="W4956" s="15">
        <f t="shared" si="661"/>
        <v>0</v>
      </c>
      <c r="X4956" s="36"/>
      <c r="Y4956" s="36"/>
      <c r="Z4956" s="36"/>
      <c r="AA4956" s="36"/>
      <c r="AB4956" s="36"/>
      <c r="AC4956" s="36"/>
      <c r="AD4956" s="36"/>
      <c r="AE4956" s="36"/>
      <c r="AF4956" s="36"/>
      <c r="AG4956" s="36"/>
      <c r="AH4956" s="36"/>
      <c r="AI4956" s="36"/>
      <c r="AJ4956" s="15">
        <f t="shared" si="662"/>
        <v>0</v>
      </c>
      <c r="AK4956" s="14"/>
      <c r="AL4956" s="14"/>
      <c r="AM4956" s="14"/>
      <c r="AN4956" s="14"/>
      <c r="AO4956" s="14"/>
      <c r="AP4956" s="14"/>
      <c r="AQ4956" s="14"/>
      <c r="AR4956" s="14"/>
      <c r="AS4956" s="14"/>
      <c r="AT4956" s="14"/>
      <c r="AU4956" s="14"/>
      <c r="AV4956" s="14"/>
      <c r="AW4956" s="15">
        <f t="shared" si="664"/>
        <v>0</v>
      </c>
      <c r="AX4956" s="16"/>
    </row>
    <row r="4957" spans="2:50" x14ac:dyDescent="0.2">
      <c r="B4957" s="7"/>
      <c r="C4957" s="8">
        <v>15181</v>
      </c>
      <c r="D4957" s="9" t="s">
        <v>431</v>
      </c>
      <c r="E4957" s="10" t="str">
        <f t="shared" si="659"/>
        <v>Rancho Landero No. 63</v>
      </c>
      <c r="F4957" s="10" t="str">
        <f t="shared" si="660"/>
        <v>Hernández Chávez</v>
      </c>
      <c r="G4957" s="8">
        <v>1</v>
      </c>
      <c r="H4957" s="11">
        <v>400</v>
      </c>
      <c r="I4957" s="12">
        <v>43016</v>
      </c>
      <c r="J4957" s="35">
        <f t="shared" si="663"/>
        <v>0</v>
      </c>
      <c r="K4957" s="36"/>
      <c r="L4957" s="36"/>
      <c r="M4957" s="36"/>
      <c r="N4957" s="36"/>
      <c r="O4957" s="36"/>
      <c r="P4957" s="36"/>
      <c r="Q4957" s="36"/>
      <c r="R4957" s="36"/>
      <c r="S4957" s="36"/>
      <c r="T4957" s="36"/>
      <c r="U4957" s="36"/>
      <c r="V4957" s="36"/>
      <c r="W4957" s="15">
        <f t="shared" si="661"/>
        <v>0</v>
      </c>
      <c r="X4957" s="36"/>
      <c r="Y4957" s="36"/>
      <c r="Z4957" s="36"/>
      <c r="AA4957" s="36"/>
      <c r="AB4957" s="36"/>
      <c r="AC4957" s="36"/>
      <c r="AD4957" s="36"/>
      <c r="AE4957" s="36"/>
      <c r="AF4957" s="36">
        <v>400</v>
      </c>
      <c r="AG4957" s="36"/>
      <c r="AH4957" s="36"/>
      <c r="AI4957" s="36"/>
      <c r="AJ4957" s="15">
        <f t="shared" si="662"/>
        <v>400</v>
      </c>
      <c r="AK4957" s="14"/>
      <c r="AL4957" s="14"/>
      <c r="AM4957" s="14"/>
      <c r="AN4957" s="14"/>
      <c r="AO4957" s="14"/>
      <c r="AP4957" s="14"/>
      <c r="AQ4957" s="14"/>
      <c r="AR4957" s="14"/>
      <c r="AS4957" s="14"/>
      <c r="AT4957" s="14"/>
      <c r="AU4957" s="14"/>
      <c r="AV4957" s="14"/>
      <c r="AW4957" s="15">
        <f t="shared" si="664"/>
        <v>0</v>
      </c>
      <c r="AX4957" s="16"/>
    </row>
    <row r="4958" spans="2:50" x14ac:dyDescent="0.2">
      <c r="B4958" s="7"/>
      <c r="C4958" s="8">
        <v>15182</v>
      </c>
      <c r="D4958" s="9" t="s">
        <v>763</v>
      </c>
      <c r="E4958" s="10" t="str">
        <f t="shared" si="659"/>
        <v>Rancho Estanzuela No. 79</v>
      </c>
      <c r="F4958" s="10" t="str">
        <f t="shared" si="660"/>
        <v>Mendoza</v>
      </c>
      <c r="G4958" s="8">
        <v>1</v>
      </c>
      <c r="H4958" s="11">
        <v>600</v>
      </c>
      <c r="I4958" s="12">
        <v>43016</v>
      </c>
      <c r="J4958" s="35">
        <f t="shared" si="663"/>
        <v>0</v>
      </c>
      <c r="K4958" s="36"/>
      <c r="L4958" s="36"/>
      <c r="M4958" s="36"/>
      <c r="N4958" s="36"/>
      <c r="O4958" s="36"/>
      <c r="P4958" s="36"/>
      <c r="Q4958" s="36"/>
      <c r="R4958" s="36"/>
      <c r="S4958" s="36"/>
      <c r="T4958" s="36"/>
      <c r="U4958" s="36"/>
      <c r="V4958" s="36"/>
      <c r="W4958" s="15">
        <f t="shared" si="661"/>
        <v>0</v>
      </c>
      <c r="X4958" s="36"/>
      <c r="Y4958" s="36"/>
      <c r="Z4958" s="36"/>
      <c r="AA4958" s="36"/>
      <c r="AB4958" s="36"/>
      <c r="AC4958" s="36"/>
      <c r="AD4958" s="36"/>
      <c r="AE4958" s="36">
        <v>200</v>
      </c>
      <c r="AF4958" s="36">
        <v>400</v>
      </c>
      <c r="AG4958" s="36"/>
      <c r="AH4958" s="36"/>
      <c r="AI4958" s="36"/>
      <c r="AJ4958" s="15">
        <f t="shared" si="662"/>
        <v>600</v>
      </c>
      <c r="AK4958" s="14"/>
      <c r="AL4958" s="14"/>
      <c r="AM4958" s="14"/>
      <c r="AN4958" s="14"/>
      <c r="AO4958" s="14"/>
      <c r="AP4958" s="14"/>
      <c r="AQ4958" s="14"/>
      <c r="AR4958" s="14"/>
      <c r="AS4958" s="14"/>
      <c r="AT4958" s="14"/>
      <c r="AU4958" s="14"/>
      <c r="AV4958" s="14"/>
      <c r="AW4958" s="15">
        <f t="shared" si="664"/>
        <v>0</v>
      </c>
      <c r="AX4958" s="16"/>
    </row>
    <row r="4959" spans="2:50" x14ac:dyDescent="0.2">
      <c r="B4959" s="7"/>
      <c r="C4959" s="8">
        <v>15183</v>
      </c>
      <c r="D4959" s="9" t="s">
        <v>794</v>
      </c>
      <c r="E4959" s="10" t="str">
        <f t="shared" si="659"/>
        <v>Rancho Landero No. 18</v>
      </c>
      <c r="F4959" s="10" t="str">
        <f t="shared" si="660"/>
        <v>Rosado</v>
      </c>
      <c r="G4959" s="8">
        <v>1</v>
      </c>
      <c r="H4959" s="11">
        <v>300</v>
      </c>
      <c r="I4959" s="12">
        <v>43016</v>
      </c>
      <c r="J4959" s="35">
        <f t="shared" si="663"/>
        <v>0</v>
      </c>
      <c r="K4959" s="36"/>
      <c r="L4959" s="36"/>
      <c r="M4959" s="36"/>
      <c r="N4959" s="36"/>
      <c r="O4959" s="36"/>
      <c r="P4959" s="36"/>
      <c r="Q4959" s="36"/>
      <c r="R4959" s="36"/>
      <c r="S4959" s="36"/>
      <c r="T4959" s="36"/>
      <c r="U4959" s="36"/>
      <c r="V4959" s="36"/>
      <c r="W4959" s="15">
        <f t="shared" si="661"/>
        <v>0</v>
      </c>
      <c r="X4959" s="36"/>
      <c r="Y4959" s="36"/>
      <c r="Z4959" s="36"/>
      <c r="AA4959" s="36"/>
      <c r="AB4959" s="36"/>
      <c r="AC4959" s="36"/>
      <c r="AD4959" s="36"/>
      <c r="AE4959" s="36"/>
      <c r="AF4959" s="36">
        <v>300</v>
      </c>
      <c r="AG4959" s="36"/>
      <c r="AH4959" s="36"/>
      <c r="AI4959" s="36"/>
      <c r="AJ4959" s="15">
        <f t="shared" si="662"/>
        <v>300</v>
      </c>
      <c r="AK4959" s="14"/>
      <c r="AL4959" s="14"/>
      <c r="AM4959" s="14"/>
      <c r="AN4959" s="14"/>
      <c r="AO4959" s="14"/>
      <c r="AP4959" s="14"/>
      <c r="AQ4959" s="14"/>
      <c r="AR4959" s="14"/>
      <c r="AS4959" s="14"/>
      <c r="AT4959" s="14"/>
      <c r="AU4959" s="14"/>
      <c r="AV4959" s="14"/>
      <c r="AW4959" s="15">
        <f t="shared" si="664"/>
        <v>0</v>
      </c>
      <c r="AX4959" s="16"/>
    </row>
    <row r="4960" spans="2:50" x14ac:dyDescent="0.2">
      <c r="B4960" s="7"/>
      <c r="C4960" s="8">
        <v>15184</v>
      </c>
      <c r="D4960" s="9" t="s">
        <v>625</v>
      </c>
      <c r="E4960" s="10" t="str">
        <f t="shared" si="659"/>
        <v>Rancho Upácuaro No. 60</v>
      </c>
      <c r="F4960" s="10" t="str">
        <f t="shared" si="660"/>
        <v>Zavala</v>
      </c>
      <c r="G4960" s="8">
        <v>1</v>
      </c>
      <c r="H4960" s="11">
        <v>400</v>
      </c>
      <c r="I4960" s="12">
        <v>43016</v>
      </c>
      <c r="J4960" s="35">
        <f t="shared" si="663"/>
        <v>0</v>
      </c>
      <c r="K4960" s="36"/>
      <c r="L4960" s="36"/>
      <c r="M4960" s="36"/>
      <c r="N4960" s="36"/>
      <c r="O4960" s="36"/>
      <c r="P4960" s="36"/>
      <c r="Q4960" s="36"/>
      <c r="R4960" s="36"/>
      <c r="S4960" s="36"/>
      <c r="T4960" s="36"/>
      <c r="U4960" s="36"/>
      <c r="V4960" s="36"/>
      <c r="W4960" s="15">
        <f t="shared" si="661"/>
        <v>0</v>
      </c>
      <c r="X4960" s="36"/>
      <c r="Y4960" s="36"/>
      <c r="Z4960" s="36"/>
      <c r="AA4960" s="36"/>
      <c r="AB4960" s="36"/>
      <c r="AC4960" s="36"/>
      <c r="AD4960" s="36"/>
      <c r="AE4960" s="36"/>
      <c r="AF4960" s="36">
        <v>400</v>
      </c>
      <c r="AG4960" s="36"/>
      <c r="AH4960" s="36"/>
      <c r="AI4960" s="36"/>
      <c r="AJ4960" s="15">
        <f t="shared" si="662"/>
        <v>400</v>
      </c>
      <c r="AK4960" s="14"/>
      <c r="AL4960" s="14"/>
      <c r="AM4960" s="14"/>
      <c r="AN4960" s="14"/>
      <c r="AO4960" s="14"/>
      <c r="AP4960" s="14"/>
      <c r="AQ4960" s="14"/>
      <c r="AR4960" s="14"/>
      <c r="AS4960" s="14"/>
      <c r="AT4960" s="14"/>
      <c r="AU4960" s="14"/>
      <c r="AV4960" s="14"/>
      <c r="AW4960" s="15">
        <f t="shared" si="664"/>
        <v>0</v>
      </c>
      <c r="AX4960" s="16"/>
    </row>
    <row r="4961" spans="2:50" x14ac:dyDescent="0.2">
      <c r="B4961" s="7"/>
      <c r="C4961" s="8">
        <v>15185</v>
      </c>
      <c r="D4961" s="9" t="s">
        <v>274</v>
      </c>
      <c r="E4961" s="10" t="str">
        <f t="shared" si="659"/>
        <v>Rancho Zinamba No. 82</v>
      </c>
      <c r="F4961" s="10" t="str">
        <f t="shared" si="660"/>
        <v>Morán Carmona</v>
      </c>
      <c r="G4961" s="8">
        <v>1</v>
      </c>
      <c r="H4961" s="11">
        <v>1200</v>
      </c>
      <c r="I4961" s="12">
        <v>43016</v>
      </c>
      <c r="J4961" s="35">
        <f t="shared" si="663"/>
        <v>0</v>
      </c>
      <c r="K4961" s="36"/>
      <c r="L4961" s="36"/>
      <c r="M4961" s="36"/>
      <c r="N4961" s="36"/>
      <c r="O4961" s="36"/>
      <c r="P4961" s="36"/>
      <c r="Q4961" s="36"/>
      <c r="R4961" s="36"/>
      <c r="S4961" s="36"/>
      <c r="T4961" s="36"/>
      <c r="U4961" s="36"/>
      <c r="V4961" s="36"/>
      <c r="W4961" s="15">
        <f t="shared" si="661"/>
        <v>0</v>
      </c>
      <c r="X4961" s="36"/>
      <c r="Y4961" s="36"/>
      <c r="Z4961" s="36"/>
      <c r="AA4961" s="36"/>
      <c r="AB4961" s="36"/>
      <c r="AC4961" s="36"/>
      <c r="AD4961" s="36">
        <v>200</v>
      </c>
      <c r="AE4961" s="36">
        <v>200</v>
      </c>
      <c r="AF4961" s="36">
        <v>200</v>
      </c>
      <c r="AG4961" s="36">
        <v>200</v>
      </c>
      <c r="AH4961" s="36">
        <v>200</v>
      </c>
      <c r="AI4961" s="36">
        <v>200</v>
      </c>
      <c r="AJ4961" s="15">
        <f t="shared" si="662"/>
        <v>1200</v>
      </c>
      <c r="AK4961" s="14"/>
      <c r="AL4961" s="14"/>
      <c r="AM4961" s="14"/>
      <c r="AN4961" s="14"/>
      <c r="AO4961" s="14"/>
      <c r="AP4961" s="14"/>
      <c r="AQ4961" s="14"/>
      <c r="AR4961" s="14"/>
      <c r="AS4961" s="14"/>
      <c r="AT4961" s="14"/>
      <c r="AU4961" s="14"/>
      <c r="AV4961" s="14"/>
      <c r="AW4961" s="15">
        <f t="shared" si="664"/>
        <v>0</v>
      </c>
      <c r="AX4961" s="16"/>
    </row>
    <row r="4962" spans="2:50" x14ac:dyDescent="0.2">
      <c r="B4962" s="7"/>
      <c r="C4962" s="8">
        <v>15186</v>
      </c>
      <c r="D4962" s="9" t="s">
        <v>485</v>
      </c>
      <c r="E4962" s="10" t="str">
        <f t="shared" si="659"/>
        <v>Rancho Estanzuela No. 111</v>
      </c>
      <c r="F4962" s="10" t="str">
        <f t="shared" si="660"/>
        <v>Flores Pérez</v>
      </c>
      <c r="G4962" s="8">
        <v>1</v>
      </c>
      <c r="H4962" s="11">
        <v>1200</v>
      </c>
      <c r="I4962" s="12">
        <v>43016</v>
      </c>
      <c r="J4962" s="35">
        <f t="shared" si="663"/>
        <v>0</v>
      </c>
      <c r="K4962" s="36"/>
      <c r="L4962" s="36"/>
      <c r="M4962" s="36"/>
      <c r="N4962" s="36"/>
      <c r="O4962" s="36"/>
      <c r="P4962" s="36"/>
      <c r="Q4962" s="36"/>
      <c r="R4962" s="36"/>
      <c r="S4962" s="36"/>
      <c r="T4962" s="36"/>
      <c r="U4962" s="36"/>
      <c r="V4962" s="36"/>
      <c r="W4962" s="15">
        <f t="shared" si="661"/>
        <v>0</v>
      </c>
      <c r="X4962" s="36"/>
      <c r="Y4962" s="36"/>
      <c r="Z4962" s="36"/>
      <c r="AA4962" s="36"/>
      <c r="AB4962" s="36"/>
      <c r="AC4962" s="36"/>
      <c r="AD4962" s="36"/>
      <c r="AE4962" s="36">
        <v>400</v>
      </c>
      <c r="AF4962" s="36">
        <v>400</v>
      </c>
      <c r="AG4962" s="36">
        <v>400</v>
      </c>
      <c r="AH4962" s="36"/>
      <c r="AI4962" s="36"/>
      <c r="AJ4962" s="15">
        <f t="shared" si="662"/>
        <v>1200</v>
      </c>
      <c r="AK4962" s="14"/>
      <c r="AL4962" s="14"/>
      <c r="AM4962" s="14"/>
      <c r="AN4962" s="14"/>
      <c r="AO4962" s="14"/>
      <c r="AP4962" s="14"/>
      <c r="AQ4962" s="14"/>
      <c r="AR4962" s="14"/>
      <c r="AS4962" s="14"/>
      <c r="AT4962" s="14"/>
      <c r="AU4962" s="14"/>
      <c r="AV4962" s="14"/>
      <c r="AW4962" s="15">
        <f t="shared" si="664"/>
        <v>0</v>
      </c>
      <c r="AX4962" s="16"/>
    </row>
    <row r="4963" spans="2:50" x14ac:dyDescent="0.2">
      <c r="B4963" s="7"/>
      <c r="C4963" s="8">
        <v>15187</v>
      </c>
      <c r="D4963" s="9" t="s">
        <v>562</v>
      </c>
      <c r="E4963" s="10" t="str">
        <f t="shared" si="659"/>
        <v>Rancho Upácuaro No. 87</v>
      </c>
      <c r="F4963" s="10" t="str">
        <f t="shared" si="660"/>
        <v>Rodríguez Parés</v>
      </c>
      <c r="G4963" s="8">
        <v>1</v>
      </c>
      <c r="H4963" s="11">
        <v>400</v>
      </c>
      <c r="I4963" s="12">
        <v>43016</v>
      </c>
      <c r="J4963" s="35">
        <f t="shared" si="663"/>
        <v>0</v>
      </c>
      <c r="K4963" s="36"/>
      <c r="L4963" s="36"/>
      <c r="M4963" s="36"/>
      <c r="N4963" s="36"/>
      <c r="O4963" s="36"/>
      <c r="P4963" s="36"/>
      <c r="Q4963" s="36"/>
      <c r="R4963" s="36"/>
      <c r="S4963" s="36"/>
      <c r="T4963" s="36"/>
      <c r="U4963" s="36"/>
      <c r="V4963" s="36"/>
      <c r="W4963" s="15">
        <f t="shared" si="661"/>
        <v>0</v>
      </c>
      <c r="X4963" s="36"/>
      <c r="Y4963" s="36"/>
      <c r="Z4963" s="36"/>
      <c r="AA4963" s="36"/>
      <c r="AB4963" s="36"/>
      <c r="AC4963" s="36"/>
      <c r="AD4963" s="36"/>
      <c r="AE4963" s="36"/>
      <c r="AF4963" s="36"/>
      <c r="AG4963" s="36">
        <v>400</v>
      </c>
      <c r="AH4963" s="36"/>
      <c r="AI4963" s="36"/>
      <c r="AJ4963" s="15">
        <f t="shared" si="662"/>
        <v>400</v>
      </c>
      <c r="AK4963" s="14"/>
      <c r="AL4963" s="14"/>
      <c r="AM4963" s="14"/>
      <c r="AN4963" s="14"/>
      <c r="AO4963" s="14"/>
      <c r="AP4963" s="14"/>
      <c r="AQ4963" s="14"/>
      <c r="AR4963" s="14"/>
      <c r="AS4963" s="14"/>
      <c r="AT4963" s="14"/>
      <c r="AU4963" s="14"/>
      <c r="AV4963" s="14"/>
      <c r="AW4963" s="15">
        <f t="shared" si="664"/>
        <v>0</v>
      </c>
      <c r="AX4963" s="16"/>
    </row>
    <row r="4964" spans="2:50" x14ac:dyDescent="0.2">
      <c r="B4964" s="7"/>
      <c r="C4964" s="8">
        <v>15188</v>
      </c>
      <c r="D4964" s="9" t="s">
        <v>226</v>
      </c>
      <c r="E4964" s="10" t="str">
        <f t="shared" si="659"/>
        <v>Rancho Landero No. 31</v>
      </c>
      <c r="F4964" s="10" t="str">
        <f t="shared" si="660"/>
        <v>Díaz Hernández</v>
      </c>
      <c r="G4964" s="8">
        <v>1</v>
      </c>
      <c r="H4964" s="11">
        <v>400</v>
      </c>
      <c r="I4964" s="12">
        <v>43016</v>
      </c>
      <c r="J4964" s="35">
        <f t="shared" si="663"/>
        <v>0</v>
      </c>
      <c r="K4964" s="36"/>
      <c r="L4964" s="36"/>
      <c r="M4964" s="36"/>
      <c r="N4964" s="36"/>
      <c r="O4964" s="36"/>
      <c r="P4964" s="36"/>
      <c r="Q4964" s="36"/>
      <c r="R4964" s="36"/>
      <c r="S4964" s="36"/>
      <c r="T4964" s="36"/>
      <c r="U4964" s="36"/>
      <c r="V4964" s="36"/>
      <c r="W4964" s="15">
        <f t="shared" si="661"/>
        <v>0</v>
      </c>
      <c r="X4964" s="36"/>
      <c r="Y4964" s="36"/>
      <c r="Z4964" s="36"/>
      <c r="AA4964" s="36"/>
      <c r="AB4964" s="36"/>
      <c r="AC4964" s="36"/>
      <c r="AD4964" s="36"/>
      <c r="AE4964" s="36"/>
      <c r="AF4964" s="36">
        <v>200</v>
      </c>
      <c r="AG4964" s="36">
        <v>200</v>
      </c>
      <c r="AH4964" s="36"/>
      <c r="AI4964" s="36"/>
      <c r="AJ4964" s="15">
        <f t="shared" si="662"/>
        <v>400</v>
      </c>
      <c r="AK4964" s="14"/>
      <c r="AL4964" s="14"/>
      <c r="AM4964" s="14"/>
      <c r="AN4964" s="14"/>
      <c r="AO4964" s="14"/>
      <c r="AP4964" s="14"/>
      <c r="AQ4964" s="14"/>
      <c r="AR4964" s="14"/>
      <c r="AS4964" s="14"/>
      <c r="AT4964" s="14"/>
      <c r="AU4964" s="14"/>
      <c r="AV4964" s="14"/>
      <c r="AW4964" s="15">
        <f t="shared" si="664"/>
        <v>0</v>
      </c>
      <c r="AX4964" s="16"/>
    </row>
    <row r="4965" spans="2:50" x14ac:dyDescent="0.2">
      <c r="B4965" s="7"/>
      <c r="C4965" s="8">
        <v>15189</v>
      </c>
      <c r="D4965" s="9" t="s">
        <v>425</v>
      </c>
      <c r="E4965" s="10" t="str">
        <f t="shared" si="659"/>
        <v>Rancho La Cuchilla No. 120</v>
      </c>
      <c r="F4965" s="10" t="str">
        <f t="shared" si="660"/>
        <v>Pozos Vilchis</v>
      </c>
      <c r="G4965" s="8">
        <v>1</v>
      </c>
      <c r="H4965" s="11">
        <v>400</v>
      </c>
      <c r="I4965" s="12">
        <v>43016</v>
      </c>
      <c r="J4965" s="35">
        <f t="shared" si="663"/>
        <v>0</v>
      </c>
      <c r="K4965" s="36"/>
      <c r="L4965" s="36"/>
      <c r="M4965" s="36"/>
      <c r="N4965" s="36"/>
      <c r="O4965" s="36"/>
      <c r="P4965" s="36"/>
      <c r="Q4965" s="36"/>
      <c r="R4965" s="36"/>
      <c r="S4965" s="36"/>
      <c r="T4965" s="36"/>
      <c r="U4965" s="36"/>
      <c r="V4965" s="36"/>
      <c r="W4965" s="15">
        <f t="shared" si="661"/>
        <v>0</v>
      </c>
      <c r="X4965" s="36"/>
      <c r="Y4965" s="36"/>
      <c r="Z4965" s="36"/>
      <c r="AA4965" s="36"/>
      <c r="AB4965" s="36"/>
      <c r="AC4965" s="36"/>
      <c r="AD4965" s="36"/>
      <c r="AE4965" s="36"/>
      <c r="AF4965" s="36"/>
      <c r="AG4965" s="36">
        <v>400</v>
      </c>
      <c r="AH4965" s="36"/>
      <c r="AI4965" s="36"/>
      <c r="AJ4965" s="15">
        <f t="shared" si="662"/>
        <v>400</v>
      </c>
      <c r="AK4965" s="14"/>
      <c r="AL4965" s="14"/>
      <c r="AM4965" s="14"/>
      <c r="AN4965" s="14"/>
      <c r="AO4965" s="14"/>
      <c r="AP4965" s="14"/>
      <c r="AQ4965" s="14"/>
      <c r="AR4965" s="14"/>
      <c r="AS4965" s="14"/>
      <c r="AT4965" s="14"/>
      <c r="AU4965" s="14"/>
      <c r="AV4965" s="14"/>
      <c r="AW4965" s="15">
        <f t="shared" si="664"/>
        <v>0</v>
      </c>
      <c r="AX4965" s="16"/>
    </row>
    <row r="4966" spans="2:50" x14ac:dyDescent="0.2">
      <c r="B4966" s="7"/>
      <c r="C4966" s="8">
        <v>15190</v>
      </c>
      <c r="D4966" s="9" t="s">
        <v>62</v>
      </c>
      <c r="E4966" s="10" t="str">
        <f t="shared" si="659"/>
        <v>Rancho Romeral No. 10, A</v>
      </c>
      <c r="F4966" s="10" t="str">
        <f t="shared" si="660"/>
        <v>Casillas Álvarez</v>
      </c>
      <c r="G4966" s="8">
        <v>1</v>
      </c>
      <c r="H4966" s="11">
        <v>200</v>
      </c>
      <c r="I4966" s="12">
        <v>43016</v>
      </c>
      <c r="J4966" s="35">
        <f t="shared" si="663"/>
        <v>0</v>
      </c>
      <c r="K4966" s="36"/>
      <c r="L4966" s="36"/>
      <c r="M4966" s="36"/>
      <c r="N4966" s="36"/>
      <c r="O4966" s="36"/>
      <c r="P4966" s="36"/>
      <c r="Q4966" s="36"/>
      <c r="R4966" s="36"/>
      <c r="S4966" s="36"/>
      <c r="T4966" s="36"/>
      <c r="U4966" s="36"/>
      <c r="V4966" s="36"/>
      <c r="W4966" s="15">
        <f t="shared" si="661"/>
        <v>0</v>
      </c>
      <c r="X4966" s="36"/>
      <c r="Y4966" s="36"/>
      <c r="Z4966" s="36"/>
      <c r="AA4966" s="36"/>
      <c r="AB4966" s="36"/>
      <c r="AC4966" s="36"/>
      <c r="AD4966" s="36"/>
      <c r="AE4966" s="36"/>
      <c r="AF4966" s="36"/>
      <c r="AG4966" s="36">
        <v>200</v>
      </c>
      <c r="AH4966" s="36"/>
      <c r="AI4966" s="36"/>
      <c r="AJ4966" s="15">
        <f t="shared" si="662"/>
        <v>200</v>
      </c>
      <c r="AK4966" s="14"/>
      <c r="AL4966" s="14"/>
      <c r="AM4966" s="14"/>
      <c r="AN4966" s="14"/>
      <c r="AO4966" s="14"/>
      <c r="AP4966" s="14"/>
      <c r="AQ4966" s="14"/>
      <c r="AR4966" s="14"/>
      <c r="AS4966" s="14"/>
      <c r="AT4966" s="14"/>
      <c r="AU4966" s="14"/>
      <c r="AV4966" s="14"/>
      <c r="AW4966" s="15">
        <f t="shared" si="664"/>
        <v>0</v>
      </c>
      <c r="AX4966" s="16"/>
    </row>
    <row r="4967" spans="2:50" x14ac:dyDescent="0.2">
      <c r="B4967" s="7"/>
      <c r="C4967" s="8">
        <v>15191</v>
      </c>
      <c r="D4967" s="9" t="s">
        <v>331</v>
      </c>
      <c r="E4967" s="10" t="str">
        <f t="shared" si="659"/>
        <v>Rancho Recoveco No. 197</v>
      </c>
      <c r="F4967" s="10" t="str">
        <f t="shared" si="660"/>
        <v>Colín González</v>
      </c>
      <c r="G4967" s="8">
        <v>1</v>
      </c>
      <c r="H4967" s="11">
        <v>400</v>
      </c>
      <c r="I4967" s="12">
        <v>43016</v>
      </c>
      <c r="J4967" s="35">
        <f t="shared" si="663"/>
        <v>0</v>
      </c>
      <c r="K4967" s="36"/>
      <c r="L4967" s="36"/>
      <c r="M4967" s="36"/>
      <c r="N4967" s="36"/>
      <c r="O4967" s="36"/>
      <c r="P4967" s="36"/>
      <c r="Q4967" s="36"/>
      <c r="R4967" s="36"/>
      <c r="S4967" s="36"/>
      <c r="T4967" s="36"/>
      <c r="U4967" s="36"/>
      <c r="V4967" s="36"/>
      <c r="W4967" s="15">
        <f t="shared" si="661"/>
        <v>0</v>
      </c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>
        <v>400</v>
      </c>
      <c r="AH4967" s="36"/>
      <c r="AI4967" s="36"/>
      <c r="AJ4967" s="15">
        <f t="shared" si="662"/>
        <v>400</v>
      </c>
      <c r="AK4967" s="14"/>
      <c r="AL4967" s="14"/>
      <c r="AM4967" s="14"/>
      <c r="AN4967" s="14"/>
      <c r="AO4967" s="14"/>
      <c r="AP4967" s="14"/>
      <c r="AQ4967" s="14"/>
      <c r="AR4967" s="14"/>
      <c r="AS4967" s="14"/>
      <c r="AT4967" s="14"/>
      <c r="AU4967" s="14"/>
      <c r="AV4967" s="14"/>
      <c r="AW4967" s="15">
        <f t="shared" si="664"/>
        <v>0</v>
      </c>
      <c r="AX4967" s="16"/>
    </row>
    <row r="4968" spans="2:50" x14ac:dyDescent="0.2">
      <c r="B4968" s="7"/>
      <c r="C4968" s="8">
        <v>15192</v>
      </c>
      <c r="D4968" s="9" t="s">
        <v>94</v>
      </c>
      <c r="E4968" s="10" t="str">
        <f t="shared" si="659"/>
        <v>Rancho Landero No. 42</v>
      </c>
      <c r="F4968" s="10" t="str">
        <f t="shared" si="660"/>
        <v>Ávila Fidel</v>
      </c>
      <c r="G4968" s="8">
        <v>1</v>
      </c>
      <c r="H4968" s="11">
        <v>400</v>
      </c>
      <c r="I4968" s="12">
        <v>43016</v>
      </c>
      <c r="J4968" s="35">
        <f t="shared" si="663"/>
        <v>0</v>
      </c>
      <c r="K4968" s="36"/>
      <c r="L4968" s="36"/>
      <c r="M4968" s="36"/>
      <c r="N4968" s="36"/>
      <c r="O4968" s="36"/>
      <c r="P4968" s="36"/>
      <c r="Q4968" s="36"/>
      <c r="R4968" s="36"/>
      <c r="S4968" s="36"/>
      <c r="T4968" s="36"/>
      <c r="U4968" s="36"/>
      <c r="V4968" s="36"/>
      <c r="W4968" s="15">
        <f t="shared" si="661"/>
        <v>0</v>
      </c>
      <c r="X4968" s="36"/>
      <c r="Y4968" s="36"/>
      <c r="Z4968" s="36"/>
      <c r="AA4968" s="36"/>
      <c r="AB4968" s="36"/>
      <c r="AC4968" s="36"/>
      <c r="AD4968" s="36"/>
      <c r="AE4968" s="36"/>
      <c r="AF4968" s="36"/>
      <c r="AG4968" s="36">
        <v>400</v>
      </c>
      <c r="AH4968" s="36"/>
      <c r="AI4968" s="36"/>
      <c r="AJ4968" s="15">
        <f t="shared" si="662"/>
        <v>400</v>
      </c>
      <c r="AK4968" s="14"/>
      <c r="AL4968" s="14"/>
      <c r="AM4968" s="14"/>
      <c r="AN4968" s="14"/>
      <c r="AO4968" s="14"/>
      <c r="AP4968" s="14"/>
      <c r="AQ4968" s="14"/>
      <c r="AR4968" s="14"/>
      <c r="AS4968" s="14"/>
      <c r="AT4968" s="14"/>
      <c r="AU4968" s="14"/>
      <c r="AV4968" s="14"/>
      <c r="AW4968" s="15">
        <f t="shared" si="664"/>
        <v>0</v>
      </c>
      <c r="AX4968" s="16"/>
    </row>
    <row r="4969" spans="2:50" x14ac:dyDescent="0.2">
      <c r="B4969" s="7"/>
      <c r="C4969" s="8">
        <v>15193</v>
      </c>
      <c r="D4969" s="9" t="s">
        <v>874</v>
      </c>
      <c r="E4969" s="10" t="str">
        <f t="shared" si="659"/>
        <v>Rancho Zinamba No. 46</v>
      </c>
      <c r="F4969" s="10" t="str">
        <f t="shared" si="660"/>
        <v>Olguín</v>
      </c>
      <c r="G4969" s="8">
        <v>1</v>
      </c>
      <c r="H4969" s="11">
        <v>200</v>
      </c>
      <c r="I4969" s="12">
        <v>43016</v>
      </c>
      <c r="J4969" s="35">
        <f t="shared" si="663"/>
        <v>0</v>
      </c>
      <c r="K4969" s="36"/>
      <c r="L4969" s="36"/>
      <c r="M4969" s="36"/>
      <c r="N4969" s="36"/>
      <c r="O4969" s="36"/>
      <c r="P4969" s="36"/>
      <c r="Q4969" s="36"/>
      <c r="R4969" s="36"/>
      <c r="S4969" s="36"/>
      <c r="T4969" s="36"/>
      <c r="U4969" s="36"/>
      <c r="V4969" s="36"/>
      <c r="W4969" s="15">
        <f t="shared" si="661"/>
        <v>0</v>
      </c>
      <c r="X4969" s="36"/>
      <c r="Y4969" s="36"/>
      <c r="Z4969" s="36"/>
      <c r="AA4969" s="36"/>
      <c r="AB4969" s="36"/>
      <c r="AC4969" s="36"/>
      <c r="AD4969" s="36"/>
      <c r="AE4969" s="36"/>
      <c r="AF4969" s="36"/>
      <c r="AG4969" s="36">
        <v>200</v>
      </c>
      <c r="AH4969" s="36"/>
      <c r="AI4969" s="36"/>
      <c r="AJ4969" s="15">
        <f t="shared" si="662"/>
        <v>200</v>
      </c>
      <c r="AK4969" s="14"/>
      <c r="AL4969" s="14"/>
      <c r="AM4969" s="14"/>
      <c r="AN4969" s="14"/>
      <c r="AO4969" s="14"/>
      <c r="AP4969" s="14"/>
      <c r="AQ4969" s="14"/>
      <c r="AR4969" s="14"/>
      <c r="AS4969" s="14"/>
      <c r="AT4969" s="14"/>
      <c r="AU4969" s="14"/>
      <c r="AV4969" s="14"/>
      <c r="AW4969" s="15">
        <f t="shared" si="664"/>
        <v>0</v>
      </c>
      <c r="AX4969" s="16"/>
    </row>
    <row r="4970" spans="2:50" x14ac:dyDescent="0.2">
      <c r="B4970" s="7"/>
      <c r="C4970" s="8">
        <v>15194</v>
      </c>
      <c r="D4970" s="9" t="s">
        <v>1267</v>
      </c>
      <c r="E4970" s="10" t="str">
        <f t="shared" si="659"/>
        <v>Rancho La Cuchilla No. 31</v>
      </c>
      <c r="F4970" s="10" t="str">
        <f t="shared" si="660"/>
        <v>Lince</v>
      </c>
      <c r="G4970" s="8">
        <v>1</v>
      </c>
      <c r="H4970" s="11">
        <v>600</v>
      </c>
      <c r="I4970" s="12">
        <v>43016</v>
      </c>
      <c r="J4970" s="35">
        <f t="shared" si="663"/>
        <v>0</v>
      </c>
      <c r="K4970" s="36"/>
      <c r="L4970" s="36"/>
      <c r="M4970" s="36"/>
      <c r="N4970" s="36"/>
      <c r="O4970" s="36"/>
      <c r="P4970" s="36"/>
      <c r="Q4970" s="36"/>
      <c r="R4970" s="36"/>
      <c r="S4970" s="36"/>
      <c r="T4970" s="36"/>
      <c r="U4970" s="36"/>
      <c r="V4970" s="36"/>
      <c r="W4970" s="15">
        <f t="shared" si="661"/>
        <v>0</v>
      </c>
      <c r="X4970" s="36"/>
      <c r="Y4970" s="36"/>
      <c r="Z4970" s="36"/>
      <c r="AA4970" s="36"/>
      <c r="AB4970" s="36"/>
      <c r="AC4970" s="36"/>
      <c r="AD4970" s="36"/>
      <c r="AE4970" s="36">
        <v>300</v>
      </c>
      <c r="AF4970" s="36">
        <v>300</v>
      </c>
      <c r="AG4970" s="36"/>
      <c r="AH4970" s="36"/>
      <c r="AI4970" s="36"/>
      <c r="AJ4970" s="15">
        <f t="shared" si="662"/>
        <v>600</v>
      </c>
      <c r="AK4970" s="14"/>
      <c r="AL4970" s="14"/>
      <c r="AM4970" s="14"/>
      <c r="AN4970" s="14"/>
      <c r="AO4970" s="14"/>
      <c r="AP4970" s="14"/>
      <c r="AQ4970" s="14"/>
      <c r="AR4970" s="14"/>
      <c r="AS4970" s="14"/>
      <c r="AT4970" s="14"/>
      <c r="AU4970" s="14"/>
      <c r="AV4970" s="14"/>
      <c r="AW4970" s="15">
        <f t="shared" si="664"/>
        <v>0</v>
      </c>
      <c r="AX4970" s="16"/>
    </row>
    <row r="4971" spans="2:50" x14ac:dyDescent="0.2">
      <c r="B4971" s="7"/>
      <c r="C4971" s="8">
        <v>15195</v>
      </c>
      <c r="D4971" s="9" t="s">
        <v>262</v>
      </c>
      <c r="E4971" s="10" t="str">
        <f t="shared" si="659"/>
        <v>Rancho Recoveco No. 1</v>
      </c>
      <c r="F4971" s="10" t="str">
        <f t="shared" si="660"/>
        <v>Díaz</v>
      </c>
      <c r="G4971" s="8">
        <v>1</v>
      </c>
      <c r="H4971" s="11">
        <v>300</v>
      </c>
      <c r="I4971" s="12">
        <v>43016</v>
      </c>
      <c r="J4971" s="35">
        <f t="shared" si="663"/>
        <v>0</v>
      </c>
      <c r="K4971" s="36"/>
      <c r="L4971" s="36"/>
      <c r="M4971" s="36"/>
      <c r="N4971" s="36"/>
      <c r="O4971" s="36"/>
      <c r="P4971" s="36"/>
      <c r="Q4971" s="36"/>
      <c r="R4971" s="36"/>
      <c r="S4971" s="36"/>
      <c r="T4971" s="36"/>
      <c r="U4971" s="36"/>
      <c r="V4971" s="36"/>
      <c r="W4971" s="15">
        <f t="shared" si="661"/>
        <v>0</v>
      </c>
      <c r="X4971" s="36"/>
      <c r="Y4971" s="36"/>
      <c r="Z4971" s="36"/>
      <c r="AA4971" s="36"/>
      <c r="AB4971" s="36"/>
      <c r="AC4971" s="36"/>
      <c r="AD4971" s="36"/>
      <c r="AE4971" s="36"/>
      <c r="AF4971" s="36"/>
      <c r="AG4971" s="36">
        <v>300</v>
      </c>
      <c r="AH4971" s="36"/>
      <c r="AI4971" s="36"/>
      <c r="AJ4971" s="15">
        <f t="shared" si="662"/>
        <v>300</v>
      </c>
      <c r="AK4971" s="14"/>
      <c r="AL4971" s="14"/>
      <c r="AM4971" s="14"/>
      <c r="AN4971" s="14"/>
      <c r="AO4971" s="14"/>
      <c r="AP4971" s="14"/>
      <c r="AQ4971" s="14"/>
      <c r="AR4971" s="14"/>
      <c r="AS4971" s="14"/>
      <c r="AT4971" s="14"/>
      <c r="AU4971" s="14"/>
      <c r="AV4971" s="14"/>
      <c r="AW4971" s="15">
        <f t="shared" si="664"/>
        <v>0</v>
      </c>
      <c r="AX4971" s="16"/>
    </row>
    <row r="4972" spans="2:50" x14ac:dyDescent="0.2">
      <c r="B4972" s="7"/>
      <c r="C4972" s="8">
        <v>15196</v>
      </c>
      <c r="D4972" s="9" t="s">
        <v>177</v>
      </c>
      <c r="E4972" s="10" t="str">
        <f t="shared" si="659"/>
        <v>Rancho Landero No. 71</v>
      </c>
      <c r="F4972" s="10" t="str">
        <f t="shared" si="660"/>
        <v xml:space="preserve">Luna  </v>
      </c>
      <c r="G4972" s="8">
        <v>1</v>
      </c>
      <c r="H4972" s="11">
        <v>400</v>
      </c>
      <c r="I4972" s="12">
        <v>43016</v>
      </c>
      <c r="J4972" s="35">
        <f t="shared" si="663"/>
        <v>0</v>
      </c>
      <c r="K4972" s="36"/>
      <c r="L4972" s="36"/>
      <c r="M4972" s="36"/>
      <c r="N4972" s="36"/>
      <c r="O4972" s="36"/>
      <c r="P4972" s="36"/>
      <c r="Q4972" s="36"/>
      <c r="R4972" s="36"/>
      <c r="S4972" s="36"/>
      <c r="T4972" s="36"/>
      <c r="U4972" s="36"/>
      <c r="V4972" s="36"/>
      <c r="W4972" s="15">
        <f t="shared" si="661"/>
        <v>0</v>
      </c>
      <c r="X4972" s="36"/>
      <c r="Y4972" s="36"/>
      <c r="Z4972" s="36"/>
      <c r="AA4972" s="36"/>
      <c r="AB4972" s="36"/>
      <c r="AC4972" s="36"/>
      <c r="AD4972" s="36"/>
      <c r="AE4972" s="36"/>
      <c r="AF4972" s="36">
        <v>400</v>
      </c>
      <c r="AG4972" s="36"/>
      <c r="AH4972" s="36"/>
      <c r="AI4972" s="36"/>
      <c r="AJ4972" s="15">
        <f t="shared" si="662"/>
        <v>400</v>
      </c>
      <c r="AK4972" s="14"/>
      <c r="AL4972" s="14"/>
      <c r="AM4972" s="14"/>
      <c r="AN4972" s="14"/>
      <c r="AO4972" s="14"/>
      <c r="AP4972" s="14"/>
      <c r="AQ4972" s="14"/>
      <c r="AR4972" s="14"/>
      <c r="AS4972" s="14"/>
      <c r="AT4972" s="14"/>
      <c r="AU4972" s="14"/>
      <c r="AV4972" s="14"/>
      <c r="AW4972" s="15">
        <f t="shared" si="664"/>
        <v>0</v>
      </c>
      <c r="AX4972" s="16"/>
    </row>
    <row r="4973" spans="2:50" x14ac:dyDescent="0.2">
      <c r="B4973" s="7"/>
      <c r="C4973" s="8">
        <v>15197</v>
      </c>
      <c r="D4973" s="9" t="s">
        <v>241</v>
      </c>
      <c r="E4973" s="10" t="str">
        <f t="shared" si="659"/>
        <v>Rancho La Cuchilla No. 81, A</v>
      </c>
      <c r="F4973" s="10" t="str">
        <f t="shared" si="660"/>
        <v>Barrientos López</v>
      </c>
      <c r="G4973" s="8">
        <v>1</v>
      </c>
      <c r="H4973" s="11">
        <v>400</v>
      </c>
      <c r="I4973" s="12">
        <v>43016</v>
      </c>
      <c r="J4973" s="35">
        <f t="shared" si="663"/>
        <v>0</v>
      </c>
      <c r="K4973" s="36"/>
      <c r="L4973" s="36"/>
      <c r="M4973" s="36"/>
      <c r="N4973" s="36"/>
      <c r="O4973" s="36"/>
      <c r="P4973" s="36"/>
      <c r="Q4973" s="36"/>
      <c r="R4973" s="36"/>
      <c r="S4973" s="36"/>
      <c r="T4973" s="36"/>
      <c r="U4973" s="36"/>
      <c r="V4973" s="36"/>
      <c r="W4973" s="15">
        <f t="shared" si="661"/>
        <v>0</v>
      </c>
      <c r="X4973" s="36"/>
      <c r="Y4973" s="36"/>
      <c r="Z4973" s="36"/>
      <c r="AA4973" s="36"/>
      <c r="AB4973" s="36"/>
      <c r="AC4973" s="36"/>
      <c r="AD4973" s="36"/>
      <c r="AE4973" s="36"/>
      <c r="AF4973" s="36"/>
      <c r="AG4973" s="36">
        <v>400</v>
      </c>
      <c r="AH4973" s="36"/>
      <c r="AI4973" s="36"/>
      <c r="AJ4973" s="15">
        <f t="shared" si="662"/>
        <v>400</v>
      </c>
      <c r="AK4973" s="14"/>
      <c r="AL4973" s="14"/>
      <c r="AM4973" s="14"/>
      <c r="AN4973" s="14"/>
      <c r="AO4973" s="14"/>
      <c r="AP4973" s="14"/>
      <c r="AQ4973" s="14"/>
      <c r="AR4973" s="14"/>
      <c r="AS4973" s="14"/>
      <c r="AT4973" s="14"/>
      <c r="AU4973" s="14"/>
      <c r="AV4973" s="14"/>
      <c r="AW4973" s="15">
        <f t="shared" si="664"/>
        <v>0</v>
      </c>
      <c r="AX4973" s="16"/>
    </row>
    <row r="4974" spans="2:50" x14ac:dyDescent="0.2">
      <c r="B4974" s="7"/>
      <c r="C4974" s="8">
        <v>15198</v>
      </c>
      <c r="D4974" s="9" t="s">
        <v>963</v>
      </c>
      <c r="E4974" s="10" t="str">
        <f t="shared" si="659"/>
        <v>Rancho La Cuchilla No. 47</v>
      </c>
      <c r="F4974" s="10" t="str">
        <f t="shared" si="660"/>
        <v>López</v>
      </c>
      <c r="G4974" s="8">
        <v>1</v>
      </c>
      <c r="H4974" s="11">
        <v>1200</v>
      </c>
      <c r="I4974" s="12">
        <v>43016</v>
      </c>
      <c r="J4974" s="35">
        <f t="shared" si="663"/>
        <v>0</v>
      </c>
      <c r="K4974" s="36"/>
      <c r="L4974" s="36"/>
      <c r="M4974" s="36"/>
      <c r="N4974" s="36"/>
      <c r="O4974" s="36"/>
      <c r="P4974" s="36"/>
      <c r="Q4974" s="36"/>
      <c r="R4974" s="36"/>
      <c r="S4974" s="36"/>
      <c r="T4974" s="36"/>
      <c r="U4974" s="36"/>
      <c r="V4974" s="36"/>
      <c r="W4974" s="15">
        <f t="shared" si="661"/>
        <v>0</v>
      </c>
      <c r="X4974" s="36"/>
      <c r="Y4974" s="36"/>
      <c r="Z4974" s="36"/>
      <c r="AA4974" s="36"/>
      <c r="AB4974" s="36">
        <v>300</v>
      </c>
      <c r="AC4974" s="36">
        <v>300</v>
      </c>
      <c r="AD4974" s="36">
        <v>300</v>
      </c>
      <c r="AE4974" s="36">
        <v>300</v>
      </c>
      <c r="AF4974" s="36"/>
      <c r="AG4974" s="36"/>
      <c r="AH4974" s="36"/>
      <c r="AI4974" s="36"/>
      <c r="AJ4974" s="15">
        <f t="shared" si="662"/>
        <v>1200</v>
      </c>
      <c r="AK4974" s="14"/>
      <c r="AL4974" s="14"/>
      <c r="AM4974" s="14"/>
      <c r="AN4974" s="14"/>
      <c r="AO4974" s="14"/>
      <c r="AP4974" s="14"/>
      <c r="AQ4974" s="14"/>
      <c r="AR4974" s="14"/>
      <c r="AS4974" s="14"/>
      <c r="AT4974" s="14"/>
      <c r="AU4974" s="14"/>
      <c r="AV4974" s="14"/>
      <c r="AW4974" s="15">
        <f t="shared" si="664"/>
        <v>0</v>
      </c>
      <c r="AX4974" s="16"/>
    </row>
    <row r="4975" spans="2:50" x14ac:dyDescent="0.2">
      <c r="B4975" s="7"/>
      <c r="C4975" s="8">
        <v>15199</v>
      </c>
      <c r="D4975" s="9" t="s">
        <v>965</v>
      </c>
      <c r="E4975" s="10" t="str">
        <f t="shared" si="659"/>
        <v>Rancho La Cuchilla No. 52</v>
      </c>
      <c r="F4975" s="10" t="str">
        <f t="shared" si="660"/>
        <v>Velázquez</v>
      </c>
      <c r="G4975" s="8">
        <v>1</v>
      </c>
      <c r="H4975" s="11">
        <v>400</v>
      </c>
      <c r="I4975" s="12">
        <v>43016</v>
      </c>
      <c r="J4975" s="35">
        <f t="shared" si="663"/>
        <v>0</v>
      </c>
      <c r="K4975" s="36"/>
      <c r="L4975" s="36"/>
      <c r="M4975" s="36"/>
      <c r="N4975" s="36"/>
      <c r="O4975" s="36"/>
      <c r="P4975" s="36"/>
      <c r="Q4975" s="36"/>
      <c r="R4975" s="36"/>
      <c r="S4975" s="36"/>
      <c r="T4975" s="36"/>
      <c r="U4975" s="36"/>
      <c r="V4975" s="36"/>
      <c r="W4975" s="15">
        <f t="shared" si="661"/>
        <v>0</v>
      </c>
      <c r="X4975" s="36"/>
      <c r="Y4975" s="36"/>
      <c r="Z4975" s="36"/>
      <c r="AA4975" s="36"/>
      <c r="AB4975" s="36"/>
      <c r="AC4975" s="36"/>
      <c r="AD4975" s="36"/>
      <c r="AE4975" s="36">
        <v>400</v>
      </c>
      <c r="AF4975" s="36"/>
      <c r="AG4975" s="36"/>
      <c r="AH4975" s="36"/>
      <c r="AI4975" s="36"/>
      <c r="AJ4975" s="15">
        <f t="shared" si="662"/>
        <v>400</v>
      </c>
      <c r="AK4975" s="14"/>
      <c r="AL4975" s="14"/>
      <c r="AM4975" s="14"/>
      <c r="AN4975" s="14"/>
      <c r="AO4975" s="14"/>
      <c r="AP4975" s="14"/>
      <c r="AQ4975" s="14"/>
      <c r="AR4975" s="14"/>
      <c r="AS4975" s="14"/>
      <c r="AT4975" s="14"/>
      <c r="AU4975" s="14"/>
      <c r="AV4975" s="14"/>
      <c r="AW4975" s="15">
        <f t="shared" si="664"/>
        <v>0</v>
      </c>
      <c r="AX4975" s="16"/>
    </row>
    <row r="4976" spans="2:50" x14ac:dyDescent="0.2">
      <c r="B4976" s="7"/>
      <c r="C4976" s="8">
        <v>15200</v>
      </c>
      <c r="D4976" s="9" t="s">
        <v>831</v>
      </c>
      <c r="E4976" s="10" t="str">
        <f t="shared" si="659"/>
        <v>Rancho Upácuaro No. 80</v>
      </c>
      <c r="F4976" s="10" t="str">
        <f t="shared" si="660"/>
        <v>De los Ríos</v>
      </c>
      <c r="G4976" s="8">
        <v>1</v>
      </c>
      <c r="H4976" s="11">
        <v>800</v>
      </c>
      <c r="I4976" s="12">
        <v>43016</v>
      </c>
      <c r="J4976" s="35">
        <f t="shared" si="663"/>
        <v>0</v>
      </c>
      <c r="K4976" s="36"/>
      <c r="L4976" s="36"/>
      <c r="M4976" s="36"/>
      <c r="N4976" s="36"/>
      <c r="O4976" s="36"/>
      <c r="P4976" s="36"/>
      <c r="Q4976" s="36"/>
      <c r="R4976" s="36"/>
      <c r="S4976" s="36"/>
      <c r="T4976" s="36"/>
      <c r="U4976" s="36"/>
      <c r="V4976" s="36"/>
      <c r="W4976" s="15">
        <f t="shared" si="661"/>
        <v>0</v>
      </c>
      <c r="X4976" s="36"/>
      <c r="Y4976" s="36"/>
      <c r="Z4976" s="36"/>
      <c r="AA4976" s="36"/>
      <c r="AB4976" s="36"/>
      <c r="AC4976" s="36"/>
      <c r="AD4976" s="36"/>
      <c r="AE4976" s="36"/>
      <c r="AF4976" s="36"/>
      <c r="AG4976" s="36">
        <v>400</v>
      </c>
      <c r="AH4976" s="36">
        <v>400</v>
      </c>
      <c r="AI4976" s="36"/>
      <c r="AJ4976" s="15">
        <f t="shared" si="662"/>
        <v>800</v>
      </c>
      <c r="AK4976" s="14"/>
      <c r="AL4976" s="14"/>
      <c r="AM4976" s="14"/>
      <c r="AN4976" s="14"/>
      <c r="AO4976" s="14"/>
      <c r="AP4976" s="14"/>
      <c r="AQ4976" s="14"/>
      <c r="AR4976" s="14"/>
      <c r="AS4976" s="14"/>
      <c r="AT4976" s="14"/>
      <c r="AU4976" s="14"/>
      <c r="AV4976" s="14"/>
      <c r="AW4976" s="15">
        <f t="shared" si="664"/>
        <v>0</v>
      </c>
      <c r="AX4976" s="16"/>
    </row>
    <row r="4977" spans="2:50" x14ac:dyDescent="0.2">
      <c r="B4977" s="7"/>
      <c r="C4977" s="8">
        <v>15201</v>
      </c>
      <c r="D4977" s="9" t="s">
        <v>455</v>
      </c>
      <c r="E4977" s="10" t="str">
        <f t="shared" si="659"/>
        <v>Rancho Zinamba No. 38</v>
      </c>
      <c r="F4977" s="10" t="str">
        <f t="shared" si="660"/>
        <v>Ramírez Díaz</v>
      </c>
      <c r="G4977" s="8">
        <v>1</v>
      </c>
      <c r="H4977" s="11">
        <v>400</v>
      </c>
      <c r="I4977" s="12">
        <v>43016</v>
      </c>
      <c r="J4977" s="35">
        <f t="shared" si="663"/>
        <v>0</v>
      </c>
      <c r="K4977" s="36"/>
      <c r="L4977" s="36"/>
      <c r="M4977" s="36"/>
      <c r="N4977" s="36"/>
      <c r="O4977" s="36"/>
      <c r="P4977" s="36"/>
      <c r="Q4977" s="36"/>
      <c r="R4977" s="36"/>
      <c r="S4977" s="36"/>
      <c r="T4977" s="36"/>
      <c r="U4977" s="36"/>
      <c r="V4977" s="36"/>
      <c r="W4977" s="15">
        <f t="shared" si="661"/>
        <v>0</v>
      </c>
      <c r="X4977" s="36"/>
      <c r="Y4977" s="36"/>
      <c r="Z4977" s="36"/>
      <c r="AA4977" s="36"/>
      <c r="AB4977" s="36"/>
      <c r="AC4977" s="36"/>
      <c r="AD4977" s="36"/>
      <c r="AE4977" s="36"/>
      <c r="AF4977" s="36"/>
      <c r="AG4977" s="36">
        <v>400</v>
      </c>
      <c r="AH4977" s="36"/>
      <c r="AI4977" s="36"/>
      <c r="AJ4977" s="15">
        <f t="shared" si="662"/>
        <v>400</v>
      </c>
      <c r="AK4977" s="14"/>
      <c r="AL4977" s="14"/>
      <c r="AM4977" s="14"/>
      <c r="AN4977" s="14"/>
      <c r="AO4977" s="14"/>
      <c r="AP4977" s="14"/>
      <c r="AQ4977" s="14"/>
      <c r="AR4977" s="14"/>
      <c r="AS4977" s="14"/>
      <c r="AT4977" s="14"/>
      <c r="AU4977" s="14"/>
      <c r="AV4977" s="14"/>
      <c r="AW4977" s="15">
        <f t="shared" si="664"/>
        <v>0</v>
      </c>
      <c r="AX4977" s="16"/>
    </row>
    <row r="4978" spans="2:50" x14ac:dyDescent="0.2">
      <c r="B4978" s="7"/>
      <c r="C4978" s="8">
        <v>15202</v>
      </c>
      <c r="D4978" s="9" t="s">
        <v>271</v>
      </c>
      <c r="E4978" s="10" t="str">
        <f t="shared" si="659"/>
        <v>Rancho Landero No. 76</v>
      </c>
      <c r="F4978" s="10" t="str">
        <f t="shared" si="660"/>
        <v>Ugarte</v>
      </c>
      <c r="G4978" s="8">
        <v>1</v>
      </c>
      <c r="H4978" s="11">
        <v>400</v>
      </c>
      <c r="I4978" s="12">
        <v>43016</v>
      </c>
      <c r="J4978" s="35">
        <f t="shared" si="663"/>
        <v>0</v>
      </c>
      <c r="K4978" s="36"/>
      <c r="L4978" s="36"/>
      <c r="M4978" s="36"/>
      <c r="N4978" s="36"/>
      <c r="O4978" s="36"/>
      <c r="P4978" s="36"/>
      <c r="Q4978" s="36"/>
      <c r="R4978" s="36"/>
      <c r="S4978" s="36"/>
      <c r="T4978" s="36"/>
      <c r="U4978" s="36"/>
      <c r="V4978" s="36"/>
      <c r="W4978" s="15">
        <f t="shared" si="661"/>
        <v>0</v>
      </c>
      <c r="X4978" s="36"/>
      <c r="Y4978" s="36"/>
      <c r="Z4978" s="36"/>
      <c r="AA4978" s="36"/>
      <c r="AB4978" s="36"/>
      <c r="AC4978" s="36"/>
      <c r="AD4978" s="36"/>
      <c r="AE4978" s="36"/>
      <c r="AF4978" s="36"/>
      <c r="AG4978" s="36">
        <v>400</v>
      </c>
      <c r="AH4978" s="36"/>
      <c r="AI4978" s="36"/>
      <c r="AJ4978" s="15">
        <f t="shared" si="662"/>
        <v>400</v>
      </c>
      <c r="AK4978" s="14"/>
      <c r="AL4978" s="14"/>
      <c r="AM4978" s="14"/>
      <c r="AN4978" s="14"/>
      <c r="AO4978" s="14"/>
      <c r="AP4978" s="14"/>
      <c r="AQ4978" s="14"/>
      <c r="AR4978" s="14"/>
      <c r="AS4978" s="14"/>
      <c r="AT4978" s="14"/>
      <c r="AU4978" s="14"/>
      <c r="AV4978" s="14"/>
      <c r="AW4978" s="15">
        <f t="shared" si="664"/>
        <v>0</v>
      </c>
      <c r="AX4978" s="16"/>
    </row>
    <row r="4979" spans="2:50" x14ac:dyDescent="0.2">
      <c r="B4979" s="7"/>
      <c r="C4979" s="8">
        <v>15203</v>
      </c>
      <c r="D4979" s="9" t="s">
        <v>404</v>
      </c>
      <c r="E4979" s="10" t="str">
        <f t="shared" si="659"/>
        <v>Rancho La Cuchilla No. 89</v>
      </c>
      <c r="F4979" s="10" t="str">
        <f t="shared" si="660"/>
        <v>Gálvez</v>
      </c>
      <c r="G4979" s="8">
        <v>1</v>
      </c>
      <c r="H4979" s="11">
        <v>400</v>
      </c>
      <c r="I4979" s="12">
        <v>43016</v>
      </c>
      <c r="J4979" s="35">
        <f t="shared" si="663"/>
        <v>0</v>
      </c>
      <c r="K4979" s="36"/>
      <c r="L4979" s="36"/>
      <c r="M4979" s="36"/>
      <c r="N4979" s="36"/>
      <c r="O4979" s="36"/>
      <c r="P4979" s="36"/>
      <c r="Q4979" s="36"/>
      <c r="R4979" s="36"/>
      <c r="S4979" s="36"/>
      <c r="T4979" s="36"/>
      <c r="U4979" s="36"/>
      <c r="V4979" s="36"/>
      <c r="W4979" s="15">
        <f t="shared" si="661"/>
        <v>0</v>
      </c>
      <c r="X4979" s="36"/>
      <c r="Y4979" s="36"/>
      <c r="Z4979" s="36"/>
      <c r="AA4979" s="36"/>
      <c r="AB4979" s="36"/>
      <c r="AC4979" s="36"/>
      <c r="AD4979" s="36"/>
      <c r="AE4979" s="36"/>
      <c r="AF4979" s="36"/>
      <c r="AG4979" s="36">
        <v>400</v>
      </c>
      <c r="AH4979" s="36"/>
      <c r="AI4979" s="36"/>
      <c r="AJ4979" s="15">
        <f t="shared" si="662"/>
        <v>400</v>
      </c>
      <c r="AK4979" s="14"/>
      <c r="AL4979" s="14"/>
      <c r="AM4979" s="14"/>
      <c r="AN4979" s="14"/>
      <c r="AO4979" s="14"/>
      <c r="AP4979" s="14"/>
      <c r="AQ4979" s="14"/>
      <c r="AR4979" s="14"/>
      <c r="AS4979" s="14"/>
      <c r="AT4979" s="14"/>
      <c r="AU4979" s="14"/>
      <c r="AV4979" s="14"/>
      <c r="AW4979" s="15">
        <f t="shared" si="664"/>
        <v>0</v>
      </c>
      <c r="AX4979" s="16"/>
    </row>
    <row r="4980" spans="2:50" x14ac:dyDescent="0.2">
      <c r="B4980" s="7"/>
      <c r="C4980" s="8">
        <v>15204</v>
      </c>
      <c r="D4980" s="9" t="s">
        <v>398</v>
      </c>
      <c r="E4980" s="10" t="str">
        <f t="shared" ref="E4980:E4991" si="665">IF(D4980=0,"",VLOOKUP(D4980,BASE,2,FALSE))</f>
        <v>Rancho Estanzuela No. 151</v>
      </c>
      <c r="F4980" s="10" t="str">
        <f t="shared" ref="F4980:F4991" si="666">IF(D4980=0,"",VLOOKUP(D4980,BASE,3,FALSE))</f>
        <v>Pérez Salazar</v>
      </c>
      <c r="G4980" s="8">
        <v>1</v>
      </c>
      <c r="H4980" s="11">
        <v>400</v>
      </c>
      <c r="I4980" s="12">
        <v>43016</v>
      </c>
      <c r="J4980" s="35">
        <f t="shared" si="663"/>
        <v>0</v>
      </c>
      <c r="K4980" s="36"/>
      <c r="L4980" s="36"/>
      <c r="M4980" s="36"/>
      <c r="N4980" s="36"/>
      <c r="O4980" s="36"/>
      <c r="P4980" s="36"/>
      <c r="Q4980" s="36"/>
      <c r="R4980" s="36"/>
      <c r="S4980" s="36"/>
      <c r="T4980" s="36"/>
      <c r="U4980" s="36"/>
      <c r="V4980" s="36"/>
      <c r="W4980" s="15">
        <f t="shared" ref="W4980:W4991" si="667">SUM(K4980:V4980)</f>
        <v>0</v>
      </c>
      <c r="X4980" s="36"/>
      <c r="Y4980" s="36"/>
      <c r="Z4980" s="36"/>
      <c r="AA4980" s="36"/>
      <c r="AB4980" s="36"/>
      <c r="AC4980" s="36"/>
      <c r="AD4980" s="36"/>
      <c r="AE4980" s="36"/>
      <c r="AF4980" s="36"/>
      <c r="AG4980" s="36">
        <v>400</v>
      </c>
      <c r="AH4980" s="36"/>
      <c r="AI4980" s="36"/>
      <c r="AJ4980" s="15">
        <f t="shared" ref="AJ4980:AJ4991" si="668">SUM(X4980:AI4980)</f>
        <v>400</v>
      </c>
      <c r="AK4980" s="14"/>
      <c r="AL4980" s="14"/>
      <c r="AM4980" s="14"/>
      <c r="AN4980" s="14"/>
      <c r="AO4980" s="14"/>
      <c r="AP4980" s="14"/>
      <c r="AQ4980" s="14"/>
      <c r="AR4980" s="14"/>
      <c r="AS4980" s="14"/>
      <c r="AT4980" s="14"/>
      <c r="AU4980" s="14"/>
      <c r="AV4980" s="14"/>
      <c r="AW4980" s="15">
        <f t="shared" si="664"/>
        <v>0</v>
      </c>
      <c r="AX4980" s="16"/>
    </row>
    <row r="4981" spans="2:50" x14ac:dyDescent="0.2">
      <c r="B4981" s="7"/>
      <c r="C4981" s="8">
        <v>15205</v>
      </c>
      <c r="D4981" s="9" t="s">
        <v>328</v>
      </c>
      <c r="E4981" s="10" t="str">
        <f t="shared" si="665"/>
        <v>Rancho La Cuchilla No. 130</v>
      </c>
      <c r="F4981" s="10" t="str">
        <f t="shared" si="666"/>
        <v>Gonzalez</v>
      </c>
      <c r="G4981" s="8">
        <v>1</v>
      </c>
      <c r="H4981" s="11">
        <v>400</v>
      </c>
      <c r="I4981" s="12">
        <v>43016</v>
      </c>
      <c r="J4981" s="35">
        <f t="shared" si="663"/>
        <v>0</v>
      </c>
      <c r="K4981" s="36"/>
      <c r="L4981" s="36"/>
      <c r="M4981" s="36"/>
      <c r="N4981" s="36"/>
      <c r="O4981" s="36"/>
      <c r="P4981" s="36"/>
      <c r="Q4981" s="36"/>
      <c r="R4981" s="36"/>
      <c r="S4981" s="36"/>
      <c r="T4981" s="36"/>
      <c r="U4981" s="36"/>
      <c r="V4981" s="36"/>
      <c r="W4981" s="15">
        <f t="shared" si="667"/>
        <v>0</v>
      </c>
      <c r="X4981" s="36"/>
      <c r="Y4981" s="36"/>
      <c r="Z4981" s="36"/>
      <c r="AA4981" s="36"/>
      <c r="AB4981" s="36"/>
      <c r="AC4981" s="36"/>
      <c r="AD4981" s="36"/>
      <c r="AE4981" s="36"/>
      <c r="AF4981" s="36"/>
      <c r="AG4981" s="36">
        <v>400</v>
      </c>
      <c r="AH4981" s="36"/>
      <c r="AI4981" s="36"/>
      <c r="AJ4981" s="15">
        <f t="shared" si="668"/>
        <v>400</v>
      </c>
      <c r="AK4981" s="14"/>
      <c r="AL4981" s="14"/>
      <c r="AM4981" s="14"/>
      <c r="AN4981" s="14"/>
      <c r="AO4981" s="14"/>
      <c r="AP4981" s="14"/>
      <c r="AQ4981" s="14"/>
      <c r="AR4981" s="14"/>
      <c r="AS4981" s="14"/>
      <c r="AT4981" s="14"/>
      <c r="AU4981" s="14"/>
      <c r="AV4981" s="14"/>
      <c r="AW4981" s="15">
        <f t="shared" si="664"/>
        <v>0</v>
      </c>
      <c r="AX4981" s="16"/>
    </row>
    <row r="4982" spans="2:50" x14ac:dyDescent="0.2">
      <c r="B4982" s="7"/>
      <c r="C4982" s="8">
        <v>15206</v>
      </c>
      <c r="D4982" s="9" t="s">
        <v>277</v>
      </c>
      <c r="E4982" s="10" t="str">
        <f t="shared" si="665"/>
        <v>Rancho Estanzuela No. 7, A</v>
      </c>
      <c r="F4982" s="10" t="str">
        <f t="shared" si="666"/>
        <v>Herrera Izquierdo</v>
      </c>
      <c r="G4982" s="8">
        <v>1</v>
      </c>
      <c r="H4982" s="11">
        <v>400</v>
      </c>
      <c r="I4982" s="12">
        <v>43016</v>
      </c>
      <c r="J4982" s="35">
        <f t="shared" si="663"/>
        <v>0</v>
      </c>
      <c r="K4982" s="36"/>
      <c r="L4982" s="36"/>
      <c r="M4982" s="36"/>
      <c r="N4982" s="36"/>
      <c r="O4982" s="36"/>
      <c r="P4982" s="36"/>
      <c r="Q4982" s="36"/>
      <c r="R4982" s="36"/>
      <c r="S4982" s="36"/>
      <c r="T4982" s="36"/>
      <c r="U4982" s="36"/>
      <c r="V4982" s="36"/>
      <c r="W4982" s="15">
        <f t="shared" si="667"/>
        <v>0</v>
      </c>
      <c r="X4982" s="36"/>
      <c r="Y4982" s="36"/>
      <c r="Z4982" s="36"/>
      <c r="AA4982" s="36"/>
      <c r="AB4982" s="36"/>
      <c r="AC4982" s="36"/>
      <c r="AD4982" s="36"/>
      <c r="AE4982" s="36"/>
      <c r="AF4982" s="36">
        <v>200</v>
      </c>
      <c r="AG4982" s="36">
        <v>200</v>
      </c>
      <c r="AH4982" s="36"/>
      <c r="AI4982" s="36"/>
      <c r="AJ4982" s="15">
        <f t="shared" si="668"/>
        <v>400</v>
      </c>
      <c r="AK4982" s="14"/>
      <c r="AL4982" s="14"/>
      <c r="AM4982" s="14"/>
      <c r="AN4982" s="14"/>
      <c r="AO4982" s="14"/>
      <c r="AP4982" s="14"/>
      <c r="AQ4982" s="14"/>
      <c r="AR4982" s="14"/>
      <c r="AS4982" s="14"/>
      <c r="AT4982" s="14"/>
      <c r="AU4982" s="14"/>
      <c r="AV4982" s="14"/>
      <c r="AW4982" s="15">
        <f t="shared" si="664"/>
        <v>0</v>
      </c>
      <c r="AX4982" s="16"/>
    </row>
    <row r="4983" spans="2:50" x14ac:dyDescent="0.2">
      <c r="B4983" s="7"/>
      <c r="C4983" s="8">
        <v>15207</v>
      </c>
      <c r="D4983" s="9" t="s">
        <v>556</v>
      </c>
      <c r="E4983" s="10" t="str">
        <f t="shared" si="665"/>
        <v>Rancho Zinamba No. 26</v>
      </c>
      <c r="F4983" s="10" t="str">
        <f t="shared" si="666"/>
        <v>Ayala</v>
      </c>
      <c r="G4983" s="8">
        <v>1</v>
      </c>
      <c r="H4983" s="11">
        <v>400</v>
      </c>
      <c r="I4983" s="12">
        <v>43016</v>
      </c>
      <c r="J4983" s="35">
        <f t="shared" si="663"/>
        <v>0</v>
      </c>
      <c r="K4983" s="36"/>
      <c r="L4983" s="36"/>
      <c r="M4983" s="36"/>
      <c r="N4983" s="36"/>
      <c r="O4983" s="36"/>
      <c r="P4983" s="36"/>
      <c r="Q4983" s="36"/>
      <c r="R4983" s="36"/>
      <c r="S4983" s="36"/>
      <c r="T4983" s="36"/>
      <c r="U4983" s="36"/>
      <c r="V4983" s="36"/>
      <c r="W4983" s="15">
        <f t="shared" si="667"/>
        <v>0</v>
      </c>
      <c r="X4983" s="36"/>
      <c r="Y4983" s="36"/>
      <c r="Z4983" s="36"/>
      <c r="AA4983" s="36"/>
      <c r="AB4983" s="36"/>
      <c r="AC4983" s="36"/>
      <c r="AD4983" s="36"/>
      <c r="AE4983" s="36">
        <v>400</v>
      </c>
      <c r="AF4983" s="36"/>
      <c r="AG4983" s="36"/>
      <c r="AH4983" s="36"/>
      <c r="AI4983" s="36"/>
      <c r="AJ4983" s="15">
        <f t="shared" si="668"/>
        <v>400</v>
      </c>
      <c r="AK4983" s="14"/>
      <c r="AL4983" s="14"/>
      <c r="AM4983" s="14"/>
      <c r="AN4983" s="14"/>
      <c r="AO4983" s="14"/>
      <c r="AP4983" s="14"/>
      <c r="AQ4983" s="14"/>
      <c r="AR4983" s="14"/>
      <c r="AS4983" s="14"/>
      <c r="AT4983" s="14"/>
      <c r="AU4983" s="14"/>
      <c r="AV4983" s="14"/>
      <c r="AW4983" s="15">
        <f t="shared" si="664"/>
        <v>0</v>
      </c>
      <c r="AX4983" s="16"/>
    </row>
    <row r="4984" spans="2:50" x14ac:dyDescent="0.2">
      <c r="B4984" s="7"/>
      <c r="C4984" s="8">
        <v>15208</v>
      </c>
      <c r="D4984" s="9" t="s">
        <v>568</v>
      </c>
      <c r="E4984" s="10" t="str">
        <f t="shared" si="665"/>
        <v>Rancho Landero No. 95</v>
      </c>
      <c r="F4984" s="10" t="str">
        <f t="shared" si="666"/>
        <v>Rivas Rangel</v>
      </c>
      <c r="G4984" s="8">
        <v>1</v>
      </c>
      <c r="H4984" s="11">
        <v>400</v>
      </c>
      <c r="I4984" s="12">
        <v>43016</v>
      </c>
      <c r="J4984" s="35">
        <f t="shared" si="663"/>
        <v>0</v>
      </c>
      <c r="K4984" s="36"/>
      <c r="L4984" s="36"/>
      <c r="M4984" s="36"/>
      <c r="N4984" s="36"/>
      <c r="O4984" s="36"/>
      <c r="P4984" s="36"/>
      <c r="Q4984" s="36"/>
      <c r="R4984" s="36"/>
      <c r="S4984" s="36"/>
      <c r="T4984" s="36"/>
      <c r="U4984" s="36"/>
      <c r="V4984" s="36"/>
      <c r="W4984" s="15">
        <f t="shared" si="667"/>
        <v>0</v>
      </c>
      <c r="X4984" s="36"/>
      <c r="Y4984" s="36"/>
      <c r="Z4984" s="36"/>
      <c r="AA4984" s="36"/>
      <c r="AB4984" s="36"/>
      <c r="AC4984" s="36"/>
      <c r="AD4984" s="36"/>
      <c r="AE4984" s="36"/>
      <c r="AF4984" s="36"/>
      <c r="AG4984" s="36">
        <v>400</v>
      </c>
      <c r="AH4984" s="36"/>
      <c r="AI4984" s="36"/>
      <c r="AJ4984" s="15">
        <f t="shared" si="668"/>
        <v>400</v>
      </c>
      <c r="AK4984" s="14"/>
      <c r="AL4984" s="14"/>
      <c r="AM4984" s="14"/>
      <c r="AN4984" s="14"/>
      <c r="AO4984" s="14"/>
      <c r="AP4984" s="14"/>
      <c r="AQ4984" s="14"/>
      <c r="AR4984" s="14"/>
      <c r="AS4984" s="14"/>
      <c r="AT4984" s="14"/>
      <c r="AU4984" s="14"/>
      <c r="AV4984" s="14"/>
      <c r="AW4984" s="15">
        <f t="shared" si="664"/>
        <v>0</v>
      </c>
      <c r="AX4984" s="16"/>
    </row>
    <row r="4985" spans="2:50" x14ac:dyDescent="0.2">
      <c r="B4985" s="7"/>
      <c r="C4985" s="8">
        <v>15209</v>
      </c>
      <c r="D4985" s="9" t="s">
        <v>696</v>
      </c>
      <c r="E4985" s="10" t="str">
        <f t="shared" si="665"/>
        <v>Rancho Upácuaro No. 64</v>
      </c>
      <c r="F4985" s="10" t="str">
        <f t="shared" si="666"/>
        <v>Méndez Oliva</v>
      </c>
      <c r="G4985" s="8">
        <v>1</v>
      </c>
      <c r="H4985" s="11">
        <v>300</v>
      </c>
      <c r="I4985" s="12">
        <v>43016</v>
      </c>
      <c r="J4985" s="35">
        <f t="shared" ref="J4985:J5016" si="669">IF(G4985=1,SUM(W4985,AJ4985,AW4985,-H4985),0)</f>
        <v>0</v>
      </c>
      <c r="K4985" s="36"/>
      <c r="L4985" s="36"/>
      <c r="M4985" s="36"/>
      <c r="N4985" s="36"/>
      <c r="O4985" s="36"/>
      <c r="P4985" s="36"/>
      <c r="Q4985" s="36"/>
      <c r="R4985" s="36"/>
      <c r="S4985" s="36"/>
      <c r="T4985" s="36"/>
      <c r="U4985" s="36"/>
      <c r="V4985" s="36"/>
      <c r="W4985" s="15">
        <f t="shared" si="667"/>
        <v>0</v>
      </c>
      <c r="X4985" s="36"/>
      <c r="Y4985" s="36"/>
      <c r="Z4985" s="36"/>
      <c r="AA4985" s="36"/>
      <c r="AB4985" s="36"/>
      <c r="AC4985" s="36"/>
      <c r="AD4985" s="36"/>
      <c r="AE4985" s="36"/>
      <c r="AF4985" s="36"/>
      <c r="AG4985" s="36">
        <v>300</v>
      </c>
      <c r="AH4985" s="36"/>
      <c r="AI4985" s="36"/>
      <c r="AJ4985" s="15">
        <f t="shared" si="668"/>
        <v>300</v>
      </c>
      <c r="AK4985" s="14"/>
      <c r="AL4985" s="14"/>
      <c r="AM4985" s="14"/>
      <c r="AN4985" s="14"/>
      <c r="AO4985" s="14"/>
      <c r="AP4985" s="14"/>
      <c r="AQ4985" s="14"/>
      <c r="AR4985" s="14"/>
      <c r="AS4985" s="14"/>
      <c r="AT4985" s="14"/>
      <c r="AU4985" s="14"/>
      <c r="AV4985" s="14"/>
      <c r="AW4985" s="15">
        <f t="shared" ref="AW4985:AW5016" si="670">SUM(AK4985:AV4985)</f>
        <v>0</v>
      </c>
      <c r="AX4985" s="16"/>
    </row>
    <row r="4986" spans="2:50" x14ac:dyDescent="0.2">
      <c r="B4986" s="7"/>
      <c r="C4986" s="8">
        <v>15210</v>
      </c>
      <c r="D4986" s="9" t="s">
        <v>340</v>
      </c>
      <c r="E4986" s="10" t="str">
        <f t="shared" si="665"/>
        <v>Rancho Romeral No. 17</v>
      </c>
      <c r="F4986" s="10" t="str">
        <f t="shared" si="666"/>
        <v>Aguilar Lomelí</v>
      </c>
      <c r="G4986" s="8">
        <v>1</v>
      </c>
      <c r="H4986" s="11">
        <v>400</v>
      </c>
      <c r="I4986" s="12">
        <v>43016</v>
      </c>
      <c r="J4986" s="35">
        <f t="shared" si="669"/>
        <v>0</v>
      </c>
      <c r="K4986" s="36"/>
      <c r="L4986" s="36"/>
      <c r="M4986" s="36"/>
      <c r="N4986" s="36"/>
      <c r="O4986" s="36"/>
      <c r="P4986" s="36"/>
      <c r="Q4986" s="36"/>
      <c r="R4986" s="36"/>
      <c r="S4986" s="36"/>
      <c r="T4986" s="36"/>
      <c r="U4986" s="36"/>
      <c r="V4986" s="36"/>
      <c r="W4986" s="15">
        <f t="shared" si="667"/>
        <v>0</v>
      </c>
      <c r="X4986" s="36"/>
      <c r="Y4986" s="36"/>
      <c r="Z4986" s="36"/>
      <c r="AA4986" s="36"/>
      <c r="AB4986" s="36"/>
      <c r="AC4986" s="36"/>
      <c r="AD4986" s="36"/>
      <c r="AE4986" s="36"/>
      <c r="AF4986" s="36"/>
      <c r="AG4986" s="36">
        <v>400</v>
      </c>
      <c r="AH4986" s="36"/>
      <c r="AI4986" s="36"/>
      <c r="AJ4986" s="15">
        <f t="shared" si="668"/>
        <v>400</v>
      </c>
      <c r="AK4986" s="14"/>
      <c r="AL4986" s="14"/>
      <c r="AM4986" s="14"/>
      <c r="AN4986" s="14"/>
      <c r="AO4986" s="14"/>
      <c r="AP4986" s="14"/>
      <c r="AQ4986" s="14"/>
      <c r="AR4986" s="14"/>
      <c r="AS4986" s="14"/>
      <c r="AT4986" s="14"/>
      <c r="AU4986" s="14"/>
      <c r="AV4986" s="14"/>
      <c r="AW4986" s="15">
        <f t="shared" si="670"/>
        <v>0</v>
      </c>
      <c r="AX4986" s="16"/>
    </row>
    <row r="4987" spans="2:50" x14ac:dyDescent="0.2">
      <c r="B4987" s="7"/>
      <c r="C4987" s="8">
        <v>15211</v>
      </c>
      <c r="D4987" s="9" t="s">
        <v>165</v>
      </c>
      <c r="E4987" s="10" t="str">
        <f t="shared" si="665"/>
        <v>Rancho Upácuaro No. 23</v>
      </c>
      <c r="F4987" s="10" t="str">
        <f t="shared" si="666"/>
        <v>Gutièrrez Muñòz</v>
      </c>
      <c r="G4987" s="8">
        <v>1</v>
      </c>
      <c r="H4987" s="11">
        <v>700</v>
      </c>
      <c r="I4987" s="12">
        <v>43016</v>
      </c>
      <c r="J4987" s="35">
        <f t="shared" si="669"/>
        <v>0</v>
      </c>
      <c r="K4987" s="36"/>
      <c r="L4987" s="36"/>
      <c r="M4987" s="36"/>
      <c r="N4987" s="36"/>
      <c r="O4987" s="36"/>
      <c r="P4987" s="36"/>
      <c r="Q4987" s="36"/>
      <c r="R4987" s="36"/>
      <c r="S4987" s="36"/>
      <c r="T4987" s="36"/>
      <c r="U4987" s="36"/>
      <c r="V4987" s="36"/>
      <c r="W4987" s="15">
        <f t="shared" si="667"/>
        <v>0</v>
      </c>
      <c r="X4987" s="36"/>
      <c r="Y4987" s="36"/>
      <c r="Z4987" s="36"/>
      <c r="AA4987" s="36"/>
      <c r="AB4987" s="36"/>
      <c r="AC4987" s="36"/>
      <c r="AD4987" s="36"/>
      <c r="AE4987" s="36"/>
      <c r="AF4987" s="36"/>
      <c r="AG4987" s="36">
        <v>350</v>
      </c>
      <c r="AH4987" s="36">
        <v>350</v>
      </c>
      <c r="AI4987" s="36"/>
      <c r="AJ4987" s="15">
        <f t="shared" si="668"/>
        <v>700</v>
      </c>
      <c r="AK4987" s="14"/>
      <c r="AL4987" s="14"/>
      <c r="AM4987" s="14"/>
      <c r="AN4987" s="14"/>
      <c r="AO4987" s="14"/>
      <c r="AP4987" s="14"/>
      <c r="AQ4987" s="14"/>
      <c r="AR4987" s="14"/>
      <c r="AS4987" s="14"/>
      <c r="AT4987" s="14"/>
      <c r="AU4987" s="14"/>
      <c r="AV4987" s="14"/>
      <c r="AW4987" s="15">
        <f t="shared" si="670"/>
        <v>0</v>
      </c>
      <c r="AX4987" s="16"/>
    </row>
    <row r="4988" spans="2:50" x14ac:dyDescent="0.2">
      <c r="B4988" s="7"/>
      <c r="C4988" s="8">
        <v>15212</v>
      </c>
      <c r="D4988" s="9" t="s">
        <v>583</v>
      </c>
      <c r="E4988" s="10" t="str">
        <f t="shared" si="665"/>
        <v>Rancho La Cuchilla No. 111</v>
      </c>
      <c r="F4988" s="10" t="str">
        <f t="shared" si="666"/>
        <v>García Santos Ofelia</v>
      </c>
      <c r="G4988" s="8">
        <v>1</v>
      </c>
      <c r="H4988" s="11">
        <v>200</v>
      </c>
      <c r="I4988" s="12">
        <v>43016</v>
      </c>
      <c r="J4988" s="35">
        <f t="shared" si="669"/>
        <v>0</v>
      </c>
      <c r="K4988" s="36"/>
      <c r="L4988" s="36"/>
      <c r="M4988" s="36"/>
      <c r="N4988" s="36"/>
      <c r="O4988" s="36"/>
      <c r="P4988" s="36"/>
      <c r="Q4988" s="36"/>
      <c r="R4988" s="36"/>
      <c r="S4988" s="36"/>
      <c r="T4988" s="36"/>
      <c r="U4988" s="36"/>
      <c r="V4988" s="36"/>
      <c r="W4988" s="15">
        <f t="shared" si="667"/>
        <v>0</v>
      </c>
      <c r="X4988" s="36"/>
      <c r="Y4988" s="36"/>
      <c r="Z4988" s="36"/>
      <c r="AA4988" s="36"/>
      <c r="AB4988" s="36"/>
      <c r="AC4988" s="36"/>
      <c r="AD4988" s="36"/>
      <c r="AE4988" s="36"/>
      <c r="AF4988" s="36"/>
      <c r="AG4988" s="36">
        <v>200</v>
      </c>
      <c r="AH4988" s="36"/>
      <c r="AI4988" s="36"/>
      <c r="AJ4988" s="15">
        <f t="shared" si="668"/>
        <v>200</v>
      </c>
      <c r="AK4988" s="14"/>
      <c r="AL4988" s="14"/>
      <c r="AM4988" s="14"/>
      <c r="AN4988" s="14"/>
      <c r="AO4988" s="14"/>
      <c r="AP4988" s="14"/>
      <c r="AQ4988" s="14"/>
      <c r="AR4988" s="14"/>
      <c r="AS4988" s="14"/>
      <c r="AT4988" s="14"/>
      <c r="AU4988" s="14"/>
      <c r="AV4988" s="14"/>
      <c r="AW4988" s="15">
        <f t="shared" si="670"/>
        <v>0</v>
      </c>
      <c r="AX4988" s="16"/>
    </row>
    <row r="4989" spans="2:50" x14ac:dyDescent="0.2">
      <c r="B4989" s="7"/>
      <c r="C4989" s="8">
        <v>15213</v>
      </c>
      <c r="D4989" s="9" t="s">
        <v>87</v>
      </c>
      <c r="E4989" s="10" t="str">
        <f t="shared" si="665"/>
        <v>Rancho Zinamba No. 36</v>
      </c>
      <c r="F4989" s="10" t="str">
        <f t="shared" si="666"/>
        <v>Rodríguez Ortiz</v>
      </c>
      <c r="G4989" s="8">
        <v>1</v>
      </c>
      <c r="H4989" s="11">
        <v>400</v>
      </c>
      <c r="I4989" s="12">
        <v>43016</v>
      </c>
      <c r="J4989" s="35">
        <f t="shared" si="669"/>
        <v>0</v>
      </c>
      <c r="K4989" s="36"/>
      <c r="L4989" s="36"/>
      <c r="M4989" s="36"/>
      <c r="N4989" s="36"/>
      <c r="O4989" s="36"/>
      <c r="P4989" s="36"/>
      <c r="Q4989" s="36"/>
      <c r="R4989" s="36"/>
      <c r="S4989" s="36"/>
      <c r="T4989" s="36"/>
      <c r="U4989" s="36"/>
      <c r="V4989" s="36"/>
      <c r="W4989" s="15">
        <f t="shared" si="667"/>
        <v>0</v>
      </c>
      <c r="X4989" s="36"/>
      <c r="Y4989" s="36"/>
      <c r="Z4989" s="36"/>
      <c r="AA4989" s="36"/>
      <c r="AB4989" s="36"/>
      <c r="AC4989" s="36"/>
      <c r="AD4989" s="36"/>
      <c r="AE4989" s="36"/>
      <c r="AF4989" s="36"/>
      <c r="AG4989" s="36">
        <v>400</v>
      </c>
      <c r="AH4989" s="36"/>
      <c r="AI4989" s="36"/>
      <c r="AJ4989" s="15">
        <f t="shared" si="668"/>
        <v>400</v>
      </c>
      <c r="AK4989" s="14"/>
      <c r="AL4989" s="14"/>
      <c r="AM4989" s="14"/>
      <c r="AN4989" s="14"/>
      <c r="AO4989" s="14"/>
      <c r="AP4989" s="14"/>
      <c r="AQ4989" s="14"/>
      <c r="AR4989" s="14"/>
      <c r="AS4989" s="14"/>
      <c r="AT4989" s="14"/>
      <c r="AU4989" s="14"/>
      <c r="AV4989" s="14"/>
      <c r="AW4989" s="15">
        <f t="shared" si="670"/>
        <v>0</v>
      </c>
      <c r="AX4989" s="16"/>
    </row>
    <row r="4990" spans="2:50" x14ac:dyDescent="0.2">
      <c r="B4990" s="7"/>
      <c r="C4990" s="8">
        <v>15214</v>
      </c>
      <c r="D4990" s="9" t="s">
        <v>395</v>
      </c>
      <c r="E4990" s="10" t="str">
        <f t="shared" si="665"/>
        <v>Rancho Landero No. 7</v>
      </c>
      <c r="F4990" s="10" t="str">
        <f t="shared" si="666"/>
        <v>Robles</v>
      </c>
      <c r="G4990" s="8">
        <v>1</v>
      </c>
      <c r="H4990" s="11">
        <v>200</v>
      </c>
      <c r="I4990" s="12">
        <v>43016</v>
      </c>
      <c r="J4990" s="35">
        <f t="shared" si="669"/>
        <v>0</v>
      </c>
      <c r="K4990" s="36"/>
      <c r="L4990" s="36"/>
      <c r="M4990" s="36"/>
      <c r="N4990" s="36"/>
      <c r="O4990" s="36"/>
      <c r="P4990" s="36"/>
      <c r="Q4990" s="36"/>
      <c r="R4990" s="36"/>
      <c r="S4990" s="36"/>
      <c r="T4990" s="36"/>
      <c r="U4990" s="36"/>
      <c r="V4990" s="36"/>
      <c r="W4990" s="15">
        <f t="shared" si="667"/>
        <v>0</v>
      </c>
      <c r="X4990" s="36"/>
      <c r="Y4990" s="36"/>
      <c r="Z4990" s="36"/>
      <c r="AA4990" s="36"/>
      <c r="AB4990" s="36"/>
      <c r="AC4990" s="36"/>
      <c r="AD4990" s="36"/>
      <c r="AE4990" s="36"/>
      <c r="AF4990" s="36"/>
      <c r="AG4990" s="36">
        <v>200</v>
      </c>
      <c r="AH4990" s="36"/>
      <c r="AI4990" s="36"/>
      <c r="AJ4990" s="15">
        <f t="shared" si="668"/>
        <v>200</v>
      </c>
      <c r="AK4990" s="14"/>
      <c r="AL4990" s="14"/>
      <c r="AM4990" s="14"/>
      <c r="AN4990" s="14"/>
      <c r="AO4990" s="14"/>
      <c r="AP4990" s="14"/>
      <c r="AQ4990" s="14"/>
      <c r="AR4990" s="14"/>
      <c r="AS4990" s="14"/>
      <c r="AT4990" s="14"/>
      <c r="AU4990" s="14"/>
      <c r="AV4990" s="14"/>
      <c r="AW4990" s="15">
        <f t="shared" si="670"/>
        <v>0</v>
      </c>
      <c r="AX4990" s="16"/>
    </row>
    <row r="4991" spans="2:50" x14ac:dyDescent="0.2">
      <c r="B4991" s="7"/>
      <c r="C4991" s="8">
        <v>15215</v>
      </c>
      <c r="D4991" s="9" t="s">
        <v>1272</v>
      </c>
      <c r="E4991" s="10" t="str">
        <f t="shared" si="665"/>
        <v>Rancho La Cuchilla No. 60</v>
      </c>
      <c r="F4991" s="10" t="str">
        <f t="shared" si="666"/>
        <v>Moisen</v>
      </c>
      <c r="G4991" s="8">
        <v>1</v>
      </c>
      <c r="H4991" s="11">
        <v>800</v>
      </c>
      <c r="I4991" s="12">
        <v>43016</v>
      </c>
      <c r="J4991" s="35">
        <f t="shared" si="669"/>
        <v>0</v>
      </c>
      <c r="K4991" s="36"/>
      <c r="L4991" s="36"/>
      <c r="M4991" s="36"/>
      <c r="N4991" s="36"/>
      <c r="O4991" s="36"/>
      <c r="P4991" s="36"/>
      <c r="Q4991" s="36"/>
      <c r="R4991" s="36"/>
      <c r="S4991" s="36"/>
      <c r="T4991" s="36"/>
      <c r="U4991" s="36"/>
      <c r="V4991" s="36"/>
      <c r="W4991" s="15">
        <f t="shared" si="667"/>
        <v>0</v>
      </c>
      <c r="X4991" s="36"/>
      <c r="Y4991" s="36"/>
      <c r="Z4991" s="36"/>
      <c r="AA4991" s="36"/>
      <c r="AB4991" s="36"/>
      <c r="AC4991" s="36"/>
      <c r="AD4991" s="36"/>
      <c r="AE4991" s="36"/>
      <c r="AF4991" s="36">
        <v>400</v>
      </c>
      <c r="AG4991" s="36">
        <v>400</v>
      </c>
      <c r="AH4991" s="36"/>
      <c r="AI4991" s="36"/>
      <c r="AJ4991" s="15">
        <f t="shared" si="668"/>
        <v>800</v>
      </c>
      <c r="AK4991" s="14"/>
      <c r="AL4991" s="14"/>
      <c r="AM4991" s="14"/>
      <c r="AN4991" s="14"/>
      <c r="AO4991" s="14"/>
      <c r="AP4991" s="14"/>
      <c r="AQ4991" s="14"/>
      <c r="AR4991" s="14"/>
      <c r="AS4991" s="14"/>
      <c r="AT4991" s="14"/>
      <c r="AU4991" s="14"/>
      <c r="AV4991" s="14"/>
      <c r="AW4991" s="15">
        <f t="shared" si="670"/>
        <v>0</v>
      </c>
      <c r="AX4991" s="16"/>
    </row>
    <row r="4992" spans="2:50" x14ac:dyDescent="0.2">
      <c r="B4992" s="7"/>
      <c r="C4992" s="8">
        <v>15215</v>
      </c>
      <c r="D4992" s="9" t="s">
        <v>1272</v>
      </c>
      <c r="E4992" s="10" t="str">
        <f t="shared" si="659"/>
        <v>Rancho La Cuchilla No. 60</v>
      </c>
      <c r="F4992" s="10" t="str">
        <f t="shared" si="660"/>
        <v>Moisen</v>
      </c>
      <c r="G4992" s="8">
        <v>3</v>
      </c>
      <c r="H4992" s="11">
        <v>400</v>
      </c>
      <c r="I4992" s="12">
        <v>43016</v>
      </c>
      <c r="J4992" s="35">
        <f t="shared" si="669"/>
        <v>0</v>
      </c>
      <c r="K4992" s="36"/>
      <c r="L4992" s="36"/>
      <c r="M4992" s="36"/>
      <c r="N4992" s="36"/>
      <c r="O4992" s="36"/>
      <c r="P4992" s="36"/>
      <c r="Q4992" s="36"/>
      <c r="R4992" s="36"/>
      <c r="S4992" s="36"/>
      <c r="T4992" s="36"/>
      <c r="U4992" s="36"/>
      <c r="V4992" s="36"/>
      <c r="W4992" s="15">
        <f t="shared" si="661"/>
        <v>0</v>
      </c>
      <c r="X4992" s="36"/>
      <c r="Y4992" s="36"/>
      <c r="Z4992" s="36"/>
      <c r="AA4992" s="36"/>
      <c r="AB4992" s="36"/>
      <c r="AC4992" s="36"/>
      <c r="AD4992" s="36"/>
      <c r="AE4992" s="36"/>
      <c r="AF4992" s="36"/>
      <c r="AG4992" s="36"/>
      <c r="AH4992" s="36"/>
      <c r="AI4992" s="36"/>
      <c r="AJ4992" s="15">
        <f t="shared" si="662"/>
        <v>0</v>
      </c>
      <c r="AK4992" s="14"/>
      <c r="AL4992" s="14"/>
      <c r="AM4992" s="14"/>
      <c r="AN4992" s="14"/>
      <c r="AO4992" s="14"/>
      <c r="AP4992" s="14"/>
      <c r="AQ4992" s="14"/>
      <c r="AR4992" s="14"/>
      <c r="AS4992" s="14"/>
      <c r="AT4992" s="14"/>
      <c r="AU4992" s="14"/>
      <c r="AV4992" s="14"/>
      <c r="AW4992" s="15">
        <f t="shared" si="670"/>
        <v>0</v>
      </c>
      <c r="AX4992" s="16"/>
    </row>
    <row r="4993" spans="2:50" x14ac:dyDescent="0.2">
      <c r="B4993" s="7"/>
      <c r="C4993" s="8">
        <v>15215</v>
      </c>
      <c r="D4993" s="9" t="s">
        <v>1272</v>
      </c>
      <c r="E4993" s="10" t="str">
        <f t="shared" si="659"/>
        <v>Rancho La Cuchilla No. 60</v>
      </c>
      <c r="F4993" s="10" t="str">
        <f t="shared" si="660"/>
        <v>Moisen</v>
      </c>
      <c r="G4993" s="8">
        <v>4</v>
      </c>
      <c r="H4993" s="11">
        <v>200</v>
      </c>
      <c r="I4993" s="12">
        <v>43016</v>
      </c>
      <c r="J4993" s="35">
        <f t="shared" si="669"/>
        <v>0</v>
      </c>
      <c r="K4993" s="36"/>
      <c r="L4993" s="36"/>
      <c r="M4993" s="36"/>
      <c r="N4993" s="36"/>
      <c r="O4993" s="36"/>
      <c r="P4993" s="36"/>
      <c r="Q4993" s="36"/>
      <c r="R4993" s="36"/>
      <c r="S4993" s="36"/>
      <c r="T4993" s="36"/>
      <c r="U4993" s="36"/>
      <c r="V4993" s="36"/>
      <c r="W4993" s="15">
        <f t="shared" si="661"/>
        <v>0</v>
      </c>
      <c r="X4993" s="36"/>
      <c r="Y4993" s="36"/>
      <c r="Z4993" s="36"/>
      <c r="AA4993" s="36"/>
      <c r="AB4993" s="36"/>
      <c r="AC4993" s="36"/>
      <c r="AD4993" s="36"/>
      <c r="AE4993" s="36"/>
      <c r="AF4993" s="36"/>
      <c r="AG4993" s="36"/>
      <c r="AH4993" s="36"/>
      <c r="AI4993" s="36"/>
      <c r="AJ4993" s="15">
        <f t="shared" si="662"/>
        <v>0</v>
      </c>
      <c r="AK4993" s="14"/>
      <c r="AL4993" s="14"/>
      <c r="AM4993" s="14"/>
      <c r="AN4993" s="14"/>
      <c r="AO4993" s="14"/>
      <c r="AP4993" s="14"/>
      <c r="AQ4993" s="14"/>
      <c r="AR4993" s="14"/>
      <c r="AS4993" s="14"/>
      <c r="AT4993" s="14"/>
      <c r="AU4993" s="14"/>
      <c r="AV4993" s="14"/>
      <c r="AW4993" s="15">
        <f t="shared" si="670"/>
        <v>0</v>
      </c>
      <c r="AX4993" s="16" t="s">
        <v>4568</v>
      </c>
    </row>
    <row r="4994" spans="2:50" x14ac:dyDescent="0.2">
      <c r="B4994" s="7"/>
      <c r="C4994" s="8">
        <v>15215</v>
      </c>
      <c r="D4994" s="9" t="s">
        <v>1272</v>
      </c>
      <c r="E4994" s="10" t="str">
        <f t="shared" si="659"/>
        <v>Rancho La Cuchilla No. 60</v>
      </c>
      <c r="F4994" s="10" t="str">
        <f t="shared" si="660"/>
        <v>Moisen</v>
      </c>
      <c r="G4994" s="8">
        <v>5</v>
      </c>
      <c r="H4994" s="11">
        <v>100</v>
      </c>
      <c r="I4994" s="12">
        <v>43016</v>
      </c>
      <c r="J4994" s="35">
        <f t="shared" si="669"/>
        <v>0</v>
      </c>
      <c r="K4994" s="36"/>
      <c r="L4994" s="36"/>
      <c r="M4994" s="36"/>
      <c r="N4994" s="36"/>
      <c r="O4994" s="36"/>
      <c r="P4994" s="36"/>
      <c r="Q4994" s="36"/>
      <c r="R4994" s="36"/>
      <c r="S4994" s="36"/>
      <c r="T4994" s="36"/>
      <c r="U4994" s="36"/>
      <c r="V4994" s="36"/>
      <c r="W4994" s="15">
        <f t="shared" si="661"/>
        <v>0</v>
      </c>
      <c r="X4994" s="36"/>
      <c r="Y4994" s="36"/>
      <c r="Z4994" s="36"/>
      <c r="AA4994" s="36"/>
      <c r="AB4994" s="36"/>
      <c r="AC4994" s="36"/>
      <c r="AD4994" s="36"/>
      <c r="AE4994" s="36"/>
      <c r="AF4994" s="36"/>
      <c r="AG4994" s="36"/>
      <c r="AH4994" s="36"/>
      <c r="AI4994" s="36"/>
      <c r="AJ4994" s="15">
        <f t="shared" si="662"/>
        <v>0</v>
      </c>
      <c r="AK4994" s="14"/>
      <c r="AL4994" s="14"/>
      <c r="AM4994" s="14"/>
      <c r="AN4994" s="14"/>
      <c r="AO4994" s="14"/>
      <c r="AP4994" s="14"/>
      <c r="AQ4994" s="14"/>
      <c r="AR4994" s="14"/>
      <c r="AS4994" s="14"/>
      <c r="AT4994" s="14"/>
      <c r="AU4994" s="14"/>
      <c r="AV4994" s="14"/>
      <c r="AW4994" s="15">
        <f t="shared" si="670"/>
        <v>0</v>
      </c>
      <c r="AX4994" s="16"/>
    </row>
    <row r="4995" spans="2:50" x14ac:dyDescent="0.2">
      <c r="B4995" s="7"/>
      <c r="C4995" s="8">
        <v>15216</v>
      </c>
      <c r="D4995" s="9" t="s">
        <v>968</v>
      </c>
      <c r="E4995" s="10" t="str">
        <f t="shared" si="659"/>
        <v>Rancho La Cuchilla No. 121</v>
      </c>
      <c r="F4995" s="10" t="str">
        <f t="shared" si="660"/>
        <v>Ramírez Márquez</v>
      </c>
      <c r="G4995" s="8">
        <v>1</v>
      </c>
      <c r="H4995" s="11">
        <v>2400</v>
      </c>
      <c r="I4995" s="12">
        <v>43016</v>
      </c>
      <c r="J4995" s="35">
        <f t="shared" si="669"/>
        <v>0</v>
      </c>
      <c r="K4995" s="36"/>
      <c r="L4995" s="36"/>
      <c r="M4995" s="36"/>
      <c r="N4995" s="36"/>
      <c r="O4995" s="36"/>
      <c r="P4995" s="36"/>
      <c r="Q4995" s="36"/>
      <c r="R4995" s="36"/>
      <c r="S4995" s="36"/>
      <c r="T4995" s="36"/>
      <c r="U4995" s="36"/>
      <c r="V4995" s="36"/>
      <c r="W4995" s="15">
        <f t="shared" si="661"/>
        <v>0</v>
      </c>
      <c r="X4995" s="36"/>
      <c r="Y4995" s="36"/>
      <c r="Z4995" s="36"/>
      <c r="AA4995" s="36"/>
      <c r="AB4995" s="36"/>
      <c r="AC4995" s="36"/>
      <c r="AD4995" s="36">
        <v>400</v>
      </c>
      <c r="AE4995" s="36">
        <v>400</v>
      </c>
      <c r="AF4995" s="36">
        <v>400</v>
      </c>
      <c r="AG4995" s="36">
        <v>400</v>
      </c>
      <c r="AH4995" s="36">
        <v>400</v>
      </c>
      <c r="AI4995" s="36">
        <v>400</v>
      </c>
      <c r="AJ4995" s="15">
        <f t="shared" si="662"/>
        <v>2400</v>
      </c>
      <c r="AK4995" s="14"/>
      <c r="AL4995" s="14"/>
      <c r="AM4995" s="14"/>
      <c r="AN4995" s="14"/>
      <c r="AO4995" s="14"/>
      <c r="AP4995" s="14"/>
      <c r="AQ4995" s="14"/>
      <c r="AR4995" s="14"/>
      <c r="AS4995" s="14"/>
      <c r="AT4995" s="14"/>
      <c r="AU4995" s="14"/>
      <c r="AV4995" s="14"/>
      <c r="AW4995" s="15">
        <f t="shared" si="670"/>
        <v>0</v>
      </c>
      <c r="AX4995" s="16"/>
    </row>
    <row r="4996" spans="2:50" x14ac:dyDescent="0.2">
      <c r="B4996" s="7"/>
      <c r="C4996" s="8">
        <v>15217</v>
      </c>
      <c r="D4996" s="9" t="s">
        <v>458</v>
      </c>
      <c r="E4996" s="10" t="str">
        <f t="shared" si="659"/>
        <v>Rancho Estanzuela No. 143, B</v>
      </c>
      <c r="F4996" s="10" t="str">
        <f t="shared" si="660"/>
        <v>López</v>
      </c>
      <c r="G4996" s="8">
        <v>1</v>
      </c>
      <c r="H4996" s="11">
        <v>400</v>
      </c>
      <c r="I4996" s="12">
        <v>43016</v>
      </c>
      <c r="J4996" s="35">
        <f t="shared" si="669"/>
        <v>0</v>
      </c>
      <c r="K4996" s="36"/>
      <c r="L4996" s="36"/>
      <c r="M4996" s="36"/>
      <c r="N4996" s="36"/>
      <c r="O4996" s="36"/>
      <c r="P4996" s="36"/>
      <c r="Q4996" s="36"/>
      <c r="R4996" s="36"/>
      <c r="S4996" s="36"/>
      <c r="T4996" s="36"/>
      <c r="U4996" s="36"/>
      <c r="V4996" s="36"/>
      <c r="W4996" s="15">
        <f t="shared" si="661"/>
        <v>0</v>
      </c>
      <c r="X4996" s="36"/>
      <c r="Y4996" s="36"/>
      <c r="Z4996" s="36"/>
      <c r="AA4996" s="36"/>
      <c r="AB4996" s="36"/>
      <c r="AC4996" s="36"/>
      <c r="AD4996" s="36"/>
      <c r="AE4996" s="36"/>
      <c r="AF4996" s="36"/>
      <c r="AG4996" s="36">
        <v>400</v>
      </c>
      <c r="AH4996" s="36"/>
      <c r="AI4996" s="36"/>
      <c r="AJ4996" s="15">
        <f t="shared" si="662"/>
        <v>400</v>
      </c>
      <c r="AK4996" s="14"/>
      <c r="AL4996" s="14"/>
      <c r="AM4996" s="14"/>
      <c r="AN4996" s="14"/>
      <c r="AO4996" s="14"/>
      <c r="AP4996" s="14"/>
      <c r="AQ4996" s="14"/>
      <c r="AR4996" s="14"/>
      <c r="AS4996" s="14"/>
      <c r="AT4996" s="14"/>
      <c r="AU4996" s="14"/>
      <c r="AV4996" s="14"/>
      <c r="AW4996" s="15">
        <f t="shared" si="670"/>
        <v>0</v>
      </c>
      <c r="AX4996" s="16"/>
    </row>
    <row r="4997" spans="2:50" x14ac:dyDescent="0.2">
      <c r="B4997" s="7"/>
      <c r="C4997" s="8">
        <v>15218</v>
      </c>
      <c r="D4997" s="9" t="s">
        <v>628</v>
      </c>
      <c r="E4997" s="10" t="str">
        <f t="shared" ref="E4997:E5039" si="671">IF(D4997=0,"",VLOOKUP(D4997,BASE,2,FALSE))</f>
        <v>Rancho Landero No. 51</v>
      </c>
      <c r="F4997" s="10" t="str">
        <f t="shared" ref="F4997:F5039" si="672">IF(D4997=0,"",VLOOKUP(D4997,BASE,3,FALSE))</f>
        <v>H. Robles Tamayo</v>
      </c>
      <c r="G4997" s="8">
        <v>1</v>
      </c>
      <c r="H4997" s="11">
        <v>1200</v>
      </c>
      <c r="I4997" s="12">
        <v>43016</v>
      </c>
      <c r="J4997" s="35">
        <f t="shared" si="669"/>
        <v>0</v>
      </c>
      <c r="K4997" s="36"/>
      <c r="L4997" s="36"/>
      <c r="M4997" s="36"/>
      <c r="N4997" s="36"/>
      <c r="O4997" s="36"/>
      <c r="P4997" s="36"/>
      <c r="Q4997" s="36"/>
      <c r="R4997" s="36"/>
      <c r="S4997" s="36"/>
      <c r="T4997" s="36"/>
      <c r="U4997" s="36"/>
      <c r="V4997" s="36"/>
      <c r="W4997" s="15">
        <f t="shared" ref="W4997:W5039" si="673">SUM(K4997:V4997)</f>
        <v>0</v>
      </c>
      <c r="X4997" s="36"/>
      <c r="Y4997" s="36"/>
      <c r="Z4997" s="36"/>
      <c r="AA4997" s="36"/>
      <c r="AB4997" s="36"/>
      <c r="AC4997" s="36"/>
      <c r="AD4997" s="36"/>
      <c r="AE4997" s="36">
        <v>400</v>
      </c>
      <c r="AF4997" s="36">
        <v>400</v>
      </c>
      <c r="AG4997" s="36">
        <v>400</v>
      </c>
      <c r="AH4997" s="36"/>
      <c r="AI4997" s="36"/>
      <c r="AJ4997" s="15">
        <f t="shared" ref="AJ4997:AJ5039" si="674">SUM(X4997:AI4997)</f>
        <v>1200</v>
      </c>
      <c r="AK4997" s="14"/>
      <c r="AL4997" s="14"/>
      <c r="AM4997" s="14"/>
      <c r="AN4997" s="14"/>
      <c r="AO4997" s="14"/>
      <c r="AP4997" s="14"/>
      <c r="AQ4997" s="14"/>
      <c r="AR4997" s="14"/>
      <c r="AS4997" s="14"/>
      <c r="AT4997" s="14"/>
      <c r="AU4997" s="14"/>
      <c r="AV4997" s="14"/>
      <c r="AW4997" s="15">
        <f t="shared" si="670"/>
        <v>0</v>
      </c>
      <c r="AX4997" s="16"/>
    </row>
    <row r="4998" spans="2:50" x14ac:dyDescent="0.2">
      <c r="B4998" s="7"/>
      <c r="C4998" s="8">
        <v>15219</v>
      </c>
      <c r="D4998" s="9" t="s">
        <v>343</v>
      </c>
      <c r="E4998" s="10" t="str">
        <f t="shared" si="671"/>
        <v>Rancho Upácuaro No. 88</v>
      </c>
      <c r="F4998" s="10" t="str">
        <f t="shared" si="672"/>
        <v>Millán Núñez</v>
      </c>
      <c r="G4998" s="8">
        <v>1</v>
      </c>
      <c r="H4998" s="11">
        <v>400</v>
      </c>
      <c r="I4998" s="12">
        <v>43016</v>
      </c>
      <c r="J4998" s="35">
        <f t="shared" si="669"/>
        <v>0</v>
      </c>
      <c r="K4998" s="36"/>
      <c r="L4998" s="36"/>
      <c r="M4998" s="36"/>
      <c r="N4998" s="36"/>
      <c r="O4998" s="36"/>
      <c r="P4998" s="36"/>
      <c r="Q4998" s="36"/>
      <c r="R4998" s="36"/>
      <c r="S4998" s="36"/>
      <c r="T4998" s="36"/>
      <c r="U4998" s="36"/>
      <c r="V4998" s="36"/>
      <c r="W4998" s="15">
        <f t="shared" si="673"/>
        <v>0</v>
      </c>
      <c r="X4998" s="36"/>
      <c r="Y4998" s="36"/>
      <c r="Z4998" s="36"/>
      <c r="AA4998" s="36"/>
      <c r="AB4998" s="36"/>
      <c r="AC4998" s="36"/>
      <c r="AD4998" s="36"/>
      <c r="AE4998" s="36"/>
      <c r="AF4998" s="36"/>
      <c r="AG4998" s="36">
        <v>400</v>
      </c>
      <c r="AH4998" s="36"/>
      <c r="AI4998" s="36"/>
      <c r="AJ4998" s="15">
        <f t="shared" si="674"/>
        <v>400</v>
      </c>
      <c r="AK4998" s="14"/>
      <c r="AL4998" s="14"/>
      <c r="AM4998" s="14"/>
      <c r="AN4998" s="14"/>
      <c r="AO4998" s="14"/>
      <c r="AP4998" s="14"/>
      <c r="AQ4998" s="14"/>
      <c r="AR4998" s="14"/>
      <c r="AS4998" s="14"/>
      <c r="AT4998" s="14"/>
      <c r="AU4998" s="14"/>
      <c r="AV4998" s="14"/>
      <c r="AW4998" s="15">
        <f t="shared" si="670"/>
        <v>0</v>
      </c>
      <c r="AX4998" s="16"/>
    </row>
    <row r="4999" spans="2:50" x14ac:dyDescent="0.2">
      <c r="B4999" s="7"/>
      <c r="C4999" s="8">
        <v>15220</v>
      </c>
      <c r="D4999" s="9" t="s">
        <v>797</v>
      </c>
      <c r="E4999" s="10" t="str">
        <f t="shared" si="671"/>
        <v>Rancho Recoveco No. 195</v>
      </c>
      <c r="F4999" s="10" t="str">
        <f t="shared" si="672"/>
        <v>Sandoval</v>
      </c>
      <c r="G4999" s="8">
        <v>1</v>
      </c>
      <c r="H4999" s="11">
        <v>500</v>
      </c>
      <c r="I4999" s="12">
        <v>43016</v>
      </c>
      <c r="J4999" s="35">
        <f t="shared" si="669"/>
        <v>0</v>
      </c>
      <c r="K4999" s="36"/>
      <c r="L4999" s="36"/>
      <c r="M4999" s="36"/>
      <c r="N4999" s="36"/>
      <c r="O4999" s="36"/>
      <c r="P4999" s="36"/>
      <c r="Q4999" s="36"/>
      <c r="R4999" s="36"/>
      <c r="S4999" s="36"/>
      <c r="T4999" s="36"/>
      <c r="U4999" s="36"/>
      <c r="V4999" s="36"/>
      <c r="W4999" s="15">
        <f t="shared" si="673"/>
        <v>0</v>
      </c>
      <c r="X4999" s="36"/>
      <c r="Y4999" s="36"/>
      <c r="Z4999" s="36"/>
      <c r="AA4999" s="36"/>
      <c r="AB4999" s="36"/>
      <c r="AC4999" s="36"/>
      <c r="AD4999" s="36"/>
      <c r="AE4999" s="36"/>
      <c r="AF4999" s="36">
        <v>250</v>
      </c>
      <c r="AG4999" s="36">
        <v>250</v>
      </c>
      <c r="AH4999" s="36"/>
      <c r="AI4999" s="36"/>
      <c r="AJ4999" s="15">
        <f t="shared" si="674"/>
        <v>500</v>
      </c>
      <c r="AK4999" s="14"/>
      <c r="AL4999" s="14"/>
      <c r="AM4999" s="14"/>
      <c r="AN4999" s="14"/>
      <c r="AO4999" s="14"/>
      <c r="AP4999" s="14"/>
      <c r="AQ4999" s="14"/>
      <c r="AR4999" s="14"/>
      <c r="AS4999" s="14"/>
      <c r="AT4999" s="14"/>
      <c r="AU4999" s="14"/>
      <c r="AV4999" s="14"/>
      <c r="AW4999" s="15">
        <f t="shared" si="670"/>
        <v>0</v>
      </c>
      <c r="AX4999" s="16"/>
    </row>
    <row r="5000" spans="2:50" x14ac:dyDescent="0.2">
      <c r="B5000" s="7"/>
      <c r="C5000" s="8">
        <v>15221</v>
      </c>
      <c r="D5000" s="9" t="s">
        <v>189</v>
      </c>
      <c r="E5000" s="10" t="str">
        <f t="shared" si="671"/>
        <v>Rancho La Cuchilla No. 42</v>
      </c>
      <c r="F5000" s="10" t="str">
        <f t="shared" si="672"/>
        <v>Mac Kinney</v>
      </c>
      <c r="G5000" s="8">
        <v>3</v>
      </c>
      <c r="H5000" s="11">
        <v>200</v>
      </c>
      <c r="I5000" s="12">
        <v>43016</v>
      </c>
      <c r="J5000" s="35">
        <f t="shared" si="669"/>
        <v>0</v>
      </c>
      <c r="K5000" s="36"/>
      <c r="L5000" s="36"/>
      <c r="M5000" s="36"/>
      <c r="N5000" s="36"/>
      <c r="O5000" s="36"/>
      <c r="P5000" s="36"/>
      <c r="Q5000" s="36"/>
      <c r="R5000" s="36"/>
      <c r="S5000" s="36"/>
      <c r="T5000" s="36"/>
      <c r="U5000" s="36"/>
      <c r="V5000" s="36"/>
      <c r="W5000" s="15">
        <f t="shared" si="673"/>
        <v>0</v>
      </c>
      <c r="X5000" s="36"/>
      <c r="Y5000" s="36"/>
      <c r="Z5000" s="36"/>
      <c r="AA5000" s="36"/>
      <c r="AB5000" s="36"/>
      <c r="AC5000" s="36"/>
      <c r="AD5000" s="36"/>
      <c r="AE5000" s="36"/>
      <c r="AF5000" s="36"/>
      <c r="AG5000" s="36"/>
      <c r="AH5000" s="36"/>
      <c r="AI5000" s="36"/>
      <c r="AJ5000" s="15">
        <f t="shared" si="674"/>
        <v>0</v>
      </c>
      <c r="AK5000" s="14"/>
      <c r="AL5000" s="14"/>
      <c r="AM5000" s="14"/>
      <c r="AN5000" s="14"/>
      <c r="AO5000" s="14"/>
      <c r="AP5000" s="14"/>
      <c r="AQ5000" s="14"/>
      <c r="AR5000" s="14"/>
      <c r="AS5000" s="14"/>
      <c r="AT5000" s="14"/>
      <c r="AU5000" s="14"/>
      <c r="AV5000" s="14"/>
      <c r="AW5000" s="15">
        <f t="shared" si="670"/>
        <v>0</v>
      </c>
      <c r="AX5000" s="316">
        <f>SUM(H4949:H5000)</f>
        <v>26400</v>
      </c>
    </row>
    <row r="5001" spans="2:50" x14ac:dyDescent="0.2">
      <c r="B5001" s="7" t="s">
        <v>3523</v>
      </c>
      <c r="C5001" s="8">
        <v>15222</v>
      </c>
      <c r="D5001" s="9" t="s">
        <v>119</v>
      </c>
      <c r="E5001" s="10" t="str">
        <f t="shared" si="671"/>
        <v>Rancho Landero No. 25</v>
      </c>
      <c r="F5001" s="10" t="str">
        <f t="shared" si="672"/>
        <v>Escamilla Martínez</v>
      </c>
      <c r="G5001" s="8">
        <v>1</v>
      </c>
      <c r="H5001" s="11">
        <v>800</v>
      </c>
      <c r="I5001" s="12">
        <v>43016</v>
      </c>
      <c r="J5001" s="35">
        <f t="shared" si="669"/>
        <v>0</v>
      </c>
      <c r="K5001" s="36"/>
      <c r="L5001" s="36"/>
      <c r="M5001" s="36"/>
      <c r="N5001" s="36"/>
      <c r="O5001" s="36"/>
      <c r="P5001" s="36"/>
      <c r="Q5001" s="36"/>
      <c r="R5001" s="36"/>
      <c r="S5001" s="36"/>
      <c r="T5001" s="36"/>
      <c r="U5001" s="36"/>
      <c r="V5001" s="36"/>
      <c r="W5001" s="15">
        <f t="shared" si="673"/>
        <v>0</v>
      </c>
      <c r="X5001" s="36"/>
      <c r="Y5001" s="36"/>
      <c r="Z5001" s="36"/>
      <c r="AA5001" s="36"/>
      <c r="AB5001" s="36"/>
      <c r="AC5001" s="36"/>
      <c r="AD5001" s="36">
        <v>400</v>
      </c>
      <c r="AE5001" s="36">
        <v>400</v>
      </c>
      <c r="AF5001" s="36"/>
      <c r="AG5001" s="36"/>
      <c r="AH5001" s="36"/>
      <c r="AI5001" s="36"/>
      <c r="AJ5001" s="15">
        <f t="shared" si="674"/>
        <v>800</v>
      </c>
      <c r="AK5001" s="14"/>
      <c r="AL5001" s="14"/>
      <c r="AM5001" s="14"/>
      <c r="AN5001" s="14"/>
      <c r="AO5001" s="14"/>
      <c r="AP5001" s="14"/>
      <c r="AQ5001" s="14"/>
      <c r="AR5001" s="14"/>
      <c r="AS5001" s="14"/>
      <c r="AT5001" s="14"/>
      <c r="AU5001" s="14"/>
      <c r="AV5001" s="14"/>
      <c r="AW5001" s="15">
        <f t="shared" si="670"/>
        <v>0</v>
      </c>
      <c r="AX5001" s="16"/>
    </row>
    <row r="5002" spans="2:50" x14ac:dyDescent="0.2">
      <c r="B5002" s="7"/>
      <c r="C5002" s="8">
        <v>15223</v>
      </c>
      <c r="D5002" s="9" t="s">
        <v>380</v>
      </c>
      <c r="E5002" s="10" t="str">
        <f t="shared" si="671"/>
        <v>Rancho Zinamba No. 10</v>
      </c>
      <c r="F5002" s="10" t="str">
        <f t="shared" si="672"/>
        <v>Roy Sánchez</v>
      </c>
      <c r="G5002" s="8">
        <v>1</v>
      </c>
      <c r="H5002" s="315">
        <v>1800</v>
      </c>
      <c r="I5002" s="12">
        <v>43017</v>
      </c>
      <c r="J5002" s="35">
        <f t="shared" si="669"/>
        <v>0</v>
      </c>
      <c r="K5002" s="36"/>
      <c r="L5002" s="36"/>
      <c r="M5002" s="36"/>
      <c r="N5002" s="36"/>
      <c r="O5002" s="36"/>
      <c r="P5002" s="36"/>
      <c r="Q5002" s="36"/>
      <c r="R5002" s="36"/>
      <c r="S5002" s="36"/>
      <c r="T5002" s="36"/>
      <c r="U5002" s="36"/>
      <c r="V5002" s="36"/>
      <c r="W5002" s="15">
        <f t="shared" si="673"/>
        <v>0</v>
      </c>
      <c r="X5002" s="36"/>
      <c r="Y5002" s="36"/>
      <c r="Z5002" s="36"/>
      <c r="AA5002" s="36"/>
      <c r="AB5002" s="36"/>
      <c r="AC5002" s="36"/>
      <c r="AD5002" s="36">
        <v>300</v>
      </c>
      <c r="AE5002" s="36">
        <v>300</v>
      </c>
      <c r="AF5002" s="36">
        <v>300</v>
      </c>
      <c r="AG5002" s="36">
        <v>300</v>
      </c>
      <c r="AH5002" s="36">
        <v>300</v>
      </c>
      <c r="AI5002" s="36">
        <v>300</v>
      </c>
      <c r="AJ5002" s="15">
        <f t="shared" si="674"/>
        <v>1800</v>
      </c>
      <c r="AK5002" s="14"/>
      <c r="AL5002" s="14"/>
      <c r="AM5002" s="14"/>
      <c r="AN5002" s="14"/>
      <c r="AO5002" s="14"/>
      <c r="AP5002" s="14"/>
      <c r="AQ5002" s="14"/>
      <c r="AR5002" s="14"/>
      <c r="AS5002" s="14"/>
      <c r="AT5002" s="14"/>
      <c r="AU5002" s="14"/>
      <c r="AV5002" s="14"/>
      <c r="AW5002" s="15">
        <f t="shared" si="670"/>
        <v>0</v>
      </c>
      <c r="AX5002" s="16"/>
    </row>
    <row r="5003" spans="2:50" x14ac:dyDescent="0.2">
      <c r="B5003" s="7"/>
      <c r="C5003" s="8">
        <v>15234</v>
      </c>
      <c r="D5003" s="9" t="s">
        <v>464</v>
      </c>
      <c r="E5003" s="10" t="str">
        <f t="shared" si="671"/>
        <v>Rancho La Cuchilla No. 68</v>
      </c>
      <c r="F5003" s="10" t="str">
        <f t="shared" si="672"/>
        <v>Montesinos</v>
      </c>
      <c r="G5003" s="8">
        <v>1</v>
      </c>
      <c r="H5003" s="11">
        <v>800</v>
      </c>
      <c r="I5003" s="12">
        <v>43019</v>
      </c>
      <c r="J5003" s="35">
        <f t="shared" si="669"/>
        <v>0</v>
      </c>
      <c r="K5003" s="36"/>
      <c r="L5003" s="36"/>
      <c r="M5003" s="36"/>
      <c r="N5003" s="36"/>
      <c r="O5003" s="36"/>
      <c r="P5003" s="36"/>
      <c r="Q5003" s="36"/>
      <c r="R5003" s="36"/>
      <c r="S5003" s="36"/>
      <c r="T5003" s="36"/>
      <c r="U5003" s="36"/>
      <c r="V5003" s="36"/>
      <c r="W5003" s="15">
        <f t="shared" si="673"/>
        <v>0</v>
      </c>
      <c r="X5003" s="36"/>
      <c r="Y5003" s="36"/>
      <c r="Z5003" s="36"/>
      <c r="AA5003" s="36"/>
      <c r="AB5003" s="36"/>
      <c r="AC5003" s="36"/>
      <c r="AD5003" s="36">
        <v>200</v>
      </c>
      <c r="AE5003" s="36">
        <v>200</v>
      </c>
      <c r="AF5003" s="36">
        <v>200</v>
      </c>
      <c r="AG5003" s="36">
        <v>200</v>
      </c>
      <c r="AH5003" s="36"/>
      <c r="AI5003" s="36"/>
      <c r="AJ5003" s="15">
        <f t="shared" si="674"/>
        <v>800</v>
      </c>
      <c r="AK5003" s="14"/>
      <c r="AL5003" s="14"/>
      <c r="AM5003" s="14"/>
      <c r="AN5003" s="14"/>
      <c r="AO5003" s="14"/>
      <c r="AP5003" s="14"/>
      <c r="AQ5003" s="14"/>
      <c r="AR5003" s="14"/>
      <c r="AS5003" s="14"/>
      <c r="AT5003" s="14"/>
      <c r="AU5003" s="14"/>
      <c r="AV5003" s="14"/>
      <c r="AW5003" s="15">
        <f t="shared" si="670"/>
        <v>0</v>
      </c>
      <c r="AX5003" s="16"/>
    </row>
    <row r="5004" spans="2:50" x14ac:dyDescent="0.2">
      <c r="B5004" s="7"/>
      <c r="C5004" s="8">
        <v>15225</v>
      </c>
      <c r="D5004" s="9" t="s">
        <v>592</v>
      </c>
      <c r="E5004" s="10" t="str">
        <f t="shared" si="671"/>
        <v>Rancho Landero No. 30</v>
      </c>
      <c r="F5004" s="10" t="str">
        <f t="shared" si="672"/>
        <v>Torres Guzmán</v>
      </c>
      <c r="G5004" s="8">
        <v>1</v>
      </c>
      <c r="H5004" s="11">
        <v>1500</v>
      </c>
      <c r="I5004" s="12">
        <v>43019</v>
      </c>
      <c r="J5004" s="35">
        <f t="shared" si="669"/>
        <v>0</v>
      </c>
      <c r="K5004" s="36"/>
      <c r="L5004" s="36"/>
      <c r="M5004" s="36"/>
      <c r="N5004" s="36"/>
      <c r="O5004" s="36"/>
      <c r="P5004" s="36"/>
      <c r="Q5004" s="36"/>
      <c r="R5004" s="36"/>
      <c r="S5004" s="36"/>
      <c r="T5004" s="36"/>
      <c r="U5004" s="36"/>
      <c r="V5004" s="36"/>
      <c r="W5004" s="15">
        <f t="shared" si="673"/>
        <v>0</v>
      </c>
      <c r="X5004" s="36"/>
      <c r="Y5004" s="36"/>
      <c r="Z5004" s="36"/>
      <c r="AA5004" s="36"/>
      <c r="AB5004" s="36"/>
      <c r="AC5004" s="36"/>
      <c r="AD5004" s="36">
        <v>300</v>
      </c>
      <c r="AE5004" s="36">
        <v>300</v>
      </c>
      <c r="AF5004" s="36">
        <v>300</v>
      </c>
      <c r="AG5004" s="36">
        <v>300</v>
      </c>
      <c r="AH5004" s="36">
        <v>300</v>
      </c>
      <c r="AI5004" s="36"/>
      <c r="AJ5004" s="15">
        <f t="shared" si="674"/>
        <v>1500</v>
      </c>
      <c r="AK5004" s="14"/>
      <c r="AL5004" s="14"/>
      <c r="AM5004" s="14"/>
      <c r="AN5004" s="14"/>
      <c r="AO5004" s="14"/>
      <c r="AP5004" s="14"/>
      <c r="AQ5004" s="14"/>
      <c r="AR5004" s="14"/>
      <c r="AS5004" s="14"/>
      <c r="AT5004" s="14"/>
      <c r="AU5004" s="14"/>
      <c r="AV5004" s="14"/>
      <c r="AW5004" s="15">
        <f t="shared" si="670"/>
        <v>0</v>
      </c>
      <c r="AX5004" s="16"/>
    </row>
    <row r="5005" spans="2:50" x14ac:dyDescent="0.2">
      <c r="B5005" s="7"/>
      <c r="C5005" s="8">
        <v>15226</v>
      </c>
      <c r="D5005" s="9" t="s">
        <v>407</v>
      </c>
      <c r="E5005" s="10" t="str">
        <f t="shared" si="671"/>
        <v>Rancho Estanzuela No. 99</v>
      </c>
      <c r="F5005" s="10" t="str">
        <f t="shared" si="672"/>
        <v>García López</v>
      </c>
      <c r="G5005" s="8">
        <v>1</v>
      </c>
      <c r="H5005" s="11">
        <v>400</v>
      </c>
      <c r="I5005" s="12">
        <v>43023</v>
      </c>
      <c r="J5005" s="35">
        <f t="shared" si="669"/>
        <v>0</v>
      </c>
      <c r="K5005" s="36"/>
      <c r="L5005" s="36"/>
      <c r="M5005" s="36"/>
      <c r="N5005" s="36"/>
      <c r="O5005" s="36"/>
      <c r="P5005" s="36"/>
      <c r="Q5005" s="36"/>
      <c r="R5005" s="36"/>
      <c r="S5005" s="36"/>
      <c r="T5005" s="36"/>
      <c r="U5005" s="36"/>
      <c r="V5005" s="36"/>
      <c r="W5005" s="15">
        <f t="shared" si="673"/>
        <v>0</v>
      </c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>
        <v>400</v>
      </c>
      <c r="AH5005" s="36"/>
      <c r="AI5005" s="36"/>
      <c r="AJ5005" s="15">
        <f t="shared" si="674"/>
        <v>400</v>
      </c>
      <c r="AK5005" s="14"/>
      <c r="AL5005" s="14"/>
      <c r="AM5005" s="14"/>
      <c r="AN5005" s="14"/>
      <c r="AO5005" s="14"/>
      <c r="AP5005" s="14"/>
      <c r="AQ5005" s="14"/>
      <c r="AR5005" s="14"/>
      <c r="AS5005" s="14"/>
      <c r="AT5005" s="14"/>
      <c r="AU5005" s="14"/>
      <c r="AV5005" s="14"/>
      <c r="AW5005" s="15">
        <f t="shared" si="670"/>
        <v>0</v>
      </c>
      <c r="AX5005" s="16"/>
    </row>
    <row r="5006" spans="2:50" x14ac:dyDescent="0.2">
      <c r="B5006" s="7"/>
      <c r="C5006" s="8">
        <v>15227</v>
      </c>
      <c r="D5006" s="9" t="s">
        <v>681</v>
      </c>
      <c r="E5006" s="10" t="str">
        <f t="shared" si="671"/>
        <v>Rancho Landero No. 87</v>
      </c>
      <c r="F5006" s="10" t="str">
        <f t="shared" si="672"/>
        <v>Fey Lafferla</v>
      </c>
      <c r="G5006" s="8">
        <v>1</v>
      </c>
      <c r="H5006" s="11">
        <v>600</v>
      </c>
      <c r="I5006" s="12">
        <v>43023</v>
      </c>
      <c r="J5006" s="35">
        <f t="shared" si="669"/>
        <v>0</v>
      </c>
      <c r="K5006" s="36"/>
      <c r="L5006" s="36"/>
      <c r="M5006" s="36"/>
      <c r="N5006" s="36"/>
      <c r="O5006" s="36"/>
      <c r="P5006" s="36"/>
      <c r="Q5006" s="36"/>
      <c r="R5006" s="36"/>
      <c r="S5006" s="36"/>
      <c r="T5006" s="36"/>
      <c r="U5006" s="36"/>
      <c r="V5006" s="36"/>
      <c r="W5006" s="15">
        <f t="shared" si="673"/>
        <v>0</v>
      </c>
      <c r="X5006" s="36"/>
      <c r="Y5006" s="36"/>
      <c r="Z5006" s="36"/>
      <c r="AA5006" s="36"/>
      <c r="AB5006" s="36"/>
      <c r="AC5006" s="36"/>
      <c r="AD5006" s="36">
        <v>300</v>
      </c>
      <c r="AE5006" s="36">
        <v>300</v>
      </c>
      <c r="AF5006" s="36"/>
      <c r="AG5006" s="36"/>
      <c r="AH5006" s="36"/>
      <c r="AI5006" s="36"/>
      <c r="AJ5006" s="15">
        <f t="shared" si="674"/>
        <v>600</v>
      </c>
      <c r="AK5006" s="14"/>
      <c r="AL5006" s="14"/>
      <c r="AM5006" s="14"/>
      <c r="AN5006" s="14"/>
      <c r="AO5006" s="14"/>
      <c r="AP5006" s="14"/>
      <c r="AQ5006" s="14"/>
      <c r="AR5006" s="14"/>
      <c r="AS5006" s="14"/>
      <c r="AT5006" s="14"/>
      <c r="AU5006" s="14"/>
      <c r="AV5006" s="14"/>
      <c r="AW5006" s="15">
        <f t="shared" si="670"/>
        <v>0</v>
      </c>
      <c r="AX5006" s="16"/>
    </row>
    <row r="5007" spans="2:50" x14ac:dyDescent="0.2">
      <c r="B5007" s="7"/>
      <c r="C5007" s="8">
        <v>15228</v>
      </c>
      <c r="D5007" s="9" t="s">
        <v>1346</v>
      </c>
      <c r="E5007" s="10" t="str">
        <f t="shared" si="671"/>
        <v>Rancho Estanzuela No. 123</v>
      </c>
      <c r="F5007" s="10" t="str">
        <f t="shared" si="672"/>
        <v>Bueno Rendón</v>
      </c>
      <c r="G5007" s="8">
        <v>1</v>
      </c>
      <c r="H5007" s="11">
        <v>600</v>
      </c>
      <c r="I5007" s="12">
        <v>43023</v>
      </c>
      <c r="J5007" s="35">
        <f t="shared" si="669"/>
        <v>0</v>
      </c>
      <c r="K5007" s="36"/>
      <c r="L5007" s="36"/>
      <c r="M5007" s="36"/>
      <c r="N5007" s="36"/>
      <c r="O5007" s="36"/>
      <c r="P5007" s="36"/>
      <c r="Q5007" s="36"/>
      <c r="R5007" s="36"/>
      <c r="S5007" s="36"/>
      <c r="T5007" s="36"/>
      <c r="U5007" s="36"/>
      <c r="V5007" s="36"/>
      <c r="W5007" s="15">
        <f t="shared" si="673"/>
        <v>0</v>
      </c>
      <c r="X5007" s="36"/>
      <c r="Y5007" s="36"/>
      <c r="Z5007" s="36"/>
      <c r="AA5007" s="36"/>
      <c r="AB5007" s="36"/>
      <c r="AC5007" s="36"/>
      <c r="AD5007" s="36"/>
      <c r="AE5007" s="36">
        <v>200</v>
      </c>
      <c r="AF5007" s="36">
        <v>200</v>
      </c>
      <c r="AG5007" s="36">
        <v>200</v>
      </c>
      <c r="AH5007" s="36"/>
      <c r="AI5007" s="36"/>
      <c r="AJ5007" s="15">
        <f t="shared" si="674"/>
        <v>600</v>
      </c>
      <c r="AK5007" s="14"/>
      <c r="AL5007" s="14"/>
      <c r="AM5007" s="14"/>
      <c r="AN5007" s="14"/>
      <c r="AO5007" s="14"/>
      <c r="AP5007" s="14"/>
      <c r="AQ5007" s="14"/>
      <c r="AR5007" s="14"/>
      <c r="AS5007" s="14"/>
      <c r="AT5007" s="14"/>
      <c r="AU5007" s="14"/>
      <c r="AV5007" s="14"/>
      <c r="AW5007" s="15">
        <f t="shared" si="670"/>
        <v>0</v>
      </c>
      <c r="AX5007" s="16"/>
    </row>
    <row r="5008" spans="2:50" x14ac:dyDescent="0.2">
      <c r="B5008" s="7"/>
      <c r="C5008" s="8">
        <v>15229</v>
      </c>
      <c r="D5008" s="9" t="s">
        <v>1198</v>
      </c>
      <c r="E5008" s="10" t="str">
        <f t="shared" si="671"/>
        <v>Rancho Upácuaro No. 95</v>
      </c>
      <c r="F5008" s="10" t="str">
        <f t="shared" si="672"/>
        <v>Flores</v>
      </c>
      <c r="G5008" s="8">
        <v>1</v>
      </c>
      <c r="H5008" s="11">
        <v>800</v>
      </c>
      <c r="I5008" s="12">
        <v>43023</v>
      </c>
      <c r="J5008" s="35">
        <f t="shared" si="669"/>
        <v>0</v>
      </c>
      <c r="K5008" s="36"/>
      <c r="L5008" s="36"/>
      <c r="M5008" s="36"/>
      <c r="N5008" s="36"/>
      <c r="O5008" s="36"/>
      <c r="P5008" s="36"/>
      <c r="Q5008" s="36"/>
      <c r="R5008" s="36"/>
      <c r="S5008" s="36"/>
      <c r="T5008" s="36"/>
      <c r="U5008" s="36"/>
      <c r="V5008" s="36"/>
      <c r="W5008" s="15">
        <f t="shared" si="673"/>
        <v>0</v>
      </c>
      <c r="X5008" s="36"/>
      <c r="Y5008" s="36">
        <v>400</v>
      </c>
      <c r="Z5008" s="36"/>
      <c r="AA5008" s="36"/>
      <c r="AB5008" s="36"/>
      <c r="AC5008" s="36"/>
      <c r="AD5008" s="36"/>
      <c r="AE5008" s="36"/>
      <c r="AF5008" s="36"/>
      <c r="AG5008" s="36">
        <v>400</v>
      </c>
      <c r="AH5008" s="36"/>
      <c r="AI5008" s="36"/>
      <c r="AJ5008" s="15">
        <f t="shared" si="674"/>
        <v>800</v>
      </c>
      <c r="AK5008" s="14"/>
      <c r="AL5008" s="14"/>
      <c r="AM5008" s="14"/>
      <c r="AN5008" s="14"/>
      <c r="AO5008" s="14"/>
      <c r="AP5008" s="14"/>
      <c r="AQ5008" s="14"/>
      <c r="AR5008" s="14"/>
      <c r="AS5008" s="14"/>
      <c r="AT5008" s="14"/>
      <c r="AU5008" s="14"/>
      <c r="AV5008" s="14"/>
      <c r="AW5008" s="15">
        <f t="shared" si="670"/>
        <v>0</v>
      </c>
      <c r="AX5008" s="16"/>
    </row>
    <row r="5009" spans="2:50" x14ac:dyDescent="0.2">
      <c r="B5009" s="7"/>
      <c r="C5009" s="8">
        <v>15230</v>
      </c>
      <c r="D5009" s="9" t="s">
        <v>349</v>
      </c>
      <c r="E5009" s="10" t="str">
        <f t="shared" si="671"/>
        <v>Rancho La Cuchilla No. 15</v>
      </c>
      <c r="F5009" s="10" t="str">
        <f t="shared" si="672"/>
        <v>Guerrero Ponce</v>
      </c>
      <c r="G5009" s="8">
        <v>3</v>
      </c>
      <c r="H5009" s="11">
        <v>200</v>
      </c>
      <c r="I5009" s="12">
        <v>43023</v>
      </c>
      <c r="J5009" s="35">
        <f t="shared" si="669"/>
        <v>0</v>
      </c>
      <c r="K5009" s="36"/>
      <c r="L5009" s="36"/>
      <c r="M5009" s="36"/>
      <c r="N5009" s="36"/>
      <c r="O5009" s="36"/>
      <c r="P5009" s="36"/>
      <c r="Q5009" s="36"/>
      <c r="R5009" s="36"/>
      <c r="S5009" s="36"/>
      <c r="T5009" s="36"/>
      <c r="U5009" s="36"/>
      <c r="V5009" s="36"/>
      <c r="W5009" s="15">
        <f t="shared" si="673"/>
        <v>0</v>
      </c>
      <c r="X5009" s="36"/>
      <c r="Y5009" s="36"/>
      <c r="Z5009" s="36"/>
      <c r="AA5009" s="36"/>
      <c r="AB5009" s="36"/>
      <c r="AC5009" s="36"/>
      <c r="AD5009" s="36"/>
      <c r="AE5009" s="36"/>
      <c r="AF5009" s="36"/>
      <c r="AG5009" s="36"/>
      <c r="AH5009" s="36"/>
      <c r="AI5009" s="36"/>
      <c r="AJ5009" s="15">
        <f t="shared" si="674"/>
        <v>0</v>
      </c>
      <c r="AK5009" s="14"/>
      <c r="AL5009" s="14"/>
      <c r="AM5009" s="14"/>
      <c r="AN5009" s="14"/>
      <c r="AO5009" s="14"/>
      <c r="AP5009" s="14"/>
      <c r="AQ5009" s="14"/>
      <c r="AR5009" s="14"/>
      <c r="AS5009" s="14"/>
      <c r="AT5009" s="14"/>
      <c r="AU5009" s="14"/>
      <c r="AV5009" s="14"/>
      <c r="AW5009" s="15">
        <f t="shared" si="670"/>
        <v>0</v>
      </c>
      <c r="AX5009" s="16"/>
    </row>
    <row r="5010" spans="2:50" x14ac:dyDescent="0.2">
      <c r="B5010" s="7"/>
      <c r="C5010" s="8">
        <v>15231</v>
      </c>
      <c r="D5010" s="9" t="s">
        <v>731</v>
      </c>
      <c r="E5010" s="10" t="str">
        <f t="shared" si="671"/>
        <v>Rancho Estanzuela No. 133</v>
      </c>
      <c r="F5010" s="10" t="str">
        <f t="shared" si="672"/>
        <v>Hernández Salazar</v>
      </c>
      <c r="G5010" s="8">
        <v>1</v>
      </c>
      <c r="H5010" s="11">
        <v>600</v>
      </c>
      <c r="I5010" s="12">
        <v>43023</v>
      </c>
      <c r="J5010" s="35">
        <f t="shared" si="669"/>
        <v>0</v>
      </c>
      <c r="K5010" s="36"/>
      <c r="L5010" s="36"/>
      <c r="M5010" s="36"/>
      <c r="N5010" s="36"/>
      <c r="O5010" s="36"/>
      <c r="P5010" s="36"/>
      <c r="Q5010" s="36"/>
      <c r="R5010" s="36"/>
      <c r="S5010" s="36"/>
      <c r="T5010" s="36"/>
      <c r="U5010" s="36"/>
      <c r="V5010" s="36"/>
      <c r="W5010" s="15">
        <f t="shared" si="673"/>
        <v>0</v>
      </c>
      <c r="X5010" s="36"/>
      <c r="Y5010" s="36"/>
      <c r="Z5010" s="36"/>
      <c r="AA5010" s="36"/>
      <c r="AB5010" s="36"/>
      <c r="AC5010" s="36"/>
      <c r="AD5010" s="36"/>
      <c r="AE5010" s="36"/>
      <c r="AF5010" s="36">
        <v>300</v>
      </c>
      <c r="AG5010" s="36">
        <v>300</v>
      </c>
      <c r="AH5010" s="36"/>
      <c r="AI5010" s="36"/>
      <c r="AJ5010" s="15">
        <f t="shared" si="674"/>
        <v>600</v>
      </c>
      <c r="AK5010" s="14"/>
      <c r="AL5010" s="14"/>
      <c r="AM5010" s="14"/>
      <c r="AN5010" s="14"/>
      <c r="AO5010" s="14"/>
      <c r="AP5010" s="14"/>
      <c r="AQ5010" s="14"/>
      <c r="AR5010" s="14"/>
      <c r="AS5010" s="14"/>
      <c r="AT5010" s="14"/>
      <c r="AU5010" s="14"/>
      <c r="AV5010" s="14"/>
      <c r="AW5010" s="15">
        <f t="shared" si="670"/>
        <v>0</v>
      </c>
      <c r="AX5010" s="16"/>
    </row>
    <row r="5011" spans="2:50" x14ac:dyDescent="0.2">
      <c r="B5011" s="7"/>
      <c r="C5011" s="8">
        <v>15232</v>
      </c>
      <c r="D5011" s="9" t="s">
        <v>322</v>
      </c>
      <c r="E5011" s="10" t="str">
        <f t="shared" ref="E5011:E5012" si="675">IF(D5011=0,"",VLOOKUP(D5011,BASE,2,FALSE))</f>
        <v>Rancho Zinamba No. 8</v>
      </c>
      <c r="F5011" s="10" t="str">
        <f t="shared" ref="F5011:F5012" si="676">IF(D5011=0,"",VLOOKUP(D5011,BASE,3,FALSE))</f>
        <v>Florido</v>
      </c>
      <c r="G5011" s="8">
        <v>1</v>
      </c>
      <c r="H5011" s="11">
        <v>400</v>
      </c>
      <c r="I5011" s="12">
        <v>43023</v>
      </c>
      <c r="J5011" s="35">
        <f t="shared" si="669"/>
        <v>0</v>
      </c>
      <c r="K5011" s="36"/>
      <c r="L5011" s="36"/>
      <c r="M5011" s="36"/>
      <c r="N5011" s="36"/>
      <c r="O5011" s="36"/>
      <c r="P5011" s="36"/>
      <c r="Q5011" s="36"/>
      <c r="R5011" s="36"/>
      <c r="S5011" s="36"/>
      <c r="T5011" s="36"/>
      <c r="U5011" s="36"/>
      <c r="V5011" s="36"/>
      <c r="W5011" s="15">
        <f t="shared" ref="W5011:W5012" si="677">SUM(K5011:V5011)</f>
        <v>0</v>
      </c>
      <c r="X5011" s="36"/>
      <c r="Y5011" s="36"/>
      <c r="Z5011" s="36"/>
      <c r="AA5011" s="36"/>
      <c r="AB5011" s="36"/>
      <c r="AC5011" s="36"/>
      <c r="AD5011" s="36"/>
      <c r="AE5011" s="36"/>
      <c r="AF5011" s="36">
        <v>400</v>
      </c>
      <c r="AG5011" s="36"/>
      <c r="AH5011" s="36"/>
      <c r="AI5011" s="36"/>
      <c r="AJ5011" s="15">
        <f t="shared" ref="AJ5011:AJ5012" si="678">SUM(X5011:AI5011)</f>
        <v>400</v>
      </c>
      <c r="AK5011" s="14"/>
      <c r="AL5011" s="14"/>
      <c r="AM5011" s="14"/>
      <c r="AN5011" s="14"/>
      <c r="AO5011" s="14"/>
      <c r="AP5011" s="14"/>
      <c r="AQ5011" s="14"/>
      <c r="AR5011" s="14"/>
      <c r="AS5011" s="14"/>
      <c r="AT5011" s="14"/>
      <c r="AU5011" s="14"/>
      <c r="AV5011" s="14"/>
      <c r="AW5011" s="15">
        <f t="shared" si="670"/>
        <v>0</v>
      </c>
      <c r="AX5011" s="16"/>
    </row>
    <row r="5012" spans="2:50" x14ac:dyDescent="0.2">
      <c r="B5012" s="7"/>
      <c r="C5012" s="8">
        <v>15233</v>
      </c>
      <c r="D5012" s="9" t="s">
        <v>983</v>
      </c>
      <c r="E5012" s="10" t="str">
        <f t="shared" si="675"/>
        <v>Rancho Landero No. 93</v>
      </c>
      <c r="F5012" s="10" t="str">
        <f t="shared" si="676"/>
        <v>Ortega López</v>
      </c>
      <c r="G5012" s="8">
        <v>1</v>
      </c>
      <c r="H5012" s="11">
        <v>800</v>
      </c>
      <c r="I5012" s="12">
        <v>43023</v>
      </c>
      <c r="J5012" s="35">
        <f t="shared" si="669"/>
        <v>0</v>
      </c>
      <c r="K5012" s="36"/>
      <c r="L5012" s="36"/>
      <c r="M5012" s="36"/>
      <c r="N5012" s="36"/>
      <c r="O5012" s="36"/>
      <c r="P5012" s="36"/>
      <c r="Q5012" s="36"/>
      <c r="R5012" s="36"/>
      <c r="S5012" s="36"/>
      <c r="T5012" s="36"/>
      <c r="U5012" s="36"/>
      <c r="V5012" s="36"/>
      <c r="W5012" s="15">
        <f t="shared" si="677"/>
        <v>0</v>
      </c>
      <c r="X5012" s="36"/>
      <c r="Y5012" s="36"/>
      <c r="Z5012" s="36"/>
      <c r="AA5012" s="36"/>
      <c r="AB5012" s="36"/>
      <c r="AC5012" s="36"/>
      <c r="AD5012" s="36"/>
      <c r="AE5012" s="36"/>
      <c r="AF5012" s="36">
        <v>400</v>
      </c>
      <c r="AG5012" s="36">
        <v>400</v>
      </c>
      <c r="AH5012" s="36"/>
      <c r="AI5012" s="36"/>
      <c r="AJ5012" s="15">
        <f t="shared" si="678"/>
        <v>800</v>
      </c>
      <c r="AK5012" s="14"/>
      <c r="AL5012" s="14"/>
      <c r="AM5012" s="14"/>
      <c r="AN5012" s="14"/>
      <c r="AO5012" s="14"/>
      <c r="AP5012" s="14"/>
      <c r="AQ5012" s="14"/>
      <c r="AR5012" s="14"/>
      <c r="AS5012" s="14"/>
      <c r="AT5012" s="14"/>
      <c r="AU5012" s="14"/>
      <c r="AV5012" s="14"/>
      <c r="AW5012" s="15">
        <f t="shared" si="670"/>
        <v>0</v>
      </c>
      <c r="AX5012" s="16"/>
    </row>
    <row r="5013" spans="2:50" x14ac:dyDescent="0.2">
      <c r="B5013" s="7"/>
      <c r="C5013" s="8">
        <v>15233</v>
      </c>
      <c r="D5013" s="9" t="s">
        <v>983</v>
      </c>
      <c r="E5013" s="10" t="str">
        <f t="shared" ref="E5013:E5038" si="679">IF(D5013=0,"",VLOOKUP(D5013,BASE,2,FALSE))</f>
        <v>Rancho Landero No. 93</v>
      </c>
      <c r="F5013" s="10" t="str">
        <f t="shared" ref="F5013:F5038" si="680">IF(D5013=0,"",VLOOKUP(D5013,BASE,3,FALSE))</f>
        <v>Ortega López</v>
      </c>
      <c r="G5013" s="8">
        <v>5</v>
      </c>
      <c r="H5013" s="11">
        <v>50</v>
      </c>
      <c r="I5013" s="12">
        <v>43023</v>
      </c>
      <c r="J5013" s="35">
        <f t="shared" si="669"/>
        <v>0</v>
      </c>
      <c r="K5013" s="36"/>
      <c r="L5013" s="36"/>
      <c r="M5013" s="36"/>
      <c r="N5013" s="36"/>
      <c r="O5013" s="36"/>
      <c r="P5013" s="36"/>
      <c r="Q5013" s="36"/>
      <c r="R5013" s="36"/>
      <c r="S5013" s="36"/>
      <c r="T5013" s="36"/>
      <c r="U5013" s="36"/>
      <c r="V5013" s="36"/>
      <c r="W5013" s="15">
        <f t="shared" ref="W5013:W5038" si="681">SUM(K5013:V5013)</f>
        <v>0</v>
      </c>
      <c r="X5013" s="36"/>
      <c r="Y5013" s="36"/>
      <c r="Z5013" s="36"/>
      <c r="AA5013" s="36"/>
      <c r="AB5013" s="36"/>
      <c r="AC5013" s="36"/>
      <c r="AD5013" s="36"/>
      <c r="AE5013" s="36"/>
      <c r="AF5013" s="36"/>
      <c r="AG5013" s="36"/>
      <c r="AH5013" s="36"/>
      <c r="AI5013" s="36"/>
      <c r="AJ5013" s="15">
        <f t="shared" ref="AJ5013:AJ5038" si="682">SUM(X5013:AI5013)</f>
        <v>0</v>
      </c>
      <c r="AK5013" s="14"/>
      <c r="AL5013" s="14"/>
      <c r="AM5013" s="14"/>
      <c r="AN5013" s="14"/>
      <c r="AO5013" s="14"/>
      <c r="AP5013" s="14"/>
      <c r="AQ5013" s="14"/>
      <c r="AR5013" s="14"/>
      <c r="AS5013" s="14"/>
      <c r="AT5013" s="14"/>
      <c r="AU5013" s="14"/>
      <c r="AV5013" s="14"/>
      <c r="AW5013" s="15">
        <f t="shared" si="670"/>
        <v>0</v>
      </c>
      <c r="AX5013" s="16"/>
    </row>
    <row r="5014" spans="2:50" x14ac:dyDescent="0.2">
      <c r="B5014" s="7"/>
      <c r="C5014" s="8">
        <v>15234</v>
      </c>
      <c r="D5014" s="9" t="s">
        <v>743</v>
      </c>
      <c r="E5014" s="10" t="str">
        <f t="shared" si="679"/>
        <v>Rancho Upácuaro No. 106</v>
      </c>
      <c r="F5014" s="10" t="str">
        <f t="shared" si="680"/>
        <v>Hernández Sánchez</v>
      </c>
      <c r="G5014" s="8">
        <v>1</v>
      </c>
      <c r="H5014" s="11">
        <v>1200</v>
      </c>
      <c r="I5014" s="12">
        <v>43023</v>
      </c>
      <c r="J5014" s="35">
        <f t="shared" si="669"/>
        <v>0</v>
      </c>
      <c r="K5014" s="36"/>
      <c r="L5014" s="36"/>
      <c r="M5014" s="36"/>
      <c r="N5014" s="36"/>
      <c r="O5014" s="36"/>
      <c r="P5014" s="36"/>
      <c r="Q5014" s="36"/>
      <c r="R5014" s="36"/>
      <c r="S5014" s="36"/>
      <c r="T5014" s="36"/>
      <c r="U5014" s="36"/>
      <c r="V5014" s="36"/>
      <c r="W5014" s="15">
        <f t="shared" si="681"/>
        <v>0</v>
      </c>
      <c r="X5014" s="36"/>
      <c r="Y5014" s="36"/>
      <c r="Z5014" s="36"/>
      <c r="AA5014" s="36">
        <v>400</v>
      </c>
      <c r="AB5014" s="36">
        <v>400</v>
      </c>
      <c r="AC5014" s="36">
        <v>400</v>
      </c>
      <c r="AD5014" s="36"/>
      <c r="AE5014" s="36"/>
      <c r="AF5014" s="36"/>
      <c r="AG5014" s="36"/>
      <c r="AH5014" s="36"/>
      <c r="AI5014" s="36"/>
      <c r="AJ5014" s="15">
        <f t="shared" si="682"/>
        <v>1200</v>
      </c>
      <c r="AK5014" s="14"/>
      <c r="AL5014" s="14"/>
      <c r="AM5014" s="14"/>
      <c r="AN5014" s="14"/>
      <c r="AO5014" s="14"/>
      <c r="AP5014" s="14"/>
      <c r="AQ5014" s="14"/>
      <c r="AR5014" s="14"/>
      <c r="AS5014" s="14"/>
      <c r="AT5014" s="14"/>
      <c r="AU5014" s="14"/>
      <c r="AV5014" s="14"/>
      <c r="AW5014" s="15">
        <f t="shared" si="670"/>
        <v>0</v>
      </c>
      <c r="AX5014" s="16"/>
    </row>
    <row r="5015" spans="2:50" x14ac:dyDescent="0.2">
      <c r="B5015" s="7"/>
      <c r="C5015" s="8">
        <v>15235</v>
      </c>
      <c r="D5015" s="9" t="s">
        <v>235</v>
      </c>
      <c r="E5015" s="10" t="str">
        <f t="shared" si="679"/>
        <v>Rancho La Cuchilla No. 43, A</v>
      </c>
      <c r="F5015" s="10" t="str">
        <f t="shared" si="680"/>
        <v>De la Rosa</v>
      </c>
      <c r="G5015" s="8">
        <v>1</v>
      </c>
      <c r="H5015" s="11">
        <v>400</v>
      </c>
      <c r="I5015" s="12">
        <v>43023</v>
      </c>
      <c r="J5015" s="35">
        <f t="shared" si="669"/>
        <v>0</v>
      </c>
      <c r="K5015" s="36"/>
      <c r="L5015" s="36"/>
      <c r="M5015" s="36"/>
      <c r="N5015" s="36"/>
      <c r="O5015" s="36"/>
      <c r="P5015" s="36"/>
      <c r="Q5015" s="36"/>
      <c r="R5015" s="36"/>
      <c r="S5015" s="36"/>
      <c r="T5015" s="36"/>
      <c r="U5015" s="36"/>
      <c r="V5015" s="36"/>
      <c r="W5015" s="15">
        <f t="shared" si="681"/>
        <v>0</v>
      </c>
      <c r="X5015" s="36"/>
      <c r="Y5015" s="36"/>
      <c r="Z5015" s="36"/>
      <c r="AA5015" s="36"/>
      <c r="AB5015" s="36"/>
      <c r="AC5015" s="36"/>
      <c r="AD5015" s="36"/>
      <c r="AE5015" s="36">
        <v>400</v>
      </c>
      <c r="AF5015" s="36"/>
      <c r="AG5015" s="36"/>
      <c r="AH5015" s="36"/>
      <c r="AI5015" s="36"/>
      <c r="AJ5015" s="15">
        <f t="shared" si="682"/>
        <v>400</v>
      </c>
      <c r="AK5015" s="14"/>
      <c r="AL5015" s="14"/>
      <c r="AM5015" s="14"/>
      <c r="AN5015" s="14"/>
      <c r="AO5015" s="14"/>
      <c r="AP5015" s="14"/>
      <c r="AQ5015" s="14"/>
      <c r="AR5015" s="14"/>
      <c r="AS5015" s="14"/>
      <c r="AT5015" s="14"/>
      <c r="AU5015" s="14"/>
      <c r="AV5015" s="14"/>
      <c r="AW5015" s="15">
        <f t="shared" si="670"/>
        <v>0</v>
      </c>
      <c r="AX5015" s="16"/>
    </row>
    <row r="5016" spans="2:50" x14ac:dyDescent="0.2">
      <c r="B5016" s="7"/>
      <c r="C5016" s="8">
        <v>15236</v>
      </c>
      <c r="D5016" s="9" t="s">
        <v>295</v>
      </c>
      <c r="E5016" s="10" t="str">
        <f t="shared" si="679"/>
        <v>Rancho Landero No. 99</v>
      </c>
      <c r="F5016" s="10" t="str">
        <f t="shared" si="680"/>
        <v>Rangel</v>
      </c>
      <c r="G5016" s="8">
        <v>1</v>
      </c>
      <c r="H5016" s="11">
        <v>300</v>
      </c>
      <c r="I5016" s="12">
        <v>43023</v>
      </c>
      <c r="J5016" s="35">
        <f t="shared" si="669"/>
        <v>0</v>
      </c>
      <c r="K5016" s="36"/>
      <c r="L5016" s="36"/>
      <c r="M5016" s="36"/>
      <c r="N5016" s="36"/>
      <c r="O5016" s="36"/>
      <c r="P5016" s="36"/>
      <c r="Q5016" s="36"/>
      <c r="R5016" s="36"/>
      <c r="S5016" s="36"/>
      <c r="T5016" s="36"/>
      <c r="U5016" s="36"/>
      <c r="V5016" s="36"/>
      <c r="W5016" s="15">
        <f t="shared" si="681"/>
        <v>0</v>
      </c>
      <c r="X5016" s="36"/>
      <c r="Y5016" s="36"/>
      <c r="Z5016" s="36"/>
      <c r="AA5016" s="36"/>
      <c r="AB5016" s="36"/>
      <c r="AC5016" s="36"/>
      <c r="AD5016" s="36"/>
      <c r="AE5016" s="36">
        <v>300</v>
      </c>
      <c r="AF5016" s="36"/>
      <c r="AG5016" s="36"/>
      <c r="AH5016" s="36"/>
      <c r="AI5016" s="36"/>
      <c r="AJ5016" s="15">
        <f t="shared" si="682"/>
        <v>300</v>
      </c>
      <c r="AK5016" s="14"/>
      <c r="AL5016" s="14"/>
      <c r="AM5016" s="14"/>
      <c r="AN5016" s="14"/>
      <c r="AO5016" s="14"/>
      <c r="AP5016" s="14"/>
      <c r="AQ5016" s="14"/>
      <c r="AR5016" s="14"/>
      <c r="AS5016" s="14"/>
      <c r="AT5016" s="14"/>
      <c r="AU5016" s="14"/>
      <c r="AV5016" s="14"/>
      <c r="AW5016" s="15">
        <f t="shared" si="670"/>
        <v>0</v>
      </c>
      <c r="AX5016" s="16"/>
    </row>
    <row r="5017" spans="2:50" x14ac:dyDescent="0.2">
      <c r="B5017" s="7"/>
      <c r="C5017" s="8">
        <v>15237</v>
      </c>
      <c r="D5017" s="9" t="s">
        <v>259</v>
      </c>
      <c r="E5017" s="10" t="str">
        <f t="shared" si="679"/>
        <v>Rancho Estanzuela No. 55</v>
      </c>
      <c r="F5017" s="10" t="str">
        <f t="shared" si="680"/>
        <v>Rodríguez Acevedo</v>
      </c>
      <c r="G5017" s="8">
        <v>1</v>
      </c>
      <c r="H5017" s="11">
        <v>400</v>
      </c>
      <c r="I5017" s="12">
        <v>43023</v>
      </c>
      <c r="J5017" s="35">
        <f t="shared" ref="J5017:J5097" si="683">IF(G5017=1,SUM(W5017,AJ5017,AW5017,-H5017),0)</f>
        <v>0</v>
      </c>
      <c r="K5017" s="36"/>
      <c r="L5017" s="36"/>
      <c r="M5017" s="36"/>
      <c r="N5017" s="36"/>
      <c r="O5017" s="36"/>
      <c r="P5017" s="36"/>
      <c r="Q5017" s="36"/>
      <c r="R5017" s="36"/>
      <c r="S5017" s="36"/>
      <c r="T5017" s="36"/>
      <c r="U5017" s="36"/>
      <c r="V5017" s="36"/>
      <c r="W5017" s="15">
        <f t="shared" si="681"/>
        <v>0</v>
      </c>
      <c r="X5017" s="36"/>
      <c r="Y5017" s="36"/>
      <c r="Z5017" s="36"/>
      <c r="AA5017" s="36"/>
      <c r="AB5017" s="36"/>
      <c r="AC5017" s="36"/>
      <c r="AD5017" s="36"/>
      <c r="AE5017" s="36"/>
      <c r="AF5017" s="36"/>
      <c r="AG5017" s="36">
        <v>400</v>
      </c>
      <c r="AH5017" s="36"/>
      <c r="AI5017" s="36"/>
      <c r="AJ5017" s="15">
        <f t="shared" si="682"/>
        <v>400</v>
      </c>
      <c r="AK5017" s="14"/>
      <c r="AL5017" s="14"/>
      <c r="AM5017" s="14"/>
      <c r="AN5017" s="14"/>
      <c r="AO5017" s="14"/>
      <c r="AP5017" s="14"/>
      <c r="AQ5017" s="14"/>
      <c r="AR5017" s="14"/>
      <c r="AS5017" s="14"/>
      <c r="AT5017" s="14"/>
      <c r="AU5017" s="14"/>
      <c r="AV5017" s="14"/>
      <c r="AW5017" s="15">
        <f t="shared" ref="AW5017:AW5080" si="684">SUM(AK5017:AV5017)</f>
        <v>0</v>
      </c>
      <c r="AX5017" s="16"/>
    </row>
    <row r="5018" spans="2:50" x14ac:dyDescent="0.2">
      <c r="B5018" s="7"/>
      <c r="C5018" s="8">
        <v>15238</v>
      </c>
      <c r="D5018" s="9" t="s">
        <v>109</v>
      </c>
      <c r="E5018" s="10" t="str">
        <f t="shared" si="679"/>
        <v>Rancho Estanzuela No. 31</v>
      </c>
      <c r="F5018" s="10" t="str">
        <f t="shared" si="680"/>
        <v>Chávez Valdés</v>
      </c>
      <c r="G5018" s="8">
        <v>1</v>
      </c>
      <c r="H5018" s="11">
        <v>400</v>
      </c>
      <c r="I5018" s="12">
        <v>43023</v>
      </c>
      <c r="J5018" s="35">
        <f t="shared" si="683"/>
        <v>0</v>
      </c>
      <c r="K5018" s="36"/>
      <c r="L5018" s="36"/>
      <c r="M5018" s="36"/>
      <c r="N5018" s="36"/>
      <c r="O5018" s="36"/>
      <c r="P5018" s="36"/>
      <c r="Q5018" s="36"/>
      <c r="R5018" s="36"/>
      <c r="S5018" s="36"/>
      <c r="T5018" s="36"/>
      <c r="U5018" s="36"/>
      <c r="V5018" s="36"/>
      <c r="W5018" s="15">
        <f t="shared" si="681"/>
        <v>0</v>
      </c>
      <c r="X5018" s="36"/>
      <c r="Y5018" s="36"/>
      <c r="Z5018" s="36"/>
      <c r="AA5018" s="36"/>
      <c r="AB5018" s="36"/>
      <c r="AC5018" s="36"/>
      <c r="AD5018" s="36"/>
      <c r="AE5018" s="36"/>
      <c r="AF5018" s="36">
        <v>400</v>
      </c>
      <c r="AG5018" s="36"/>
      <c r="AH5018" s="36"/>
      <c r="AI5018" s="36"/>
      <c r="AJ5018" s="15">
        <f t="shared" si="682"/>
        <v>400</v>
      </c>
      <c r="AK5018" s="14"/>
      <c r="AL5018" s="14"/>
      <c r="AM5018" s="14"/>
      <c r="AN5018" s="14"/>
      <c r="AO5018" s="14"/>
      <c r="AP5018" s="14"/>
      <c r="AQ5018" s="14"/>
      <c r="AR5018" s="14"/>
      <c r="AS5018" s="14"/>
      <c r="AT5018" s="14"/>
      <c r="AU5018" s="14"/>
      <c r="AV5018" s="14"/>
      <c r="AW5018" s="15">
        <f t="shared" si="684"/>
        <v>0</v>
      </c>
      <c r="AX5018" s="16"/>
    </row>
    <row r="5019" spans="2:50" x14ac:dyDescent="0.2">
      <c r="B5019" s="7"/>
      <c r="C5019" s="8">
        <v>15239</v>
      </c>
      <c r="D5019" s="9" t="s">
        <v>620</v>
      </c>
      <c r="E5019" s="10" t="str">
        <f t="shared" si="679"/>
        <v>Rancho La Cuchilla No. 32</v>
      </c>
      <c r="F5019" s="10" t="str">
        <f t="shared" si="680"/>
        <v>Hernández</v>
      </c>
      <c r="G5019" s="8">
        <v>1</v>
      </c>
      <c r="H5019" s="11">
        <v>800</v>
      </c>
      <c r="I5019" s="12">
        <v>43023</v>
      </c>
      <c r="J5019" s="35">
        <f t="shared" si="683"/>
        <v>0</v>
      </c>
      <c r="K5019" s="36"/>
      <c r="L5019" s="36"/>
      <c r="M5019" s="36"/>
      <c r="N5019" s="36"/>
      <c r="O5019" s="36"/>
      <c r="P5019" s="36"/>
      <c r="Q5019" s="36"/>
      <c r="R5019" s="36"/>
      <c r="S5019" s="36"/>
      <c r="T5019" s="36"/>
      <c r="U5019" s="36"/>
      <c r="V5019" s="36"/>
      <c r="W5019" s="15">
        <f t="shared" si="681"/>
        <v>0</v>
      </c>
      <c r="X5019" s="36"/>
      <c r="Y5019" s="36"/>
      <c r="Z5019" s="36"/>
      <c r="AA5019" s="36"/>
      <c r="AB5019" s="36"/>
      <c r="AC5019" s="36"/>
      <c r="AD5019" s="36"/>
      <c r="AE5019" s="36">
        <v>400</v>
      </c>
      <c r="AF5019" s="36">
        <v>400</v>
      </c>
      <c r="AG5019" s="36"/>
      <c r="AH5019" s="36"/>
      <c r="AI5019" s="36"/>
      <c r="AJ5019" s="15">
        <f t="shared" si="682"/>
        <v>800</v>
      </c>
      <c r="AK5019" s="14"/>
      <c r="AL5019" s="14"/>
      <c r="AM5019" s="14"/>
      <c r="AN5019" s="14"/>
      <c r="AO5019" s="14"/>
      <c r="AP5019" s="14"/>
      <c r="AQ5019" s="14"/>
      <c r="AR5019" s="14"/>
      <c r="AS5019" s="14"/>
      <c r="AT5019" s="14"/>
      <c r="AU5019" s="14"/>
      <c r="AV5019" s="14"/>
      <c r="AW5019" s="15">
        <f t="shared" si="684"/>
        <v>0</v>
      </c>
      <c r="AX5019" s="16"/>
    </row>
    <row r="5020" spans="2:50" x14ac:dyDescent="0.2">
      <c r="B5020" s="7"/>
      <c r="C5020" s="8">
        <v>15240</v>
      </c>
      <c r="D5020" s="9" t="s">
        <v>899</v>
      </c>
      <c r="E5020" s="10" t="str">
        <f t="shared" si="679"/>
        <v>Rancho Landero No. 8</v>
      </c>
      <c r="F5020" s="10" t="str">
        <f t="shared" si="680"/>
        <v>Garces Suarez</v>
      </c>
      <c r="G5020" s="8">
        <v>1</v>
      </c>
      <c r="H5020" s="11">
        <v>800</v>
      </c>
      <c r="I5020" s="12">
        <v>43023</v>
      </c>
      <c r="J5020" s="35">
        <f t="shared" si="683"/>
        <v>0</v>
      </c>
      <c r="K5020" s="36"/>
      <c r="L5020" s="36"/>
      <c r="M5020" s="36"/>
      <c r="N5020" s="36"/>
      <c r="O5020" s="36"/>
      <c r="P5020" s="36"/>
      <c r="Q5020" s="36"/>
      <c r="R5020" s="36"/>
      <c r="S5020" s="36"/>
      <c r="T5020" s="36"/>
      <c r="U5020" s="36"/>
      <c r="V5020" s="36"/>
      <c r="W5020" s="15">
        <f t="shared" si="681"/>
        <v>0</v>
      </c>
      <c r="X5020" s="36"/>
      <c r="Y5020" s="36"/>
      <c r="Z5020" s="36"/>
      <c r="AA5020" s="36"/>
      <c r="AB5020" s="36"/>
      <c r="AC5020" s="36"/>
      <c r="AD5020" s="36"/>
      <c r="AE5020" s="36"/>
      <c r="AF5020" s="36"/>
      <c r="AG5020" s="36">
        <v>400</v>
      </c>
      <c r="AH5020" s="36">
        <v>400</v>
      </c>
      <c r="AI5020" s="36"/>
      <c r="AJ5020" s="15">
        <f t="shared" si="682"/>
        <v>800</v>
      </c>
      <c r="AK5020" s="14"/>
      <c r="AL5020" s="14"/>
      <c r="AM5020" s="14"/>
      <c r="AN5020" s="14"/>
      <c r="AO5020" s="14"/>
      <c r="AP5020" s="14"/>
      <c r="AQ5020" s="14"/>
      <c r="AR5020" s="14"/>
      <c r="AS5020" s="14"/>
      <c r="AT5020" s="14"/>
      <c r="AU5020" s="14"/>
      <c r="AV5020" s="14"/>
      <c r="AW5020" s="15">
        <f t="shared" si="684"/>
        <v>0</v>
      </c>
      <c r="AX5020" s="16"/>
    </row>
    <row r="5021" spans="2:50" x14ac:dyDescent="0.2">
      <c r="B5021" s="7"/>
      <c r="C5021" s="8">
        <v>15241</v>
      </c>
      <c r="D5021" s="9" t="s">
        <v>705</v>
      </c>
      <c r="E5021" s="10" t="str">
        <f t="shared" si="679"/>
        <v>Rancho La Cuchilla No. 75</v>
      </c>
      <c r="F5021" s="10" t="str">
        <f t="shared" si="680"/>
        <v>Sosa Lucio</v>
      </c>
      <c r="G5021" s="8">
        <v>1</v>
      </c>
      <c r="H5021" s="11">
        <v>300</v>
      </c>
      <c r="I5021" s="12">
        <v>43023</v>
      </c>
      <c r="J5021" s="35">
        <f t="shared" si="683"/>
        <v>0</v>
      </c>
      <c r="K5021" s="36"/>
      <c r="L5021" s="36"/>
      <c r="M5021" s="36"/>
      <c r="N5021" s="36"/>
      <c r="O5021" s="36"/>
      <c r="P5021" s="36"/>
      <c r="Q5021" s="36"/>
      <c r="R5021" s="36"/>
      <c r="S5021" s="36"/>
      <c r="T5021" s="36"/>
      <c r="U5021" s="36"/>
      <c r="V5021" s="36"/>
      <c r="W5021" s="15">
        <f t="shared" si="681"/>
        <v>0</v>
      </c>
      <c r="X5021" s="36"/>
      <c r="Y5021" s="36"/>
      <c r="Z5021" s="36"/>
      <c r="AA5021" s="36"/>
      <c r="AB5021" s="36"/>
      <c r="AC5021" s="36"/>
      <c r="AD5021" s="36"/>
      <c r="AE5021" s="36"/>
      <c r="AF5021" s="36"/>
      <c r="AG5021" s="36">
        <v>300</v>
      </c>
      <c r="AH5021" s="36"/>
      <c r="AI5021" s="36"/>
      <c r="AJ5021" s="15">
        <f t="shared" si="682"/>
        <v>300</v>
      </c>
      <c r="AK5021" s="14"/>
      <c r="AL5021" s="14"/>
      <c r="AM5021" s="14"/>
      <c r="AN5021" s="14"/>
      <c r="AO5021" s="14"/>
      <c r="AP5021" s="14"/>
      <c r="AQ5021" s="14"/>
      <c r="AR5021" s="14"/>
      <c r="AS5021" s="14"/>
      <c r="AT5021" s="14"/>
      <c r="AU5021" s="14"/>
      <c r="AV5021" s="14"/>
      <c r="AW5021" s="15">
        <f t="shared" si="684"/>
        <v>0</v>
      </c>
      <c r="AX5021" s="16"/>
    </row>
    <row r="5022" spans="2:50" x14ac:dyDescent="0.2">
      <c r="B5022" s="7"/>
      <c r="C5022" s="8">
        <v>15242</v>
      </c>
      <c r="D5022" s="9" t="s">
        <v>849</v>
      </c>
      <c r="E5022" s="10" t="str">
        <f t="shared" si="679"/>
        <v>Rancho La Cuchilla No. 127</v>
      </c>
      <c r="F5022" s="10" t="str">
        <f t="shared" si="680"/>
        <v>Quiñones</v>
      </c>
      <c r="G5022" s="8">
        <v>1</v>
      </c>
      <c r="H5022" s="11">
        <v>1500</v>
      </c>
      <c r="I5022" s="12">
        <v>43023</v>
      </c>
      <c r="J5022" s="35">
        <f t="shared" si="683"/>
        <v>0</v>
      </c>
      <c r="K5022" s="36"/>
      <c r="L5022" s="36"/>
      <c r="M5022" s="36"/>
      <c r="N5022" s="36"/>
      <c r="O5022" s="36"/>
      <c r="P5022" s="36"/>
      <c r="Q5022" s="36"/>
      <c r="R5022" s="36"/>
      <c r="S5022" s="36"/>
      <c r="T5022" s="36"/>
      <c r="U5022" s="36"/>
      <c r="V5022" s="36"/>
      <c r="W5022" s="15">
        <f t="shared" si="681"/>
        <v>0</v>
      </c>
      <c r="X5022" s="36"/>
      <c r="Y5022" s="36"/>
      <c r="Z5022" s="36"/>
      <c r="AA5022" s="36"/>
      <c r="AB5022" s="36"/>
      <c r="AC5022" s="36">
        <v>300</v>
      </c>
      <c r="AD5022" s="36">
        <v>300</v>
      </c>
      <c r="AE5022" s="36">
        <v>300</v>
      </c>
      <c r="AF5022" s="36">
        <v>300</v>
      </c>
      <c r="AG5022" s="36">
        <v>300</v>
      </c>
      <c r="AH5022" s="36"/>
      <c r="AI5022" s="36"/>
      <c r="AJ5022" s="15">
        <f t="shared" si="682"/>
        <v>1500</v>
      </c>
      <c r="AK5022" s="14"/>
      <c r="AL5022" s="14"/>
      <c r="AM5022" s="14"/>
      <c r="AN5022" s="14"/>
      <c r="AO5022" s="14"/>
      <c r="AP5022" s="14"/>
      <c r="AQ5022" s="14"/>
      <c r="AR5022" s="14"/>
      <c r="AS5022" s="14"/>
      <c r="AT5022" s="14"/>
      <c r="AU5022" s="14"/>
      <c r="AV5022" s="14"/>
      <c r="AW5022" s="15">
        <f t="shared" si="684"/>
        <v>0</v>
      </c>
      <c r="AX5022" s="16"/>
    </row>
    <row r="5023" spans="2:50" x14ac:dyDescent="0.2">
      <c r="B5023" s="7"/>
      <c r="C5023" s="8">
        <v>15242</v>
      </c>
      <c r="D5023" s="9" t="s">
        <v>849</v>
      </c>
      <c r="E5023" s="10" t="str">
        <f t="shared" si="679"/>
        <v>Rancho La Cuchilla No. 127</v>
      </c>
      <c r="F5023" s="10" t="str">
        <f t="shared" si="680"/>
        <v>Quiñones</v>
      </c>
      <c r="G5023" s="8">
        <v>3</v>
      </c>
      <c r="H5023" s="11">
        <v>200</v>
      </c>
      <c r="I5023" s="12">
        <v>43023</v>
      </c>
      <c r="J5023" s="35">
        <f t="shared" si="683"/>
        <v>0</v>
      </c>
      <c r="K5023" s="36"/>
      <c r="L5023" s="36"/>
      <c r="M5023" s="36"/>
      <c r="N5023" s="36"/>
      <c r="O5023" s="36"/>
      <c r="P5023" s="36"/>
      <c r="Q5023" s="36"/>
      <c r="R5023" s="36"/>
      <c r="S5023" s="36"/>
      <c r="T5023" s="36"/>
      <c r="U5023" s="36"/>
      <c r="V5023" s="36"/>
      <c r="W5023" s="15">
        <f t="shared" si="681"/>
        <v>0</v>
      </c>
      <c r="X5023" s="36"/>
      <c r="Y5023" s="36"/>
      <c r="Z5023" s="36"/>
      <c r="AA5023" s="36"/>
      <c r="AB5023" s="36"/>
      <c r="AC5023" s="36"/>
      <c r="AD5023" s="36"/>
      <c r="AE5023" s="36"/>
      <c r="AF5023" s="36"/>
      <c r="AG5023" s="36"/>
      <c r="AH5023" s="36"/>
      <c r="AI5023" s="36"/>
      <c r="AJ5023" s="15">
        <f t="shared" si="682"/>
        <v>0</v>
      </c>
      <c r="AK5023" s="14"/>
      <c r="AL5023" s="14"/>
      <c r="AM5023" s="14"/>
      <c r="AN5023" s="14"/>
      <c r="AO5023" s="14"/>
      <c r="AP5023" s="14"/>
      <c r="AQ5023" s="14"/>
      <c r="AR5023" s="14"/>
      <c r="AS5023" s="14"/>
      <c r="AT5023" s="14"/>
      <c r="AU5023" s="14"/>
      <c r="AV5023" s="14"/>
      <c r="AW5023" s="15">
        <f t="shared" si="684"/>
        <v>0</v>
      </c>
      <c r="AX5023" s="316">
        <f>SUM(H5002:H5023)</f>
        <v>14850</v>
      </c>
    </row>
    <row r="5024" spans="2:50" x14ac:dyDescent="0.2">
      <c r="B5024" s="7"/>
      <c r="C5024" s="8">
        <v>15243</v>
      </c>
      <c r="D5024" s="9"/>
      <c r="E5024" s="10" t="str">
        <f t="shared" si="679"/>
        <v/>
      </c>
      <c r="F5024" s="10" t="str">
        <f t="shared" si="680"/>
        <v/>
      </c>
      <c r="G5024" s="8">
        <v>8</v>
      </c>
      <c r="H5024" s="315"/>
      <c r="I5024" s="12"/>
      <c r="J5024" s="35">
        <f t="shared" si="683"/>
        <v>0</v>
      </c>
      <c r="K5024" s="36"/>
      <c r="L5024" s="36"/>
      <c r="M5024" s="36"/>
      <c r="N5024" s="36"/>
      <c r="O5024" s="36"/>
      <c r="P5024" s="36"/>
      <c r="Q5024" s="36"/>
      <c r="R5024" s="36"/>
      <c r="S5024" s="36"/>
      <c r="T5024" s="36"/>
      <c r="U5024" s="36"/>
      <c r="V5024" s="36"/>
      <c r="W5024" s="15">
        <f t="shared" si="681"/>
        <v>0</v>
      </c>
      <c r="X5024" s="36"/>
      <c r="Y5024" s="36"/>
      <c r="Z5024" s="36"/>
      <c r="AA5024" s="36"/>
      <c r="AB5024" s="36"/>
      <c r="AC5024" s="36"/>
      <c r="AD5024" s="36"/>
      <c r="AE5024" s="36"/>
      <c r="AF5024" s="36"/>
      <c r="AG5024" s="36"/>
      <c r="AH5024" s="36"/>
      <c r="AI5024" s="36"/>
      <c r="AJ5024" s="15">
        <f t="shared" si="682"/>
        <v>0</v>
      </c>
      <c r="AK5024" s="14"/>
      <c r="AL5024" s="14"/>
      <c r="AM5024" s="14"/>
      <c r="AN5024" s="14"/>
      <c r="AO5024" s="14"/>
      <c r="AP5024" s="14"/>
      <c r="AQ5024" s="14"/>
      <c r="AR5024" s="14"/>
      <c r="AS5024" s="14"/>
      <c r="AT5024" s="14"/>
      <c r="AU5024" s="14"/>
      <c r="AV5024" s="14"/>
      <c r="AW5024" s="15">
        <f t="shared" si="684"/>
        <v>0</v>
      </c>
      <c r="AX5024" s="16"/>
    </row>
    <row r="5025" spans="2:50" x14ac:dyDescent="0.2">
      <c r="B5025" s="7"/>
      <c r="C5025" s="8">
        <v>15244</v>
      </c>
      <c r="D5025" s="9" t="s">
        <v>476</v>
      </c>
      <c r="E5025" s="10" t="str">
        <f t="shared" si="679"/>
        <v>Rancho Upácuaro No. 33</v>
      </c>
      <c r="F5025" s="10" t="str">
        <f t="shared" si="680"/>
        <v>Ulloa Miranda</v>
      </c>
      <c r="G5025" s="8">
        <v>5</v>
      </c>
      <c r="H5025" s="11">
        <v>50</v>
      </c>
      <c r="I5025" s="12">
        <v>43025</v>
      </c>
      <c r="J5025" s="35">
        <f t="shared" si="683"/>
        <v>0</v>
      </c>
      <c r="K5025" s="36"/>
      <c r="L5025" s="36"/>
      <c r="M5025" s="36"/>
      <c r="N5025" s="36"/>
      <c r="O5025" s="36"/>
      <c r="P5025" s="36"/>
      <c r="Q5025" s="36"/>
      <c r="R5025" s="36"/>
      <c r="S5025" s="36"/>
      <c r="T5025" s="36"/>
      <c r="U5025" s="36"/>
      <c r="V5025" s="36"/>
      <c r="W5025" s="15">
        <f t="shared" si="681"/>
        <v>0</v>
      </c>
      <c r="X5025" s="36"/>
      <c r="Y5025" s="36"/>
      <c r="Z5025" s="36"/>
      <c r="AA5025" s="36"/>
      <c r="AB5025" s="36"/>
      <c r="AC5025" s="36"/>
      <c r="AD5025" s="36"/>
      <c r="AE5025" s="36"/>
      <c r="AF5025" s="36"/>
      <c r="AG5025" s="36"/>
      <c r="AH5025" s="36"/>
      <c r="AI5025" s="36"/>
      <c r="AJ5025" s="15">
        <f t="shared" si="682"/>
        <v>0</v>
      </c>
      <c r="AK5025" s="14"/>
      <c r="AL5025" s="14"/>
      <c r="AM5025" s="14"/>
      <c r="AN5025" s="14"/>
      <c r="AO5025" s="14"/>
      <c r="AP5025" s="14"/>
      <c r="AQ5025" s="14"/>
      <c r="AR5025" s="14"/>
      <c r="AS5025" s="14"/>
      <c r="AT5025" s="14"/>
      <c r="AU5025" s="14"/>
      <c r="AV5025" s="14"/>
      <c r="AW5025" s="15">
        <f t="shared" si="684"/>
        <v>0</v>
      </c>
      <c r="AX5025" s="16"/>
    </row>
    <row r="5026" spans="2:50" x14ac:dyDescent="0.2">
      <c r="B5026" s="7"/>
      <c r="C5026" s="8">
        <v>15245</v>
      </c>
      <c r="D5026" s="9" t="s">
        <v>1134</v>
      </c>
      <c r="E5026" s="10" t="str">
        <f t="shared" si="679"/>
        <v>Rancho La Cuchilla No. 30</v>
      </c>
      <c r="F5026" s="10" t="str">
        <f t="shared" si="680"/>
        <v>Ruiz Navarrete</v>
      </c>
      <c r="G5026" s="8">
        <v>7</v>
      </c>
      <c r="H5026" s="11">
        <v>50</v>
      </c>
      <c r="I5026" s="12">
        <v>43025</v>
      </c>
      <c r="J5026" s="35">
        <f t="shared" si="683"/>
        <v>0</v>
      </c>
      <c r="K5026" s="36"/>
      <c r="L5026" s="36"/>
      <c r="M5026" s="36"/>
      <c r="N5026" s="36"/>
      <c r="O5026" s="36"/>
      <c r="P5026" s="36"/>
      <c r="Q5026" s="36"/>
      <c r="R5026" s="36"/>
      <c r="S5026" s="36"/>
      <c r="T5026" s="36"/>
      <c r="U5026" s="36"/>
      <c r="V5026" s="36"/>
      <c r="W5026" s="15">
        <f t="shared" si="681"/>
        <v>0</v>
      </c>
      <c r="X5026" s="36"/>
      <c r="Y5026" s="36"/>
      <c r="Z5026" s="36"/>
      <c r="AA5026" s="36"/>
      <c r="AB5026" s="36"/>
      <c r="AC5026" s="36"/>
      <c r="AD5026" s="36"/>
      <c r="AE5026" s="36"/>
      <c r="AF5026" s="36"/>
      <c r="AG5026" s="36"/>
      <c r="AH5026" s="36"/>
      <c r="AI5026" s="36"/>
      <c r="AJ5026" s="15">
        <f t="shared" si="682"/>
        <v>0</v>
      </c>
      <c r="AK5026" s="14"/>
      <c r="AL5026" s="14"/>
      <c r="AM5026" s="14"/>
      <c r="AN5026" s="14"/>
      <c r="AO5026" s="14"/>
      <c r="AP5026" s="14"/>
      <c r="AQ5026" s="14"/>
      <c r="AR5026" s="14"/>
      <c r="AS5026" s="14"/>
      <c r="AT5026" s="14"/>
      <c r="AU5026" s="14"/>
      <c r="AV5026" s="14"/>
      <c r="AW5026" s="15">
        <f t="shared" si="684"/>
        <v>0</v>
      </c>
      <c r="AX5026" s="16"/>
    </row>
    <row r="5027" spans="2:50" x14ac:dyDescent="0.2">
      <c r="B5027" s="7"/>
      <c r="C5027" s="8">
        <v>15246</v>
      </c>
      <c r="D5027" s="9" t="s">
        <v>488</v>
      </c>
      <c r="E5027" s="10" t="str">
        <f t="shared" si="679"/>
        <v>Rancho Landero No. 85</v>
      </c>
      <c r="F5027" s="10" t="str">
        <f t="shared" si="680"/>
        <v>Martínez Olague</v>
      </c>
      <c r="G5027" s="8">
        <v>4</v>
      </c>
      <c r="H5027" s="11">
        <v>200</v>
      </c>
      <c r="I5027" s="12">
        <v>43025</v>
      </c>
      <c r="J5027" s="35">
        <f t="shared" si="683"/>
        <v>0</v>
      </c>
      <c r="K5027" s="36"/>
      <c r="L5027" s="36"/>
      <c r="M5027" s="36"/>
      <c r="N5027" s="36"/>
      <c r="O5027" s="36"/>
      <c r="P5027" s="36"/>
      <c r="Q5027" s="36"/>
      <c r="R5027" s="36"/>
      <c r="S5027" s="36"/>
      <c r="T5027" s="36"/>
      <c r="U5027" s="36"/>
      <c r="V5027" s="36"/>
      <c r="W5027" s="15">
        <f t="shared" si="681"/>
        <v>0</v>
      </c>
      <c r="X5027" s="36"/>
      <c r="Y5027" s="36"/>
      <c r="Z5027" s="36"/>
      <c r="AA5027" s="36"/>
      <c r="AB5027" s="36"/>
      <c r="AC5027" s="36"/>
      <c r="AD5027" s="36"/>
      <c r="AE5027" s="36"/>
      <c r="AF5027" s="36"/>
      <c r="AG5027" s="36"/>
      <c r="AH5027" s="36"/>
      <c r="AI5027" s="36"/>
      <c r="AJ5027" s="15">
        <f t="shared" si="682"/>
        <v>0</v>
      </c>
      <c r="AK5027" s="14"/>
      <c r="AL5027" s="14"/>
      <c r="AM5027" s="14"/>
      <c r="AN5027" s="14"/>
      <c r="AO5027" s="14"/>
      <c r="AP5027" s="14"/>
      <c r="AQ5027" s="14"/>
      <c r="AR5027" s="14"/>
      <c r="AS5027" s="14"/>
      <c r="AT5027" s="14"/>
      <c r="AU5027" s="14"/>
      <c r="AV5027" s="14"/>
      <c r="AW5027" s="15">
        <f t="shared" si="684"/>
        <v>0</v>
      </c>
      <c r="AX5027" s="16" t="s">
        <v>4605</v>
      </c>
    </row>
    <row r="5028" spans="2:50" x14ac:dyDescent="0.2">
      <c r="B5028" s="7"/>
      <c r="C5028" s="8">
        <v>15247</v>
      </c>
      <c r="D5028" s="9" t="s">
        <v>614</v>
      </c>
      <c r="E5028" s="10" t="str">
        <f t="shared" si="679"/>
        <v>Rancho La Cuchilla No. 82</v>
      </c>
      <c r="F5028" s="10" t="str">
        <f t="shared" si="680"/>
        <v>Cruz</v>
      </c>
      <c r="G5028" s="8">
        <v>1</v>
      </c>
      <c r="H5028" s="11">
        <v>1200</v>
      </c>
      <c r="I5028" s="12">
        <v>43027</v>
      </c>
      <c r="J5028" s="35">
        <f t="shared" si="683"/>
        <v>0</v>
      </c>
      <c r="K5028" s="36"/>
      <c r="L5028" s="36"/>
      <c r="M5028" s="36"/>
      <c r="N5028" s="36"/>
      <c r="O5028" s="36"/>
      <c r="P5028" s="36"/>
      <c r="Q5028" s="36"/>
      <c r="R5028" s="36"/>
      <c r="S5028" s="36"/>
      <c r="T5028" s="36"/>
      <c r="U5028" s="36"/>
      <c r="V5028" s="36"/>
      <c r="W5028" s="15">
        <f t="shared" si="681"/>
        <v>0</v>
      </c>
      <c r="X5028" s="36"/>
      <c r="Y5028" s="36"/>
      <c r="Z5028" s="36"/>
      <c r="AA5028" s="36"/>
      <c r="AB5028" s="36"/>
      <c r="AC5028" s="36"/>
      <c r="AD5028" s="36"/>
      <c r="AE5028" s="36">
        <v>400</v>
      </c>
      <c r="AF5028" s="36">
        <v>400</v>
      </c>
      <c r="AG5028" s="36">
        <v>400</v>
      </c>
      <c r="AH5028" s="36"/>
      <c r="AI5028" s="36"/>
      <c r="AJ5028" s="15">
        <f t="shared" si="682"/>
        <v>1200</v>
      </c>
      <c r="AK5028" s="14"/>
      <c r="AL5028" s="14"/>
      <c r="AM5028" s="14"/>
      <c r="AN5028" s="14"/>
      <c r="AO5028" s="14"/>
      <c r="AP5028" s="14"/>
      <c r="AQ5028" s="14"/>
      <c r="AR5028" s="14"/>
      <c r="AS5028" s="14"/>
      <c r="AT5028" s="14"/>
      <c r="AU5028" s="14"/>
      <c r="AV5028" s="14"/>
      <c r="AW5028" s="15">
        <f t="shared" si="684"/>
        <v>0</v>
      </c>
      <c r="AX5028" s="16"/>
    </row>
    <row r="5029" spans="2:50" x14ac:dyDescent="0.2">
      <c r="B5029" s="7"/>
      <c r="C5029" s="8">
        <v>15248</v>
      </c>
      <c r="D5029" s="9" t="s">
        <v>1039</v>
      </c>
      <c r="E5029" s="10" t="str">
        <f t="shared" si="679"/>
        <v>Rancho Upácuaro No. 77</v>
      </c>
      <c r="F5029" s="10" t="str">
        <f t="shared" si="680"/>
        <v>Alvarado</v>
      </c>
      <c r="G5029" s="8">
        <v>1</v>
      </c>
      <c r="H5029" s="11">
        <v>800</v>
      </c>
      <c r="I5029" s="12">
        <v>43028</v>
      </c>
      <c r="J5029" s="35">
        <f t="shared" si="683"/>
        <v>0</v>
      </c>
      <c r="K5029" s="36"/>
      <c r="L5029" s="36"/>
      <c r="M5029" s="36"/>
      <c r="N5029" s="36"/>
      <c r="O5029" s="36"/>
      <c r="P5029" s="36"/>
      <c r="Q5029" s="36"/>
      <c r="R5029" s="36"/>
      <c r="S5029" s="36"/>
      <c r="T5029" s="36"/>
      <c r="U5029" s="36"/>
      <c r="V5029" s="36"/>
      <c r="W5029" s="15">
        <f t="shared" si="681"/>
        <v>0</v>
      </c>
      <c r="X5029" s="36"/>
      <c r="Y5029" s="36"/>
      <c r="Z5029" s="36"/>
      <c r="AA5029" s="36"/>
      <c r="AB5029" s="36"/>
      <c r="AC5029" s="36"/>
      <c r="AD5029" s="36"/>
      <c r="AE5029" s="36">
        <v>400</v>
      </c>
      <c r="AF5029" s="36">
        <v>400</v>
      </c>
      <c r="AG5029" s="36"/>
      <c r="AH5029" s="36"/>
      <c r="AI5029" s="36"/>
      <c r="AJ5029" s="15">
        <f t="shared" si="682"/>
        <v>800</v>
      </c>
      <c r="AK5029" s="14"/>
      <c r="AL5029" s="14"/>
      <c r="AM5029" s="14"/>
      <c r="AN5029" s="14"/>
      <c r="AO5029" s="14"/>
      <c r="AP5029" s="14"/>
      <c r="AQ5029" s="14"/>
      <c r="AR5029" s="14"/>
      <c r="AS5029" s="14"/>
      <c r="AT5029" s="14"/>
      <c r="AU5029" s="14"/>
      <c r="AV5029" s="14"/>
      <c r="AW5029" s="15">
        <f t="shared" si="684"/>
        <v>0</v>
      </c>
      <c r="AX5029" s="16"/>
    </row>
    <row r="5030" spans="2:50" x14ac:dyDescent="0.2">
      <c r="B5030" s="7"/>
      <c r="C5030" s="8">
        <v>15249</v>
      </c>
      <c r="D5030" s="9" t="s">
        <v>1119</v>
      </c>
      <c r="E5030" s="10" t="str">
        <f t="shared" si="679"/>
        <v>Calzada del Hueso No. 840_2</v>
      </c>
      <c r="F5030" s="10" t="str">
        <f t="shared" si="680"/>
        <v>Moto Space</v>
      </c>
      <c r="G5030" s="8">
        <v>1</v>
      </c>
      <c r="H5030" s="11">
        <v>600</v>
      </c>
      <c r="I5030" s="12">
        <v>43028</v>
      </c>
      <c r="J5030" s="35">
        <f t="shared" si="683"/>
        <v>0</v>
      </c>
      <c r="K5030" s="36"/>
      <c r="L5030" s="36"/>
      <c r="M5030" s="36"/>
      <c r="N5030" s="36"/>
      <c r="O5030" s="36"/>
      <c r="P5030" s="36"/>
      <c r="Q5030" s="36"/>
      <c r="R5030" s="36"/>
      <c r="S5030" s="36"/>
      <c r="T5030" s="36"/>
      <c r="U5030" s="36"/>
      <c r="V5030" s="36"/>
      <c r="W5030" s="15">
        <f t="shared" si="681"/>
        <v>0</v>
      </c>
      <c r="X5030" s="36"/>
      <c r="Y5030" s="36"/>
      <c r="Z5030" s="36"/>
      <c r="AA5030" s="36"/>
      <c r="AB5030" s="36">
        <v>150</v>
      </c>
      <c r="AC5030" s="36">
        <v>150</v>
      </c>
      <c r="AD5030" s="36">
        <v>150</v>
      </c>
      <c r="AE5030" s="36">
        <v>150</v>
      </c>
      <c r="AF5030" s="36"/>
      <c r="AG5030" s="36"/>
      <c r="AH5030" s="36"/>
      <c r="AI5030" s="36"/>
      <c r="AJ5030" s="15">
        <f t="shared" si="682"/>
        <v>600</v>
      </c>
      <c r="AK5030" s="14"/>
      <c r="AL5030" s="14"/>
      <c r="AM5030" s="14"/>
      <c r="AN5030" s="14"/>
      <c r="AO5030" s="14"/>
      <c r="AP5030" s="14"/>
      <c r="AQ5030" s="14"/>
      <c r="AR5030" s="14"/>
      <c r="AS5030" s="14"/>
      <c r="AT5030" s="14"/>
      <c r="AU5030" s="14"/>
      <c r="AV5030" s="14"/>
      <c r="AW5030" s="15">
        <f t="shared" si="684"/>
        <v>0</v>
      </c>
      <c r="AX5030" s="16"/>
    </row>
    <row r="5031" spans="2:50" x14ac:dyDescent="0.2">
      <c r="B5031" s="7"/>
      <c r="C5031" s="8">
        <v>15250</v>
      </c>
      <c r="D5031" s="9" t="s">
        <v>550</v>
      </c>
      <c r="E5031" s="10" t="str">
        <f t="shared" si="679"/>
        <v>Rancho Landero No. 89</v>
      </c>
      <c r="F5031" s="10" t="str">
        <f t="shared" si="680"/>
        <v>Del Pozo Solís</v>
      </c>
      <c r="G5031" s="8">
        <v>5</v>
      </c>
      <c r="H5031" s="11">
        <v>50</v>
      </c>
      <c r="I5031" s="12">
        <v>43030</v>
      </c>
      <c r="J5031" s="35">
        <f t="shared" si="683"/>
        <v>0</v>
      </c>
      <c r="K5031" s="36"/>
      <c r="L5031" s="36"/>
      <c r="M5031" s="36"/>
      <c r="N5031" s="36"/>
      <c r="O5031" s="36"/>
      <c r="P5031" s="36"/>
      <c r="Q5031" s="36"/>
      <c r="R5031" s="36"/>
      <c r="S5031" s="36"/>
      <c r="T5031" s="36"/>
      <c r="U5031" s="36"/>
      <c r="V5031" s="36"/>
      <c r="W5031" s="15">
        <f t="shared" si="681"/>
        <v>0</v>
      </c>
      <c r="X5031" s="36"/>
      <c r="Y5031" s="36"/>
      <c r="Z5031" s="36"/>
      <c r="AA5031" s="36"/>
      <c r="AB5031" s="36"/>
      <c r="AC5031" s="36"/>
      <c r="AD5031" s="36"/>
      <c r="AE5031" s="36"/>
      <c r="AF5031" s="36"/>
      <c r="AG5031" s="36"/>
      <c r="AH5031" s="36"/>
      <c r="AI5031" s="36"/>
      <c r="AJ5031" s="15">
        <f t="shared" si="682"/>
        <v>0</v>
      </c>
      <c r="AK5031" s="14"/>
      <c r="AL5031" s="14"/>
      <c r="AM5031" s="14"/>
      <c r="AN5031" s="14"/>
      <c r="AO5031" s="14"/>
      <c r="AP5031" s="14"/>
      <c r="AQ5031" s="14"/>
      <c r="AR5031" s="14"/>
      <c r="AS5031" s="14"/>
      <c r="AT5031" s="14"/>
      <c r="AU5031" s="14"/>
      <c r="AV5031" s="14"/>
      <c r="AW5031" s="15">
        <f t="shared" si="684"/>
        <v>0</v>
      </c>
      <c r="AX5031" s="16"/>
    </row>
    <row r="5032" spans="2:50" x14ac:dyDescent="0.2">
      <c r="B5032" s="7"/>
      <c r="C5032" s="8">
        <v>15251</v>
      </c>
      <c r="D5032" s="9" t="s">
        <v>497</v>
      </c>
      <c r="E5032" s="10" t="str">
        <f t="shared" si="679"/>
        <v>Rancho La Cuchilla No. 94</v>
      </c>
      <c r="F5032" s="10" t="str">
        <f t="shared" si="680"/>
        <v>Sánchez Márquez</v>
      </c>
      <c r="G5032" s="8">
        <v>1</v>
      </c>
      <c r="H5032" s="11">
        <v>800</v>
      </c>
      <c r="I5032" s="12">
        <v>43030</v>
      </c>
      <c r="J5032" s="35">
        <f t="shared" si="683"/>
        <v>0</v>
      </c>
      <c r="K5032" s="36"/>
      <c r="L5032" s="36"/>
      <c r="M5032" s="36"/>
      <c r="N5032" s="36"/>
      <c r="O5032" s="36"/>
      <c r="P5032" s="36"/>
      <c r="Q5032" s="36"/>
      <c r="R5032" s="36"/>
      <c r="S5032" s="36"/>
      <c r="T5032" s="36"/>
      <c r="U5032" s="36"/>
      <c r="V5032" s="36"/>
      <c r="W5032" s="15">
        <f t="shared" si="681"/>
        <v>0</v>
      </c>
      <c r="X5032" s="36"/>
      <c r="Y5032" s="36"/>
      <c r="Z5032" s="36"/>
      <c r="AA5032" s="36"/>
      <c r="AB5032" s="36"/>
      <c r="AC5032" s="36"/>
      <c r="AD5032" s="36"/>
      <c r="AE5032" s="36"/>
      <c r="AF5032" s="36"/>
      <c r="AG5032" s="36">
        <v>400</v>
      </c>
      <c r="AH5032" s="36">
        <v>400</v>
      </c>
      <c r="AI5032" s="36"/>
      <c r="AJ5032" s="15">
        <f t="shared" si="682"/>
        <v>800</v>
      </c>
      <c r="AK5032" s="14"/>
      <c r="AL5032" s="14"/>
      <c r="AM5032" s="14"/>
      <c r="AN5032" s="14"/>
      <c r="AO5032" s="14"/>
      <c r="AP5032" s="14"/>
      <c r="AQ5032" s="14"/>
      <c r="AR5032" s="14"/>
      <c r="AS5032" s="14"/>
      <c r="AT5032" s="14"/>
      <c r="AU5032" s="14"/>
      <c r="AV5032" s="14"/>
      <c r="AW5032" s="15">
        <f t="shared" si="684"/>
        <v>0</v>
      </c>
      <c r="AX5032" s="16"/>
    </row>
    <row r="5033" spans="2:50" x14ac:dyDescent="0.2">
      <c r="B5033" s="7"/>
      <c r="C5033" s="8">
        <v>15252</v>
      </c>
      <c r="D5033" s="9" t="s">
        <v>325</v>
      </c>
      <c r="E5033" s="10" t="str">
        <f t="shared" si="679"/>
        <v>Rancho Upácuaro No. 120</v>
      </c>
      <c r="F5033" s="10" t="str">
        <f t="shared" si="680"/>
        <v>Rayas Rivera</v>
      </c>
      <c r="G5033" s="8">
        <v>1</v>
      </c>
      <c r="H5033" s="11">
        <v>400</v>
      </c>
      <c r="I5033" s="12">
        <v>43030</v>
      </c>
      <c r="J5033" s="35">
        <f t="shared" si="683"/>
        <v>0</v>
      </c>
      <c r="K5033" s="36"/>
      <c r="L5033" s="36"/>
      <c r="M5033" s="36"/>
      <c r="N5033" s="36"/>
      <c r="O5033" s="36"/>
      <c r="P5033" s="36"/>
      <c r="Q5033" s="36"/>
      <c r="R5033" s="36"/>
      <c r="S5033" s="36"/>
      <c r="T5033" s="36"/>
      <c r="U5033" s="36"/>
      <c r="V5033" s="36"/>
      <c r="W5033" s="15">
        <f t="shared" si="681"/>
        <v>0</v>
      </c>
      <c r="X5033" s="36"/>
      <c r="Y5033" s="36"/>
      <c r="Z5033" s="36"/>
      <c r="AA5033" s="36"/>
      <c r="AB5033" s="36"/>
      <c r="AC5033" s="36"/>
      <c r="AD5033" s="36"/>
      <c r="AE5033" s="36"/>
      <c r="AF5033" s="36"/>
      <c r="AG5033" s="36">
        <v>400</v>
      </c>
      <c r="AH5033" s="36"/>
      <c r="AI5033" s="36"/>
      <c r="AJ5033" s="15">
        <f t="shared" si="682"/>
        <v>400</v>
      </c>
      <c r="AK5033" s="14"/>
      <c r="AL5033" s="14"/>
      <c r="AM5033" s="14"/>
      <c r="AN5033" s="14"/>
      <c r="AO5033" s="14"/>
      <c r="AP5033" s="14"/>
      <c r="AQ5033" s="14"/>
      <c r="AR5033" s="14"/>
      <c r="AS5033" s="14"/>
      <c r="AT5033" s="14"/>
      <c r="AU5033" s="14"/>
      <c r="AV5033" s="14"/>
      <c r="AW5033" s="15">
        <f t="shared" si="684"/>
        <v>0</v>
      </c>
      <c r="AX5033" s="16"/>
    </row>
    <row r="5034" spans="2:50" x14ac:dyDescent="0.2">
      <c r="B5034" s="7"/>
      <c r="C5034" s="8">
        <v>15253</v>
      </c>
      <c r="D5034" s="9" t="s">
        <v>387</v>
      </c>
      <c r="E5034" s="10" t="str">
        <f t="shared" si="679"/>
        <v>Rancho Upácuaro No. 69</v>
      </c>
      <c r="F5034" s="10" t="str">
        <f t="shared" si="680"/>
        <v>Gómez</v>
      </c>
      <c r="G5034" s="8">
        <v>1</v>
      </c>
      <c r="H5034" s="11">
        <v>800</v>
      </c>
      <c r="I5034" s="12">
        <v>43030</v>
      </c>
      <c r="J5034" s="35">
        <f t="shared" si="683"/>
        <v>0</v>
      </c>
      <c r="K5034" s="36"/>
      <c r="L5034" s="36"/>
      <c r="M5034" s="36"/>
      <c r="N5034" s="36"/>
      <c r="O5034" s="36"/>
      <c r="P5034" s="36"/>
      <c r="Q5034" s="36"/>
      <c r="R5034" s="36"/>
      <c r="S5034" s="36"/>
      <c r="T5034" s="36"/>
      <c r="U5034" s="36"/>
      <c r="V5034" s="36"/>
      <c r="W5034" s="15">
        <f t="shared" si="681"/>
        <v>0</v>
      </c>
      <c r="X5034" s="36"/>
      <c r="Y5034" s="36"/>
      <c r="Z5034" s="36"/>
      <c r="AA5034" s="36"/>
      <c r="AB5034" s="36"/>
      <c r="AC5034" s="36"/>
      <c r="AD5034" s="36"/>
      <c r="AE5034" s="36">
        <v>400</v>
      </c>
      <c r="AF5034" s="36">
        <v>400</v>
      </c>
      <c r="AG5034" s="36"/>
      <c r="AH5034" s="36"/>
      <c r="AI5034" s="36"/>
      <c r="AJ5034" s="15">
        <f t="shared" si="682"/>
        <v>800</v>
      </c>
      <c r="AK5034" s="14"/>
      <c r="AL5034" s="14"/>
      <c r="AM5034" s="14"/>
      <c r="AN5034" s="14"/>
      <c r="AO5034" s="14"/>
      <c r="AP5034" s="14"/>
      <c r="AQ5034" s="14"/>
      <c r="AR5034" s="14"/>
      <c r="AS5034" s="14"/>
      <c r="AT5034" s="14"/>
      <c r="AU5034" s="14"/>
      <c r="AV5034" s="14"/>
      <c r="AW5034" s="15">
        <f t="shared" si="684"/>
        <v>0</v>
      </c>
      <c r="AX5034" s="16"/>
    </row>
    <row r="5035" spans="2:50" x14ac:dyDescent="0.2">
      <c r="B5035" s="7"/>
      <c r="C5035" s="8">
        <v>15254</v>
      </c>
      <c r="D5035" s="9" t="s">
        <v>971</v>
      </c>
      <c r="E5035" s="10" t="str">
        <f t="shared" si="679"/>
        <v>Rancho La Cuchilla No. 53</v>
      </c>
      <c r="F5035" s="10" t="str">
        <f t="shared" si="680"/>
        <v>Rivera Hernández</v>
      </c>
      <c r="G5035" s="8">
        <v>3</v>
      </c>
      <c r="H5035" s="11">
        <v>200</v>
      </c>
      <c r="I5035" s="12">
        <v>43030</v>
      </c>
      <c r="J5035" s="35">
        <f t="shared" si="683"/>
        <v>0</v>
      </c>
      <c r="K5035" s="36"/>
      <c r="L5035" s="36"/>
      <c r="M5035" s="36"/>
      <c r="N5035" s="36"/>
      <c r="O5035" s="36"/>
      <c r="P5035" s="36"/>
      <c r="Q5035" s="36"/>
      <c r="R5035" s="36"/>
      <c r="S5035" s="36"/>
      <c r="T5035" s="36"/>
      <c r="U5035" s="36"/>
      <c r="V5035" s="36"/>
      <c r="W5035" s="15">
        <f t="shared" si="681"/>
        <v>0</v>
      </c>
      <c r="X5035" s="36"/>
      <c r="Y5035" s="36"/>
      <c r="Z5035" s="36"/>
      <c r="AA5035" s="36"/>
      <c r="AB5035" s="36"/>
      <c r="AC5035" s="36"/>
      <c r="AD5035" s="36"/>
      <c r="AE5035" s="36"/>
      <c r="AF5035" s="36"/>
      <c r="AG5035" s="36"/>
      <c r="AH5035" s="36"/>
      <c r="AI5035" s="36"/>
      <c r="AJ5035" s="15">
        <f t="shared" si="682"/>
        <v>0</v>
      </c>
      <c r="AK5035" s="14"/>
      <c r="AL5035" s="14"/>
      <c r="AM5035" s="14"/>
      <c r="AN5035" s="14"/>
      <c r="AO5035" s="14"/>
      <c r="AP5035" s="14"/>
      <c r="AQ5035" s="14"/>
      <c r="AR5035" s="14"/>
      <c r="AS5035" s="14"/>
      <c r="AT5035" s="14"/>
      <c r="AU5035" s="14"/>
      <c r="AV5035" s="14"/>
      <c r="AW5035" s="15">
        <f t="shared" si="684"/>
        <v>0</v>
      </c>
      <c r="AX5035" s="16"/>
    </row>
    <row r="5036" spans="2:50" x14ac:dyDescent="0.2">
      <c r="B5036" s="7"/>
      <c r="C5036" s="8">
        <v>15255</v>
      </c>
      <c r="D5036" s="9" t="s">
        <v>541</v>
      </c>
      <c r="E5036" s="10" t="str">
        <f t="shared" si="679"/>
        <v>Rancho Estanzuela No. 103, B</v>
      </c>
      <c r="F5036" s="10" t="str">
        <f t="shared" si="680"/>
        <v>Olivares Flores</v>
      </c>
      <c r="G5036" s="8">
        <v>1</v>
      </c>
      <c r="H5036" s="11">
        <v>800</v>
      </c>
      <c r="I5036" s="12">
        <v>43030</v>
      </c>
      <c r="J5036" s="35">
        <f t="shared" si="683"/>
        <v>0</v>
      </c>
      <c r="K5036" s="36"/>
      <c r="L5036" s="36"/>
      <c r="M5036" s="36"/>
      <c r="N5036" s="36"/>
      <c r="O5036" s="36"/>
      <c r="P5036" s="36"/>
      <c r="Q5036" s="36"/>
      <c r="R5036" s="36"/>
      <c r="S5036" s="36"/>
      <c r="T5036" s="36"/>
      <c r="U5036" s="36"/>
      <c r="V5036" s="36"/>
      <c r="W5036" s="15">
        <f t="shared" si="681"/>
        <v>0</v>
      </c>
      <c r="X5036" s="36"/>
      <c r="Y5036" s="36"/>
      <c r="Z5036" s="36"/>
      <c r="AA5036" s="36"/>
      <c r="AB5036" s="36"/>
      <c r="AC5036" s="36"/>
      <c r="AD5036" s="36"/>
      <c r="AE5036" s="36"/>
      <c r="AF5036" s="36"/>
      <c r="AG5036" s="36">
        <v>400</v>
      </c>
      <c r="AH5036" s="36">
        <v>400</v>
      </c>
      <c r="AI5036" s="36"/>
      <c r="AJ5036" s="15">
        <f t="shared" si="682"/>
        <v>800</v>
      </c>
      <c r="AK5036" s="14"/>
      <c r="AL5036" s="14"/>
      <c r="AM5036" s="14"/>
      <c r="AN5036" s="14"/>
      <c r="AO5036" s="14"/>
      <c r="AP5036" s="14"/>
      <c r="AQ5036" s="14"/>
      <c r="AR5036" s="14"/>
      <c r="AS5036" s="14"/>
      <c r="AT5036" s="14"/>
      <c r="AU5036" s="14"/>
      <c r="AV5036" s="14"/>
      <c r="AW5036" s="15">
        <f t="shared" si="684"/>
        <v>0</v>
      </c>
      <c r="AX5036" s="16"/>
    </row>
    <row r="5037" spans="2:50" x14ac:dyDescent="0.2">
      <c r="B5037" s="7"/>
      <c r="C5037" s="8">
        <v>15256</v>
      </c>
      <c r="D5037" s="9" t="s">
        <v>1206</v>
      </c>
      <c r="E5037" s="10" t="str">
        <f t="shared" si="679"/>
        <v>Rancho Landero No. 2,1</v>
      </c>
      <c r="F5037" s="10" t="str">
        <f t="shared" si="680"/>
        <v>Zamora Vera</v>
      </c>
      <c r="G5037" s="8">
        <v>1</v>
      </c>
      <c r="H5037" s="11">
        <v>150</v>
      </c>
      <c r="I5037" s="12">
        <v>43030</v>
      </c>
      <c r="J5037" s="35">
        <f t="shared" si="683"/>
        <v>0</v>
      </c>
      <c r="K5037" s="36"/>
      <c r="L5037" s="36"/>
      <c r="M5037" s="36"/>
      <c r="N5037" s="36"/>
      <c r="O5037" s="36"/>
      <c r="P5037" s="36"/>
      <c r="Q5037" s="36"/>
      <c r="R5037" s="36"/>
      <c r="S5037" s="36"/>
      <c r="T5037" s="36"/>
      <c r="U5037" s="36"/>
      <c r="V5037" s="36"/>
      <c r="W5037" s="15">
        <f t="shared" si="681"/>
        <v>0</v>
      </c>
      <c r="X5037" s="36"/>
      <c r="Y5037" s="36"/>
      <c r="Z5037" s="36"/>
      <c r="AA5037" s="36"/>
      <c r="AB5037" s="36"/>
      <c r="AC5037" s="36">
        <v>150</v>
      </c>
      <c r="AD5037" s="36"/>
      <c r="AE5037" s="36"/>
      <c r="AF5037" s="36"/>
      <c r="AG5037" s="36"/>
      <c r="AH5037" s="36"/>
      <c r="AI5037" s="36"/>
      <c r="AJ5037" s="15">
        <f t="shared" si="682"/>
        <v>150</v>
      </c>
      <c r="AK5037" s="14"/>
      <c r="AL5037" s="14"/>
      <c r="AM5037" s="14"/>
      <c r="AN5037" s="14"/>
      <c r="AO5037" s="14"/>
      <c r="AP5037" s="14"/>
      <c r="AQ5037" s="14"/>
      <c r="AR5037" s="14"/>
      <c r="AS5037" s="14"/>
      <c r="AT5037" s="14"/>
      <c r="AU5037" s="14"/>
      <c r="AV5037" s="14"/>
      <c r="AW5037" s="15">
        <f t="shared" si="684"/>
        <v>0</v>
      </c>
      <c r="AX5037" s="16"/>
    </row>
    <row r="5038" spans="2:50" x14ac:dyDescent="0.2">
      <c r="B5038" s="7"/>
      <c r="C5038" s="8">
        <v>15257</v>
      </c>
      <c r="D5038" s="9" t="s">
        <v>719</v>
      </c>
      <c r="E5038" s="10" t="str">
        <f t="shared" si="679"/>
        <v>Rancho Estanzuela No. 119, 1</v>
      </c>
      <c r="F5038" s="10" t="str">
        <f t="shared" si="680"/>
        <v>Crespo</v>
      </c>
      <c r="G5038" s="8">
        <v>1</v>
      </c>
      <c r="H5038" s="11">
        <v>600</v>
      </c>
      <c r="I5038" s="12">
        <v>43030</v>
      </c>
      <c r="J5038" s="35">
        <f t="shared" si="683"/>
        <v>0</v>
      </c>
      <c r="K5038" s="36"/>
      <c r="L5038" s="36"/>
      <c r="M5038" s="36"/>
      <c r="N5038" s="36"/>
      <c r="O5038" s="36"/>
      <c r="P5038" s="36"/>
      <c r="Q5038" s="36"/>
      <c r="R5038" s="36"/>
      <c r="S5038" s="36"/>
      <c r="T5038" s="36"/>
      <c r="U5038" s="36"/>
      <c r="V5038" s="36"/>
      <c r="W5038" s="15">
        <f t="shared" si="681"/>
        <v>0</v>
      </c>
      <c r="X5038" s="36"/>
      <c r="Y5038" s="36"/>
      <c r="Z5038" s="36"/>
      <c r="AA5038" s="36"/>
      <c r="AB5038" s="36"/>
      <c r="AC5038" s="36"/>
      <c r="AD5038" s="36"/>
      <c r="AE5038" s="36">
        <v>200</v>
      </c>
      <c r="AF5038" s="36">
        <v>200</v>
      </c>
      <c r="AG5038" s="36">
        <v>200</v>
      </c>
      <c r="AH5038" s="36"/>
      <c r="AI5038" s="36"/>
      <c r="AJ5038" s="15">
        <f t="shared" si="682"/>
        <v>600</v>
      </c>
      <c r="AK5038" s="14"/>
      <c r="AL5038" s="14"/>
      <c r="AM5038" s="14"/>
      <c r="AN5038" s="14"/>
      <c r="AO5038" s="14"/>
      <c r="AP5038" s="14"/>
      <c r="AQ5038" s="14"/>
      <c r="AR5038" s="14"/>
      <c r="AS5038" s="14"/>
      <c r="AT5038" s="14"/>
      <c r="AU5038" s="14"/>
      <c r="AV5038" s="14"/>
      <c r="AW5038" s="15">
        <f t="shared" si="684"/>
        <v>0</v>
      </c>
      <c r="AX5038" s="16"/>
    </row>
    <row r="5039" spans="2:50" x14ac:dyDescent="0.2">
      <c r="B5039" s="7"/>
      <c r="C5039" s="8">
        <v>15258</v>
      </c>
      <c r="D5039" s="9" t="s">
        <v>911</v>
      </c>
      <c r="E5039" s="10" t="str">
        <f t="shared" si="671"/>
        <v>Rancho Estanzuela No. 19</v>
      </c>
      <c r="F5039" s="10" t="str">
        <f t="shared" si="672"/>
        <v>Robles</v>
      </c>
      <c r="G5039" s="8">
        <v>1</v>
      </c>
      <c r="H5039" s="11">
        <v>400</v>
      </c>
      <c r="I5039" s="12">
        <v>43030</v>
      </c>
      <c r="J5039" s="35">
        <f t="shared" si="683"/>
        <v>0</v>
      </c>
      <c r="K5039" s="36"/>
      <c r="L5039" s="36"/>
      <c r="M5039" s="36"/>
      <c r="N5039" s="36"/>
      <c r="O5039" s="36"/>
      <c r="P5039" s="36"/>
      <c r="Q5039" s="36"/>
      <c r="R5039" s="36"/>
      <c r="S5039" s="36"/>
      <c r="T5039" s="36"/>
      <c r="U5039" s="36"/>
      <c r="V5039" s="36"/>
      <c r="W5039" s="15">
        <f t="shared" si="673"/>
        <v>0</v>
      </c>
      <c r="X5039" s="36"/>
      <c r="Y5039" s="36"/>
      <c r="Z5039" s="36"/>
      <c r="AA5039" s="36"/>
      <c r="AB5039" s="36"/>
      <c r="AC5039" s="36"/>
      <c r="AD5039" s="36"/>
      <c r="AE5039" s="36"/>
      <c r="AF5039" s="36"/>
      <c r="AG5039" s="36">
        <v>400</v>
      </c>
      <c r="AH5039" s="36"/>
      <c r="AI5039" s="36"/>
      <c r="AJ5039" s="15">
        <f t="shared" si="674"/>
        <v>400</v>
      </c>
      <c r="AK5039" s="14"/>
      <c r="AL5039" s="14"/>
      <c r="AM5039" s="14"/>
      <c r="AN5039" s="14"/>
      <c r="AO5039" s="14"/>
      <c r="AP5039" s="14"/>
      <c r="AQ5039" s="14"/>
      <c r="AR5039" s="14"/>
      <c r="AS5039" s="14"/>
      <c r="AT5039" s="14"/>
      <c r="AU5039" s="14"/>
      <c r="AV5039" s="14"/>
      <c r="AW5039" s="15">
        <f t="shared" si="684"/>
        <v>0</v>
      </c>
      <c r="AX5039" s="16"/>
    </row>
    <row r="5040" spans="2:50" x14ac:dyDescent="0.2">
      <c r="B5040" s="7"/>
      <c r="C5040" s="8">
        <v>15258</v>
      </c>
      <c r="D5040" s="9" t="s">
        <v>911</v>
      </c>
      <c r="E5040" s="10" t="str">
        <f t="shared" si="659"/>
        <v>Rancho Estanzuela No. 19</v>
      </c>
      <c r="F5040" s="10" t="str">
        <f t="shared" si="660"/>
        <v>Robles</v>
      </c>
      <c r="G5040" s="8">
        <v>4</v>
      </c>
      <c r="H5040" s="11">
        <v>200</v>
      </c>
      <c r="I5040" s="12">
        <v>43030</v>
      </c>
      <c r="J5040" s="35">
        <f t="shared" si="683"/>
        <v>0</v>
      </c>
      <c r="K5040" s="36"/>
      <c r="L5040" s="36"/>
      <c r="M5040" s="36"/>
      <c r="N5040" s="36"/>
      <c r="O5040" s="36"/>
      <c r="P5040" s="36"/>
      <c r="Q5040" s="36"/>
      <c r="R5040" s="36"/>
      <c r="S5040" s="36"/>
      <c r="T5040" s="36"/>
      <c r="U5040" s="36"/>
      <c r="V5040" s="36"/>
      <c r="W5040" s="15">
        <f t="shared" si="661"/>
        <v>0</v>
      </c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15">
        <f t="shared" si="662"/>
        <v>0</v>
      </c>
      <c r="AK5040" s="14"/>
      <c r="AL5040" s="14"/>
      <c r="AM5040" s="14"/>
      <c r="AN5040" s="14"/>
      <c r="AO5040" s="14"/>
      <c r="AP5040" s="14"/>
      <c r="AQ5040" s="14"/>
      <c r="AR5040" s="14"/>
      <c r="AS5040" s="14"/>
      <c r="AT5040" s="14"/>
      <c r="AU5040" s="14"/>
      <c r="AV5040" s="14"/>
      <c r="AW5040" s="15">
        <f t="shared" si="684"/>
        <v>0</v>
      </c>
      <c r="AX5040" s="16" t="s">
        <v>4606</v>
      </c>
    </row>
    <row r="5041" spans="2:51" x14ac:dyDescent="0.2">
      <c r="B5041" s="7"/>
      <c r="C5041" s="8">
        <v>15258</v>
      </c>
      <c r="D5041" s="9" t="s">
        <v>911</v>
      </c>
      <c r="E5041" s="10" t="str">
        <f t="shared" ref="E5041:E5042" si="685">IF(D5041=0,"",VLOOKUP(D5041,BASE,2,FALSE))</f>
        <v>Rancho Estanzuela No. 19</v>
      </c>
      <c r="F5041" s="10" t="str">
        <f t="shared" ref="F5041:F5042" si="686">IF(D5041=0,"",VLOOKUP(D5041,BASE,3,FALSE))</f>
        <v>Robles</v>
      </c>
      <c r="G5041" s="8">
        <v>5</v>
      </c>
      <c r="H5041" s="11">
        <v>50</v>
      </c>
      <c r="I5041" s="12">
        <v>43030</v>
      </c>
      <c r="J5041" s="35">
        <f t="shared" si="683"/>
        <v>0</v>
      </c>
      <c r="K5041" s="36"/>
      <c r="L5041" s="36"/>
      <c r="M5041" s="36"/>
      <c r="N5041" s="36"/>
      <c r="O5041" s="36"/>
      <c r="P5041" s="36"/>
      <c r="Q5041" s="36"/>
      <c r="R5041" s="36"/>
      <c r="S5041" s="36"/>
      <c r="T5041" s="36"/>
      <c r="U5041" s="36"/>
      <c r="V5041" s="36"/>
      <c r="W5041" s="15">
        <f t="shared" ref="W5041:W5042" si="687">SUM(K5041:V5041)</f>
        <v>0</v>
      </c>
      <c r="X5041" s="36"/>
      <c r="Y5041" s="36"/>
      <c r="Z5041" s="36"/>
      <c r="AA5041" s="36"/>
      <c r="AB5041" s="36"/>
      <c r="AC5041" s="36"/>
      <c r="AD5041" s="36"/>
      <c r="AE5041" s="36"/>
      <c r="AF5041" s="36"/>
      <c r="AG5041" s="36"/>
      <c r="AH5041" s="36"/>
      <c r="AI5041" s="36"/>
      <c r="AJ5041" s="15">
        <f t="shared" ref="AJ5041:AJ5042" si="688">SUM(X5041:AI5041)</f>
        <v>0</v>
      </c>
      <c r="AK5041" s="14"/>
      <c r="AL5041" s="14"/>
      <c r="AM5041" s="14"/>
      <c r="AN5041" s="14"/>
      <c r="AO5041" s="14"/>
      <c r="AP5041" s="14"/>
      <c r="AQ5041" s="14"/>
      <c r="AR5041" s="14"/>
      <c r="AS5041" s="14"/>
      <c r="AT5041" s="14"/>
      <c r="AU5041" s="14"/>
      <c r="AV5041" s="14"/>
      <c r="AW5041" s="15">
        <f t="shared" si="684"/>
        <v>0</v>
      </c>
      <c r="AX5041" s="16"/>
    </row>
    <row r="5042" spans="2:51" x14ac:dyDescent="0.2">
      <c r="B5042" s="7"/>
      <c r="C5042" s="8">
        <v>15259</v>
      </c>
      <c r="D5042" s="9" t="s">
        <v>655</v>
      </c>
      <c r="E5042" s="10" t="str">
        <f t="shared" si="685"/>
        <v>Rancho La Cuchilla No. 115</v>
      </c>
      <c r="F5042" s="10" t="str">
        <f t="shared" si="686"/>
        <v>Alfaro</v>
      </c>
      <c r="G5042" s="8">
        <v>1</v>
      </c>
      <c r="H5042" s="11">
        <v>400</v>
      </c>
      <c r="I5042" s="12">
        <v>43030</v>
      </c>
      <c r="J5042" s="35">
        <f t="shared" si="683"/>
        <v>0</v>
      </c>
      <c r="K5042" s="36"/>
      <c r="L5042" s="36"/>
      <c r="M5042" s="36"/>
      <c r="N5042" s="36"/>
      <c r="O5042" s="36"/>
      <c r="P5042" s="36"/>
      <c r="Q5042" s="36"/>
      <c r="R5042" s="36"/>
      <c r="S5042" s="36"/>
      <c r="T5042" s="36"/>
      <c r="U5042" s="36"/>
      <c r="V5042" s="36"/>
      <c r="W5042" s="15">
        <f t="shared" si="687"/>
        <v>0</v>
      </c>
      <c r="X5042" s="36"/>
      <c r="Y5042" s="36"/>
      <c r="Z5042" s="36"/>
      <c r="AA5042" s="36"/>
      <c r="AB5042" s="36"/>
      <c r="AC5042" s="36"/>
      <c r="AD5042" s="36">
        <v>400</v>
      </c>
      <c r="AE5042" s="36"/>
      <c r="AF5042" s="36"/>
      <c r="AG5042" s="36"/>
      <c r="AH5042" s="36"/>
      <c r="AI5042" s="36"/>
      <c r="AJ5042" s="15">
        <f t="shared" si="688"/>
        <v>400</v>
      </c>
      <c r="AK5042" s="14"/>
      <c r="AL5042" s="14"/>
      <c r="AM5042" s="14"/>
      <c r="AN5042" s="14"/>
      <c r="AO5042" s="14"/>
      <c r="AP5042" s="14"/>
      <c r="AQ5042" s="14"/>
      <c r="AR5042" s="14"/>
      <c r="AS5042" s="14"/>
      <c r="AT5042" s="14"/>
      <c r="AU5042" s="14"/>
      <c r="AV5042" s="14"/>
      <c r="AW5042" s="15">
        <f t="shared" si="684"/>
        <v>0</v>
      </c>
      <c r="AX5042" s="16"/>
    </row>
    <row r="5043" spans="2:51" x14ac:dyDescent="0.2">
      <c r="B5043" s="7"/>
      <c r="C5043" s="8">
        <v>15260</v>
      </c>
      <c r="D5043" s="9" t="s">
        <v>361</v>
      </c>
      <c r="E5043" s="10" t="str">
        <f t="shared" ref="E5043:E5047" si="689">IF(D5043=0,"",VLOOKUP(D5043,BASE,2,FALSE))</f>
        <v>Rancho Upácuaro No. 101</v>
      </c>
      <c r="F5043" s="10" t="str">
        <f t="shared" ref="F5043:F5047" si="690">IF(D5043=0,"",VLOOKUP(D5043,BASE,3,FALSE))</f>
        <v>Chávez, Arturo</v>
      </c>
      <c r="G5043" s="8">
        <v>1</v>
      </c>
      <c r="H5043" s="11">
        <v>800</v>
      </c>
      <c r="I5043" s="12">
        <v>43030</v>
      </c>
      <c r="J5043" s="35">
        <f t="shared" si="683"/>
        <v>0</v>
      </c>
      <c r="K5043" s="36"/>
      <c r="L5043" s="36"/>
      <c r="M5043" s="36"/>
      <c r="N5043" s="36"/>
      <c r="O5043" s="36"/>
      <c r="P5043" s="36"/>
      <c r="Q5043" s="36"/>
      <c r="R5043" s="36"/>
      <c r="S5043" s="36"/>
      <c r="T5043" s="36"/>
      <c r="U5043" s="36"/>
      <c r="V5043" s="36"/>
      <c r="W5043" s="15">
        <f t="shared" ref="W5043:W5097" si="691">SUM(K5043:V5043)</f>
        <v>0</v>
      </c>
      <c r="X5043" s="36"/>
      <c r="Y5043" s="36"/>
      <c r="Z5043" s="36"/>
      <c r="AA5043" s="36"/>
      <c r="AB5043" s="36"/>
      <c r="AC5043" s="36"/>
      <c r="AD5043" s="36"/>
      <c r="AE5043" s="36"/>
      <c r="AF5043" s="36">
        <v>400</v>
      </c>
      <c r="AG5043" s="36">
        <v>400</v>
      </c>
      <c r="AH5043" s="36"/>
      <c r="AI5043" s="36"/>
      <c r="AJ5043" s="15">
        <f t="shared" ref="AJ5043:AJ5097" si="692">SUM(X5043:AI5043)</f>
        <v>800</v>
      </c>
      <c r="AK5043" s="14"/>
      <c r="AL5043" s="14"/>
      <c r="AM5043" s="14"/>
      <c r="AN5043" s="14"/>
      <c r="AO5043" s="14"/>
      <c r="AP5043" s="14"/>
      <c r="AQ5043" s="14"/>
      <c r="AR5043" s="14"/>
      <c r="AS5043" s="14"/>
      <c r="AT5043" s="14"/>
      <c r="AU5043" s="14"/>
      <c r="AV5043" s="14"/>
      <c r="AW5043" s="15">
        <f t="shared" si="684"/>
        <v>0</v>
      </c>
      <c r="AX5043" s="16"/>
    </row>
    <row r="5044" spans="2:51" x14ac:dyDescent="0.2">
      <c r="B5044" s="7"/>
      <c r="C5044" s="8">
        <v>15261</v>
      </c>
      <c r="D5044" s="9" t="s">
        <v>565</v>
      </c>
      <c r="E5044" s="10" t="str">
        <f t="shared" si="689"/>
        <v>Rancho Zinamba No. 62</v>
      </c>
      <c r="F5044" s="10" t="str">
        <f t="shared" si="690"/>
        <v>Martínez León</v>
      </c>
      <c r="G5044" s="8">
        <v>1</v>
      </c>
      <c r="H5044" s="11">
        <v>500</v>
      </c>
      <c r="I5044" s="12">
        <v>43030</v>
      </c>
      <c r="J5044" s="35">
        <f t="shared" si="683"/>
        <v>0</v>
      </c>
      <c r="K5044" s="36"/>
      <c r="L5044" s="36"/>
      <c r="M5044" s="36"/>
      <c r="N5044" s="36"/>
      <c r="O5044" s="36"/>
      <c r="P5044" s="36"/>
      <c r="Q5044" s="36"/>
      <c r="R5044" s="36"/>
      <c r="S5044" s="36"/>
      <c r="T5044" s="36"/>
      <c r="U5044" s="36"/>
      <c r="V5044" s="36"/>
      <c r="W5044" s="15">
        <f t="shared" si="691"/>
        <v>0</v>
      </c>
      <c r="X5044" s="36"/>
      <c r="Y5044" s="36"/>
      <c r="Z5044" s="36"/>
      <c r="AA5044" s="36"/>
      <c r="AB5044" s="36"/>
      <c r="AC5044" s="36"/>
      <c r="AD5044" s="36"/>
      <c r="AE5044" s="36"/>
      <c r="AF5044" s="36">
        <v>250</v>
      </c>
      <c r="AG5044" s="36">
        <v>250</v>
      </c>
      <c r="AH5044" s="36"/>
      <c r="AI5044" s="36"/>
      <c r="AJ5044" s="15">
        <f t="shared" si="692"/>
        <v>500</v>
      </c>
      <c r="AK5044" s="14"/>
      <c r="AL5044" s="14"/>
      <c r="AM5044" s="14"/>
      <c r="AN5044" s="14"/>
      <c r="AO5044" s="14"/>
      <c r="AP5044" s="14"/>
      <c r="AQ5044" s="14"/>
      <c r="AR5044" s="14"/>
      <c r="AS5044" s="14"/>
      <c r="AT5044" s="14"/>
      <c r="AU5044" s="14"/>
      <c r="AV5044" s="14"/>
      <c r="AW5044" s="15">
        <f t="shared" si="684"/>
        <v>0</v>
      </c>
      <c r="AX5044" s="16"/>
    </row>
    <row r="5045" spans="2:51" x14ac:dyDescent="0.2">
      <c r="B5045" s="7"/>
      <c r="C5045" s="8">
        <v>15262</v>
      </c>
      <c r="D5045" s="9" t="s">
        <v>637</v>
      </c>
      <c r="E5045" s="10" t="str">
        <f t="shared" si="689"/>
        <v>Rancho Recoveco No. 193</v>
      </c>
      <c r="F5045" s="10" t="str">
        <f t="shared" si="690"/>
        <v>Salazar Pérez</v>
      </c>
      <c r="G5045" s="8">
        <v>1</v>
      </c>
      <c r="H5045" s="11">
        <v>400</v>
      </c>
      <c r="I5045" s="12">
        <v>43030</v>
      </c>
      <c r="J5045" s="35">
        <f t="shared" si="683"/>
        <v>0</v>
      </c>
      <c r="K5045" s="36"/>
      <c r="L5045" s="36"/>
      <c r="M5045" s="36"/>
      <c r="N5045" s="36"/>
      <c r="O5045" s="36"/>
      <c r="P5045" s="36"/>
      <c r="Q5045" s="36"/>
      <c r="R5045" s="36"/>
      <c r="S5045" s="36"/>
      <c r="T5045" s="36"/>
      <c r="U5045" s="36"/>
      <c r="V5045" s="36"/>
      <c r="W5045" s="15">
        <f t="shared" si="691"/>
        <v>0</v>
      </c>
      <c r="X5045" s="36"/>
      <c r="Y5045" s="36"/>
      <c r="Z5045" s="36"/>
      <c r="AA5045" s="36"/>
      <c r="AB5045" s="36"/>
      <c r="AC5045" s="36"/>
      <c r="AD5045" s="36"/>
      <c r="AE5045" s="36"/>
      <c r="AF5045" s="36"/>
      <c r="AG5045" s="36">
        <v>400</v>
      </c>
      <c r="AH5045" s="36"/>
      <c r="AI5045" s="36"/>
      <c r="AJ5045" s="15">
        <f t="shared" si="692"/>
        <v>400</v>
      </c>
      <c r="AK5045" s="14"/>
      <c r="AL5045" s="14"/>
      <c r="AM5045" s="14"/>
      <c r="AN5045" s="14"/>
      <c r="AO5045" s="14"/>
      <c r="AP5045" s="14"/>
      <c r="AQ5045" s="14"/>
      <c r="AR5045" s="14"/>
      <c r="AS5045" s="14"/>
      <c r="AT5045" s="14"/>
      <c r="AU5045" s="14"/>
      <c r="AV5045" s="14"/>
      <c r="AW5045" s="15">
        <f t="shared" si="684"/>
        <v>0</v>
      </c>
      <c r="AX5045" s="16"/>
    </row>
    <row r="5046" spans="2:51" x14ac:dyDescent="0.2">
      <c r="B5046" s="7"/>
      <c r="C5046" s="8">
        <v>15263</v>
      </c>
      <c r="D5046" s="9" t="s">
        <v>823</v>
      </c>
      <c r="E5046" s="10" t="str">
        <f t="shared" si="689"/>
        <v>Rancho La Cuchilla No. 122</v>
      </c>
      <c r="F5046" s="10" t="str">
        <f t="shared" si="690"/>
        <v>Mendoza</v>
      </c>
      <c r="G5046" s="8">
        <v>1</v>
      </c>
      <c r="H5046" s="11">
        <v>400</v>
      </c>
      <c r="I5046" s="12">
        <v>43030</v>
      </c>
      <c r="J5046" s="35">
        <f t="shared" si="683"/>
        <v>0</v>
      </c>
      <c r="K5046" s="36"/>
      <c r="L5046" s="36"/>
      <c r="M5046" s="36"/>
      <c r="N5046" s="36"/>
      <c r="O5046" s="36"/>
      <c r="P5046" s="36"/>
      <c r="Q5046" s="36"/>
      <c r="R5046" s="36"/>
      <c r="S5046" s="36"/>
      <c r="T5046" s="36"/>
      <c r="U5046" s="36"/>
      <c r="V5046" s="36"/>
      <c r="W5046" s="15">
        <f t="shared" si="691"/>
        <v>0</v>
      </c>
      <c r="X5046" s="36"/>
      <c r="Y5046" s="36"/>
      <c r="Z5046" s="36"/>
      <c r="AA5046" s="36"/>
      <c r="AB5046" s="36"/>
      <c r="AC5046" s="36"/>
      <c r="AD5046" s="36"/>
      <c r="AE5046" s="36"/>
      <c r="AF5046" s="36">
        <v>200</v>
      </c>
      <c r="AG5046" s="36">
        <v>200</v>
      </c>
      <c r="AH5046" s="36"/>
      <c r="AI5046" s="36"/>
      <c r="AJ5046" s="15">
        <f t="shared" si="692"/>
        <v>400</v>
      </c>
      <c r="AK5046" s="14"/>
      <c r="AL5046" s="14"/>
      <c r="AM5046" s="14"/>
      <c r="AN5046" s="14"/>
      <c r="AO5046" s="14"/>
      <c r="AP5046" s="14"/>
      <c r="AQ5046" s="14"/>
      <c r="AR5046" s="14"/>
      <c r="AS5046" s="14"/>
      <c r="AT5046" s="14"/>
      <c r="AU5046" s="14"/>
      <c r="AV5046" s="14"/>
      <c r="AW5046" s="15">
        <f t="shared" si="684"/>
        <v>0</v>
      </c>
      <c r="AX5046" s="16"/>
    </row>
    <row r="5047" spans="2:51" x14ac:dyDescent="0.2">
      <c r="B5047" s="7"/>
      <c r="C5047" s="8">
        <v>15264</v>
      </c>
      <c r="D5047" s="9" t="s">
        <v>681</v>
      </c>
      <c r="E5047" s="10" t="str">
        <f t="shared" si="689"/>
        <v>Rancho Landero No. 87</v>
      </c>
      <c r="F5047" s="10" t="str">
        <f t="shared" si="690"/>
        <v>Fey Lafferla</v>
      </c>
      <c r="G5047" s="8">
        <v>1</v>
      </c>
      <c r="H5047" s="11">
        <v>600</v>
      </c>
      <c r="I5047" s="12">
        <v>43030</v>
      </c>
      <c r="J5047" s="35">
        <f t="shared" si="683"/>
        <v>0</v>
      </c>
      <c r="K5047" s="36"/>
      <c r="L5047" s="36"/>
      <c r="M5047" s="36"/>
      <c r="N5047" s="36"/>
      <c r="O5047" s="36"/>
      <c r="P5047" s="36"/>
      <c r="Q5047" s="36"/>
      <c r="R5047" s="36"/>
      <c r="S5047" s="36"/>
      <c r="T5047" s="36"/>
      <c r="U5047" s="36"/>
      <c r="V5047" s="36"/>
      <c r="W5047" s="15">
        <f t="shared" si="691"/>
        <v>0</v>
      </c>
      <c r="X5047" s="36"/>
      <c r="Y5047" s="36"/>
      <c r="Z5047" s="36"/>
      <c r="AA5047" s="36"/>
      <c r="AB5047" s="36"/>
      <c r="AC5047" s="36"/>
      <c r="AD5047" s="36"/>
      <c r="AE5047" s="36"/>
      <c r="AF5047" s="36">
        <v>300</v>
      </c>
      <c r="AG5047" s="36">
        <v>300</v>
      </c>
      <c r="AH5047" s="36"/>
      <c r="AI5047" s="36"/>
      <c r="AJ5047" s="15">
        <f t="shared" si="692"/>
        <v>600</v>
      </c>
      <c r="AK5047" s="14"/>
      <c r="AL5047" s="14"/>
      <c r="AM5047" s="14"/>
      <c r="AN5047" s="14"/>
      <c r="AO5047" s="14"/>
      <c r="AP5047" s="14"/>
      <c r="AQ5047" s="14"/>
      <c r="AR5047" s="14"/>
      <c r="AS5047" s="14"/>
      <c r="AT5047" s="14"/>
      <c r="AU5047" s="14"/>
      <c r="AV5047" s="14"/>
      <c r="AW5047" s="15">
        <f t="shared" si="684"/>
        <v>0</v>
      </c>
      <c r="AX5047" s="316">
        <f>SUM(H5024:H5047)</f>
        <v>10450</v>
      </c>
    </row>
    <row r="5048" spans="2:51" x14ac:dyDescent="0.2">
      <c r="B5048" s="7"/>
      <c r="C5048" s="8">
        <v>15265</v>
      </c>
      <c r="D5048" s="9" t="s">
        <v>488</v>
      </c>
      <c r="E5048" s="10" t="str">
        <f t="shared" ref="E5048" si="693">IF(D5048=0,"",VLOOKUP(D5048,BASE,2,FALSE))</f>
        <v>Rancho Landero No. 85</v>
      </c>
      <c r="F5048" s="10" t="str">
        <f t="shared" ref="F5048" si="694">IF(D5048=0,"",VLOOKUP(D5048,BASE,3,FALSE))</f>
        <v>Martínez Olague</v>
      </c>
      <c r="G5048" s="8">
        <v>1</v>
      </c>
      <c r="H5048" s="315">
        <v>400</v>
      </c>
      <c r="I5048" s="12">
        <v>43031</v>
      </c>
      <c r="J5048" s="35">
        <f t="shared" si="683"/>
        <v>0</v>
      </c>
      <c r="K5048" s="36"/>
      <c r="L5048" s="36"/>
      <c r="M5048" s="36"/>
      <c r="N5048" s="36"/>
      <c r="O5048" s="36"/>
      <c r="P5048" s="36"/>
      <c r="Q5048" s="36"/>
      <c r="R5048" s="36"/>
      <c r="S5048" s="36"/>
      <c r="T5048" s="36"/>
      <c r="U5048" s="36"/>
      <c r="V5048" s="36"/>
      <c r="W5048" s="15">
        <f t="shared" si="691"/>
        <v>0</v>
      </c>
      <c r="X5048" s="36"/>
      <c r="Y5048" s="36"/>
      <c r="Z5048" s="36"/>
      <c r="AA5048" s="36"/>
      <c r="AB5048" s="36"/>
      <c r="AC5048" s="36"/>
      <c r="AD5048" s="36"/>
      <c r="AE5048" s="36"/>
      <c r="AF5048" s="36"/>
      <c r="AG5048" s="36">
        <v>400</v>
      </c>
      <c r="AH5048" s="36"/>
      <c r="AI5048" s="36"/>
      <c r="AJ5048" s="15">
        <f t="shared" si="692"/>
        <v>400</v>
      </c>
      <c r="AK5048" s="14"/>
      <c r="AL5048" s="14"/>
      <c r="AM5048" s="14"/>
      <c r="AN5048" s="14"/>
      <c r="AO5048" s="14"/>
      <c r="AP5048" s="14"/>
      <c r="AQ5048" s="14"/>
      <c r="AR5048" s="14"/>
      <c r="AS5048" s="14"/>
      <c r="AT5048" s="14"/>
      <c r="AU5048" s="14"/>
      <c r="AV5048" s="14"/>
      <c r="AW5048" s="15">
        <f t="shared" si="684"/>
        <v>0</v>
      </c>
      <c r="AX5048" s="16"/>
    </row>
    <row r="5049" spans="2:51" x14ac:dyDescent="0.2">
      <c r="B5049" s="7"/>
      <c r="C5049" s="8">
        <v>15266</v>
      </c>
      <c r="D5049" s="9" t="s">
        <v>611</v>
      </c>
      <c r="E5049" s="10" t="str">
        <f t="shared" ref="E5049:E5090" si="695">IF(D5049=0,"",VLOOKUP(D5049,BASE,2,FALSE))</f>
        <v>Rancho Estanzuela No. 47</v>
      </c>
      <c r="F5049" s="10" t="str">
        <f t="shared" ref="F5049:F5090" si="696">IF(D5049=0,"",VLOOKUP(D5049,BASE,3,FALSE))</f>
        <v>Bussey García</v>
      </c>
      <c r="G5049" s="8">
        <v>1</v>
      </c>
      <c r="H5049" s="11">
        <v>400</v>
      </c>
      <c r="I5049" s="12">
        <v>43031</v>
      </c>
      <c r="J5049" s="35">
        <f t="shared" si="683"/>
        <v>0</v>
      </c>
      <c r="K5049" s="36"/>
      <c r="L5049" s="36"/>
      <c r="M5049" s="36"/>
      <c r="N5049" s="36"/>
      <c r="O5049" s="36"/>
      <c r="P5049" s="36"/>
      <c r="Q5049" s="36"/>
      <c r="R5049" s="36"/>
      <c r="S5049" s="36"/>
      <c r="T5049" s="36"/>
      <c r="U5049" s="36"/>
      <c r="V5049" s="36"/>
      <c r="W5049" s="15">
        <f t="shared" si="691"/>
        <v>0</v>
      </c>
      <c r="X5049" s="36"/>
      <c r="Y5049" s="36"/>
      <c r="Z5049" s="36"/>
      <c r="AA5049" s="36"/>
      <c r="AB5049" s="36"/>
      <c r="AC5049" s="36"/>
      <c r="AD5049" s="36"/>
      <c r="AE5049" s="36"/>
      <c r="AF5049" s="36"/>
      <c r="AG5049" s="36">
        <v>400</v>
      </c>
      <c r="AH5049" s="36"/>
      <c r="AI5049" s="36"/>
      <c r="AJ5049" s="15">
        <f t="shared" si="692"/>
        <v>400</v>
      </c>
      <c r="AK5049" s="14"/>
      <c r="AL5049" s="14"/>
      <c r="AM5049" s="14"/>
      <c r="AN5049" s="14"/>
      <c r="AO5049" s="14"/>
      <c r="AP5049" s="14"/>
      <c r="AQ5049" s="14"/>
      <c r="AR5049" s="14"/>
      <c r="AS5049" s="14"/>
      <c r="AT5049" s="14"/>
      <c r="AU5049" s="14"/>
      <c r="AV5049" s="14"/>
      <c r="AW5049" s="15">
        <f t="shared" si="684"/>
        <v>0</v>
      </c>
      <c r="AX5049" s="16"/>
    </row>
    <row r="5050" spans="2:51" x14ac:dyDescent="0.2">
      <c r="B5050" s="7"/>
      <c r="C5050" s="8">
        <v>15267</v>
      </c>
      <c r="D5050" s="9" t="s">
        <v>1023</v>
      </c>
      <c r="E5050" s="10" t="str">
        <f t="shared" si="695"/>
        <v>Rancho Estanzuela No. 63</v>
      </c>
      <c r="F5050" s="10" t="str">
        <f t="shared" si="696"/>
        <v>Mendoza Q.</v>
      </c>
      <c r="G5050" s="8">
        <v>1</v>
      </c>
      <c r="H5050" s="11">
        <v>3600</v>
      </c>
      <c r="I5050" s="12">
        <v>43031</v>
      </c>
      <c r="J5050" s="35">
        <f t="shared" si="683"/>
        <v>0</v>
      </c>
      <c r="K5050" s="36"/>
      <c r="L5050" s="36"/>
      <c r="M5050" s="36"/>
      <c r="N5050" s="36"/>
      <c r="O5050" s="36"/>
      <c r="P5050" s="36"/>
      <c r="Q5050" s="36"/>
      <c r="R5050" s="36"/>
      <c r="S5050" s="36"/>
      <c r="T5050" s="36"/>
      <c r="U5050" s="36"/>
      <c r="V5050" s="36"/>
      <c r="W5050" s="15">
        <f t="shared" si="691"/>
        <v>0</v>
      </c>
      <c r="X5050" s="36">
        <v>300</v>
      </c>
      <c r="Y5050" s="36">
        <v>300</v>
      </c>
      <c r="Z5050" s="36">
        <v>300</v>
      </c>
      <c r="AA5050" s="36">
        <v>300</v>
      </c>
      <c r="AB5050" s="36">
        <v>300</v>
      </c>
      <c r="AC5050" s="36">
        <v>300</v>
      </c>
      <c r="AD5050" s="36">
        <v>300</v>
      </c>
      <c r="AE5050" s="36">
        <v>300</v>
      </c>
      <c r="AF5050" s="36">
        <v>300</v>
      </c>
      <c r="AG5050" s="36">
        <v>300</v>
      </c>
      <c r="AH5050" s="36">
        <v>300</v>
      </c>
      <c r="AI5050" s="36">
        <v>300</v>
      </c>
      <c r="AJ5050" s="15">
        <f t="shared" si="692"/>
        <v>3600</v>
      </c>
      <c r="AK5050" s="14"/>
      <c r="AL5050" s="14"/>
      <c r="AM5050" s="14"/>
      <c r="AN5050" s="14"/>
      <c r="AO5050" s="14"/>
      <c r="AP5050" s="14"/>
      <c r="AQ5050" s="14"/>
      <c r="AR5050" s="14"/>
      <c r="AS5050" s="14"/>
      <c r="AT5050" s="14"/>
      <c r="AU5050" s="14"/>
      <c r="AV5050" s="14"/>
      <c r="AW5050" s="15">
        <f t="shared" si="684"/>
        <v>0</v>
      </c>
      <c r="AX5050" s="16"/>
    </row>
    <row r="5051" spans="2:51" x14ac:dyDescent="0.2">
      <c r="B5051" s="7"/>
      <c r="C5051" s="8">
        <v>15268</v>
      </c>
      <c r="D5051" s="9"/>
      <c r="E5051" s="10" t="str">
        <f t="shared" si="695"/>
        <v/>
      </c>
      <c r="F5051" s="10" t="str">
        <f t="shared" si="696"/>
        <v/>
      </c>
      <c r="G5051" s="8">
        <v>8</v>
      </c>
      <c r="H5051" s="11"/>
      <c r="I5051" s="12"/>
      <c r="J5051" s="35">
        <f t="shared" si="683"/>
        <v>0</v>
      </c>
      <c r="K5051" s="36"/>
      <c r="L5051" s="36"/>
      <c r="M5051" s="36"/>
      <c r="N5051" s="36"/>
      <c r="O5051" s="36"/>
      <c r="P5051" s="36"/>
      <c r="Q5051" s="36"/>
      <c r="R5051" s="36"/>
      <c r="S5051" s="36"/>
      <c r="T5051" s="36"/>
      <c r="U5051" s="36"/>
      <c r="V5051" s="36"/>
      <c r="W5051" s="15">
        <f t="shared" si="691"/>
        <v>0</v>
      </c>
      <c r="X5051" s="36"/>
      <c r="Y5051" s="36"/>
      <c r="Z5051" s="36"/>
      <c r="AA5051" s="36"/>
      <c r="AB5051" s="36"/>
      <c r="AC5051" s="36"/>
      <c r="AD5051" s="36"/>
      <c r="AE5051" s="36"/>
      <c r="AF5051" s="36"/>
      <c r="AG5051" s="36"/>
      <c r="AH5051" s="36"/>
      <c r="AI5051" s="36"/>
      <c r="AJ5051" s="15">
        <f t="shared" si="692"/>
        <v>0</v>
      </c>
      <c r="AK5051" s="14"/>
      <c r="AL5051" s="14"/>
      <c r="AM5051" s="14"/>
      <c r="AN5051" s="14"/>
      <c r="AO5051" s="14"/>
      <c r="AP5051" s="14"/>
      <c r="AQ5051" s="14"/>
      <c r="AR5051" s="14"/>
      <c r="AS5051" s="14"/>
      <c r="AT5051" s="14"/>
      <c r="AU5051" s="14"/>
      <c r="AV5051" s="14"/>
      <c r="AW5051" s="15">
        <f t="shared" si="684"/>
        <v>0</v>
      </c>
      <c r="AX5051" s="16"/>
    </row>
    <row r="5052" spans="2:51" x14ac:dyDescent="0.2">
      <c r="B5052" s="7"/>
      <c r="C5052" s="8">
        <v>15269</v>
      </c>
      <c r="D5052" s="9" t="s">
        <v>1026</v>
      </c>
      <c r="E5052" s="10" t="str">
        <f t="shared" si="695"/>
        <v>Rancho Estanzuela No. 119, 2</v>
      </c>
      <c r="F5052" s="10" t="str">
        <f t="shared" si="696"/>
        <v>Lòpez Tovar</v>
      </c>
      <c r="G5052" s="8">
        <v>1</v>
      </c>
      <c r="H5052" s="11">
        <v>600</v>
      </c>
      <c r="I5052" s="12">
        <v>43031</v>
      </c>
      <c r="J5052" s="35">
        <f t="shared" si="683"/>
        <v>0</v>
      </c>
      <c r="K5052" s="36"/>
      <c r="L5052" s="36"/>
      <c r="M5052" s="36"/>
      <c r="N5052" s="36"/>
      <c r="O5052" s="36"/>
      <c r="P5052" s="36"/>
      <c r="Q5052" s="36"/>
      <c r="R5052" s="36"/>
      <c r="S5052" s="36"/>
      <c r="T5052" s="36"/>
      <c r="U5052" s="36"/>
      <c r="V5052" s="36"/>
      <c r="W5052" s="15">
        <f t="shared" si="691"/>
        <v>0</v>
      </c>
      <c r="X5052" s="36"/>
      <c r="Y5052" s="36"/>
      <c r="Z5052" s="36"/>
      <c r="AA5052" s="36"/>
      <c r="AB5052" s="36"/>
      <c r="AC5052" s="36"/>
      <c r="AD5052" s="36"/>
      <c r="AE5052" s="36">
        <v>200</v>
      </c>
      <c r="AF5052" s="36">
        <v>200</v>
      </c>
      <c r="AG5052" s="36">
        <v>200</v>
      </c>
      <c r="AH5052" s="36"/>
      <c r="AI5052" s="36"/>
      <c r="AJ5052" s="15">
        <f t="shared" si="692"/>
        <v>600</v>
      </c>
      <c r="AK5052" s="14"/>
      <c r="AL5052" s="14"/>
      <c r="AM5052" s="14"/>
      <c r="AN5052" s="14"/>
      <c r="AO5052" s="14"/>
      <c r="AP5052" s="14"/>
      <c r="AQ5052" s="14"/>
      <c r="AR5052" s="14"/>
      <c r="AS5052" s="14"/>
      <c r="AT5052" s="14"/>
      <c r="AU5052" s="14"/>
      <c r="AV5052" s="14"/>
      <c r="AW5052" s="15">
        <f t="shared" si="684"/>
        <v>0</v>
      </c>
      <c r="AX5052" s="16"/>
    </row>
    <row r="5053" spans="2:51" x14ac:dyDescent="0.2">
      <c r="B5053" s="7"/>
      <c r="C5053" s="8">
        <v>15270</v>
      </c>
      <c r="D5053" s="9" t="s">
        <v>1017</v>
      </c>
      <c r="E5053" s="10" t="str">
        <f t="shared" si="695"/>
        <v>Rancho Estanzuela No. 119, 3</v>
      </c>
      <c r="F5053" s="10" t="str">
        <f t="shared" si="696"/>
        <v>Montecillo</v>
      </c>
      <c r="G5053" s="8">
        <v>1</v>
      </c>
      <c r="H5053" s="11">
        <v>200</v>
      </c>
      <c r="I5053" s="12">
        <v>43031</v>
      </c>
      <c r="J5053" s="35">
        <f t="shared" si="683"/>
        <v>0</v>
      </c>
      <c r="K5053" s="36"/>
      <c r="L5053" s="36"/>
      <c r="M5053" s="36"/>
      <c r="N5053" s="36"/>
      <c r="O5053" s="36"/>
      <c r="P5053" s="36"/>
      <c r="Q5053" s="36"/>
      <c r="R5053" s="36"/>
      <c r="S5053" s="36"/>
      <c r="T5053" s="36"/>
      <c r="U5053" s="36"/>
      <c r="V5053" s="36"/>
      <c r="W5053" s="15">
        <f t="shared" si="691"/>
        <v>0</v>
      </c>
      <c r="X5053" s="36"/>
      <c r="Y5053" s="36"/>
      <c r="Z5053" s="36"/>
      <c r="AA5053" s="36"/>
      <c r="AB5053" s="36"/>
      <c r="AC5053" s="36"/>
      <c r="AD5053" s="36"/>
      <c r="AE5053" s="36"/>
      <c r="AF5053" s="36"/>
      <c r="AG5053" s="36">
        <v>200</v>
      </c>
      <c r="AH5053" s="36"/>
      <c r="AI5053" s="36"/>
      <c r="AJ5053" s="15">
        <f t="shared" si="692"/>
        <v>200</v>
      </c>
      <c r="AK5053" s="14"/>
      <c r="AL5053" s="14"/>
      <c r="AM5053" s="14"/>
      <c r="AN5053" s="14"/>
      <c r="AO5053" s="14"/>
      <c r="AP5053" s="14"/>
      <c r="AQ5053" s="14"/>
      <c r="AR5053" s="14"/>
      <c r="AS5053" s="14"/>
      <c r="AT5053" s="14"/>
      <c r="AU5053" s="14"/>
      <c r="AV5053" s="14"/>
      <c r="AW5053" s="15">
        <f t="shared" si="684"/>
        <v>0</v>
      </c>
      <c r="AX5053" s="16"/>
    </row>
    <row r="5054" spans="2:51" x14ac:dyDescent="0.2">
      <c r="B5054" s="7"/>
      <c r="C5054" s="8">
        <v>15271</v>
      </c>
      <c r="D5054" s="9" t="s">
        <v>376</v>
      </c>
      <c r="E5054" s="10" t="str">
        <f t="shared" si="695"/>
        <v>Rancho Estanzuela No. 33</v>
      </c>
      <c r="F5054" s="10" t="str">
        <f t="shared" si="696"/>
        <v>Arauz</v>
      </c>
      <c r="G5054" s="8">
        <v>1</v>
      </c>
      <c r="H5054" s="11">
        <v>4400</v>
      </c>
      <c r="I5054" s="12">
        <v>43032</v>
      </c>
      <c r="J5054" s="35">
        <f t="shared" si="683"/>
        <v>0</v>
      </c>
      <c r="K5054" s="36"/>
      <c r="L5054" s="36"/>
      <c r="M5054" s="36"/>
      <c r="N5054" s="36"/>
      <c r="O5054" s="36"/>
      <c r="P5054" s="36"/>
      <c r="Q5054" s="36"/>
      <c r="R5054" s="36"/>
      <c r="S5054" s="36"/>
      <c r="T5054" s="36"/>
      <c r="U5054" s="36"/>
      <c r="V5054" s="36"/>
      <c r="W5054" s="15">
        <f t="shared" si="691"/>
        <v>0</v>
      </c>
      <c r="X5054" s="36"/>
      <c r="Y5054" s="36">
        <v>400</v>
      </c>
      <c r="Z5054" s="36">
        <v>400</v>
      </c>
      <c r="AA5054" s="36">
        <v>400</v>
      </c>
      <c r="AB5054" s="36">
        <v>400</v>
      </c>
      <c r="AC5054" s="36">
        <v>400</v>
      </c>
      <c r="AD5054" s="36">
        <v>400</v>
      </c>
      <c r="AE5054" s="36">
        <v>400</v>
      </c>
      <c r="AF5054" s="36">
        <v>400</v>
      </c>
      <c r="AG5054" s="36">
        <v>400</v>
      </c>
      <c r="AH5054" s="36">
        <v>400</v>
      </c>
      <c r="AI5054" s="36">
        <v>400</v>
      </c>
      <c r="AJ5054" s="15">
        <f t="shared" si="692"/>
        <v>4400</v>
      </c>
      <c r="AK5054" s="14"/>
      <c r="AL5054" s="14"/>
      <c r="AM5054" s="14"/>
      <c r="AN5054" s="14"/>
      <c r="AO5054" s="14"/>
      <c r="AP5054" s="14"/>
      <c r="AQ5054" s="14"/>
      <c r="AR5054" s="14"/>
      <c r="AS5054" s="14"/>
      <c r="AT5054" s="14"/>
      <c r="AU5054" s="14"/>
      <c r="AV5054" s="14"/>
      <c r="AW5054" s="15">
        <f t="shared" si="684"/>
        <v>0</v>
      </c>
      <c r="AX5054" s="16" t="s">
        <v>4647</v>
      </c>
    </row>
    <row r="5055" spans="2:51" x14ac:dyDescent="0.2">
      <c r="B5055" s="7"/>
      <c r="C5055" s="8">
        <v>15272</v>
      </c>
      <c r="D5055" s="9" t="s">
        <v>112</v>
      </c>
      <c r="E5055" s="10" t="str">
        <f t="shared" si="695"/>
        <v>Rancho Estanzuela No. 129</v>
      </c>
      <c r="F5055" s="10" t="str">
        <f t="shared" si="696"/>
        <v>Sta. María Mendoza</v>
      </c>
      <c r="G5055" s="8">
        <v>1</v>
      </c>
      <c r="H5055" s="11">
        <v>250</v>
      </c>
      <c r="I5055" s="12">
        <v>43032</v>
      </c>
      <c r="J5055" s="35">
        <f t="shared" si="683"/>
        <v>0</v>
      </c>
      <c r="K5055" s="36"/>
      <c r="L5055" s="36"/>
      <c r="M5055" s="36"/>
      <c r="N5055" s="36"/>
      <c r="O5055" s="36"/>
      <c r="P5055" s="36"/>
      <c r="Q5055" s="36"/>
      <c r="R5055" s="36"/>
      <c r="S5055" s="36"/>
      <c r="T5055" s="36"/>
      <c r="U5055" s="36"/>
      <c r="V5055" s="36"/>
      <c r="W5055" s="15">
        <f t="shared" si="691"/>
        <v>0</v>
      </c>
      <c r="X5055" s="36"/>
      <c r="Y5055" s="36"/>
      <c r="Z5055" s="36"/>
      <c r="AA5055" s="36"/>
      <c r="AB5055" s="36"/>
      <c r="AC5055" s="36"/>
      <c r="AD5055" s="36"/>
      <c r="AE5055" s="36"/>
      <c r="AF5055" s="36"/>
      <c r="AG5055" s="36">
        <v>250</v>
      </c>
      <c r="AH5055" s="36"/>
      <c r="AI5055" s="36"/>
      <c r="AJ5055" s="15">
        <f t="shared" si="692"/>
        <v>250</v>
      </c>
      <c r="AK5055" s="14"/>
      <c r="AL5055" s="14"/>
      <c r="AM5055" s="14"/>
      <c r="AN5055" s="14"/>
      <c r="AO5055" s="14"/>
      <c r="AP5055" s="14"/>
      <c r="AQ5055" s="14"/>
      <c r="AR5055" s="14"/>
      <c r="AS5055" s="14"/>
      <c r="AT5055" s="14"/>
      <c r="AU5055" s="14"/>
      <c r="AV5055" s="14"/>
      <c r="AW5055" s="15">
        <f t="shared" si="684"/>
        <v>0</v>
      </c>
      <c r="AX5055" s="16"/>
    </row>
    <row r="5056" spans="2:51" x14ac:dyDescent="0.2">
      <c r="B5056" s="7"/>
      <c r="C5056" s="8">
        <v>15273</v>
      </c>
      <c r="D5056" s="9" t="s">
        <v>598</v>
      </c>
      <c r="E5056" s="10" t="str">
        <f t="shared" si="695"/>
        <v>Rancho Estanzuela No. 21</v>
      </c>
      <c r="F5056" s="10" t="str">
        <f t="shared" si="696"/>
        <v>Morales</v>
      </c>
      <c r="G5056" s="8">
        <v>1</v>
      </c>
      <c r="H5056" s="11">
        <v>1200</v>
      </c>
      <c r="I5056" s="12">
        <v>43032</v>
      </c>
      <c r="J5056" s="35">
        <f t="shared" si="683"/>
        <v>0</v>
      </c>
      <c r="K5056" s="36"/>
      <c r="L5056" s="36"/>
      <c r="M5056" s="36"/>
      <c r="N5056" s="36"/>
      <c r="O5056" s="36"/>
      <c r="P5056" s="36"/>
      <c r="Q5056" s="36"/>
      <c r="R5056" s="36"/>
      <c r="S5056" s="36"/>
      <c r="T5056" s="36"/>
      <c r="U5056" s="36"/>
      <c r="V5056" s="36"/>
      <c r="W5056" s="15">
        <f t="shared" si="691"/>
        <v>0</v>
      </c>
      <c r="X5056" s="36"/>
      <c r="Y5056" s="36"/>
      <c r="Z5056" s="36"/>
      <c r="AA5056" s="36"/>
      <c r="AB5056" s="36"/>
      <c r="AC5056" s="36"/>
      <c r="AD5056" s="36"/>
      <c r="AE5056" s="36"/>
      <c r="AF5056" s="36"/>
      <c r="AG5056" s="36">
        <v>400</v>
      </c>
      <c r="AH5056" s="36">
        <v>400</v>
      </c>
      <c r="AI5056" s="36">
        <v>400</v>
      </c>
      <c r="AJ5056" s="15">
        <f t="shared" si="692"/>
        <v>1200</v>
      </c>
      <c r="AK5056" s="14"/>
      <c r="AL5056" s="14"/>
      <c r="AM5056" s="14"/>
      <c r="AN5056" s="14"/>
      <c r="AO5056" s="14"/>
      <c r="AP5056" s="14"/>
      <c r="AQ5056" s="14"/>
      <c r="AR5056" s="14"/>
      <c r="AS5056" s="14"/>
      <c r="AT5056" s="14"/>
      <c r="AU5056" s="14"/>
      <c r="AV5056" s="14"/>
      <c r="AW5056" s="15">
        <f t="shared" si="684"/>
        <v>0</v>
      </c>
      <c r="AX5056" s="316">
        <f>SUM(H5048:H5056)</f>
        <v>11050</v>
      </c>
      <c r="AY5056">
        <v>11050</v>
      </c>
    </row>
    <row r="5057" spans="2:50" x14ac:dyDescent="0.2">
      <c r="B5057" s="7"/>
      <c r="C5057" s="8">
        <v>15274</v>
      </c>
      <c r="D5057" s="9" t="s">
        <v>1032</v>
      </c>
      <c r="E5057" s="10" t="str">
        <f t="shared" si="695"/>
        <v>Rancho Estanzuela No. 157, 1</v>
      </c>
      <c r="F5057" s="10" t="str">
        <f t="shared" si="696"/>
        <v>Anzures</v>
      </c>
      <c r="G5057" s="8">
        <v>1</v>
      </c>
      <c r="H5057" s="315">
        <v>300</v>
      </c>
      <c r="I5057" s="12">
        <v>43032</v>
      </c>
      <c r="J5057" s="35">
        <f t="shared" si="683"/>
        <v>0</v>
      </c>
      <c r="K5057" s="36"/>
      <c r="L5057" s="36"/>
      <c r="M5057" s="36"/>
      <c r="N5057" s="36"/>
      <c r="O5057" s="36"/>
      <c r="P5057" s="36"/>
      <c r="Q5057" s="36"/>
      <c r="R5057" s="36"/>
      <c r="S5057" s="36"/>
      <c r="T5057" s="36"/>
      <c r="U5057" s="36"/>
      <c r="V5057" s="36"/>
      <c r="W5057" s="15">
        <f t="shared" si="691"/>
        <v>0</v>
      </c>
      <c r="X5057" s="36"/>
      <c r="Y5057" s="36"/>
      <c r="Z5057" s="36"/>
      <c r="AA5057" s="36"/>
      <c r="AB5057" s="36"/>
      <c r="AC5057" s="36"/>
      <c r="AD5057" s="36">
        <v>150</v>
      </c>
      <c r="AE5057" s="36">
        <v>150</v>
      </c>
      <c r="AF5057" s="36"/>
      <c r="AG5057" s="36"/>
      <c r="AH5057" s="36"/>
      <c r="AI5057" s="36"/>
      <c r="AJ5057" s="15">
        <f t="shared" si="692"/>
        <v>300</v>
      </c>
      <c r="AK5057" s="14"/>
      <c r="AL5057" s="14"/>
      <c r="AM5057" s="14"/>
      <c r="AN5057" s="14"/>
      <c r="AO5057" s="14"/>
      <c r="AP5057" s="14"/>
      <c r="AQ5057" s="14"/>
      <c r="AR5057" s="14"/>
      <c r="AS5057" s="14"/>
      <c r="AT5057" s="14"/>
      <c r="AU5057" s="14"/>
      <c r="AV5057" s="14"/>
      <c r="AW5057" s="15">
        <f t="shared" si="684"/>
        <v>0</v>
      </c>
      <c r="AX5057" s="16"/>
    </row>
    <row r="5058" spans="2:50" x14ac:dyDescent="0.2">
      <c r="B5058" s="7"/>
      <c r="C5058" s="8">
        <v>15274</v>
      </c>
      <c r="D5058" s="9" t="s">
        <v>926</v>
      </c>
      <c r="E5058" s="10" t="str">
        <f t="shared" si="695"/>
        <v>Rancho Estanzuela No. 157, 2</v>
      </c>
      <c r="F5058" s="10" t="str">
        <f t="shared" si="696"/>
        <v>Arias</v>
      </c>
      <c r="G5058" s="8">
        <v>1</v>
      </c>
      <c r="H5058" s="315">
        <v>300</v>
      </c>
      <c r="I5058" s="12">
        <v>43032</v>
      </c>
      <c r="J5058" s="35">
        <f t="shared" si="683"/>
        <v>0</v>
      </c>
      <c r="K5058" s="36"/>
      <c r="L5058" s="36"/>
      <c r="M5058" s="36"/>
      <c r="N5058" s="36"/>
      <c r="O5058" s="36"/>
      <c r="P5058" s="36"/>
      <c r="Q5058" s="36"/>
      <c r="R5058" s="36"/>
      <c r="S5058" s="36"/>
      <c r="T5058" s="36"/>
      <c r="U5058" s="36"/>
      <c r="V5058" s="36"/>
      <c r="W5058" s="15">
        <f t="shared" si="691"/>
        <v>0</v>
      </c>
      <c r="X5058" s="36"/>
      <c r="Y5058" s="36"/>
      <c r="Z5058" s="36"/>
      <c r="AA5058" s="36"/>
      <c r="AB5058" s="36"/>
      <c r="AC5058" s="36"/>
      <c r="AD5058" s="36">
        <v>150</v>
      </c>
      <c r="AE5058" s="36">
        <v>150</v>
      </c>
      <c r="AF5058" s="36"/>
      <c r="AG5058" s="36"/>
      <c r="AH5058" s="36"/>
      <c r="AI5058" s="36"/>
      <c r="AJ5058" s="15">
        <f t="shared" si="692"/>
        <v>300</v>
      </c>
      <c r="AK5058" s="14"/>
      <c r="AL5058" s="14"/>
      <c r="AM5058" s="14"/>
      <c r="AN5058" s="14"/>
      <c r="AO5058" s="14"/>
      <c r="AP5058" s="14"/>
      <c r="AQ5058" s="14"/>
      <c r="AR5058" s="14"/>
      <c r="AS5058" s="14"/>
      <c r="AT5058" s="14"/>
      <c r="AU5058" s="14"/>
      <c r="AV5058" s="14"/>
      <c r="AW5058" s="15">
        <f t="shared" si="684"/>
        <v>0</v>
      </c>
      <c r="AX5058" s="16"/>
    </row>
    <row r="5059" spans="2:50" x14ac:dyDescent="0.2">
      <c r="B5059" s="7"/>
      <c r="C5059" s="8">
        <v>15274</v>
      </c>
      <c r="D5059" s="9" t="s">
        <v>929</v>
      </c>
      <c r="E5059" s="10" t="str">
        <f t="shared" si="695"/>
        <v>Rancho Estanzuela No. 157, 3</v>
      </c>
      <c r="F5059" s="10" t="str">
        <f t="shared" si="696"/>
        <v>Valdez</v>
      </c>
      <c r="G5059" s="8">
        <v>1</v>
      </c>
      <c r="H5059" s="315">
        <v>300</v>
      </c>
      <c r="I5059" s="12">
        <v>43032</v>
      </c>
      <c r="J5059" s="35">
        <f t="shared" si="683"/>
        <v>0</v>
      </c>
      <c r="K5059" s="36"/>
      <c r="L5059" s="36"/>
      <c r="M5059" s="36"/>
      <c r="N5059" s="36"/>
      <c r="O5059" s="36"/>
      <c r="P5059" s="36"/>
      <c r="Q5059" s="36"/>
      <c r="R5059" s="36"/>
      <c r="S5059" s="36"/>
      <c r="T5059" s="36"/>
      <c r="U5059" s="36"/>
      <c r="V5059" s="36"/>
      <c r="W5059" s="15">
        <f t="shared" si="691"/>
        <v>0</v>
      </c>
      <c r="X5059" s="36"/>
      <c r="Y5059" s="36"/>
      <c r="Z5059" s="36"/>
      <c r="AA5059" s="36"/>
      <c r="AB5059" s="36"/>
      <c r="AC5059" s="36"/>
      <c r="AD5059" s="36">
        <v>150</v>
      </c>
      <c r="AE5059" s="36">
        <v>150</v>
      </c>
      <c r="AF5059" s="36"/>
      <c r="AG5059" s="36"/>
      <c r="AH5059" s="36"/>
      <c r="AI5059" s="36"/>
      <c r="AJ5059" s="15">
        <f t="shared" si="692"/>
        <v>300</v>
      </c>
      <c r="AK5059" s="14"/>
      <c r="AL5059" s="14"/>
      <c r="AM5059" s="14"/>
      <c r="AN5059" s="14"/>
      <c r="AO5059" s="14"/>
      <c r="AP5059" s="14"/>
      <c r="AQ5059" s="14"/>
      <c r="AR5059" s="14"/>
      <c r="AS5059" s="14"/>
      <c r="AT5059" s="14"/>
      <c r="AU5059" s="14"/>
      <c r="AV5059" s="14"/>
      <c r="AW5059" s="15">
        <f t="shared" si="684"/>
        <v>0</v>
      </c>
      <c r="AX5059" s="16"/>
    </row>
    <row r="5060" spans="2:50" x14ac:dyDescent="0.2">
      <c r="B5060" s="7"/>
      <c r="C5060" s="8">
        <v>15275</v>
      </c>
      <c r="D5060" s="9" t="s">
        <v>1055</v>
      </c>
      <c r="E5060" s="10" t="str">
        <f t="shared" si="695"/>
        <v>Rancho Estanzuela No. 119, 4</v>
      </c>
      <c r="F5060" s="10" t="str">
        <f t="shared" si="696"/>
        <v>Pérez Martínez</v>
      </c>
      <c r="G5060" s="8">
        <v>1</v>
      </c>
      <c r="H5060" s="11">
        <v>400</v>
      </c>
      <c r="I5060" s="12">
        <v>43037</v>
      </c>
      <c r="J5060" s="35">
        <f t="shared" si="683"/>
        <v>0</v>
      </c>
      <c r="K5060" s="36"/>
      <c r="L5060" s="36"/>
      <c r="M5060" s="36"/>
      <c r="N5060" s="36"/>
      <c r="O5060" s="36"/>
      <c r="P5060" s="36"/>
      <c r="Q5060" s="36"/>
      <c r="R5060" s="36"/>
      <c r="S5060" s="36"/>
      <c r="T5060" s="36"/>
      <c r="U5060" s="36"/>
      <c r="V5060" s="36"/>
      <c r="W5060" s="15">
        <f t="shared" si="691"/>
        <v>0</v>
      </c>
      <c r="X5060" s="36"/>
      <c r="Y5060" s="36"/>
      <c r="Z5060" s="36"/>
      <c r="AA5060" s="36"/>
      <c r="AB5060" s="36"/>
      <c r="AC5060" s="36"/>
      <c r="AD5060" s="36"/>
      <c r="AE5060" s="36">
        <v>200</v>
      </c>
      <c r="AF5060" s="36">
        <v>200</v>
      </c>
      <c r="AG5060" s="36"/>
      <c r="AH5060" s="36"/>
      <c r="AI5060" s="36"/>
      <c r="AJ5060" s="15">
        <f t="shared" si="692"/>
        <v>400</v>
      </c>
      <c r="AK5060" s="14"/>
      <c r="AL5060" s="14"/>
      <c r="AM5060" s="14"/>
      <c r="AN5060" s="14"/>
      <c r="AO5060" s="14"/>
      <c r="AP5060" s="14"/>
      <c r="AQ5060" s="14"/>
      <c r="AR5060" s="14"/>
      <c r="AS5060" s="14"/>
      <c r="AT5060" s="14"/>
      <c r="AU5060" s="14"/>
      <c r="AV5060" s="14"/>
      <c r="AW5060" s="15">
        <f t="shared" si="684"/>
        <v>0</v>
      </c>
      <c r="AX5060" s="16"/>
    </row>
    <row r="5061" spans="2:50" x14ac:dyDescent="0.2">
      <c r="B5061" s="7"/>
      <c r="C5061" s="8">
        <v>15276</v>
      </c>
      <c r="D5061" s="9" t="s">
        <v>640</v>
      </c>
      <c r="E5061" s="10" t="str">
        <f t="shared" si="695"/>
        <v>Rancho Estopila No. 22, A</v>
      </c>
      <c r="F5061" s="10" t="str">
        <f t="shared" si="696"/>
        <v>Ayala Carranza</v>
      </c>
      <c r="G5061" s="8">
        <v>1</v>
      </c>
      <c r="H5061" s="11">
        <v>200</v>
      </c>
      <c r="I5061" s="12">
        <v>43037</v>
      </c>
      <c r="J5061" s="35">
        <f t="shared" si="683"/>
        <v>0</v>
      </c>
      <c r="K5061" s="36"/>
      <c r="L5061" s="36"/>
      <c r="M5061" s="36"/>
      <c r="N5061" s="36"/>
      <c r="O5061" s="36"/>
      <c r="P5061" s="36"/>
      <c r="Q5061" s="36"/>
      <c r="R5061" s="36"/>
      <c r="S5061" s="36"/>
      <c r="T5061" s="36"/>
      <c r="U5061" s="36"/>
      <c r="V5061" s="36"/>
      <c r="W5061" s="15">
        <f t="shared" si="691"/>
        <v>0</v>
      </c>
      <c r="X5061" s="36"/>
      <c r="Y5061" s="36"/>
      <c r="Z5061" s="36"/>
      <c r="AA5061" s="36"/>
      <c r="AB5061" s="36"/>
      <c r="AC5061" s="36"/>
      <c r="AD5061" s="36"/>
      <c r="AE5061" s="36"/>
      <c r="AF5061" s="36"/>
      <c r="AG5061" s="36">
        <v>200</v>
      </c>
      <c r="AH5061" s="36"/>
      <c r="AI5061" s="36"/>
      <c r="AJ5061" s="15">
        <f t="shared" si="692"/>
        <v>200</v>
      </c>
      <c r="AK5061" s="14"/>
      <c r="AL5061" s="14"/>
      <c r="AM5061" s="14"/>
      <c r="AN5061" s="14"/>
      <c r="AO5061" s="14"/>
      <c r="AP5061" s="14"/>
      <c r="AQ5061" s="14"/>
      <c r="AR5061" s="14"/>
      <c r="AS5061" s="14"/>
      <c r="AT5061" s="14"/>
      <c r="AU5061" s="14"/>
      <c r="AV5061" s="14"/>
      <c r="AW5061" s="15">
        <f t="shared" si="684"/>
        <v>0</v>
      </c>
      <c r="AX5061" s="16"/>
    </row>
    <row r="5062" spans="2:50" x14ac:dyDescent="0.2">
      <c r="B5062" s="7"/>
      <c r="C5062" s="8">
        <v>15277</v>
      </c>
      <c r="D5062" s="9" t="s">
        <v>479</v>
      </c>
      <c r="E5062" s="10" t="str">
        <f t="shared" si="695"/>
        <v>Rancho Zinamba No. 68</v>
      </c>
      <c r="F5062" s="10" t="str">
        <f t="shared" si="696"/>
        <v>Rivera Villicaña</v>
      </c>
      <c r="G5062" s="8">
        <v>1</v>
      </c>
      <c r="H5062" s="11">
        <v>300</v>
      </c>
      <c r="I5062" s="12">
        <v>43037</v>
      </c>
      <c r="J5062" s="35">
        <f t="shared" si="683"/>
        <v>0</v>
      </c>
      <c r="K5062" s="36"/>
      <c r="L5062" s="36"/>
      <c r="M5062" s="36"/>
      <c r="N5062" s="36"/>
      <c r="O5062" s="36"/>
      <c r="P5062" s="36"/>
      <c r="Q5062" s="36"/>
      <c r="R5062" s="36"/>
      <c r="S5062" s="36"/>
      <c r="T5062" s="36"/>
      <c r="U5062" s="36"/>
      <c r="V5062" s="36"/>
      <c r="W5062" s="15">
        <f t="shared" si="691"/>
        <v>0</v>
      </c>
      <c r="X5062" s="36"/>
      <c r="Y5062" s="36"/>
      <c r="Z5062" s="36"/>
      <c r="AA5062" s="36"/>
      <c r="AB5062" s="36"/>
      <c r="AC5062" s="36"/>
      <c r="AD5062" s="36"/>
      <c r="AE5062" s="36"/>
      <c r="AF5062" s="36"/>
      <c r="AG5062" s="36"/>
      <c r="AH5062" s="36">
        <v>300</v>
      </c>
      <c r="AI5062" s="36"/>
      <c r="AJ5062" s="15">
        <f t="shared" si="692"/>
        <v>300</v>
      </c>
      <c r="AK5062" s="14"/>
      <c r="AL5062" s="14"/>
      <c r="AM5062" s="14"/>
      <c r="AN5062" s="14"/>
      <c r="AO5062" s="14"/>
      <c r="AP5062" s="14"/>
      <c r="AQ5062" s="14"/>
      <c r="AR5062" s="14"/>
      <c r="AS5062" s="14"/>
      <c r="AT5062" s="14"/>
      <c r="AU5062" s="14"/>
      <c r="AV5062" s="14"/>
      <c r="AW5062" s="15">
        <f t="shared" si="684"/>
        <v>0</v>
      </c>
      <c r="AX5062" s="16"/>
    </row>
    <row r="5063" spans="2:50" x14ac:dyDescent="0.2">
      <c r="B5063" s="7"/>
      <c r="C5063" s="8">
        <v>15278</v>
      </c>
      <c r="D5063" s="9" t="s">
        <v>538</v>
      </c>
      <c r="E5063" s="10" t="str">
        <f t="shared" si="695"/>
        <v>Rancho Landero No. 73</v>
      </c>
      <c r="F5063" s="10" t="str">
        <f t="shared" si="696"/>
        <v>Islas Palacios</v>
      </c>
      <c r="G5063" s="8">
        <v>1</v>
      </c>
      <c r="H5063" s="11">
        <v>800</v>
      </c>
      <c r="I5063" s="12">
        <v>43037</v>
      </c>
      <c r="J5063" s="35">
        <f t="shared" si="683"/>
        <v>0</v>
      </c>
      <c r="K5063" s="36"/>
      <c r="L5063" s="36"/>
      <c r="M5063" s="36"/>
      <c r="N5063" s="36"/>
      <c r="O5063" s="36"/>
      <c r="P5063" s="36"/>
      <c r="Q5063" s="36"/>
      <c r="R5063" s="36"/>
      <c r="S5063" s="36"/>
      <c r="T5063" s="36"/>
      <c r="U5063" s="36"/>
      <c r="V5063" s="36"/>
      <c r="W5063" s="15">
        <f t="shared" si="691"/>
        <v>0</v>
      </c>
      <c r="X5063" s="36"/>
      <c r="Y5063" s="36"/>
      <c r="Z5063" s="36"/>
      <c r="AA5063" s="36"/>
      <c r="AB5063" s="36"/>
      <c r="AC5063" s="36"/>
      <c r="AD5063" s="36"/>
      <c r="AE5063" s="36"/>
      <c r="AF5063" s="36">
        <v>400</v>
      </c>
      <c r="AG5063" s="36">
        <v>400</v>
      </c>
      <c r="AH5063" s="36"/>
      <c r="AI5063" s="36"/>
      <c r="AJ5063" s="15">
        <f t="shared" si="692"/>
        <v>800</v>
      </c>
      <c r="AK5063" s="14"/>
      <c r="AL5063" s="14"/>
      <c r="AM5063" s="14"/>
      <c r="AN5063" s="14"/>
      <c r="AO5063" s="14"/>
      <c r="AP5063" s="14"/>
      <c r="AQ5063" s="14"/>
      <c r="AR5063" s="14"/>
      <c r="AS5063" s="14"/>
      <c r="AT5063" s="14"/>
      <c r="AU5063" s="14"/>
      <c r="AV5063" s="14"/>
      <c r="AW5063" s="15">
        <f t="shared" si="684"/>
        <v>0</v>
      </c>
      <c r="AX5063" s="16"/>
    </row>
    <row r="5064" spans="2:50" x14ac:dyDescent="0.2">
      <c r="B5064" s="7"/>
      <c r="C5064" s="8">
        <v>15279</v>
      </c>
      <c r="D5064" s="9" t="s">
        <v>532</v>
      </c>
      <c r="E5064" s="10" t="str">
        <f t="shared" si="695"/>
        <v>Rancho Estanzuela No. 101</v>
      </c>
      <c r="F5064" s="10" t="str">
        <f t="shared" si="696"/>
        <v>Calderón Celis</v>
      </c>
      <c r="G5064" s="8">
        <v>1</v>
      </c>
      <c r="H5064" s="11">
        <v>800</v>
      </c>
      <c r="I5064" s="12">
        <v>43037</v>
      </c>
      <c r="J5064" s="35">
        <f t="shared" si="683"/>
        <v>0</v>
      </c>
      <c r="K5064" s="36"/>
      <c r="L5064" s="36"/>
      <c r="M5064" s="36"/>
      <c r="N5064" s="36"/>
      <c r="O5064" s="36"/>
      <c r="P5064" s="36"/>
      <c r="Q5064" s="36"/>
      <c r="R5064" s="36"/>
      <c r="S5064" s="36"/>
      <c r="T5064" s="36"/>
      <c r="U5064" s="36"/>
      <c r="V5064" s="36"/>
      <c r="W5064" s="15">
        <f t="shared" si="691"/>
        <v>0</v>
      </c>
      <c r="X5064" s="36"/>
      <c r="Y5064" s="36"/>
      <c r="Z5064" s="36"/>
      <c r="AA5064" s="36"/>
      <c r="AB5064" s="36"/>
      <c r="AC5064" s="36">
        <v>200</v>
      </c>
      <c r="AD5064" s="36">
        <v>200</v>
      </c>
      <c r="AE5064" s="36">
        <v>200</v>
      </c>
      <c r="AF5064" s="36">
        <v>200</v>
      </c>
      <c r="AG5064" s="36"/>
      <c r="AH5064" s="36"/>
      <c r="AI5064" s="36"/>
      <c r="AJ5064" s="15">
        <f t="shared" si="692"/>
        <v>800</v>
      </c>
      <c r="AK5064" s="14"/>
      <c r="AL5064" s="14"/>
      <c r="AM5064" s="14"/>
      <c r="AN5064" s="14"/>
      <c r="AO5064" s="14"/>
      <c r="AP5064" s="14"/>
      <c r="AQ5064" s="14"/>
      <c r="AR5064" s="14"/>
      <c r="AS5064" s="14"/>
      <c r="AT5064" s="14"/>
      <c r="AU5064" s="14"/>
      <c r="AV5064" s="14"/>
      <c r="AW5064" s="15">
        <f t="shared" si="684"/>
        <v>0</v>
      </c>
      <c r="AX5064" s="16"/>
    </row>
    <row r="5065" spans="2:50" x14ac:dyDescent="0.2">
      <c r="B5065" s="7"/>
      <c r="C5065" s="8">
        <v>15280</v>
      </c>
      <c r="D5065" s="9" t="s">
        <v>586</v>
      </c>
      <c r="E5065" s="10" t="str">
        <f t="shared" si="695"/>
        <v>Rancho Estanzuela No. 161, 1</v>
      </c>
      <c r="F5065" s="10" t="str">
        <f t="shared" si="696"/>
        <v>Guevara</v>
      </c>
      <c r="G5065" s="8">
        <v>1</v>
      </c>
      <c r="H5065" s="11">
        <v>400</v>
      </c>
      <c r="I5065" s="12">
        <v>43037</v>
      </c>
      <c r="J5065" s="35">
        <f t="shared" si="683"/>
        <v>0</v>
      </c>
      <c r="K5065" s="36"/>
      <c r="L5065" s="36"/>
      <c r="M5065" s="36"/>
      <c r="N5065" s="36"/>
      <c r="O5065" s="36"/>
      <c r="P5065" s="36"/>
      <c r="Q5065" s="36"/>
      <c r="R5065" s="36"/>
      <c r="S5065" s="36"/>
      <c r="T5065" s="36"/>
      <c r="U5065" s="36"/>
      <c r="V5065" s="36"/>
      <c r="W5065" s="15">
        <f t="shared" si="691"/>
        <v>0</v>
      </c>
      <c r="X5065" s="36"/>
      <c r="Y5065" s="36"/>
      <c r="Z5065" s="36"/>
      <c r="AA5065" s="36"/>
      <c r="AB5065" s="36"/>
      <c r="AC5065" s="36"/>
      <c r="AD5065" s="36"/>
      <c r="AE5065" s="36"/>
      <c r="AF5065" s="36"/>
      <c r="AG5065" s="36">
        <v>200</v>
      </c>
      <c r="AH5065" s="36">
        <v>200</v>
      </c>
      <c r="AI5065" s="36"/>
      <c r="AJ5065" s="15">
        <f t="shared" si="692"/>
        <v>400</v>
      </c>
      <c r="AK5065" s="14"/>
      <c r="AL5065" s="14"/>
      <c r="AM5065" s="14"/>
      <c r="AN5065" s="14"/>
      <c r="AO5065" s="14"/>
      <c r="AP5065" s="14"/>
      <c r="AQ5065" s="14"/>
      <c r="AR5065" s="14"/>
      <c r="AS5065" s="14"/>
      <c r="AT5065" s="14"/>
      <c r="AU5065" s="14"/>
      <c r="AV5065" s="14"/>
      <c r="AW5065" s="15">
        <f t="shared" si="684"/>
        <v>0</v>
      </c>
      <c r="AX5065" s="16"/>
    </row>
    <row r="5066" spans="2:50" x14ac:dyDescent="0.2">
      <c r="B5066" s="7"/>
      <c r="C5066" s="8">
        <v>15281</v>
      </c>
      <c r="D5066" s="9" t="s">
        <v>512</v>
      </c>
      <c r="E5066" s="10" t="str">
        <f t="shared" si="695"/>
        <v>Rancho Landero No. 35</v>
      </c>
      <c r="F5066" s="10" t="str">
        <f t="shared" si="696"/>
        <v>Loperena</v>
      </c>
      <c r="G5066" s="8">
        <v>1</v>
      </c>
      <c r="H5066" s="11">
        <v>800</v>
      </c>
      <c r="I5066" s="12">
        <v>43037</v>
      </c>
      <c r="J5066" s="35">
        <f t="shared" si="683"/>
        <v>0</v>
      </c>
      <c r="K5066" s="36"/>
      <c r="L5066" s="36"/>
      <c r="M5066" s="36"/>
      <c r="N5066" s="36"/>
      <c r="O5066" s="36"/>
      <c r="P5066" s="36"/>
      <c r="Q5066" s="36"/>
      <c r="R5066" s="36"/>
      <c r="S5066" s="36"/>
      <c r="T5066" s="36"/>
      <c r="U5066" s="36"/>
      <c r="V5066" s="36"/>
      <c r="W5066" s="15">
        <f t="shared" si="691"/>
        <v>0</v>
      </c>
      <c r="X5066" s="36"/>
      <c r="Y5066" s="36"/>
      <c r="Z5066" s="36"/>
      <c r="AA5066" s="36"/>
      <c r="AB5066" s="36"/>
      <c r="AC5066" s="36"/>
      <c r="AD5066" s="36"/>
      <c r="AE5066" s="36"/>
      <c r="AF5066" s="36">
        <v>400</v>
      </c>
      <c r="AG5066" s="36">
        <v>400</v>
      </c>
      <c r="AH5066" s="36"/>
      <c r="AI5066" s="36"/>
      <c r="AJ5066" s="15">
        <f t="shared" si="692"/>
        <v>800</v>
      </c>
      <c r="AK5066" s="14"/>
      <c r="AL5066" s="14"/>
      <c r="AM5066" s="14"/>
      <c r="AN5066" s="14"/>
      <c r="AO5066" s="14"/>
      <c r="AP5066" s="14"/>
      <c r="AQ5066" s="14"/>
      <c r="AR5066" s="14"/>
      <c r="AS5066" s="14"/>
      <c r="AT5066" s="14"/>
      <c r="AU5066" s="14"/>
      <c r="AV5066" s="14"/>
      <c r="AW5066" s="15">
        <f t="shared" si="684"/>
        <v>0</v>
      </c>
      <c r="AX5066" s="16"/>
    </row>
    <row r="5067" spans="2:50" x14ac:dyDescent="0.2">
      <c r="B5067" s="7"/>
      <c r="C5067" s="8">
        <v>15282</v>
      </c>
      <c r="D5067" s="9" t="s">
        <v>512</v>
      </c>
      <c r="E5067" s="10" t="str">
        <f t="shared" si="695"/>
        <v>Rancho Landero No. 35</v>
      </c>
      <c r="F5067" s="10" t="str">
        <f t="shared" si="696"/>
        <v>Loperena</v>
      </c>
      <c r="G5067" s="8">
        <v>5</v>
      </c>
      <c r="H5067" s="11">
        <v>50</v>
      </c>
      <c r="I5067" s="12">
        <v>43037</v>
      </c>
      <c r="J5067" s="35">
        <f t="shared" si="683"/>
        <v>0</v>
      </c>
      <c r="K5067" s="36"/>
      <c r="L5067" s="36"/>
      <c r="M5067" s="36"/>
      <c r="N5067" s="36"/>
      <c r="O5067" s="36"/>
      <c r="P5067" s="36"/>
      <c r="Q5067" s="36"/>
      <c r="R5067" s="36"/>
      <c r="S5067" s="36"/>
      <c r="T5067" s="36"/>
      <c r="U5067" s="36"/>
      <c r="V5067" s="36"/>
      <c r="W5067" s="15">
        <f t="shared" si="691"/>
        <v>0</v>
      </c>
      <c r="X5067" s="36"/>
      <c r="Y5067" s="36"/>
      <c r="Z5067" s="36"/>
      <c r="AA5067" s="36"/>
      <c r="AB5067" s="36"/>
      <c r="AC5067" s="36"/>
      <c r="AD5067" s="36"/>
      <c r="AE5067" s="36"/>
      <c r="AF5067" s="36"/>
      <c r="AG5067" s="36"/>
      <c r="AH5067" s="36"/>
      <c r="AI5067" s="36"/>
      <c r="AJ5067" s="15">
        <f t="shared" si="692"/>
        <v>0</v>
      </c>
      <c r="AK5067" s="14"/>
      <c r="AL5067" s="14"/>
      <c r="AM5067" s="14"/>
      <c r="AN5067" s="14"/>
      <c r="AO5067" s="14"/>
      <c r="AP5067" s="14"/>
      <c r="AQ5067" s="14"/>
      <c r="AR5067" s="14"/>
      <c r="AS5067" s="14"/>
      <c r="AT5067" s="14"/>
      <c r="AU5067" s="14"/>
      <c r="AV5067" s="14"/>
      <c r="AW5067" s="15">
        <f t="shared" si="684"/>
        <v>0</v>
      </c>
      <c r="AX5067" s="16"/>
    </row>
    <row r="5068" spans="2:50" x14ac:dyDescent="0.2">
      <c r="B5068" s="7"/>
      <c r="C5068" s="8">
        <v>15283</v>
      </c>
      <c r="D5068" s="9" t="s">
        <v>62</v>
      </c>
      <c r="E5068" s="10" t="str">
        <f t="shared" si="695"/>
        <v>Rancho Romeral No. 10, A</v>
      </c>
      <c r="F5068" s="10" t="str">
        <f t="shared" si="696"/>
        <v>Casillas Álvarez</v>
      </c>
      <c r="G5068" s="8">
        <v>1</v>
      </c>
      <c r="H5068" s="11">
        <v>200</v>
      </c>
      <c r="I5068" s="12">
        <v>43037</v>
      </c>
      <c r="J5068" s="35">
        <f t="shared" si="683"/>
        <v>0</v>
      </c>
      <c r="K5068" s="36"/>
      <c r="L5068" s="36"/>
      <c r="M5068" s="36"/>
      <c r="N5068" s="36"/>
      <c r="O5068" s="36"/>
      <c r="P5068" s="36"/>
      <c r="Q5068" s="36"/>
      <c r="R5068" s="36"/>
      <c r="S5068" s="36"/>
      <c r="T5068" s="36"/>
      <c r="U5068" s="36"/>
      <c r="V5068" s="36"/>
      <c r="W5068" s="15">
        <f t="shared" si="691"/>
        <v>0</v>
      </c>
      <c r="X5068" s="36"/>
      <c r="Y5068" s="36"/>
      <c r="Z5068" s="36"/>
      <c r="AA5068" s="36"/>
      <c r="AB5068" s="36"/>
      <c r="AC5068" s="36"/>
      <c r="AD5068" s="36"/>
      <c r="AE5068" s="36"/>
      <c r="AF5068" s="36"/>
      <c r="AG5068" s="36"/>
      <c r="AH5068" s="36">
        <v>200</v>
      </c>
      <c r="AI5068" s="36"/>
      <c r="AJ5068" s="15">
        <f t="shared" si="692"/>
        <v>200</v>
      </c>
      <c r="AK5068" s="14"/>
      <c r="AL5068" s="14"/>
      <c r="AM5068" s="14"/>
      <c r="AN5068" s="14"/>
      <c r="AO5068" s="14"/>
      <c r="AP5068" s="14"/>
      <c r="AQ5068" s="14"/>
      <c r="AR5068" s="14"/>
      <c r="AS5068" s="14"/>
      <c r="AT5068" s="14"/>
      <c r="AU5068" s="14"/>
      <c r="AV5068" s="14"/>
      <c r="AW5068" s="15">
        <f t="shared" si="684"/>
        <v>0</v>
      </c>
      <c r="AX5068" s="16"/>
    </row>
    <row r="5069" spans="2:50" x14ac:dyDescent="0.2">
      <c r="B5069" s="7"/>
      <c r="C5069" s="8">
        <v>15284</v>
      </c>
      <c r="D5069" s="9" t="s">
        <v>437</v>
      </c>
      <c r="E5069" s="10" t="str">
        <f t="shared" si="695"/>
        <v>Rancho Upácuaro No. 47</v>
      </c>
      <c r="F5069" s="10" t="str">
        <f t="shared" si="696"/>
        <v>Flores Muñoz</v>
      </c>
      <c r="G5069" s="8">
        <v>1</v>
      </c>
      <c r="H5069" s="11">
        <v>800</v>
      </c>
      <c r="I5069" s="12">
        <v>43037</v>
      </c>
      <c r="J5069" s="35">
        <f t="shared" si="683"/>
        <v>0</v>
      </c>
      <c r="K5069" s="36"/>
      <c r="L5069" s="36"/>
      <c r="M5069" s="36"/>
      <c r="N5069" s="36"/>
      <c r="O5069" s="36"/>
      <c r="P5069" s="36"/>
      <c r="Q5069" s="36"/>
      <c r="R5069" s="36"/>
      <c r="S5069" s="36"/>
      <c r="T5069" s="36"/>
      <c r="U5069" s="36"/>
      <c r="V5069" s="36"/>
      <c r="W5069" s="15">
        <f t="shared" si="691"/>
        <v>0</v>
      </c>
      <c r="X5069" s="36"/>
      <c r="Y5069" s="36"/>
      <c r="Z5069" s="36"/>
      <c r="AA5069" s="36"/>
      <c r="AB5069" s="36"/>
      <c r="AC5069" s="36"/>
      <c r="AD5069" s="36"/>
      <c r="AE5069" s="36"/>
      <c r="AF5069" s="36"/>
      <c r="AG5069" s="36">
        <v>400</v>
      </c>
      <c r="AH5069" s="36">
        <v>400</v>
      </c>
      <c r="AI5069" s="36"/>
      <c r="AJ5069" s="15">
        <f t="shared" si="692"/>
        <v>800</v>
      </c>
      <c r="AK5069" s="14"/>
      <c r="AL5069" s="14"/>
      <c r="AM5069" s="14"/>
      <c r="AN5069" s="14"/>
      <c r="AO5069" s="14"/>
      <c r="AP5069" s="14"/>
      <c r="AQ5069" s="14"/>
      <c r="AR5069" s="14"/>
      <c r="AS5069" s="14"/>
      <c r="AT5069" s="14"/>
      <c r="AU5069" s="14"/>
      <c r="AV5069" s="14"/>
      <c r="AW5069" s="15">
        <f t="shared" si="684"/>
        <v>0</v>
      </c>
      <c r="AX5069" s="16"/>
    </row>
    <row r="5070" spans="2:50" x14ac:dyDescent="0.2">
      <c r="B5070" s="7"/>
      <c r="C5070" s="8">
        <v>15285</v>
      </c>
      <c r="D5070" s="9" t="s">
        <v>316</v>
      </c>
      <c r="E5070" s="10" t="str">
        <f t="shared" si="695"/>
        <v>Rancho Estanzuela No. 147, 1</v>
      </c>
      <c r="F5070" s="10" t="str">
        <f t="shared" si="696"/>
        <v>De la Rosa Enrique</v>
      </c>
      <c r="G5070" s="8">
        <v>1</v>
      </c>
      <c r="H5070" s="11">
        <v>600</v>
      </c>
      <c r="I5070" s="12">
        <v>43037</v>
      </c>
      <c r="J5070" s="35">
        <f t="shared" si="683"/>
        <v>0</v>
      </c>
      <c r="K5070" s="36"/>
      <c r="L5070" s="36"/>
      <c r="M5070" s="36"/>
      <c r="N5070" s="36"/>
      <c r="O5070" s="36"/>
      <c r="P5070" s="36"/>
      <c r="Q5070" s="36"/>
      <c r="R5070" s="36"/>
      <c r="S5070" s="36"/>
      <c r="T5070" s="36"/>
      <c r="U5070" s="36"/>
      <c r="V5070" s="36"/>
      <c r="W5070" s="15">
        <f t="shared" si="691"/>
        <v>0</v>
      </c>
      <c r="X5070" s="36"/>
      <c r="Y5070" s="36"/>
      <c r="Z5070" s="36"/>
      <c r="AA5070" s="36"/>
      <c r="AB5070" s="36">
        <v>100</v>
      </c>
      <c r="AC5070" s="36">
        <v>100</v>
      </c>
      <c r="AD5070" s="36">
        <v>100</v>
      </c>
      <c r="AE5070" s="36">
        <v>100</v>
      </c>
      <c r="AF5070" s="36">
        <v>100</v>
      </c>
      <c r="AG5070" s="36">
        <v>100</v>
      </c>
      <c r="AH5070" s="36"/>
      <c r="AI5070" s="36"/>
      <c r="AJ5070" s="15">
        <f t="shared" si="692"/>
        <v>600</v>
      </c>
      <c r="AK5070" s="14"/>
      <c r="AL5070" s="14"/>
      <c r="AM5070" s="14"/>
      <c r="AN5070" s="14"/>
      <c r="AO5070" s="14"/>
      <c r="AP5070" s="14"/>
      <c r="AQ5070" s="14"/>
      <c r="AR5070" s="14"/>
      <c r="AS5070" s="14"/>
      <c r="AT5070" s="14"/>
      <c r="AU5070" s="14"/>
      <c r="AV5070" s="14"/>
      <c r="AW5070" s="15">
        <f t="shared" si="684"/>
        <v>0</v>
      </c>
      <c r="AX5070" s="16"/>
    </row>
    <row r="5071" spans="2:50" x14ac:dyDescent="0.2">
      <c r="B5071" s="7"/>
      <c r="C5071" s="8">
        <v>15286</v>
      </c>
      <c r="D5071" s="9" t="s">
        <v>319</v>
      </c>
      <c r="E5071" s="10" t="str">
        <f t="shared" si="695"/>
        <v>Rancho Estanzuela No. 147, 2</v>
      </c>
      <c r="F5071" s="10" t="str">
        <f t="shared" si="696"/>
        <v>Figueroa</v>
      </c>
      <c r="G5071" s="8">
        <v>1</v>
      </c>
      <c r="H5071" s="11">
        <v>600</v>
      </c>
      <c r="I5071" s="12">
        <v>43037</v>
      </c>
      <c r="J5071" s="35">
        <f t="shared" si="683"/>
        <v>0</v>
      </c>
      <c r="K5071" s="36"/>
      <c r="L5071" s="36"/>
      <c r="M5071" s="36"/>
      <c r="N5071" s="36"/>
      <c r="O5071" s="36"/>
      <c r="P5071" s="36"/>
      <c r="Q5071" s="36"/>
      <c r="R5071" s="36"/>
      <c r="S5071" s="36"/>
      <c r="T5071" s="36"/>
      <c r="U5071" s="36"/>
      <c r="V5071" s="36"/>
      <c r="W5071" s="15">
        <f t="shared" si="691"/>
        <v>0</v>
      </c>
      <c r="X5071" s="36"/>
      <c r="Y5071" s="36"/>
      <c r="Z5071" s="36"/>
      <c r="AA5071" s="36"/>
      <c r="AB5071" s="36">
        <v>100</v>
      </c>
      <c r="AC5071" s="36">
        <v>100</v>
      </c>
      <c r="AD5071" s="36">
        <v>100</v>
      </c>
      <c r="AE5071" s="36">
        <v>100</v>
      </c>
      <c r="AF5071" s="36">
        <v>100</v>
      </c>
      <c r="AG5071" s="36">
        <v>100</v>
      </c>
      <c r="AH5071" s="36"/>
      <c r="AI5071" s="36"/>
      <c r="AJ5071" s="15">
        <f t="shared" si="692"/>
        <v>600</v>
      </c>
      <c r="AK5071" s="14"/>
      <c r="AL5071" s="14"/>
      <c r="AM5071" s="14"/>
      <c r="AN5071" s="14"/>
      <c r="AO5071" s="14"/>
      <c r="AP5071" s="14"/>
      <c r="AQ5071" s="14"/>
      <c r="AR5071" s="14"/>
      <c r="AS5071" s="14"/>
      <c r="AT5071" s="14"/>
      <c r="AU5071" s="14"/>
      <c r="AV5071" s="14"/>
      <c r="AW5071" s="15">
        <f t="shared" si="684"/>
        <v>0</v>
      </c>
      <c r="AX5071" s="16"/>
    </row>
    <row r="5072" spans="2:50" x14ac:dyDescent="0.2">
      <c r="B5072" s="7"/>
      <c r="C5072" s="8">
        <v>15287</v>
      </c>
      <c r="D5072" s="9" t="s">
        <v>716</v>
      </c>
      <c r="E5072" s="10" t="str">
        <f t="shared" si="695"/>
        <v>Rancho Landero No. 20</v>
      </c>
      <c r="F5072" s="10" t="str">
        <f t="shared" si="696"/>
        <v>Velasco</v>
      </c>
      <c r="G5072" s="8">
        <v>5</v>
      </c>
      <c r="H5072" s="11">
        <v>100</v>
      </c>
      <c r="I5072" s="12">
        <v>43037</v>
      </c>
      <c r="J5072" s="35">
        <f t="shared" si="683"/>
        <v>0</v>
      </c>
      <c r="K5072" s="36"/>
      <c r="L5072" s="36"/>
      <c r="M5072" s="36"/>
      <c r="N5072" s="36"/>
      <c r="O5072" s="36"/>
      <c r="P5072" s="36"/>
      <c r="Q5072" s="36"/>
      <c r="R5072" s="36"/>
      <c r="S5072" s="36"/>
      <c r="T5072" s="36"/>
      <c r="U5072" s="36"/>
      <c r="V5072" s="36"/>
      <c r="W5072" s="15">
        <f t="shared" si="691"/>
        <v>0</v>
      </c>
      <c r="X5072" s="36"/>
      <c r="Y5072" s="36"/>
      <c r="Z5072" s="36"/>
      <c r="AA5072" s="36"/>
      <c r="AB5072" s="36"/>
      <c r="AC5072" s="36"/>
      <c r="AD5072" s="36"/>
      <c r="AE5072" s="36"/>
      <c r="AF5072" s="36"/>
      <c r="AG5072" s="36"/>
      <c r="AH5072" s="36"/>
      <c r="AI5072" s="36"/>
      <c r="AJ5072" s="15">
        <f t="shared" si="692"/>
        <v>0</v>
      </c>
      <c r="AK5072" s="14"/>
      <c r="AL5072" s="14"/>
      <c r="AM5072" s="14"/>
      <c r="AN5072" s="14"/>
      <c r="AO5072" s="14"/>
      <c r="AP5072" s="14"/>
      <c r="AQ5072" s="14"/>
      <c r="AR5072" s="14"/>
      <c r="AS5072" s="14"/>
      <c r="AT5072" s="14"/>
      <c r="AU5072" s="14"/>
      <c r="AV5072" s="14"/>
      <c r="AW5072" s="15">
        <f t="shared" si="684"/>
        <v>0</v>
      </c>
      <c r="AX5072" s="16"/>
    </row>
    <row r="5073" spans="2:51" x14ac:dyDescent="0.2">
      <c r="B5073" s="7"/>
      <c r="C5073" s="8">
        <v>15288</v>
      </c>
      <c r="D5073" s="9" t="s">
        <v>652</v>
      </c>
      <c r="E5073" s="10" t="str">
        <f t="shared" si="695"/>
        <v>Rancho Zinamba No. 74</v>
      </c>
      <c r="F5073" s="10" t="str">
        <f t="shared" si="696"/>
        <v>García Castellanos</v>
      </c>
      <c r="G5073" s="8">
        <v>1</v>
      </c>
      <c r="H5073" s="11">
        <v>400</v>
      </c>
      <c r="I5073" s="12">
        <v>43037</v>
      </c>
      <c r="J5073" s="35">
        <f t="shared" si="683"/>
        <v>0</v>
      </c>
      <c r="K5073" s="36"/>
      <c r="L5073" s="36"/>
      <c r="M5073" s="36"/>
      <c r="N5073" s="36"/>
      <c r="O5073" s="36"/>
      <c r="P5073" s="36"/>
      <c r="Q5073" s="36"/>
      <c r="R5073" s="36"/>
      <c r="S5073" s="36"/>
      <c r="T5073" s="36"/>
      <c r="U5073" s="36"/>
      <c r="V5073" s="36"/>
      <c r="W5073" s="15">
        <f t="shared" si="691"/>
        <v>0</v>
      </c>
      <c r="X5073" s="36"/>
      <c r="Y5073" s="36"/>
      <c r="Z5073" s="36"/>
      <c r="AA5073" s="36"/>
      <c r="AB5073" s="36"/>
      <c r="AC5073" s="36"/>
      <c r="AD5073" s="36">
        <v>400</v>
      </c>
      <c r="AE5073" s="36"/>
      <c r="AF5073" s="36"/>
      <c r="AG5073" s="36"/>
      <c r="AH5073" s="36"/>
      <c r="AI5073" s="36"/>
      <c r="AJ5073" s="15">
        <f t="shared" si="692"/>
        <v>400</v>
      </c>
      <c r="AK5073" s="14"/>
      <c r="AL5073" s="14"/>
      <c r="AM5073" s="14"/>
      <c r="AN5073" s="14"/>
      <c r="AO5073" s="14"/>
      <c r="AP5073" s="14"/>
      <c r="AQ5073" s="14"/>
      <c r="AR5073" s="14"/>
      <c r="AS5073" s="14"/>
      <c r="AT5073" s="14"/>
      <c r="AU5073" s="14"/>
      <c r="AV5073" s="14"/>
      <c r="AW5073" s="15">
        <f t="shared" si="684"/>
        <v>0</v>
      </c>
      <c r="AX5073" s="16"/>
    </row>
    <row r="5074" spans="2:51" x14ac:dyDescent="0.2">
      <c r="B5074" s="7"/>
      <c r="C5074" s="8">
        <v>15289</v>
      </c>
      <c r="D5074" s="9" t="s">
        <v>58</v>
      </c>
      <c r="E5074" s="10" t="str">
        <f t="shared" si="695"/>
        <v>Rancho Landero No. 19</v>
      </c>
      <c r="F5074" s="10" t="str">
        <f t="shared" si="696"/>
        <v>Becerril Amaya</v>
      </c>
      <c r="G5074" s="8">
        <v>1</v>
      </c>
      <c r="H5074" s="11">
        <v>900</v>
      </c>
      <c r="I5074" s="12">
        <v>43037</v>
      </c>
      <c r="J5074" s="35">
        <f t="shared" si="683"/>
        <v>0</v>
      </c>
      <c r="K5074" s="36"/>
      <c r="L5074" s="36"/>
      <c r="M5074" s="36"/>
      <c r="N5074" s="36"/>
      <c r="O5074" s="36"/>
      <c r="P5074" s="36"/>
      <c r="Q5074" s="36"/>
      <c r="R5074" s="36"/>
      <c r="S5074" s="36"/>
      <c r="T5074" s="36"/>
      <c r="U5074" s="36"/>
      <c r="V5074" s="36"/>
      <c r="W5074" s="15">
        <f t="shared" si="691"/>
        <v>0</v>
      </c>
      <c r="X5074" s="36"/>
      <c r="Y5074" s="36"/>
      <c r="Z5074" s="36"/>
      <c r="AA5074" s="36"/>
      <c r="AB5074" s="36"/>
      <c r="AC5074" s="36"/>
      <c r="AD5074" s="36"/>
      <c r="AE5074" s="36">
        <v>300</v>
      </c>
      <c r="AF5074" s="36">
        <v>300</v>
      </c>
      <c r="AG5074" s="36">
        <v>300</v>
      </c>
      <c r="AH5074" s="36"/>
      <c r="AI5074" s="36"/>
      <c r="AJ5074" s="15">
        <f t="shared" si="692"/>
        <v>900</v>
      </c>
      <c r="AK5074" s="14"/>
      <c r="AL5074" s="14"/>
      <c r="AM5074" s="14"/>
      <c r="AN5074" s="14"/>
      <c r="AO5074" s="14"/>
      <c r="AP5074" s="14"/>
      <c r="AQ5074" s="14"/>
      <c r="AR5074" s="14"/>
      <c r="AS5074" s="14"/>
      <c r="AT5074" s="14"/>
      <c r="AU5074" s="14"/>
      <c r="AV5074" s="14"/>
      <c r="AW5074" s="15">
        <f t="shared" si="684"/>
        <v>0</v>
      </c>
      <c r="AX5074" s="16"/>
    </row>
    <row r="5075" spans="2:51" x14ac:dyDescent="0.2">
      <c r="B5075" s="7"/>
      <c r="C5075" s="8">
        <v>15290</v>
      </c>
      <c r="D5075" s="9" t="s">
        <v>132</v>
      </c>
      <c r="E5075" s="10" t="str">
        <f t="shared" si="695"/>
        <v>Rancho La Cuchilla No. 129</v>
      </c>
      <c r="F5075" s="10" t="str">
        <f t="shared" si="696"/>
        <v>Gamboa Rueda</v>
      </c>
      <c r="G5075" s="8">
        <v>1</v>
      </c>
      <c r="H5075" s="11">
        <v>200</v>
      </c>
      <c r="I5075" s="12">
        <v>43037</v>
      </c>
      <c r="J5075" s="35">
        <f t="shared" si="683"/>
        <v>0</v>
      </c>
      <c r="K5075" s="36"/>
      <c r="L5075" s="36"/>
      <c r="M5075" s="36"/>
      <c r="N5075" s="36"/>
      <c r="O5075" s="36"/>
      <c r="P5075" s="36"/>
      <c r="Q5075" s="36"/>
      <c r="R5075" s="36"/>
      <c r="S5075" s="36"/>
      <c r="T5075" s="36"/>
      <c r="U5075" s="36"/>
      <c r="V5075" s="36"/>
      <c r="W5075" s="15">
        <f t="shared" si="691"/>
        <v>0</v>
      </c>
      <c r="X5075" s="36"/>
      <c r="Y5075" s="36"/>
      <c r="Z5075" s="36"/>
      <c r="AA5075" s="36"/>
      <c r="AB5075" s="36"/>
      <c r="AC5075" s="36"/>
      <c r="AD5075" s="36"/>
      <c r="AE5075" s="36"/>
      <c r="AF5075" s="36"/>
      <c r="AG5075" s="36">
        <v>200</v>
      </c>
      <c r="AH5075" s="36"/>
      <c r="AI5075" s="36"/>
      <c r="AJ5075" s="15">
        <f t="shared" si="692"/>
        <v>200</v>
      </c>
      <c r="AK5075" s="14"/>
      <c r="AL5075" s="14"/>
      <c r="AM5075" s="14"/>
      <c r="AN5075" s="14"/>
      <c r="AO5075" s="14"/>
      <c r="AP5075" s="14"/>
      <c r="AQ5075" s="14"/>
      <c r="AR5075" s="14"/>
      <c r="AS5075" s="14"/>
      <c r="AT5075" s="14"/>
      <c r="AU5075" s="14"/>
      <c r="AV5075" s="14"/>
      <c r="AW5075" s="15">
        <f t="shared" si="684"/>
        <v>0</v>
      </c>
      <c r="AX5075" s="16"/>
    </row>
    <row r="5076" spans="2:51" x14ac:dyDescent="0.2">
      <c r="B5076" s="7"/>
      <c r="C5076" s="8">
        <v>15291</v>
      </c>
      <c r="D5076" s="9" t="s">
        <v>165</v>
      </c>
      <c r="E5076" s="10" t="str">
        <f t="shared" si="695"/>
        <v>Rancho Upácuaro No. 23</v>
      </c>
      <c r="F5076" s="10" t="str">
        <f t="shared" si="696"/>
        <v>Gutièrrez Muñòz</v>
      </c>
      <c r="G5076" s="8">
        <v>4</v>
      </c>
      <c r="H5076" s="11">
        <v>400</v>
      </c>
      <c r="I5076" s="12">
        <v>43037</v>
      </c>
      <c r="J5076" s="35">
        <f t="shared" si="683"/>
        <v>0</v>
      </c>
      <c r="K5076" s="36"/>
      <c r="L5076" s="36"/>
      <c r="M5076" s="36"/>
      <c r="N5076" s="36"/>
      <c r="O5076" s="36"/>
      <c r="P5076" s="36"/>
      <c r="Q5076" s="36"/>
      <c r="R5076" s="36"/>
      <c r="S5076" s="36"/>
      <c r="T5076" s="36"/>
      <c r="U5076" s="36"/>
      <c r="V5076" s="36"/>
      <c r="W5076" s="15">
        <f t="shared" si="691"/>
        <v>0</v>
      </c>
      <c r="X5076" s="36"/>
      <c r="Y5076" s="36"/>
      <c r="Z5076" s="36"/>
      <c r="AA5076" s="36"/>
      <c r="AB5076" s="36"/>
      <c r="AC5076" s="36"/>
      <c r="AD5076" s="36"/>
      <c r="AE5076" s="36"/>
      <c r="AF5076" s="36"/>
      <c r="AG5076" s="36"/>
      <c r="AH5076" s="36"/>
      <c r="AI5076" s="36"/>
      <c r="AJ5076" s="15">
        <f t="shared" si="692"/>
        <v>0</v>
      </c>
      <c r="AK5076" s="14"/>
      <c r="AL5076" s="14"/>
      <c r="AM5076" s="14"/>
      <c r="AN5076" s="14"/>
      <c r="AO5076" s="14"/>
      <c r="AP5076" s="14"/>
      <c r="AQ5076" s="14"/>
      <c r="AR5076" s="14"/>
      <c r="AS5076" s="14"/>
      <c r="AT5076" s="14"/>
      <c r="AU5076" s="14"/>
      <c r="AV5076" s="14"/>
      <c r="AW5076" s="15">
        <f t="shared" si="684"/>
        <v>0</v>
      </c>
      <c r="AX5076" s="16" t="s">
        <v>4648</v>
      </c>
    </row>
    <row r="5077" spans="2:51" x14ac:dyDescent="0.2">
      <c r="B5077" s="7"/>
      <c r="C5077" s="8">
        <v>15292</v>
      </c>
      <c r="D5077" s="9" t="s">
        <v>126</v>
      </c>
      <c r="E5077" s="10" t="str">
        <f t="shared" si="695"/>
        <v>Rancho Estanzuela No. 65</v>
      </c>
      <c r="F5077" s="10" t="str">
        <f t="shared" si="696"/>
        <v>López Becerril</v>
      </c>
      <c r="G5077" s="8">
        <v>1</v>
      </c>
      <c r="H5077" s="11">
        <v>800</v>
      </c>
      <c r="I5077" s="12">
        <v>43037</v>
      </c>
      <c r="J5077" s="35">
        <f t="shared" si="683"/>
        <v>0</v>
      </c>
      <c r="K5077" s="36"/>
      <c r="L5077" s="36"/>
      <c r="M5077" s="36"/>
      <c r="N5077" s="36"/>
      <c r="O5077" s="36"/>
      <c r="P5077" s="36"/>
      <c r="Q5077" s="36"/>
      <c r="R5077" s="36"/>
      <c r="S5077" s="36"/>
      <c r="T5077" s="36"/>
      <c r="U5077" s="36"/>
      <c r="V5077" s="36"/>
      <c r="W5077" s="15">
        <f t="shared" si="691"/>
        <v>0</v>
      </c>
      <c r="X5077" s="36"/>
      <c r="Y5077" s="36"/>
      <c r="Z5077" s="36"/>
      <c r="AA5077" s="36"/>
      <c r="AB5077" s="36"/>
      <c r="AC5077" s="36"/>
      <c r="AD5077" s="36"/>
      <c r="AE5077" s="36"/>
      <c r="AF5077" s="36"/>
      <c r="AG5077" s="36">
        <v>400</v>
      </c>
      <c r="AH5077" s="36">
        <v>400</v>
      </c>
      <c r="AI5077" s="36"/>
      <c r="AJ5077" s="15">
        <f t="shared" si="692"/>
        <v>800</v>
      </c>
      <c r="AK5077" s="14"/>
      <c r="AL5077" s="14"/>
      <c r="AM5077" s="14"/>
      <c r="AN5077" s="14"/>
      <c r="AO5077" s="14"/>
      <c r="AP5077" s="14"/>
      <c r="AQ5077" s="14"/>
      <c r="AR5077" s="14"/>
      <c r="AS5077" s="14"/>
      <c r="AT5077" s="14"/>
      <c r="AU5077" s="14"/>
      <c r="AV5077" s="14"/>
      <c r="AW5077" s="15">
        <f t="shared" si="684"/>
        <v>0</v>
      </c>
      <c r="AX5077" s="16"/>
    </row>
    <row r="5078" spans="2:51" x14ac:dyDescent="0.2">
      <c r="B5078" s="7"/>
      <c r="C5078" s="8">
        <v>15293</v>
      </c>
      <c r="D5078" s="9" t="s">
        <v>625</v>
      </c>
      <c r="E5078" s="10" t="str">
        <f t="shared" si="695"/>
        <v>Rancho Upácuaro No. 60</v>
      </c>
      <c r="F5078" s="10" t="str">
        <f t="shared" si="696"/>
        <v>Zavala</v>
      </c>
      <c r="G5078" s="8">
        <v>1</v>
      </c>
      <c r="H5078" s="11">
        <v>400</v>
      </c>
      <c r="I5078" s="12">
        <v>43037</v>
      </c>
      <c r="J5078" s="35">
        <f t="shared" si="683"/>
        <v>0</v>
      </c>
      <c r="K5078" s="36"/>
      <c r="L5078" s="36"/>
      <c r="M5078" s="36"/>
      <c r="N5078" s="36"/>
      <c r="O5078" s="36"/>
      <c r="P5078" s="36"/>
      <c r="Q5078" s="36"/>
      <c r="R5078" s="36"/>
      <c r="S5078" s="36"/>
      <c r="T5078" s="36"/>
      <c r="U5078" s="36"/>
      <c r="V5078" s="36"/>
      <c r="W5078" s="15">
        <f t="shared" si="691"/>
        <v>0</v>
      </c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>
        <v>400</v>
      </c>
      <c r="AH5078" s="36"/>
      <c r="AI5078" s="36"/>
      <c r="AJ5078" s="15">
        <f t="shared" si="692"/>
        <v>400</v>
      </c>
      <c r="AK5078" s="14"/>
      <c r="AL5078" s="14"/>
      <c r="AM5078" s="14"/>
      <c r="AN5078" s="14"/>
      <c r="AO5078" s="14"/>
      <c r="AP5078" s="14"/>
      <c r="AQ5078" s="14"/>
      <c r="AR5078" s="14"/>
      <c r="AS5078" s="14"/>
      <c r="AT5078" s="14"/>
      <c r="AU5078" s="14"/>
      <c r="AV5078" s="14"/>
      <c r="AW5078" s="15">
        <f t="shared" si="684"/>
        <v>0</v>
      </c>
      <c r="AX5078" s="16"/>
    </row>
    <row r="5079" spans="2:51" x14ac:dyDescent="0.2">
      <c r="B5079" s="7"/>
      <c r="C5079" s="8">
        <v>15294</v>
      </c>
      <c r="D5079" s="9" t="s">
        <v>177</v>
      </c>
      <c r="E5079" s="10" t="str">
        <f t="shared" si="695"/>
        <v>Rancho Landero No. 71</v>
      </c>
      <c r="F5079" s="10" t="str">
        <f t="shared" si="696"/>
        <v xml:space="preserve">Luna  </v>
      </c>
      <c r="G5079" s="8">
        <v>1</v>
      </c>
      <c r="H5079" s="11">
        <v>400</v>
      </c>
      <c r="I5079" s="12">
        <v>43037</v>
      </c>
      <c r="J5079" s="35">
        <f t="shared" si="683"/>
        <v>0</v>
      </c>
      <c r="K5079" s="36"/>
      <c r="L5079" s="36"/>
      <c r="M5079" s="36"/>
      <c r="N5079" s="36"/>
      <c r="O5079" s="36"/>
      <c r="P5079" s="36"/>
      <c r="Q5079" s="36"/>
      <c r="R5079" s="36"/>
      <c r="S5079" s="36"/>
      <c r="T5079" s="36"/>
      <c r="U5079" s="36"/>
      <c r="V5079" s="36"/>
      <c r="W5079" s="15">
        <f t="shared" si="691"/>
        <v>0</v>
      </c>
      <c r="X5079" s="36"/>
      <c r="Y5079" s="36"/>
      <c r="Z5079" s="36"/>
      <c r="AA5079" s="36"/>
      <c r="AB5079" s="36"/>
      <c r="AC5079" s="36"/>
      <c r="AD5079" s="36"/>
      <c r="AE5079" s="36"/>
      <c r="AF5079" s="36"/>
      <c r="AG5079" s="36">
        <v>400</v>
      </c>
      <c r="AH5079" s="36"/>
      <c r="AI5079" s="36"/>
      <c r="AJ5079" s="15">
        <f t="shared" si="692"/>
        <v>400</v>
      </c>
      <c r="AK5079" s="14"/>
      <c r="AL5079" s="14"/>
      <c r="AM5079" s="14"/>
      <c r="AN5079" s="14"/>
      <c r="AO5079" s="14"/>
      <c r="AP5079" s="14"/>
      <c r="AQ5079" s="14"/>
      <c r="AR5079" s="14"/>
      <c r="AS5079" s="14"/>
      <c r="AT5079" s="14"/>
      <c r="AU5079" s="14"/>
      <c r="AV5079" s="14"/>
      <c r="AW5079" s="15">
        <f t="shared" si="684"/>
        <v>0</v>
      </c>
      <c r="AX5079" s="16"/>
    </row>
    <row r="5080" spans="2:51" x14ac:dyDescent="0.2">
      <c r="B5080" s="7"/>
      <c r="C5080" s="8">
        <v>15295</v>
      </c>
      <c r="D5080" s="9" t="s">
        <v>162</v>
      </c>
      <c r="E5080" s="10" t="str">
        <f t="shared" si="695"/>
        <v>Rancho La Cuchilla No. 20</v>
      </c>
      <c r="F5080" s="10" t="str">
        <f t="shared" si="696"/>
        <v>Sánchez López</v>
      </c>
      <c r="G5080" s="8">
        <v>1</v>
      </c>
      <c r="H5080" s="11">
        <v>800</v>
      </c>
      <c r="I5080" s="12">
        <v>43037</v>
      </c>
      <c r="J5080" s="35">
        <f t="shared" si="683"/>
        <v>0</v>
      </c>
      <c r="K5080" s="36"/>
      <c r="L5080" s="36"/>
      <c r="M5080" s="36"/>
      <c r="N5080" s="36"/>
      <c r="O5080" s="36"/>
      <c r="P5080" s="36"/>
      <c r="Q5080" s="36"/>
      <c r="R5080" s="36"/>
      <c r="S5080" s="36"/>
      <c r="T5080" s="36"/>
      <c r="U5080" s="36"/>
      <c r="V5080" s="36"/>
      <c r="W5080" s="15">
        <f t="shared" si="691"/>
        <v>0</v>
      </c>
      <c r="X5080" s="36"/>
      <c r="Y5080" s="36"/>
      <c r="Z5080" s="36"/>
      <c r="AA5080" s="36"/>
      <c r="AB5080" s="36"/>
      <c r="AC5080" s="36"/>
      <c r="AD5080" s="36"/>
      <c r="AE5080" s="36"/>
      <c r="AF5080" s="36"/>
      <c r="AG5080" s="36"/>
      <c r="AH5080" s="36">
        <v>400</v>
      </c>
      <c r="AI5080" s="36">
        <v>400</v>
      </c>
      <c r="AJ5080" s="15">
        <f t="shared" si="692"/>
        <v>800</v>
      </c>
      <c r="AK5080" s="14"/>
      <c r="AL5080" s="14"/>
      <c r="AM5080" s="14"/>
      <c r="AN5080" s="14"/>
      <c r="AO5080" s="14"/>
      <c r="AP5080" s="14"/>
      <c r="AQ5080" s="14"/>
      <c r="AR5080" s="14"/>
      <c r="AS5080" s="14"/>
      <c r="AT5080" s="14"/>
      <c r="AU5080" s="14"/>
      <c r="AV5080" s="14"/>
      <c r="AW5080" s="15">
        <f t="shared" si="684"/>
        <v>0</v>
      </c>
      <c r="AX5080" s="16"/>
    </row>
    <row r="5081" spans="2:51" x14ac:dyDescent="0.2">
      <c r="B5081" s="7"/>
      <c r="C5081" s="8">
        <v>15296</v>
      </c>
      <c r="D5081" s="9" t="s">
        <v>103</v>
      </c>
      <c r="E5081" s="10" t="str">
        <f t="shared" si="695"/>
        <v>Rancho La Cuchilla No. 41</v>
      </c>
      <c r="F5081" s="10" t="str">
        <f t="shared" si="696"/>
        <v>Arriaga Lemus</v>
      </c>
      <c r="G5081" s="8">
        <v>1</v>
      </c>
      <c r="H5081" s="11">
        <v>400</v>
      </c>
      <c r="I5081" s="12">
        <v>43037</v>
      </c>
      <c r="J5081" s="35">
        <f t="shared" si="683"/>
        <v>0</v>
      </c>
      <c r="K5081" s="36"/>
      <c r="L5081" s="36"/>
      <c r="M5081" s="36"/>
      <c r="N5081" s="36"/>
      <c r="O5081" s="36"/>
      <c r="P5081" s="36"/>
      <c r="Q5081" s="36"/>
      <c r="R5081" s="36"/>
      <c r="S5081" s="36"/>
      <c r="T5081" s="36"/>
      <c r="U5081" s="36"/>
      <c r="V5081" s="36"/>
      <c r="W5081" s="15">
        <f t="shared" si="691"/>
        <v>0</v>
      </c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>
        <v>400</v>
      </c>
      <c r="AH5081" s="36"/>
      <c r="AI5081" s="36"/>
      <c r="AJ5081" s="15">
        <f t="shared" si="692"/>
        <v>400</v>
      </c>
      <c r="AK5081" s="14"/>
      <c r="AL5081" s="14"/>
      <c r="AM5081" s="14"/>
      <c r="AN5081" s="14"/>
      <c r="AO5081" s="14"/>
      <c r="AP5081" s="14"/>
      <c r="AQ5081" s="14"/>
      <c r="AR5081" s="14"/>
      <c r="AS5081" s="14"/>
      <c r="AT5081" s="14"/>
      <c r="AU5081" s="14"/>
      <c r="AV5081" s="14"/>
      <c r="AW5081" s="15">
        <f t="shared" ref="AW5081:AW5097" si="697">SUM(AK5081:AV5081)</f>
        <v>0</v>
      </c>
      <c r="AX5081" s="16"/>
    </row>
    <row r="5082" spans="2:51" x14ac:dyDescent="0.2">
      <c r="B5082" s="7"/>
      <c r="C5082" s="8">
        <v>15297</v>
      </c>
      <c r="D5082" s="9" t="s">
        <v>235</v>
      </c>
      <c r="E5082" s="10" t="str">
        <f t="shared" ref="E5082:E5088" si="698">IF(D5082=0,"",VLOOKUP(D5082,BASE,2,FALSE))</f>
        <v>Rancho La Cuchilla No. 43, A</v>
      </c>
      <c r="F5082" s="10" t="str">
        <f t="shared" ref="F5082:F5088" si="699">IF(D5082=0,"",VLOOKUP(D5082,BASE,3,FALSE))</f>
        <v>De la Rosa</v>
      </c>
      <c r="G5082" s="8">
        <v>1</v>
      </c>
      <c r="H5082" s="11">
        <v>400</v>
      </c>
      <c r="I5082" s="12">
        <v>43037</v>
      </c>
      <c r="J5082" s="35">
        <f t="shared" si="683"/>
        <v>0</v>
      </c>
      <c r="K5082" s="36"/>
      <c r="L5082" s="36"/>
      <c r="M5082" s="36"/>
      <c r="N5082" s="36"/>
      <c r="O5082" s="36"/>
      <c r="P5082" s="36"/>
      <c r="Q5082" s="36"/>
      <c r="R5082" s="36"/>
      <c r="S5082" s="36"/>
      <c r="T5082" s="36"/>
      <c r="U5082" s="36"/>
      <c r="V5082" s="36"/>
      <c r="W5082" s="15">
        <f t="shared" si="691"/>
        <v>0</v>
      </c>
      <c r="X5082" s="36"/>
      <c r="Y5082" s="36"/>
      <c r="Z5082" s="36"/>
      <c r="AA5082" s="36"/>
      <c r="AB5082" s="36"/>
      <c r="AC5082" s="36"/>
      <c r="AD5082" s="36"/>
      <c r="AE5082" s="36"/>
      <c r="AF5082" s="36">
        <v>400</v>
      </c>
      <c r="AG5082" s="36"/>
      <c r="AH5082" s="36"/>
      <c r="AI5082" s="36"/>
      <c r="AJ5082" s="15">
        <f t="shared" si="692"/>
        <v>400</v>
      </c>
      <c r="AK5082" s="14"/>
      <c r="AL5082" s="14"/>
      <c r="AM5082" s="14"/>
      <c r="AN5082" s="14"/>
      <c r="AO5082" s="14"/>
      <c r="AP5082" s="14"/>
      <c r="AQ5082" s="14"/>
      <c r="AR5082" s="14"/>
      <c r="AS5082" s="14"/>
      <c r="AT5082" s="14"/>
      <c r="AU5082" s="14"/>
      <c r="AV5082" s="14"/>
      <c r="AW5082" s="15">
        <f t="shared" si="697"/>
        <v>0</v>
      </c>
      <c r="AX5082" s="16"/>
    </row>
    <row r="5083" spans="2:51" x14ac:dyDescent="0.2">
      <c r="B5083" s="7"/>
      <c r="C5083" s="8">
        <v>15298</v>
      </c>
      <c r="D5083" s="9" t="s">
        <v>672</v>
      </c>
      <c r="E5083" s="10" t="str">
        <f t="shared" si="698"/>
        <v>Rancho Estanzuela No. 11, B</v>
      </c>
      <c r="F5083" s="10" t="str">
        <f t="shared" si="699"/>
        <v>Gómez Miguel</v>
      </c>
      <c r="G5083" s="8">
        <v>1</v>
      </c>
      <c r="H5083" s="11">
        <v>600</v>
      </c>
      <c r="I5083" s="12">
        <v>43037</v>
      </c>
      <c r="J5083" s="35">
        <f t="shared" si="683"/>
        <v>0</v>
      </c>
      <c r="K5083" s="36"/>
      <c r="L5083" s="36"/>
      <c r="M5083" s="36"/>
      <c r="N5083" s="36"/>
      <c r="O5083" s="36"/>
      <c r="P5083" s="36"/>
      <c r="Q5083" s="36"/>
      <c r="R5083" s="36"/>
      <c r="S5083" s="36"/>
      <c r="T5083" s="36"/>
      <c r="U5083" s="36"/>
      <c r="V5083" s="36"/>
      <c r="W5083" s="15">
        <f t="shared" si="691"/>
        <v>0</v>
      </c>
      <c r="X5083" s="36"/>
      <c r="Y5083" s="36"/>
      <c r="Z5083" s="36"/>
      <c r="AA5083" s="36"/>
      <c r="AB5083" s="36"/>
      <c r="AC5083" s="36"/>
      <c r="AD5083" s="36"/>
      <c r="AE5083" s="36"/>
      <c r="AF5083" s="36">
        <v>200</v>
      </c>
      <c r="AG5083" s="36">
        <v>200</v>
      </c>
      <c r="AH5083" s="36">
        <v>200</v>
      </c>
      <c r="AI5083" s="36"/>
      <c r="AJ5083" s="15">
        <f t="shared" si="692"/>
        <v>600</v>
      </c>
      <c r="AK5083" s="14"/>
      <c r="AL5083" s="14"/>
      <c r="AM5083" s="14"/>
      <c r="AN5083" s="14"/>
      <c r="AO5083" s="14"/>
      <c r="AP5083" s="14"/>
      <c r="AQ5083" s="14"/>
      <c r="AR5083" s="14"/>
      <c r="AS5083" s="14"/>
      <c r="AT5083" s="14"/>
      <c r="AU5083" s="14"/>
      <c r="AV5083" s="14"/>
      <c r="AW5083" s="15">
        <f t="shared" si="697"/>
        <v>0</v>
      </c>
      <c r="AX5083" s="16"/>
    </row>
    <row r="5084" spans="2:51" x14ac:dyDescent="0.2">
      <c r="B5084" s="7"/>
      <c r="C5084" s="8">
        <v>15299</v>
      </c>
      <c r="D5084" s="9" t="s">
        <v>364</v>
      </c>
      <c r="E5084" s="10" t="str">
        <f t="shared" si="698"/>
        <v>Rancho Landero No. 37</v>
      </c>
      <c r="F5084" s="10" t="str">
        <f t="shared" si="699"/>
        <v>Hernández</v>
      </c>
      <c r="G5084" s="8">
        <v>1</v>
      </c>
      <c r="H5084" s="11">
        <v>600</v>
      </c>
      <c r="I5084" s="12">
        <v>43037</v>
      </c>
      <c r="J5084" s="35">
        <f t="shared" si="683"/>
        <v>0</v>
      </c>
      <c r="K5084" s="36"/>
      <c r="L5084" s="36"/>
      <c r="M5084" s="36"/>
      <c r="N5084" s="36"/>
      <c r="O5084" s="36"/>
      <c r="P5084" s="36"/>
      <c r="Q5084" s="36"/>
      <c r="R5084" s="36"/>
      <c r="S5084" s="36"/>
      <c r="T5084" s="36"/>
      <c r="U5084" s="36"/>
      <c r="V5084" s="36"/>
      <c r="W5084" s="15">
        <f t="shared" si="691"/>
        <v>0</v>
      </c>
      <c r="X5084" s="36"/>
      <c r="Y5084" s="36"/>
      <c r="Z5084" s="36"/>
      <c r="AA5084" s="36"/>
      <c r="AB5084" s="36"/>
      <c r="AC5084" s="36"/>
      <c r="AD5084" s="36"/>
      <c r="AE5084" s="36"/>
      <c r="AF5084" s="36">
        <v>300</v>
      </c>
      <c r="AG5084" s="36">
        <v>300</v>
      </c>
      <c r="AH5084" s="36"/>
      <c r="AI5084" s="36"/>
      <c r="AJ5084" s="15">
        <f t="shared" si="692"/>
        <v>600</v>
      </c>
      <c r="AK5084" s="14"/>
      <c r="AL5084" s="14"/>
      <c r="AM5084" s="14"/>
      <c r="AN5084" s="14"/>
      <c r="AO5084" s="14"/>
      <c r="AP5084" s="14"/>
      <c r="AQ5084" s="14"/>
      <c r="AR5084" s="14"/>
      <c r="AS5084" s="14"/>
      <c r="AT5084" s="14"/>
      <c r="AU5084" s="14"/>
      <c r="AV5084" s="14"/>
      <c r="AW5084" s="15">
        <f t="shared" si="697"/>
        <v>0</v>
      </c>
      <c r="AX5084" s="16"/>
    </row>
    <row r="5085" spans="2:51" x14ac:dyDescent="0.2">
      <c r="B5085" s="7"/>
      <c r="C5085" s="8">
        <v>15300</v>
      </c>
      <c r="D5085" s="9" t="s">
        <v>1192</v>
      </c>
      <c r="E5085" s="10" t="str">
        <f t="shared" si="698"/>
        <v>Rancho Landero No. 61</v>
      </c>
      <c r="F5085" s="10" t="str">
        <f t="shared" si="699"/>
        <v>Miramontes Pérez</v>
      </c>
      <c r="G5085" s="8">
        <v>1</v>
      </c>
      <c r="H5085" s="11">
        <v>400</v>
      </c>
      <c r="I5085" s="12">
        <v>43037</v>
      </c>
      <c r="J5085" s="35">
        <f t="shared" si="683"/>
        <v>0</v>
      </c>
      <c r="K5085" s="36"/>
      <c r="L5085" s="36"/>
      <c r="M5085" s="36"/>
      <c r="N5085" s="36"/>
      <c r="O5085" s="36"/>
      <c r="P5085" s="36"/>
      <c r="Q5085" s="36"/>
      <c r="R5085" s="36"/>
      <c r="S5085" s="36"/>
      <c r="T5085" s="36"/>
      <c r="U5085" s="36"/>
      <c r="V5085" s="36"/>
      <c r="W5085" s="15">
        <f t="shared" si="691"/>
        <v>0</v>
      </c>
      <c r="X5085" s="36"/>
      <c r="Y5085" s="36"/>
      <c r="Z5085" s="36"/>
      <c r="AA5085" s="36"/>
      <c r="AB5085" s="36"/>
      <c r="AC5085" s="36"/>
      <c r="AD5085" s="36"/>
      <c r="AE5085" s="36"/>
      <c r="AF5085" s="36"/>
      <c r="AG5085" s="36">
        <v>400</v>
      </c>
      <c r="AH5085" s="36"/>
      <c r="AI5085" s="36"/>
      <c r="AJ5085" s="15">
        <f t="shared" si="692"/>
        <v>400</v>
      </c>
      <c r="AK5085" s="14"/>
      <c r="AL5085" s="14"/>
      <c r="AM5085" s="14"/>
      <c r="AN5085" s="14"/>
      <c r="AO5085" s="14"/>
      <c r="AP5085" s="14"/>
      <c r="AQ5085" s="14"/>
      <c r="AR5085" s="14"/>
      <c r="AS5085" s="14"/>
      <c r="AT5085" s="14"/>
      <c r="AU5085" s="14"/>
      <c r="AV5085" s="14"/>
      <c r="AW5085" s="15">
        <f t="shared" si="697"/>
        <v>0</v>
      </c>
      <c r="AX5085" s="16"/>
    </row>
    <row r="5086" spans="2:51" x14ac:dyDescent="0.2">
      <c r="B5086" s="7"/>
      <c r="C5086" s="8">
        <v>15301</v>
      </c>
      <c r="D5086" s="9" t="s">
        <v>192</v>
      </c>
      <c r="E5086" s="10" t="str">
        <f t="shared" si="698"/>
        <v>Rancho Landero No. 77</v>
      </c>
      <c r="F5086" s="10" t="str">
        <f t="shared" si="699"/>
        <v>Muñoz</v>
      </c>
      <c r="G5086" s="8">
        <v>1</v>
      </c>
      <c r="H5086" s="11">
        <v>800</v>
      </c>
      <c r="I5086" s="12">
        <v>43037</v>
      </c>
      <c r="J5086" s="35">
        <f t="shared" si="683"/>
        <v>0</v>
      </c>
      <c r="K5086" s="36"/>
      <c r="L5086" s="36"/>
      <c r="M5086" s="36"/>
      <c r="N5086" s="36"/>
      <c r="O5086" s="36"/>
      <c r="P5086" s="36"/>
      <c r="Q5086" s="36"/>
      <c r="R5086" s="36"/>
      <c r="S5086" s="36"/>
      <c r="T5086" s="36"/>
      <c r="U5086" s="36"/>
      <c r="V5086" s="36"/>
      <c r="W5086" s="15">
        <f t="shared" si="691"/>
        <v>0</v>
      </c>
      <c r="X5086" s="36"/>
      <c r="Y5086" s="36"/>
      <c r="Z5086" s="36"/>
      <c r="AA5086" s="36"/>
      <c r="AB5086" s="36"/>
      <c r="AC5086" s="36"/>
      <c r="AD5086" s="36"/>
      <c r="AE5086" s="36"/>
      <c r="AF5086" s="36"/>
      <c r="AG5086" s="36">
        <v>400</v>
      </c>
      <c r="AH5086" s="36">
        <v>400</v>
      </c>
      <c r="AI5086" s="36"/>
      <c r="AJ5086" s="15">
        <f t="shared" si="692"/>
        <v>800</v>
      </c>
      <c r="AK5086" s="14"/>
      <c r="AL5086" s="14"/>
      <c r="AM5086" s="14"/>
      <c r="AN5086" s="14"/>
      <c r="AO5086" s="14"/>
      <c r="AP5086" s="14"/>
      <c r="AQ5086" s="14"/>
      <c r="AR5086" s="14"/>
      <c r="AS5086" s="14"/>
      <c r="AT5086" s="14"/>
      <c r="AU5086" s="14"/>
      <c r="AV5086" s="14"/>
      <c r="AW5086" s="15">
        <f t="shared" si="697"/>
        <v>0</v>
      </c>
      <c r="AX5086" s="16"/>
    </row>
    <row r="5087" spans="2:51" x14ac:dyDescent="0.2">
      <c r="B5087" s="7"/>
      <c r="C5087" s="8">
        <v>15301</v>
      </c>
      <c r="D5087" s="9" t="s">
        <v>192</v>
      </c>
      <c r="E5087" s="10" t="str">
        <f t="shared" si="698"/>
        <v>Rancho Landero No. 77</v>
      </c>
      <c r="F5087" s="10" t="str">
        <f t="shared" si="699"/>
        <v>Muñoz</v>
      </c>
      <c r="G5087" s="8">
        <v>5</v>
      </c>
      <c r="H5087" s="11">
        <v>50</v>
      </c>
      <c r="I5087" s="12">
        <v>43037</v>
      </c>
      <c r="J5087" s="35">
        <f t="shared" si="683"/>
        <v>0</v>
      </c>
      <c r="K5087" s="36"/>
      <c r="L5087" s="36"/>
      <c r="M5087" s="36"/>
      <c r="N5087" s="36"/>
      <c r="O5087" s="36"/>
      <c r="P5087" s="36"/>
      <c r="Q5087" s="36"/>
      <c r="R5087" s="36"/>
      <c r="S5087" s="36"/>
      <c r="T5087" s="36"/>
      <c r="U5087" s="36"/>
      <c r="V5087" s="36"/>
      <c r="W5087" s="15">
        <f t="shared" si="691"/>
        <v>0</v>
      </c>
      <c r="X5087" s="36"/>
      <c r="Y5087" s="36"/>
      <c r="Z5087" s="36"/>
      <c r="AA5087" s="36"/>
      <c r="AB5087" s="36"/>
      <c r="AC5087" s="36"/>
      <c r="AD5087" s="36"/>
      <c r="AE5087" s="36"/>
      <c r="AF5087" s="36"/>
      <c r="AG5087" s="36"/>
      <c r="AH5087" s="36"/>
      <c r="AI5087" s="36"/>
      <c r="AJ5087" s="15">
        <f t="shared" si="692"/>
        <v>0</v>
      </c>
      <c r="AK5087" s="14"/>
      <c r="AL5087" s="14"/>
      <c r="AM5087" s="14"/>
      <c r="AN5087" s="14"/>
      <c r="AO5087" s="14"/>
      <c r="AP5087" s="14"/>
      <c r="AQ5087" s="14"/>
      <c r="AR5087" s="14"/>
      <c r="AS5087" s="14"/>
      <c r="AT5087" s="14"/>
      <c r="AU5087" s="14"/>
      <c r="AV5087" s="14"/>
      <c r="AW5087" s="15">
        <f t="shared" si="697"/>
        <v>0</v>
      </c>
      <c r="AX5087" s="316">
        <f>SUM(H5057:H5087)</f>
        <v>14500</v>
      </c>
      <c r="AY5087">
        <v>14000</v>
      </c>
    </row>
    <row r="5088" spans="2:51" x14ac:dyDescent="0.2">
      <c r="B5088" s="7" t="s">
        <v>3523</v>
      </c>
      <c r="C5088" s="8">
        <v>15351</v>
      </c>
      <c r="D5088" s="9" t="s">
        <v>208</v>
      </c>
      <c r="E5088" s="10" t="str">
        <f t="shared" si="698"/>
        <v>Rancho La Cuchilla No. 29</v>
      </c>
      <c r="F5088" s="10" t="str">
        <f t="shared" si="699"/>
        <v>Vega Sánchez C.</v>
      </c>
      <c r="G5088" s="8">
        <v>1</v>
      </c>
      <c r="H5088" s="11">
        <v>400</v>
      </c>
      <c r="I5088" s="12">
        <v>43018</v>
      </c>
      <c r="J5088" s="35">
        <f t="shared" si="683"/>
        <v>0</v>
      </c>
      <c r="K5088" s="36"/>
      <c r="L5088" s="36"/>
      <c r="M5088" s="36"/>
      <c r="N5088" s="36"/>
      <c r="O5088" s="36"/>
      <c r="P5088" s="36"/>
      <c r="Q5088" s="36"/>
      <c r="R5088" s="36"/>
      <c r="S5088" s="36"/>
      <c r="T5088" s="36"/>
      <c r="U5088" s="36"/>
      <c r="V5088" s="36"/>
      <c r="W5088" s="15">
        <f t="shared" si="691"/>
        <v>0</v>
      </c>
      <c r="X5088" s="36"/>
      <c r="Y5088" s="36"/>
      <c r="Z5088" s="36"/>
      <c r="AA5088" s="36"/>
      <c r="AB5088" s="36"/>
      <c r="AC5088" s="36"/>
      <c r="AD5088" s="36"/>
      <c r="AE5088" s="36"/>
      <c r="AF5088" s="36">
        <v>400</v>
      </c>
      <c r="AG5088" s="36"/>
      <c r="AH5088" s="36"/>
      <c r="AI5088" s="36"/>
      <c r="AJ5088" s="15">
        <f t="shared" si="692"/>
        <v>400</v>
      </c>
      <c r="AK5088" s="14"/>
      <c r="AL5088" s="14"/>
      <c r="AM5088" s="14"/>
      <c r="AN5088" s="14"/>
      <c r="AO5088" s="14"/>
      <c r="AP5088" s="14"/>
      <c r="AQ5088" s="14"/>
      <c r="AR5088" s="14"/>
      <c r="AS5088" s="14"/>
      <c r="AT5088" s="14"/>
      <c r="AU5088" s="14"/>
      <c r="AV5088" s="14"/>
      <c r="AW5088" s="15">
        <f t="shared" si="697"/>
        <v>0</v>
      </c>
      <c r="AX5088" s="16"/>
      <c r="AY5088">
        <f>SUM(AY5056:AY5087)</f>
        <v>25050</v>
      </c>
    </row>
    <row r="5089" spans="2:50" x14ac:dyDescent="0.2">
      <c r="B5089" s="7"/>
      <c r="C5089" s="8"/>
      <c r="D5089" s="9" t="s">
        <v>806</v>
      </c>
      <c r="E5089" s="10" t="str">
        <f t="shared" si="695"/>
        <v>Rancho Estanzuela No. 130, A</v>
      </c>
      <c r="F5089" s="10" t="str">
        <f t="shared" si="696"/>
        <v>Colegio Carmel</v>
      </c>
      <c r="G5089" s="8">
        <v>1</v>
      </c>
      <c r="H5089" s="11">
        <v>11000</v>
      </c>
      <c r="I5089" s="12">
        <v>43026</v>
      </c>
      <c r="J5089" s="35">
        <f t="shared" si="683"/>
        <v>0</v>
      </c>
      <c r="K5089" s="36"/>
      <c r="L5089" s="36"/>
      <c r="M5089" s="36"/>
      <c r="N5089" s="36"/>
      <c r="O5089" s="36"/>
      <c r="P5089" s="36"/>
      <c r="Q5089" s="36"/>
      <c r="R5089" s="36"/>
      <c r="S5089" s="36"/>
      <c r="T5089" s="36"/>
      <c r="U5089" s="36"/>
      <c r="V5089" s="36"/>
      <c r="W5089" s="15">
        <f t="shared" si="691"/>
        <v>0</v>
      </c>
      <c r="X5089" s="36"/>
      <c r="Y5089" s="36"/>
      <c r="Z5089" s="36"/>
      <c r="AA5089" s="36"/>
      <c r="AB5089" s="36"/>
      <c r="AC5089" s="36"/>
      <c r="AD5089" s="36"/>
      <c r="AE5089" s="36"/>
      <c r="AF5089" s="36"/>
      <c r="AG5089" s="36">
        <v>11000</v>
      </c>
      <c r="AH5089" s="36"/>
      <c r="AI5089" s="36"/>
      <c r="AJ5089" s="15">
        <f t="shared" si="692"/>
        <v>11000</v>
      </c>
      <c r="AK5089" s="14"/>
      <c r="AL5089" s="14"/>
      <c r="AM5089" s="14"/>
      <c r="AN5089" s="14"/>
      <c r="AO5089" s="14"/>
      <c r="AP5089" s="14"/>
      <c r="AQ5089" s="14"/>
      <c r="AR5089" s="14"/>
      <c r="AS5089" s="14"/>
      <c r="AT5089" s="14"/>
      <c r="AU5089" s="14"/>
      <c r="AV5089" s="14"/>
      <c r="AW5089" s="15">
        <f t="shared" si="697"/>
        <v>0</v>
      </c>
      <c r="AX5089" s="16"/>
    </row>
    <row r="5090" spans="2:50" x14ac:dyDescent="0.2">
      <c r="B5090" s="7"/>
      <c r="C5090" s="8"/>
      <c r="D5090" s="9"/>
      <c r="E5090" s="10" t="str">
        <f t="shared" si="695"/>
        <v/>
      </c>
      <c r="F5090" s="10" t="str">
        <f t="shared" si="696"/>
        <v/>
      </c>
      <c r="G5090" s="8"/>
      <c r="H5090" s="11"/>
      <c r="I5090" s="12"/>
      <c r="J5090" s="35">
        <f t="shared" si="683"/>
        <v>0</v>
      </c>
      <c r="K5090" s="36"/>
      <c r="L5090" s="36"/>
      <c r="M5090" s="36"/>
      <c r="N5090" s="36"/>
      <c r="O5090" s="36"/>
      <c r="P5090" s="36"/>
      <c r="Q5090" s="36"/>
      <c r="R5090" s="36"/>
      <c r="S5090" s="36"/>
      <c r="T5090" s="36"/>
      <c r="U5090" s="36"/>
      <c r="V5090" s="36"/>
      <c r="W5090" s="15">
        <f t="shared" si="691"/>
        <v>0</v>
      </c>
      <c r="X5090" s="36"/>
      <c r="Y5090" s="36"/>
      <c r="Z5090" s="36"/>
      <c r="AA5090" s="36"/>
      <c r="AB5090" s="36"/>
      <c r="AC5090" s="36"/>
      <c r="AD5090" s="36"/>
      <c r="AE5090" s="36"/>
      <c r="AF5090" s="36"/>
      <c r="AG5090" s="36"/>
      <c r="AH5090" s="36"/>
      <c r="AI5090" s="36"/>
      <c r="AJ5090" s="15">
        <f t="shared" si="692"/>
        <v>0</v>
      </c>
      <c r="AK5090" s="14"/>
      <c r="AL5090" s="14"/>
      <c r="AM5090" s="14"/>
      <c r="AN5090" s="14"/>
      <c r="AO5090" s="14"/>
      <c r="AP5090" s="14"/>
      <c r="AQ5090" s="14"/>
      <c r="AR5090" s="14"/>
      <c r="AS5090" s="14"/>
      <c r="AT5090" s="14"/>
      <c r="AU5090" s="14"/>
      <c r="AV5090" s="14"/>
      <c r="AW5090" s="15">
        <f t="shared" si="697"/>
        <v>0</v>
      </c>
      <c r="AX5090" s="16"/>
    </row>
    <row r="5091" spans="2:50" x14ac:dyDescent="0.2">
      <c r="B5091" s="7"/>
      <c r="C5091" s="8"/>
      <c r="D5091" s="9"/>
      <c r="E5091" s="10" t="str">
        <f t="shared" ref="E5091:E5097" si="700">IF(D5091=0,"",VLOOKUP(D5091,BASE,2,FALSE))</f>
        <v/>
      </c>
      <c r="F5091" s="10" t="str">
        <f t="shared" ref="F5091:F5097" si="701">IF(D5091=0,"",VLOOKUP(D5091,BASE,3,FALSE))</f>
        <v/>
      </c>
      <c r="G5091" s="8"/>
      <c r="H5091" s="11"/>
      <c r="I5091" s="12"/>
      <c r="J5091" s="35">
        <f t="shared" si="683"/>
        <v>0</v>
      </c>
      <c r="K5091" s="36"/>
      <c r="L5091" s="36"/>
      <c r="M5091" s="36"/>
      <c r="N5091" s="36"/>
      <c r="O5091" s="36"/>
      <c r="P5091" s="36"/>
      <c r="Q5091" s="36"/>
      <c r="R5091" s="36"/>
      <c r="S5091" s="36"/>
      <c r="T5091" s="36"/>
      <c r="U5091" s="36"/>
      <c r="V5091" s="36"/>
      <c r="W5091" s="15">
        <f t="shared" si="691"/>
        <v>0</v>
      </c>
      <c r="X5091" s="36"/>
      <c r="Y5091" s="36"/>
      <c r="Z5091" s="36"/>
      <c r="AA5091" s="36"/>
      <c r="AB5091" s="36"/>
      <c r="AC5091" s="36"/>
      <c r="AD5091" s="36"/>
      <c r="AE5091" s="36"/>
      <c r="AF5091" s="36"/>
      <c r="AG5091" s="36"/>
      <c r="AH5091" s="36"/>
      <c r="AI5091" s="36"/>
      <c r="AJ5091" s="15">
        <f t="shared" si="692"/>
        <v>0</v>
      </c>
      <c r="AK5091" s="14"/>
      <c r="AL5091" s="14"/>
      <c r="AM5091" s="14"/>
      <c r="AN5091" s="14"/>
      <c r="AO5091" s="14"/>
      <c r="AP5091" s="14"/>
      <c r="AQ5091" s="14"/>
      <c r="AR5091" s="14"/>
      <c r="AS5091" s="14"/>
      <c r="AT5091" s="14"/>
      <c r="AU5091" s="14"/>
      <c r="AV5091" s="14"/>
      <c r="AW5091" s="15">
        <f t="shared" si="697"/>
        <v>0</v>
      </c>
      <c r="AX5091" s="16"/>
    </row>
    <row r="5092" spans="2:50" ht="22.5" x14ac:dyDescent="0.2">
      <c r="B5092" s="3" t="s">
        <v>1</v>
      </c>
      <c r="C5092" s="3" t="s">
        <v>2</v>
      </c>
      <c r="D5092" s="3" t="s">
        <v>3</v>
      </c>
      <c r="E5092" s="337" t="s">
        <v>4</v>
      </c>
      <c r="F5092" s="337" t="s">
        <v>5</v>
      </c>
      <c r="G5092" s="3" t="s">
        <v>6</v>
      </c>
      <c r="H5092" s="3" t="s">
        <v>7</v>
      </c>
      <c r="I5092" s="3" t="s">
        <v>8</v>
      </c>
      <c r="J5092" s="337" t="s">
        <v>9</v>
      </c>
      <c r="K5092" s="4" t="s">
        <v>10</v>
      </c>
      <c r="L5092" s="4" t="s">
        <v>11</v>
      </c>
      <c r="M5092" s="4" t="s">
        <v>12</v>
      </c>
      <c r="N5092" s="4" t="s">
        <v>13</v>
      </c>
      <c r="O5092" s="4" t="s">
        <v>14</v>
      </c>
      <c r="P5092" s="4" t="s">
        <v>15</v>
      </c>
      <c r="Q5092" s="4" t="s">
        <v>16</v>
      </c>
      <c r="R5092" s="4" t="s">
        <v>17</v>
      </c>
      <c r="S5092" s="4" t="s">
        <v>18</v>
      </c>
      <c r="T5092" s="4" t="s">
        <v>19</v>
      </c>
      <c r="U5092" s="4" t="s">
        <v>20</v>
      </c>
      <c r="V5092" s="4" t="s">
        <v>21</v>
      </c>
      <c r="W5092" s="338" t="s">
        <v>22</v>
      </c>
      <c r="X5092" s="4" t="s">
        <v>23</v>
      </c>
      <c r="Y5092" s="4" t="s">
        <v>24</v>
      </c>
      <c r="Z5092" s="4" t="s">
        <v>25</v>
      </c>
      <c r="AA5092" s="4" t="s">
        <v>26</v>
      </c>
      <c r="AB5092" s="4" t="s">
        <v>27</v>
      </c>
      <c r="AC5092" s="4" t="s">
        <v>28</v>
      </c>
      <c r="AD5092" s="4" t="s">
        <v>29</v>
      </c>
      <c r="AE5092" s="4" t="s">
        <v>30</v>
      </c>
      <c r="AF5092" s="4" t="s">
        <v>31</v>
      </c>
      <c r="AG5092" s="4" t="s">
        <v>32</v>
      </c>
      <c r="AH5092" s="4" t="s">
        <v>33</v>
      </c>
      <c r="AI5092" s="4" t="s">
        <v>34</v>
      </c>
      <c r="AJ5092" s="338" t="s">
        <v>35</v>
      </c>
      <c r="AK5092" s="4" t="s">
        <v>4607</v>
      </c>
      <c r="AL5092" s="4" t="s">
        <v>4608</v>
      </c>
      <c r="AM5092" s="4" t="s">
        <v>4609</v>
      </c>
      <c r="AN5092" s="4" t="s">
        <v>4610</v>
      </c>
      <c r="AO5092" s="4" t="s">
        <v>4611</v>
      </c>
      <c r="AP5092" s="4" t="s">
        <v>4612</v>
      </c>
      <c r="AQ5092" s="4" t="s">
        <v>4613</v>
      </c>
      <c r="AR5092" s="4" t="s">
        <v>4614</v>
      </c>
      <c r="AS5092" s="4" t="s">
        <v>4615</v>
      </c>
      <c r="AT5092" s="4" t="s">
        <v>4616</v>
      </c>
      <c r="AU5092" s="4" t="s">
        <v>4617</v>
      </c>
      <c r="AV5092" s="4" t="s">
        <v>4618</v>
      </c>
      <c r="AW5092" s="338" t="s">
        <v>4619</v>
      </c>
      <c r="AX5092" s="6" t="s">
        <v>36</v>
      </c>
    </row>
    <row r="5093" spans="2:50" x14ac:dyDescent="0.2">
      <c r="B5093" s="7"/>
      <c r="C5093" s="8">
        <v>15302</v>
      </c>
      <c r="D5093" s="9"/>
      <c r="E5093" s="10" t="str">
        <f t="shared" si="700"/>
        <v/>
      </c>
      <c r="F5093" s="10" t="str">
        <f t="shared" si="701"/>
        <v/>
      </c>
      <c r="G5093" s="8">
        <v>8</v>
      </c>
      <c r="H5093" s="11"/>
      <c r="I5093" s="12"/>
      <c r="J5093" s="35">
        <f t="shared" si="683"/>
        <v>0</v>
      </c>
      <c r="K5093" s="36"/>
      <c r="L5093" s="36"/>
      <c r="M5093" s="36"/>
      <c r="N5093" s="36"/>
      <c r="O5093" s="36"/>
      <c r="P5093" s="36"/>
      <c r="Q5093" s="36"/>
      <c r="R5093" s="36"/>
      <c r="S5093" s="36"/>
      <c r="T5093" s="36"/>
      <c r="U5093" s="36"/>
      <c r="V5093" s="36"/>
      <c r="W5093" s="15">
        <f t="shared" si="691"/>
        <v>0</v>
      </c>
      <c r="X5093" s="36"/>
      <c r="Y5093" s="36"/>
      <c r="Z5093" s="36"/>
      <c r="AA5093" s="36"/>
      <c r="AB5093" s="36"/>
      <c r="AC5093" s="36"/>
      <c r="AD5093" s="36"/>
      <c r="AE5093" s="36"/>
      <c r="AF5093" s="36"/>
      <c r="AG5093" s="36"/>
      <c r="AH5093" s="36"/>
      <c r="AI5093" s="36"/>
      <c r="AJ5093" s="15">
        <f t="shared" si="692"/>
        <v>0</v>
      </c>
      <c r="AK5093" s="14"/>
      <c r="AL5093" s="14"/>
      <c r="AM5093" s="14"/>
      <c r="AN5093" s="14"/>
      <c r="AO5093" s="14"/>
      <c r="AP5093" s="14"/>
      <c r="AQ5093" s="14"/>
      <c r="AR5093" s="14"/>
      <c r="AS5093" s="14"/>
      <c r="AT5093" s="14"/>
      <c r="AU5093" s="14"/>
      <c r="AV5093" s="14"/>
      <c r="AW5093" s="15">
        <f t="shared" si="697"/>
        <v>0</v>
      </c>
      <c r="AX5093" s="16"/>
    </row>
    <row r="5094" spans="2:50" x14ac:dyDescent="0.2">
      <c r="B5094" s="7"/>
      <c r="C5094" s="8">
        <v>15303</v>
      </c>
      <c r="D5094" s="9" t="s">
        <v>416</v>
      </c>
      <c r="E5094" s="10" t="str">
        <f t="shared" si="700"/>
        <v>Rancho La Cuchilla No. 112, PB</v>
      </c>
      <c r="F5094" s="10" t="str">
        <f t="shared" si="701"/>
        <v>Soreque</v>
      </c>
      <c r="G5094" s="8">
        <v>1</v>
      </c>
      <c r="H5094" s="11">
        <v>400</v>
      </c>
      <c r="I5094" s="12">
        <v>43044</v>
      </c>
      <c r="J5094" s="35">
        <f t="shared" si="683"/>
        <v>0</v>
      </c>
      <c r="K5094" s="36"/>
      <c r="L5094" s="36"/>
      <c r="M5094" s="36"/>
      <c r="N5094" s="36"/>
      <c r="O5094" s="36"/>
      <c r="P5094" s="36"/>
      <c r="Q5094" s="36"/>
      <c r="R5094" s="36"/>
      <c r="S5094" s="36"/>
      <c r="T5094" s="36"/>
      <c r="U5094" s="36"/>
      <c r="V5094" s="36"/>
      <c r="W5094" s="15">
        <f t="shared" si="691"/>
        <v>0</v>
      </c>
      <c r="X5094" s="36"/>
      <c r="Y5094" s="36"/>
      <c r="Z5094" s="36"/>
      <c r="AA5094" s="36"/>
      <c r="AB5094" s="36"/>
      <c r="AC5094" s="36"/>
      <c r="AD5094" s="36"/>
      <c r="AE5094" s="36"/>
      <c r="AF5094" s="36"/>
      <c r="AG5094" s="36">
        <v>200</v>
      </c>
      <c r="AH5094" s="36">
        <v>200</v>
      </c>
      <c r="AI5094" s="36"/>
      <c r="AJ5094" s="15">
        <f t="shared" si="692"/>
        <v>400</v>
      </c>
      <c r="AK5094" s="14"/>
      <c r="AL5094" s="14"/>
      <c r="AM5094" s="14"/>
      <c r="AN5094" s="14"/>
      <c r="AO5094" s="14"/>
      <c r="AP5094" s="14"/>
      <c r="AQ5094" s="14"/>
      <c r="AR5094" s="14"/>
      <c r="AS5094" s="14"/>
      <c r="AT5094" s="14"/>
      <c r="AU5094" s="14"/>
      <c r="AV5094" s="14"/>
      <c r="AW5094" s="15">
        <f t="shared" si="697"/>
        <v>0</v>
      </c>
      <c r="AX5094" s="16"/>
    </row>
    <row r="5095" spans="2:50" x14ac:dyDescent="0.2">
      <c r="B5095" s="7"/>
      <c r="C5095" s="8">
        <v>15304</v>
      </c>
      <c r="D5095" s="9" t="s">
        <v>696</v>
      </c>
      <c r="E5095" s="10" t="str">
        <f t="shared" si="700"/>
        <v>Rancho Upácuaro No. 64</v>
      </c>
      <c r="F5095" s="10" t="str">
        <f t="shared" si="701"/>
        <v>Méndez Oliva</v>
      </c>
      <c r="G5095" s="8">
        <v>1</v>
      </c>
      <c r="H5095" s="11">
        <v>300</v>
      </c>
      <c r="I5095" s="12">
        <v>43044</v>
      </c>
      <c r="J5095" s="35">
        <f t="shared" si="683"/>
        <v>0</v>
      </c>
      <c r="K5095" s="36"/>
      <c r="L5095" s="36"/>
      <c r="M5095" s="36"/>
      <c r="N5095" s="36"/>
      <c r="O5095" s="36"/>
      <c r="P5095" s="36"/>
      <c r="Q5095" s="36"/>
      <c r="R5095" s="36"/>
      <c r="S5095" s="36"/>
      <c r="T5095" s="36"/>
      <c r="U5095" s="36"/>
      <c r="V5095" s="36"/>
      <c r="W5095" s="15">
        <f t="shared" si="691"/>
        <v>0</v>
      </c>
      <c r="X5095" s="36"/>
      <c r="Y5095" s="36"/>
      <c r="Z5095" s="36"/>
      <c r="AA5095" s="36"/>
      <c r="AB5095" s="36"/>
      <c r="AC5095" s="36"/>
      <c r="AD5095" s="36"/>
      <c r="AE5095" s="36"/>
      <c r="AF5095" s="36"/>
      <c r="AG5095" s="36"/>
      <c r="AH5095" s="36">
        <v>300</v>
      </c>
      <c r="AI5095" s="36"/>
      <c r="AJ5095" s="15">
        <f t="shared" si="692"/>
        <v>300</v>
      </c>
      <c r="AK5095" s="14"/>
      <c r="AL5095" s="14"/>
      <c r="AM5095" s="14"/>
      <c r="AN5095" s="14"/>
      <c r="AO5095" s="14"/>
      <c r="AP5095" s="14"/>
      <c r="AQ5095" s="14"/>
      <c r="AR5095" s="14"/>
      <c r="AS5095" s="14"/>
      <c r="AT5095" s="14"/>
      <c r="AU5095" s="14"/>
      <c r="AV5095" s="14"/>
      <c r="AW5095" s="15">
        <f t="shared" si="697"/>
        <v>0</v>
      </c>
      <c r="AX5095" s="16"/>
    </row>
    <row r="5096" spans="2:50" x14ac:dyDescent="0.2">
      <c r="B5096" s="7"/>
      <c r="C5096" s="8">
        <v>15305</v>
      </c>
      <c r="D5096" s="9"/>
      <c r="E5096" s="10" t="str">
        <f t="shared" si="700"/>
        <v/>
      </c>
      <c r="F5096" s="10" t="str">
        <f t="shared" si="701"/>
        <v/>
      </c>
      <c r="G5096" s="8">
        <v>8</v>
      </c>
      <c r="H5096" s="11"/>
      <c r="I5096" s="12"/>
      <c r="J5096" s="35">
        <f t="shared" si="683"/>
        <v>0</v>
      </c>
      <c r="K5096" s="36"/>
      <c r="L5096" s="36"/>
      <c r="M5096" s="36"/>
      <c r="N5096" s="36"/>
      <c r="O5096" s="36"/>
      <c r="P5096" s="36"/>
      <c r="Q5096" s="36"/>
      <c r="R5096" s="36"/>
      <c r="S5096" s="36"/>
      <c r="T5096" s="36"/>
      <c r="U5096" s="36"/>
      <c r="V5096" s="36"/>
      <c r="W5096" s="15">
        <f t="shared" si="691"/>
        <v>0</v>
      </c>
      <c r="X5096" s="36"/>
      <c r="Y5096" s="36"/>
      <c r="Z5096" s="36"/>
      <c r="AA5096" s="36"/>
      <c r="AB5096" s="36"/>
      <c r="AC5096" s="36"/>
      <c r="AD5096" s="36"/>
      <c r="AE5096" s="36"/>
      <c r="AF5096" s="36"/>
      <c r="AG5096" s="36"/>
      <c r="AH5096" s="36"/>
      <c r="AI5096" s="36"/>
      <c r="AJ5096" s="15">
        <f t="shared" si="692"/>
        <v>0</v>
      </c>
      <c r="AK5096" s="14"/>
      <c r="AL5096" s="14"/>
      <c r="AM5096" s="14"/>
      <c r="AN5096" s="14"/>
      <c r="AO5096" s="14"/>
      <c r="AP5096" s="14"/>
      <c r="AQ5096" s="14"/>
      <c r="AR5096" s="14"/>
      <c r="AS5096" s="14"/>
      <c r="AT5096" s="14"/>
      <c r="AU5096" s="14"/>
      <c r="AV5096" s="14"/>
      <c r="AW5096" s="15">
        <f t="shared" si="697"/>
        <v>0</v>
      </c>
      <c r="AX5096" s="16"/>
    </row>
    <row r="5097" spans="2:50" x14ac:dyDescent="0.2">
      <c r="B5097" s="7"/>
      <c r="C5097" s="8">
        <v>15306</v>
      </c>
      <c r="D5097" s="9" t="s">
        <v>693</v>
      </c>
      <c r="E5097" s="10" t="str">
        <f t="shared" si="700"/>
        <v>Rancho Romeral No. 9, B</v>
      </c>
      <c r="F5097" s="10" t="str">
        <f t="shared" si="701"/>
        <v>Morales Macías</v>
      </c>
      <c r="G5097" s="8">
        <v>1</v>
      </c>
      <c r="H5097" s="11">
        <v>600</v>
      </c>
      <c r="I5097" s="12">
        <v>43044</v>
      </c>
      <c r="J5097" s="35">
        <f t="shared" si="683"/>
        <v>0</v>
      </c>
      <c r="K5097" s="36"/>
      <c r="L5097" s="36"/>
      <c r="M5097" s="36"/>
      <c r="N5097" s="36"/>
      <c r="O5097" s="36"/>
      <c r="P5097" s="36"/>
      <c r="Q5097" s="36"/>
      <c r="R5097" s="36"/>
      <c r="S5097" s="36"/>
      <c r="T5097" s="36"/>
      <c r="U5097" s="36"/>
      <c r="V5097" s="36"/>
      <c r="W5097" s="15">
        <f t="shared" si="691"/>
        <v>0</v>
      </c>
      <c r="X5097" s="36"/>
      <c r="Y5097" s="36"/>
      <c r="Z5097" s="36"/>
      <c r="AA5097" s="36"/>
      <c r="AB5097" s="36"/>
      <c r="AC5097" s="36"/>
      <c r="AD5097" s="36"/>
      <c r="AE5097" s="36">
        <v>150</v>
      </c>
      <c r="AF5097" s="36">
        <v>150</v>
      </c>
      <c r="AG5097" s="36">
        <v>150</v>
      </c>
      <c r="AH5097" s="36">
        <v>150</v>
      </c>
      <c r="AI5097" s="36"/>
      <c r="AJ5097" s="15">
        <f t="shared" si="692"/>
        <v>600</v>
      </c>
      <c r="AK5097" s="14"/>
      <c r="AL5097" s="14"/>
      <c r="AM5097" s="14"/>
      <c r="AN5097" s="14"/>
      <c r="AO5097" s="14"/>
      <c r="AP5097" s="14"/>
      <c r="AQ5097" s="14"/>
      <c r="AR5097" s="14"/>
      <c r="AS5097" s="14"/>
      <c r="AT5097" s="14"/>
      <c r="AU5097" s="14"/>
      <c r="AV5097" s="14"/>
      <c r="AW5097" s="15">
        <f t="shared" si="697"/>
        <v>0</v>
      </c>
      <c r="AX5097" s="16"/>
    </row>
    <row r="5098" spans="2:50" x14ac:dyDescent="0.2">
      <c r="B5098" s="7"/>
      <c r="C5098" s="8">
        <v>15307</v>
      </c>
      <c r="D5098" s="9" t="s">
        <v>631</v>
      </c>
      <c r="E5098" s="10" t="str">
        <f t="shared" ref="E5098:E5125" si="702">IF(D5098=0,"",VLOOKUP(D5098,BASE,2,FALSE))</f>
        <v>Rancho Romeral No. 10, B</v>
      </c>
      <c r="F5098" s="10" t="str">
        <f t="shared" ref="F5098:F5125" si="703">IF(D5098=0,"",VLOOKUP(D5098,BASE,3,FALSE))</f>
        <v>López Castellano</v>
      </c>
      <c r="G5098" s="8">
        <v>1</v>
      </c>
      <c r="H5098" s="11">
        <v>600</v>
      </c>
      <c r="I5098" s="12">
        <v>43044</v>
      </c>
      <c r="J5098" s="35">
        <f t="shared" ref="J5098:J5125" si="704">IF(G5098=1,SUM(W5098,AJ5098,AW5098,-H5098),0)</f>
        <v>0</v>
      </c>
      <c r="K5098" s="36"/>
      <c r="L5098" s="36"/>
      <c r="M5098" s="36"/>
      <c r="N5098" s="36"/>
      <c r="O5098" s="36"/>
      <c r="P5098" s="36"/>
      <c r="Q5098" s="36"/>
      <c r="R5098" s="36"/>
      <c r="S5098" s="36"/>
      <c r="T5098" s="36"/>
      <c r="U5098" s="36"/>
      <c r="V5098" s="36"/>
      <c r="W5098" s="15">
        <f t="shared" ref="W5098:W5125" si="705">SUM(K5098:V5098)</f>
        <v>0</v>
      </c>
      <c r="X5098" s="36"/>
      <c r="Y5098" s="36"/>
      <c r="Z5098" s="36"/>
      <c r="AA5098" s="36"/>
      <c r="AB5098" s="36"/>
      <c r="AC5098" s="36"/>
      <c r="AD5098" s="36"/>
      <c r="AE5098" s="36"/>
      <c r="AF5098" s="36"/>
      <c r="AG5098" s="36">
        <v>300</v>
      </c>
      <c r="AH5098" s="36">
        <v>300</v>
      </c>
      <c r="AI5098" s="36"/>
      <c r="AJ5098" s="15">
        <f t="shared" ref="AJ5098:AJ5125" si="706">SUM(X5098:AI5098)</f>
        <v>600</v>
      </c>
      <c r="AK5098" s="14"/>
      <c r="AL5098" s="14"/>
      <c r="AM5098" s="14"/>
      <c r="AN5098" s="14"/>
      <c r="AO5098" s="14"/>
      <c r="AP5098" s="14"/>
      <c r="AQ5098" s="14"/>
      <c r="AR5098" s="14"/>
      <c r="AS5098" s="14"/>
      <c r="AT5098" s="14"/>
      <c r="AU5098" s="14"/>
      <c r="AV5098" s="14"/>
      <c r="AW5098" s="15">
        <f t="shared" ref="AW5098:AW5125" si="707">SUM(AK5098:AV5098)</f>
        <v>0</v>
      </c>
      <c r="AX5098" s="16"/>
    </row>
    <row r="5099" spans="2:50" x14ac:dyDescent="0.2">
      <c r="B5099" s="7"/>
      <c r="C5099" s="8">
        <v>15307</v>
      </c>
      <c r="D5099" s="9" t="s">
        <v>631</v>
      </c>
      <c r="E5099" s="10" t="str">
        <f t="shared" si="702"/>
        <v>Rancho Romeral No. 10, B</v>
      </c>
      <c r="F5099" s="10" t="str">
        <f t="shared" si="703"/>
        <v>López Castellano</v>
      </c>
      <c r="G5099" s="8">
        <v>5</v>
      </c>
      <c r="H5099" s="11">
        <v>50</v>
      </c>
      <c r="I5099" s="12">
        <v>43044</v>
      </c>
      <c r="J5099" s="35">
        <f t="shared" si="704"/>
        <v>0</v>
      </c>
      <c r="K5099" s="36"/>
      <c r="L5099" s="36"/>
      <c r="M5099" s="36"/>
      <c r="N5099" s="36"/>
      <c r="O5099" s="36"/>
      <c r="P5099" s="36"/>
      <c r="Q5099" s="36"/>
      <c r="R5099" s="36"/>
      <c r="S5099" s="36"/>
      <c r="T5099" s="36"/>
      <c r="U5099" s="36"/>
      <c r="V5099" s="36"/>
      <c r="W5099" s="15">
        <f t="shared" si="705"/>
        <v>0</v>
      </c>
      <c r="X5099" s="36"/>
      <c r="Y5099" s="36"/>
      <c r="Z5099" s="36"/>
      <c r="AA5099" s="36"/>
      <c r="AB5099" s="36"/>
      <c r="AC5099" s="36"/>
      <c r="AD5099" s="36"/>
      <c r="AE5099" s="36"/>
      <c r="AF5099" s="36"/>
      <c r="AG5099" s="36"/>
      <c r="AH5099" s="36"/>
      <c r="AI5099" s="36"/>
      <c r="AJ5099" s="15">
        <f t="shared" si="706"/>
        <v>0</v>
      </c>
      <c r="AK5099" s="14"/>
      <c r="AL5099" s="14"/>
      <c r="AM5099" s="14"/>
      <c r="AN5099" s="14"/>
      <c r="AO5099" s="14"/>
      <c r="AP5099" s="14"/>
      <c r="AQ5099" s="14"/>
      <c r="AR5099" s="14"/>
      <c r="AS5099" s="14"/>
      <c r="AT5099" s="14"/>
      <c r="AU5099" s="14"/>
      <c r="AV5099" s="14"/>
      <c r="AW5099" s="15">
        <f t="shared" si="707"/>
        <v>0</v>
      </c>
      <c r="AX5099" s="16"/>
    </row>
    <row r="5100" spans="2:50" x14ac:dyDescent="0.2">
      <c r="B5100" s="7"/>
      <c r="C5100" s="8">
        <v>15308</v>
      </c>
      <c r="D5100" s="9" t="s">
        <v>328</v>
      </c>
      <c r="E5100" s="10" t="str">
        <f t="shared" si="702"/>
        <v>Rancho La Cuchilla No. 130</v>
      </c>
      <c r="F5100" s="10" t="str">
        <f t="shared" si="703"/>
        <v>Gonzalez</v>
      </c>
      <c r="G5100" s="8">
        <v>1</v>
      </c>
      <c r="H5100" s="11">
        <v>400</v>
      </c>
      <c r="I5100" s="12">
        <v>43044</v>
      </c>
      <c r="J5100" s="35">
        <f t="shared" si="704"/>
        <v>0</v>
      </c>
      <c r="K5100" s="36"/>
      <c r="L5100" s="36"/>
      <c r="M5100" s="36"/>
      <c r="N5100" s="36"/>
      <c r="O5100" s="36"/>
      <c r="P5100" s="36"/>
      <c r="Q5100" s="36"/>
      <c r="R5100" s="36"/>
      <c r="S5100" s="36"/>
      <c r="T5100" s="36"/>
      <c r="U5100" s="36"/>
      <c r="V5100" s="36"/>
      <c r="W5100" s="15">
        <f t="shared" si="705"/>
        <v>0</v>
      </c>
      <c r="X5100" s="36"/>
      <c r="Y5100" s="36"/>
      <c r="Z5100" s="36"/>
      <c r="AA5100" s="36"/>
      <c r="AB5100" s="36"/>
      <c r="AC5100" s="36"/>
      <c r="AD5100" s="36"/>
      <c r="AE5100" s="36"/>
      <c r="AF5100" s="36"/>
      <c r="AG5100" s="36"/>
      <c r="AH5100" s="36">
        <v>400</v>
      </c>
      <c r="AI5100" s="36"/>
      <c r="AJ5100" s="15">
        <f t="shared" si="706"/>
        <v>400</v>
      </c>
      <c r="AK5100" s="14"/>
      <c r="AL5100" s="14"/>
      <c r="AM5100" s="14"/>
      <c r="AN5100" s="14"/>
      <c r="AO5100" s="14"/>
      <c r="AP5100" s="14"/>
      <c r="AQ5100" s="14"/>
      <c r="AR5100" s="14"/>
      <c r="AS5100" s="14"/>
      <c r="AT5100" s="14"/>
      <c r="AU5100" s="14"/>
      <c r="AV5100" s="14"/>
      <c r="AW5100" s="15">
        <f t="shared" si="707"/>
        <v>0</v>
      </c>
      <c r="AX5100" s="16"/>
    </row>
    <row r="5101" spans="2:50" x14ac:dyDescent="0.2">
      <c r="B5101" s="7"/>
      <c r="C5101" s="8">
        <v>15309</v>
      </c>
      <c r="D5101" s="9" t="s">
        <v>123</v>
      </c>
      <c r="E5101" s="10" t="str">
        <f t="shared" si="702"/>
        <v>Rancho Recoveco No. 175, B</v>
      </c>
      <c r="F5101" s="10" t="str">
        <f t="shared" si="703"/>
        <v>García Calderón</v>
      </c>
      <c r="G5101" s="8">
        <v>1</v>
      </c>
      <c r="H5101" s="11">
        <v>250</v>
      </c>
      <c r="I5101" s="12">
        <v>43044</v>
      </c>
      <c r="J5101" s="35">
        <f t="shared" si="704"/>
        <v>0</v>
      </c>
      <c r="K5101" s="36"/>
      <c r="L5101" s="36"/>
      <c r="M5101" s="36"/>
      <c r="N5101" s="36"/>
      <c r="O5101" s="36"/>
      <c r="P5101" s="36"/>
      <c r="Q5101" s="36"/>
      <c r="R5101" s="36"/>
      <c r="S5101" s="36"/>
      <c r="T5101" s="36"/>
      <c r="U5101" s="36"/>
      <c r="V5101" s="36"/>
      <c r="W5101" s="15">
        <f t="shared" si="705"/>
        <v>0</v>
      </c>
      <c r="X5101" s="36"/>
      <c r="Y5101" s="36"/>
      <c r="Z5101" s="36"/>
      <c r="AA5101" s="36"/>
      <c r="AB5101" s="36"/>
      <c r="AC5101" s="36"/>
      <c r="AD5101" s="36"/>
      <c r="AE5101" s="36"/>
      <c r="AF5101" s="36"/>
      <c r="AG5101" s="36"/>
      <c r="AH5101" s="36">
        <v>250</v>
      </c>
      <c r="AI5101" s="36"/>
      <c r="AJ5101" s="15">
        <f t="shared" si="706"/>
        <v>250</v>
      </c>
      <c r="AK5101" s="14"/>
      <c r="AL5101" s="14"/>
      <c r="AM5101" s="14"/>
      <c r="AN5101" s="14"/>
      <c r="AO5101" s="14"/>
      <c r="AP5101" s="14"/>
      <c r="AQ5101" s="14"/>
      <c r="AR5101" s="14"/>
      <c r="AS5101" s="14"/>
      <c r="AT5101" s="14"/>
      <c r="AU5101" s="14"/>
      <c r="AV5101" s="14"/>
      <c r="AW5101" s="15">
        <f t="shared" si="707"/>
        <v>0</v>
      </c>
      <c r="AX5101" s="16"/>
    </row>
    <row r="5102" spans="2:50" x14ac:dyDescent="0.2">
      <c r="B5102" s="7"/>
      <c r="C5102" s="8">
        <v>15310</v>
      </c>
      <c r="D5102" s="9" t="s">
        <v>322</v>
      </c>
      <c r="E5102" s="10" t="str">
        <f t="shared" si="702"/>
        <v>Rancho Zinamba No. 8</v>
      </c>
      <c r="F5102" s="10" t="str">
        <f t="shared" si="703"/>
        <v>Florido</v>
      </c>
      <c r="G5102" s="8">
        <v>1</v>
      </c>
      <c r="H5102" s="11">
        <v>800</v>
      </c>
      <c r="I5102" s="12">
        <v>43044</v>
      </c>
      <c r="J5102" s="35">
        <f t="shared" si="704"/>
        <v>0</v>
      </c>
      <c r="K5102" s="36"/>
      <c r="L5102" s="36"/>
      <c r="M5102" s="36"/>
      <c r="N5102" s="36"/>
      <c r="O5102" s="36"/>
      <c r="P5102" s="36"/>
      <c r="Q5102" s="36"/>
      <c r="R5102" s="36"/>
      <c r="S5102" s="36"/>
      <c r="T5102" s="36"/>
      <c r="U5102" s="36"/>
      <c r="V5102" s="36"/>
      <c r="W5102" s="15">
        <f t="shared" si="705"/>
        <v>0</v>
      </c>
      <c r="X5102" s="36"/>
      <c r="Y5102" s="36"/>
      <c r="Z5102" s="36"/>
      <c r="AA5102" s="36"/>
      <c r="AB5102" s="36"/>
      <c r="AC5102" s="36"/>
      <c r="AD5102" s="36"/>
      <c r="AE5102" s="36"/>
      <c r="AF5102" s="36"/>
      <c r="AG5102" s="36">
        <v>400</v>
      </c>
      <c r="AH5102" s="36">
        <v>400</v>
      </c>
      <c r="AI5102" s="36"/>
      <c r="AJ5102" s="15">
        <f t="shared" si="706"/>
        <v>800</v>
      </c>
      <c r="AK5102" s="14"/>
      <c r="AL5102" s="14"/>
      <c r="AM5102" s="14"/>
      <c r="AN5102" s="14"/>
      <c r="AO5102" s="14"/>
      <c r="AP5102" s="14"/>
      <c r="AQ5102" s="14"/>
      <c r="AR5102" s="14"/>
      <c r="AS5102" s="14"/>
      <c r="AT5102" s="14"/>
      <c r="AU5102" s="14"/>
      <c r="AV5102" s="14"/>
      <c r="AW5102" s="15">
        <f t="shared" si="707"/>
        <v>0</v>
      </c>
      <c r="AX5102" s="16"/>
    </row>
    <row r="5103" spans="2:50" x14ac:dyDescent="0.2">
      <c r="B5103" s="7"/>
      <c r="C5103" s="8">
        <v>15311</v>
      </c>
      <c r="D5103" s="9" t="s">
        <v>766</v>
      </c>
      <c r="E5103" s="10" t="str">
        <f t="shared" si="702"/>
        <v>Rancho Landero No. 88</v>
      </c>
      <c r="F5103" s="10" t="str">
        <f t="shared" si="703"/>
        <v>Torres Raúl</v>
      </c>
      <c r="G5103" s="8">
        <v>1</v>
      </c>
      <c r="H5103" s="11">
        <v>1200</v>
      </c>
      <c r="I5103" s="12">
        <v>43044</v>
      </c>
      <c r="J5103" s="35">
        <f t="shared" si="704"/>
        <v>0</v>
      </c>
      <c r="K5103" s="36"/>
      <c r="L5103" s="36"/>
      <c r="M5103" s="36"/>
      <c r="N5103" s="36"/>
      <c r="O5103" s="36"/>
      <c r="P5103" s="36"/>
      <c r="Q5103" s="36"/>
      <c r="R5103" s="36"/>
      <c r="S5103" s="36"/>
      <c r="T5103" s="36"/>
      <c r="U5103" s="36"/>
      <c r="V5103" s="36"/>
      <c r="W5103" s="15">
        <f t="shared" si="705"/>
        <v>0</v>
      </c>
      <c r="X5103" s="36"/>
      <c r="Y5103" s="36"/>
      <c r="Z5103" s="36"/>
      <c r="AA5103" s="36"/>
      <c r="AB5103" s="36"/>
      <c r="AC5103" s="36"/>
      <c r="AD5103" s="36"/>
      <c r="AE5103" s="36"/>
      <c r="AF5103" s="36">
        <v>400</v>
      </c>
      <c r="AG5103" s="36">
        <v>400</v>
      </c>
      <c r="AH5103" s="36">
        <v>400</v>
      </c>
      <c r="AI5103" s="36"/>
      <c r="AJ5103" s="15">
        <f t="shared" si="706"/>
        <v>1200</v>
      </c>
      <c r="AK5103" s="14"/>
      <c r="AL5103" s="14"/>
      <c r="AM5103" s="14"/>
      <c r="AN5103" s="14"/>
      <c r="AO5103" s="14"/>
      <c r="AP5103" s="14"/>
      <c r="AQ5103" s="14"/>
      <c r="AR5103" s="14"/>
      <c r="AS5103" s="14"/>
      <c r="AT5103" s="14"/>
      <c r="AU5103" s="14"/>
      <c r="AV5103" s="14"/>
      <c r="AW5103" s="15">
        <f t="shared" si="707"/>
        <v>0</v>
      </c>
      <c r="AX5103" s="16"/>
    </row>
    <row r="5104" spans="2:50" x14ac:dyDescent="0.2">
      <c r="B5104" s="7"/>
      <c r="C5104" s="8">
        <v>15311</v>
      </c>
      <c r="D5104" s="9" t="s">
        <v>766</v>
      </c>
      <c r="E5104" s="10" t="str">
        <f t="shared" si="702"/>
        <v>Rancho Landero No. 88</v>
      </c>
      <c r="F5104" s="10" t="str">
        <f t="shared" si="703"/>
        <v>Torres Raúl</v>
      </c>
      <c r="G5104" s="8">
        <v>5</v>
      </c>
      <c r="H5104" s="11">
        <v>50</v>
      </c>
      <c r="I5104" s="12">
        <v>43044</v>
      </c>
      <c r="J5104" s="35">
        <f t="shared" si="704"/>
        <v>0</v>
      </c>
      <c r="K5104" s="36"/>
      <c r="L5104" s="36"/>
      <c r="M5104" s="36"/>
      <c r="N5104" s="36"/>
      <c r="O5104" s="36"/>
      <c r="P5104" s="36"/>
      <c r="Q5104" s="36"/>
      <c r="R5104" s="36"/>
      <c r="S5104" s="36"/>
      <c r="T5104" s="36"/>
      <c r="U5104" s="36"/>
      <c r="V5104" s="36"/>
      <c r="W5104" s="15">
        <f t="shared" si="705"/>
        <v>0</v>
      </c>
      <c r="X5104" s="36"/>
      <c r="Y5104" s="36"/>
      <c r="Z5104" s="36"/>
      <c r="AA5104" s="36"/>
      <c r="AB5104" s="36"/>
      <c r="AC5104" s="36"/>
      <c r="AD5104" s="36"/>
      <c r="AE5104" s="36"/>
      <c r="AF5104" s="36"/>
      <c r="AG5104" s="36"/>
      <c r="AH5104" s="36"/>
      <c r="AI5104" s="36"/>
      <c r="AJ5104" s="15">
        <f t="shared" si="706"/>
        <v>0</v>
      </c>
      <c r="AK5104" s="14"/>
      <c r="AL5104" s="14"/>
      <c r="AM5104" s="14"/>
      <c r="AN5104" s="14"/>
      <c r="AO5104" s="14"/>
      <c r="AP5104" s="14"/>
      <c r="AQ5104" s="14"/>
      <c r="AR5104" s="14"/>
      <c r="AS5104" s="14"/>
      <c r="AT5104" s="14"/>
      <c r="AU5104" s="14"/>
      <c r="AV5104" s="14"/>
      <c r="AW5104" s="15">
        <f t="shared" si="707"/>
        <v>0</v>
      </c>
      <c r="AX5104" s="16"/>
    </row>
    <row r="5105" spans="2:50" x14ac:dyDescent="0.2">
      <c r="B5105" s="7"/>
      <c r="C5105" s="8">
        <v>15312</v>
      </c>
      <c r="D5105" s="9" t="s">
        <v>766</v>
      </c>
      <c r="E5105" s="10" t="str">
        <f t="shared" si="702"/>
        <v>Rancho Landero No. 88</v>
      </c>
      <c r="F5105" s="10" t="str">
        <f t="shared" si="703"/>
        <v>Torres Raúl</v>
      </c>
      <c r="G5105" s="8">
        <v>3</v>
      </c>
      <c r="H5105" s="11">
        <v>200</v>
      </c>
      <c r="I5105" s="12">
        <v>43044</v>
      </c>
      <c r="J5105" s="35">
        <f t="shared" si="704"/>
        <v>0</v>
      </c>
      <c r="K5105" s="36"/>
      <c r="L5105" s="36"/>
      <c r="M5105" s="36"/>
      <c r="N5105" s="36"/>
      <c r="O5105" s="36"/>
      <c r="P5105" s="36"/>
      <c r="Q5105" s="36"/>
      <c r="R5105" s="36"/>
      <c r="S5105" s="36"/>
      <c r="T5105" s="36"/>
      <c r="U5105" s="36"/>
      <c r="V5105" s="36"/>
      <c r="W5105" s="15">
        <f t="shared" si="705"/>
        <v>0</v>
      </c>
      <c r="X5105" s="36"/>
      <c r="Y5105" s="36"/>
      <c r="Z5105" s="36"/>
      <c r="AA5105" s="36"/>
      <c r="AB5105" s="36"/>
      <c r="AC5105" s="36"/>
      <c r="AD5105" s="36"/>
      <c r="AE5105" s="36"/>
      <c r="AF5105" s="36"/>
      <c r="AG5105" s="36"/>
      <c r="AH5105" s="36"/>
      <c r="AI5105" s="36"/>
      <c r="AJ5105" s="15">
        <f t="shared" si="706"/>
        <v>0</v>
      </c>
      <c r="AK5105" s="14"/>
      <c r="AL5105" s="14"/>
      <c r="AM5105" s="14"/>
      <c r="AN5105" s="14"/>
      <c r="AO5105" s="14"/>
      <c r="AP5105" s="14"/>
      <c r="AQ5105" s="14"/>
      <c r="AR5105" s="14"/>
      <c r="AS5105" s="14"/>
      <c r="AT5105" s="14"/>
      <c r="AU5105" s="14"/>
      <c r="AV5105" s="14"/>
      <c r="AW5105" s="15">
        <f t="shared" si="707"/>
        <v>0</v>
      </c>
      <c r="AX5105" s="16"/>
    </row>
    <row r="5106" spans="2:50" x14ac:dyDescent="0.2">
      <c r="B5106" s="7"/>
      <c r="C5106" s="8">
        <v>15313</v>
      </c>
      <c r="D5106" s="9" t="s">
        <v>602</v>
      </c>
      <c r="E5106" s="10" t="str">
        <f t="shared" si="702"/>
        <v>Rancho Upácuaro No. 30</v>
      </c>
      <c r="F5106" s="10" t="str">
        <f t="shared" si="703"/>
        <v>Dorantes</v>
      </c>
      <c r="G5106" s="8">
        <v>1</v>
      </c>
      <c r="H5106" s="11">
        <v>600</v>
      </c>
      <c r="I5106" s="12">
        <v>43044</v>
      </c>
      <c r="J5106" s="35">
        <f t="shared" si="704"/>
        <v>0</v>
      </c>
      <c r="K5106" s="36"/>
      <c r="L5106" s="36"/>
      <c r="M5106" s="36"/>
      <c r="N5106" s="36"/>
      <c r="O5106" s="36"/>
      <c r="P5106" s="36"/>
      <c r="Q5106" s="36"/>
      <c r="R5106" s="36"/>
      <c r="S5106" s="36"/>
      <c r="T5106" s="36"/>
      <c r="U5106" s="36"/>
      <c r="V5106" s="36"/>
      <c r="W5106" s="15">
        <f t="shared" si="705"/>
        <v>0</v>
      </c>
      <c r="X5106" s="36"/>
      <c r="Y5106" s="36"/>
      <c r="Z5106" s="36"/>
      <c r="AA5106" s="36"/>
      <c r="AB5106" s="36"/>
      <c r="AC5106" s="36"/>
      <c r="AD5106" s="36"/>
      <c r="AE5106" s="36"/>
      <c r="AF5106" s="36">
        <v>200</v>
      </c>
      <c r="AG5106" s="36">
        <v>200</v>
      </c>
      <c r="AH5106" s="36">
        <v>200</v>
      </c>
      <c r="AI5106" s="36"/>
      <c r="AJ5106" s="15">
        <f t="shared" si="706"/>
        <v>600</v>
      </c>
      <c r="AK5106" s="14"/>
      <c r="AL5106" s="14"/>
      <c r="AM5106" s="14"/>
      <c r="AN5106" s="14"/>
      <c r="AO5106" s="14"/>
      <c r="AP5106" s="14"/>
      <c r="AQ5106" s="14"/>
      <c r="AR5106" s="14"/>
      <c r="AS5106" s="14"/>
      <c r="AT5106" s="14"/>
      <c r="AU5106" s="14"/>
      <c r="AV5106" s="14"/>
      <c r="AW5106" s="15">
        <f t="shared" si="707"/>
        <v>0</v>
      </c>
      <c r="AX5106" s="16"/>
    </row>
    <row r="5107" spans="2:50" x14ac:dyDescent="0.2">
      <c r="B5107" s="7"/>
      <c r="C5107" s="8">
        <v>15314</v>
      </c>
      <c r="D5107" s="9" t="s">
        <v>407</v>
      </c>
      <c r="E5107" s="10" t="str">
        <f t="shared" si="702"/>
        <v>Rancho Estanzuela No. 99</v>
      </c>
      <c r="F5107" s="10" t="str">
        <f t="shared" si="703"/>
        <v>García López</v>
      </c>
      <c r="G5107" s="8">
        <v>1</v>
      </c>
      <c r="H5107" s="11">
        <v>400</v>
      </c>
      <c r="I5107" s="12">
        <v>43044</v>
      </c>
      <c r="J5107" s="35">
        <f t="shared" si="704"/>
        <v>0</v>
      </c>
      <c r="K5107" s="36"/>
      <c r="L5107" s="36"/>
      <c r="M5107" s="36"/>
      <c r="N5107" s="36"/>
      <c r="O5107" s="36"/>
      <c r="P5107" s="36"/>
      <c r="Q5107" s="36"/>
      <c r="R5107" s="36"/>
      <c r="S5107" s="36"/>
      <c r="T5107" s="36"/>
      <c r="U5107" s="36"/>
      <c r="V5107" s="36"/>
      <c r="W5107" s="15">
        <f t="shared" si="705"/>
        <v>0</v>
      </c>
      <c r="X5107" s="36"/>
      <c r="Y5107" s="36"/>
      <c r="Z5107" s="36"/>
      <c r="AA5107" s="36"/>
      <c r="AB5107" s="36"/>
      <c r="AC5107" s="36"/>
      <c r="AD5107" s="36"/>
      <c r="AE5107" s="36"/>
      <c r="AF5107" s="36"/>
      <c r="AG5107" s="36"/>
      <c r="AH5107" s="36">
        <v>400</v>
      </c>
      <c r="AI5107" s="36"/>
      <c r="AJ5107" s="15">
        <f t="shared" si="706"/>
        <v>400</v>
      </c>
      <c r="AK5107" s="14"/>
      <c r="AL5107" s="14"/>
      <c r="AM5107" s="14"/>
      <c r="AN5107" s="14"/>
      <c r="AO5107" s="14"/>
      <c r="AP5107" s="14"/>
      <c r="AQ5107" s="14"/>
      <c r="AR5107" s="14"/>
      <c r="AS5107" s="14"/>
      <c r="AT5107" s="14"/>
      <c r="AU5107" s="14"/>
      <c r="AV5107" s="14"/>
      <c r="AW5107" s="15">
        <f t="shared" si="707"/>
        <v>0</v>
      </c>
      <c r="AX5107" s="16"/>
    </row>
    <row r="5108" spans="2:50" x14ac:dyDescent="0.2">
      <c r="B5108" s="7"/>
      <c r="C5108" s="8">
        <v>15315</v>
      </c>
      <c r="D5108" s="9" t="s">
        <v>455</v>
      </c>
      <c r="E5108" s="10" t="str">
        <f t="shared" si="702"/>
        <v>Rancho Zinamba No. 38</v>
      </c>
      <c r="F5108" s="10" t="str">
        <f t="shared" si="703"/>
        <v>Ramírez Díaz</v>
      </c>
      <c r="G5108" s="8">
        <v>1</v>
      </c>
      <c r="H5108" s="11">
        <v>400</v>
      </c>
      <c r="I5108" s="12">
        <v>43044</v>
      </c>
      <c r="J5108" s="35">
        <f t="shared" si="704"/>
        <v>0</v>
      </c>
      <c r="K5108" s="36"/>
      <c r="L5108" s="36"/>
      <c r="M5108" s="36"/>
      <c r="N5108" s="36"/>
      <c r="O5108" s="36"/>
      <c r="P5108" s="36"/>
      <c r="Q5108" s="36"/>
      <c r="R5108" s="36"/>
      <c r="S5108" s="36"/>
      <c r="T5108" s="36"/>
      <c r="U5108" s="36"/>
      <c r="V5108" s="36"/>
      <c r="W5108" s="15">
        <f t="shared" si="705"/>
        <v>0</v>
      </c>
      <c r="X5108" s="36"/>
      <c r="Y5108" s="36"/>
      <c r="Z5108" s="36"/>
      <c r="AA5108" s="36"/>
      <c r="AB5108" s="36"/>
      <c r="AC5108" s="36"/>
      <c r="AD5108" s="36"/>
      <c r="AE5108" s="36"/>
      <c r="AF5108" s="36"/>
      <c r="AG5108" s="36"/>
      <c r="AH5108" s="36">
        <v>400</v>
      </c>
      <c r="AI5108" s="36"/>
      <c r="AJ5108" s="15">
        <f t="shared" si="706"/>
        <v>400</v>
      </c>
      <c r="AK5108" s="14"/>
      <c r="AL5108" s="14"/>
      <c r="AM5108" s="14"/>
      <c r="AN5108" s="14"/>
      <c r="AO5108" s="14"/>
      <c r="AP5108" s="14"/>
      <c r="AQ5108" s="14"/>
      <c r="AR5108" s="14"/>
      <c r="AS5108" s="14"/>
      <c r="AT5108" s="14"/>
      <c r="AU5108" s="14"/>
      <c r="AV5108" s="14"/>
      <c r="AW5108" s="15">
        <f t="shared" si="707"/>
        <v>0</v>
      </c>
      <c r="AX5108" s="16"/>
    </row>
    <row r="5109" spans="2:50" x14ac:dyDescent="0.2">
      <c r="B5109" s="7"/>
      <c r="C5109" s="8">
        <v>15316</v>
      </c>
      <c r="D5109" s="9" t="s">
        <v>292</v>
      </c>
      <c r="E5109" s="10" t="str">
        <f t="shared" si="702"/>
        <v>Rancho Upácuaro No. 140</v>
      </c>
      <c r="F5109" s="10" t="str">
        <f t="shared" si="703"/>
        <v>Gozain</v>
      </c>
      <c r="G5109" s="8">
        <v>1</v>
      </c>
      <c r="H5109" s="11">
        <v>400</v>
      </c>
      <c r="I5109" s="12">
        <v>43044</v>
      </c>
      <c r="J5109" s="35">
        <f t="shared" si="704"/>
        <v>0</v>
      </c>
      <c r="K5109" s="36"/>
      <c r="L5109" s="36"/>
      <c r="M5109" s="36"/>
      <c r="N5109" s="36"/>
      <c r="O5109" s="36"/>
      <c r="P5109" s="36"/>
      <c r="Q5109" s="36"/>
      <c r="R5109" s="36"/>
      <c r="S5109" s="36"/>
      <c r="T5109" s="36"/>
      <c r="U5109" s="36"/>
      <c r="V5109" s="36"/>
      <c r="W5109" s="15">
        <f t="shared" si="705"/>
        <v>0</v>
      </c>
      <c r="X5109" s="36"/>
      <c r="Y5109" s="36"/>
      <c r="Z5109" s="36"/>
      <c r="AA5109" s="36"/>
      <c r="AB5109" s="36"/>
      <c r="AC5109" s="36"/>
      <c r="AD5109" s="36"/>
      <c r="AE5109" s="36"/>
      <c r="AF5109" s="36"/>
      <c r="AG5109" s="36"/>
      <c r="AH5109" s="36">
        <v>400</v>
      </c>
      <c r="AI5109" s="36"/>
      <c r="AJ5109" s="15">
        <f t="shared" si="706"/>
        <v>400</v>
      </c>
      <c r="AK5109" s="14"/>
      <c r="AL5109" s="14"/>
      <c r="AM5109" s="14"/>
      <c r="AN5109" s="14"/>
      <c r="AO5109" s="14"/>
      <c r="AP5109" s="14"/>
      <c r="AQ5109" s="14"/>
      <c r="AR5109" s="14"/>
      <c r="AS5109" s="14"/>
      <c r="AT5109" s="14"/>
      <c r="AU5109" s="14"/>
      <c r="AV5109" s="14"/>
      <c r="AW5109" s="15">
        <f t="shared" si="707"/>
        <v>0</v>
      </c>
      <c r="AX5109" s="16"/>
    </row>
    <row r="5110" spans="2:50" x14ac:dyDescent="0.2">
      <c r="B5110" s="7"/>
      <c r="C5110" s="8">
        <v>15317</v>
      </c>
      <c r="D5110" s="9" t="s">
        <v>749</v>
      </c>
      <c r="E5110" s="10" t="str">
        <f t="shared" si="702"/>
        <v>Rancho Landero No. 96</v>
      </c>
      <c r="F5110" s="10" t="str">
        <f t="shared" si="703"/>
        <v>Espinoza Aguirre</v>
      </c>
      <c r="G5110" s="8">
        <v>1</v>
      </c>
      <c r="H5110" s="11">
        <v>2000</v>
      </c>
      <c r="I5110" s="12">
        <v>43044</v>
      </c>
      <c r="J5110" s="35">
        <f t="shared" si="704"/>
        <v>0</v>
      </c>
      <c r="K5110" s="36"/>
      <c r="L5110" s="36"/>
      <c r="M5110" s="36"/>
      <c r="N5110" s="36"/>
      <c r="O5110" s="36"/>
      <c r="P5110" s="36"/>
      <c r="Q5110" s="36"/>
      <c r="R5110" s="36"/>
      <c r="S5110" s="36"/>
      <c r="T5110" s="36"/>
      <c r="U5110" s="36"/>
      <c r="V5110" s="36"/>
      <c r="W5110" s="15">
        <f t="shared" si="705"/>
        <v>0</v>
      </c>
      <c r="X5110" s="36"/>
      <c r="Y5110" s="36"/>
      <c r="Z5110" s="36"/>
      <c r="AA5110" s="36"/>
      <c r="AB5110" s="36"/>
      <c r="AC5110" s="36"/>
      <c r="AD5110" s="36">
        <v>400</v>
      </c>
      <c r="AE5110" s="36">
        <v>400</v>
      </c>
      <c r="AF5110" s="36">
        <v>400</v>
      </c>
      <c r="AG5110" s="36">
        <v>400</v>
      </c>
      <c r="AH5110" s="36">
        <v>400</v>
      </c>
      <c r="AI5110" s="36"/>
      <c r="AJ5110" s="15">
        <f t="shared" si="706"/>
        <v>2000</v>
      </c>
      <c r="AK5110" s="14"/>
      <c r="AL5110" s="14"/>
      <c r="AM5110" s="14"/>
      <c r="AN5110" s="14"/>
      <c r="AO5110" s="14"/>
      <c r="AP5110" s="14"/>
      <c r="AQ5110" s="14"/>
      <c r="AR5110" s="14"/>
      <c r="AS5110" s="14"/>
      <c r="AT5110" s="14"/>
      <c r="AU5110" s="14"/>
      <c r="AV5110" s="14"/>
      <c r="AW5110" s="15">
        <f t="shared" si="707"/>
        <v>0</v>
      </c>
      <c r="AX5110" s="16"/>
    </row>
    <row r="5111" spans="2:50" x14ac:dyDescent="0.2">
      <c r="B5111" s="7"/>
      <c r="C5111" s="8">
        <v>15318</v>
      </c>
      <c r="D5111" s="9" t="s">
        <v>84</v>
      </c>
      <c r="E5111" s="10" t="str">
        <f t="shared" si="702"/>
        <v>Rancho La Cuchilla No. 139</v>
      </c>
      <c r="F5111" s="10" t="str">
        <f t="shared" si="703"/>
        <v>Garcia</v>
      </c>
      <c r="G5111" s="8">
        <v>1</v>
      </c>
      <c r="H5111" s="11">
        <v>400</v>
      </c>
      <c r="I5111" s="12">
        <v>43044</v>
      </c>
      <c r="J5111" s="35">
        <f t="shared" si="704"/>
        <v>0</v>
      </c>
      <c r="K5111" s="36"/>
      <c r="L5111" s="36"/>
      <c r="M5111" s="36"/>
      <c r="N5111" s="36"/>
      <c r="O5111" s="36"/>
      <c r="P5111" s="36"/>
      <c r="Q5111" s="36"/>
      <c r="R5111" s="36"/>
      <c r="S5111" s="36"/>
      <c r="T5111" s="36"/>
      <c r="U5111" s="36"/>
      <c r="V5111" s="36"/>
      <c r="W5111" s="15">
        <f t="shared" si="705"/>
        <v>0</v>
      </c>
      <c r="X5111" s="36"/>
      <c r="Y5111" s="36"/>
      <c r="Z5111" s="36"/>
      <c r="AA5111" s="36"/>
      <c r="AB5111" s="36"/>
      <c r="AC5111" s="36"/>
      <c r="AD5111" s="36"/>
      <c r="AE5111" s="36"/>
      <c r="AF5111" s="36"/>
      <c r="AG5111" s="36">
        <v>200</v>
      </c>
      <c r="AH5111" s="36">
        <v>200</v>
      </c>
      <c r="AI5111" s="36"/>
      <c r="AJ5111" s="15">
        <f t="shared" si="706"/>
        <v>400</v>
      </c>
      <c r="AK5111" s="14"/>
      <c r="AL5111" s="14"/>
      <c r="AM5111" s="14"/>
      <c r="AN5111" s="14"/>
      <c r="AO5111" s="14"/>
      <c r="AP5111" s="14"/>
      <c r="AQ5111" s="14"/>
      <c r="AR5111" s="14"/>
      <c r="AS5111" s="14"/>
      <c r="AT5111" s="14"/>
      <c r="AU5111" s="14"/>
      <c r="AV5111" s="14"/>
      <c r="AW5111" s="15">
        <f t="shared" si="707"/>
        <v>0</v>
      </c>
      <c r="AX5111" s="16"/>
    </row>
    <row r="5112" spans="2:50" x14ac:dyDescent="0.2">
      <c r="B5112" s="7"/>
      <c r="C5112" s="8">
        <v>15319</v>
      </c>
      <c r="D5112" s="9" t="s">
        <v>714</v>
      </c>
      <c r="E5112" s="10" t="str">
        <f t="shared" si="702"/>
        <v>Rancho Upácuaro No. 134</v>
      </c>
      <c r="F5112" s="10" t="str">
        <f t="shared" si="703"/>
        <v>Flores Pérez</v>
      </c>
      <c r="G5112" s="8">
        <v>1</v>
      </c>
      <c r="H5112" s="11">
        <v>1200</v>
      </c>
      <c r="I5112" s="12">
        <v>43044</v>
      </c>
      <c r="J5112" s="35">
        <f t="shared" si="704"/>
        <v>0</v>
      </c>
      <c r="K5112" s="36"/>
      <c r="L5112" s="36"/>
      <c r="M5112" s="36"/>
      <c r="N5112" s="36"/>
      <c r="O5112" s="36"/>
      <c r="P5112" s="36"/>
      <c r="Q5112" s="36"/>
      <c r="R5112" s="36"/>
      <c r="S5112" s="36"/>
      <c r="T5112" s="36"/>
      <c r="U5112" s="36"/>
      <c r="V5112" s="36"/>
      <c r="W5112" s="15">
        <f t="shared" si="705"/>
        <v>0</v>
      </c>
      <c r="X5112" s="36"/>
      <c r="Y5112" s="36"/>
      <c r="Z5112" s="36"/>
      <c r="AA5112" s="36"/>
      <c r="AB5112" s="36"/>
      <c r="AC5112" s="36">
        <v>400</v>
      </c>
      <c r="AD5112" s="36">
        <v>400</v>
      </c>
      <c r="AE5112" s="36">
        <v>400</v>
      </c>
      <c r="AF5112" s="36"/>
      <c r="AG5112" s="36"/>
      <c r="AH5112" s="36"/>
      <c r="AI5112" s="36"/>
      <c r="AJ5112" s="15">
        <f t="shared" si="706"/>
        <v>1200</v>
      </c>
      <c r="AK5112" s="14"/>
      <c r="AL5112" s="14"/>
      <c r="AM5112" s="14"/>
      <c r="AN5112" s="14"/>
      <c r="AO5112" s="14"/>
      <c r="AP5112" s="14"/>
      <c r="AQ5112" s="14"/>
      <c r="AR5112" s="14"/>
      <c r="AS5112" s="14"/>
      <c r="AT5112" s="14"/>
      <c r="AU5112" s="14"/>
      <c r="AV5112" s="14"/>
      <c r="AW5112" s="15">
        <f t="shared" si="707"/>
        <v>0</v>
      </c>
      <c r="AX5112" s="16"/>
    </row>
    <row r="5113" spans="2:50" x14ac:dyDescent="0.2">
      <c r="B5113" s="7"/>
      <c r="C5113" s="8">
        <v>15320</v>
      </c>
      <c r="D5113" s="9" t="s">
        <v>794</v>
      </c>
      <c r="E5113" s="10" t="str">
        <f t="shared" si="702"/>
        <v>Rancho Landero No. 18</v>
      </c>
      <c r="F5113" s="10" t="str">
        <f t="shared" si="703"/>
        <v>Rosado</v>
      </c>
      <c r="G5113" s="8">
        <v>1</v>
      </c>
      <c r="H5113" s="11">
        <v>300</v>
      </c>
      <c r="I5113" s="12">
        <v>43044</v>
      </c>
      <c r="J5113" s="35">
        <f t="shared" si="704"/>
        <v>0</v>
      </c>
      <c r="K5113" s="36"/>
      <c r="L5113" s="36"/>
      <c r="M5113" s="36"/>
      <c r="N5113" s="36"/>
      <c r="O5113" s="36"/>
      <c r="P5113" s="36"/>
      <c r="Q5113" s="36"/>
      <c r="R5113" s="36"/>
      <c r="S5113" s="36"/>
      <c r="T5113" s="36"/>
      <c r="U5113" s="36"/>
      <c r="V5113" s="36"/>
      <c r="W5113" s="15">
        <f t="shared" si="705"/>
        <v>0</v>
      </c>
      <c r="X5113" s="36"/>
      <c r="Y5113" s="36"/>
      <c r="Z5113" s="36"/>
      <c r="AA5113" s="36"/>
      <c r="AB5113" s="36"/>
      <c r="AC5113" s="36"/>
      <c r="AD5113" s="36"/>
      <c r="AE5113" s="36"/>
      <c r="AF5113" s="36"/>
      <c r="AG5113" s="36">
        <v>300</v>
      </c>
      <c r="AH5113" s="36"/>
      <c r="AI5113" s="36"/>
      <c r="AJ5113" s="15">
        <f t="shared" si="706"/>
        <v>300</v>
      </c>
      <c r="AK5113" s="14"/>
      <c r="AL5113" s="14"/>
      <c r="AM5113" s="14"/>
      <c r="AN5113" s="14"/>
      <c r="AO5113" s="14"/>
      <c r="AP5113" s="14"/>
      <c r="AQ5113" s="14"/>
      <c r="AR5113" s="14"/>
      <c r="AS5113" s="14"/>
      <c r="AT5113" s="14"/>
      <c r="AU5113" s="14"/>
      <c r="AV5113" s="14"/>
      <c r="AW5113" s="15">
        <f t="shared" si="707"/>
        <v>0</v>
      </c>
      <c r="AX5113" s="16"/>
    </row>
    <row r="5114" spans="2:50" x14ac:dyDescent="0.2">
      <c r="B5114" s="7"/>
      <c r="C5114" s="8">
        <v>15321</v>
      </c>
      <c r="D5114" s="9" t="s">
        <v>265</v>
      </c>
      <c r="E5114" s="10" t="str">
        <f t="shared" si="702"/>
        <v>Rancho Upácuaro No. 85</v>
      </c>
      <c r="F5114" s="10" t="str">
        <f t="shared" si="703"/>
        <v>Del Toro Huerta</v>
      </c>
      <c r="G5114" s="8">
        <v>1</v>
      </c>
      <c r="H5114" s="11">
        <v>400</v>
      </c>
      <c r="I5114" s="12">
        <v>43044</v>
      </c>
      <c r="J5114" s="35">
        <f t="shared" si="704"/>
        <v>0</v>
      </c>
      <c r="K5114" s="36"/>
      <c r="L5114" s="36"/>
      <c r="M5114" s="36"/>
      <c r="N5114" s="36"/>
      <c r="O5114" s="36"/>
      <c r="P5114" s="36"/>
      <c r="Q5114" s="36"/>
      <c r="R5114" s="36"/>
      <c r="S5114" s="36"/>
      <c r="T5114" s="36"/>
      <c r="U5114" s="36"/>
      <c r="V5114" s="36"/>
      <c r="W5114" s="15">
        <f t="shared" si="705"/>
        <v>0</v>
      </c>
      <c r="X5114" s="36"/>
      <c r="Y5114" s="36"/>
      <c r="Z5114" s="36"/>
      <c r="AA5114" s="36"/>
      <c r="AB5114" s="36"/>
      <c r="AC5114" s="36"/>
      <c r="AD5114" s="36"/>
      <c r="AE5114" s="36"/>
      <c r="AF5114" s="36"/>
      <c r="AG5114" s="36"/>
      <c r="AH5114" s="36">
        <v>400</v>
      </c>
      <c r="AI5114" s="36"/>
      <c r="AJ5114" s="15">
        <f t="shared" si="706"/>
        <v>400</v>
      </c>
      <c r="AK5114" s="14"/>
      <c r="AL5114" s="14"/>
      <c r="AM5114" s="14"/>
      <c r="AN5114" s="14"/>
      <c r="AO5114" s="14"/>
      <c r="AP5114" s="14"/>
      <c r="AQ5114" s="14"/>
      <c r="AR5114" s="14"/>
      <c r="AS5114" s="14"/>
      <c r="AT5114" s="14"/>
      <c r="AU5114" s="14"/>
      <c r="AV5114" s="14"/>
      <c r="AW5114" s="15">
        <f t="shared" si="707"/>
        <v>0</v>
      </c>
      <c r="AX5114" s="16"/>
    </row>
    <row r="5115" spans="2:50" x14ac:dyDescent="0.2">
      <c r="B5115" s="7"/>
      <c r="C5115" s="8">
        <v>15322</v>
      </c>
      <c r="D5115" s="9" t="s">
        <v>180</v>
      </c>
      <c r="E5115" s="10" t="str">
        <f t="shared" si="702"/>
        <v>Rancho Landero No. 80</v>
      </c>
      <c r="F5115" s="10" t="str">
        <f t="shared" si="703"/>
        <v>Caballero</v>
      </c>
      <c r="G5115" s="8">
        <v>1</v>
      </c>
      <c r="H5115" s="11">
        <v>800</v>
      </c>
      <c r="I5115" s="12">
        <v>43044</v>
      </c>
      <c r="J5115" s="35">
        <f t="shared" si="704"/>
        <v>0</v>
      </c>
      <c r="K5115" s="36"/>
      <c r="L5115" s="36"/>
      <c r="M5115" s="36"/>
      <c r="N5115" s="36"/>
      <c r="O5115" s="36"/>
      <c r="P5115" s="36"/>
      <c r="Q5115" s="36"/>
      <c r="R5115" s="36"/>
      <c r="S5115" s="36"/>
      <c r="T5115" s="36"/>
      <c r="U5115" s="36"/>
      <c r="V5115" s="36"/>
      <c r="W5115" s="15">
        <f t="shared" si="705"/>
        <v>0</v>
      </c>
      <c r="X5115" s="36"/>
      <c r="Y5115" s="36"/>
      <c r="Z5115" s="36"/>
      <c r="AA5115" s="36"/>
      <c r="AB5115" s="36"/>
      <c r="AC5115" s="36"/>
      <c r="AD5115" s="36"/>
      <c r="AE5115" s="36"/>
      <c r="AF5115" s="36"/>
      <c r="AG5115" s="36"/>
      <c r="AH5115" s="36">
        <v>400</v>
      </c>
      <c r="AI5115" s="36">
        <v>400</v>
      </c>
      <c r="AJ5115" s="15">
        <f t="shared" si="706"/>
        <v>800</v>
      </c>
      <c r="AK5115" s="14"/>
      <c r="AL5115" s="14"/>
      <c r="AM5115" s="14"/>
      <c r="AN5115" s="14"/>
      <c r="AO5115" s="14"/>
      <c r="AP5115" s="14"/>
      <c r="AQ5115" s="14"/>
      <c r="AR5115" s="14"/>
      <c r="AS5115" s="14"/>
      <c r="AT5115" s="14"/>
      <c r="AU5115" s="14"/>
      <c r="AV5115" s="14"/>
      <c r="AW5115" s="15">
        <f t="shared" si="707"/>
        <v>0</v>
      </c>
      <c r="AX5115" s="16"/>
    </row>
    <row r="5116" spans="2:50" x14ac:dyDescent="0.2">
      <c r="B5116" s="7"/>
      <c r="C5116" s="8">
        <v>15323</v>
      </c>
      <c r="D5116" s="9" t="s">
        <v>280</v>
      </c>
      <c r="E5116" s="10" t="str">
        <f t="shared" si="702"/>
        <v>Rancho La Cuchilla No. 40</v>
      </c>
      <c r="F5116" s="10" t="str">
        <f t="shared" si="703"/>
        <v>López Pico</v>
      </c>
      <c r="G5116" s="8">
        <v>1</v>
      </c>
      <c r="H5116" s="11">
        <v>400</v>
      </c>
      <c r="I5116" s="12">
        <v>43044</v>
      </c>
      <c r="J5116" s="35">
        <f t="shared" si="704"/>
        <v>0</v>
      </c>
      <c r="K5116" s="36"/>
      <c r="L5116" s="36"/>
      <c r="M5116" s="36"/>
      <c r="N5116" s="36"/>
      <c r="O5116" s="36"/>
      <c r="P5116" s="36"/>
      <c r="Q5116" s="36"/>
      <c r="R5116" s="36"/>
      <c r="S5116" s="36"/>
      <c r="T5116" s="36"/>
      <c r="U5116" s="36"/>
      <c r="V5116" s="36"/>
      <c r="W5116" s="15">
        <f t="shared" si="705"/>
        <v>0</v>
      </c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>
        <v>400</v>
      </c>
      <c r="AI5116" s="36"/>
      <c r="AJ5116" s="15">
        <f t="shared" si="706"/>
        <v>400</v>
      </c>
      <c r="AK5116" s="14"/>
      <c r="AL5116" s="14"/>
      <c r="AM5116" s="14"/>
      <c r="AN5116" s="14"/>
      <c r="AO5116" s="14"/>
      <c r="AP5116" s="14"/>
      <c r="AQ5116" s="14"/>
      <c r="AR5116" s="14"/>
      <c r="AS5116" s="14"/>
      <c r="AT5116" s="14"/>
      <c r="AU5116" s="14"/>
      <c r="AV5116" s="14"/>
      <c r="AW5116" s="15">
        <f t="shared" si="707"/>
        <v>0</v>
      </c>
      <c r="AX5116" s="16"/>
    </row>
    <row r="5117" spans="2:50" x14ac:dyDescent="0.2">
      <c r="B5117" s="7"/>
      <c r="C5117" s="8">
        <v>15324</v>
      </c>
      <c r="D5117" s="9" t="s">
        <v>238</v>
      </c>
      <c r="E5117" s="10" t="str">
        <f t="shared" si="702"/>
        <v>Rancho La Cuchilla No. 43, B</v>
      </c>
      <c r="F5117" s="10" t="str">
        <f t="shared" si="703"/>
        <v>Luna Albertano</v>
      </c>
      <c r="G5117" s="8">
        <v>1</v>
      </c>
      <c r="H5117" s="11">
        <v>125</v>
      </c>
      <c r="I5117" s="12">
        <v>43044</v>
      </c>
      <c r="J5117" s="35">
        <f t="shared" si="704"/>
        <v>0</v>
      </c>
      <c r="K5117" s="36"/>
      <c r="L5117" s="36"/>
      <c r="M5117" s="36"/>
      <c r="N5117" s="36"/>
      <c r="O5117" s="36"/>
      <c r="P5117" s="36"/>
      <c r="Q5117" s="36"/>
      <c r="R5117" s="36"/>
      <c r="S5117" s="36"/>
      <c r="T5117" s="36"/>
      <c r="U5117" s="36"/>
      <c r="V5117" s="36"/>
      <c r="W5117" s="15">
        <f t="shared" si="705"/>
        <v>0</v>
      </c>
      <c r="X5117" s="36"/>
      <c r="Y5117" s="36"/>
      <c r="Z5117" s="36"/>
      <c r="AA5117" s="36"/>
      <c r="AB5117" s="36"/>
      <c r="AC5117" s="36"/>
      <c r="AD5117" s="36"/>
      <c r="AE5117" s="36"/>
      <c r="AF5117" s="36"/>
      <c r="AG5117" s="36"/>
      <c r="AH5117" s="36">
        <v>125</v>
      </c>
      <c r="AI5117" s="36"/>
      <c r="AJ5117" s="15">
        <f t="shared" si="706"/>
        <v>125</v>
      </c>
      <c r="AK5117" s="14"/>
      <c r="AL5117" s="14"/>
      <c r="AM5117" s="14"/>
      <c r="AN5117" s="14"/>
      <c r="AO5117" s="14"/>
      <c r="AP5117" s="14"/>
      <c r="AQ5117" s="14"/>
      <c r="AR5117" s="14"/>
      <c r="AS5117" s="14"/>
      <c r="AT5117" s="14"/>
      <c r="AU5117" s="14"/>
      <c r="AV5117" s="14"/>
      <c r="AW5117" s="15">
        <f t="shared" si="707"/>
        <v>0</v>
      </c>
      <c r="AX5117" s="16"/>
    </row>
    <row r="5118" spans="2:50" x14ac:dyDescent="0.2">
      <c r="B5118" s="7"/>
      <c r="C5118" s="8">
        <v>15325</v>
      </c>
      <c r="D5118" s="9" t="s">
        <v>562</v>
      </c>
      <c r="E5118" s="10" t="str">
        <f t="shared" si="702"/>
        <v>Rancho Upácuaro No. 87</v>
      </c>
      <c r="F5118" s="10" t="str">
        <f t="shared" si="703"/>
        <v>Rodríguez Parés</v>
      </c>
      <c r="G5118" s="8">
        <v>1</v>
      </c>
      <c r="H5118" s="11">
        <v>400</v>
      </c>
      <c r="I5118" s="12">
        <v>43044</v>
      </c>
      <c r="J5118" s="35">
        <f t="shared" si="704"/>
        <v>0</v>
      </c>
      <c r="K5118" s="36"/>
      <c r="L5118" s="36"/>
      <c r="M5118" s="36"/>
      <c r="N5118" s="36"/>
      <c r="O5118" s="36"/>
      <c r="P5118" s="36"/>
      <c r="Q5118" s="36"/>
      <c r="R5118" s="36"/>
      <c r="S5118" s="36"/>
      <c r="T5118" s="36"/>
      <c r="U5118" s="36"/>
      <c r="V5118" s="36"/>
      <c r="W5118" s="15">
        <f t="shared" si="705"/>
        <v>0</v>
      </c>
      <c r="X5118" s="36"/>
      <c r="Y5118" s="36"/>
      <c r="Z5118" s="36"/>
      <c r="AA5118" s="36"/>
      <c r="AB5118" s="36"/>
      <c r="AC5118" s="36"/>
      <c r="AD5118" s="36"/>
      <c r="AE5118" s="36"/>
      <c r="AF5118" s="36"/>
      <c r="AG5118" s="36"/>
      <c r="AH5118" s="36">
        <v>400</v>
      </c>
      <c r="AI5118" s="36"/>
      <c r="AJ5118" s="15">
        <f t="shared" si="706"/>
        <v>400</v>
      </c>
      <c r="AK5118" s="14"/>
      <c r="AL5118" s="14"/>
      <c r="AM5118" s="14"/>
      <c r="AN5118" s="14"/>
      <c r="AO5118" s="14"/>
      <c r="AP5118" s="14"/>
      <c r="AQ5118" s="14"/>
      <c r="AR5118" s="14"/>
      <c r="AS5118" s="14"/>
      <c r="AT5118" s="14"/>
      <c r="AU5118" s="14"/>
      <c r="AV5118" s="14"/>
      <c r="AW5118" s="15">
        <f t="shared" si="707"/>
        <v>0</v>
      </c>
      <c r="AX5118" s="16"/>
    </row>
    <row r="5119" spans="2:50" x14ac:dyDescent="0.2">
      <c r="B5119" s="7"/>
      <c r="C5119" s="8">
        <v>15326</v>
      </c>
      <c r="D5119" s="9" t="s">
        <v>247</v>
      </c>
      <c r="E5119" s="10" t="str">
        <f t="shared" si="702"/>
        <v>Rancho Landero No. 91</v>
      </c>
      <c r="F5119" s="10" t="str">
        <f t="shared" si="703"/>
        <v>Llaca</v>
      </c>
      <c r="G5119" s="8">
        <v>1</v>
      </c>
      <c r="H5119" s="11">
        <v>800</v>
      </c>
      <c r="I5119" s="12">
        <v>43044</v>
      </c>
      <c r="J5119" s="35">
        <f t="shared" si="704"/>
        <v>0</v>
      </c>
      <c r="K5119" s="36"/>
      <c r="L5119" s="36"/>
      <c r="M5119" s="36"/>
      <c r="N5119" s="36"/>
      <c r="O5119" s="36"/>
      <c r="P5119" s="36"/>
      <c r="Q5119" s="36"/>
      <c r="R5119" s="36"/>
      <c r="S5119" s="36"/>
      <c r="T5119" s="36"/>
      <c r="U5119" s="36"/>
      <c r="V5119" s="36"/>
      <c r="W5119" s="15">
        <f t="shared" si="705"/>
        <v>0</v>
      </c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>
        <v>400</v>
      </c>
      <c r="AI5119" s="36">
        <v>400</v>
      </c>
      <c r="AJ5119" s="15">
        <f t="shared" si="706"/>
        <v>800</v>
      </c>
      <c r="AK5119" s="14"/>
      <c r="AL5119" s="14"/>
      <c r="AM5119" s="14"/>
      <c r="AN5119" s="14"/>
      <c r="AO5119" s="14"/>
      <c r="AP5119" s="14"/>
      <c r="AQ5119" s="14"/>
      <c r="AR5119" s="14"/>
      <c r="AS5119" s="14"/>
      <c r="AT5119" s="14"/>
      <c r="AU5119" s="14"/>
      <c r="AV5119" s="14"/>
      <c r="AW5119" s="15">
        <f t="shared" si="707"/>
        <v>0</v>
      </c>
      <c r="AX5119" s="16"/>
    </row>
    <row r="5120" spans="2:50" x14ac:dyDescent="0.2">
      <c r="B5120" s="7"/>
      <c r="C5120" s="8">
        <v>15327</v>
      </c>
      <c r="D5120" s="9" t="s">
        <v>617</v>
      </c>
      <c r="E5120" s="10" t="str">
        <f t="shared" si="702"/>
        <v>Rancho Zinamba No. 50</v>
      </c>
      <c r="F5120" s="10" t="str">
        <f t="shared" si="703"/>
        <v>Del Castillo</v>
      </c>
      <c r="G5120" s="8">
        <v>1</v>
      </c>
      <c r="H5120" s="11">
        <v>400</v>
      </c>
      <c r="I5120" s="12">
        <v>43044</v>
      </c>
      <c r="J5120" s="35">
        <f t="shared" si="704"/>
        <v>0</v>
      </c>
      <c r="K5120" s="36"/>
      <c r="L5120" s="36"/>
      <c r="M5120" s="36"/>
      <c r="N5120" s="36"/>
      <c r="O5120" s="36"/>
      <c r="P5120" s="36"/>
      <c r="Q5120" s="36"/>
      <c r="R5120" s="36"/>
      <c r="S5120" s="36"/>
      <c r="T5120" s="36"/>
      <c r="U5120" s="36"/>
      <c r="V5120" s="36"/>
      <c r="W5120" s="15">
        <f t="shared" si="705"/>
        <v>0</v>
      </c>
      <c r="X5120" s="36"/>
      <c r="Y5120" s="36"/>
      <c r="Z5120" s="36"/>
      <c r="AA5120" s="36"/>
      <c r="AB5120" s="36"/>
      <c r="AC5120" s="36"/>
      <c r="AD5120" s="36"/>
      <c r="AE5120" s="36"/>
      <c r="AF5120" s="36">
        <v>400</v>
      </c>
      <c r="AG5120" s="36"/>
      <c r="AH5120" s="36"/>
      <c r="AI5120" s="36"/>
      <c r="AJ5120" s="15">
        <f t="shared" si="706"/>
        <v>400</v>
      </c>
      <c r="AK5120" s="14"/>
      <c r="AL5120" s="14"/>
      <c r="AM5120" s="14"/>
      <c r="AN5120" s="14"/>
      <c r="AO5120" s="14"/>
      <c r="AP5120" s="14"/>
      <c r="AQ5120" s="14"/>
      <c r="AR5120" s="14"/>
      <c r="AS5120" s="14"/>
      <c r="AT5120" s="14"/>
      <c r="AU5120" s="14"/>
      <c r="AV5120" s="14"/>
      <c r="AW5120" s="15">
        <f t="shared" si="707"/>
        <v>0</v>
      </c>
      <c r="AX5120" s="16"/>
    </row>
    <row r="5121" spans="2:50" x14ac:dyDescent="0.2">
      <c r="B5121" s="7"/>
      <c r="C5121" s="8">
        <v>15328</v>
      </c>
      <c r="D5121" s="9" t="s">
        <v>226</v>
      </c>
      <c r="E5121" s="10" t="str">
        <f t="shared" si="702"/>
        <v>Rancho Landero No. 31</v>
      </c>
      <c r="F5121" s="10" t="str">
        <f t="shared" si="703"/>
        <v>Díaz Hernández</v>
      </c>
      <c r="G5121" s="8">
        <v>1</v>
      </c>
      <c r="H5121" s="11">
        <v>200</v>
      </c>
      <c r="I5121" s="12">
        <v>43044</v>
      </c>
      <c r="J5121" s="35">
        <f t="shared" si="704"/>
        <v>0</v>
      </c>
      <c r="K5121" s="36"/>
      <c r="L5121" s="36"/>
      <c r="M5121" s="36"/>
      <c r="N5121" s="36"/>
      <c r="O5121" s="36"/>
      <c r="P5121" s="36"/>
      <c r="Q5121" s="36"/>
      <c r="R5121" s="36"/>
      <c r="S5121" s="36"/>
      <c r="T5121" s="36"/>
      <c r="U5121" s="36"/>
      <c r="V5121" s="36"/>
      <c r="W5121" s="15">
        <f t="shared" si="705"/>
        <v>0</v>
      </c>
      <c r="X5121" s="36"/>
      <c r="Y5121" s="36"/>
      <c r="Z5121" s="36"/>
      <c r="AA5121" s="36"/>
      <c r="AB5121" s="36"/>
      <c r="AC5121" s="36"/>
      <c r="AD5121" s="36"/>
      <c r="AE5121" s="36"/>
      <c r="AF5121" s="36"/>
      <c r="AG5121" s="36"/>
      <c r="AH5121" s="36">
        <v>200</v>
      </c>
      <c r="AI5121" s="36"/>
      <c r="AJ5121" s="15">
        <f t="shared" si="706"/>
        <v>200</v>
      </c>
      <c r="AK5121" s="14"/>
      <c r="AL5121" s="14"/>
      <c r="AM5121" s="14"/>
      <c r="AN5121" s="14"/>
      <c r="AO5121" s="14"/>
      <c r="AP5121" s="14"/>
      <c r="AQ5121" s="14"/>
      <c r="AR5121" s="14"/>
      <c r="AS5121" s="14"/>
      <c r="AT5121" s="14"/>
      <c r="AU5121" s="14"/>
      <c r="AV5121" s="14"/>
      <c r="AW5121" s="15">
        <f t="shared" si="707"/>
        <v>0</v>
      </c>
      <c r="AX5121" s="16"/>
    </row>
    <row r="5122" spans="2:50" x14ac:dyDescent="0.2">
      <c r="B5122" s="7"/>
      <c r="C5122" s="8">
        <v>15329</v>
      </c>
      <c r="D5122" s="9" t="s">
        <v>171</v>
      </c>
      <c r="E5122" s="10" t="str">
        <f t="shared" si="702"/>
        <v>Rancho La Cuchilla No. 72</v>
      </c>
      <c r="F5122" s="10" t="str">
        <f t="shared" si="703"/>
        <v>Ortiz González</v>
      </c>
      <c r="G5122" s="8">
        <v>1</v>
      </c>
      <c r="H5122" s="11">
        <v>400</v>
      </c>
      <c r="I5122" s="12">
        <v>43044</v>
      </c>
      <c r="J5122" s="35">
        <f t="shared" si="704"/>
        <v>0</v>
      </c>
      <c r="K5122" s="36"/>
      <c r="L5122" s="36"/>
      <c r="M5122" s="36"/>
      <c r="N5122" s="36"/>
      <c r="O5122" s="36"/>
      <c r="P5122" s="36"/>
      <c r="Q5122" s="36"/>
      <c r="R5122" s="36"/>
      <c r="S5122" s="36"/>
      <c r="T5122" s="36"/>
      <c r="U5122" s="36"/>
      <c r="V5122" s="36"/>
      <c r="W5122" s="15">
        <f t="shared" si="705"/>
        <v>0</v>
      </c>
      <c r="X5122" s="36"/>
      <c r="Y5122" s="36"/>
      <c r="Z5122" s="36"/>
      <c r="AA5122" s="36"/>
      <c r="AB5122" s="36"/>
      <c r="AC5122" s="36"/>
      <c r="AD5122" s="36"/>
      <c r="AE5122" s="36"/>
      <c r="AF5122" s="36"/>
      <c r="AG5122" s="36"/>
      <c r="AH5122" s="36">
        <v>400</v>
      </c>
      <c r="AI5122" s="36"/>
      <c r="AJ5122" s="15">
        <f t="shared" si="706"/>
        <v>400</v>
      </c>
      <c r="AK5122" s="14"/>
      <c r="AL5122" s="14"/>
      <c r="AM5122" s="14"/>
      <c r="AN5122" s="14"/>
      <c r="AO5122" s="14"/>
      <c r="AP5122" s="14"/>
      <c r="AQ5122" s="14"/>
      <c r="AR5122" s="14"/>
      <c r="AS5122" s="14"/>
      <c r="AT5122" s="14"/>
      <c r="AU5122" s="14"/>
      <c r="AV5122" s="14"/>
      <c r="AW5122" s="15">
        <f t="shared" si="707"/>
        <v>0</v>
      </c>
      <c r="AX5122" s="16"/>
    </row>
    <row r="5123" spans="2:50" x14ac:dyDescent="0.2">
      <c r="B5123" s="7"/>
      <c r="C5123" s="8">
        <v>15330</v>
      </c>
      <c r="D5123" s="9" t="s">
        <v>544</v>
      </c>
      <c r="E5123" s="10" t="str">
        <f t="shared" si="702"/>
        <v>Rancho Estanzuela No. 89</v>
      </c>
      <c r="F5123" s="10" t="str">
        <f t="shared" si="703"/>
        <v>Romero Ortiz</v>
      </c>
      <c r="G5123" s="8">
        <v>1</v>
      </c>
      <c r="H5123" s="11">
        <v>400</v>
      </c>
      <c r="I5123" s="12">
        <v>43044</v>
      </c>
      <c r="J5123" s="35">
        <f t="shared" si="704"/>
        <v>0</v>
      </c>
      <c r="K5123" s="36"/>
      <c r="L5123" s="36"/>
      <c r="M5123" s="36"/>
      <c r="N5123" s="36"/>
      <c r="O5123" s="36"/>
      <c r="P5123" s="36"/>
      <c r="Q5123" s="36"/>
      <c r="R5123" s="36"/>
      <c r="S5123" s="36"/>
      <c r="T5123" s="36"/>
      <c r="U5123" s="36"/>
      <c r="V5123" s="36"/>
      <c r="W5123" s="15">
        <f t="shared" si="705"/>
        <v>0</v>
      </c>
      <c r="X5123" s="36"/>
      <c r="Y5123" s="36"/>
      <c r="Z5123" s="36"/>
      <c r="AA5123" s="36"/>
      <c r="AB5123" s="36"/>
      <c r="AC5123" s="36"/>
      <c r="AD5123" s="36"/>
      <c r="AE5123" s="36"/>
      <c r="AF5123" s="36"/>
      <c r="AG5123" s="36"/>
      <c r="AH5123" s="36">
        <v>400</v>
      </c>
      <c r="AI5123" s="36"/>
      <c r="AJ5123" s="15">
        <f t="shared" si="706"/>
        <v>400</v>
      </c>
      <c r="AK5123" s="14"/>
      <c r="AL5123" s="14"/>
      <c r="AM5123" s="14"/>
      <c r="AN5123" s="14"/>
      <c r="AO5123" s="14"/>
      <c r="AP5123" s="14"/>
      <c r="AQ5123" s="14"/>
      <c r="AR5123" s="14"/>
      <c r="AS5123" s="14"/>
      <c r="AT5123" s="14"/>
      <c r="AU5123" s="14"/>
      <c r="AV5123" s="14"/>
      <c r="AW5123" s="15">
        <f t="shared" si="707"/>
        <v>0</v>
      </c>
      <c r="AX5123" s="16"/>
    </row>
    <row r="5124" spans="2:50" x14ac:dyDescent="0.2">
      <c r="B5124" s="7"/>
      <c r="C5124" s="8">
        <v>15331</v>
      </c>
      <c r="D5124" s="9" t="s">
        <v>556</v>
      </c>
      <c r="E5124" s="10" t="str">
        <f t="shared" si="702"/>
        <v>Rancho Zinamba No. 26</v>
      </c>
      <c r="F5124" s="10" t="str">
        <f t="shared" si="703"/>
        <v>Ayala</v>
      </c>
      <c r="G5124" s="8">
        <v>1</v>
      </c>
      <c r="H5124" s="11">
        <v>400</v>
      </c>
      <c r="I5124" s="12">
        <v>43044</v>
      </c>
      <c r="J5124" s="35">
        <f t="shared" si="704"/>
        <v>0</v>
      </c>
      <c r="K5124" s="36"/>
      <c r="L5124" s="36"/>
      <c r="M5124" s="36"/>
      <c r="N5124" s="36"/>
      <c r="O5124" s="36"/>
      <c r="P5124" s="36"/>
      <c r="Q5124" s="36"/>
      <c r="R5124" s="36"/>
      <c r="S5124" s="36"/>
      <c r="T5124" s="36"/>
      <c r="U5124" s="36"/>
      <c r="V5124" s="36"/>
      <c r="W5124" s="15">
        <f t="shared" si="705"/>
        <v>0</v>
      </c>
      <c r="X5124" s="36"/>
      <c r="Y5124" s="36"/>
      <c r="Z5124" s="36"/>
      <c r="AA5124" s="36"/>
      <c r="AB5124" s="36"/>
      <c r="AC5124" s="36"/>
      <c r="AD5124" s="36"/>
      <c r="AE5124" s="36"/>
      <c r="AF5124" s="36">
        <v>400</v>
      </c>
      <c r="AG5124" s="36"/>
      <c r="AH5124" s="36"/>
      <c r="AI5124" s="36"/>
      <c r="AJ5124" s="15">
        <f t="shared" si="706"/>
        <v>400</v>
      </c>
      <c r="AK5124" s="14"/>
      <c r="AL5124" s="14"/>
      <c r="AM5124" s="14"/>
      <c r="AN5124" s="14"/>
      <c r="AO5124" s="14"/>
      <c r="AP5124" s="14"/>
      <c r="AQ5124" s="14"/>
      <c r="AR5124" s="14"/>
      <c r="AS5124" s="14"/>
      <c r="AT5124" s="14"/>
      <c r="AU5124" s="14"/>
      <c r="AV5124" s="14"/>
      <c r="AW5124" s="15">
        <f t="shared" si="707"/>
        <v>0</v>
      </c>
      <c r="AX5124" s="16"/>
    </row>
    <row r="5125" spans="2:50" x14ac:dyDescent="0.2">
      <c r="B5125" s="7"/>
      <c r="C5125" s="8">
        <v>15332</v>
      </c>
      <c r="D5125" s="9" t="s">
        <v>129</v>
      </c>
      <c r="E5125" s="10" t="str">
        <f t="shared" si="702"/>
        <v>Rancho Zinamba No. 44</v>
      </c>
      <c r="F5125" s="10" t="str">
        <f t="shared" si="703"/>
        <v>Canales</v>
      </c>
      <c r="G5125" s="8">
        <v>1</v>
      </c>
      <c r="H5125" s="11">
        <v>400</v>
      </c>
      <c r="I5125" s="12">
        <v>43044</v>
      </c>
      <c r="J5125" s="35">
        <f t="shared" si="704"/>
        <v>0</v>
      </c>
      <c r="K5125" s="36"/>
      <c r="L5125" s="36"/>
      <c r="M5125" s="36"/>
      <c r="N5125" s="36"/>
      <c r="O5125" s="36"/>
      <c r="P5125" s="36"/>
      <c r="Q5125" s="36"/>
      <c r="R5125" s="36"/>
      <c r="S5125" s="36"/>
      <c r="T5125" s="36"/>
      <c r="U5125" s="36"/>
      <c r="V5125" s="36"/>
      <c r="W5125" s="15">
        <f t="shared" si="705"/>
        <v>0</v>
      </c>
      <c r="X5125" s="36"/>
      <c r="Y5125" s="36"/>
      <c r="Z5125" s="36"/>
      <c r="AA5125" s="36"/>
      <c r="AB5125" s="36"/>
      <c r="AC5125" s="36"/>
      <c r="AD5125" s="36"/>
      <c r="AE5125" s="36"/>
      <c r="AF5125" s="36"/>
      <c r="AG5125" s="36"/>
      <c r="AH5125" s="36">
        <v>400</v>
      </c>
      <c r="AI5125" s="36"/>
      <c r="AJ5125" s="15">
        <f t="shared" si="706"/>
        <v>400</v>
      </c>
      <c r="AK5125" s="14"/>
      <c r="AL5125" s="14"/>
      <c r="AM5125" s="14"/>
      <c r="AN5125" s="14"/>
      <c r="AO5125" s="14"/>
      <c r="AP5125" s="14"/>
      <c r="AQ5125" s="14"/>
      <c r="AR5125" s="14"/>
      <c r="AS5125" s="14"/>
      <c r="AT5125" s="14"/>
      <c r="AU5125" s="14"/>
      <c r="AV5125" s="14"/>
      <c r="AW5125" s="15">
        <f t="shared" si="707"/>
        <v>0</v>
      </c>
      <c r="AX5125" s="16"/>
    </row>
    <row r="5126" spans="2:50" x14ac:dyDescent="0.2">
      <c r="B5126" s="7"/>
      <c r="C5126" s="8">
        <v>15333</v>
      </c>
      <c r="D5126" s="9" t="s">
        <v>922</v>
      </c>
      <c r="E5126" s="10" t="str">
        <f t="shared" ref="E5126:E5162" si="708">IF(D5126=0,"",VLOOKUP(D5126,BASE,2,FALSE))</f>
        <v>Rancho Estanzuela No. 75</v>
      </c>
      <c r="F5126" s="10" t="str">
        <f t="shared" ref="F5126:F5162" si="709">IF(D5126=0,"",VLOOKUP(D5126,BASE,3,FALSE))</f>
        <v>Candela Pons</v>
      </c>
      <c r="G5126" s="8">
        <v>1</v>
      </c>
      <c r="H5126" s="11">
        <v>1250</v>
      </c>
      <c r="I5126" s="12">
        <v>43044</v>
      </c>
      <c r="J5126" s="35">
        <f t="shared" ref="J5126:J5162" si="710">IF(G5126=1,SUM(W5126,AJ5126,AW5126,-H5126),0)</f>
        <v>0</v>
      </c>
      <c r="K5126" s="36"/>
      <c r="L5126" s="36"/>
      <c r="M5126" s="36"/>
      <c r="N5126" s="36"/>
      <c r="O5126" s="36"/>
      <c r="P5126" s="36"/>
      <c r="Q5126" s="36"/>
      <c r="R5126" s="36"/>
      <c r="S5126" s="36"/>
      <c r="T5126" s="36"/>
      <c r="U5126" s="36"/>
      <c r="V5126" s="36"/>
      <c r="W5126" s="15">
        <f t="shared" ref="W5126:W5162" si="711">SUM(K5126:V5126)</f>
        <v>0</v>
      </c>
      <c r="X5126" s="36"/>
      <c r="Y5126" s="36"/>
      <c r="Z5126" s="36"/>
      <c r="AA5126" s="36"/>
      <c r="AB5126" s="36"/>
      <c r="AC5126" s="36">
        <v>250</v>
      </c>
      <c r="AD5126" s="36">
        <v>250</v>
      </c>
      <c r="AE5126" s="36">
        <v>250</v>
      </c>
      <c r="AF5126" s="36">
        <v>250</v>
      </c>
      <c r="AG5126" s="36"/>
      <c r="AH5126" s="36">
        <v>250</v>
      </c>
      <c r="AI5126" s="36"/>
      <c r="AJ5126" s="15">
        <f t="shared" ref="AJ5126:AJ5162" si="712">SUM(X5126:AI5126)</f>
        <v>1250</v>
      </c>
      <c r="AK5126" s="14"/>
      <c r="AL5126" s="14"/>
      <c r="AM5126" s="14"/>
      <c r="AN5126" s="14"/>
      <c r="AO5126" s="14"/>
      <c r="AP5126" s="14"/>
      <c r="AQ5126" s="14"/>
      <c r="AR5126" s="14"/>
      <c r="AS5126" s="14"/>
      <c r="AT5126" s="14"/>
      <c r="AU5126" s="14"/>
      <c r="AV5126" s="14"/>
      <c r="AW5126" s="15">
        <f t="shared" ref="AW5126:AW5162" si="713">SUM(AK5126:AV5126)</f>
        <v>0</v>
      </c>
      <c r="AX5126" s="16"/>
    </row>
    <row r="5127" spans="2:50" x14ac:dyDescent="0.2">
      <c r="B5127" s="7"/>
      <c r="C5127" s="8">
        <v>15334</v>
      </c>
      <c r="D5127" s="9" t="s">
        <v>708</v>
      </c>
      <c r="E5127" s="10" t="str">
        <f t="shared" si="708"/>
        <v>Rancho Landero No. 21</v>
      </c>
      <c r="F5127" s="10" t="str">
        <f t="shared" si="709"/>
        <v>Meza</v>
      </c>
      <c r="G5127" s="8">
        <v>1</v>
      </c>
      <c r="H5127" s="11">
        <v>1200</v>
      </c>
      <c r="I5127" s="12">
        <v>42282</v>
      </c>
      <c r="J5127" s="35">
        <f t="shared" si="710"/>
        <v>0</v>
      </c>
      <c r="K5127" s="36"/>
      <c r="L5127" s="36"/>
      <c r="M5127" s="36"/>
      <c r="N5127" s="36"/>
      <c r="O5127" s="36"/>
      <c r="P5127" s="36"/>
      <c r="Q5127" s="36"/>
      <c r="R5127" s="36"/>
      <c r="S5127" s="36"/>
      <c r="T5127" s="36"/>
      <c r="U5127" s="36"/>
      <c r="V5127" s="36"/>
      <c r="W5127" s="15">
        <f t="shared" si="711"/>
        <v>0</v>
      </c>
      <c r="X5127" s="36"/>
      <c r="Y5127" s="36"/>
      <c r="Z5127" s="36"/>
      <c r="AA5127" s="36"/>
      <c r="AB5127" s="36"/>
      <c r="AC5127" s="36"/>
      <c r="AD5127" s="36"/>
      <c r="AE5127" s="36"/>
      <c r="AF5127" s="36">
        <v>400</v>
      </c>
      <c r="AG5127" s="36">
        <v>400</v>
      </c>
      <c r="AH5127" s="36">
        <v>400</v>
      </c>
      <c r="AI5127" s="36"/>
      <c r="AJ5127" s="15">
        <f t="shared" si="712"/>
        <v>1200</v>
      </c>
      <c r="AK5127" s="14"/>
      <c r="AL5127" s="14"/>
      <c r="AM5127" s="14"/>
      <c r="AN5127" s="14"/>
      <c r="AO5127" s="14"/>
      <c r="AP5127" s="14"/>
      <c r="AQ5127" s="14"/>
      <c r="AR5127" s="14"/>
      <c r="AS5127" s="14"/>
      <c r="AT5127" s="14"/>
      <c r="AU5127" s="14"/>
      <c r="AV5127" s="14"/>
      <c r="AW5127" s="15">
        <f t="shared" si="713"/>
        <v>0</v>
      </c>
      <c r="AX5127" s="16"/>
    </row>
    <row r="5128" spans="2:50" x14ac:dyDescent="0.2">
      <c r="B5128" s="7"/>
      <c r="C5128" s="8">
        <v>15335</v>
      </c>
      <c r="D5128" s="9" t="s">
        <v>574</v>
      </c>
      <c r="E5128" s="10" t="str">
        <f t="shared" si="708"/>
        <v xml:space="preserve">Rancho Upácuaro No. 94 </v>
      </c>
      <c r="F5128" s="10" t="str">
        <f t="shared" si="709"/>
        <v>Juárez Patiño</v>
      </c>
      <c r="G5128" s="8">
        <v>1</v>
      </c>
      <c r="H5128" s="11">
        <v>300</v>
      </c>
      <c r="I5128" s="12">
        <v>43044</v>
      </c>
      <c r="J5128" s="35">
        <f t="shared" si="710"/>
        <v>0</v>
      </c>
      <c r="K5128" s="36"/>
      <c r="L5128" s="36"/>
      <c r="M5128" s="36"/>
      <c r="N5128" s="36"/>
      <c r="O5128" s="36"/>
      <c r="P5128" s="36"/>
      <c r="Q5128" s="36"/>
      <c r="R5128" s="36"/>
      <c r="S5128" s="36"/>
      <c r="T5128" s="36"/>
      <c r="U5128" s="36"/>
      <c r="V5128" s="36"/>
      <c r="W5128" s="15">
        <f t="shared" si="711"/>
        <v>0</v>
      </c>
      <c r="X5128" s="36"/>
      <c r="Y5128" s="36"/>
      <c r="Z5128" s="36"/>
      <c r="AA5128" s="36"/>
      <c r="AB5128" s="36"/>
      <c r="AC5128" s="36"/>
      <c r="AD5128" s="36"/>
      <c r="AE5128" s="36"/>
      <c r="AF5128" s="36"/>
      <c r="AG5128" s="36"/>
      <c r="AH5128" s="36">
        <v>300</v>
      </c>
      <c r="AI5128" s="36"/>
      <c r="AJ5128" s="15">
        <f t="shared" si="712"/>
        <v>300</v>
      </c>
      <c r="AK5128" s="14"/>
      <c r="AL5128" s="14"/>
      <c r="AM5128" s="14"/>
      <c r="AN5128" s="14"/>
      <c r="AO5128" s="14"/>
      <c r="AP5128" s="14"/>
      <c r="AQ5128" s="14"/>
      <c r="AR5128" s="14"/>
      <c r="AS5128" s="14"/>
      <c r="AT5128" s="14"/>
      <c r="AU5128" s="14"/>
      <c r="AV5128" s="14"/>
      <c r="AW5128" s="15">
        <f t="shared" si="713"/>
        <v>0</v>
      </c>
      <c r="AX5128" s="16"/>
    </row>
    <row r="5129" spans="2:50" x14ac:dyDescent="0.2">
      <c r="B5129" s="7"/>
      <c r="C5129" s="8">
        <v>13536</v>
      </c>
      <c r="D5129" s="9" t="s">
        <v>109</v>
      </c>
      <c r="E5129" s="10" t="str">
        <f t="shared" si="708"/>
        <v>Rancho Estanzuela No. 31</v>
      </c>
      <c r="F5129" s="10" t="str">
        <f t="shared" si="709"/>
        <v>Chávez Valdés</v>
      </c>
      <c r="G5129" s="8">
        <v>1</v>
      </c>
      <c r="H5129" s="11">
        <v>400</v>
      </c>
      <c r="I5129" s="12">
        <v>43044</v>
      </c>
      <c r="J5129" s="35">
        <f t="shared" si="710"/>
        <v>0</v>
      </c>
      <c r="K5129" s="36"/>
      <c r="L5129" s="36"/>
      <c r="M5129" s="36"/>
      <c r="N5129" s="36"/>
      <c r="O5129" s="36"/>
      <c r="P5129" s="36"/>
      <c r="Q5129" s="36"/>
      <c r="R5129" s="36"/>
      <c r="S5129" s="36"/>
      <c r="T5129" s="36"/>
      <c r="U5129" s="36"/>
      <c r="V5129" s="36"/>
      <c r="W5129" s="15">
        <f t="shared" si="711"/>
        <v>0</v>
      </c>
      <c r="X5129" s="36"/>
      <c r="Y5129" s="36"/>
      <c r="Z5129" s="36"/>
      <c r="AA5129" s="36"/>
      <c r="AB5129" s="36"/>
      <c r="AC5129" s="36"/>
      <c r="AD5129" s="36"/>
      <c r="AE5129" s="36"/>
      <c r="AF5129" s="36"/>
      <c r="AG5129" s="36">
        <v>400</v>
      </c>
      <c r="AH5129" s="36"/>
      <c r="AI5129" s="36"/>
      <c r="AJ5129" s="15">
        <f t="shared" si="712"/>
        <v>400</v>
      </c>
      <c r="AK5129" s="14"/>
      <c r="AL5129" s="14"/>
      <c r="AM5129" s="14"/>
      <c r="AN5129" s="14"/>
      <c r="AO5129" s="14"/>
      <c r="AP5129" s="14"/>
      <c r="AQ5129" s="14"/>
      <c r="AR5129" s="14"/>
      <c r="AS5129" s="14"/>
      <c r="AT5129" s="14"/>
      <c r="AU5129" s="14"/>
      <c r="AV5129" s="14"/>
      <c r="AW5129" s="15">
        <f t="shared" si="713"/>
        <v>0</v>
      </c>
      <c r="AX5129" s="16"/>
    </row>
    <row r="5130" spans="2:50" x14ac:dyDescent="0.2">
      <c r="B5130" s="7"/>
      <c r="C5130" s="8">
        <v>13537</v>
      </c>
      <c r="D5130" s="9" t="s">
        <v>346</v>
      </c>
      <c r="E5130" s="10" t="str">
        <f t="shared" si="708"/>
        <v>Rancho Upácuaro No. 108</v>
      </c>
      <c r="F5130" s="10" t="str">
        <f t="shared" si="709"/>
        <v>Mejía</v>
      </c>
      <c r="G5130" s="8">
        <v>1</v>
      </c>
      <c r="H5130" s="11">
        <v>300</v>
      </c>
      <c r="I5130" s="12">
        <v>43044</v>
      </c>
      <c r="J5130" s="35">
        <f t="shared" si="710"/>
        <v>0</v>
      </c>
      <c r="K5130" s="36"/>
      <c r="L5130" s="36"/>
      <c r="M5130" s="36"/>
      <c r="N5130" s="36"/>
      <c r="O5130" s="36"/>
      <c r="P5130" s="36"/>
      <c r="Q5130" s="36"/>
      <c r="R5130" s="36"/>
      <c r="S5130" s="36"/>
      <c r="T5130" s="36"/>
      <c r="U5130" s="36"/>
      <c r="V5130" s="36"/>
      <c r="W5130" s="15">
        <f t="shared" si="711"/>
        <v>0</v>
      </c>
      <c r="X5130" s="36"/>
      <c r="Y5130" s="36"/>
      <c r="Z5130" s="36"/>
      <c r="AA5130" s="36"/>
      <c r="AB5130" s="36"/>
      <c r="AC5130" s="36"/>
      <c r="AD5130" s="36"/>
      <c r="AE5130" s="36"/>
      <c r="AF5130" s="36"/>
      <c r="AG5130" s="36"/>
      <c r="AH5130" s="36">
        <v>300</v>
      </c>
      <c r="AI5130" s="36"/>
      <c r="AJ5130" s="15">
        <f t="shared" si="712"/>
        <v>300</v>
      </c>
      <c r="AK5130" s="14"/>
      <c r="AL5130" s="14"/>
      <c r="AM5130" s="14"/>
      <c r="AN5130" s="14"/>
      <c r="AO5130" s="14"/>
      <c r="AP5130" s="14"/>
      <c r="AQ5130" s="14"/>
      <c r="AR5130" s="14"/>
      <c r="AS5130" s="14"/>
      <c r="AT5130" s="14"/>
      <c r="AU5130" s="14"/>
      <c r="AV5130" s="14"/>
      <c r="AW5130" s="15">
        <f t="shared" si="713"/>
        <v>0</v>
      </c>
      <c r="AX5130" s="16"/>
    </row>
    <row r="5131" spans="2:50" x14ac:dyDescent="0.2">
      <c r="B5131" s="7"/>
      <c r="C5131" s="8">
        <v>13538</v>
      </c>
      <c r="D5131" s="9" t="s">
        <v>840</v>
      </c>
      <c r="E5131" s="10" t="str">
        <f t="shared" si="708"/>
        <v>Rancho Landero No. 33</v>
      </c>
      <c r="F5131" s="10" t="str">
        <f t="shared" si="709"/>
        <v>González Uribe</v>
      </c>
      <c r="G5131" s="8">
        <v>1</v>
      </c>
      <c r="H5131" s="11">
        <v>800</v>
      </c>
      <c r="I5131" s="12">
        <v>43044</v>
      </c>
      <c r="J5131" s="35">
        <f t="shared" si="710"/>
        <v>0</v>
      </c>
      <c r="K5131" s="36"/>
      <c r="L5131" s="36"/>
      <c r="M5131" s="36"/>
      <c r="N5131" s="36"/>
      <c r="O5131" s="36"/>
      <c r="P5131" s="36"/>
      <c r="Q5131" s="36"/>
      <c r="R5131" s="36"/>
      <c r="S5131" s="36"/>
      <c r="T5131" s="36"/>
      <c r="U5131" s="36"/>
      <c r="V5131" s="36"/>
      <c r="W5131" s="15">
        <f t="shared" si="711"/>
        <v>0</v>
      </c>
      <c r="X5131" s="36"/>
      <c r="Y5131" s="36"/>
      <c r="Z5131" s="36"/>
      <c r="AA5131" s="36"/>
      <c r="AB5131" s="36"/>
      <c r="AC5131" s="36"/>
      <c r="AD5131" s="36"/>
      <c r="AE5131" s="36"/>
      <c r="AF5131" s="36">
        <v>400</v>
      </c>
      <c r="AG5131" s="36">
        <v>400</v>
      </c>
      <c r="AH5131" s="36"/>
      <c r="AI5131" s="36"/>
      <c r="AJ5131" s="15">
        <f t="shared" si="712"/>
        <v>800</v>
      </c>
      <c r="AK5131" s="14"/>
      <c r="AL5131" s="14"/>
      <c r="AM5131" s="14"/>
      <c r="AN5131" s="14"/>
      <c r="AO5131" s="14"/>
      <c r="AP5131" s="14"/>
      <c r="AQ5131" s="14"/>
      <c r="AR5131" s="14"/>
      <c r="AS5131" s="14"/>
      <c r="AT5131" s="14"/>
      <c r="AU5131" s="14"/>
      <c r="AV5131" s="14"/>
      <c r="AW5131" s="15">
        <f t="shared" si="713"/>
        <v>0</v>
      </c>
      <c r="AX5131" s="16"/>
    </row>
    <row r="5132" spans="2:50" x14ac:dyDescent="0.2">
      <c r="B5132" s="7"/>
      <c r="C5132" s="8">
        <v>15339</v>
      </c>
      <c r="D5132" s="9" t="s">
        <v>135</v>
      </c>
      <c r="E5132" s="10" t="str">
        <f t="shared" si="708"/>
        <v>Rancho Upácuaro No. 70</v>
      </c>
      <c r="F5132" s="10" t="str">
        <f t="shared" si="709"/>
        <v>Ramírez Tejeda</v>
      </c>
      <c r="G5132" s="8">
        <v>1</v>
      </c>
      <c r="H5132" s="11">
        <v>300</v>
      </c>
      <c r="I5132" s="12">
        <v>43044</v>
      </c>
      <c r="J5132" s="35">
        <f t="shared" si="710"/>
        <v>0</v>
      </c>
      <c r="K5132" s="36"/>
      <c r="L5132" s="36"/>
      <c r="M5132" s="36"/>
      <c r="N5132" s="36"/>
      <c r="O5132" s="36"/>
      <c r="P5132" s="36"/>
      <c r="Q5132" s="36"/>
      <c r="R5132" s="36"/>
      <c r="S5132" s="36"/>
      <c r="T5132" s="36"/>
      <c r="U5132" s="36"/>
      <c r="V5132" s="36"/>
      <c r="W5132" s="15">
        <f t="shared" si="711"/>
        <v>0</v>
      </c>
      <c r="X5132" s="36"/>
      <c r="Y5132" s="36"/>
      <c r="Z5132" s="36"/>
      <c r="AA5132" s="36"/>
      <c r="AB5132" s="36"/>
      <c r="AC5132" s="36"/>
      <c r="AD5132" s="36"/>
      <c r="AE5132" s="36"/>
      <c r="AF5132" s="36"/>
      <c r="AG5132" s="36"/>
      <c r="AH5132" s="36">
        <v>300</v>
      </c>
      <c r="AI5132" s="36"/>
      <c r="AJ5132" s="15">
        <f t="shared" si="712"/>
        <v>300</v>
      </c>
      <c r="AK5132" s="14"/>
      <c r="AL5132" s="14"/>
      <c r="AM5132" s="14"/>
      <c r="AN5132" s="14"/>
      <c r="AO5132" s="14"/>
      <c r="AP5132" s="14"/>
      <c r="AQ5132" s="14"/>
      <c r="AR5132" s="14"/>
      <c r="AS5132" s="14"/>
      <c r="AT5132" s="14"/>
      <c r="AU5132" s="14"/>
      <c r="AV5132" s="14"/>
      <c r="AW5132" s="15">
        <f t="shared" si="713"/>
        <v>0</v>
      </c>
      <c r="AX5132" s="16"/>
    </row>
    <row r="5133" spans="2:50" x14ac:dyDescent="0.2">
      <c r="B5133" s="7"/>
      <c r="C5133" s="8">
        <v>15340</v>
      </c>
      <c r="D5133" s="9" t="s">
        <v>150</v>
      </c>
      <c r="E5133" s="10" t="str">
        <f t="shared" si="708"/>
        <v>Rancho La Cuchilla No. 33</v>
      </c>
      <c r="F5133" s="10" t="str">
        <f t="shared" si="709"/>
        <v>Tanús</v>
      </c>
      <c r="G5133" s="8">
        <v>1</v>
      </c>
      <c r="H5133" s="11">
        <v>400</v>
      </c>
      <c r="I5133" s="12">
        <v>43044</v>
      </c>
      <c r="J5133" s="35">
        <f t="shared" si="710"/>
        <v>0</v>
      </c>
      <c r="K5133" s="36"/>
      <c r="L5133" s="36"/>
      <c r="M5133" s="36"/>
      <c r="N5133" s="36"/>
      <c r="O5133" s="36"/>
      <c r="P5133" s="36"/>
      <c r="Q5133" s="36"/>
      <c r="R5133" s="36"/>
      <c r="S5133" s="36"/>
      <c r="T5133" s="36"/>
      <c r="U5133" s="36"/>
      <c r="V5133" s="36"/>
      <c r="W5133" s="15">
        <f t="shared" si="711"/>
        <v>0</v>
      </c>
      <c r="X5133" s="36"/>
      <c r="Y5133" s="36"/>
      <c r="Z5133" s="36"/>
      <c r="AA5133" s="36"/>
      <c r="AB5133" s="36"/>
      <c r="AC5133" s="36"/>
      <c r="AD5133" s="36"/>
      <c r="AE5133" s="36"/>
      <c r="AF5133" s="36"/>
      <c r="AG5133" s="36"/>
      <c r="AH5133" s="36"/>
      <c r="AI5133" s="36"/>
      <c r="AJ5133" s="15">
        <f t="shared" si="712"/>
        <v>0</v>
      </c>
      <c r="AK5133" s="14"/>
      <c r="AL5133" s="14"/>
      <c r="AM5133" s="14"/>
      <c r="AN5133" s="14"/>
      <c r="AO5133" s="14"/>
      <c r="AP5133" s="14"/>
      <c r="AQ5133" s="14"/>
      <c r="AR5133" s="14"/>
      <c r="AS5133" s="14"/>
      <c r="AT5133" s="14"/>
      <c r="AU5133" s="14">
        <v>400</v>
      </c>
      <c r="AV5133" s="14"/>
      <c r="AW5133" s="15">
        <f t="shared" si="713"/>
        <v>400</v>
      </c>
      <c r="AX5133" s="16"/>
    </row>
    <row r="5134" spans="2:50" x14ac:dyDescent="0.2">
      <c r="B5134" s="7"/>
      <c r="C5134" s="8">
        <v>15341</v>
      </c>
      <c r="D5134" s="9" t="s">
        <v>520</v>
      </c>
      <c r="E5134" s="10" t="str">
        <f t="shared" si="708"/>
        <v>Rancho Landero No. 38</v>
      </c>
      <c r="F5134" s="10" t="str">
        <f t="shared" si="709"/>
        <v>Sánchez Peña</v>
      </c>
      <c r="G5134" s="8">
        <v>1</v>
      </c>
      <c r="H5134" s="11">
        <v>800</v>
      </c>
      <c r="I5134" s="12">
        <v>43044</v>
      </c>
      <c r="J5134" s="35">
        <f t="shared" si="710"/>
        <v>0</v>
      </c>
      <c r="K5134" s="36"/>
      <c r="L5134" s="36"/>
      <c r="M5134" s="36"/>
      <c r="N5134" s="36"/>
      <c r="O5134" s="36"/>
      <c r="P5134" s="36"/>
      <c r="Q5134" s="36"/>
      <c r="R5134" s="36"/>
      <c r="S5134" s="36"/>
      <c r="T5134" s="36"/>
      <c r="U5134" s="36"/>
      <c r="V5134" s="36"/>
      <c r="W5134" s="15">
        <f t="shared" si="711"/>
        <v>0</v>
      </c>
      <c r="X5134" s="36"/>
      <c r="Y5134" s="36"/>
      <c r="Z5134" s="36"/>
      <c r="AA5134" s="36"/>
      <c r="AB5134" s="36"/>
      <c r="AC5134" s="36"/>
      <c r="AD5134" s="36"/>
      <c r="AE5134" s="36"/>
      <c r="AF5134" s="36"/>
      <c r="AG5134" s="36"/>
      <c r="AH5134" s="36">
        <v>400</v>
      </c>
      <c r="AI5134" s="36">
        <v>400</v>
      </c>
      <c r="AJ5134" s="15">
        <f t="shared" si="712"/>
        <v>800</v>
      </c>
      <c r="AK5134" s="14"/>
      <c r="AL5134" s="14"/>
      <c r="AM5134" s="14"/>
      <c r="AN5134" s="14"/>
      <c r="AO5134" s="14"/>
      <c r="AP5134" s="14"/>
      <c r="AQ5134" s="14"/>
      <c r="AR5134" s="14"/>
      <c r="AS5134" s="14"/>
      <c r="AT5134" s="14"/>
      <c r="AU5134" s="14"/>
      <c r="AV5134" s="14"/>
      <c r="AW5134" s="15">
        <f t="shared" si="713"/>
        <v>0</v>
      </c>
      <c r="AX5134" s="16"/>
    </row>
    <row r="5135" spans="2:50" x14ac:dyDescent="0.2">
      <c r="B5135" s="7"/>
      <c r="C5135" s="8">
        <v>15342</v>
      </c>
      <c r="D5135" s="9" t="s">
        <v>159</v>
      </c>
      <c r="E5135" s="10" t="str">
        <f t="shared" si="708"/>
        <v>Rancho Zinamba No. 24</v>
      </c>
      <c r="F5135" s="10" t="str">
        <f t="shared" si="709"/>
        <v>Monroy García</v>
      </c>
      <c r="G5135" s="8">
        <v>1</v>
      </c>
      <c r="H5135" s="11">
        <v>800</v>
      </c>
      <c r="I5135" s="12">
        <v>43044</v>
      </c>
      <c r="J5135" s="35">
        <f t="shared" si="710"/>
        <v>0</v>
      </c>
      <c r="K5135" s="36"/>
      <c r="L5135" s="36"/>
      <c r="M5135" s="36"/>
      <c r="N5135" s="36"/>
      <c r="O5135" s="36"/>
      <c r="P5135" s="36"/>
      <c r="Q5135" s="36"/>
      <c r="R5135" s="36"/>
      <c r="S5135" s="36"/>
      <c r="T5135" s="36"/>
      <c r="U5135" s="36"/>
      <c r="V5135" s="36"/>
      <c r="W5135" s="15">
        <f t="shared" si="711"/>
        <v>0</v>
      </c>
      <c r="X5135" s="36"/>
      <c r="Y5135" s="36"/>
      <c r="Z5135" s="36"/>
      <c r="AA5135" s="36"/>
      <c r="AB5135" s="36"/>
      <c r="AC5135" s="36"/>
      <c r="AD5135" s="36"/>
      <c r="AE5135" s="36"/>
      <c r="AF5135" s="36"/>
      <c r="AG5135" s="36">
        <v>400</v>
      </c>
      <c r="AH5135" s="36">
        <v>400</v>
      </c>
      <c r="AI5135" s="36"/>
      <c r="AJ5135" s="15">
        <f t="shared" si="712"/>
        <v>800</v>
      </c>
      <c r="AK5135" s="14"/>
      <c r="AL5135" s="14"/>
      <c r="AM5135" s="14"/>
      <c r="AN5135" s="14"/>
      <c r="AO5135" s="14"/>
      <c r="AP5135" s="14"/>
      <c r="AQ5135" s="14"/>
      <c r="AR5135" s="14"/>
      <c r="AS5135" s="14"/>
      <c r="AT5135" s="14"/>
      <c r="AU5135" s="14"/>
      <c r="AV5135" s="14"/>
      <c r="AW5135" s="15">
        <f t="shared" si="713"/>
        <v>0</v>
      </c>
      <c r="AX5135" s="16"/>
    </row>
    <row r="5136" spans="2:50" x14ac:dyDescent="0.2">
      <c r="B5136" s="7"/>
      <c r="C5136" s="8">
        <v>15343</v>
      </c>
      <c r="D5136" s="9" t="s">
        <v>334</v>
      </c>
      <c r="E5136" s="10" t="str">
        <f t="shared" si="708"/>
        <v>Rancho Upácuaro No. 5, B</v>
      </c>
      <c r="F5136" s="10" t="str">
        <f t="shared" si="709"/>
        <v>Cervantes</v>
      </c>
      <c r="G5136" s="8">
        <v>3</v>
      </c>
      <c r="H5136" s="11">
        <v>200</v>
      </c>
      <c r="I5136" s="12">
        <v>43044</v>
      </c>
      <c r="J5136" s="35">
        <f t="shared" si="710"/>
        <v>0</v>
      </c>
      <c r="K5136" s="36"/>
      <c r="L5136" s="36"/>
      <c r="M5136" s="36"/>
      <c r="N5136" s="36"/>
      <c r="O5136" s="36"/>
      <c r="P5136" s="36"/>
      <c r="Q5136" s="36"/>
      <c r="R5136" s="36"/>
      <c r="S5136" s="36"/>
      <c r="T5136" s="36"/>
      <c r="U5136" s="36"/>
      <c r="V5136" s="36"/>
      <c r="W5136" s="15">
        <f t="shared" si="711"/>
        <v>0</v>
      </c>
      <c r="X5136" s="36"/>
      <c r="Y5136" s="36"/>
      <c r="Z5136" s="36"/>
      <c r="AA5136" s="36"/>
      <c r="AB5136" s="36"/>
      <c r="AC5136" s="36"/>
      <c r="AD5136" s="36"/>
      <c r="AE5136" s="36"/>
      <c r="AF5136" s="36"/>
      <c r="AG5136" s="36"/>
      <c r="AH5136" s="36"/>
      <c r="AI5136" s="36"/>
      <c r="AJ5136" s="15">
        <f t="shared" si="712"/>
        <v>0</v>
      </c>
      <c r="AK5136" s="14"/>
      <c r="AL5136" s="14"/>
      <c r="AM5136" s="14"/>
      <c r="AN5136" s="14"/>
      <c r="AO5136" s="14"/>
      <c r="AP5136" s="14"/>
      <c r="AQ5136" s="14"/>
      <c r="AR5136" s="14"/>
      <c r="AS5136" s="14"/>
      <c r="AT5136" s="14"/>
      <c r="AU5136" s="14"/>
      <c r="AV5136" s="14"/>
      <c r="AW5136" s="15">
        <f t="shared" si="713"/>
        <v>0</v>
      </c>
      <c r="AX5136" s="16"/>
    </row>
    <row r="5137" spans="2:50" x14ac:dyDescent="0.2">
      <c r="B5137" s="7"/>
      <c r="C5137" s="8">
        <v>15344</v>
      </c>
      <c r="D5137" s="9" t="s">
        <v>100</v>
      </c>
      <c r="E5137" s="10" t="str">
        <f t="shared" si="708"/>
        <v>Rancho Upácuaro No. 32</v>
      </c>
      <c r="F5137" s="10" t="str">
        <f t="shared" si="709"/>
        <v>Sairafi Carmen</v>
      </c>
      <c r="G5137" s="8">
        <v>1</v>
      </c>
      <c r="H5137" s="11">
        <v>400</v>
      </c>
      <c r="I5137" s="12">
        <v>43044</v>
      </c>
      <c r="J5137" s="35">
        <f t="shared" si="710"/>
        <v>0</v>
      </c>
      <c r="K5137" s="36"/>
      <c r="L5137" s="36"/>
      <c r="M5137" s="36"/>
      <c r="N5137" s="36"/>
      <c r="O5137" s="36"/>
      <c r="P5137" s="36"/>
      <c r="Q5137" s="36"/>
      <c r="R5137" s="36"/>
      <c r="S5137" s="36"/>
      <c r="T5137" s="36"/>
      <c r="U5137" s="36"/>
      <c r="V5137" s="36"/>
      <c r="W5137" s="15">
        <f t="shared" si="711"/>
        <v>0</v>
      </c>
      <c r="X5137" s="36"/>
      <c r="Y5137" s="36"/>
      <c r="Z5137" s="36"/>
      <c r="AA5137" s="36"/>
      <c r="AB5137" s="36"/>
      <c r="AC5137" s="36"/>
      <c r="AD5137" s="36"/>
      <c r="AE5137" s="36"/>
      <c r="AF5137" s="36"/>
      <c r="AG5137" s="36"/>
      <c r="AH5137" s="36">
        <v>400</v>
      </c>
      <c r="AI5137" s="36"/>
      <c r="AJ5137" s="15">
        <f t="shared" si="712"/>
        <v>400</v>
      </c>
      <c r="AK5137" s="14"/>
      <c r="AL5137" s="14"/>
      <c r="AM5137" s="14"/>
      <c r="AN5137" s="14"/>
      <c r="AO5137" s="14"/>
      <c r="AP5137" s="14"/>
      <c r="AQ5137" s="14"/>
      <c r="AR5137" s="14"/>
      <c r="AS5137" s="14"/>
      <c r="AT5137" s="14"/>
      <c r="AU5137" s="14"/>
      <c r="AV5137" s="14"/>
      <c r="AW5137" s="15">
        <f t="shared" si="713"/>
        <v>0</v>
      </c>
      <c r="AX5137" s="16"/>
    </row>
    <row r="5138" spans="2:50" x14ac:dyDescent="0.2">
      <c r="B5138" s="7"/>
      <c r="C5138" s="8">
        <v>15345</v>
      </c>
      <c r="D5138" s="9" t="s">
        <v>1299</v>
      </c>
      <c r="E5138" s="10" t="str">
        <f t="shared" si="708"/>
        <v>Rancho La Cuchilla No. 107</v>
      </c>
      <c r="F5138" s="10" t="str">
        <f t="shared" si="709"/>
        <v>Quiñones, Eduardo</v>
      </c>
      <c r="G5138" s="8">
        <v>1</v>
      </c>
      <c r="H5138" s="11">
        <v>800</v>
      </c>
      <c r="I5138" s="12">
        <v>43044</v>
      </c>
      <c r="J5138" s="35">
        <f t="shared" si="710"/>
        <v>0</v>
      </c>
      <c r="K5138" s="36"/>
      <c r="L5138" s="36"/>
      <c r="M5138" s="36"/>
      <c r="N5138" s="36"/>
      <c r="O5138" s="36"/>
      <c r="P5138" s="36"/>
      <c r="Q5138" s="36"/>
      <c r="R5138" s="36"/>
      <c r="S5138" s="36"/>
      <c r="T5138" s="36"/>
      <c r="U5138" s="36"/>
      <c r="V5138" s="36"/>
      <c r="W5138" s="15">
        <f t="shared" si="711"/>
        <v>0</v>
      </c>
      <c r="X5138" s="36"/>
      <c r="Y5138" s="36"/>
      <c r="Z5138" s="36"/>
      <c r="AA5138" s="36"/>
      <c r="AB5138" s="36"/>
      <c r="AC5138" s="36"/>
      <c r="AD5138" s="36"/>
      <c r="AE5138" s="36"/>
      <c r="AF5138" s="36"/>
      <c r="AG5138" s="36">
        <v>400</v>
      </c>
      <c r="AH5138" s="36">
        <v>400</v>
      </c>
      <c r="AI5138" s="36"/>
      <c r="AJ5138" s="15">
        <f t="shared" si="712"/>
        <v>800</v>
      </c>
      <c r="AK5138" s="14"/>
      <c r="AL5138" s="14"/>
      <c r="AM5138" s="14"/>
      <c r="AN5138" s="14"/>
      <c r="AO5138" s="14"/>
      <c r="AP5138" s="14"/>
      <c r="AQ5138" s="14"/>
      <c r="AR5138" s="14"/>
      <c r="AS5138" s="14"/>
      <c r="AT5138" s="14"/>
      <c r="AU5138" s="14"/>
      <c r="AV5138" s="14"/>
      <c r="AW5138" s="15">
        <f t="shared" si="713"/>
        <v>0</v>
      </c>
      <c r="AX5138" s="16"/>
    </row>
    <row r="5139" spans="2:50" x14ac:dyDescent="0.2">
      <c r="B5139" s="7"/>
      <c r="C5139" s="8">
        <v>15346</v>
      </c>
      <c r="D5139" s="9" t="s">
        <v>395</v>
      </c>
      <c r="E5139" s="10" t="str">
        <f t="shared" si="708"/>
        <v>Rancho Landero No. 7</v>
      </c>
      <c r="F5139" s="10" t="str">
        <f t="shared" si="709"/>
        <v>Robles</v>
      </c>
      <c r="G5139" s="8">
        <v>1</v>
      </c>
      <c r="H5139" s="11">
        <v>200</v>
      </c>
      <c r="I5139" s="12">
        <v>43044</v>
      </c>
      <c r="J5139" s="35">
        <f t="shared" si="710"/>
        <v>0</v>
      </c>
      <c r="K5139" s="36"/>
      <c r="L5139" s="36"/>
      <c r="M5139" s="36"/>
      <c r="N5139" s="36"/>
      <c r="O5139" s="36"/>
      <c r="P5139" s="36"/>
      <c r="Q5139" s="36"/>
      <c r="R5139" s="36"/>
      <c r="S5139" s="36"/>
      <c r="T5139" s="36"/>
      <c r="U5139" s="36"/>
      <c r="V5139" s="36"/>
      <c r="W5139" s="15">
        <f t="shared" si="711"/>
        <v>0</v>
      </c>
      <c r="X5139" s="36"/>
      <c r="Y5139" s="36"/>
      <c r="Z5139" s="36"/>
      <c r="AA5139" s="36"/>
      <c r="AB5139" s="36"/>
      <c r="AC5139" s="36"/>
      <c r="AD5139" s="36"/>
      <c r="AE5139" s="36"/>
      <c r="AF5139" s="36"/>
      <c r="AG5139" s="36"/>
      <c r="AH5139" s="36">
        <v>200</v>
      </c>
      <c r="AI5139" s="36"/>
      <c r="AJ5139" s="15">
        <f t="shared" si="712"/>
        <v>200</v>
      </c>
      <c r="AK5139" s="14"/>
      <c r="AL5139" s="14"/>
      <c r="AM5139" s="14"/>
      <c r="AN5139" s="14"/>
      <c r="AO5139" s="14"/>
      <c r="AP5139" s="14"/>
      <c r="AQ5139" s="14"/>
      <c r="AR5139" s="14"/>
      <c r="AS5139" s="14"/>
      <c r="AT5139" s="14"/>
      <c r="AU5139" s="14"/>
      <c r="AV5139" s="14"/>
      <c r="AW5139" s="15">
        <f t="shared" si="713"/>
        <v>0</v>
      </c>
      <c r="AX5139" s="16"/>
    </row>
    <row r="5140" spans="2:50" x14ac:dyDescent="0.2">
      <c r="B5140" s="7"/>
      <c r="C5140" s="8">
        <v>15347</v>
      </c>
      <c r="D5140" s="9" t="s">
        <v>310</v>
      </c>
      <c r="E5140" s="10" t="str">
        <f t="shared" ref="E5140:E5159" si="714">IF(D5140=0,"",VLOOKUP(D5140,BASE,2,FALSE))</f>
        <v>Rancho Recoveco No. 181</v>
      </c>
      <c r="F5140" s="10" t="str">
        <f t="shared" ref="F5140:F5159" si="715">IF(D5140=0,"",VLOOKUP(D5140,BASE,3,FALSE))</f>
        <v>Castillo</v>
      </c>
      <c r="G5140" s="8">
        <v>1</v>
      </c>
      <c r="H5140" s="11">
        <v>800</v>
      </c>
      <c r="I5140" s="12">
        <v>43044</v>
      </c>
      <c r="J5140" s="35">
        <f t="shared" ref="J5140:J5159" si="716">IF(G5140=1,SUM(W5140,AJ5140,AW5140,-H5140),0)</f>
        <v>0</v>
      </c>
      <c r="K5140" s="36"/>
      <c r="L5140" s="36"/>
      <c r="M5140" s="36"/>
      <c r="N5140" s="36"/>
      <c r="O5140" s="36"/>
      <c r="P5140" s="36"/>
      <c r="Q5140" s="36"/>
      <c r="R5140" s="36"/>
      <c r="S5140" s="36"/>
      <c r="T5140" s="36"/>
      <c r="U5140" s="36"/>
      <c r="V5140" s="36"/>
      <c r="W5140" s="15">
        <f t="shared" ref="W5140:W5159" si="717">SUM(K5140:V5140)</f>
        <v>0</v>
      </c>
      <c r="X5140" s="36"/>
      <c r="Y5140" s="36"/>
      <c r="Z5140" s="36"/>
      <c r="AA5140" s="36"/>
      <c r="AB5140" s="36"/>
      <c r="AC5140" s="36"/>
      <c r="AD5140" s="36"/>
      <c r="AE5140" s="36"/>
      <c r="AF5140" s="36">
        <v>400</v>
      </c>
      <c r="AG5140" s="36">
        <v>400</v>
      </c>
      <c r="AH5140" s="36"/>
      <c r="AI5140" s="36"/>
      <c r="AJ5140" s="15">
        <f t="shared" ref="AJ5140:AJ5159" si="718">SUM(X5140:AI5140)</f>
        <v>800</v>
      </c>
      <c r="AK5140" s="14"/>
      <c r="AL5140" s="14"/>
      <c r="AM5140" s="14"/>
      <c r="AN5140" s="14"/>
      <c r="AO5140" s="14"/>
      <c r="AP5140" s="14"/>
      <c r="AQ5140" s="14"/>
      <c r="AR5140" s="14"/>
      <c r="AS5140" s="14"/>
      <c r="AT5140" s="14"/>
      <c r="AU5140" s="14"/>
      <c r="AV5140" s="14"/>
      <c r="AW5140" s="15">
        <f t="shared" ref="AW5140:AW5159" si="719">SUM(AK5140:AV5140)</f>
        <v>0</v>
      </c>
      <c r="AX5140" s="16"/>
    </row>
    <row r="5141" spans="2:50" x14ac:dyDescent="0.2">
      <c r="B5141" s="7"/>
      <c r="C5141" s="8">
        <v>15347</v>
      </c>
      <c r="D5141" s="9" t="s">
        <v>310</v>
      </c>
      <c r="E5141" s="10" t="str">
        <f t="shared" si="714"/>
        <v>Rancho Recoveco No. 181</v>
      </c>
      <c r="F5141" s="10" t="str">
        <f t="shared" si="715"/>
        <v>Castillo</v>
      </c>
      <c r="G5141" s="8">
        <v>3</v>
      </c>
      <c r="H5141" s="11">
        <v>200</v>
      </c>
      <c r="I5141" s="12">
        <v>43044</v>
      </c>
      <c r="J5141" s="35">
        <f t="shared" si="716"/>
        <v>0</v>
      </c>
      <c r="K5141" s="36"/>
      <c r="L5141" s="36"/>
      <c r="M5141" s="36"/>
      <c r="N5141" s="36"/>
      <c r="O5141" s="36"/>
      <c r="P5141" s="36"/>
      <c r="Q5141" s="36"/>
      <c r="R5141" s="36"/>
      <c r="S5141" s="36"/>
      <c r="T5141" s="36"/>
      <c r="U5141" s="36"/>
      <c r="V5141" s="36"/>
      <c r="W5141" s="15">
        <f t="shared" si="717"/>
        <v>0</v>
      </c>
      <c r="X5141" s="36"/>
      <c r="Y5141" s="36"/>
      <c r="Z5141" s="36"/>
      <c r="AA5141" s="36"/>
      <c r="AB5141" s="36"/>
      <c r="AC5141" s="36"/>
      <c r="AD5141" s="36"/>
      <c r="AE5141" s="36"/>
      <c r="AF5141" s="36"/>
      <c r="AG5141" s="36"/>
      <c r="AH5141" s="36"/>
      <c r="AI5141" s="36"/>
      <c r="AJ5141" s="15">
        <f t="shared" si="718"/>
        <v>0</v>
      </c>
      <c r="AK5141" s="14"/>
      <c r="AL5141" s="14"/>
      <c r="AM5141" s="14"/>
      <c r="AN5141" s="14"/>
      <c r="AO5141" s="14"/>
      <c r="AP5141" s="14"/>
      <c r="AQ5141" s="14"/>
      <c r="AR5141" s="14"/>
      <c r="AS5141" s="14"/>
      <c r="AT5141" s="14"/>
      <c r="AU5141" s="14"/>
      <c r="AV5141" s="14"/>
      <c r="AW5141" s="15">
        <f t="shared" si="719"/>
        <v>0</v>
      </c>
      <c r="AX5141" s="16"/>
    </row>
    <row r="5142" spans="2:50" x14ac:dyDescent="0.2">
      <c r="B5142" s="7"/>
      <c r="C5142" s="8">
        <v>15347</v>
      </c>
      <c r="D5142" s="9" t="s">
        <v>310</v>
      </c>
      <c r="E5142" s="10" t="str">
        <f t="shared" si="714"/>
        <v>Rancho Recoveco No. 181</v>
      </c>
      <c r="F5142" s="10" t="str">
        <f t="shared" si="715"/>
        <v>Castillo</v>
      </c>
      <c r="G5142" s="8">
        <v>5</v>
      </c>
      <c r="H5142" s="11">
        <v>50</v>
      </c>
      <c r="I5142" s="12">
        <v>43044</v>
      </c>
      <c r="J5142" s="35">
        <f t="shared" si="716"/>
        <v>0</v>
      </c>
      <c r="K5142" s="36"/>
      <c r="L5142" s="36"/>
      <c r="M5142" s="36"/>
      <c r="N5142" s="36"/>
      <c r="O5142" s="36"/>
      <c r="P5142" s="36"/>
      <c r="Q5142" s="36"/>
      <c r="R5142" s="36"/>
      <c r="S5142" s="36"/>
      <c r="T5142" s="36"/>
      <c r="U5142" s="36"/>
      <c r="V5142" s="36"/>
      <c r="W5142" s="15">
        <f t="shared" si="717"/>
        <v>0</v>
      </c>
      <c r="X5142" s="36"/>
      <c r="Y5142" s="36"/>
      <c r="Z5142" s="36"/>
      <c r="AA5142" s="36"/>
      <c r="AB5142" s="36"/>
      <c r="AC5142" s="36"/>
      <c r="AD5142" s="36"/>
      <c r="AE5142" s="36"/>
      <c r="AF5142" s="36"/>
      <c r="AG5142" s="36"/>
      <c r="AH5142" s="36"/>
      <c r="AI5142" s="36"/>
      <c r="AJ5142" s="15">
        <f t="shared" si="718"/>
        <v>0</v>
      </c>
      <c r="AK5142" s="14"/>
      <c r="AL5142" s="14"/>
      <c r="AM5142" s="14"/>
      <c r="AN5142" s="14"/>
      <c r="AO5142" s="14"/>
      <c r="AP5142" s="14"/>
      <c r="AQ5142" s="14"/>
      <c r="AR5142" s="14"/>
      <c r="AS5142" s="14"/>
      <c r="AT5142" s="14"/>
      <c r="AU5142" s="14"/>
      <c r="AV5142" s="14"/>
      <c r="AW5142" s="15">
        <f t="shared" si="719"/>
        <v>0</v>
      </c>
      <c r="AX5142" s="16"/>
    </row>
    <row r="5143" spans="2:50" x14ac:dyDescent="0.2">
      <c r="B5143" s="7"/>
      <c r="C5143" s="8">
        <v>15348</v>
      </c>
      <c r="D5143" s="9" t="s">
        <v>529</v>
      </c>
      <c r="E5143" s="10" t="str">
        <f t="shared" si="714"/>
        <v>Rancho Estanzuela No. 37</v>
      </c>
      <c r="F5143" s="10" t="str">
        <f t="shared" si="715"/>
        <v>Cabello Eduardo</v>
      </c>
      <c r="G5143" s="8">
        <v>1</v>
      </c>
      <c r="H5143" s="11">
        <v>2400</v>
      </c>
      <c r="I5143" s="12">
        <v>43044</v>
      </c>
      <c r="J5143" s="35">
        <f t="shared" si="716"/>
        <v>0</v>
      </c>
      <c r="K5143" s="36"/>
      <c r="L5143" s="36"/>
      <c r="M5143" s="36"/>
      <c r="N5143" s="36"/>
      <c r="O5143" s="36"/>
      <c r="P5143" s="36"/>
      <c r="Q5143" s="36"/>
      <c r="R5143" s="36"/>
      <c r="S5143" s="36"/>
      <c r="T5143" s="36"/>
      <c r="U5143" s="36"/>
      <c r="V5143" s="36"/>
      <c r="W5143" s="15">
        <f t="shared" si="717"/>
        <v>0</v>
      </c>
      <c r="X5143" s="36"/>
      <c r="Y5143" s="36"/>
      <c r="Z5143" s="36"/>
      <c r="AA5143" s="36">
        <v>400</v>
      </c>
      <c r="AB5143" s="36">
        <v>400</v>
      </c>
      <c r="AC5143" s="36">
        <v>400</v>
      </c>
      <c r="AD5143" s="36">
        <v>400</v>
      </c>
      <c r="AE5143" s="36">
        <v>400</v>
      </c>
      <c r="AF5143" s="36">
        <v>400</v>
      </c>
      <c r="AG5143" s="36"/>
      <c r="AH5143" s="36"/>
      <c r="AI5143" s="36"/>
      <c r="AJ5143" s="15">
        <f t="shared" si="718"/>
        <v>2400</v>
      </c>
      <c r="AK5143" s="14"/>
      <c r="AL5143" s="14"/>
      <c r="AM5143" s="14"/>
      <c r="AN5143" s="14"/>
      <c r="AO5143" s="14"/>
      <c r="AP5143" s="14"/>
      <c r="AQ5143" s="14"/>
      <c r="AR5143" s="14"/>
      <c r="AS5143" s="14"/>
      <c r="AT5143" s="14"/>
      <c r="AU5143" s="14"/>
      <c r="AV5143" s="14"/>
      <c r="AW5143" s="15">
        <f t="shared" si="719"/>
        <v>0</v>
      </c>
      <c r="AX5143" s="16" t="s">
        <v>4660</v>
      </c>
    </row>
    <row r="5144" spans="2:50" x14ac:dyDescent="0.2">
      <c r="B5144" s="7"/>
      <c r="C5144" s="8">
        <v>15349</v>
      </c>
      <c r="D5144" s="9" t="s">
        <v>94</v>
      </c>
      <c r="E5144" s="10" t="str">
        <f t="shared" si="714"/>
        <v>Rancho Landero No. 42</v>
      </c>
      <c r="F5144" s="10" t="str">
        <f t="shared" si="715"/>
        <v>Ávila Fidel</v>
      </c>
      <c r="G5144" s="8">
        <v>1</v>
      </c>
      <c r="H5144" s="11">
        <v>400</v>
      </c>
      <c r="I5144" s="12">
        <v>43044</v>
      </c>
      <c r="J5144" s="35">
        <f t="shared" si="716"/>
        <v>0</v>
      </c>
      <c r="K5144" s="36"/>
      <c r="L5144" s="36"/>
      <c r="M5144" s="36"/>
      <c r="N5144" s="36"/>
      <c r="O5144" s="36"/>
      <c r="P5144" s="36"/>
      <c r="Q5144" s="36"/>
      <c r="R5144" s="36"/>
      <c r="S5144" s="36"/>
      <c r="T5144" s="36"/>
      <c r="U5144" s="36"/>
      <c r="V5144" s="36"/>
      <c r="W5144" s="15">
        <f t="shared" si="717"/>
        <v>0</v>
      </c>
      <c r="X5144" s="36"/>
      <c r="Y5144" s="36"/>
      <c r="Z5144" s="36"/>
      <c r="AA5144" s="36"/>
      <c r="AB5144" s="36"/>
      <c r="AC5144" s="36"/>
      <c r="AD5144" s="36"/>
      <c r="AE5144" s="36"/>
      <c r="AF5144" s="36"/>
      <c r="AG5144" s="36"/>
      <c r="AH5144" s="36">
        <v>400</v>
      </c>
      <c r="AI5144" s="36"/>
      <c r="AJ5144" s="15">
        <f t="shared" si="718"/>
        <v>400</v>
      </c>
      <c r="AK5144" s="14"/>
      <c r="AL5144" s="14"/>
      <c r="AM5144" s="14"/>
      <c r="AN5144" s="14"/>
      <c r="AO5144" s="14"/>
      <c r="AP5144" s="14"/>
      <c r="AQ5144" s="14"/>
      <c r="AR5144" s="14"/>
      <c r="AS5144" s="14"/>
      <c r="AT5144" s="14"/>
      <c r="AU5144" s="14"/>
      <c r="AV5144" s="14"/>
      <c r="AW5144" s="15">
        <f t="shared" si="719"/>
        <v>0</v>
      </c>
      <c r="AX5144" s="16"/>
    </row>
    <row r="5145" spans="2:50" x14ac:dyDescent="0.2">
      <c r="B5145" s="7"/>
      <c r="C5145" s="8">
        <v>15350</v>
      </c>
      <c r="D5145" s="9" t="s">
        <v>174</v>
      </c>
      <c r="E5145" s="10" t="str">
        <f t="shared" si="714"/>
        <v>Rancho Upácuaro No. 18</v>
      </c>
      <c r="F5145" s="10" t="str">
        <f t="shared" si="715"/>
        <v>Guzmán</v>
      </c>
      <c r="G5145" s="8">
        <v>1</v>
      </c>
      <c r="H5145" s="11">
        <v>300</v>
      </c>
      <c r="I5145" s="12">
        <v>43044</v>
      </c>
      <c r="J5145" s="35">
        <f t="shared" si="716"/>
        <v>0</v>
      </c>
      <c r="K5145" s="36"/>
      <c r="L5145" s="36"/>
      <c r="M5145" s="36"/>
      <c r="N5145" s="36"/>
      <c r="O5145" s="36"/>
      <c r="P5145" s="36"/>
      <c r="Q5145" s="36"/>
      <c r="R5145" s="36"/>
      <c r="S5145" s="36"/>
      <c r="T5145" s="36"/>
      <c r="U5145" s="36"/>
      <c r="V5145" s="36"/>
      <c r="W5145" s="15">
        <f t="shared" si="717"/>
        <v>0</v>
      </c>
      <c r="X5145" s="36"/>
      <c r="Y5145" s="36"/>
      <c r="Z5145" s="36"/>
      <c r="AA5145" s="36"/>
      <c r="AB5145" s="36"/>
      <c r="AC5145" s="36"/>
      <c r="AD5145" s="36"/>
      <c r="AE5145" s="36"/>
      <c r="AF5145" s="36"/>
      <c r="AG5145" s="36"/>
      <c r="AH5145" s="36">
        <v>300</v>
      </c>
      <c r="AI5145" s="36"/>
      <c r="AJ5145" s="15">
        <f t="shared" si="718"/>
        <v>300</v>
      </c>
      <c r="AK5145" s="14"/>
      <c r="AL5145" s="14"/>
      <c r="AM5145" s="14"/>
      <c r="AN5145" s="14"/>
      <c r="AO5145" s="14"/>
      <c r="AP5145" s="14"/>
      <c r="AQ5145" s="14"/>
      <c r="AR5145" s="14"/>
      <c r="AS5145" s="14"/>
      <c r="AT5145" s="14"/>
      <c r="AU5145" s="14"/>
      <c r="AV5145" s="14"/>
      <c r="AW5145" s="15">
        <f t="shared" si="719"/>
        <v>0</v>
      </c>
      <c r="AX5145" s="16"/>
    </row>
    <row r="5146" spans="2:50" x14ac:dyDescent="0.2">
      <c r="B5146" s="7" t="s">
        <v>3523</v>
      </c>
      <c r="C5146" s="8">
        <v>15351</v>
      </c>
      <c r="D5146" s="9" t="s">
        <v>208</v>
      </c>
      <c r="E5146" s="10" t="str">
        <f t="shared" si="714"/>
        <v>Rancho La Cuchilla No. 29</v>
      </c>
      <c r="F5146" s="10" t="str">
        <f t="shared" si="715"/>
        <v>Vega Sánchez C.</v>
      </c>
      <c r="G5146" s="8"/>
      <c r="H5146" s="11"/>
      <c r="I5146" s="12"/>
      <c r="J5146" s="35">
        <f t="shared" si="716"/>
        <v>0</v>
      </c>
      <c r="K5146" s="36"/>
      <c r="L5146" s="36"/>
      <c r="M5146" s="36"/>
      <c r="N5146" s="36"/>
      <c r="O5146" s="36"/>
      <c r="P5146" s="36"/>
      <c r="Q5146" s="36"/>
      <c r="R5146" s="36"/>
      <c r="S5146" s="36"/>
      <c r="T5146" s="36"/>
      <c r="U5146" s="36"/>
      <c r="V5146" s="36"/>
      <c r="W5146" s="15">
        <f t="shared" si="717"/>
        <v>0</v>
      </c>
      <c r="X5146" s="36"/>
      <c r="Y5146" s="36"/>
      <c r="Z5146" s="36"/>
      <c r="AA5146" s="36"/>
      <c r="AB5146" s="36"/>
      <c r="AC5146" s="36"/>
      <c r="AD5146" s="36"/>
      <c r="AE5146" s="36"/>
      <c r="AF5146" s="36"/>
      <c r="AG5146" s="36"/>
      <c r="AH5146" s="36"/>
      <c r="AI5146" s="36"/>
      <c r="AJ5146" s="15">
        <f t="shared" si="718"/>
        <v>0</v>
      </c>
      <c r="AK5146" s="14"/>
      <c r="AL5146" s="14"/>
      <c r="AM5146" s="14"/>
      <c r="AN5146" s="14"/>
      <c r="AO5146" s="14"/>
      <c r="AP5146" s="14"/>
      <c r="AQ5146" s="14"/>
      <c r="AR5146" s="14"/>
      <c r="AS5146" s="14"/>
      <c r="AT5146" s="14"/>
      <c r="AU5146" s="14"/>
      <c r="AV5146" s="14"/>
      <c r="AW5146" s="15">
        <f t="shared" si="719"/>
        <v>0</v>
      </c>
      <c r="AX5146" s="16"/>
    </row>
    <row r="5147" spans="2:50" x14ac:dyDescent="0.2">
      <c r="B5147" s="7"/>
      <c r="C5147" s="8">
        <v>15352</v>
      </c>
      <c r="D5147" s="9" t="s">
        <v>256</v>
      </c>
      <c r="E5147" s="10" t="str">
        <f t="shared" si="714"/>
        <v>Rancho Recoveco No. 179</v>
      </c>
      <c r="F5147" s="10" t="str">
        <f t="shared" si="715"/>
        <v>Flores Delgado</v>
      </c>
      <c r="G5147" s="8">
        <v>1</v>
      </c>
      <c r="H5147" s="11">
        <v>600</v>
      </c>
      <c r="I5147" s="12">
        <v>43044</v>
      </c>
      <c r="J5147" s="35">
        <f t="shared" si="716"/>
        <v>0</v>
      </c>
      <c r="K5147" s="36"/>
      <c r="L5147" s="36"/>
      <c r="M5147" s="36"/>
      <c r="N5147" s="36"/>
      <c r="O5147" s="36"/>
      <c r="P5147" s="36"/>
      <c r="Q5147" s="36"/>
      <c r="R5147" s="36"/>
      <c r="S5147" s="36"/>
      <c r="T5147" s="36"/>
      <c r="U5147" s="36"/>
      <c r="V5147" s="36"/>
      <c r="W5147" s="15">
        <f t="shared" si="717"/>
        <v>0</v>
      </c>
      <c r="X5147" s="36"/>
      <c r="Y5147" s="36"/>
      <c r="Z5147" s="36"/>
      <c r="AA5147" s="36"/>
      <c r="AB5147" s="36"/>
      <c r="AC5147" s="36"/>
      <c r="AD5147" s="36"/>
      <c r="AE5147" s="36">
        <v>300</v>
      </c>
      <c r="AF5147" s="36">
        <v>300</v>
      </c>
      <c r="AG5147" s="36"/>
      <c r="AH5147" s="36"/>
      <c r="AI5147" s="36"/>
      <c r="AJ5147" s="15">
        <f t="shared" si="718"/>
        <v>600</v>
      </c>
      <c r="AK5147" s="14"/>
      <c r="AL5147" s="14"/>
      <c r="AM5147" s="14"/>
      <c r="AN5147" s="14"/>
      <c r="AO5147" s="14"/>
      <c r="AP5147" s="14"/>
      <c r="AQ5147" s="14"/>
      <c r="AR5147" s="14"/>
      <c r="AS5147" s="14"/>
      <c r="AT5147" s="14"/>
      <c r="AU5147" s="14"/>
      <c r="AV5147" s="14"/>
      <c r="AW5147" s="15">
        <f t="shared" si="719"/>
        <v>0</v>
      </c>
      <c r="AX5147" s="16"/>
    </row>
    <row r="5148" spans="2:50" x14ac:dyDescent="0.2">
      <c r="B5148" s="7"/>
      <c r="C5148" s="8">
        <v>15353</v>
      </c>
      <c r="D5148" s="9" t="s">
        <v>1340</v>
      </c>
      <c r="E5148" s="10" t="str">
        <f t="shared" si="714"/>
        <v>Rancho Estanzuela No. 73</v>
      </c>
      <c r="F5148" s="10" t="str">
        <f t="shared" si="715"/>
        <v>Salcedo García</v>
      </c>
      <c r="G5148" s="8">
        <v>1</v>
      </c>
      <c r="H5148" s="11">
        <v>400</v>
      </c>
      <c r="I5148" s="12">
        <v>43044</v>
      </c>
      <c r="J5148" s="35">
        <f t="shared" si="716"/>
        <v>0</v>
      </c>
      <c r="K5148" s="36"/>
      <c r="L5148" s="36"/>
      <c r="M5148" s="36"/>
      <c r="N5148" s="36"/>
      <c r="O5148" s="36"/>
      <c r="P5148" s="36"/>
      <c r="Q5148" s="36"/>
      <c r="R5148" s="36"/>
      <c r="S5148" s="36"/>
      <c r="T5148" s="36"/>
      <c r="U5148" s="36"/>
      <c r="V5148" s="36"/>
      <c r="W5148" s="15">
        <f t="shared" si="717"/>
        <v>0</v>
      </c>
      <c r="X5148" s="36"/>
      <c r="Y5148" s="36"/>
      <c r="Z5148" s="36"/>
      <c r="AA5148" s="36"/>
      <c r="AB5148" s="36"/>
      <c r="AC5148" s="36"/>
      <c r="AD5148" s="36"/>
      <c r="AE5148" s="36"/>
      <c r="AF5148" s="36"/>
      <c r="AG5148" s="36">
        <v>400</v>
      </c>
      <c r="AH5148" s="36"/>
      <c r="AI5148" s="36"/>
      <c r="AJ5148" s="15">
        <f t="shared" si="718"/>
        <v>400</v>
      </c>
      <c r="AK5148" s="14"/>
      <c r="AL5148" s="14"/>
      <c r="AM5148" s="14"/>
      <c r="AN5148" s="14"/>
      <c r="AO5148" s="14"/>
      <c r="AP5148" s="14"/>
      <c r="AQ5148" s="14"/>
      <c r="AR5148" s="14"/>
      <c r="AS5148" s="14"/>
      <c r="AT5148" s="14"/>
      <c r="AU5148" s="14"/>
      <c r="AV5148" s="14"/>
      <c r="AW5148" s="15">
        <f t="shared" si="719"/>
        <v>0</v>
      </c>
      <c r="AX5148" s="16"/>
    </row>
    <row r="5149" spans="2:50" x14ac:dyDescent="0.2">
      <c r="B5149" s="7"/>
      <c r="C5149" s="8">
        <v>15354</v>
      </c>
      <c r="D5149" s="9" t="s">
        <v>3178</v>
      </c>
      <c r="E5149" s="10" t="str">
        <f t="shared" si="714"/>
        <v>Rancho La Cuchilla No. 103</v>
      </c>
      <c r="F5149" s="10" t="str">
        <f t="shared" si="715"/>
        <v>Bernal</v>
      </c>
      <c r="G5149" s="8">
        <v>1</v>
      </c>
      <c r="H5149" s="11">
        <v>500</v>
      </c>
      <c r="I5149" s="12">
        <v>43044</v>
      </c>
      <c r="J5149" s="35">
        <f t="shared" si="716"/>
        <v>0</v>
      </c>
      <c r="K5149" s="36"/>
      <c r="L5149" s="36"/>
      <c r="M5149" s="36"/>
      <c r="N5149" s="36"/>
      <c r="O5149" s="36"/>
      <c r="P5149" s="36"/>
      <c r="Q5149" s="36"/>
      <c r="R5149" s="36"/>
      <c r="S5149" s="36"/>
      <c r="T5149" s="36"/>
      <c r="U5149" s="36"/>
      <c r="V5149" s="36"/>
      <c r="W5149" s="15">
        <f t="shared" si="717"/>
        <v>0</v>
      </c>
      <c r="X5149" s="36"/>
      <c r="Y5149" s="36"/>
      <c r="Z5149" s="36"/>
      <c r="AA5149" s="36"/>
      <c r="AB5149" s="36"/>
      <c r="AC5149" s="36"/>
      <c r="AD5149" s="36"/>
      <c r="AE5149" s="36"/>
      <c r="AF5149" s="36"/>
      <c r="AG5149" s="36">
        <v>500</v>
      </c>
      <c r="AH5149" s="36"/>
      <c r="AI5149" s="36"/>
      <c r="AJ5149" s="15">
        <f t="shared" si="718"/>
        <v>500</v>
      </c>
      <c r="AK5149" s="14"/>
      <c r="AL5149" s="14"/>
      <c r="AM5149" s="14"/>
      <c r="AN5149" s="14"/>
      <c r="AO5149" s="14"/>
      <c r="AP5149" s="14"/>
      <c r="AQ5149" s="14"/>
      <c r="AR5149" s="14"/>
      <c r="AS5149" s="14"/>
      <c r="AT5149" s="14"/>
      <c r="AU5149" s="14"/>
      <c r="AV5149" s="14"/>
      <c r="AW5149" s="15">
        <f t="shared" si="719"/>
        <v>0</v>
      </c>
      <c r="AX5149" s="16"/>
    </row>
    <row r="5150" spans="2:50" x14ac:dyDescent="0.2">
      <c r="B5150" s="7"/>
      <c r="C5150" s="8">
        <v>15355</v>
      </c>
      <c r="D5150" s="9" t="s">
        <v>186</v>
      </c>
      <c r="E5150" s="10" t="str">
        <f t="shared" si="714"/>
        <v>Rancho Upácuaro No. 100</v>
      </c>
      <c r="F5150" s="10" t="str">
        <f t="shared" si="715"/>
        <v>Valdez</v>
      </c>
      <c r="G5150" s="8">
        <v>1</v>
      </c>
      <c r="H5150" s="11">
        <v>400</v>
      </c>
      <c r="I5150" s="12">
        <v>43044</v>
      </c>
      <c r="J5150" s="35">
        <f t="shared" si="716"/>
        <v>0</v>
      </c>
      <c r="K5150" s="36"/>
      <c r="L5150" s="36"/>
      <c r="M5150" s="36"/>
      <c r="N5150" s="36"/>
      <c r="O5150" s="36"/>
      <c r="P5150" s="36"/>
      <c r="Q5150" s="36"/>
      <c r="R5150" s="36"/>
      <c r="S5150" s="36"/>
      <c r="T5150" s="36"/>
      <c r="U5150" s="36"/>
      <c r="V5150" s="36"/>
      <c r="W5150" s="15">
        <f t="shared" si="717"/>
        <v>0</v>
      </c>
      <c r="X5150" s="36"/>
      <c r="Y5150" s="36"/>
      <c r="Z5150" s="36"/>
      <c r="AA5150" s="36"/>
      <c r="AB5150" s="36"/>
      <c r="AC5150" s="36"/>
      <c r="AD5150" s="36"/>
      <c r="AE5150" s="36"/>
      <c r="AF5150" s="36"/>
      <c r="AG5150" s="36"/>
      <c r="AH5150" s="36">
        <v>400</v>
      </c>
      <c r="AI5150" s="36"/>
      <c r="AJ5150" s="15">
        <f t="shared" si="718"/>
        <v>400</v>
      </c>
      <c r="AK5150" s="14"/>
      <c r="AL5150" s="14"/>
      <c r="AM5150" s="14"/>
      <c r="AN5150" s="14"/>
      <c r="AO5150" s="14"/>
      <c r="AP5150" s="14"/>
      <c r="AQ5150" s="14"/>
      <c r="AR5150" s="14"/>
      <c r="AS5150" s="14"/>
      <c r="AT5150" s="14"/>
      <c r="AU5150" s="14"/>
      <c r="AV5150" s="14"/>
      <c r="AW5150" s="15">
        <f t="shared" si="719"/>
        <v>0</v>
      </c>
      <c r="AX5150" s="16"/>
    </row>
    <row r="5151" spans="2:50" x14ac:dyDescent="0.2">
      <c r="B5151" s="7"/>
      <c r="C5151" s="8">
        <v>15356</v>
      </c>
      <c r="D5151" s="9" t="s">
        <v>699</v>
      </c>
      <c r="E5151" s="10" t="str">
        <f t="shared" si="714"/>
        <v>Rancho La Cuchilla No. 18</v>
      </c>
      <c r="F5151" s="10" t="str">
        <f t="shared" si="715"/>
        <v>Aldana Sánchez</v>
      </c>
      <c r="G5151" s="8">
        <v>1</v>
      </c>
      <c r="H5151" s="11">
        <v>1200</v>
      </c>
      <c r="I5151" s="12">
        <v>43044</v>
      </c>
      <c r="J5151" s="35">
        <f t="shared" si="716"/>
        <v>0</v>
      </c>
      <c r="K5151" s="36"/>
      <c r="L5151" s="36"/>
      <c r="M5151" s="36"/>
      <c r="N5151" s="36"/>
      <c r="O5151" s="36"/>
      <c r="P5151" s="36"/>
      <c r="Q5151" s="36"/>
      <c r="R5151" s="36"/>
      <c r="S5151" s="36"/>
      <c r="T5151" s="36"/>
      <c r="U5151" s="36"/>
      <c r="V5151" s="36"/>
      <c r="W5151" s="15">
        <f t="shared" si="717"/>
        <v>0</v>
      </c>
      <c r="X5151" s="36"/>
      <c r="Y5151" s="36"/>
      <c r="Z5151" s="36"/>
      <c r="AA5151" s="36"/>
      <c r="AB5151" s="36"/>
      <c r="AC5151" s="36"/>
      <c r="AD5151" s="36"/>
      <c r="AE5151" s="36"/>
      <c r="AF5151" s="36">
        <v>400</v>
      </c>
      <c r="AG5151" s="36">
        <v>400</v>
      </c>
      <c r="AH5151" s="36">
        <v>400</v>
      </c>
      <c r="AI5151" s="36"/>
      <c r="AJ5151" s="15">
        <f t="shared" si="718"/>
        <v>1200</v>
      </c>
      <c r="AK5151" s="14"/>
      <c r="AL5151" s="14"/>
      <c r="AM5151" s="14"/>
      <c r="AN5151" s="14"/>
      <c r="AO5151" s="14"/>
      <c r="AP5151" s="14"/>
      <c r="AQ5151" s="14"/>
      <c r="AR5151" s="14"/>
      <c r="AS5151" s="14"/>
      <c r="AT5151" s="14"/>
      <c r="AU5151" s="14"/>
      <c r="AV5151" s="14"/>
      <c r="AW5151" s="15">
        <f t="shared" si="719"/>
        <v>0</v>
      </c>
      <c r="AX5151" s="16"/>
    </row>
    <row r="5152" spans="2:50" x14ac:dyDescent="0.2">
      <c r="B5152" s="7"/>
      <c r="C5152" s="8">
        <v>15357</v>
      </c>
      <c r="D5152" s="9" t="s">
        <v>440</v>
      </c>
      <c r="E5152" s="10" t="str">
        <f t="shared" si="714"/>
        <v>Rancho Estanzuela No. 159</v>
      </c>
      <c r="F5152" s="10" t="str">
        <f t="shared" si="715"/>
        <v>Silva</v>
      </c>
      <c r="G5152" s="8">
        <v>1</v>
      </c>
      <c r="H5152" s="11">
        <v>600</v>
      </c>
      <c r="I5152" s="12">
        <v>43044</v>
      </c>
      <c r="J5152" s="35">
        <f t="shared" si="716"/>
        <v>0</v>
      </c>
      <c r="K5152" s="36"/>
      <c r="L5152" s="36"/>
      <c r="M5152" s="36"/>
      <c r="N5152" s="36"/>
      <c r="O5152" s="36"/>
      <c r="P5152" s="36"/>
      <c r="Q5152" s="36"/>
      <c r="R5152" s="36"/>
      <c r="S5152" s="36"/>
      <c r="T5152" s="36"/>
      <c r="U5152" s="36"/>
      <c r="V5152" s="36"/>
      <c r="W5152" s="15">
        <f t="shared" si="717"/>
        <v>0</v>
      </c>
      <c r="X5152" s="36"/>
      <c r="Y5152" s="36"/>
      <c r="Z5152" s="36"/>
      <c r="AA5152" s="36"/>
      <c r="AB5152" s="36"/>
      <c r="AC5152" s="36"/>
      <c r="AD5152" s="36"/>
      <c r="AE5152" s="36"/>
      <c r="AF5152" s="36">
        <v>300</v>
      </c>
      <c r="AG5152" s="36">
        <v>300</v>
      </c>
      <c r="AH5152" s="36"/>
      <c r="AI5152" s="36"/>
      <c r="AJ5152" s="15">
        <f t="shared" si="718"/>
        <v>600</v>
      </c>
      <c r="AK5152" s="14"/>
      <c r="AL5152" s="14"/>
      <c r="AM5152" s="14"/>
      <c r="AN5152" s="14"/>
      <c r="AO5152" s="14"/>
      <c r="AP5152" s="14"/>
      <c r="AQ5152" s="14"/>
      <c r="AR5152" s="14"/>
      <c r="AS5152" s="14"/>
      <c r="AT5152" s="14"/>
      <c r="AU5152" s="14"/>
      <c r="AV5152" s="14"/>
      <c r="AW5152" s="15">
        <f t="shared" si="719"/>
        <v>0</v>
      </c>
      <c r="AX5152" s="16"/>
    </row>
    <row r="5153" spans="2:50" x14ac:dyDescent="0.2">
      <c r="B5153" s="7"/>
      <c r="C5153" s="8">
        <v>15358</v>
      </c>
      <c r="D5153" s="9" t="s">
        <v>568</v>
      </c>
      <c r="E5153" s="10" t="str">
        <f t="shared" si="714"/>
        <v>Rancho Landero No. 95</v>
      </c>
      <c r="F5153" s="10" t="str">
        <f t="shared" si="715"/>
        <v>Rivas Rangel</v>
      </c>
      <c r="G5153" s="8">
        <v>1</v>
      </c>
      <c r="H5153" s="11">
        <v>400</v>
      </c>
      <c r="I5153" s="12">
        <v>43044</v>
      </c>
      <c r="J5153" s="35">
        <f t="shared" si="716"/>
        <v>0</v>
      </c>
      <c r="K5153" s="36"/>
      <c r="L5153" s="36"/>
      <c r="M5153" s="36"/>
      <c r="N5153" s="36"/>
      <c r="O5153" s="36"/>
      <c r="P5153" s="36"/>
      <c r="Q5153" s="36"/>
      <c r="R5153" s="36"/>
      <c r="S5153" s="36"/>
      <c r="T5153" s="36"/>
      <c r="U5153" s="36"/>
      <c r="V5153" s="36"/>
      <c r="W5153" s="15">
        <f t="shared" si="717"/>
        <v>0</v>
      </c>
      <c r="X5153" s="36"/>
      <c r="Y5153" s="36"/>
      <c r="Z5153" s="36"/>
      <c r="AA5153" s="36"/>
      <c r="AB5153" s="36"/>
      <c r="AC5153" s="36"/>
      <c r="AD5153" s="36"/>
      <c r="AE5153" s="36"/>
      <c r="AF5153" s="36"/>
      <c r="AG5153" s="36"/>
      <c r="AH5153" s="36">
        <v>400</v>
      </c>
      <c r="AI5153" s="36"/>
      <c r="AJ5153" s="15">
        <f t="shared" si="718"/>
        <v>400</v>
      </c>
      <c r="AK5153" s="14"/>
      <c r="AL5153" s="14"/>
      <c r="AM5153" s="14"/>
      <c r="AN5153" s="14"/>
      <c r="AO5153" s="14"/>
      <c r="AP5153" s="14"/>
      <c r="AQ5153" s="14"/>
      <c r="AR5153" s="14"/>
      <c r="AS5153" s="14"/>
      <c r="AT5153" s="14"/>
      <c r="AU5153" s="14"/>
      <c r="AV5153" s="14"/>
      <c r="AW5153" s="15">
        <f t="shared" si="719"/>
        <v>0</v>
      </c>
      <c r="AX5153" s="16"/>
    </row>
    <row r="5154" spans="2:50" x14ac:dyDescent="0.2">
      <c r="B5154" s="7"/>
      <c r="C5154" s="8">
        <v>15359</v>
      </c>
      <c r="D5154" s="9" t="s">
        <v>864</v>
      </c>
      <c r="E5154" s="10" t="str">
        <f t="shared" si="714"/>
        <v>Rancho Upácuaro No. 40</v>
      </c>
      <c r="F5154" s="10" t="str">
        <f t="shared" si="715"/>
        <v>López Ramírez</v>
      </c>
      <c r="G5154" s="8">
        <v>1</v>
      </c>
      <c r="H5154" s="11">
        <v>1200</v>
      </c>
      <c r="I5154" s="12">
        <v>43044</v>
      </c>
      <c r="J5154" s="35">
        <f t="shared" si="716"/>
        <v>0</v>
      </c>
      <c r="K5154" s="36"/>
      <c r="L5154" s="36"/>
      <c r="M5154" s="36"/>
      <c r="N5154" s="36"/>
      <c r="O5154" s="36"/>
      <c r="P5154" s="36"/>
      <c r="Q5154" s="36"/>
      <c r="R5154" s="36"/>
      <c r="S5154" s="36"/>
      <c r="T5154" s="36"/>
      <c r="U5154" s="36"/>
      <c r="V5154" s="36"/>
      <c r="W5154" s="15">
        <f t="shared" si="717"/>
        <v>0</v>
      </c>
      <c r="X5154" s="36"/>
      <c r="Y5154" s="36"/>
      <c r="Z5154" s="36"/>
      <c r="AA5154" s="36">
        <v>300</v>
      </c>
      <c r="AB5154" s="36">
        <v>300</v>
      </c>
      <c r="AC5154" s="36">
        <v>300</v>
      </c>
      <c r="AD5154" s="36">
        <v>300</v>
      </c>
      <c r="AE5154" s="36"/>
      <c r="AF5154" s="36"/>
      <c r="AG5154" s="36"/>
      <c r="AH5154" s="36"/>
      <c r="AI5154" s="36"/>
      <c r="AJ5154" s="15">
        <f t="shared" si="718"/>
        <v>1200</v>
      </c>
      <c r="AK5154" s="14"/>
      <c r="AL5154" s="14"/>
      <c r="AM5154" s="14"/>
      <c r="AN5154" s="14"/>
      <c r="AO5154" s="14"/>
      <c r="AP5154" s="14"/>
      <c r="AQ5154" s="14"/>
      <c r="AR5154" s="14"/>
      <c r="AS5154" s="14"/>
      <c r="AT5154" s="14"/>
      <c r="AU5154" s="14"/>
      <c r="AV5154" s="14"/>
      <c r="AW5154" s="15">
        <f t="shared" si="719"/>
        <v>0</v>
      </c>
      <c r="AX5154" s="16"/>
    </row>
    <row r="5155" spans="2:50" x14ac:dyDescent="0.2">
      <c r="B5155" s="7"/>
      <c r="C5155" s="8">
        <v>15360</v>
      </c>
      <c r="D5155" s="9" t="s">
        <v>97</v>
      </c>
      <c r="E5155" s="10" t="str">
        <f t="shared" si="714"/>
        <v>Rancho La Cuchilla No. 78</v>
      </c>
      <c r="F5155" s="10" t="str">
        <f t="shared" si="715"/>
        <v>García</v>
      </c>
      <c r="G5155" s="8">
        <v>1</v>
      </c>
      <c r="H5155" s="11">
        <v>400</v>
      </c>
      <c r="I5155" s="12">
        <v>43044</v>
      </c>
      <c r="J5155" s="35">
        <f t="shared" si="716"/>
        <v>0</v>
      </c>
      <c r="K5155" s="36"/>
      <c r="L5155" s="36"/>
      <c r="M5155" s="36"/>
      <c r="N5155" s="36"/>
      <c r="O5155" s="36"/>
      <c r="P5155" s="36"/>
      <c r="Q5155" s="36"/>
      <c r="R5155" s="36"/>
      <c r="S5155" s="36"/>
      <c r="T5155" s="36"/>
      <c r="U5155" s="36"/>
      <c r="V5155" s="36"/>
      <c r="W5155" s="15">
        <f t="shared" si="717"/>
        <v>0</v>
      </c>
      <c r="X5155" s="36"/>
      <c r="Y5155" s="36"/>
      <c r="Z5155" s="36"/>
      <c r="AA5155" s="36"/>
      <c r="AB5155" s="36"/>
      <c r="AC5155" s="36"/>
      <c r="AD5155" s="36"/>
      <c r="AE5155" s="36"/>
      <c r="AF5155" s="36"/>
      <c r="AG5155" s="36"/>
      <c r="AH5155" s="36">
        <v>400</v>
      </c>
      <c r="AI5155" s="36"/>
      <c r="AJ5155" s="15">
        <f t="shared" si="718"/>
        <v>400</v>
      </c>
      <c r="AK5155" s="14"/>
      <c r="AL5155" s="14"/>
      <c r="AM5155" s="14"/>
      <c r="AN5155" s="14"/>
      <c r="AO5155" s="14"/>
      <c r="AP5155" s="14"/>
      <c r="AQ5155" s="14"/>
      <c r="AR5155" s="14"/>
      <c r="AS5155" s="14"/>
      <c r="AT5155" s="14"/>
      <c r="AU5155" s="14"/>
      <c r="AV5155" s="14"/>
      <c r="AW5155" s="15">
        <f t="shared" si="719"/>
        <v>0</v>
      </c>
      <c r="AX5155" s="16"/>
    </row>
    <row r="5156" spans="2:50" x14ac:dyDescent="0.2">
      <c r="B5156" s="7"/>
      <c r="C5156" s="8">
        <v>15361</v>
      </c>
      <c r="D5156" s="9" t="s">
        <v>168</v>
      </c>
      <c r="E5156" s="10" t="str">
        <f t="shared" si="714"/>
        <v>Rancho Upácuaro No. 73, A</v>
      </c>
      <c r="F5156" s="10" t="str">
        <f t="shared" si="715"/>
        <v>Ortega</v>
      </c>
      <c r="G5156" s="8">
        <v>1</v>
      </c>
      <c r="H5156" s="11">
        <v>200</v>
      </c>
      <c r="I5156" s="12">
        <v>43044</v>
      </c>
      <c r="J5156" s="35">
        <f t="shared" si="716"/>
        <v>0</v>
      </c>
      <c r="K5156" s="36"/>
      <c r="L5156" s="36"/>
      <c r="M5156" s="36"/>
      <c r="N5156" s="36"/>
      <c r="O5156" s="36"/>
      <c r="P5156" s="36"/>
      <c r="Q5156" s="36"/>
      <c r="R5156" s="36"/>
      <c r="S5156" s="36"/>
      <c r="T5156" s="36"/>
      <c r="U5156" s="36"/>
      <c r="V5156" s="36"/>
      <c r="W5156" s="15">
        <f t="shared" si="717"/>
        <v>0</v>
      </c>
      <c r="X5156" s="36"/>
      <c r="Y5156" s="36"/>
      <c r="Z5156" s="36"/>
      <c r="AA5156" s="36"/>
      <c r="AB5156" s="36"/>
      <c r="AC5156" s="36"/>
      <c r="AD5156" s="36"/>
      <c r="AE5156" s="36"/>
      <c r="AF5156" s="36">
        <v>200</v>
      </c>
      <c r="AG5156" s="36"/>
      <c r="AH5156" s="36"/>
      <c r="AI5156" s="36"/>
      <c r="AJ5156" s="15">
        <f t="shared" si="718"/>
        <v>200</v>
      </c>
      <c r="AK5156" s="14"/>
      <c r="AL5156" s="14"/>
      <c r="AM5156" s="14"/>
      <c r="AN5156" s="14"/>
      <c r="AO5156" s="14"/>
      <c r="AP5156" s="14"/>
      <c r="AQ5156" s="14"/>
      <c r="AR5156" s="14"/>
      <c r="AS5156" s="14"/>
      <c r="AT5156" s="14"/>
      <c r="AU5156" s="14"/>
      <c r="AV5156" s="14"/>
      <c r="AW5156" s="15">
        <f t="shared" si="719"/>
        <v>0</v>
      </c>
      <c r="AX5156" s="16"/>
    </row>
    <row r="5157" spans="2:50" x14ac:dyDescent="0.2">
      <c r="B5157" s="7"/>
      <c r="C5157" s="8">
        <v>15362</v>
      </c>
      <c r="D5157" s="9" t="s">
        <v>262</v>
      </c>
      <c r="E5157" s="10" t="str">
        <f t="shared" si="714"/>
        <v>Rancho Recoveco No. 1</v>
      </c>
      <c r="F5157" s="10" t="str">
        <f t="shared" si="715"/>
        <v>Díaz</v>
      </c>
      <c r="G5157" s="8">
        <v>1</v>
      </c>
      <c r="H5157" s="11">
        <v>300</v>
      </c>
      <c r="I5157" s="12">
        <v>43044</v>
      </c>
      <c r="J5157" s="35">
        <f t="shared" si="716"/>
        <v>0</v>
      </c>
      <c r="K5157" s="36"/>
      <c r="L5157" s="36"/>
      <c r="M5157" s="36"/>
      <c r="N5157" s="36"/>
      <c r="O5157" s="36"/>
      <c r="P5157" s="36"/>
      <c r="Q5157" s="36"/>
      <c r="R5157" s="36"/>
      <c r="S5157" s="36"/>
      <c r="T5157" s="36"/>
      <c r="U5157" s="36"/>
      <c r="V5157" s="36"/>
      <c r="W5157" s="15">
        <f t="shared" si="717"/>
        <v>0</v>
      </c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>
        <v>300</v>
      </c>
      <c r="AI5157" s="36"/>
      <c r="AJ5157" s="15">
        <f t="shared" si="718"/>
        <v>300</v>
      </c>
      <c r="AK5157" s="14"/>
      <c r="AL5157" s="14"/>
      <c r="AM5157" s="14"/>
      <c r="AN5157" s="14"/>
      <c r="AO5157" s="14"/>
      <c r="AP5157" s="14"/>
      <c r="AQ5157" s="14"/>
      <c r="AR5157" s="14"/>
      <c r="AS5157" s="14"/>
      <c r="AT5157" s="14"/>
      <c r="AU5157" s="14"/>
      <c r="AV5157" s="14"/>
      <c r="AW5157" s="15">
        <f t="shared" si="719"/>
        <v>0</v>
      </c>
      <c r="AX5157" s="16"/>
    </row>
    <row r="5158" spans="2:50" x14ac:dyDescent="0.2">
      <c r="B5158" s="7"/>
      <c r="C5158" s="8">
        <v>15363</v>
      </c>
      <c r="D5158" s="9" t="s">
        <v>51</v>
      </c>
      <c r="E5158" s="10" t="str">
        <f t="shared" si="714"/>
        <v>Rancho Landero No. 22</v>
      </c>
      <c r="F5158" s="10" t="str">
        <f t="shared" si="715"/>
        <v>Reyes</v>
      </c>
      <c r="G5158" s="8">
        <v>1</v>
      </c>
      <c r="H5158" s="11">
        <v>500</v>
      </c>
      <c r="I5158" s="12">
        <v>43044</v>
      </c>
      <c r="J5158" s="35">
        <f>IF(G5158=1,SUM(W5158,AJ5158,AW5158,-H5158),0)</f>
        <v>0</v>
      </c>
      <c r="K5158" s="36"/>
      <c r="L5158" s="36"/>
      <c r="M5158" s="36"/>
      <c r="N5158" s="36"/>
      <c r="O5158" s="36"/>
      <c r="P5158" s="36"/>
      <c r="Q5158" s="36"/>
      <c r="R5158" s="36"/>
      <c r="S5158" s="36"/>
      <c r="T5158" s="36"/>
      <c r="U5158" s="36"/>
      <c r="V5158" s="36"/>
      <c r="W5158" s="15">
        <f t="shared" si="717"/>
        <v>0</v>
      </c>
      <c r="X5158" s="36"/>
      <c r="Y5158" s="36"/>
      <c r="Z5158" s="36"/>
      <c r="AA5158" s="36"/>
      <c r="AB5158" s="36"/>
      <c r="AC5158" s="36"/>
      <c r="AD5158" s="36"/>
      <c r="AE5158" s="36"/>
      <c r="AF5158" s="36"/>
      <c r="AG5158" s="36">
        <v>250</v>
      </c>
      <c r="AH5158" s="36">
        <v>250</v>
      </c>
      <c r="AI5158" s="36"/>
      <c r="AJ5158" s="15">
        <f t="shared" si="718"/>
        <v>500</v>
      </c>
      <c r="AK5158" s="14"/>
      <c r="AL5158" s="14"/>
      <c r="AM5158" s="14"/>
      <c r="AN5158" s="14"/>
      <c r="AO5158" s="14"/>
      <c r="AP5158" s="14"/>
      <c r="AQ5158" s="14"/>
      <c r="AR5158" s="14"/>
      <c r="AS5158" s="14"/>
      <c r="AT5158" s="14"/>
      <c r="AU5158" s="14"/>
      <c r="AV5158" s="14"/>
      <c r="AW5158" s="15">
        <f t="shared" si="719"/>
        <v>0</v>
      </c>
      <c r="AX5158" s="16"/>
    </row>
    <row r="5159" spans="2:50" x14ac:dyDescent="0.2">
      <c r="B5159" s="7"/>
      <c r="C5159" s="8">
        <v>15364</v>
      </c>
      <c r="D5159" s="9" t="s">
        <v>1335</v>
      </c>
      <c r="E5159" s="10" t="str">
        <f t="shared" si="714"/>
        <v>Rancho Estanzuela No. 49</v>
      </c>
      <c r="F5159" s="10" t="str">
        <f t="shared" si="715"/>
        <v>Sánchez Zamora</v>
      </c>
      <c r="G5159" s="8">
        <v>1</v>
      </c>
      <c r="H5159" s="11">
        <v>200</v>
      </c>
      <c r="I5159" s="12">
        <v>43044</v>
      </c>
      <c r="J5159" s="35">
        <f t="shared" si="716"/>
        <v>0</v>
      </c>
      <c r="K5159" s="36"/>
      <c r="L5159" s="36"/>
      <c r="M5159" s="36"/>
      <c r="N5159" s="36"/>
      <c r="O5159" s="36"/>
      <c r="P5159" s="36"/>
      <c r="Q5159" s="36"/>
      <c r="R5159" s="36"/>
      <c r="S5159" s="36"/>
      <c r="T5159" s="36"/>
      <c r="U5159" s="36"/>
      <c r="V5159" s="36"/>
      <c r="W5159" s="15">
        <f t="shared" si="717"/>
        <v>0</v>
      </c>
      <c r="X5159" s="36"/>
      <c r="Y5159" s="36"/>
      <c r="Z5159" s="36"/>
      <c r="AA5159" s="36"/>
      <c r="AB5159" s="36"/>
      <c r="AC5159" s="36"/>
      <c r="AD5159" s="36"/>
      <c r="AE5159" s="36"/>
      <c r="AF5159" s="36">
        <v>200</v>
      </c>
      <c r="AG5159" s="36"/>
      <c r="AH5159" s="36"/>
      <c r="AI5159" s="36"/>
      <c r="AJ5159" s="15">
        <f t="shared" si="718"/>
        <v>200</v>
      </c>
      <c r="AK5159" s="14"/>
      <c r="AL5159" s="14"/>
      <c r="AM5159" s="14"/>
      <c r="AN5159" s="14"/>
      <c r="AO5159" s="14"/>
      <c r="AP5159" s="14"/>
      <c r="AQ5159" s="14"/>
      <c r="AR5159" s="14"/>
      <c r="AS5159" s="14"/>
      <c r="AT5159" s="14"/>
      <c r="AU5159" s="14"/>
      <c r="AV5159" s="14"/>
      <c r="AW5159" s="15">
        <f t="shared" si="719"/>
        <v>0</v>
      </c>
      <c r="AX5159" s="316">
        <f>SUM(H5093:H5159)</f>
        <v>34875</v>
      </c>
    </row>
    <row r="5160" spans="2:50" x14ac:dyDescent="0.2">
      <c r="B5160" s="7"/>
      <c r="C5160" s="8">
        <v>15365</v>
      </c>
      <c r="D5160" s="9" t="s">
        <v>807</v>
      </c>
      <c r="E5160" s="10" t="str">
        <f t="shared" si="708"/>
        <v>Rancho La Cuchilla No. 61</v>
      </c>
      <c r="F5160" s="10" t="str">
        <f t="shared" si="709"/>
        <v>Rivera</v>
      </c>
      <c r="G5160" s="8">
        <v>1</v>
      </c>
      <c r="H5160" s="315">
        <v>400</v>
      </c>
      <c r="I5160" s="12">
        <v>43045</v>
      </c>
      <c r="J5160" s="35">
        <f t="shared" si="710"/>
        <v>0</v>
      </c>
      <c r="K5160" s="36"/>
      <c r="L5160" s="36"/>
      <c r="M5160" s="36"/>
      <c r="N5160" s="36"/>
      <c r="O5160" s="36"/>
      <c r="P5160" s="36"/>
      <c r="Q5160" s="36"/>
      <c r="R5160" s="36"/>
      <c r="S5160" s="36"/>
      <c r="T5160" s="36"/>
      <c r="U5160" s="36"/>
      <c r="V5160" s="36"/>
      <c r="W5160" s="15">
        <f t="shared" si="711"/>
        <v>0</v>
      </c>
      <c r="X5160" s="36"/>
      <c r="Y5160" s="36"/>
      <c r="Z5160" s="36"/>
      <c r="AA5160" s="36"/>
      <c r="AB5160" s="36"/>
      <c r="AC5160" s="36"/>
      <c r="AD5160" s="36"/>
      <c r="AE5160" s="36"/>
      <c r="AF5160" s="36">
        <v>200</v>
      </c>
      <c r="AG5160" s="36">
        <v>200</v>
      </c>
      <c r="AH5160" s="36"/>
      <c r="AI5160" s="36"/>
      <c r="AJ5160" s="15">
        <f t="shared" si="712"/>
        <v>400</v>
      </c>
      <c r="AK5160" s="14"/>
      <c r="AL5160" s="14"/>
      <c r="AM5160" s="14"/>
      <c r="AN5160" s="14"/>
      <c r="AO5160" s="14"/>
      <c r="AP5160" s="14"/>
      <c r="AQ5160" s="14"/>
      <c r="AR5160" s="14"/>
      <c r="AS5160" s="14"/>
      <c r="AT5160" s="14"/>
      <c r="AU5160" s="14"/>
      <c r="AV5160" s="14"/>
      <c r="AW5160" s="15">
        <f t="shared" si="713"/>
        <v>0</v>
      </c>
      <c r="AX5160" s="16"/>
    </row>
    <row r="5161" spans="2:50" x14ac:dyDescent="0.2">
      <c r="B5161" s="7"/>
      <c r="C5161" s="8">
        <v>15366</v>
      </c>
      <c r="D5161" s="9" t="s">
        <v>205</v>
      </c>
      <c r="E5161" s="10" t="str">
        <f t="shared" si="708"/>
        <v>Rancho Landero No. 1, A</v>
      </c>
      <c r="F5161" s="10" t="str">
        <f t="shared" si="709"/>
        <v>Ebysos</v>
      </c>
      <c r="G5161" s="8">
        <v>1</v>
      </c>
      <c r="H5161" s="11">
        <v>600</v>
      </c>
      <c r="I5161" s="12">
        <v>43045</v>
      </c>
      <c r="J5161" s="35">
        <f t="shared" si="710"/>
        <v>0</v>
      </c>
      <c r="K5161" s="36"/>
      <c r="L5161" s="36"/>
      <c r="M5161" s="36"/>
      <c r="N5161" s="36"/>
      <c r="O5161" s="36"/>
      <c r="P5161" s="36"/>
      <c r="Q5161" s="36"/>
      <c r="R5161" s="36"/>
      <c r="S5161" s="36"/>
      <c r="T5161" s="36"/>
      <c r="U5161" s="36"/>
      <c r="V5161" s="36"/>
      <c r="W5161" s="15">
        <f t="shared" si="711"/>
        <v>0</v>
      </c>
      <c r="X5161" s="36"/>
      <c r="Y5161" s="36"/>
      <c r="Z5161" s="36"/>
      <c r="AA5161" s="36"/>
      <c r="AB5161" s="36"/>
      <c r="AC5161" s="36"/>
      <c r="AD5161" s="36"/>
      <c r="AE5161" s="36"/>
      <c r="AF5161" s="36"/>
      <c r="AG5161" s="36">
        <v>600</v>
      </c>
      <c r="AH5161" s="36"/>
      <c r="AI5161" s="36"/>
      <c r="AJ5161" s="15">
        <f t="shared" si="712"/>
        <v>600</v>
      </c>
      <c r="AK5161" s="14"/>
      <c r="AL5161" s="14"/>
      <c r="AM5161" s="14"/>
      <c r="AN5161" s="14"/>
      <c r="AO5161" s="14"/>
      <c r="AP5161" s="14"/>
      <c r="AQ5161" s="14"/>
      <c r="AR5161" s="14"/>
      <c r="AS5161" s="14"/>
      <c r="AT5161" s="14"/>
      <c r="AU5161" s="14"/>
      <c r="AV5161" s="14"/>
      <c r="AW5161" s="15">
        <f t="shared" si="713"/>
        <v>0</v>
      </c>
      <c r="AX5161" s="16"/>
    </row>
    <row r="5162" spans="2:50" x14ac:dyDescent="0.2">
      <c r="B5162" s="7"/>
      <c r="C5162" s="8">
        <v>15367</v>
      </c>
      <c r="D5162" s="9" t="s">
        <v>38</v>
      </c>
      <c r="E5162" s="10" t="str">
        <f t="shared" si="708"/>
        <v>Rancho Landero No. 2, 3</v>
      </c>
      <c r="F5162" s="10" t="str">
        <f t="shared" si="709"/>
        <v>Pineda Laura</v>
      </c>
      <c r="G5162" s="8">
        <v>3</v>
      </c>
      <c r="H5162" s="11">
        <v>200</v>
      </c>
      <c r="I5162" s="12">
        <v>43047</v>
      </c>
      <c r="J5162" s="35">
        <f t="shared" si="710"/>
        <v>0</v>
      </c>
      <c r="K5162" s="36"/>
      <c r="L5162" s="36"/>
      <c r="M5162" s="36"/>
      <c r="N5162" s="36"/>
      <c r="O5162" s="36"/>
      <c r="P5162" s="36"/>
      <c r="Q5162" s="36"/>
      <c r="R5162" s="36"/>
      <c r="S5162" s="36"/>
      <c r="T5162" s="36"/>
      <c r="U5162" s="36"/>
      <c r="V5162" s="36"/>
      <c r="W5162" s="15">
        <f t="shared" si="711"/>
        <v>0</v>
      </c>
      <c r="X5162" s="36"/>
      <c r="Y5162" s="36"/>
      <c r="Z5162" s="36"/>
      <c r="AA5162" s="36"/>
      <c r="AB5162" s="36"/>
      <c r="AC5162" s="36"/>
      <c r="AD5162" s="36"/>
      <c r="AE5162" s="36"/>
      <c r="AF5162" s="36"/>
      <c r="AG5162" s="36"/>
      <c r="AH5162" s="36"/>
      <c r="AI5162" s="36"/>
      <c r="AJ5162" s="15">
        <f t="shared" si="712"/>
        <v>0</v>
      </c>
      <c r="AK5162" s="14"/>
      <c r="AL5162" s="14"/>
      <c r="AM5162" s="14"/>
      <c r="AN5162" s="14"/>
      <c r="AO5162" s="14"/>
      <c r="AP5162" s="14"/>
      <c r="AQ5162" s="14"/>
      <c r="AR5162" s="14"/>
      <c r="AS5162" s="14"/>
      <c r="AT5162" s="14"/>
      <c r="AU5162" s="14"/>
      <c r="AV5162" s="14"/>
      <c r="AW5162" s="15">
        <f t="shared" si="713"/>
        <v>0</v>
      </c>
      <c r="AX5162" s="16"/>
    </row>
    <row r="5163" spans="2:50" x14ac:dyDescent="0.2">
      <c r="B5163" s="7"/>
      <c r="C5163" s="8">
        <v>15367</v>
      </c>
      <c r="D5163" s="9" t="s">
        <v>38</v>
      </c>
      <c r="E5163" s="10" t="str">
        <f t="shared" ref="E5163:E5204" si="720">IF(D5163=0,"",VLOOKUP(D5163,BASE,2,FALSE))</f>
        <v>Rancho Landero No. 2, 3</v>
      </c>
      <c r="F5163" s="10" t="str">
        <f t="shared" ref="F5163:F5204" si="721">IF(D5163=0,"",VLOOKUP(D5163,BASE,3,FALSE))</f>
        <v>Pineda Laura</v>
      </c>
      <c r="G5163" s="8">
        <v>5</v>
      </c>
      <c r="H5163" s="11">
        <v>50</v>
      </c>
      <c r="I5163" s="12">
        <v>43047</v>
      </c>
      <c r="J5163" s="35">
        <f t="shared" ref="J5163:J5204" si="722">IF(G5163=1,SUM(W5163,AJ5163,AW5163,-H5163),0)</f>
        <v>0</v>
      </c>
      <c r="K5163" s="36"/>
      <c r="L5163" s="36"/>
      <c r="M5163" s="36"/>
      <c r="N5163" s="36"/>
      <c r="O5163" s="36"/>
      <c r="P5163" s="36"/>
      <c r="Q5163" s="36"/>
      <c r="R5163" s="36"/>
      <c r="S5163" s="36"/>
      <c r="T5163" s="36"/>
      <c r="U5163" s="36"/>
      <c r="V5163" s="36"/>
      <c r="W5163" s="15">
        <f t="shared" ref="W5163:W5204" si="723">SUM(K5163:V5163)</f>
        <v>0</v>
      </c>
      <c r="X5163" s="36"/>
      <c r="Y5163" s="36"/>
      <c r="Z5163" s="36"/>
      <c r="AA5163" s="36"/>
      <c r="AB5163" s="36"/>
      <c r="AC5163" s="36"/>
      <c r="AD5163" s="36"/>
      <c r="AE5163" s="36"/>
      <c r="AF5163" s="36"/>
      <c r="AG5163" s="36"/>
      <c r="AH5163" s="36"/>
      <c r="AI5163" s="36"/>
      <c r="AJ5163" s="15">
        <f t="shared" ref="AJ5163:AJ5204" si="724">SUM(X5163:AI5163)</f>
        <v>0</v>
      </c>
      <c r="AK5163" s="14"/>
      <c r="AL5163" s="14"/>
      <c r="AM5163" s="14"/>
      <c r="AN5163" s="14"/>
      <c r="AO5163" s="14"/>
      <c r="AP5163" s="14"/>
      <c r="AQ5163" s="14"/>
      <c r="AR5163" s="14"/>
      <c r="AS5163" s="14"/>
      <c r="AT5163" s="14"/>
      <c r="AU5163" s="14"/>
      <c r="AV5163" s="14"/>
      <c r="AW5163" s="15">
        <f t="shared" ref="AW5163:AW5204" si="725">SUM(AK5163:AV5163)</f>
        <v>0</v>
      </c>
      <c r="AX5163" s="16"/>
    </row>
    <row r="5164" spans="2:50" x14ac:dyDescent="0.2">
      <c r="B5164" s="7"/>
      <c r="C5164" s="8">
        <v>15368</v>
      </c>
      <c r="D5164" s="9" t="s">
        <v>1181</v>
      </c>
      <c r="E5164" s="10" t="str">
        <f t="shared" si="720"/>
        <v>Rancho Upácuaro No. 31</v>
      </c>
      <c r="F5164" s="10" t="str">
        <f t="shared" si="721"/>
        <v>Gallardo Ávila</v>
      </c>
      <c r="G5164" s="8">
        <v>1</v>
      </c>
      <c r="H5164" s="11">
        <v>600</v>
      </c>
      <c r="I5164" s="12">
        <v>43047</v>
      </c>
      <c r="J5164" s="35">
        <f t="shared" si="722"/>
        <v>0</v>
      </c>
      <c r="K5164" s="36"/>
      <c r="L5164" s="36"/>
      <c r="M5164" s="36"/>
      <c r="N5164" s="36"/>
      <c r="O5164" s="36"/>
      <c r="P5164" s="36"/>
      <c r="Q5164" s="36"/>
      <c r="R5164" s="36"/>
      <c r="S5164" s="36"/>
      <c r="T5164" s="36"/>
      <c r="U5164" s="36"/>
      <c r="V5164" s="36"/>
      <c r="W5164" s="15">
        <f t="shared" si="723"/>
        <v>0</v>
      </c>
      <c r="X5164" s="36"/>
      <c r="Y5164" s="36"/>
      <c r="Z5164" s="36"/>
      <c r="AA5164" s="36"/>
      <c r="AB5164" s="36"/>
      <c r="AC5164" s="36"/>
      <c r="AD5164" s="36">
        <v>200</v>
      </c>
      <c r="AE5164" s="36">
        <v>200</v>
      </c>
      <c r="AF5164" s="36">
        <v>200</v>
      </c>
      <c r="AG5164" s="36"/>
      <c r="AH5164" s="36"/>
      <c r="AI5164" s="36"/>
      <c r="AJ5164" s="15">
        <f t="shared" si="724"/>
        <v>600</v>
      </c>
      <c r="AK5164" s="14"/>
      <c r="AL5164" s="14"/>
      <c r="AM5164" s="14"/>
      <c r="AN5164" s="14"/>
      <c r="AO5164" s="14"/>
      <c r="AP5164" s="14"/>
      <c r="AQ5164" s="14"/>
      <c r="AR5164" s="14"/>
      <c r="AS5164" s="14"/>
      <c r="AT5164" s="14"/>
      <c r="AU5164" s="14"/>
      <c r="AV5164" s="14"/>
      <c r="AW5164" s="15">
        <f t="shared" si="725"/>
        <v>0</v>
      </c>
      <c r="AX5164" s="16"/>
    </row>
    <row r="5165" spans="2:50" x14ac:dyDescent="0.2">
      <c r="B5165" s="7"/>
      <c r="C5165" s="8">
        <v>15369</v>
      </c>
      <c r="D5165" s="9" t="s">
        <v>373</v>
      </c>
      <c r="E5165" s="10" t="str">
        <f t="shared" si="720"/>
        <v>Rancho Upácuaro No. 118</v>
      </c>
      <c r="F5165" s="10" t="str">
        <f t="shared" si="721"/>
        <v>Siegrist</v>
      </c>
      <c r="G5165" s="8">
        <v>1</v>
      </c>
      <c r="H5165" s="11">
        <v>800</v>
      </c>
      <c r="I5165" s="12">
        <v>43048</v>
      </c>
      <c r="J5165" s="35">
        <f t="shared" si="722"/>
        <v>0</v>
      </c>
      <c r="K5165" s="36"/>
      <c r="L5165" s="36"/>
      <c r="M5165" s="36"/>
      <c r="N5165" s="36"/>
      <c r="O5165" s="36"/>
      <c r="P5165" s="36"/>
      <c r="Q5165" s="36"/>
      <c r="R5165" s="36"/>
      <c r="S5165" s="36"/>
      <c r="T5165" s="36"/>
      <c r="U5165" s="36"/>
      <c r="V5165" s="36"/>
      <c r="W5165" s="15">
        <f t="shared" si="723"/>
        <v>0</v>
      </c>
      <c r="X5165" s="36"/>
      <c r="Y5165" s="36"/>
      <c r="Z5165" s="36"/>
      <c r="AA5165" s="36"/>
      <c r="AB5165" s="36"/>
      <c r="AC5165" s="36"/>
      <c r="AD5165" s="36"/>
      <c r="AE5165" s="36"/>
      <c r="AF5165" s="36"/>
      <c r="AG5165" s="36">
        <v>400</v>
      </c>
      <c r="AH5165" s="36">
        <v>400</v>
      </c>
      <c r="AI5165" s="36"/>
      <c r="AJ5165" s="15">
        <f t="shared" si="724"/>
        <v>800</v>
      </c>
      <c r="AK5165" s="14"/>
      <c r="AL5165" s="14"/>
      <c r="AM5165" s="14"/>
      <c r="AN5165" s="14"/>
      <c r="AO5165" s="14"/>
      <c r="AP5165" s="14"/>
      <c r="AQ5165" s="14"/>
      <c r="AR5165" s="14"/>
      <c r="AS5165" s="14"/>
      <c r="AT5165" s="14"/>
      <c r="AU5165" s="14"/>
      <c r="AV5165" s="14"/>
      <c r="AW5165" s="15">
        <f t="shared" si="725"/>
        <v>0</v>
      </c>
      <c r="AX5165" s="16"/>
    </row>
    <row r="5166" spans="2:50" x14ac:dyDescent="0.2">
      <c r="B5166" s="7"/>
      <c r="C5166" s="8">
        <v>15370</v>
      </c>
      <c r="D5166" s="9" t="s">
        <v>763</v>
      </c>
      <c r="E5166" s="10" t="str">
        <f t="shared" si="720"/>
        <v>Rancho Estanzuela No. 79</v>
      </c>
      <c r="F5166" s="10" t="str">
        <f t="shared" si="721"/>
        <v>Mendoza</v>
      </c>
      <c r="G5166" s="8">
        <v>1</v>
      </c>
      <c r="H5166" s="11">
        <v>400</v>
      </c>
      <c r="I5166" s="12">
        <v>43050</v>
      </c>
      <c r="J5166" s="35">
        <f t="shared" si="722"/>
        <v>0</v>
      </c>
      <c r="K5166" s="36"/>
      <c r="L5166" s="36"/>
      <c r="M5166" s="36"/>
      <c r="N5166" s="36"/>
      <c r="O5166" s="36"/>
      <c r="P5166" s="36"/>
      <c r="Q5166" s="36"/>
      <c r="R5166" s="36"/>
      <c r="S5166" s="36"/>
      <c r="T5166" s="36"/>
      <c r="U5166" s="36"/>
      <c r="V5166" s="36"/>
      <c r="W5166" s="15">
        <f t="shared" si="723"/>
        <v>0</v>
      </c>
      <c r="X5166" s="36"/>
      <c r="Y5166" s="36"/>
      <c r="Z5166" s="36"/>
      <c r="AA5166" s="36"/>
      <c r="AB5166" s="36"/>
      <c r="AC5166" s="36"/>
      <c r="AD5166" s="36"/>
      <c r="AE5166" s="36"/>
      <c r="AF5166" s="36"/>
      <c r="AG5166" s="36">
        <v>400</v>
      </c>
      <c r="AH5166" s="36"/>
      <c r="AI5166" s="36"/>
      <c r="AJ5166" s="15">
        <f t="shared" si="724"/>
        <v>400</v>
      </c>
      <c r="AK5166" s="14"/>
      <c r="AL5166" s="14"/>
      <c r="AM5166" s="14"/>
      <c r="AN5166" s="14"/>
      <c r="AO5166" s="14"/>
      <c r="AP5166" s="14"/>
      <c r="AQ5166" s="14"/>
      <c r="AR5166" s="14"/>
      <c r="AS5166" s="14"/>
      <c r="AT5166" s="14"/>
      <c r="AU5166" s="14"/>
      <c r="AV5166" s="14"/>
      <c r="AW5166" s="15">
        <f t="shared" si="725"/>
        <v>0</v>
      </c>
      <c r="AX5166" s="16"/>
    </row>
    <row r="5167" spans="2:50" x14ac:dyDescent="0.2">
      <c r="B5167" s="7"/>
      <c r="C5167" s="8">
        <v>15371</v>
      </c>
      <c r="D5167" s="9" t="s">
        <v>1346</v>
      </c>
      <c r="E5167" s="10" t="str">
        <f t="shared" si="720"/>
        <v>Rancho Estanzuela No. 123</v>
      </c>
      <c r="F5167" s="10" t="str">
        <f t="shared" si="721"/>
        <v>Bueno Rendón</v>
      </c>
      <c r="G5167" s="8">
        <v>1</v>
      </c>
      <c r="H5167" s="11">
        <v>200</v>
      </c>
      <c r="I5167" s="12">
        <v>43051</v>
      </c>
      <c r="J5167" s="35">
        <f t="shared" si="722"/>
        <v>0</v>
      </c>
      <c r="K5167" s="36"/>
      <c r="L5167" s="36"/>
      <c r="M5167" s="36"/>
      <c r="N5167" s="36"/>
      <c r="O5167" s="36"/>
      <c r="P5167" s="36"/>
      <c r="Q5167" s="36"/>
      <c r="R5167" s="36"/>
      <c r="S5167" s="36"/>
      <c r="T5167" s="36"/>
      <c r="U5167" s="36"/>
      <c r="V5167" s="36"/>
      <c r="W5167" s="15">
        <f t="shared" si="723"/>
        <v>0</v>
      </c>
      <c r="X5167" s="36"/>
      <c r="Y5167" s="36"/>
      <c r="Z5167" s="36"/>
      <c r="AA5167" s="36"/>
      <c r="AB5167" s="36"/>
      <c r="AC5167" s="36"/>
      <c r="AD5167" s="36"/>
      <c r="AE5167" s="36"/>
      <c r="AF5167" s="36"/>
      <c r="AG5167" s="36"/>
      <c r="AH5167" s="36">
        <v>200</v>
      </c>
      <c r="AI5167" s="36"/>
      <c r="AJ5167" s="15">
        <f t="shared" si="724"/>
        <v>200</v>
      </c>
      <c r="AK5167" s="14"/>
      <c r="AL5167" s="14"/>
      <c r="AM5167" s="14"/>
      <c r="AN5167" s="14"/>
      <c r="AO5167" s="14"/>
      <c r="AP5167" s="14"/>
      <c r="AQ5167" s="14"/>
      <c r="AR5167" s="14"/>
      <c r="AS5167" s="14"/>
      <c r="AT5167" s="14"/>
      <c r="AU5167" s="14"/>
      <c r="AV5167" s="14"/>
      <c r="AW5167" s="15">
        <f t="shared" si="725"/>
        <v>0</v>
      </c>
      <c r="AX5167" s="16"/>
    </row>
    <row r="5168" spans="2:50" x14ac:dyDescent="0.2">
      <c r="B5168" s="7"/>
      <c r="C5168" s="8">
        <v>15372</v>
      </c>
      <c r="D5168" s="9" t="s">
        <v>820</v>
      </c>
      <c r="E5168" s="10" t="str">
        <f t="shared" si="720"/>
        <v>Rancho Zinamba No. 84</v>
      </c>
      <c r="F5168" s="10" t="str">
        <f t="shared" si="721"/>
        <v>Lobato</v>
      </c>
      <c r="G5168" s="8">
        <v>1</v>
      </c>
      <c r="H5168" s="11">
        <v>300</v>
      </c>
      <c r="I5168" s="12">
        <v>43051</v>
      </c>
      <c r="J5168" s="35">
        <f t="shared" si="722"/>
        <v>0</v>
      </c>
      <c r="K5168" s="36"/>
      <c r="L5168" s="36"/>
      <c r="M5168" s="36"/>
      <c r="N5168" s="36"/>
      <c r="O5168" s="36"/>
      <c r="P5168" s="36"/>
      <c r="Q5168" s="36"/>
      <c r="R5168" s="36"/>
      <c r="S5168" s="36"/>
      <c r="T5168" s="36"/>
      <c r="U5168" s="36"/>
      <c r="V5168" s="36"/>
      <c r="W5168" s="15">
        <f t="shared" si="723"/>
        <v>0</v>
      </c>
      <c r="X5168" s="36"/>
      <c r="Y5168" s="36"/>
      <c r="Z5168" s="36"/>
      <c r="AA5168" s="36"/>
      <c r="AB5168" s="36"/>
      <c r="AC5168" s="36"/>
      <c r="AD5168" s="36"/>
      <c r="AE5168" s="36"/>
      <c r="AF5168" s="36"/>
      <c r="AG5168" s="36">
        <v>300</v>
      </c>
      <c r="AH5168" s="36"/>
      <c r="AI5168" s="36"/>
      <c r="AJ5168" s="15">
        <f t="shared" si="724"/>
        <v>300</v>
      </c>
      <c r="AK5168" s="14"/>
      <c r="AL5168" s="14"/>
      <c r="AM5168" s="14"/>
      <c r="AN5168" s="14"/>
      <c r="AO5168" s="14"/>
      <c r="AP5168" s="14"/>
      <c r="AQ5168" s="14"/>
      <c r="AR5168" s="14"/>
      <c r="AS5168" s="14"/>
      <c r="AT5168" s="14"/>
      <c r="AU5168" s="14"/>
      <c r="AV5168" s="14"/>
      <c r="AW5168" s="15">
        <f t="shared" si="725"/>
        <v>0</v>
      </c>
      <c r="AX5168" s="16"/>
    </row>
    <row r="5169" spans="2:50" x14ac:dyDescent="0.2">
      <c r="B5169" s="7"/>
      <c r="C5169" s="8">
        <v>15372</v>
      </c>
      <c r="D5169" s="9" t="s">
        <v>820</v>
      </c>
      <c r="E5169" s="10" t="str">
        <f t="shared" si="720"/>
        <v>Rancho Zinamba No. 84</v>
      </c>
      <c r="F5169" s="10" t="str">
        <f t="shared" si="721"/>
        <v>Lobato</v>
      </c>
      <c r="G5169" s="8">
        <v>3</v>
      </c>
      <c r="H5169" s="11">
        <v>200</v>
      </c>
      <c r="I5169" s="12">
        <v>43051</v>
      </c>
      <c r="J5169" s="35">
        <f t="shared" si="722"/>
        <v>0</v>
      </c>
      <c r="K5169" s="36"/>
      <c r="L5169" s="36"/>
      <c r="M5169" s="36"/>
      <c r="N5169" s="36"/>
      <c r="O5169" s="36"/>
      <c r="P5169" s="36"/>
      <c r="Q5169" s="36"/>
      <c r="R5169" s="36"/>
      <c r="S5169" s="36"/>
      <c r="T5169" s="36"/>
      <c r="U5169" s="36"/>
      <c r="V5169" s="36"/>
      <c r="W5169" s="15">
        <f t="shared" si="723"/>
        <v>0</v>
      </c>
      <c r="X5169" s="36"/>
      <c r="Y5169" s="36"/>
      <c r="Z5169" s="36"/>
      <c r="AA5169" s="36"/>
      <c r="AB5169" s="36"/>
      <c r="AC5169" s="36"/>
      <c r="AD5169" s="36"/>
      <c r="AE5169" s="36"/>
      <c r="AF5169" s="36"/>
      <c r="AG5169" s="36"/>
      <c r="AH5169" s="36"/>
      <c r="AI5169" s="36"/>
      <c r="AJ5169" s="15">
        <f t="shared" si="724"/>
        <v>0</v>
      </c>
      <c r="AK5169" s="14"/>
      <c r="AL5169" s="14"/>
      <c r="AM5169" s="14"/>
      <c r="AN5169" s="14"/>
      <c r="AO5169" s="14"/>
      <c r="AP5169" s="14"/>
      <c r="AQ5169" s="14"/>
      <c r="AR5169" s="14"/>
      <c r="AS5169" s="14"/>
      <c r="AT5169" s="14"/>
      <c r="AU5169" s="14"/>
      <c r="AV5169" s="14"/>
      <c r="AW5169" s="15">
        <f t="shared" si="725"/>
        <v>0</v>
      </c>
      <c r="AX5169" s="16"/>
    </row>
    <row r="5170" spans="2:50" x14ac:dyDescent="0.2">
      <c r="B5170" s="7"/>
      <c r="C5170" s="8">
        <v>15373</v>
      </c>
      <c r="D5170" s="9" t="s">
        <v>617</v>
      </c>
      <c r="E5170" s="10" t="str">
        <f t="shared" si="720"/>
        <v>Rancho Zinamba No. 50</v>
      </c>
      <c r="F5170" s="10" t="str">
        <f t="shared" si="721"/>
        <v>Del Castillo</v>
      </c>
      <c r="G5170" s="8">
        <v>1</v>
      </c>
      <c r="H5170" s="11">
        <v>400</v>
      </c>
      <c r="I5170" s="12">
        <v>43051</v>
      </c>
      <c r="J5170" s="35">
        <f t="shared" si="722"/>
        <v>0</v>
      </c>
      <c r="K5170" s="36"/>
      <c r="L5170" s="36"/>
      <c r="M5170" s="36"/>
      <c r="N5170" s="36"/>
      <c r="O5170" s="36"/>
      <c r="P5170" s="36"/>
      <c r="Q5170" s="36"/>
      <c r="R5170" s="36"/>
      <c r="S5170" s="36"/>
      <c r="T5170" s="36"/>
      <c r="U5170" s="36"/>
      <c r="V5170" s="36"/>
      <c r="W5170" s="15">
        <f t="shared" si="723"/>
        <v>0</v>
      </c>
      <c r="X5170" s="36"/>
      <c r="Y5170" s="36"/>
      <c r="Z5170" s="36"/>
      <c r="AA5170" s="36"/>
      <c r="AB5170" s="36"/>
      <c r="AC5170" s="36"/>
      <c r="AD5170" s="36"/>
      <c r="AE5170" s="36"/>
      <c r="AF5170" s="36"/>
      <c r="AG5170" s="36">
        <v>400</v>
      </c>
      <c r="AH5170" s="36"/>
      <c r="AI5170" s="36"/>
      <c r="AJ5170" s="15">
        <f t="shared" si="724"/>
        <v>400</v>
      </c>
      <c r="AK5170" s="14"/>
      <c r="AL5170" s="14"/>
      <c r="AM5170" s="14"/>
      <c r="AN5170" s="14"/>
      <c r="AO5170" s="14"/>
      <c r="AP5170" s="14"/>
      <c r="AQ5170" s="14"/>
      <c r="AR5170" s="14"/>
      <c r="AS5170" s="14"/>
      <c r="AT5170" s="14"/>
      <c r="AU5170" s="14"/>
      <c r="AV5170" s="14"/>
      <c r="AW5170" s="15">
        <f t="shared" si="725"/>
        <v>0</v>
      </c>
      <c r="AX5170" s="16"/>
    </row>
    <row r="5171" spans="2:50" x14ac:dyDescent="0.2">
      <c r="B5171" s="7"/>
      <c r="C5171" s="8">
        <v>15374</v>
      </c>
      <c r="D5171" s="9" t="s">
        <v>983</v>
      </c>
      <c r="E5171" s="10" t="str">
        <f t="shared" si="720"/>
        <v>Rancho Landero No. 93</v>
      </c>
      <c r="F5171" s="10" t="str">
        <f t="shared" si="721"/>
        <v>Ortega López</v>
      </c>
      <c r="G5171" s="8">
        <v>1</v>
      </c>
      <c r="H5171" s="11">
        <v>400</v>
      </c>
      <c r="I5171" s="12">
        <v>43051</v>
      </c>
      <c r="J5171" s="35">
        <f t="shared" si="722"/>
        <v>0</v>
      </c>
      <c r="K5171" s="36"/>
      <c r="L5171" s="36"/>
      <c r="M5171" s="36"/>
      <c r="N5171" s="36"/>
      <c r="O5171" s="36"/>
      <c r="P5171" s="36"/>
      <c r="Q5171" s="36"/>
      <c r="R5171" s="36"/>
      <c r="S5171" s="36"/>
      <c r="T5171" s="36"/>
      <c r="U5171" s="36"/>
      <c r="V5171" s="36"/>
      <c r="W5171" s="15">
        <f t="shared" si="723"/>
        <v>0</v>
      </c>
      <c r="X5171" s="36"/>
      <c r="Y5171" s="36"/>
      <c r="Z5171" s="36"/>
      <c r="AA5171" s="36"/>
      <c r="AB5171" s="36"/>
      <c r="AC5171" s="36"/>
      <c r="AD5171" s="36"/>
      <c r="AE5171" s="36"/>
      <c r="AF5171" s="36"/>
      <c r="AG5171" s="36"/>
      <c r="AH5171" s="36">
        <v>400</v>
      </c>
      <c r="AI5171" s="36"/>
      <c r="AJ5171" s="15">
        <f t="shared" si="724"/>
        <v>400</v>
      </c>
      <c r="AK5171" s="14"/>
      <c r="AL5171" s="14"/>
      <c r="AM5171" s="14"/>
      <c r="AN5171" s="14"/>
      <c r="AO5171" s="14"/>
      <c r="AP5171" s="14"/>
      <c r="AQ5171" s="14"/>
      <c r="AR5171" s="14"/>
      <c r="AS5171" s="14"/>
      <c r="AT5171" s="14"/>
      <c r="AU5171" s="14"/>
      <c r="AV5171" s="14"/>
      <c r="AW5171" s="15">
        <f t="shared" si="725"/>
        <v>0</v>
      </c>
      <c r="AX5171" s="16"/>
    </row>
    <row r="5172" spans="2:50" x14ac:dyDescent="0.2">
      <c r="B5172" s="7"/>
      <c r="C5172" s="8">
        <v>15375</v>
      </c>
      <c r="D5172" s="9" t="s">
        <v>1326</v>
      </c>
      <c r="E5172" s="10" t="str">
        <f t="shared" si="720"/>
        <v>Rancho Estanzuela No. 5, B</v>
      </c>
      <c r="F5172" s="10" t="str">
        <f t="shared" si="721"/>
        <v>Juárez Guerrero</v>
      </c>
      <c r="G5172" s="8">
        <v>1</v>
      </c>
      <c r="H5172" s="11">
        <v>200</v>
      </c>
      <c r="I5172" s="12">
        <v>43051</v>
      </c>
      <c r="J5172" s="35">
        <f t="shared" si="722"/>
        <v>0</v>
      </c>
      <c r="K5172" s="36"/>
      <c r="L5172" s="36"/>
      <c r="M5172" s="36"/>
      <c r="N5172" s="36"/>
      <c r="O5172" s="36"/>
      <c r="P5172" s="36"/>
      <c r="Q5172" s="36"/>
      <c r="R5172" s="36"/>
      <c r="S5172" s="36"/>
      <c r="T5172" s="36"/>
      <c r="U5172" s="36"/>
      <c r="V5172" s="36"/>
      <c r="W5172" s="15">
        <f t="shared" si="723"/>
        <v>0</v>
      </c>
      <c r="X5172" s="36"/>
      <c r="Y5172" s="36"/>
      <c r="Z5172" s="36">
        <v>200</v>
      </c>
      <c r="AA5172" s="36"/>
      <c r="AB5172" s="36"/>
      <c r="AC5172" s="36"/>
      <c r="AD5172" s="36"/>
      <c r="AE5172" s="36"/>
      <c r="AF5172" s="36"/>
      <c r="AG5172" s="36"/>
      <c r="AH5172" s="36"/>
      <c r="AI5172" s="36"/>
      <c r="AJ5172" s="15">
        <f t="shared" si="724"/>
        <v>200</v>
      </c>
      <c r="AK5172" s="14"/>
      <c r="AL5172" s="14"/>
      <c r="AM5172" s="14"/>
      <c r="AN5172" s="14"/>
      <c r="AO5172" s="14"/>
      <c r="AP5172" s="14"/>
      <c r="AQ5172" s="14"/>
      <c r="AR5172" s="14"/>
      <c r="AS5172" s="14"/>
      <c r="AT5172" s="14"/>
      <c r="AU5172" s="14"/>
      <c r="AV5172" s="14"/>
      <c r="AW5172" s="15">
        <f t="shared" si="725"/>
        <v>0</v>
      </c>
      <c r="AX5172" s="16"/>
    </row>
    <row r="5173" spans="2:50" x14ac:dyDescent="0.2">
      <c r="B5173" s="7"/>
      <c r="C5173" s="8">
        <v>15376</v>
      </c>
      <c r="D5173" s="9" t="s">
        <v>476</v>
      </c>
      <c r="E5173" s="10" t="str">
        <f t="shared" si="720"/>
        <v>Rancho Upácuaro No. 33</v>
      </c>
      <c r="F5173" s="10" t="str">
        <f t="shared" si="721"/>
        <v>Ulloa Miranda</v>
      </c>
      <c r="G5173" s="8">
        <v>1</v>
      </c>
      <c r="H5173" s="11">
        <v>400</v>
      </c>
      <c r="I5173" s="12">
        <v>43051</v>
      </c>
      <c r="J5173" s="35">
        <f t="shared" si="722"/>
        <v>0</v>
      </c>
      <c r="K5173" s="36"/>
      <c r="L5173" s="36"/>
      <c r="M5173" s="36"/>
      <c r="N5173" s="36"/>
      <c r="O5173" s="36"/>
      <c r="P5173" s="36"/>
      <c r="Q5173" s="36"/>
      <c r="R5173" s="36"/>
      <c r="S5173" s="36"/>
      <c r="T5173" s="36"/>
      <c r="U5173" s="36"/>
      <c r="V5173" s="36"/>
      <c r="W5173" s="15">
        <f t="shared" si="723"/>
        <v>0</v>
      </c>
      <c r="X5173" s="36"/>
      <c r="Y5173" s="36"/>
      <c r="Z5173" s="36"/>
      <c r="AA5173" s="36"/>
      <c r="AB5173" s="36"/>
      <c r="AC5173" s="36"/>
      <c r="AD5173" s="36"/>
      <c r="AE5173" s="36"/>
      <c r="AF5173" s="36"/>
      <c r="AG5173" s="36"/>
      <c r="AH5173" s="36">
        <v>400</v>
      </c>
      <c r="AI5173" s="36"/>
      <c r="AJ5173" s="15">
        <f t="shared" si="724"/>
        <v>400</v>
      </c>
      <c r="AK5173" s="14"/>
      <c r="AL5173" s="14"/>
      <c r="AM5173" s="14"/>
      <c r="AN5173" s="14"/>
      <c r="AO5173" s="14"/>
      <c r="AP5173" s="14"/>
      <c r="AQ5173" s="14"/>
      <c r="AR5173" s="14"/>
      <c r="AS5173" s="14"/>
      <c r="AT5173" s="14"/>
      <c r="AU5173" s="14"/>
      <c r="AV5173" s="14"/>
      <c r="AW5173" s="15">
        <f t="shared" si="725"/>
        <v>0</v>
      </c>
      <c r="AX5173" s="16"/>
    </row>
    <row r="5174" spans="2:50" x14ac:dyDescent="0.2">
      <c r="B5174" s="7"/>
      <c r="C5174" s="8">
        <v>15377</v>
      </c>
      <c r="D5174" s="9" t="s">
        <v>523</v>
      </c>
      <c r="E5174" s="10" t="str">
        <f t="shared" si="720"/>
        <v>Rancho Estanzuela No. 139</v>
      </c>
      <c r="F5174" s="10" t="str">
        <f t="shared" si="721"/>
        <v xml:space="preserve">Ortiz   </v>
      </c>
      <c r="G5174" s="8">
        <v>1</v>
      </c>
      <c r="H5174" s="11">
        <v>800</v>
      </c>
      <c r="I5174" s="12">
        <v>43051</v>
      </c>
      <c r="J5174" s="35">
        <f t="shared" si="722"/>
        <v>0</v>
      </c>
      <c r="K5174" s="36"/>
      <c r="L5174" s="36"/>
      <c r="M5174" s="36"/>
      <c r="N5174" s="36"/>
      <c r="O5174" s="36"/>
      <c r="P5174" s="36"/>
      <c r="Q5174" s="36"/>
      <c r="R5174" s="36"/>
      <c r="S5174" s="36"/>
      <c r="T5174" s="36"/>
      <c r="U5174" s="36"/>
      <c r="V5174" s="36"/>
      <c r="W5174" s="15">
        <f t="shared" si="723"/>
        <v>0</v>
      </c>
      <c r="X5174" s="36"/>
      <c r="Y5174" s="36"/>
      <c r="Z5174" s="36"/>
      <c r="AA5174" s="36"/>
      <c r="AB5174" s="36"/>
      <c r="AC5174" s="36"/>
      <c r="AD5174" s="36"/>
      <c r="AE5174" s="36"/>
      <c r="AF5174" s="36">
        <v>400</v>
      </c>
      <c r="AG5174" s="36">
        <v>400</v>
      </c>
      <c r="AH5174" s="36"/>
      <c r="AI5174" s="36"/>
      <c r="AJ5174" s="15">
        <f t="shared" si="724"/>
        <v>800</v>
      </c>
      <c r="AK5174" s="14"/>
      <c r="AL5174" s="14"/>
      <c r="AM5174" s="14"/>
      <c r="AN5174" s="14"/>
      <c r="AO5174" s="14"/>
      <c r="AP5174" s="14"/>
      <c r="AQ5174" s="14"/>
      <c r="AR5174" s="14"/>
      <c r="AS5174" s="14"/>
      <c r="AT5174" s="14"/>
      <c r="AU5174" s="14"/>
      <c r="AV5174" s="14"/>
      <c r="AW5174" s="15">
        <f t="shared" si="725"/>
        <v>0</v>
      </c>
      <c r="AX5174" s="16"/>
    </row>
    <row r="5175" spans="2:50" x14ac:dyDescent="0.2">
      <c r="B5175" s="7"/>
      <c r="C5175" s="8">
        <v>15378</v>
      </c>
      <c r="D5175" s="9" t="s">
        <v>325</v>
      </c>
      <c r="E5175" s="10" t="str">
        <f t="shared" si="720"/>
        <v>Rancho Upácuaro No. 120</v>
      </c>
      <c r="F5175" s="10" t="str">
        <f t="shared" si="721"/>
        <v>Rayas Rivera</v>
      </c>
      <c r="G5175" s="8">
        <v>1</v>
      </c>
      <c r="H5175" s="11">
        <v>400</v>
      </c>
      <c r="I5175" s="12">
        <v>43051</v>
      </c>
      <c r="J5175" s="35">
        <f t="shared" si="722"/>
        <v>0</v>
      </c>
      <c r="K5175" s="36"/>
      <c r="L5175" s="36"/>
      <c r="M5175" s="36"/>
      <c r="N5175" s="36"/>
      <c r="O5175" s="36"/>
      <c r="P5175" s="36"/>
      <c r="Q5175" s="36"/>
      <c r="R5175" s="36"/>
      <c r="S5175" s="36"/>
      <c r="T5175" s="36"/>
      <c r="U5175" s="36"/>
      <c r="V5175" s="36"/>
      <c r="W5175" s="15">
        <f t="shared" si="723"/>
        <v>0</v>
      </c>
      <c r="X5175" s="36"/>
      <c r="Y5175" s="36"/>
      <c r="Z5175" s="36"/>
      <c r="AA5175" s="36"/>
      <c r="AB5175" s="36"/>
      <c r="AC5175" s="36"/>
      <c r="AD5175" s="36"/>
      <c r="AE5175" s="36"/>
      <c r="AF5175" s="36"/>
      <c r="AG5175" s="36"/>
      <c r="AH5175" s="36">
        <v>400</v>
      </c>
      <c r="AI5175" s="36"/>
      <c r="AJ5175" s="15">
        <f t="shared" si="724"/>
        <v>400</v>
      </c>
      <c r="AK5175" s="14"/>
      <c r="AL5175" s="14"/>
      <c r="AM5175" s="14"/>
      <c r="AN5175" s="14"/>
      <c r="AO5175" s="14"/>
      <c r="AP5175" s="14"/>
      <c r="AQ5175" s="14"/>
      <c r="AR5175" s="14"/>
      <c r="AS5175" s="14"/>
      <c r="AT5175" s="14"/>
      <c r="AU5175" s="14"/>
      <c r="AV5175" s="14"/>
      <c r="AW5175" s="15">
        <f t="shared" si="725"/>
        <v>0</v>
      </c>
      <c r="AX5175" s="16"/>
    </row>
    <row r="5176" spans="2:50" x14ac:dyDescent="0.2">
      <c r="B5176" s="7"/>
      <c r="C5176" s="8">
        <v>15379</v>
      </c>
      <c r="D5176" s="9" t="s">
        <v>858</v>
      </c>
      <c r="E5176" s="10" t="str">
        <f t="shared" si="720"/>
        <v>Rancho Landero No. 45</v>
      </c>
      <c r="F5176" s="10" t="str">
        <f t="shared" si="721"/>
        <v>Solano</v>
      </c>
      <c r="G5176" s="8">
        <v>1</v>
      </c>
      <c r="H5176" s="11">
        <v>1600</v>
      </c>
      <c r="I5176" s="12">
        <v>43051</v>
      </c>
      <c r="J5176" s="35">
        <f t="shared" si="722"/>
        <v>0</v>
      </c>
      <c r="K5176" s="36"/>
      <c r="L5176" s="36"/>
      <c r="M5176" s="36"/>
      <c r="N5176" s="36"/>
      <c r="O5176" s="36"/>
      <c r="P5176" s="36"/>
      <c r="Q5176" s="36"/>
      <c r="R5176" s="36"/>
      <c r="S5176" s="36"/>
      <c r="T5176" s="36"/>
      <c r="U5176" s="36"/>
      <c r="V5176" s="36"/>
      <c r="W5176" s="15">
        <f t="shared" si="723"/>
        <v>0</v>
      </c>
      <c r="X5176" s="36"/>
      <c r="Y5176" s="36"/>
      <c r="Z5176" s="36"/>
      <c r="AA5176" s="36"/>
      <c r="AB5176" s="36"/>
      <c r="AC5176" s="36"/>
      <c r="AD5176" s="36"/>
      <c r="AE5176" s="36">
        <v>400</v>
      </c>
      <c r="AF5176" s="36">
        <v>400</v>
      </c>
      <c r="AG5176" s="36">
        <v>400</v>
      </c>
      <c r="AH5176" s="36">
        <v>400</v>
      </c>
      <c r="AI5176" s="36"/>
      <c r="AJ5176" s="15">
        <f t="shared" si="724"/>
        <v>1600</v>
      </c>
      <c r="AK5176" s="14"/>
      <c r="AL5176" s="14"/>
      <c r="AM5176" s="14"/>
      <c r="AN5176" s="14"/>
      <c r="AO5176" s="14"/>
      <c r="AP5176" s="14"/>
      <c r="AQ5176" s="14"/>
      <c r="AR5176" s="14"/>
      <c r="AS5176" s="14"/>
      <c r="AT5176" s="14"/>
      <c r="AU5176" s="14"/>
      <c r="AV5176" s="14"/>
      <c r="AW5176" s="15">
        <f t="shared" si="725"/>
        <v>0</v>
      </c>
      <c r="AX5176" s="16"/>
    </row>
    <row r="5177" spans="2:50" x14ac:dyDescent="0.2">
      <c r="B5177" s="7"/>
      <c r="C5177" s="8">
        <v>15380</v>
      </c>
      <c r="D5177" s="9" t="s">
        <v>858</v>
      </c>
      <c r="E5177" s="10" t="str">
        <f t="shared" si="720"/>
        <v>Rancho Landero No. 45</v>
      </c>
      <c r="F5177" s="10" t="str">
        <f t="shared" si="721"/>
        <v>Solano</v>
      </c>
      <c r="G5177" s="8">
        <v>1</v>
      </c>
      <c r="H5177" s="11">
        <v>400</v>
      </c>
      <c r="I5177" s="12">
        <v>43051</v>
      </c>
      <c r="J5177" s="35">
        <f t="shared" si="722"/>
        <v>0</v>
      </c>
      <c r="K5177" s="36"/>
      <c r="L5177" s="36"/>
      <c r="M5177" s="36"/>
      <c r="N5177" s="36"/>
      <c r="O5177" s="36"/>
      <c r="P5177" s="36"/>
      <c r="Q5177" s="36"/>
      <c r="R5177" s="36"/>
      <c r="S5177" s="36"/>
      <c r="T5177" s="36"/>
      <c r="U5177" s="36"/>
      <c r="V5177" s="36"/>
      <c r="W5177" s="15">
        <f t="shared" si="723"/>
        <v>0</v>
      </c>
      <c r="X5177" s="36"/>
      <c r="Y5177" s="36"/>
      <c r="Z5177" s="36"/>
      <c r="AA5177" s="36"/>
      <c r="AB5177" s="36"/>
      <c r="AC5177" s="36"/>
      <c r="AD5177" s="36"/>
      <c r="AE5177" s="36"/>
      <c r="AF5177" s="36"/>
      <c r="AG5177" s="36"/>
      <c r="AH5177" s="36"/>
      <c r="AI5177" s="36">
        <v>400</v>
      </c>
      <c r="AJ5177" s="15">
        <f t="shared" si="724"/>
        <v>400</v>
      </c>
      <c r="AK5177" s="14"/>
      <c r="AL5177" s="14"/>
      <c r="AM5177" s="14"/>
      <c r="AN5177" s="14"/>
      <c r="AO5177" s="14"/>
      <c r="AP5177" s="14"/>
      <c r="AQ5177" s="14"/>
      <c r="AR5177" s="14"/>
      <c r="AS5177" s="14"/>
      <c r="AT5177" s="14"/>
      <c r="AU5177" s="14"/>
      <c r="AV5177" s="14"/>
      <c r="AW5177" s="15">
        <f t="shared" si="725"/>
        <v>0</v>
      </c>
      <c r="AX5177" s="16"/>
    </row>
    <row r="5178" spans="2:50" x14ac:dyDescent="0.2">
      <c r="B5178" s="7"/>
      <c r="C5178" s="8">
        <v>15381</v>
      </c>
      <c r="D5178" s="9" t="s">
        <v>277</v>
      </c>
      <c r="E5178" s="10" t="str">
        <f t="shared" si="720"/>
        <v>Rancho Estanzuela No. 7, A</v>
      </c>
      <c r="F5178" s="10" t="str">
        <f t="shared" si="721"/>
        <v>Herrera Izquierdo</v>
      </c>
      <c r="G5178" s="8">
        <v>1</v>
      </c>
      <c r="H5178" s="11">
        <v>200</v>
      </c>
      <c r="I5178" s="12">
        <v>43051</v>
      </c>
      <c r="J5178" s="35">
        <f t="shared" si="722"/>
        <v>0</v>
      </c>
      <c r="K5178" s="36"/>
      <c r="L5178" s="36"/>
      <c r="M5178" s="36"/>
      <c r="N5178" s="36"/>
      <c r="O5178" s="36"/>
      <c r="P5178" s="36"/>
      <c r="Q5178" s="36"/>
      <c r="R5178" s="36"/>
      <c r="S5178" s="36"/>
      <c r="T5178" s="36"/>
      <c r="U5178" s="36"/>
      <c r="V5178" s="36"/>
      <c r="W5178" s="15">
        <f t="shared" si="723"/>
        <v>0</v>
      </c>
      <c r="X5178" s="36"/>
      <c r="Y5178" s="36"/>
      <c r="Z5178" s="36"/>
      <c r="AA5178" s="36"/>
      <c r="AB5178" s="36"/>
      <c r="AC5178" s="36"/>
      <c r="AD5178" s="36"/>
      <c r="AE5178" s="36"/>
      <c r="AF5178" s="36"/>
      <c r="AG5178" s="36"/>
      <c r="AH5178" s="36">
        <v>200</v>
      </c>
      <c r="AI5178" s="36"/>
      <c r="AJ5178" s="15">
        <f t="shared" si="724"/>
        <v>200</v>
      </c>
      <c r="AK5178" s="14"/>
      <c r="AL5178" s="14"/>
      <c r="AM5178" s="14"/>
      <c r="AN5178" s="14"/>
      <c r="AO5178" s="14"/>
      <c r="AP5178" s="14"/>
      <c r="AQ5178" s="14"/>
      <c r="AR5178" s="14"/>
      <c r="AS5178" s="14"/>
      <c r="AT5178" s="14"/>
      <c r="AU5178" s="14"/>
      <c r="AV5178" s="14"/>
      <c r="AW5178" s="15">
        <f t="shared" si="725"/>
        <v>0</v>
      </c>
      <c r="AX5178" s="16"/>
    </row>
    <row r="5179" spans="2:50" x14ac:dyDescent="0.2">
      <c r="B5179" s="7"/>
      <c r="C5179" s="8">
        <v>15382</v>
      </c>
      <c r="D5179" s="9" t="s">
        <v>422</v>
      </c>
      <c r="E5179" s="10" t="str">
        <f t="shared" si="720"/>
        <v>Rancho Recoveco No. 183</v>
      </c>
      <c r="F5179" s="10" t="str">
        <f t="shared" si="721"/>
        <v>Atilano Limón</v>
      </c>
      <c r="G5179" s="8">
        <v>3</v>
      </c>
      <c r="H5179" s="11">
        <v>200</v>
      </c>
      <c r="I5179" s="12">
        <v>43051</v>
      </c>
      <c r="J5179" s="35">
        <f t="shared" si="722"/>
        <v>0</v>
      </c>
      <c r="K5179" s="36"/>
      <c r="L5179" s="36"/>
      <c r="M5179" s="36"/>
      <c r="N5179" s="36"/>
      <c r="O5179" s="36"/>
      <c r="P5179" s="36"/>
      <c r="Q5179" s="36"/>
      <c r="R5179" s="36"/>
      <c r="S5179" s="36"/>
      <c r="T5179" s="36"/>
      <c r="U5179" s="36"/>
      <c r="V5179" s="36"/>
      <c r="W5179" s="15">
        <f t="shared" si="723"/>
        <v>0</v>
      </c>
      <c r="X5179" s="36"/>
      <c r="Y5179" s="36"/>
      <c r="Z5179" s="36"/>
      <c r="AA5179" s="36"/>
      <c r="AB5179" s="36"/>
      <c r="AC5179" s="36"/>
      <c r="AD5179" s="36"/>
      <c r="AE5179" s="36"/>
      <c r="AF5179" s="36"/>
      <c r="AG5179" s="36"/>
      <c r="AH5179" s="36"/>
      <c r="AI5179" s="36"/>
      <c r="AJ5179" s="15">
        <f t="shared" si="724"/>
        <v>0</v>
      </c>
      <c r="AK5179" s="14"/>
      <c r="AL5179" s="14"/>
      <c r="AM5179" s="14"/>
      <c r="AN5179" s="14"/>
      <c r="AO5179" s="14"/>
      <c r="AP5179" s="14"/>
      <c r="AQ5179" s="14"/>
      <c r="AR5179" s="14"/>
      <c r="AS5179" s="14"/>
      <c r="AT5179" s="14"/>
      <c r="AU5179" s="14"/>
      <c r="AV5179" s="14"/>
      <c r="AW5179" s="15">
        <f t="shared" si="725"/>
        <v>0</v>
      </c>
      <c r="AX5179" s="16"/>
    </row>
    <row r="5180" spans="2:50" x14ac:dyDescent="0.2">
      <c r="B5180" s="7"/>
      <c r="C5180" s="8">
        <v>15383</v>
      </c>
      <c r="D5180" s="9" t="s">
        <v>855</v>
      </c>
      <c r="E5180" s="10" t="str">
        <f t="shared" si="720"/>
        <v>Rancho Upácuaro No. 99</v>
      </c>
      <c r="F5180" s="10" t="str">
        <f t="shared" si="721"/>
        <v>Frías</v>
      </c>
      <c r="G5180" s="8">
        <v>1</v>
      </c>
      <c r="H5180" s="11">
        <v>400</v>
      </c>
      <c r="I5180" s="12">
        <v>43051</v>
      </c>
      <c r="J5180" s="35">
        <f t="shared" si="722"/>
        <v>0</v>
      </c>
      <c r="K5180" s="36"/>
      <c r="L5180" s="36"/>
      <c r="M5180" s="36"/>
      <c r="N5180" s="36"/>
      <c r="O5180" s="36"/>
      <c r="P5180" s="36"/>
      <c r="Q5180" s="36"/>
      <c r="R5180" s="36"/>
      <c r="S5180" s="36"/>
      <c r="T5180" s="36"/>
      <c r="U5180" s="36"/>
      <c r="V5180" s="36"/>
      <c r="W5180" s="15">
        <f t="shared" si="723"/>
        <v>0</v>
      </c>
      <c r="X5180" s="36"/>
      <c r="Y5180" s="36"/>
      <c r="Z5180" s="36"/>
      <c r="AA5180" s="36"/>
      <c r="AB5180" s="36"/>
      <c r="AC5180" s="36"/>
      <c r="AD5180" s="36"/>
      <c r="AE5180" s="36"/>
      <c r="AF5180" s="36"/>
      <c r="AG5180" s="36"/>
      <c r="AH5180" s="36">
        <v>200</v>
      </c>
      <c r="AI5180" s="36">
        <v>200</v>
      </c>
      <c r="AJ5180" s="15">
        <f t="shared" si="724"/>
        <v>400</v>
      </c>
      <c r="AK5180" s="14"/>
      <c r="AL5180" s="14"/>
      <c r="AM5180" s="14"/>
      <c r="AN5180" s="14"/>
      <c r="AO5180" s="14"/>
      <c r="AP5180" s="14"/>
      <c r="AQ5180" s="14"/>
      <c r="AR5180" s="14"/>
      <c r="AS5180" s="14"/>
      <c r="AT5180" s="14"/>
      <c r="AU5180" s="14"/>
      <c r="AV5180" s="14"/>
      <c r="AW5180" s="15">
        <f t="shared" si="725"/>
        <v>0</v>
      </c>
      <c r="AX5180" s="16"/>
    </row>
    <row r="5181" spans="2:50" x14ac:dyDescent="0.2">
      <c r="B5181" s="7"/>
      <c r="C5181" s="8">
        <v>15384</v>
      </c>
      <c r="D5181" s="9" t="s">
        <v>425</v>
      </c>
      <c r="E5181" s="10" t="str">
        <f t="shared" si="720"/>
        <v>Rancho La Cuchilla No. 120</v>
      </c>
      <c r="F5181" s="10" t="str">
        <f t="shared" si="721"/>
        <v>Pozos Vilchis</v>
      </c>
      <c r="G5181" s="8">
        <v>1</v>
      </c>
      <c r="H5181" s="11">
        <v>400</v>
      </c>
      <c r="I5181" s="12">
        <v>43051</v>
      </c>
      <c r="J5181" s="35">
        <f t="shared" si="722"/>
        <v>0</v>
      </c>
      <c r="K5181" s="36"/>
      <c r="L5181" s="36"/>
      <c r="M5181" s="36"/>
      <c r="N5181" s="36"/>
      <c r="O5181" s="36"/>
      <c r="P5181" s="36"/>
      <c r="Q5181" s="36"/>
      <c r="R5181" s="36"/>
      <c r="S5181" s="36"/>
      <c r="T5181" s="36"/>
      <c r="U5181" s="36"/>
      <c r="V5181" s="36"/>
      <c r="W5181" s="15">
        <f t="shared" si="723"/>
        <v>0</v>
      </c>
      <c r="X5181" s="36"/>
      <c r="Y5181" s="36"/>
      <c r="Z5181" s="36"/>
      <c r="AA5181" s="36"/>
      <c r="AB5181" s="36"/>
      <c r="AC5181" s="36"/>
      <c r="AD5181" s="36"/>
      <c r="AE5181" s="36"/>
      <c r="AF5181" s="36"/>
      <c r="AG5181" s="36"/>
      <c r="AH5181" s="36">
        <v>400</v>
      </c>
      <c r="AI5181" s="36"/>
      <c r="AJ5181" s="15">
        <f t="shared" si="724"/>
        <v>400</v>
      </c>
      <c r="AK5181" s="14"/>
      <c r="AL5181" s="14"/>
      <c r="AM5181" s="14"/>
      <c r="AN5181" s="14"/>
      <c r="AO5181" s="14"/>
      <c r="AP5181" s="14"/>
      <c r="AQ5181" s="14"/>
      <c r="AR5181" s="14"/>
      <c r="AS5181" s="14"/>
      <c r="AT5181" s="14"/>
      <c r="AU5181" s="14"/>
      <c r="AV5181" s="14"/>
      <c r="AW5181" s="15">
        <f t="shared" si="725"/>
        <v>0</v>
      </c>
      <c r="AX5181" s="16"/>
    </row>
    <row r="5182" spans="2:50" x14ac:dyDescent="0.2">
      <c r="B5182" s="7"/>
      <c r="C5182" s="8">
        <v>15385</v>
      </c>
      <c r="D5182" s="9" t="s">
        <v>241</v>
      </c>
      <c r="E5182" s="10" t="str">
        <f t="shared" si="720"/>
        <v>Rancho La Cuchilla No. 81, A</v>
      </c>
      <c r="F5182" s="10" t="str">
        <f t="shared" si="721"/>
        <v>Barrientos López</v>
      </c>
      <c r="G5182" s="8">
        <v>1</v>
      </c>
      <c r="H5182" s="11">
        <v>400</v>
      </c>
      <c r="I5182" s="12">
        <v>43051</v>
      </c>
      <c r="J5182" s="35">
        <f t="shared" si="722"/>
        <v>0</v>
      </c>
      <c r="K5182" s="36"/>
      <c r="L5182" s="36"/>
      <c r="M5182" s="36"/>
      <c r="N5182" s="36"/>
      <c r="O5182" s="36"/>
      <c r="P5182" s="36"/>
      <c r="Q5182" s="36"/>
      <c r="R5182" s="36"/>
      <c r="S5182" s="36"/>
      <c r="T5182" s="36"/>
      <c r="U5182" s="36"/>
      <c r="V5182" s="36"/>
      <c r="W5182" s="15">
        <f t="shared" si="723"/>
        <v>0</v>
      </c>
      <c r="X5182" s="36"/>
      <c r="Y5182" s="36"/>
      <c r="Z5182" s="36"/>
      <c r="AA5182" s="36"/>
      <c r="AB5182" s="36"/>
      <c r="AC5182" s="36"/>
      <c r="AD5182" s="36"/>
      <c r="AE5182" s="36"/>
      <c r="AF5182" s="36"/>
      <c r="AG5182" s="36"/>
      <c r="AH5182" s="36">
        <v>400</v>
      </c>
      <c r="AI5182" s="36"/>
      <c r="AJ5182" s="15">
        <f t="shared" si="724"/>
        <v>400</v>
      </c>
      <c r="AK5182" s="14"/>
      <c r="AL5182" s="14"/>
      <c r="AM5182" s="14"/>
      <c r="AN5182" s="14"/>
      <c r="AO5182" s="14"/>
      <c r="AP5182" s="14"/>
      <c r="AQ5182" s="14"/>
      <c r="AR5182" s="14"/>
      <c r="AS5182" s="14"/>
      <c r="AT5182" s="14"/>
      <c r="AU5182" s="14"/>
      <c r="AV5182" s="14"/>
      <c r="AW5182" s="15">
        <f t="shared" si="725"/>
        <v>0</v>
      </c>
      <c r="AX5182" s="16"/>
    </row>
    <row r="5183" spans="2:50" x14ac:dyDescent="0.2">
      <c r="B5183" s="7"/>
      <c r="C5183" s="8">
        <v>15386</v>
      </c>
      <c r="D5183" s="9" t="s">
        <v>271</v>
      </c>
      <c r="E5183" s="10" t="str">
        <f t="shared" si="720"/>
        <v>Rancho Landero No. 76</v>
      </c>
      <c r="F5183" s="10" t="str">
        <f t="shared" si="721"/>
        <v>Ugarte</v>
      </c>
      <c r="G5183" s="8">
        <v>1</v>
      </c>
      <c r="H5183" s="11">
        <v>400</v>
      </c>
      <c r="I5183" s="12">
        <v>43051</v>
      </c>
      <c r="J5183" s="35">
        <f t="shared" si="722"/>
        <v>0</v>
      </c>
      <c r="K5183" s="36"/>
      <c r="L5183" s="36"/>
      <c r="M5183" s="36"/>
      <c r="N5183" s="36"/>
      <c r="O5183" s="36"/>
      <c r="P5183" s="36"/>
      <c r="Q5183" s="36"/>
      <c r="R5183" s="36"/>
      <c r="S5183" s="36"/>
      <c r="T5183" s="36"/>
      <c r="U5183" s="36"/>
      <c r="V5183" s="36"/>
      <c r="W5183" s="15">
        <f t="shared" si="723"/>
        <v>0</v>
      </c>
      <c r="X5183" s="36"/>
      <c r="Y5183" s="36"/>
      <c r="Z5183" s="36"/>
      <c r="AA5183" s="36"/>
      <c r="AB5183" s="36"/>
      <c r="AC5183" s="36"/>
      <c r="AD5183" s="36"/>
      <c r="AE5183" s="36"/>
      <c r="AF5183" s="36"/>
      <c r="AG5183" s="36"/>
      <c r="AH5183" s="36">
        <v>400</v>
      </c>
      <c r="AI5183" s="36"/>
      <c r="AJ5183" s="15">
        <f t="shared" si="724"/>
        <v>400</v>
      </c>
      <c r="AK5183" s="14"/>
      <c r="AL5183" s="14"/>
      <c r="AM5183" s="14"/>
      <c r="AN5183" s="14"/>
      <c r="AO5183" s="14"/>
      <c r="AP5183" s="14"/>
      <c r="AQ5183" s="14"/>
      <c r="AR5183" s="14"/>
      <c r="AS5183" s="14"/>
      <c r="AT5183" s="14"/>
      <c r="AU5183" s="14"/>
      <c r="AV5183" s="14"/>
      <c r="AW5183" s="15">
        <f t="shared" si="725"/>
        <v>0</v>
      </c>
      <c r="AX5183" s="16"/>
    </row>
    <row r="5184" spans="2:50" x14ac:dyDescent="0.2">
      <c r="B5184" s="7"/>
      <c r="C5184" s="8">
        <v>15387</v>
      </c>
      <c r="D5184" s="9" t="s">
        <v>307</v>
      </c>
      <c r="E5184" s="10" t="str">
        <f t="shared" si="720"/>
        <v>Rancho Landero No. 83</v>
      </c>
      <c r="F5184" s="10" t="str">
        <f t="shared" si="721"/>
        <v>Aguilar</v>
      </c>
      <c r="G5184" s="8">
        <v>1</v>
      </c>
      <c r="H5184" s="11">
        <v>350</v>
      </c>
      <c r="I5184" s="12">
        <v>43051</v>
      </c>
      <c r="J5184" s="35">
        <f t="shared" si="722"/>
        <v>0</v>
      </c>
      <c r="K5184" s="36"/>
      <c r="L5184" s="36"/>
      <c r="M5184" s="36"/>
      <c r="N5184" s="36"/>
      <c r="O5184" s="36"/>
      <c r="P5184" s="36"/>
      <c r="Q5184" s="36"/>
      <c r="R5184" s="36"/>
      <c r="S5184" s="36"/>
      <c r="T5184" s="36"/>
      <c r="U5184" s="36"/>
      <c r="V5184" s="36"/>
      <c r="W5184" s="15">
        <f t="shared" si="723"/>
        <v>0</v>
      </c>
      <c r="X5184" s="36"/>
      <c r="Y5184" s="36"/>
      <c r="Z5184" s="36"/>
      <c r="AA5184" s="36"/>
      <c r="AB5184" s="36"/>
      <c r="AC5184" s="36"/>
      <c r="AD5184" s="36"/>
      <c r="AE5184" s="36"/>
      <c r="AF5184" s="36"/>
      <c r="AG5184" s="36"/>
      <c r="AH5184" s="36">
        <v>350</v>
      </c>
      <c r="AI5184" s="36"/>
      <c r="AJ5184" s="15">
        <f t="shared" si="724"/>
        <v>350</v>
      </c>
      <c r="AK5184" s="14"/>
      <c r="AL5184" s="14"/>
      <c r="AM5184" s="14"/>
      <c r="AN5184" s="14"/>
      <c r="AO5184" s="14"/>
      <c r="AP5184" s="14"/>
      <c r="AQ5184" s="14"/>
      <c r="AR5184" s="14"/>
      <c r="AS5184" s="14"/>
      <c r="AT5184" s="14"/>
      <c r="AU5184" s="14"/>
      <c r="AV5184" s="14"/>
      <c r="AW5184" s="15">
        <f t="shared" si="725"/>
        <v>0</v>
      </c>
      <c r="AX5184" s="16"/>
    </row>
    <row r="5185" spans="2:50" x14ac:dyDescent="0.2">
      <c r="B5185" s="7"/>
      <c r="C5185" s="8">
        <v>15388</v>
      </c>
      <c r="D5185" s="9" t="s">
        <v>965</v>
      </c>
      <c r="E5185" s="10" t="str">
        <f t="shared" si="720"/>
        <v>Rancho La Cuchilla No. 52</v>
      </c>
      <c r="F5185" s="10" t="str">
        <f t="shared" si="721"/>
        <v>Velázquez</v>
      </c>
      <c r="G5185" s="8">
        <v>1</v>
      </c>
      <c r="H5185" s="11">
        <v>400</v>
      </c>
      <c r="I5185" s="12">
        <v>43051</v>
      </c>
      <c r="J5185" s="35">
        <f t="shared" si="722"/>
        <v>0</v>
      </c>
      <c r="K5185" s="36"/>
      <c r="L5185" s="36"/>
      <c r="M5185" s="36"/>
      <c r="N5185" s="36"/>
      <c r="O5185" s="36"/>
      <c r="P5185" s="36"/>
      <c r="Q5185" s="36"/>
      <c r="R5185" s="36"/>
      <c r="S5185" s="36"/>
      <c r="T5185" s="36"/>
      <c r="U5185" s="36"/>
      <c r="V5185" s="36"/>
      <c r="W5185" s="15">
        <f t="shared" si="723"/>
        <v>0</v>
      </c>
      <c r="X5185" s="36"/>
      <c r="Y5185" s="36"/>
      <c r="Z5185" s="36"/>
      <c r="AA5185" s="36"/>
      <c r="AB5185" s="36"/>
      <c r="AC5185" s="36"/>
      <c r="AD5185" s="36"/>
      <c r="AE5185" s="36"/>
      <c r="AF5185" s="36">
        <v>400</v>
      </c>
      <c r="AG5185" s="36"/>
      <c r="AH5185" s="36"/>
      <c r="AI5185" s="36"/>
      <c r="AJ5185" s="15">
        <f t="shared" si="724"/>
        <v>400</v>
      </c>
      <c r="AK5185" s="14"/>
      <c r="AL5185" s="14"/>
      <c r="AM5185" s="14"/>
      <c r="AN5185" s="14"/>
      <c r="AO5185" s="14"/>
      <c r="AP5185" s="14"/>
      <c r="AQ5185" s="14"/>
      <c r="AR5185" s="14"/>
      <c r="AS5185" s="14"/>
      <c r="AT5185" s="14"/>
      <c r="AU5185" s="14"/>
      <c r="AV5185" s="14"/>
      <c r="AW5185" s="15">
        <f t="shared" si="725"/>
        <v>0</v>
      </c>
      <c r="AX5185" s="16"/>
    </row>
    <row r="5186" spans="2:50" x14ac:dyDescent="0.2">
      <c r="B5186" s="7"/>
      <c r="C5186" s="8">
        <v>15389</v>
      </c>
      <c r="D5186" s="9" t="s">
        <v>837</v>
      </c>
      <c r="E5186" s="10" t="str">
        <f t="shared" si="720"/>
        <v>Rancho Estanzuela No. 67</v>
      </c>
      <c r="F5186" s="10" t="str">
        <f t="shared" si="721"/>
        <v>Carmona Galarza</v>
      </c>
      <c r="G5186" s="8">
        <v>1</v>
      </c>
      <c r="H5186" s="11">
        <v>800</v>
      </c>
      <c r="I5186" s="12">
        <v>43051</v>
      </c>
      <c r="J5186" s="35">
        <f t="shared" si="722"/>
        <v>0</v>
      </c>
      <c r="K5186" s="36"/>
      <c r="L5186" s="36"/>
      <c r="M5186" s="36"/>
      <c r="N5186" s="36"/>
      <c r="O5186" s="36"/>
      <c r="P5186" s="36"/>
      <c r="Q5186" s="36"/>
      <c r="R5186" s="36"/>
      <c r="S5186" s="36"/>
      <c r="T5186" s="36"/>
      <c r="U5186" s="36"/>
      <c r="V5186" s="36"/>
      <c r="W5186" s="15">
        <f t="shared" si="723"/>
        <v>0</v>
      </c>
      <c r="X5186" s="36"/>
      <c r="Y5186" s="36"/>
      <c r="Z5186" s="36"/>
      <c r="AA5186" s="36"/>
      <c r="AB5186" s="36"/>
      <c r="AC5186" s="36"/>
      <c r="AD5186" s="36"/>
      <c r="AE5186" s="36"/>
      <c r="AF5186" s="36"/>
      <c r="AG5186" s="36"/>
      <c r="AH5186" s="36">
        <v>400</v>
      </c>
      <c r="AI5186" s="36">
        <v>400</v>
      </c>
      <c r="AJ5186" s="15">
        <f t="shared" si="724"/>
        <v>800</v>
      </c>
      <c r="AK5186" s="14"/>
      <c r="AL5186" s="14"/>
      <c r="AM5186" s="14"/>
      <c r="AN5186" s="14"/>
      <c r="AO5186" s="14"/>
      <c r="AP5186" s="14"/>
      <c r="AQ5186" s="14"/>
      <c r="AR5186" s="14"/>
      <c r="AS5186" s="14"/>
      <c r="AT5186" s="14"/>
      <c r="AU5186" s="14"/>
      <c r="AV5186" s="14"/>
      <c r="AW5186" s="15">
        <f t="shared" si="725"/>
        <v>0</v>
      </c>
      <c r="AX5186" s="16"/>
    </row>
    <row r="5187" spans="2:50" x14ac:dyDescent="0.2">
      <c r="B5187" s="7"/>
      <c r="C5187" s="8">
        <v>15390</v>
      </c>
      <c r="D5187" s="9" t="s">
        <v>678</v>
      </c>
      <c r="E5187" s="10" t="str">
        <f t="shared" si="720"/>
        <v>Rancho Upácuaro No. 76</v>
      </c>
      <c r="F5187" s="10" t="str">
        <f t="shared" si="721"/>
        <v>Ruiz de San Pedro</v>
      </c>
      <c r="G5187" s="8">
        <v>1</v>
      </c>
      <c r="H5187" s="11">
        <v>400</v>
      </c>
      <c r="I5187" s="12">
        <v>43051</v>
      </c>
      <c r="J5187" s="35">
        <f t="shared" si="722"/>
        <v>0</v>
      </c>
      <c r="K5187" s="36"/>
      <c r="L5187" s="36"/>
      <c r="M5187" s="36"/>
      <c r="N5187" s="36"/>
      <c r="O5187" s="36"/>
      <c r="P5187" s="36"/>
      <c r="Q5187" s="36"/>
      <c r="R5187" s="36"/>
      <c r="S5187" s="36"/>
      <c r="T5187" s="36"/>
      <c r="U5187" s="36"/>
      <c r="V5187" s="36"/>
      <c r="W5187" s="15">
        <f t="shared" si="723"/>
        <v>0</v>
      </c>
      <c r="X5187" s="36"/>
      <c r="Y5187" s="36"/>
      <c r="Z5187" s="36"/>
      <c r="AA5187" s="36"/>
      <c r="AB5187" s="36"/>
      <c r="AC5187" s="36"/>
      <c r="AD5187" s="36"/>
      <c r="AE5187" s="36"/>
      <c r="AF5187" s="36"/>
      <c r="AG5187" s="36"/>
      <c r="AH5187" s="36">
        <v>400</v>
      </c>
      <c r="AI5187" s="36"/>
      <c r="AJ5187" s="15">
        <f t="shared" si="724"/>
        <v>400</v>
      </c>
      <c r="AK5187" s="14"/>
      <c r="AL5187" s="14"/>
      <c r="AM5187" s="14"/>
      <c r="AN5187" s="14"/>
      <c r="AO5187" s="14"/>
      <c r="AP5187" s="14"/>
      <c r="AQ5187" s="14"/>
      <c r="AR5187" s="14"/>
      <c r="AS5187" s="14"/>
      <c r="AT5187" s="14"/>
      <c r="AU5187" s="14"/>
      <c r="AV5187" s="14"/>
      <c r="AW5187" s="15">
        <f t="shared" si="725"/>
        <v>0</v>
      </c>
      <c r="AX5187" s="16"/>
    </row>
    <row r="5188" spans="2:50" x14ac:dyDescent="0.2">
      <c r="B5188" s="7"/>
      <c r="C5188" s="8">
        <v>15391</v>
      </c>
      <c r="D5188" s="9" t="s">
        <v>649</v>
      </c>
      <c r="E5188" s="10" t="str">
        <f t="shared" si="720"/>
        <v>Rancho Estanzuela No. 57</v>
      </c>
      <c r="F5188" s="10" t="str">
        <f t="shared" si="721"/>
        <v>Olivares</v>
      </c>
      <c r="G5188" s="8">
        <v>1</v>
      </c>
      <c r="H5188" s="11">
        <v>600</v>
      </c>
      <c r="I5188" s="12">
        <v>43051</v>
      </c>
      <c r="J5188" s="35">
        <f t="shared" si="722"/>
        <v>0</v>
      </c>
      <c r="K5188" s="36"/>
      <c r="L5188" s="36"/>
      <c r="M5188" s="36"/>
      <c r="N5188" s="36"/>
      <c r="O5188" s="36"/>
      <c r="P5188" s="36"/>
      <c r="Q5188" s="36"/>
      <c r="R5188" s="36"/>
      <c r="S5188" s="36"/>
      <c r="T5188" s="36"/>
      <c r="U5188" s="36"/>
      <c r="V5188" s="36"/>
      <c r="W5188" s="15">
        <f t="shared" si="723"/>
        <v>0</v>
      </c>
      <c r="X5188" s="36"/>
      <c r="Y5188" s="36"/>
      <c r="Z5188" s="36"/>
      <c r="AA5188" s="36"/>
      <c r="AB5188" s="36"/>
      <c r="AC5188" s="36"/>
      <c r="AD5188" s="36"/>
      <c r="AE5188" s="36"/>
      <c r="AF5188" s="36"/>
      <c r="AG5188" s="36">
        <v>300</v>
      </c>
      <c r="AH5188" s="36">
        <v>300</v>
      </c>
      <c r="AI5188" s="36"/>
      <c r="AJ5188" s="15">
        <f t="shared" si="724"/>
        <v>600</v>
      </c>
      <c r="AK5188" s="14"/>
      <c r="AL5188" s="14"/>
      <c r="AM5188" s="14"/>
      <c r="AN5188" s="14"/>
      <c r="AO5188" s="14"/>
      <c r="AP5188" s="14"/>
      <c r="AQ5188" s="14"/>
      <c r="AR5188" s="14"/>
      <c r="AS5188" s="14"/>
      <c r="AT5188" s="14"/>
      <c r="AU5188" s="14"/>
      <c r="AV5188" s="14"/>
      <c r="AW5188" s="15">
        <f t="shared" si="725"/>
        <v>0</v>
      </c>
      <c r="AX5188" s="16"/>
    </row>
    <row r="5189" spans="2:50" x14ac:dyDescent="0.2">
      <c r="B5189" s="7"/>
      <c r="C5189" s="8">
        <v>15392</v>
      </c>
      <c r="D5189" s="9" t="s">
        <v>313</v>
      </c>
      <c r="E5189" s="10" t="str">
        <f t="shared" si="720"/>
        <v>Rancho La Cuchilla No. 87</v>
      </c>
      <c r="F5189" s="10" t="str">
        <f t="shared" si="721"/>
        <v>Villanueva S.</v>
      </c>
      <c r="G5189" s="8">
        <v>1</v>
      </c>
      <c r="H5189" s="11">
        <v>400</v>
      </c>
      <c r="I5189" s="12">
        <v>43051</v>
      </c>
      <c r="J5189" s="35">
        <f t="shared" si="722"/>
        <v>0</v>
      </c>
      <c r="K5189" s="36"/>
      <c r="L5189" s="36"/>
      <c r="M5189" s="36"/>
      <c r="N5189" s="36"/>
      <c r="O5189" s="36"/>
      <c r="P5189" s="36"/>
      <c r="Q5189" s="36"/>
      <c r="R5189" s="36"/>
      <c r="S5189" s="36"/>
      <c r="T5189" s="36"/>
      <c r="U5189" s="36"/>
      <c r="V5189" s="36"/>
      <c r="W5189" s="15">
        <f t="shared" si="723"/>
        <v>0</v>
      </c>
      <c r="X5189" s="36"/>
      <c r="Y5189" s="36"/>
      <c r="Z5189" s="36"/>
      <c r="AA5189" s="36"/>
      <c r="AB5189" s="36"/>
      <c r="AC5189" s="36"/>
      <c r="AD5189" s="36"/>
      <c r="AE5189" s="36"/>
      <c r="AF5189" s="36"/>
      <c r="AG5189" s="36"/>
      <c r="AH5189" s="36">
        <v>400</v>
      </c>
      <c r="AI5189" s="36"/>
      <c r="AJ5189" s="15">
        <f t="shared" si="724"/>
        <v>400</v>
      </c>
      <c r="AK5189" s="14"/>
      <c r="AL5189" s="14"/>
      <c r="AM5189" s="14"/>
      <c r="AN5189" s="14"/>
      <c r="AO5189" s="14"/>
      <c r="AP5189" s="14"/>
      <c r="AQ5189" s="14"/>
      <c r="AR5189" s="14"/>
      <c r="AS5189" s="14"/>
      <c r="AT5189" s="14"/>
      <c r="AU5189" s="14"/>
      <c r="AV5189" s="14"/>
      <c r="AW5189" s="15">
        <f t="shared" si="725"/>
        <v>0</v>
      </c>
      <c r="AX5189" s="16"/>
    </row>
    <row r="5190" spans="2:50" x14ac:dyDescent="0.2">
      <c r="B5190" s="7"/>
      <c r="C5190" s="8">
        <v>15393</v>
      </c>
      <c r="D5190" s="9" t="s">
        <v>301</v>
      </c>
      <c r="E5190" s="10" t="str">
        <f t="shared" si="720"/>
        <v>Rancho Upácuaro No. 51, 2</v>
      </c>
      <c r="F5190" s="10" t="str">
        <f t="shared" si="721"/>
        <v>Santoyo</v>
      </c>
      <c r="G5190" s="8">
        <v>1</v>
      </c>
      <c r="H5190" s="11">
        <v>200</v>
      </c>
      <c r="I5190" s="12">
        <v>43051</v>
      </c>
      <c r="J5190" s="35">
        <f t="shared" si="722"/>
        <v>0</v>
      </c>
      <c r="K5190" s="36"/>
      <c r="L5190" s="36"/>
      <c r="M5190" s="36"/>
      <c r="N5190" s="36"/>
      <c r="O5190" s="36"/>
      <c r="P5190" s="36"/>
      <c r="Q5190" s="36"/>
      <c r="R5190" s="36"/>
      <c r="S5190" s="36"/>
      <c r="T5190" s="36"/>
      <c r="U5190" s="36"/>
      <c r="V5190" s="36"/>
      <c r="W5190" s="15">
        <f t="shared" si="723"/>
        <v>0</v>
      </c>
      <c r="X5190" s="36"/>
      <c r="Y5190" s="36"/>
      <c r="Z5190" s="36"/>
      <c r="AA5190" s="36"/>
      <c r="AB5190" s="36"/>
      <c r="AC5190" s="36"/>
      <c r="AD5190" s="36"/>
      <c r="AE5190" s="36"/>
      <c r="AF5190" s="36"/>
      <c r="AG5190" s="36"/>
      <c r="AH5190" s="36">
        <v>200</v>
      </c>
      <c r="AI5190" s="36"/>
      <c r="AJ5190" s="15">
        <f t="shared" si="724"/>
        <v>200</v>
      </c>
      <c r="AK5190" s="14"/>
      <c r="AL5190" s="14"/>
      <c r="AM5190" s="14"/>
      <c r="AN5190" s="14"/>
      <c r="AO5190" s="14"/>
      <c r="AP5190" s="14"/>
      <c r="AQ5190" s="14"/>
      <c r="AR5190" s="14"/>
      <c r="AS5190" s="14"/>
      <c r="AT5190" s="14"/>
      <c r="AU5190" s="14"/>
      <c r="AV5190" s="14"/>
      <c r="AW5190" s="15">
        <f t="shared" si="725"/>
        <v>0</v>
      </c>
      <c r="AX5190" s="16"/>
    </row>
    <row r="5191" spans="2:50" x14ac:dyDescent="0.2">
      <c r="B5191" s="7"/>
      <c r="C5191" s="8">
        <v>15394</v>
      </c>
      <c r="D5191" s="9" t="s">
        <v>361</v>
      </c>
      <c r="E5191" s="10" t="str">
        <f t="shared" si="720"/>
        <v>Rancho Upácuaro No. 101</v>
      </c>
      <c r="F5191" s="10" t="str">
        <f t="shared" si="721"/>
        <v>Chávez, Arturo</v>
      </c>
      <c r="G5191" s="8">
        <v>1</v>
      </c>
      <c r="H5191" s="11">
        <v>400</v>
      </c>
      <c r="I5191" s="12">
        <v>43051</v>
      </c>
      <c r="J5191" s="35">
        <f t="shared" si="722"/>
        <v>0</v>
      </c>
      <c r="K5191" s="36"/>
      <c r="L5191" s="36"/>
      <c r="M5191" s="36"/>
      <c r="N5191" s="36"/>
      <c r="O5191" s="36"/>
      <c r="P5191" s="36"/>
      <c r="Q5191" s="36"/>
      <c r="R5191" s="36"/>
      <c r="S5191" s="36"/>
      <c r="T5191" s="36"/>
      <c r="U5191" s="36"/>
      <c r="V5191" s="36"/>
      <c r="W5191" s="15">
        <f t="shared" si="723"/>
        <v>0</v>
      </c>
      <c r="X5191" s="36"/>
      <c r="Y5191" s="36"/>
      <c r="Z5191" s="36"/>
      <c r="AA5191" s="36"/>
      <c r="AB5191" s="36"/>
      <c r="AC5191" s="36"/>
      <c r="AD5191" s="36"/>
      <c r="AE5191" s="36"/>
      <c r="AF5191" s="36"/>
      <c r="AG5191" s="36"/>
      <c r="AH5191" s="36">
        <v>400</v>
      </c>
      <c r="AI5191" s="36"/>
      <c r="AJ5191" s="15">
        <f t="shared" si="724"/>
        <v>400</v>
      </c>
      <c r="AK5191" s="14"/>
      <c r="AL5191" s="14"/>
      <c r="AM5191" s="14"/>
      <c r="AN5191" s="14"/>
      <c r="AO5191" s="14"/>
      <c r="AP5191" s="14"/>
      <c r="AQ5191" s="14"/>
      <c r="AR5191" s="14"/>
      <c r="AS5191" s="14"/>
      <c r="AT5191" s="14"/>
      <c r="AU5191" s="14"/>
      <c r="AV5191" s="14"/>
      <c r="AW5191" s="15">
        <f t="shared" si="725"/>
        <v>0</v>
      </c>
      <c r="AX5191" s="16"/>
    </row>
    <row r="5192" spans="2:50" x14ac:dyDescent="0.2">
      <c r="B5192" s="7"/>
      <c r="C5192" s="8">
        <v>15395</v>
      </c>
      <c r="D5192" s="9" t="s">
        <v>559</v>
      </c>
      <c r="E5192" s="10" t="str">
        <f t="shared" si="720"/>
        <v>Rancho Estanzuela No. 149</v>
      </c>
      <c r="F5192" s="10" t="str">
        <f t="shared" si="721"/>
        <v>Sala</v>
      </c>
      <c r="G5192" s="8">
        <v>7</v>
      </c>
      <c r="H5192" s="11">
        <v>25</v>
      </c>
      <c r="I5192" s="12">
        <v>43051</v>
      </c>
      <c r="J5192" s="35">
        <f t="shared" si="722"/>
        <v>0</v>
      </c>
      <c r="K5192" s="36"/>
      <c r="L5192" s="36"/>
      <c r="M5192" s="36"/>
      <c r="N5192" s="36"/>
      <c r="O5192" s="36"/>
      <c r="P5192" s="36"/>
      <c r="Q5192" s="36"/>
      <c r="R5192" s="36"/>
      <c r="S5192" s="36"/>
      <c r="T5192" s="36"/>
      <c r="U5192" s="36"/>
      <c r="V5192" s="36"/>
      <c r="W5192" s="15">
        <f t="shared" si="723"/>
        <v>0</v>
      </c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15">
        <f t="shared" si="724"/>
        <v>0</v>
      </c>
      <c r="AK5192" s="14"/>
      <c r="AL5192" s="14"/>
      <c r="AM5192" s="14"/>
      <c r="AN5192" s="14"/>
      <c r="AO5192" s="14"/>
      <c r="AP5192" s="14"/>
      <c r="AQ5192" s="14"/>
      <c r="AR5192" s="14"/>
      <c r="AS5192" s="14"/>
      <c r="AT5192" s="14"/>
      <c r="AU5192" s="14"/>
      <c r="AV5192" s="14"/>
      <c r="AW5192" s="15">
        <f t="shared" si="725"/>
        <v>0</v>
      </c>
      <c r="AX5192" s="16"/>
    </row>
    <row r="5193" spans="2:50" x14ac:dyDescent="0.2">
      <c r="B5193" s="7"/>
      <c r="C5193" s="8">
        <v>15396</v>
      </c>
      <c r="D5193" s="9" t="s">
        <v>404</v>
      </c>
      <c r="E5193" s="10" t="str">
        <f t="shared" si="720"/>
        <v>Rancho La Cuchilla No. 89</v>
      </c>
      <c r="F5193" s="10" t="str">
        <f t="shared" si="721"/>
        <v>Gálvez</v>
      </c>
      <c r="G5193" s="8">
        <v>1</v>
      </c>
      <c r="H5193" s="11">
        <v>400</v>
      </c>
      <c r="I5193" s="12">
        <v>43051</v>
      </c>
      <c r="J5193" s="35">
        <f t="shared" si="722"/>
        <v>0</v>
      </c>
      <c r="K5193" s="36"/>
      <c r="L5193" s="36"/>
      <c r="M5193" s="36"/>
      <c r="N5193" s="36"/>
      <c r="O5193" s="36"/>
      <c r="P5193" s="36"/>
      <c r="Q5193" s="36"/>
      <c r="R5193" s="36"/>
      <c r="S5193" s="36"/>
      <c r="T5193" s="36"/>
      <c r="U5193" s="36"/>
      <c r="V5193" s="36"/>
      <c r="W5193" s="15">
        <f t="shared" si="723"/>
        <v>0</v>
      </c>
      <c r="X5193" s="36"/>
      <c r="Y5193" s="36"/>
      <c r="Z5193" s="36"/>
      <c r="AA5193" s="36"/>
      <c r="AB5193" s="36"/>
      <c r="AC5193" s="36"/>
      <c r="AD5193" s="36"/>
      <c r="AE5193" s="36"/>
      <c r="AF5193" s="36"/>
      <c r="AG5193" s="36"/>
      <c r="AH5193" s="36">
        <v>400</v>
      </c>
      <c r="AI5193" s="36"/>
      <c r="AJ5193" s="15">
        <f t="shared" si="724"/>
        <v>400</v>
      </c>
      <c r="AK5193" s="14"/>
      <c r="AL5193" s="14"/>
      <c r="AM5193" s="14"/>
      <c r="AN5193" s="14"/>
      <c r="AO5193" s="14"/>
      <c r="AP5193" s="14"/>
      <c r="AQ5193" s="14"/>
      <c r="AR5193" s="14"/>
      <c r="AS5193" s="14"/>
      <c r="AT5193" s="14"/>
      <c r="AU5193" s="14"/>
      <c r="AV5193" s="14"/>
      <c r="AW5193" s="15">
        <f t="shared" si="725"/>
        <v>0</v>
      </c>
      <c r="AX5193" s="16"/>
    </row>
    <row r="5194" spans="2:50" x14ac:dyDescent="0.2">
      <c r="B5194" s="7"/>
      <c r="C5194" s="8">
        <v>15397</v>
      </c>
      <c r="D5194" s="9" t="s">
        <v>550</v>
      </c>
      <c r="E5194" s="10" t="str">
        <f t="shared" si="720"/>
        <v>Rancho Landero No. 89</v>
      </c>
      <c r="F5194" s="10" t="str">
        <f t="shared" si="721"/>
        <v>Del Pozo Solís</v>
      </c>
      <c r="G5194" s="8">
        <v>1</v>
      </c>
      <c r="H5194" s="11">
        <v>750</v>
      </c>
      <c r="I5194" s="12">
        <v>43051</v>
      </c>
      <c r="J5194" s="35">
        <f t="shared" si="722"/>
        <v>0</v>
      </c>
      <c r="K5194" s="36"/>
      <c r="L5194" s="36"/>
      <c r="M5194" s="36"/>
      <c r="N5194" s="36"/>
      <c r="O5194" s="36"/>
      <c r="P5194" s="36"/>
      <c r="Q5194" s="36"/>
      <c r="R5194" s="36"/>
      <c r="S5194" s="36"/>
      <c r="T5194" s="36"/>
      <c r="U5194" s="36"/>
      <c r="V5194" s="36"/>
      <c r="W5194" s="15">
        <f t="shared" si="723"/>
        <v>0</v>
      </c>
      <c r="X5194" s="36"/>
      <c r="Y5194" s="36"/>
      <c r="Z5194" s="36"/>
      <c r="AA5194" s="36"/>
      <c r="AB5194" s="36"/>
      <c r="AC5194" s="36"/>
      <c r="AD5194" s="36"/>
      <c r="AE5194" s="36"/>
      <c r="AF5194" s="36">
        <v>250</v>
      </c>
      <c r="AG5194" s="36">
        <v>250</v>
      </c>
      <c r="AH5194" s="36">
        <v>250</v>
      </c>
      <c r="AI5194" s="36"/>
      <c r="AJ5194" s="15">
        <f t="shared" si="724"/>
        <v>750</v>
      </c>
      <c r="AK5194" s="14"/>
      <c r="AL5194" s="14"/>
      <c r="AM5194" s="14"/>
      <c r="AN5194" s="14"/>
      <c r="AO5194" s="14"/>
      <c r="AP5194" s="14"/>
      <c r="AQ5194" s="14"/>
      <c r="AR5194" s="14"/>
      <c r="AS5194" s="14"/>
      <c r="AT5194" s="14"/>
      <c r="AU5194" s="14"/>
      <c r="AV5194" s="14"/>
      <c r="AW5194" s="15">
        <f t="shared" si="725"/>
        <v>0</v>
      </c>
      <c r="AX5194" s="16"/>
    </row>
    <row r="5195" spans="2:50" x14ac:dyDescent="0.2">
      <c r="B5195" s="7"/>
      <c r="C5195" s="8">
        <v>15398</v>
      </c>
      <c r="D5195" s="9" t="s">
        <v>87</v>
      </c>
      <c r="E5195" s="10" t="str">
        <f t="shared" si="720"/>
        <v>Rancho Zinamba No. 36</v>
      </c>
      <c r="F5195" s="10" t="str">
        <f t="shared" si="721"/>
        <v>Rodríguez Ortiz</v>
      </c>
      <c r="G5195" s="8">
        <v>1</v>
      </c>
      <c r="H5195" s="11">
        <v>800</v>
      </c>
      <c r="I5195" s="12">
        <v>43051</v>
      </c>
      <c r="J5195" s="35">
        <f t="shared" si="722"/>
        <v>0</v>
      </c>
      <c r="K5195" s="36"/>
      <c r="L5195" s="36"/>
      <c r="M5195" s="36"/>
      <c r="N5195" s="36"/>
      <c r="O5195" s="36"/>
      <c r="P5195" s="36"/>
      <c r="Q5195" s="36"/>
      <c r="R5195" s="36"/>
      <c r="S5195" s="36"/>
      <c r="T5195" s="36"/>
      <c r="U5195" s="36"/>
      <c r="V5195" s="36"/>
      <c r="W5195" s="15">
        <f t="shared" si="723"/>
        <v>0</v>
      </c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>
        <v>400</v>
      </c>
      <c r="AI5195" s="36">
        <v>400</v>
      </c>
      <c r="AJ5195" s="15">
        <f t="shared" si="724"/>
        <v>800</v>
      </c>
      <c r="AK5195" s="14"/>
      <c r="AL5195" s="14"/>
      <c r="AM5195" s="14"/>
      <c r="AN5195" s="14"/>
      <c r="AO5195" s="14"/>
      <c r="AP5195" s="14"/>
      <c r="AQ5195" s="14"/>
      <c r="AR5195" s="14"/>
      <c r="AS5195" s="14"/>
      <c r="AT5195" s="14"/>
      <c r="AU5195" s="14"/>
      <c r="AV5195" s="14"/>
      <c r="AW5195" s="15">
        <f t="shared" si="725"/>
        <v>0</v>
      </c>
      <c r="AX5195" s="16"/>
    </row>
    <row r="5196" spans="2:50" x14ac:dyDescent="0.2">
      <c r="B5196" s="7"/>
      <c r="C5196" s="8">
        <v>15399</v>
      </c>
      <c r="D5196" s="9" t="s">
        <v>725</v>
      </c>
      <c r="E5196" s="10" t="str">
        <f t="shared" si="720"/>
        <v>Rancho Zinamba No. 34</v>
      </c>
      <c r="F5196" s="10" t="str">
        <f t="shared" si="721"/>
        <v>Torres Zavala</v>
      </c>
      <c r="G5196" s="8">
        <v>1</v>
      </c>
      <c r="H5196" s="11">
        <v>800</v>
      </c>
      <c r="I5196" s="12">
        <v>43051</v>
      </c>
      <c r="J5196" s="35">
        <f t="shared" si="722"/>
        <v>0</v>
      </c>
      <c r="K5196" s="36"/>
      <c r="L5196" s="36"/>
      <c r="M5196" s="36"/>
      <c r="N5196" s="36"/>
      <c r="O5196" s="36"/>
      <c r="P5196" s="36"/>
      <c r="Q5196" s="36"/>
      <c r="R5196" s="36"/>
      <c r="S5196" s="36"/>
      <c r="T5196" s="36"/>
      <c r="U5196" s="36"/>
      <c r="V5196" s="36"/>
      <c r="W5196" s="15">
        <f t="shared" si="723"/>
        <v>0</v>
      </c>
      <c r="X5196" s="36"/>
      <c r="Y5196" s="36"/>
      <c r="Z5196" s="36"/>
      <c r="AA5196" s="36"/>
      <c r="AB5196" s="36"/>
      <c r="AC5196" s="36"/>
      <c r="AD5196" s="36"/>
      <c r="AE5196" s="36"/>
      <c r="AF5196" s="36"/>
      <c r="AG5196" s="36">
        <v>400</v>
      </c>
      <c r="AH5196" s="36">
        <v>400</v>
      </c>
      <c r="AI5196" s="36"/>
      <c r="AJ5196" s="15">
        <f t="shared" si="724"/>
        <v>800</v>
      </c>
      <c r="AK5196" s="14"/>
      <c r="AL5196" s="14"/>
      <c r="AM5196" s="14"/>
      <c r="AN5196" s="14"/>
      <c r="AO5196" s="14"/>
      <c r="AP5196" s="14"/>
      <c r="AQ5196" s="14"/>
      <c r="AR5196" s="14"/>
      <c r="AS5196" s="14"/>
      <c r="AT5196" s="14"/>
      <c r="AU5196" s="14"/>
      <c r="AV5196" s="14"/>
      <c r="AW5196" s="15">
        <f t="shared" si="725"/>
        <v>0</v>
      </c>
      <c r="AX5196" s="16"/>
    </row>
    <row r="5197" spans="2:50" x14ac:dyDescent="0.2">
      <c r="B5197" s="7"/>
      <c r="C5197" s="8">
        <v>15400</v>
      </c>
      <c r="D5197" s="9" t="s">
        <v>183</v>
      </c>
      <c r="E5197" s="10" t="str">
        <f t="shared" si="720"/>
        <v>Rancho La Cuchilla No. 54</v>
      </c>
      <c r="F5197" s="10" t="str">
        <f t="shared" si="721"/>
        <v>Mendoza León</v>
      </c>
      <c r="G5197" s="8">
        <v>1</v>
      </c>
      <c r="H5197" s="11">
        <v>400</v>
      </c>
      <c r="I5197" s="12">
        <v>43051</v>
      </c>
      <c r="J5197" s="35">
        <f t="shared" si="722"/>
        <v>0</v>
      </c>
      <c r="K5197" s="36"/>
      <c r="L5197" s="36"/>
      <c r="M5197" s="36"/>
      <c r="N5197" s="36"/>
      <c r="O5197" s="36"/>
      <c r="P5197" s="36"/>
      <c r="Q5197" s="36"/>
      <c r="R5197" s="36"/>
      <c r="S5197" s="36"/>
      <c r="T5197" s="36"/>
      <c r="U5197" s="36"/>
      <c r="V5197" s="36"/>
      <c r="W5197" s="15">
        <f t="shared" si="723"/>
        <v>0</v>
      </c>
      <c r="X5197" s="36"/>
      <c r="Y5197" s="36"/>
      <c r="Z5197" s="36"/>
      <c r="AA5197" s="36"/>
      <c r="AB5197" s="36"/>
      <c r="AC5197" s="36"/>
      <c r="AD5197" s="36"/>
      <c r="AE5197" s="36"/>
      <c r="AF5197" s="36"/>
      <c r="AG5197" s="36">
        <v>400</v>
      </c>
      <c r="AH5197" s="36"/>
      <c r="AI5197" s="36"/>
      <c r="AJ5197" s="15">
        <f t="shared" si="724"/>
        <v>400</v>
      </c>
      <c r="AK5197" s="14"/>
      <c r="AL5197" s="14"/>
      <c r="AM5197" s="14"/>
      <c r="AN5197" s="14"/>
      <c r="AO5197" s="14"/>
      <c r="AP5197" s="14"/>
      <c r="AQ5197" s="14"/>
      <c r="AR5197" s="14"/>
      <c r="AS5197" s="14"/>
      <c r="AT5197" s="14"/>
      <c r="AU5197" s="14"/>
      <c r="AV5197" s="14"/>
      <c r="AW5197" s="15">
        <f t="shared" si="725"/>
        <v>0</v>
      </c>
      <c r="AX5197" s="16"/>
    </row>
    <row r="5198" spans="2:50" x14ac:dyDescent="0.2">
      <c r="B5198" s="7"/>
      <c r="C5198" s="8">
        <v>15401</v>
      </c>
      <c r="D5198" s="9" t="s">
        <v>141</v>
      </c>
      <c r="E5198" s="10" t="str">
        <f t="shared" si="720"/>
        <v>Rancho Estanzuela No. 91</v>
      </c>
      <c r="F5198" s="10" t="str">
        <f t="shared" si="721"/>
        <v>Lobato Hernàndez</v>
      </c>
      <c r="G5198" s="8">
        <v>1</v>
      </c>
      <c r="H5198" s="11">
        <v>1200</v>
      </c>
      <c r="I5198" s="12">
        <v>43051</v>
      </c>
      <c r="J5198" s="35">
        <f t="shared" si="722"/>
        <v>0</v>
      </c>
      <c r="K5198" s="36"/>
      <c r="L5198" s="36"/>
      <c r="M5198" s="36"/>
      <c r="N5198" s="36"/>
      <c r="O5198" s="36"/>
      <c r="P5198" s="36"/>
      <c r="Q5198" s="36"/>
      <c r="R5198" s="36"/>
      <c r="S5198" s="36"/>
      <c r="T5198" s="36"/>
      <c r="U5198" s="36"/>
      <c r="V5198" s="36"/>
      <c r="W5198" s="15">
        <f t="shared" si="723"/>
        <v>0</v>
      </c>
      <c r="X5198" s="36"/>
      <c r="Y5198" s="36"/>
      <c r="Z5198" s="36"/>
      <c r="AA5198" s="36"/>
      <c r="AB5198" s="36"/>
      <c r="AC5198" s="36"/>
      <c r="AD5198" s="36"/>
      <c r="AE5198" s="36"/>
      <c r="AF5198" s="36"/>
      <c r="AG5198" s="36">
        <v>400</v>
      </c>
      <c r="AH5198" s="36">
        <v>400</v>
      </c>
      <c r="AI5198" s="36">
        <v>400</v>
      </c>
      <c r="AJ5198" s="15">
        <f t="shared" si="724"/>
        <v>1200</v>
      </c>
      <c r="AK5198" s="14"/>
      <c r="AL5198" s="14"/>
      <c r="AM5198" s="14"/>
      <c r="AN5198" s="14"/>
      <c r="AO5198" s="14"/>
      <c r="AP5198" s="14"/>
      <c r="AQ5198" s="14"/>
      <c r="AR5198" s="14"/>
      <c r="AS5198" s="14"/>
      <c r="AT5198" s="14"/>
      <c r="AU5198" s="14"/>
      <c r="AV5198" s="14"/>
      <c r="AW5198" s="15">
        <f t="shared" si="725"/>
        <v>0</v>
      </c>
      <c r="AX5198" s="16"/>
    </row>
    <row r="5199" spans="2:50" x14ac:dyDescent="0.2">
      <c r="B5199" s="7"/>
      <c r="C5199" s="8">
        <v>15402</v>
      </c>
      <c r="D5199" s="9" t="s">
        <v>295</v>
      </c>
      <c r="E5199" s="10" t="str">
        <f t="shared" si="720"/>
        <v>Rancho Landero No. 99</v>
      </c>
      <c r="F5199" s="10" t="str">
        <f t="shared" si="721"/>
        <v>Rangel</v>
      </c>
      <c r="G5199" s="8">
        <v>1</v>
      </c>
      <c r="H5199" s="11">
        <v>300</v>
      </c>
      <c r="I5199" s="12">
        <v>43051</v>
      </c>
      <c r="J5199" s="35">
        <f t="shared" si="722"/>
        <v>0</v>
      </c>
      <c r="K5199" s="36"/>
      <c r="L5199" s="36"/>
      <c r="M5199" s="36"/>
      <c r="N5199" s="36"/>
      <c r="O5199" s="36"/>
      <c r="P5199" s="36"/>
      <c r="Q5199" s="36"/>
      <c r="R5199" s="36"/>
      <c r="S5199" s="36"/>
      <c r="T5199" s="36"/>
      <c r="U5199" s="36"/>
      <c r="V5199" s="36"/>
      <c r="W5199" s="15">
        <f t="shared" si="723"/>
        <v>0</v>
      </c>
      <c r="X5199" s="36"/>
      <c r="Y5199" s="36"/>
      <c r="Z5199" s="36"/>
      <c r="AA5199" s="36"/>
      <c r="AB5199" s="36"/>
      <c r="AC5199" s="36"/>
      <c r="AD5199" s="36"/>
      <c r="AE5199" s="36"/>
      <c r="AF5199" s="36">
        <v>300</v>
      </c>
      <c r="AG5199" s="36"/>
      <c r="AH5199" s="36"/>
      <c r="AI5199" s="36"/>
      <c r="AJ5199" s="15">
        <f t="shared" si="724"/>
        <v>300</v>
      </c>
      <c r="AK5199" s="14"/>
      <c r="AL5199" s="14"/>
      <c r="AM5199" s="14"/>
      <c r="AN5199" s="14"/>
      <c r="AO5199" s="14"/>
      <c r="AP5199" s="14"/>
      <c r="AQ5199" s="14"/>
      <c r="AR5199" s="14"/>
      <c r="AS5199" s="14"/>
      <c r="AT5199" s="14"/>
      <c r="AU5199" s="14"/>
      <c r="AV5199" s="14"/>
      <c r="AW5199" s="15">
        <f t="shared" si="725"/>
        <v>0</v>
      </c>
      <c r="AX5199" s="16"/>
    </row>
    <row r="5200" spans="2:50" x14ac:dyDescent="0.2">
      <c r="B5200" s="7"/>
      <c r="C5200" s="8">
        <v>15403</v>
      </c>
      <c r="D5200" s="9" t="s">
        <v>637</v>
      </c>
      <c r="E5200" s="10" t="str">
        <f t="shared" si="720"/>
        <v>Rancho Recoveco No. 193</v>
      </c>
      <c r="F5200" s="10" t="str">
        <f t="shared" si="721"/>
        <v>Salazar Pérez</v>
      </c>
      <c r="G5200" s="8">
        <v>1</v>
      </c>
      <c r="H5200" s="11">
        <v>400</v>
      </c>
      <c r="I5200" s="12">
        <v>43051</v>
      </c>
      <c r="J5200" s="35">
        <f t="shared" si="722"/>
        <v>0</v>
      </c>
      <c r="K5200" s="36"/>
      <c r="L5200" s="36"/>
      <c r="M5200" s="36"/>
      <c r="N5200" s="36"/>
      <c r="O5200" s="36"/>
      <c r="P5200" s="36"/>
      <c r="Q5200" s="36"/>
      <c r="R5200" s="36"/>
      <c r="S5200" s="36"/>
      <c r="T5200" s="36"/>
      <c r="U5200" s="36"/>
      <c r="V5200" s="36"/>
      <c r="W5200" s="15">
        <f t="shared" si="723"/>
        <v>0</v>
      </c>
      <c r="X5200" s="36"/>
      <c r="Y5200" s="36"/>
      <c r="Z5200" s="36"/>
      <c r="AA5200" s="36"/>
      <c r="AB5200" s="36"/>
      <c r="AC5200" s="36"/>
      <c r="AD5200" s="36"/>
      <c r="AE5200" s="36"/>
      <c r="AF5200" s="36"/>
      <c r="AG5200" s="36"/>
      <c r="AH5200" s="36">
        <v>400</v>
      </c>
      <c r="AI5200" s="36"/>
      <c r="AJ5200" s="15">
        <f t="shared" si="724"/>
        <v>400</v>
      </c>
      <c r="AK5200" s="14"/>
      <c r="AL5200" s="14"/>
      <c r="AM5200" s="14"/>
      <c r="AN5200" s="14"/>
      <c r="AO5200" s="14"/>
      <c r="AP5200" s="14"/>
      <c r="AQ5200" s="14"/>
      <c r="AR5200" s="14"/>
      <c r="AS5200" s="14"/>
      <c r="AT5200" s="14"/>
      <c r="AU5200" s="14"/>
      <c r="AV5200" s="14"/>
      <c r="AW5200" s="15">
        <f t="shared" si="725"/>
        <v>0</v>
      </c>
      <c r="AX5200" s="16"/>
    </row>
    <row r="5201" spans="2:50" x14ac:dyDescent="0.2">
      <c r="B5201" s="7"/>
      <c r="C5201" s="8">
        <v>15404</v>
      </c>
      <c r="D5201" s="9" t="s">
        <v>470</v>
      </c>
      <c r="E5201" s="10" t="str">
        <f t="shared" si="720"/>
        <v>Rancho Zinamba No. 42</v>
      </c>
      <c r="F5201" s="10" t="str">
        <f t="shared" si="721"/>
        <v>López Aldave</v>
      </c>
      <c r="G5201" s="8">
        <v>1</v>
      </c>
      <c r="H5201" s="11">
        <v>900</v>
      </c>
      <c r="I5201" s="12">
        <v>43051</v>
      </c>
      <c r="J5201" s="35">
        <f t="shared" si="722"/>
        <v>0</v>
      </c>
      <c r="K5201" s="36"/>
      <c r="L5201" s="36"/>
      <c r="M5201" s="36"/>
      <c r="N5201" s="36"/>
      <c r="O5201" s="36"/>
      <c r="P5201" s="36"/>
      <c r="Q5201" s="36"/>
      <c r="R5201" s="36"/>
      <c r="S5201" s="36"/>
      <c r="T5201" s="36"/>
      <c r="U5201" s="36"/>
      <c r="V5201" s="36"/>
      <c r="W5201" s="15">
        <f t="shared" si="723"/>
        <v>0</v>
      </c>
      <c r="X5201" s="36"/>
      <c r="Y5201" s="36"/>
      <c r="Z5201" s="36"/>
      <c r="AA5201" s="36"/>
      <c r="AB5201" s="36"/>
      <c r="AC5201" s="36"/>
      <c r="AD5201" s="36"/>
      <c r="AE5201" s="36"/>
      <c r="AF5201" s="36"/>
      <c r="AG5201" s="36">
        <v>300</v>
      </c>
      <c r="AH5201" s="36">
        <v>300</v>
      </c>
      <c r="AI5201" s="36">
        <v>300</v>
      </c>
      <c r="AJ5201" s="15">
        <f t="shared" si="724"/>
        <v>900</v>
      </c>
      <c r="AK5201" s="14"/>
      <c r="AL5201" s="14"/>
      <c r="AM5201" s="14"/>
      <c r="AN5201" s="14"/>
      <c r="AO5201" s="14"/>
      <c r="AP5201" s="14"/>
      <c r="AQ5201" s="14"/>
      <c r="AR5201" s="14"/>
      <c r="AS5201" s="14"/>
      <c r="AT5201" s="14"/>
      <c r="AU5201" s="14"/>
      <c r="AV5201" s="14"/>
      <c r="AW5201" s="15">
        <f t="shared" si="725"/>
        <v>0</v>
      </c>
      <c r="AX5201" s="16"/>
    </row>
    <row r="5202" spans="2:50" x14ac:dyDescent="0.2">
      <c r="B5202" s="7"/>
      <c r="C5202" s="8">
        <v>15405</v>
      </c>
      <c r="D5202" s="9" t="s">
        <v>954</v>
      </c>
      <c r="E5202" s="10" t="str">
        <f t="shared" si="720"/>
        <v>Rancho Landero No. 36</v>
      </c>
      <c r="F5202" s="10" t="str">
        <f t="shared" si="721"/>
        <v>Jaime</v>
      </c>
      <c r="G5202" s="8">
        <v>1</v>
      </c>
      <c r="H5202" s="11">
        <v>1200</v>
      </c>
      <c r="I5202" s="12">
        <v>43051</v>
      </c>
      <c r="J5202" s="35">
        <f t="shared" si="722"/>
        <v>0</v>
      </c>
      <c r="K5202" s="36"/>
      <c r="L5202" s="36"/>
      <c r="M5202" s="36"/>
      <c r="N5202" s="36"/>
      <c r="O5202" s="36"/>
      <c r="P5202" s="36"/>
      <c r="Q5202" s="36"/>
      <c r="R5202" s="36"/>
      <c r="S5202" s="36"/>
      <c r="T5202" s="36"/>
      <c r="U5202" s="36"/>
      <c r="V5202" s="36"/>
      <c r="W5202" s="15">
        <f t="shared" si="723"/>
        <v>0</v>
      </c>
      <c r="X5202" s="36"/>
      <c r="Y5202" s="36"/>
      <c r="Z5202" s="36"/>
      <c r="AA5202" s="36"/>
      <c r="AB5202" s="36"/>
      <c r="AC5202" s="36"/>
      <c r="AD5202" s="36"/>
      <c r="AE5202" s="36"/>
      <c r="AF5202" s="36">
        <v>400</v>
      </c>
      <c r="AG5202" s="36">
        <v>400</v>
      </c>
      <c r="AH5202" s="36">
        <v>400</v>
      </c>
      <c r="AI5202" s="36"/>
      <c r="AJ5202" s="15">
        <f t="shared" si="724"/>
        <v>1200</v>
      </c>
      <c r="AK5202" s="14"/>
      <c r="AL5202" s="14"/>
      <c r="AM5202" s="14"/>
      <c r="AN5202" s="14"/>
      <c r="AO5202" s="14"/>
      <c r="AP5202" s="14"/>
      <c r="AQ5202" s="14"/>
      <c r="AR5202" s="14"/>
      <c r="AS5202" s="14"/>
      <c r="AT5202" s="14"/>
      <c r="AU5202" s="14"/>
      <c r="AV5202" s="14"/>
      <c r="AW5202" s="15">
        <f t="shared" si="725"/>
        <v>0</v>
      </c>
      <c r="AX5202" s="16"/>
    </row>
    <row r="5203" spans="2:50" x14ac:dyDescent="0.2">
      <c r="B5203" s="7"/>
      <c r="C5203" s="8">
        <v>15405</v>
      </c>
      <c r="D5203" s="9" t="s">
        <v>954</v>
      </c>
      <c r="E5203" s="10" t="str">
        <f t="shared" si="720"/>
        <v>Rancho Landero No. 36</v>
      </c>
      <c r="F5203" s="10" t="str">
        <f t="shared" si="721"/>
        <v>Jaime</v>
      </c>
      <c r="G5203" s="8">
        <v>5</v>
      </c>
      <c r="H5203" s="11">
        <v>100</v>
      </c>
      <c r="I5203" s="12">
        <v>43051</v>
      </c>
      <c r="J5203" s="35">
        <f t="shared" si="722"/>
        <v>0</v>
      </c>
      <c r="K5203" s="36"/>
      <c r="L5203" s="36"/>
      <c r="M5203" s="36"/>
      <c r="N5203" s="36"/>
      <c r="O5203" s="36"/>
      <c r="P5203" s="36"/>
      <c r="Q5203" s="36"/>
      <c r="R5203" s="36"/>
      <c r="S5203" s="36"/>
      <c r="T5203" s="36"/>
      <c r="U5203" s="36"/>
      <c r="V5203" s="36"/>
      <c r="W5203" s="15">
        <f t="shared" si="723"/>
        <v>0</v>
      </c>
      <c r="X5203" s="36"/>
      <c r="Y5203" s="36"/>
      <c r="Z5203" s="36"/>
      <c r="AA5203" s="36"/>
      <c r="AB5203" s="36"/>
      <c r="AC5203" s="36"/>
      <c r="AD5203" s="36"/>
      <c r="AE5203" s="36"/>
      <c r="AF5203" s="36"/>
      <c r="AG5203" s="36"/>
      <c r="AH5203" s="36"/>
      <c r="AI5203" s="36"/>
      <c r="AJ5203" s="15">
        <f t="shared" si="724"/>
        <v>0</v>
      </c>
      <c r="AK5203" s="14"/>
      <c r="AL5203" s="14"/>
      <c r="AM5203" s="14"/>
      <c r="AN5203" s="14"/>
      <c r="AO5203" s="14"/>
      <c r="AP5203" s="14"/>
      <c r="AQ5203" s="14"/>
      <c r="AR5203" s="14"/>
      <c r="AS5203" s="14"/>
      <c r="AT5203" s="14"/>
      <c r="AU5203" s="14"/>
      <c r="AV5203" s="14"/>
      <c r="AW5203" s="15">
        <f t="shared" si="725"/>
        <v>0</v>
      </c>
      <c r="AX5203" s="16"/>
    </row>
    <row r="5204" spans="2:50" x14ac:dyDescent="0.2">
      <c r="B5204" s="7"/>
      <c r="C5204" s="8">
        <v>15406</v>
      </c>
      <c r="D5204" s="9" t="s">
        <v>954</v>
      </c>
      <c r="E5204" s="10" t="str">
        <f t="shared" si="720"/>
        <v>Rancho Landero No. 36</v>
      </c>
      <c r="F5204" s="10" t="str">
        <f t="shared" si="721"/>
        <v>Jaime</v>
      </c>
      <c r="G5204" s="8">
        <v>5</v>
      </c>
      <c r="H5204" s="11">
        <v>50</v>
      </c>
      <c r="I5204" s="12">
        <v>43051</v>
      </c>
      <c r="J5204" s="35">
        <f t="shared" si="722"/>
        <v>0</v>
      </c>
      <c r="K5204" s="36"/>
      <c r="L5204" s="36"/>
      <c r="M5204" s="36"/>
      <c r="N5204" s="36"/>
      <c r="O5204" s="36"/>
      <c r="P5204" s="36"/>
      <c r="Q5204" s="36"/>
      <c r="R5204" s="36"/>
      <c r="S5204" s="36"/>
      <c r="T5204" s="36"/>
      <c r="U5204" s="36"/>
      <c r="V5204" s="36"/>
      <c r="W5204" s="15">
        <f t="shared" si="723"/>
        <v>0</v>
      </c>
      <c r="X5204" s="36"/>
      <c r="Y5204" s="36"/>
      <c r="Z5204" s="36"/>
      <c r="AA5204" s="36"/>
      <c r="AB5204" s="36"/>
      <c r="AC5204" s="36"/>
      <c r="AD5204" s="36"/>
      <c r="AE5204" s="36"/>
      <c r="AF5204" s="36"/>
      <c r="AG5204" s="36"/>
      <c r="AH5204" s="36"/>
      <c r="AI5204" s="36"/>
      <c r="AJ5204" s="15">
        <f t="shared" si="724"/>
        <v>0</v>
      </c>
      <c r="AK5204" s="14"/>
      <c r="AL5204" s="14"/>
      <c r="AM5204" s="14"/>
      <c r="AN5204" s="14"/>
      <c r="AO5204" s="14"/>
      <c r="AP5204" s="14"/>
      <c r="AQ5204" s="14"/>
      <c r="AR5204" s="14"/>
      <c r="AS5204" s="14"/>
      <c r="AT5204" s="14"/>
      <c r="AU5204" s="14"/>
      <c r="AV5204" s="14"/>
      <c r="AW5204" s="15">
        <f t="shared" si="725"/>
        <v>0</v>
      </c>
      <c r="AX5204" s="16"/>
    </row>
    <row r="5205" spans="2:50" x14ac:dyDescent="0.2">
      <c r="B5205" s="7"/>
      <c r="C5205" s="8">
        <v>15407</v>
      </c>
      <c r="D5205" s="9" t="s">
        <v>852</v>
      </c>
      <c r="E5205" s="10" t="str">
        <f t="shared" ref="E5205:E5210" si="726">IF(D5205=0,"",VLOOKUP(D5205,BASE,2,FALSE))</f>
        <v>Rancho La Cuchilla No. 97</v>
      </c>
      <c r="F5205" s="10" t="str">
        <f t="shared" ref="F5205:F5210" si="727">IF(D5205=0,"",VLOOKUP(D5205,BASE,3,FALSE))</f>
        <v>López Ruiz</v>
      </c>
      <c r="G5205" s="8">
        <v>1</v>
      </c>
      <c r="H5205" s="11">
        <v>600</v>
      </c>
      <c r="I5205" s="12">
        <v>43051</v>
      </c>
      <c r="J5205" s="35">
        <f t="shared" ref="J5205:J5210" si="728">IF(G5205=1,SUM(W5205,AJ5205,AW5205,-H5205),0)</f>
        <v>0</v>
      </c>
      <c r="K5205" s="36"/>
      <c r="L5205" s="36"/>
      <c r="M5205" s="36"/>
      <c r="N5205" s="36"/>
      <c r="O5205" s="36"/>
      <c r="P5205" s="36"/>
      <c r="Q5205" s="36"/>
      <c r="R5205" s="36"/>
      <c r="S5205" s="36"/>
      <c r="T5205" s="36"/>
      <c r="U5205" s="36"/>
      <c r="V5205" s="36"/>
      <c r="W5205" s="15">
        <f t="shared" ref="W5205:W5210" si="729">SUM(K5205:V5205)</f>
        <v>0</v>
      </c>
      <c r="X5205" s="36"/>
      <c r="Y5205" s="36"/>
      <c r="Z5205" s="36"/>
      <c r="AA5205" s="36"/>
      <c r="AB5205" s="36"/>
      <c r="AC5205" s="36"/>
      <c r="AD5205" s="36"/>
      <c r="AE5205" s="36"/>
      <c r="AF5205" s="36">
        <v>300</v>
      </c>
      <c r="AG5205" s="36">
        <v>300</v>
      </c>
      <c r="AH5205" s="36"/>
      <c r="AI5205" s="36"/>
      <c r="AJ5205" s="15">
        <f t="shared" ref="AJ5205:AJ5210" si="730">SUM(X5205:AI5205)</f>
        <v>600</v>
      </c>
      <c r="AK5205" s="14"/>
      <c r="AL5205" s="14"/>
      <c r="AM5205" s="14"/>
      <c r="AN5205" s="14"/>
      <c r="AO5205" s="14"/>
      <c r="AP5205" s="14"/>
      <c r="AQ5205" s="14"/>
      <c r="AR5205" s="14"/>
      <c r="AS5205" s="14"/>
      <c r="AT5205" s="14"/>
      <c r="AU5205" s="14"/>
      <c r="AV5205" s="14"/>
      <c r="AW5205" s="15">
        <f t="shared" ref="AW5205:AW5210" si="731">SUM(AK5205:AV5205)</f>
        <v>0</v>
      </c>
      <c r="AX5205" s="16"/>
    </row>
    <row r="5206" spans="2:50" x14ac:dyDescent="0.2">
      <c r="B5206" s="7"/>
      <c r="C5206" s="8">
        <v>15408</v>
      </c>
      <c r="D5206" s="9" t="s">
        <v>1067</v>
      </c>
      <c r="E5206" s="10" t="str">
        <f t="shared" si="726"/>
        <v>Rancho Upácuaro No. 49</v>
      </c>
      <c r="F5206" s="10" t="str">
        <f t="shared" si="727"/>
        <v>Sánchez Romano</v>
      </c>
      <c r="G5206" s="8">
        <v>1</v>
      </c>
      <c r="H5206" s="11">
        <v>200</v>
      </c>
      <c r="I5206" s="12">
        <v>43051</v>
      </c>
      <c r="J5206" s="35">
        <f t="shared" si="728"/>
        <v>0</v>
      </c>
      <c r="K5206" s="36"/>
      <c r="L5206" s="36"/>
      <c r="M5206" s="36"/>
      <c r="N5206" s="36"/>
      <c r="O5206" s="36"/>
      <c r="P5206" s="36"/>
      <c r="Q5206" s="36"/>
      <c r="R5206" s="36"/>
      <c r="S5206" s="36"/>
      <c r="T5206" s="36"/>
      <c r="U5206" s="36"/>
      <c r="V5206" s="36"/>
      <c r="W5206" s="15">
        <f t="shared" si="729"/>
        <v>0</v>
      </c>
      <c r="X5206" s="36">
        <v>200</v>
      </c>
      <c r="Y5206" s="36"/>
      <c r="Z5206" s="36"/>
      <c r="AA5206" s="36"/>
      <c r="AB5206" s="36"/>
      <c r="AC5206" s="36"/>
      <c r="AD5206" s="36"/>
      <c r="AE5206" s="36"/>
      <c r="AF5206" s="36"/>
      <c r="AG5206" s="36"/>
      <c r="AH5206" s="36"/>
      <c r="AI5206" s="36"/>
      <c r="AJ5206" s="15">
        <f t="shared" si="730"/>
        <v>200</v>
      </c>
      <c r="AK5206" s="14"/>
      <c r="AL5206" s="14"/>
      <c r="AM5206" s="14"/>
      <c r="AN5206" s="14"/>
      <c r="AO5206" s="14"/>
      <c r="AP5206" s="14"/>
      <c r="AQ5206" s="14"/>
      <c r="AR5206" s="14"/>
      <c r="AS5206" s="14"/>
      <c r="AT5206" s="14"/>
      <c r="AU5206" s="14"/>
      <c r="AV5206" s="14"/>
      <c r="AW5206" s="15">
        <f t="shared" si="731"/>
        <v>0</v>
      </c>
      <c r="AX5206" s="16"/>
    </row>
    <row r="5207" spans="2:50" x14ac:dyDescent="0.2">
      <c r="B5207" s="7"/>
      <c r="C5207" s="8">
        <v>15409</v>
      </c>
      <c r="D5207" s="9" t="s">
        <v>202</v>
      </c>
      <c r="E5207" s="10" t="str">
        <f t="shared" si="726"/>
        <v>Rancho Estanzuela No. 25</v>
      </c>
      <c r="F5207" s="10" t="str">
        <f t="shared" si="727"/>
        <v>Contreras Figueroa</v>
      </c>
      <c r="G5207" s="8">
        <v>1</v>
      </c>
      <c r="H5207" s="11">
        <v>400</v>
      </c>
      <c r="I5207" s="12">
        <v>43051</v>
      </c>
      <c r="J5207" s="35">
        <f t="shared" si="728"/>
        <v>0</v>
      </c>
      <c r="K5207" s="36"/>
      <c r="L5207" s="36"/>
      <c r="M5207" s="36"/>
      <c r="N5207" s="36"/>
      <c r="O5207" s="36"/>
      <c r="P5207" s="36"/>
      <c r="Q5207" s="36"/>
      <c r="R5207" s="36"/>
      <c r="S5207" s="36"/>
      <c r="T5207" s="36"/>
      <c r="U5207" s="36"/>
      <c r="V5207" s="36"/>
      <c r="W5207" s="15">
        <f t="shared" si="729"/>
        <v>0</v>
      </c>
      <c r="X5207" s="36"/>
      <c r="Y5207" s="36"/>
      <c r="Z5207" s="36"/>
      <c r="AA5207" s="36"/>
      <c r="AB5207" s="36"/>
      <c r="AC5207" s="36"/>
      <c r="AD5207" s="36"/>
      <c r="AE5207" s="36"/>
      <c r="AF5207" s="36"/>
      <c r="AG5207" s="36"/>
      <c r="AH5207" s="36">
        <v>400</v>
      </c>
      <c r="AI5207" s="36"/>
      <c r="AJ5207" s="15">
        <f t="shared" si="730"/>
        <v>400</v>
      </c>
      <c r="AK5207" s="14"/>
      <c r="AL5207" s="14"/>
      <c r="AM5207" s="14"/>
      <c r="AN5207" s="14"/>
      <c r="AO5207" s="14"/>
      <c r="AP5207" s="14"/>
      <c r="AQ5207" s="14"/>
      <c r="AR5207" s="14"/>
      <c r="AS5207" s="14"/>
      <c r="AT5207" s="14"/>
      <c r="AU5207" s="14"/>
      <c r="AV5207" s="14"/>
      <c r="AW5207" s="15">
        <f t="shared" si="731"/>
        <v>0</v>
      </c>
      <c r="AX5207" s="16"/>
    </row>
    <row r="5208" spans="2:50" x14ac:dyDescent="0.2">
      <c r="B5208" s="7"/>
      <c r="C5208" s="8">
        <v>15410</v>
      </c>
      <c r="D5208" s="9" t="s">
        <v>1206</v>
      </c>
      <c r="E5208" s="10" t="str">
        <f t="shared" si="726"/>
        <v>Rancho Landero No. 2,1</v>
      </c>
      <c r="F5208" s="10" t="str">
        <f t="shared" si="727"/>
        <v>Zamora Vera</v>
      </c>
      <c r="G5208" s="8">
        <v>1</v>
      </c>
      <c r="H5208" s="11">
        <v>750</v>
      </c>
      <c r="I5208" s="12">
        <v>43051</v>
      </c>
      <c r="J5208" s="35">
        <f t="shared" si="728"/>
        <v>0</v>
      </c>
      <c r="K5208" s="36"/>
      <c r="L5208" s="36"/>
      <c r="M5208" s="36"/>
      <c r="N5208" s="36"/>
      <c r="O5208" s="36"/>
      <c r="P5208" s="36"/>
      <c r="Q5208" s="36"/>
      <c r="R5208" s="36"/>
      <c r="S5208" s="36"/>
      <c r="T5208" s="36"/>
      <c r="U5208" s="36"/>
      <c r="V5208" s="36"/>
      <c r="W5208" s="15">
        <f t="shared" si="729"/>
        <v>0</v>
      </c>
      <c r="X5208" s="36"/>
      <c r="Y5208" s="36"/>
      <c r="Z5208" s="36"/>
      <c r="AA5208" s="36"/>
      <c r="AB5208" s="36"/>
      <c r="AC5208" s="36"/>
      <c r="AD5208" s="36">
        <v>150</v>
      </c>
      <c r="AE5208" s="36">
        <v>150</v>
      </c>
      <c r="AF5208" s="36">
        <v>150</v>
      </c>
      <c r="AG5208" s="36">
        <v>150</v>
      </c>
      <c r="AH5208" s="36">
        <v>150</v>
      </c>
      <c r="AI5208" s="36"/>
      <c r="AJ5208" s="15">
        <f t="shared" si="730"/>
        <v>750</v>
      </c>
      <c r="AK5208" s="14"/>
      <c r="AL5208" s="14"/>
      <c r="AM5208" s="14"/>
      <c r="AN5208" s="14"/>
      <c r="AO5208" s="14"/>
      <c r="AP5208" s="14"/>
      <c r="AQ5208" s="14"/>
      <c r="AR5208" s="14"/>
      <c r="AS5208" s="14"/>
      <c r="AT5208" s="14"/>
      <c r="AU5208" s="14"/>
      <c r="AV5208" s="14"/>
      <c r="AW5208" s="15">
        <f t="shared" si="731"/>
        <v>0</v>
      </c>
      <c r="AX5208" s="16"/>
    </row>
    <row r="5209" spans="2:50" x14ac:dyDescent="0.2">
      <c r="B5209" s="7"/>
      <c r="C5209" s="8">
        <v>15411</v>
      </c>
      <c r="D5209" s="9" t="s">
        <v>834</v>
      </c>
      <c r="E5209" s="10" t="str">
        <f t="shared" si="726"/>
        <v>Rancho Upácuaro No. 110</v>
      </c>
      <c r="F5209" s="10" t="str">
        <f t="shared" si="727"/>
        <v>Ruiz Mijangos</v>
      </c>
      <c r="G5209" s="8">
        <v>1</v>
      </c>
      <c r="H5209" s="11">
        <v>2100</v>
      </c>
      <c r="I5209" s="12">
        <v>43051</v>
      </c>
      <c r="J5209" s="35">
        <f t="shared" si="728"/>
        <v>0</v>
      </c>
      <c r="K5209" s="36"/>
      <c r="L5209" s="36"/>
      <c r="M5209" s="36"/>
      <c r="N5209" s="36"/>
      <c r="O5209" s="36"/>
      <c r="P5209" s="36"/>
      <c r="Q5209" s="36"/>
      <c r="R5209" s="36"/>
      <c r="S5209" s="36"/>
      <c r="T5209" s="36"/>
      <c r="U5209" s="36"/>
      <c r="V5209" s="36"/>
      <c r="W5209" s="15">
        <f t="shared" si="729"/>
        <v>0</v>
      </c>
      <c r="X5209" s="36"/>
      <c r="Y5209" s="36"/>
      <c r="Z5209" s="36">
        <v>300</v>
      </c>
      <c r="AA5209" s="36">
        <v>300</v>
      </c>
      <c r="AB5209" s="36">
        <v>300</v>
      </c>
      <c r="AC5209" s="36">
        <v>300</v>
      </c>
      <c r="AD5209" s="36">
        <v>300</v>
      </c>
      <c r="AE5209" s="36">
        <v>300</v>
      </c>
      <c r="AF5209" s="36">
        <v>300</v>
      </c>
      <c r="AG5209" s="36"/>
      <c r="AH5209" s="36"/>
      <c r="AI5209" s="36"/>
      <c r="AJ5209" s="15">
        <f t="shared" si="730"/>
        <v>2100</v>
      </c>
      <c r="AK5209" s="14"/>
      <c r="AL5209" s="14"/>
      <c r="AM5209" s="14"/>
      <c r="AN5209" s="14"/>
      <c r="AO5209" s="14"/>
      <c r="AP5209" s="14"/>
      <c r="AQ5209" s="14"/>
      <c r="AR5209" s="14"/>
      <c r="AS5209" s="14"/>
      <c r="AT5209" s="14"/>
      <c r="AU5209" s="14"/>
      <c r="AV5209" s="14"/>
      <c r="AW5209" s="15">
        <f t="shared" si="731"/>
        <v>0</v>
      </c>
      <c r="AX5209" s="316">
        <f>SUM(H5160:H5209)</f>
        <v>25275</v>
      </c>
    </row>
    <row r="5210" spans="2:50" x14ac:dyDescent="0.2">
      <c r="B5210" s="7"/>
      <c r="C5210" s="8">
        <v>15412</v>
      </c>
      <c r="D5210" s="9" t="s">
        <v>346</v>
      </c>
      <c r="E5210" s="10" t="str">
        <f t="shared" si="726"/>
        <v>Rancho Upácuaro No. 108</v>
      </c>
      <c r="F5210" s="10" t="str">
        <f t="shared" si="727"/>
        <v>Mejía</v>
      </c>
      <c r="G5210" s="8">
        <v>1</v>
      </c>
      <c r="H5210" s="315">
        <v>300</v>
      </c>
      <c r="I5210" s="12">
        <v>43052</v>
      </c>
      <c r="J5210" s="35">
        <f t="shared" si="728"/>
        <v>0</v>
      </c>
      <c r="K5210" s="36"/>
      <c r="L5210" s="36"/>
      <c r="M5210" s="36"/>
      <c r="N5210" s="36"/>
      <c r="O5210" s="36"/>
      <c r="P5210" s="36"/>
      <c r="Q5210" s="36"/>
      <c r="R5210" s="36"/>
      <c r="S5210" s="36"/>
      <c r="T5210" s="36"/>
      <c r="U5210" s="36"/>
      <c r="V5210" s="36"/>
      <c r="W5210" s="15">
        <f t="shared" si="729"/>
        <v>0</v>
      </c>
      <c r="X5210" s="36"/>
      <c r="Y5210" s="36"/>
      <c r="Z5210" s="36"/>
      <c r="AA5210" s="36"/>
      <c r="AB5210" s="36"/>
      <c r="AC5210" s="36"/>
      <c r="AD5210" s="36"/>
      <c r="AE5210" s="36"/>
      <c r="AF5210" s="36"/>
      <c r="AG5210" s="36">
        <v>300</v>
      </c>
      <c r="AH5210" s="36"/>
      <c r="AI5210" s="36"/>
      <c r="AJ5210" s="15">
        <f t="shared" si="730"/>
        <v>300</v>
      </c>
      <c r="AK5210" s="14"/>
      <c r="AL5210" s="14"/>
      <c r="AM5210" s="14"/>
      <c r="AN5210" s="14"/>
      <c r="AO5210" s="14"/>
      <c r="AP5210" s="14"/>
      <c r="AQ5210" s="14"/>
      <c r="AR5210" s="14"/>
      <c r="AS5210" s="14"/>
      <c r="AT5210" s="14"/>
      <c r="AU5210" s="14"/>
      <c r="AV5210" s="14"/>
      <c r="AW5210" s="15">
        <f t="shared" si="731"/>
        <v>0</v>
      </c>
      <c r="AX5210" s="16"/>
    </row>
    <row r="5211" spans="2:50" x14ac:dyDescent="0.2">
      <c r="B5211" s="7"/>
      <c r="C5211" s="8">
        <v>15413</v>
      </c>
      <c r="D5211" s="9" t="s">
        <v>494</v>
      </c>
      <c r="E5211" s="10" t="str">
        <f t="shared" ref="E5211:E5240" si="732">IF(D5211=0,"",VLOOKUP(D5211,BASE,2,FALSE))</f>
        <v>Rancho Landero No. 2, B</v>
      </c>
      <c r="F5211" s="10" t="str">
        <f t="shared" ref="F5211:F5240" si="733">IF(D5211=0,"",VLOOKUP(D5211,BASE,3,FALSE))</f>
        <v>Pack Mail</v>
      </c>
      <c r="G5211" s="8">
        <v>1</v>
      </c>
      <c r="H5211" s="11">
        <v>450</v>
      </c>
      <c r="I5211" s="12">
        <v>43053</v>
      </c>
      <c r="J5211" s="35">
        <f t="shared" ref="J5211:J5240" si="734">IF(G5211=1,SUM(W5211,AJ5211,AW5211,-H5211),0)</f>
        <v>0</v>
      </c>
      <c r="K5211" s="36"/>
      <c r="L5211" s="36"/>
      <c r="M5211" s="36"/>
      <c r="N5211" s="36"/>
      <c r="O5211" s="36"/>
      <c r="P5211" s="36"/>
      <c r="Q5211" s="36"/>
      <c r="R5211" s="36"/>
      <c r="S5211" s="36"/>
      <c r="T5211" s="36"/>
      <c r="U5211" s="36"/>
      <c r="V5211" s="36"/>
      <c r="W5211" s="15">
        <f t="shared" ref="W5211:W5240" si="735">SUM(K5211:V5211)</f>
        <v>0</v>
      </c>
      <c r="X5211" s="36"/>
      <c r="Y5211" s="36"/>
      <c r="Z5211" s="36"/>
      <c r="AA5211" s="36"/>
      <c r="AB5211" s="36"/>
      <c r="AC5211" s="36"/>
      <c r="AD5211" s="36"/>
      <c r="AE5211" s="36"/>
      <c r="AF5211" s="36">
        <v>150</v>
      </c>
      <c r="AG5211" s="36">
        <v>150</v>
      </c>
      <c r="AH5211" s="36">
        <v>150</v>
      </c>
      <c r="AI5211" s="36"/>
      <c r="AJ5211" s="15">
        <f t="shared" ref="AJ5211:AJ5240" si="736">SUM(X5211:AI5211)</f>
        <v>450</v>
      </c>
      <c r="AK5211" s="14"/>
      <c r="AL5211" s="14"/>
      <c r="AM5211" s="14"/>
      <c r="AN5211" s="14"/>
      <c r="AO5211" s="14"/>
      <c r="AP5211" s="14"/>
      <c r="AQ5211" s="14"/>
      <c r="AR5211" s="14"/>
      <c r="AS5211" s="14"/>
      <c r="AT5211" s="14"/>
      <c r="AU5211" s="14"/>
      <c r="AV5211" s="14"/>
      <c r="AW5211" s="15">
        <f t="shared" ref="AW5211:AW5240" si="737">SUM(AK5211:AV5211)</f>
        <v>0</v>
      </c>
      <c r="AX5211" s="16"/>
    </row>
    <row r="5212" spans="2:50" x14ac:dyDescent="0.2">
      <c r="B5212" s="7"/>
      <c r="C5212" s="8">
        <v>15414</v>
      </c>
      <c r="D5212" s="9" t="s">
        <v>547</v>
      </c>
      <c r="E5212" s="10" t="str">
        <f t="shared" si="732"/>
        <v>Rancho Zinamba No. 72</v>
      </c>
      <c r="F5212" s="10" t="str">
        <f t="shared" si="733"/>
        <v>Romo de Vivar</v>
      </c>
      <c r="G5212" s="8">
        <v>1</v>
      </c>
      <c r="H5212" s="11">
        <v>400</v>
      </c>
      <c r="I5212" s="12">
        <v>43058</v>
      </c>
      <c r="J5212" s="35">
        <f t="shared" si="734"/>
        <v>0</v>
      </c>
      <c r="K5212" s="36"/>
      <c r="L5212" s="36"/>
      <c r="M5212" s="36"/>
      <c r="N5212" s="36"/>
      <c r="O5212" s="36"/>
      <c r="P5212" s="36"/>
      <c r="Q5212" s="36"/>
      <c r="R5212" s="36"/>
      <c r="S5212" s="36"/>
      <c r="T5212" s="36"/>
      <c r="U5212" s="36"/>
      <c r="V5212" s="36"/>
      <c r="W5212" s="15">
        <f t="shared" si="735"/>
        <v>0</v>
      </c>
      <c r="X5212" s="36"/>
      <c r="Y5212" s="36"/>
      <c r="Z5212" s="36"/>
      <c r="AA5212" s="36"/>
      <c r="AB5212" s="36"/>
      <c r="AC5212" s="36"/>
      <c r="AD5212" s="36"/>
      <c r="AE5212" s="36"/>
      <c r="AF5212" s="36">
        <v>200</v>
      </c>
      <c r="AG5212" s="36">
        <v>200</v>
      </c>
      <c r="AH5212" s="36"/>
      <c r="AI5212" s="36"/>
      <c r="AJ5212" s="15">
        <f t="shared" si="736"/>
        <v>400</v>
      </c>
      <c r="AK5212" s="14"/>
      <c r="AL5212" s="14"/>
      <c r="AM5212" s="14"/>
      <c r="AN5212" s="14"/>
      <c r="AO5212" s="14"/>
      <c r="AP5212" s="14"/>
      <c r="AQ5212" s="14"/>
      <c r="AR5212" s="14"/>
      <c r="AS5212" s="14"/>
      <c r="AT5212" s="14"/>
      <c r="AU5212" s="14"/>
      <c r="AV5212" s="14"/>
      <c r="AW5212" s="15">
        <f t="shared" si="737"/>
        <v>0</v>
      </c>
      <c r="AX5212" s="16"/>
    </row>
    <row r="5213" spans="2:50" x14ac:dyDescent="0.2">
      <c r="B5213" s="7"/>
      <c r="C5213" s="8">
        <v>15414</v>
      </c>
      <c r="D5213" s="9" t="s">
        <v>547</v>
      </c>
      <c r="E5213" s="10" t="str">
        <f t="shared" si="732"/>
        <v>Rancho Zinamba No. 72</v>
      </c>
      <c r="F5213" s="10" t="str">
        <f t="shared" si="733"/>
        <v>Romo de Vivar</v>
      </c>
      <c r="G5213" s="8">
        <v>3</v>
      </c>
      <c r="H5213" s="11">
        <v>200</v>
      </c>
      <c r="I5213" s="12">
        <v>43058</v>
      </c>
      <c r="J5213" s="35">
        <f t="shared" si="734"/>
        <v>0</v>
      </c>
      <c r="K5213" s="36"/>
      <c r="L5213" s="36"/>
      <c r="M5213" s="36"/>
      <c r="N5213" s="36"/>
      <c r="O5213" s="36"/>
      <c r="P5213" s="36"/>
      <c r="Q5213" s="36"/>
      <c r="R5213" s="36"/>
      <c r="S5213" s="36"/>
      <c r="T5213" s="36"/>
      <c r="U5213" s="36"/>
      <c r="V5213" s="36"/>
      <c r="W5213" s="15">
        <f t="shared" si="735"/>
        <v>0</v>
      </c>
      <c r="X5213" s="36"/>
      <c r="Y5213" s="36"/>
      <c r="Z5213" s="36"/>
      <c r="AA5213" s="36"/>
      <c r="AB5213" s="36"/>
      <c r="AC5213" s="36"/>
      <c r="AD5213" s="36"/>
      <c r="AE5213" s="36"/>
      <c r="AF5213" s="36"/>
      <c r="AG5213" s="36"/>
      <c r="AH5213" s="36"/>
      <c r="AI5213" s="36"/>
      <c r="AJ5213" s="15">
        <f t="shared" si="736"/>
        <v>0</v>
      </c>
      <c r="AK5213" s="14"/>
      <c r="AL5213" s="14"/>
      <c r="AM5213" s="14"/>
      <c r="AN5213" s="14"/>
      <c r="AO5213" s="14"/>
      <c r="AP5213" s="14"/>
      <c r="AQ5213" s="14"/>
      <c r="AR5213" s="14"/>
      <c r="AS5213" s="14"/>
      <c r="AT5213" s="14"/>
      <c r="AU5213" s="14"/>
      <c r="AV5213" s="14"/>
      <c r="AW5213" s="15">
        <f t="shared" si="737"/>
        <v>0</v>
      </c>
      <c r="AX5213" s="16"/>
    </row>
    <row r="5214" spans="2:50" x14ac:dyDescent="0.2">
      <c r="B5214" s="7"/>
      <c r="C5214" s="8">
        <v>15415</v>
      </c>
      <c r="D5214" s="9" t="s">
        <v>725</v>
      </c>
      <c r="E5214" s="10" t="str">
        <f t="shared" si="732"/>
        <v>Rancho Zinamba No. 34</v>
      </c>
      <c r="F5214" s="10" t="str">
        <f t="shared" si="733"/>
        <v>Torres Zavala</v>
      </c>
      <c r="G5214" s="8">
        <v>1</v>
      </c>
      <c r="H5214" s="11">
        <v>400</v>
      </c>
      <c r="I5214" s="12">
        <v>43058</v>
      </c>
      <c r="J5214" s="35">
        <f t="shared" si="734"/>
        <v>0</v>
      </c>
      <c r="K5214" s="36"/>
      <c r="L5214" s="36"/>
      <c r="M5214" s="36"/>
      <c r="N5214" s="36"/>
      <c r="O5214" s="36"/>
      <c r="P5214" s="36"/>
      <c r="Q5214" s="36"/>
      <c r="R5214" s="36"/>
      <c r="S5214" s="36"/>
      <c r="T5214" s="36"/>
      <c r="U5214" s="36"/>
      <c r="V5214" s="36"/>
      <c r="W5214" s="15">
        <f t="shared" si="735"/>
        <v>0</v>
      </c>
      <c r="X5214" s="36"/>
      <c r="Y5214" s="36"/>
      <c r="Z5214" s="36"/>
      <c r="AA5214" s="36"/>
      <c r="AB5214" s="36"/>
      <c r="AC5214" s="36"/>
      <c r="AD5214" s="36"/>
      <c r="AE5214" s="36"/>
      <c r="AF5214" s="36">
        <v>400</v>
      </c>
      <c r="AG5214" s="36"/>
      <c r="AH5214" s="36"/>
      <c r="AI5214" s="36"/>
      <c r="AJ5214" s="15">
        <f t="shared" si="736"/>
        <v>400</v>
      </c>
      <c r="AK5214" s="14"/>
      <c r="AL5214" s="14"/>
      <c r="AM5214" s="14"/>
      <c r="AN5214" s="14"/>
      <c r="AO5214" s="14"/>
      <c r="AP5214" s="14"/>
      <c r="AQ5214" s="14"/>
      <c r="AR5214" s="14"/>
      <c r="AS5214" s="14"/>
      <c r="AT5214" s="14"/>
      <c r="AU5214" s="14"/>
      <c r="AV5214" s="14"/>
      <c r="AW5214" s="15">
        <f t="shared" si="737"/>
        <v>0</v>
      </c>
      <c r="AX5214" s="16"/>
    </row>
    <row r="5215" spans="2:50" x14ac:dyDescent="0.2">
      <c r="B5215" s="7"/>
      <c r="C5215" s="8">
        <v>15416</v>
      </c>
      <c r="D5215" s="9" t="s">
        <v>259</v>
      </c>
      <c r="E5215" s="10" t="str">
        <f t="shared" si="732"/>
        <v>Rancho Estanzuela No. 55</v>
      </c>
      <c r="F5215" s="10" t="str">
        <f t="shared" si="733"/>
        <v>Rodríguez Acevedo</v>
      </c>
      <c r="G5215" s="8">
        <v>1</v>
      </c>
      <c r="H5215" s="11">
        <v>400</v>
      </c>
      <c r="I5215" s="12">
        <v>43058</v>
      </c>
      <c r="J5215" s="35">
        <f t="shared" si="734"/>
        <v>0</v>
      </c>
      <c r="K5215" s="36"/>
      <c r="L5215" s="36"/>
      <c r="M5215" s="36"/>
      <c r="N5215" s="36"/>
      <c r="O5215" s="36"/>
      <c r="P5215" s="36"/>
      <c r="Q5215" s="36"/>
      <c r="R5215" s="36"/>
      <c r="S5215" s="36"/>
      <c r="T5215" s="36"/>
      <c r="U5215" s="36"/>
      <c r="V5215" s="36"/>
      <c r="W5215" s="15">
        <f t="shared" si="735"/>
        <v>0</v>
      </c>
      <c r="X5215" s="36"/>
      <c r="Y5215" s="36"/>
      <c r="Z5215" s="36"/>
      <c r="AA5215" s="36"/>
      <c r="AB5215" s="36"/>
      <c r="AC5215" s="36"/>
      <c r="AD5215" s="36"/>
      <c r="AE5215" s="36"/>
      <c r="AF5215" s="36"/>
      <c r="AG5215" s="36"/>
      <c r="AH5215" s="36">
        <v>400</v>
      </c>
      <c r="AI5215" s="36"/>
      <c r="AJ5215" s="15">
        <f t="shared" si="736"/>
        <v>400</v>
      </c>
      <c r="AK5215" s="14"/>
      <c r="AL5215" s="14"/>
      <c r="AM5215" s="14"/>
      <c r="AN5215" s="14"/>
      <c r="AO5215" s="14"/>
      <c r="AP5215" s="14"/>
      <c r="AQ5215" s="14"/>
      <c r="AR5215" s="14"/>
      <c r="AS5215" s="14"/>
      <c r="AT5215" s="14"/>
      <c r="AU5215" s="14"/>
      <c r="AV5215" s="14"/>
      <c r="AW5215" s="15">
        <f t="shared" si="737"/>
        <v>0</v>
      </c>
      <c r="AX5215" s="16"/>
    </row>
    <row r="5216" spans="2:50" x14ac:dyDescent="0.2">
      <c r="B5216" s="7"/>
      <c r="C5216" s="8">
        <v>15417</v>
      </c>
      <c r="D5216" s="9" t="s">
        <v>434</v>
      </c>
      <c r="E5216" s="10" t="str">
        <f t="shared" si="732"/>
        <v>Rancho La Cuchilla No. 55</v>
      </c>
      <c r="F5216" s="10" t="str">
        <f t="shared" si="733"/>
        <v>López Velázquez</v>
      </c>
      <c r="G5216" s="8">
        <v>1</v>
      </c>
      <c r="H5216" s="11">
        <v>800</v>
      </c>
      <c r="I5216" s="12">
        <v>43058</v>
      </c>
      <c r="J5216" s="35">
        <f t="shared" si="734"/>
        <v>0</v>
      </c>
      <c r="K5216" s="36"/>
      <c r="L5216" s="36"/>
      <c r="M5216" s="36"/>
      <c r="N5216" s="36"/>
      <c r="O5216" s="36"/>
      <c r="P5216" s="36"/>
      <c r="Q5216" s="36"/>
      <c r="R5216" s="36"/>
      <c r="S5216" s="36"/>
      <c r="T5216" s="36"/>
      <c r="U5216" s="36"/>
      <c r="V5216" s="36"/>
      <c r="W5216" s="15">
        <f t="shared" si="735"/>
        <v>0</v>
      </c>
      <c r="X5216" s="36"/>
      <c r="Y5216" s="36"/>
      <c r="Z5216" s="36"/>
      <c r="AA5216" s="36"/>
      <c r="AB5216" s="36"/>
      <c r="AC5216" s="36"/>
      <c r="AD5216" s="36"/>
      <c r="AE5216" s="36"/>
      <c r="AF5216" s="36"/>
      <c r="AG5216" s="36"/>
      <c r="AH5216" s="36">
        <v>400</v>
      </c>
      <c r="AI5216" s="36">
        <v>400</v>
      </c>
      <c r="AJ5216" s="15">
        <f t="shared" si="736"/>
        <v>800</v>
      </c>
      <c r="AK5216" s="14"/>
      <c r="AL5216" s="14"/>
      <c r="AM5216" s="14"/>
      <c r="AN5216" s="14"/>
      <c r="AO5216" s="14"/>
      <c r="AP5216" s="14"/>
      <c r="AQ5216" s="14"/>
      <c r="AR5216" s="14"/>
      <c r="AS5216" s="14"/>
      <c r="AT5216" s="14"/>
      <c r="AU5216" s="14"/>
      <c r="AV5216" s="14"/>
      <c r="AW5216" s="15">
        <f t="shared" si="737"/>
        <v>0</v>
      </c>
      <c r="AX5216" s="16"/>
    </row>
    <row r="5217" spans="2:50" x14ac:dyDescent="0.2">
      <c r="B5217" s="7"/>
      <c r="C5217" s="8">
        <v>15418</v>
      </c>
      <c r="D5217" s="9" t="s">
        <v>343</v>
      </c>
      <c r="E5217" s="10" t="str">
        <f t="shared" si="732"/>
        <v>Rancho Upácuaro No. 88</v>
      </c>
      <c r="F5217" s="10" t="str">
        <f t="shared" si="733"/>
        <v>Millán Núñez</v>
      </c>
      <c r="G5217" s="8">
        <v>1</v>
      </c>
      <c r="H5217" s="11">
        <v>400</v>
      </c>
      <c r="I5217" s="12">
        <v>43058</v>
      </c>
      <c r="J5217" s="35">
        <f t="shared" si="734"/>
        <v>0</v>
      </c>
      <c r="K5217" s="36"/>
      <c r="L5217" s="36"/>
      <c r="M5217" s="36"/>
      <c r="N5217" s="36"/>
      <c r="O5217" s="36"/>
      <c r="P5217" s="36"/>
      <c r="Q5217" s="36"/>
      <c r="R5217" s="36"/>
      <c r="S5217" s="36"/>
      <c r="T5217" s="36"/>
      <c r="U5217" s="36"/>
      <c r="V5217" s="36"/>
      <c r="W5217" s="15">
        <f t="shared" si="735"/>
        <v>0</v>
      </c>
      <c r="X5217" s="36"/>
      <c r="Y5217" s="36"/>
      <c r="Z5217" s="36"/>
      <c r="AA5217" s="36"/>
      <c r="AB5217" s="36"/>
      <c r="AC5217" s="36"/>
      <c r="AD5217" s="36"/>
      <c r="AE5217" s="36"/>
      <c r="AF5217" s="36"/>
      <c r="AG5217" s="36"/>
      <c r="AH5217" s="36">
        <v>400</v>
      </c>
      <c r="AI5217" s="36"/>
      <c r="AJ5217" s="15">
        <f t="shared" si="736"/>
        <v>400</v>
      </c>
      <c r="AK5217" s="14"/>
      <c r="AL5217" s="14"/>
      <c r="AM5217" s="14"/>
      <c r="AN5217" s="14"/>
      <c r="AO5217" s="14"/>
      <c r="AP5217" s="14"/>
      <c r="AQ5217" s="14"/>
      <c r="AR5217" s="14"/>
      <c r="AS5217" s="14"/>
      <c r="AT5217" s="14"/>
      <c r="AU5217" s="14"/>
      <c r="AV5217" s="14"/>
      <c r="AW5217" s="15">
        <f t="shared" si="737"/>
        <v>0</v>
      </c>
      <c r="AX5217" s="16"/>
    </row>
    <row r="5218" spans="2:50" x14ac:dyDescent="0.2">
      <c r="B5218" s="7"/>
      <c r="C5218" s="8">
        <v>15419</v>
      </c>
      <c r="D5218" s="9" t="s">
        <v>583</v>
      </c>
      <c r="E5218" s="10" t="str">
        <f t="shared" si="732"/>
        <v>Rancho La Cuchilla No. 111</v>
      </c>
      <c r="F5218" s="10" t="str">
        <f t="shared" si="733"/>
        <v>García Santos Ofelia</v>
      </c>
      <c r="G5218" s="8">
        <v>1</v>
      </c>
      <c r="H5218" s="11">
        <v>200</v>
      </c>
      <c r="I5218" s="12">
        <v>43058</v>
      </c>
      <c r="J5218" s="35">
        <f t="shared" si="734"/>
        <v>0</v>
      </c>
      <c r="K5218" s="36"/>
      <c r="L5218" s="36"/>
      <c r="M5218" s="36"/>
      <c r="N5218" s="36"/>
      <c r="O5218" s="36"/>
      <c r="P5218" s="36"/>
      <c r="Q5218" s="36"/>
      <c r="R5218" s="36"/>
      <c r="S5218" s="36"/>
      <c r="T5218" s="36"/>
      <c r="U5218" s="36"/>
      <c r="V5218" s="36"/>
      <c r="W5218" s="15">
        <f t="shared" si="735"/>
        <v>0</v>
      </c>
      <c r="X5218" s="36"/>
      <c r="Y5218" s="36"/>
      <c r="Z5218" s="36"/>
      <c r="AA5218" s="36"/>
      <c r="AB5218" s="36"/>
      <c r="AC5218" s="36"/>
      <c r="AD5218" s="36"/>
      <c r="AE5218" s="36"/>
      <c r="AF5218" s="36"/>
      <c r="AG5218" s="36"/>
      <c r="AH5218" s="36">
        <v>200</v>
      </c>
      <c r="AI5218" s="36"/>
      <c r="AJ5218" s="15">
        <f t="shared" si="736"/>
        <v>200</v>
      </c>
      <c r="AK5218" s="14"/>
      <c r="AL5218" s="14"/>
      <c r="AM5218" s="14"/>
      <c r="AN5218" s="14"/>
      <c r="AO5218" s="14"/>
      <c r="AP5218" s="14"/>
      <c r="AQ5218" s="14"/>
      <c r="AR5218" s="14"/>
      <c r="AS5218" s="14"/>
      <c r="AT5218" s="14"/>
      <c r="AU5218" s="14"/>
      <c r="AV5218" s="14"/>
      <c r="AW5218" s="15">
        <f t="shared" si="737"/>
        <v>0</v>
      </c>
      <c r="AX5218" s="16"/>
    </row>
    <row r="5219" spans="2:50" x14ac:dyDescent="0.2">
      <c r="B5219" s="7"/>
      <c r="C5219" s="8">
        <v>15420</v>
      </c>
      <c r="D5219" s="9" t="s">
        <v>874</v>
      </c>
      <c r="E5219" s="10" t="str">
        <f t="shared" si="732"/>
        <v>Rancho Zinamba No. 46</v>
      </c>
      <c r="F5219" s="10" t="str">
        <f t="shared" si="733"/>
        <v>Olguín</v>
      </c>
      <c r="G5219" s="8">
        <v>1</v>
      </c>
      <c r="H5219" s="11">
        <v>200</v>
      </c>
      <c r="I5219" s="12">
        <v>43058</v>
      </c>
      <c r="J5219" s="35">
        <f t="shared" si="734"/>
        <v>0</v>
      </c>
      <c r="K5219" s="36"/>
      <c r="L5219" s="36"/>
      <c r="M5219" s="36"/>
      <c r="N5219" s="36"/>
      <c r="O5219" s="36"/>
      <c r="P5219" s="36"/>
      <c r="Q5219" s="36"/>
      <c r="R5219" s="36"/>
      <c r="S5219" s="36"/>
      <c r="T5219" s="36"/>
      <c r="U5219" s="36"/>
      <c r="V5219" s="36"/>
      <c r="W5219" s="15">
        <f t="shared" si="735"/>
        <v>0</v>
      </c>
      <c r="X5219" s="36"/>
      <c r="Y5219" s="36"/>
      <c r="Z5219" s="36"/>
      <c r="AA5219" s="36"/>
      <c r="AB5219" s="36"/>
      <c r="AC5219" s="36"/>
      <c r="AD5219" s="36"/>
      <c r="AE5219" s="36"/>
      <c r="AF5219" s="36"/>
      <c r="AG5219" s="36"/>
      <c r="AH5219" s="36">
        <v>200</v>
      </c>
      <c r="AI5219" s="36"/>
      <c r="AJ5219" s="15">
        <f t="shared" si="736"/>
        <v>200</v>
      </c>
      <c r="AK5219" s="14"/>
      <c r="AL5219" s="14"/>
      <c r="AM5219" s="14"/>
      <c r="AN5219" s="14"/>
      <c r="AO5219" s="14"/>
      <c r="AP5219" s="14"/>
      <c r="AQ5219" s="14"/>
      <c r="AR5219" s="14"/>
      <c r="AS5219" s="14"/>
      <c r="AT5219" s="14"/>
      <c r="AU5219" s="14"/>
      <c r="AV5219" s="14"/>
      <c r="AW5219" s="15">
        <f t="shared" si="737"/>
        <v>0</v>
      </c>
      <c r="AX5219" s="16"/>
    </row>
    <row r="5220" spans="2:50" x14ac:dyDescent="0.2">
      <c r="B5220" s="7"/>
      <c r="C5220" s="8">
        <v>15421</v>
      </c>
      <c r="D5220" s="9" t="s">
        <v>954</v>
      </c>
      <c r="E5220" s="10" t="str">
        <f t="shared" si="732"/>
        <v>Rancho Landero No. 36</v>
      </c>
      <c r="F5220" s="10" t="str">
        <f t="shared" si="733"/>
        <v>Jaime</v>
      </c>
      <c r="G5220" s="8">
        <v>4</v>
      </c>
      <c r="H5220" s="11">
        <v>200</v>
      </c>
      <c r="I5220" s="12">
        <v>43058</v>
      </c>
      <c r="J5220" s="35">
        <f t="shared" si="734"/>
        <v>0</v>
      </c>
      <c r="K5220" s="36"/>
      <c r="L5220" s="36"/>
      <c r="M5220" s="36"/>
      <c r="N5220" s="36"/>
      <c r="O5220" s="36"/>
      <c r="P5220" s="36"/>
      <c r="Q5220" s="36"/>
      <c r="R5220" s="36"/>
      <c r="S5220" s="36"/>
      <c r="T5220" s="36"/>
      <c r="U5220" s="36"/>
      <c r="V5220" s="36"/>
      <c r="W5220" s="15">
        <f t="shared" si="735"/>
        <v>0</v>
      </c>
      <c r="X5220" s="36"/>
      <c r="Y5220" s="36"/>
      <c r="Z5220" s="36"/>
      <c r="AA5220" s="36"/>
      <c r="AB5220" s="36"/>
      <c r="AC5220" s="36"/>
      <c r="AD5220" s="36"/>
      <c r="AE5220" s="36"/>
      <c r="AF5220" s="36"/>
      <c r="AG5220" s="36"/>
      <c r="AH5220" s="36"/>
      <c r="AI5220" s="36"/>
      <c r="AJ5220" s="15">
        <f t="shared" si="736"/>
        <v>0</v>
      </c>
      <c r="AK5220" s="14"/>
      <c r="AL5220" s="14"/>
      <c r="AM5220" s="14"/>
      <c r="AN5220" s="14"/>
      <c r="AO5220" s="14"/>
      <c r="AP5220" s="14"/>
      <c r="AQ5220" s="14"/>
      <c r="AR5220" s="14"/>
      <c r="AS5220" s="14"/>
      <c r="AT5220" s="14"/>
      <c r="AU5220" s="14"/>
      <c r="AV5220" s="14"/>
      <c r="AW5220" s="15">
        <f t="shared" si="737"/>
        <v>0</v>
      </c>
      <c r="AX5220" s="16" t="s">
        <v>4668</v>
      </c>
    </row>
    <row r="5221" spans="2:50" x14ac:dyDescent="0.2">
      <c r="B5221" s="7"/>
      <c r="C5221" s="8">
        <v>15422</v>
      </c>
      <c r="D5221" s="9" t="s">
        <v>954</v>
      </c>
      <c r="E5221" s="10" t="str">
        <f t="shared" si="732"/>
        <v>Rancho Landero No. 36</v>
      </c>
      <c r="F5221" s="10" t="str">
        <f t="shared" si="733"/>
        <v>Jaime</v>
      </c>
      <c r="G5221" s="8">
        <v>5</v>
      </c>
      <c r="H5221" s="11">
        <v>50</v>
      </c>
      <c r="I5221" s="12">
        <v>43058</v>
      </c>
      <c r="J5221" s="35">
        <f t="shared" si="734"/>
        <v>0</v>
      </c>
      <c r="K5221" s="36"/>
      <c r="L5221" s="36"/>
      <c r="M5221" s="36"/>
      <c r="N5221" s="36"/>
      <c r="O5221" s="36"/>
      <c r="P5221" s="36"/>
      <c r="Q5221" s="36"/>
      <c r="R5221" s="36"/>
      <c r="S5221" s="36"/>
      <c r="T5221" s="36"/>
      <c r="U5221" s="36"/>
      <c r="V5221" s="36"/>
      <c r="W5221" s="15">
        <f t="shared" si="735"/>
        <v>0</v>
      </c>
      <c r="X5221" s="36"/>
      <c r="Y5221" s="36"/>
      <c r="Z5221" s="36"/>
      <c r="AA5221" s="36"/>
      <c r="AB5221" s="36"/>
      <c r="AC5221" s="36"/>
      <c r="AD5221" s="36"/>
      <c r="AE5221" s="36"/>
      <c r="AF5221" s="36"/>
      <c r="AG5221" s="36"/>
      <c r="AH5221" s="36"/>
      <c r="AI5221" s="36"/>
      <c r="AJ5221" s="15">
        <f t="shared" si="736"/>
        <v>0</v>
      </c>
      <c r="AK5221" s="14"/>
      <c r="AL5221" s="14"/>
      <c r="AM5221" s="14"/>
      <c r="AN5221" s="14"/>
      <c r="AO5221" s="14"/>
      <c r="AP5221" s="14"/>
      <c r="AQ5221" s="14"/>
      <c r="AR5221" s="14"/>
      <c r="AS5221" s="14"/>
      <c r="AT5221" s="14"/>
      <c r="AU5221" s="14"/>
      <c r="AV5221" s="14"/>
      <c r="AW5221" s="15">
        <f t="shared" si="737"/>
        <v>0</v>
      </c>
      <c r="AX5221" s="16"/>
    </row>
    <row r="5222" spans="2:50" x14ac:dyDescent="0.2">
      <c r="B5222" s="7"/>
      <c r="C5222" s="8">
        <v>15422</v>
      </c>
      <c r="D5222" s="9" t="s">
        <v>177</v>
      </c>
      <c r="E5222" s="10" t="str">
        <f t="shared" si="732"/>
        <v>Rancho Landero No. 71</v>
      </c>
      <c r="F5222" s="10" t="str">
        <f t="shared" si="733"/>
        <v xml:space="preserve">Luna  </v>
      </c>
      <c r="G5222" s="8">
        <v>1</v>
      </c>
      <c r="H5222" s="11">
        <v>400</v>
      </c>
      <c r="I5222" s="12">
        <v>43058</v>
      </c>
      <c r="J5222" s="35">
        <f t="shared" si="734"/>
        <v>0</v>
      </c>
      <c r="K5222" s="36"/>
      <c r="L5222" s="36"/>
      <c r="M5222" s="36"/>
      <c r="N5222" s="36"/>
      <c r="O5222" s="36"/>
      <c r="P5222" s="36"/>
      <c r="Q5222" s="36"/>
      <c r="R5222" s="36"/>
      <c r="S5222" s="36"/>
      <c r="T5222" s="36"/>
      <c r="U5222" s="36"/>
      <c r="V5222" s="36"/>
      <c r="W5222" s="15">
        <f t="shared" si="735"/>
        <v>0</v>
      </c>
      <c r="X5222" s="36"/>
      <c r="Y5222" s="36"/>
      <c r="Z5222" s="36"/>
      <c r="AA5222" s="36"/>
      <c r="AB5222" s="36"/>
      <c r="AC5222" s="36"/>
      <c r="AD5222" s="36"/>
      <c r="AE5222" s="36"/>
      <c r="AF5222" s="36"/>
      <c r="AG5222" s="36"/>
      <c r="AH5222" s="36">
        <v>400</v>
      </c>
      <c r="AI5222" s="36"/>
      <c r="AJ5222" s="15">
        <f t="shared" si="736"/>
        <v>400</v>
      </c>
      <c r="AK5222" s="14"/>
      <c r="AL5222" s="14"/>
      <c r="AM5222" s="14"/>
      <c r="AN5222" s="14"/>
      <c r="AO5222" s="14"/>
      <c r="AP5222" s="14"/>
      <c r="AQ5222" s="14"/>
      <c r="AR5222" s="14"/>
      <c r="AS5222" s="14"/>
      <c r="AT5222" s="14"/>
      <c r="AU5222" s="14"/>
      <c r="AV5222" s="14"/>
      <c r="AW5222" s="15">
        <f t="shared" si="737"/>
        <v>0</v>
      </c>
      <c r="AX5222" s="16"/>
    </row>
    <row r="5223" spans="2:50" x14ac:dyDescent="0.2">
      <c r="B5223" s="7"/>
      <c r="C5223" s="8">
        <v>15423</v>
      </c>
      <c r="D5223" s="9" t="s">
        <v>413</v>
      </c>
      <c r="E5223" s="10" t="str">
        <f t="shared" si="732"/>
        <v>Rancho Upácuaro No. 79</v>
      </c>
      <c r="F5223" s="10" t="str">
        <f t="shared" si="733"/>
        <v>Macías</v>
      </c>
      <c r="G5223" s="8">
        <v>1</v>
      </c>
      <c r="H5223" s="11">
        <v>400</v>
      </c>
      <c r="I5223" s="12">
        <v>43058</v>
      </c>
      <c r="J5223" s="35">
        <f t="shared" si="734"/>
        <v>0</v>
      </c>
      <c r="K5223" s="36"/>
      <c r="L5223" s="36"/>
      <c r="M5223" s="36"/>
      <c r="N5223" s="36"/>
      <c r="O5223" s="36"/>
      <c r="P5223" s="36"/>
      <c r="Q5223" s="36"/>
      <c r="R5223" s="36"/>
      <c r="S5223" s="36"/>
      <c r="T5223" s="36"/>
      <c r="U5223" s="36"/>
      <c r="V5223" s="36"/>
      <c r="W5223" s="15">
        <f t="shared" si="735"/>
        <v>0</v>
      </c>
      <c r="X5223" s="36"/>
      <c r="Y5223" s="36"/>
      <c r="Z5223" s="36"/>
      <c r="AA5223" s="36"/>
      <c r="AB5223" s="36"/>
      <c r="AC5223" s="36"/>
      <c r="AD5223" s="36"/>
      <c r="AE5223" s="36"/>
      <c r="AF5223" s="36"/>
      <c r="AG5223" s="36"/>
      <c r="AH5223" s="36">
        <v>400</v>
      </c>
      <c r="AI5223" s="36"/>
      <c r="AJ5223" s="15">
        <f t="shared" si="736"/>
        <v>400</v>
      </c>
      <c r="AK5223" s="14"/>
      <c r="AL5223" s="14"/>
      <c r="AM5223" s="14"/>
      <c r="AN5223" s="14"/>
      <c r="AO5223" s="14"/>
      <c r="AP5223" s="14"/>
      <c r="AQ5223" s="14"/>
      <c r="AR5223" s="14"/>
      <c r="AS5223" s="14"/>
      <c r="AT5223" s="14"/>
      <c r="AU5223" s="14"/>
      <c r="AV5223" s="14"/>
      <c r="AW5223" s="15">
        <f t="shared" si="737"/>
        <v>0</v>
      </c>
      <c r="AX5223" s="16"/>
    </row>
    <row r="5224" spans="2:50" x14ac:dyDescent="0.2">
      <c r="B5224" s="7"/>
      <c r="C5224" s="8">
        <v>15423</v>
      </c>
      <c r="D5224" s="9" t="s">
        <v>413</v>
      </c>
      <c r="E5224" s="10" t="str">
        <f t="shared" si="732"/>
        <v>Rancho Upácuaro No. 79</v>
      </c>
      <c r="F5224" s="10" t="str">
        <f t="shared" si="733"/>
        <v>Macías</v>
      </c>
      <c r="G5224" s="8">
        <v>5</v>
      </c>
      <c r="H5224" s="11">
        <v>100</v>
      </c>
      <c r="I5224" s="12">
        <v>43058</v>
      </c>
      <c r="J5224" s="35">
        <f t="shared" si="734"/>
        <v>0</v>
      </c>
      <c r="K5224" s="36"/>
      <c r="L5224" s="36"/>
      <c r="M5224" s="36"/>
      <c r="N5224" s="36"/>
      <c r="O5224" s="36"/>
      <c r="P5224" s="36"/>
      <c r="Q5224" s="36"/>
      <c r="R5224" s="36"/>
      <c r="S5224" s="36"/>
      <c r="T5224" s="36"/>
      <c r="U5224" s="36"/>
      <c r="V5224" s="36"/>
      <c r="W5224" s="15">
        <f t="shared" si="735"/>
        <v>0</v>
      </c>
      <c r="X5224" s="36"/>
      <c r="Y5224" s="36"/>
      <c r="Z5224" s="36"/>
      <c r="AA5224" s="36"/>
      <c r="AB5224" s="36"/>
      <c r="AC5224" s="36"/>
      <c r="AD5224" s="36"/>
      <c r="AE5224" s="36"/>
      <c r="AF5224" s="36"/>
      <c r="AG5224" s="36"/>
      <c r="AH5224" s="36"/>
      <c r="AI5224" s="36"/>
      <c r="AJ5224" s="15">
        <f t="shared" si="736"/>
        <v>0</v>
      </c>
      <c r="AK5224" s="14"/>
      <c r="AL5224" s="14"/>
      <c r="AM5224" s="14"/>
      <c r="AN5224" s="14"/>
      <c r="AO5224" s="14"/>
      <c r="AP5224" s="14"/>
      <c r="AQ5224" s="14"/>
      <c r="AR5224" s="14"/>
      <c r="AS5224" s="14"/>
      <c r="AT5224" s="14"/>
      <c r="AU5224" s="14"/>
      <c r="AV5224" s="14"/>
      <c r="AW5224" s="15">
        <f t="shared" si="737"/>
        <v>0</v>
      </c>
      <c r="AX5224" s="16"/>
    </row>
    <row r="5225" spans="2:50" x14ac:dyDescent="0.2">
      <c r="B5225" s="7"/>
      <c r="C5225" s="8">
        <v>15424</v>
      </c>
      <c r="D5225" s="9" t="s">
        <v>769</v>
      </c>
      <c r="E5225" s="10" t="str">
        <f t="shared" si="732"/>
        <v>Rancho La Cuchilla No. 66</v>
      </c>
      <c r="F5225" s="10" t="str">
        <f t="shared" si="733"/>
        <v>Prieto</v>
      </c>
      <c r="G5225" s="8">
        <v>1</v>
      </c>
      <c r="H5225" s="11">
        <v>800</v>
      </c>
      <c r="I5225" s="12">
        <v>43058</v>
      </c>
      <c r="J5225" s="35">
        <f t="shared" si="734"/>
        <v>0</v>
      </c>
      <c r="K5225" s="36"/>
      <c r="L5225" s="36"/>
      <c r="M5225" s="36"/>
      <c r="N5225" s="36"/>
      <c r="O5225" s="36"/>
      <c r="P5225" s="36"/>
      <c r="Q5225" s="36"/>
      <c r="R5225" s="36"/>
      <c r="S5225" s="36"/>
      <c r="T5225" s="36"/>
      <c r="U5225" s="36"/>
      <c r="V5225" s="36"/>
      <c r="W5225" s="15">
        <f t="shared" si="735"/>
        <v>0</v>
      </c>
      <c r="X5225" s="36"/>
      <c r="Y5225" s="36"/>
      <c r="Z5225" s="36"/>
      <c r="AA5225" s="36"/>
      <c r="AB5225" s="36"/>
      <c r="AC5225" s="36"/>
      <c r="AD5225" s="36"/>
      <c r="AE5225" s="36"/>
      <c r="AF5225" s="36"/>
      <c r="AG5225" s="36">
        <v>400</v>
      </c>
      <c r="AH5225" s="36">
        <v>400</v>
      </c>
      <c r="AI5225" s="36"/>
      <c r="AJ5225" s="15">
        <f t="shared" si="736"/>
        <v>800</v>
      </c>
      <c r="AK5225" s="14"/>
      <c r="AL5225" s="14"/>
      <c r="AM5225" s="14"/>
      <c r="AN5225" s="14"/>
      <c r="AO5225" s="14"/>
      <c r="AP5225" s="14"/>
      <c r="AQ5225" s="14"/>
      <c r="AR5225" s="14"/>
      <c r="AS5225" s="14"/>
      <c r="AT5225" s="14"/>
      <c r="AU5225" s="14"/>
      <c r="AV5225" s="14"/>
      <c r="AW5225" s="15">
        <f t="shared" si="737"/>
        <v>0</v>
      </c>
      <c r="AX5225" s="16"/>
    </row>
    <row r="5226" spans="2:50" x14ac:dyDescent="0.2">
      <c r="B5226" s="7"/>
      <c r="C5226" s="8">
        <v>15425</v>
      </c>
      <c r="D5226" s="9" t="s">
        <v>879</v>
      </c>
      <c r="E5226" s="10" t="str">
        <f t="shared" si="732"/>
        <v>Rancho Estopila No. 44_5</v>
      </c>
      <c r="F5226" s="10" t="str">
        <f t="shared" si="733"/>
        <v>Maya</v>
      </c>
      <c r="G5226" s="8">
        <v>1</v>
      </c>
      <c r="H5226" s="11">
        <v>2200</v>
      </c>
      <c r="I5226" s="12">
        <v>43058</v>
      </c>
      <c r="J5226" s="35">
        <f t="shared" si="734"/>
        <v>0</v>
      </c>
      <c r="K5226" s="36"/>
      <c r="L5226" s="36"/>
      <c r="M5226" s="36"/>
      <c r="N5226" s="36"/>
      <c r="O5226" s="36"/>
      <c r="P5226" s="36"/>
      <c r="Q5226" s="36"/>
      <c r="R5226" s="36"/>
      <c r="S5226" s="36"/>
      <c r="T5226" s="36"/>
      <c r="U5226" s="36"/>
      <c r="V5226" s="36"/>
      <c r="W5226" s="15">
        <f t="shared" si="735"/>
        <v>0</v>
      </c>
      <c r="X5226" s="36">
        <v>200</v>
      </c>
      <c r="Y5226" s="36">
        <v>200</v>
      </c>
      <c r="Z5226" s="36">
        <v>200</v>
      </c>
      <c r="AA5226" s="36">
        <v>200</v>
      </c>
      <c r="AB5226" s="36">
        <v>200</v>
      </c>
      <c r="AC5226" s="36">
        <v>200</v>
      </c>
      <c r="AD5226" s="36">
        <v>200</v>
      </c>
      <c r="AE5226" s="36">
        <v>200</v>
      </c>
      <c r="AF5226" s="36">
        <v>200</v>
      </c>
      <c r="AG5226" s="36">
        <v>200</v>
      </c>
      <c r="AH5226" s="36">
        <v>200</v>
      </c>
      <c r="AI5226" s="36"/>
      <c r="AJ5226" s="15">
        <f t="shared" si="736"/>
        <v>2200</v>
      </c>
      <c r="AK5226" s="14"/>
      <c r="AL5226" s="14"/>
      <c r="AM5226" s="14"/>
      <c r="AN5226" s="14"/>
      <c r="AO5226" s="14"/>
      <c r="AP5226" s="14"/>
      <c r="AQ5226" s="14"/>
      <c r="AR5226" s="14"/>
      <c r="AS5226" s="14"/>
      <c r="AT5226" s="14"/>
      <c r="AU5226" s="14"/>
      <c r="AV5226" s="14"/>
      <c r="AW5226" s="15">
        <f t="shared" si="737"/>
        <v>0</v>
      </c>
      <c r="AX5226" s="16"/>
    </row>
    <row r="5227" spans="2:50" x14ac:dyDescent="0.2">
      <c r="B5227" s="7"/>
      <c r="C5227" s="8">
        <v>15426</v>
      </c>
      <c r="D5227" s="9" t="s">
        <v>473</v>
      </c>
      <c r="E5227" s="10" t="str">
        <f t="shared" ref="E5227:E5234" si="738">IF(D5227=0,"",VLOOKUP(D5227,BASE,2,FALSE))</f>
        <v>Rancho Zinamba No. 14</v>
      </c>
      <c r="F5227" s="10" t="str">
        <f t="shared" ref="F5227:F5234" si="739">IF(D5227=0,"",VLOOKUP(D5227,BASE,3,FALSE))</f>
        <v>Gutiérrez García</v>
      </c>
      <c r="G5227" s="8">
        <v>1</v>
      </c>
      <c r="H5227" s="11">
        <v>400</v>
      </c>
      <c r="I5227" s="12">
        <v>43058</v>
      </c>
      <c r="J5227" s="35">
        <f t="shared" ref="J5227:J5234" si="740">IF(G5227=1,SUM(W5227,AJ5227,AW5227,-H5227),0)</f>
        <v>0</v>
      </c>
      <c r="K5227" s="36"/>
      <c r="L5227" s="36"/>
      <c r="M5227" s="36"/>
      <c r="N5227" s="36"/>
      <c r="O5227" s="36"/>
      <c r="P5227" s="36"/>
      <c r="Q5227" s="36"/>
      <c r="R5227" s="36"/>
      <c r="S5227" s="36"/>
      <c r="T5227" s="36"/>
      <c r="U5227" s="36"/>
      <c r="V5227" s="36"/>
      <c r="W5227" s="15">
        <f t="shared" ref="W5227:W5234" si="741">SUM(K5227:V5227)</f>
        <v>0</v>
      </c>
      <c r="X5227" s="36"/>
      <c r="Y5227" s="36"/>
      <c r="Z5227" s="36"/>
      <c r="AA5227" s="36"/>
      <c r="AB5227" s="36"/>
      <c r="AC5227" s="36"/>
      <c r="AD5227" s="36"/>
      <c r="AE5227" s="36"/>
      <c r="AF5227" s="36"/>
      <c r="AG5227" s="36">
        <v>400</v>
      </c>
      <c r="AH5227" s="36"/>
      <c r="AI5227" s="36"/>
      <c r="AJ5227" s="15">
        <f t="shared" ref="AJ5227:AJ5234" si="742">SUM(X5227:AI5227)</f>
        <v>400</v>
      </c>
      <c r="AK5227" s="14"/>
      <c r="AL5227" s="14"/>
      <c r="AM5227" s="14"/>
      <c r="AN5227" s="14"/>
      <c r="AO5227" s="14"/>
      <c r="AP5227" s="14"/>
      <c r="AQ5227" s="14"/>
      <c r="AR5227" s="14"/>
      <c r="AS5227" s="14"/>
      <c r="AT5227" s="14"/>
      <c r="AU5227" s="14"/>
      <c r="AV5227" s="14"/>
      <c r="AW5227" s="15">
        <f t="shared" ref="AW5227:AW5234" si="743">SUM(AK5227:AV5227)</f>
        <v>0</v>
      </c>
      <c r="AX5227" s="16"/>
    </row>
    <row r="5228" spans="2:50" x14ac:dyDescent="0.2">
      <c r="B5228" s="7"/>
      <c r="C5228" s="8">
        <v>15427</v>
      </c>
      <c r="D5228" s="9" t="s">
        <v>392</v>
      </c>
      <c r="E5228" s="10" t="str">
        <f t="shared" si="738"/>
        <v>Rancho Estopila No. 18</v>
      </c>
      <c r="F5228" s="10" t="str">
        <f t="shared" si="739"/>
        <v>Aguilar Zarmeño</v>
      </c>
      <c r="G5228" s="8">
        <v>1</v>
      </c>
      <c r="H5228" s="11">
        <v>4400</v>
      </c>
      <c r="I5228" s="12">
        <v>43058</v>
      </c>
      <c r="J5228" s="35">
        <f t="shared" si="740"/>
        <v>0</v>
      </c>
      <c r="K5228" s="36"/>
      <c r="L5228" s="36"/>
      <c r="M5228" s="36"/>
      <c r="N5228" s="36"/>
      <c r="O5228" s="36"/>
      <c r="P5228" s="36"/>
      <c r="Q5228" s="36"/>
      <c r="R5228" s="36"/>
      <c r="S5228" s="36"/>
      <c r="T5228" s="36"/>
      <c r="U5228" s="36"/>
      <c r="V5228" s="36"/>
      <c r="W5228" s="15">
        <f t="shared" si="741"/>
        <v>0</v>
      </c>
      <c r="X5228" s="36"/>
      <c r="Y5228" s="36"/>
      <c r="Z5228" s="36"/>
      <c r="AA5228" s="36"/>
      <c r="AB5228" s="36"/>
      <c r="AC5228" s="36"/>
      <c r="AD5228" s="36"/>
      <c r="AE5228" s="36"/>
      <c r="AF5228" s="36"/>
      <c r="AG5228" s="36"/>
      <c r="AH5228" s="36"/>
      <c r="AI5228" s="36"/>
      <c r="AJ5228" s="15">
        <f t="shared" si="742"/>
        <v>0</v>
      </c>
      <c r="AK5228" s="14">
        <v>400</v>
      </c>
      <c r="AL5228" s="14">
        <v>400</v>
      </c>
      <c r="AM5228" s="14">
        <v>400</v>
      </c>
      <c r="AN5228" s="14">
        <v>400</v>
      </c>
      <c r="AO5228" s="14">
        <v>400</v>
      </c>
      <c r="AP5228" s="14">
        <v>400</v>
      </c>
      <c r="AQ5228" s="14">
        <v>400</v>
      </c>
      <c r="AR5228" s="14">
        <v>400</v>
      </c>
      <c r="AS5228" s="14">
        <v>400</v>
      </c>
      <c r="AT5228" s="14">
        <v>400</v>
      </c>
      <c r="AU5228" s="14">
        <v>400</v>
      </c>
      <c r="AV5228" s="14"/>
      <c r="AW5228" s="15">
        <f t="shared" si="743"/>
        <v>4400</v>
      </c>
      <c r="AX5228" s="16" t="s">
        <v>4431</v>
      </c>
    </row>
    <row r="5229" spans="2:50" x14ac:dyDescent="0.2">
      <c r="B5229" s="7"/>
      <c r="C5229" s="8">
        <v>15428</v>
      </c>
      <c r="D5229" s="9" t="s">
        <v>514</v>
      </c>
      <c r="E5229" s="10" t="str">
        <f t="shared" si="738"/>
        <v>Rancho Upácuaro No. 114</v>
      </c>
      <c r="F5229" s="10" t="str">
        <f t="shared" si="739"/>
        <v>Hernández Cornejo</v>
      </c>
      <c r="G5229" s="8">
        <v>1</v>
      </c>
      <c r="H5229" s="11">
        <v>400</v>
      </c>
      <c r="I5229" s="12">
        <v>43058</v>
      </c>
      <c r="J5229" s="35">
        <f t="shared" si="740"/>
        <v>0</v>
      </c>
      <c r="K5229" s="36"/>
      <c r="L5229" s="36"/>
      <c r="M5229" s="36"/>
      <c r="N5229" s="36"/>
      <c r="O5229" s="36"/>
      <c r="P5229" s="36"/>
      <c r="Q5229" s="36"/>
      <c r="R5229" s="36"/>
      <c r="S5229" s="36"/>
      <c r="T5229" s="36"/>
      <c r="U5229" s="36"/>
      <c r="V5229" s="36"/>
      <c r="W5229" s="15">
        <f t="shared" si="741"/>
        <v>0</v>
      </c>
      <c r="X5229" s="36"/>
      <c r="Y5229" s="36"/>
      <c r="Z5229" s="36"/>
      <c r="AA5229" s="36"/>
      <c r="AB5229" s="36"/>
      <c r="AC5229" s="36"/>
      <c r="AD5229" s="36"/>
      <c r="AE5229" s="36"/>
      <c r="AF5229" s="36"/>
      <c r="AG5229" s="36"/>
      <c r="AH5229" s="36">
        <v>400</v>
      </c>
      <c r="AI5229" s="36"/>
      <c r="AJ5229" s="15">
        <f t="shared" si="742"/>
        <v>400</v>
      </c>
      <c r="AK5229" s="14"/>
      <c r="AL5229" s="14"/>
      <c r="AM5229" s="14"/>
      <c r="AN5229" s="14"/>
      <c r="AO5229" s="14"/>
      <c r="AP5229" s="14"/>
      <c r="AQ5229" s="14"/>
      <c r="AR5229" s="14"/>
      <c r="AS5229" s="14"/>
      <c r="AT5229" s="14"/>
      <c r="AU5229" s="14"/>
      <c r="AV5229" s="14"/>
      <c r="AW5229" s="15">
        <f t="shared" si="743"/>
        <v>0</v>
      </c>
      <c r="AX5229" s="16"/>
    </row>
    <row r="5230" spans="2:50" x14ac:dyDescent="0.2">
      <c r="B5230" s="7"/>
      <c r="C5230" s="8">
        <v>15429</v>
      </c>
      <c r="D5230" s="9" t="s">
        <v>1032</v>
      </c>
      <c r="E5230" s="10" t="str">
        <f t="shared" si="738"/>
        <v>Rancho Estanzuela No. 157, 1</v>
      </c>
      <c r="F5230" s="10" t="str">
        <f t="shared" si="739"/>
        <v>Anzures</v>
      </c>
      <c r="G5230" s="8">
        <v>1</v>
      </c>
      <c r="H5230" s="11">
        <v>300</v>
      </c>
      <c r="I5230" s="12">
        <v>43058</v>
      </c>
      <c r="J5230" s="35">
        <f t="shared" si="740"/>
        <v>0</v>
      </c>
      <c r="K5230" s="36"/>
      <c r="L5230" s="36"/>
      <c r="M5230" s="36"/>
      <c r="N5230" s="36"/>
      <c r="O5230" s="36"/>
      <c r="P5230" s="36"/>
      <c r="Q5230" s="36"/>
      <c r="R5230" s="36"/>
      <c r="S5230" s="36"/>
      <c r="T5230" s="36"/>
      <c r="U5230" s="36"/>
      <c r="V5230" s="36"/>
      <c r="W5230" s="15">
        <f t="shared" si="741"/>
        <v>0</v>
      </c>
      <c r="X5230" s="36"/>
      <c r="Y5230" s="36"/>
      <c r="Z5230" s="36"/>
      <c r="AA5230" s="36"/>
      <c r="AB5230" s="36"/>
      <c r="AC5230" s="36"/>
      <c r="AD5230" s="36"/>
      <c r="AE5230" s="36"/>
      <c r="AF5230" s="36">
        <v>150</v>
      </c>
      <c r="AG5230" s="36">
        <v>150</v>
      </c>
      <c r="AH5230" s="36"/>
      <c r="AI5230" s="36"/>
      <c r="AJ5230" s="15">
        <f t="shared" si="742"/>
        <v>300</v>
      </c>
      <c r="AK5230" s="14"/>
      <c r="AL5230" s="14"/>
      <c r="AM5230" s="14"/>
      <c r="AN5230" s="14"/>
      <c r="AO5230" s="14"/>
      <c r="AP5230" s="14"/>
      <c r="AQ5230" s="14"/>
      <c r="AR5230" s="14"/>
      <c r="AS5230" s="14"/>
      <c r="AT5230" s="14"/>
      <c r="AU5230" s="14"/>
      <c r="AV5230" s="14"/>
      <c r="AW5230" s="15">
        <f t="shared" si="743"/>
        <v>0</v>
      </c>
      <c r="AX5230" s="16"/>
    </row>
    <row r="5231" spans="2:50" x14ac:dyDescent="0.2">
      <c r="B5231" s="7"/>
      <c r="C5231" s="8">
        <v>15429</v>
      </c>
      <c r="D5231" s="9" t="s">
        <v>926</v>
      </c>
      <c r="E5231" s="10" t="str">
        <f t="shared" si="738"/>
        <v>Rancho Estanzuela No. 157, 2</v>
      </c>
      <c r="F5231" s="10" t="str">
        <f t="shared" si="739"/>
        <v>Arias</v>
      </c>
      <c r="G5231" s="8">
        <v>1</v>
      </c>
      <c r="H5231" s="11">
        <v>300</v>
      </c>
      <c r="I5231" s="12">
        <v>43058</v>
      </c>
      <c r="J5231" s="35">
        <f t="shared" si="740"/>
        <v>0</v>
      </c>
      <c r="K5231" s="36"/>
      <c r="L5231" s="36"/>
      <c r="M5231" s="36"/>
      <c r="N5231" s="36"/>
      <c r="O5231" s="36"/>
      <c r="P5231" s="36"/>
      <c r="Q5231" s="36"/>
      <c r="R5231" s="36"/>
      <c r="S5231" s="36"/>
      <c r="T5231" s="36"/>
      <c r="U5231" s="36"/>
      <c r="V5231" s="36"/>
      <c r="W5231" s="15">
        <f t="shared" si="741"/>
        <v>0</v>
      </c>
      <c r="X5231" s="36"/>
      <c r="Y5231" s="36"/>
      <c r="Z5231" s="36"/>
      <c r="AA5231" s="36"/>
      <c r="AB5231" s="36"/>
      <c r="AC5231" s="36"/>
      <c r="AD5231" s="36"/>
      <c r="AE5231" s="36"/>
      <c r="AF5231" s="36">
        <v>150</v>
      </c>
      <c r="AG5231" s="36">
        <v>150</v>
      </c>
      <c r="AH5231" s="36"/>
      <c r="AI5231" s="36"/>
      <c r="AJ5231" s="15">
        <f t="shared" si="742"/>
        <v>300</v>
      </c>
      <c r="AK5231" s="14"/>
      <c r="AL5231" s="14"/>
      <c r="AM5231" s="14"/>
      <c r="AN5231" s="14"/>
      <c r="AO5231" s="14"/>
      <c r="AP5231" s="14"/>
      <c r="AQ5231" s="14"/>
      <c r="AR5231" s="14"/>
      <c r="AS5231" s="14"/>
      <c r="AT5231" s="14"/>
      <c r="AU5231" s="14"/>
      <c r="AV5231" s="14"/>
      <c r="AW5231" s="15">
        <f t="shared" si="743"/>
        <v>0</v>
      </c>
      <c r="AX5231" s="16"/>
    </row>
    <row r="5232" spans="2:50" x14ac:dyDescent="0.2">
      <c r="B5232" s="7"/>
      <c r="C5232" s="8">
        <v>15429</v>
      </c>
      <c r="D5232" s="9" t="s">
        <v>929</v>
      </c>
      <c r="E5232" s="10" t="str">
        <f t="shared" si="738"/>
        <v>Rancho Estanzuela No. 157, 3</v>
      </c>
      <c r="F5232" s="10" t="str">
        <f t="shared" si="739"/>
        <v>Valdez</v>
      </c>
      <c r="G5232" s="8">
        <v>1</v>
      </c>
      <c r="H5232" s="11">
        <v>300</v>
      </c>
      <c r="I5232" s="12">
        <v>43058</v>
      </c>
      <c r="J5232" s="35">
        <f t="shared" si="740"/>
        <v>0</v>
      </c>
      <c r="K5232" s="36"/>
      <c r="L5232" s="36"/>
      <c r="M5232" s="36"/>
      <c r="N5232" s="36"/>
      <c r="O5232" s="36"/>
      <c r="P5232" s="36"/>
      <c r="Q5232" s="36"/>
      <c r="R5232" s="36"/>
      <c r="S5232" s="36"/>
      <c r="T5232" s="36"/>
      <c r="U5232" s="36"/>
      <c r="V5232" s="36"/>
      <c r="W5232" s="15">
        <f t="shared" si="741"/>
        <v>0</v>
      </c>
      <c r="X5232" s="36"/>
      <c r="Y5232" s="36"/>
      <c r="Z5232" s="36"/>
      <c r="AA5232" s="36"/>
      <c r="AB5232" s="36"/>
      <c r="AC5232" s="36"/>
      <c r="AD5232" s="36"/>
      <c r="AE5232" s="36"/>
      <c r="AF5232" s="36">
        <v>150</v>
      </c>
      <c r="AG5232" s="36">
        <v>150</v>
      </c>
      <c r="AH5232" s="36"/>
      <c r="AI5232" s="36"/>
      <c r="AJ5232" s="15">
        <f t="shared" si="742"/>
        <v>300</v>
      </c>
      <c r="AK5232" s="14"/>
      <c r="AL5232" s="14"/>
      <c r="AM5232" s="14"/>
      <c r="AN5232" s="14"/>
      <c r="AO5232" s="14"/>
      <c r="AP5232" s="14"/>
      <c r="AQ5232" s="14"/>
      <c r="AR5232" s="14"/>
      <c r="AS5232" s="14"/>
      <c r="AT5232" s="14"/>
      <c r="AU5232" s="14"/>
      <c r="AV5232" s="14"/>
      <c r="AW5232" s="15">
        <f t="shared" si="743"/>
        <v>0</v>
      </c>
      <c r="AX5232" s="16"/>
    </row>
    <row r="5233" spans="2:50" x14ac:dyDescent="0.2">
      <c r="B5233" s="7"/>
      <c r="C5233" s="8">
        <v>15430</v>
      </c>
      <c r="D5233" s="9" t="s">
        <v>443</v>
      </c>
      <c r="E5233" s="10" t="str">
        <f t="shared" si="738"/>
        <v>Rancho Landero No. 11</v>
      </c>
      <c r="F5233" s="10" t="str">
        <f t="shared" si="739"/>
        <v>Reyes Robles</v>
      </c>
      <c r="G5233" s="8">
        <v>1</v>
      </c>
      <c r="H5233" s="11">
        <v>4400</v>
      </c>
      <c r="I5233" s="12">
        <v>43058</v>
      </c>
      <c r="J5233" s="35">
        <f t="shared" si="740"/>
        <v>0</v>
      </c>
      <c r="K5233" s="36"/>
      <c r="L5233" s="36"/>
      <c r="M5233" s="36"/>
      <c r="N5233" s="36"/>
      <c r="O5233" s="36"/>
      <c r="P5233" s="36"/>
      <c r="Q5233" s="36"/>
      <c r="R5233" s="36"/>
      <c r="S5233" s="36"/>
      <c r="T5233" s="36"/>
      <c r="U5233" s="36"/>
      <c r="V5233" s="36"/>
      <c r="W5233" s="15">
        <f t="shared" si="741"/>
        <v>0</v>
      </c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15">
        <f t="shared" si="742"/>
        <v>0</v>
      </c>
      <c r="AK5233" s="14">
        <v>400</v>
      </c>
      <c r="AL5233" s="14">
        <v>400</v>
      </c>
      <c r="AM5233" s="14">
        <v>400</v>
      </c>
      <c r="AN5233" s="14">
        <v>400</v>
      </c>
      <c r="AO5233" s="14">
        <v>400</v>
      </c>
      <c r="AP5233" s="14">
        <v>400</v>
      </c>
      <c r="AQ5233" s="14">
        <v>400</v>
      </c>
      <c r="AR5233" s="14">
        <v>400</v>
      </c>
      <c r="AS5233" s="14">
        <v>400</v>
      </c>
      <c r="AT5233" s="14">
        <v>400</v>
      </c>
      <c r="AU5233" s="14">
        <v>400</v>
      </c>
      <c r="AV5233" s="14"/>
      <c r="AW5233" s="15">
        <f t="shared" si="743"/>
        <v>4400</v>
      </c>
      <c r="AX5233" s="16" t="s">
        <v>4431</v>
      </c>
    </row>
    <row r="5234" spans="2:50" x14ac:dyDescent="0.2">
      <c r="B5234" s="7"/>
      <c r="C5234" s="8">
        <v>15431</v>
      </c>
      <c r="D5234" s="9" t="s">
        <v>398</v>
      </c>
      <c r="E5234" s="10" t="str">
        <f t="shared" si="738"/>
        <v>Rancho Estanzuela No. 151</v>
      </c>
      <c r="F5234" s="10" t="str">
        <f t="shared" si="739"/>
        <v>Pérez Salazar</v>
      </c>
      <c r="G5234" s="8">
        <v>1</v>
      </c>
      <c r="H5234" s="11">
        <v>400</v>
      </c>
      <c r="I5234" s="12">
        <v>43058</v>
      </c>
      <c r="J5234" s="35">
        <f t="shared" si="740"/>
        <v>0</v>
      </c>
      <c r="K5234" s="36"/>
      <c r="L5234" s="36"/>
      <c r="M5234" s="36"/>
      <c r="N5234" s="36"/>
      <c r="O5234" s="36"/>
      <c r="P5234" s="36"/>
      <c r="Q5234" s="36"/>
      <c r="R5234" s="36"/>
      <c r="S5234" s="36"/>
      <c r="T5234" s="36"/>
      <c r="U5234" s="36"/>
      <c r="V5234" s="36"/>
      <c r="W5234" s="15">
        <f t="shared" si="741"/>
        <v>0</v>
      </c>
      <c r="X5234" s="36"/>
      <c r="Y5234" s="36"/>
      <c r="Z5234" s="36"/>
      <c r="AA5234" s="36"/>
      <c r="AB5234" s="36"/>
      <c r="AC5234" s="36"/>
      <c r="AD5234" s="36"/>
      <c r="AE5234" s="36"/>
      <c r="AF5234" s="36"/>
      <c r="AG5234" s="36"/>
      <c r="AH5234" s="36">
        <v>400</v>
      </c>
      <c r="AI5234" s="36"/>
      <c r="AJ5234" s="15">
        <f t="shared" si="742"/>
        <v>400</v>
      </c>
      <c r="AK5234" s="14"/>
      <c r="AL5234" s="14"/>
      <c r="AM5234" s="14"/>
      <c r="AN5234" s="14"/>
      <c r="AO5234" s="14"/>
      <c r="AP5234" s="14"/>
      <c r="AQ5234" s="14"/>
      <c r="AR5234" s="14"/>
      <c r="AS5234" s="14"/>
      <c r="AT5234" s="14"/>
      <c r="AU5234" s="14"/>
      <c r="AV5234" s="14"/>
      <c r="AW5234" s="15">
        <f t="shared" si="743"/>
        <v>0</v>
      </c>
      <c r="AX5234" s="16"/>
    </row>
    <row r="5235" spans="2:50" x14ac:dyDescent="0.2">
      <c r="B5235" s="7"/>
      <c r="C5235" s="8">
        <v>15432</v>
      </c>
      <c r="D5235" s="9" t="s">
        <v>652</v>
      </c>
      <c r="E5235" s="10" t="str">
        <f t="shared" si="732"/>
        <v>Rancho Zinamba No. 74</v>
      </c>
      <c r="F5235" s="10" t="str">
        <f t="shared" si="733"/>
        <v>García Castellanos</v>
      </c>
      <c r="G5235" s="8">
        <v>1</v>
      </c>
      <c r="H5235" s="11">
        <v>800</v>
      </c>
      <c r="I5235" s="12">
        <v>43058</v>
      </c>
      <c r="J5235" s="35">
        <f t="shared" si="734"/>
        <v>0</v>
      </c>
      <c r="K5235" s="36"/>
      <c r="L5235" s="36"/>
      <c r="M5235" s="36"/>
      <c r="N5235" s="36"/>
      <c r="O5235" s="36"/>
      <c r="P5235" s="36"/>
      <c r="Q5235" s="36"/>
      <c r="R5235" s="36"/>
      <c r="S5235" s="36"/>
      <c r="T5235" s="36"/>
      <c r="U5235" s="36"/>
      <c r="V5235" s="36"/>
      <c r="W5235" s="15">
        <f t="shared" si="735"/>
        <v>0</v>
      </c>
      <c r="X5235" s="36"/>
      <c r="Y5235" s="36"/>
      <c r="Z5235" s="36"/>
      <c r="AA5235" s="36"/>
      <c r="AB5235" s="36"/>
      <c r="AC5235" s="36"/>
      <c r="AD5235" s="36"/>
      <c r="AE5235" s="36">
        <v>400</v>
      </c>
      <c r="AF5235" s="36">
        <v>400</v>
      </c>
      <c r="AG5235" s="36"/>
      <c r="AH5235" s="36"/>
      <c r="AI5235" s="36"/>
      <c r="AJ5235" s="15">
        <f t="shared" si="736"/>
        <v>800</v>
      </c>
      <c r="AK5235" s="14"/>
      <c r="AL5235" s="14"/>
      <c r="AM5235" s="14"/>
      <c r="AN5235" s="14"/>
      <c r="AO5235" s="14"/>
      <c r="AP5235" s="14"/>
      <c r="AQ5235" s="14"/>
      <c r="AR5235" s="14"/>
      <c r="AS5235" s="14"/>
      <c r="AT5235" s="14"/>
      <c r="AU5235" s="14"/>
      <c r="AV5235" s="14"/>
      <c r="AW5235" s="15">
        <f t="shared" si="737"/>
        <v>0</v>
      </c>
      <c r="AX5235" s="16"/>
    </row>
    <row r="5236" spans="2:50" x14ac:dyDescent="0.2">
      <c r="B5236" s="7"/>
      <c r="C5236" s="8">
        <v>15433</v>
      </c>
      <c r="D5236" s="9" t="s">
        <v>761</v>
      </c>
      <c r="E5236" s="10" t="str">
        <f t="shared" si="732"/>
        <v>Rancho Recoveco No. 187</v>
      </c>
      <c r="F5236" s="10" t="str">
        <f t="shared" si="733"/>
        <v>Moreno</v>
      </c>
      <c r="G5236" s="8">
        <v>1</v>
      </c>
      <c r="H5236" s="11">
        <v>1600</v>
      </c>
      <c r="I5236" s="12">
        <v>43058</v>
      </c>
      <c r="J5236" s="35">
        <f t="shared" si="734"/>
        <v>0</v>
      </c>
      <c r="K5236" s="36"/>
      <c r="L5236" s="36"/>
      <c r="M5236" s="36"/>
      <c r="N5236" s="36"/>
      <c r="O5236" s="36"/>
      <c r="P5236" s="36"/>
      <c r="Q5236" s="36"/>
      <c r="R5236" s="36"/>
      <c r="S5236" s="36"/>
      <c r="T5236" s="36"/>
      <c r="U5236" s="36"/>
      <c r="V5236" s="36"/>
      <c r="W5236" s="15">
        <f t="shared" si="735"/>
        <v>0</v>
      </c>
      <c r="X5236" s="36"/>
      <c r="Y5236" s="36"/>
      <c r="Z5236" s="36"/>
      <c r="AA5236" s="36"/>
      <c r="AB5236" s="36"/>
      <c r="AC5236" s="36"/>
      <c r="AD5236" s="36"/>
      <c r="AE5236" s="36">
        <v>400</v>
      </c>
      <c r="AF5236" s="36">
        <v>400</v>
      </c>
      <c r="AG5236" s="36">
        <v>400</v>
      </c>
      <c r="AH5236" s="36">
        <v>400</v>
      </c>
      <c r="AI5236" s="36"/>
      <c r="AJ5236" s="15">
        <f t="shared" si="736"/>
        <v>1600</v>
      </c>
      <c r="AK5236" s="14"/>
      <c r="AL5236" s="14"/>
      <c r="AM5236" s="14"/>
      <c r="AN5236" s="14"/>
      <c r="AO5236" s="14"/>
      <c r="AP5236" s="14"/>
      <c r="AQ5236" s="14"/>
      <c r="AR5236" s="14"/>
      <c r="AS5236" s="14"/>
      <c r="AT5236" s="14"/>
      <c r="AU5236" s="14"/>
      <c r="AV5236" s="14"/>
      <c r="AW5236" s="15">
        <f t="shared" si="737"/>
        <v>0</v>
      </c>
      <c r="AX5236" s="16"/>
    </row>
    <row r="5237" spans="2:50" x14ac:dyDescent="0.2">
      <c r="B5237" s="7"/>
      <c r="C5237" s="8">
        <v>15434</v>
      </c>
      <c r="D5237" s="9" t="s">
        <v>1157</v>
      </c>
      <c r="E5237" s="10" t="str">
        <f t="shared" si="732"/>
        <v>Rancho Upácuaro No. 43</v>
      </c>
      <c r="F5237" s="10" t="str">
        <f t="shared" si="733"/>
        <v>Yolanda</v>
      </c>
      <c r="G5237" s="8">
        <v>1</v>
      </c>
      <c r="H5237" s="11">
        <v>400</v>
      </c>
      <c r="I5237" s="12">
        <v>43058</v>
      </c>
      <c r="J5237" s="35">
        <f t="shared" si="734"/>
        <v>0</v>
      </c>
      <c r="K5237" s="36"/>
      <c r="L5237" s="36"/>
      <c r="M5237" s="36"/>
      <c r="N5237" s="36"/>
      <c r="O5237" s="36"/>
      <c r="P5237" s="36"/>
      <c r="Q5237" s="36"/>
      <c r="R5237" s="36"/>
      <c r="S5237" s="36"/>
      <c r="T5237" s="36"/>
      <c r="U5237" s="36"/>
      <c r="V5237" s="36"/>
      <c r="W5237" s="15">
        <f t="shared" si="735"/>
        <v>0</v>
      </c>
      <c r="X5237" s="36"/>
      <c r="Y5237" s="36"/>
      <c r="Z5237" s="36"/>
      <c r="AA5237" s="36"/>
      <c r="AB5237" s="36"/>
      <c r="AC5237" s="36"/>
      <c r="AD5237" s="36"/>
      <c r="AE5237" s="36">
        <v>200</v>
      </c>
      <c r="AF5237" s="36">
        <v>200</v>
      </c>
      <c r="AG5237" s="36"/>
      <c r="AH5237" s="36"/>
      <c r="AI5237" s="36"/>
      <c r="AJ5237" s="15">
        <f t="shared" si="736"/>
        <v>400</v>
      </c>
      <c r="AK5237" s="14"/>
      <c r="AL5237" s="14"/>
      <c r="AM5237" s="14"/>
      <c r="AN5237" s="14"/>
      <c r="AO5237" s="14"/>
      <c r="AP5237" s="14"/>
      <c r="AQ5237" s="14"/>
      <c r="AR5237" s="14"/>
      <c r="AS5237" s="14"/>
      <c r="AT5237" s="14"/>
      <c r="AU5237" s="14"/>
      <c r="AV5237" s="14"/>
      <c r="AW5237" s="15">
        <f t="shared" si="737"/>
        <v>0</v>
      </c>
      <c r="AX5237" s="16"/>
    </row>
    <row r="5238" spans="2:50" x14ac:dyDescent="0.2">
      <c r="B5238" s="7"/>
      <c r="C5238" s="8">
        <v>15435</v>
      </c>
      <c r="D5238" s="9" t="s">
        <v>1157</v>
      </c>
      <c r="E5238" s="10" t="str">
        <f t="shared" si="732"/>
        <v>Rancho Upácuaro No. 43</v>
      </c>
      <c r="F5238" s="10" t="str">
        <f t="shared" si="733"/>
        <v>Yolanda</v>
      </c>
      <c r="G5238" s="8">
        <v>3</v>
      </c>
      <c r="H5238" s="11">
        <v>200</v>
      </c>
      <c r="I5238" s="12">
        <v>43058</v>
      </c>
      <c r="J5238" s="35">
        <f t="shared" si="734"/>
        <v>0</v>
      </c>
      <c r="K5238" s="36"/>
      <c r="L5238" s="36"/>
      <c r="M5238" s="36"/>
      <c r="N5238" s="36"/>
      <c r="O5238" s="36"/>
      <c r="P5238" s="36"/>
      <c r="Q5238" s="36"/>
      <c r="R5238" s="36"/>
      <c r="S5238" s="36"/>
      <c r="T5238" s="36"/>
      <c r="U5238" s="36"/>
      <c r="V5238" s="36"/>
      <c r="W5238" s="15">
        <f t="shared" si="735"/>
        <v>0</v>
      </c>
      <c r="X5238" s="36"/>
      <c r="Y5238" s="36"/>
      <c r="Z5238" s="36"/>
      <c r="AA5238" s="36"/>
      <c r="AB5238" s="36"/>
      <c r="AC5238" s="36"/>
      <c r="AD5238" s="36"/>
      <c r="AE5238" s="36"/>
      <c r="AF5238" s="36"/>
      <c r="AG5238" s="36"/>
      <c r="AH5238" s="36"/>
      <c r="AI5238" s="36"/>
      <c r="AJ5238" s="15">
        <f t="shared" si="736"/>
        <v>0</v>
      </c>
      <c r="AK5238" s="14"/>
      <c r="AL5238" s="14"/>
      <c r="AM5238" s="14"/>
      <c r="AN5238" s="14"/>
      <c r="AO5238" s="14"/>
      <c r="AP5238" s="14"/>
      <c r="AQ5238" s="14"/>
      <c r="AR5238" s="14"/>
      <c r="AS5238" s="14"/>
      <c r="AT5238" s="14"/>
      <c r="AU5238" s="14"/>
      <c r="AV5238" s="14"/>
      <c r="AW5238" s="15">
        <f t="shared" si="737"/>
        <v>0</v>
      </c>
      <c r="AX5238" s="16"/>
    </row>
    <row r="5239" spans="2:50" x14ac:dyDescent="0.2">
      <c r="B5239" s="7"/>
      <c r="C5239" s="8">
        <v>15436</v>
      </c>
      <c r="D5239" s="9" t="s">
        <v>1206</v>
      </c>
      <c r="E5239" s="10" t="str">
        <f t="shared" si="732"/>
        <v>Rancho Landero No. 2,1</v>
      </c>
      <c r="F5239" s="10" t="str">
        <f t="shared" si="733"/>
        <v>Zamora Vera</v>
      </c>
      <c r="G5239" s="8">
        <v>1</v>
      </c>
      <c r="H5239" s="11">
        <v>150</v>
      </c>
      <c r="I5239" s="12">
        <v>43058</v>
      </c>
      <c r="J5239" s="35">
        <f t="shared" si="734"/>
        <v>0</v>
      </c>
      <c r="K5239" s="36"/>
      <c r="L5239" s="36"/>
      <c r="M5239" s="36"/>
      <c r="N5239" s="36"/>
      <c r="O5239" s="36"/>
      <c r="P5239" s="36"/>
      <c r="Q5239" s="36"/>
      <c r="R5239" s="36"/>
      <c r="S5239" s="36"/>
      <c r="T5239" s="36"/>
      <c r="U5239" s="36"/>
      <c r="V5239" s="36"/>
      <c r="W5239" s="15">
        <f t="shared" si="735"/>
        <v>0</v>
      </c>
      <c r="X5239" s="36"/>
      <c r="Y5239" s="36"/>
      <c r="Z5239" s="36"/>
      <c r="AA5239" s="36"/>
      <c r="AB5239" s="36"/>
      <c r="AC5239" s="36"/>
      <c r="AD5239" s="36"/>
      <c r="AE5239" s="36"/>
      <c r="AF5239" s="36"/>
      <c r="AG5239" s="36"/>
      <c r="AH5239" s="36"/>
      <c r="AI5239" s="36">
        <v>150</v>
      </c>
      <c r="AJ5239" s="15">
        <f t="shared" si="736"/>
        <v>150</v>
      </c>
      <c r="AK5239" s="14"/>
      <c r="AL5239" s="14"/>
      <c r="AM5239" s="14"/>
      <c r="AN5239" s="14"/>
      <c r="AO5239" s="14"/>
      <c r="AP5239" s="14"/>
      <c r="AQ5239" s="14"/>
      <c r="AR5239" s="14"/>
      <c r="AS5239" s="14"/>
      <c r="AT5239" s="14"/>
      <c r="AU5239" s="14"/>
      <c r="AV5239" s="14"/>
      <c r="AW5239" s="15">
        <f t="shared" si="737"/>
        <v>0</v>
      </c>
      <c r="AX5239" s="16"/>
    </row>
    <row r="5240" spans="2:50" x14ac:dyDescent="0.2">
      <c r="B5240" s="7"/>
      <c r="C5240" s="8">
        <v>15437</v>
      </c>
      <c r="D5240" s="9" t="s">
        <v>1306</v>
      </c>
      <c r="E5240" s="10" t="str">
        <f t="shared" si="732"/>
        <v>Rancho La Cuchilla No. 131</v>
      </c>
      <c r="F5240" s="10" t="str">
        <f t="shared" si="733"/>
        <v>Cabrera Marquez</v>
      </c>
      <c r="G5240" s="8">
        <v>1</v>
      </c>
      <c r="H5240" s="11">
        <v>400</v>
      </c>
      <c r="I5240" s="12">
        <v>43058</v>
      </c>
      <c r="J5240" s="35">
        <f t="shared" si="734"/>
        <v>0</v>
      </c>
      <c r="K5240" s="36"/>
      <c r="L5240" s="36"/>
      <c r="M5240" s="36"/>
      <c r="N5240" s="36"/>
      <c r="O5240" s="36"/>
      <c r="P5240" s="36"/>
      <c r="Q5240" s="36"/>
      <c r="R5240" s="36"/>
      <c r="S5240" s="36"/>
      <c r="T5240" s="36"/>
      <c r="U5240" s="36"/>
      <c r="V5240" s="36"/>
      <c r="W5240" s="15">
        <f t="shared" si="735"/>
        <v>0</v>
      </c>
      <c r="X5240" s="36"/>
      <c r="Y5240" s="36"/>
      <c r="Z5240" s="36"/>
      <c r="AA5240" s="36"/>
      <c r="AB5240" s="36"/>
      <c r="AC5240" s="36"/>
      <c r="AD5240" s="36"/>
      <c r="AE5240" s="36"/>
      <c r="AF5240" s="36"/>
      <c r="AG5240" s="36"/>
      <c r="AH5240" s="36">
        <v>200</v>
      </c>
      <c r="AI5240" s="36">
        <v>200</v>
      </c>
      <c r="AJ5240" s="15">
        <f t="shared" si="736"/>
        <v>400</v>
      </c>
      <c r="AK5240" s="14"/>
      <c r="AL5240" s="14"/>
      <c r="AM5240" s="14"/>
      <c r="AN5240" s="14"/>
      <c r="AO5240" s="14"/>
      <c r="AP5240" s="14"/>
      <c r="AQ5240" s="14"/>
      <c r="AR5240" s="14"/>
      <c r="AS5240" s="14"/>
      <c r="AT5240" s="14"/>
      <c r="AU5240" s="14"/>
      <c r="AV5240" s="14"/>
      <c r="AW5240" s="15">
        <f t="shared" si="737"/>
        <v>0</v>
      </c>
      <c r="AX5240" s="16"/>
    </row>
    <row r="5241" spans="2:50" x14ac:dyDescent="0.2">
      <c r="B5241" s="7"/>
      <c r="C5241" s="8">
        <v>15438</v>
      </c>
      <c r="D5241" s="9" t="s">
        <v>800</v>
      </c>
      <c r="E5241" s="10" t="str">
        <f t="shared" ref="E5241:E5244" si="744">IF(D5241=0,"",VLOOKUP(D5241,BASE,2,FALSE))</f>
        <v>Rancho Upácuaro No. 14</v>
      </c>
      <c r="F5241" s="10" t="str">
        <f t="shared" ref="F5241:F5244" si="745">IF(D5241=0,"",VLOOKUP(D5241,BASE,3,FALSE))</f>
        <v>Castillo Hernández</v>
      </c>
      <c r="G5241" s="8">
        <v>1</v>
      </c>
      <c r="H5241" s="11">
        <v>1200</v>
      </c>
      <c r="I5241" s="12">
        <v>43058</v>
      </c>
      <c r="J5241" s="35">
        <f t="shared" ref="J5241:J5244" si="746">IF(G5241=1,SUM(W5241,AJ5241,AW5241,-H5241),0)</f>
        <v>0</v>
      </c>
      <c r="K5241" s="36"/>
      <c r="L5241" s="36"/>
      <c r="M5241" s="36"/>
      <c r="N5241" s="36"/>
      <c r="O5241" s="36"/>
      <c r="P5241" s="36"/>
      <c r="Q5241" s="36"/>
      <c r="R5241" s="36"/>
      <c r="S5241" s="36"/>
      <c r="T5241" s="36"/>
      <c r="U5241" s="36"/>
      <c r="V5241" s="36"/>
      <c r="W5241" s="15">
        <f t="shared" ref="W5241:W5244" si="747">SUM(K5241:V5241)</f>
        <v>0</v>
      </c>
      <c r="X5241" s="36"/>
      <c r="Y5241" s="36"/>
      <c r="Z5241" s="36"/>
      <c r="AA5241" s="36"/>
      <c r="AB5241" s="36"/>
      <c r="AC5241" s="36"/>
      <c r="AD5241" s="36">
        <v>400</v>
      </c>
      <c r="AE5241" s="36">
        <v>400</v>
      </c>
      <c r="AF5241" s="36">
        <v>400</v>
      </c>
      <c r="AG5241" s="36"/>
      <c r="AH5241" s="36"/>
      <c r="AI5241" s="36"/>
      <c r="AJ5241" s="15">
        <f t="shared" ref="AJ5241:AJ5244" si="748">SUM(X5241:AI5241)</f>
        <v>1200</v>
      </c>
      <c r="AK5241" s="14"/>
      <c r="AL5241" s="14"/>
      <c r="AM5241" s="14"/>
      <c r="AN5241" s="14"/>
      <c r="AO5241" s="14"/>
      <c r="AP5241" s="14"/>
      <c r="AQ5241" s="14"/>
      <c r="AR5241" s="14"/>
      <c r="AS5241" s="14"/>
      <c r="AT5241" s="14"/>
      <c r="AU5241" s="14"/>
      <c r="AV5241" s="14"/>
      <c r="AW5241" s="15">
        <f t="shared" ref="AW5241:AW5244" si="749">SUM(AK5241:AV5241)</f>
        <v>0</v>
      </c>
      <c r="AX5241" s="16"/>
    </row>
    <row r="5242" spans="2:50" x14ac:dyDescent="0.2">
      <c r="B5242" s="7"/>
      <c r="C5242" s="8">
        <v>15439</v>
      </c>
      <c r="D5242" s="9" t="s">
        <v>156</v>
      </c>
      <c r="E5242" s="10" t="str">
        <f t="shared" si="744"/>
        <v>Rancho Zinamba No. 80</v>
      </c>
      <c r="F5242" s="10" t="str">
        <f t="shared" si="745"/>
        <v>Vázquez</v>
      </c>
      <c r="G5242" s="8">
        <v>1</v>
      </c>
      <c r="H5242" s="11">
        <v>600</v>
      </c>
      <c r="I5242" s="12">
        <v>43058</v>
      </c>
      <c r="J5242" s="35">
        <f t="shared" si="746"/>
        <v>0</v>
      </c>
      <c r="K5242" s="36"/>
      <c r="L5242" s="36"/>
      <c r="M5242" s="36"/>
      <c r="N5242" s="36"/>
      <c r="O5242" s="36"/>
      <c r="P5242" s="36"/>
      <c r="Q5242" s="36"/>
      <c r="R5242" s="36"/>
      <c r="S5242" s="36"/>
      <c r="T5242" s="36"/>
      <c r="U5242" s="36"/>
      <c r="V5242" s="36"/>
      <c r="W5242" s="15">
        <f t="shared" si="747"/>
        <v>0</v>
      </c>
      <c r="X5242" s="36"/>
      <c r="Y5242" s="36"/>
      <c r="Z5242" s="36"/>
      <c r="AA5242" s="36"/>
      <c r="AB5242" s="36"/>
      <c r="AC5242" s="36"/>
      <c r="AD5242" s="36"/>
      <c r="AE5242" s="36"/>
      <c r="AF5242" s="36"/>
      <c r="AG5242" s="36">
        <v>300</v>
      </c>
      <c r="AH5242" s="36">
        <v>300</v>
      </c>
      <c r="AI5242" s="36"/>
      <c r="AJ5242" s="15">
        <f t="shared" si="748"/>
        <v>600</v>
      </c>
      <c r="AK5242" s="14"/>
      <c r="AL5242" s="14"/>
      <c r="AM5242" s="14"/>
      <c r="AN5242" s="14"/>
      <c r="AO5242" s="14"/>
      <c r="AP5242" s="14"/>
      <c r="AQ5242" s="14"/>
      <c r="AR5242" s="14"/>
      <c r="AS5242" s="14"/>
      <c r="AT5242" s="14"/>
      <c r="AU5242" s="14"/>
      <c r="AV5242" s="14"/>
      <c r="AW5242" s="15">
        <f t="shared" si="749"/>
        <v>0</v>
      </c>
      <c r="AX5242" s="316">
        <f>SUM(H5210:H5242)</f>
        <v>24150</v>
      </c>
    </row>
    <row r="5243" spans="2:50" x14ac:dyDescent="0.2">
      <c r="B5243" s="7"/>
      <c r="C5243" s="8">
        <v>15440</v>
      </c>
      <c r="D5243" s="9" t="s">
        <v>1364</v>
      </c>
      <c r="E5243" s="10" t="str">
        <f t="shared" si="744"/>
        <v>Calzada del Hueso No. 828</v>
      </c>
      <c r="F5243" s="10" t="str">
        <f t="shared" si="745"/>
        <v>Cervantes, Miguel</v>
      </c>
      <c r="G5243" s="8">
        <v>1</v>
      </c>
      <c r="H5243" s="315">
        <v>250</v>
      </c>
      <c r="I5243" s="12">
        <v>43065</v>
      </c>
      <c r="J5243" s="35">
        <f t="shared" si="746"/>
        <v>0</v>
      </c>
      <c r="K5243" s="36"/>
      <c r="L5243" s="36"/>
      <c r="M5243" s="36"/>
      <c r="N5243" s="36"/>
      <c r="O5243" s="36"/>
      <c r="P5243" s="36"/>
      <c r="Q5243" s="36"/>
      <c r="R5243" s="36"/>
      <c r="S5243" s="36"/>
      <c r="T5243" s="36"/>
      <c r="U5243" s="36"/>
      <c r="V5243" s="36"/>
      <c r="W5243" s="15">
        <f t="shared" si="747"/>
        <v>0</v>
      </c>
      <c r="X5243" s="36"/>
      <c r="Y5243" s="36"/>
      <c r="Z5243" s="36"/>
      <c r="AA5243" s="36"/>
      <c r="AB5243" s="36"/>
      <c r="AC5243" s="36"/>
      <c r="AD5243" s="36"/>
      <c r="AE5243" s="36"/>
      <c r="AF5243" s="36"/>
      <c r="AG5243" s="36"/>
      <c r="AH5243" s="36"/>
      <c r="AI5243" s="36">
        <v>250</v>
      </c>
      <c r="AJ5243" s="15">
        <f t="shared" si="748"/>
        <v>250</v>
      </c>
      <c r="AK5243" s="14"/>
      <c r="AL5243" s="14"/>
      <c r="AM5243" s="14"/>
      <c r="AN5243" s="14"/>
      <c r="AO5243" s="14"/>
      <c r="AP5243" s="14"/>
      <c r="AQ5243" s="14"/>
      <c r="AR5243" s="14"/>
      <c r="AS5243" s="14"/>
      <c r="AT5243" s="14"/>
      <c r="AU5243" s="14"/>
      <c r="AV5243" s="14"/>
      <c r="AW5243" s="15">
        <f t="shared" si="749"/>
        <v>0</v>
      </c>
      <c r="AX5243" s="16"/>
    </row>
    <row r="5244" spans="2:50" x14ac:dyDescent="0.2">
      <c r="B5244" s="7"/>
      <c r="C5244" s="8">
        <v>15441</v>
      </c>
      <c r="D5244" s="9" t="s">
        <v>1134</v>
      </c>
      <c r="E5244" s="10" t="str">
        <f t="shared" si="744"/>
        <v>Rancho La Cuchilla No. 30</v>
      </c>
      <c r="F5244" s="10" t="str">
        <f t="shared" si="745"/>
        <v>Ruiz Navarrete</v>
      </c>
      <c r="G5244" s="8">
        <v>3</v>
      </c>
      <c r="H5244" s="11">
        <v>200</v>
      </c>
      <c r="I5244" s="12">
        <v>43065</v>
      </c>
      <c r="J5244" s="35">
        <f t="shared" si="746"/>
        <v>0</v>
      </c>
      <c r="K5244" s="36"/>
      <c r="L5244" s="36"/>
      <c r="M5244" s="36"/>
      <c r="N5244" s="36"/>
      <c r="O5244" s="36"/>
      <c r="P5244" s="36"/>
      <c r="Q5244" s="36"/>
      <c r="R5244" s="36"/>
      <c r="S5244" s="36"/>
      <c r="T5244" s="36"/>
      <c r="U5244" s="36"/>
      <c r="V5244" s="36"/>
      <c r="W5244" s="15">
        <f t="shared" si="747"/>
        <v>0</v>
      </c>
      <c r="X5244" s="36"/>
      <c r="Y5244" s="36"/>
      <c r="Z5244" s="36"/>
      <c r="AA5244" s="36"/>
      <c r="AB5244" s="36"/>
      <c r="AC5244" s="36"/>
      <c r="AD5244" s="36"/>
      <c r="AE5244" s="36"/>
      <c r="AF5244" s="36"/>
      <c r="AG5244" s="36"/>
      <c r="AH5244" s="36"/>
      <c r="AI5244" s="36"/>
      <c r="AJ5244" s="15">
        <f t="shared" si="748"/>
        <v>0</v>
      </c>
      <c r="AK5244" s="14"/>
      <c r="AL5244" s="14"/>
      <c r="AM5244" s="14"/>
      <c r="AN5244" s="14"/>
      <c r="AO5244" s="14"/>
      <c r="AP5244" s="14"/>
      <c r="AQ5244" s="14"/>
      <c r="AR5244" s="14"/>
      <c r="AS5244" s="14"/>
      <c r="AT5244" s="14"/>
      <c r="AU5244" s="14"/>
      <c r="AV5244" s="14"/>
      <c r="AW5244" s="15">
        <f t="shared" si="749"/>
        <v>0</v>
      </c>
      <c r="AX5244" s="16"/>
    </row>
    <row r="5245" spans="2:50" x14ac:dyDescent="0.2">
      <c r="B5245" s="7"/>
      <c r="C5245" s="8">
        <v>15442</v>
      </c>
      <c r="D5245" s="9" t="s">
        <v>361</v>
      </c>
      <c r="E5245" s="10" t="str">
        <f t="shared" ref="E5245:E5281" si="750">IF(D5245=0,"",VLOOKUP(D5245,BASE,2,FALSE))</f>
        <v>Rancho Upácuaro No. 101</v>
      </c>
      <c r="F5245" s="10" t="str">
        <f t="shared" ref="F5245:F5281" si="751">IF(D5245=0,"",VLOOKUP(D5245,BASE,3,FALSE))</f>
        <v>Chávez, Arturo</v>
      </c>
      <c r="G5245" s="8">
        <v>1</v>
      </c>
      <c r="H5245" s="11">
        <v>400</v>
      </c>
      <c r="I5245" s="12">
        <v>43065</v>
      </c>
      <c r="J5245" s="35">
        <f t="shared" ref="J5245:J5281" si="752">IF(G5245=1,SUM(W5245,AJ5245,AW5245,-H5245),0)</f>
        <v>0</v>
      </c>
      <c r="K5245" s="36"/>
      <c r="L5245" s="36"/>
      <c r="M5245" s="36"/>
      <c r="N5245" s="36"/>
      <c r="O5245" s="36"/>
      <c r="P5245" s="36"/>
      <c r="Q5245" s="36"/>
      <c r="R5245" s="36"/>
      <c r="S5245" s="36"/>
      <c r="T5245" s="36"/>
      <c r="U5245" s="36"/>
      <c r="V5245" s="36"/>
      <c r="W5245" s="15">
        <f t="shared" ref="W5245:W5281" si="753">SUM(K5245:V5245)</f>
        <v>0</v>
      </c>
      <c r="X5245" s="36"/>
      <c r="Y5245" s="36"/>
      <c r="Z5245" s="36"/>
      <c r="AA5245" s="36"/>
      <c r="AB5245" s="36"/>
      <c r="AC5245" s="36"/>
      <c r="AD5245" s="36"/>
      <c r="AE5245" s="36"/>
      <c r="AF5245" s="36"/>
      <c r="AG5245" s="36"/>
      <c r="AH5245" s="36"/>
      <c r="AI5245" s="36">
        <v>400</v>
      </c>
      <c r="AJ5245" s="15">
        <f t="shared" ref="AJ5245:AJ5281" si="754">SUM(X5245:AI5245)</f>
        <v>400</v>
      </c>
      <c r="AK5245" s="14"/>
      <c r="AL5245" s="14"/>
      <c r="AM5245" s="14"/>
      <c r="AN5245" s="14"/>
      <c r="AO5245" s="14"/>
      <c r="AP5245" s="14"/>
      <c r="AQ5245" s="14"/>
      <c r="AR5245" s="14"/>
      <c r="AS5245" s="14"/>
      <c r="AT5245" s="14"/>
      <c r="AU5245" s="14"/>
      <c r="AV5245" s="14"/>
      <c r="AW5245" s="15">
        <f t="shared" ref="AW5245:AW5281" si="755">SUM(AK5245:AV5245)</f>
        <v>0</v>
      </c>
      <c r="AX5245" s="16"/>
    </row>
    <row r="5246" spans="2:50" x14ac:dyDescent="0.2">
      <c r="B5246" s="7"/>
      <c r="C5246" s="8">
        <v>15443</v>
      </c>
      <c r="D5246" s="9" t="s">
        <v>286</v>
      </c>
      <c r="E5246" s="10" t="str">
        <f t="shared" si="750"/>
        <v>Rancho Zinamba No. 20</v>
      </c>
      <c r="F5246" s="10" t="str">
        <f t="shared" si="751"/>
        <v>Cruz Vallejo</v>
      </c>
      <c r="G5246" s="8">
        <v>1</v>
      </c>
      <c r="H5246" s="11">
        <v>1200</v>
      </c>
      <c r="I5246" s="12">
        <v>43065</v>
      </c>
      <c r="J5246" s="35">
        <f t="shared" si="752"/>
        <v>0</v>
      </c>
      <c r="K5246" s="36"/>
      <c r="L5246" s="36"/>
      <c r="M5246" s="36"/>
      <c r="N5246" s="36"/>
      <c r="O5246" s="36"/>
      <c r="P5246" s="36"/>
      <c r="Q5246" s="36"/>
      <c r="R5246" s="36"/>
      <c r="S5246" s="36"/>
      <c r="T5246" s="36"/>
      <c r="U5246" s="36"/>
      <c r="V5246" s="36"/>
      <c r="W5246" s="15">
        <f t="shared" si="753"/>
        <v>0</v>
      </c>
      <c r="X5246" s="36"/>
      <c r="Y5246" s="36"/>
      <c r="Z5246" s="36"/>
      <c r="AA5246" s="36"/>
      <c r="AB5246" s="36"/>
      <c r="AC5246" s="36"/>
      <c r="AD5246" s="36"/>
      <c r="AE5246" s="36"/>
      <c r="AF5246" s="36"/>
      <c r="AG5246" s="36">
        <v>400</v>
      </c>
      <c r="AH5246" s="36">
        <v>400</v>
      </c>
      <c r="AI5246" s="36">
        <v>400</v>
      </c>
      <c r="AJ5246" s="15">
        <f t="shared" si="754"/>
        <v>1200</v>
      </c>
      <c r="AK5246" s="14"/>
      <c r="AL5246" s="14"/>
      <c r="AM5246" s="14"/>
      <c r="AN5246" s="14"/>
      <c r="AO5246" s="14"/>
      <c r="AP5246" s="14"/>
      <c r="AQ5246" s="14"/>
      <c r="AR5246" s="14"/>
      <c r="AS5246" s="14"/>
      <c r="AT5246" s="14"/>
      <c r="AU5246" s="14"/>
      <c r="AV5246" s="14"/>
      <c r="AW5246" s="15">
        <f t="shared" si="755"/>
        <v>0</v>
      </c>
      <c r="AX5246" s="16"/>
    </row>
    <row r="5247" spans="2:50" x14ac:dyDescent="0.2">
      <c r="B5247" s="7"/>
      <c r="C5247" s="8">
        <v>15444</v>
      </c>
      <c r="D5247" s="9" t="s">
        <v>625</v>
      </c>
      <c r="E5247" s="10" t="str">
        <f t="shared" si="750"/>
        <v>Rancho Upácuaro No. 60</v>
      </c>
      <c r="F5247" s="10" t="str">
        <f t="shared" si="751"/>
        <v>Zavala</v>
      </c>
      <c r="G5247" s="8">
        <v>1</v>
      </c>
      <c r="H5247" s="11">
        <v>800</v>
      </c>
      <c r="I5247" s="12">
        <v>43065</v>
      </c>
      <c r="J5247" s="35">
        <f t="shared" si="752"/>
        <v>0</v>
      </c>
      <c r="K5247" s="36"/>
      <c r="L5247" s="36"/>
      <c r="M5247" s="36"/>
      <c r="N5247" s="36"/>
      <c r="O5247" s="36"/>
      <c r="P5247" s="36"/>
      <c r="Q5247" s="36"/>
      <c r="R5247" s="36"/>
      <c r="S5247" s="36"/>
      <c r="T5247" s="36"/>
      <c r="U5247" s="36"/>
      <c r="V5247" s="36"/>
      <c r="W5247" s="15">
        <f t="shared" si="753"/>
        <v>0</v>
      </c>
      <c r="X5247" s="36"/>
      <c r="Y5247" s="36"/>
      <c r="Z5247" s="36"/>
      <c r="AA5247" s="36"/>
      <c r="AB5247" s="36"/>
      <c r="AC5247" s="36"/>
      <c r="AD5247" s="36"/>
      <c r="AE5247" s="36"/>
      <c r="AF5247" s="36"/>
      <c r="AG5247" s="36"/>
      <c r="AH5247" s="36">
        <v>400</v>
      </c>
      <c r="AI5247" s="36">
        <v>400</v>
      </c>
      <c r="AJ5247" s="15">
        <f t="shared" si="754"/>
        <v>800</v>
      </c>
      <c r="AK5247" s="14"/>
      <c r="AL5247" s="14"/>
      <c r="AM5247" s="14"/>
      <c r="AN5247" s="14"/>
      <c r="AO5247" s="14"/>
      <c r="AP5247" s="14"/>
      <c r="AQ5247" s="14"/>
      <c r="AR5247" s="14"/>
      <c r="AS5247" s="14"/>
      <c r="AT5247" s="14"/>
      <c r="AU5247" s="14"/>
      <c r="AV5247" s="14"/>
      <c r="AW5247" s="15">
        <f t="shared" si="755"/>
        <v>0</v>
      </c>
      <c r="AX5247" s="16"/>
    </row>
    <row r="5248" spans="2:50" x14ac:dyDescent="0.2">
      <c r="B5248" s="7"/>
      <c r="C5248" s="8">
        <v>15445</v>
      </c>
      <c r="D5248" s="9" t="s">
        <v>797</v>
      </c>
      <c r="E5248" s="10" t="str">
        <f t="shared" si="750"/>
        <v>Rancho Recoveco No. 195</v>
      </c>
      <c r="F5248" s="10" t="str">
        <f t="shared" si="751"/>
        <v>Sandoval</v>
      </c>
      <c r="G5248" s="8">
        <v>1</v>
      </c>
      <c r="H5248" s="11">
        <v>500</v>
      </c>
      <c r="I5248" s="12">
        <v>43065</v>
      </c>
      <c r="J5248" s="35">
        <f t="shared" si="752"/>
        <v>0</v>
      </c>
      <c r="K5248" s="36"/>
      <c r="L5248" s="36"/>
      <c r="M5248" s="36"/>
      <c r="N5248" s="36"/>
      <c r="O5248" s="36"/>
      <c r="P5248" s="36"/>
      <c r="Q5248" s="36"/>
      <c r="R5248" s="36"/>
      <c r="S5248" s="36"/>
      <c r="T5248" s="36"/>
      <c r="U5248" s="36"/>
      <c r="V5248" s="36"/>
      <c r="W5248" s="15">
        <f t="shared" si="753"/>
        <v>0</v>
      </c>
      <c r="X5248" s="36"/>
      <c r="Y5248" s="36"/>
      <c r="Z5248" s="36"/>
      <c r="AA5248" s="36"/>
      <c r="AB5248" s="36"/>
      <c r="AC5248" s="36"/>
      <c r="AD5248" s="36"/>
      <c r="AE5248" s="36"/>
      <c r="AF5248" s="36"/>
      <c r="AG5248" s="36"/>
      <c r="AH5248" s="36">
        <v>250</v>
      </c>
      <c r="AI5248" s="36">
        <v>250</v>
      </c>
      <c r="AJ5248" s="15">
        <f t="shared" si="754"/>
        <v>500</v>
      </c>
      <c r="AK5248" s="14"/>
      <c r="AL5248" s="14"/>
      <c r="AM5248" s="14"/>
      <c r="AN5248" s="14"/>
      <c r="AO5248" s="14"/>
      <c r="AP5248" s="14"/>
      <c r="AQ5248" s="14"/>
      <c r="AR5248" s="14"/>
      <c r="AS5248" s="14"/>
      <c r="AT5248" s="14"/>
      <c r="AU5248" s="14"/>
      <c r="AV5248" s="14"/>
      <c r="AW5248" s="15">
        <f t="shared" si="755"/>
        <v>0</v>
      </c>
      <c r="AX5248" s="16"/>
    </row>
    <row r="5249" spans="2:50" x14ac:dyDescent="0.2">
      <c r="B5249" s="7"/>
      <c r="C5249" s="8">
        <v>15446</v>
      </c>
      <c r="D5249" s="9" t="s">
        <v>235</v>
      </c>
      <c r="E5249" s="10" t="str">
        <f t="shared" si="750"/>
        <v>Rancho La Cuchilla No. 43, A</v>
      </c>
      <c r="F5249" s="10" t="str">
        <f t="shared" si="751"/>
        <v>De la Rosa</v>
      </c>
      <c r="G5249" s="8">
        <v>1</v>
      </c>
      <c r="H5249" s="11">
        <v>400</v>
      </c>
      <c r="I5249" s="12">
        <v>43065</v>
      </c>
      <c r="J5249" s="35">
        <f t="shared" si="752"/>
        <v>0</v>
      </c>
      <c r="K5249" s="36"/>
      <c r="L5249" s="36"/>
      <c r="M5249" s="36"/>
      <c r="N5249" s="36"/>
      <c r="O5249" s="36"/>
      <c r="P5249" s="36"/>
      <c r="Q5249" s="36"/>
      <c r="R5249" s="36"/>
      <c r="S5249" s="36"/>
      <c r="T5249" s="36"/>
      <c r="U5249" s="36"/>
      <c r="V5249" s="36"/>
      <c r="W5249" s="15">
        <f t="shared" si="753"/>
        <v>0</v>
      </c>
      <c r="X5249" s="36"/>
      <c r="Y5249" s="36"/>
      <c r="Z5249" s="36"/>
      <c r="AA5249" s="36"/>
      <c r="AB5249" s="36"/>
      <c r="AC5249" s="36"/>
      <c r="AD5249" s="36"/>
      <c r="AE5249" s="36"/>
      <c r="AF5249" s="36"/>
      <c r="AG5249" s="36">
        <v>400</v>
      </c>
      <c r="AH5249" s="36"/>
      <c r="AI5249" s="36"/>
      <c r="AJ5249" s="15">
        <f t="shared" si="754"/>
        <v>400</v>
      </c>
      <c r="AK5249" s="14"/>
      <c r="AL5249" s="14"/>
      <c r="AM5249" s="14"/>
      <c r="AN5249" s="14"/>
      <c r="AO5249" s="14"/>
      <c r="AP5249" s="14"/>
      <c r="AQ5249" s="14"/>
      <c r="AR5249" s="14"/>
      <c r="AS5249" s="14"/>
      <c r="AT5249" s="14"/>
      <c r="AU5249" s="14"/>
      <c r="AV5249" s="14"/>
      <c r="AW5249" s="15">
        <f t="shared" si="755"/>
        <v>0</v>
      </c>
      <c r="AX5249" s="16"/>
    </row>
    <row r="5250" spans="2:50" x14ac:dyDescent="0.2">
      <c r="B5250" s="7"/>
      <c r="C5250" s="8">
        <v>15447</v>
      </c>
      <c r="D5250" s="9" t="s">
        <v>772</v>
      </c>
      <c r="E5250" s="10" t="str">
        <f t="shared" si="750"/>
        <v>Rancho La Cuchilla No. 79</v>
      </c>
      <c r="F5250" s="10" t="str">
        <f t="shared" si="751"/>
        <v>De la Rosa</v>
      </c>
      <c r="G5250" s="8">
        <v>1</v>
      </c>
      <c r="H5250" s="11">
        <v>400</v>
      </c>
      <c r="I5250" s="12">
        <v>43065</v>
      </c>
      <c r="J5250" s="35">
        <f t="shared" si="752"/>
        <v>0</v>
      </c>
      <c r="K5250" s="36"/>
      <c r="L5250" s="36"/>
      <c r="M5250" s="36"/>
      <c r="N5250" s="36"/>
      <c r="O5250" s="36"/>
      <c r="P5250" s="36"/>
      <c r="Q5250" s="36"/>
      <c r="R5250" s="36"/>
      <c r="S5250" s="36"/>
      <c r="T5250" s="36"/>
      <c r="U5250" s="36"/>
      <c r="V5250" s="36"/>
      <c r="W5250" s="15">
        <f t="shared" si="753"/>
        <v>0</v>
      </c>
      <c r="X5250" s="36"/>
      <c r="Y5250" s="36"/>
      <c r="Z5250" s="36"/>
      <c r="AA5250" s="36"/>
      <c r="AB5250" s="36"/>
      <c r="AC5250" s="36"/>
      <c r="AD5250" s="36"/>
      <c r="AE5250" s="36"/>
      <c r="AF5250" s="36">
        <v>200</v>
      </c>
      <c r="AG5250" s="36">
        <v>200</v>
      </c>
      <c r="AH5250" s="36"/>
      <c r="AI5250" s="36"/>
      <c r="AJ5250" s="15">
        <f t="shared" si="754"/>
        <v>400</v>
      </c>
      <c r="AK5250" s="14"/>
      <c r="AL5250" s="14"/>
      <c r="AM5250" s="14"/>
      <c r="AN5250" s="14"/>
      <c r="AO5250" s="14"/>
      <c r="AP5250" s="14"/>
      <c r="AQ5250" s="14"/>
      <c r="AR5250" s="14"/>
      <c r="AS5250" s="14"/>
      <c r="AT5250" s="14"/>
      <c r="AU5250" s="14"/>
      <c r="AV5250" s="14"/>
      <c r="AW5250" s="15">
        <f t="shared" si="755"/>
        <v>0</v>
      </c>
      <c r="AX5250" s="16"/>
    </row>
    <row r="5251" spans="2:50" x14ac:dyDescent="0.2">
      <c r="B5251" s="7"/>
      <c r="C5251" s="8">
        <v>15448</v>
      </c>
      <c r="D5251" s="9" t="s">
        <v>810</v>
      </c>
      <c r="E5251" s="10" t="str">
        <f t="shared" si="750"/>
        <v>Rancho La Cuchilla No. 90</v>
      </c>
      <c r="F5251" s="10" t="str">
        <f t="shared" si="751"/>
        <v>Porras Fuentes</v>
      </c>
      <c r="G5251" s="8">
        <v>1</v>
      </c>
      <c r="H5251" s="11">
        <v>200</v>
      </c>
      <c r="I5251" s="12">
        <v>43065</v>
      </c>
      <c r="J5251" s="35">
        <f t="shared" si="752"/>
        <v>0</v>
      </c>
      <c r="K5251" s="36"/>
      <c r="L5251" s="36"/>
      <c r="M5251" s="36"/>
      <c r="N5251" s="36"/>
      <c r="O5251" s="36"/>
      <c r="P5251" s="36"/>
      <c r="Q5251" s="36"/>
      <c r="R5251" s="36"/>
      <c r="S5251" s="36"/>
      <c r="T5251" s="36"/>
      <c r="U5251" s="36"/>
      <c r="V5251" s="36"/>
      <c r="W5251" s="15">
        <f t="shared" si="753"/>
        <v>0</v>
      </c>
      <c r="X5251" s="36"/>
      <c r="Y5251" s="36"/>
      <c r="Z5251" s="36"/>
      <c r="AA5251" s="36"/>
      <c r="AB5251" s="36"/>
      <c r="AC5251" s="36"/>
      <c r="AD5251" s="36"/>
      <c r="AE5251" s="36"/>
      <c r="AF5251" s="36"/>
      <c r="AG5251" s="36">
        <v>200</v>
      </c>
      <c r="AH5251" s="36"/>
      <c r="AI5251" s="36"/>
      <c r="AJ5251" s="15">
        <f t="shared" si="754"/>
        <v>200</v>
      </c>
      <c r="AK5251" s="14"/>
      <c r="AL5251" s="14"/>
      <c r="AM5251" s="14"/>
      <c r="AN5251" s="14"/>
      <c r="AO5251" s="14"/>
      <c r="AP5251" s="14"/>
      <c r="AQ5251" s="14"/>
      <c r="AR5251" s="14"/>
      <c r="AS5251" s="14"/>
      <c r="AT5251" s="14"/>
      <c r="AU5251" s="14"/>
      <c r="AV5251" s="14"/>
      <c r="AW5251" s="15">
        <f t="shared" si="755"/>
        <v>0</v>
      </c>
      <c r="AX5251" s="16"/>
    </row>
    <row r="5252" spans="2:50" x14ac:dyDescent="0.2">
      <c r="B5252" s="7"/>
      <c r="C5252" s="8">
        <v>15449</v>
      </c>
      <c r="D5252" s="9" t="s">
        <v>728</v>
      </c>
      <c r="E5252" s="10" t="str">
        <f t="shared" si="750"/>
        <v>Rancho Estanzuela No. 77</v>
      </c>
      <c r="F5252" s="10" t="str">
        <f t="shared" si="751"/>
        <v>De la Rosa Rico</v>
      </c>
      <c r="G5252" s="8">
        <v>1</v>
      </c>
      <c r="H5252" s="11">
        <v>400</v>
      </c>
      <c r="I5252" s="12">
        <v>43065</v>
      </c>
      <c r="J5252" s="35">
        <f t="shared" si="752"/>
        <v>0</v>
      </c>
      <c r="K5252" s="36"/>
      <c r="L5252" s="36"/>
      <c r="M5252" s="36"/>
      <c r="N5252" s="36"/>
      <c r="O5252" s="36"/>
      <c r="P5252" s="36"/>
      <c r="Q5252" s="36"/>
      <c r="R5252" s="36"/>
      <c r="S5252" s="36"/>
      <c r="T5252" s="36"/>
      <c r="U5252" s="36"/>
      <c r="V5252" s="36"/>
      <c r="W5252" s="15">
        <f t="shared" si="753"/>
        <v>0</v>
      </c>
      <c r="X5252" s="36"/>
      <c r="Y5252" s="36"/>
      <c r="Z5252" s="36"/>
      <c r="AA5252" s="36"/>
      <c r="AB5252" s="36"/>
      <c r="AC5252" s="36"/>
      <c r="AD5252" s="36"/>
      <c r="AE5252" s="36"/>
      <c r="AF5252" s="36"/>
      <c r="AG5252" s="36">
        <v>400</v>
      </c>
      <c r="AH5252" s="36"/>
      <c r="AI5252" s="36"/>
      <c r="AJ5252" s="15">
        <f t="shared" si="754"/>
        <v>400</v>
      </c>
      <c r="AK5252" s="14"/>
      <c r="AL5252" s="14"/>
      <c r="AM5252" s="14"/>
      <c r="AN5252" s="14"/>
      <c r="AO5252" s="14"/>
      <c r="AP5252" s="14"/>
      <c r="AQ5252" s="14"/>
      <c r="AR5252" s="14"/>
      <c r="AS5252" s="14"/>
      <c r="AT5252" s="14"/>
      <c r="AU5252" s="14"/>
      <c r="AV5252" s="14"/>
      <c r="AW5252" s="15">
        <f t="shared" si="755"/>
        <v>0</v>
      </c>
      <c r="AX5252" s="16"/>
    </row>
    <row r="5253" spans="2:50" x14ac:dyDescent="0.2">
      <c r="B5253" s="7"/>
      <c r="C5253" s="8">
        <v>15450</v>
      </c>
      <c r="D5253" s="9" t="s">
        <v>1020</v>
      </c>
      <c r="E5253" s="10" t="str">
        <f t="shared" si="750"/>
        <v>Rancho Landero No. 52</v>
      </c>
      <c r="F5253" s="10" t="str">
        <f t="shared" si="751"/>
        <v>Feregrino</v>
      </c>
      <c r="G5253" s="8">
        <v>1</v>
      </c>
      <c r="H5253" s="11">
        <v>1200</v>
      </c>
      <c r="I5253" s="12">
        <v>43065</v>
      </c>
      <c r="J5253" s="35">
        <f t="shared" si="752"/>
        <v>0</v>
      </c>
      <c r="K5253" s="36"/>
      <c r="L5253" s="36"/>
      <c r="M5253" s="36"/>
      <c r="N5253" s="36"/>
      <c r="O5253" s="36"/>
      <c r="P5253" s="36"/>
      <c r="Q5253" s="36"/>
      <c r="R5253" s="36"/>
      <c r="S5253" s="36"/>
      <c r="T5253" s="36"/>
      <c r="U5253" s="36"/>
      <c r="V5253" s="36"/>
      <c r="W5253" s="15">
        <f t="shared" si="753"/>
        <v>0</v>
      </c>
      <c r="X5253" s="36"/>
      <c r="Y5253" s="36"/>
      <c r="Z5253" s="36"/>
      <c r="AA5253" s="36"/>
      <c r="AB5253" s="36"/>
      <c r="AC5253" s="36"/>
      <c r="AD5253" s="36"/>
      <c r="AE5253" s="36"/>
      <c r="AF5253" s="36"/>
      <c r="AG5253" s="36">
        <v>400</v>
      </c>
      <c r="AH5253" s="36">
        <v>400</v>
      </c>
      <c r="AI5253" s="36">
        <v>400</v>
      </c>
      <c r="AJ5253" s="15">
        <f t="shared" si="754"/>
        <v>1200</v>
      </c>
      <c r="AK5253" s="14"/>
      <c r="AL5253" s="14"/>
      <c r="AM5253" s="14"/>
      <c r="AN5253" s="14"/>
      <c r="AO5253" s="14"/>
      <c r="AP5253" s="14"/>
      <c r="AQ5253" s="14"/>
      <c r="AR5253" s="14"/>
      <c r="AS5253" s="14"/>
      <c r="AT5253" s="14"/>
      <c r="AU5253" s="14"/>
      <c r="AV5253" s="14"/>
      <c r="AW5253" s="15">
        <f t="shared" si="755"/>
        <v>0</v>
      </c>
      <c r="AX5253" s="16"/>
    </row>
    <row r="5254" spans="2:50" x14ac:dyDescent="0.2">
      <c r="B5254" s="7"/>
      <c r="C5254" s="8">
        <v>15451</v>
      </c>
      <c r="D5254" s="9" t="s">
        <v>740</v>
      </c>
      <c r="E5254" s="10" t="str">
        <f t="shared" si="750"/>
        <v>Rancho Upácuaro No. 65</v>
      </c>
      <c r="F5254" s="10" t="str">
        <f t="shared" si="751"/>
        <v>Cruz González</v>
      </c>
      <c r="G5254" s="8">
        <v>1</v>
      </c>
      <c r="H5254" s="11">
        <v>1200</v>
      </c>
      <c r="I5254" s="12">
        <v>43065</v>
      </c>
      <c r="J5254" s="35">
        <f t="shared" si="752"/>
        <v>0</v>
      </c>
      <c r="K5254" s="36"/>
      <c r="L5254" s="36"/>
      <c r="M5254" s="36"/>
      <c r="N5254" s="36"/>
      <c r="O5254" s="36"/>
      <c r="P5254" s="36"/>
      <c r="Q5254" s="36"/>
      <c r="R5254" s="36"/>
      <c r="S5254" s="36"/>
      <c r="T5254" s="36"/>
      <c r="U5254" s="36"/>
      <c r="V5254" s="36"/>
      <c r="W5254" s="15">
        <f t="shared" si="753"/>
        <v>0</v>
      </c>
      <c r="X5254" s="36"/>
      <c r="Y5254" s="36"/>
      <c r="Z5254" s="36"/>
      <c r="AA5254" s="36"/>
      <c r="AB5254" s="36"/>
      <c r="AC5254" s="36"/>
      <c r="AD5254" s="36"/>
      <c r="AE5254" s="36"/>
      <c r="AF5254" s="36">
        <v>400</v>
      </c>
      <c r="AG5254" s="36">
        <v>400</v>
      </c>
      <c r="AH5254" s="36">
        <v>400</v>
      </c>
      <c r="AI5254" s="36"/>
      <c r="AJ5254" s="15">
        <f t="shared" si="754"/>
        <v>1200</v>
      </c>
      <c r="AK5254" s="14"/>
      <c r="AL5254" s="14"/>
      <c r="AM5254" s="14"/>
      <c r="AN5254" s="14"/>
      <c r="AO5254" s="14"/>
      <c r="AP5254" s="14"/>
      <c r="AQ5254" s="14"/>
      <c r="AR5254" s="14"/>
      <c r="AS5254" s="14"/>
      <c r="AT5254" s="14"/>
      <c r="AU5254" s="14"/>
      <c r="AV5254" s="14"/>
      <c r="AW5254" s="15">
        <f t="shared" si="755"/>
        <v>0</v>
      </c>
      <c r="AX5254" s="16"/>
    </row>
    <row r="5255" spans="2:50" x14ac:dyDescent="0.2">
      <c r="B5255" s="7"/>
      <c r="C5255" s="8">
        <v>15452</v>
      </c>
      <c r="D5255" s="9" t="s">
        <v>62</v>
      </c>
      <c r="E5255" s="10" t="str">
        <f t="shared" si="750"/>
        <v>Rancho Romeral No. 10, A</v>
      </c>
      <c r="F5255" s="10" t="str">
        <f t="shared" si="751"/>
        <v>Casillas Álvarez</v>
      </c>
      <c r="G5255" s="8">
        <v>1</v>
      </c>
      <c r="H5255" s="11">
        <v>200</v>
      </c>
      <c r="I5255" s="12">
        <v>43065</v>
      </c>
      <c r="J5255" s="35">
        <f t="shared" si="752"/>
        <v>0</v>
      </c>
      <c r="K5255" s="36"/>
      <c r="L5255" s="36"/>
      <c r="M5255" s="36"/>
      <c r="N5255" s="36"/>
      <c r="O5255" s="36"/>
      <c r="P5255" s="36"/>
      <c r="Q5255" s="36"/>
      <c r="R5255" s="36"/>
      <c r="S5255" s="36"/>
      <c r="T5255" s="36"/>
      <c r="U5255" s="36"/>
      <c r="V5255" s="36"/>
      <c r="W5255" s="15">
        <f t="shared" si="753"/>
        <v>0</v>
      </c>
      <c r="X5255" s="36"/>
      <c r="Y5255" s="36"/>
      <c r="Z5255" s="36"/>
      <c r="AA5255" s="36"/>
      <c r="AB5255" s="36"/>
      <c r="AC5255" s="36"/>
      <c r="AD5255" s="36"/>
      <c r="AE5255" s="36"/>
      <c r="AF5255" s="36"/>
      <c r="AG5255" s="36"/>
      <c r="AH5255" s="36"/>
      <c r="AI5255" s="36">
        <v>200</v>
      </c>
      <c r="AJ5255" s="15">
        <f t="shared" si="754"/>
        <v>200</v>
      </c>
      <c r="AK5255" s="14"/>
      <c r="AL5255" s="14"/>
      <c r="AM5255" s="14"/>
      <c r="AN5255" s="14"/>
      <c r="AO5255" s="14"/>
      <c r="AP5255" s="14"/>
      <c r="AQ5255" s="14"/>
      <c r="AR5255" s="14"/>
      <c r="AS5255" s="14"/>
      <c r="AT5255" s="14"/>
      <c r="AU5255" s="14"/>
      <c r="AV5255" s="14"/>
      <c r="AW5255" s="15">
        <f t="shared" si="755"/>
        <v>0</v>
      </c>
      <c r="AX5255" s="16"/>
    </row>
    <row r="5256" spans="2:50" x14ac:dyDescent="0.2">
      <c r="B5256" s="7"/>
      <c r="C5256" s="8">
        <v>15453</v>
      </c>
      <c r="D5256" s="9" t="s">
        <v>112</v>
      </c>
      <c r="E5256" s="10" t="str">
        <f t="shared" si="750"/>
        <v>Rancho Estanzuela No. 129</v>
      </c>
      <c r="F5256" s="10" t="str">
        <f t="shared" si="751"/>
        <v>Sta. María Mendoza</v>
      </c>
      <c r="G5256" s="8">
        <v>1</v>
      </c>
      <c r="H5256" s="11">
        <v>250</v>
      </c>
      <c r="I5256" s="12">
        <v>43065</v>
      </c>
      <c r="J5256" s="35">
        <f t="shared" si="752"/>
        <v>0</v>
      </c>
      <c r="K5256" s="36"/>
      <c r="L5256" s="36"/>
      <c r="M5256" s="36"/>
      <c r="N5256" s="36"/>
      <c r="O5256" s="36"/>
      <c r="P5256" s="36"/>
      <c r="Q5256" s="36"/>
      <c r="R5256" s="36"/>
      <c r="S5256" s="36"/>
      <c r="T5256" s="36"/>
      <c r="U5256" s="36"/>
      <c r="V5256" s="36"/>
      <c r="W5256" s="15">
        <f t="shared" si="753"/>
        <v>0</v>
      </c>
      <c r="X5256" s="36"/>
      <c r="Y5256" s="36"/>
      <c r="Z5256" s="36"/>
      <c r="AA5256" s="36"/>
      <c r="AB5256" s="36"/>
      <c r="AC5256" s="36"/>
      <c r="AD5256" s="36"/>
      <c r="AE5256" s="36"/>
      <c r="AF5256" s="36"/>
      <c r="AG5256" s="36"/>
      <c r="AH5256" s="36">
        <v>250</v>
      </c>
      <c r="AI5256" s="36"/>
      <c r="AJ5256" s="15">
        <f t="shared" si="754"/>
        <v>250</v>
      </c>
      <c r="AK5256" s="14"/>
      <c r="AL5256" s="14"/>
      <c r="AM5256" s="14"/>
      <c r="AN5256" s="14"/>
      <c r="AO5256" s="14"/>
      <c r="AP5256" s="14"/>
      <c r="AQ5256" s="14"/>
      <c r="AR5256" s="14"/>
      <c r="AS5256" s="14"/>
      <c r="AT5256" s="14"/>
      <c r="AU5256" s="14"/>
      <c r="AV5256" s="14"/>
      <c r="AW5256" s="15">
        <f t="shared" si="755"/>
        <v>0</v>
      </c>
      <c r="AX5256" s="16"/>
    </row>
    <row r="5257" spans="2:50" x14ac:dyDescent="0.2">
      <c r="B5257" s="7"/>
      <c r="C5257" s="8">
        <v>15454</v>
      </c>
      <c r="D5257" s="9" t="s">
        <v>1017</v>
      </c>
      <c r="E5257" s="10" t="str">
        <f t="shared" si="750"/>
        <v>Rancho Estanzuela No. 119, 3</v>
      </c>
      <c r="F5257" s="10" t="str">
        <f t="shared" si="751"/>
        <v>Montecillo</v>
      </c>
      <c r="G5257" s="8">
        <v>1</v>
      </c>
      <c r="H5257" s="11">
        <v>400</v>
      </c>
      <c r="I5257" s="12">
        <v>43065</v>
      </c>
      <c r="J5257" s="35">
        <f t="shared" si="752"/>
        <v>0</v>
      </c>
      <c r="K5257" s="36"/>
      <c r="L5257" s="36"/>
      <c r="M5257" s="36"/>
      <c r="N5257" s="36"/>
      <c r="O5257" s="36"/>
      <c r="P5257" s="36"/>
      <c r="Q5257" s="36"/>
      <c r="R5257" s="36"/>
      <c r="S5257" s="36"/>
      <c r="T5257" s="36"/>
      <c r="U5257" s="36"/>
      <c r="V5257" s="36"/>
      <c r="W5257" s="15">
        <f t="shared" si="753"/>
        <v>0</v>
      </c>
      <c r="X5257" s="36"/>
      <c r="Y5257" s="36"/>
      <c r="Z5257" s="36"/>
      <c r="AA5257" s="36"/>
      <c r="AB5257" s="36"/>
      <c r="AC5257" s="36"/>
      <c r="AD5257" s="36"/>
      <c r="AE5257" s="36"/>
      <c r="AF5257" s="36"/>
      <c r="AG5257" s="36"/>
      <c r="AH5257" s="36">
        <v>200</v>
      </c>
      <c r="AI5257" s="36">
        <v>200</v>
      </c>
      <c r="AJ5257" s="15">
        <f t="shared" si="754"/>
        <v>400</v>
      </c>
      <c r="AK5257" s="14"/>
      <c r="AL5257" s="14"/>
      <c r="AM5257" s="14"/>
      <c r="AN5257" s="14"/>
      <c r="AO5257" s="14"/>
      <c r="AP5257" s="14"/>
      <c r="AQ5257" s="14"/>
      <c r="AR5257" s="14"/>
      <c r="AS5257" s="14"/>
      <c r="AT5257" s="14"/>
      <c r="AU5257" s="14"/>
      <c r="AV5257" s="14"/>
      <c r="AW5257" s="15">
        <f t="shared" si="755"/>
        <v>0</v>
      </c>
      <c r="AX5257" s="16"/>
    </row>
    <row r="5258" spans="2:50" x14ac:dyDescent="0.2">
      <c r="B5258" s="7"/>
      <c r="C5258" s="8">
        <v>15455</v>
      </c>
      <c r="D5258" s="9" t="s">
        <v>189</v>
      </c>
      <c r="E5258" s="10" t="str">
        <f t="shared" si="750"/>
        <v>Rancho La Cuchilla No. 42</v>
      </c>
      <c r="F5258" s="10" t="str">
        <f t="shared" si="751"/>
        <v>Mac Kinney</v>
      </c>
      <c r="G5258" s="8">
        <v>1</v>
      </c>
      <c r="H5258" s="11">
        <v>800</v>
      </c>
      <c r="I5258" s="12">
        <v>43065</v>
      </c>
      <c r="J5258" s="35">
        <f t="shared" si="752"/>
        <v>0</v>
      </c>
      <c r="K5258" s="36"/>
      <c r="L5258" s="36"/>
      <c r="M5258" s="36"/>
      <c r="N5258" s="36"/>
      <c r="O5258" s="36"/>
      <c r="P5258" s="36"/>
      <c r="Q5258" s="36"/>
      <c r="R5258" s="36"/>
      <c r="S5258" s="36"/>
      <c r="T5258" s="36"/>
      <c r="U5258" s="36"/>
      <c r="V5258" s="36"/>
      <c r="W5258" s="15">
        <f t="shared" si="753"/>
        <v>0</v>
      </c>
      <c r="X5258" s="36"/>
      <c r="Y5258" s="36"/>
      <c r="Z5258" s="36"/>
      <c r="AA5258" s="36"/>
      <c r="AB5258" s="36"/>
      <c r="AC5258" s="36"/>
      <c r="AD5258" s="36">
        <v>400</v>
      </c>
      <c r="AE5258" s="36">
        <v>400</v>
      </c>
      <c r="AF5258" s="36"/>
      <c r="AG5258" s="36"/>
      <c r="AH5258" s="36"/>
      <c r="AI5258" s="36"/>
      <c r="AJ5258" s="15">
        <f t="shared" si="754"/>
        <v>800</v>
      </c>
      <c r="AK5258" s="14"/>
      <c r="AL5258" s="14"/>
      <c r="AM5258" s="14"/>
      <c r="AN5258" s="14"/>
      <c r="AO5258" s="14"/>
      <c r="AP5258" s="14"/>
      <c r="AQ5258" s="14"/>
      <c r="AR5258" s="14"/>
      <c r="AS5258" s="14"/>
      <c r="AT5258" s="14"/>
      <c r="AU5258" s="14"/>
      <c r="AV5258" s="14"/>
      <c r="AW5258" s="15">
        <f t="shared" si="755"/>
        <v>0</v>
      </c>
      <c r="AX5258" s="16"/>
    </row>
    <row r="5259" spans="2:50" x14ac:dyDescent="0.2">
      <c r="B5259" s="7"/>
      <c r="C5259" s="8">
        <v>15456</v>
      </c>
      <c r="D5259" s="9" t="s">
        <v>103</v>
      </c>
      <c r="E5259" s="10" t="str">
        <f t="shared" si="750"/>
        <v>Rancho La Cuchilla No. 41</v>
      </c>
      <c r="F5259" s="10" t="str">
        <f t="shared" si="751"/>
        <v>Arriaga Lemus</v>
      </c>
      <c r="G5259" s="8">
        <v>1</v>
      </c>
      <c r="H5259" s="11">
        <v>400</v>
      </c>
      <c r="I5259" s="12">
        <v>43065</v>
      </c>
      <c r="J5259" s="35">
        <f t="shared" si="752"/>
        <v>0</v>
      </c>
      <c r="K5259" s="36"/>
      <c r="L5259" s="36"/>
      <c r="M5259" s="36"/>
      <c r="N5259" s="36"/>
      <c r="O5259" s="36"/>
      <c r="P5259" s="36"/>
      <c r="Q5259" s="36"/>
      <c r="R5259" s="36"/>
      <c r="S5259" s="36"/>
      <c r="T5259" s="36"/>
      <c r="U5259" s="36"/>
      <c r="V5259" s="36"/>
      <c r="W5259" s="15">
        <f t="shared" si="753"/>
        <v>0</v>
      </c>
      <c r="X5259" s="36"/>
      <c r="Y5259" s="36"/>
      <c r="Z5259" s="36"/>
      <c r="AA5259" s="36"/>
      <c r="AB5259" s="36"/>
      <c r="AC5259" s="36"/>
      <c r="AD5259" s="36"/>
      <c r="AE5259" s="36"/>
      <c r="AF5259" s="36"/>
      <c r="AG5259" s="36"/>
      <c r="AH5259" s="36">
        <v>400</v>
      </c>
      <c r="AI5259" s="36"/>
      <c r="AJ5259" s="15">
        <f t="shared" si="754"/>
        <v>400</v>
      </c>
      <c r="AK5259" s="14"/>
      <c r="AL5259" s="14"/>
      <c r="AM5259" s="14"/>
      <c r="AN5259" s="14"/>
      <c r="AO5259" s="14"/>
      <c r="AP5259" s="14"/>
      <c r="AQ5259" s="14"/>
      <c r="AR5259" s="14"/>
      <c r="AS5259" s="14"/>
      <c r="AT5259" s="14"/>
      <c r="AU5259" s="14"/>
      <c r="AV5259" s="14"/>
      <c r="AW5259" s="15">
        <f t="shared" si="755"/>
        <v>0</v>
      </c>
      <c r="AX5259" s="16"/>
    </row>
    <row r="5260" spans="2:50" x14ac:dyDescent="0.2">
      <c r="B5260" s="7"/>
      <c r="C5260" s="8">
        <v>15457</v>
      </c>
      <c r="D5260" s="9" t="s">
        <v>58</v>
      </c>
      <c r="E5260" s="10" t="str">
        <f t="shared" si="750"/>
        <v>Rancho Landero No. 19</v>
      </c>
      <c r="F5260" s="10" t="str">
        <f t="shared" si="751"/>
        <v>Becerril Amaya</v>
      </c>
      <c r="G5260" s="8">
        <v>1</v>
      </c>
      <c r="H5260" s="11">
        <v>600</v>
      </c>
      <c r="I5260" s="12">
        <v>43065</v>
      </c>
      <c r="J5260" s="35">
        <f t="shared" si="752"/>
        <v>0</v>
      </c>
      <c r="K5260" s="36"/>
      <c r="L5260" s="36"/>
      <c r="M5260" s="36"/>
      <c r="N5260" s="36"/>
      <c r="O5260" s="36"/>
      <c r="P5260" s="36"/>
      <c r="Q5260" s="36"/>
      <c r="R5260" s="36"/>
      <c r="S5260" s="36"/>
      <c r="T5260" s="36"/>
      <c r="U5260" s="36"/>
      <c r="V5260" s="36"/>
      <c r="W5260" s="15">
        <f t="shared" si="753"/>
        <v>0</v>
      </c>
      <c r="X5260" s="36"/>
      <c r="Y5260" s="36"/>
      <c r="Z5260" s="36"/>
      <c r="AA5260" s="36"/>
      <c r="AB5260" s="36"/>
      <c r="AC5260" s="36"/>
      <c r="AD5260" s="36"/>
      <c r="AE5260" s="36"/>
      <c r="AF5260" s="36"/>
      <c r="AG5260" s="36"/>
      <c r="AH5260" s="36">
        <v>300</v>
      </c>
      <c r="AI5260" s="36">
        <v>300</v>
      </c>
      <c r="AJ5260" s="15">
        <f t="shared" si="754"/>
        <v>600</v>
      </c>
      <c r="AK5260" s="14"/>
      <c r="AL5260" s="14"/>
      <c r="AM5260" s="14"/>
      <c r="AN5260" s="14"/>
      <c r="AO5260" s="14"/>
      <c r="AP5260" s="14"/>
      <c r="AQ5260" s="14"/>
      <c r="AR5260" s="14"/>
      <c r="AS5260" s="14"/>
      <c r="AT5260" s="14"/>
      <c r="AU5260" s="14"/>
      <c r="AV5260" s="14"/>
      <c r="AW5260" s="15">
        <f t="shared" si="755"/>
        <v>0</v>
      </c>
      <c r="AX5260" s="16"/>
    </row>
    <row r="5261" spans="2:50" x14ac:dyDescent="0.2">
      <c r="B5261" s="7"/>
      <c r="C5261" s="8">
        <v>15458</v>
      </c>
      <c r="D5261" s="9" t="s">
        <v>97</v>
      </c>
      <c r="E5261" s="10" t="str">
        <f t="shared" si="750"/>
        <v>Rancho La Cuchilla No. 78</v>
      </c>
      <c r="F5261" s="10" t="str">
        <f t="shared" si="751"/>
        <v>García</v>
      </c>
      <c r="G5261" s="8">
        <v>1</v>
      </c>
      <c r="H5261" s="11">
        <v>400</v>
      </c>
      <c r="I5261" s="12">
        <v>43065</v>
      </c>
      <c r="J5261" s="35">
        <f t="shared" si="752"/>
        <v>0</v>
      </c>
      <c r="K5261" s="36"/>
      <c r="L5261" s="36"/>
      <c r="M5261" s="36"/>
      <c r="N5261" s="36"/>
      <c r="O5261" s="36"/>
      <c r="P5261" s="36"/>
      <c r="Q5261" s="36"/>
      <c r="R5261" s="36"/>
      <c r="S5261" s="36"/>
      <c r="T5261" s="36"/>
      <c r="U5261" s="36"/>
      <c r="V5261" s="36"/>
      <c r="W5261" s="15">
        <f t="shared" si="753"/>
        <v>0</v>
      </c>
      <c r="X5261" s="36"/>
      <c r="Y5261" s="36"/>
      <c r="Z5261" s="36"/>
      <c r="AA5261" s="36"/>
      <c r="AB5261" s="36"/>
      <c r="AC5261" s="36"/>
      <c r="AD5261" s="36"/>
      <c r="AE5261" s="36"/>
      <c r="AF5261" s="36"/>
      <c r="AG5261" s="36"/>
      <c r="AH5261" s="36"/>
      <c r="AI5261" s="36">
        <v>400</v>
      </c>
      <c r="AJ5261" s="15">
        <f t="shared" si="754"/>
        <v>400</v>
      </c>
      <c r="AK5261" s="14"/>
      <c r="AL5261" s="14"/>
      <c r="AM5261" s="14"/>
      <c r="AN5261" s="14"/>
      <c r="AO5261" s="14"/>
      <c r="AP5261" s="14"/>
      <c r="AQ5261" s="14"/>
      <c r="AR5261" s="14"/>
      <c r="AS5261" s="14"/>
      <c r="AT5261" s="14"/>
      <c r="AU5261" s="14"/>
      <c r="AV5261" s="14"/>
      <c r="AW5261" s="15">
        <f t="shared" si="755"/>
        <v>0</v>
      </c>
      <c r="AX5261" s="16"/>
    </row>
    <row r="5262" spans="2:50" x14ac:dyDescent="0.2">
      <c r="B5262" s="7"/>
      <c r="C5262" s="8">
        <v>15459</v>
      </c>
      <c r="D5262" s="9" t="s">
        <v>355</v>
      </c>
      <c r="E5262" s="10" t="str">
        <f t="shared" si="750"/>
        <v>Rancho Estanzuela No. 11, A</v>
      </c>
      <c r="F5262" s="10" t="str">
        <f t="shared" si="751"/>
        <v>Evans González</v>
      </c>
      <c r="G5262" s="8">
        <v>1</v>
      </c>
      <c r="H5262" s="11">
        <v>600</v>
      </c>
      <c r="I5262" s="12">
        <v>43065</v>
      </c>
      <c r="J5262" s="35">
        <f t="shared" si="752"/>
        <v>0</v>
      </c>
      <c r="K5262" s="36"/>
      <c r="L5262" s="36"/>
      <c r="M5262" s="36"/>
      <c r="N5262" s="36"/>
      <c r="O5262" s="36"/>
      <c r="P5262" s="36"/>
      <c r="Q5262" s="36"/>
      <c r="R5262" s="36"/>
      <c r="S5262" s="36"/>
      <c r="T5262" s="36"/>
      <c r="U5262" s="36"/>
      <c r="V5262" s="36"/>
      <c r="W5262" s="15">
        <f t="shared" si="753"/>
        <v>0</v>
      </c>
      <c r="X5262" s="36"/>
      <c r="Y5262" s="36"/>
      <c r="Z5262" s="36"/>
      <c r="AA5262" s="36"/>
      <c r="AB5262" s="36"/>
      <c r="AC5262" s="36"/>
      <c r="AD5262" s="36"/>
      <c r="AE5262" s="36"/>
      <c r="AF5262" s="36"/>
      <c r="AG5262" s="36"/>
      <c r="AH5262" s="36">
        <v>300</v>
      </c>
      <c r="AI5262" s="36">
        <v>300</v>
      </c>
      <c r="AJ5262" s="15">
        <f t="shared" si="754"/>
        <v>600</v>
      </c>
      <c r="AK5262" s="14"/>
      <c r="AL5262" s="14"/>
      <c r="AM5262" s="14"/>
      <c r="AN5262" s="14"/>
      <c r="AO5262" s="14"/>
      <c r="AP5262" s="14"/>
      <c r="AQ5262" s="14"/>
      <c r="AR5262" s="14"/>
      <c r="AS5262" s="14"/>
      <c r="AT5262" s="14"/>
      <c r="AU5262" s="14"/>
      <c r="AV5262" s="14"/>
      <c r="AW5262" s="15">
        <f t="shared" si="755"/>
        <v>0</v>
      </c>
      <c r="AX5262" s="16"/>
    </row>
    <row r="5263" spans="2:50" x14ac:dyDescent="0.2">
      <c r="B5263" s="7"/>
      <c r="C5263" s="8">
        <v>15460</v>
      </c>
      <c r="D5263" s="9" t="s">
        <v>183</v>
      </c>
      <c r="E5263" s="10" t="str">
        <f t="shared" si="750"/>
        <v>Rancho La Cuchilla No. 54</v>
      </c>
      <c r="F5263" s="10" t="str">
        <f t="shared" si="751"/>
        <v>Mendoza León</v>
      </c>
      <c r="G5263" s="8">
        <v>1</v>
      </c>
      <c r="H5263" s="11">
        <v>400</v>
      </c>
      <c r="I5263" s="12">
        <v>43065</v>
      </c>
      <c r="J5263" s="35">
        <f t="shared" si="752"/>
        <v>0</v>
      </c>
      <c r="K5263" s="36"/>
      <c r="L5263" s="36"/>
      <c r="M5263" s="36"/>
      <c r="N5263" s="36"/>
      <c r="O5263" s="36"/>
      <c r="P5263" s="36"/>
      <c r="Q5263" s="36"/>
      <c r="R5263" s="36"/>
      <c r="S5263" s="36"/>
      <c r="T5263" s="36"/>
      <c r="U5263" s="36"/>
      <c r="V5263" s="36"/>
      <c r="W5263" s="15">
        <f t="shared" si="753"/>
        <v>0</v>
      </c>
      <c r="X5263" s="36"/>
      <c r="Y5263" s="36"/>
      <c r="Z5263" s="36"/>
      <c r="AA5263" s="36"/>
      <c r="AB5263" s="36"/>
      <c r="AC5263" s="36"/>
      <c r="AD5263" s="36"/>
      <c r="AE5263" s="36"/>
      <c r="AF5263" s="36"/>
      <c r="AG5263" s="36"/>
      <c r="AH5263" s="36">
        <v>400</v>
      </c>
      <c r="AI5263" s="36"/>
      <c r="AJ5263" s="15">
        <f t="shared" si="754"/>
        <v>400</v>
      </c>
      <c r="AK5263" s="14"/>
      <c r="AL5263" s="14"/>
      <c r="AM5263" s="14"/>
      <c r="AN5263" s="14"/>
      <c r="AO5263" s="14"/>
      <c r="AP5263" s="14"/>
      <c r="AQ5263" s="14"/>
      <c r="AR5263" s="14"/>
      <c r="AS5263" s="14"/>
      <c r="AT5263" s="14"/>
      <c r="AU5263" s="14"/>
      <c r="AV5263" s="14"/>
      <c r="AW5263" s="15">
        <f t="shared" si="755"/>
        <v>0</v>
      </c>
      <c r="AX5263" s="16"/>
    </row>
    <row r="5264" spans="2:50" x14ac:dyDescent="0.2">
      <c r="B5264" s="7"/>
      <c r="C5264" s="8">
        <v>15461</v>
      </c>
      <c r="D5264" s="9" t="s">
        <v>476</v>
      </c>
      <c r="E5264" s="10" t="str">
        <f t="shared" si="750"/>
        <v>Rancho Upácuaro No. 33</v>
      </c>
      <c r="F5264" s="10" t="str">
        <f t="shared" si="751"/>
        <v>Ulloa Miranda</v>
      </c>
      <c r="G5264" s="8">
        <v>1</v>
      </c>
      <c r="H5264" s="11">
        <v>400</v>
      </c>
      <c r="I5264" s="12">
        <v>43065</v>
      </c>
      <c r="J5264" s="35">
        <f t="shared" si="752"/>
        <v>0</v>
      </c>
      <c r="K5264" s="36"/>
      <c r="L5264" s="36"/>
      <c r="M5264" s="36"/>
      <c r="N5264" s="36"/>
      <c r="O5264" s="36"/>
      <c r="P5264" s="36"/>
      <c r="Q5264" s="36"/>
      <c r="R5264" s="36"/>
      <c r="S5264" s="36"/>
      <c r="T5264" s="36"/>
      <c r="U5264" s="36"/>
      <c r="V5264" s="36"/>
      <c r="W5264" s="15">
        <f t="shared" si="753"/>
        <v>0</v>
      </c>
      <c r="X5264" s="36"/>
      <c r="Y5264" s="36"/>
      <c r="Z5264" s="36"/>
      <c r="AA5264" s="36"/>
      <c r="AB5264" s="36"/>
      <c r="AC5264" s="36"/>
      <c r="AD5264" s="36"/>
      <c r="AE5264" s="36"/>
      <c r="AF5264" s="36"/>
      <c r="AG5264" s="36"/>
      <c r="AH5264" s="36"/>
      <c r="AI5264" s="36">
        <v>400</v>
      </c>
      <c r="AJ5264" s="15">
        <f t="shared" si="754"/>
        <v>400</v>
      </c>
      <c r="AK5264" s="14"/>
      <c r="AL5264" s="14"/>
      <c r="AM5264" s="14"/>
      <c r="AN5264" s="14"/>
      <c r="AO5264" s="14"/>
      <c r="AP5264" s="14"/>
      <c r="AQ5264" s="14"/>
      <c r="AR5264" s="14"/>
      <c r="AS5264" s="14"/>
      <c r="AT5264" s="14"/>
      <c r="AU5264" s="14"/>
      <c r="AV5264" s="14"/>
      <c r="AW5264" s="15">
        <f t="shared" si="755"/>
        <v>0</v>
      </c>
      <c r="AX5264" s="16"/>
    </row>
    <row r="5265" spans="1:50" x14ac:dyDescent="0.2">
      <c r="B5265" s="7"/>
      <c r="C5265" s="8">
        <v>15462</v>
      </c>
      <c r="D5265" s="9"/>
      <c r="E5265" s="10" t="str">
        <f t="shared" si="750"/>
        <v/>
      </c>
      <c r="F5265" s="10" t="str">
        <f t="shared" si="751"/>
        <v/>
      </c>
      <c r="G5265" s="8">
        <v>8</v>
      </c>
      <c r="H5265" s="11"/>
      <c r="I5265" s="12"/>
      <c r="J5265" s="35">
        <f t="shared" si="752"/>
        <v>0</v>
      </c>
      <c r="K5265" s="36"/>
      <c r="L5265" s="36"/>
      <c r="M5265" s="36"/>
      <c r="N5265" s="36"/>
      <c r="O5265" s="36"/>
      <c r="P5265" s="36"/>
      <c r="Q5265" s="36"/>
      <c r="R5265" s="36"/>
      <c r="S5265" s="36"/>
      <c r="T5265" s="36"/>
      <c r="U5265" s="36"/>
      <c r="V5265" s="36"/>
      <c r="W5265" s="15">
        <f t="shared" si="753"/>
        <v>0</v>
      </c>
      <c r="X5265" s="36"/>
      <c r="Y5265" s="36"/>
      <c r="Z5265" s="36"/>
      <c r="AA5265" s="36"/>
      <c r="AB5265" s="36"/>
      <c r="AC5265" s="36"/>
      <c r="AD5265" s="36"/>
      <c r="AE5265" s="36"/>
      <c r="AF5265" s="36"/>
      <c r="AG5265" s="36"/>
      <c r="AH5265" s="36"/>
      <c r="AI5265" s="36"/>
      <c r="AJ5265" s="15">
        <f t="shared" si="754"/>
        <v>0</v>
      </c>
      <c r="AK5265" s="14"/>
      <c r="AL5265" s="14"/>
      <c r="AM5265" s="14"/>
      <c r="AN5265" s="14"/>
      <c r="AO5265" s="14"/>
      <c r="AP5265" s="14"/>
      <c r="AQ5265" s="14"/>
      <c r="AR5265" s="14"/>
      <c r="AS5265" s="14"/>
      <c r="AT5265" s="14"/>
      <c r="AU5265" s="14"/>
      <c r="AV5265" s="14"/>
      <c r="AW5265" s="15">
        <f t="shared" si="755"/>
        <v>0</v>
      </c>
      <c r="AX5265" s="16"/>
    </row>
    <row r="5266" spans="1:50" x14ac:dyDescent="0.2">
      <c r="B5266" s="7"/>
      <c r="C5266" s="8">
        <v>15463</v>
      </c>
      <c r="D5266" s="9" t="s">
        <v>458</v>
      </c>
      <c r="E5266" s="10" t="str">
        <f t="shared" si="750"/>
        <v>Rancho Estanzuela No. 143, B</v>
      </c>
      <c r="F5266" s="10" t="str">
        <f t="shared" si="751"/>
        <v>López</v>
      </c>
      <c r="G5266" s="8">
        <v>1</v>
      </c>
      <c r="H5266" s="11">
        <v>400</v>
      </c>
      <c r="I5266" s="12">
        <v>43065</v>
      </c>
      <c r="J5266" s="35">
        <f t="shared" si="752"/>
        <v>0</v>
      </c>
      <c r="K5266" s="36"/>
      <c r="L5266" s="36"/>
      <c r="M5266" s="36"/>
      <c r="N5266" s="36"/>
      <c r="O5266" s="36"/>
      <c r="P5266" s="36"/>
      <c r="Q5266" s="36"/>
      <c r="R5266" s="36"/>
      <c r="S5266" s="36"/>
      <c r="T5266" s="36"/>
      <c r="U5266" s="36"/>
      <c r="V5266" s="36"/>
      <c r="W5266" s="15">
        <f t="shared" si="753"/>
        <v>0</v>
      </c>
      <c r="X5266" s="36"/>
      <c r="Y5266" s="36"/>
      <c r="Z5266" s="36"/>
      <c r="AA5266" s="36"/>
      <c r="AB5266" s="36"/>
      <c r="AC5266" s="36"/>
      <c r="AD5266" s="36"/>
      <c r="AE5266" s="36"/>
      <c r="AF5266" s="36"/>
      <c r="AG5266" s="36"/>
      <c r="AH5266" s="36">
        <v>400</v>
      </c>
      <c r="AI5266" s="36"/>
      <c r="AJ5266" s="15">
        <f t="shared" si="754"/>
        <v>400</v>
      </c>
      <c r="AK5266" s="14"/>
      <c r="AL5266" s="14"/>
      <c r="AM5266" s="14"/>
      <c r="AN5266" s="14"/>
      <c r="AO5266" s="14"/>
      <c r="AP5266" s="14"/>
      <c r="AQ5266" s="14"/>
      <c r="AR5266" s="14"/>
      <c r="AS5266" s="14"/>
      <c r="AT5266" s="14"/>
      <c r="AU5266" s="14"/>
      <c r="AV5266" s="14"/>
      <c r="AW5266" s="15">
        <f t="shared" si="755"/>
        <v>0</v>
      </c>
      <c r="AX5266" s="16"/>
    </row>
    <row r="5267" spans="1:50" x14ac:dyDescent="0.2">
      <c r="B5267" s="7"/>
      <c r="C5267" s="8">
        <v>15464</v>
      </c>
      <c r="D5267" s="9" t="s">
        <v>628</v>
      </c>
      <c r="E5267" s="10" t="str">
        <f t="shared" si="750"/>
        <v>Rancho Landero No. 51</v>
      </c>
      <c r="F5267" s="10" t="str">
        <f t="shared" si="751"/>
        <v>H. Robles Tamayo</v>
      </c>
      <c r="G5267" s="8">
        <v>1</v>
      </c>
      <c r="H5267" s="11">
        <v>400</v>
      </c>
      <c r="I5267" s="12">
        <v>43065</v>
      </c>
      <c r="J5267" s="35">
        <f t="shared" si="752"/>
        <v>0</v>
      </c>
      <c r="K5267" s="36"/>
      <c r="L5267" s="36"/>
      <c r="M5267" s="36"/>
      <c r="N5267" s="36"/>
      <c r="O5267" s="36"/>
      <c r="P5267" s="36"/>
      <c r="Q5267" s="36"/>
      <c r="R5267" s="36"/>
      <c r="S5267" s="36"/>
      <c r="T5267" s="36"/>
      <c r="U5267" s="36"/>
      <c r="V5267" s="36"/>
      <c r="W5267" s="15">
        <f t="shared" si="753"/>
        <v>0</v>
      </c>
      <c r="X5267" s="36"/>
      <c r="Y5267" s="36"/>
      <c r="Z5267" s="36"/>
      <c r="AA5267" s="36"/>
      <c r="AB5267" s="36"/>
      <c r="AC5267" s="36"/>
      <c r="AD5267" s="36"/>
      <c r="AE5267" s="36"/>
      <c r="AF5267" s="36"/>
      <c r="AG5267" s="36"/>
      <c r="AH5267" s="36">
        <v>400</v>
      </c>
      <c r="AI5267" s="36"/>
      <c r="AJ5267" s="15">
        <f t="shared" si="754"/>
        <v>400</v>
      </c>
      <c r="AK5267" s="14"/>
      <c r="AL5267" s="14"/>
      <c r="AM5267" s="14"/>
      <c r="AN5267" s="14"/>
      <c r="AO5267" s="14"/>
      <c r="AP5267" s="14"/>
      <c r="AQ5267" s="14"/>
      <c r="AR5267" s="14"/>
      <c r="AS5267" s="14"/>
      <c r="AT5267" s="14"/>
      <c r="AU5267" s="14"/>
      <c r="AV5267" s="14"/>
      <c r="AW5267" s="15">
        <f t="shared" si="755"/>
        <v>0</v>
      </c>
      <c r="AX5267" s="16"/>
    </row>
    <row r="5268" spans="1:50" x14ac:dyDescent="0.2">
      <c r="B5268" s="7"/>
      <c r="C5268" s="8">
        <v>15465</v>
      </c>
      <c r="D5268" s="9" t="s">
        <v>376</v>
      </c>
      <c r="E5268" s="10" t="str">
        <f t="shared" si="750"/>
        <v>Rancho Estanzuela No. 33</v>
      </c>
      <c r="F5268" s="10" t="str">
        <f t="shared" si="751"/>
        <v>Arauz</v>
      </c>
      <c r="G5268" s="8">
        <v>3</v>
      </c>
      <c r="H5268" s="11">
        <v>200</v>
      </c>
      <c r="I5268" s="12">
        <v>43065</v>
      </c>
      <c r="J5268" s="35">
        <f t="shared" si="752"/>
        <v>0</v>
      </c>
      <c r="K5268" s="36"/>
      <c r="L5268" s="36"/>
      <c r="M5268" s="36"/>
      <c r="N5268" s="36"/>
      <c r="O5268" s="36"/>
      <c r="P5268" s="36"/>
      <c r="Q5268" s="36"/>
      <c r="R5268" s="36"/>
      <c r="S5268" s="36"/>
      <c r="T5268" s="36"/>
      <c r="U5268" s="36"/>
      <c r="V5268" s="36"/>
      <c r="W5268" s="15">
        <f t="shared" si="753"/>
        <v>0</v>
      </c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15">
        <f t="shared" si="754"/>
        <v>0</v>
      </c>
      <c r="AK5268" s="14"/>
      <c r="AL5268" s="14"/>
      <c r="AM5268" s="14"/>
      <c r="AN5268" s="14"/>
      <c r="AO5268" s="14"/>
      <c r="AP5268" s="14"/>
      <c r="AQ5268" s="14"/>
      <c r="AR5268" s="14"/>
      <c r="AS5268" s="14"/>
      <c r="AT5268" s="14"/>
      <c r="AU5268" s="14"/>
      <c r="AV5268" s="14"/>
      <c r="AW5268" s="15">
        <f t="shared" si="755"/>
        <v>0</v>
      </c>
      <c r="AX5268" s="316">
        <f>SUM(H5243:H5268)</f>
        <v>12600</v>
      </c>
    </row>
    <row r="5269" spans="1:50" x14ac:dyDescent="0.2">
      <c r="B5269" s="7"/>
      <c r="C5269" s="8">
        <v>15466</v>
      </c>
      <c r="D5269" s="9" t="s">
        <v>220</v>
      </c>
      <c r="E5269" s="10" t="str">
        <f t="shared" si="750"/>
        <v>Rancho Recoveco No. 3</v>
      </c>
      <c r="F5269" s="10" t="str">
        <f t="shared" si="751"/>
        <v>Garduño</v>
      </c>
      <c r="G5269" s="8">
        <v>1</v>
      </c>
      <c r="H5269" s="11">
        <v>600</v>
      </c>
      <c r="I5269" s="12">
        <v>43066</v>
      </c>
      <c r="J5269" s="35">
        <f t="shared" si="752"/>
        <v>0</v>
      </c>
      <c r="K5269" s="36"/>
      <c r="L5269" s="36"/>
      <c r="M5269" s="36"/>
      <c r="N5269" s="36"/>
      <c r="O5269" s="36"/>
      <c r="P5269" s="36"/>
      <c r="Q5269" s="36"/>
      <c r="R5269" s="36"/>
      <c r="S5269" s="36"/>
      <c r="T5269" s="36"/>
      <c r="U5269" s="36"/>
      <c r="V5269" s="36"/>
      <c r="W5269" s="15">
        <f t="shared" si="753"/>
        <v>0</v>
      </c>
      <c r="X5269" s="36"/>
      <c r="Y5269" s="36"/>
      <c r="Z5269" s="36"/>
      <c r="AA5269" s="36"/>
      <c r="AB5269" s="36"/>
      <c r="AC5269" s="36"/>
      <c r="AD5269" s="36"/>
      <c r="AE5269" s="36"/>
      <c r="AF5269" s="36"/>
      <c r="AG5269" s="36">
        <v>300</v>
      </c>
      <c r="AH5269" s="36">
        <v>300</v>
      </c>
      <c r="AI5269" s="36"/>
      <c r="AJ5269" s="15">
        <f t="shared" si="754"/>
        <v>600</v>
      </c>
      <c r="AK5269" s="14"/>
      <c r="AL5269" s="14"/>
      <c r="AM5269" s="14"/>
      <c r="AN5269" s="14"/>
      <c r="AO5269" s="14"/>
      <c r="AP5269" s="14"/>
      <c r="AQ5269" s="14"/>
      <c r="AR5269" s="14"/>
      <c r="AS5269" s="14"/>
      <c r="AT5269" s="14"/>
      <c r="AU5269" s="14"/>
      <c r="AV5269" s="14"/>
      <c r="AW5269" s="15">
        <f t="shared" si="755"/>
        <v>0</v>
      </c>
      <c r="AX5269" s="16"/>
    </row>
    <row r="5270" spans="1:50" x14ac:dyDescent="0.2">
      <c r="B5270" s="7"/>
      <c r="C5270" s="8">
        <v>15467</v>
      </c>
      <c r="D5270" s="9" t="s">
        <v>611</v>
      </c>
      <c r="E5270" s="10" t="str">
        <f t="shared" ref="E5270:E5271" si="756">IF(D5270=0,"",VLOOKUP(D5270,BASE,2,FALSE))</f>
        <v>Rancho Estanzuela No. 47</v>
      </c>
      <c r="F5270" s="10" t="str">
        <f t="shared" ref="F5270:F5271" si="757">IF(D5270=0,"",VLOOKUP(D5270,BASE,3,FALSE))</f>
        <v>Bussey García</v>
      </c>
      <c r="G5270" s="8">
        <v>1</v>
      </c>
      <c r="H5270" s="11">
        <v>400</v>
      </c>
      <c r="I5270" s="12">
        <v>43066</v>
      </c>
      <c r="J5270" s="35">
        <f t="shared" ref="J5270:J5271" si="758">IF(G5270=1,SUM(W5270,AJ5270,AW5270,-H5270),0)</f>
        <v>0</v>
      </c>
      <c r="K5270" s="36"/>
      <c r="L5270" s="36"/>
      <c r="M5270" s="36"/>
      <c r="N5270" s="36"/>
      <c r="O5270" s="36"/>
      <c r="P5270" s="36"/>
      <c r="Q5270" s="36"/>
      <c r="R5270" s="36"/>
      <c r="S5270" s="36"/>
      <c r="T5270" s="36"/>
      <c r="U5270" s="36"/>
      <c r="V5270" s="36"/>
      <c r="W5270" s="15">
        <f t="shared" ref="W5270:W5271" si="759">SUM(K5270:V5270)</f>
        <v>0</v>
      </c>
      <c r="X5270" s="36"/>
      <c r="Y5270" s="36"/>
      <c r="Z5270" s="36"/>
      <c r="AA5270" s="36"/>
      <c r="AB5270" s="36"/>
      <c r="AC5270" s="36"/>
      <c r="AD5270" s="36"/>
      <c r="AE5270" s="36"/>
      <c r="AF5270" s="36"/>
      <c r="AG5270" s="36"/>
      <c r="AH5270" s="36">
        <v>400</v>
      </c>
      <c r="AI5270" s="36"/>
      <c r="AJ5270" s="15">
        <f t="shared" ref="AJ5270:AJ5271" si="760">SUM(X5270:AI5270)</f>
        <v>400</v>
      </c>
      <c r="AK5270" s="14"/>
      <c r="AL5270" s="14"/>
      <c r="AM5270" s="14"/>
      <c r="AN5270" s="14"/>
      <c r="AO5270" s="14"/>
      <c r="AP5270" s="14"/>
      <c r="AQ5270" s="14"/>
      <c r="AR5270" s="14"/>
      <c r="AS5270" s="14"/>
      <c r="AT5270" s="14"/>
      <c r="AU5270" s="14"/>
      <c r="AV5270" s="14"/>
      <c r="AW5270" s="15">
        <f t="shared" ref="AW5270:AW5271" si="761">SUM(AK5270:AV5270)</f>
        <v>0</v>
      </c>
      <c r="AX5270" s="16"/>
    </row>
    <row r="5271" spans="1:50" x14ac:dyDescent="0.2">
      <c r="B5271" s="7"/>
      <c r="C5271" s="8">
        <v>15468</v>
      </c>
      <c r="D5271" s="9" t="s">
        <v>559</v>
      </c>
      <c r="E5271" s="10" t="str">
        <f t="shared" si="756"/>
        <v>Rancho Estanzuela No. 149</v>
      </c>
      <c r="F5271" s="10" t="str">
        <f t="shared" si="757"/>
        <v>Sala</v>
      </c>
      <c r="G5271" s="8">
        <v>1</v>
      </c>
      <c r="H5271" s="11">
        <v>4400</v>
      </c>
      <c r="I5271" s="12">
        <v>43069</v>
      </c>
      <c r="J5271" s="35">
        <f t="shared" si="758"/>
        <v>0</v>
      </c>
      <c r="K5271" s="36"/>
      <c r="L5271" s="36"/>
      <c r="M5271" s="36"/>
      <c r="N5271" s="36"/>
      <c r="O5271" s="36"/>
      <c r="P5271" s="36"/>
      <c r="Q5271" s="36"/>
      <c r="R5271" s="36"/>
      <c r="S5271" s="36"/>
      <c r="T5271" s="36"/>
      <c r="U5271" s="36"/>
      <c r="V5271" s="36"/>
      <c r="W5271" s="15">
        <f t="shared" si="759"/>
        <v>0</v>
      </c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15">
        <f t="shared" si="760"/>
        <v>0</v>
      </c>
      <c r="AK5271" s="14">
        <v>400</v>
      </c>
      <c r="AL5271" s="14">
        <v>400</v>
      </c>
      <c r="AM5271" s="14">
        <v>400</v>
      </c>
      <c r="AN5271" s="14">
        <v>400</v>
      </c>
      <c r="AO5271" s="14">
        <v>400</v>
      </c>
      <c r="AP5271" s="14">
        <v>400</v>
      </c>
      <c r="AQ5271" s="14">
        <v>400</v>
      </c>
      <c r="AR5271" s="14">
        <v>400</v>
      </c>
      <c r="AS5271" s="14">
        <v>400</v>
      </c>
      <c r="AT5271" s="14">
        <v>400</v>
      </c>
      <c r="AU5271" s="14">
        <v>400</v>
      </c>
      <c r="AV5271" s="14"/>
      <c r="AW5271" s="15">
        <f t="shared" si="761"/>
        <v>4400</v>
      </c>
      <c r="AX5271" s="16" t="s">
        <v>4431</v>
      </c>
    </row>
    <row r="5272" spans="1:50" x14ac:dyDescent="0.2">
      <c r="A5272" s="320" t="s">
        <v>2887</v>
      </c>
      <c r="B5272" s="7"/>
      <c r="C5272" s="8">
        <v>15469</v>
      </c>
      <c r="D5272" s="9" t="s">
        <v>211</v>
      </c>
      <c r="E5272" s="10" t="str">
        <f t="shared" si="750"/>
        <v>Rancho Upácuaro No. 46</v>
      </c>
      <c r="F5272" s="10" t="str">
        <f t="shared" si="751"/>
        <v>Fuentes</v>
      </c>
      <c r="G5272" s="8">
        <v>1</v>
      </c>
      <c r="H5272" s="11">
        <v>300</v>
      </c>
      <c r="I5272" s="12">
        <v>43043</v>
      </c>
      <c r="J5272" s="35">
        <f t="shared" si="752"/>
        <v>0</v>
      </c>
      <c r="K5272" s="36"/>
      <c r="L5272" s="36"/>
      <c r="M5272" s="36"/>
      <c r="N5272" s="36"/>
      <c r="O5272" s="36"/>
      <c r="P5272" s="36"/>
      <c r="Q5272" s="36"/>
      <c r="R5272" s="36"/>
      <c r="S5272" s="36"/>
      <c r="T5272" s="36"/>
      <c r="U5272" s="36"/>
      <c r="V5272" s="36"/>
      <c r="W5272" s="15">
        <f t="shared" si="753"/>
        <v>0</v>
      </c>
      <c r="X5272" s="36"/>
      <c r="Y5272" s="36"/>
      <c r="Z5272" s="36"/>
      <c r="AA5272" s="36"/>
      <c r="AB5272" s="36"/>
      <c r="AC5272" s="36"/>
      <c r="AD5272" s="36"/>
      <c r="AE5272" s="36"/>
      <c r="AF5272" s="36"/>
      <c r="AG5272" s="36">
        <v>300</v>
      </c>
      <c r="AH5272" s="36"/>
      <c r="AI5272" s="36"/>
      <c r="AJ5272" s="15">
        <f t="shared" si="754"/>
        <v>300</v>
      </c>
      <c r="AK5272" s="14"/>
      <c r="AL5272" s="14"/>
      <c r="AM5272" s="14"/>
      <c r="AN5272" s="14"/>
      <c r="AO5272" s="14"/>
      <c r="AP5272" s="14"/>
      <c r="AQ5272" s="14"/>
      <c r="AR5272" s="14"/>
      <c r="AS5272" s="14"/>
      <c r="AT5272" s="14"/>
      <c r="AU5272" s="14"/>
      <c r="AV5272" s="14"/>
      <c r="AW5272" s="15">
        <f t="shared" si="755"/>
        <v>0</v>
      </c>
      <c r="AX5272" s="16"/>
    </row>
    <row r="5273" spans="1:50" x14ac:dyDescent="0.2">
      <c r="A5273" s="320" t="s">
        <v>2888</v>
      </c>
      <c r="B5273" s="7"/>
      <c r="C5273" s="8">
        <v>15470</v>
      </c>
      <c r="D5273" s="9" t="s">
        <v>211</v>
      </c>
      <c r="E5273" s="10" t="str">
        <f t="shared" ref="E5273" si="762">IF(D5273=0,"",VLOOKUP(D5273,BASE,2,FALSE))</f>
        <v>Rancho Upácuaro No. 46</v>
      </c>
      <c r="F5273" s="10" t="str">
        <f t="shared" ref="F5273" si="763">IF(D5273=0,"",VLOOKUP(D5273,BASE,3,FALSE))</f>
        <v>Fuentes</v>
      </c>
      <c r="G5273" s="8">
        <v>1</v>
      </c>
      <c r="H5273" s="11">
        <v>300</v>
      </c>
      <c r="I5273" s="12">
        <v>43043</v>
      </c>
      <c r="J5273" s="35">
        <f t="shared" si="752"/>
        <v>0</v>
      </c>
      <c r="K5273" s="36"/>
      <c r="L5273" s="36"/>
      <c r="M5273" s="36"/>
      <c r="N5273" s="36"/>
      <c r="O5273" s="36"/>
      <c r="P5273" s="36"/>
      <c r="Q5273" s="36"/>
      <c r="R5273" s="36"/>
      <c r="S5273" s="36"/>
      <c r="T5273" s="36"/>
      <c r="U5273" s="36"/>
      <c r="V5273" s="36"/>
      <c r="W5273" s="15">
        <f t="shared" si="753"/>
        <v>0</v>
      </c>
      <c r="X5273" s="36"/>
      <c r="Y5273" s="36"/>
      <c r="Z5273" s="36"/>
      <c r="AA5273" s="36"/>
      <c r="AB5273" s="36"/>
      <c r="AC5273" s="36"/>
      <c r="AD5273" s="36"/>
      <c r="AE5273" s="36"/>
      <c r="AF5273" s="36"/>
      <c r="AG5273" s="36"/>
      <c r="AH5273" s="36">
        <v>300</v>
      </c>
      <c r="AI5273" s="36"/>
      <c r="AJ5273" s="15">
        <f t="shared" si="754"/>
        <v>300</v>
      </c>
      <c r="AK5273" s="14"/>
      <c r="AL5273" s="14"/>
      <c r="AM5273" s="14"/>
      <c r="AN5273" s="14"/>
      <c r="AO5273" s="14"/>
      <c r="AP5273" s="14"/>
      <c r="AQ5273" s="14"/>
      <c r="AR5273" s="14"/>
      <c r="AS5273" s="14"/>
      <c r="AT5273" s="14"/>
      <c r="AU5273" s="14"/>
      <c r="AV5273" s="14"/>
      <c r="AW5273" s="15">
        <f t="shared" si="755"/>
        <v>0</v>
      </c>
      <c r="AX5273" s="316">
        <f>SUM(H5092:H5276)</f>
        <v>113900</v>
      </c>
    </row>
    <row r="5274" spans="1:50" x14ac:dyDescent="0.2">
      <c r="B5274" s="7"/>
      <c r="C5274" s="8"/>
      <c r="D5274" s="9" t="s">
        <v>806</v>
      </c>
      <c r="E5274" s="10" t="str">
        <f t="shared" si="750"/>
        <v>Rancho Estanzuela No. 130, A</v>
      </c>
      <c r="F5274" s="10" t="str">
        <f t="shared" si="751"/>
        <v>Colegio Carmel</v>
      </c>
      <c r="G5274" s="8">
        <v>1</v>
      </c>
      <c r="H5274" s="11">
        <v>11000</v>
      </c>
      <c r="I5274" s="12">
        <v>43043</v>
      </c>
      <c r="J5274" s="35">
        <f t="shared" ref="J5274:J5276" si="764">IF(G5274=1,SUM(W5274,AJ5274,AW5274,-H5274),0)</f>
        <v>0</v>
      </c>
      <c r="K5274" s="36"/>
      <c r="L5274" s="36"/>
      <c r="M5274" s="36"/>
      <c r="N5274" s="36"/>
      <c r="O5274" s="36"/>
      <c r="P5274" s="36"/>
      <c r="Q5274" s="36"/>
      <c r="R5274" s="36"/>
      <c r="S5274" s="36"/>
      <c r="T5274" s="36"/>
      <c r="U5274" s="36"/>
      <c r="V5274" s="36"/>
      <c r="W5274" s="15">
        <f t="shared" ref="W5274:W5276" si="765">SUM(K5274:V5274)</f>
        <v>0</v>
      </c>
      <c r="X5274" s="36"/>
      <c r="Y5274" s="36"/>
      <c r="Z5274" s="36"/>
      <c r="AA5274" s="36"/>
      <c r="AB5274" s="36"/>
      <c r="AC5274" s="36"/>
      <c r="AD5274" s="36"/>
      <c r="AE5274" s="36"/>
      <c r="AF5274" s="36"/>
      <c r="AG5274" s="36"/>
      <c r="AH5274" s="36">
        <v>11000</v>
      </c>
      <c r="AI5274" s="36"/>
      <c r="AJ5274" s="15">
        <f t="shared" ref="AJ5274:AJ5276" si="766">SUM(X5274:AI5274)</f>
        <v>11000</v>
      </c>
      <c r="AK5274" s="14"/>
      <c r="AL5274" s="14"/>
      <c r="AM5274" s="14"/>
      <c r="AN5274" s="14"/>
      <c r="AO5274" s="14"/>
      <c r="AP5274" s="14"/>
      <c r="AQ5274" s="14"/>
      <c r="AR5274" s="14"/>
      <c r="AS5274" s="14"/>
      <c r="AT5274" s="14"/>
      <c r="AU5274" s="14"/>
      <c r="AV5274" s="14"/>
      <c r="AW5274" s="15">
        <f t="shared" ref="AW5274:AW5276" si="767">SUM(AK5274:AV5274)</f>
        <v>0</v>
      </c>
      <c r="AX5274" s="316">
        <f>SUM(H5093:H5277)</f>
        <v>113900</v>
      </c>
    </row>
    <row r="5275" spans="1:50" x14ac:dyDescent="0.2">
      <c r="B5275" s="7"/>
      <c r="C5275" s="8"/>
      <c r="D5275" s="9"/>
      <c r="E5275" s="10" t="str">
        <f t="shared" ref="E5275:E5276" si="768">IF(D5275=0,"",VLOOKUP(D5275,BASE,2,FALSE))</f>
        <v/>
      </c>
      <c r="F5275" s="10" t="str">
        <f t="shared" ref="F5275:F5276" si="769">IF(D5275=0,"",VLOOKUP(D5275,BASE,3,FALSE))</f>
        <v/>
      </c>
      <c r="G5275" s="8"/>
      <c r="H5275" s="11"/>
      <c r="I5275" s="12"/>
      <c r="J5275" s="35">
        <f t="shared" si="764"/>
        <v>0</v>
      </c>
      <c r="K5275" s="36"/>
      <c r="L5275" s="36"/>
      <c r="M5275" s="36"/>
      <c r="N5275" s="36"/>
      <c r="O5275" s="36"/>
      <c r="P5275" s="36"/>
      <c r="Q5275" s="36"/>
      <c r="R5275" s="36"/>
      <c r="S5275" s="36"/>
      <c r="T5275" s="36"/>
      <c r="U5275" s="36"/>
      <c r="V5275" s="36"/>
      <c r="W5275" s="15">
        <f t="shared" si="765"/>
        <v>0</v>
      </c>
      <c r="X5275" s="36"/>
      <c r="Y5275" s="36"/>
      <c r="Z5275" s="36"/>
      <c r="AA5275" s="36"/>
      <c r="AB5275" s="36"/>
      <c r="AC5275" s="36"/>
      <c r="AD5275" s="36"/>
      <c r="AE5275" s="36"/>
      <c r="AF5275" s="36"/>
      <c r="AG5275" s="36"/>
      <c r="AH5275" s="36"/>
      <c r="AI5275" s="36"/>
      <c r="AJ5275" s="15">
        <f t="shared" si="766"/>
        <v>0</v>
      </c>
      <c r="AK5275" s="14"/>
      <c r="AL5275" s="14"/>
      <c r="AM5275" s="14"/>
      <c r="AN5275" s="14"/>
      <c r="AO5275" s="14"/>
      <c r="AP5275" s="14"/>
      <c r="AQ5275" s="14"/>
      <c r="AR5275" s="14"/>
      <c r="AS5275" s="14"/>
      <c r="AT5275" s="14"/>
      <c r="AU5275" s="14"/>
      <c r="AV5275" s="14"/>
      <c r="AW5275" s="15">
        <f t="shared" si="767"/>
        <v>0</v>
      </c>
      <c r="AX5275" s="16"/>
    </row>
    <row r="5276" spans="1:50" x14ac:dyDescent="0.2">
      <c r="B5276" s="7"/>
      <c r="C5276" s="8"/>
      <c r="D5276" s="9"/>
      <c r="E5276" s="10" t="str">
        <f t="shared" si="768"/>
        <v/>
      </c>
      <c r="F5276" s="10" t="str">
        <f t="shared" si="769"/>
        <v/>
      </c>
      <c r="G5276" s="8"/>
      <c r="H5276" s="11"/>
      <c r="I5276" s="12"/>
      <c r="J5276" s="35">
        <f t="shared" si="764"/>
        <v>0</v>
      </c>
      <c r="K5276" s="36"/>
      <c r="L5276" s="36"/>
      <c r="M5276" s="36"/>
      <c r="N5276" s="36"/>
      <c r="O5276" s="36"/>
      <c r="P5276" s="36"/>
      <c r="Q5276" s="36"/>
      <c r="R5276" s="36"/>
      <c r="S5276" s="36"/>
      <c r="T5276" s="36"/>
      <c r="U5276" s="36"/>
      <c r="V5276" s="36"/>
      <c r="W5276" s="15">
        <f t="shared" si="765"/>
        <v>0</v>
      </c>
      <c r="X5276" s="36"/>
      <c r="Y5276" s="36"/>
      <c r="Z5276" s="36"/>
      <c r="AA5276" s="36"/>
      <c r="AB5276" s="36"/>
      <c r="AC5276" s="36"/>
      <c r="AD5276" s="36"/>
      <c r="AE5276" s="36"/>
      <c r="AF5276" s="36"/>
      <c r="AG5276" s="36"/>
      <c r="AH5276" s="36"/>
      <c r="AI5276" s="36"/>
      <c r="AJ5276" s="15">
        <f t="shared" si="766"/>
        <v>0</v>
      </c>
      <c r="AK5276" s="14"/>
      <c r="AL5276" s="14"/>
      <c r="AM5276" s="14"/>
      <c r="AN5276" s="14"/>
      <c r="AO5276" s="14"/>
      <c r="AP5276" s="14"/>
      <c r="AQ5276" s="14"/>
      <c r="AR5276" s="14"/>
      <c r="AS5276" s="14"/>
      <c r="AT5276" s="14"/>
      <c r="AU5276" s="14"/>
      <c r="AV5276" s="14"/>
      <c r="AW5276" s="15">
        <f t="shared" si="767"/>
        <v>0</v>
      </c>
      <c r="AX5276" s="16"/>
    </row>
    <row r="5277" spans="1:50" x14ac:dyDescent="0.2">
      <c r="B5277" s="7"/>
      <c r="C5277" s="8"/>
      <c r="D5277" s="9"/>
      <c r="E5277" s="10" t="str">
        <f t="shared" si="750"/>
        <v/>
      </c>
      <c r="F5277" s="10" t="str">
        <f t="shared" si="751"/>
        <v/>
      </c>
      <c r="G5277" s="8"/>
      <c r="H5277" s="11"/>
      <c r="I5277" s="12"/>
      <c r="J5277" s="35">
        <f t="shared" si="752"/>
        <v>0</v>
      </c>
      <c r="K5277" s="36"/>
      <c r="L5277" s="36"/>
      <c r="M5277" s="36"/>
      <c r="N5277" s="36"/>
      <c r="O5277" s="36"/>
      <c r="P5277" s="36"/>
      <c r="Q5277" s="36"/>
      <c r="R5277" s="36"/>
      <c r="S5277" s="36"/>
      <c r="T5277" s="36"/>
      <c r="U5277" s="36"/>
      <c r="V5277" s="36"/>
      <c r="W5277" s="15">
        <f t="shared" si="753"/>
        <v>0</v>
      </c>
      <c r="X5277" s="36"/>
      <c r="Y5277" s="36"/>
      <c r="Z5277" s="36"/>
      <c r="AA5277" s="36"/>
      <c r="AB5277" s="36"/>
      <c r="AC5277" s="36"/>
      <c r="AD5277" s="36"/>
      <c r="AE5277" s="36"/>
      <c r="AF5277" s="36"/>
      <c r="AG5277" s="36"/>
      <c r="AH5277" s="36"/>
      <c r="AI5277" s="36"/>
      <c r="AJ5277" s="15">
        <f t="shared" si="754"/>
        <v>0</v>
      </c>
      <c r="AK5277" s="14"/>
      <c r="AL5277" s="14"/>
      <c r="AM5277" s="14"/>
      <c r="AN5277" s="14"/>
      <c r="AO5277" s="14"/>
      <c r="AP5277" s="14"/>
      <c r="AQ5277" s="14"/>
      <c r="AR5277" s="14"/>
      <c r="AS5277" s="14"/>
      <c r="AT5277" s="14"/>
      <c r="AU5277" s="14"/>
      <c r="AV5277" s="14"/>
      <c r="AW5277" s="15">
        <f t="shared" si="755"/>
        <v>0</v>
      </c>
      <c r="AX5277" s="16"/>
    </row>
    <row r="5278" spans="1:50" ht="22.5" x14ac:dyDescent="0.2">
      <c r="A5278" s="2"/>
      <c r="B5278" s="3" t="s">
        <v>1</v>
      </c>
      <c r="C5278" s="3" t="s">
        <v>2</v>
      </c>
      <c r="D5278" s="3" t="s">
        <v>3</v>
      </c>
      <c r="E5278" s="337" t="s">
        <v>4</v>
      </c>
      <c r="F5278" s="337" t="s">
        <v>5</v>
      </c>
      <c r="G5278" s="3" t="s">
        <v>6</v>
      </c>
      <c r="H5278" s="3" t="s">
        <v>7</v>
      </c>
      <c r="I5278" s="3" t="s">
        <v>8</v>
      </c>
      <c r="J5278" s="337" t="s">
        <v>9</v>
      </c>
      <c r="K5278" s="4" t="s">
        <v>10</v>
      </c>
      <c r="L5278" s="4" t="s">
        <v>11</v>
      </c>
      <c r="M5278" s="4" t="s">
        <v>12</v>
      </c>
      <c r="N5278" s="4" t="s">
        <v>13</v>
      </c>
      <c r="O5278" s="4" t="s">
        <v>14</v>
      </c>
      <c r="P5278" s="4" t="s">
        <v>15</v>
      </c>
      <c r="Q5278" s="4" t="s">
        <v>16</v>
      </c>
      <c r="R5278" s="4" t="s">
        <v>17</v>
      </c>
      <c r="S5278" s="4" t="s">
        <v>18</v>
      </c>
      <c r="T5278" s="4" t="s">
        <v>19</v>
      </c>
      <c r="U5278" s="4" t="s">
        <v>20</v>
      </c>
      <c r="V5278" s="4" t="s">
        <v>21</v>
      </c>
      <c r="W5278" s="338" t="s">
        <v>22</v>
      </c>
      <c r="X5278" s="4" t="s">
        <v>23</v>
      </c>
      <c r="Y5278" s="4" t="s">
        <v>24</v>
      </c>
      <c r="Z5278" s="4" t="s">
        <v>25</v>
      </c>
      <c r="AA5278" s="4" t="s">
        <v>26</v>
      </c>
      <c r="AB5278" s="4" t="s">
        <v>27</v>
      </c>
      <c r="AC5278" s="4" t="s">
        <v>28</v>
      </c>
      <c r="AD5278" s="4" t="s">
        <v>29</v>
      </c>
      <c r="AE5278" s="4" t="s">
        <v>30</v>
      </c>
      <c r="AF5278" s="4" t="s">
        <v>31</v>
      </c>
      <c r="AG5278" s="4" t="s">
        <v>32</v>
      </c>
      <c r="AH5278" s="4" t="s">
        <v>33</v>
      </c>
      <c r="AI5278" s="4" t="s">
        <v>34</v>
      </c>
      <c r="AJ5278" s="338" t="s">
        <v>35</v>
      </c>
      <c r="AK5278" s="4" t="s">
        <v>4607</v>
      </c>
      <c r="AL5278" s="4" t="s">
        <v>4608</v>
      </c>
      <c r="AM5278" s="4" t="s">
        <v>4609</v>
      </c>
      <c r="AN5278" s="4" t="s">
        <v>4610</v>
      </c>
      <c r="AO5278" s="4" t="s">
        <v>4611</v>
      </c>
      <c r="AP5278" s="4" t="s">
        <v>4612</v>
      </c>
      <c r="AQ5278" s="4" t="s">
        <v>4613</v>
      </c>
      <c r="AR5278" s="4" t="s">
        <v>4614</v>
      </c>
      <c r="AS5278" s="4" t="s">
        <v>4615</v>
      </c>
      <c r="AT5278" s="4" t="s">
        <v>4616</v>
      </c>
      <c r="AU5278" s="4" t="s">
        <v>4617</v>
      </c>
      <c r="AV5278" s="4" t="s">
        <v>4618</v>
      </c>
      <c r="AW5278" s="338" t="s">
        <v>4619</v>
      </c>
      <c r="AX5278" s="6" t="s">
        <v>36</v>
      </c>
    </row>
    <row r="5279" spans="1:50" x14ac:dyDescent="0.2">
      <c r="B5279" s="7"/>
      <c r="C5279" s="8">
        <v>15471</v>
      </c>
      <c r="D5279" s="9" t="s">
        <v>608</v>
      </c>
      <c r="E5279" s="10" t="str">
        <f t="shared" si="750"/>
        <v>Rancho Upácuaro No. 146</v>
      </c>
      <c r="F5279" s="10" t="str">
        <f t="shared" si="751"/>
        <v>Islas</v>
      </c>
      <c r="G5279" s="8">
        <v>1</v>
      </c>
      <c r="H5279" s="11">
        <v>400</v>
      </c>
      <c r="I5279" s="12">
        <v>43072</v>
      </c>
      <c r="J5279" s="35">
        <f t="shared" si="752"/>
        <v>0</v>
      </c>
      <c r="K5279" s="36"/>
      <c r="L5279" s="36"/>
      <c r="M5279" s="36"/>
      <c r="N5279" s="36"/>
      <c r="O5279" s="36"/>
      <c r="P5279" s="36"/>
      <c r="Q5279" s="36"/>
      <c r="R5279" s="36"/>
      <c r="S5279" s="36"/>
      <c r="T5279" s="36"/>
      <c r="U5279" s="36"/>
      <c r="V5279" s="36"/>
      <c r="W5279" s="15">
        <f t="shared" si="753"/>
        <v>0</v>
      </c>
      <c r="X5279" s="36"/>
      <c r="Y5279" s="36"/>
      <c r="Z5279" s="36"/>
      <c r="AA5279" s="36"/>
      <c r="AB5279" s="36"/>
      <c r="AC5279" s="36"/>
      <c r="AD5279" s="36"/>
      <c r="AE5279" s="36"/>
      <c r="AF5279" s="36">
        <v>400</v>
      </c>
      <c r="AG5279" s="36"/>
      <c r="AH5279" s="36"/>
      <c r="AI5279" s="36"/>
      <c r="AJ5279" s="15">
        <f t="shared" si="754"/>
        <v>400</v>
      </c>
      <c r="AK5279" s="14"/>
      <c r="AL5279" s="14"/>
      <c r="AM5279" s="14"/>
      <c r="AN5279" s="14"/>
      <c r="AO5279" s="14"/>
      <c r="AP5279" s="14"/>
      <c r="AQ5279" s="14"/>
      <c r="AR5279" s="14"/>
      <c r="AS5279" s="14"/>
      <c r="AT5279" s="14"/>
      <c r="AU5279" s="14"/>
      <c r="AV5279" s="14"/>
      <c r="AW5279" s="15">
        <f t="shared" si="755"/>
        <v>0</v>
      </c>
      <c r="AX5279" s="16"/>
    </row>
    <row r="5280" spans="1:50" x14ac:dyDescent="0.2">
      <c r="B5280" s="7"/>
      <c r="C5280" s="8">
        <v>15472</v>
      </c>
      <c r="D5280" s="9" t="s">
        <v>94</v>
      </c>
      <c r="E5280" s="10" t="str">
        <f t="shared" si="750"/>
        <v>Rancho Landero No. 42</v>
      </c>
      <c r="F5280" s="10" t="str">
        <f t="shared" si="751"/>
        <v>Ávila Fidel</v>
      </c>
      <c r="G5280" s="8">
        <v>1</v>
      </c>
      <c r="H5280" s="11">
        <v>400</v>
      </c>
      <c r="I5280" s="12">
        <v>43072</v>
      </c>
      <c r="J5280" s="35">
        <f t="shared" si="752"/>
        <v>0</v>
      </c>
      <c r="K5280" s="36"/>
      <c r="L5280" s="36"/>
      <c r="M5280" s="36"/>
      <c r="N5280" s="36"/>
      <c r="O5280" s="36"/>
      <c r="P5280" s="36"/>
      <c r="Q5280" s="36"/>
      <c r="R5280" s="36"/>
      <c r="S5280" s="36"/>
      <c r="T5280" s="36"/>
      <c r="U5280" s="36"/>
      <c r="V5280" s="36"/>
      <c r="W5280" s="15">
        <f t="shared" si="753"/>
        <v>0</v>
      </c>
      <c r="X5280" s="36"/>
      <c r="Y5280" s="36"/>
      <c r="Z5280" s="36"/>
      <c r="AA5280" s="36"/>
      <c r="AB5280" s="36"/>
      <c r="AC5280" s="36"/>
      <c r="AD5280" s="36"/>
      <c r="AE5280" s="36"/>
      <c r="AF5280" s="36"/>
      <c r="AG5280" s="36"/>
      <c r="AH5280" s="36"/>
      <c r="AI5280" s="36">
        <v>400</v>
      </c>
      <c r="AJ5280" s="15">
        <f t="shared" si="754"/>
        <v>400</v>
      </c>
      <c r="AK5280" s="14"/>
      <c r="AL5280" s="14"/>
      <c r="AM5280" s="14"/>
      <c r="AN5280" s="14"/>
      <c r="AO5280" s="14"/>
      <c r="AP5280" s="14"/>
      <c r="AQ5280" s="14"/>
      <c r="AR5280" s="14"/>
      <c r="AS5280" s="14"/>
      <c r="AT5280" s="14"/>
      <c r="AU5280" s="14"/>
      <c r="AV5280" s="14"/>
      <c r="AW5280" s="15">
        <f t="shared" si="755"/>
        <v>0</v>
      </c>
      <c r="AX5280" s="16"/>
    </row>
    <row r="5281" spans="2:50" x14ac:dyDescent="0.2">
      <c r="B5281" s="7"/>
      <c r="C5281" s="8">
        <v>15473</v>
      </c>
      <c r="D5281" s="9" t="s">
        <v>678</v>
      </c>
      <c r="E5281" s="10" t="str">
        <f t="shared" si="750"/>
        <v>Rancho Upácuaro No. 76</v>
      </c>
      <c r="F5281" s="10" t="str">
        <f t="shared" si="751"/>
        <v>Ruiz de San Pedro</v>
      </c>
      <c r="G5281" s="8">
        <v>1</v>
      </c>
      <c r="H5281" s="11">
        <v>400</v>
      </c>
      <c r="I5281" s="12">
        <v>43072</v>
      </c>
      <c r="J5281" s="35">
        <f t="shared" si="752"/>
        <v>0</v>
      </c>
      <c r="K5281" s="36"/>
      <c r="L5281" s="36"/>
      <c r="M5281" s="36"/>
      <c r="N5281" s="36"/>
      <c r="O5281" s="36"/>
      <c r="P5281" s="36"/>
      <c r="Q5281" s="36"/>
      <c r="R5281" s="36"/>
      <c r="S5281" s="36"/>
      <c r="T5281" s="36"/>
      <c r="U5281" s="36"/>
      <c r="V5281" s="36"/>
      <c r="W5281" s="15">
        <f t="shared" si="753"/>
        <v>0</v>
      </c>
      <c r="X5281" s="36"/>
      <c r="Y5281" s="36"/>
      <c r="Z5281" s="36"/>
      <c r="AA5281" s="36"/>
      <c r="AB5281" s="36"/>
      <c r="AC5281" s="36"/>
      <c r="AD5281" s="36"/>
      <c r="AE5281" s="36"/>
      <c r="AF5281" s="36"/>
      <c r="AG5281" s="36"/>
      <c r="AH5281" s="36"/>
      <c r="AI5281" s="36">
        <v>400</v>
      </c>
      <c r="AJ5281" s="15">
        <f t="shared" si="754"/>
        <v>400</v>
      </c>
      <c r="AK5281" s="14"/>
      <c r="AL5281" s="14"/>
      <c r="AM5281" s="14"/>
      <c r="AN5281" s="14"/>
      <c r="AO5281" s="14"/>
      <c r="AP5281" s="14"/>
      <c r="AQ5281" s="14"/>
      <c r="AR5281" s="14"/>
      <c r="AS5281" s="14"/>
      <c r="AT5281" s="14"/>
      <c r="AU5281" s="14"/>
      <c r="AV5281" s="14"/>
      <c r="AW5281" s="15">
        <f t="shared" si="755"/>
        <v>0</v>
      </c>
      <c r="AX5281" s="16"/>
    </row>
    <row r="5282" spans="2:50" x14ac:dyDescent="0.2">
      <c r="B5282" s="7"/>
      <c r="C5282" s="8">
        <v>15474</v>
      </c>
      <c r="D5282" s="9" t="s">
        <v>743</v>
      </c>
      <c r="E5282" s="10" t="str">
        <f t="shared" ref="E5282:E5304" si="770">IF(D5282=0,"",VLOOKUP(D5282,BASE,2,FALSE))</f>
        <v>Rancho Upácuaro No. 106</v>
      </c>
      <c r="F5282" s="10" t="str">
        <f t="shared" ref="F5282:F5304" si="771">IF(D5282=0,"",VLOOKUP(D5282,BASE,3,FALSE))</f>
        <v>Hernández Sánchez</v>
      </c>
      <c r="G5282" s="8">
        <v>1</v>
      </c>
      <c r="H5282" s="11">
        <v>1200</v>
      </c>
      <c r="I5282" s="12">
        <v>43072</v>
      </c>
      <c r="J5282" s="35">
        <f t="shared" ref="J5282:J5304" si="772">IF(G5282=1,SUM(W5282,AJ5282,AW5282,-H5282),0)</f>
        <v>0</v>
      </c>
      <c r="K5282" s="36"/>
      <c r="L5282" s="36"/>
      <c r="M5282" s="36"/>
      <c r="N5282" s="36"/>
      <c r="O5282" s="36"/>
      <c r="P5282" s="36"/>
      <c r="Q5282" s="36"/>
      <c r="R5282" s="36"/>
      <c r="S5282" s="36"/>
      <c r="T5282" s="36"/>
      <c r="U5282" s="36"/>
      <c r="V5282" s="36"/>
      <c r="W5282" s="15">
        <f t="shared" ref="W5282:W5304" si="773">SUM(K5282:V5282)</f>
        <v>0</v>
      </c>
      <c r="X5282" s="36"/>
      <c r="Y5282" s="36"/>
      <c r="Z5282" s="36"/>
      <c r="AA5282" s="36"/>
      <c r="AB5282" s="36"/>
      <c r="AC5282" s="36"/>
      <c r="AD5282" s="36">
        <v>400</v>
      </c>
      <c r="AE5282" s="36">
        <v>400</v>
      </c>
      <c r="AF5282" s="36">
        <v>400</v>
      </c>
      <c r="AG5282" s="36"/>
      <c r="AH5282" s="36"/>
      <c r="AI5282" s="36"/>
      <c r="AJ5282" s="15">
        <f t="shared" ref="AJ5282:AJ5304" si="774">SUM(X5282:AI5282)</f>
        <v>1200</v>
      </c>
      <c r="AK5282" s="14"/>
      <c r="AL5282" s="14"/>
      <c r="AM5282" s="14"/>
      <c r="AN5282" s="14"/>
      <c r="AO5282" s="14"/>
      <c r="AP5282" s="14"/>
      <c r="AQ5282" s="14"/>
      <c r="AR5282" s="14"/>
      <c r="AS5282" s="14"/>
      <c r="AT5282" s="14"/>
      <c r="AU5282" s="14"/>
      <c r="AV5282" s="14"/>
      <c r="AW5282" s="15">
        <f t="shared" ref="AW5282:AW5304" si="775">SUM(AK5282:AV5282)</f>
        <v>0</v>
      </c>
      <c r="AX5282" s="16"/>
    </row>
    <row r="5283" spans="2:50" x14ac:dyDescent="0.2">
      <c r="B5283" s="7"/>
      <c r="C5283" s="8">
        <v>15475</v>
      </c>
      <c r="D5283" s="9" t="s">
        <v>384</v>
      </c>
      <c r="E5283" s="10" t="str">
        <f t="shared" si="770"/>
        <v>Rancho Zinamba No. 88</v>
      </c>
      <c r="F5283" s="10" t="str">
        <f t="shared" si="771"/>
        <v>Martínez</v>
      </c>
      <c r="G5283" s="8">
        <v>1</v>
      </c>
      <c r="H5283" s="11">
        <v>600</v>
      </c>
      <c r="I5283" s="12">
        <v>43072</v>
      </c>
      <c r="J5283" s="35">
        <f t="shared" si="772"/>
        <v>0</v>
      </c>
      <c r="K5283" s="36"/>
      <c r="L5283" s="36"/>
      <c r="M5283" s="36"/>
      <c r="N5283" s="36"/>
      <c r="O5283" s="36"/>
      <c r="P5283" s="36"/>
      <c r="Q5283" s="36"/>
      <c r="R5283" s="36"/>
      <c r="S5283" s="36"/>
      <c r="T5283" s="36"/>
      <c r="U5283" s="36"/>
      <c r="V5283" s="36"/>
      <c r="W5283" s="15">
        <f t="shared" si="773"/>
        <v>0</v>
      </c>
      <c r="X5283" s="36"/>
      <c r="Y5283" s="36"/>
      <c r="Z5283" s="36"/>
      <c r="AA5283" s="36"/>
      <c r="AB5283" s="36"/>
      <c r="AC5283" s="36"/>
      <c r="AD5283" s="36"/>
      <c r="AE5283" s="36"/>
      <c r="AF5283" s="36"/>
      <c r="AG5283" s="36"/>
      <c r="AH5283" s="36">
        <v>300</v>
      </c>
      <c r="AI5283" s="36">
        <v>300</v>
      </c>
      <c r="AJ5283" s="15">
        <f t="shared" si="774"/>
        <v>600</v>
      </c>
      <c r="AK5283" s="14"/>
      <c r="AL5283" s="14"/>
      <c r="AM5283" s="14"/>
      <c r="AN5283" s="14"/>
      <c r="AO5283" s="14"/>
      <c r="AP5283" s="14"/>
      <c r="AQ5283" s="14"/>
      <c r="AR5283" s="14"/>
      <c r="AS5283" s="14"/>
      <c r="AT5283" s="14"/>
      <c r="AU5283" s="14"/>
      <c r="AV5283" s="14"/>
      <c r="AW5283" s="15">
        <f t="shared" si="775"/>
        <v>0</v>
      </c>
      <c r="AX5283" s="16"/>
    </row>
    <row r="5284" spans="2:50" x14ac:dyDescent="0.2">
      <c r="B5284" s="7"/>
      <c r="C5284" s="8">
        <v>15476</v>
      </c>
      <c r="D5284" s="9" t="s">
        <v>177</v>
      </c>
      <c r="E5284" s="10" t="str">
        <f t="shared" si="770"/>
        <v>Rancho Landero No. 71</v>
      </c>
      <c r="F5284" s="10" t="str">
        <f t="shared" si="771"/>
        <v xml:space="preserve">Luna  </v>
      </c>
      <c r="G5284" s="8">
        <v>1</v>
      </c>
      <c r="H5284" s="11">
        <v>400</v>
      </c>
      <c r="I5284" s="12">
        <v>43072</v>
      </c>
      <c r="J5284" s="35">
        <f t="shared" si="772"/>
        <v>0</v>
      </c>
      <c r="K5284" s="36"/>
      <c r="L5284" s="36"/>
      <c r="M5284" s="36"/>
      <c r="N5284" s="36"/>
      <c r="O5284" s="36"/>
      <c r="P5284" s="36"/>
      <c r="Q5284" s="36"/>
      <c r="R5284" s="36"/>
      <c r="S5284" s="36"/>
      <c r="T5284" s="36"/>
      <c r="U5284" s="36"/>
      <c r="V5284" s="36"/>
      <c r="W5284" s="15">
        <f t="shared" si="773"/>
        <v>0</v>
      </c>
      <c r="X5284" s="36"/>
      <c r="Y5284" s="36"/>
      <c r="Z5284" s="36"/>
      <c r="AA5284" s="36"/>
      <c r="AB5284" s="36"/>
      <c r="AC5284" s="36"/>
      <c r="AD5284" s="36"/>
      <c r="AE5284" s="36"/>
      <c r="AF5284" s="36"/>
      <c r="AG5284" s="36"/>
      <c r="AH5284" s="36"/>
      <c r="AI5284" s="36">
        <v>400</v>
      </c>
      <c r="AJ5284" s="15">
        <f t="shared" si="774"/>
        <v>400</v>
      </c>
      <c r="AK5284" s="14"/>
      <c r="AL5284" s="14"/>
      <c r="AM5284" s="14"/>
      <c r="AN5284" s="14"/>
      <c r="AO5284" s="14"/>
      <c r="AP5284" s="14"/>
      <c r="AQ5284" s="14"/>
      <c r="AR5284" s="14"/>
      <c r="AS5284" s="14"/>
      <c r="AT5284" s="14"/>
      <c r="AU5284" s="14"/>
      <c r="AV5284" s="14"/>
      <c r="AW5284" s="15">
        <f t="shared" si="775"/>
        <v>0</v>
      </c>
      <c r="AX5284" s="16"/>
    </row>
    <row r="5285" spans="2:50" x14ac:dyDescent="0.2">
      <c r="B5285" s="7"/>
      <c r="C5285" s="8">
        <v>15477</v>
      </c>
      <c r="D5285" s="9" t="s">
        <v>640</v>
      </c>
      <c r="E5285" s="10" t="str">
        <f t="shared" si="770"/>
        <v>Rancho Estopila No. 22, A</v>
      </c>
      <c r="F5285" s="10" t="str">
        <f t="shared" si="771"/>
        <v>Ayala Carranza</v>
      </c>
      <c r="G5285" s="8">
        <v>1</v>
      </c>
      <c r="H5285" s="11">
        <v>400</v>
      </c>
      <c r="I5285" s="12">
        <v>43072</v>
      </c>
      <c r="J5285" s="35">
        <f t="shared" si="772"/>
        <v>0</v>
      </c>
      <c r="K5285" s="36"/>
      <c r="L5285" s="36"/>
      <c r="M5285" s="36"/>
      <c r="N5285" s="36"/>
      <c r="O5285" s="36"/>
      <c r="P5285" s="36"/>
      <c r="Q5285" s="36"/>
      <c r="R5285" s="36"/>
      <c r="S5285" s="36"/>
      <c r="T5285" s="36"/>
      <c r="U5285" s="36"/>
      <c r="V5285" s="36"/>
      <c r="W5285" s="15">
        <f t="shared" si="773"/>
        <v>0</v>
      </c>
      <c r="X5285" s="36"/>
      <c r="Y5285" s="36"/>
      <c r="Z5285" s="36"/>
      <c r="AA5285" s="36"/>
      <c r="AB5285" s="36"/>
      <c r="AC5285" s="36"/>
      <c r="AD5285" s="36"/>
      <c r="AE5285" s="36"/>
      <c r="AF5285" s="36"/>
      <c r="AG5285" s="36"/>
      <c r="AH5285" s="36">
        <v>200</v>
      </c>
      <c r="AI5285" s="36">
        <v>200</v>
      </c>
      <c r="AJ5285" s="15">
        <f t="shared" si="774"/>
        <v>400</v>
      </c>
      <c r="AK5285" s="14"/>
      <c r="AL5285" s="14"/>
      <c r="AM5285" s="14"/>
      <c r="AN5285" s="14"/>
      <c r="AO5285" s="14"/>
      <c r="AP5285" s="14"/>
      <c r="AQ5285" s="14"/>
      <c r="AR5285" s="14"/>
      <c r="AS5285" s="14"/>
      <c r="AT5285" s="14"/>
      <c r="AU5285" s="14"/>
      <c r="AV5285" s="14"/>
      <c r="AW5285" s="15">
        <f t="shared" si="775"/>
        <v>0</v>
      </c>
      <c r="AX5285" s="16"/>
    </row>
    <row r="5286" spans="2:50" x14ac:dyDescent="0.2">
      <c r="B5286" s="7"/>
      <c r="C5286" s="8">
        <v>15478</v>
      </c>
      <c r="D5286" s="9" t="s">
        <v>395</v>
      </c>
      <c r="E5286" s="10" t="str">
        <f t="shared" si="770"/>
        <v>Rancho Landero No. 7</v>
      </c>
      <c r="F5286" s="10" t="str">
        <f t="shared" si="771"/>
        <v>Robles</v>
      </c>
      <c r="G5286" s="8">
        <v>1</v>
      </c>
      <c r="H5286" s="11">
        <v>200</v>
      </c>
      <c r="I5286" s="12">
        <v>43072</v>
      </c>
      <c r="J5286" s="35">
        <f t="shared" si="772"/>
        <v>0</v>
      </c>
      <c r="K5286" s="36"/>
      <c r="L5286" s="36"/>
      <c r="M5286" s="36"/>
      <c r="N5286" s="36"/>
      <c r="O5286" s="36"/>
      <c r="P5286" s="36"/>
      <c r="Q5286" s="36"/>
      <c r="R5286" s="36"/>
      <c r="S5286" s="36"/>
      <c r="T5286" s="36"/>
      <c r="U5286" s="36"/>
      <c r="V5286" s="36"/>
      <c r="W5286" s="15">
        <f t="shared" si="773"/>
        <v>0</v>
      </c>
      <c r="X5286" s="36"/>
      <c r="Y5286" s="36"/>
      <c r="Z5286" s="36"/>
      <c r="AA5286" s="36"/>
      <c r="AB5286" s="36"/>
      <c r="AC5286" s="36"/>
      <c r="AD5286" s="36"/>
      <c r="AE5286" s="36"/>
      <c r="AF5286" s="36"/>
      <c r="AG5286" s="36"/>
      <c r="AH5286" s="36"/>
      <c r="AI5286" s="36">
        <v>200</v>
      </c>
      <c r="AJ5286" s="15">
        <f t="shared" si="774"/>
        <v>200</v>
      </c>
      <c r="AK5286" s="14"/>
      <c r="AL5286" s="14"/>
      <c r="AM5286" s="14"/>
      <c r="AN5286" s="14"/>
      <c r="AO5286" s="14"/>
      <c r="AP5286" s="14"/>
      <c r="AQ5286" s="14"/>
      <c r="AR5286" s="14"/>
      <c r="AS5286" s="14"/>
      <c r="AT5286" s="14"/>
      <c r="AU5286" s="14"/>
      <c r="AV5286" s="14"/>
      <c r="AW5286" s="15">
        <f t="shared" si="775"/>
        <v>0</v>
      </c>
      <c r="AX5286" s="16"/>
    </row>
    <row r="5287" spans="2:50" x14ac:dyDescent="0.2">
      <c r="B5287" s="7"/>
      <c r="C5287" s="8">
        <v>15479</v>
      </c>
      <c r="D5287" s="9" t="s">
        <v>620</v>
      </c>
      <c r="E5287" s="10" t="str">
        <f t="shared" si="770"/>
        <v>Rancho La Cuchilla No. 32</v>
      </c>
      <c r="F5287" s="10" t="str">
        <f t="shared" si="771"/>
        <v>Hernández</v>
      </c>
      <c r="G5287" s="8">
        <v>1</v>
      </c>
      <c r="H5287" s="11">
        <v>800</v>
      </c>
      <c r="I5287" s="12">
        <v>43072</v>
      </c>
      <c r="J5287" s="35">
        <f t="shared" si="772"/>
        <v>0</v>
      </c>
      <c r="K5287" s="36"/>
      <c r="L5287" s="36"/>
      <c r="M5287" s="36"/>
      <c r="N5287" s="36"/>
      <c r="O5287" s="36"/>
      <c r="P5287" s="36"/>
      <c r="Q5287" s="36"/>
      <c r="R5287" s="36"/>
      <c r="S5287" s="36"/>
      <c r="T5287" s="36"/>
      <c r="U5287" s="36"/>
      <c r="V5287" s="36"/>
      <c r="W5287" s="15">
        <f t="shared" si="773"/>
        <v>0</v>
      </c>
      <c r="X5287" s="36"/>
      <c r="Y5287" s="36"/>
      <c r="Z5287" s="36"/>
      <c r="AA5287" s="36"/>
      <c r="AB5287" s="36"/>
      <c r="AC5287" s="36"/>
      <c r="AD5287" s="36"/>
      <c r="AE5287" s="36"/>
      <c r="AF5287" s="36"/>
      <c r="AG5287" s="36">
        <v>400</v>
      </c>
      <c r="AH5287" s="36">
        <v>400</v>
      </c>
      <c r="AI5287" s="36"/>
      <c r="AJ5287" s="15">
        <f t="shared" si="774"/>
        <v>800</v>
      </c>
      <c r="AK5287" s="14"/>
      <c r="AL5287" s="14"/>
      <c r="AM5287" s="14"/>
      <c r="AN5287" s="14"/>
      <c r="AO5287" s="14"/>
      <c r="AP5287" s="14"/>
      <c r="AQ5287" s="14"/>
      <c r="AR5287" s="14"/>
      <c r="AS5287" s="14"/>
      <c r="AT5287" s="14"/>
      <c r="AU5287" s="14"/>
      <c r="AV5287" s="14"/>
      <c r="AW5287" s="15">
        <f t="shared" si="775"/>
        <v>0</v>
      </c>
      <c r="AX5287" s="16"/>
    </row>
    <row r="5288" spans="2:50" x14ac:dyDescent="0.2">
      <c r="B5288" s="7"/>
      <c r="C5288" s="8">
        <v>15480</v>
      </c>
      <c r="D5288" s="9" t="s">
        <v>562</v>
      </c>
      <c r="E5288" s="10" t="str">
        <f t="shared" si="770"/>
        <v>Rancho Upácuaro No. 87</v>
      </c>
      <c r="F5288" s="10" t="str">
        <f t="shared" si="771"/>
        <v>Rodríguez Parés</v>
      </c>
      <c r="G5288" s="8">
        <v>1</v>
      </c>
      <c r="H5288" s="11">
        <v>400</v>
      </c>
      <c r="I5288" s="12">
        <v>43072</v>
      </c>
      <c r="J5288" s="35">
        <f t="shared" si="772"/>
        <v>0</v>
      </c>
      <c r="K5288" s="36"/>
      <c r="L5288" s="36"/>
      <c r="M5288" s="36"/>
      <c r="N5288" s="36"/>
      <c r="O5288" s="36"/>
      <c r="P5288" s="36"/>
      <c r="Q5288" s="36"/>
      <c r="R5288" s="36"/>
      <c r="S5288" s="36"/>
      <c r="T5288" s="36"/>
      <c r="U5288" s="36"/>
      <c r="V5288" s="36"/>
      <c r="W5288" s="15">
        <f t="shared" si="773"/>
        <v>0</v>
      </c>
      <c r="X5288" s="36"/>
      <c r="Y5288" s="36"/>
      <c r="Z5288" s="36"/>
      <c r="AA5288" s="36"/>
      <c r="AB5288" s="36"/>
      <c r="AC5288" s="36"/>
      <c r="AD5288" s="36"/>
      <c r="AE5288" s="36"/>
      <c r="AF5288" s="36"/>
      <c r="AG5288" s="36"/>
      <c r="AH5288" s="36"/>
      <c r="AI5288" s="36">
        <v>400</v>
      </c>
      <c r="AJ5288" s="15">
        <f t="shared" si="774"/>
        <v>400</v>
      </c>
      <c r="AK5288" s="14"/>
      <c r="AL5288" s="14"/>
      <c r="AM5288" s="14"/>
      <c r="AN5288" s="14"/>
      <c r="AO5288" s="14"/>
      <c r="AP5288" s="14"/>
      <c r="AQ5288" s="14"/>
      <c r="AR5288" s="14"/>
      <c r="AS5288" s="14"/>
      <c r="AT5288" s="14"/>
      <c r="AU5288" s="14"/>
      <c r="AV5288" s="14"/>
      <c r="AW5288" s="15">
        <f t="shared" si="775"/>
        <v>0</v>
      </c>
      <c r="AX5288" s="16"/>
    </row>
    <row r="5289" spans="2:50" x14ac:dyDescent="0.2">
      <c r="B5289" s="7"/>
      <c r="C5289" s="8">
        <v>15481</v>
      </c>
      <c r="D5289" s="9" t="s">
        <v>538</v>
      </c>
      <c r="E5289" s="10" t="str">
        <f t="shared" si="770"/>
        <v>Rancho Landero No. 73</v>
      </c>
      <c r="F5289" s="10" t="str">
        <f t="shared" si="771"/>
        <v>Islas Palacios</v>
      </c>
      <c r="G5289" s="8">
        <v>1</v>
      </c>
      <c r="H5289" s="11">
        <v>400</v>
      </c>
      <c r="I5289" s="12">
        <v>43072</v>
      </c>
      <c r="J5289" s="35">
        <f t="shared" si="772"/>
        <v>0</v>
      </c>
      <c r="K5289" s="36"/>
      <c r="L5289" s="36"/>
      <c r="M5289" s="36"/>
      <c r="N5289" s="36"/>
      <c r="O5289" s="36"/>
      <c r="P5289" s="36"/>
      <c r="Q5289" s="36"/>
      <c r="R5289" s="36"/>
      <c r="S5289" s="36"/>
      <c r="T5289" s="36"/>
      <c r="U5289" s="36"/>
      <c r="V5289" s="36"/>
      <c r="W5289" s="15">
        <f t="shared" si="773"/>
        <v>0</v>
      </c>
      <c r="X5289" s="36"/>
      <c r="Y5289" s="36"/>
      <c r="Z5289" s="36"/>
      <c r="AA5289" s="36"/>
      <c r="AB5289" s="36"/>
      <c r="AC5289" s="36"/>
      <c r="AD5289" s="36"/>
      <c r="AE5289" s="36"/>
      <c r="AF5289" s="36"/>
      <c r="AG5289" s="36"/>
      <c r="AH5289" s="36">
        <v>400</v>
      </c>
      <c r="AI5289" s="36"/>
      <c r="AJ5289" s="15">
        <f t="shared" si="774"/>
        <v>400</v>
      </c>
      <c r="AK5289" s="14"/>
      <c r="AL5289" s="14"/>
      <c r="AM5289" s="14"/>
      <c r="AN5289" s="14"/>
      <c r="AO5289" s="14"/>
      <c r="AP5289" s="14"/>
      <c r="AQ5289" s="14"/>
      <c r="AR5289" s="14"/>
      <c r="AS5289" s="14"/>
      <c r="AT5289" s="14"/>
      <c r="AU5289" s="14"/>
      <c r="AV5289" s="14"/>
      <c r="AW5289" s="15">
        <f t="shared" si="775"/>
        <v>0</v>
      </c>
      <c r="AX5289" s="16"/>
    </row>
    <row r="5290" spans="2:50" x14ac:dyDescent="0.2">
      <c r="B5290" s="7"/>
      <c r="C5290" s="8">
        <v>15482</v>
      </c>
      <c r="D5290" s="9" t="s">
        <v>247</v>
      </c>
      <c r="E5290" s="10" t="str">
        <f t="shared" si="770"/>
        <v>Rancho Landero No. 91</v>
      </c>
      <c r="F5290" s="10" t="str">
        <f t="shared" si="771"/>
        <v>Llaca</v>
      </c>
      <c r="G5290" s="8">
        <v>3</v>
      </c>
      <c r="H5290" s="11">
        <v>200</v>
      </c>
      <c r="I5290" s="12">
        <v>43072</v>
      </c>
      <c r="J5290" s="35">
        <f t="shared" si="772"/>
        <v>0</v>
      </c>
      <c r="K5290" s="36"/>
      <c r="L5290" s="36"/>
      <c r="M5290" s="36"/>
      <c r="N5290" s="36"/>
      <c r="O5290" s="36"/>
      <c r="P5290" s="36"/>
      <c r="Q5290" s="36"/>
      <c r="R5290" s="36"/>
      <c r="S5290" s="36"/>
      <c r="T5290" s="36"/>
      <c r="U5290" s="36"/>
      <c r="V5290" s="36"/>
      <c r="W5290" s="15">
        <f t="shared" si="773"/>
        <v>0</v>
      </c>
      <c r="X5290" s="36"/>
      <c r="Y5290" s="36"/>
      <c r="Z5290" s="36"/>
      <c r="AA5290" s="36"/>
      <c r="AB5290" s="36"/>
      <c r="AC5290" s="36"/>
      <c r="AD5290" s="36"/>
      <c r="AE5290" s="36"/>
      <c r="AF5290" s="36"/>
      <c r="AG5290" s="36"/>
      <c r="AH5290" s="36"/>
      <c r="AI5290" s="36"/>
      <c r="AJ5290" s="15">
        <f t="shared" si="774"/>
        <v>0</v>
      </c>
      <c r="AK5290" s="14"/>
      <c r="AL5290" s="14"/>
      <c r="AM5290" s="14"/>
      <c r="AN5290" s="14"/>
      <c r="AO5290" s="14"/>
      <c r="AP5290" s="14"/>
      <c r="AQ5290" s="14"/>
      <c r="AR5290" s="14"/>
      <c r="AS5290" s="14"/>
      <c r="AT5290" s="14"/>
      <c r="AU5290" s="14"/>
      <c r="AV5290" s="14"/>
      <c r="AW5290" s="15">
        <f t="shared" si="775"/>
        <v>0</v>
      </c>
      <c r="AX5290" s="16"/>
    </row>
    <row r="5291" spans="2:50" x14ac:dyDescent="0.2">
      <c r="B5291" s="7"/>
      <c r="C5291" s="8">
        <v>15483</v>
      </c>
      <c r="D5291" s="9" t="s">
        <v>129</v>
      </c>
      <c r="E5291" s="10" t="str">
        <f t="shared" si="770"/>
        <v>Rancho Zinamba No. 44</v>
      </c>
      <c r="F5291" s="10" t="str">
        <f t="shared" si="771"/>
        <v>Canales</v>
      </c>
      <c r="G5291" s="8">
        <v>1</v>
      </c>
      <c r="H5291" s="11">
        <v>400</v>
      </c>
      <c r="I5291" s="12">
        <v>43072</v>
      </c>
      <c r="J5291" s="35">
        <f t="shared" si="772"/>
        <v>0</v>
      </c>
      <c r="K5291" s="36"/>
      <c r="L5291" s="36"/>
      <c r="M5291" s="36"/>
      <c r="N5291" s="36"/>
      <c r="O5291" s="36"/>
      <c r="P5291" s="36"/>
      <c r="Q5291" s="36"/>
      <c r="R5291" s="36"/>
      <c r="S5291" s="36"/>
      <c r="T5291" s="36"/>
      <c r="U5291" s="36"/>
      <c r="V5291" s="36"/>
      <c r="W5291" s="15">
        <f t="shared" si="773"/>
        <v>0</v>
      </c>
      <c r="X5291" s="36"/>
      <c r="Y5291" s="36"/>
      <c r="Z5291" s="36"/>
      <c r="AA5291" s="36"/>
      <c r="AB5291" s="36"/>
      <c r="AC5291" s="36"/>
      <c r="AD5291" s="36"/>
      <c r="AE5291" s="36"/>
      <c r="AF5291" s="36"/>
      <c r="AG5291" s="36"/>
      <c r="AH5291" s="36"/>
      <c r="AI5291" s="36">
        <v>400</v>
      </c>
      <c r="AJ5291" s="15">
        <f t="shared" si="774"/>
        <v>400</v>
      </c>
      <c r="AK5291" s="14"/>
      <c r="AL5291" s="14"/>
      <c r="AM5291" s="14"/>
      <c r="AN5291" s="14"/>
      <c r="AO5291" s="14"/>
      <c r="AP5291" s="14"/>
      <c r="AQ5291" s="14"/>
      <c r="AR5291" s="14"/>
      <c r="AS5291" s="14"/>
      <c r="AT5291" s="14"/>
      <c r="AU5291" s="14"/>
      <c r="AV5291" s="14"/>
      <c r="AW5291" s="15">
        <f t="shared" si="775"/>
        <v>0</v>
      </c>
      <c r="AX5291" s="16"/>
    </row>
    <row r="5292" spans="2:50" x14ac:dyDescent="0.2">
      <c r="B5292" s="7"/>
      <c r="C5292" s="8">
        <v>15484</v>
      </c>
      <c r="D5292" s="9" t="s">
        <v>1306</v>
      </c>
      <c r="E5292" s="10" t="str">
        <f t="shared" si="770"/>
        <v>Rancho La Cuchilla No. 131</v>
      </c>
      <c r="F5292" s="10" t="str">
        <f t="shared" si="771"/>
        <v>Cabrera Marquez</v>
      </c>
      <c r="G5292" s="8">
        <v>1</v>
      </c>
      <c r="H5292" s="11">
        <v>200</v>
      </c>
      <c r="I5292" s="12">
        <v>43072</v>
      </c>
      <c r="J5292" s="35">
        <f t="shared" si="772"/>
        <v>0</v>
      </c>
      <c r="K5292" s="36"/>
      <c r="L5292" s="36"/>
      <c r="M5292" s="36"/>
      <c r="N5292" s="36"/>
      <c r="O5292" s="36"/>
      <c r="P5292" s="36"/>
      <c r="Q5292" s="36"/>
      <c r="R5292" s="36"/>
      <c r="S5292" s="36"/>
      <c r="T5292" s="36"/>
      <c r="U5292" s="36"/>
      <c r="V5292" s="36"/>
      <c r="W5292" s="15">
        <f t="shared" si="773"/>
        <v>0</v>
      </c>
      <c r="X5292" s="36"/>
      <c r="Y5292" s="36"/>
      <c r="Z5292" s="36"/>
      <c r="AA5292" s="36"/>
      <c r="AB5292" s="36"/>
      <c r="AC5292" s="36"/>
      <c r="AD5292" s="36"/>
      <c r="AE5292" s="36"/>
      <c r="AF5292" s="36"/>
      <c r="AG5292" s="36"/>
      <c r="AH5292" s="36"/>
      <c r="AI5292" s="36"/>
      <c r="AJ5292" s="15">
        <f t="shared" si="774"/>
        <v>0</v>
      </c>
      <c r="AK5292" s="14">
        <v>200</v>
      </c>
      <c r="AL5292" s="14"/>
      <c r="AM5292" s="14"/>
      <c r="AN5292" s="14"/>
      <c r="AO5292" s="14"/>
      <c r="AP5292" s="14"/>
      <c r="AQ5292" s="14"/>
      <c r="AR5292" s="14"/>
      <c r="AS5292" s="14"/>
      <c r="AT5292" s="14"/>
      <c r="AU5292" s="14"/>
      <c r="AV5292" s="14"/>
      <c r="AW5292" s="15">
        <f t="shared" si="775"/>
        <v>200</v>
      </c>
      <c r="AX5292" s="16"/>
    </row>
    <row r="5293" spans="2:50" x14ac:dyDescent="0.2">
      <c r="B5293" s="7"/>
      <c r="C5293" s="8">
        <v>15485</v>
      </c>
      <c r="D5293" s="9" t="s">
        <v>100</v>
      </c>
      <c r="E5293" s="10" t="str">
        <f t="shared" si="770"/>
        <v>Rancho Upácuaro No. 32</v>
      </c>
      <c r="F5293" s="10" t="str">
        <f t="shared" si="771"/>
        <v>Sairafi Carmen</v>
      </c>
      <c r="G5293" s="8">
        <v>1</v>
      </c>
      <c r="H5293" s="11">
        <v>400</v>
      </c>
      <c r="I5293" s="12">
        <v>43072</v>
      </c>
      <c r="J5293" s="35">
        <f t="shared" si="772"/>
        <v>0</v>
      </c>
      <c r="K5293" s="36"/>
      <c r="L5293" s="36"/>
      <c r="M5293" s="36"/>
      <c r="N5293" s="36"/>
      <c r="O5293" s="36"/>
      <c r="P5293" s="36"/>
      <c r="Q5293" s="36"/>
      <c r="R5293" s="36"/>
      <c r="S5293" s="36"/>
      <c r="T5293" s="36"/>
      <c r="U5293" s="36"/>
      <c r="V5293" s="36"/>
      <c r="W5293" s="15">
        <f t="shared" si="773"/>
        <v>0</v>
      </c>
      <c r="X5293" s="36"/>
      <c r="Y5293" s="36"/>
      <c r="Z5293" s="36"/>
      <c r="AA5293" s="36"/>
      <c r="AB5293" s="36"/>
      <c r="AC5293" s="36"/>
      <c r="AD5293" s="36"/>
      <c r="AE5293" s="36"/>
      <c r="AF5293" s="36"/>
      <c r="AG5293" s="36"/>
      <c r="AH5293" s="36"/>
      <c r="AI5293" s="36">
        <v>400</v>
      </c>
      <c r="AJ5293" s="15">
        <f t="shared" si="774"/>
        <v>400</v>
      </c>
      <c r="AK5293" s="14"/>
      <c r="AL5293" s="14"/>
      <c r="AM5293" s="14"/>
      <c r="AN5293" s="14"/>
      <c r="AO5293" s="14"/>
      <c r="AP5293" s="14"/>
      <c r="AQ5293" s="14"/>
      <c r="AR5293" s="14"/>
      <c r="AS5293" s="14"/>
      <c r="AT5293" s="14"/>
      <c r="AU5293" s="14"/>
      <c r="AV5293" s="14"/>
      <c r="AW5293" s="15">
        <f t="shared" si="775"/>
        <v>0</v>
      </c>
      <c r="AX5293" s="16"/>
    </row>
    <row r="5294" spans="2:50" x14ac:dyDescent="0.2">
      <c r="B5294" s="7"/>
      <c r="C5294" s="8">
        <v>15486</v>
      </c>
      <c r="D5294" s="9" t="s">
        <v>84</v>
      </c>
      <c r="E5294" s="10" t="str">
        <f t="shared" si="770"/>
        <v>Rancho La Cuchilla No. 139</v>
      </c>
      <c r="F5294" s="10" t="str">
        <f t="shared" si="771"/>
        <v>Garcia</v>
      </c>
      <c r="G5294" s="8">
        <v>1</v>
      </c>
      <c r="H5294" s="11">
        <v>200</v>
      </c>
      <c r="I5294" s="12">
        <v>43072</v>
      </c>
      <c r="J5294" s="35">
        <f t="shared" si="772"/>
        <v>0</v>
      </c>
      <c r="K5294" s="36"/>
      <c r="L5294" s="36"/>
      <c r="M5294" s="36"/>
      <c r="N5294" s="36"/>
      <c r="O5294" s="36"/>
      <c r="P5294" s="36"/>
      <c r="Q5294" s="36"/>
      <c r="R5294" s="36"/>
      <c r="S5294" s="36"/>
      <c r="T5294" s="36"/>
      <c r="U5294" s="36"/>
      <c r="V5294" s="36"/>
      <c r="W5294" s="15">
        <f t="shared" si="773"/>
        <v>0</v>
      </c>
      <c r="X5294" s="36"/>
      <c r="Y5294" s="36"/>
      <c r="Z5294" s="36"/>
      <c r="AA5294" s="36"/>
      <c r="AB5294" s="36"/>
      <c r="AC5294" s="36"/>
      <c r="AD5294" s="36"/>
      <c r="AE5294" s="36"/>
      <c r="AF5294" s="36"/>
      <c r="AG5294" s="36"/>
      <c r="AH5294" s="36"/>
      <c r="AI5294" s="36">
        <v>200</v>
      </c>
      <c r="AJ5294" s="15">
        <f t="shared" si="774"/>
        <v>200</v>
      </c>
      <c r="AK5294" s="14"/>
      <c r="AL5294" s="14"/>
      <c r="AM5294" s="14"/>
      <c r="AN5294" s="14"/>
      <c r="AO5294" s="14"/>
      <c r="AP5294" s="14"/>
      <c r="AQ5294" s="14"/>
      <c r="AR5294" s="14"/>
      <c r="AS5294" s="14"/>
      <c r="AT5294" s="14"/>
      <c r="AU5294" s="14"/>
      <c r="AV5294" s="14"/>
      <c r="AW5294" s="15">
        <f t="shared" si="775"/>
        <v>0</v>
      </c>
      <c r="AX5294" s="16"/>
    </row>
    <row r="5295" spans="2:50" x14ac:dyDescent="0.2">
      <c r="B5295" s="7"/>
      <c r="C5295" s="8">
        <v>15487</v>
      </c>
      <c r="D5295" s="9" t="s">
        <v>280</v>
      </c>
      <c r="E5295" s="10" t="str">
        <f t="shared" si="770"/>
        <v>Rancho La Cuchilla No. 40</v>
      </c>
      <c r="F5295" s="10" t="str">
        <f t="shared" si="771"/>
        <v>López Pico</v>
      </c>
      <c r="G5295" s="8">
        <v>1</v>
      </c>
      <c r="H5295" s="11">
        <v>400</v>
      </c>
      <c r="I5295" s="12">
        <v>43072</v>
      </c>
      <c r="J5295" s="35">
        <f t="shared" si="772"/>
        <v>0</v>
      </c>
      <c r="K5295" s="36"/>
      <c r="L5295" s="36"/>
      <c r="M5295" s="36"/>
      <c r="N5295" s="36"/>
      <c r="O5295" s="36"/>
      <c r="P5295" s="36"/>
      <c r="Q5295" s="36"/>
      <c r="R5295" s="36"/>
      <c r="S5295" s="36"/>
      <c r="T5295" s="36"/>
      <c r="U5295" s="36"/>
      <c r="V5295" s="36"/>
      <c r="W5295" s="15">
        <f t="shared" si="773"/>
        <v>0</v>
      </c>
      <c r="X5295" s="36"/>
      <c r="Y5295" s="36"/>
      <c r="Z5295" s="36"/>
      <c r="AA5295" s="36"/>
      <c r="AB5295" s="36"/>
      <c r="AC5295" s="36"/>
      <c r="AD5295" s="36"/>
      <c r="AE5295" s="36"/>
      <c r="AF5295" s="36"/>
      <c r="AG5295" s="36"/>
      <c r="AH5295" s="36"/>
      <c r="AI5295" s="36">
        <v>400</v>
      </c>
      <c r="AJ5295" s="15">
        <f t="shared" si="774"/>
        <v>400</v>
      </c>
      <c r="AK5295" s="14"/>
      <c r="AL5295" s="14"/>
      <c r="AM5295" s="14"/>
      <c r="AN5295" s="14"/>
      <c r="AO5295" s="14"/>
      <c r="AP5295" s="14"/>
      <c r="AQ5295" s="14"/>
      <c r="AR5295" s="14"/>
      <c r="AS5295" s="14"/>
      <c r="AT5295" s="14"/>
      <c r="AU5295" s="14"/>
      <c r="AV5295" s="14"/>
      <c r="AW5295" s="15">
        <f t="shared" si="775"/>
        <v>0</v>
      </c>
      <c r="AX5295" s="16"/>
    </row>
    <row r="5296" spans="2:50" x14ac:dyDescent="0.2">
      <c r="B5296" s="7"/>
      <c r="C5296" s="8">
        <v>15488</v>
      </c>
      <c r="D5296" s="9" t="s">
        <v>58</v>
      </c>
      <c r="E5296" s="10" t="str">
        <f t="shared" si="770"/>
        <v>Rancho Landero No. 19</v>
      </c>
      <c r="F5296" s="10" t="str">
        <f t="shared" si="771"/>
        <v>Becerril Amaya</v>
      </c>
      <c r="G5296" s="8">
        <v>5</v>
      </c>
      <c r="H5296" s="11">
        <v>50</v>
      </c>
      <c r="I5296" s="12">
        <v>43072</v>
      </c>
      <c r="J5296" s="35">
        <f t="shared" si="772"/>
        <v>0</v>
      </c>
      <c r="K5296" s="36"/>
      <c r="L5296" s="36"/>
      <c r="M5296" s="36"/>
      <c r="N5296" s="36"/>
      <c r="O5296" s="36"/>
      <c r="P5296" s="36"/>
      <c r="Q5296" s="36"/>
      <c r="R5296" s="36"/>
      <c r="S5296" s="36"/>
      <c r="T5296" s="36"/>
      <c r="U5296" s="36"/>
      <c r="V5296" s="36"/>
      <c r="W5296" s="15">
        <f t="shared" si="773"/>
        <v>0</v>
      </c>
      <c r="X5296" s="36"/>
      <c r="Y5296" s="36"/>
      <c r="Z5296" s="36"/>
      <c r="AA5296" s="36"/>
      <c r="AB5296" s="36"/>
      <c r="AC5296" s="36"/>
      <c r="AD5296" s="36"/>
      <c r="AE5296" s="36"/>
      <c r="AF5296" s="36"/>
      <c r="AG5296" s="36"/>
      <c r="AH5296" s="36"/>
      <c r="AI5296" s="36"/>
      <c r="AJ5296" s="15">
        <f t="shared" si="774"/>
        <v>0</v>
      </c>
      <c r="AK5296" s="14"/>
      <c r="AL5296" s="14"/>
      <c r="AM5296" s="14"/>
      <c r="AN5296" s="14"/>
      <c r="AO5296" s="14"/>
      <c r="AP5296" s="14"/>
      <c r="AQ5296" s="14"/>
      <c r="AR5296" s="14"/>
      <c r="AS5296" s="14"/>
      <c r="AT5296" s="14"/>
      <c r="AU5296" s="14"/>
      <c r="AV5296" s="14"/>
      <c r="AW5296" s="15">
        <f t="shared" si="775"/>
        <v>0</v>
      </c>
      <c r="AX5296" s="16"/>
    </row>
    <row r="5297" spans="2:50" x14ac:dyDescent="0.2">
      <c r="B5297" s="7"/>
      <c r="C5297" s="8">
        <v>15489</v>
      </c>
      <c r="D5297" s="9" t="s">
        <v>583</v>
      </c>
      <c r="E5297" s="10" t="str">
        <f t="shared" si="770"/>
        <v>Rancho La Cuchilla No. 111</v>
      </c>
      <c r="F5297" s="10" t="str">
        <f t="shared" si="771"/>
        <v>García Santos Ofelia</v>
      </c>
      <c r="G5297" s="8">
        <v>1</v>
      </c>
      <c r="H5297" s="11">
        <v>200</v>
      </c>
      <c r="I5297" s="12">
        <v>43072</v>
      </c>
      <c r="J5297" s="35">
        <f t="shared" si="772"/>
        <v>0</v>
      </c>
      <c r="K5297" s="36"/>
      <c r="L5297" s="36"/>
      <c r="M5297" s="36"/>
      <c r="N5297" s="36"/>
      <c r="O5297" s="36"/>
      <c r="P5297" s="36"/>
      <c r="Q5297" s="36"/>
      <c r="R5297" s="36"/>
      <c r="S5297" s="36"/>
      <c r="T5297" s="36"/>
      <c r="U5297" s="36"/>
      <c r="V5297" s="36"/>
      <c r="W5297" s="15">
        <f t="shared" si="773"/>
        <v>0</v>
      </c>
      <c r="X5297" s="36"/>
      <c r="Y5297" s="36"/>
      <c r="Z5297" s="36"/>
      <c r="AA5297" s="36"/>
      <c r="AB5297" s="36"/>
      <c r="AC5297" s="36"/>
      <c r="AD5297" s="36"/>
      <c r="AE5297" s="36"/>
      <c r="AF5297" s="36"/>
      <c r="AG5297" s="36"/>
      <c r="AH5297" s="36"/>
      <c r="AI5297" s="36">
        <v>200</v>
      </c>
      <c r="AJ5297" s="15">
        <f t="shared" si="774"/>
        <v>200</v>
      </c>
      <c r="AK5297" s="14"/>
      <c r="AL5297" s="14"/>
      <c r="AM5297" s="14"/>
      <c r="AN5297" s="14"/>
      <c r="AO5297" s="14"/>
      <c r="AP5297" s="14"/>
      <c r="AQ5297" s="14"/>
      <c r="AR5297" s="14"/>
      <c r="AS5297" s="14"/>
      <c r="AT5297" s="14"/>
      <c r="AU5297" s="14"/>
      <c r="AV5297" s="14"/>
      <c r="AW5297" s="15">
        <f t="shared" si="775"/>
        <v>0</v>
      </c>
      <c r="AX5297" s="16"/>
    </row>
    <row r="5298" spans="2:50" x14ac:dyDescent="0.2">
      <c r="B5298" s="7"/>
      <c r="C5298" s="8">
        <v>15490</v>
      </c>
      <c r="D5298" s="9" t="s">
        <v>794</v>
      </c>
      <c r="E5298" s="10" t="str">
        <f t="shared" si="770"/>
        <v>Rancho Landero No. 18</v>
      </c>
      <c r="F5298" s="10" t="str">
        <f t="shared" si="771"/>
        <v>Rosado</v>
      </c>
      <c r="G5298" s="8">
        <v>1</v>
      </c>
      <c r="H5298" s="11">
        <v>300</v>
      </c>
      <c r="I5298" s="12">
        <v>43072</v>
      </c>
      <c r="J5298" s="35">
        <f t="shared" si="772"/>
        <v>0</v>
      </c>
      <c r="K5298" s="36"/>
      <c r="L5298" s="36"/>
      <c r="M5298" s="36"/>
      <c r="N5298" s="36"/>
      <c r="O5298" s="36"/>
      <c r="P5298" s="36"/>
      <c r="Q5298" s="36"/>
      <c r="R5298" s="36"/>
      <c r="S5298" s="36"/>
      <c r="T5298" s="36"/>
      <c r="U5298" s="36"/>
      <c r="V5298" s="36"/>
      <c r="W5298" s="15">
        <f t="shared" si="773"/>
        <v>0</v>
      </c>
      <c r="X5298" s="36"/>
      <c r="Y5298" s="36"/>
      <c r="Z5298" s="36"/>
      <c r="AA5298" s="36"/>
      <c r="AB5298" s="36"/>
      <c r="AC5298" s="36"/>
      <c r="AD5298" s="36"/>
      <c r="AE5298" s="36"/>
      <c r="AF5298" s="36"/>
      <c r="AG5298" s="36"/>
      <c r="AH5298" s="36">
        <v>300</v>
      </c>
      <c r="AI5298" s="36"/>
      <c r="AJ5298" s="15">
        <f t="shared" si="774"/>
        <v>300</v>
      </c>
      <c r="AK5298" s="14"/>
      <c r="AL5298" s="14"/>
      <c r="AM5298" s="14"/>
      <c r="AN5298" s="14"/>
      <c r="AO5298" s="14"/>
      <c r="AP5298" s="14"/>
      <c r="AQ5298" s="14"/>
      <c r="AR5298" s="14"/>
      <c r="AS5298" s="14"/>
      <c r="AT5298" s="14"/>
      <c r="AU5298" s="14"/>
      <c r="AV5298" s="14"/>
      <c r="AW5298" s="15">
        <f t="shared" si="775"/>
        <v>0</v>
      </c>
      <c r="AX5298" s="16"/>
    </row>
    <row r="5299" spans="2:50" x14ac:dyDescent="0.2">
      <c r="B5299" s="7"/>
      <c r="C5299" s="8">
        <v>15491</v>
      </c>
      <c r="D5299" s="9" t="s">
        <v>238</v>
      </c>
      <c r="E5299" s="10" t="str">
        <f t="shared" si="770"/>
        <v>Rancho La Cuchilla No. 43, B</v>
      </c>
      <c r="F5299" s="10" t="str">
        <f t="shared" si="771"/>
        <v>Luna Albertano</v>
      </c>
      <c r="G5299" s="8">
        <v>1</v>
      </c>
      <c r="H5299" s="11">
        <v>125</v>
      </c>
      <c r="I5299" s="12">
        <v>43072</v>
      </c>
      <c r="J5299" s="35">
        <f t="shared" si="772"/>
        <v>0</v>
      </c>
      <c r="K5299" s="36"/>
      <c r="L5299" s="36"/>
      <c r="M5299" s="36"/>
      <c r="N5299" s="36"/>
      <c r="O5299" s="36"/>
      <c r="P5299" s="36"/>
      <c r="Q5299" s="36"/>
      <c r="R5299" s="36"/>
      <c r="S5299" s="36"/>
      <c r="T5299" s="36"/>
      <c r="U5299" s="36"/>
      <c r="V5299" s="36"/>
      <c r="W5299" s="15">
        <f t="shared" si="773"/>
        <v>0</v>
      </c>
      <c r="X5299" s="36"/>
      <c r="Y5299" s="36"/>
      <c r="Z5299" s="36"/>
      <c r="AA5299" s="36"/>
      <c r="AB5299" s="36"/>
      <c r="AC5299" s="36"/>
      <c r="AD5299" s="36"/>
      <c r="AE5299" s="36"/>
      <c r="AF5299" s="36"/>
      <c r="AG5299" s="36"/>
      <c r="AH5299" s="36"/>
      <c r="AI5299" s="36">
        <v>125</v>
      </c>
      <c r="AJ5299" s="15">
        <f t="shared" si="774"/>
        <v>125</v>
      </c>
      <c r="AK5299" s="14"/>
      <c r="AL5299" s="14"/>
      <c r="AM5299" s="14"/>
      <c r="AN5299" s="14"/>
      <c r="AO5299" s="14"/>
      <c r="AP5299" s="14"/>
      <c r="AQ5299" s="14"/>
      <c r="AR5299" s="14"/>
      <c r="AS5299" s="14"/>
      <c r="AT5299" s="14"/>
      <c r="AU5299" s="14"/>
      <c r="AV5299" s="14"/>
      <c r="AW5299" s="15">
        <f t="shared" si="775"/>
        <v>0</v>
      </c>
      <c r="AX5299" s="16"/>
    </row>
    <row r="5300" spans="2:50" x14ac:dyDescent="0.2">
      <c r="B5300" s="7"/>
      <c r="C5300" s="8">
        <v>15492</v>
      </c>
      <c r="D5300" s="9" t="s">
        <v>882</v>
      </c>
      <c r="E5300" s="10" t="str">
        <f t="shared" si="770"/>
        <v>Rancho Upácuaro No. 54</v>
      </c>
      <c r="F5300" s="10" t="str">
        <f t="shared" si="771"/>
        <v>García Rueda</v>
      </c>
      <c r="G5300" s="8">
        <v>1</v>
      </c>
      <c r="H5300" s="11">
        <v>400</v>
      </c>
      <c r="I5300" s="12">
        <v>43072</v>
      </c>
      <c r="J5300" s="35">
        <f t="shared" si="772"/>
        <v>0</v>
      </c>
      <c r="K5300" s="36"/>
      <c r="L5300" s="36"/>
      <c r="M5300" s="36"/>
      <c r="N5300" s="36"/>
      <c r="O5300" s="36"/>
      <c r="P5300" s="36"/>
      <c r="Q5300" s="36"/>
      <c r="R5300" s="36"/>
      <c r="S5300" s="36"/>
      <c r="T5300" s="36"/>
      <c r="U5300" s="36"/>
      <c r="V5300" s="36"/>
      <c r="W5300" s="15">
        <f t="shared" si="773"/>
        <v>0</v>
      </c>
      <c r="X5300" s="36"/>
      <c r="Y5300" s="36"/>
      <c r="Z5300" s="36"/>
      <c r="AA5300" s="36"/>
      <c r="AB5300" s="36"/>
      <c r="AC5300" s="36"/>
      <c r="AD5300" s="36"/>
      <c r="AE5300" s="36"/>
      <c r="AF5300" s="36"/>
      <c r="AG5300" s="36"/>
      <c r="AH5300" s="36">
        <v>200</v>
      </c>
      <c r="AI5300" s="36">
        <v>200</v>
      </c>
      <c r="AJ5300" s="15">
        <f t="shared" si="774"/>
        <v>400</v>
      </c>
      <c r="AK5300" s="14"/>
      <c r="AL5300" s="14"/>
      <c r="AM5300" s="14"/>
      <c r="AN5300" s="14"/>
      <c r="AO5300" s="14"/>
      <c r="AP5300" s="14"/>
      <c r="AQ5300" s="14"/>
      <c r="AR5300" s="14"/>
      <c r="AS5300" s="14"/>
      <c r="AT5300" s="14"/>
      <c r="AU5300" s="14"/>
      <c r="AV5300" s="14"/>
      <c r="AW5300" s="15">
        <f t="shared" si="775"/>
        <v>0</v>
      </c>
      <c r="AX5300" s="16"/>
    </row>
    <row r="5301" spans="2:50" x14ac:dyDescent="0.2">
      <c r="B5301" s="7"/>
      <c r="C5301" s="8">
        <v>15492</v>
      </c>
      <c r="D5301" s="9" t="s">
        <v>882</v>
      </c>
      <c r="E5301" s="10" t="str">
        <f t="shared" si="770"/>
        <v>Rancho Upácuaro No. 54</v>
      </c>
      <c r="F5301" s="10" t="str">
        <f>IF(D5301=0,"",VLOOKUP(D5301,BASE,3,FALSE))</f>
        <v>García Rueda</v>
      </c>
      <c r="G5301" s="8">
        <v>7</v>
      </c>
      <c r="H5301" s="11">
        <v>100</v>
      </c>
      <c r="I5301" s="12">
        <v>43072</v>
      </c>
      <c r="J5301" s="35">
        <f t="shared" si="772"/>
        <v>0</v>
      </c>
      <c r="K5301" s="36"/>
      <c r="L5301" s="36"/>
      <c r="M5301" s="36"/>
      <c r="N5301" s="36"/>
      <c r="O5301" s="36"/>
      <c r="P5301" s="36"/>
      <c r="Q5301" s="36"/>
      <c r="R5301" s="36"/>
      <c r="S5301" s="36"/>
      <c r="T5301" s="36"/>
      <c r="U5301" s="36"/>
      <c r="V5301" s="36"/>
      <c r="W5301" s="15">
        <f t="shared" si="773"/>
        <v>0</v>
      </c>
      <c r="X5301" s="36"/>
      <c r="Y5301" s="36"/>
      <c r="Z5301" s="36"/>
      <c r="AA5301" s="36"/>
      <c r="AB5301" s="36"/>
      <c r="AC5301" s="36"/>
      <c r="AD5301" s="36"/>
      <c r="AE5301" s="36"/>
      <c r="AF5301" s="36"/>
      <c r="AG5301" s="36"/>
      <c r="AH5301" s="36"/>
      <c r="AI5301" s="36"/>
      <c r="AJ5301" s="15">
        <f t="shared" si="774"/>
        <v>0</v>
      </c>
      <c r="AK5301" s="14"/>
      <c r="AL5301" s="14"/>
      <c r="AM5301" s="14"/>
      <c r="AN5301" s="14"/>
      <c r="AO5301" s="14"/>
      <c r="AP5301" s="14"/>
      <c r="AQ5301" s="14"/>
      <c r="AR5301" s="14"/>
      <c r="AS5301" s="14"/>
      <c r="AT5301" s="14"/>
      <c r="AU5301" s="14"/>
      <c r="AV5301" s="14"/>
      <c r="AW5301" s="15">
        <f t="shared" si="775"/>
        <v>0</v>
      </c>
      <c r="AX5301" s="16" t="s">
        <v>4754</v>
      </c>
    </row>
    <row r="5302" spans="2:50" x14ac:dyDescent="0.2">
      <c r="B5302" s="7"/>
      <c r="C5302" s="8">
        <v>15493</v>
      </c>
      <c r="D5302" s="9" t="s">
        <v>431</v>
      </c>
      <c r="E5302" s="10" t="str">
        <f t="shared" si="770"/>
        <v>Rancho Landero No. 63</v>
      </c>
      <c r="F5302" s="10" t="str">
        <f t="shared" si="771"/>
        <v>Hernández Chávez</v>
      </c>
      <c r="G5302" s="8">
        <v>1</v>
      </c>
      <c r="H5302" s="11">
        <v>400</v>
      </c>
      <c r="I5302" s="12">
        <v>43072</v>
      </c>
      <c r="J5302" s="35">
        <f t="shared" si="772"/>
        <v>0</v>
      </c>
      <c r="K5302" s="36"/>
      <c r="L5302" s="36"/>
      <c r="M5302" s="36"/>
      <c r="N5302" s="36"/>
      <c r="O5302" s="36"/>
      <c r="P5302" s="36"/>
      <c r="Q5302" s="36"/>
      <c r="R5302" s="36"/>
      <c r="S5302" s="36"/>
      <c r="T5302" s="36"/>
      <c r="U5302" s="36"/>
      <c r="V5302" s="36"/>
      <c r="W5302" s="15">
        <f t="shared" si="773"/>
        <v>0</v>
      </c>
      <c r="X5302" s="36"/>
      <c r="Y5302" s="36"/>
      <c r="Z5302" s="36"/>
      <c r="AA5302" s="36"/>
      <c r="AB5302" s="36"/>
      <c r="AC5302" s="36"/>
      <c r="AD5302" s="36"/>
      <c r="AE5302" s="36"/>
      <c r="AF5302" s="36"/>
      <c r="AG5302" s="36">
        <v>400</v>
      </c>
      <c r="AH5302" s="36"/>
      <c r="AI5302" s="36"/>
      <c r="AJ5302" s="15">
        <f t="shared" si="774"/>
        <v>400</v>
      </c>
      <c r="AK5302" s="14"/>
      <c r="AL5302" s="14"/>
      <c r="AM5302" s="14"/>
      <c r="AN5302" s="14"/>
      <c r="AO5302" s="14"/>
      <c r="AP5302" s="14"/>
      <c r="AQ5302" s="14"/>
      <c r="AR5302" s="14"/>
      <c r="AS5302" s="14"/>
      <c r="AT5302" s="14"/>
      <c r="AU5302" s="14"/>
      <c r="AV5302" s="14"/>
      <c r="AW5302" s="15">
        <f t="shared" si="775"/>
        <v>0</v>
      </c>
      <c r="AX5302" s="16"/>
    </row>
    <row r="5303" spans="2:50" x14ac:dyDescent="0.2">
      <c r="B5303" s="7"/>
      <c r="C5303" s="8">
        <v>15493</v>
      </c>
      <c r="D5303" s="9" t="s">
        <v>431</v>
      </c>
      <c r="E5303" s="10" t="str">
        <f t="shared" si="770"/>
        <v>Rancho Landero No. 63</v>
      </c>
      <c r="F5303" s="10" t="str">
        <f t="shared" si="771"/>
        <v>Hernández Chávez</v>
      </c>
      <c r="G5303" s="8">
        <v>4</v>
      </c>
      <c r="H5303" s="11">
        <v>200</v>
      </c>
      <c r="I5303" s="12">
        <v>43072</v>
      </c>
      <c r="J5303" s="35">
        <f t="shared" si="772"/>
        <v>0</v>
      </c>
      <c r="K5303" s="36"/>
      <c r="L5303" s="36"/>
      <c r="M5303" s="36"/>
      <c r="N5303" s="36"/>
      <c r="O5303" s="36"/>
      <c r="P5303" s="36"/>
      <c r="Q5303" s="36"/>
      <c r="R5303" s="36"/>
      <c r="S5303" s="36"/>
      <c r="T5303" s="36"/>
      <c r="U5303" s="36"/>
      <c r="V5303" s="36"/>
      <c r="W5303" s="15">
        <f t="shared" si="773"/>
        <v>0</v>
      </c>
      <c r="X5303" s="36"/>
      <c r="Y5303" s="36"/>
      <c r="Z5303" s="36"/>
      <c r="AA5303" s="36"/>
      <c r="AB5303" s="36"/>
      <c r="AC5303" s="36"/>
      <c r="AD5303" s="36"/>
      <c r="AE5303" s="36"/>
      <c r="AF5303" s="36"/>
      <c r="AG5303" s="36"/>
      <c r="AH5303" s="36"/>
      <c r="AI5303" s="36"/>
      <c r="AJ5303" s="15">
        <f t="shared" si="774"/>
        <v>0</v>
      </c>
      <c r="AK5303" s="14"/>
      <c r="AL5303" s="14"/>
      <c r="AM5303" s="14"/>
      <c r="AN5303" s="14"/>
      <c r="AO5303" s="14"/>
      <c r="AP5303" s="14"/>
      <c r="AQ5303" s="14"/>
      <c r="AR5303" s="14"/>
      <c r="AS5303" s="14"/>
      <c r="AT5303" s="14"/>
      <c r="AU5303" s="14"/>
      <c r="AV5303" s="14"/>
      <c r="AW5303" s="15">
        <f t="shared" si="775"/>
        <v>0</v>
      </c>
      <c r="AX5303" s="16" t="s">
        <v>4755</v>
      </c>
    </row>
    <row r="5304" spans="2:50" x14ac:dyDescent="0.2">
      <c r="B5304" s="7"/>
      <c r="C5304" s="8">
        <v>15494</v>
      </c>
      <c r="D5304" s="9" t="s">
        <v>1272</v>
      </c>
      <c r="E5304" s="10" t="str">
        <f t="shared" si="770"/>
        <v>Rancho La Cuchilla No. 60</v>
      </c>
      <c r="F5304" s="10" t="str">
        <f t="shared" si="771"/>
        <v>Moisen</v>
      </c>
      <c r="G5304" s="8">
        <v>1</v>
      </c>
      <c r="H5304" s="11">
        <v>4000</v>
      </c>
      <c r="I5304" s="12">
        <v>43072</v>
      </c>
      <c r="J5304" s="35">
        <f t="shared" si="772"/>
        <v>0</v>
      </c>
      <c r="K5304" s="36"/>
      <c r="L5304" s="36"/>
      <c r="M5304" s="36"/>
      <c r="N5304" s="36"/>
      <c r="O5304" s="36"/>
      <c r="P5304" s="36"/>
      <c r="Q5304" s="36"/>
      <c r="R5304" s="36"/>
      <c r="S5304" s="36"/>
      <c r="T5304" s="36"/>
      <c r="U5304" s="36"/>
      <c r="V5304" s="36"/>
      <c r="W5304" s="15">
        <f t="shared" si="773"/>
        <v>0</v>
      </c>
      <c r="X5304" s="36">
        <v>400</v>
      </c>
      <c r="Y5304" s="36">
        <v>400</v>
      </c>
      <c r="Z5304" s="36">
        <v>400</v>
      </c>
      <c r="AA5304" s="36">
        <v>400</v>
      </c>
      <c r="AB5304" s="36">
        <v>400</v>
      </c>
      <c r="AC5304" s="36">
        <v>400</v>
      </c>
      <c r="AD5304" s="36">
        <v>400</v>
      </c>
      <c r="AE5304" s="36">
        <v>400</v>
      </c>
      <c r="AF5304" s="36"/>
      <c r="AG5304" s="36"/>
      <c r="AH5304" s="36">
        <v>400</v>
      </c>
      <c r="AI5304" s="36">
        <v>400</v>
      </c>
      <c r="AJ5304" s="15">
        <f t="shared" si="774"/>
        <v>4000</v>
      </c>
      <c r="AK5304" s="14"/>
      <c r="AL5304" s="14"/>
      <c r="AM5304" s="14"/>
      <c r="AN5304" s="14"/>
      <c r="AO5304" s="14"/>
      <c r="AP5304" s="14"/>
      <c r="AQ5304" s="14"/>
      <c r="AR5304" s="14"/>
      <c r="AS5304" s="14"/>
      <c r="AT5304" s="14"/>
      <c r="AU5304" s="14"/>
      <c r="AV5304" s="14"/>
      <c r="AW5304" s="15">
        <f t="shared" si="775"/>
        <v>0</v>
      </c>
      <c r="AX5304" s="16"/>
    </row>
    <row r="5305" spans="2:50" x14ac:dyDescent="0.2">
      <c r="B5305" s="7"/>
      <c r="C5305" s="8">
        <v>15495</v>
      </c>
      <c r="D5305" s="9" t="s">
        <v>1192</v>
      </c>
      <c r="E5305" s="10" t="str">
        <f t="shared" ref="E5305:E5321" si="776">IF(D5305=0,"",VLOOKUP(D5305,BASE,2,FALSE))</f>
        <v>Rancho Landero No. 61</v>
      </c>
      <c r="F5305" s="10" t="str">
        <f t="shared" ref="F5305:F5321" si="777">IF(D5305=0,"",VLOOKUP(D5305,BASE,3,FALSE))</f>
        <v>Miramontes Pérez</v>
      </c>
      <c r="G5305" s="8">
        <v>1</v>
      </c>
      <c r="H5305" s="11">
        <v>400</v>
      </c>
      <c r="I5305" s="12">
        <v>43072</v>
      </c>
      <c r="J5305" s="35">
        <f t="shared" ref="J5305:J5321" si="778">IF(G5305=1,SUM(W5305,AJ5305,AW5305,-H5305),0)</f>
        <v>0</v>
      </c>
      <c r="K5305" s="36"/>
      <c r="L5305" s="36"/>
      <c r="M5305" s="36"/>
      <c r="N5305" s="36"/>
      <c r="O5305" s="36"/>
      <c r="P5305" s="36"/>
      <c r="Q5305" s="36"/>
      <c r="R5305" s="36"/>
      <c r="S5305" s="36"/>
      <c r="T5305" s="36"/>
      <c r="U5305" s="36"/>
      <c r="V5305" s="36"/>
      <c r="W5305" s="15">
        <f t="shared" ref="W5305:W5321" si="779">SUM(K5305:V5305)</f>
        <v>0</v>
      </c>
      <c r="X5305" s="36"/>
      <c r="Y5305" s="36"/>
      <c r="Z5305" s="36"/>
      <c r="AA5305" s="36"/>
      <c r="AB5305" s="36"/>
      <c r="AC5305" s="36"/>
      <c r="AD5305" s="36"/>
      <c r="AE5305" s="36"/>
      <c r="AF5305" s="36"/>
      <c r="AG5305" s="36"/>
      <c r="AH5305" s="36">
        <v>400</v>
      </c>
      <c r="AI5305" s="36"/>
      <c r="AJ5305" s="15">
        <f t="shared" ref="AJ5305:AJ5321" si="780">SUM(X5305:AI5305)</f>
        <v>400</v>
      </c>
      <c r="AK5305" s="14"/>
      <c r="AL5305" s="14"/>
      <c r="AM5305" s="14"/>
      <c r="AN5305" s="14"/>
      <c r="AO5305" s="14"/>
      <c r="AP5305" s="14"/>
      <c r="AQ5305" s="14"/>
      <c r="AR5305" s="14"/>
      <c r="AS5305" s="14"/>
      <c r="AT5305" s="14"/>
      <c r="AU5305" s="14"/>
      <c r="AV5305" s="14"/>
      <c r="AW5305" s="15">
        <f t="shared" ref="AW5305:AW5321" si="781">SUM(AK5305:AV5305)</f>
        <v>0</v>
      </c>
      <c r="AX5305" s="16"/>
    </row>
    <row r="5306" spans="2:50" x14ac:dyDescent="0.2">
      <c r="B5306" s="7"/>
      <c r="C5306" s="8">
        <v>15496</v>
      </c>
      <c r="D5306" s="9" t="s">
        <v>785</v>
      </c>
      <c r="E5306" s="10" t="str">
        <f t="shared" si="776"/>
        <v>Rancho Estanzuela No. 61</v>
      </c>
      <c r="F5306" s="10" t="str">
        <f t="shared" si="777"/>
        <v>González Almazán</v>
      </c>
      <c r="G5306" s="8">
        <v>1</v>
      </c>
      <c r="H5306" s="11">
        <v>1000</v>
      </c>
      <c r="I5306" s="12">
        <v>43072</v>
      </c>
      <c r="J5306" s="35">
        <f t="shared" si="778"/>
        <v>0</v>
      </c>
      <c r="K5306" s="36"/>
      <c r="L5306" s="36"/>
      <c r="M5306" s="36"/>
      <c r="N5306" s="36"/>
      <c r="O5306" s="36"/>
      <c r="P5306" s="36"/>
      <c r="Q5306" s="36"/>
      <c r="R5306" s="36"/>
      <c r="S5306" s="36"/>
      <c r="T5306" s="36"/>
      <c r="U5306" s="36"/>
      <c r="V5306" s="36"/>
      <c r="W5306" s="15">
        <f t="shared" si="779"/>
        <v>0</v>
      </c>
      <c r="X5306" s="36"/>
      <c r="Y5306" s="36"/>
      <c r="Z5306" s="36"/>
      <c r="AA5306" s="36"/>
      <c r="AB5306" s="36"/>
      <c r="AC5306" s="36">
        <v>200</v>
      </c>
      <c r="AD5306" s="36">
        <v>200</v>
      </c>
      <c r="AE5306" s="36">
        <v>200</v>
      </c>
      <c r="AF5306" s="36">
        <v>200</v>
      </c>
      <c r="AG5306" s="36">
        <v>200</v>
      </c>
      <c r="AH5306" s="36"/>
      <c r="AI5306" s="36"/>
      <c r="AJ5306" s="15">
        <f t="shared" si="780"/>
        <v>1000</v>
      </c>
      <c r="AK5306" s="14"/>
      <c r="AL5306" s="14"/>
      <c r="AM5306" s="14"/>
      <c r="AN5306" s="14"/>
      <c r="AO5306" s="14"/>
      <c r="AP5306" s="14"/>
      <c r="AQ5306" s="14"/>
      <c r="AR5306" s="14"/>
      <c r="AS5306" s="14"/>
      <c r="AT5306" s="14"/>
      <c r="AU5306" s="14"/>
      <c r="AV5306" s="14"/>
      <c r="AW5306" s="15">
        <f t="shared" si="781"/>
        <v>0</v>
      </c>
      <c r="AX5306" s="16"/>
    </row>
    <row r="5307" spans="2:50" x14ac:dyDescent="0.2">
      <c r="B5307" s="7"/>
      <c r="C5307" s="8">
        <v>15497</v>
      </c>
      <c r="D5307" s="9" t="s">
        <v>171</v>
      </c>
      <c r="E5307" s="10" t="str">
        <f t="shared" si="776"/>
        <v>Rancho La Cuchilla No. 72</v>
      </c>
      <c r="F5307" s="10" t="str">
        <f t="shared" si="777"/>
        <v>Ortiz González</v>
      </c>
      <c r="G5307" s="8">
        <v>1</v>
      </c>
      <c r="H5307" s="11">
        <v>400</v>
      </c>
      <c r="I5307" s="12">
        <v>43072</v>
      </c>
      <c r="J5307" s="35">
        <f t="shared" si="778"/>
        <v>0</v>
      </c>
      <c r="K5307" s="36"/>
      <c r="L5307" s="36"/>
      <c r="M5307" s="36"/>
      <c r="N5307" s="36"/>
      <c r="O5307" s="36"/>
      <c r="P5307" s="36"/>
      <c r="Q5307" s="36"/>
      <c r="R5307" s="36"/>
      <c r="S5307" s="36"/>
      <c r="T5307" s="36"/>
      <c r="U5307" s="36"/>
      <c r="V5307" s="36"/>
      <c r="W5307" s="15">
        <f t="shared" si="779"/>
        <v>0</v>
      </c>
      <c r="X5307" s="36"/>
      <c r="Y5307" s="36"/>
      <c r="Z5307" s="36"/>
      <c r="AA5307" s="36"/>
      <c r="AB5307" s="36"/>
      <c r="AC5307" s="36"/>
      <c r="AD5307" s="36"/>
      <c r="AE5307" s="36"/>
      <c r="AF5307" s="36"/>
      <c r="AG5307" s="36"/>
      <c r="AH5307" s="36"/>
      <c r="AI5307" s="36">
        <v>400</v>
      </c>
      <c r="AJ5307" s="15">
        <f t="shared" si="780"/>
        <v>400</v>
      </c>
      <c r="AK5307" s="14"/>
      <c r="AL5307" s="14"/>
      <c r="AM5307" s="14"/>
      <c r="AN5307" s="14"/>
      <c r="AO5307" s="14"/>
      <c r="AP5307" s="14"/>
      <c r="AQ5307" s="14"/>
      <c r="AR5307" s="14"/>
      <c r="AS5307" s="14"/>
      <c r="AT5307" s="14"/>
      <c r="AU5307" s="14"/>
      <c r="AV5307" s="14"/>
      <c r="AW5307" s="15">
        <f t="shared" si="781"/>
        <v>0</v>
      </c>
      <c r="AX5307" s="16"/>
    </row>
    <row r="5308" spans="2:50" x14ac:dyDescent="0.2">
      <c r="B5308" s="7"/>
      <c r="C5308" s="8">
        <v>15498</v>
      </c>
      <c r="D5308" s="9" t="s">
        <v>340</v>
      </c>
      <c r="E5308" s="10" t="str">
        <f t="shared" si="776"/>
        <v>Rancho Romeral No. 17</v>
      </c>
      <c r="F5308" s="10" t="str">
        <f t="shared" si="777"/>
        <v>Aguilar Lomelí</v>
      </c>
      <c r="G5308" s="8">
        <v>1</v>
      </c>
      <c r="H5308" s="11">
        <v>400</v>
      </c>
      <c r="I5308" s="12">
        <v>43072</v>
      </c>
      <c r="J5308" s="35">
        <f t="shared" si="778"/>
        <v>0</v>
      </c>
      <c r="K5308" s="36"/>
      <c r="L5308" s="36"/>
      <c r="M5308" s="36"/>
      <c r="N5308" s="36"/>
      <c r="O5308" s="36"/>
      <c r="P5308" s="36"/>
      <c r="Q5308" s="36"/>
      <c r="R5308" s="36"/>
      <c r="S5308" s="36"/>
      <c r="T5308" s="36"/>
      <c r="U5308" s="36"/>
      <c r="V5308" s="36"/>
      <c r="W5308" s="15">
        <f t="shared" si="779"/>
        <v>0</v>
      </c>
      <c r="X5308" s="36"/>
      <c r="Y5308" s="36"/>
      <c r="Z5308" s="36"/>
      <c r="AA5308" s="36"/>
      <c r="AB5308" s="36"/>
      <c r="AC5308" s="36"/>
      <c r="AD5308" s="36"/>
      <c r="AE5308" s="36"/>
      <c r="AF5308" s="36"/>
      <c r="AG5308" s="36"/>
      <c r="AH5308" s="36">
        <v>400</v>
      </c>
      <c r="AI5308" s="36"/>
      <c r="AJ5308" s="15">
        <f t="shared" si="780"/>
        <v>400</v>
      </c>
      <c r="AK5308" s="14"/>
      <c r="AL5308" s="14"/>
      <c r="AM5308" s="14"/>
      <c r="AN5308" s="14"/>
      <c r="AO5308" s="14"/>
      <c r="AP5308" s="14"/>
      <c r="AQ5308" s="14"/>
      <c r="AR5308" s="14"/>
      <c r="AS5308" s="14"/>
      <c r="AT5308" s="14"/>
      <c r="AU5308" s="14"/>
      <c r="AV5308" s="14"/>
      <c r="AW5308" s="15">
        <f t="shared" si="781"/>
        <v>0</v>
      </c>
      <c r="AX5308" s="16"/>
    </row>
    <row r="5309" spans="2:50" x14ac:dyDescent="0.2">
      <c r="B5309" s="7"/>
      <c r="C5309" s="8">
        <v>15499</v>
      </c>
      <c r="D5309" s="9" t="s">
        <v>135</v>
      </c>
      <c r="E5309" s="10" t="str">
        <f t="shared" si="776"/>
        <v>Rancho Upácuaro No. 70</v>
      </c>
      <c r="F5309" s="10" t="str">
        <f t="shared" si="777"/>
        <v>Ramírez Tejeda</v>
      </c>
      <c r="G5309" s="8">
        <v>1</v>
      </c>
      <c r="H5309" s="11">
        <v>300</v>
      </c>
      <c r="I5309" s="12">
        <v>43072</v>
      </c>
      <c r="J5309" s="35">
        <f t="shared" si="778"/>
        <v>0</v>
      </c>
      <c r="K5309" s="36"/>
      <c r="L5309" s="36"/>
      <c r="M5309" s="36"/>
      <c r="N5309" s="36"/>
      <c r="O5309" s="36"/>
      <c r="P5309" s="36"/>
      <c r="Q5309" s="36"/>
      <c r="R5309" s="36"/>
      <c r="S5309" s="36"/>
      <c r="T5309" s="36"/>
      <c r="U5309" s="36"/>
      <c r="V5309" s="36"/>
      <c r="W5309" s="15">
        <f t="shared" si="779"/>
        <v>0</v>
      </c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>
        <v>300</v>
      </c>
      <c r="AJ5309" s="15">
        <f t="shared" si="780"/>
        <v>300</v>
      </c>
      <c r="AK5309" s="14"/>
      <c r="AL5309" s="14"/>
      <c r="AM5309" s="14"/>
      <c r="AN5309" s="14"/>
      <c r="AO5309" s="14"/>
      <c r="AP5309" s="14"/>
      <c r="AQ5309" s="14"/>
      <c r="AR5309" s="14"/>
      <c r="AS5309" s="14"/>
      <c r="AT5309" s="14"/>
      <c r="AU5309" s="14"/>
      <c r="AV5309" s="14"/>
      <c r="AW5309" s="15">
        <f t="shared" si="781"/>
        <v>0</v>
      </c>
      <c r="AX5309" s="16"/>
    </row>
    <row r="5310" spans="2:50" x14ac:dyDescent="0.2">
      <c r="B5310" s="7"/>
      <c r="C5310" s="8">
        <v>15500</v>
      </c>
      <c r="D5310" s="9" t="s">
        <v>544</v>
      </c>
      <c r="E5310" s="10" t="str">
        <f t="shared" si="776"/>
        <v>Rancho Estanzuela No. 89</v>
      </c>
      <c r="F5310" s="10" t="str">
        <f t="shared" si="777"/>
        <v>Romero Ortiz</v>
      </c>
      <c r="G5310" s="8">
        <v>1</v>
      </c>
      <c r="H5310" s="11">
        <v>400</v>
      </c>
      <c r="I5310" s="12">
        <v>43072</v>
      </c>
      <c r="J5310" s="35">
        <f t="shared" si="778"/>
        <v>0</v>
      </c>
      <c r="K5310" s="36"/>
      <c r="L5310" s="36"/>
      <c r="M5310" s="36"/>
      <c r="N5310" s="36"/>
      <c r="O5310" s="36"/>
      <c r="P5310" s="36"/>
      <c r="Q5310" s="36"/>
      <c r="R5310" s="36"/>
      <c r="S5310" s="36"/>
      <c r="T5310" s="36"/>
      <c r="U5310" s="36"/>
      <c r="V5310" s="36"/>
      <c r="W5310" s="15">
        <f t="shared" si="779"/>
        <v>0</v>
      </c>
      <c r="X5310" s="36"/>
      <c r="Y5310" s="36"/>
      <c r="Z5310" s="36"/>
      <c r="AA5310" s="36"/>
      <c r="AB5310" s="36"/>
      <c r="AC5310" s="36"/>
      <c r="AD5310" s="36"/>
      <c r="AE5310" s="36"/>
      <c r="AF5310" s="36"/>
      <c r="AG5310" s="36"/>
      <c r="AH5310" s="36"/>
      <c r="AI5310" s="36">
        <v>400</v>
      </c>
      <c r="AJ5310" s="15">
        <f t="shared" si="780"/>
        <v>400</v>
      </c>
      <c r="AK5310" s="14"/>
      <c r="AL5310" s="14"/>
      <c r="AM5310" s="14"/>
      <c r="AN5310" s="14"/>
      <c r="AO5310" s="14"/>
      <c r="AP5310" s="14"/>
      <c r="AQ5310" s="14"/>
      <c r="AR5310" s="14"/>
      <c r="AS5310" s="14"/>
      <c r="AT5310" s="14"/>
      <c r="AU5310" s="14"/>
      <c r="AV5310" s="14"/>
      <c r="AW5310" s="15">
        <f t="shared" si="781"/>
        <v>0</v>
      </c>
      <c r="AX5310" s="16"/>
    </row>
    <row r="5311" spans="2:50" x14ac:dyDescent="0.2">
      <c r="B5311" s="7"/>
      <c r="C5311" s="8">
        <v>15501</v>
      </c>
      <c r="D5311" s="9" t="s">
        <v>106</v>
      </c>
      <c r="E5311" s="10" t="str">
        <f t="shared" si="776"/>
        <v>Rancho La Cuchilla No. 45</v>
      </c>
      <c r="F5311" s="10" t="str">
        <f t="shared" si="777"/>
        <v>Estévez Hernández</v>
      </c>
      <c r="G5311" s="8">
        <v>1</v>
      </c>
      <c r="H5311" s="11">
        <v>4400</v>
      </c>
      <c r="I5311" s="12">
        <v>43072</v>
      </c>
      <c r="J5311" s="35">
        <f t="shared" si="778"/>
        <v>0</v>
      </c>
      <c r="K5311" s="36"/>
      <c r="L5311" s="36"/>
      <c r="M5311" s="36"/>
      <c r="N5311" s="36"/>
      <c r="O5311" s="36"/>
      <c r="P5311" s="36"/>
      <c r="Q5311" s="36"/>
      <c r="R5311" s="36"/>
      <c r="S5311" s="36"/>
      <c r="T5311" s="36"/>
      <c r="U5311" s="36"/>
      <c r="V5311" s="36"/>
      <c r="W5311" s="15">
        <f t="shared" si="779"/>
        <v>0</v>
      </c>
      <c r="X5311" s="36"/>
      <c r="Y5311" s="36"/>
      <c r="Z5311" s="36"/>
      <c r="AA5311" s="36"/>
      <c r="AB5311" s="36"/>
      <c r="AC5311" s="36"/>
      <c r="AD5311" s="36"/>
      <c r="AE5311" s="36"/>
      <c r="AF5311" s="36"/>
      <c r="AG5311" s="36"/>
      <c r="AH5311" s="36"/>
      <c r="AI5311" s="36"/>
      <c r="AJ5311" s="15">
        <f t="shared" si="780"/>
        <v>0</v>
      </c>
      <c r="AK5311" s="14">
        <v>400</v>
      </c>
      <c r="AL5311" s="14">
        <v>400</v>
      </c>
      <c r="AM5311" s="14">
        <v>400</v>
      </c>
      <c r="AN5311" s="14">
        <v>400</v>
      </c>
      <c r="AO5311" s="14">
        <v>400</v>
      </c>
      <c r="AP5311" s="14">
        <v>400</v>
      </c>
      <c r="AQ5311" s="14">
        <v>400</v>
      </c>
      <c r="AR5311" s="14">
        <v>400</v>
      </c>
      <c r="AS5311" s="14">
        <v>400</v>
      </c>
      <c r="AT5311" s="14">
        <v>400</v>
      </c>
      <c r="AU5311" s="14">
        <v>400</v>
      </c>
      <c r="AV5311" s="14"/>
      <c r="AW5311" s="15">
        <f t="shared" si="781"/>
        <v>4400</v>
      </c>
      <c r="AX5311" s="16" t="s">
        <v>4431</v>
      </c>
    </row>
    <row r="5312" spans="2:50" x14ac:dyDescent="0.2">
      <c r="B5312" s="7"/>
      <c r="C5312" s="8">
        <v>15502</v>
      </c>
      <c r="D5312" s="9" t="s">
        <v>675</v>
      </c>
      <c r="E5312" s="10" t="str">
        <f t="shared" si="776"/>
        <v>Rancho Estanzuela No. 155</v>
      </c>
      <c r="F5312" s="10" t="str">
        <f t="shared" si="777"/>
        <v>Anchondo Valerio</v>
      </c>
      <c r="G5312" s="8">
        <v>1</v>
      </c>
      <c r="H5312" s="11">
        <v>4400</v>
      </c>
      <c r="I5312" s="12">
        <v>43072</v>
      </c>
      <c r="J5312" s="35">
        <f t="shared" si="778"/>
        <v>0</v>
      </c>
      <c r="K5312" s="36"/>
      <c r="L5312" s="36"/>
      <c r="M5312" s="36"/>
      <c r="N5312" s="36"/>
      <c r="O5312" s="36"/>
      <c r="P5312" s="36"/>
      <c r="Q5312" s="36"/>
      <c r="R5312" s="36"/>
      <c r="S5312" s="36"/>
      <c r="T5312" s="36"/>
      <c r="U5312" s="36"/>
      <c r="V5312" s="36"/>
      <c r="W5312" s="15">
        <f t="shared" si="779"/>
        <v>0</v>
      </c>
      <c r="X5312" s="36"/>
      <c r="Y5312" s="36"/>
      <c r="Z5312" s="36"/>
      <c r="AA5312" s="36"/>
      <c r="AB5312" s="36"/>
      <c r="AC5312" s="36"/>
      <c r="AD5312" s="36"/>
      <c r="AE5312" s="36"/>
      <c r="AF5312" s="36"/>
      <c r="AG5312" s="36"/>
      <c r="AH5312" s="36"/>
      <c r="AI5312" s="36"/>
      <c r="AJ5312" s="15">
        <f t="shared" si="780"/>
        <v>0</v>
      </c>
      <c r="AK5312" s="14">
        <v>400</v>
      </c>
      <c r="AL5312" s="14">
        <v>400</v>
      </c>
      <c r="AM5312" s="14">
        <v>400</v>
      </c>
      <c r="AN5312" s="14">
        <v>400</v>
      </c>
      <c r="AO5312" s="14">
        <v>400</v>
      </c>
      <c r="AP5312" s="14">
        <v>400</v>
      </c>
      <c r="AQ5312" s="14">
        <v>400</v>
      </c>
      <c r="AR5312" s="14">
        <v>400</v>
      </c>
      <c r="AS5312" s="14">
        <v>400</v>
      </c>
      <c r="AT5312" s="14">
        <v>400</v>
      </c>
      <c r="AU5312" s="14">
        <v>400</v>
      </c>
      <c r="AV5312" s="14"/>
      <c r="AW5312" s="15">
        <f t="shared" si="781"/>
        <v>4400</v>
      </c>
      <c r="AX5312" s="16" t="s">
        <v>4431</v>
      </c>
    </row>
    <row r="5313" spans="2:50" x14ac:dyDescent="0.2">
      <c r="B5313" s="7"/>
      <c r="C5313" s="8">
        <v>15503</v>
      </c>
      <c r="D5313" s="9" t="s">
        <v>150</v>
      </c>
      <c r="E5313" s="10" t="str">
        <f t="shared" si="776"/>
        <v>Rancho La Cuchilla No. 33</v>
      </c>
      <c r="F5313" s="10" t="str">
        <f t="shared" si="777"/>
        <v>Tanús</v>
      </c>
      <c r="G5313" s="8">
        <v>1</v>
      </c>
      <c r="H5313" s="11">
        <v>400</v>
      </c>
      <c r="I5313" s="12">
        <v>43072</v>
      </c>
      <c r="J5313" s="35">
        <f t="shared" si="778"/>
        <v>0</v>
      </c>
      <c r="K5313" s="36"/>
      <c r="L5313" s="36"/>
      <c r="M5313" s="36"/>
      <c r="N5313" s="36"/>
      <c r="O5313" s="36"/>
      <c r="P5313" s="36"/>
      <c r="Q5313" s="36"/>
      <c r="R5313" s="36"/>
      <c r="S5313" s="36"/>
      <c r="T5313" s="36"/>
      <c r="U5313" s="36"/>
      <c r="V5313" s="36"/>
      <c r="W5313" s="15">
        <f t="shared" si="779"/>
        <v>0</v>
      </c>
      <c r="X5313" s="36"/>
      <c r="Y5313" s="36"/>
      <c r="Z5313" s="36"/>
      <c r="AA5313" s="36"/>
      <c r="AB5313" s="36"/>
      <c r="AC5313" s="36"/>
      <c r="AD5313" s="36"/>
      <c r="AE5313" s="36"/>
      <c r="AF5313" s="36"/>
      <c r="AG5313" s="36"/>
      <c r="AH5313" s="36"/>
      <c r="AI5313" s="36">
        <v>400</v>
      </c>
      <c r="AJ5313" s="15">
        <f t="shared" si="780"/>
        <v>400</v>
      </c>
      <c r="AK5313" s="14"/>
      <c r="AL5313" s="14"/>
      <c r="AM5313" s="14"/>
      <c r="AN5313" s="14"/>
      <c r="AO5313" s="14"/>
      <c r="AP5313" s="14"/>
      <c r="AQ5313" s="14"/>
      <c r="AR5313" s="14"/>
      <c r="AS5313" s="14"/>
      <c r="AT5313" s="14"/>
      <c r="AU5313" s="14"/>
      <c r="AV5313" s="14"/>
      <c r="AW5313" s="15">
        <f t="shared" si="781"/>
        <v>0</v>
      </c>
      <c r="AX5313" s="16"/>
    </row>
    <row r="5314" spans="2:50" x14ac:dyDescent="0.2">
      <c r="B5314" s="7"/>
      <c r="C5314" s="8">
        <v>15504</v>
      </c>
      <c r="D5314" s="9" t="s">
        <v>265</v>
      </c>
      <c r="E5314" s="10" t="str">
        <f t="shared" si="776"/>
        <v>Rancho Upácuaro No. 85</v>
      </c>
      <c r="F5314" s="10" t="str">
        <f t="shared" si="777"/>
        <v>Del Toro Huerta</v>
      </c>
      <c r="G5314" s="8">
        <v>1</v>
      </c>
      <c r="H5314" s="11">
        <v>400</v>
      </c>
      <c r="I5314" s="12">
        <v>43072</v>
      </c>
      <c r="J5314" s="35">
        <f t="shared" si="778"/>
        <v>0</v>
      </c>
      <c r="K5314" s="36"/>
      <c r="L5314" s="36"/>
      <c r="M5314" s="36"/>
      <c r="N5314" s="36"/>
      <c r="O5314" s="36"/>
      <c r="P5314" s="36"/>
      <c r="Q5314" s="36"/>
      <c r="R5314" s="36"/>
      <c r="S5314" s="36"/>
      <c r="T5314" s="36"/>
      <c r="U5314" s="36"/>
      <c r="V5314" s="36"/>
      <c r="W5314" s="15">
        <f t="shared" si="779"/>
        <v>0</v>
      </c>
      <c r="X5314" s="36"/>
      <c r="Y5314" s="36"/>
      <c r="Z5314" s="36"/>
      <c r="AA5314" s="36"/>
      <c r="AB5314" s="36"/>
      <c r="AC5314" s="36"/>
      <c r="AD5314" s="36"/>
      <c r="AE5314" s="36"/>
      <c r="AF5314" s="36"/>
      <c r="AG5314" s="36"/>
      <c r="AH5314" s="36"/>
      <c r="AI5314" s="36">
        <v>400</v>
      </c>
      <c r="AJ5314" s="15">
        <f t="shared" si="780"/>
        <v>400</v>
      </c>
      <c r="AK5314" s="14"/>
      <c r="AL5314" s="14"/>
      <c r="AM5314" s="14"/>
      <c r="AN5314" s="14"/>
      <c r="AO5314" s="14"/>
      <c r="AP5314" s="14"/>
      <c r="AQ5314" s="14"/>
      <c r="AR5314" s="14"/>
      <c r="AS5314" s="14"/>
      <c r="AT5314" s="14"/>
      <c r="AU5314" s="14"/>
      <c r="AV5314" s="14"/>
      <c r="AW5314" s="15">
        <f t="shared" si="781"/>
        <v>0</v>
      </c>
      <c r="AX5314" s="16"/>
    </row>
    <row r="5315" spans="2:50" x14ac:dyDescent="0.2">
      <c r="B5315" s="7"/>
      <c r="C5315" s="8">
        <v>15505</v>
      </c>
      <c r="D5315" s="9" t="s">
        <v>479</v>
      </c>
      <c r="E5315" s="10" t="str">
        <f t="shared" si="776"/>
        <v>Rancho Zinamba No. 68</v>
      </c>
      <c r="F5315" s="10" t="str">
        <f t="shared" si="777"/>
        <v>Rivera Villicaña</v>
      </c>
      <c r="G5315" s="8">
        <v>1</v>
      </c>
      <c r="H5315" s="11">
        <v>300</v>
      </c>
      <c r="I5315" s="12">
        <v>43072</v>
      </c>
      <c r="J5315" s="35">
        <f t="shared" si="778"/>
        <v>0</v>
      </c>
      <c r="K5315" s="36"/>
      <c r="L5315" s="36"/>
      <c r="M5315" s="36"/>
      <c r="N5315" s="36"/>
      <c r="O5315" s="36"/>
      <c r="P5315" s="36"/>
      <c r="Q5315" s="36"/>
      <c r="R5315" s="36"/>
      <c r="S5315" s="36"/>
      <c r="T5315" s="36"/>
      <c r="U5315" s="36"/>
      <c r="V5315" s="36"/>
      <c r="W5315" s="15">
        <f t="shared" si="779"/>
        <v>0</v>
      </c>
      <c r="X5315" s="36"/>
      <c r="Y5315" s="36"/>
      <c r="Z5315" s="36"/>
      <c r="AA5315" s="36"/>
      <c r="AB5315" s="36"/>
      <c r="AC5315" s="36"/>
      <c r="AD5315" s="36"/>
      <c r="AE5315" s="36"/>
      <c r="AF5315" s="36"/>
      <c r="AG5315" s="36"/>
      <c r="AH5315" s="36"/>
      <c r="AI5315" s="36">
        <v>300</v>
      </c>
      <c r="AJ5315" s="15">
        <f t="shared" si="780"/>
        <v>300</v>
      </c>
      <c r="AK5315" s="14"/>
      <c r="AL5315" s="14"/>
      <c r="AM5315" s="14"/>
      <c r="AN5315" s="14"/>
      <c r="AO5315" s="14"/>
      <c r="AP5315" s="14"/>
      <c r="AQ5315" s="14"/>
      <c r="AR5315" s="14"/>
      <c r="AS5315" s="14"/>
      <c r="AT5315" s="14"/>
      <c r="AU5315" s="14"/>
      <c r="AV5315" s="14"/>
      <c r="AW5315" s="15">
        <f t="shared" si="781"/>
        <v>0</v>
      </c>
      <c r="AX5315" s="16"/>
    </row>
    <row r="5316" spans="2:50" x14ac:dyDescent="0.2">
      <c r="B5316" s="7"/>
      <c r="C5316" s="8">
        <v>15506</v>
      </c>
      <c r="D5316" s="9" t="s">
        <v>893</v>
      </c>
      <c r="E5316" s="10" t="str">
        <f t="shared" si="776"/>
        <v>Rancho Upácuaro No. 136</v>
      </c>
      <c r="F5316" s="10" t="str">
        <f t="shared" si="777"/>
        <v>López Lena</v>
      </c>
      <c r="G5316" s="8">
        <v>1</v>
      </c>
      <c r="H5316" s="11">
        <v>600</v>
      </c>
      <c r="I5316" s="12">
        <v>43072</v>
      </c>
      <c r="J5316" s="35">
        <f t="shared" si="778"/>
        <v>0</v>
      </c>
      <c r="K5316" s="36"/>
      <c r="L5316" s="36"/>
      <c r="M5316" s="36"/>
      <c r="N5316" s="36"/>
      <c r="O5316" s="36"/>
      <c r="P5316" s="36"/>
      <c r="Q5316" s="36"/>
      <c r="R5316" s="36"/>
      <c r="S5316" s="36"/>
      <c r="T5316" s="36"/>
      <c r="U5316" s="36"/>
      <c r="V5316" s="36"/>
      <c r="W5316" s="15">
        <f t="shared" si="779"/>
        <v>0</v>
      </c>
      <c r="X5316" s="36"/>
      <c r="Y5316" s="36"/>
      <c r="Z5316" s="36"/>
      <c r="AA5316" s="36"/>
      <c r="AB5316" s="36"/>
      <c r="AC5316" s="36"/>
      <c r="AD5316" s="36"/>
      <c r="AE5316" s="36"/>
      <c r="AF5316" s="36">
        <v>300</v>
      </c>
      <c r="AG5316" s="36">
        <v>300</v>
      </c>
      <c r="AH5316" s="36"/>
      <c r="AI5316" s="36"/>
      <c r="AJ5316" s="15">
        <f t="shared" si="780"/>
        <v>600</v>
      </c>
      <c r="AK5316" s="14"/>
      <c r="AL5316" s="14"/>
      <c r="AM5316" s="14"/>
      <c r="AN5316" s="14"/>
      <c r="AO5316" s="14"/>
      <c r="AP5316" s="14"/>
      <c r="AQ5316" s="14"/>
      <c r="AR5316" s="14"/>
      <c r="AS5316" s="14"/>
      <c r="AT5316" s="14"/>
      <c r="AU5316" s="14"/>
      <c r="AV5316" s="14"/>
      <c r="AW5316" s="15">
        <f t="shared" si="781"/>
        <v>0</v>
      </c>
      <c r="AX5316" s="16"/>
    </row>
    <row r="5317" spans="2:50" x14ac:dyDescent="0.2">
      <c r="B5317" s="7"/>
      <c r="C5317" s="8">
        <v>15507</v>
      </c>
      <c r="D5317" s="9" t="s">
        <v>186</v>
      </c>
      <c r="E5317" s="10" t="str">
        <f t="shared" si="776"/>
        <v>Rancho Upácuaro No. 100</v>
      </c>
      <c r="F5317" s="10" t="str">
        <f t="shared" si="777"/>
        <v>Valdez</v>
      </c>
      <c r="G5317" s="8">
        <v>1</v>
      </c>
      <c r="H5317" s="11">
        <v>400</v>
      </c>
      <c r="I5317" s="12">
        <v>43072</v>
      </c>
      <c r="J5317" s="35">
        <f t="shared" si="778"/>
        <v>0</v>
      </c>
      <c r="K5317" s="36"/>
      <c r="L5317" s="36"/>
      <c r="M5317" s="36"/>
      <c r="N5317" s="36"/>
      <c r="O5317" s="36"/>
      <c r="P5317" s="36"/>
      <c r="Q5317" s="36"/>
      <c r="R5317" s="36"/>
      <c r="S5317" s="36"/>
      <c r="T5317" s="36"/>
      <c r="U5317" s="36"/>
      <c r="V5317" s="36"/>
      <c r="W5317" s="15">
        <f t="shared" si="779"/>
        <v>0</v>
      </c>
      <c r="X5317" s="36"/>
      <c r="Y5317" s="36"/>
      <c r="Z5317" s="36"/>
      <c r="AA5317" s="36"/>
      <c r="AB5317" s="36"/>
      <c r="AC5317" s="36"/>
      <c r="AD5317" s="36"/>
      <c r="AE5317" s="36"/>
      <c r="AF5317" s="36"/>
      <c r="AG5317" s="36"/>
      <c r="AH5317" s="36"/>
      <c r="AI5317" s="36">
        <v>400</v>
      </c>
      <c r="AJ5317" s="15">
        <f t="shared" si="780"/>
        <v>400</v>
      </c>
      <c r="AK5317" s="14"/>
      <c r="AL5317" s="14"/>
      <c r="AM5317" s="14"/>
      <c r="AN5317" s="14"/>
      <c r="AO5317" s="14"/>
      <c r="AP5317" s="14"/>
      <c r="AQ5317" s="14"/>
      <c r="AR5317" s="14"/>
      <c r="AS5317" s="14"/>
      <c r="AT5317" s="14"/>
      <c r="AU5317" s="14"/>
      <c r="AV5317" s="14"/>
      <c r="AW5317" s="15">
        <f t="shared" si="781"/>
        <v>0</v>
      </c>
      <c r="AX5317" s="16"/>
    </row>
    <row r="5318" spans="2:50" x14ac:dyDescent="0.2">
      <c r="B5318" s="7"/>
      <c r="C5318" s="8">
        <v>15508</v>
      </c>
      <c r="D5318" s="9" t="s">
        <v>123</v>
      </c>
      <c r="E5318" s="10" t="str">
        <f t="shared" si="776"/>
        <v>Rancho Recoveco No. 175, B</v>
      </c>
      <c r="F5318" s="10" t="str">
        <f t="shared" si="777"/>
        <v>García Calderón</v>
      </c>
      <c r="G5318" s="8">
        <v>1</v>
      </c>
      <c r="H5318" s="11">
        <v>250</v>
      </c>
      <c r="I5318" s="12">
        <v>43072</v>
      </c>
      <c r="J5318" s="35">
        <f t="shared" si="778"/>
        <v>0</v>
      </c>
      <c r="K5318" s="36"/>
      <c r="L5318" s="36"/>
      <c r="M5318" s="36"/>
      <c r="N5318" s="36"/>
      <c r="O5318" s="36"/>
      <c r="P5318" s="36"/>
      <c r="Q5318" s="36"/>
      <c r="R5318" s="36"/>
      <c r="S5318" s="36"/>
      <c r="T5318" s="36"/>
      <c r="U5318" s="36"/>
      <c r="V5318" s="36"/>
      <c r="W5318" s="15">
        <f t="shared" si="779"/>
        <v>0</v>
      </c>
      <c r="X5318" s="36"/>
      <c r="Y5318" s="36"/>
      <c r="Z5318" s="36"/>
      <c r="AA5318" s="36"/>
      <c r="AB5318" s="36"/>
      <c r="AC5318" s="36"/>
      <c r="AD5318" s="36"/>
      <c r="AE5318" s="36"/>
      <c r="AF5318" s="36"/>
      <c r="AG5318" s="36"/>
      <c r="AH5318" s="36"/>
      <c r="AI5318" s="36">
        <v>250</v>
      </c>
      <c r="AJ5318" s="15">
        <f t="shared" si="780"/>
        <v>250</v>
      </c>
      <c r="AK5318" s="14"/>
      <c r="AL5318" s="14"/>
      <c r="AM5318" s="14"/>
      <c r="AN5318" s="14"/>
      <c r="AO5318" s="14"/>
      <c r="AP5318" s="14"/>
      <c r="AQ5318" s="14"/>
      <c r="AR5318" s="14"/>
      <c r="AS5318" s="14"/>
      <c r="AT5318" s="14"/>
      <c r="AU5318" s="14"/>
      <c r="AV5318" s="14"/>
      <c r="AW5318" s="15">
        <f t="shared" si="781"/>
        <v>0</v>
      </c>
      <c r="AX5318" s="16"/>
    </row>
    <row r="5319" spans="2:50" x14ac:dyDescent="0.2">
      <c r="B5319" s="7"/>
      <c r="C5319" s="8">
        <v>15509</v>
      </c>
      <c r="D5319" s="9" t="s">
        <v>313</v>
      </c>
      <c r="E5319" s="10" t="str">
        <f t="shared" si="776"/>
        <v>Rancho La Cuchilla No. 87</v>
      </c>
      <c r="F5319" s="10" t="str">
        <f t="shared" si="777"/>
        <v>Villanueva S.</v>
      </c>
      <c r="G5319" s="8">
        <v>1</v>
      </c>
      <c r="H5319" s="11">
        <v>400</v>
      </c>
      <c r="I5319" s="12">
        <v>43072</v>
      </c>
      <c r="J5319" s="35">
        <f t="shared" si="778"/>
        <v>0</v>
      </c>
      <c r="K5319" s="36"/>
      <c r="L5319" s="36"/>
      <c r="M5319" s="36"/>
      <c r="N5319" s="36"/>
      <c r="O5319" s="36"/>
      <c r="P5319" s="36"/>
      <c r="Q5319" s="36"/>
      <c r="R5319" s="36"/>
      <c r="S5319" s="36"/>
      <c r="T5319" s="36"/>
      <c r="U5319" s="36"/>
      <c r="V5319" s="36"/>
      <c r="W5319" s="15">
        <f t="shared" si="779"/>
        <v>0</v>
      </c>
      <c r="X5319" s="36"/>
      <c r="Y5319" s="36"/>
      <c r="Z5319" s="36"/>
      <c r="AA5319" s="36"/>
      <c r="AB5319" s="36"/>
      <c r="AC5319" s="36"/>
      <c r="AD5319" s="36"/>
      <c r="AE5319" s="36"/>
      <c r="AF5319" s="36"/>
      <c r="AG5319" s="36"/>
      <c r="AH5319" s="36"/>
      <c r="AI5319" s="36">
        <v>400</v>
      </c>
      <c r="AJ5319" s="15">
        <f t="shared" si="780"/>
        <v>400</v>
      </c>
      <c r="AK5319" s="14"/>
      <c r="AL5319" s="14"/>
      <c r="AM5319" s="14"/>
      <c r="AN5319" s="14"/>
      <c r="AO5319" s="14"/>
      <c r="AP5319" s="14"/>
      <c r="AQ5319" s="14"/>
      <c r="AR5319" s="14"/>
      <c r="AS5319" s="14"/>
      <c r="AT5319" s="14"/>
      <c r="AU5319" s="14"/>
      <c r="AV5319" s="14"/>
      <c r="AW5319" s="15">
        <f t="shared" si="781"/>
        <v>0</v>
      </c>
      <c r="AX5319" s="16"/>
    </row>
    <row r="5320" spans="2:50" x14ac:dyDescent="0.2">
      <c r="B5320" s="7"/>
      <c r="C5320" s="8">
        <v>15510</v>
      </c>
      <c r="D5320" s="9" t="s">
        <v>634</v>
      </c>
      <c r="E5320" s="10" t="str">
        <f t="shared" si="776"/>
        <v>Rancho Upácuaro No. 19</v>
      </c>
      <c r="F5320" s="10" t="str">
        <f t="shared" si="777"/>
        <v>Peña Inclán</v>
      </c>
      <c r="G5320" s="8">
        <v>5</v>
      </c>
      <c r="H5320" s="11">
        <v>50</v>
      </c>
      <c r="I5320" s="12">
        <v>43072</v>
      </c>
      <c r="J5320" s="35">
        <f t="shared" si="778"/>
        <v>0</v>
      </c>
      <c r="K5320" s="36"/>
      <c r="L5320" s="36"/>
      <c r="M5320" s="36"/>
      <c r="N5320" s="36"/>
      <c r="O5320" s="36"/>
      <c r="P5320" s="36"/>
      <c r="Q5320" s="36"/>
      <c r="R5320" s="36"/>
      <c r="S5320" s="36"/>
      <c r="T5320" s="36"/>
      <c r="U5320" s="36"/>
      <c r="V5320" s="36"/>
      <c r="W5320" s="15">
        <f t="shared" si="779"/>
        <v>0</v>
      </c>
      <c r="X5320" s="36"/>
      <c r="Y5320" s="36"/>
      <c r="Z5320" s="36"/>
      <c r="AA5320" s="36"/>
      <c r="AB5320" s="36"/>
      <c r="AC5320" s="36"/>
      <c r="AD5320" s="36"/>
      <c r="AE5320" s="36"/>
      <c r="AF5320" s="36"/>
      <c r="AG5320" s="36"/>
      <c r="AH5320" s="36"/>
      <c r="AI5320" s="36"/>
      <c r="AJ5320" s="15">
        <f t="shared" si="780"/>
        <v>0</v>
      </c>
      <c r="AK5320" s="14"/>
      <c r="AL5320" s="14"/>
      <c r="AM5320" s="14"/>
      <c r="AN5320" s="14"/>
      <c r="AO5320" s="14"/>
      <c r="AP5320" s="14"/>
      <c r="AQ5320" s="14"/>
      <c r="AR5320" s="14"/>
      <c r="AS5320" s="14"/>
      <c r="AT5320" s="14"/>
      <c r="AU5320" s="14"/>
      <c r="AV5320" s="14"/>
      <c r="AW5320" s="15">
        <f t="shared" si="781"/>
        <v>0</v>
      </c>
      <c r="AX5320" s="16"/>
    </row>
    <row r="5321" spans="2:50" x14ac:dyDescent="0.2">
      <c r="B5321" s="7"/>
      <c r="C5321" s="8">
        <v>15511</v>
      </c>
      <c r="D5321" s="9" t="s">
        <v>541</v>
      </c>
      <c r="E5321" s="10" t="str">
        <f t="shared" si="776"/>
        <v>Rancho Estanzuela No. 103, B</v>
      </c>
      <c r="F5321" s="10" t="str">
        <f t="shared" si="777"/>
        <v>Olivares Flores</v>
      </c>
      <c r="G5321" s="8">
        <v>1</v>
      </c>
      <c r="H5321" s="11">
        <v>400</v>
      </c>
      <c r="I5321" s="12">
        <v>43072</v>
      </c>
      <c r="J5321" s="35">
        <f t="shared" si="778"/>
        <v>0</v>
      </c>
      <c r="K5321" s="36"/>
      <c r="L5321" s="36"/>
      <c r="M5321" s="36"/>
      <c r="N5321" s="36"/>
      <c r="O5321" s="36"/>
      <c r="P5321" s="36"/>
      <c r="Q5321" s="36"/>
      <c r="R5321" s="36"/>
      <c r="S5321" s="36"/>
      <c r="T5321" s="36"/>
      <c r="U5321" s="36"/>
      <c r="V5321" s="36"/>
      <c r="W5321" s="15">
        <f t="shared" si="779"/>
        <v>0</v>
      </c>
      <c r="X5321" s="36"/>
      <c r="Y5321" s="36"/>
      <c r="Z5321" s="36"/>
      <c r="AA5321" s="36"/>
      <c r="AB5321" s="36"/>
      <c r="AC5321" s="36"/>
      <c r="AD5321" s="36"/>
      <c r="AE5321" s="36"/>
      <c r="AF5321" s="36"/>
      <c r="AG5321" s="36"/>
      <c r="AH5321" s="36"/>
      <c r="AI5321" s="36">
        <v>400</v>
      </c>
      <c r="AJ5321" s="15">
        <f t="shared" si="780"/>
        <v>400</v>
      </c>
      <c r="AK5321" s="14"/>
      <c r="AL5321" s="14"/>
      <c r="AM5321" s="14"/>
      <c r="AN5321" s="14"/>
      <c r="AO5321" s="14"/>
      <c r="AP5321" s="14"/>
      <c r="AQ5321" s="14"/>
      <c r="AR5321" s="14"/>
      <c r="AS5321" s="14"/>
      <c r="AT5321" s="14"/>
      <c r="AU5321" s="14"/>
      <c r="AV5321" s="14"/>
      <c r="AW5321" s="15">
        <f t="shared" si="781"/>
        <v>0</v>
      </c>
      <c r="AX5321" s="16"/>
    </row>
    <row r="5322" spans="2:50" x14ac:dyDescent="0.2">
      <c r="B5322" s="7"/>
      <c r="C5322" s="8">
        <v>15512</v>
      </c>
      <c r="D5322" s="9" t="s">
        <v>3178</v>
      </c>
      <c r="E5322" s="10" t="str">
        <f t="shared" ref="E5322:E5330" si="782">IF(D5322=0,"",VLOOKUP(D5322,BASE,2,FALSE))</f>
        <v>Rancho La Cuchilla No. 103</v>
      </c>
      <c r="F5322" s="10" t="str">
        <f t="shared" ref="F5322:F5330" si="783">IF(D5322=0,"",VLOOKUP(D5322,BASE,3,FALSE))</f>
        <v>Bernal</v>
      </c>
      <c r="G5322" s="8">
        <v>1</v>
      </c>
      <c r="H5322" s="11">
        <v>500</v>
      </c>
      <c r="I5322" s="12">
        <v>43072</v>
      </c>
      <c r="J5322" s="35">
        <f t="shared" ref="J5322:J5330" si="784">IF(G5322=1,SUM(W5322,AJ5322,AW5322,-H5322),0)</f>
        <v>0</v>
      </c>
      <c r="K5322" s="36"/>
      <c r="L5322" s="36"/>
      <c r="M5322" s="36"/>
      <c r="N5322" s="36"/>
      <c r="O5322" s="36"/>
      <c r="P5322" s="36"/>
      <c r="Q5322" s="36"/>
      <c r="R5322" s="36"/>
      <c r="S5322" s="36"/>
      <c r="T5322" s="36"/>
      <c r="U5322" s="36"/>
      <c r="V5322" s="36"/>
      <c r="W5322" s="15">
        <f t="shared" ref="W5322:W5330" si="785">SUM(K5322:V5322)</f>
        <v>0</v>
      </c>
      <c r="X5322" s="36"/>
      <c r="Y5322" s="36"/>
      <c r="Z5322" s="36"/>
      <c r="AA5322" s="36"/>
      <c r="AB5322" s="36"/>
      <c r="AC5322" s="36"/>
      <c r="AD5322" s="36"/>
      <c r="AE5322" s="36"/>
      <c r="AF5322" s="36"/>
      <c r="AG5322" s="36"/>
      <c r="AH5322" s="36"/>
      <c r="AI5322" s="36">
        <v>500</v>
      </c>
      <c r="AJ5322" s="15">
        <f t="shared" ref="AJ5322:AJ5330" si="786">SUM(X5322:AI5322)</f>
        <v>500</v>
      </c>
      <c r="AK5322" s="14"/>
      <c r="AL5322" s="14"/>
      <c r="AM5322" s="14"/>
      <c r="AN5322" s="14"/>
      <c r="AO5322" s="14"/>
      <c r="AP5322" s="14"/>
      <c r="AQ5322" s="14"/>
      <c r="AR5322" s="14"/>
      <c r="AS5322" s="14"/>
      <c r="AT5322" s="14"/>
      <c r="AU5322" s="14"/>
      <c r="AV5322" s="14"/>
      <c r="AW5322" s="15">
        <f t="shared" ref="AW5322:AW5330" si="787">SUM(AK5322:AV5322)</f>
        <v>0</v>
      </c>
      <c r="AX5322" s="16"/>
    </row>
    <row r="5323" spans="2:50" x14ac:dyDescent="0.2">
      <c r="B5323" s="7"/>
      <c r="C5323" s="8">
        <v>15513</v>
      </c>
      <c r="D5323" s="9"/>
      <c r="E5323" s="10" t="str">
        <f t="shared" si="782"/>
        <v/>
      </c>
      <c r="F5323" s="10" t="str">
        <f t="shared" si="783"/>
        <v/>
      </c>
      <c r="G5323" s="8">
        <v>8</v>
      </c>
      <c r="H5323" s="11"/>
      <c r="I5323" s="12"/>
      <c r="J5323" s="35">
        <f t="shared" si="784"/>
        <v>0</v>
      </c>
      <c r="K5323" s="36"/>
      <c r="L5323" s="36"/>
      <c r="M5323" s="36"/>
      <c r="N5323" s="36"/>
      <c r="O5323" s="36"/>
      <c r="P5323" s="36"/>
      <c r="Q5323" s="36"/>
      <c r="R5323" s="36"/>
      <c r="S5323" s="36"/>
      <c r="T5323" s="36"/>
      <c r="U5323" s="36"/>
      <c r="V5323" s="36"/>
      <c r="W5323" s="15">
        <f t="shared" si="785"/>
        <v>0</v>
      </c>
      <c r="X5323" s="36"/>
      <c r="Y5323" s="36"/>
      <c r="Z5323" s="36"/>
      <c r="AA5323" s="36"/>
      <c r="AB5323" s="36"/>
      <c r="AC5323" s="36"/>
      <c r="AD5323" s="36"/>
      <c r="AE5323" s="36"/>
      <c r="AF5323" s="36"/>
      <c r="AG5323" s="36"/>
      <c r="AH5323" s="36"/>
      <c r="AI5323" s="36"/>
      <c r="AJ5323" s="15">
        <f t="shared" si="786"/>
        <v>0</v>
      </c>
      <c r="AK5323" s="14"/>
      <c r="AL5323" s="14"/>
      <c r="AM5323" s="14"/>
      <c r="AN5323" s="14"/>
      <c r="AO5323" s="14"/>
      <c r="AP5323" s="14"/>
      <c r="AQ5323" s="14"/>
      <c r="AR5323" s="14"/>
      <c r="AS5323" s="14"/>
      <c r="AT5323" s="14"/>
      <c r="AU5323" s="14"/>
      <c r="AV5323" s="14"/>
      <c r="AW5323" s="15">
        <f t="shared" si="787"/>
        <v>0</v>
      </c>
      <c r="AX5323" s="16"/>
    </row>
    <row r="5324" spans="2:50" x14ac:dyDescent="0.2">
      <c r="B5324" s="7"/>
      <c r="C5324" s="8">
        <v>15514</v>
      </c>
      <c r="D5324" s="9" t="s">
        <v>846</v>
      </c>
      <c r="E5324" s="10" t="str">
        <f t="shared" si="782"/>
        <v>Rancho Estanzuela No. 95</v>
      </c>
      <c r="F5324" s="10" t="str">
        <f t="shared" si="783"/>
        <v>Castro Puente</v>
      </c>
      <c r="G5324" s="8">
        <v>1</v>
      </c>
      <c r="H5324" s="11">
        <v>800</v>
      </c>
      <c r="I5324" s="12">
        <v>43072</v>
      </c>
      <c r="J5324" s="35">
        <f t="shared" si="784"/>
        <v>0</v>
      </c>
      <c r="K5324" s="36"/>
      <c r="L5324" s="36"/>
      <c r="M5324" s="36"/>
      <c r="N5324" s="36"/>
      <c r="O5324" s="36"/>
      <c r="P5324" s="36"/>
      <c r="Q5324" s="36"/>
      <c r="R5324" s="36"/>
      <c r="S5324" s="36"/>
      <c r="T5324" s="36"/>
      <c r="U5324" s="36"/>
      <c r="V5324" s="36"/>
      <c r="W5324" s="15">
        <f t="shared" si="785"/>
        <v>0</v>
      </c>
      <c r="X5324" s="36"/>
      <c r="Y5324" s="36"/>
      <c r="Z5324" s="36"/>
      <c r="AA5324" s="36"/>
      <c r="AB5324" s="36"/>
      <c r="AC5324" s="36"/>
      <c r="AD5324" s="36"/>
      <c r="AE5324" s="36"/>
      <c r="AF5324" s="36"/>
      <c r="AG5324" s="36"/>
      <c r="AH5324" s="36">
        <v>400</v>
      </c>
      <c r="AI5324" s="36">
        <v>400</v>
      </c>
      <c r="AJ5324" s="15">
        <f t="shared" si="786"/>
        <v>800</v>
      </c>
      <c r="AK5324" s="14"/>
      <c r="AL5324" s="14"/>
      <c r="AM5324" s="14"/>
      <c r="AN5324" s="14"/>
      <c r="AO5324" s="14"/>
      <c r="AP5324" s="14"/>
      <c r="AQ5324" s="14"/>
      <c r="AR5324" s="14"/>
      <c r="AS5324" s="14"/>
      <c r="AT5324" s="14"/>
      <c r="AU5324" s="14"/>
      <c r="AV5324" s="14"/>
      <c r="AW5324" s="15">
        <f t="shared" si="787"/>
        <v>0</v>
      </c>
      <c r="AX5324" s="16"/>
    </row>
    <row r="5325" spans="2:50" x14ac:dyDescent="0.2">
      <c r="B5325" s="7"/>
      <c r="C5325" s="8">
        <v>15515</v>
      </c>
      <c r="D5325" s="9" t="s">
        <v>774</v>
      </c>
      <c r="E5325" s="10" t="str">
        <f t="shared" si="782"/>
        <v>Rancho Landero No. 40</v>
      </c>
      <c r="F5325" s="10" t="str">
        <f t="shared" si="783"/>
        <v>Almaguer Mireles</v>
      </c>
      <c r="G5325" s="8">
        <v>1</v>
      </c>
      <c r="H5325" s="11">
        <v>1200</v>
      </c>
      <c r="I5325" s="12">
        <v>43072</v>
      </c>
      <c r="J5325" s="35">
        <f t="shared" si="784"/>
        <v>0</v>
      </c>
      <c r="K5325" s="36"/>
      <c r="L5325" s="36"/>
      <c r="M5325" s="36"/>
      <c r="N5325" s="36"/>
      <c r="O5325" s="36"/>
      <c r="P5325" s="36"/>
      <c r="Q5325" s="36"/>
      <c r="R5325" s="36"/>
      <c r="S5325" s="36"/>
      <c r="T5325" s="36"/>
      <c r="U5325" s="36"/>
      <c r="V5325" s="36"/>
      <c r="W5325" s="15">
        <f t="shared" si="785"/>
        <v>0</v>
      </c>
      <c r="X5325" s="36"/>
      <c r="Y5325" s="36"/>
      <c r="Z5325" s="36"/>
      <c r="AA5325" s="36"/>
      <c r="AB5325" s="36"/>
      <c r="AC5325" s="36"/>
      <c r="AD5325" s="36">
        <v>400</v>
      </c>
      <c r="AE5325" s="36">
        <v>400</v>
      </c>
      <c r="AF5325" s="36">
        <v>400</v>
      </c>
      <c r="AG5325" s="36"/>
      <c r="AH5325" s="36"/>
      <c r="AI5325" s="36"/>
      <c r="AJ5325" s="15">
        <f t="shared" si="786"/>
        <v>1200</v>
      </c>
      <c r="AK5325" s="14"/>
      <c r="AL5325" s="14"/>
      <c r="AM5325" s="14"/>
      <c r="AN5325" s="14"/>
      <c r="AO5325" s="14"/>
      <c r="AP5325" s="14"/>
      <c r="AQ5325" s="14"/>
      <c r="AR5325" s="14"/>
      <c r="AS5325" s="14"/>
      <c r="AT5325" s="14"/>
      <c r="AU5325" s="14"/>
      <c r="AV5325" s="14"/>
      <c r="AW5325" s="15">
        <f t="shared" si="787"/>
        <v>0</v>
      </c>
      <c r="AX5325" s="16"/>
    </row>
    <row r="5326" spans="2:50" x14ac:dyDescent="0.2">
      <c r="B5326" s="7"/>
      <c r="C5326" s="8">
        <v>15516</v>
      </c>
      <c r="D5326" s="9" t="s">
        <v>614</v>
      </c>
      <c r="E5326" s="10" t="str">
        <f t="shared" si="782"/>
        <v>Rancho La Cuchilla No. 82</v>
      </c>
      <c r="F5326" s="10" t="str">
        <f t="shared" si="783"/>
        <v>Cruz</v>
      </c>
      <c r="G5326" s="8">
        <v>1</v>
      </c>
      <c r="H5326" s="11">
        <v>800</v>
      </c>
      <c r="I5326" s="12">
        <v>43072</v>
      </c>
      <c r="J5326" s="35">
        <f t="shared" si="784"/>
        <v>0</v>
      </c>
      <c r="K5326" s="36"/>
      <c r="L5326" s="36"/>
      <c r="M5326" s="36"/>
      <c r="N5326" s="36"/>
      <c r="O5326" s="36"/>
      <c r="P5326" s="36"/>
      <c r="Q5326" s="36"/>
      <c r="R5326" s="36"/>
      <c r="S5326" s="36"/>
      <c r="T5326" s="36"/>
      <c r="U5326" s="36"/>
      <c r="V5326" s="36"/>
      <c r="W5326" s="15">
        <f t="shared" si="785"/>
        <v>0</v>
      </c>
      <c r="X5326" s="36"/>
      <c r="Y5326" s="36"/>
      <c r="Z5326" s="36"/>
      <c r="AA5326" s="36"/>
      <c r="AB5326" s="36"/>
      <c r="AC5326" s="36"/>
      <c r="AD5326" s="36"/>
      <c r="AE5326" s="36"/>
      <c r="AF5326" s="36"/>
      <c r="AG5326" s="36"/>
      <c r="AH5326" s="36">
        <v>400</v>
      </c>
      <c r="AI5326" s="36">
        <v>400</v>
      </c>
      <c r="AJ5326" s="15">
        <f t="shared" si="786"/>
        <v>800</v>
      </c>
      <c r="AK5326" s="14"/>
      <c r="AL5326" s="14"/>
      <c r="AM5326" s="14"/>
      <c r="AN5326" s="14"/>
      <c r="AO5326" s="14"/>
      <c r="AP5326" s="14"/>
      <c r="AQ5326" s="14"/>
      <c r="AR5326" s="14"/>
      <c r="AS5326" s="14"/>
      <c r="AT5326" s="14"/>
      <c r="AU5326" s="14"/>
      <c r="AV5326" s="14"/>
      <c r="AW5326" s="15">
        <f t="shared" si="787"/>
        <v>0</v>
      </c>
      <c r="AX5326" s="16"/>
    </row>
    <row r="5327" spans="2:50" x14ac:dyDescent="0.2">
      <c r="B5327" s="7"/>
      <c r="C5327" s="8">
        <v>15517</v>
      </c>
      <c r="D5327" s="9" t="s">
        <v>1055</v>
      </c>
      <c r="E5327" s="10" t="str">
        <f t="shared" si="782"/>
        <v>Rancho Estanzuela No. 119, 4</v>
      </c>
      <c r="F5327" s="10" t="str">
        <f t="shared" si="783"/>
        <v>Pérez Martínez</v>
      </c>
      <c r="G5327" s="8">
        <v>1</v>
      </c>
      <c r="H5327" s="11">
        <v>400</v>
      </c>
      <c r="I5327" s="12">
        <v>43072</v>
      </c>
      <c r="J5327" s="35">
        <f t="shared" si="784"/>
        <v>0</v>
      </c>
      <c r="K5327" s="36"/>
      <c r="L5327" s="36"/>
      <c r="M5327" s="36"/>
      <c r="N5327" s="36"/>
      <c r="O5327" s="36"/>
      <c r="P5327" s="36"/>
      <c r="Q5327" s="36"/>
      <c r="R5327" s="36"/>
      <c r="S5327" s="36"/>
      <c r="T5327" s="36"/>
      <c r="U5327" s="36"/>
      <c r="V5327" s="36"/>
      <c r="W5327" s="15">
        <f t="shared" si="785"/>
        <v>0</v>
      </c>
      <c r="X5327" s="36"/>
      <c r="Y5327" s="36"/>
      <c r="Z5327" s="36"/>
      <c r="AA5327" s="36"/>
      <c r="AB5327" s="36"/>
      <c r="AC5327" s="36"/>
      <c r="AD5327" s="36"/>
      <c r="AE5327" s="36"/>
      <c r="AF5327" s="36"/>
      <c r="AG5327" s="36">
        <v>200</v>
      </c>
      <c r="AH5327" s="36">
        <v>200</v>
      </c>
      <c r="AI5327" s="36"/>
      <c r="AJ5327" s="15">
        <f t="shared" si="786"/>
        <v>400</v>
      </c>
      <c r="AK5327" s="14"/>
      <c r="AL5327" s="14"/>
      <c r="AM5327" s="14"/>
      <c r="AN5327" s="14"/>
      <c r="AO5327" s="14"/>
      <c r="AP5327" s="14"/>
      <c r="AQ5327" s="14"/>
      <c r="AR5327" s="14"/>
      <c r="AS5327" s="14"/>
      <c r="AT5327" s="14"/>
      <c r="AU5327" s="14"/>
      <c r="AV5327" s="14"/>
      <c r="AW5327" s="15">
        <f t="shared" si="787"/>
        <v>0</v>
      </c>
      <c r="AX5327" s="16"/>
    </row>
    <row r="5328" spans="2:50" x14ac:dyDescent="0.2">
      <c r="B5328" s="7"/>
      <c r="C5328" s="8">
        <v>15518</v>
      </c>
      <c r="D5328" s="9" t="s">
        <v>325</v>
      </c>
      <c r="E5328" s="10" t="str">
        <f t="shared" si="782"/>
        <v>Rancho Upácuaro No. 120</v>
      </c>
      <c r="F5328" s="10" t="str">
        <f t="shared" si="783"/>
        <v>Rayas Rivera</v>
      </c>
      <c r="G5328" s="8">
        <v>1</v>
      </c>
      <c r="H5328" s="11">
        <v>400</v>
      </c>
      <c r="I5328" s="12">
        <v>43072</v>
      </c>
      <c r="J5328" s="35">
        <f t="shared" si="784"/>
        <v>0</v>
      </c>
      <c r="K5328" s="36"/>
      <c r="L5328" s="36"/>
      <c r="M5328" s="36"/>
      <c r="N5328" s="36"/>
      <c r="O5328" s="36"/>
      <c r="P5328" s="36"/>
      <c r="Q5328" s="36"/>
      <c r="R5328" s="36"/>
      <c r="S5328" s="36"/>
      <c r="T5328" s="36"/>
      <c r="U5328" s="36"/>
      <c r="V5328" s="36"/>
      <c r="W5328" s="15">
        <f t="shared" si="785"/>
        <v>0</v>
      </c>
      <c r="X5328" s="36"/>
      <c r="Y5328" s="36"/>
      <c r="Z5328" s="36"/>
      <c r="AA5328" s="36"/>
      <c r="AB5328" s="36"/>
      <c r="AC5328" s="36"/>
      <c r="AD5328" s="36"/>
      <c r="AE5328" s="36"/>
      <c r="AF5328" s="36"/>
      <c r="AG5328" s="36"/>
      <c r="AH5328" s="36"/>
      <c r="AI5328" s="36">
        <v>400</v>
      </c>
      <c r="AJ5328" s="15">
        <f t="shared" si="786"/>
        <v>400</v>
      </c>
      <c r="AK5328" s="14"/>
      <c r="AL5328" s="14"/>
      <c r="AM5328" s="14"/>
      <c r="AN5328" s="14"/>
      <c r="AO5328" s="14"/>
      <c r="AP5328" s="14"/>
      <c r="AQ5328" s="14"/>
      <c r="AR5328" s="14"/>
      <c r="AS5328" s="14"/>
      <c r="AT5328" s="14"/>
      <c r="AU5328" s="14"/>
      <c r="AV5328" s="14"/>
      <c r="AW5328" s="15">
        <f t="shared" si="787"/>
        <v>0</v>
      </c>
      <c r="AX5328" s="16"/>
    </row>
    <row r="5329" spans="2:51" x14ac:dyDescent="0.2">
      <c r="B5329" s="7"/>
      <c r="C5329" s="8">
        <v>15519</v>
      </c>
      <c r="D5329" s="9" t="s">
        <v>737</v>
      </c>
      <c r="E5329" s="10" t="str">
        <f t="shared" si="782"/>
        <v>Rancho Romeral No. 9, A</v>
      </c>
      <c r="F5329" s="10" t="str">
        <f t="shared" si="783"/>
        <v>Quiñones Hernández</v>
      </c>
      <c r="G5329" s="8">
        <v>1</v>
      </c>
      <c r="H5329" s="11">
        <v>5600</v>
      </c>
      <c r="I5329" s="12">
        <v>43072</v>
      </c>
      <c r="J5329" s="35">
        <f t="shared" si="784"/>
        <v>0</v>
      </c>
      <c r="K5329" s="36"/>
      <c r="L5329" s="36"/>
      <c r="M5329" s="36"/>
      <c r="N5329" s="36"/>
      <c r="O5329" s="36"/>
      <c r="P5329" s="36"/>
      <c r="Q5329" s="36"/>
      <c r="R5329" s="36"/>
      <c r="S5329" s="36"/>
      <c r="T5329" s="36"/>
      <c r="U5329" s="36"/>
      <c r="V5329" s="36"/>
      <c r="W5329" s="15">
        <f t="shared" si="785"/>
        <v>0</v>
      </c>
      <c r="X5329" s="36"/>
      <c r="Y5329" s="36"/>
      <c r="Z5329" s="36"/>
      <c r="AA5329" s="36"/>
      <c r="AB5329" s="36"/>
      <c r="AC5329" s="36"/>
      <c r="AD5329" s="36"/>
      <c r="AE5329" s="36"/>
      <c r="AF5329" s="36"/>
      <c r="AG5329" s="36">
        <v>400</v>
      </c>
      <c r="AH5329" s="36">
        <v>400</v>
      </c>
      <c r="AI5329" s="36">
        <v>400</v>
      </c>
      <c r="AJ5329" s="15">
        <f t="shared" si="786"/>
        <v>1200</v>
      </c>
      <c r="AK5329" s="14">
        <v>400</v>
      </c>
      <c r="AL5329" s="14">
        <v>400</v>
      </c>
      <c r="AM5329" s="14">
        <v>400</v>
      </c>
      <c r="AN5329" s="14">
        <v>400</v>
      </c>
      <c r="AO5329" s="14">
        <v>400</v>
      </c>
      <c r="AP5329" s="14">
        <v>400</v>
      </c>
      <c r="AQ5329" s="14">
        <v>400</v>
      </c>
      <c r="AR5329" s="14">
        <v>400</v>
      </c>
      <c r="AS5329" s="14">
        <v>400</v>
      </c>
      <c r="AT5329" s="14">
        <v>400</v>
      </c>
      <c r="AU5329" s="14">
        <v>400</v>
      </c>
      <c r="AV5329" s="14"/>
      <c r="AW5329" s="15">
        <f t="shared" si="787"/>
        <v>4400</v>
      </c>
      <c r="AX5329" s="16" t="s">
        <v>4431</v>
      </c>
    </row>
    <row r="5330" spans="2:51" ht="12.75" customHeight="1" x14ac:dyDescent="0.2">
      <c r="B5330" s="7"/>
      <c r="C5330" s="8">
        <v>15520</v>
      </c>
      <c r="D5330" s="9" t="s">
        <v>810</v>
      </c>
      <c r="E5330" s="10" t="str">
        <f t="shared" si="782"/>
        <v>Rancho La Cuchilla No. 90</v>
      </c>
      <c r="F5330" s="10" t="str">
        <f t="shared" si="783"/>
        <v>Porras Fuentes</v>
      </c>
      <c r="G5330" s="8">
        <v>1</v>
      </c>
      <c r="H5330" s="11">
        <v>200</v>
      </c>
      <c r="I5330" s="12">
        <v>43072</v>
      </c>
      <c r="J5330" s="35">
        <f t="shared" si="784"/>
        <v>0</v>
      </c>
      <c r="K5330" s="36"/>
      <c r="L5330" s="36"/>
      <c r="M5330" s="36"/>
      <c r="N5330" s="36"/>
      <c r="O5330" s="36"/>
      <c r="P5330" s="36"/>
      <c r="Q5330" s="36"/>
      <c r="R5330" s="36"/>
      <c r="S5330" s="36"/>
      <c r="T5330" s="36"/>
      <c r="U5330" s="36"/>
      <c r="V5330" s="36"/>
      <c r="W5330" s="15">
        <f t="shared" si="785"/>
        <v>0</v>
      </c>
      <c r="X5330" s="36"/>
      <c r="Y5330" s="36"/>
      <c r="Z5330" s="36"/>
      <c r="AA5330" s="36"/>
      <c r="AB5330" s="36"/>
      <c r="AC5330" s="36"/>
      <c r="AD5330" s="36"/>
      <c r="AE5330" s="36"/>
      <c r="AF5330" s="36"/>
      <c r="AG5330" s="36"/>
      <c r="AH5330" s="36">
        <v>200</v>
      </c>
      <c r="AI5330" s="36"/>
      <c r="AJ5330" s="15">
        <f t="shared" si="786"/>
        <v>200</v>
      </c>
      <c r="AK5330" s="14"/>
      <c r="AL5330" s="14"/>
      <c r="AM5330" s="14"/>
      <c r="AN5330" s="14"/>
      <c r="AO5330" s="14"/>
      <c r="AP5330" s="14"/>
      <c r="AQ5330" s="14"/>
      <c r="AR5330" s="14"/>
      <c r="AS5330" s="14"/>
      <c r="AT5330" s="14"/>
      <c r="AU5330" s="14"/>
      <c r="AV5330" s="14"/>
      <c r="AW5330" s="15">
        <f t="shared" si="787"/>
        <v>0</v>
      </c>
      <c r="AX5330" s="16"/>
    </row>
    <row r="5331" spans="2:51" ht="12.75" customHeight="1" x14ac:dyDescent="0.2">
      <c r="B5331" s="7"/>
      <c r="C5331" s="8">
        <v>15521</v>
      </c>
      <c r="D5331" s="9" t="s">
        <v>1039</v>
      </c>
      <c r="E5331" s="10" t="str">
        <f t="shared" ref="E5331:E5334" si="788">IF(D5331=0,"",VLOOKUP(D5331,BASE,2,FALSE))</f>
        <v>Rancho Upácuaro No. 77</v>
      </c>
      <c r="F5331" s="10" t="str">
        <f t="shared" ref="F5331:F5334" si="789">IF(D5331=0,"",VLOOKUP(D5331,BASE,3,FALSE))</f>
        <v>Alvarado</v>
      </c>
      <c r="G5331" s="8">
        <v>1</v>
      </c>
      <c r="H5331" s="11">
        <v>800</v>
      </c>
      <c r="I5331" s="12">
        <v>43072</v>
      </c>
      <c r="J5331" s="35">
        <f t="shared" ref="J5331:J5334" si="790">IF(G5331=1,SUM(W5331,AJ5331,AW5331,-H5331),0)</f>
        <v>0</v>
      </c>
      <c r="K5331" s="36"/>
      <c r="L5331" s="36"/>
      <c r="M5331" s="36"/>
      <c r="N5331" s="36"/>
      <c r="O5331" s="36"/>
      <c r="P5331" s="36"/>
      <c r="Q5331" s="36"/>
      <c r="R5331" s="36"/>
      <c r="S5331" s="36"/>
      <c r="T5331" s="36"/>
      <c r="U5331" s="36"/>
      <c r="V5331" s="36"/>
      <c r="W5331" s="15">
        <f t="shared" ref="W5331:W5334" si="791">SUM(K5331:V5331)</f>
        <v>0</v>
      </c>
      <c r="X5331" s="36"/>
      <c r="Y5331" s="36"/>
      <c r="Z5331" s="36"/>
      <c r="AA5331" s="36"/>
      <c r="AB5331" s="36"/>
      <c r="AC5331" s="36"/>
      <c r="AD5331" s="36"/>
      <c r="AE5331" s="36"/>
      <c r="AF5331" s="36"/>
      <c r="AG5331" s="36">
        <v>400</v>
      </c>
      <c r="AH5331" s="36">
        <v>400</v>
      </c>
      <c r="AI5331" s="36"/>
      <c r="AJ5331" s="15">
        <f t="shared" ref="AJ5331:AJ5334" si="792">SUM(X5331:AI5331)</f>
        <v>800</v>
      </c>
      <c r="AK5331" s="14"/>
      <c r="AL5331" s="14"/>
      <c r="AM5331" s="14"/>
      <c r="AN5331" s="14"/>
      <c r="AO5331" s="14"/>
      <c r="AP5331" s="14"/>
      <c r="AQ5331" s="14"/>
      <c r="AR5331" s="14"/>
      <c r="AS5331" s="14"/>
      <c r="AT5331" s="14"/>
      <c r="AU5331" s="14"/>
      <c r="AV5331" s="14"/>
      <c r="AW5331" s="15">
        <f t="shared" ref="AW5331:AW5334" si="793">SUM(AK5331:AV5331)</f>
        <v>0</v>
      </c>
      <c r="AX5331" s="16"/>
    </row>
    <row r="5332" spans="2:51" ht="12.75" customHeight="1" x14ac:dyDescent="0.2">
      <c r="B5332" s="7"/>
      <c r="C5332" s="8">
        <v>15521</v>
      </c>
      <c r="D5332" s="9" t="s">
        <v>1039</v>
      </c>
      <c r="E5332" s="10" t="str">
        <f t="shared" si="788"/>
        <v>Rancho Upácuaro No. 77</v>
      </c>
      <c r="F5332" s="10" t="str">
        <f t="shared" si="789"/>
        <v>Alvarado</v>
      </c>
      <c r="G5332" s="8">
        <v>5</v>
      </c>
      <c r="H5332" s="11">
        <v>200</v>
      </c>
      <c r="I5332" s="12">
        <v>43072</v>
      </c>
      <c r="J5332" s="35">
        <f t="shared" si="790"/>
        <v>0</v>
      </c>
      <c r="K5332" s="36"/>
      <c r="L5332" s="36"/>
      <c r="M5332" s="36"/>
      <c r="N5332" s="36"/>
      <c r="O5332" s="36"/>
      <c r="P5332" s="36"/>
      <c r="Q5332" s="36"/>
      <c r="R5332" s="36"/>
      <c r="S5332" s="36"/>
      <c r="T5332" s="36"/>
      <c r="U5332" s="36"/>
      <c r="V5332" s="36"/>
      <c r="W5332" s="15">
        <f t="shared" si="791"/>
        <v>0</v>
      </c>
      <c r="X5332" s="36"/>
      <c r="Y5332" s="36"/>
      <c r="Z5332" s="36"/>
      <c r="AA5332" s="36"/>
      <c r="AB5332" s="36"/>
      <c r="AC5332" s="36"/>
      <c r="AD5332" s="36"/>
      <c r="AE5332" s="36"/>
      <c r="AF5332" s="36"/>
      <c r="AG5332" s="36"/>
      <c r="AH5332" s="36"/>
      <c r="AI5332" s="36"/>
      <c r="AJ5332" s="15">
        <f t="shared" si="792"/>
        <v>0</v>
      </c>
      <c r="AK5332" s="14"/>
      <c r="AL5332" s="14"/>
      <c r="AM5332" s="14"/>
      <c r="AN5332" s="14"/>
      <c r="AO5332" s="14"/>
      <c r="AP5332" s="14"/>
      <c r="AQ5332" s="14"/>
      <c r="AR5332" s="14"/>
      <c r="AS5332" s="14"/>
      <c r="AT5332" s="14"/>
      <c r="AU5332" s="14"/>
      <c r="AV5332" s="14"/>
      <c r="AW5332" s="15">
        <f t="shared" si="793"/>
        <v>0</v>
      </c>
      <c r="AX5332" s="16" t="s">
        <v>4756</v>
      </c>
    </row>
    <row r="5333" spans="2:51" ht="12.75" customHeight="1" x14ac:dyDescent="0.2">
      <c r="B5333" s="319" t="s">
        <v>3523</v>
      </c>
      <c r="C5333" s="8">
        <v>15522</v>
      </c>
      <c r="D5333" s="9" t="s">
        <v>571</v>
      </c>
      <c r="E5333" s="10" t="str">
        <f t="shared" si="788"/>
        <v>Rancho Estanzuela No. 15, A</v>
      </c>
      <c r="F5333" s="10" t="str">
        <f t="shared" si="789"/>
        <v>González</v>
      </c>
      <c r="G5333" s="8">
        <v>1</v>
      </c>
      <c r="H5333" s="11">
        <v>800</v>
      </c>
      <c r="I5333" s="12">
        <v>43072</v>
      </c>
      <c r="J5333" s="35">
        <f t="shared" si="790"/>
        <v>0</v>
      </c>
      <c r="K5333" s="36"/>
      <c r="L5333" s="36"/>
      <c r="M5333" s="36"/>
      <c r="N5333" s="36"/>
      <c r="O5333" s="36"/>
      <c r="P5333" s="36"/>
      <c r="Q5333" s="36"/>
      <c r="R5333" s="36"/>
      <c r="S5333" s="36"/>
      <c r="T5333" s="36"/>
      <c r="U5333" s="36"/>
      <c r="V5333" s="36"/>
      <c r="W5333" s="15">
        <f t="shared" si="791"/>
        <v>0</v>
      </c>
      <c r="X5333" s="36"/>
      <c r="Y5333" s="36"/>
      <c r="Z5333" s="36"/>
      <c r="AA5333" s="36"/>
      <c r="AB5333" s="36"/>
      <c r="AC5333" s="36"/>
      <c r="AD5333" s="36"/>
      <c r="AE5333" s="36"/>
      <c r="AF5333" s="36"/>
      <c r="AG5333" s="36">
        <v>200</v>
      </c>
      <c r="AH5333" s="36">
        <v>200</v>
      </c>
      <c r="AI5333" s="36">
        <v>200</v>
      </c>
      <c r="AJ5333" s="15">
        <f t="shared" si="792"/>
        <v>600</v>
      </c>
      <c r="AK5333" s="14">
        <v>200</v>
      </c>
      <c r="AL5333" s="14"/>
      <c r="AM5333" s="14"/>
      <c r="AN5333" s="14"/>
      <c r="AO5333" s="14"/>
      <c r="AP5333" s="14"/>
      <c r="AQ5333" s="14"/>
      <c r="AR5333" s="14"/>
      <c r="AS5333" s="14"/>
      <c r="AT5333" s="14"/>
      <c r="AU5333" s="14"/>
      <c r="AV5333" s="14"/>
      <c r="AW5333" s="15">
        <f t="shared" si="793"/>
        <v>200</v>
      </c>
      <c r="AX5333" s="316">
        <f>SUM(H5279:H5333)</f>
        <v>39775</v>
      </c>
    </row>
    <row r="5334" spans="2:51" x14ac:dyDescent="0.2">
      <c r="B5334" s="7"/>
      <c r="C5334" s="8">
        <v>15523</v>
      </c>
      <c r="D5334" s="9" t="s">
        <v>78</v>
      </c>
      <c r="E5334" s="10" t="str">
        <f t="shared" si="788"/>
        <v>Rancho Zinamba No. 12</v>
      </c>
      <c r="F5334" s="10" t="str">
        <f t="shared" si="789"/>
        <v>Ramírez Soto</v>
      </c>
      <c r="G5334" s="8">
        <v>1</v>
      </c>
      <c r="H5334" s="315">
        <v>4400</v>
      </c>
      <c r="I5334" s="12">
        <v>43073</v>
      </c>
      <c r="J5334" s="35">
        <f t="shared" si="790"/>
        <v>0</v>
      </c>
      <c r="K5334" s="36"/>
      <c r="L5334" s="36"/>
      <c r="M5334" s="36"/>
      <c r="N5334" s="36"/>
      <c r="O5334" s="36"/>
      <c r="P5334" s="36"/>
      <c r="Q5334" s="36"/>
      <c r="R5334" s="36"/>
      <c r="S5334" s="36"/>
      <c r="T5334" s="36"/>
      <c r="U5334" s="36"/>
      <c r="V5334" s="36"/>
      <c r="W5334" s="15">
        <f t="shared" si="791"/>
        <v>0</v>
      </c>
      <c r="X5334" s="36"/>
      <c r="Y5334" s="36"/>
      <c r="Z5334" s="36"/>
      <c r="AA5334" s="36"/>
      <c r="AB5334" s="36"/>
      <c r="AC5334" s="36"/>
      <c r="AD5334" s="36"/>
      <c r="AE5334" s="36"/>
      <c r="AF5334" s="36"/>
      <c r="AG5334" s="36"/>
      <c r="AH5334" s="36"/>
      <c r="AI5334" s="36"/>
      <c r="AJ5334" s="15">
        <f t="shared" si="792"/>
        <v>0</v>
      </c>
      <c r="AK5334" s="14">
        <v>400</v>
      </c>
      <c r="AL5334" s="14">
        <v>400</v>
      </c>
      <c r="AM5334" s="14">
        <v>400</v>
      </c>
      <c r="AN5334" s="14">
        <v>400</v>
      </c>
      <c r="AO5334" s="14">
        <v>400</v>
      </c>
      <c r="AP5334" s="14">
        <v>400</v>
      </c>
      <c r="AQ5334" s="14">
        <v>400</v>
      </c>
      <c r="AR5334" s="14">
        <v>400</v>
      </c>
      <c r="AS5334" s="14">
        <v>400</v>
      </c>
      <c r="AT5334" s="14">
        <v>400</v>
      </c>
      <c r="AU5334" s="14">
        <v>400</v>
      </c>
      <c r="AV5334" s="14"/>
      <c r="AW5334" s="15">
        <f t="shared" si="793"/>
        <v>4400</v>
      </c>
      <c r="AX5334" s="16" t="s">
        <v>4431</v>
      </c>
    </row>
    <row r="5335" spans="2:51" x14ac:dyDescent="0.2">
      <c r="B5335" s="7"/>
      <c r="C5335" s="8">
        <v>15524</v>
      </c>
      <c r="D5335" s="9" t="s">
        <v>205</v>
      </c>
      <c r="E5335" s="10" t="str">
        <f t="shared" ref="E5335:E5364" si="794">IF(D5335=0,"",VLOOKUP(D5335,BASE,2,FALSE))</f>
        <v>Rancho Landero No. 1, A</v>
      </c>
      <c r="F5335" s="10" t="str">
        <f t="shared" ref="F5335:F5364" si="795">IF(D5335=0,"",VLOOKUP(D5335,BASE,3,FALSE))</f>
        <v>Ebysos</v>
      </c>
      <c r="G5335" s="8">
        <v>1</v>
      </c>
      <c r="H5335" s="11">
        <v>600</v>
      </c>
      <c r="I5335" s="12">
        <v>43073</v>
      </c>
      <c r="J5335" s="35">
        <f t="shared" ref="J5335:J5364" si="796">IF(G5335=1,SUM(W5335,AJ5335,AW5335,-H5335),0)</f>
        <v>0</v>
      </c>
      <c r="K5335" s="36"/>
      <c r="L5335" s="36"/>
      <c r="M5335" s="36"/>
      <c r="N5335" s="36"/>
      <c r="O5335" s="36"/>
      <c r="P5335" s="36"/>
      <c r="Q5335" s="36"/>
      <c r="R5335" s="36"/>
      <c r="S5335" s="36"/>
      <c r="T5335" s="36"/>
      <c r="U5335" s="36"/>
      <c r="V5335" s="36"/>
      <c r="W5335" s="15">
        <f t="shared" ref="W5335:W5364" si="797">SUM(K5335:V5335)</f>
        <v>0</v>
      </c>
      <c r="X5335" s="36"/>
      <c r="Y5335" s="36"/>
      <c r="Z5335" s="36"/>
      <c r="AA5335" s="36"/>
      <c r="AB5335" s="36"/>
      <c r="AC5335" s="36"/>
      <c r="AD5335" s="36"/>
      <c r="AE5335" s="36"/>
      <c r="AF5335" s="36"/>
      <c r="AG5335" s="36"/>
      <c r="AH5335" s="36">
        <v>600</v>
      </c>
      <c r="AI5335" s="36"/>
      <c r="AJ5335" s="15">
        <f t="shared" ref="AJ5335:AJ5364" si="798">SUM(X5335:AI5335)</f>
        <v>600</v>
      </c>
      <c r="AK5335" s="14"/>
      <c r="AL5335" s="14"/>
      <c r="AM5335" s="14"/>
      <c r="AN5335" s="14"/>
      <c r="AO5335" s="14"/>
      <c r="AP5335" s="14"/>
      <c r="AQ5335" s="14"/>
      <c r="AR5335" s="14"/>
      <c r="AS5335" s="14"/>
      <c r="AT5335" s="14"/>
      <c r="AU5335" s="14"/>
      <c r="AV5335" s="14"/>
      <c r="AW5335" s="15">
        <f t="shared" ref="AW5335:AW5364" si="799">SUM(AK5335:AV5335)</f>
        <v>0</v>
      </c>
      <c r="AX5335" s="16"/>
    </row>
    <row r="5336" spans="2:51" x14ac:dyDescent="0.2">
      <c r="B5336" s="319" t="s">
        <v>3523</v>
      </c>
      <c r="C5336" s="8">
        <v>15525</v>
      </c>
      <c r="D5336" s="9" t="s">
        <v>211</v>
      </c>
      <c r="E5336" s="10" t="str">
        <f t="shared" si="794"/>
        <v>Rancho Upácuaro No. 46</v>
      </c>
      <c r="F5336" s="10" t="str">
        <f t="shared" si="795"/>
        <v>Fuentes</v>
      </c>
      <c r="G5336" s="8">
        <v>1</v>
      </c>
      <c r="H5336" s="11">
        <v>300</v>
      </c>
      <c r="I5336" s="12">
        <v>43074</v>
      </c>
      <c r="J5336" s="35">
        <f t="shared" si="796"/>
        <v>0</v>
      </c>
      <c r="K5336" s="36"/>
      <c r="L5336" s="36"/>
      <c r="M5336" s="36"/>
      <c r="N5336" s="36"/>
      <c r="O5336" s="36"/>
      <c r="P5336" s="36"/>
      <c r="Q5336" s="36"/>
      <c r="R5336" s="36"/>
      <c r="S5336" s="36"/>
      <c r="T5336" s="36"/>
      <c r="U5336" s="36"/>
      <c r="V5336" s="36"/>
      <c r="W5336" s="15">
        <f t="shared" si="797"/>
        <v>0</v>
      </c>
      <c r="X5336" s="36"/>
      <c r="Y5336" s="36"/>
      <c r="Z5336" s="36"/>
      <c r="AA5336" s="36"/>
      <c r="AB5336" s="36"/>
      <c r="AC5336" s="36"/>
      <c r="AD5336" s="36"/>
      <c r="AE5336" s="36"/>
      <c r="AF5336" s="36"/>
      <c r="AG5336" s="36"/>
      <c r="AH5336" s="36"/>
      <c r="AI5336" s="36">
        <v>300</v>
      </c>
      <c r="AJ5336" s="15">
        <f t="shared" si="798"/>
        <v>300</v>
      </c>
      <c r="AK5336" s="14"/>
      <c r="AL5336" s="14"/>
      <c r="AM5336" s="14"/>
      <c r="AN5336" s="14"/>
      <c r="AO5336" s="14"/>
      <c r="AP5336" s="14"/>
      <c r="AQ5336" s="14"/>
      <c r="AR5336" s="14"/>
      <c r="AS5336" s="14"/>
      <c r="AT5336" s="14"/>
      <c r="AU5336" s="14"/>
      <c r="AV5336" s="14"/>
      <c r="AW5336" s="15">
        <f t="shared" si="799"/>
        <v>0</v>
      </c>
      <c r="AX5336" s="16"/>
    </row>
    <row r="5337" spans="2:51" x14ac:dyDescent="0.2">
      <c r="B5337" s="7"/>
      <c r="C5337" s="8">
        <v>15526</v>
      </c>
      <c r="D5337" s="9" t="s">
        <v>681</v>
      </c>
      <c r="E5337" s="10" t="str">
        <f t="shared" si="794"/>
        <v>Rancho Landero No. 87</v>
      </c>
      <c r="F5337" s="10" t="str">
        <f t="shared" si="795"/>
        <v>Fey Lafferla</v>
      </c>
      <c r="G5337" s="8">
        <v>1</v>
      </c>
      <c r="H5337" s="11">
        <v>300</v>
      </c>
      <c r="I5337" s="12">
        <v>43075</v>
      </c>
      <c r="J5337" s="35">
        <f t="shared" si="796"/>
        <v>0</v>
      </c>
      <c r="K5337" s="36"/>
      <c r="L5337" s="36"/>
      <c r="M5337" s="36"/>
      <c r="N5337" s="36"/>
      <c r="O5337" s="36"/>
      <c r="P5337" s="36"/>
      <c r="Q5337" s="36"/>
      <c r="R5337" s="36"/>
      <c r="S5337" s="36"/>
      <c r="T5337" s="36"/>
      <c r="U5337" s="36"/>
      <c r="V5337" s="36"/>
      <c r="W5337" s="15">
        <f t="shared" si="797"/>
        <v>0</v>
      </c>
      <c r="X5337" s="36"/>
      <c r="Y5337" s="36"/>
      <c r="Z5337" s="36"/>
      <c r="AA5337" s="36"/>
      <c r="AB5337" s="36"/>
      <c r="AC5337" s="36"/>
      <c r="AD5337" s="36"/>
      <c r="AE5337" s="36"/>
      <c r="AF5337" s="36"/>
      <c r="AG5337" s="36"/>
      <c r="AH5337" s="36">
        <v>300</v>
      </c>
      <c r="AI5337" s="36"/>
      <c r="AJ5337" s="15">
        <f t="shared" si="798"/>
        <v>300</v>
      </c>
      <c r="AK5337" s="14"/>
      <c r="AL5337" s="14"/>
      <c r="AM5337" s="14"/>
      <c r="AN5337" s="14"/>
      <c r="AO5337" s="14"/>
      <c r="AP5337" s="14"/>
      <c r="AQ5337" s="14"/>
      <c r="AR5337" s="14"/>
      <c r="AS5337" s="14"/>
      <c r="AT5337" s="14"/>
      <c r="AU5337" s="14"/>
      <c r="AV5337" s="14"/>
      <c r="AW5337" s="15">
        <f t="shared" si="799"/>
        <v>0</v>
      </c>
      <c r="AX5337" s="16"/>
    </row>
    <row r="5338" spans="2:51" x14ac:dyDescent="0.2">
      <c r="B5338" s="7"/>
      <c r="C5338" s="8">
        <v>15527</v>
      </c>
      <c r="D5338" s="9"/>
      <c r="E5338" s="10" t="str">
        <f t="shared" si="794"/>
        <v/>
      </c>
      <c r="F5338" s="10" t="str">
        <f t="shared" si="795"/>
        <v/>
      </c>
      <c r="G5338" s="8">
        <v>8</v>
      </c>
      <c r="H5338" s="11"/>
      <c r="I5338" s="12"/>
      <c r="J5338" s="35">
        <f t="shared" si="796"/>
        <v>0</v>
      </c>
      <c r="K5338" s="36"/>
      <c r="L5338" s="36"/>
      <c r="M5338" s="36"/>
      <c r="N5338" s="36"/>
      <c r="O5338" s="36"/>
      <c r="P5338" s="36"/>
      <c r="Q5338" s="36"/>
      <c r="R5338" s="36"/>
      <c r="S5338" s="36"/>
      <c r="T5338" s="36"/>
      <c r="U5338" s="36"/>
      <c r="V5338" s="36"/>
      <c r="W5338" s="15">
        <f t="shared" si="797"/>
        <v>0</v>
      </c>
      <c r="X5338" s="36"/>
      <c r="Y5338" s="36"/>
      <c r="Z5338" s="36"/>
      <c r="AA5338" s="36"/>
      <c r="AB5338" s="36"/>
      <c r="AC5338" s="36"/>
      <c r="AD5338" s="36"/>
      <c r="AE5338" s="36"/>
      <c r="AF5338" s="36"/>
      <c r="AG5338" s="36"/>
      <c r="AH5338" s="36"/>
      <c r="AI5338" s="36"/>
      <c r="AJ5338" s="15">
        <f t="shared" si="798"/>
        <v>0</v>
      </c>
      <c r="AK5338" s="14"/>
      <c r="AL5338" s="14"/>
      <c r="AM5338" s="14"/>
      <c r="AN5338" s="14"/>
      <c r="AO5338" s="14"/>
      <c r="AP5338" s="14"/>
      <c r="AQ5338" s="14"/>
      <c r="AR5338" s="14"/>
      <c r="AS5338" s="14"/>
      <c r="AT5338" s="14"/>
      <c r="AU5338" s="14"/>
      <c r="AV5338" s="14"/>
      <c r="AW5338" s="15">
        <f t="shared" si="799"/>
        <v>0</v>
      </c>
      <c r="AX5338" s="16"/>
    </row>
    <row r="5339" spans="2:51" x14ac:dyDescent="0.2">
      <c r="B5339" s="7"/>
      <c r="C5339" s="8">
        <v>15528</v>
      </c>
      <c r="D5339" s="9" t="s">
        <v>1142</v>
      </c>
      <c r="E5339" s="10" t="str">
        <f t="shared" si="794"/>
        <v>Rancho La Cuchilla No. 49</v>
      </c>
      <c r="F5339" s="10" t="str">
        <f t="shared" si="795"/>
        <v>Orozco Castelazo</v>
      </c>
      <c r="G5339" s="8">
        <v>1</v>
      </c>
      <c r="H5339" s="11">
        <v>1000</v>
      </c>
      <c r="I5339" s="12">
        <v>43075</v>
      </c>
      <c r="J5339" s="35">
        <f t="shared" si="796"/>
        <v>0</v>
      </c>
      <c r="K5339" s="36"/>
      <c r="L5339" s="36"/>
      <c r="M5339" s="36"/>
      <c r="N5339" s="36"/>
      <c r="O5339" s="36"/>
      <c r="P5339" s="36"/>
      <c r="Q5339" s="36"/>
      <c r="R5339" s="36"/>
      <c r="S5339" s="36"/>
      <c r="T5339" s="36"/>
      <c r="U5339" s="36"/>
      <c r="V5339" s="36"/>
      <c r="W5339" s="15">
        <f t="shared" si="797"/>
        <v>0</v>
      </c>
      <c r="X5339" s="36">
        <v>400</v>
      </c>
      <c r="Y5339" s="36">
        <v>400</v>
      </c>
      <c r="Z5339" s="36">
        <v>200</v>
      </c>
      <c r="AA5339" s="36"/>
      <c r="AB5339" s="36"/>
      <c r="AC5339" s="36"/>
      <c r="AD5339" s="36"/>
      <c r="AE5339" s="36"/>
      <c r="AF5339" s="36"/>
      <c r="AG5339" s="36"/>
      <c r="AH5339" s="36"/>
      <c r="AI5339" s="36"/>
      <c r="AJ5339" s="15">
        <f t="shared" si="798"/>
        <v>1000</v>
      </c>
      <c r="AK5339" s="14"/>
      <c r="AL5339" s="14"/>
      <c r="AM5339" s="14"/>
      <c r="AN5339" s="14"/>
      <c r="AO5339" s="14"/>
      <c r="AP5339" s="14"/>
      <c r="AQ5339" s="14"/>
      <c r="AR5339" s="14"/>
      <c r="AS5339" s="14"/>
      <c r="AT5339" s="14"/>
      <c r="AU5339" s="14"/>
      <c r="AV5339" s="14"/>
      <c r="AW5339" s="15">
        <f t="shared" si="799"/>
        <v>0</v>
      </c>
      <c r="AX5339" s="16"/>
    </row>
    <row r="5340" spans="2:51" x14ac:dyDescent="0.2">
      <c r="B5340" s="7"/>
      <c r="C5340" s="8">
        <v>15528</v>
      </c>
      <c r="D5340" s="9" t="s">
        <v>1142</v>
      </c>
      <c r="E5340" s="10" t="str">
        <f t="shared" si="794"/>
        <v>Rancho La Cuchilla No. 49</v>
      </c>
      <c r="F5340" s="10" t="str">
        <f t="shared" si="795"/>
        <v>Orozco Castelazo</v>
      </c>
      <c r="G5340" s="8">
        <v>4</v>
      </c>
      <c r="H5340" s="11">
        <v>200</v>
      </c>
      <c r="I5340" s="12">
        <v>43075</v>
      </c>
      <c r="J5340" s="35">
        <f t="shared" si="796"/>
        <v>0</v>
      </c>
      <c r="K5340" s="36"/>
      <c r="L5340" s="36"/>
      <c r="M5340" s="36"/>
      <c r="N5340" s="36"/>
      <c r="O5340" s="36"/>
      <c r="P5340" s="36"/>
      <c r="Q5340" s="36"/>
      <c r="R5340" s="36"/>
      <c r="S5340" s="36"/>
      <c r="T5340" s="36"/>
      <c r="U5340" s="36"/>
      <c r="V5340" s="36"/>
      <c r="W5340" s="15">
        <f t="shared" si="797"/>
        <v>0</v>
      </c>
      <c r="X5340" s="36"/>
      <c r="Y5340" s="36"/>
      <c r="Z5340" s="36"/>
      <c r="AA5340" s="36"/>
      <c r="AB5340" s="36"/>
      <c r="AC5340" s="36"/>
      <c r="AD5340" s="36"/>
      <c r="AE5340" s="36"/>
      <c r="AF5340" s="36"/>
      <c r="AG5340" s="36"/>
      <c r="AH5340" s="36"/>
      <c r="AI5340" s="36"/>
      <c r="AJ5340" s="15">
        <f t="shared" si="798"/>
        <v>0</v>
      </c>
      <c r="AK5340" s="14"/>
      <c r="AL5340" s="14"/>
      <c r="AM5340" s="14"/>
      <c r="AN5340" s="14"/>
      <c r="AO5340" s="14"/>
      <c r="AP5340" s="14"/>
      <c r="AQ5340" s="14"/>
      <c r="AR5340" s="14"/>
      <c r="AS5340" s="14"/>
      <c r="AT5340" s="14"/>
      <c r="AU5340" s="14"/>
      <c r="AV5340" s="14"/>
      <c r="AW5340" s="15">
        <f t="shared" si="799"/>
        <v>0</v>
      </c>
      <c r="AX5340" s="16" t="s">
        <v>4757</v>
      </c>
      <c r="AY5340" s="112">
        <f>SUM(H5334:H5340)</f>
        <v>6800</v>
      </c>
    </row>
    <row r="5341" spans="2:51" x14ac:dyDescent="0.2">
      <c r="B5341" s="7"/>
      <c r="C5341" s="8">
        <v>15529</v>
      </c>
      <c r="D5341" s="9" t="s">
        <v>598</v>
      </c>
      <c r="E5341" s="10" t="str">
        <f t="shared" si="794"/>
        <v>Rancho Estanzuela No. 21</v>
      </c>
      <c r="F5341" s="10" t="str">
        <f t="shared" si="795"/>
        <v>Morales</v>
      </c>
      <c r="G5341" s="8">
        <v>4</v>
      </c>
      <c r="H5341" s="315">
        <v>200</v>
      </c>
      <c r="I5341" s="12">
        <v>43077</v>
      </c>
      <c r="J5341" s="35">
        <f t="shared" si="796"/>
        <v>0</v>
      </c>
      <c r="K5341" s="36"/>
      <c r="L5341" s="36"/>
      <c r="M5341" s="36"/>
      <c r="N5341" s="36"/>
      <c r="O5341" s="36"/>
      <c r="P5341" s="36"/>
      <c r="Q5341" s="36"/>
      <c r="R5341" s="36"/>
      <c r="S5341" s="36"/>
      <c r="T5341" s="36"/>
      <c r="U5341" s="36"/>
      <c r="V5341" s="36"/>
      <c r="W5341" s="15">
        <f t="shared" si="797"/>
        <v>0</v>
      </c>
      <c r="X5341" s="36"/>
      <c r="Y5341" s="36"/>
      <c r="Z5341" s="36"/>
      <c r="AA5341" s="36"/>
      <c r="AB5341" s="36"/>
      <c r="AC5341" s="36"/>
      <c r="AD5341" s="36"/>
      <c r="AE5341" s="36"/>
      <c r="AF5341" s="36"/>
      <c r="AG5341" s="36"/>
      <c r="AH5341" s="36"/>
      <c r="AI5341" s="36"/>
      <c r="AJ5341" s="15">
        <f t="shared" si="798"/>
        <v>0</v>
      </c>
      <c r="AK5341" s="14"/>
      <c r="AL5341" s="14"/>
      <c r="AM5341" s="14"/>
      <c r="AN5341" s="14"/>
      <c r="AO5341" s="14"/>
      <c r="AP5341" s="14"/>
      <c r="AQ5341" s="14"/>
      <c r="AR5341" s="14"/>
      <c r="AS5341" s="14"/>
      <c r="AT5341" s="14"/>
      <c r="AU5341" s="14"/>
      <c r="AV5341" s="14"/>
      <c r="AW5341" s="15">
        <f t="shared" si="799"/>
        <v>0</v>
      </c>
      <c r="AX5341" s="16" t="s">
        <v>4758</v>
      </c>
    </row>
    <row r="5342" spans="2:51" x14ac:dyDescent="0.2">
      <c r="B5342" s="7"/>
      <c r="C5342" s="8">
        <v>15529</v>
      </c>
      <c r="D5342" s="9" t="s">
        <v>598</v>
      </c>
      <c r="E5342" s="10" t="str">
        <f t="shared" si="794"/>
        <v>Rancho Estanzuela No. 21</v>
      </c>
      <c r="F5342" s="10" t="str">
        <f t="shared" si="795"/>
        <v>Morales</v>
      </c>
      <c r="G5342" s="8">
        <v>5</v>
      </c>
      <c r="H5342" s="11">
        <v>50</v>
      </c>
      <c r="I5342" s="12">
        <v>43077</v>
      </c>
      <c r="J5342" s="35">
        <f t="shared" si="796"/>
        <v>0</v>
      </c>
      <c r="K5342" s="36"/>
      <c r="L5342" s="36"/>
      <c r="M5342" s="36"/>
      <c r="N5342" s="36"/>
      <c r="O5342" s="36"/>
      <c r="P5342" s="36"/>
      <c r="Q5342" s="36"/>
      <c r="R5342" s="36"/>
      <c r="S5342" s="36"/>
      <c r="T5342" s="36"/>
      <c r="U5342" s="36"/>
      <c r="V5342" s="36"/>
      <c r="W5342" s="15">
        <f t="shared" si="797"/>
        <v>0</v>
      </c>
      <c r="X5342" s="36"/>
      <c r="Y5342" s="36"/>
      <c r="Z5342" s="36"/>
      <c r="AA5342" s="36"/>
      <c r="AB5342" s="36"/>
      <c r="AC5342" s="36"/>
      <c r="AD5342" s="36"/>
      <c r="AE5342" s="36"/>
      <c r="AF5342" s="36"/>
      <c r="AG5342" s="36"/>
      <c r="AH5342" s="36"/>
      <c r="AI5342" s="36"/>
      <c r="AJ5342" s="15">
        <f t="shared" si="798"/>
        <v>0</v>
      </c>
      <c r="AK5342" s="14"/>
      <c r="AL5342" s="14"/>
      <c r="AM5342" s="14"/>
      <c r="AN5342" s="14"/>
      <c r="AO5342" s="14"/>
      <c r="AP5342" s="14"/>
      <c r="AQ5342" s="14"/>
      <c r="AR5342" s="14"/>
      <c r="AS5342" s="14"/>
      <c r="AT5342" s="14"/>
      <c r="AU5342" s="14"/>
      <c r="AV5342" s="14"/>
      <c r="AW5342" s="15">
        <f t="shared" si="799"/>
        <v>0</v>
      </c>
      <c r="AX5342" s="16"/>
    </row>
    <row r="5343" spans="2:51" x14ac:dyDescent="0.2">
      <c r="B5343" s="7"/>
      <c r="C5343" s="8">
        <v>15530</v>
      </c>
      <c r="D5343" s="9" t="s">
        <v>416</v>
      </c>
      <c r="E5343" s="10" t="str">
        <f t="shared" si="794"/>
        <v>Rancho La Cuchilla No. 112, PB</v>
      </c>
      <c r="F5343" s="10" t="str">
        <f t="shared" si="795"/>
        <v>Soreque</v>
      </c>
      <c r="G5343" s="8">
        <v>1</v>
      </c>
      <c r="H5343" s="11">
        <v>200</v>
      </c>
      <c r="I5343" s="12">
        <v>43079</v>
      </c>
      <c r="J5343" s="35">
        <f t="shared" si="796"/>
        <v>0</v>
      </c>
      <c r="K5343" s="36"/>
      <c r="L5343" s="36"/>
      <c r="M5343" s="36"/>
      <c r="N5343" s="36"/>
      <c r="O5343" s="36"/>
      <c r="P5343" s="36"/>
      <c r="Q5343" s="36"/>
      <c r="R5343" s="36"/>
      <c r="S5343" s="36"/>
      <c r="T5343" s="36"/>
      <c r="U5343" s="36"/>
      <c r="V5343" s="36"/>
      <c r="W5343" s="15">
        <f t="shared" si="797"/>
        <v>0</v>
      </c>
      <c r="X5343" s="36"/>
      <c r="Y5343" s="36"/>
      <c r="Z5343" s="36"/>
      <c r="AA5343" s="36"/>
      <c r="AB5343" s="36"/>
      <c r="AC5343" s="36"/>
      <c r="AD5343" s="36"/>
      <c r="AE5343" s="36"/>
      <c r="AF5343" s="36"/>
      <c r="AG5343" s="36"/>
      <c r="AH5343" s="36"/>
      <c r="AI5343" s="36">
        <v>200</v>
      </c>
      <c r="AJ5343" s="15">
        <f t="shared" si="798"/>
        <v>200</v>
      </c>
      <c r="AK5343" s="14"/>
      <c r="AL5343" s="14"/>
      <c r="AM5343" s="14"/>
      <c r="AN5343" s="14"/>
      <c r="AO5343" s="14"/>
      <c r="AP5343" s="14"/>
      <c r="AQ5343" s="14"/>
      <c r="AR5343" s="14"/>
      <c r="AS5343" s="14"/>
      <c r="AT5343" s="14"/>
      <c r="AU5343" s="14"/>
      <c r="AV5343" s="14"/>
      <c r="AW5343" s="15">
        <f t="shared" si="799"/>
        <v>0</v>
      </c>
      <c r="AX5343" s="16"/>
    </row>
    <row r="5344" spans="2:51" x14ac:dyDescent="0.2">
      <c r="B5344" s="7"/>
      <c r="C5344" s="8">
        <v>15531</v>
      </c>
      <c r="D5344" s="9" t="s">
        <v>608</v>
      </c>
      <c r="E5344" s="10" t="str">
        <f t="shared" si="794"/>
        <v>Rancho Upácuaro No. 146</v>
      </c>
      <c r="F5344" s="10" t="str">
        <f t="shared" si="795"/>
        <v>Islas</v>
      </c>
      <c r="G5344" s="8">
        <v>1</v>
      </c>
      <c r="H5344" s="11">
        <v>400</v>
      </c>
      <c r="I5344" s="12">
        <v>43079</v>
      </c>
      <c r="J5344" s="35">
        <f t="shared" si="796"/>
        <v>0</v>
      </c>
      <c r="K5344" s="36"/>
      <c r="L5344" s="36"/>
      <c r="M5344" s="36"/>
      <c r="N5344" s="36"/>
      <c r="O5344" s="36"/>
      <c r="P5344" s="36"/>
      <c r="Q5344" s="36"/>
      <c r="R5344" s="36"/>
      <c r="S5344" s="36"/>
      <c r="T5344" s="36"/>
      <c r="U5344" s="36"/>
      <c r="V5344" s="36"/>
      <c r="W5344" s="15">
        <f t="shared" si="797"/>
        <v>0</v>
      </c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>
        <v>400</v>
      </c>
      <c r="AH5344" s="36"/>
      <c r="AI5344" s="36"/>
      <c r="AJ5344" s="15">
        <f t="shared" si="798"/>
        <v>400</v>
      </c>
      <c r="AK5344" s="14"/>
      <c r="AL5344" s="14"/>
      <c r="AM5344" s="14"/>
      <c r="AN5344" s="14"/>
      <c r="AO5344" s="14"/>
      <c r="AP5344" s="14"/>
      <c r="AQ5344" s="14"/>
      <c r="AR5344" s="14"/>
      <c r="AS5344" s="14"/>
      <c r="AT5344" s="14"/>
      <c r="AU5344" s="14"/>
      <c r="AV5344" s="14"/>
      <c r="AW5344" s="15">
        <f t="shared" si="799"/>
        <v>0</v>
      </c>
      <c r="AX5344" s="16"/>
    </row>
    <row r="5345" spans="2:50" x14ac:dyDescent="0.2">
      <c r="B5345" s="7"/>
      <c r="C5345" s="8">
        <v>15532</v>
      </c>
      <c r="D5345" s="9" t="s">
        <v>322</v>
      </c>
      <c r="E5345" s="10" t="str">
        <f t="shared" si="794"/>
        <v>Rancho Zinamba No. 8</v>
      </c>
      <c r="F5345" s="10" t="str">
        <f t="shared" si="795"/>
        <v>Florido</v>
      </c>
      <c r="G5345" s="8">
        <v>1</v>
      </c>
      <c r="H5345" s="11">
        <v>400</v>
      </c>
      <c r="I5345" s="12">
        <v>43079</v>
      </c>
      <c r="J5345" s="35">
        <f t="shared" si="796"/>
        <v>0</v>
      </c>
      <c r="K5345" s="36"/>
      <c r="L5345" s="36"/>
      <c r="M5345" s="36"/>
      <c r="N5345" s="36"/>
      <c r="O5345" s="36"/>
      <c r="P5345" s="36"/>
      <c r="Q5345" s="36"/>
      <c r="R5345" s="36"/>
      <c r="S5345" s="36"/>
      <c r="T5345" s="36"/>
      <c r="U5345" s="36"/>
      <c r="V5345" s="36"/>
      <c r="W5345" s="15">
        <f t="shared" si="797"/>
        <v>0</v>
      </c>
      <c r="X5345" s="36"/>
      <c r="Y5345" s="36"/>
      <c r="Z5345" s="36"/>
      <c r="AA5345" s="36"/>
      <c r="AB5345" s="36"/>
      <c r="AC5345" s="36"/>
      <c r="AD5345" s="36"/>
      <c r="AE5345" s="36"/>
      <c r="AF5345" s="36"/>
      <c r="AG5345" s="36"/>
      <c r="AH5345" s="36"/>
      <c r="AI5345" s="36">
        <v>400</v>
      </c>
      <c r="AJ5345" s="15">
        <f t="shared" si="798"/>
        <v>400</v>
      </c>
      <c r="AK5345" s="14"/>
      <c r="AL5345" s="14"/>
      <c r="AM5345" s="14"/>
      <c r="AN5345" s="14"/>
      <c r="AO5345" s="14"/>
      <c r="AP5345" s="14"/>
      <c r="AQ5345" s="14"/>
      <c r="AR5345" s="14"/>
      <c r="AS5345" s="14"/>
      <c r="AT5345" s="14"/>
      <c r="AU5345" s="14"/>
      <c r="AV5345" s="14"/>
      <c r="AW5345" s="15">
        <f t="shared" si="799"/>
        <v>0</v>
      </c>
      <c r="AX5345" s="16"/>
    </row>
    <row r="5346" spans="2:50" x14ac:dyDescent="0.2">
      <c r="B5346" s="7"/>
      <c r="C5346" s="8">
        <v>15533</v>
      </c>
      <c r="D5346" s="9" t="s">
        <v>725</v>
      </c>
      <c r="E5346" s="10" t="str">
        <f t="shared" si="794"/>
        <v>Rancho Zinamba No. 34</v>
      </c>
      <c r="F5346" s="10" t="str">
        <f t="shared" si="795"/>
        <v>Torres Zavala</v>
      </c>
      <c r="G5346" s="8">
        <v>3</v>
      </c>
      <c r="H5346" s="11">
        <v>200</v>
      </c>
      <c r="I5346" s="12">
        <v>43079</v>
      </c>
      <c r="J5346" s="35">
        <f t="shared" si="796"/>
        <v>0</v>
      </c>
      <c r="K5346" s="36"/>
      <c r="L5346" s="36"/>
      <c r="M5346" s="36"/>
      <c r="N5346" s="36"/>
      <c r="O5346" s="36"/>
      <c r="P5346" s="36"/>
      <c r="Q5346" s="36"/>
      <c r="R5346" s="36"/>
      <c r="S5346" s="36"/>
      <c r="T5346" s="36"/>
      <c r="U5346" s="36"/>
      <c r="V5346" s="36"/>
      <c r="W5346" s="15">
        <f t="shared" si="797"/>
        <v>0</v>
      </c>
      <c r="X5346" s="36"/>
      <c r="Y5346" s="36"/>
      <c r="Z5346" s="36"/>
      <c r="AA5346" s="36"/>
      <c r="AB5346" s="36"/>
      <c r="AC5346" s="36"/>
      <c r="AD5346" s="36"/>
      <c r="AE5346" s="36"/>
      <c r="AF5346" s="36"/>
      <c r="AG5346" s="36"/>
      <c r="AH5346" s="36"/>
      <c r="AI5346" s="36"/>
      <c r="AJ5346" s="15">
        <f t="shared" si="798"/>
        <v>0</v>
      </c>
      <c r="AK5346" s="14"/>
      <c r="AL5346" s="14"/>
      <c r="AM5346" s="14"/>
      <c r="AN5346" s="14"/>
      <c r="AO5346" s="14"/>
      <c r="AP5346" s="14"/>
      <c r="AQ5346" s="14"/>
      <c r="AR5346" s="14"/>
      <c r="AS5346" s="14"/>
      <c r="AT5346" s="14"/>
      <c r="AU5346" s="14"/>
      <c r="AV5346" s="14"/>
      <c r="AW5346" s="15">
        <f t="shared" si="799"/>
        <v>0</v>
      </c>
      <c r="AX5346" s="16"/>
    </row>
    <row r="5347" spans="2:50" x14ac:dyDescent="0.2">
      <c r="B5347" s="7"/>
      <c r="C5347" s="8">
        <v>15534</v>
      </c>
      <c r="D5347" s="9" t="s">
        <v>761</v>
      </c>
      <c r="E5347" s="10" t="str">
        <f t="shared" si="794"/>
        <v>Rancho Recoveco No. 187</v>
      </c>
      <c r="F5347" s="10" t="str">
        <f t="shared" si="795"/>
        <v>Moreno</v>
      </c>
      <c r="G5347" s="8">
        <v>1</v>
      </c>
      <c r="H5347" s="11">
        <v>400</v>
      </c>
      <c r="I5347" s="12">
        <v>43079</v>
      </c>
      <c r="J5347" s="35">
        <f t="shared" si="796"/>
        <v>0</v>
      </c>
      <c r="K5347" s="36"/>
      <c r="L5347" s="36"/>
      <c r="M5347" s="36"/>
      <c r="N5347" s="36"/>
      <c r="O5347" s="36"/>
      <c r="P5347" s="36"/>
      <c r="Q5347" s="36"/>
      <c r="R5347" s="36"/>
      <c r="S5347" s="36"/>
      <c r="T5347" s="36"/>
      <c r="U5347" s="36"/>
      <c r="V5347" s="36"/>
      <c r="W5347" s="15">
        <f t="shared" si="797"/>
        <v>0</v>
      </c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>
        <v>400</v>
      </c>
      <c r="AJ5347" s="15">
        <f t="shared" si="798"/>
        <v>400</v>
      </c>
      <c r="AK5347" s="14"/>
      <c r="AL5347" s="14"/>
      <c r="AM5347" s="14"/>
      <c r="AN5347" s="14"/>
      <c r="AO5347" s="14"/>
      <c r="AP5347" s="14"/>
      <c r="AQ5347" s="14"/>
      <c r="AR5347" s="14"/>
      <c r="AS5347" s="14"/>
      <c r="AT5347" s="14"/>
      <c r="AU5347" s="14"/>
      <c r="AV5347" s="14"/>
      <c r="AW5347" s="15">
        <f t="shared" si="799"/>
        <v>0</v>
      </c>
      <c r="AX5347" s="16"/>
    </row>
    <row r="5348" spans="2:50" x14ac:dyDescent="0.2">
      <c r="B5348" s="7"/>
      <c r="C5348" s="8">
        <v>15535</v>
      </c>
      <c r="D5348" s="9" t="s">
        <v>241</v>
      </c>
      <c r="E5348" s="10" t="str">
        <f t="shared" si="794"/>
        <v>Rancho La Cuchilla No. 81, A</v>
      </c>
      <c r="F5348" s="10" t="str">
        <f t="shared" si="795"/>
        <v>Barrientos López</v>
      </c>
      <c r="G5348" s="8">
        <v>1</v>
      </c>
      <c r="H5348" s="11">
        <v>400</v>
      </c>
      <c r="I5348" s="12">
        <v>43079</v>
      </c>
      <c r="J5348" s="35">
        <f t="shared" si="796"/>
        <v>0</v>
      </c>
      <c r="K5348" s="36"/>
      <c r="L5348" s="36"/>
      <c r="M5348" s="36"/>
      <c r="N5348" s="36"/>
      <c r="O5348" s="36"/>
      <c r="P5348" s="36"/>
      <c r="Q5348" s="36"/>
      <c r="R5348" s="36"/>
      <c r="S5348" s="36"/>
      <c r="T5348" s="36"/>
      <c r="U5348" s="36"/>
      <c r="V5348" s="36"/>
      <c r="W5348" s="15">
        <f t="shared" si="797"/>
        <v>0</v>
      </c>
      <c r="X5348" s="36"/>
      <c r="Y5348" s="36"/>
      <c r="Z5348" s="36"/>
      <c r="AA5348" s="36"/>
      <c r="AB5348" s="36"/>
      <c r="AC5348" s="36"/>
      <c r="AD5348" s="36"/>
      <c r="AE5348" s="36"/>
      <c r="AF5348" s="36"/>
      <c r="AG5348" s="36"/>
      <c r="AH5348" s="36"/>
      <c r="AI5348" s="36">
        <v>400</v>
      </c>
      <c r="AJ5348" s="15">
        <f t="shared" si="798"/>
        <v>400</v>
      </c>
      <c r="AK5348" s="14"/>
      <c r="AL5348" s="14"/>
      <c r="AM5348" s="14"/>
      <c r="AN5348" s="14"/>
      <c r="AO5348" s="14"/>
      <c r="AP5348" s="14"/>
      <c r="AQ5348" s="14"/>
      <c r="AR5348" s="14"/>
      <c r="AS5348" s="14"/>
      <c r="AT5348" s="14"/>
      <c r="AU5348" s="14"/>
      <c r="AV5348" s="14"/>
      <c r="AW5348" s="15">
        <f t="shared" si="799"/>
        <v>0</v>
      </c>
      <c r="AX5348" s="16"/>
    </row>
    <row r="5349" spans="2:50" x14ac:dyDescent="0.2">
      <c r="B5349" s="7"/>
      <c r="C5349" s="8">
        <v>15536</v>
      </c>
      <c r="D5349" s="9" t="s">
        <v>763</v>
      </c>
      <c r="E5349" s="10" t="str">
        <f t="shared" si="794"/>
        <v>Rancho Estanzuela No. 79</v>
      </c>
      <c r="F5349" s="10" t="str">
        <f t="shared" si="795"/>
        <v>Mendoza</v>
      </c>
      <c r="G5349" s="8">
        <v>1</v>
      </c>
      <c r="H5349" s="11">
        <v>800</v>
      </c>
      <c r="I5349" s="12">
        <v>43079</v>
      </c>
      <c r="J5349" s="35">
        <f t="shared" si="796"/>
        <v>0</v>
      </c>
      <c r="K5349" s="36"/>
      <c r="L5349" s="36"/>
      <c r="M5349" s="36"/>
      <c r="N5349" s="36"/>
      <c r="O5349" s="36"/>
      <c r="P5349" s="36"/>
      <c r="Q5349" s="36"/>
      <c r="R5349" s="36"/>
      <c r="S5349" s="36"/>
      <c r="T5349" s="36"/>
      <c r="U5349" s="36"/>
      <c r="V5349" s="36"/>
      <c r="W5349" s="15">
        <f t="shared" si="797"/>
        <v>0</v>
      </c>
      <c r="X5349" s="36"/>
      <c r="Y5349" s="36"/>
      <c r="Z5349" s="36"/>
      <c r="AA5349" s="36"/>
      <c r="AB5349" s="36"/>
      <c r="AC5349" s="36"/>
      <c r="AD5349" s="36"/>
      <c r="AE5349" s="36"/>
      <c r="AF5349" s="36"/>
      <c r="AG5349" s="36"/>
      <c r="AH5349" s="36">
        <v>400</v>
      </c>
      <c r="AI5349" s="36">
        <v>400</v>
      </c>
      <c r="AJ5349" s="15">
        <f t="shared" si="798"/>
        <v>800</v>
      </c>
      <c r="AK5349" s="14"/>
      <c r="AL5349" s="14"/>
      <c r="AM5349" s="14"/>
      <c r="AN5349" s="14"/>
      <c r="AO5349" s="14"/>
      <c r="AP5349" s="14"/>
      <c r="AQ5349" s="14"/>
      <c r="AR5349" s="14"/>
      <c r="AS5349" s="14"/>
      <c r="AT5349" s="14"/>
      <c r="AU5349" s="14"/>
      <c r="AV5349" s="14"/>
      <c r="AW5349" s="15">
        <f t="shared" si="799"/>
        <v>0</v>
      </c>
      <c r="AX5349" s="16"/>
    </row>
    <row r="5350" spans="2:50" x14ac:dyDescent="0.2">
      <c r="B5350" s="7"/>
      <c r="C5350" s="8">
        <v>15537</v>
      </c>
      <c r="D5350" s="9" t="s">
        <v>398</v>
      </c>
      <c r="E5350" s="10" t="str">
        <f t="shared" si="794"/>
        <v>Rancho Estanzuela No. 151</v>
      </c>
      <c r="F5350" s="10" t="str">
        <f t="shared" si="795"/>
        <v>Pérez Salazar</v>
      </c>
      <c r="G5350" s="8">
        <v>1</v>
      </c>
      <c r="H5350" s="11">
        <v>400</v>
      </c>
      <c r="I5350" s="12">
        <v>43079</v>
      </c>
      <c r="J5350" s="35">
        <f t="shared" si="796"/>
        <v>0</v>
      </c>
      <c r="K5350" s="36"/>
      <c r="L5350" s="36"/>
      <c r="M5350" s="36"/>
      <c r="N5350" s="36"/>
      <c r="O5350" s="36"/>
      <c r="P5350" s="36"/>
      <c r="Q5350" s="36"/>
      <c r="R5350" s="36"/>
      <c r="S5350" s="36"/>
      <c r="T5350" s="36"/>
      <c r="U5350" s="36"/>
      <c r="V5350" s="36"/>
      <c r="W5350" s="15">
        <f t="shared" si="797"/>
        <v>0</v>
      </c>
      <c r="X5350" s="36"/>
      <c r="Y5350" s="36"/>
      <c r="Z5350" s="36"/>
      <c r="AA5350" s="36"/>
      <c r="AB5350" s="36"/>
      <c r="AC5350" s="36"/>
      <c r="AD5350" s="36"/>
      <c r="AE5350" s="36"/>
      <c r="AF5350" s="36"/>
      <c r="AG5350" s="36"/>
      <c r="AH5350" s="36"/>
      <c r="AI5350" s="36">
        <v>400</v>
      </c>
      <c r="AJ5350" s="15">
        <f t="shared" si="798"/>
        <v>400</v>
      </c>
      <c r="AK5350" s="14"/>
      <c r="AL5350" s="14"/>
      <c r="AM5350" s="14"/>
      <c r="AN5350" s="14"/>
      <c r="AO5350" s="14"/>
      <c r="AP5350" s="14"/>
      <c r="AQ5350" s="14"/>
      <c r="AR5350" s="14"/>
      <c r="AS5350" s="14"/>
      <c r="AT5350" s="14"/>
      <c r="AU5350" s="14"/>
      <c r="AV5350" s="14"/>
      <c r="AW5350" s="15">
        <f t="shared" si="799"/>
        <v>0</v>
      </c>
      <c r="AX5350" s="16"/>
    </row>
    <row r="5351" spans="2:50" x14ac:dyDescent="0.2">
      <c r="B5351" s="7"/>
      <c r="C5351" s="8">
        <v>15538</v>
      </c>
      <c r="D5351" s="9" t="s">
        <v>307</v>
      </c>
      <c r="E5351" s="10" t="str">
        <f t="shared" si="794"/>
        <v>Rancho Landero No. 83</v>
      </c>
      <c r="F5351" s="10" t="str">
        <f t="shared" si="795"/>
        <v>Aguilar</v>
      </c>
      <c r="G5351" s="8">
        <v>1</v>
      </c>
      <c r="H5351" s="11">
        <v>350</v>
      </c>
      <c r="I5351" s="12">
        <v>43079</v>
      </c>
      <c r="J5351" s="35">
        <f t="shared" si="796"/>
        <v>0</v>
      </c>
      <c r="K5351" s="36"/>
      <c r="L5351" s="36"/>
      <c r="M5351" s="36"/>
      <c r="N5351" s="36"/>
      <c r="O5351" s="36"/>
      <c r="P5351" s="36"/>
      <c r="Q5351" s="36"/>
      <c r="R5351" s="36"/>
      <c r="S5351" s="36"/>
      <c r="T5351" s="36"/>
      <c r="U5351" s="36"/>
      <c r="V5351" s="36"/>
      <c r="W5351" s="15">
        <f t="shared" si="797"/>
        <v>0</v>
      </c>
      <c r="X5351" s="36"/>
      <c r="Y5351" s="36"/>
      <c r="Z5351" s="36"/>
      <c r="AA5351" s="36"/>
      <c r="AB5351" s="36"/>
      <c r="AC5351" s="36"/>
      <c r="AD5351" s="36"/>
      <c r="AE5351" s="36"/>
      <c r="AF5351" s="36"/>
      <c r="AG5351" s="36"/>
      <c r="AH5351" s="36"/>
      <c r="AI5351" s="36">
        <v>350</v>
      </c>
      <c r="AJ5351" s="15">
        <f t="shared" si="798"/>
        <v>350</v>
      </c>
      <c r="AK5351" s="14"/>
      <c r="AL5351" s="14"/>
      <c r="AM5351" s="14"/>
      <c r="AN5351" s="14"/>
      <c r="AO5351" s="14"/>
      <c r="AP5351" s="14"/>
      <c r="AQ5351" s="14"/>
      <c r="AR5351" s="14"/>
      <c r="AS5351" s="14"/>
      <c r="AT5351" s="14"/>
      <c r="AU5351" s="14"/>
      <c r="AV5351" s="14"/>
      <c r="AW5351" s="15">
        <f t="shared" si="799"/>
        <v>0</v>
      </c>
      <c r="AX5351" s="16"/>
    </row>
    <row r="5352" spans="2:50" x14ac:dyDescent="0.2">
      <c r="B5352" s="7"/>
      <c r="C5352" s="8">
        <v>15539</v>
      </c>
      <c r="D5352" s="9" t="s">
        <v>810</v>
      </c>
      <c r="E5352" s="10" t="str">
        <f t="shared" si="794"/>
        <v>Rancho La Cuchilla No. 90</v>
      </c>
      <c r="F5352" s="10" t="str">
        <f t="shared" si="795"/>
        <v>Porras Fuentes</v>
      </c>
      <c r="G5352" s="8">
        <v>1</v>
      </c>
      <c r="H5352" s="11">
        <v>200</v>
      </c>
      <c r="I5352" s="12">
        <v>43079</v>
      </c>
      <c r="J5352" s="35">
        <f t="shared" si="796"/>
        <v>0</v>
      </c>
      <c r="K5352" s="36"/>
      <c r="L5352" s="36"/>
      <c r="M5352" s="36"/>
      <c r="N5352" s="36"/>
      <c r="O5352" s="36"/>
      <c r="P5352" s="36"/>
      <c r="Q5352" s="36"/>
      <c r="R5352" s="36"/>
      <c r="S5352" s="36"/>
      <c r="T5352" s="36"/>
      <c r="U5352" s="36"/>
      <c r="V5352" s="36"/>
      <c r="W5352" s="15">
        <f t="shared" si="797"/>
        <v>0</v>
      </c>
      <c r="X5352" s="36"/>
      <c r="Y5352" s="36"/>
      <c r="Z5352" s="36"/>
      <c r="AA5352" s="36"/>
      <c r="AB5352" s="36"/>
      <c r="AC5352" s="36"/>
      <c r="AD5352" s="36"/>
      <c r="AE5352" s="36"/>
      <c r="AF5352" s="36"/>
      <c r="AG5352" s="36"/>
      <c r="AH5352" s="36"/>
      <c r="AI5352" s="36">
        <v>200</v>
      </c>
      <c r="AJ5352" s="15">
        <f t="shared" si="798"/>
        <v>200</v>
      </c>
      <c r="AK5352" s="14"/>
      <c r="AL5352" s="14"/>
      <c r="AM5352" s="14"/>
      <c r="AN5352" s="14"/>
      <c r="AO5352" s="14"/>
      <c r="AP5352" s="14"/>
      <c r="AQ5352" s="14"/>
      <c r="AR5352" s="14"/>
      <c r="AS5352" s="14"/>
      <c r="AT5352" s="14"/>
      <c r="AU5352" s="14"/>
      <c r="AV5352" s="14"/>
      <c r="AW5352" s="15">
        <f t="shared" si="799"/>
        <v>0</v>
      </c>
      <c r="AX5352" s="16"/>
    </row>
    <row r="5353" spans="2:50" x14ac:dyDescent="0.2">
      <c r="B5353" s="7"/>
      <c r="C5353" s="8">
        <v>15540</v>
      </c>
      <c r="D5353" s="9" t="s">
        <v>586</v>
      </c>
      <c r="E5353" s="10" t="str">
        <f t="shared" si="794"/>
        <v>Rancho Estanzuela No. 161, 1</v>
      </c>
      <c r="F5353" s="10" t="str">
        <f t="shared" si="795"/>
        <v>Guevara</v>
      </c>
      <c r="G5353" s="8">
        <v>1</v>
      </c>
      <c r="H5353" s="11">
        <v>400</v>
      </c>
      <c r="I5353" s="12">
        <v>43079</v>
      </c>
      <c r="J5353" s="35">
        <f t="shared" si="796"/>
        <v>0</v>
      </c>
      <c r="K5353" s="36"/>
      <c r="L5353" s="36"/>
      <c r="M5353" s="36"/>
      <c r="N5353" s="36"/>
      <c r="O5353" s="36"/>
      <c r="P5353" s="36"/>
      <c r="Q5353" s="36"/>
      <c r="R5353" s="36"/>
      <c r="S5353" s="36"/>
      <c r="T5353" s="36"/>
      <c r="U5353" s="36"/>
      <c r="V5353" s="36"/>
      <c r="W5353" s="15">
        <f t="shared" si="797"/>
        <v>0</v>
      </c>
      <c r="X5353" s="36"/>
      <c r="Y5353" s="36"/>
      <c r="Z5353" s="36"/>
      <c r="AA5353" s="36"/>
      <c r="AB5353" s="36"/>
      <c r="AC5353" s="36"/>
      <c r="AD5353" s="36"/>
      <c r="AE5353" s="36"/>
      <c r="AF5353" s="36"/>
      <c r="AG5353" s="36"/>
      <c r="AH5353" s="36"/>
      <c r="AI5353" s="36">
        <v>200</v>
      </c>
      <c r="AJ5353" s="15">
        <f t="shared" si="798"/>
        <v>200</v>
      </c>
      <c r="AK5353" s="14">
        <v>200</v>
      </c>
      <c r="AL5353" s="14"/>
      <c r="AM5353" s="14"/>
      <c r="AN5353" s="14"/>
      <c r="AO5353" s="14"/>
      <c r="AP5353" s="14"/>
      <c r="AQ5353" s="14"/>
      <c r="AR5353" s="14"/>
      <c r="AS5353" s="14"/>
      <c r="AT5353" s="14"/>
      <c r="AU5353" s="14"/>
      <c r="AV5353" s="14"/>
      <c r="AW5353" s="15">
        <f t="shared" si="799"/>
        <v>200</v>
      </c>
      <c r="AX5353" s="16"/>
    </row>
    <row r="5354" spans="2:50" x14ac:dyDescent="0.2">
      <c r="B5354" s="7"/>
      <c r="C5354" s="8">
        <v>15541</v>
      </c>
      <c r="D5354" s="9" t="s">
        <v>259</v>
      </c>
      <c r="E5354" s="10" t="str">
        <f t="shared" si="794"/>
        <v>Rancho Estanzuela No. 55</v>
      </c>
      <c r="F5354" s="10" t="str">
        <f t="shared" si="795"/>
        <v>Rodríguez Acevedo</v>
      </c>
      <c r="G5354" s="8">
        <v>1</v>
      </c>
      <c r="H5354" s="11">
        <v>400</v>
      </c>
      <c r="I5354" s="12">
        <v>43079</v>
      </c>
      <c r="J5354" s="35">
        <f t="shared" si="796"/>
        <v>0</v>
      </c>
      <c r="K5354" s="36"/>
      <c r="L5354" s="36"/>
      <c r="M5354" s="36"/>
      <c r="N5354" s="36"/>
      <c r="O5354" s="36"/>
      <c r="P5354" s="36"/>
      <c r="Q5354" s="36"/>
      <c r="R5354" s="36"/>
      <c r="S5354" s="36"/>
      <c r="T5354" s="36"/>
      <c r="U5354" s="36"/>
      <c r="V5354" s="36"/>
      <c r="W5354" s="15">
        <f t="shared" si="797"/>
        <v>0</v>
      </c>
      <c r="X5354" s="36"/>
      <c r="Y5354" s="36"/>
      <c r="Z5354" s="36"/>
      <c r="AA5354" s="36"/>
      <c r="AB5354" s="36"/>
      <c r="AC5354" s="36"/>
      <c r="AD5354" s="36"/>
      <c r="AE5354" s="36"/>
      <c r="AF5354" s="36"/>
      <c r="AG5354" s="36"/>
      <c r="AH5354" s="36"/>
      <c r="AI5354" s="36">
        <v>400</v>
      </c>
      <c r="AJ5354" s="15">
        <f t="shared" si="798"/>
        <v>400</v>
      </c>
      <c r="AK5354" s="14"/>
      <c r="AL5354" s="14"/>
      <c r="AM5354" s="14"/>
      <c r="AN5354" s="14"/>
      <c r="AO5354" s="14"/>
      <c r="AP5354" s="14"/>
      <c r="AQ5354" s="14"/>
      <c r="AR5354" s="14"/>
      <c r="AS5354" s="14"/>
      <c r="AT5354" s="14"/>
      <c r="AU5354" s="14"/>
      <c r="AV5354" s="14"/>
      <c r="AW5354" s="15">
        <f t="shared" si="799"/>
        <v>0</v>
      </c>
      <c r="AX5354" s="16"/>
    </row>
    <row r="5355" spans="2:50" x14ac:dyDescent="0.2">
      <c r="B5355" s="7"/>
      <c r="C5355" s="8">
        <v>15542</v>
      </c>
      <c r="D5355" s="9" t="s">
        <v>62</v>
      </c>
      <c r="E5355" s="10" t="str">
        <f t="shared" si="794"/>
        <v>Rancho Romeral No. 10, A</v>
      </c>
      <c r="F5355" s="10" t="str">
        <f t="shared" si="795"/>
        <v>Casillas Álvarez</v>
      </c>
      <c r="G5355" s="8">
        <v>1</v>
      </c>
      <c r="H5355" s="11">
        <v>200</v>
      </c>
      <c r="I5355" s="12">
        <v>43079</v>
      </c>
      <c r="J5355" s="35">
        <f t="shared" si="796"/>
        <v>0</v>
      </c>
      <c r="K5355" s="36"/>
      <c r="L5355" s="36"/>
      <c r="M5355" s="36"/>
      <c r="N5355" s="36"/>
      <c r="O5355" s="36"/>
      <c r="P5355" s="36"/>
      <c r="Q5355" s="36"/>
      <c r="R5355" s="36"/>
      <c r="S5355" s="36"/>
      <c r="T5355" s="36"/>
      <c r="U5355" s="36"/>
      <c r="V5355" s="36"/>
      <c r="W5355" s="15">
        <f t="shared" si="797"/>
        <v>0</v>
      </c>
      <c r="X5355" s="36"/>
      <c r="Y5355" s="36"/>
      <c r="Z5355" s="36"/>
      <c r="AA5355" s="36"/>
      <c r="AB5355" s="36"/>
      <c r="AC5355" s="36"/>
      <c r="AD5355" s="36"/>
      <c r="AE5355" s="36"/>
      <c r="AF5355" s="36"/>
      <c r="AG5355" s="36"/>
      <c r="AH5355" s="36"/>
      <c r="AI5355" s="36"/>
      <c r="AJ5355" s="15">
        <f t="shared" si="798"/>
        <v>0</v>
      </c>
      <c r="AK5355" s="14">
        <v>200</v>
      </c>
      <c r="AL5355" s="14"/>
      <c r="AM5355" s="14"/>
      <c r="AN5355" s="14"/>
      <c r="AO5355" s="14"/>
      <c r="AP5355" s="14"/>
      <c r="AQ5355" s="14"/>
      <c r="AR5355" s="14"/>
      <c r="AS5355" s="14"/>
      <c r="AT5355" s="14"/>
      <c r="AU5355" s="14"/>
      <c r="AV5355" s="14"/>
      <c r="AW5355" s="15">
        <f t="shared" si="799"/>
        <v>200</v>
      </c>
      <c r="AX5355" s="16"/>
    </row>
    <row r="5356" spans="2:50" x14ac:dyDescent="0.2">
      <c r="B5356" s="7"/>
      <c r="C5356" s="8">
        <v>15543</v>
      </c>
      <c r="D5356" s="9" t="s">
        <v>407</v>
      </c>
      <c r="E5356" s="10" t="str">
        <f t="shared" si="794"/>
        <v>Rancho Estanzuela No. 99</v>
      </c>
      <c r="F5356" s="10" t="str">
        <f t="shared" si="795"/>
        <v>García López</v>
      </c>
      <c r="G5356" s="8">
        <v>1</v>
      </c>
      <c r="H5356" s="11">
        <v>400</v>
      </c>
      <c r="I5356" s="12">
        <v>43079</v>
      </c>
      <c r="J5356" s="35">
        <f t="shared" si="796"/>
        <v>0</v>
      </c>
      <c r="K5356" s="36"/>
      <c r="L5356" s="36"/>
      <c r="M5356" s="36"/>
      <c r="N5356" s="36"/>
      <c r="O5356" s="36"/>
      <c r="P5356" s="36"/>
      <c r="Q5356" s="36"/>
      <c r="R5356" s="36"/>
      <c r="S5356" s="36"/>
      <c r="T5356" s="36"/>
      <c r="U5356" s="36"/>
      <c r="V5356" s="36"/>
      <c r="W5356" s="15">
        <f t="shared" si="797"/>
        <v>0</v>
      </c>
      <c r="X5356" s="36"/>
      <c r="Y5356" s="36"/>
      <c r="Z5356" s="36"/>
      <c r="AA5356" s="36"/>
      <c r="AB5356" s="36"/>
      <c r="AC5356" s="36"/>
      <c r="AD5356" s="36"/>
      <c r="AE5356" s="36"/>
      <c r="AF5356" s="36"/>
      <c r="AG5356" s="36"/>
      <c r="AH5356" s="36"/>
      <c r="AI5356" s="36">
        <v>400</v>
      </c>
      <c r="AJ5356" s="15">
        <f t="shared" si="798"/>
        <v>400</v>
      </c>
      <c r="AK5356" s="14"/>
      <c r="AL5356" s="14"/>
      <c r="AM5356" s="14"/>
      <c r="AN5356" s="14"/>
      <c r="AO5356" s="14"/>
      <c r="AP5356" s="14"/>
      <c r="AQ5356" s="14"/>
      <c r="AR5356" s="14"/>
      <c r="AS5356" s="14"/>
      <c r="AT5356" s="14"/>
      <c r="AU5356" s="14"/>
      <c r="AV5356" s="14"/>
      <c r="AW5356" s="15">
        <f t="shared" si="799"/>
        <v>0</v>
      </c>
      <c r="AX5356" s="16"/>
    </row>
    <row r="5357" spans="2:50" x14ac:dyDescent="0.2">
      <c r="B5357" s="7"/>
      <c r="C5357" s="8">
        <v>15544</v>
      </c>
      <c r="D5357" s="9" t="s">
        <v>331</v>
      </c>
      <c r="E5357" s="10" t="str">
        <f t="shared" si="794"/>
        <v>Rancho Recoveco No. 197</v>
      </c>
      <c r="F5357" s="10" t="str">
        <f t="shared" si="795"/>
        <v>Colín González</v>
      </c>
      <c r="G5357" s="8">
        <v>1</v>
      </c>
      <c r="H5357" s="11">
        <v>800</v>
      </c>
      <c r="I5357" s="12">
        <v>43079</v>
      </c>
      <c r="J5357" s="35">
        <f t="shared" si="796"/>
        <v>0</v>
      </c>
      <c r="K5357" s="36"/>
      <c r="L5357" s="36"/>
      <c r="M5357" s="36"/>
      <c r="N5357" s="36"/>
      <c r="O5357" s="36"/>
      <c r="P5357" s="36"/>
      <c r="Q5357" s="36"/>
      <c r="R5357" s="36"/>
      <c r="S5357" s="36"/>
      <c r="T5357" s="36"/>
      <c r="U5357" s="36"/>
      <c r="V5357" s="36"/>
      <c r="W5357" s="15">
        <f t="shared" si="797"/>
        <v>0</v>
      </c>
      <c r="X5357" s="36"/>
      <c r="Y5357" s="36"/>
      <c r="Z5357" s="36"/>
      <c r="AA5357" s="36"/>
      <c r="AB5357" s="36"/>
      <c r="AC5357" s="36"/>
      <c r="AD5357" s="36"/>
      <c r="AE5357" s="36"/>
      <c r="AF5357" s="36"/>
      <c r="AG5357" s="36"/>
      <c r="AH5357" s="36"/>
      <c r="AI5357" s="36">
        <v>400</v>
      </c>
      <c r="AJ5357" s="15">
        <f t="shared" si="798"/>
        <v>400</v>
      </c>
      <c r="AK5357" s="14">
        <v>400</v>
      </c>
      <c r="AL5357" s="14"/>
      <c r="AM5357" s="14"/>
      <c r="AN5357" s="14"/>
      <c r="AO5357" s="14"/>
      <c r="AP5357" s="14"/>
      <c r="AQ5357" s="14"/>
      <c r="AR5357" s="14"/>
      <c r="AS5357" s="14"/>
      <c r="AT5357" s="14"/>
      <c r="AU5357" s="14"/>
      <c r="AV5357" s="14"/>
      <c r="AW5357" s="15">
        <f t="shared" si="799"/>
        <v>400</v>
      </c>
      <c r="AX5357" s="16"/>
    </row>
    <row r="5358" spans="2:50" x14ac:dyDescent="0.2">
      <c r="B5358" s="7"/>
      <c r="C5358" s="8">
        <v>15545</v>
      </c>
      <c r="D5358" s="9" t="s">
        <v>349</v>
      </c>
      <c r="E5358" s="10" t="str">
        <f t="shared" si="794"/>
        <v>Rancho La Cuchilla No. 15</v>
      </c>
      <c r="F5358" s="10" t="str">
        <f t="shared" si="795"/>
        <v>Guerrero Ponce</v>
      </c>
      <c r="G5358" s="8">
        <v>1</v>
      </c>
      <c r="H5358" s="11">
        <v>600</v>
      </c>
      <c r="I5358" s="12">
        <v>43079</v>
      </c>
      <c r="J5358" s="35">
        <f t="shared" si="796"/>
        <v>0</v>
      </c>
      <c r="K5358" s="36"/>
      <c r="L5358" s="36"/>
      <c r="M5358" s="36"/>
      <c r="N5358" s="36"/>
      <c r="O5358" s="36"/>
      <c r="P5358" s="36"/>
      <c r="Q5358" s="36"/>
      <c r="R5358" s="36"/>
      <c r="S5358" s="36"/>
      <c r="T5358" s="36"/>
      <c r="U5358" s="36"/>
      <c r="V5358" s="36"/>
      <c r="W5358" s="15">
        <f t="shared" si="797"/>
        <v>0</v>
      </c>
      <c r="X5358" s="36"/>
      <c r="Y5358" s="36"/>
      <c r="Z5358" s="36"/>
      <c r="AA5358" s="36"/>
      <c r="AB5358" s="36"/>
      <c r="AC5358" s="36"/>
      <c r="AD5358" s="36"/>
      <c r="AE5358" s="36"/>
      <c r="AF5358" s="36"/>
      <c r="AG5358" s="36">
        <v>300</v>
      </c>
      <c r="AH5358" s="36">
        <v>300</v>
      </c>
      <c r="AI5358" s="36"/>
      <c r="AJ5358" s="15">
        <f t="shared" si="798"/>
        <v>600</v>
      </c>
      <c r="AK5358" s="14"/>
      <c r="AL5358" s="14"/>
      <c r="AM5358" s="14"/>
      <c r="AN5358" s="14"/>
      <c r="AO5358" s="14"/>
      <c r="AP5358" s="14"/>
      <c r="AQ5358" s="14"/>
      <c r="AR5358" s="14"/>
      <c r="AS5358" s="14"/>
      <c r="AT5358" s="14"/>
      <c r="AU5358" s="14"/>
      <c r="AV5358" s="14"/>
      <c r="AW5358" s="15">
        <f t="shared" si="799"/>
        <v>0</v>
      </c>
      <c r="AX5358" s="16"/>
    </row>
    <row r="5359" spans="2:50" x14ac:dyDescent="0.2">
      <c r="B5359" s="7"/>
      <c r="C5359" s="8">
        <v>15546</v>
      </c>
      <c r="D5359" s="9" t="s">
        <v>346</v>
      </c>
      <c r="E5359" s="10" t="str">
        <f t="shared" si="794"/>
        <v>Rancho Upácuaro No. 108</v>
      </c>
      <c r="F5359" s="10" t="str">
        <f t="shared" si="795"/>
        <v>Mejía</v>
      </c>
      <c r="G5359" s="8">
        <v>1</v>
      </c>
      <c r="H5359" s="11">
        <v>300</v>
      </c>
      <c r="I5359" s="12">
        <v>43079</v>
      </c>
      <c r="J5359" s="35">
        <f t="shared" si="796"/>
        <v>0</v>
      </c>
      <c r="K5359" s="36"/>
      <c r="L5359" s="36"/>
      <c r="M5359" s="36"/>
      <c r="N5359" s="36"/>
      <c r="O5359" s="36"/>
      <c r="P5359" s="36"/>
      <c r="Q5359" s="36"/>
      <c r="R5359" s="36"/>
      <c r="S5359" s="36"/>
      <c r="T5359" s="36"/>
      <c r="U5359" s="36"/>
      <c r="V5359" s="36"/>
      <c r="W5359" s="15">
        <f t="shared" si="797"/>
        <v>0</v>
      </c>
      <c r="X5359" s="36"/>
      <c r="Y5359" s="36"/>
      <c r="Z5359" s="36"/>
      <c r="AA5359" s="36"/>
      <c r="AB5359" s="36"/>
      <c r="AC5359" s="36"/>
      <c r="AD5359" s="36"/>
      <c r="AE5359" s="36"/>
      <c r="AF5359" s="36"/>
      <c r="AG5359" s="36"/>
      <c r="AH5359" s="36"/>
      <c r="AI5359" s="36">
        <v>300</v>
      </c>
      <c r="AJ5359" s="15">
        <f t="shared" si="798"/>
        <v>300</v>
      </c>
      <c r="AK5359" s="14"/>
      <c r="AL5359" s="14"/>
      <c r="AM5359" s="14"/>
      <c r="AN5359" s="14"/>
      <c r="AO5359" s="14"/>
      <c r="AP5359" s="14"/>
      <c r="AQ5359" s="14"/>
      <c r="AR5359" s="14"/>
      <c r="AS5359" s="14"/>
      <c r="AT5359" s="14"/>
      <c r="AU5359" s="14"/>
      <c r="AV5359" s="14"/>
      <c r="AW5359" s="15">
        <f t="shared" si="799"/>
        <v>0</v>
      </c>
      <c r="AX5359" s="16"/>
    </row>
    <row r="5360" spans="2:50" x14ac:dyDescent="0.2">
      <c r="B5360" s="7"/>
      <c r="C5360" s="8">
        <v>15547</v>
      </c>
      <c r="D5360" s="9" t="s">
        <v>950</v>
      </c>
      <c r="E5360" s="10" t="str">
        <f t="shared" si="794"/>
        <v>Rancho La Cuchilla No. 93</v>
      </c>
      <c r="F5360" s="10" t="str">
        <f t="shared" si="795"/>
        <v>Alcántara Silva</v>
      </c>
      <c r="G5360" s="8">
        <v>1</v>
      </c>
      <c r="H5360" s="11">
        <v>2000</v>
      </c>
      <c r="I5360" s="12">
        <v>43079</v>
      </c>
      <c r="J5360" s="35">
        <f t="shared" si="796"/>
        <v>0</v>
      </c>
      <c r="K5360" s="36"/>
      <c r="L5360" s="36"/>
      <c r="M5360" s="36"/>
      <c r="N5360" s="36"/>
      <c r="O5360" s="36"/>
      <c r="P5360" s="36"/>
      <c r="Q5360" s="36"/>
      <c r="R5360" s="36"/>
      <c r="S5360" s="36"/>
      <c r="T5360" s="36"/>
      <c r="U5360" s="36"/>
      <c r="V5360" s="36"/>
      <c r="W5360" s="15">
        <f t="shared" si="797"/>
        <v>0</v>
      </c>
      <c r="X5360" s="36"/>
      <c r="Y5360" s="36"/>
      <c r="Z5360" s="36"/>
      <c r="AA5360" s="36"/>
      <c r="AB5360" s="36"/>
      <c r="AC5360" s="36"/>
      <c r="AD5360" s="36"/>
      <c r="AE5360" s="36">
        <v>400</v>
      </c>
      <c r="AF5360" s="36">
        <v>400</v>
      </c>
      <c r="AG5360" s="36">
        <v>400</v>
      </c>
      <c r="AH5360" s="36">
        <v>400</v>
      </c>
      <c r="AI5360" s="36">
        <v>400</v>
      </c>
      <c r="AJ5360" s="15">
        <f t="shared" si="798"/>
        <v>2000</v>
      </c>
      <c r="AK5360" s="14"/>
      <c r="AL5360" s="14"/>
      <c r="AM5360" s="14"/>
      <c r="AN5360" s="14"/>
      <c r="AO5360" s="14"/>
      <c r="AP5360" s="14"/>
      <c r="AQ5360" s="14"/>
      <c r="AR5360" s="14"/>
      <c r="AS5360" s="14"/>
      <c r="AT5360" s="14"/>
      <c r="AU5360" s="14"/>
      <c r="AV5360" s="14"/>
      <c r="AW5360" s="15">
        <f t="shared" si="799"/>
        <v>0</v>
      </c>
      <c r="AX5360" s="16"/>
    </row>
    <row r="5361" spans="2:50" x14ac:dyDescent="0.2">
      <c r="B5361" s="7"/>
      <c r="C5361" s="8">
        <v>15548</v>
      </c>
      <c r="D5361" s="9" t="s">
        <v>364</v>
      </c>
      <c r="E5361" s="10" t="str">
        <f t="shared" si="794"/>
        <v>Rancho Landero No. 37</v>
      </c>
      <c r="F5361" s="10" t="str">
        <f t="shared" si="795"/>
        <v>Hernández</v>
      </c>
      <c r="G5361" s="8">
        <v>1</v>
      </c>
      <c r="H5361" s="11">
        <v>600</v>
      </c>
      <c r="I5361" s="12">
        <v>43079</v>
      </c>
      <c r="J5361" s="35">
        <f t="shared" si="796"/>
        <v>0</v>
      </c>
      <c r="K5361" s="36"/>
      <c r="L5361" s="36"/>
      <c r="M5361" s="36"/>
      <c r="N5361" s="36"/>
      <c r="O5361" s="36"/>
      <c r="P5361" s="36"/>
      <c r="Q5361" s="36"/>
      <c r="R5361" s="36"/>
      <c r="S5361" s="36"/>
      <c r="T5361" s="36"/>
      <c r="U5361" s="36"/>
      <c r="V5361" s="36"/>
      <c r="W5361" s="15">
        <f t="shared" si="797"/>
        <v>0</v>
      </c>
      <c r="X5361" s="36"/>
      <c r="Y5361" s="36"/>
      <c r="Z5361" s="36"/>
      <c r="AA5361" s="36"/>
      <c r="AB5361" s="36"/>
      <c r="AC5361" s="36"/>
      <c r="AD5361" s="36"/>
      <c r="AE5361" s="36"/>
      <c r="AF5361" s="36"/>
      <c r="AG5361" s="36"/>
      <c r="AH5361" s="36">
        <v>300</v>
      </c>
      <c r="AI5361" s="36">
        <v>300</v>
      </c>
      <c r="AJ5361" s="15">
        <f t="shared" si="798"/>
        <v>600</v>
      </c>
      <c r="AK5361" s="14"/>
      <c r="AL5361" s="14"/>
      <c r="AM5361" s="14"/>
      <c r="AN5361" s="14"/>
      <c r="AO5361" s="14"/>
      <c r="AP5361" s="14"/>
      <c r="AQ5361" s="14"/>
      <c r="AR5361" s="14"/>
      <c r="AS5361" s="14"/>
      <c r="AT5361" s="14"/>
      <c r="AU5361" s="14"/>
      <c r="AV5361" s="14"/>
      <c r="AW5361" s="15">
        <f t="shared" si="799"/>
        <v>0</v>
      </c>
      <c r="AX5361" s="16"/>
    </row>
    <row r="5362" spans="2:50" x14ac:dyDescent="0.2">
      <c r="B5362" s="7"/>
      <c r="C5362" s="8">
        <v>15549</v>
      </c>
      <c r="D5362" s="9" t="s">
        <v>404</v>
      </c>
      <c r="E5362" s="10" t="str">
        <f t="shared" si="794"/>
        <v>Rancho La Cuchilla No. 89</v>
      </c>
      <c r="F5362" s="10" t="str">
        <f t="shared" si="795"/>
        <v>Gálvez</v>
      </c>
      <c r="G5362" s="8">
        <v>1</v>
      </c>
      <c r="H5362" s="11">
        <v>400</v>
      </c>
      <c r="I5362" s="12">
        <v>43079</v>
      </c>
      <c r="J5362" s="35">
        <f t="shared" si="796"/>
        <v>0</v>
      </c>
      <c r="K5362" s="36"/>
      <c r="L5362" s="36"/>
      <c r="M5362" s="36"/>
      <c r="N5362" s="36"/>
      <c r="O5362" s="36"/>
      <c r="P5362" s="36"/>
      <c r="Q5362" s="36"/>
      <c r="R5362" s="36"/>
      <c r="S5362" s="36"/>
      <c r="T5362" s="36"/>
      <c r="U5362" s="36"/>
      <c r="V5362" s="36"/>
      <c r="W5362" s="15">
        <f t="shared" si="797"/>
        <v>0</v>
      </c>
      <c r="X5362" s="36"/>
      <c r="Y5362" s="36"/>
      <c r="Z5362" s="36"/>
      <c r="AA5362" s="36"/>
      <c r="AB5362" s="36"/>
      <c r="AC5362" s="36"/>
      <c r="AD5362" s="36"/>
      <c r="AE5362" s="36"/>
      <c r="AF5362" s="36"/>
      <c r="AG5362" s="36"/>
      <c r="AH5362" s="36"/>
      <c r="AI5362" s="36">
        <v>400</v>
      </c>
      <c r="AJ5362" s="15">
        <f t="shared" si="798"/>
        <v>400</v>
      </c>
      <c r="AK5362" s="14"/>
      <c r="AL5362" s="14"/>
      <c r="AM5362" s="14"/>
      <c r="AN5362" s="14"/>
      <c r="AO5362" s="14"/>
      <c r="AP5362" s="14"/>
      <c r="AQ5362" s="14"/>
      <c r="AR5362" s="14"/>
      <c r="AS5362" s="14"/>
      <c r="AT5362" s="14"/>
      <c r="AU5362" s="14"/>
      <c r="AV5362" s="14"/>
      <c r="AW5362" s="15">
        <f t="shared" si="799"/>
        <v>0</v>
      </c>
      <c r="AX5362" s="16"/>
    </row>
    <row r="5363" spans="2:50" x14ac:dyDescent="0.2">
      <c r="B5363" s="7"/>
      <c r="C5363" s="8">
        <v>15550</v>
      </c>
      <c r="D5363" s="9" t="s">
        <v>3527</v>
      </c>
      <c r="E5363" s="10" t="str">
        <f t="shared" si="794"/>
        <v>Rancho Estopila No. 44_6</v>
      </c>
      <c r="F5363" s="10" t="str">
        <f t="shared" si="795"/>
        <v>González Ramos</v>
      </c>
      <c r="G5363" s="8">
        <v>1</v>
      </c>
      <c r="H5363" s="11">
        <v>400</v>
      </c>
      <c r="I5363" s="12">
        <v>43079</v>
      </c>
      <c r="J5363" s="35">
        <f t="shared" si="796"/>
        <v>0</v>
      </c>
      <c r="K5363" s="36"/>
      <c r="L5363" s="36"/>
      <c r="M5363" s="36"/>
      <c r="N5363" s="36"/>
      <c r="O5363" s="36"/>
      <c r="P5363" s="36"/>
      <c r="Q5363" s="36"/>
      <c r="R5363" s="36"/>
      <c r="S5363" s="36"/>
      <c r="T5363" s="36"/>
      <c r="U5363" s="36"/>
      <c r="V5363" s="36"/>
      <c r="W5363" s="15">
        <f t="shared" si="797"/>
        <v>0</v>
      </c>
      <c r="X5363" s="36"/>
      <c r="Y5363" s="36"/>
      <c r="Z5363" s="36"/>
      <c r="AA5363" s="36"/>
      <c r="AB5363" s="36"/>
      <c r="AC5363" s="36"/>
      <c r="AD5363" s="36"/>
      <c r="AE5363" s="36"/>
      <c r="AF5363" s="36"/>
      <c r="AG5363" s="36"/>
      <c r="AH5363" s="36">
        <v>200</v>
      </c>
      <c r="AI5363" s="36">
        <v>200</v>
      </c>
      <c r="AJ5363" s="15">
        <f t="shared" si="798"/>
        <v>400</v>
      </c>
      <c r="AK5363" s="14"/>
      <c r="AL5363" s="14"/>
      <c r="AM5363" s="14"/>
      <c r="AN5363" s="14"/>
      <c r="AO5363" s="14"/>
      <c r="AP5363" s="14"/>
      <c r="AQ5363" s="14"/>
      <c r="AR5363" s="14"/>
      <c r="AS5363" s="14"/>
      <c r="AT5363" s="14"/>
      <c r="AU5363" s="14"/>
      <c r="AV5363" s="14"/>
      <c r="AW5363" s="15">
        <f t="shared" si="799"/>
        <v>0</v>
      </c>
      <c r="AX5363" s="16"/>
    </row>
    <row r="5364" spans="2:50" x14ac:dyDescent="0.2">
      <c r="B5364" s="7"/>
      <c r="C5364" s="8">
        <v>15551</v>
      </c>
      <c r="D5364" s="9" t="s">
        <v>646</v>
      </c>
      <c r="E5364" s="10" t="str">
        <f t="shared" si="794"/>
        <v>Rancho Landero No. 84</v>
      </c>
      <c r="F5364" s="10" t="str">
        <f t="shared" si="795"/>
        <v>Alcántara</v>
      </c>
      <c r="G5364" s="8">
        <v>1</v>
      </c>
      <c r="H5364" s="11">
        <v>750</v>
      </c>
      <c r="I5364" s="12">
        <v>43079</v>
      </c>
      <c r="J5364" s="35">
        <f t="shared" si="796"/>
        <v>0</v>
      </c>
      <c r="K5364" s="36"/>
      <c r="L5364" s="36"/>
      <c r="M5364" s="36"/>
      <c r="N5364" s="36"/>
      <c r="O5364" s="36"/>
      <c r="P5364" s="36"/>
      <c r="Q5364" s="36"/>
      <c r="R5364" s="36"/>
      <c r="S5364" s="36"/>
      <c r="T5364" s="36"/>
      <c r="U5364" s="36"/>
      <c r="V5364" s="36"/>
      <c r="W5364" s="15">
        <f t="shared" si="797"/>
        <v>0</v>
      </c>
      <c r="X5364" s="36"/>
      <c r="Y5364" s="36"/>
      <c r="Z5364" s="36"/>
      <c r="AA5364" s="36"/>
      <c r="AB5364" s="36"/>
      <c r="AC5364" s="36"/>
      <c r="AD5364" s="36"/>
      <c r="AE5364" s="36"/>
      <c r="AF5364" s="36"/>
      <c r="AG5364" s="36">
        <v>250</v>
      </c>
      <c r="AH5364" s="36">
        <v>250</v>
      </c>
      <c r="AI5364" s="36">
        <v>250</v>
      </c>
      <c r="AJ5364" s="15">
        <f t="shared" si="798"/>
        <v>750</v>
      </c>
      <c r="AK5364" s="14"/>
      <c r="AL5364" s="14"/>
      <c r="AM5364" s="14"/>
      <c r="AN5364" s="14"/>
      <c r="AO5364" s="14"/>
      <c r="AP5364" s="14"/>
      <c r="AQ5364" s="14"/>
      <c r="AR5364" s="14"/>
      <c r="AS5364" s="14"/>
      <c r="AT5364" s="14"/>
      <c r="AU5364" s="14"/>
      <c r="AV5364" s="14"/>
      <c r="AW5364" s="15">
        <f t="shared" si="799"/>
        <v>0</v>
      </c>
      <c r="AX5364" s="16"/>
    </row>
    <row r="5365" spans="2:50" x14ac:dyDescent="0.2">
      <c r="B5365" s="7"/>
      <c r="C5365" s="8">
        <v>15552</v>
      </c>
      <c r="D5365" s="9" t="s">
        <v>226</v>
      </c>
      <c r="E5365" s="10" t="str">
        <f t="shared" ref="E5365:E5381" si="800">IF(D5365=0,"",VLOOKUP(D5365,BASE,2,FALSE))</f>
        <v>Rancho Landero No. 31</v>
      </c>
      <c r="F5365" s="10" t="str">
        <f t="shared" ref="F5365:F5381" si="801">IF(D5365=0,"",VLOOKUP(D5365,BASE,3,FALSE))</f>
        <v>Díaz Hernández</v>
      </c>
      <c r="G5365" s="8">
        <v>1</v>
      </c>
      <c r="H5365" s="11">
        <v>200</v>
      </c>
      <c r="I5365" s="12">
        <v>43079</v>
      </c>
      <c r="J5365" s="35">
        <f t="shared" ref="J5365:J5381" si="802">IF(G5365=1,SUM(W5365,AJ5365,AW5365,-H5365),0)</f>
        <v>0</v>
      </c>
      <c r="K5365" s="36"/>
      <c r="L5365" s="36"/>
      <c r="M5365" s="36"/>
      <c r="N5365" s="36"/>
      <c r="O5365" s="36"/>
      <c r="P5365" s="36"/>
      <c r="Q5365" s="36"/>
      <c r="R5365" s="36"/>
      <c r="S5365" s="36"/>
      <c r="T5365" s="36"/>
      <c r="U5365" s="36"/>
      <c r="V5365" s="36"/>
      <c r="W5365" s="15">
        <f t="shared" ref="W5365:W5381" si="803">SUM(K5365:V5365)</f>
        <v>0</v>
      </c>
      <c r="X5365" s="36"/>
      <c r="Y5365" s="36"/>
      <c r="Z5365" s="36"/>
      <c r="AA5365" s="36"/>
      <c r="AB5365" s="36"/>
      <c r="AC5365" s="36"/>
      <c r="AD5365" s="36"/>
      <c r="AE5365" s="36"/>
      <c r="AF5365" s="36"/>
      <c r="AG5365" s="36"/>
      <c r="AH5365" s="36"/>
      <c r="AI5365" s="36">
        <v>200</v>
      </c>
      <c r="AJ5365" s="15">
        <f t="shared" ref="AJ5365:AJ5381" si="804">SUM(X5365:AI5365)</f>
        <v>200</v>
      </c>
      <c r="AK5365" s="14"/>
      <c r="AL5365" s="14"/>
      <c r="AM5365" s="14"/>
      <c r="AN5365" s="14"/>
      <c r="AO5365" s="14"/>
      <c r="AP5365" s="14"/>
      <c r="AQ5365" s="14"/>
      <c r="AR5365" s="14"/>
      <c r="AS5365" s="14"/>
      <c r="AT5365" s="14"/>
      <c r="AU5365" s="14"/>
      <c r="AV5365" s="14"/>
      <c r="AW5365" s="15">
        <f t="shared" ref="AW5365:AW5381" si="805">SUM(AK5365:AV5365)</f>
        <v>0</v>
      </c>
      <c r="AX5365" s="16"/>
    </row>
    <row r="5366" spans="2:50" x14ac:dyDescent="0.2">
      <c r="B5366" s="7"/>
      <c r="C5366" s="8">
        <v>15553</v>
      </c>
      <c r="D5366" s="9" t="s">
        <v>437</v>
      </c>
      <c r="E5366" s="10" t="str">
        <f t="shared" si="800"/>
        <v>Rancho Upácuaro No. 47</v>
      </c>
      <c r="F5366" s="10" t="str">
        <f t="shared" si="801"/>
        <v>Flores Muñoz</v>
      </c>
      <c r="G5366" s="8">
        <v>1</v>
      </c>
      <c r="H5366" s="11">
        <v>400</v>
      </c>
      <c r="I5366" s="12">
        <v>43079</v>
      </c>
      <c r="J5366" s="35">
        <f t="shared" si="802"/>
        <v>0</v>
      </c>
      <c r="K5366" s="36"/>
      <c r="L5366" s="36"/>
      <c r="M5366" s="36"/>
      <c r="N5366" s="36"/>
      <c r="O5366" s="36"/>
      <c r="P5366" s="36"/>
      <c r="Q5366" s="36"/>
      <c r="R5366" s="36"/>
      <c r="S5366" s="36"/>
      <c r="T5366" s="36"/>
      <c r="U5366" s="36"/>
      <c r="V5366" s="36"/>
      <c r="W5366" s="15">
        <f t="shared" si="803"/>
        <v>0</v>
      </c>
      <c r="X5366" s="36"/>
      <c r="Y5366" s="36"/>
      <c r="Z5366" s="36"/>
      <c r="AA5366" s="36"/>
      <c r="AB5366" s="36"/>
      <c r="AC5366" s="36"/>
      <c r="AD5366" s="36"/>
      <c r="AE5366" s="36"/>
      <c r="AF5366" s="36"/>
      <c r="AG5366" s="36"/>
      <c r="AH5366" s="36"/>
      <c r="AI5366" s="36">
        <v>400</v>
      </c>
      <c r="AJ5366" s="15">
        <f t="shared" si="804"/>
        <v>400</v>
      </c>
      <c r="AK5366" s="14"/>
      <c r="AL5366" s="14"/>
      <c r="AM5366" s="14"/>
      <c r="AN5366" s="14"/>
      <c r="AO5366" s="14"/>
      <c r="AP5366" s="14"/>
      <c r="AQ5366" s="14"/>
      <c r="AR5366" s="14"/>
      <c r="AS5366" s="14"/>
      <c r="AT5366" s="14"/>
      <c r="AU5366" s="14"/>
      <c r="AV5366" s="14"/>
      <c r="AW5366" s="15">
        <f t="shared" si="805"/>
        <v>0</v>
      </c>
      <c r="AX5366" s="16"/>
    </row>
    <row r="5367" spans="2:50" x14ac:dyDescent="0.2">
      <c r="B5367" s="7"/>
      <c r="C5367" s="8">
        <v>15554</v>
      </c>
      <c r="D5367" s="9" t="s">
        <v>74</v>
      </c>
      <c r="E5367" s="10" t="str">
        <f t="shared" si="800"/>
        <v>Rancho Estanzuela No. 9, B</v>
      </c>
      <c r="F5367" s="10" t="str">
        <f t="shared" si="801"/>
        <v>Velasco Rojas</v>
      </c>
      <c r="G5367" s="8">
        <v>1</v>
      </c>
      <c r="H5367" s="11">
        <v>2200</v>
      </c>
      <c r="I5367" s="12">
        <v>43079</v>
      </c>
      <c r="J5367" s="35">
        <f t="shared" si="802"/>
        <v>0</v>
      </c>
      <c r="K5367" s="36"/>
      <c r="L5367" s="36"/>
      <c r="M5367" s="36"/>
      <c r="N5367" s="36"/>
      <c r="O5367" s="36"/>
      <c r="P5367" s="36"/>
      <c r="Q5367" s="36"/>
      <c r="R5367" s="36"/>
      <c r="S5367" s="36"/>
      <c r="T5367" s="36"/>
      <c r="U5367" s="36"/>
      <c r="V5367" s="36"/>
      <c r="W5367" s="15">
        <f t="shared" si="803"/>
        <v>0</v>
      </c>
      <c r="X5367" s="36"/>
      <c r="Y5367" s="36"/>
      <c r="Z5367" s="36"/>
      <c r="AA5367" s="36"/>
      <c r="AB5367" s="36"/>
      <c r="AC5367" s="36"/>
      <c r="AD5367" s="36"/>
      <c r="AE5367" s="36"/>
      <c r="AF5367" s="36"/>
      <c r="AG5367" s="36"/>
      <c r="AH5367" s="36"/>
      <c r="AI5367" s="36"/>
      <c r="AJ5367" s="15">
        <f t="shared" si="804"/>
        <v>0</v>
      </c>
      <c r="AK5367" s="14">
        <v>200</v>
      </c>
      <c r="AL5367" s="14">
        <v>200</v>
      </c>
      <c r="AM5367" s="14">
        <v>200</v>
      </c>
      <c r="AN5367" s="14">
        <v>200</v>
      </c>
      <c r="AO5367" s="14">
        <v>200</v>
      </c>
      <c r="AP5367" s="14">
        <v>200</v>
      </c>
      <c r="AQ5367" s="14">
        <v>200</v>
      </c>
      <c r="AR5367" s="14">
        <v>200</v>
      </c>
      <c r="AS5367" s="14">
        <v>200</v>
      </c>
      <c r="AT5367" s="14">
        <v>200</v>
      </c>
      <c r="AU5367" s="14">
        <v>200</v>
      </c>
      <c r="AV5367" s="14"/>
      <c r="AW5367" s="15">
        <f t="shared" si="805"/>
        <v>2200</v>
      </c>
      <c r="AX5367" s="16" t="s">
        <v>4431</v>
      </c>
    </row>
    <row r="5368" spans="2:50" x14ac:dyDescent="0.2">
      <c r="B5368" s="7"/>
      <c r="C5368" s="8">
        <v>15555</v>
      </c>
      <c r="D5368" s="9" t="s">
        <v>1198</v>
      </c>
      <c r="E5368" s="10" t="str">
        <f t="shared" si="800"/>
        <v>Rancho Upácuaro No. 95</v>
      </c>
      <c r="F5368" s="10" t="str">
        <f t="shared" si="801"/>
        <v>Flores</v>
      </c>
      <c r="G5368" s="8">
        <v>1</v>
      </c>
      <c r="H5368" s="11">
        <v>800</v>
      </c>
      <c r="I5368" s="12">
        <v>43079</v>
      </c>
      <c r="J5368" s="35">
        <f t="shared" si="802"/>
        <v>0</v>
      </c>
      <c r="K5368" s="36"/>
      <c r="L5368" s="36"/>
      <c r="M5368" s="36"/>
      <c r="N5368" s="36"/>
      <c r="O5368" s="36"/>
      <c r="P5368" s="36"/>
      <c r="Q5368" s="36"/>
      <c r="R5368" s="36"/>
      <c r="S5368" s="36"/>
      <c r="T5368" s="36"/>
      <c r="U5368" s="36"/>
      <c r="V5368" s="36"/>
      <c r="W5368" s="15">
        <f t="shared" si="803"/>
        <v>0</v>
      </c>
      <c r="X5368" s="36"/>
      <c r="Y5368" s="36"/>
      <c r="Z5368" s="36"/>
      <c r="AA5368" s="36"/>
      <c r="AB5368" s="36"/>
      <c r="AC5368" s="36"/>
      <c r="AD5368" s="36"/>
      <c r="AE5368" s="36"/>
      <c r="AF5368" s="36"/>
      <c r="AG5368" s="36"/>
      <c r="AH5368" s="36">
        <v>400</v>
      </c>
      <c r="AI5368" s="36">
        <v>400</v>
      </c>
      <c r="AJ5368" s="15">
        <f t="shared" si="804"/>
        <v>800</v>
      </c>
      <c r="AK5368" s="14"/>
      <c r="AL5368" s="14"/>
      <c r="AM5368" s="14"/>
      <c r="AN5368" s="14"/>
      <c r="AO5368" s="14"/>
      <c r="AP5368" s="14"/>
      <c r="AQ5368" s="14"/>
      <c r="AR5368" s="14"/>
      <c r="AS5368" s="14"/>
      <c r="AT5368" s="14"/>
      <c r="AU5368" s="14"/>
      <c r="AV5368" s="14"/>
      <c r="AW5368" s="15">
        <f t="shared" si="805"/>
        <v>0</v>
      </c>
      <c r="AX5368" s="16"/>
    </row>
    <row r="5369" spans="2:50" x14ac:dyDescent="0.2">
      <c r="B5369" s="7"/>
      <c r="C5369" s="8">
        <v>15556</v>
      </c>
      <c r="D5369" s="9" t="s">
        <v>1073</v>
      </c>
      <c r="E5369" s="10" t="str">
        <f t="shared" si="800"/>
        <v>Rancho Upácuaro No. 96</v>
      </c>
      <c r="F5369" s="10" t="str">
        <f t="shared" si="801"/>
        <v>Daza Gutiérrez</v>
      </c>
      <c r="G5369" s="8">
        <v>1</v>
      </c>
      <c r="H5369" s="11">
        <v>2000</v>
      </c>
      <c r="I5369" s="12">
        <v>43079</v>
      </c>
      <c r="J5369" s="35">
        <f t="shared" si="802"/>
        <v>0</v>
      </c>
      <c r="K5369" s="36"/>
      <c r="L5369" s="36"/>
      <c r="M5369" s="36"/>
      <c r="N5369" s="36"/>
      <c r="O5369" s="36"/>
      <c r="P5369" s="36"/>
      <c r="Q5369" s="36"/>
      <c r="R5369" s="36"/>
      <c r="S5369" s="36"/>
      <c r="T5369" s="36"/>
      <c r="U5369" s="36"/>
      <c r="V5369" s="36"/>
      <c r="W5369" s="15">
        <f t="shared" si="803"/>
        <v>0</v>
      </c>
      <c r="X5369" s="36"/>
      <c r="Y5369" s="36"/>
      <c r="Z5369" s="36"/>
      <c r="AA5369" s="36"/>
      <c r="AB5369" s="36"/>
      <c r="AC5369" s="36"/>
      <c r="AD5369" s="36"/>
      <c r="AE5369" s="36">
        <v>400</v>
      </c>
      <c r="AF5369" s="36">
        <v>400</v>
      </c>
      <c r="AG5369" s="36">
        <v>400</v>
      </c>
      <c r="AH5369" s="36">
        <v>400</v>
      </c>
      <c r="AI5369" s="36">
        <v>400</v>
      </c>
      <c r="AJ5369" s="15">
        <f t="shared" si="804"/>
        <v>2000</v>
      </c>
      <c r="AK5369" s="14"/>
      <c r="AL5369" s="14"/>
      <c r="AM5369" s="14"/>
      <c r="AN5369" s="14"/>
      <c r="AO5369" s="14"/>
      <c r="AP5369" s="14"/>
      <c r="AQ5369" s="14"/>
      <c r="AR5369" s="14"/>
      <c r="AS5369" s="14"/>
      <c r="AT5369" s="14"/>
      <c r="AU5369" s="14"/>
      <c r="AV5369" s="14"/>
      <c r="AW5369" s="15">
        <f t="shared" si="805"/>
        <v>0</v>
      </c>
      <c r="AX5369" s="16"/>
    </row>
    <row r="5370" spans="2:50" x14ac:dyDescent="0.2">
      <c r="B5370" s="7"/>
      <c r="C5370" s="8">
        <v>15557</v>
      </c>
      <c r="D5370" s="9" t="s">
        <v>159</v>
      </c>
      <c r="E5370" s="10" t="str">
        <f t="shared" si="800"/>
        <v>Rancho Zinamba No. 24</v>
      </c>
      <c r="F5370" s="10" t="str">
        <f t="shared" si="801"/>
        <v>Monroy García</v>
      </c>
      <c r="G5370" s="8">
        <v>1</v>
      </c>
      <c r="H5370" s="11">
        <v>400</v>
      </c>
      <c r="I5370" s="12">
        <v>43079</v>
      </c>
      <c r="J5370" s="35">
        <f t="shared" si="802"/>
        <v>0</v>
      </c>
      <c r="K5370" s="36"/>
      <c r="L5370" s="36"/>
      <c r="M5370" s="36"/>
      <c r="N5370" s="36"/>
      <c r="O5370" s="36"/>
      <c r="P5370" s="36"/>
      <c r="Q5370" s="36"/>
      <c r="R5370" s="36"/>
      <c r="S5370" s="36"/>
      <c r="T5370" s="36"/>
      <c r="U5370" s="36"/>
      <c r="V5370" s="36"/>
      <c r="W5370" s="15">
        <f t="shared" si="803"/>
        <v>0</v>
      </c>
      <c r="X5370" s="36"/>
      <c r="Y5370" s="36"/>
      <c r="Z5370" s="36"/>
      <c r="AA5370" s="36"/>
      <c r="AB5370" s="36"/>
      <c r="AC5370" s="36"/>
      <c r="AD5370" s="36"/>
      <c r="AE5370" s="36"/>
      <c r="AF5370" s="36"/>
      <c r="AG5370" s="36"/>
      <c r="AH5370" s="36"/>
      <c r="AI5370" s="36">
        <v>400</v>
      </c>
      <c r="AJ5370" s="15">
        <f t="shared" si="804"/>
        <v>400</v>
      </c>
      <c r="AK5370" s="14"/>
      <c r="AL5370" s="14"/>
      <c r="AM5370" s="14"/>
      <c r="AN5370" s="14"/>
      <c r="AO5370" s="14"/>
      <c r="AP5370" s="14"/>
      <c r="AQ5370" s="14"/>
      <c r="AR5370" s="14"/>
      <c r="AS5370" s="14"/>
      <c r="AT5370" s="14"/>
      <c r="AU5370" s="14"/>
      <c r="AV5370" s="14"/>
      <c r="AW5370" s="15">
        <f t="shared" si="805"/>
        <v>0</v>
      </c>
      <c r="AX5370" s="16"/>
    </row>
    <row r="5371" spans="2:50" x14ac:dyDescent="0.2">
      <c r="B5371" s="7"/>
      <c r="C5371" s="8">
        <v>15558</v>
      </c>
      <c r="D5371" s="9" t="s">
        <v>328</v>
      </c>
      <c r="E5371" s="10" t="str">
        <f t="shared" si="800"/>
        <v>Rancho La Cuchilla No. 130</v>
      </c>
      <c r="F5371" s="10" t="str">
        <f t="shared" si="801"/>
        <v>Gonzalez</v>
      </c>
      <c r="G5371" s="8">
        <v>1</v>
      </c>
      <c r="H5371" s="11">
        <v>400</v>
      </c>
      <c r="I5371" s="12">
        <v>43079</v>
      </c>
      <c r="J5371" s="35">
        <f t="shared" si="802"/>
        <v>0</v>
      </c>
      <c r="K5371" s="36"/>
      <c r="L5371" s="36"/>
      <c r="M5371" s="36"/>
      <c r="N5371" s="36"/>
      <c r="O5371" s="36"/>
      <c r="P5371" s="36"/>
      <c r="Q5371" s="36"/>
      <c r="R5371" s="36"/>
      <c r="S5371" s="36"/>
      <c r="T5371" s="36"/>
      <c r="U5371" s="36"/>
      <c r="V5371" s="36"/>
      <c r="W5371" s="15">
        <f t="shared" si="803"/>
        <v>0</v>
      </c>
      <c r="X5371" s="36"/>
      <c r="Y5371" s="36"/>
      <c r="Z5371" s="36"/>
      <c r="AA5371" s="36"/>
      <c r="AB5371" s="36"/>
      <c r="AC5371" s="36"/>
      <c r="AD5371" s="36"/>
      <c r="AE5371" s="36"/>
      <c r="AF5371" s="36"/>
      <c r="AG5371" s="36"/>
      <c r="AH5371" s="36"/>
      <c r="AI5371" s="36">
        <v>400</v>
      </c>
      <c r="AJ5371" s="15">
        <f t="shared" si="804"/>
        <v>400</v>
      </c>
      <c r="AK5371" s="14"/>
      <c r="AL5371" s="14"/>
      <c r="AM5371" s="14"/>
      <c r="AN5371" s="14"/>
      <c r="AO5371" s="14"/>
      <c r="AP5371" s="14"/>
      <c r="AQ5371" s="14"/>
      <c r="AR5371" s="14"/>
      <c r="AS5371" s="14"/>
      <c r="AT5371" s="14"/>
      <c r="AU5371" s="14"/>
      <c r="AV5371" s="14"/>
      <c r="AW5371" s="15">
        <f t="shared" si="805"/>
        <v>0</v>
      </c>
      <c r="AX5371" s="16"/>
    </row>
    <row r="5372" spans="2:50" x14ac:dyDescent="0.2">
      <c r="B5372" s="7"/>
      <c r="C5372" s="8">
        <v>15559</v>
      </c>
      <c r="D5372" s="9" t="s">
        <v>328</v>
      </c>
      <c r="E5372" s="10" t="str">
        <f t="shared" si="800"/>
        <v>Rancho La Cuchilla No. 130</v>
      </c>
      <c r="F5372" s="10" t="str">
        <f t="shared" si="801"/>
        <v>Gonzalez</v>
      </c>
      <c r="G5372" s="8">
        <v>5</v>
      </c>
      <c r="H5372" s="11">
        <v>50</v>
      </c>
      <c r="I5372" s="12">
        <v>43079</v>
      </c>
      <c r="J5372" s="35">
        <f t="shared" si="802"/>
        <v>0</v>
      </c>
      <c r="K5372" s="36"/>
      <c r="L5372" s="36"/>
      <c r="M5372" s="36"/>
      <c r="N5372" s="36"/>
      <c r="O5372" s="36"/>
      <c r="P5372" s="36"/>
      <c r="Q5372" s="36"/>
      <c r="R5372" s="36"/>
      <c r="S5372" s="36"/>
      <c r="T5372" s="36"/>
      <c r="U5372" s="36"/>
      <c r="V5372" s="36"/>
      <c r="W5372" s="15">
        <f t="shared" si="803"/>
        <v>0</v>
      </c>
      <c r="X5372" s="36"/>
      <c r="Y5372" s="36"/>
      <c r="Z5372" s="36"/>
      <c r="AA5372" s="36"/>
      <c r="AB5372" s="36"/>
      <c r="AC5372" s="36"/>
      <c r="AD5372" s="36"/>
      <c r="AE5372" s="36"/>
      <c r="AF5372" s="36"/>
      <c r="AG5372" s="36"/>
      <c r="AH5372" s="36"/>
      <c r="AI5372" s="36"/>
      <c r="AJ5372" s="15">
        <f t="shared" si="804"/>
        <v>0</v>
      </c>
      <c r="AK5372" s="14"/>
      <c r="AL5372" s="14"/>
      <c r="AM5372" s="14"/>
      <c r="AN5372" s="14"/>
      <c r="AO5372" s="14"/>
      <c r="AP5372" s="14"/>
      <c r="AQ5372" s="14"/>
      <c r="AR5372" s="14"/>
      <c r="AS5372" s="14"/>
      <c r="AT5372" s="14"/>
      <c r="AU5372" s="14"/>
      <c r="AV5372" s="14"/>
      <c r="AW5372" s="15">
        <f t="shared" si="805"/>
        <v>0</v>
      </c>
      <c r="AX5372" s="16"/>
    </row>
    <row r="5373" spans="2:50" x14ac:dyDescent="0.2">
      <c r="B5373" s="7"/>
      <c r="C5373" s="8">
        <v>15560</v>
      </c>
      <c r="D5373" s="9" t="s">
        <v>497</v>
      </c>
      <c r="E5373" s="10" t="str">
        <f t="shared" si="800"/>
        <v>Rancho La Cuchilla No. 94</v>
      </c>
      <c r="F5373" s="10" t="str">
        <f t="shared" si="801"/>
        <v>Sánchez Márquez</v>
      </c>
      <c r="G5373" s="8">
        <v>1</v>
      </c>
      <c r="H5373" s="11">
        <v>800</v>
      </c>
      <c r="I5373" s="12">
        <v>43079</v>
      </c>
      <c r="J5373" s="35">
        <f t="shared" si="802"/>
        <v>0</v>
      </c>
      <c r="K5373" s="36"/>
      <c r="L5373" s="36"/>
      <c r="M5373" s="36"/>
      <c r="N5373" s="36"/>
      <c r="O5373" s="36"/>
      <c r="P5373" s="36"/>
      <c r="Q5373" s="36"/>
      <c r="R5373" s="36"/>
      <c r="S5373" s="36"/>
      <c r="T5373" s="36"/>
      <c r="U5373" s="36"/>
      <c r="V5373" s="36"/>
      <c r="W5373" s="15">
        <f t="shared" si="803"/>
        <v>0</v>
      </c>
      <c r="X5373" s="36"/>
      <c r="Y5373" s="36"/>
      <c r="Z5373" s="36"/>
      <c r="AA5373" s="36"/>
      <c r="AB5373" s="36"/>
      <c r="AC5373" s="36"/>
      <c r="AD5373" s="36"/>
      <c r="AE5373" s="36"/>
      <c r="AF5373" s="36"/>
      <c r="AG5373" s="36"/>
      <c r="AH5373" s="36"/>
      <c r="AI5373" s="36">
        <v>400</v>
      </c>
      <c r="AJ5373" s="15">
        <f t="shared" si="804"/>
        <v>400</v>
      </c>
      <c r="AK5373" s="14">
        <v>400</v>
      </c>
      <c r="AL5373" s="14"/>
      <c r="AM5373" s="14"/>
      <c r="AN5373" s="14"/>
      <c r="AO5373" s="14"/>
      <c r="AP5373" s="14"/>
      <c r="AQ5373" s="14"/>
      <c r="AR5373" s="14"/>
      <c r="AS5373" s="14"/>
      <c r="AT5373" s="14"/>
      <c r="AU5373" s="14"/>
      <c r="AV5373" s="14"/>
      <c r="AW5373" s="15">
        <f t="shared" si="805"/>
        <v>400</v>
      </c>
      <c r="AX5373" s="16"/>
    </row>
    <row r="5374" spans="2:50" x14ac:dyDescent="0.2">
      <c r="B5374" s="7"/>
      <c r="C5374" s="8">
        <v>15561</v>
      </c>
      <c r="D5374" s="9" t="s">
        <v>109</v>
      </c>
      <c r="E5374" s="10" t="str">
        <f t="shared" si="800"/>
        <v>Rancho Estanzuela No. 31</v>
      </c>
      <c r="F5374" s="10" t="str">
        <f t="shared" si="801"/>
        <v>Chávez Valdés</v>
      </c>
      <c r="G5374" s="8">
        <v>1</v>
      </c>
      <c r="H5374" s="11">
        <v>400</v>
      </c>
      <c r="I5374" s="12">
        <v>43079</v>
      </c>
      <c r="J5374" s="35">
        <f t="shared" si="802"/>
        <v>0</v>
      </c>
      <c r="K5374" s="36"/>
      <c r="L5374" s="36"/>
      <c r="M5374" s="36"/>
      <c r="N5374" s="36"/>
      <c r="O5374" s="36"/>
      <c r="P5374" s="36"/>
      <c r="Q5374" s="36"/>
      <c r="R5374" s="36"/>
      <c r="S5374" s="36"/>
      <c r="T5374" s="36"/>
      <c r="U5374" s="36"/>
      <c r="V5374" s="36"/>
      <c r="W5374" s="15">
        <f t="shared" si="803"/>
        <v>0</v>
      </c>
      <c r="X5374" s="36"/>
      <c r="Y5374" s="36"/>
      <c r="Z5374" s="36"/>
      <c r="AA5374" s="36"/>
      <c r="AB5374" s="36"/>
      <c r="AC5374" s="36"/>
      <c r="AD5374" s="36"/>
      <c r="AE5374" s="36"/>
      <c r="AF5374" s="36"/>
      <c r="AG5374" s="36"/>
      <c r="AH5374" s="36">
        <v>400</v>
      </c>
      <c r="AI5374" s="36"/>
      <c r="AJ5374" s="15">
        <f t="shared" si="804"/>
        <v>400</v>
      </c>
      <c r="AK5374" s="14"/>
      <c r="AL5374" s="14"/>
      <c r="AM5374" s="14"/>
      <c r="AN5374" s="14"/>
      <c r="AO5374" s="14"/>
      <c r="AP5374" s="14"/>
      <c r="AQ5374" s="14"/>
      <c r="AR5374" s="14"/>
      <c r="AS5374" s="14"/>
      <c r="AT5374" s="14"/>
      <c r="AU5374" s="14"/>
      <c r="AV5374" s="14"/>
      <c r="AW5374" s="15">
        <f t="shared" si="805"/>
        <v>0</v>
      </c>
      <c r="AX5374" s="16"/>
    </row>
    <row r="5375" spans="2:50" x14ac:dyDescent="0.2">
      <c r="B5375" s="7"/>
      <c r="C5375" s="8">
        <v>15561</v>
      </c>
      <c r="D5375" s="9" t="s">
        <v>109</v>
      </c>
      <c r="E5375" s="10" t="str">
        <f t="shared" si="800"/>
        <v>Rancho Estanzuela No. 31</v>
      </c>
      <c r="F5375" s="10" t="str">
        <f t="shared" si="801"/>
        <v>Chávez Valdés</v>
      </c>
      <c r="G5375" s="8">
        <v>5</v>
      </c>
      <c r="H5375" s="11">
        <v>50</v>
      </c>
      <c r="I5375" s="12">
        <v>43079</v>
      </c>
      <c r="J5375" s="35">
        <f t="shared" si="802"/>
        <v>0</v>
      </c>
      <c r="K5375" s="36"/>
      <c r="L5375" s="36"/>
      <c r="M5375" s="36"/>
      <c r="N5375" s="36"/>
      <c r="O5375" s="36"/>
      <c r="P5375" s="36"/>
      <c r="Q5375" s="36"/>
      <c r="R5375" s="36"/>
      <c r="S5375" s="36"/>
      <c r="T5375" s="36"/>
      <c r="U5375" s="36"/>
      <c r="V5375" s="36"/>
      <c r="W5375" s="15">
        <f t="shared" si="803"/>
        <v>0</v>
      </c>
      <c r="X5375" s="36"/>
      <c r="Y5375" s="36"/>
      <c r="Z5375" s="36"/>
      <c r="AA5375" s="36"/>
      <c r="AB5375" s="36"/>
      <c r="AC5375" s="36"/>
      <c r="AD5375" s="36"/>
      <c r="AE5375" s="36"/>
      <c r="AF5375" s="36"/>
      <c r="AG5375" s="36"/>
      <c r="AH5375" s="36"/>
      <c r="AI5375" s="36"/>
      <c r="AJ5375" s="15">
        <f t="shared" si="804"/>
        <v>0</v>
      </c>
      <c r="AK5375" s="14"/>
      <c r="AL5375" s="14"/>
      <c r="AM5375" s="14"/>
      <c r="AN5375" s="14"/>
      <c r="AO5375" s="14"/>
      <c r="AP5375" s="14"/>
      <c r="AQ5375" s="14"/>
      <c r="AR5375" s="14"/>
      <c r="AS5375" s="14"/>
      <c r="AT5375" s="14"/>
      <c r="AU5375" s="14"/>
      <c r="AV5375" s="14"/>
      <c r="AW5375" s="15">
        <f t="shared" si="805"/>
        <v>0</v>
      </c>
      <c r="AX5375" s="16"/>
    </row>
    <row r="5376" spans="2:50" x14ac:dyDescent="0.2">
      <c r="B5376" s="7"/>
      <c r="C5376" s="8">
        <v>15562</v>
      </c>
      <c r="D5376" s="9" t="s">
        <v>70</v>
      </c>
      <c r="E5376" s="10" t="str">
        <f t="shared" si="800"/>
        <v>Rancho Upácuaro No. 63</v>
      </c>
      <c r="F5376" s="10" t="str">
        <f t="shared" si="801"/>
        <v>González Benavides</v>
      </c>
      <c r="G5376" s="8">
        <v>1</v>
      </c>
      <c r="H5376" s="11">
        <v>4400</v>
      </c>
      <c r="I5376" s="12">
        <v>43079</v>
      </c>
      <c r="J5376" s="35">
        <f t="shared" si="802"/>
        <v>0</v>
      </c>
      <c r="K5376" s="36"/>
      <c r="L5376" s="36"/>
      <c r="M5376" s="36"/>
      <c r="N5376" s="36"/>
      <c r="O5376" s="36"/>
      <c r="P5376" s="36"/>
      <c r="Q5376" s="36"/>
      <c r="R5376" s="36"/>
      <c r="S5376" s="36"/>
      <c r="T5376" s="36"/>
      <c r="U5376" s="36"/>
      <c r="V5376" s="36"/>
      <c r="W5376" s="15">
        <f t="shared" si="803"/>
        <v>0</v>
      </c>
      <c r="X5376" s="36"/>
      <c r="Y5376" s="36"/>
      <c r="Z5376" s="36"/>
      <c r="AA5376" s="36"/>
      <c r="AB5376" s="36"/>
      <c r="AC5376" s="36"/>
      <c r="AD5376" s="36"/>
      <c r="AE5376" s="36"/>
      <c r="AF5376" s="36"/>
      <c r="AG5376" s="36"/>
      <c r="AH5376" s="36"/>
      <c r="AI5376" s="36"/>
      <c r="AJ5376" s="15">
        <f t="shared" si="804"/>
        <v>0</v>
      </c>
      <c r="AK5376" s="14">
        <v>400</v>
      </c>
      <c r="AL5376" s="14">
        <v>400</v>
      </c>
      <c r="AM5376" s="14">
        <v>400</v>
      </c>
      <c r="AN5376" s="14">
        <v>400</v>
      </c>
      <c r="AO5376" s="14">
        <v>400</v>
      </c>
      <c r="AP5376" s="14">
        <v>400</v>
      </c>
      <c r="AQ5376" s="14">
        <v>400</v>
      </c>
      <c r="AR5376" s="14">
        <v>400</v>
      </c>
      <c r="AS5376" s="14">
        <v>400</v>
      </c>
      <c r="AT5376" s="14">
        <v>400</v>
      </c>
      <c r="AU5376" s="14">
        <v>400</v>
      </c>
      <c r="AV5376" s="14"/>
      <c r="AW5376" s="15">
        <f t="shared" si="805"/>
        <v>4400</v>
      </c>
      <c r="AX5376" s="16" t="s">
        <v>4431</v>
      </c>
    </row>
    <row r="5377" spans="2:51" x14ac:dyDescent="0.2">
      <c r="B5377" s="7"/>
      <c r="C5377" s="8">
        <v>15563</v>
      </c>
      <c r="D5377" s="9" t="s">
        <v>617</v>
      </c>
      <c r="E5377" s="10" t="str">
        <f t="shared" si="800"/>
        <v>Rancho Zinamba No. 50</v>
      </c>
      <c r="F5377" s="10" t="str">
        <f t="shared" si="801"/>
        <v>Del Castillo</v>
      </c>
      <c r="G5377" s="8">
        <v>1</v>
      </c>
      <c r="H5377" s="11">
        <v>400</v>
      </c>
      <c r="I5377" s="12">
        <v>43079</v>
      </c>
      <c r="J5377" s="35">
        <f t="shared" si="802"/>
        <v>0</v>
      </c>
      <c r="K5377" s="36"/>
      <c r="L5377" s="36"/>
      <c r="M5377" s="36"/>
      <c r="N5377" s="36"/>
      <c r="O5377" s="36"/>
      <c r="P5377" s="36"/>
      <c r="Q5377" s="36"/>
      <c r="R5377" s="36"/>
      <c r="S5377" s="36"/>
      <c r="T5377" s="36"/>
      <c r="U5377" s="36"/>
      <c r="V5377" s="36"/>
      <c r="W5377" s="15">
        <f t="shared" si="803"/>
        <v>0</v>
      </c>
      <c r="X5377" s="36"/>
      <c r="Y5377" s="36"/>
      <c r="Z5377" s="36"/>
      <c r="AA5377" s="36"/>
      <c r="AB5377" s="36"/>
      <c r="AC5377" s="36"/>
      <c r="AD5377" s="36"/>
      <c r="AE5377" s="36"/>
      <c r="AF5377" s="36"/>
      <c r="AG5377" s="36"/>
      <c r="AH5377" s="36">
        <v>400</v>
      </c>
      <c r="AI5377" s="36"/>
      <c r="AJ5377" s="15">
        <f t="shared" si="804"/>
        <v>400</v>
      </c>
      <c r="AK5377" s="14"/>
      <c r="AL5377" s="14"/>
      <c r="AM5377" s="14"/>
      <c r="AN5377" s="14"/>
      <c r="AO5377" s="14"/>
      <c r="AP5377" s="14"/>
      <c r="AQ5377" s="14"/>
      <c r="AR5377" s="14"/>
      <c r="AS5377" s="14"/>
      <c r="AT5377" s="14"/>
      <c r="AU5377" s="14"/>
      <c r="AV5377" s="14"/>
      <c r="AW5377" s="15">
        <f t="shared" si="805"/>
        <v>0</v>
      </c>
      <c r="AX5377" s="16"/>
    </row>
    <row r="5378" spans="2:51" x14ac:dyDescent="0.2">
      <c r="B5378" s="7"/>
      <c r="C5378" s="8">
        <v>15564</v>
      </c>
      <c r="D5378" s="9" t="s">
        <v>702</v>
      </c>
      <c r="E5378" s="10" t="str">
        <f t="shared" si="800"/>
        <v>Rancho La Cuchilla No. 81</v>
      </c>
      <c r="F5378" s="10" t="str">
        <f t="shared" si="801"/>
        <v>Suárez</v>
      </c>
      <c r="G5378" s="8">
        <v>1</v>
      </c>
      <c r="H5378" s="11">
        <v>4400</v>
      </c>
      <c r="I5378" s="12">
        <v>43079</v>
      </c>
      <c r="J5378" s="35">
        <f t="shared" si="802"/>
        <v>0</v>
      </c>
      <c r="K5378" s="36"/>
      <c r="L5378" s="36"/>
      <c r="M5378" s="36"/>
      <c r="N5378" s="36"/>
      <c r="O5378" s="36"/>
      <c r="P5378" s="36"/>
      <c r="Q5378" s="36"/>
      <c r="R5378" s="36"/>
      <c r="S5378" s="36"/>
      <c r="T5378" s="36"/>
      <c r="U5378" s="36"/>
      <c r="V5378" s="36"/>
      <c r="W5378" s="15">
        <f t="shared" si="803"/>
        <v>0</v>
      </c>
      <c r="X5378" s="36"/>
      <c r="Y5378" s="36"/>
      <c r="Z5378" s="36"/>
      <c r="AA5378" s="36"/>
      <c r="AB5378" s="36"/>
      <c r="AC5378" s="36"/>
      <c r="AD5378" s="36"/>
      <c r="AE5378" s="36"/>
      <c r="AF5378" s="36"/>
      <c r="AG5378" s="36"/>
      <c r="AH5378" s="36"/>
      <c r="AI5378" s="36"/>
      <c r="AJ5378" s="15">
        <f t="shared" si="804"/>
        <v>0</v>
      </c>
      <c r="AK5378" s="14">
        <v>400</v>
      </c>
      <c r="AL5378" s="14">
        <v>400</v>
      </c>
      <c r="AM5378" s="14">
        <v>400</v>
      </c>
      <c r="AN5378" s="14">
        <v>400</v>
      </c>
      <c r="AO5378" s="14">
        <v>400</v>
      </c>
      <c r="AP5378" s="14">
        <v>400</v>
      </c>
      <c r="AQ5378" s="14">
        <v>400</v>
      </c>
      <c r="AR5378" s="14">
        <v>400</v>
      </c>
      <c r="AS5378" s="14">
        <v>400</v>
      </c>
      <c r="AT5378" s="14">
        <v>400</v>
      </c>
      <c r="AU5378" s="14">
        <v>400</v>
      </c>
      <c r="AV5378" s="14"/>
      <c r="AW5378" s="15">
        <f t="shared" si="805"/>
        <v>4400</v>
      </c>
      <c r="AX5378" s="16" t="s">
        <v>4431</v>
      </c>
    </row>
    <row r="5379" spans="2:51" x14ac:dyDescent="0.2">
      <c r="B5379" s="7"/>
      <c r="C5379" s="8">
        <v>15565</v>
      </c>
      <c r="D5379" s="9" t="s">
        <v>156</v>
      </c>
      <c r="E5379" s="10" t="str">
        <f t="shared" si="800"/>
        <v>Rancho Zinamba No. 80</v>
      </c>
      <c r="F5379" s="10" t="str">
        <f t="shared" si="801"/>
        <v>Vázquez</v>
      </c>
      <c r="G5379" s="8">
        <v>1</v>
      </c>
      <c r="H5379" s="11">
        <v>300</v>
      </c>
      <c r="I5379" s="12">
        <v>43079</v>
      </c>
      <c r="J5379" s="35">
        <f t="shared" si="802"/>
        <v>0</v>
      </c>
      <c r="K5379" s="36"/>
      <c r="L5379" s="36"/>
      <c r="M5379" s="36"/>
      <c r="N5379" s="36"/>
      <c r="O5379" s="36"/>
      <c r="P5379" s="36"/>
      <c r="Q5379" s="36"/>
      <c r="R5379" s="36"/>
      <c r="S5379" s="36"/>
      <c r="T5379" s="36"/>
      <c r="U5379" s="36"/>
      <c r="V5379" s="36"/>
      <c r="W5379" s="15">
        <f t="shared" si="803"/>
        <v>0</v>
      </c>
      <c r="X5379" s="36"/>
      <c r="Y5379" s="36"/>
      <c r="Z5379" s="36"/>
      <c r="AA5379" s="36"/>
      <c r="AB5379" s="36"/>
      <c r="AC5379" s="36"/>
      <c r="AD5379" s="36"/>
      <c r="AE5379" s="36"/>
      <c r="AF5379" s="36"/>
      <c r="AG5379" s="36"/>
      <c r="AH5379" s="36"/>
      <c r="AI5379" s="36">
        <v>300</v>
      </c>
      <c r="AJ5379" s="15">
        <f t="shared" si="804"/>
        <v>300</v>
      </c>
      <c r="AK5379" s="14"/>
      <c r="AL5379" s="14"/>
      <c r="AM5379" s="14"/>
      <c r="AN5379" s="14"/>
      <c r="AO5379" s="14"/>
      <c r="AP5379" s="14"/>
      <c r="AQ5379" s="14"/>
      <c r="AR5379" s="14"/>
      <c r="AS5379" s="14"/>
      <c r="AT5379" s="14"/>
      <c r="AU5379" s="14"/>
      <c r="AV5379" s="14"/>
      <c r="AW5379" s="15">
        <f t="shared" si="805"/>
        <v>0</v>
      </c>
      <c r="AX5379" s="316">
        <f>SUM(H5341:H5379)</f>
        <v>28450</v>
      </c>
      <c r="AY5379" s="112">
        <f>SUM(H5334:H5379)</f>
        <v>35250</v>
      </c>
    </row>
    <row r="5380" spans="2:51" x14ac:dyDescent="0.2">
      <c r="B5380" s="7"/>
      <c r="C5380" s="8">
        <v>15566</v>
      </c>
      <c r="D5380" s="9" t="s">
        <v>681</v>
      </c>
      <c r="E5380" s="10" t="str">
        <f t="shared" si="800"/>
        <v>Rancho Landero No. 87</v>
      </c>
      <c r="F5380" s="10" t="str">
        <f t="shared" si="801"/>
        <v>Fey Lafferla</v>
      </c>
      <c r="G5380" s="8">
        <v>5</v>
      </c>
      <c r="H5380" s="315">
        <v>100</v>
      </c>
      <c r="I5380" s="12">
        <v>43080</v>
      </c>
      <c r="J5380" s="35">
        <f t="shared" si="802"/>
        <v>0</v>
      </c>
      <c r="K5380" s="36"/>
      <c r="L5380" s="36"/>
      <c r="M5380" s="36"/>
      <c r="N5380" s="36"/>
      <c r="O5380" s="36"/>
      <c r="P5380" s="36"/>
      <c r="Q5380" s="36"/>
      <c r="R5380" s="36"/>
      <c r="S5380" s="36"/>
      <c r="T5380" s="36"/>
      <c r="U5380" s="36"/>
      <c r="V5380" s="36"/>
      <c r="W5380" s="15">
        <f t="shared" si="803"/>
        <v>0</v>
      </c>
      <c r="X5380" s="36"/>
      <c r="Y5380" s="36"/>
      <c r="Z5380" s="36"/>
      <c r="AA5380" s="36"/>
      <c r="AB5380" s="36"/>
      <c r="AC5380" s="36"/>
      <c r="AD5380" s="36"/>
      <c r="AE5380" s="36"/>
      <c r="AF5380" s="36"/>
      <c r="AG5380" s="36"/>
      <c r="AH5380" s="36"/>
      <c r="AI5380" s="36"/>
      <c r="AJ5380" s="15">
        <f t="shared" si="804"/>
        <v>0</v>
      </c>
      <c r="AK5380" s="14"/>
      <c r="AL5380" s="14"/>
      <c r="AM5380" s="14"/>
      <c r="AN5380" s="14"/>
      <c r="AO5380" s="14"/>
      <c r="AP5380" s="14"/>
      <c r="AQ5380" s="14"/>
      <c r="AR5380" s="14"/>
      <c r="AS5380" s="14"/>
      <c r="AT5380" s="14"/>
      <c r="AU5380" s="14"/>
      <c r="AV5380" s="14"/>
      <c r="AW5380" s="15">
        <f t="shared" si="805"/>
        <v>0</v>
      </c>
      <c r="AX5380" s="16"/>
    </row>
    <row r="5381" spans="2:51" x14ac:dyDescent="0.2">
      <c r="B5381" s="7"/>
      <c r="C5381" s="8">
        <v>15567</v>
      </c>
      <c r="D5381" s="9" t="s">
        <v>202</v>
      </c>
      <c r="E5381" s="10" t="str">
        <f t="shared" si="800"/>
        <v>Rancho Estanzuela No. 25</v>
      </c>
      <c r="F5381" s="10" t="str">
        <f t="shared" si="801"/>
        <v>Contreras Figueroa</v>
      </c>
      <c r="G5381" s="8">
        <v>1</v>
      </c>
      <c r="H5381" s="11">
        <v>400</v>
      </c>
      <c r="I5381" s="12">
        <v>43080</v>
      </c>
      <c r="J5381" s="35">
        <f t="shared" si="802"/>
        <v>0</v>
      </c>
      <c r="K5381" s="36"/>
      <c r="L5381" s="36"/>
      <c r="M5381" s="36"/>
      <c r="N5381" s="36"/>
      <c r="O5381" s="36"/>
      <c r="P5381" s="36"/>
      <c r="Q5381" s="36"/>
      <c r="R5381" s="36"/>
      <c r="S5381" s="36"/>
      <c r="T5381" s="36"/>
      <c r="U5381" s="36"/>
      <c r="V5381" s="36"/>
      <c r="W5381" s="15">
        <f t="shared" si="803"/>
        <v>0</v>
      </c>
      <c r="X5381" s="36"/>
      <c r="Y5381" s="36"/>
      <c r="Z5381" s="36"/>
      <c r="AA5381" s="36"/>
      <c r="AB5381" s="36"/>
      <c r="AC5381" s="36"/>
      <c r="AD5381" s="36"/>
      <c r="AE5381" s="36"/>
      <c r="AF5381" s="36"/>
      <c r="AG5381" s="36"/>
      <c r="AH5381" s="36"/>
      <c r="AI5381" s="36">
        <v>400</v>
      </c>
      <c r="AJ5381" s="15">
        <f t="shared" si="804"/>
        <v>400</v>
      </c>
      <c r="AK5381" s="14"/>
      <c r="AL5381" s="14"/>
      <c r="AM5381" s="14"/>
      <c r="AN5381" s="14"/>
      <c r="AO5381" s="14"/>
      <c r="AP5381" s="14"/>
      <c r="AQ5381" s="14"/>
      <c r="AR5381" s="14"/>
      <c r="AS5381" s="14"/>
      <c r="AT5381" s="14"/>
      <c r="AU5381" s="14"/>
      <c r="AV5381" s="14"/>
      <c r="AW5381" s="15">
        <f t="shared" si="805"/>
        <v>0</v>
      </c>
      <c r="AX5381" s="16"/>
    </row>
    <row r="5382" spans="2:51" x14ac:dyDescent="0.2">
      <c r="B5382" s="7"/>
      <c r="C5382" s="8">
        <v>15568</v>
      </c>
      <c r="D5382" s="9" t="s">
        <v>202</v>
      </c>
      <c r="E5382" s="10" t="str">
        <f t="shared" ref="E5382:E5421" si="806">IF(D5382=0,"",VLOOKUP(D5382,BASE,2,FALSE))</f>
        <v>Rancho Estanzuela No. 25</v>
      </c>
      <c r="F5382" s="10" t="str">
        <f t="shared" ref="F5382:F5421" si="807">IF(D5382=0,"",VLOOKUP(D5382,BASE,3,FALSE))</f>
        <v>Contreras Figueroa</v>
      </c>
      <c r="G5382" s="8">
        <v>1</v>
      </c>
      <c r="H5382" s="11">
        <v>200</v>
      </c>
      <c r="I5382" s="12">
        <v>43080</v>
      </c>
      <c r="J5382" s="35">
        <f t="shared" ref="J5382:J5421" si="808">IF(G5382=1,SUM(W5382,AJ5382,AW5382,-H5382),0)</f>
        <v>0</v>
      </c>
      <c r="K5382" s="36"/>
      <c r="L5382" s="36"/>
      <c r="M5382" s="36"/>
      <c r="N5382" s="36"/>
      <c r="O5382" s="36"/>
      <c r="P5382" s="36"/>
      <c r="Q5382" s="36"/>
      <c r="R5382" s="36"/>
      <c r="S5382" s="36"/>
      <c r="T5382" s="36"/>
      <c r="U5382" s="36"/>
      <c r="V5382" s="36"/>
      <c r="W5382" s="15">
        <f t="shared" ref="W5382:W5421" si="809">SUM(K5382:V5382)</f>
        <v>0</v>
      </c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>
        <v>200</v>
      </c>
      <c r="AH5382" s="36"/>
      <c r="AI5382" s="36"/>
      <c r="AJ5382" s="15">
        <f t="shared" ref="AJ5382:AJ5421" si="810">SUM(X5382:AI5382)</f>
        <v>200</v>
      </c>
      <c r="AK5382" s="14"/>
      <c r="AL5382" s="14"/>
      <c r="AM5382" s="14"/>
      <c r="AN5382" s="14"/>
      <c r="AO5382" s="14"/>
      <c r="AP5382" s="14"/>
      <c r="AQ5382" s="14"/>
      <c r="AR5382" s="14"/>
      <c r="AS5382" s="14"/>
      <c r="AT5382" s="14"/>
      <c r="AU5382" s="14"/>
      <c r="AV5382" s="14"/>
      <c r="AW5382" s="15">
        <f t="shared" ref="AW5382:AW5421" si="811">SUM(AK5382:AV5382)</f>
        <v>0</v>
      </c>
      <c r="AX5382" s="16"/>
    </row>
    <row r="5383" spans="2:51" x14ac:dyDescent="0.2">
      <c r="B5383" s="7"/>
      <c r="C5383" s="8">
        <v>15569</v>
      </c>
      <c r="D5383" s="9" t="s">
        <v>205</v>
      </c>
      <c r="E5383" s="10" t="str">
        <f t="shared" si="806"/>
        <v>Rancho Landero No. 1, A</v>
      </c>
      <c r="F5383" s="10" t="str">
        <f t="shared" si="807"/>
        <v>Ebysos</v>
      </c>
      <c r="G5383" s="8">
        <v>1</v>
      </c>
      <c r="H5383" s="11">
        <v>600</v>
      </c>
      <c r="I5383" s="12">
        <v>43082</v>
      </c>
      <c r="J5383" s="35">
        <f t="shared" si="808"/>
        <v>0</v>
      </c>
      <c r="K5383" s="36"/>
      <c r="L5383" s="36"/>
      <c r="M5383" s="36"/>
      <c r="N5383" s="36"/>
      <c r="O5383" s="36"/>
      <c r="P5383" s="36"/>
      <c r="Q5383" s="36"/>
      <c r="R5383" s="36"/>
      <c r="S5383" s="36"/>
      <c r="T5383" s="36"/>
      <c r="U5383" s="36"/>
      <c r="V5383" s="36"/>
      <c r="W5383" s="15">
        <f t="shared" si="809"/>
        <v>0</v>
      </c>
      <c r="X5383" s="36"/>
      <c r="Y5383" s="36"/>
      <c r="Z5383" s="36"/>
      <c r="AA5383" s="36"/>
      <c r="AB5383" s="36"/>
      <c r="AC5383" s="36"/>
      <c r="AD5383" s="36"/>
      <c r="AE5383" s="36"/>
      <c r="AF5383" s="36"/>
      <c r="AG5383" s="36"/>
      <c r="AH5383" s="36"/>
      <c r="AI5383" s="36">
        <v>600</v>
      </c>
      <c r="AJ5383" s="15">
        <f t="shared" si="810"/>
        <v>600</v>
      </c>
      <c r="AK5383" s="14"/>
      <c r="AL5383" s="14"/>
      <c r="AM5383" s="14"/>
      <c r="AN5383" s="14"/>
      <c r="AO5383" s="14"/>
      <c r="AP5383" s="14"/>
      <c r="AQ5383" s="14"/>
      <c r="AR5383" s="14"/>
      <c r="AS5383" s="14"/>
      <c r="AT5383" s="14"/>
      <c r="AU5383" s="14"/>
      <c r="AV5383" s="14"/>
      <c r="AW5383" s="15">
        <f t="shared" si="811"/>
        <v>0</v>
      </c>
      <c r="AX5383" s="16"/>
    </row>
    <row r="5384" spans="2:51" x14ac:dyDescent="0.2">
      <c r="B5384" s="7"/>
      <c r="C5384" s="8">
        <v>15570</v>
      </c>
      <c r="D5384" s="9" t="s">
        <v>38</v>
      </c>
      <c r="E5384" s="10" t="str">
        <f t="shared" si="806"/>
        <v>Rancho Landero No. 2, 3</v>
      </c>
      <c r="F5384" s="10" t="str">
        <f t="shared" si="807"/>
        <v>Pineda Laura</v>
      </c>
      <c r="G5384" s="8">
        <v>3</v>
      </c>
      <c r="H5384" s="11">
        <v>200</v>
      </c>
      <c r="I5384" s="12">
        <v>43082</v>
      </c>
      <c r="J5384" s="35">
        <f t="shared" si="808"/>
        <v>0</v>
      </c>
      <c r="K5384" s="36"/>
      <c r="L5384" s="36"/>
      <c r="M5384" s="36"/>
      <c r="N5384" s="36"/>
      <c r="O5384" s="36"/>
      <c r="P5384" s="36"/>
      <c r="Q5384" s="36"/>
      <c r="R5384" s="36"/>
      <c r="S5384" s="36"/>
      <c r="T5384" s="36"/>
      <c r="U5384" s="36"/>
      <c r="V5384" s="36"/>
      <c r="W5384" s="15">
        <f t="shared" si="809"/>
        <v>0</v>
      </c>
      <c r="X5384" s="36"/>
      <c r="Y5384" s="36"/>
      <c r="Z5384" s="36"/>
      <c r="AA5384" s="36"/>
      <c r="AB5384" s="36"/>
      <c r="AC5384" s="36"/>
      <c r="AD5384" s="36"/>
      <c r="AE5384" s="36"/>
      <c r="AF5384" s="36"/>
      <c r="AG5384" s="36"/>
      <c r="AH5384" s="36"/>
      <c r="AI5384" s="36"/>
      <c r="AJ5384" s="15">
        <f t="shared" si="810"/>
        <v>0</v>
      </c>
      <c r="AK5384" s="14"/>
      <c r="AL5384" s="14"/>
      <c r="AM5384" s="14"/>
      <c r="AN5384" s="14"/>
      <c r="AO5384" s="14"/>
      <c r="AP5384" s="14"/>
      <c r="AQ5384" s="14"/>
      <c r="AR5384" s="14"/>
      <c r="AS5384" s="14"/>
      <c r="AT5384" s="14"/>
      <c r="AU5384" s="14"/>
      <c r="AV5384" s="14"/>
      <c r="AW5384" s="15">
        <f t="shared" si="811"/>
        <v>0</v>
      </c>
      <c r="AX5384" s="16"/>
    </row>
    <row r="5385" spans="2:51" x14ac:dyDescent="0.2">
      <c r="B5385" s="7"/>
      <c r="C5385" s="8">
        <v>15571</v>
      </c>
      <c r="D5385" s="9" t="s">
        <v>1142</v>
      </c>
      <c r="E5385" s="10" t="str">
        <f t="shared" si="806"/>
        <v>Rancho La Cuchilla No. 49</v>
      </c>
      <c r="F5385" s="10" t="str">
        <f t="shared" si="807"/>
        <v>Orozco Castelazo</v>
      </c>
      <c r="G5385" s="8">
        <v>1</v>
      </c>
      <c r="H5385" s="11">
        <v>1800</v>
      </c>
      <c r="I5385" s="12">
        <v>43084</v>
      </c>
      <c r="J5385" s="35">
        <f t="shared" si="808"/>
        <v>0</v>
      </c>
      <c r="K5385" s="36"/>
      <c r="L5385" s="36"/>
      <c r="M5385" s="36"/>
      <c r="N5385" s="36"/>
      <c r="O5385" s="36"/>
      <c r="P5385" s="36"/>
      <c r="Q5385" s="36"/>
      <c r="R5385" s="36"/>
      <c r="S5385" s="36"/>
      <c r="T5385" s="36"/>
      <c r="U5385" s="36"/>
      <c r="V5385" s="36"/>
      <c r="W5385" s="15">
        <f t="shared" si="809"/>
        <v>0</v>
      </c>
      <c r="X5385" s="36"/>
      <c r="Y5385" s="36"/>
      <c r="Z5385" s="36">
        <v>200</v>
      </c>
      <c r="AA5385" s="36">
        <v>400</v>
      </c>
      <c r="AB5385" s="36">
        <v>400</v>
      </c>
      <c r="AC5385" s="36">
        <v>400</v>
      </c>
      <c r="AD5385" s="36">
        <v>400</v>
      </c>
      <c r="AE5385" s="36"/>
      <c r="AF5385" s="36"/>
      <c r="AG5385" s="36"/>
      <c r="AH5385" s="36"/>
      <c r="AI5385" s="36"/>
      <c r="AJ5385" s="15">
        <f t="shared" si="810"/>
        <v>1800</v>
      </c>
      <c r="AK5385" s="14"/>
      <c r="AL5385" s="14"/>
      <c r="AM5385" s="14"/>
      <c r="AN5385" s="14"/>
      <c r="AO5385" s="14"/>
      <c r="AP5385" s="14"/>
      <c r="AQ5385" s="14"/>
      <c r="AR5385" s="14"/>
      <c r="AS5385" s="14"/>
      <c r="AT5385" s="14"/>
      <c r="AU5385" s="14"/>
      <c r="AV5385" s="14"/>
      <c r="AW5385" s="15">
        <f t="shared" si="811"/>
        <v>0</v>
      </c>
      <c r="AX5385" s="16"/>
    </row>
    <row r="5386" spans="2:51" x14ac:dyDescent="0.2">
      <c r="B5386" s="7"/>
      <c r="C5386" s="8">
        <v>15571</v>
      </c>
      <c r="D5386" s="9" t="s">
        <v>1142</v>
      </c>
      <c r="E5386" s="10" t="str">
        <f t="shared" si="806"/>
        <v>Rancho La Cuchilla No. 49</v>
      </c>
      <c r="F5386" s="10" t="str">
        <f t="shared" si="807"/>
        <v>Orozco Castelazo</v>
      </c>
      <c r="G5386" s="8">
        <v>4</v>
      </c>
      <c r="H5386" s="11">
        <v>600</v>
      </c>
      <c r="I5386" s="12">
        <v>43084</v>
      </c>
      <c r="J5386" s="35">
        <f t="shared" si="808"/>
        <v>0</v>
      </c>
      <c r="K5386" s="36"/>
      <c r="L5386" s="36"/>
      <c r="M5386" s="36"/>
      <c r="N5386" s="36"/>
      <c r="O5386" s="36"/>
      <c r="P5386" s="36"/>
      <c r="Q5386" s="36"/>
      <c r="R5386" s="36"/>
      <c r="S5386" s="36"/>
      <c r="T5386" s="36"/>
      <c r="U5386" s="36"/>
      <c r="V5386" s="36"/>
      <c r="W5386" s="15">
        <f t="shared" si="809"/>
        <v>0</v>
      </c>
      <c r="X5386" s="36"/>
      <c r="Y5386" s="36"/>
      <c r="Z5386" s="36"/>
      <c r="AA5386" s="36"/>
      <c r="AB5386" s="36"/>
      <c r="AC5386" s="36"/>
      <c r="AD5386" s="36"/>
      <c r="AE5386" s="36"/>
      <c r="AF5386" s="36"/>
      <c r="AG5386" s="36"/>
      <c r="AH5386" s="36"/>
      <c r="AI5386" s="36"/>
      <c r="AJ5386" s="15">
        <f t="shared" si="810"/>
        <v>0</v>
      </c>
      <c r="AK5386" s="14"/>
      <c r="AL5386" s="14"/>
      <c r="AM5386" s="14"/>
      <c r="AN5386" s="14"/>
      <c r="AO5386" s="14"/>
      <c r="AP5386" s="14"/>
      <c r="AQ5386" s="14"/>
      <c r="AR5386" s="14"/>
      <c r="AS5386" s="14"/>
      <c r="AT5386" s="14"/>
      <c r="AU5386" s="14"/>
      <c r="AV5386" s="14"/>
      <c r="AW5386" s="15">
        <f t="shared" si="811"/>
        <v>0</v>
      </c>
      <c r="AX5386" s="16" t="s">
        <v>4769</v>
      </c>
    </row>
    <row r="5387" spans="2:51" x14ac:dyDescent="0.2">
      <c r="B5387" s="7"/>
      <c r="C5387" s="8">
        <v>15572</v>
      </c>
      <c r="D5387" s="9" t="s">
        <v>611</v>
      </c>
      <c r="E5387" s="10" t="str">
        <f t="shared" si="806"/>
        <v>Rancho Estanzuela No. 47</v>
      </c>
      <c r="F5387" s="10" t="str">
        <f t="shared" si="807"/>
        <v>Bussey García</v>
      </c>
      <c r="G5387" s="8">
        <v>1</v>
      </c>
      <c r="H5387" s="11">
        <v>400</v>
      </c>
      <c r="I5387" s="12">
        <v>43084</v>
      </c>
      <c r="J5387" s="35">
        <f t="shared" si="808"/>
        <v>0</v>
      </c>
      <c r="K5387" s="36"/>
      <c r="L5387" s="36"/>
      <c r="M5387" s="36"/>
      <c r="N5387" s="36"/>
      <c r="O5387" s="36"/>
      <c r="P5387" s="36"/>
      <c r="Q5387" s="36"/>
      <c r="R5387" s="36"/>
      <c r="S5387" s="36"/>
      <c r="T5387" s="36"/>
      <c r="U5387" s="36"/>
      <c r="V5387" s="36"/>
      <c r="W5387" s="15">
        <f t="shared" si="809"/>
        <v>0</v>
      </c>
      <c r="X5387" s="36"/>
      <c r="Y5387" s="36"/>
      <c r="Z5387" s="36"/>
      <c r="AA5387" s="36"/>
      <c r="AB5387" s="36"/>
      <c r="AC5387" s="36"/>
      <c r="AD5387" s="36"/>
      <c r="AE5387" s="36"/>
      <c r="AF5387" s="36"/>
      <c r="AG5387" s="36"/>
      <c r="AH5387" s="36"/>
      <c r="AI5387" s="36">
        <v>400</v>
      </c>
      <c r="AJ5387" s="15">
        <f t="shared" si="810"/>
        <v>400</v>
      </c>
      <c r="AK5387" s="14"/>
      <c r="AL5387" s="14"/>
      <c r="AM5387" s="14"/>
      <c r="AN5387" s="14"/>
      <c r="AO5387" s="14"/>
      <c r="AP5387" s="14"/>
      <c r="AQ5387" s="14"/>
      <c r="AR5387" s="14"/>
      <c r="AS5387" s="14"/>
      <c r="AT5387" s="14"/>
      <c r="AU5387" s="14"/>
      <c r="AV5387" s="14"/>
      <c r="AW5387" s="15">
        <f t="shared" si="811"/>
        <v>0</v>
      </c>
      <c r="AX5387" s="16"/>
    </row>
    <row r="5388" spans="2:51" x14ac:dyDescent="0.2">
      <c r="B5388" s="7"/>
      <c r="C5388" s="8">
        <v>15573</v>
      </c>
      <c r="D5388" s="9" t="s">
        <v>714</v>
      </c>
      <c r="E5388" s="10" t="str">
        <f t="shared" si="806"/>
        <v>Rancho Upácuaro No. 134</v>
      </c>
      <c r="F5388" s="10" t="str">
        <f t="shared" si="807"/>
        <v>Flores Pérez</v>
      </c>
      <c r="G5388" s="8">
        <v>1</v>
      </c>
      <c r="H5388" s="11">
        <v>1600</v>
      </c>
      <c r="I5388" s="12">
        <v>43084</v>
      </c>
      <c r="J5388" s="35">
        <f t="shared" si="808"/>
        <v>0</v>
      </c>
      <c r="K5388" s="36"/>
      <c r="L5388" s="36"/>
      <c r="M5388" s="36"/>
      <c r="N5388" s="36"/>
      <c r="O5388" s="36"/>
      <c r="P5388" s="36"/>
      <c r="Q5388" s="36"/>
      <c r="R5388" s="36"/>
      <c r="S5388" s="36"/>
      <c r="T5388" s="36"/>
      <c r="U5388" s="36"/>
      <c r="V5388" s="36"/>
      <c r="W5388" s="15">
        <f t="shared" si="809"/>
        <v>0</v>
      </c>
      <c r="X5388" s="36"/>
      <c r="Y5388" s="36"/>
      <c r="Z5388" s="36"/>
      <c r="AA5388" s="36"/>
      <c r="AB5388" s="36"/>
      <c r="AC5388" s="36"/>
      <c r="AD5388" s="36"/>
      <c r="AE5388" s="36"/>
      <c r="AF5388" s="36">
        <v>400</v>
      </c>
      <c r="AG5388" s="36">
        <v>400</v>
      </c>
      <c r="AH5388" s="36">
        <v>400</v>
      </c>
      <c r="AI5388" s="36">
        <v>400</v>
      </c>
      <c r="AJ5388" s="15">
        <f t="shared" si="810"/>
        <v>1600</v>
      </c>
      <c r="AK5388" s="14"/>
      <c r="AL5388" s="14"/>
      <c r="AM5388" s="14"/>
      <c r="AN5388" s="14"/>
      <c r="AO5388" s="14"/>
      <c r="AP5388" s="14"/>
      <c r="AQ5388" s="14"/>
      <c r="AR5388" s="14"/>
      <c r="AS5388" s="14"/>
      <c r="AT5388" s="14"/>
      <c r="AU5388" s="14"/>
      <c r="AV5388" s="14"/>
      <c r="AW5388" s="15">
        <f t="shared" si="811"/>
        <v>0</v>
      </c>
      <c r="AX5388" s="16"/>
    </row>
    <row r="5389" spans="2:51" x14ac:dyDescent="0.2">
      <c r="B5389" s="7"/>
      <c r="C5389" s="8">
        <v>15574</v>
      </c>
      <c r="D5389" s="9" t="s">
        <v>514</v>
      </c>
      <c r="E5389" s="10" t="str">
        <f t="shared" si="806"/>
        <v>Rancho Upácuaro No. 114</v>
      </c>
      <c r="F5389" s="10" t="str">
        <f t="shared" si="807"/>
        <v>Hernández Cornejo</v>
      </c>
      <c r="G5389" s="8">
        <v>1</v>
      </c>
      <c r="H5389" s="11">
        <v>400</v>
      </c>
      <c r="I5389" s="12">
        <v>43086</v>
      </c>
      <c r="J5389" s="35">
        <f t="shared" si="808"/>
        <v>0</v>
      </c>
      <c r="K5389" s="36"/>
      <c r="L5389" s="36"/>
      <c r="M5389" s="36"/>
      <c r="N5389" s="36"/>
      <c r="O5389" s="36"/>
      <c r="P5389" s="36"/>
      <c r="Q5389" s="36"/>
      <c r="R5389" s="36"/>
      <c r="S5389" s="36"/>
      <c r="T5389" s="36"/>
      <c r="U5389" s="36"/>
      <c r="V5389" s="36"/>
      <c r="W5389" s="15">
        <f t="shared" si="809"/>
        <v>0</v>
      </c>
      <c r="X5389" s="36"/>
      <c r="Y5389" s="36"/>
      <c r="Z5389" s="36"/>
      <c r="AA5389" s="36"/>
      <c r="AB5389" s="36"/>
      <c r="AC5389" s="36"/>
      <c r="AD5389" s="36"/>
      <c r="AE5389" s="36"/>
      <c r="AF5389" s="36"/>
      <c r="AG5389" s="36"/>
      <c r="AH5389" s="36"/>
      <c r="AI5389" s="36">
        <v>400</v>
      </c>
      <c r="AJ5389" s="15">
        <f t="shared" si="810"/>
        <v>400</v>
      </c>
      <c r="AK5389" s="14"/>
      <c r="AL5389" s="14"/>
      <c r="AM5389" s="14"/>
      <c r="AN5389" s="14"/>
      <c r="AO5389" s="14"/>
      <c r="AP5389" s="14"/>
      <c r="AQ5389" s="14"/>
      <c r="AR5389" s="14"/>
      <c r="AS5389" s="14"/>
      <c r="AT5389" s="14"/>
      <c r="AU5389" s="14"/>
      <c r="AV5389" s="14"/>
      <c r="AW5389" s="15">
        <f t="shared" si="811"/>
        <v>0</v>
      </c>
      <c r="AX5389" s="16"/>
    </row>
    <row r="5390" spans="2:51" x14ac:dyDescent="0.2">
      <c r="B5390" s="7"/>
      <c r="C5390" s="8">
        <v>15575</v>
      </c>
      <c r="D5390" s="9" t="s">
        <v>810</v>
      </c>
      <c r="E5390" s="10" t="str">
        <f t="shared" si="806"/>
        <v>Rancho La Cuchilla No. 90</v>
      </c>
      <c r="F5390" s="10" t="str">
        <f t="shared" si="807"/>
        <v>Porras Fuentes</v>
      </c>
      <c r="G5390" s="8">
        <v>1</v>
      </c>
      <c r="H5390" s="11">
        <v>200</v>
      </c>
      <c r="I5390" s="12">
        <v>43086</v>
      </c>
      <c r="J5390" s="35">
        <f t="shared" si="808"/>
        <v>0</v>
      </c>
      <c r="K5390" s="36"/>
      <c r="L5390" s="36"/>
      <c r="M5390" s="36"/>
      <c r="N5390" s="36"/>
      <c r="O5390" s="36"/>
      <c r="P5390" s="36"/>
      <c r="Q5390" s="36"/>
      <c r="R5390" s="36"/>
      <c r="S5390" s="36"/>
      <c r="T5390" s="36"/>
      <c r="U5390" s="36"/>
      <c r="V5390" s="36"/>
      <c r="W5390" s="15">
        <f t="shared" si="809"/>
        <v>0</v>
      </c>
      <c r="X5390" s="36"/>
      <c r="Y5390" s="36"/>
      <c r="Z5390" s="36"/>
      <c r="AA5390" s="36"/>
      <c r="AB5390" s="36"/>
      <c r="AC5390" s="36"/>
      <c r="AD5390" s="36"/>
      <c r="AE5390" s="36"/>
      <c r="AF5390" s="36"/>
      <c r="AG5390" s="36"/>
      <c r="AH5390" s="36"/>
      <c r="AI5390" s="36"/>
      <c r="AJ5390" s="15">
        <f t="shared" si="810"/>
        <v>0</v>
      </c>
      <c r="AK5390" s="14">
        <v>200</v>
      </c>
      <c r="AL5390" s="14"/>
      <c r="AM5390" s="14"/>
      <c r="AN5390" s="14"/>
      <c r="AO5390" s="14"/>
      <c r="AP5390" s="14"/>
      <c r="AQ5390" s="14"/>
      <c r="AR5390" s="14"/>
      <c r="AS5390" s="14"/>
      <c r="AT5390" s="14"/>
      <c r="AU5390" s="14"/>
      <c r="AV5390" s="14"/>
      <c r="AW5390" s="15">
        <f t="shared" si="811"/>
        <v>200</v>
      </c>
      <c r="AX5390" s="16"/>
    </row>
    <row r="5391" spans="2:51" x14ac:dyDescent="0.2">
      <c r="B5391" s="7"/>
      <c r="C5391" s="8">
        <v>15576</v>
      </c>
      <c r="D5391" s="9" t="s">
        <v>189</v>
      </c>
      <c r="E5391" s="10" t="str">
        <f t="shared" si="806"/>
        <v>Rancho La Cuchilla No. 42</v>
      </c>
      <c r="F5391" s="10" t="str">
        <f t="shared" si="807"/>
        <v>Mac Kinney</v>
      </c>
      <c r="G5391" s="8">
        <v>1</v>
      </c>
      <c r="H5391" s="11">
        <v>400</v>
      </c>
      <c r="I5391" s="12">
        <v>43086</v>
      </c>
      <c r="J5391" s="35">
        <f t="shared" si="808"/>
        <v>0</v>
      </c>
      <c r="K5391" s="36"/>
      <c r="L5391" s="36"/>
      <c r="M5391" s="36"/>
      <c r="N5391" s="36"/>
      <c r="O5391" s="36"/>
      <c r="P5391" s="36"/>
      <c r="Q5391" s="36"/>
      <c r="R5391" s="36"/>
      <c r="S5391" s="36"/>
      <c r="T5391" s="36"/>
      <c r="U5391" s="36"/>
      <c r="V5391" s="36"/>
      <c r="W5391" s="15">
        <f t="shared" si="809"/>
        <v>0</v>
      </c>
      <c r="X5391" s="36"/>
      <c r="Y5391" s="36"/>
      <c r="Z5391" s="36"/>
      <c r="AA5391" s="36"/>
      <c r="AB5391" s="36"/>
      <c r="AC5391" s="36"/>
      <c r="AD5391" s="36"/>
      <c r="AE5391" s="36"/>
      <c r="AF5391" s="36">
        <v>400</v>
      </c>
      <c r="AG5391" s="36"/>
      <c r="AH5391" s="36"/>
      <c r="AI5391" s="36"/>
      <c r="AJ5391" s="15">
        <f t="shared" si="810"/>
        <v>400</v>
      </c>
      <c r="AK5391" s="14"/>
      <c r="AL5391" s="14"/>
      <c r="AM5391" s="14"/>
      <c r="AN5391" s="14"/>
      <c r="AO5391" s="14"/>
      <c r="AP5391" s="14"/>
      <c r="AQ5391" s="14"/>
      <c r="AR5391" s="14"/>
      <c r="AS5391" s="14"/>
      <c r="AT5391" s="14"/>
      <c r="AU5391" s="14"/>
      <c r="AV5391" s="14"/>
      <c r="AW5391" s="15">
        <f t="shared" si="811"/>
        <v>0</v>
      </c>
      <c r="AX5391" s="16"/>
    </row>
    <row r="5392" spans="2:51" x14ac:dyDescent="0.2">
      <c r="B5392" s="7"/>
      <c r="C5392" s="8">
        <v>15577</v>
      </c>
      <c r="D5392" s="9" t="s">
        <v>54</v>
      </c>
      <c r="E5392" s="10" t="str">
        <f t="shared" si="806"/>
        <v>Rancho La Cuchilla No. 80</v>
      </c>
      <c r="F5392" s="10" t="str">
        <f t="shared" si="807"/>
        <v>Aparicio</v>
      </c>
      <c r="G5392" s="8">
        <v>1</v>
      </c>
      <c r="H5392" s="11">
        <v>4400</v>
      </c>
      <c r="I5392" s="12">
        <v>43086</v>
      </c>
      <c r="J5392" s="35">
        <f t="shared" si="808"/>
        <v>0</v>
      </c>
      <c r="K5392" s="36"/>
      <c r="L5392" s="36"/>
      <c r="M5392" s="36"/>
      <c r="N5392" s="36"/>
      <c r="O5392" s="36"/>
      <c r="P5392" s="36"/>
      <c r="Q5392" s="36"/>
      <c r="R5392" s="36"/>
      <c r="S5392" s="36"/>
      <c r="T5392" s="36"/>
      <c r="U5392" s="36"/>
      <c r="V5392" s="36"/>
      <c r="W5392" s="15">
        <f t="shared" si="809"/>
        <v>0</v>
      </c>
      <c r="X5392" s="36"/>
      <c r="Y5392" s="36"/>
      <c r="Z5392" s="36"/>
      <c r="AA5392" s="36"/>
      <c r="AB5392" s="36"/>
      <c r="AC5392" s="36"/>
      <c r="AD5392" s="36"/>
      <c r="AE5392" s="36"/>
      <c r="AF5392" s="36"/>
      <c r="AG5392" s="36"/>
      <c r="AH5392" s="36"/>
      <c r="AI5392" s="36"/>
      <c r="AJ5392" s="15">
        <f t="shared" si="810"/>
        <v>0</v>
      </c>
      <c r="AK5392" s="14">
        <v>400</v>
      </c>
      <c r="AL5392" s="14">
        <v>400</v>
      </c>
      <c r="AM5392" s="14">
        <v>400</v>
      </c>
      <c r="AN5392" s="14">
        <v>400</v>
      </c>
      <c r="AO5392" s="14">
        <v>400</v>
      </c>
      <c r="AP5392" s="14">
        <v>400</v>
      </c>
      <c r="AQ5392" s="14">
        <v>400</v>
      </c>
      <c r="AR5392" s="14">
        <v>400</v>
      </c>
      <c r="AS5392" s="14">
        <v>400</v>
      </c>
      <c r="AT5392" s="14">
        <v>400</v>
      </c>
      <c r="AU5392" s="14">
        <v>400</v>
      </c>
      <c r="AV5392" s="14"/>
      <c r="AW5392" s="15">
        <f t="shared" si="811"/>
        <v>4400</v>
      </c>
      <c r="AX5392" s="16" t="s">
        <v>4431</v>
      </c>
    </row>
    <row r="5393" spans="2:50" x14ac:dyDescent="0.2">
      <c r="B5393" s="7"/>
      <c r="C5393" s="8">
        <v>15577</v>
      </c>
      <c r="D5393" s="9" t="s">
        <v>54</v>
      </c>
      <c r="E5393" s="10" t="str">
        <f t="shared" si="806"/>
        <v>Rancho La Cuchilla No. 80</v>
      </c>
      <c r="F5393" s="10" t="str">
        <f t="shared" si="807"/>
        <v>Aparicio</v>
      </c>
      <c r="G5393" s="8">
        <v>5</v>
      </c>
      <c r="H5393" s="11">
        <v>50</v>
      </c>
      <c r="I5393" s="12">
        <v>43086</v>
      </c>
      <c r="J5393" s="35">
        <f t="shared" si="808"/>
        <v>0</v>
      </c>
      <c r="K5393" s="36"/>
      <c r="L5393" s="36"/>
      <c r="M5393" s="36"/>
      <c r="N5393" s="36"/>
      <c r="O5393" s="36"/>
      <c r="P5393" s="36"/>
      <c r="Q5393" s="36"/>
      <c r="R5393" s="36"/>
      <c r="S5393" s="36"/>
      <c r="T5393" s="36"/>
      <c r="U5393" s="36"/>
      <c r="V5393" s="36"/>
      <c r="W5393" s="15">
        <f t="shared" si="809"/>
        <v>0</v>
      </c>
      <c r="X5393" s="36"/>
      <c r="Y5393" s="36"/>
      <c r="Z5393" s="36"/>
      <c r="AA5393" s="36"/>
      <c r="AB5393" s="36"/>
      <c r="AC5393" s="36"/>
      <c r="AD5393" s="36"/>
      <c r="AE5393" s="36"/>
      <c r="AF5393" s="36"/>
      <c r="AG5393" s="36"/>
      <c r="AH5393" s="36"/>
      <c r="AI5393" s="36"/>
      <c r="AJ5393" s="15">
        <f t="shared" si="810"/>
        <v>0</v>
      </c>
      <c r="AK5393" s="14"/>
      <c r="AL5393" s="14"/>
      <c r="AM5393" s="14"/>
      <c r="AN5393" s="14"/>
      <c r="AO5393" s="14"/>
      <c r="AP5393" s="14"/>
      <c r="AQ5393" s="14"/>
      <c r="AR5393" s="14"/>
      <c r="AS5393" s="14"/>
      <c r="AT5393" s="14"/>
      <c r="AU5393" s="14"/>
      <c r="AV5393" s="14"/>
      <c r="AW5393" s="15">
        <f t="shared" si="811"/>
        <v>0</v>
      </c>
      <c r="AX5393" s="16"/>
    </row>
    <row r="5394" spans="2:50" x14ac:dyDescent="0.2">
      <c r="B5394" s="7"/>
      <c r="C5394" s="8">
        <v>15578</v>
      </c>
      <c r="D5394" s="9" t="s">
        <v>589</v>
      </c>
      <c r="E5394" s="10" t="str">
        <f t="shared" si="806"/>
        <v>Rancho La Cuchilla No. 149</v>
      </c>
      <c r="F5394" s="10" t="str">
        <f t="shared" si="807"/>
        <v>Montes Irineos</v>
      </c>
      <c r="G5394" s="8">
        <v>1</v>
      </c>
      <c r="H5394" s="11">
        <v>800</v>
      </c>
      <c r="I5394" s="12">
        <v>43086</v>
      </c>
      <c r="J5394" s="35">
        <f t="shared" si="808"/>
        <v>0</v>
      </c>
      <c r="K5394" s="36"/>
      <c r="L5394" s="36"/>
      <c r="M5394" s="36"/>
      <c r="N5394" s="36"/>
      <c r="O5394" s="36"/>
      <c r="P5394" s="36"/>
      <c r="Q5394" s="36"/>
      <c r="R5394" s="36"/>
      <c r="S5394" s="36"/>
      <c r="T5394" s="36"/>
      <c r="U5394" s="36"/>
      <c r="V5394" s="36"/>
      <c r="W5394" s="15">
        <f t="shared" si="809"/>
        <v>0</v>
      </c>
      <c r="X5394" s="36"/>
      <c r="Y5394" s="36"/>
      <c r="Z5394" s="36"/>
      <c r="AA5394" s="36"/>
      <c r="AB5394" s="36"/>
      <c r="AC5394" s="36"/>
      <c r="AD5394" s="36"/>
      <c r="AE5394" s="36"/>
      <c r="AF5394" s="36">
        <v>400</v>
      </c>
      <c r="AG5394" s="36">
        <v>400</v>
      </c>
      <c r="AH5394" s="36"/>
      <c r="AI5394" s="36"/>
      <c r="AJ5394" s="15">
        <f t="shared" si="810"/>
        <v>800</v>
      </c>
      <c r="AK5394" s="14"/>
      <c r="AL5394" s="14"/>
      <c r="AM5394" s="14"/>
      <c r="AN5394" s="14"/>
      <c r="AO5394" s="14"/>
      <c r="AP5394" s="14"/>
      <c r="AQ5394" s="14"/>
      <c r="AR5394" s="14"/>
      <c r="AS5394" s="14"/>
      <c r="AT5394" s="14"/>
      <c r="AU5394" s="14"/>
      <c r="AV5394" s="14"/>
      <c r="AW5394" s="15">
        <f t="shared" si="811"/>
        <v>0</v>
      </c>
      <c r="AX5394" s="16"/>
    </row>
    <row r="5395" spans="2:50" x14ac:dyDescent="0.2">
      <c r="B5395" s="7"/>
      <c r="C5395" s="8">
        <v>15578</v>
      </c>
      <c r="D5395" s="9" t="s">
        <v>589</v>
      </c>
      <c r="E5395" s="10" t="str">
        <f t="shared" si="806"/>
        <v>Rancho La Cuchilla No. 149</v>
      </c>
      <c r="F5395" s="10" t="str">
        <f t="shared" si="807"/>
        <v>Montes Irineos</v>
      </c>
      <c r="G5395" s="8">
        <v>3</v>
      </c>
      <c r="H5395" s="11">
        <v>400</v>
      </c>
      <c r="I5395" s="12">
        <v>43086</v>
      </c>
      <c r="J5395" s="35">
        <f t="shared" si="808"/>
        <v>0</v>
      </c>
      <c r="K5395" s="36"/>
      <c r="L5395" s="36"/>
      <c r="M5395" s="36"/>
      <c r="N5395" s="36"/>
      <c r="O5395" s="36"/>
      <c r="P5395" s="36"/>
      <c r="Q5395" s="36"/>
      <c r="R5395" s="36"/>
      <c r="S5395" s="36"/>
      <c r="T5395" s="36"/>
      <c r="U5395" s="36"/>
      <c r="V5395" s="36"/>
      <c r="W5395" s="15">
        <f t="shared" si="809"/>
        <v>0</v>
      </c>
      <c r="X5395" s="36"/>
      <c r="Y5395" s="36"/>
      <c r="Z5395" s="36"/>
      <c r="AA5395" s="36"/>
      <c r="AB5395" s="36"/>
      <c r="AC5395" s="36"/>
      <c r="AD5395" s="36"/>
      <c r="AE5395" s="36"/>
      <c r="AF5395" s="36"/>
      <c r="AG5395" s="36"/>
      <c r="AH5395" s="36"/>
      <c r="AI5395" s="36"/>
      <c r="AJ5395" s="15">
        <f t="shared" si="810"/>
        <v>0</v>
      </c>
      <c r="AK5395" s="14"/>
      <c r="AL5395" s="14"/>
      <c r="AM5395" s="14"/>
      <c r="AN5395" s="14"/>
      <c r="AO5395" s="14"/>
      <c r="AP5395" s="14"/>
      <c r="AQ5395" s="14"/>
      <c r="AR5395" s="14"/>
      <c r="AS5395" s="14"/>
      <c r="AT5395" s="14"/>
      <c r="AU5395" s="14"/>
      <c r="AV5395" s="14"/>
      <c r="AW5395" s="15">
        <f t="shared" si="811"/>
        <v>0</v>
      </c>
      <c r="AX5395" s="16"/>
    </row>
    <row r="5396" spans="2:50" x14ac:dyDescent="0.2">
      <c r="B5396" s="7"/>
      <c r="C5396" s="8">
        <v>15579</v>
      </c>
      <c r="D5396" s="9" t="s">
        <v>911</v>
      </c>
      <c r="E5396" s="10" t="str">
        <f t="shared" si="806"/>
        <v>Rancho Estanzuela No. 19</v>
      </c>
      <c r="F5396" s="10" t="str">
        <f t="shared" si="807"/>
        <v>Robles</v>
      </c>
      <c r="G5396" s="8">
        <v>1</v>
      </c>
      <c r="H5396" s="11">
        <v>400</v>
      </c>
      <c r="I5396" s="12">
        <v>43086</v>
      </c>
      <c r="J5396" s="35">
        <f t="shared" si="808"/>
        <v>0</v>
      </c>
      <c r="K5396" s="36"/>
      <c r="L5396" s="36"/>
      <c r="M5396" s="36"/>
      <c r="N5396" s="36"/>
      <c r="O5396" s="36"/>
      <c r="P5396" s="36"/>
      <c r="Q5396" s="36"/>
      <c r="R5396" s="36"/>
      <c r="S5396" s="36"/>
      <c r="T5396" s="36"/>
      <c r="U5396" s="36"/>
      <c r="V5396" s="36"/>
      <c r="W5396" s="15">
        <f t="shared" si="809"/>
        <v>0</v>
      </c>
      <c r="X5396" s="36"/>
      <c r="Y5396" s="36"/>
      <c r="Z5396" s="36"/>
      <c r="AA5396" s="36"/>
      <c r="AB5396" s="36"/>
      <c r="AC5396" s="36"/>
      <c r="AD5396" s="36"/>
      <c r="AE5396" s="36"/>
      <c r="AF5396" s="36"/>
      <c r="AG5396" s="36"/>
      <c r="AH5396" s="36">
        <v>400</v>
      </c>
      <c r="AI5396" s="36"/>
      <c r="AJ5396" s="15">
        <f t="shared" si="810"/>
        <v>400</v>
      </c>
      <c r="AK5396" s="14"/>
      <c r="AL5396" s="14"/>
      <c r="AM5396" s="14"/>
      <c r="AN5396" s="14"/>
      <c r="AO5396" s="14"/>
      <c r="AP5396" s="14"/>
      <c r="AQ5396" s="14"/>
      <c r="AR5396" s="14"/>
      <c r="AS5396" s="14"/>
      <c r="AT5396" s="14"/>
      <c r="AU5396" s="14"/>
      <c r="AV5396" s="14"/>
      <c r="AW5396" s="15">
        <f t="shared" si="811"/>
        <v>0</v>
      </c>
      <c r="AX5396" s="16"/>
    </row>
    <row r="5397" spans="2:50" x14ac:dyDescent="0.2">
      <c r="B5397" s="7"/>
      <c r="C5397" s="8">
        <v>15580</v>
      </c>
      <c r="D5397" s="9" t="s">
        <v>295</v>
      </c>
      <c r="E5397" s="10" t="str">
        <f t="shared" si="806"/>
        <v>Rancho Landero No. 99</v>
      </c>
      <c r="F5397" s="10" t="str">
        <f t="shared" si="807"/>
        <v>Rangel</v>
      </c>
      <c r="G5397" s="8">
        <v>1</v>
      </c>
      <c r="H5397" s="11">
        <v>300</v>
      </c>
      <c r="I5397" s="12">
        <v>43086</v>
      </c>
      <c r="J5397" s="35">
        <f t="shared" si="808"/>
        <v>0</v>
      </c>
      <c r="K5397" s="36"/>
      <c r="L5397" s="36"/>
      <c r="M5397" s="36"/>
      <c r="N5397" s="36"/>
      <c r="O5397" s="36"/>
      <c r="P5397" s="36"/>
      <c r="Q5397" s="36"/>
      <c r="R5397" s="36"/>
      <c r="S5397" s="36"/>
      <c r="T5397" s="36"/>
      <c r="U5397" s="36"/>
      <c r="V5397" s="36"/>
      <c r="W5397" s="15">
        <f t="shared" si="809"/>
        <v>0</v>
      </c>
      <c r="X5397" s="36"/>
      <c r="Y5397" s="36"/>
      <c r="Z5397" s="36"/>
      <c r="AA5397" s="36"/>
      <c r="AB5397" s="36"/>
      <c r="AC5397" s="36"/>
      <c r="AD5397" s="36"/>
      <c r="AE5397" s="36"/>
      <c r="AF5397" s="36"/>
      <c r="AG5397" s="36">
        <v>300</v>
      </c>
      <c r="AH5397" s="36"/>
      <c r="AI5397" s="36"/>
      <c r="AJ5397" s="15">
        <f t="shared" si="810"/>
        <v>300</v>
      </c>
      <c r="AK5397" s="14"/>
      <c r="AL5397" s="14"/>
      <c r="AM5397" s="14"/>
      <c r="AN5397" s="14"/>
      <c r="AO5397" s="14"/>
      <c r="AP5397" s="14"/>
      <c r="AQ5397" s="14"/>
      <c r="AR5397" s="14"/>
      <c r="AS5397" s="14"/>
      <c r="AT5397" s="14"/>
      <c r="AU5397" s="14"/>
      <c r="AV5397" s="14"/>
      <c r="AW5397" s="15">
        <f t="shared" si="811"/>
        <v>0</v>
      </c>
      <c r="AX5397" s="16"/>
    </row>
    <row r="5398" spans="2:50" x14ac:dyDescent="0.2">
      <c r="B5398" s="7"/>
      <c r="C5398" s="8">
        <v>15581</v>
      </c>
      <c r="D5398" s="9" t="s">
        <v>292</v>
      </c>
      <c r="E5398" s="10" t="str">
        <f t="shared" si="806"/>
        <v>Rancho Upácuaro No. 140</v>
      </c>
      <c r="F5398" s="10" t="str">
        <f t="shared" si="807"/>
        <v>Gozain</v>
      </c>
      <c r="G5398" s="8">
        <v>1</v>
      </c>
      <c r="H5398" s="11">
        <v>800</v>
      </c>
      <c r="I5398" s="12">
        <v>43086</v>
      </c>
      <c r="J5398" s="35">
        <f t="shared" si="808"/>
        <v>0</v>
      </c>
      <c r="K5398" s="36"/>
      <c r="L5398" s="36"/>
      <c r="M5398" s="36"/>
      <c r="N5398" s="36"/>
      <c r="O5398" s="36"/>
      <c r="P5398" s="36"/>
      <c r="Q5398" s="36"/>
      <c r="R5398" s="36"/>
      <c r="S5398" s="36"/>
      <c r="T5398" s="36"/>
      <c r="U5398" s="36"/>
      <c r="V5398" s="36"/>
      <c r="W5398" s="15">
        <f t="shared" si="809"/>
        <v>0</v>
      </c>
      <c r="X5398" s="36"/>
      <c r="Y5398" s="36"/>
      <c r="Z5398" s="36"/>
      <c r="AA5398" s="36"/>
      <c r="AB5398" s="36"/>
      <c r="AC5398" s="36"/>
      <c r="AD5398" s="36"/>
      <c r="AE5398" s="36"/>
      <c r="AF5398" s="36"/>
      <c r="AG5398" s="36"/>
      <c r="AH5398" s="36"/>
      <c r="AI5398" s="36">
        <v>400</v>
      </c>
      <c r="AJ5398" s="15">
        <f t="shared" si="810"/>
        <v>400</v>
      </c>
      <c r="AK5398" s="14">
        <v>400</v>
      </c>
      <c r="AL5398" s="14"/>
      <c r="AM5398" s="14"/>
      <c r="AN5398" s="14"/>
      <c r="AO5398" s="14"/>
      <c r="AP5398" s="14"/>
      <c r="AQ5398" s="14"/>
      <c r="AR5398" s="14"/>
      <c r="AS5398" s="14"/>
      <c r="AT5398" s="14"/>
      <c r="AU5398" s="14"/>
      <c r="AV5398" s="14"/>
      <c r="AW5398" s="15">
        <f t="shared" si="811"/>
        <v>400</v>
      </c>
      <c r="AX5398" s="16"/>
    </row>
    <row r="5399" spans="2:50" x14ac:dyDescent="0.2">
      <c r="B5399" s="7"/>
      <c r="C5399" s="8">
        <v>15582</v>
      </c>
      <c r="D5399" s="9" t="s">
        <v>574</v>
      </c>
      <c r="E5399" s="10" t="str">
        <f t="shared" si="806"/>
        <v xml:space="preserve">Rancho Upácuaro No. 94 </v>
      </c>
      <c r="F5399" s="10" t="str">
        <f t="shared" si="807"/>
        <v>Juárez Patiño</v>
      </c>
      <c r="G5399" s="8">
        <v>1</v>
      </c>
      <c r="H5399" s="11">
        <v>300</v>
      </c>
      <c r="I5399" s="12">
        <v>43086</v>
      </c>
      <c r="J5399" s="35">
        <f t="shared" si="808"/>
        <v>0</v>
      </c>
      <c r="K5399" s="36"/>
      <c r="L5399" s="36"/>
      <c r="M5399" s="36"/>
      <c r="N5399" s="36"/>
      <c r="O5399" s="36"/>
      <c r="P5399" s="36"/>
      <c r="Q5399" s="36"/>
      <c r="R5399" s="36"/>
      <c r="S5399" s="36"/>
      <c r="T5399" s="36"/>
      <c r="U5399" s="36"/>
      <c r="V5399" s="36"/>
      <c r="W5399" s="15">
        <f t="shared" si="809"/>
        <v>0</v>
      </c>
      <c r="X5399" s="36"/>
      <c r="Y5399" s="36"/>
      <c r="Z5399" s="36"/>
      <c r="AA5399" s="36"/>
      <c r="AB5399" s="36"/>
      <c r="AC5399" s="36"/>
      <c r="AD5399" s="36"/>
      <c r="AE5399" s="36"/>
      <c r="AF5399" s="36"/>
      <c r="AG5399" s="36"/>
      <c r="AH5399" s="36"/>
      <c r="AI5399" s="36">
        <v>300</v>
      </c>
      <c r="AJ5399" s="15">
        <f t="shared" si="810"/>
        <v>300</v>
      </c>
      <c r="AK5399" s="14"/>
      <c r="AL5399" s="14"/>
      <c r="AM5399" s="14"/>
      <c r="AN5399" s="14"/>
      <c r="AO5399" s="14"/>
      <c r="AP5399" s="14"/>
      <c r="AQ5399" s="14"/>
      <c r="AR5399" s="14"/>
      <c r="AS5399" s="14"/>
      <c r="AT5399" s="14"/>
      <c r="AU5399" s="14"/>
      <c r="AV5399" s="14"/>
      <c r="AW5399" s="15">
        <f t="shared" si="811"/>
        <v>0</v>
      </c>
      <c r="AX5399" s="16"/>
    </row>
    <row r="5400" spans="2:50" x14ac:dyDescent="0.2">
      <c r="B5400" s="7"/>
      <c r="C5400" s="8">
        <v>15583</v>
      </c>
      <c r="D5400" s="9" t="s">
        <v>963</v>
      </c>
      <c r="E5400" s="10" t="str">
        <f t="shared" si="806"/>
        <v>Rancho La Cuchilla No. 47</v>
      </c>
      <c r="F5400" s="10" t="str">
        <f t="shared" si="807"/>
        <v>López</v>
      </c>
      <c r="G5400" s="8">
        <v>1</v>
      </c>
      <c r="H5400" s="11">
        <v>1200</v>
      </c>
      <c r="I5400" s="12">
        <v>43086</v>
      </c>
      <c r="J5400" s="35">
        <f t="shared" si="808"/>
        <v>0</v>
      </c>
      <c r="K5400" s="36"/>
      <c r="L5400" s="36"/>
      <c r="M5400" s="36"/>
      <c r="N5400" s="36"/>
      <c r="O5400" s="36"/>
      <c r="P5400" s="36"/>
      <c r="Q5400" s="36"/>
      <c r="R5400" s="36"/>
      <c r="S5400" s="36"/>
      <c r="T5400" s="36"/>
      <c r="U5400" s="36"/>
      <c r="V5400" s="36"/>
      <c r="W5400" s="15">
        <f t="shared" si="809"/>
        <v>0</v>
      </c>
      <c r="X5400" s="36"/>
      <c r="Y5400" s="36"/>
      <c r="Z5400" s="36"/>
      <c r="AA5400" s="36"/>
      <c r="AB5400" s="36"/>
      <c r="AC5400" s="36"/>
      <c r="AD5400" s="36"/>
      <c r="AE5400" s="36"/>
      <c r="AF5400" s="36">
        <v>300</v>
      </c>
      <c r="AG5400" s="36">
        <v>300</v>
      </c>
      <c r="AH5400" s="36">
        <v>300</v>
      </c>
      <c r="AI5400" s="36">
        <v>300</v>
      </c>
      <c r="AJ5400" s="15">
        <f t="shared" si="810"/>
        <v>1200</v>
      </c>
      <c r="AK5400" s="14"/>
      <c r="AL5400" s="14"/>
      <c r="AM5400" s="14"/>
      <c r="AN5400" s="14"/>
      <c r="AO5400" s="14"/>
      <c r="AP5400" s="14"/>
      <c r="AQ5400" s="14"/>
      <c r="AR5400" s="14"/>
      <c r="AS5400" s="14"/>
      <c r="AT5400" s="14"/>
      <c r="AU5400" s="14"/>
      <c r="AV5400" s="14"/>
      <c r="AW5400" s="15">
        <f t="shared" si="811"/>
        <v>0</v>
      </c>
      <c r="AX5400" s="16"/>
    </row>
    <row r="5401" spans="2:50" x14ac:dyDescent="0.2">
      <c r="B5401" s="7"/>
      <c r="C5401" s="8">
        <v>15583</v>
      </c>
      <c r="D5401" s="9" t="s">
        <v>963</v>
      </c>
      <c r="E5401" s="10" t="str">
        <f t="shared" si="806"/>
        <v>Rancho La Cuchilla No. 47</v>
      </c>
      <c r="F5401" s="10" t="str">
        <f t="shared" si="807"/>
        <v>López</v>
      </c>
      <c r="G5401" s="8">
        <v>3</v>
      </c>
      <c r="H5401" s="11">
        <v>200</v>
      </c>
      <c r="I5401" s="12">
        <v>43086</v>
      </c>
      <c r="J5401" s="35">
        <f t="shared" si="808"/>
        <v>0</v>
      </c>
      <c r="K5401" s="36"/>
      <c r="L5401" s="36"/>
      <c r="M5401" s="36"/>
      <c r="N5401" s="36"/>
      <c r="O5401" s="36"/>
      <c r="P5401" s="36"/>
      <c r="Q5401" s="36"/>
      <c r="R5401" s="36"/>
      <c r="S5401" s="36"/>
      <c r="T5401" s="36"/>
      <c r="U5401" s="36"/>
      <c r="V5401" s="36"/>
      <c r="W5401" s="15">
        <f t="shared" si="809"/>
        <v>0</v>
      </c>
      <c r="X5401" s="36"/>
      <c r="Y5401" s="36"/>
      <c r="Z5401" s="36"/>
      <c r="AA5401" s="36"/>
      <c r="AB5401" s="36"/>
      <c r="AC5401" s="36"/>
      <c r="AD5401" s="36"/>
      <c r="AE5401" s="36"/>
      <c r="AF5401" s="36"/>
      <c r="AG5401" s="36"/>
      <c r="AH5401" s="36"/>
      <c r="AI5401" s="36"/>
      <c r="AJ5401" s="15">
        <f t="shared" si="810"/>
        <v>0</v>
      </c>
      <c r="AK5401" s="14"/>
      <c r="AL5401" s="14"/>
      <c r="AM5401" s="14"/>
      <c r="AN5401" s="14"/>
      <c r="AO5401" s="14"/>
      <c r="AP5401" s="14"/>
      <c r="AQ5401" s="14"/>
      <c r="AR5401" s="14"/>
      <c r="AS5401" s="14"/>
      <c r="AT5401" s="14"/>
      <c r="AU5401" s="14"/>
      <c r="AV5401" s="14"/>
      <c r="AW5401" s="15">
        <f t="shared" si="811"/>
        <v>0</v>
      </c>
      <c r="AX5401" s="16"/>
    </row>
    <row r="5402" spans="2:50" x14ac:dyDescent="0.2">
      <c r="B5402" s="7"/>
      <c r="C5402" s="8">
        <v>15584</v>
      </c>
      <c r="D5402" s="9" t="s">
        <v>192</v>
      </c>
      <c r="E5402" s="10" t="str">
        <f t="shared" si="806"/>
        <v>Rancho Landero No. 77</v>
      </c>
      <c r="F5402" s="10" t="str">
        <f t="shared" si="807"/>
        <v>Muñoz</v>
      </c>
      <c r="G5402" s="8">
        <v>1</v>
      </c>
      <c r="H5402" s="11">
        <v>400</v>
      </c>
      <c r="I5402" s="12">
        <v>43086</v>
      </c>
      <c r="J5402" s="35">
        <f t="shared" si="808"/>
        <v>0</v>
      </c>
      <c r="K5402" s="36"/>
      <c r="L5402" s="36"/>
      <c r="M5402" s="36"/>
      <c r="N5402" s="36"/>
      <c r="O5402" s="36"/>
      <c r="P5402" s="36"/>
      <c r="Q5402" s="36"/>
      <c r="R5402" s="36"/>
      <c r="S5402" s="36"/>
      <c r="T5402" s="36"/>
      <c r="U5402" s="36"/>
      <c r="V5402" s="36"/>
      <c r="W5402" s="15">
        <f t="shared" si="809"/>
        <v>0</v>
      </c>
      <c r="X5402" s="36"/>
      <c r="Y5402" s="36"/>
      <c r="Z5402" s="36"/>
      <c r="AA5402" s="36"/>
      <c r="AB5402" s="36"/>
      <c r="AC5402" s="36"/>
      <c r="AD5402" s="36"/>
      <c r="AE5402" s="36"/>
      <c r="AF5402" s="36"/>
      <c r="AG5402" s="36"/>
      <c r="AH5402" s="36"/>
      <c r="AI5402" s="36">
        <v>400</v>
      </c>
      <c r="AJ5402" s="15">
        <f t="shared" si="810"/>
        <v>400</v>
      </c>
      <c r="AK5402" s="14"/>
      <c r="AL5402" s="14"/>
      <c r="AM5402" s="14"/>
      <c r="AN5402" s="14"/>
      <c r="AO5402" s="14"/>
      <c r="AP5402" s="14"/>
      <c r="AQ5402" s="14"/>
      <c r="AR5402" s="14"/>
      <c r="AS5402" s="14"/>
      <c r="AT5402" s="14"/>
      <c r="AU5402" s="14"/>
      <c r="AV5402" s="14"/>
      <c r="AW5402" s="15">
        <f t="shared" si="811"/>
        <v>0</v>
      </c>
      <c r="AX5402" s="16"/>
    </row>
    <row r="5403" spans="2:50" x14ac:dyDescent="0.2">
      <c r="B5403" s="7"/>
      <c r="C5403" s="8">
        <v>15585</v>
      </c>
      <c r="D5403" s="9" t="s">
        <v>455</v>
      </c>
      <c r="E5403" s="10" t="str">
        <f t="shared" si="806"/>
        <v>Rancho Zinamba No. 38</v>
      </c>
      <c r="F5403" s="10" t="str">
        <f t="shared" si="807"/>
        <v>Ramírez Díaz</v>
      </c>
      <c r="G5403" s="8">
        <v>1</v>
      </c>
      <c r="H5403" s="11">
        <v>400</v>
      </c>
      <c r="I5403" s="12">
        <v>43086</v>
      </c>
      <c r="J5403" s="35">
        <f t="shared" si="808"/>
        <v>0</v>
      </c>
      <c r="K5403" s="36"/>
      <c r="L5403" s="36"/>
      <c r="M5403" s="36"/>
      <c r="N5403" s="36"/>
      <c r="O5403" s="36"/>
      <c r="P5403" s="36"/>
      <c r="Q5403" s="36"/>
      <c r="R5403" s="36"/>
      <c r="S5403" s="36"/>
      <c r="T5403" s="36"/>
      <c r="U5403" s="36"/>
      <c r="V5403" s="36"/>
      <c r="W5403" s="15">
        <f t="shared" si="809"/>
        <v>0</v>
      </c>
      <c r="X5403" s="36"/>
      <c r="Y5403" s="36"/>
      <c r="Z5403" s="36"/>
      <c r="AA5403" s="36"/>
      <c r="AB5403" s="36"/>
      <c r="AC5403" s="36"/>
      <c r="AD5403" s="36"/>
      <c r="AE5403" s="36"/>
      <c r="AF5403" s="36"/>
      <c r="AG5403" s="36"/>
      <c r="AH5403" s="36"/>
      <c r="AI5403" s="36">
        <v>400</v>
      </c>
      <c r="AJ5403" s="15">
        <f t="shared" si="810"/>
        <v>400</v>
      </c>
      <c r="AK5403" s="14"/>
      <c r="AL5403" s="14"/>
      <c r="AM5403" s="14"/>
      <c r="AN5403" s="14"/>
      <c r="AO5403" s="14"/>
      <c r="AP5403" s="14"/>
      <c r="AQ5403" s="14"/>
      <c r="AR5403" s="14"/>
      <c r="AS5403" s="14"/>
      <c r="AT5403" s="14"/>
      <c r="AU5403" s="14"/>
      <c r="AV5403" s="14"/>
      <c r="AW5403" s="15">
        <f t="shared" si="811"/>
        <v>0</v>
      </c>
      <c r="AX5403" s="16"/>
    </row>
    <row r="5404" spans="2:50" x14ac:dyDescent="0.2">
      <c r="B5404" s="7"/>
      <c r="C5404" s="8">
        <v>15586</v>
      </c>
      <c r="D5404" s="9" t="s">
        <v>488</v>
      </c>
      <c r="E5404" s="10" t="str">
        <f t="shared" si="806"/>
        <v>Rancho Landero No. 85</v>
      </c>
      <c r="F5404" s="10" t="str">
        <f t="shared" si="807"/>
        <v>Martínez Olague</v>
      </c>
      <c r="G5404" s="8">
        <v>1</v>
      </c>
      <c r="H5404" s="11">
        <v>400</v>
      </c>
      <c r="I5404" s="12">
        <v>43086</v>
      </c>
      <c r="J5404" s="35">
        <f t="shared" si="808"/>
        <v>0</v>
      </c>
      <c r="K5404" s="36"/>
      <c r="L5404" s="36"/>
      <c r="M5404" s="36"/>
      <c r="N5404" s="36"/>
      <c r="O5404" s="36"/>
      <c r="P5404" s="36"/>
      <c r="Q5404" s="36"/>
      <c r="R5404" s="36"/>
      <c r="S5404" s="36"/>
      <c r="T5404" s="36"/>
      <c r="U5404" s="36"/>
      <c r="V5404" s="36"/>
      <c r="W5404" s="15">
        <f t="shared" si="809"/>
        <v>0</v>
      </c>
      <c r="X5404" s="36"/>
      <c r="Y5404" s="36"/>
      <c r="Z5404" s="36"/>
      <c r="AA5404" s="36"/>
      <c r="AB5404" s="36"/>
      <c r="AC5404" s="36"/>
      <c r="AD5404" s="36"/>
      <c r="AE5404" s="36"/>
      <c r="AF5404" s="36"/>
      <c r="AG5404" s="36"/>
      <c r="AH5404" s="36"/>
      <c r="AI5404" s="36">
        <v>400</v>
      </c>
      <c r="AJ5404" s="15">
        <f t="shared" si="810"/>
        <v>400</v>
      </c>
      <c r="AK5404" s="14"/>
      <c r="AL5404" s="14"/>
      <c r="AM5404" s="14"/>
      <c r="AN5404" s="14"/>
      <c r="AO5404" s="14"/>
      <c r="AP5404" s="14"/>
      <c r="AQ5404" s="14"/>
      <c r="AR5404" s="14"/>
      <c r="AS5404" s="14"/>
      <c r="AT5404" s="14"/>
      <c r="AU5404" s="14"/>
      <c r="AV5404" s="14"/>
      <c r="AW5404" s="15">
        <f t="shared" si="811"/>
        <v>0</v>
      </c>
      <c r="AX5404" s="16"/>
    </row>
    <row r="5405" spans="2:50" x14ac:dyDescent="0.2">
      <c r="B5405" s="7"/>
      <c r="C5405" s="8">
        <v>15587</v>
      </c>
      <c r="D5405" s="9" t="s">
        <v>271</v>
      </c>
      <c r="E5405" s="10" t="str">
        <f t="shared" si="806"/>
        <v>Rancho Landero No. 76</v>
      </c>
      <c r="F5405" s="10" t="str">
        <f t="shared" si="807"/>
        <v>Ugarte</v>
      </c>
      <c r="G5405" s="8">
        <v>1</v>
      </c>
      <c r="H5405" s="11">
        <v>400</v>
      </c>
      <c r="I5405" s="12">
        <v>43086</v>
      </c>
      <c r="J5405" s="35">
        <f t="shared" si="808"/>
        <v>0</v>
      </c>
      <c r="K5405" s="36"/>
      <c r="L5405" s="36"/>
      <c r="M5405" s="36"/>
      <c r="N5405" s="36"/>
      <c r="O5405" s="36"/>
      <c r="P5405" s="36"/>
      <c r="Q5405" s="36"/>
      <c r="R5405" s="36"/>
      <c r="S5405" s="36"/>
      <c r="T5405" s="36"/>
      <c r="U5405" s="36"/>
      <c r="V5405" s="36"/>
      <c r="W5405" s="15">
        <f t="shared" si="809"/>
        <v>0</v>
      </c>
      <c r="X5405" s="36"/>
      <c r="Y5405" s="36"/>
      <c r="Z5405" s="36"/>
      <c r="AA5405" s="36"/>
      <c r="AB5405" s="36"/>
      <c r="AC5405" s="36"/>
      <c r="AD5405" s="36"/>
      <c r="AE5405" s="36"/>
      <c r="AF5405" s="36"/>
      <c r="AG5405" s="36"/>
      <c r="AH5405" s="36"/>
      <c r="AI5405" s="36">
        <v>400</v>
      </c>
      <c r="AJ5405" s="15">
        <f t="shared" si="810"/>
        <v>400</v>
      </c>
      <c r="AK5405" s="14"/>
      <c r="AL5405" s="14"/>
      <c r="AM5405" s="14"/>
      <c r="AN5405" s="14"/>
      <c r="AO5405" s="14"/>
      <c r="AP5405" s="14"/>
      <c r="AQ5405" s="14"/>
      <c r="AR5405" s="14"/>
      <c r="AS5405" s="14"/>
      <c r="AT5405" s="14"/>
      <c r="AU5405" s="14"/>
      <c r="AV5405" s="14"/>
      <c r="AW5405" s="15">
        <f t="shared" si="811"/>
        <v>0</v>
      </c>
      <c r="AX5405" s="16"/>
    </row>
    <row r="5406" spans="2:50" x14ac:dyDescent="0.2">
      <c r="B5406" s="7"/>
      <c r="C5406" s="8">
        <v>15588</v>
      </c>
      <c r="D5406" s="9" t="s">
        <v>911</v>
      </c>
      <c r="E5406" s="10" t="str">
        <f t="shared" si="806"/>
        <v>Rancho Estanzuela No. 19</v>
      </c>
      <c r="F5406" s="10" t="str">
        <f t="shared" si="807"/>
        <v>Robles</v>
      </c>
      <c r="G5406" s="8">
        <v>1</v>
      </c>
      <c r="H5406" s="11">
        <v>400</v>
      </c>
      <c r="I5406" s="12">
        <v>43086</v>
      </c>
      <c r="J5406" s="35">
        <f t="shared" si="808"/>
        <v>0</v>
      </c>
      <c r="K5406" s="36"/>
      <c r="L5406" s="36"/>
      <c r="M5406" s="36"/>
      <c r="N5406" s="36"/>
      <c r="O5406" s="36"/>
      <c r="P5406" s="36"/>
      <c r="Q5406" s="36"/>
      <c r="R5406" s="36"/>
      <c r="S5406" s="36"/>
      <c r="T5406" s="36"/>
      <c r="U5406" s="36"/>
      <c r="V5406" s="36"/>
      <c r="W5406" s="15">
        <f t="shared" si="809"/>
        <v>0</v>
      </c>
      <c r="X5406" s="36"/>
      <c r="Y5406" s="36"/>
      <c r="Z5406" s="36"/>
      <c r="AA5406" s="36"/>
      <c r="AB5406" s="36"/>
      <c r="AC5406" s="36"/>
      <c r="AD5406" s="36"/>
      <c r="AE5406" s="36"/>
      <c r="AF5406" s="36"/>
      <c r="AG5406" s="36"/>
      <c r="AH5406" s="36"/>
      <c r="AI5406" s="36">
        <v>400</v>
      </c>
      <c r="AJ5406" s="15">
        <f t="shared" si="810"/>
        <v>400</v>
      </c>
      <c r="AK5406" s="14"/>
      <c r="AL5406" s="14"/>
      <c r="AM5406" s="14"/>
      <c r="AN5406" s="14"/>
      <c r="AO5406" s="14"/>
      <c r="AP5406" s="14"/>
      <c r="AQ5406" s="14"/>
      <c r="AR5406" s="14"/>
      <c r="AS5406" s="14"/>
      <c r="AT5406" s="14"/>
      <c r="AU5406" s="14"/>
      <c r="AV5406" s="14"/>
      <c r="AW5406" s="15">
        <f t="shared" si="811"/>
        <v>0</v>
      </c>
      <c r="AX5406" s="16"/>
    </row>
    <row r="5407" spans="2:50" x14ac:dyDescent="0.2">
      <c r="B5407" s="7"/>
      <c r="C5407" s="8">
        <v>15589</v>
      </c>
      <c r="D5407" s="9" t="s">
        <v>81</v>
      </c>
      <c r="E5407" s="10" t="str">
        <f t="shared" si="806"/>
        <v>Rancho Estanzuela No. 3</v>
      </c>
      <c r="F5407" s="10" t="str">
        <f t="shared" si="807"/>
        <v>Villanueva Nájera</v>
      </c>
      <c r="G5407" s="8">
        <v>1</v>
      </c>
      <c r="H5407" s="11">
        <v>2200</v>
      </c>
      <c r="I5407" s="12">
        <v>43086</v>
      </c>
      <c r="J5407" s="35">
        <f t="shared" si="808"/>
        <v>0</v>
      </c>
      <c r="K5407" s="36"/>
      <c r="L5407" s="36"/>
      <c r="M5407" s="36"/>
      <c r="N5407" s="36"/>
      <c r="O5407" s="36"/>
      <c r="P5407" s="36"/>
      <c r="Q5407" s="36"/>
      <c r="R5407" s="36"/>
      <c r="S5407" s="36"/>
      <c r="T5407" s="36"/>
      <c r="U5407" s="36"/>
      <c r="V5407" s="36"/>
      <c r="W5407" s="15">
        <f t="shared" si="809"/>
        <v>0</v>
      </c>
      <c r="X5407" s="36"/>
      <c r="Y5407" s="36"/>
      <c r="Z5407" s="36"/>
      <c r="AA5407" s="36"/>
      <c r="AB5407" s="36"/>
      <c r="AC5407" s="36"/>
      <c r="AD5407" s="36"/>
      <c r="AE5407" s="36"/>
      <c r="AF5407" s="36"/>
      <c r="AG5407" s="36"/>
      <c r="AH5407" s="36"/>
      <c r="AI5407" s="36"/>
      <c r="AJ5407" s="15">
        <f t="shared" si="810"/>
        <v>0</v>
      </c>
      <c r="AK5407" s="14">
        <v>200</v>
      </c>
      <c r="AL5407" s="14">
        <v>200</v>
      </c>
      <c r="AM5407" s="14">
        <v>200</v>
      </c>
      <c r="AN5407" s="14">
        <v>200</v>
      </c>
      <c r="AO5407" s="14">
        <v>200</v>
      </c>
      <c r="AP5407" s="14">
        <v>200</v>
      </c>
      <c r="AQ5407" s="14">
        <v>200</v>
      </c>
      <c r="AR5407" s="14">
        <v>200</v>
      </c>
      <c r="AS5407" s="14">
        <v>200</v>
      </c>
      <c r="AT5407" s="14">
        <v>200</v>
      </c>
      <c r="AU5407" s="14">
        <v>200</v>
      </c>
      <c r="AV5407" s="14"/>
      <c r="AW5407" s="15">
        <f t="shared" si="811"/>
        <v>2200</v>
      </c>
      <c r="AX5407" s="16" t="s">
        <v>4431</v>
      </c>
    </row>
    <row r="5408" spans="2:50" x14ac:dyDescent="0.2">
      <c r="B5408" s="7"/>
      <c r="C5408" s="8">
        <v>15590</v>
      </c>
      <c r="D5408" s="9" t="s">
        <v>814</v>
      </c>
      <c r="E5408" s="10" t="str">
        <f t="shared" si="806"/>
        <v>Rancho Landero No. 47</v>
      </c>
      <c r="F5408" s="10" t="str">
        <f t="shared" si="807"/>
        <v>García González</v>
      </c>
      <c r="G5408" s="8">
        <v>1</v>
      </c>
      <c r="H5408" s="11">
        <v>1200</v>
      </c>
      <c r="I5408" s="12">
        <v>43086</v>
      </c>
      <c r="J5408" s="35">
        <f t="shared" si="808"/>
        <v>0</v>
      </c>
      <c r="K5408" s="36"/>
      <c r="L5408" s="36"/>
      <c r="M5408" s="36"/>
      <c r="N5408" s="36"/>
      <c r="O5408" s="36"/>
      <c r="P5408" s="36"/>
      <c r="Q5408" s="36"/>
      <c r="R5408" s="36"/>
      <c r="S5408" s="36"/>
      <c r="T5408" s="36"/>
      <c r="U5408" s="36"/>
      <c r="V5408" s="36"/>
      <c r="W5408" s="15">
        <f t="shared" si="809"/>
        <v>0</v>
      </c>
      <c r="X5408" s="36"/>
      <c r="Y5408" s="36"/>
      <c r="Z5408" s="36"/>
      <c r="AA5408" s="36"/>
      <c r="AB5408" s="36"/>
      <c r="AC5408" s="36"/>
      <c r="AD5408" s="36"/>
      <c r="AE5408" s="36"/>
      <c r="AF5408" s="36"/>
      <c r="AG5408" s="36">
        <v>400</v>
      </c>
      <c r="AH5408" s="36">
        <v>400</v>
      </c>
      <c r="AI5408" s="36">
        <v>400</v>
      </c>
      <c r="AJ5408" s="15">
        <f t="shared" si="810"/>
        <v>1200</v>
      </c>
      <c r="AK5408" s="14"/>
      <c r="AL5408" s="14"/>
      <c r="AM5408" s="14"/>
      <c r="AN5408" s="14"/>
      <c r="AO5408" s="14"/>
      <c r="AP5408" s="14"/>
      <c r="AQ5408" s="14"/>
      <c r="AR5408" s="14"/>
      <c r="AS5408" s="14"/>
      <c r="AT5408" s="14"/>
      <c r="AU5408" s="14"/>
      <c r="AV5408" s="14"/>
      <c r="AW5408" s="15">
        <f t="shared" si="811"/>
        <v>0</v>
      </c>
      <c r="AX5408" s="16"/>
    </row>
    <row r="5409" spans="2:50" x14ac:dyDescent="0.2">
      <c r="B5409" s="7"/>
      <c r="C5409" s="8">
        <v>15591</v>
      </c>
      <c r="D5409" s="9" t="s">
        <v>87</v>
      </c>
      <c r="E5409" s="10" t="str">
        <f t="shared" si="806"/>
        <v>Rancho Zinamba No. 36</v>
      </c>
      <c r="F5409" s="10" t="str">
        <f t="shared" si="807"/>
        <v>Rodríguez Ortiz</v>
      </c>
      <c r="G5409" s="8">
        <v>1</v>
      </c>
      <c r="H5409" s="11">
        <v>400</v>
      </c>
      <c r="I5409" s="12">
        <v>43086</v>
      </c>
      <c r="J5409" s="35">
        <f t="shared" si="808"/>
        <v>0</v>
      </c>
      <c r="K5409" s="36"/>
      <c r="L5409" s="36"/>
      <c r="M5409" s="36"/>
      <c r="N5409" s="36"/>
      <c r="O5409" s="36"/>
      <c r="P5409" s="36"/>
      <c r="Q5409" s="36"/>
      <c r="R5409" s="36"/>
      <c r="S5409" s="36"/>
      <c r="T5409" s="36"/>
      <c r="U5409" s="36"/>
      <c r="V5409" s="36"/>
      <c r="W5409" s="15">
        <f t="shared" si="809"/>
        <v>0</v>
      </c>
      <c r="X5409" s="36"/>
      <c r="Y5409" s="36"/>
      <c r="Z5409" s="36"/>
      <c r="AA5409" s="36"/>
      <c r="AB5409" s="36"/>
      <c r="AC5409" s="36"/>
      <c r="AD5409" s="36"/>
      <c r="AE5409" s="36"/>
      <c r="AF5409" s="36"/>
      <c r="AG5409" s="36"/>
      <c r="AH5409" s="36"/>
      <c r="AI5409" s="36"/>
      <c r="AJ5409" s="15">
        <f t="shared" si="810"/>
        <v>0</v>
      </c>
      <c r="AK5409" s="14">
        <v>400</v>
      </c>
      <c r="AL5409" s="14"/>
      <c r="AM5409" s="14"/>
      <c r="AN5409" s="14"/>
      <c r="AO5409" s="14"/>
      <c r="AP5409" s="14"/>
      <c r="AQ5409" s="14"/>
      <c r="AR5409" s="14"/>
      <c r="AS5409" s="14"/>
      <c r="AT5409" s="14"/>
      <c r="AU5409" s="14"/>
      <c r="AV5409" s="14"/>
      <c r="AW5409" s="15">
        <f t="shared" si="811"/>
        <v>400</v>
      </c>
      <c r="AX5409" s="16"/>
    </row>
    <row r="5410" spans="2:50" x14ac:dyDescent="0.2">
      <c r="B5410" s="7"/>
      <c r="C5410" s="8">
        <v>15592</v>
      </c>
      <c r="D5410" s="9" t="s">
        <v>289</v>
      </c>
      <c r="E5410" s="10" t="str">
        <f t="shared" si="806"/>
        <v>Rancho Estanzuela No. 17</v>
      </c>
      <c r="F5410" s="10" t="str">
        <f t="shared" si="807"/>
        <v>Enciso Ledesma</v>
      </c>
      <c r="G5410" s="8">
        <v>1</v>
      </c>
      <c r="H5410" s="11">
        <v>2200</v>
      </c>
      <c r="I5410" s="12">
        <v>43086</v>
      </c>
      <c r="J5410" s="35">
        <f t="shared" si="808"/>
        <v>0</v>
      </c>
      <c r="K5410" s="36"/>
      <c r="L5410" s="36"/>
      <c r="M5410" s="36"/>
      <c r="N5410" s="36"/>
      <c r="O5410" s="36"/>
      <c r="P5410" s="36"/>
      <c r="Q5410" s="36"/>
      <c r="R5410" s="36"/>
      <c r="S5410" s="36"/>
      <c r="T5410" s="36"/>
      <c r="U5410" s="36"/>
      <c r="V5410" s="36"/>
      <c r="W5410" s="15">
        <f t="shared" si="809"/>
        <v>0</v>
      </c>
      <c r="X5410" s="36"/>
      <c r="Y5410" s="36"/>
      <c r="Z5410" s="36"/>
      <c r="AA5410" s="36"/>
      <c r="AB5410" s="36"/>
      <c r="AC5410" s="36"/>
      <c r="AD5410" s="36"/>
      <c r="AE5410" s="36"/>
      <c r="AF5410" s="36"/>
      <c r="AG5410" s="36"/>
      <c r="AH5410" s="36"/>
      <c r="AI5410" s="36"/>
      <c r="AJ5410" s="15">
        <f t="shared" si="810"/>
        <v>0</v>
      </c>
      <c r="AK5410" s="14">
        <v>200</v>
      </c>
      <c r="AL5410" s="14">
        <v>200</v>
      </c>
      <c r="AM5410" s="14">
        <v>200</v>
      </c>
      <c r="AN5410" s="14">
        <v>200</v>
      </c>
      <c r="AO5410" s="14">
        <v>200</v>
      </c>
      <c r="AP5410" s="14">
        <v>200</v>
      </c>
      <c r="AQ5410" s="14">
        <v>200</v>
      </c>
      <c r="AR5410" s="14">
        <v>200</v>
      </c>
      <c r="AS5410" s="14">
        <v>200</v>
      </c>
      <c r="AT5410" s="14">
        <v>200</v>
      </c>
      <c r="AU5410" s="14">
        <v>200</v>
      </c>
      <c r="AV5410" s="14"/>
      <c r="AW5410" s="15">
        <f t="shared" si="811"/>
        <v>2200</v>
      </c>
      <c r="AX5410" s="16" t="s">
        <v>4431</v>
      </c>
    </row>
    <row r="5411" spans="2:50" x14ac:dyDescent="0.2">
      <c r="B5411" s="7"/>
      <c r="C5411" s="8">
        <v>15593</v>
      </c>
      <c r="D5411" s="9" t="s">
        <v>289</v>
      </c>
      <c r="E5411" s="10" t="str">
        <f t="shared" si="806"/>
        <v>Rancho Estanzuela No. 17</v>
      </c>
      <c r="F5411" s="10" t="str">
        <f t="shared" si="807"/>
        <v>Enciso Ledesma</v>
      </c>
      <c r="G5411" s="8">
        <v>4</v>
      </c>
      <c r="H5411" s="11">
        <v>400</v>
      </c>
      <c r="I5411" s="12">
        <v>43086</v>
      </c>
      <c r="J5411" s="35">
        <f t="shared" si="808"/>
        <v>0</v>
      </c>
      <c r="K5411" s="36"/>
      <c r="L5411" s="36"/>
      <c r="M5411" s="36"/>
      <c r="N5411" s="36"/>
      <c r="O5411" s="36"/>
      <c r="P5411" s="36"/>
      <c r="Q5411" s="36"/>
      <c r="R5411" s="36"/>
      <c r="S5411" s="36"/>
      <c r="T5411" s="36"/>
      <c r="U5411" s="36"/>
      <c r="V5411" s="36"/>
      <c r="W5411" s="15">
        <f t="shared" si="809"/>
        <v>0</v>
      </c>
      <c r="X5411" s="36"/>
      <c r="Y5411" s="36"/>
      <c r="Z5411" s="36"/>
      <c r="AA5411" s="36"/>
      <c r="AB5411" s="36"/>
      <c r="AC5411" s="36"/>
      <c r="AD5411" s="36"/>
      <c r="AE5411" s="36"/>
      <c r="AF5411" s="36"/>
      <c r="AG5411" s="36"/>
      <c r="AH5411" s="36"/>
      <c r="AI5411" s="36"/>
      <c r="AJ5411" s="15">
        <f t="shared" si="810"/>
        <v>0</v>
      </c>
      <c r="AK5411" s="14"/>
      <c r="AL5411" s="14"/>
      <c r="AM5411" s="14"/>
      <c r="AN5411" s="14"/>
      <c r="AO5411" s="14"/>
      <c r="AP5411" s="14"/>
      <c r="AQ5411" s="14"/>
      <c r="AR5411" s="14"/>
      <c r="AS5411" s="14"/>
      <c r="AT5411" s="14"/>
      <c r="AU5411" s="14"/>
      <c r="AV5411" s="14"/>
      <c r="AW5411" s="15">
        <f t="shared" si="811"/>
        <v>0</v>
      </c>
      <c r="AX5411" s="16" t="s">
        <v>4770</v>
      </c>
    </row>
    <row r="5412" spans="2:50" x14ac:dyDescent="0.2">
      <c r="B5412" s="7"/>
      <c r="C5412" s="8">
        <v>15594</v>
      </c>
      <c r="D5412" s="9" t="s">
        <v>523</v>
      </c>
      <c r="E5412" s="10" t="str">
        <f t="shared" si="806"/>
        <v>Rancho Estanzuela No. 139</v>
      </c>
      <c r="F5412" s="10" t="str">
        <f t="shared" si="807"/>
        <v xml:space="preserve">Ortiz   </v>
      </c>
      <c r="G5412" s="8">
        <v>1</v>
      </c>
      <c r="H5412" s="11">
        <v>800</v>
      </c>
      <c r="I5412" s="12">
        <v>43086</v>
      </c>
      <c r="J5412" s="35">
        <f t="shared" si="808"/>
        <v>0</v>
      </c>
      <c r="K5412" s="36"/>
      <c r="L5412" s="36"/>
      <c r="M5412" s="36"/>
      <c r="N5412" s="36"/>
      <c r="O5412" s="36"/>
      <c r="P5412" s="36"/>
      <c r="Q5412" s="36"/>
      <c r="R5412" s="36"/>
      <c r="S5412" s="36"/>
      <c r="T5412" s="36"/>
      <c r="U5412" s="36"/>
      <c r="V5412" s="36"/>
      <c r="W5412" s="15">
        <f t="shared" si="809"/>
        <v>0</v>
      </c>
      <c r="X5412" s="36"/>
      <c r="Y5412" s="36"/>
      <c r="Z5412" s="36"/>
      <c r="AA5412" s="36"/>
      <c r="AB5412" s="36"/>
      <c r="AC5412" s="36"/>
      <c r="AD5412" s="36"/>
      <c r="AE5412" s="36"/>
      <c r="AF5412" s="36"/>
      <c r="AG5412" s="36"/>
      <c r="AH5412" s="36">
        <v>400</v>
      </c>
      <c r="AI5412" s="36">
        <v>400</v>
      </c>
      <c r="AJ5412" s="15">
        <f t="shared" si="810"/>
        <v>800</v>
      </c>
      <c r="AK5412" s="14"/>
      <c r="AL5412" s="14"/>
      <c r="AM5412" s="14"/>
      <c r="AN5412" s="14"/>
      <c r="AO5412" s="14"/>
      <c r="AP5412" s="14"/>
      <c r="AQ5412" s="14"/>
      <c r="AR5412" s="14"/>
      <c r="AS5412" s="14"/>
      <c r="AT5412" s="14"/>
      <c r="AU5412" s="14"/>
      <c r="AV5412" s="14"/>
      <c r="AW5412" s="15">
        <f t="shared" si="811"/>
        <v>0</v>
      </c>
      <c r="AX5412" s="16"/>
    </row>
    <row r="5413" spans="2:50" x14ac:dyDescent="0.2">
      <c r="B5413" s="7"/>
      <c r="C5413" s="8">
        <v>15595</v>
      </c>
      <c r="D5413" s="9" t="s">
        <v>577</v>
      </c>
      <c r="E5413" s="10" t="str">
        <f t="shared" si="806"/>
        <v>Rancho La Cuchilla No. 46</v>
      </c>
      <c r="F5413" s="10" t="str">
        <f t="shared" si="807"/>
        <v>Cruz López</v>
      </c>
      <c r="G5413" s="8">
        <v>1</v>
      </c>
      <c r="H5413" s="11">
        <v>1200</v>
      </c>
      <c r="I5413" s="12">
        <v>43086</v>
      </c>
      <c r="J5413" s="35">
        <f t="shared" si="808"/>
        <v>0</v>
      </c>
      <c r="K5413" s="36"/>
      <c r="L5413" s="36"/>
      <c r="M5413" s="36"/>
      <c r="N5413" s="36"/>
      <c r="O5413" s="36"/>
      <c r="P5413" s="36"/>
      <c r="Q5413" s="36"/>
      <c r="R5413" s="36"/>
      <c r="S5413" s="36"/>
      <c r="T5413" s="36"/>
      <c r="U5413" s="36"/>
      <c r="V5413" s="36"/>
      <c r="W5413" s="15">
        <f t="shared" si="809"/>
        <v>0</v>
      </c>
      <c r="X5413" s="36"/>
      <c r="Y5413" s="36"/>
      <c r="Z5413" s="36"/>
      <c r="AA5413" s="36"/>
      <c r="AB5413" s="36"/>
      <c r="AC5413" s="36"/>
      <c r="AD5413" s="36"/>
      <c r="AE5413" s="36"/>
      <c r="AF5413" s="36"/>
      <c r="AG5413" s="36">
        <v>400</v>
      </c>
      <c r="AH5413" s="36">
        <v>400</v>
      </c>
      <c r="AI5413" s="36">
        <v>400</v>
      </c>
      <c r="AJ5413" s="15">
        <f t="shared" si="810"/>
        <v>1200</v>
      </c>
      <c r="AK5413" s="14"/>
      <c r="AL5413" s="14"/>
      <c r="AM5413" s="14"/>
      <c r="AN5413" s="14"/>
      <c r="AO5413" s="14"/>
      <c r="AP5413" s="14"/>
      <c r="AQ5413" s="14"/>
      <c r="AR5413" s="14"/>
      <c r="AS5413" s="14"/>
      <c r="AT5413" s="14"/>
      <c r="AU5413" s="14"/>
      <c r="AV5413" s="14"/>
      <c r="AW5413" s="15">
        <f t="shared" si="811"/>
        <v>0</v>
      </c>
      <c r="AX5413" s="16"/>
    </row>
    <row r="5414" spans="2:50" x14ac:dyDescent="0.2">
      <c r="B5414" s="7"/>
      <c r="C5414" s="8">
        <v>15596</v>
      </c>
      <c r="D5414" s="9" t="s">
        <v>449</v>
      </c>
      <c r="E5414" s="10" t="str">
        <f t="shared" si="806"/>
        <v>Rancho La Cuchilla No. 132</v>
      </c>
      <c r="F5414" s="10" t="str">
        <f t="shared" si="807"/>
        <v>Téllez Girón</v>
      </c>
      <c r="G5414" s="8">
        <v>1</v>
      </c>
      <c r="H5414" s="11">
        <v>1200</v>
      </c>
      <c r="I5414" s="12">
        <v>43086</v>
      </c>
      <c r="J5414" s="35">
        <f t="shared" si="808"/>
        <v>0</v>
      </c>
      <c r="K5414" s="36"/>
      <c r="L5414" s="36"/>
      <c r="M5414" s="36"/>
      <c r="N5414" s="36"/>
      <c r="O5414" s="36"/>
      <c r="P5414" s="36"/>
      <c r="Q5414" s="36"/>
      <c r="R5414" s="36"/>
      <c r="S5414" s="36"/>
      <c r="T5414" s="36"/>
      <c r="U5414" s="36"/>
      <c r="V5414" s="36"/>
      <c r="W5414" s="15">
        <f t="shared" si="809"/>
        <v>0</v>
      </c>
      <c r="X5414" s="36"/>
      <c r="Y5414" s="36"/>
      <c r="Z5414" s="36"/>
      <c r="AA5414" s="36"/>
      <c r="AB5414" s="36"/>
      <c r="AC5414" s="36"/>
      <c r="AD5414" s="36"/>
      <c r="AE5414" s="36"/>
      <c r="AF5414" s="36">
        <v>300</v>
      </c>
      <c r="AG5414" s="36">
        <v>300</v>
      </c>
      <c r="AH5414" s="36">
        <v>300</v>
      </c>
      <c r="AI5414" s="36">
        <v>300</v>
      </c>
      <c r="AJ5414" s="15">
        <f t="shared" si="810"/>
        <v>1200</v>
      </c>
      <c r="AK5414" s="14"/>
      <c r="AL5414" s="14"/>
      <c r="AM5414" s="14"/>
      <c r="AN5414" s="14"/>
      <c r="AO5414" s="14"/>
      <c r="AP5414" s="14"/>
      <c r="AQ5414" s="14"/>
      <c r="AR5414" s="14"/>
      <c r="AS5414" s="14"/>
      <c r="AT5414" s="14"/>
      <c r="AU5414" s="14"/>
      <c r="AV5414" s="14"/>
      <c r="AW5414" s="15">
        <f t="shared" si="811"/>
        <v>0</v>
      </c>
      <c r="AX5414" s="16"/>
    </row>
    <row r="5415" spans="2:50" x14ac:dyDescent="0.2">
      <c r="B5415" s="7"/>
      <c r="C5415" s="8">
        <v>15597</v>
      </c>
      <c r="D5415" s="9" t="s">
        <v>337</v>
      </c>
      <c r="E5415" s="10" t="str">
        <f t="shared" si="806"/>
        <v>Rancho La Cuchilla No. 96</v>
      </c>
      <c r="F5415" s="10" t="str">
        <f t="shared" si="807"/>
        <v>Valdez Álvarez</v>
      </c>
      <c r="G5415" s="8">
        <v>1</v>
      </c>
      <c r="H5415" s="11">
        <v>4400</v>
      </c>
      <c r="I5415" s="12">
        <v>43086</v>
      </c>
      <c r="J5415" s="35">
        <f t="shared" si="808"/>
        <v>0</v>
      </c>
      <c r="K5415" s="36"/>
      <c r="L5415" s="36"/>
      <c r="M5415" s="36"/>
      <c r="N5415" s="36"/>
      <c r="O5415" s="36"/>
      <c r="P5415" s="36"/>
      <c r="Q5415" s="36"/>
      <c r="R5415" s="36"/>
      <c r="S5415" s="36"/>
      <c r="T5415" s="36"/>
      <c r="U5415" s="36"/>
      <c r="V5415" s="36"/>
      <c r="W5415" s="15">
        <f t="shared" si="809"/>
        <v>0</v>
      </c>
      <c r="X5415" s="36"/>
      <c r="Y5415" s="36"/>
      <c r="Z5415" s="36"/>
      <c r="AA5415" s="36"/>
      <c r="AB5415" s="36"/>
      <c r="AC5415" s="36"/>
      <c r="AD5415" s="36"/>
      <c r="AE5415" s="36"/>
      <c r="AF5415" s="36"/>
      <c r="AG5415" s="36"/>
      <c r="AH5415" s="36"/>
      <c r="AI5415" s="36"/>
      <c r="AJ5415" s="15">
        <f t="shared" si="810"/>
        <v>0</v>
      </c>
      <c r="AK5415" s="14">
        <v>400</v>
      </c>
      <c r="AL5415" s="14">
        <v>400</v>
      </c>
      <c r="AM5415" s="14">
        <v>400</v>
      </c>
      <c r="AN5415" s="14">
        <v>400</v>
      </c>
      <c r="AO5415" s="14">
        <v>400</v>
      </c>
      <c r="AP5415" s="14">
        <v>400</v>
      </c>
      <c r="AQ5415" s="14">
        <v>400</v>
      </c>
      <c r="AR5415" s="14">
        <v>400</v>
      </c>
      <c r="AS5415" s="14">
        <v>400</v>
      </c>
      <c r="AT5415" s="14">
        <v>400</v>
      </c>
      <c r="AU5415" s="14">
        <v>400</v>
      </c>
      <c r="AV5415" s="14"/>
      <c r="AW5415" s="15">
        <f t="shared" si="811"/>
        <v>4400</v>
      </c>
      <c r="AX5415" s="16" t="s">
        <v>4431</v>
      </c>
    </row>
    <row r="5416" spans="2:50" x14ac:dyDescent="0.2">
      <c r="B5416" s="7"/>
      <c r="C5416" s="8">
        <v>15598</v>
      </c>
      <c r="D5416" s="9" t="s">
        <v>235</v>
      </c>
      <c r="E5416" s="10" t="str">
        <f t="shared" si="806"/>
        <v>Rancho La Cuchilla No. 43, A</v>
      </c>
      <c r="F5416" s="10" t="str">
        <f t="shared" si="807"/>
        <v>De la Rosa</v>
      </c>
      <c r="G5416" s="8">
        <v>1</v>
      </c>
      <c r="H5416" s="11">
        <v>400</v>
      </c>
      <c r="I5416" s="12">
        <v>43086</v>
      </c>
      <c r="J5416" s="35">
        <f t="shared" si="808"/>
        <v>0</v>
      </c>
      <c r="K5416" s="36"/>
      <c r="L5416" s="36"/>
      <c r="M5416" s="36"/>
      <c r="N5416" s="36"/>
      <c r="O5416" s="36"/>
      <c r="P5416" s="36"/>
      <c r="Q5416" s="36"/>
      <c r="R5416" s="36"/>
      <c r="S5416" s="36"/>
      <c r="T5416" s="36"/>
      <c r="U5416" s="36"/>
      <c r="V5416" s="36"/>
      <c r="W5416" s="15">
        <f t="shared" si="809"/>
        <v>0</v>
      </c>
      <c r="X5416" s="36"/>
      <c r="Y5416" s="36"/>
      <c r="Z5416" s="36"/>
      <c r="AA5416" s="36"/>
      <c r="AB5416" s="36"/>
      <c r="AC5416" s="36"/>
      <c r="AD5416" s="36"/>
      <c r="AE5416" s="36"/>
      <c r="AF5416" s="36"/>
      <c r="AG5416" s="36"/>
      <c r="AH5416" s="36">
        <v>400</v>
      </c>
      <c r="AI5416" s="36"/>
      <c r="AJ5416" s="15">
        <f t="shared" si="810"/>
        <v>400</v>
      </c>
      <c r="AK5416" s="14"/>
      <c r="AL5416" s="14"/>
      <c r="AM5416" s="14"/>
      <c r="AN5416" s="14"/>
      <c r="AO5416" s="14"/>
      <c r="AP5416" s="14"/>
      <c r="AQ5416" s="14"/>
      <c r="AR5416" s="14"/>
      <c r="AS5416" s="14"/>
      <c r="AT5416" s="14"/>
      <c r="AU5416" s="14"/>
      <c r="AV5416" s="14"/>
      <c r="AW5416" s="15">
        <f t="shared" si="811"/>
        <v>0</v>
      </c>
      <c r="AX5416" s="16"/>
    </row>
    <row r="5417" spans="2:50" x14ac:dyDescent="0.2">
      <c r="B5417" s="7"/>
      <c r="C5417" s="8">
        <v>15599</v>
      </c>
      <c r="D5417" s="9" t="s">
        <v>277</v>
      </c>
      <c r="E5417" s="10" t="str">
        <f t="shared" si="806"/>
        <v>Rancho Estanzuela No. 7, A</v>
      </c>
      <c r="F5417" s="10" t="str">
        <f t="shared" si="807"/>
        <v>Herrera Izquierdo</v>
      </c>
      <c r="G5417" s="8">
        <v>1</v>
      </c>
      <c r="H5417" s="11">
        <v>200</v>
      </c>
      <c r="I5417" s="12">
        <v>43086</v>
      </c>
      <c r="J5417" s="35">
        <f t="shared" si="808"/>
        <v>0</v>
      </c>
      <c r="K5417" s="36"/>
      <c r="L5417" s="36"/>
      <c r="M5417" s="36"/>
      <c r="N5417" s="36"/>
      <c r="O5417" s="36"/>
      <c r="P5417" s="36"/>
      <c r="Q5417" s="36"/>
      <c r="R5417" s="36"/>
      <c r="S5417" s="36"/>
      <c r="T5417" s="36"/>
      <c r="U5417" s="36"/>
      <c r="V5417" s="36"/>
      <c r="W5417" s="15">
        <f t="shared" si="809"/>
        <v>0</v>
      </c>
      <c r="X5417" s="36"/>
      <c r="Y5417" s="36"/>
      <c r="Z5417" s="36"/>
      <c r="AA5417" s="36"/>
      <c r="AB5417" s="36"/>
      <c r="AC5417" s="36"/>
      <c r="AD5417" s="36"/>
      <c r="AE5417" s="36"/>
      <c r="AF5417" s="36"/>
      <c r="AG5417" s="36"/>
      <c r="AH5417" s="36"/>
      <c r="AI5417" s="36">
        <v>200</v>
      </c>
      <c r="AJ5417" s="15">
        <f t="shared" si="810"/>
        <v>200</v>
      </c>
      <c r="AK5417" s="14"/>
      <c r="AL5417" s="14"/>
      <c r="AM5417" s="14"/>
      <c r="AN5417" s="14"/>
      <c r="AO5417" s="14"/>
      <c r="AP5417" s="14"/>
      <c r="AQ5417" s="14"/>
      <c r="AR5417" s="14"/>
      <c r="AS5417" s="14"/>
      <c r="AT5417" s="14"/>
      <c r="AU5417" s="14"/>
      <c r="AV5417" s="14"/>
      <c r="AW5417" s="15">
        <f t="shared" si="811"/>
        <v>0</v>
      </c>
      <c r="AX5417" s="16"/>
    </row>
    <row r="5418" spans="2:50" x14ac:dyDescent="0.2">
      <c r="B5418" s="7"/>
      <c r="C5418" s="8">
        <v>15600</v>
      </c>
      <c r="D5418" s="9" t="s">
        <v>208</v>
      </c>
      <c r="E5418" s="10" t="str">
        <f t="shared" si="806"/>
        <v>Rancho La Cuchilla No. 29</v>
      </c>
      <c r="F5418" s="10" t="str">
        <f t="shared" si="807"/>
        <v>Vega Sánchez C.</v>
      </c>
      <c r="G5418" s="8">
        <v>5</v>
      </c>
      <c r="H5418" s="11">
        <v>50</v>
      </c>
      <c r="I5418" s="12">
        <v>43086</v>
      </c>
      <c r="J5418" s="35">
        <f t="shared" si="808"/>
        <v>0</v>
      </c>
      <c r="K5418" s="36"/>
      <c r="L5418" s="36"/>
      <c r="M5418" s="36"/>
      <c r="N5418" s="36"/>
      <c r="O5418" s="36"/>
      <c r="P5418" s="36"/>
      <c r="Q5418" s="36"/>
      <c r="R5418" s="36"/>
      <c r="S5418" s="36"/>
      <c r="T5418" s="36"/>
      <c r="U5418" s="36"/>
      <c r="V5418" s="36"/>
      <c r="W5418" s="15">
        <f t="shared" si="809"/>
        <v>0</v>
      </c>
      <c r="X5418" s="36"/>
      <c r="Y5418" s="36"/>
      <c r="Z5418" s="36"/>
      <c r="AA5418" s="36"/>
      <c r="AB5418" s="36"/>
      <c r="AC5418" s="36"/>
      <c r="AD5418" s="36"/>
      <c r="AE5418" s="36"/>
      <c r="AF5418" s="36"/>
      <c r="AG5418" s="36"/>
      <c r="AH5418" s="36"/>
      <c r="AI5418" s="36"/>
      <c r="AJ5418" s="15">
        <f t="shared" si="810"/>
        <v>0</v>
      </c>
      <c r="AK5418" s="14"/>
      <c r="AL5418" s="14"/>
      <c r="AM5418" s="14"/>
      <c r="AN5418" s="14"/>
      <c r="AO5418" s="14"/>
      <c r="AP5418" s="14"/>
      <c r="AQ5418" s="14"/>
      <c r="AR5418" s="14"/>
      <c r="AS5418" s="14"/>
      <c r="AT5418" s="14"/>
      <c r="AU5418" s="14"/>
      <c r="AV5418" s="14"/>
      <c r="AW5418" s="15">
        <f t="shared" si="811"/>
        <v>0</v>
      </c>
      <c r="AX5418" s="16"/>
    </row>
    <row r="5419" spans="2:50" x14ac:dyDescent="0.2">
      <c r="B5419" s="7"/>
      <c r="C5419" s="8">
        <v>15601</v>
      </c>
      <c r="D5419" s="9" t="s">
        <v>814</v>
      </c>
      <c r="E5419" s="10" t="str">
        <f t="shared" si="806"/>
        <v>Rancho Landero No. 47</v>
      </c>
      <c r="F5419" s="10" t="str">
        <f t="shared" si="807"/>
        <v>García González</v>
      </c>
      <c r="G5419" s="8">
        <v>5</v>
      </c>
      <c r="H5419" s="11">
        <v>50</v>
      </c>
      <c r="I5419" s="12">
        <v>43086</v>
      </c>
      <c r="J5419" s="35">
        <f t="shared" si="808"/>
        <v>0</v>
      </c>
      <c r="K5419" s="36"/>
      <c r="L5419" s="36"/>
      <c r="M5419" s="36"/>
      <c r="N5419" s="36"/>
      <c r="O5419" s="36"/>
      <c r="P5419" s="36"/>
      <c r="Q5419" s="36"/>
      <c r="R5419" s="36"/>
      <c r="S5419" s="36"/>
      <c r="T5419" s="36"/>
      <c r="U5419" s="36"/>
      <c r="V5419" s="36"/>
      <c r="W5419" s="15">
        <f t="shared" si="809"/>
        <v>0</v>
      </c>
      <c r="X5419" s="36"/>
      <c r="Y5419" s="36"/>
      <c r="Z5419" s="36"/>
      <c r="AA5419" s="36"/>
      <c r="AB5419" s="36"/>
      <c r="AC5419" s="36"/>
      <c r="AD5419" s="36"/>
      <c r="AE5419" s="36"/>
      <c r="AF5419" s="36"/>
      <c r="AG5419" s="36"/>
      <c r="AH5419" s="36"/>
      <c r="AI5419" s="36"/>
      <c r="AJ5419" s="15">
        <f t="shared" si="810"/>
        <v>0</v>
      </c>
      <c r="AK5419" s="14"/>
      <c r="AL5419" s="14"/>
      <c r="AM5419" s="14"/>
      <c r="AN5419" s="14"/>
      <c r="AO5419" s="14"/>
      <c r="AP5419" s="14"/>
      <c r="AQ5419" s="14"/>
      <c r="AR5419" s="14"/>
      <c r="AS5419" s="14"/>
      <c r="AT5419" s="14"/>
      <c r="AU5419" s="14"/>
      <c r="AV5419" s="14"/>
      <c r="AW5419" s="15">
        <f t="shared" si="811"/>
        <v>0</v>
      </c>
      <c r="AX5419" s="16"/>
    </row>
    <row r="5420" spans="2:50" x14ac:dyDescent="0.2">
      <c r="B5420" s="7"/>
      <c r="C5420" s="8">
        <v>15602</v>
      </c>
      <c r="D5420" s="9" t="s">
        <v>440</v>
      </c>
      <c r="E5420" s="10" t="str">
        <f t="shared" si="806"/>
        <v>Rancho Estanzuela No. 159</v>
      </c>
      <c r="F5420" s="10" t="str">
        <f t="shared" si="807"/>
        <v>Silva</v>
      </c>
      <c r="G5420" s="8">
        <v>1</v>
      </c>
      <c r="H5420" s="11">
        <v>600</v>
      </c>
      <c r="I5420" s="12">
        <v>43086</v>
      </c>
      <c r="J5420" s="35">
        <f t="shared" si="808"/>
        <v>0</v>
      </c>
      <c r="K5420" s="36"/>
      <c r="L5420" s="36"/>
      <c r="M5420" s="36"/>
      <c r="N5420" s="36"/>
      <c r="O5420" s="36"/>
      <c r="P5420" s="36"/>
      <c r="Q5420" s="36"/>
      <c r="R5420" s="36"/>
      <c r="S5420" s="36"/>
      <c r="T5420" s="36"/>
      <c r="U5420" s="36"/>
      <c r="V5420" s="36"/>
      <c r="W5420" s="15">
        <f t="shared" si="809"/>
        <v>0</v>
      </c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>
        <v>300</v>
      </c>
      <c r="AI5420" s="36">
        <v>300</v>
      </c>
      <c r="AJ5420" s="15">
        <f t="shared" si="810"/>
        <v>600</v>
      </c>
      <c r="AK5420" s="14"/>
      <c r="AL5420" s="14"/>
      <c r="AM5420" s="14"/>
      <c r="AN5420" s="14"/>
      <c r="AO5420" s="14"/>
      <c r="AP5420" s="14"/>
      <c r="AQ5420" s="14"/>
      <c r="AR5420" s="14"/>
      <c r="AS5420" s="14"/>
      <c r="AT5420" s="14"/>
      <c r="AU5420" s="14"/>
      <c r="AV5420" s="14"/>
      <c r="AW5420" s="15">
        <f t="shared" si="811"/>
        <v>0</v>
      </c>
      <c r="AX5420" s="16"/>
    </row>
    <row r="5421" spans="2:50" x14ac:dyDescent="0.2">
      <c r="B5421" s="7"/>
      <c r="C5421" s="8">
        <v>15603</v>
      </c>
      <c r="D5421" s="9" t="s">
        <v>3852</v>
      </c>
      <c r="E5421" s="10" t="str">
        <f t="shared" si="806"/>
        <v>Rancho Estopila No. 44_2</v>
      </c>
      <c r="F5421" s="10" t="str">
        <f t="shared" si="807"/>
        <v>Blanca Herrera</v>
      </c>
      <c r="G5421" s="8">
        <v>1</v>
      </c>
      <c r="H5421" s="11">
        <v>800</v>
      </c>
      <c r="I5421" s="12">
        <v>43086</v>
      </c>
      <c r="J5421" s="35">
        <f t="shared" si="808"/>
        <v>0</v>
      </c>
      <c r="K5421" s="36"/>
      <c r="L5421" s="36"/>
      <c r="M5421" s="36"/>
      <c r="N5421" s="36"/>
      <c r="O5421" s="36"/>
      <c r="P5421" s="36"/>
      <c r="Q5421" s="36"/>
      <c r="R5421" s="36"/>
      <c r="S5421" s="36"/>
      <c r="T5421" s="36"/>
      <c r="U5421" s="36"/>
      <c r="V5421" s="36"/>
      <c r="W5421" s="15">
        <f t="shared" si="809"/>
        <v>0</v>
      </c>
      <c r="X5421" s="36"/>
      <c r="Y5421" s="36"/>
      <c r="Z5421" s="36"/>
      <c r="AA5421" s="36"/>
      <c r="AB5421" s="36"/>
      <c r="AC5421" s="36"/>
      <c r="AD5421" s="36"/>
      <c r="AE5421" s="36"/>
      <c r="AF5421" s="36">
        <v>200</v>
      </c>
      <c r="AG5421" s="36">
        <v>200</v>
      </c>
      <c r="AH5421" s="36">
        <v>200</v>
      </c>
      <c r="AI5421" s="36">
        <v>200</v>
      </c>
      <c r="AJ5421" s="15">
        <f t="shared" si="810"/>
        <v>800</v>
      </c>
      <c r="AK5421" s="14"/>
      <c r="AL5421" s="14"/>
      <c r="AM5421" s="14"/>
      <c r="AN5421" s="14"/>
      <c r="AO5421" s="14"/>
      <c r="AP5421" s="14"/>
      <c r="AQ5421" s="14"/>
      <c r="AR5421" s="14"/>
      <c r="AS5421" s="14"/>
      <c r="AT5421" s="14"/>
      <c r="AU5421" s="14"/>
      <c r="AV5421" s="14"/>
      <c r="AW5421" s="15">
        <f t="shared" si="811"/>
        <v>0</v>
      </c>
      <c r="AX5421" s="16"/>
    </row>
    <row r="5422" spans="2:50" x14ac:dyDescent="0.2">
      <c r="B5422" s="7"/>
      <c r="C5422" s="8">
        <v>15604</v>
      </c>
      <c r="D5422" s="9" t="s">
        <v>699</v>
      </c>
      <c r="E5422" s="10" t="str">
        <f t="shared" ref="E5422:E5429" si="812">IF(D5422=0,"",VLOOKUP(D5422,BASE,2,FALSE))</f>
        <v>Rancho La Cuchilla No. 18</v>
      </c>
      <c r="F5422" s="10" t="str">
        <f t="shared" ref="F5422:F5429" si="813">IF(D5422=0,"",VLOOKUP(D5422,BASE,3,FALSE))</f>
        <v>Aldana Sánchez</v>
      </c>
      <c r="G5422" s="8">
        <v>1</v>
      </c>
      <c r="H5422" s="11">
        <v>400</v>
      </c>
      <c r="I5422" s="12">
        <v>43086</v>
      </c>
      <c r="J5422" s="35">
        <f t="shared" ref="J5422:J5429" si="814">IF(G5422=1,SUM(W5422,AJ5422,AW5422,-H5422),0)</f>
        <v>0</v>
      </c>
      <c r="K5422" s="36"/>
      <c r="L5422" s="36"/>
      <c r="M5422" s="36"/>
      <c r="N5422" s="36"/>
      <c r="O5422" s="36"/>
      <c r="P5422" s="36"/>
      <c r="Q5422" s="36"/>
      <c r="R5422" s="36"/>
      <c r="S5422" s="36"/>
      <c r="T5422" s="36"/>
      <c r="U5422" s="36"/>
      <c r="V5422" s="36"/>
      <c r="W5422" s="15">
        <f t="shared" ref="W5422:W5429" si="815">SUM(K5422:V5422)</f>
        <v>0</v>
      </c>
      <c r="X5422" s="36"/>
      <c r="Y5422" s="36"/>
      <c r="Z5422" s="36"/>
      <c r="AA5422" s="36"/>
      <c r="AB5422" s="36"/>
      <c r="AC5422" s="36"/>
      <c r="AD5422" s="36"/>
      <c r="AE5422" s="36"/>
      <c r="AF5422" s="36"/>
      <c r="AG5422" s="36"/>
      <c r="AH5422" s="36"/>
      <c r="AI5422" s="36">
        <v>400</v>
      </c>
      <c r="AJ5422" s="15">
        <f t="shared" ref="AJ5422:AJ5429" si="816">SUM(X5422:AI5422)</f>
        <v>400</v>
      </c>
      <c r="AK5422" s="14"/>
      <c r="AL5422" s="14"/>
      <c r="AM5422" s="14"/>
      <c r="AN5422" s="14"/>
      <c r="AO5422" s="14"/>
      <c r="AP5422" s="14"/>
      <c r="AQ5422" s="14"/>
      <c r="AR5422" s="14"/>
      <c r="AS5422" s="14"/>
      <c r="AT5422" s="14"/>
      <c r="AU5422" s="14"/>
      <c r="AV5422" s="14"/>
      <c r="AW5422" s="15">
        <f t="shared" ref="AW5422:AW5429" si="817">SUM(AK5422:AV5422)</f>
        <v>0</v>
      </c>
      <c r="AX5422" s="16"/>
    </row>
    <row r="5423" spans="2:50" x14ac:dyDescent="0.2">
      <c r="B5423" s="7"/>
      <c r="C5423" s="8">
        <v>15605</v>
      </c>
      <c r="D5423" s="9" t="s">
        <v>705</v>
      </c>
      <c r="E5423" s="10" t="str">
        <f t="shared" si="812"/>
        <v>Rancho La Cuchilla No. 75</v>
      </c>
      <c r="F5423" s="10" t="str">
        <f t="shared" si="813"/>
        <v>Sosa Lucio</v>
      </c>
      <c r="G5423" s="8">
        <v>1</v>
      </c>
      <c r="H5423" s="11">
        <v>600</v>
      </c>
      <c r="I5423" s="12">
        <v>43086</v>
      </c>
      <c r="J5423" s="35">
        <f t="shared" si="814"/>
        <v>0</v>
      </c>
      <c r="K5423" s="36"/>
      <c r="L5423" s="36"/>
      <c r="M5423" s="36"/>
      <c r="N5423" s="36"/>
      <c r="O5423" s="36"/>
      <c r="P5423" s="36"/>
      <c r="Q5423" s="36"/>
      <c r="R5423" s="36"/>
      <c r="S5423" s="36"/>
      <c r="T5423" s="36"/>
      <c r="U5423" s="36"/>
      <c r="V5423" s="36"/>
      <c r="W5423" s="15">
        <f t="shared" si="815"/>
        <v>0</v>
      </c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>
        <v>300</v>
      </c>
      <c r="AI5423" s="36">
        <v>300</v>
      </c>
      <c r="AJ5423" s="15">
        <f t="shared" si="816"/>
        <v>600</v>
      </c>
      <c r="AK5423" s="14"/>
      <c r="AL5423" s="14"/>
      <c r="AM5423" s="14"/>
      <c r="AN5423" s="14"/>
      <c r="AO5423" s="14"/>
      <c r="AP5423" s="14"/>
      <c r="AQ5423" s="14"/>
      <c r="AR5423" s="14"/>
      <c r="AS5423" s="14"/>
      <c r="AT5423" s="14"/>
      <c r="AU5423" s="14"/>
      <c r="AV5423" s="14"/>
      <c r="AW5423" s="15">
        <f t="shared" si="817"/>
        <v>0</v>
      </c>
      <c r="AX5423" s="16"/>
    </row>
    <row r="5424" spans="2:50" x14ac:dyDescent="0.2">
      <c r="B5424" s="7"/>
      <c r="C5424" s="8">
        <v>15606</v>
      </c>
      <c r="D5424" s="9" t="s">
        <v>849</v>
      </c>
      <c r="E5424" s="10" t="str">
        <f t="shared" si="812"/>
        <v>Rancho La Cuchilla No. 127</v>
      </c>
      <c r="F5424" s="10" t="str">
        <f t="shared" si="813"/>
        <v>Quiñones</v>
      </c>
      <c r="G5424" s="8">
        <v>1</v>
      </c>
      <c r="H5424" s="11">
        <v>600</v>
      </c>
      <c r="I5424" s="12">
        <v>43086</v>
      </c>
      <c r="J5424" s="35">
        <f t="shared" si="814"/>
        <v>0</v>
      </c>
      <c r="K5424" s="36"/>
      <c r="L5424" s="36"/>
      <c r="M5424" s="36"/>
      <c r="N5424" s="36"/>
      <c r="O5424" s="36"/>
      <c r="P5424" s="36"/>
      <c r="Q5424" s="36"/>
      <c r="R5424" s="36"/>
      <c r="S5424" s="36"/>
      <c r="T5424" s="36"/>
      <c r="U5424" s="36"/>
      <c r="V5424" s="36"/>
      <c r="W5424" s="15">
        <f t="shared" si="815"/>
        <v>0</v>
      </c>
      <c r="X5424" s="36"/>
      <c r="Y5424" s="36"/>
      <c r="Z5424" s="36"/>
      <c r="AA5424" s="36"/>
      <c r="AB5424" s="36"/>
      <c r="AC5424" s="36"/>
      <c r="AD5424" s="36"/>
      <c r="AE5424" s="36"/>
      <c r="AF5424" s="36"/>
      <c r="AG5424" s="36"/>
      <c r="AH5424" s="36">
        <v>300</v>
      </c>
      <c r="AI5424" s="36">
        <v>300</v>
      </c>
      <c r="AJ5424" s="15">
        <f t="shared" si="816"/>
        <v>600</v>
      </c>
      <c r="AK5424" s="14"/>
      <c r="AL5424" s="14"/>
      <c r="AM5424" s="14"/>
      <c r="AN5424" s="14"/>
      <c r="AO5424" s="14"/>
      <c r="AP5424" s="14"/>
      <c r="AQ5424" s="14"/>
      <c r="AR5424" s="14"/>
      <c r="AS5424" s="14"/>
      <c r="AT5424" s="14"/>
      <c r="AU5424" s="14"/>
      <c r="AV5424" s="14"/>
      <c r="AW5424" s="15">
        <f t="shared" si="817"/>
        <v>0</v>
      </c>
      <c r="AX5424" s="16"/>
    </row>
    <row r="5425" spans="2:50" x14ac:dyDescent="0.2">
      <c r="B5425" s="7"/>
      <c r="C5425" s="8">
        <v>15607</v>
      </c>
      <c r="D5425" s="9" t="s">
        <v>800</v>
      </c>
      <c r="E5425" s="10" t="str">
        <f t="shared" si="812"/>
        <v>Rancho Upácuaro No. 14</v>
      </c>
      <c r="F5425" s="10" t="str">
        <f t="shared" si="813"/>
        <v>Castillo Hernández</v>
      </c>
      <c r="G5425" s="8">
        <v>1</v>
      </c>
      <c r="H5425" s="11">
        <v>1200</v>
      </c>
      <c r="I5425" s="12">
        <v>43086</v>
      </c>
      <c r="J5425" s="35">
        <f t="shared" si="814"/>
        <v>0</v>
      </c>
      <c r="K5425" s="36"/>
      <c r="L5425" s="36"/>
      <c r="M5425" s="36"/>
      <c r="N5425" s="36"/>
      <c r="O5425" s="36"/>
      <c r="P5425" s="36"/>
      <c r="Q5425" s="36"/>
      <c r="R5425" s="36"/>
      <c r="S5425" s="36"/>
      <c r="T5425" s="36"/>
      <c r="U5425" s="36"/>
      <c r="V5425" s="36"/>
      <c r="W5425" s="15">
        <f t="shared" si="815"/>
        <v>0</v>
      </c>
      <c r="X5425" s="36"/>
      <c r="Y5425" s="36"/>
      <c r="Z5425" s="36"/>
      <c r="AA5425" s="36"/>
      <c r="AB5425" s="36"/>
      <c r="AC5425" s="36"/>
      <c r="AD5425" s="36"/>
      <c r="AE5425" s="36"/>
      <c r="AF5425" s="36"/>
      <c r="AG5425" s="36">
        <v>400</v>
      </c>
      <c r="AH5425" s="36">
        <v>400</v>
      </c>
      <c r="AI5425" s="36">
        <v>400</v>
      </c>
      <c r="AJ5425" s="15">
        <f t="shared" si="816"/>
        <v>1200</v>
      </c>
      <c r="AK5425" s="14"/>
      <c r="AL5425" s="14"/>
      <c r="AM5425" s="14"/>
      <c r="AN5425" s="14"/>
      <c r="AO5425" s="14"/>
      <c r="AP5425" s="14"/>
      <c r="AQ5425" s="14"/>
      <c r="AR5425" s="14"/>
      <c r="AS5425" s="14"/>
      <c r="AT5425" s="14"/>
      <c r="AU5425" s="14"/>
      <c r="AV5425" s="14"/>
      <c r="AW5425" s="15">
        <f t="shared" si="817"/>
        <v>0</v>
      </c>
      <c r="AX5425" s="16"/>
    </row>
    <row r="5426" spans="2:50" x14ac:dyDescent="0.2">
      <c r="B5426" s="7"/>
      <c r="C5426" s="8">
        <v>15608</v>
      </c>
      <c r="D5426" s="9" t="s">
        <v>132</v>
      </c>
      <c r="E5426" s="10" t="str">
        <f t="shared" si="812"/>
        <v>Rancho La Cuchilla No. 129</v>
      </c>
      <c r="F5426" s="10" t="str">
        <f t="shared" si="813"/>
        <v>Gamboa Rueda</v>
      </c>
      <c r="G5426" s="8">
        <v>1</v>
      </c>
      <c r="H5426" s="11">
        <v>400</v>
      </c>
      <c r="I5426" s="12">
        <v>43086</v>
      </c>
      <c r="J5426" s="35">
        <f t="shared" si="814"/>
        <v>0</v>
      </c>
      <c r="K5426" s="36"/>
      <c r="L5426" s="36"/>
      <c r="M5426" s="36"/>
      <c r="N5426" s="36"/>
      <c r="O5426" s="36"/>
      <c r="P5426" s="36"/>
      <c r="Q5426" s="36"/>
      <c r="R5426" s="36"/>
      <c r="S5426" s="36"/>
      <c r="T5426" s="36"/>
      <c r="U5426" s="36"/>
      <c r="V5426" s="36"/>
      <c r="W5426" s="15">
        <f t="shared" si="815"/>
        <v>0</v>
      </c>
      <c r="X5426" s="36"/>
      <c r="Y5426" s="36"/>
      <c r="Z5426" s="36"/>
      <c r="AA5426" s="36"/>
      <c r="AB5426" s="36"/>
      <c r="AC5426" s="36"/>
      <c r="AD5426" s="36"/>
      <c r="AE5426" s="36"/>
      <c r="AF5426" s="36"/>
      <c r="AG5426" s="36"/>
      <c r="AH5426" s="36">
        <v>200</v>
      </c>
      <c r="AI5426" s="36">
        <v>200</v>
      </c>
      <c r="AJ5426" s="15">
        <f t="shared" si="816"/>
        <v>400</v>
      </c>
      <c r="AK5426" s="14"/>
      <c r="AL5426" s="14"/>
      <c r="AM5426" s="14"/>
      <c r="AN5426" s="14"/>
      <c r="AO5426" s="14"/>
      <c r="AP5426" s="14"/>
      <c r="AQ5426" s="14"/>
      <c r="AR5426" s="14"/>
      <c r="AS5426" s="14"/>
      <c r="AT5426" s="14"/>
      <c r="AU5426" s="14"/>
      <c r="AV5426" s="14"/>
      <c r="AW5426" s="15">
        <f t="shared" si="817"/>
        <v>0</v>
      </c>
      <c r="AX5426" s="16"/>
    </row>
    <row r="5427" spans="2:50" x14ac:dyDescent="0.2">
      <c r="B5427" s="7"/>
      <c r="C5427" s="8">
        <v>15609</v>
      </c>
      <c r="D5427" s="9" t="s">
        <v>425</v>
      </c>
      <c r="E5427" s="10" t="str">
        <f t="shared" si="812"/>
        <v>Rancho La Cuchilla No. 120</v>
      </c>
      <c r="F5427" s="10" t="str">
        <f t="shared" si="813"/>
        <v>Pozos Vilchis</v>
      </c>
      <c r="G5427" s="8">
        <v>1</v>
      </c>
      <c r="H5427" s="11">
        <v>400</v>
      </c>
      <c r="I5427" s="12">
        <v>43086</v>
      </c>
      <c r="J5427" s="35">
        <f t="shared" si="814"/>
        <v>0</v>
      </c>
      <c r="K5427" s="36"/>
      <c r="L5427" s="36"/>
      <c r="M5427" s="36"/>
      <c r="N5427" s="36"/>
      <c r="O5427" s="36"/>
      <c r="P5427" s="36"/>
      <c r="Q5427" s="36"/>
      <c r="R5427" s="36"/>
      <c r="S5427" s="36"/>
      <c r="T5427" s="36"/>
      <c r="U5427" s="36"/>
      <c r="V5427" s="36"/>
      <c r="W5427" s="15">
        <f t="shared" si="815"/>
        <v>0</v>
      </c>
      <c r="X5427" s="36"/>
      <c r="Y5427" s="36"/>
      <c r="Z5427" s="36"/>
      <c r="AA5427" s="36"/>
      <c r="AB5427" s="36"/>
      <c r="AC5427" s="36"/>
      <c r="AD5427" s="36"/>
      <c r="AE5427" s="36"/>
      <c r="AF5427" s="36"/>
      <c r="AG5427" s="36"/>
      <c r="AH5427" s="36"/>
      <c r="AI5427" s="36">
        <v>400</v>
      </c>
      <c r="AJ5427" s="15">
        <f t="shared" si="816"/>
        <v>400</v>
      </c>
      <c r="AK5427" s="14"/>
      <c r="AL5427" s="14"/>
      <c r="AM5427" s="14"/>
      <c r="AN5427" s="14"/>
      <c r="AO5427" s="14"/>
      <c r="AP5427" s="14"/>
      <c r="AQ5427" s="14"/>
      <c r="AR5427" s="14"/>
      <c r="AS5427" s="14"/>
      <c r="AT5427" s="14"/>
      <c r="AU5427" s="14"/>
      <c r="AV5427" s="14"/>
      <c r="AW5427" s="15">
        <f t="shared" si="817"/>
        <v>0</v>
      </c>
      <c r="AX5427" s="16"/>
    </row>
    <row r="5428" spans="2:50" x14ac:dyDescent="0.2">
      <c r="B5428" s="7"/>
      <c r="C5428" s="8">
        <v>15610</v>
      </c>
      <c r="D5428" s="9" t="s">
        <v>899</v>
      </c>
      <c r="E5428" s="10" t="str">
        <f t="shared" si="812"/>
        <v>Rancho Landero No. 8</v>
      </c>
      <c r="F5428" s="10" t="str">
        <f t="shared" si="813"/>
        <v>Garces Suarez</v>
      </c>
      <c r="G5428" s="8">
        <v>1</v>
      </c>
      <c r="H5428" s="11">
        <v>800</v>
      </c>
      <c r="I5428" s="12">
        <v>43086</v>
      </c>
      <c r="J5428" s="35">
        <f t="shared" si="814"/>
        <v>0</v>
      </c>
      <c r="K5428" s="36"/>
      <c r="L5428" s="36"/>
      <c r="M5428" s="36"/>
      <c r="N5428" s="36"/>
      <c r="O5428" s="36"/>
      <c r="P5428" s="36"/>
      <c r="Q5428" s="36"/>
      <c r="R5428" s="36"/>
      <c r="S5428" s="36"/>
      <c r="T5428" s="36"/>
      <c r="U5428" s="36"/>
      <c r="V5428" s="36"/>
      <c r="W5428" s="15">
        <f t="shared" si="815"/>
        <v>0</v>
      </c>
      <c r="X5428" s="36"/>
      <c r="Y5428" s="36"/>
      <c r="Z5428" s="36"/>
      <c r="AA5428" s="36"/>
      <c r="AB5428" s="36"/>
      <c r="AC5428" s="36"/>
      <c r="AD5428" s="36"/>
      <c r="AE5428" s="36"/>
      <c r="AF5428" s="36"/>
      <c r="AG5428" s="36"/>
      <c r="AH5428" s="36"/>
      <c r="AI5428" s="36">
        <v>400</v>
      </c>
      <c r="AJ5428" s="15">
        <f t="shared" si="816"/>
        <v>400</v>
      </c>
      <c r="AK5428" s="14">
        <v>400</v>
      </c>
      <c r="AL5428" s="14"/>
      <c r="AM5428" s="14"/>
      <c r="AN5428" s="14"/>
      <c r="AO5428" s="14"/>
      <c r="AP5428" s="14"/>
      <c r="AQ5428" s="14"/>
      <c r="AR5428" s="14"/>
      <c r="AS5428" s="14"/>
      <c r="AT5428" s="14"/>
      <c r="AU5428" s="14"/>
      <c r="AV5428" s="14"/>
      <c r="AW5428" s="15">
        <f t="shared" si="817"/>
        <v>400</v>
      </c>
      <c r="AX5428" s="16"/>
    </row>
    <row r="5429" spans="2:50" x14ac:dyDescent="0.2">
      <c r="B5429" s="7"/>
      <c r="C5429" s="8">
        <v>15611</v>
      </c>
      <c r="D5429" s="9" t="s">
        <v>932</v>
      </c>
      <c r="E5429" s="10" t="str">
        <f t="shared" si="812"/>
        <v>Rancho Landero No. 58</v>
      </c>
      <c r="F5429" s="10" t="str">
        <f t="shared" si="813"/>
        <v>Valero</v>
      </c>
      <c r="G5429" s="8">
        <v>1</v>
      </c>
      <c r="H5429" s="11">
        <v>1500</v>
      </c>
      <c r="I5429" s="12">
        <v>43086</v>
      </c>
      <c r="J5429" s="35">
        <f t="shared" si="814"/>
        <v>0</v>
      </c>
      <c r="K5429" s="36"/>
      <c r="L5429" s="36"/>
      <c r="M5429" s="36"/>
      <c r="N5429" s="36"/>
      <c r="O5429" s="36"/>
      <c r="P5429" s="36"/>
      <c r="Q5429" s="36"/>
      <c r="R5429" s="36"/>
      <c r="S5429" s="36"/>
      <c r="T5429" s="36"/>
      <c r="U5429" s="36"/>
      <c r="V5429" s="36"/>
      <c r="W5429" s="15">
        <f t="shared" si="815"/>
        <v>0</v>
      </c>
      <c r="X5429" s="36"/>
      <c r="Y5429" s="36"/>
      <c r="Z5429" s="36"/>
      <c r="AA5429" s="36"/>
      <c r="AB5429" s="36"/>
      <c r="AC5429" s="36"/>
      <c r="AD5429" s="36"/>
      <c r="AE5429" s="36"/>
      <c r="AF5429" s="36">
        <v>400</v>
      </c>
      <c r="AG5429" s="36">
        <v>400</v>
      </c>
      <c r="AH5429" s="36">
        <v>400</v>
      </c>
      <c r="AI5429" s="36">
        <v>300</v>
      </c>
      <c r="AJ5429" s="15">
        <f t="shared" si="816"/>
        <v>1500</v>
      </c>
      <c r="AK5429" s="14"/>
      <c r="AL5429" s="14"/>
      <c r="AM5429" s="14"/>
      <c r="AN5429" s="14"/>
      <c r="AO5429" s="14"/>
      <c r="AP5429" s="14"/>
      <c r="AQ5429" s="14"/>
      <c r="AR5429" s="14"/>
      <c r="AS5429" s="14"/>
      <c r="AT5429" s="14"/>
      <c r="AU5429" s="14"/>
      <c r="AV5429" s="14"/>
      <c r="AW5429" s="15">
        <f t="shared" si="817"/>
        <v>0</v>
      </c>
      <c r="AX5429" s="16"/>
    </row>
    <row r="5430" spans="2:50" x14ac:dyDescent="0.2">
      <c r="B5430" s="7"/>
      <c r="C5430" s="8">
        <v>15612</v>
      </c>
      <c r="D5430" s="9" t="s">
        <v>935</v>
      </c>
      <c r="E5430" s="10" t="str">
        <f t="shared" ref="E5430:E5432" si="818">IF(D5430=0,"",VLOOKUP(D5430,BASE,2,FALSE))</f>
        <v>Rancho Landero No. 39</v>
      </c>
      <c r="F5430" s="10" t="str">
        <f t="shared" ref="F5430:F5432" si="819">IF(D5430=0,"",VLOOKUP(D5430,BASE,3,FALSE))</f>
        <v>Soto del Cueto</v>
      </c>
      <c r="G5430" s="8">
        <v>1</v>
      </c>
      <c r="H5430" s="11">
        <v>750</v>
      </c>
      <c r="I5430" s="12">
        <v>43086</v>
      </c>
      <c r="J5430" s="35">
        <f t="shared" ref="J5430:J5432" si="820">IF(G5430=1,SUM(W5430,AJ5430,AW5430,-H5430),0)</f>
        <v>0</v>
      </c>
      <c r="K5430" s="36"/>
      <c r="L5430" s="36"/>
      <c r="M5430" s="36"/>
      <c r="N5430" s="36"/>
      <c r="O5430" s="36"/>
      <c r="P5430" s="36"/>
      <c r="Q5430" s="36"/>
      <c r="R5430" s="36"/>
      <c r="S5430" s="36"/>
      <c r="T5430" s="36"/>
      <c r="U5430" s="36"/>
      <c r="V5430" s="36"/>
      <c r="W5430" s="15">
        <f t="shared" ref="W5430:W5432" si="821">SUM(K5430:V5430)</f>
        <v>0</v>
      </c>
      <c r="X5430" s="36"/>
      <c r="Y5430" s="36"/>
      <c r="Z5430" s="36"/>
      <c r="AA5430" s="36"/>
      <c r="AB5430" s="36"/>
      <c r="AC5430" s="36"/>
      <c r="AD5430" s="36"/>
      <c r="AE5430" s="36"/>
      <c r="AF5430" s="36">
        <v>250</v>
      </c>
      <c r="AG5430" s="36">
        <v>250</v>
      </c>
      <c r="AH5430" s="36">
        <v>250</v>
      </c>
      <c r="AI5430" s="36"/>
      <c r="AJ5430" s="15">
        <f t="shared" ref="AJ5430:AJ5432" si="822">SUM(X5430:AI5430)</f>
        <v>750</v>
      </c>
      <c r="AK5430" s="14"/>
      <c r="AL5430" s="14"/>
      <c r="AM5430" s="14"/>
      <c r="AN5430" s="14"/>
      <c r="AO5430" s="14"/>
      <c r="AP5430" s="14"/>
      <c r="AQ5430" s="14"/>
      <c r="AR5430" s="14"/>
      <c r="AS5430" s="14"/>
      <c r="AT5430" s="14"/>
      <c r="AU5430" s="14"/>
      <c r="AV5430" s="14"/>
      <c r="AW5430" s="15">
        <f t="shared" ref="AW5430:AW5432" si="823">SUM(AK5430:AV5430)</f>
        <v>0</v>
      </c>
      <c r="AX5430" s="16"/>
    </row>
    <row r="5431" spans="2:50" x14ac:dyDescent="0.2">
      <c r="B5431" s="7"/>
      <c r="C5431" s="8">
        <v>15613</v>
      </c>
      <c r="D5431" s="9" t="s">
        <v>509</v>
      </c>
      <c r="E5431" s="10" t="str">
        <f t="shared" si="818"/>
        <v>Rancho La Cuchilla No. 77</v>
      </c>
      <c r="F5431" s="10" t="str">
        <f t="shared" si="819"/>
        <v>Loperena</v>
      </c>
      <c r="G5431" s="8">
        <v>1</v>
      </c>
      <c r="H5431" s="11">
        <v>600</v>
      </c>
      <c r="I5431" s="12">
        <v>43086</v>
      </c>
      <c r="J5431" s="35">
        <f t="shared" si="820"/>
        <v>0</v>
      </c>
      <c r="K5431" s="36"/>
      <c r="L5431" s="36"/>
      <c r="M5431" s="36"/>
      <c r="N5431" s="36"/>
      <c r="O5431" s="36"/>
      <c r="P5431" s="36"/>
      <c r="Q5431" s="36"/>
      <c r="R5431" s="36"/>
      <c r="S5431" s="36"/>
      <c r="T5431" s="36"/>
      <c r="U5431" s="36"/>
      <c r="V5431" s="36"/>
      <c r="W5431" s="15">
        <f t="shared" si="821"/>
        <v>0</v>
      </c>
      <c r="X5431" s="36"/>
      <c r="Y5431" s="36"/>
      <c r="Z5431" s="36"/>
      <c r="AA5431" s="36"/>
      <c r="AB5431" s="36"/>
      <c r="AC5431" s="36"/>
      <c r="AD5431" s="36"/>
      <c r="AE5431" s="36"/>
      <c r="AF5431" s="36"/>
      <c r="AG5431" s="36"/>
      <c r="AH5431" s="36">
        <v>300</v>
      </c>
      <c r="AI5431" s="36">
        <v>300</v>
      </c>
      <c r="AJ5431" s="15">
        <f t="shared" si="822"/>
        <v>600</v>
      </c>
      <c r="AK5431" s="14"/>
      <c r="AL5431" s="14"/>
      <c r="AM5431" s="14"/>
      <c r="AN5431" s="14"/>
      <c r="AO5431" s="14"/>
      <c r="AP5431" s="14"/>
      <c r="AQ5431" s="14"/>
      <c r="AR5431" s="14"/>
      <c r="AS5431" s="14"/>
      <c r="AT5431" s="14"/>
      <c r="AU5431" s="14"/>
      <c r="AV5431" s="14"/>
      <c r="AW5431" s="15">
        <f t="shared" si="823"/>
        <v>0</v>
      </c>
      <c r="AX5431" s="16"/>
    </row>
    <row r="5432" spans="2:50" x14ac:dyDescent="0.2">
      <c r="B5432" s="7"/>
      <c r="C5432" s="8">
        <v>15614</v>
      </c>
      <c r="D5432" s="9" t="s">
        <v>1299</v>
      </c>
      <c r="E5432" s="10" t="str">
        <f t="shared" si="818"/>
        <v>Rancho La Cuchilla No. 107</v>
      </c>
      <c r="F5432" s="10" t="str">
        <f t="shared" si="819"/>
        <v>Quiñones, Eduardo</v>
      </c>
      <c r="G5432" s="8">
        <v>1</v>
      </c>
      <c r="H5432" s="11">
        <v>400</v>
      </c>
      <c r="I5432" s="12">
        <v>43086</v>
      </c>
      <c r="J5432" s="35">
        <f t="shared" si="820"/>
        <v>0</v>
      </c>
      <c r="K5432" s="36"/>
      <c r="L5432" s="36"/>
      <c r="M5432" s="36"/>
      <c r="N5432" s="36"/>
      <c r="O5432" s="36"/>
      <c r="P5432" s="36"/>
      <c r="Q5432" s="36"/>
      <c r="R5432" s="36"/>
      <c r="S5432" s="36"/>
      <c r="T5432" s="36"/>
      <c r="U5432" s="36"/>
      <c r="V5432" s="36"/>
      <c r="W5432" s="15">
        <f t="shared" si="821"/>
        <v>0</v>
      </c>
      <c r="X5432" s="36"/>
      <c r="Y5432" s="36"/>
      <c r="Z5432" s="36"/>
      <c r="AA5432" s="36"/>
      <c r="AB5432" s="36"/>
      <c r="AC5432" s="36"/>
      <c r="AD5432" s="36"/>
      <c r="AE5432" s="36"/>
      <c r="AF5432" s="36"/>
      <c r="AG5432" s="36"/>
      <c r="AH5432" s="36"/>
      <c r="AI5432" s="36">
        <v>400</v>
      </c>
      <c r="AJ5432" s="15">
        <f t="shared" si="822"/>
        <v>400</v>
      </c>
      <c r="AK5432" s="14"/>
      <c r="AL5432" s="14"/>
      <c r="AM5432" s="14"/>
      <c r="AN5432" s="14"/>
      <c r="AO5432" s="14"/>
      <c r="AP5432" s="14"/>
      <c r="AQ5432" s="14"/>
      <c r="AR5432" s="14"/>
      <c r="AS5432" s="14"/>
      <c r="AT5432" s="14"/>
      <c r="AU5432" s="14"/>
      <c r="AV5432" s="14"/>
      <c r="AW5432" s="15">
        <f t="shared" si="823"/>
        <v>0</v>
      </c>
      <c r="AX5432" s="16"/>
    </row>
    <row r="5433" spans="2:50" x14ac:dyDescent="0.2">
      <c r="B5433" s="7"/>
      <c r="C5433" s="8">
        <v>15615</v>
      </c>
      <c r="D5433" s="9" t="s">
        <v>144</v>
      </c>
      <c r="E5433" s="10" t="str">
        <f t="shared" ref="E5433:E5438" si="824">IF(D5433=0,"",VLOOKUP(D5433,BASE,2,FALSE))</f>
        <v>Rancho La Cuchilla No. 19</v>
      </c>
      <c r="F5433" s="10" t="str">
        <f t="shared" ref="F5433:F5438" si="825">IF(D5433=0,"",VLOOKUP(D5433,BASE,3,FALSE))</f>
        <v>Tapia Vázquez</v>
      </c>
      <c r="G5433" s="8">
        <v>1</v>
      </c>
      <c r="H5433" s="11">
        <v>3300</v>
      </c>
      <c r="I5433" s="12">
        <v>43086</v>
      </c>
      <c r="J5433" s="35">
        <f t="shared" ref="J5433:J5438" si="826">IF(G5433=1,SUM(W5433,AJ5433,AW5433,-H5433),0)</f>
        <v>0</v>
      </c>
      <c r="K5433" s="36"/>
      <c r="L5433" s="36"/>
      <c r="M5433" s="36"/>
      <c r="N5433" s="36"/>
      <c r="O5433" s="36"/>
      <c r="P5433" s="36"/>
      <c r="Q5433" s="36"/>
      <c r="R5433" s="36"/>
      <c r="S5433" s="36"/>
      <c r="T5433" s="36"/>
      <c r="U5433" s="36"/>
      <c r="V5433" s="36"/>
      <c r="W5433" s="15">
        <f t="shared" ref="W5433:W5438" si="827">SUM(K5433:V5433)</f>
        <v>0</v>
      </c>
      <c r="X5433" s="36"/>
      <c r="Y5433" s="36"/>
      <c r="Z5433" s="36"/>
      <c r="AA5433" s="36"/>
      <c r="AB5433" s="36"/>
      <c r="AC5433" s="36"/>
      <c r="AD5433" s="36"/>
      <c r="AE5433" s="36"/>
      <c r="AF5433" s="36"/>
      <c r="AG5433" s="36"/>
      <c r="AH5433" s="36"/>
      <c r="AI5433" s="36"/>
      <c r="AJ5433" s="15">
        <f t="shared" ref="AJ5433:AJ5438" si="828">SUM(X5433:AI5433)</f>
        <v>0</v>
      </c>
      <c r="AK5433" s="14">
        <v>300</v>
      </c>
      <c r="AL5433" s="14">
        <v>300</v>
      </c>
      <c r="AM5433" s="14">
        <v>300</v>
      </c>
      <c r="AN5433" s="14">
        <v>300</v>
      </c>
      <c r="AO5433" s="14">
        <v>300</v>
      </c>
      <c r="AP5433" s="14">
        <v>300</v>
      </c>
      <c r="AQ5433" s="14">
        <v>300</v>
      </c>
      <c r="AR5433" s="14">
        <v>300</v>
      </c>
      <c r="AS5433" s="14">
        <v>300</v>
      </c>
      <c r="AT5433" s="14">
        <v>300</v>
      </c>
      <c r="AU5433" s="14">
        <v>300</v>
      </c>
      <c r="AV5433" s="14"/>
      <c r="AW5433" s="15">
        <f t="shared" ref="AW5433:AW5438" si="829">SUM(AK5433:AV5433)</f>
        <v>3300</v>
      </c>
      <c r="AX5433" s="16" t="s">
        <v>4431</v>
      </c>
    </row>
    <row r="5434" spans="2:50" x14ac:dyDescent="0.2">
      <c r="B5434" s="7"/>
      <c r="C5434" s="8">
        <v>15616</v>
      </c>
      <c r="D5434" s="9" t="s">
        <v>905</v>
      </c>
      <c r="E5434" s="10" t="str">
        <f t="shared" si="824"/>
        <v>Rancho Landero No. 81</v>
      </c>
      <c r="F5434" s="10" t="str">
        <f t="shared" si="825"/>
        <v>Cebrían Saldaña</v>
      </c>
      <c r="G5434" s="8">
        <v>1</v>
      </c>
      <c r="H5434" s="11">
        <v>400</v>
      </c>
      <c r="I5434" s="12">
        <v>43086</v>
      </c>
      <c r="J5434" s="35">
        <f t="shared" si="826"/>
        <v>0</v>
      </c>
      <c r="K5434" s="36"/>
      <c r="L5434" s="36"/>
      <c r="M5434" s="36"/>
      <c r="N5434" s="36"/>
      <c r="O5434" s="36"/>
      <c r="P5434" s="36"/>
      <c r="Q5434" s="36"/>
      <c r="R5434" s="36"/>
      <c r="S5434" s="36"/>
      <c r="T5434" s="36"/>
      <c r="U5434" s="36"/>
      <c r="V5434" s="36"/>
      <c r="W5434" s="15">
        <f t="shared" si="827"/>
        <v>0</v>
      </c>
      <c r="X5434" s="36"/>
      <c r="Y5434" s="36"/>
      <c r="Z5434" s="36"/>
      <c r="AA5434" s="36"/>
      <c r="AB5434" s="36"/>
      <c r="AC5434" s="36"/>
      <c r="AD5434" s="36"/>
      <c r="AE5434" s="36"/>
      <c r="AF5434" s="36">
        <v>200</v>
      </c>
      <c r="AG5434" s="36">
        <v>200</v>
      </c>
      <c r="AH5434" s="36"/>
      <c r="AI5434" s="36"/>
      <c r="AJ5434" s="15">
        <f t="shared" si="828"/>
        <v>400</v>
      </c>
      <c r="AK5434" s="14"/>
      <c r="AL5434" s="14"/>
      <c r="AM5434" s="14"/>
      <c r="AN5434" s="14"/>
      <c r="AO5434" s="14"/>
      <c r="AP5434" s="14"/>
      <c r="AQ5434" s="14"/>
      <c r="AR5434" s="14"/>
      <c r="AS5434" s="14"/>
      <c r="AT5434" s="14"/>
      <c r="AU5434" s="14"/>
      <c r="AV5434" s="14"/>
      <c r="AW5434" s="15">
        <f t="shared" si="829"/>
        <v>0</v>
      </c>
      <c r="AX5434" s="16"/>
    </row>
    <row r="5435" spans="2:50" x14ac:dyDescent="0.2">
      <c r="B5435" s="7"/>
      <c r="C5435" s="8">
        <v>15617</v>
      </c>
      <c r="D5435" s="9" t="s">
        <v>1335</v>
      </c>
      <c r="E5435" s="10" t="str">
        <f t="shared" si="824"/>
        <v>Rancho Estanzuela No. 49</v>
      </c>
      <c r="F5435" s="10" t="str">
        <f t="shared" si="825"/>
        <v>Sánchez Zamora</v>
      </c>
      <c r="G5435" s="8">
        <v>1</v>
      </c>
      <c r="H5435" s="11">
        <v>200</v>
      </c>
      <c r="I5435" s="12">
        <v>43086</v>
      </c>
      <c r="J5435" s="35">
        <f t="shared" si="826"/>
        <v>0</v>
      </c>
      <c r="K5435" s="36"/>
      <c r="L5435" s="36"/>
      <c r="M5435" s="36"/>
      <c r="N5435" s="36"/>
      <c r="O5435" s="36"/>
      <c r="P5435" s="36"/>
      <c r="Q5435" s="36"/>
      <c r="R5435" s="36"/>
      <c r="S5435" s="36"/>
      <c r="T5435" s="36"/>
      <c r="U5435" s="36"/>
      <c r="V5435" s="36"/>
      <c r="W5435" s="15">
        <f t="shared" si="827"/>
        <v>0</v>
      </c>
      <c r="X5435" s="36"/>
      <c r="Y5435" s="36"/>
      <c r="Z5435" s="36"/>
      <c r="AA5435" s="36"/>
      <c r="AB5435" s="36"/>
      <c r="AC5435" s="36"/>
      <c r="AD5435" s="36"/>
      <c r="AE5435" s="36"/>
      <c r="AF5435" s="36"/>
      <c r="AG5435" s="36"/>
      <c r="AH5435" s="36"/>
      <c r="AI5435" s="36">
        <v>200</v>
      </c>
      <c r="AJ5435" s="15">
        <f t="shared" si="828"/>
        <v>200</v>
      </c>
      <c r="AK5435" s="14"/>
      <c r="AL5435" s="14"/>
      <c r="AM5435" s="14"/>
      <c r="AN5435" s="14"/>
      <c r="AO5435" s="14"/>
      <c r="AP5435" s="14"/>
      <c r="AQ5435" s="14"/>
      <c r="AR5435" s="14"/>
      <c r="AS5435" s="14"/>
      <c r="AT5435" s="14"/>
      <c r="AU5435" s="14"/>
      <c r="AV5435" s="14"/>
      <c r="AW5435" s="15">
        <f t="shared" si="829"/>
        <v>0</v>
      </c>
      <c r="AX5435" s="316">
        <f>SUM(H5380:H5435)</f>
        <v>45400</v>
      </c>
    </row>
    <row r="5436" spans="2:50" x14ac:dyDescent="0.2">
      <c r="B5436" s="7"/>
      <c r="C5436" s="8">
        <v>15618</v>
      </c>
      <c r="D5436" s="9" t="s">
        <v>1032</v>
      </c>
      <c r="E5436" s="10" t="str">
        <f t="shared" si="824"/>
        <v>Rancho Estanzuela No. 157, 1</v>
      </c>
      <c r="F5436" s="10" t="str">
        <f t="shared" si="825"/>
        <v>Anzures</v>
      </c>
      <c r="G5436" s="8">
        <v>3</v>
      </c>
      <c r="H5436" s="315">
        <v>200</v>
      </c>
      <c r="I5436" s="12">
        <v>43087</v>
      </c>
      <c r="J5436" s="35">
        <f t="shared" si="826"/>
        <v>0</v>
      </c>
      <c r="K5436" s="36"/>
      <c r="L5436" s="36"/>
      <c r="M5436" s="36"/>
      <c r="N5436" s="36"/>
      <c r="O5436" s="36"/>
      <c r="P5436" s="36"/>
      <c r="Q5436" s="36"/>
      <c r="R5436" s="36"/>
      <c r="S5436" s="36"/>
      <c r="T5436" s="36"/>
      <c r="U5436" s="36"/>
      <c r="V5436" s="36"/>
      <c r="W5436" s="15">
        <f t="shared" si="827"/>
        <v>0</v>
      </c>
      <c r="X5436" s="36"/>
      <c r="Y5436" s="36"/>
      <c r="Z5436" s="36"/>
      <c r="AA5436" s="36"/>
      <c r="AB5436" s="36"/>
      <c r="AC5436" s="36"/>
      <c r="AD5436" s="36"/>
      <c r="AE5436" s="36"/>
      <c r="AF5436" s="36"/>
      <c r="AG5436" s="36"/>
      <c r="AH5436" s="36"/>
      <c r="AI5436" s="36"/>
      <c r="AJ5436" s="15">
        <f t="shared" si="828"/>
        <v>0</v>
      </c>
      <c r="AK5436" s="14"/>
      <c r="AL5436" s="14"/>
      <c r="AM5436" s="14"/>
      <c r="AN5436" s="14"/>
      <c r="AO5436" s="14"/>
      <c r="AP5436" s="14"/>
      <c r="AQ5436" s="14"/>
      <c r="AR5436" s="14"/>
      <c r="AS5436" s="14"/>
      <c r="AT5436" s="14"/>
      <c r="AU5436" s="14"/>
      <c r="AV5436" s="14"/>
      <c r="AW5436" s="15">
        <f t="shared" si="829"/>
        <v>0</v>
      </c>
      <c r="AX5436" s="16"/>
    </row>
    <row r="5437" spans="2:50" x14ac:dyDescent="0.2">
      <c r="B5437" s="7"/>
      <c r="C5437" s="8">
        <v>15819</v>
      </c>
      <c r="D5437" s="9" t="s">
        <v>696</v>
      </c>
      <c r="E5437" s="10" t="str">
        <f t="shared" si="824"/>
        <v>Rancho Upácuaro No. 64</v>
      </c>
      <c r="F5437" s="10" t="str">
        <f t="shared" si="825"/>
        <v>Méndez Oliva</v>
      </c>
      <c r="G5437" s="8">
        <v>1</v>
      </c>
      <c r="H5437" s="11">
        <v>300</v>
      </c>
      <c r="I5437" s="12">
        <v>43087</v>
      </c>
      <c r="J5437" s="35">
        <f t="shared" si="826"/>
        <v>0</v>
      </c>
      <c r="K5437" s="36"/>
      <c r="L5437" s="36"/>
      <c r="M5437" s="36"/>
      <c r="N5437" s="36"/>
      <c r="O5437" s="36"/>
      <c r="P5437" s="36"/>
      <c r="Q5437" s="36"/>
      <c r="R5437" s="36"/>
      <c r="S5437" s="36"/>
      <c r="T5437" s="36"/>
      <c r="U5437" s="36"/>
      <c r="V5437" s="36"/>
      <c r="W5437" s="15">
        <f t="shared" si="827"/>
        <v>0</v>
      </c>
      <c r="X5437" s="36"/>
      <c r="Y5437" s="36"/>
      <c r="Z5437" s="36"/>
      <c r="AA5437" s="36"/>
      <c r="AB5437" s="36"/>
      <c r="AC5437" s="36"/>
      <c r="AD5437" s="36"/>
      <c r="AE5437" s="36"/>
      <c r="AF5437" s="36"/>
      <c r="AG5437" s="36"/>
      <c r="AH5437" s="36"/>
      <c r="AI5437" s="36">
        <v>300</v>
      </c>
      <c r="AJ5437" s="15">
        <f t="shared" si="828"/>
        <v>300</v>
      </c>
      <c r="AK5437" s="14"/>
      <c r="AL5437" s="14"/>
      <c r="AM5437" s="14"/>
      <c r="AN5437" s="14"/>
      <c r="AO5437" s="14"/>
      <c r="AP5437" s="14"/>
      <c r="AQ5437" s="14"/>
      <c r="AR5437" s="14"/>
      <c r="AS5437" s="14"/>
      <c r="AT5437" s="14"/>
      <c r="AU5437" s="14"/>
      <c r="AV5437" s="14"/>
      <c r="AW5437" s="15">
        <f t="shared" si="829"/>
        <v>0</v>
      </c>
      <c r="AX5437" s="16"/>
    </row>
    <row r="5438" spans="2:50" x14ac:dyDescent="0.2">
      <c r="B5438" s="7"/>
      <c r="C5438" s="8">
        <v>15820</v>
      </c>
      <c r="D5438" s="9" t="s">
        <v>464</v>
      </c>
      <c r="E5438" s="10" t="str">
        <f t="shared" si="824"/>
        <v>Rancho La Cuchilla No. 68</v>
      </c>
      <c r="F5438" s="10" t="str">
        <f t="shared" si="825"/>
        <v>Montesinos</v>
      </c>
      <c r="G5438" s="8">
        <v>1</v>
      </c>
      <c r="H5438" s="11">
        <v>400</v>
      </c>
      <c r="I5438" s="12">
        <v>43088</v>
      </c>
      <c r="J5438" s="35">
        <f t="shared" si="826"/>
        <v>0</v>
      </c>
      <c r="K5438" s="36"/>
      <c r="L5438" s="36"/>
      <c r="M5438" s="36"/>
      <c r="N5438" s="36"/>
      <c r="O5438" s="36"/>
      <c r="P5438" s="36"/>
      <c r="Q5438" s="36"/>
      <c r="R5438" s="36"/>
      <c r="S5438" s="36"/>
      <c r="T5438" s="36"/>
      <c r="U5438" s="36"/>
      <c r="V5438" s="36"/>
      <c r="W5438" s="15">
        <f t="shared" si="827"/>
        <v>0</v>
      </c>
      <c r="X5438" s="36"/>
      <c r="Y5438" s="36"/>
      <c r="Z5438" s="36"/>
      <c r="AA5438" s="36"/>
      <c r="AB5438" s="36"/>
      <c r="AC5438" s="36"/>
      <c r="AD5438" s="36"/>
      <c r="AE5438" s="36"/>
      <c r="AF5438" s="36"/>
      <c r="AG5438" s="36"/>
      <c r="AH5438" s="36">
        <v>200</v>
      </c>
      <c r="AI5438" s="36">
        <v>200</v>
      </c>
      <c r="AJ5438" s="15">
        <f t="shared" si="828"/>
        <v>400</v>
      </c>
      <c r="AK5438" s="14"/>
      <c r="AL5438" s="14"/>
      <c r="AM5438" s="14"/>
      <c r="AN5438" s="14"/>
      <c r="AO5438" s="14"/>
      <c r="AP5438" s="14"/>
      <c r="AQ5438" s="14"/>
      <c r="AR5438" s="14"/>
      <c r="AS5438" s="14"/>
      <c r="AT5438" s="14"/>
      <c r="AU5438" s="14"/>
      <c r="AV5438" s="14"/>
      <c r="AW5438" s="15">
        <f t="shared" si="829"/>
        <v>0</v>
      </c>
      <c r="AX5438" s="16"/>
    </row>
    <row r="5439" spans="2:50" x14ac:dyDescent="0.2">
      <c r="B5439" s="7"/>
      <c r="C5439" s="8">
        <v>15821</v>
      </c>
      <c r="D5439" s="9" t="s">
        <v>864</v>
      </c>
      <c r="E5439" s="10" t="str">
        <f t="shared" ref="E5439:E5457" si="830">IF(D5439=0,"",VLOOKUP(D5439,BASE,2,FALSE))</f>
        <v>Rancho Upácuaro No. 40</v>
      </c>
      <c r="F5439" s="10" t="str">
        <f t="shared" ref="F5439:F5457" si="831">IF(D5439=0,"",VLOOKUP(D5439,BASE,3,FALSE))</f>
        <v>López Ramírez</v>
      </c>
      <c r="G5439" s="8">
        <v>1</v>
      </c>
      <c r="H5439" s="11">
        <v>900</v>
      </c>
      <c r="I5439" s="12">
        <v>43092</v>
      </c>
      <c r="J5439" s="35">
        <f t="shared" ref="J5439:J5457" si="832">IF(G5439=1,SUM(W5439,AJ5439,AW5439,-H5439),0)</f>
        <v>0</v>
      </c>
      <c r="K5439" s="36"/>
      <c r="L5439" s="36"/>
      <c r="M5439" s="36"/>
      <c r="N5439" s="36"/>
      <c r="O5439" s="36"/>
      <c r="P5439" s="36"/>
      <c r="Q5439" s="36"/>
      <c r="R5439" s="36"/>
      <c r="S5439" s="36"/>
      <c r="T5439" s="36"/>
      <c r="U5439" s="36"/>
      <c r="V5439" s="36"/>
      <c r="W5439" s="15">
        <f t="shared" ref="W5439:W5457" si="833">SUM(K5439:V5439)</f>
        <v>0</v>
      </c>
      <c r="X5439" s="36"/>
      <c r="Y5439" s="36"/>
      <c r="Z5439" s="36"/>
      <c r="AA5439" s="36"/>
      <c r="AB5439" s="36"/>
      <c r="AC5439" s="36"/>
      <c r="AD5439" s="36"/>
      <c r="AE5439" s="36">
        <v>300</v>
      </c>
      <c r="AF5439" s="36">
        <v>300</v>
      </c>
      <c r="AG5439" s="36">
        <v>300</v>
      </c>
      <c r="AH5439" s="36"/>
      <c r="AI5439" s="36"/>
      <c r="AJ5439" s="15">
        <f t="shared" ref="AJ5439:AJ5457" si="834">SUM(X5439:AI5439)</f>
        <v>900</v>
      </c>
      <c r="AK5439" s="14"/>
      <c r="AL5439" s="14"/>
      <c r="AM5439" s="14"/>
      <c r="AN5439" s="14"/>
      <c r="AO5439" s="14"/>
      <c r="AP5439" s="14"/>
      <c r="AQ5439" s="14"/>
      <c r="AR5439" s="14"/>
      <c r="AS5439" s="14"/>
      <c r="AT5439" s="14"/>
      <c r="AU5439" s="14"/>
      <c r="AV5439" s="14"/>
      <c r="AW5439" s="15">
        <f t="shared" ref="AW5439:AW5457" si="835">SUM(AK5439:AV5439)</f>
        <v>0</v>
      </c>
      <c r="AX5439" s="16"/>
    </row>
    <row r="5440" spans="2:50" x14ac:dyDescent="0.2">
      <c r="B5440" s="7"/>
      <c r="C5440" s="8">
        <v>15822</v>
      </c>
      <c r="D5440" s="9" t="s">
        <v>568</v>
      </c>
      <c r="E5440" s="10" t="str">
        <f t="shared" si="830"/>
        <v>Rancho Landero No. 95</v>
      </c>
      <c r="F5440" s="10" t="str">
        <f t="shared" si="831"/>
        <v>Rivas Rangel</v>
      </c>
      <c r="G5440" s="8">
        <v>1</v>
      </c>
      <c r="H5440" s="11">
        <v>400</v>
      </c>
      <c r="I5440" s="12">
        <v>43089</v>
      </c>
      <c r="J5440" s="35">
        <f t="shared" si="832"/>
        <v>0</v>
      </c>
      <c r="K5440" s="36"/>
      <c r="L5440" s="36"/>
      <c r="M5440" s="36"/>
      <c r="N5440" s="36"/>
      <c r="O5440" s="36"/>
      <c r="P5440" s="36"/>
      <c r="Q5440" s="36"/>
      <c r="R5440" s="36"/>
      <c r="S5440" s="36"/>
      <c r="T5440" s="36"/>
      <c r="U5440" s="36"/>
      <c r="V5440" s="36"/>
      <c r="W5440" s="15">
        <f t="shared" si="833"/>
        <v>0</v>
      </c>
      <c r="X5440" s="36"/>
      <c r="Y5440" s="36"/>
      <c r="Z5440" s="36"/>
      <c r="AA5440" s="36"/>
      <c r="AB5440" s="36"/>
      <c r="AC5440" s="36"/>
      <c r="AD5440" s="36"/>
      <c r="AE5440" s="36"/>
      <c r="AF5440" s="36"/>
      <c r="AG5440" s="36"/>
      <c r="AH5440" s="36"/>
      <c r="AI5440" s="36">
        <v>400</v>
      </c>
      <c r="AJ5440" s="15">
        <f t="shared" si="834"/>
        <v>400</v>
      </c>
      <c r="AK5440" s="14"/>
      <c r="AL5440" s="14"/>
      <c r="AM5440" s="14"/>
      <c r="AN5440" s="14"/>
      <c r="AO5440" s="14"/>
      <c r="AP5440" s="14"/>
      <c r="AQ5440" s="14"/>
      <c r="AR5440" s="14"/>
      <c r="AS5440" s="14"/>
      <c r="AT5440" s="14"/>
      <c r="AU5440" s="14"/>
      <c r="AV5440" s="14"/>
      <c r="AW5440" s="15">
        <f t="shared" si="835"/>
        <v>0</v>
      </c>
      <c r="AX5440" s="16"/>
    </row>
    <row r="5441" spans="2:50" x14ac:dyDescent="0.2">
      <c r="B5441" s="7"/>
      <c r="C5441" s="8">
        <v>15823</v>
      </c>
      <c r="D5441" s="9" t="s">
        <v>115</v>
      </c>
      <c r="E5441" s="10" t="str">
        <f t="shared" si="830"/>
        <v>Rancho Estanzuela No. 127</v>
      </c>
      <c r="F5441" s="10" t="str">
        <f t="shared" si="831"/>
        <v>Luna Zepeda</v>
      </c>
      <c r="G5441" s="8">
        <v>1</v>
      </c>
      <c r="H5441" s="11">
        <v>1650</v>
      </c>
      <c r="I5441" s="12">
        <v>43092</v>
      </c>
      <c r="J5441" s="35">
        <f t="shared" si="832"/>
        <v>0</v>
      </c>
      <c r="K5441" s="36"/>
      <c r="L5441" s="36"/>
      <c r="M5441" s="36"/>
      <c r="N5441" s="36"/>
      <c r="O5441" s="36"/>
      <c r="P5441" s="36"/>
      <c r="Q5441" s="36"/>
      <c r="R5441" s="36"/>
      <c r="S5441" s="36"/>
      <c r="T5441" s="36"/>
      <c r="U5441" s="36"/>
      <c r="V5441" s="36"/>
      <c r="W5441" s="15">
        <f t="shared" si="833"/>
        <v>0</v>
      </c>
      <c r="X5441" s="36"/>
      <c r="Y5441" s="36"/>
      <c r="Z5441" s="36"/>
      <c r="AA5441" s="36"/>
      <c r="AB5441" s="36"/>
      <c r="AC5441" s="36"/>
      <c r="AD5441" s="36"/>
      <c r="AE5441" s="36"/>
      <c r="AF5441" s="36"/>
      <c r="AG5441" s="36"/>
      <c r="AH5441" s="36"/>
      <c r="AI5441" s="36"/>
      <c r="AJ5441" s="15">
        <f t="shared" si="834"/>
        <v>0</v>
      </c>
      <c r="AK5441" s="14">
        <v>150</v>
      </c>
      <c r="AL5441" s="14">
        <v>150</v>
      </c>
      <c r="AM5441" s="14">
        <v>150</v>
      </c>
      <c r="AN5441" s="14">
        <v>150</v>
      </c>
      <c r="AO5441" s="14">
        <v>150</v>
      </c>
      <c r="AP5441" s="14">
        <v>150</v>
      </c>
      <c r="AQ5441" s="14">
        <v>150</v>
      </c>
      <c r="AR5441" s="14">
        <v>150</v>
      </c>
      <c r="AS5441" s="14">
        <v>150</v>
      </c>
      <c r="AT5441" s="14">
        <v>150</v>
      </c>
      <c r="AU5441" s="14">
        <v>150</v>
      </c>
      <c r="AV5441" s="14"/>
      <c r="AW5441" s="15">
        <f t="shared" si="835"/>
        <v>1650</v>
      </c>
      <c r="AX5441" s="16" t="s">
        <v>4431</v>
      </c>
    </row>
    <row r="5442" spans="2:50" x14ac:dyDescent="0.2">
      <c r="B5442" s="7"/>
      <c r="C5442" s="8">
        <v>15823</v>
      </c>
      <c r="D5442" s="9" t="s">
        <v>115</v>
      </c>
      <c r="E5442" s="10" t="str">
        <f t="shared" si="830"/>
        <v>Rancho Estanzuela No. 127</v>
      </c>
      <c r="F5442" s="10" t="str">
        <f t="shared" si="831"/>
        <v>Luna Zepeda</v>
      </c>
      <c r="G5442" s="8">
        <v>3</v>
      </c>
      <c r="H5442" s="11">
        <v>200</v>
      </c>
      <c r="I5442" s="12">
        <v>43092</v>
      </c>
      <c r="J5442" s="35">
        <f t="shared" si="832"/>
        <v>0</v>
      </c>
      <c r="K5442" s="36"/>
      <c r="L5442" s="36"/>
      <c r="M5442" s="36"/>
      <c r="N5442" s="36"/>
      <c r="O5442" s="36"/>
      <c r="P5442" s="36"/>
      <c r="Q5442" s="36"/>
      <c r="R5442" s="36"/>
      <c r="S5442" s="36"/>
      <c r="T5442" s="36"/>
      <c r="U5442" s="36"/>
      <c r="V5442" s="36"/>
      <c r="W5442" s="15">
        <f t="shared" si="833"/>
        <v>0</v>
      </c>
      <c r="X5442" s="36"/>
      <c r="Y5442" s="36"/>
      <c r="Z5442" s="36"/>
      <c r="AA5442" s="36"/>
      <c r="AB5442" s="36"/>
      <c r="AC5442" s="36"/>
      <c r="AD5442" s="36"/>
      <c r="AE5442" s="36"/>
      <c r="AF5442" s="36"/>
      <c r="AG5442" s="36"/>
      <c r="AH5442" s="36"/>
      <c r="AI5442" s="36"/>
      <c r="AJ5442" s="15">
        <f t="shared" si="834"/>
        <v>0</v>
      </c>
      <c r="AK5442" s="14"/>
      <c r="AL5442" s="14"/>
      <c r="AM5442" s="14"/>
      <c r="AN5442" s="14"/>
      <c r="AO5442" s="14"/>
      <c r="AP5442" s="14"/>
      <c r="AQ5442" s="14"/>
      <c r="AR5442" s="14"/>
      <c r="AS5442" s="14"/>
      <c r="AT5442" s="14"/>
      <c r="AU5442" s="14"/>
      <c r="AV5442" s="14"/>
      <c r="AW5442" s="15">
        <f t="shared" si="835"/>
        <v>0</v>
      </c>
      <c r="AX5442" s="16"/>
    </row>
    <row r="5443" spans="2:50" x14ac:dyDescent="0.2">
      <c r="B5443" s="7"/>
      <c r="C5443" s="8">
        <v>15824</v>
      </c>
      <c r="D5443" s="9" t="s">
        <v>803</v>
      </c>
      <c r="E5443" s="10" t="str">
        <f t="shared" si="830"/>
        <v>Rancho La Cuchilla No. 36</v>
      </c>
      <c r="F5443" s="10" t="str">
        <f t="shared" si="831"/>
        <v>Castillo</v>
      </c>
      <c r="G5443" s="8">
        <v>1</v>
      </c>
      <c r="H5443" s="11">
        <v>800</v>
      </c>
      <c r="I5443" s="12">
        <v>43092</v>
      </c>
      <c r="J5443" s="35">
        <f t="shared" si="832"/>
        <v>0</v>
      </c>
      <c r="K5443" s="36"/>
      <c r="L5443" s="36"/>
      <c r="M5443" s="36"/>
      <c r="N5443" s="36"/>
      <c r="O5443" s="36"/>
      <c r="P5443" s="36"/>
      <c r="Q5443" s="36"/>
      <c r="R5443" s="36"/>
      <c r="S5443" s="36"/>
      <c r="T5443" s="36"/>
      <c r="U5443" s="36"/>
      <c r="V5443" s="36"/>
      <c r="W5443" s="15">
        <f t="shared" si="833"/>
        <v>0</v>
      </c>
      <c r="X5443" s="36"/>
      <c r="Y5443" s="36"/>
      <c r="Z5443" s="36"/>
      <c r="AA5443" s="36"/>
      <c r="AB5443" s="36"/>
      <c r="AC5443" s="36"/>
      <c r="AD5443" s="36"/>
      <c r="AE5443" s="36"/>
      <c r="AF5443" s="36"/>
      <c r="AG5443" s="36">
        <v>400</v>
      </c>
      <c r="AH5443" s="36">
        <v>400</v>
      </c>
      <c r="AI5443" s="36"/>
      <c r="AJ5443" s="15">
        <f t="shared" si="834"/>
        <v>800</v>
      </c>
      <c r="AK5443" s="14"/>
      <c r="AL5443" s="14"/>
      <c r="AM5443" s="14"/>
      <c r="AN5443" s="14"/>
      <c r="AO5443" s="14"/>
      <c r="AP5443" s="14"/>
      <c r="AQ5443" s="14"/>
      <c r="AR5443" s="14"/>
      <c r="AS5443" s="14"/>
      <c r="AT5443" s="14"/>
      <c r="AU5443" s="14"/>
      <c r="AV5443" s="14"/>
      <c r="AW5443" s="15">
        <f t="shared" si="835"/>
        <v>0</v>
      </c>
      <c r="AX5443" s="16"/>
    </row>
    <row r="5444" spans="2:50" x14ac:dyDescent="0.2">
      <c r="B5444" s="7"/>
      <c r="C5444" s="8">
        <v>15825</v>
      </c>
      <c r="D5444" s="9" t="s">
        <v>617</v>
      </c>
      <c r="E5444" s="10" t="str">
        <f t="shared" si="830"/>
        <v>Rancho Zinamba No. 50</v>
      </c>
      <c r="F5444" s="10" t="str">
        <f t="shared" si="831"/>
        <v>Del Castillo</v>
      </c>
      <c r="G5444" s="8">
        <v>1</v>
      </c>
      <c r="H5444" s="11">
        <v>400</v>
      </c>
      <c r="I5444" s="12">
        <v>43092</v>
      </c>
      <c r="J5444" s="35">
        <f t="shared" si="832"/>
        <v>0</v>
      </c>
      <c r="K5444" s="36"/>
      <c r="L5444" s="36"/>
      <c r="M5444" s="36"/>
      <c r="N5444" s="36"/>
      <c r="O5444" s="36"/>
      <c r="P5444" s="36"/>
      <c r="Q5444" s="36"/>
      <c r="R5444" s="36"/>
      <c r="S5444" s="36"/>
      <c r="T5444" s="36"/>
      <c r="U5444" s="36"/>
      <c r="V5444" s="36"/>
      <c r="W5444" s="15">
        <f t="shared" si="833"/>
        <v>0</v>
      </c>
      <c r="X5444" s="36"/>
      <c r="Y5444" s="36"/>
      <c r="Z5444" s="36"/>
      <c r="AA5444" s="36"/>
      <c r="AB5444" s="36"/>
      <c r="AC5444" s="36"/>
      <c r="AD5444" s="36"/>
      <c r="AE5444" s="36"/>
      <c r="AF5444" s="36"/>
      <c r="AG5444" s="36"/>
      <c r="AH5444" s="36"/>
      <c r="AI5444" s="36">
        <v>400</v>
      </c>
      <c r="AJ5444" s="15">
        <f t="shared" si="834"/>
        <v>400</v>
      </c>
      <c r="AK5444" s="14"/>
      <c r="AL5444" s="14"/>
      <c r="AM5444" s="14"/>
      <c r="AN5444" s="14"/>
      <c r="AO5444" s="14"/>
      <c r="AP5444" s="14"/>
      <c r="AQ5444" s="14"/>
      <c r="AR5444" s="14"/>
      <c r="AS5444" s="14"/>
      <c r="AT5444" s="14"/>
      <c r="AU5444" s="14"/>
      <c r="AV5444" s="14"/>
      <c r="AW5444" s="15">
        <f t="shared" si="835"/>
        <v>0</v>
      </c>
      <c r="AX5444" s="16"/>
    </row>
    <row r="5445" spans="2:50" x14ac:dyDescent="0.2">
      <c r="B5445" s="7"/>
      <c r="C5445" s="8">
        <v>15826</v>
      </c>
      <c r="D5445" s="9" t="s">
        <v>343</v>
      </c>
      <c r="E5445" s="10" t="str">
        <f t="shared" si="830"/>
        <v>Rancho Upácuaro No. 88</v>
      </c>
      <c r="F5445" s="10" t="str">
        <f t="shared" si="831"/>
        <v>Millán Núñez</v>
      </c>
      <c r="G5445" s="8">
        <v>1</v>
      </c>
      <c r="H5445" s="11">
        <v>400</v>
      </c>
      <c r="I5445" s="12">
        <v>43092</v>
      </c>
      <c r="J5445" s="35">
        <f t="shared" si="832"/>
        <v>0</v>
      </c>
      <c r="K5445" s="36"/>
      <c r="L5445" s="36"/>
      <c r="M5445" s="36"/>
      <c r="N5445" s="36"/>
      <c r="O5445" s="36"/>
      <c r="P5445" s="36"/>
      <c r="Q5445" s="36"/>
      <c r="R5445" s="36"/>
      <c r="S5445" s="36"/>
      <c r="T5445" s="36"/>
      <c r="U5445" s="36"/>
      <c r="V5445" s="36"/>
      <c r="W5445" s="15">
        <f t="shared" si="833"/>
        <v>0</v>
      </c>
      <c r="X5445" s="36"/>
      <c r="Y5445" s="36"/>
      <c r="Z5445" s="36"/>
      <c r="AA5445" s="36"/>
      <c r="AB5445" s="36"/>
      <c r="AC5445" s="36"/>
      <c r="AD5445" s="36"/>
      <c r="AE5445" s="36"/>
      <c r="AF5445" s="36"/>
      <c r="AG5445" s="36"/>
      <c r="AH5445" s="36"/>
      <c r="AI5445" s="36">
        <v>400</v>
      </c>
      <c r="AJ5445" s="15">
        <f t="shared" si="834"/>
        <v>400</v>
      </c>
      <c r="AK5445" s="14"/>
      <c r="AL5445" s="14"/>
      <c r="AM5445" s="14"/>
      <c r="AN5445" s="14"/>
      <c r="AO5445" s="14"/>
      <c r="AP5445" s="14"/>
      <c r="AQ5445" s="14"/>
      <c r="AR5445" s="14"/>
      <c r="AS5445" s="14"/>
      <c r="AT5445" s="14"/>
      <c r="AU5445" s="14"/>
      <c r="AV5445" s="14"/>
      <c r="AW5445" s="15">
        <f t="shared" si="835"/>
        <v>0</v>
      </c>
      <c r="AX5445" s="16"/>
    </row>
    <row r="5446" spans="2:50" x14ac:dyDescent="0.2">
      <c r="B5446" s="7"/>
      <c r="C5446" s="8">
        <v>15627</v>
      </c>
      <c r="D5446" s="9" t="s">
        <v>147</v>
      </c>
      <c r="E5446" s="10" t="str">
        <f t="shared" si="830"/>
        <v>Rancho Upácuaro No. 37</v>
      </c>
      <c r="F5446" s="10" t="str">
        <f t="shared" si="831"/>
        <v>García Valdés</v>
      </c>
      <c r="G5446" s="8">
        <v>1</v>
      </c>
      <c r="H5446" s="11">
        <v>4400</v>
      </c>
      <c r="I5446" s="12">
        <v>43092</v>
      </c>
      <c r="J5446" s="35">
        <f t="shared" si="832"/>
        <v>0</v>
      </c>
      <c r="K5446" s="36"/>
      <c r="L5446" s="36"/>
      <c r="M5446" s="36"/>
      <c r="N5446" s="36"/>
      <c r="O5446" s="36"/>
      <c r="P5446" s="36"/>
      <c r="Q5446" s="36"/>
      <c r="R5446" s="36"/>
      <c r="S5446" s="36"/>
      <c r="T5446" s="36"/>
      <c r="U5446" s="36"/>
      <c r="V5446" s="36"/>
      <c r="W5446" s="15">
        <f t="shared" si="833"/>
        <v>0</v>
      </c>
      <c r="X5446" s="36"/>
      <c r="Y5446" s="36"/>
      <c r="Z5446" s="36"/>
      <c r="AA5446" s="36"/>
      <c r="AB5446" s="36"/>
      <c r="AC5446" s="36"/>
      <c r="AD5446" s="36"/>
      <c r="AE5446" s="36"/>
      <c r="AF5446" s="36"/>
      <c r="AG5446" s="36"/>
      <c r="AH5446" s="36"/>
      <c r="AI5446" s="36"/>
      <c r="AJ5446" s="15">
        <f t="shared" si="834"/>
        <v>0</v>
      </c>
      <c r="AK5446" s="14">
        <v>400</v>
      </c>
      <c r="AL5446" s="14">
        <v>400</v>
      </c>
      <c r="AM5446" s="14">
        <v>400</v>
      </c>
      <c r="AN5446" s="14">
        <v>400</v>
      </c>
      <c r="AO5446" s="14">
        <v>400</v>
      </c>
      <c r="AP5446" s="14">
        <v>400</v>
      </c>
      <c r="AQ5446" s="14">
        <v>400</v>
      </c>
      <c r="AR5446" s="14">
        <v>400</v>
      </c>
      <c r="AS5446" s="14">
        <v>400</v>
      </c>
      <c r="AT5446" s="14">
        <v>400</v>
      </c>
      <c r="AU5446" s="14">
        <v>400</v>
      </c>
      <c r="AV5446" s="14"/>
      <c r="AW5446" s="15">
        <f t="shared" si="835"/>
        <v>4400</v>
      </c>
      <c r="AX5446" s="16" t="s">
        <v>4431</v>
      </c>
    </row>
    <row r="5447" spans="2:50" x14ac:dyDescent="0.2">
      <c r="B5447" s="7"/>
      <c r="C5447" s="8">
        <v>15628</v>
      </c>
      <c r="D5447" s="9" t="s">
        <v>244</v>
      </c>
      <c r="E5447" s="10" t="str">
        <f t="shared" si="830"/>
        <v>Rancho La Cuchilla No. 28</v>
      </c>
      <c r="F5447" s="10" t="str">
        <f t="shared" si="831"/>
        <v>Prado de los S.</v>
      </c>
      <c r="G5447" s="8">
        <v>1</v>
      </c>
      <c r="H5447" s="11">
        <v>4800</v>
      </c>
      <c r="I5447" s="12">
        <v>43092</v>
      </c>
      <c r="J5447" s="35">
        <f t="shared" si="832"/>
        <v>0</v>
      </c>
      <c r="K5447" s="36"/>
      <c r="L5447" s="36"/>
      <c r="M5447" s="36"/>
      <c r="N5447" s="36"/>
      <c r="O5447" s="36"/>
      <c r="P5447" s="36"/>
      <c r="Q5447" s="36"/>
      <c r="R5447" s="36"/>
      <c r="S5447" s="36"/>
      <c r="T5447" s="36"/>
      <c r="U5447" s="36"/>
      <c r="V5447" s="36"/>
      <c r="W5447" s="15">
        <f t="shared" si="833"/>
        <v>0</v>
      </c>
      <c r="X5447" s="36"/>
      <c r="Y5447" s="36"/>
      <c r="Z5447" s="36"/>
      <c r="AA5447" s="36"/>
      <c r="AB5447" s="36"/>
      <c r="AC5447" s="36"/>
      <c r="AD5447" s="36"/>
      <c r="AE5447" s="36"/>
      <c r="AF5447" s="36"/>
      <c r="AG5447" s="36"/>
      <c r="AH5447" s="36"/>
      <c r="AI5447" s="36"/>
      <c r="AJ5447" s="15">
        <f t="shared" si="834"/>
        <v>0</v>
      </c>
      <c r="AK5447" s="14">
        <v>400</v>
      </c>
      <c r="AL5447" s="14">
        <v>400</v>
      </c>
      <c r="AM5447" s="14">
        <v>400</v>
      </c>
      <c r="AN5447" s="14">
        <v>400</v>
      </c>
      <c r="AO5447" s="14">
        <v>400</v>
      </c>
      <c r="AP5447" s="14">
        <v>400</v>
      </c>
      <c r="AQ5447" s="14">
        <v>400</v>
      </c>
      <c r="AR5447" s="14">
        <v>400</v>
      </c>
      <c r="AS5447" s="14">
        <v>400</v>
      </c>
      <c r="AT5447" s="14">
        <v>400</v>
      </c>
      <c r="AU5447" s="14">
        <v>400</v>
      </c>
      <c r="AV5447" s="14">
        <v>400</v>
      </c>
      <c r="AW5447" s="15">
        <f t="shared" si="835"/>
        <v>4800</v>
      </c>
      <c r="AX5447" s="16"/>
    </row>
    <row r="5448" spans="2:50" x14ac:dyDescent="0.2">
      <c r="B5448" s="7"/>
      <c r="C5448" s="8">
        <v>15629</v>
      </c>
      <c r="D5448" s="9" t="s">
        <v>387</v>
      </c>
      <c r="E5448" s="10" t="str">
        <f t="shared" si="830"/>
        <v>Rancho Upácuaro No. 69</v>
      </c>
      <c r="F5448" s="10" t="str">
        <f t="shared" si="831"/>
        <v>Gómez</v>
      </c>
      <c r="G5448" s="8">
        <v>1</v>
      </c>
      <c r="H5448" s="11">
        <v>1200</v>
      </c>
      <c r="I5448" s="12">
        <v>43092</v>
      </c>
      <c r="J5448" s="35">
        <f t="shared" si="832"/>
        <v>0</v>
      </c>
      <c r="K5448" s="36"/>
      <c r="L5448" s="36"/>
      <c r="M5448" s="36"/>
      <c r="N5448" s="36"/>
      <c r="O5448" s="36"/>
      <c r="P5448" s="36"/>
      <c r="Q5448" s="36"/>
      <c r="R5448" s="36"/>
      <c r="S5448" s="36"/>
      <c r="T5448" s="36"/>
      <c r="U5448" s="36"/>
      <c r="V5448" s="36"/>
      <c r="W5448" s="15">
        <f t="shared" si="833"/>
        <v>0</v>
      </c>
      <c r="X5448" s="36"/>
      <c r="Y5448" s="36"/>
      <c r="Z5448" s="36"/>
      <c r="AA5448" s="36"/>
      <c r="AB5448" s="36"/>
      <c r="AC5448" s="36"/>
      <c r="AD5448" s="36"/>
      <c r="AE5448" s="36"/>
      <c r="AF5448" s="36"/>
      <c r="AG5448" s="36">
        <v>400</v>
      </c>
      <c r="AH5448" s="36">
        <v>400</v>
      </c>
      <c r="AI5448" s="36">
        <v>400</v>
      </c>
      <c r="AJ5448" s="15">
        <f t="shared" si="834"/>
        <v>1200</v>
      </c>
      <c r="AK5448" s="14"/>
      <c r="AL5448" s="14"/>
      <c r="AM5448" s="14"/>
      <c r="AN5448" s="14"/>
      <c r="AO5448" s="14"/>
      <c r="AP5448" s="14"/>
      <c r="AQ5448" s="14"/>
      <c r="AR5448" s="14"/>
      <c r="AS5448" s="14"/>
      <c r="AT5448" s="14"/>
      <c r="AU5448" s="14"/>
      <c r="AV5448" s="14"/>
      <c r="AW5448" s="15">
        <f t="shared" si="835"/>
        <v>0</v>
      </c>
      <c r="AX5448" s="16"/>
    </row>
    <row r="5449" spans="2:50" x14ac:dyDescent="0.2">
      <c r="B5449" s="7"/>
      <c r="C5449" s="8">
        <v>15930</v>
      </c>
      <c r="D5449" s="9" t="s">
        <v>716</v>
      </c>
      <c r="E5449" s="10" t="str">
        <f t="shared" si="830"/>
        <v>Rancho Landero No. 20</v>
      </c>
      <c r="F5449" s="10" t="str">
        <f t="shared" si="831"/>
        <v>Velasco</v>
      </c>
      <c r="G5449" s="8">
        <v>1</v>
      </c>
      <c r="H5449" s="11">
        <v>900</v>
      </c>
      <c r="I5449" s="12">
        <v>43092</v>
      </c>
      <c r="J5449" s="35">
        <f t="shared" si="832"/>
        <v>0</v>
      </c>
      <c r="K5449" s="36"/>
      <c r="L5449" s="36"/>
      <c r="M5449" s="36"/>
      <c r="N5449" s="36"/>
      <c r="O5449" s="36"/>
      <c r="P5449" s="36"/>
      <c r="Q5449" s="36"/>
      <c r="R5449" s="36"/>
      <c r="S5449" s="36"/>
      <c r="T5449" s="36"/>
      <c r="U5449" s="36"/>
      <c r="V5449" s="36"/>
      <c r="W5449" s="15">
        <f t="shared" si="833"/>
        <v>0</v>
      </c>
      <c r="X5449" s="36"/>
      <c r="Y5449" s="36"/>
      <c r="Z5449" s="36"/>
      <c r="AA5449" s="36"/>
      <c r="AB5449" s="36"/>
      <c r="AC5449" s="36"/>
      <c r="AD5449" s="36"/>
      <c r="AE5449" s="36"/>
      <c r="AF5449" s="36"/>
      <c r="AG5449" s="36">
        <v>300</v>
      </c>
      <c r="AH5449" s="36">
        <v>300</v>
      </c>
      <c r="AI5449" s="36">
        <v>300</v>
      </c>
      <c r="AJ5449" s="15">
        <f t="shared" si="834"/>
        <v>900</v>
      </c>
      <c r="AK5449" s="14"/>
      <c r="AL5449" s="14"/>
      <c r="AM5449" s="14"/>
      <c r="AN5449" s="14"/>
      <c r="AO5449" s="14"/>
      <c r="AP5449" s="14"/>
      <c r="AQ5449" s="14"/>
      <c r="AR5449" s="14"/>
      <c r="AS5449" s="14"/>
      <c r="AT5449" s="14"/>
      <c r="AU5449" s="14"/>
      <c r="AV5449" s="14"/>
      <c r="AW5449" s="15">
        <f t="shared" si="835"/>
        <v>0</v>
      </c>
      <c r="AX5449" s="16"/>
    </row>
    <row r="5450" spans="2:50" x14ac:dyDescent="0.2">
      <c r="B5450" s="7"/>
      <c r="C5450" s="8">
        <v>15931</v>
      </c>
      <c r="D5450" s="9" t="s">
        <v>174</v>
      </c>
      <c r="E5450" s="10" t="str">
        <f t="shared" si="830"/>
        <v>Rancho Upácuaro No. 18</v>
      </c>
      <c r="F5450" s="10" t="str">
        <f t="shared" si="831"/>
        <v>Guzmán</v>
      </c>
      <c r="G5450" s="8">
        <v>1</v>
      </c>
      <c r="H5450" s="11">
        <v>300</v>
      </c>
      <c r="I5450" s="12">
        <v>43092</v>
      </c>
      <c r="J5450" s="35">
        <f t="shared" si="832"/>
        <v>0</v>
      </c>
      <c r="K5450" s="36"/>
      <c r="L5450" s="36"/>
      <c r="M5450" s="36"/>
      <c r="N5450" s="36"/>
      <c r="O5450" s="36"/>
      <c r="P5450" s="36"/>
      <c r="Q5450" s="36"/>
      <c r="R5450" s="36"/>
      <c r="S5450" s="36"/>
      <c r="T5450" s="36"/>
      <c r="U5450" s="36"/>
      <c r="V5450" s="36"/>
      <c r="W5450" s="15">
        <f t="shared" si="833"/>
        <v>0</v>
      </c>
      <c r="X5450" s="36"/>
      <c r="Y5450" s="36"/>
      <c r="Z5450" s="36"/>
      <c r="AA5450" s="36"/>
      <c r="AB5450" s="36"/>
      <c r="AC5450" s="36"/>
      <c r="AD5450" s="36"/>
      <c r="AE5450" s="36"/>
      <c r="AF5450" s="36"/>
      <c r="AG5450" s="36"/>
      <c r="AH5450" s="36"/>
      <c r="AI5450" s="36">
        <v>300</v>
      </c>
      <c r="AJ5450" s="15">
        <f t="shared" si="834"/>
        <v>300</v>
      </c>
      <c r="AK5450" s="14"/>
      <c r="AL5450" s="14"/>
      <c r="AM5450" s="14"/>
      <c r="AN5450" s="14"/>
      <c r="AO5450" s="14"/>
      <c r="AP5450" s="14"/>
      <c r="AQ5450" s="14"/>
      <c r="AR5450" s="14"/>
      <c r="AS5450" s="14"/>
      <c r="AT5450" s="14"/>
      <c r="AU5450" s="14"/>
      <c r="AV5450" s="14"/>
      <c r="AW5450" s="15">
        <f t="shared" si="835"/>
        <v>0</v>
      </c>
      <c r="AX5450" s="16"/>
    </row>
    <row r="5451" spans="2:50" x14ac:dyDescent="0.2">
      <c r="B5451" s="7"/>
      <c r="C5451" s="8">
        <v>15932</v>
      </c>
      <c r="D5451" s="9" t="s">
        <v>90</v>
      </c>
      <c r="E5451" s="10" t="str">
        <f t="shared" si="830"/>
        <v>Rancho Estanzuela No. 69</v>
      </c>
      <c r="F5451" s="10" t="str">
        <f t="shared" si="831"/>
        <v>Apaez</v>
      </c>
      <c r="G5451" s="8">
        <v>1</v>
      </c>
      <c r="H5451" s="11">
        <v>4400</v>
      </c>
      <c r="I5451" s="12">
        <v>43092</v>
      </c>
      <c r="J5451" s="35">
        <f t="shared" si="832"/>
        <v>0</v>
      </c>
      <c r="K5451" s="36"/>
      <c r="L5451" s="36"/>
      <c r="M5451" s="36"/>
      <c r="N5451" s="36"/>
      <c r="O5451" s="36"/>
      <c r="P5451" s="36"/>
      <c r="Q5451" s="36"/>
      <c r="R5451" s="36"/>
      <c r="S5451" s="36"/>
      <c r="T5451" s="36"/>
      <c r="U5451" s="36"/>
      <c r="V5451" s="36"/>
      <c r="W5451" s="15">
        <f t="shared" si="833"/>
        <v>0</v>
      </c>
      <c r="X5451" s="36"/>
      <c r="Y5451" s="36"/>
      <c r="Z5451" s="36"/>
      <c r="AA5451" s="36"/>
      <c r="AB5451" s="36"/>
      <c r="AC5451" s="36"/>
      <c r="AD5451" s="36"/>
      <c r="AE5451" s="36"/>
      <c r="AF5451" s="36"/>
      <c r="AG5451" s="36"/>
      <c r="AH5451" s="36"/>
      <c r="AI5451" s="36"/>
      <c r="AJ5451" s="15">
        <f t="shared" si="834"/>
        <v>0</v>
      </c>
      <c r="AK5451" s="14">
        <v>400</v>
      </c>
      <c r="AL5451" s="14">
        <v>400</v>
      </c>
      <c r="AM5451" s="14">
        <v>400</v>
      </c>
      <c r="AN5451" s="14">
        <v>400</v>
      </c>
      <c r="AO5451" s="14">
        <v>400</v>
      </c>
      <c r="AP5451" s="14">
        <v>400</v>
      </c>
      <c r="AQ5451" s="14">
        <v>400</v>
      </c>
      <c r="AR5451" s="14">
        <v>400</v>
      </c>
      <c r="AS5451" s="14">
        <v>400</v>
      </c>
      <c r="AT5451" s="14">
        <v>400</v>
      </c>
      <c r="AU5451" s="14">
        <v>400</v>
      </c>
      <c r="AV5451" s="14"/>
      <c r="AW5451" s="15">
        <f t="shared" si="835"/>
        <v>4400</v>
      </c>
      <c r="AX5451" s="16" t="s">
        <v>4431</v>
      </c>
    </row>
    <row r="5452" spans="2:50" x14ac:dyDescent="0.2">
      <c r="B5452" s="7"/>
      <c r="C5452" s="8">
        <v>15933</v>
      </c>
      <c r="D5452" s="9"/>
      <c r="E5452" s="10" t="str">
        <f t="shared" si="830"/>
        <v/>
      </c>
      <c r="F5452" s="10" t="str">
        <f t="shared" si="831"/>
        <v/>
      </c>
      <c r="G5452" s="8">
        <v>8</v>
      </c>
      <c r="H5452" s="11"/>
      <c r="I5452" s="12"/>
      <c r="J5452" s="35">
        <f t="shared" si="832"/>
        <v>0</v>
      </c>
      <c r="K5452" s="36"/>
      <c r="L5452" s="36"/>
      <c r="M5452" s="36"/>
      <c r="N5452" s="36"/>
      <c r="O5452" s="36"/>
      <c r="P5452" s="36"/>
      <c r="Q5452" s="36"/>
      <c r="R5452" s="36"/>
      <c r="S5452" s="36"/>
      <c r="T5452" s="36"/>
      <c r="U5452" s="36"/>
      <c r="V5452" s="36"/>
      <c r="W5452" s="15">
        <f t="shared" si="833"/>
        <v>0</v>
      </c>
      <c r="X5452" s="36"/>
      <c r="Y5452" s="36"/>
      <c r="Z5452" s="36"/>
      <c r="AA5452" s="36"/>
      <c r="AB5452" s="36"/>
      <c r="AC5452" s="36"/>
      <c r="AD5452" s="36"/>
      <c r="AE5452" s="36"/>
      <c r="AF5452" s="36"/>
      <c r="AG5452" s="36"/>
      <c r="AH5452" s="36"/>
      <c r="AI5452" s="36"/>
      <c r="AJ5452" s="15">
        <f t="shared" si="834"/>
        <v>0</v>
      </c>
      <c r="AK5452" s="14"/>
      <c r="AL5452" s="14"/>
      <c r="AM5452" s="14"/>
      <c r="AN5452" s="14"/>
      <c r="AO5452" s="14"/>
      <c r="AP5452" s="14"/>
      <c r="AQ5452" s="14"/>
      <c r="AR5452" s="14"/>
      <c r="AS5452" s="14"/>
      <c r="AT5452" s="14"/>
      <c r="AU5452" s="14"/>
      <c r="AV5452" s="14"/>
      <c r="AW5452" s="15">
        <f t="shared" si="835"/>
        <v>0</v>
      </c>
      <c r="AX5452" s="16"/>
    </row>
    <row r="5453" spans="2:50" x14ac:dyDescent="0.2">
      <c r="B5453" s="7"/>
      <c r="C5453" s="8">
        <v>15934</v>
      </c>
      <c r="D5453" s="9" t="s">
        <v>401</v>
      </c>
      <c r="E5453" s="10" t="str">
        <f t="shared" si="830"/>
        <v>Rancho Landero No. 68</v>
      </c>
      <c r="F5453" s="10" t="str">
        <f t="shared" si="831"/>
        <v>Moreno</v>
      </c>
      <c r="G5453" s="8">
        <v>1</v>
      </c>
      <c r="H5453" s="11">
        <v>1200</v>
      </c>
      <c r="I5453" s="12">
        <v>43092</v>
      </c>
      <c r="J5453" s="35">
        <f t="shared" si="832"/>
        <v>0</v>
      </c>
      <c r="K5453" s="36"/>
      <c r="L5453" s="36"/>
      <c r="M5453" s="36"/>
      <c r="N5453" s="36"/>
      <c r="O5453" s="36"/>
      <c r="P5453" s="36"/>
      <c r="Q5453" s="36"/>
      <c r="R5453" s="36"/>
      <c r="S5453" s="36"/>
      <c r="T5453" s="36"/>
      <c r="U5453" s="36"/>
      <c r="V5453" s="36"/>
      <c r="W5453" s="15">
        <f t="shared" si="833"/>
        <v>0</v>
      </c>
      <c r="X5453" s="36"/>
      <c r="Y5453" s="36"/>
      <c r="Z5453" s="36"/>
      <c r="AA5453" s="36"/>
      <c r="AB5453" s="36"/>
      <c r="AC5453" s="36"/>
      <c r="AD5453" s="36"/>
      <c r="AE5453" s="36"/>
      <c r="AF5453" s="36"/>
      <c r="AG5453" s="36">
        <v>400</v>
      </c>
      <c r="AH5453" s="36">
        <v>400</v>
      </c>
      <c r="AI5453" s="36">
        <v>400</v>
      </c>
      <c r="AJ5453" s="15">
        <f t="shared" si="834"/>
        <v>1200</v>
      </c>
      <c r="AK5453" s="14"/>
      <c r="AL5453" s="14"/>
      <c r="AM5453" s="14"/>
      <c r="AN5453" s="14"/>
      <c r="AO5453" s="14"/>
      <c r="AP5453" s="14"/>
      <c r="AQ5453" s="14"/>
      <c r="AR5453" s="14"/>
      <c r="AS5453" s="14"/>
      <c r="AT5453" s="14"/>
      <c r="AU5453" s="14"/>
      <c r="AV5453" s="14"/>
      <c r="AW5453" s="15">
        <f t="shared" si="835"/>
        <v>0</v>
      </c>
      <c r="AX5453" s="16"/>
    </row>
    <row r="5454" spans="2:50" x14ac:dyDescent="0.2">
      <c r="B5454" s="7"/>
      <c r="C5454" s="8">
        <v>15935</v>
      </c>
      <c r="D5454" s="9" t="s">
        <v>556</v>
      </c>
      <c r="E5454" s="10" t="str">
        <f t="shared" si="830"/>
        <v>Rancho Zinamba No. 26</v>
      </c>
      <c r="F5454" s="10" t="str">
        <f t="shared" si="831"/>
        <v>Ayala</v>
      </c>
      <c r="G5454" s="8">
        <v>1</v>
      </c>
      <c r="H5454" s="11">
        <v>800</v>
      </c>
      <c r="I5454" s="12">
        <v>43092</v>
      </c>
      <c r="J5454" s="35">
        <f t="shared" si="832"/>
        <v>0</v>
      </c>
      <c r="K5454" s="36"/>
      <c r="L5454" s="36"/>
      <c r="M5454" s="36"/>
      <c r="N5454" s="36"/>
      <c r="O5454" s="36"/>
      <c r="P5454" s="36"/>
      <c r="Q5454" s="36"/>
      <c r="R5454" s="36"/>
      <c r="S5454" s="36"/>
      <c r="T5454" s="36"/>
      <c r="U5454" s="36"/>
      <c r="V5454" s="36"/>
      <c r="W5454" s="15">
        <f t="shared" si="833"/>
        <v>0</v>
      </c>
      <c r="X5454" s="36"/>
      <c r="Y5454" s="36"/>
      <c r="Z5454" s="36"/>
      <c r="AA5454" s="36"/>
      <c r="AB5454" s="36"/>
      <c r="AC5454" s="36"/>
      <c r="AD5454" s="36"/>
      <c r="AE5454" s="36"/>
      <c r="AF5454" s="36"/>
      <c r="AG5454" s="36">
        <v>400</v>
      </c>
      <c r="AH5454" s="36">
        <v>400</v>
      </c>
      <c r="AI5454" s="36"/>
      <c r="AJ5454" s="15">
        <f t="shared" si="834"/>
        <v>800</v>
      </c>
      <c r="AK5454" s="14"/>
      <c r="AL5454" s="14"/>
      <c r="AM5454" s="14"/>
      <c r="AN5454" s="14"/>
      <c r="AO5454" s="14"/>
      <c r="AP5454" s="14"/>
      <c r="AQ5454" s="14"/>
      <c r="AR5454" s="14"/>
      <c r="AS5454" s="14"/>
      <c r="AT5454" s="14"/>
      <c r="AU5454" s="14"/>
      <c r="AV5454" s="14"/>
      <c r="AW5454" s="15">
        <f t="shared" si="835"/>
        <v>0</v>
      </c>
      <c r="AX5454" s="16"/>
    </row>
    <row r="5455" spans="2:50" x14ac:dyDescent="0.2">
      <c r="B5455" s="7"/>
      <c r="C5455" s="8">
        <v>15936</v>
      </c>
      <c r="D5455" s="9" t="s">
        <v>340</v>
      </c>
      <c r="E5455" s="10" t="str">
        <f t="shared" si="830"/>
        <v>Rancho Romeral No. 17</v>
      </c>
      <c r="F5455" s="10" t="str">
        <f t="shared" si="831"/>
        <v>Aguilar Lomelí</v>
      </c>
      <c r="G5455" s="8">
        <v>1</v>
      </c>
      <c r="H5455" s="11">
        <v>400</v>
      </c>
      <c r="I5455" s="12">
        <v>43092</v>
      </c>
      <c r="J5455" s="35">
        <f t="shared" si="832"/>
        <v>0</v>
      </c>
      <c r="K5455" s="36"/>
      <c r="L5455" s="36"/>
      <c r="M5455" s="36"/>
      <c r="N5455" s="36"/>
      <c r="O5455" s="36"/>
      <c r="P5455" s="36"/>
      <c r="Q5455" s="36"/>
      <c r="R5455" s="36"/>
      <c r="S5455" s="36"/>
      <c r="T5455" s="36"/>
      <c r="U5455" s="36"/>
      <c r="V5455" s="36"/>
      <c r="W5455" s="15">
        <f t="shared" si="833"/>
        <v>0</v>
      </c>
      <c r="X5455" s="36"/>
      <c r="Y5455" s="36"/>
      <c r="Z5455" s="36"/>
      <c r="AA5455" s="36"/>
      <c r="AB5455" s="36"/>
      <c r="AC5455" s="36"/>
      <c r="AD5455" s="36"/>
      <c r="AE5455" s="36"/>
      <c r="AF5455" s="36"/>
      <c r="AG5455" s="36"/>
      <c r="AH5455" s="36"/>
      <c r="AI5455" s="36">
        <v>400</v>
      </c>
      <c r="AJ5455" s="15">
        <f t="shared" si="834"/>
        <v>400</v>
      </c>
      <c r="AK5455" s="14"/>
      <c r="AL5455" s="14"/>
      <c r="AM5455" s="14"/>
      <c r="AN5455" s="14"/>
      <c r="AO5455" s="14"/>
      <c r="AP5455" s="14"/>
      <c r="AQ5455" s="14"/>
      <c r="AR5455" s="14"/>
      <c r="AS5455" s="14"/>
      <c r="AT5455" s="14"/>
      <c r="AU5455" s="14"/>
      <c r="AV5455" s="14"/>
      <c r="AW5455" s="15">
        <f t="shared" si="835"/>
        <v>0</v>
      </c>
      <c r="AX5455" s="16"/>
    </row>
    <row r="5456" spans="2:50" x14ac:dyDescent="0.2">
      <c r="B5456" s="7"/>
      <c r="C5456" s="8">
        <v>15937</v>
      </c>
      <c r="D5456" s="9" t="s">
        <v>283</v>
      </c>
      <c r="E5456" s="10" t="str">
        <f t="shared" si="830"/>
        <v>Rancho Estanzuela No. 115</v>
      </c>
      <c r="F5456" s="10" t="str">
        <f t="shared" si="831"/>
        <v>Frías Solórzano</v>
      </c>
      <c r="G5456" s="8">
        <v>3</v>
      </c>
      <c r="H5456" s="11">
        <v>400</v>
      </c>
      <c r="I5456" s="12">
        <v>43092</v>
      </c>
      <c r="J5456" s="35">
        <f t="shared" si="832"/>
        <v>0</v>
      </c>
      <c r="K5456" s="36"/>
      <c r="L5456" s="36"/>
      <c r="M5456" s="36"/>
      <c r="N5456" s="36"/>
      <c r="O5456" s="36"/>
      <c r="P5456" s="36"/>
      <c r="Q5456" s="36"/>
      <c r="R5456" s="36"/>
      <c r="S5456" s="36"/>
      <c r="T5456" s="36"/>
      <c r="U5456" s="36"/>
      <c r="V5456" s="36"/>
      <c r="W5456" s="15">
        <f t="shared" si="833"/>
        <v>0</v>
      </c>
      <c r="X5456" s="36"/>
      <c r="Y5456" s="36"/>
      <c r="Z5456" s="36"/>
      <c r="AA5456" s="36"/>
      <c r="AB5456" s="36"/>
      <c r="AC5456" s="36"/>
      <c r="AD5456" s="36"/>
      <c r="AE5456" s="36"/>
      <c r="AF5456" s="36"/>
      <c r="AG5456" s="36"/>
      <c r="AH5456" s="36"/>
      <c r="AI5456" s="36"/>
      <c r="AJ5456" s="15">
        <f t="shared" si="834"/>
        <v>0</v>
      </c>
      <c r="AK5456" s="14"/>
      <c r="AL5456" s="14"/>
      <c r="AM5456" s="14"/>
      <c r="AN5456" s="14"/>
      <c r="AO5456" s="14"/>
      <c r="AP5456" s="14"/>
      <c r="AQ5456" s="14"/>
      <c r="AR5456" s="14"/>
      <c r="AS5456" s="14"/>
      <c r="AT5456" s="14"/>
      <c r="AU5456" s="14"/>
      <c r="AV5456" s="14"/>
      <c r="AW5456" s="15">
        <f t="shared" si="835"/>
        <v>0</v>
      </c>
      <c r="AX5456" s="16" t="s">
        <v>4771</v>
      </c>
    </row>
    <row r="5457" spans="2:50" x14ac:dyDescent="0.2">
      <c r="B5457" s="7"/>
      <c r="C5457" s="8">
        <v>15938</v>
      </c>
      <c r="D5457" s="9" t="s">
        <v>758</v>
      </c>
      <c r="E5457" s="10" t="str">
        <f t="shared" si="830"/>
        <v>Rancho Upácuaro No. 52</v>
      </c>
      <c r="F5457" s="10" t="str">
        <f t="shared" si="831"/>
        <v>Velázquez V.</v>
      </c>
      <c r="G5457" s="8">
        <v>1</v>
      </c>
      <c r="H5457" s="11">
        <v>1500</v>
      </c>
      <c r="I5457" s="12">
        <v>43092</v>
      </c>
      <c r="J5457" s="35">
        <f t="shared" si="832"/>
        <v>0</v>
      </c>
      <c r="K5457" s="36"/>
      <c r="L5457" s="36"/>
      <c r="M5457" s="36"/>
      <c r="N5457" s="36"/>
      <c r="O5457" s="36"/>
      <c r="P5457" s="36"/>
      <c r="Q5457" s="36"/>
      <c r="R5457" s="36"/>
      <c r="S5457" s="36"/>
      <c r="T5457" s="36"/>
      <c r="U5457" s="36"/>
      <c r="V5457" s="36"/>
      <c r="W5457" s="15">
        <f t="shared" si="833"/>
        <v>0</v>
      </c>
      <c r="X5457" s="36"/>
      <c r="Y5457" s="36"/>
      <c r="Z5457" s="36">
        <v>150</v>
      </c>
      <c r="AA5457" s="36">
        <v>150</v>
      </c>
      <c r="AB5457" s="36">
        <v>150</v>
      </c>
      <c r="AC5457" s="36">
        <v>150</v>
      </c>
      <c r="AD5457" s="36">
        <v>150</v>
      </c>
      <c r="AE5457" s="36">
        <v>150</v>
      </c>
      <c r="AF5457" s="36">
        <v>150</v>
      </c>
      <c r="AG5457" s="36">
        <v>150</v>
      </c>
      <c r="AH5457" s="36">
        <v>150</v>
      </c>
      <c r="AI5457" s="36">
        <v>150</v>
      </c>
      <c r="AJ5457" s="15">
        <f t="shared" si="834"/>
        <v>1500</v>
      </c>
      <c r="AK5457" s="14"/>
      <c r="AL5457" s="14"/>
      <c r="AM5457" s="14"/>
      <c r="AN5457" s="14"/>
      <c r="AO5457" s="14"/>
      <c r="AP5457" s="14"/>
      <c r="AQ5457" s="14"/>
      <c r="AR5457" s="14"/>
      <c r="AS5457" s="14"/>
      <c r="AT5457" s="14"/>
      <c r="AU5457" s="14"/>
      <c r="AV5457" s="14"/>
      <c r="AW5457" s="15">
        <f t="shared" si="835"/>
        <v>0</v>
      </c>
      <c r="AX5457" s="16"/>
    </row>
    <row r="5458" spans="2:50" x14ac:dyDescent="0.2">
      <c r="B5458" s="7"/>
      <c r="C5458" s="8">
        <v>15939</v>
      </c>
      <c r="D5458" s="9" t="s">
        <v>637</v>
      </c>
      <c r="E5458" s="10" t="str">
        <f t="shared" ref="E5458:E5463" si="836">IF(D5458=0,"",VLOOKUP(D5458,BASE,2,FALSE))</f>
        <v>Rancho Recoveco No. 193</v>
      </c>
      <c r="F5458" s="10" t="str">
        <f t="shared" ref="F5458:F5463" si="837">IF(D5458=0,"",VLOOKUP(D5458,BASE,3,FALSE))</f>
        <v>Salazar Pérez</v>
      </c>
      <c r="G5458" s="8">
        <v>1</v>
      </c>
      <c r="H5458" s="11">
        <v>4800</v>
      </c>
      <c r="I5458" s="12">
        <v>43092</v>
      </c>
      <c r="J5458" s="35">
        <f t="shared" ref="J5458:J5463" si="838">IF(G5458=1,SUM(W5458,AJ5458,AW5458,-H5458),0)</f>
        <v>0</v>
      </c>
      <c r="K5458" s="36"/>
      <c r="L5458" s="36"/>
      <c r="M5458" s="36"/>
      <c r="N5458" s="36"/>
      <c r="O5458" s="36"/>
      <c r="P5458" s="36"/>
      <c r="Q5458" s="36"/>
      <c r="R5458" s="36"/>
      <c r="S5458" s="36"/>
      <c r="T5458" s="36"/>
      <c r="U5458" s="36"/>
      <c r="V5458" s="36"/>
      <c r="W5458" s="15">
        <f t="shared" ref="W5458:W5463" si="839">SUM(K5458:V5458)</f>
        <v>0</v>
      </c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>
        <v>400</v>
      </c>
      <c r="AJ5458" s="15">
        <f t="shared" ref="AJ5458:AJ5463" si="840">SUM(X5458:AI5458)</f>
        <v>400</v>
      </c>
      <c r="AK5458" s="14">
        <v>400</v>
      </c>
      <c r="AL5458" s="14">
        <v>400</v>
      </c>
      <c r="AM5458" s="14">
        <v>400</v>
      </c>
      <c r="AN5458" s="14">
        <v>400</v>
      </c>
      <c r="AO5458" s="14">
        <v>400</v>
      </c>
      <c r="AP5458" s="14">
        <v>400</v>
      </c>
      <c r="AQ5458" s="14">
        <v>400</v>
      </c>
      <c r="AR5458" s="14">
        <v>400</v>
      </c>
      <c r="AS5458" s="14">
        <v>400</v>
      </c>
      <c r="AT5458" s="14">
        <v>400</v>
      </c>
      <c r="AU5458" s="14">
        <v>400</v>
      </c>
      <c r="AV5458" s="14"/>
      <c r="AW5458" s="15">
        <f t="shared" ref="AW5458:AW5463" si="841">SUM(AK5458:AV5458)</f>
        <v>4400</v>
      </c>
      <c r="AX5458" s="16" t="s">
        <v>4431</v>
      </c>
    </row>
    <row r="5459" spans="2:50" x14ac:dyDescent="0.2">
      <c r="B5459" s="7"/>
      <c r="C5459" s="8">
        <v>15640</v>
      </c>
      <c r="D5459" s="9" t="s">
        <v>65</v>
      </c>
      <c r="E5459" s="10" t="str">
        <f t="shared" si="836"/>
        <v>Rancho La Cuchilla No. 141</v>
      </c>
      <c r="F5459" s="10" t="str">
        <f t="shared" si="837"/>
        <v>Salazar Torres</v>
      </c>
      <c r="G5459" s="8">
        <v>1</v>
      </c>
      <c r="H5459" s="11">
        <v>4400</v>
      </c>
      <c r="I5459" s="12">
        <v>43092</v>
      </c>
      <c r="J5459" s="35">
        <f t="shared" si="838"/>
        <v>0</v>
      </c>
      <c r="K5459" s="36"/>
      <c r="L5459" s="36"/>
      <c r="M5459" s="36"/>
      <c r="N5459" s="36"/>
      <c r="O5459" s="36"/>
      <c r="P5459" s="36"/>
      <c r="Q5459" s="36"/>
      <c r="R5459" s="36"/>
      <c r="S5459" s="36"/>
      <c r="T5459" s="36"/>
      <c r="U5459" s="36"/>
      <c r="V5459" s="36"/>
      <c r="W5459" s="15">
        <f t="shared" si="839"/>
        <v>0</v>
      </c>
      <c r="X5459" s="36"/>
      <c r="Y5459" s="36"/>
      <c r="Z5459" s="36"/>
      <c r="AA5459" s="36"/>
      <c r="AB5459" s="36"/>
      <c r="AC5459" s="36"/>
      <c r="AD5459" s="36"/>
      <c r="AE5459" s="36"/>
      <c r="AF5459" s="36"/>
      <c r="AG5459" s="36"/>
      <c r="AH5459" s="36"/>
      <c r="AI5459" s="36"/>
      <c r="AJ5459" s="15">
        <f t="shared" si="840"/>
        <v>0</v>
      </c>
      <c r="AK5459" s="14">
        <v>400</v>
      </c>
      <c r="AL5459" s="14">
        <v>400</v>
      </c>
      <c r="AM5459" s="14">
        <v>400</v>
      </c>
      <c r="AN5459" s="14">
        <v>400</v>
      </c>
      <c r="AO5459" s="14">
        <v>400</v>
      </c>
      <c r="AP5459" s="14">
        <v>400</v>
      </c>
      <c r="AQ5459" s="14">
        <v>400</v>
      </c>
      <c r="AR5459" s="14">
        <v>400</v>
      </c>
      <c r="AS5459" s="14">
        <v>400</v>
      </c>
      <c r="AT5459" s="14">
        <v>400</v>
      </c>
      <c r="AU5459" s="14">
        <v>400</v>
      </c>
      <c r="AV5459" s="14"/>
      <c r="AW5459" s="15">
        <f t="shared" si="841"/>
        <v>4400</v>
      </c>
      <c r="AX5459" s="16" t="s">
        <v>4431</v>
      </c>
    </row>
    <row r="5460" spans="2:50" x14ac:dyDescent="0.2">
      <c r="B5460" s="7"/>
      <c r="C5460" s="8">
        <v>15641</v>
      </c>
      <c r="D5460" s="9" t="s">
        <v>868</v>
      </c>
      <c r="E5460" s="10" t="str">
        <f t="shared" si="836"/>
        <v>Rancho Upácuaro No. 12</v>
      </c>
      <c r="F5460" s="10" t="str">
        <f t="shared" si="837"/>
        <v>Moreno Chávez</v>
      </c>
      <c r="G5460" s="8">
        <v>5</v>
      </c>
      <c r="H5460" s="11">
        <v>100</v>
      </c>
      <c r="I5460" s="12">
        <v>43092</v>
      </c>
      <c r="J5460" s="35">
        <f t="shared" si="838"/>
        <v>0</v>
      </c>
      <c r="K5460" s="36"/>
      <c r="L5460" s="36"/>
      <c r="M5460" s="36"/>
      <c r="N5460" s="36"/>
      <c r="O5460" s="36"/>
      <c r="P5460" s="36"/>
      <c r="Q5460" s="36"/>
      <c r="R5460" s="36"/>
      <c r="S5460" s="36"/>
      <c r="T5460" s="36"/>
      <c r="U5460" s="36"/>
      <c r="V5460" s="36"/>
      <c r="W5460" s="15">
        <f t="shared" si="839"/>
        <v>0</v>
      </c>
      <c r="X5460" s="36"/>
      <c r="Y5460" s="36"/>
      <c r="Z5460" s="36"/>
      <c r="AA5460" s="36"/>
      <c r="AB5460" s="36"/>
      <c r="AC5460" s="36"/>
      <c r="AD5460" s="36"/>
      <c r="AE5460" s="36"/>
      <c r="AF5460" s="36"/>
      <c r="AG5460" s="36"/>
      <c r="AH5460" s="36"/>
      <c r="AI5460" s="36"/>
      <c r="AJ5460" s="15">
        <f t="shared" si="840"/>
        <v>0</v>
      </c>
      <c r="AK5460" s="14"/>
      <c r="AL5460" s="14"/>
      <c r="AM5460" s="14"/>
      <c r="AN5460" s="14"/>
      <c r="AO5460" s="14"/>
      <c r="AP5460" s="14"/>
      <c r="AQ5460" s="14"/>
      <c r="AR5460" s="14"/>
      <c r="AS5460" s="14"/>
      <c r="AT5460" s="14"/>
      <c r="AU5460" s="14"/>
      <c r="AV5460" s="14"/>
      <c r="AW5460" s="15">
        <f t="shared" si="841"/>
        <v>0</v>
      </c>
      <c r="AX5460" s="316">
        <f>SUM(H5436:H5460)</f>
        <v>35250</v>
      </c>
    </row>
    <row r="5461" spans="2:50" x14ac:dyDescent="0.2">
      <c r="B5461" s="7"/>
      <c r="C5461" s="8">
        <v>15642</v>
      </c>
      <c r="D5461" s="9" t="s">
        <v>202</v>
      </c>
      <c r="E5461" s="10" t="str">
        <f t="shared" si="836"/>
        <v>Rancho Estanzuela No. 25</v>
      </c>
      <c r="F5461" s="10" t="str">
        <f t="shared" si="837"/>
        <v>Contreras Figueroa</v>
      </c>
      <c r="G5461" s="8">
        <v>3</v>
      </c>
      <c r="H5461" s="315">
        <v>400</v>
      </c>
      <c r="I5461" s="12">
        <v>43095</v>
      </c>
      <c r="J5461" s="35">
        <f t="shared" si="838"/>
        <v>0</v>
      </c>
      <c r="K5461" s="36"/>
      <c r="L5461" s="36"/>
      <c r="M5461" s="36"/>
      <c r="N5461" s="36"/>
      <c r="O5461" s="36"/>
      <c r="P5461" s="36"/>
      <c r="Q5461" s="36"/>
      <c r="R5461" s="36"/>
      <c r="S5461" s="36"/>
      <c r="T5461" s="36"/>
      <c r="U5461" s="36"/>
      <c r="V5461" s="36"/>
      <c r="W5461" s="15">
        <f t="shared" si="839"/>
        <v>0</v>
      </c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15">
        <f t="shared" si="840"/>
        <v>0</v>
      </c>
      <c r="AK5461" s="14"/>
      <c r="AL5461" s="14"/>
      <c r="AM5461" s="14"/>
      <c r="AN5461" s="14"/>
      <c r="AO5461" s="14"/>
      <c r="AP5461" s="14"/>
      <c r="AQ5461" s="14"/>
      <c r="AR5461" s="14"/>
      <c r="AS5461" s="14"/>
      <c r="AT5461" s="14"/>
      <c r="AU5461" s="14"/>
      <c r="AV5461" s="14"/>
      <c r="AW5461" s="15">
        <f t="shared" si="841"/>
        <v>0</v>
      </c>
      <c r="AX5461" s="16"/>
    </row>
    <row r="5462" spans="2:50" x14ac:dyDescent="0.2">
      <c r="B5462" s="7"/>
      <c r="C5462" s="8">
        <v>15643</v>
      </c>
      <c r="D5462" s="9" t="s">
        <v>1092</v>
      </c>
      <c r="E5462" s="10" t="str">
        <f t="shared" si="836"/>
        <v>Rancho Estanzuela No. 9, A</v>
      </c>
      <c r="F5462" s="10" t="str">
        <f t="shared" si="837"/>
        <v>Castañeda</v>
      </c>
      <c r="G5462" s="8">
        <v>1</v>
      </c>
      <c r="H5462" s="11">
        <v>800</v>
      </c>
      <c r="I5462" s="12">
        <v>43099</v>
      </c>
      <c r="J5462" s="35">
        <f t="shared" si="838"/>
        <v>0</v>
      </c>
      <c r="K5462" s="36"/>
      <c r="L5462" s="36"/>
      <c r="M5462" s="36"/>
      <c r="N5462" s="36"/>
      <c r="O5462" s="36"/>
      <c r="P5462" s="36"/>
      <c r="Q5462" s="36"/>
      <c r="R5462" s="36"/>
      <c r="S5462" s="36"/>
      <c r="T5462" s="36"/>
      <c r="U5462" s="36"/>
      <c r="V5462" s="36"/>
      <c r="W5462" s="15">
        <f t="shared" si="839"/>
        <v>0</v>
      </c>
      <c r="X5462" s="36"/>
      <c r="Y5462" s="36"/>
      <c r="Z5462" s="36"/>
      <c r="AA5462" s="36"/>
      <c r="AB5462" s="36"/>
      <c r="AC5462" s="36"/>
      <c r="AD5462" s="36"/>
      <c r="AE5462" s="36"/>
      <c r="AF5462" s="36">
        <v>200</v>
      </c>
      <c r="AG5462" s="36">
        <v>200</v>
      </c>
      <c r="AH5462" s="36">
        <v>200</v>
      </c>
      <c r="AI5462" s="36">
        <v>200</v>
      </c>
      <c r="AJ5462" s="15">
        <f t="shared" si="840"/>
        <v>800</v>
      </c>
      <c r="AK5462" s="14"/>
      <c r="AL5462" s="14"/>
      <c r="AM5462" s="14"/>
      <c r="AN5462" s="14"/>
      <c r="AO5462" s="14"/>
      <c r="AP5462" s="14"/>
      <c r="AQ5462" s="14"/>
      <c r="AR5462" s="14"/>
      <c r="AS5462" s="14"/>
      <c r="AT5462" s="14"/>
      <c r="AU5462" s="14"/>
      <c r="AV5462" s="14"/>
      <c r="AW5462" s="15">
        <f t="shared" si="841"/>
        <v>0</v>
      </c>
      <c r="AX5462" s="16"/>
    </row>
    <row r="5463" spans="2:50" x14ac:dyDescent="0.2">
      <c r="B5463" s="7"/>
      <c r="C5463" s="8">
        <v>15644</v>
      </c>
      <c r="D5463" s="9" t="s">
        <v>1092</v>
      </c>
      <c r="E5463" s="10" t="str">
        <f t="shared" si="836"/>
        <v>Rancho Estanzuela No. 9, A</v>
      </c>
      <c r="F5463" s="10" t="str">
        <f t="shared" si="837"/>
        <v>Castañeda</v>
      </c>
      <c r="G5463" s="8">
        <v>1</v>
      </c>
      <c r="H5463" s="11">
        <v>200</v>
      </c>
      <c r="I5463" s="12">
        <v>43099</v>
      </c>
      <c r="J5463" s="35">
        <f t="shared" si="838"/>
        <v>0</v>
      </c>
      <c r="K5463" s="36"/>
      <c r="L5463" s="36"/>
      <c r="M5463" s="36"/>
      <c r="N5463" s="36"/>
      <c r="O5463" s="36"/>
      <c r="P5463" s="36"/>
      <c r="Q5463" s="36"/>
      <c r="R5463" s="36"/>
      <c r="S5463" s="36"/>
      <c r="T5463" s="36"/>
      <c r="U5463" s="36"/>
      <c r="V5463" s="36"/>
      <c r="W5463" s="15">
        <f t="shared" si="839"/>
        <v>0</v>
      </c>
      <c r="X5463" s="36"/>
      <c r="Y5463" s="36"/>
      <c r="Z5463" s="36"/>
      <c r="AA5463" s="36"/>
      <c r="AB5463" s="36"/>
      <c r="AC5463" s="36"/>
      <c r="AD5463" s="36"/>
      <c r="AE5463" s="36"/>
      <c r="AF5463" s="36"/>
      <c r="AG5463" s="36"/>
      <c r="AH5463" s="36"/>
      <c r="AI5463" s="36"/>
      <c r="AJ5463" s="15">
        <f t="shared" si="840"/>
        <v>0</v>
      </c>
      <c r="AK5463" s="14">
        <v>200</v>
      </c>
      <c r="AL5463" s="14"/>
      <c r="AM5463" s="14"/>
      <c r="AN5463" s="14"/>
      <c r="AO5463" s="14"/>
      <c r="AP5463" s="14"/>
      <c r="AQ5463" s="14"/>
      <c r="AR5463" s="14"/>
      <c r="AS5463" s="14"/>
      <c r="AT5463" s="14"/>
      <c r="AU5463" s="14"/>
      <c r="AV5463" s="14"/>
      <c r="AW5463" s="15">
        <f t="shared" si="841"/>
        <v>200</v>
      </c>
      <c r="AX5463" s="16"/>
    </row>
    <row r="5464" spans="2:50" x14ac:dyDescent="0.2">
      <c r="B5464" s="7"/>
      <c r="C5464" s="8">
        <v>15645</v>
      </c>
      <c r="D5464" s="9" t="s">
        <v>828</v>
      </c>
      <c r="E5464" s="10" t="str">
        <f t="shared" ref="E5464:E7493" si="842">IF(D5464=0,"",VLOOKUP(D5464,BASE,2,FALSE))</f>
        <v>Rancho Upácuaro No. 130</v>
      </c>
      <c r="F5464" s="10" t="str">
        <f t="shared" ref="F5464:F7493" si="843">IF(D5464=0,"",VLOOKUP(D5464,BASE,3,FALSE))</f>
        <v>Rodríguez Álvarez</v>
      </c>
      <c r="G5464" s="8">
        <v>1</v>
      </c>
      <c r="H5464" s="11">
        <v>800</v>
      </c>
      <c r="I5464" s="12">
        <v>43099</v>
      </c>
      <c r="J5464" s="35">
        <f t="shared" ref="J5464:J7493" si="844">IF(G5464=1,SUM(W5464,AJ5464,AW5464,-H5464),0)</f>
        <v>0</v>
      </c>
      <c r="K5464" s="36"/>
      <c r="L5464" s="36"/>
      <c r="M5464" s="36"/>
      <c r="N5464" s="36"/>
      <c r="O5464" s="36"/>
      <c r="P5464" s="36"/>
      <c r="Q5464" s="36"/>
      <c r="R5464" s="36"/>
      <c r="S5464" s="36"/>
      <c r="T5464" s="36"/>
      <c r="U5464" s="36"/>
      <c r="V5464" s="36"/>
      <c r="W5464" s="15">
        <f t="shared" ref="W5464:W7493" si="845">SUM(K5464:V5464)</f>
        <v>0</v>
      </c>
      <c r="X5464" s="36"/>
      <c r="Y5464" s="36"/>
      <c r="Z5464" s="36"/>
      <c r="AA5464" s="36"/>
      <c r="AB5464" s="36"/>
      <c r="AC5464" s="36"/>
      <c r="AD5464" s="36"/>
      <c r="AE5464" s="36"/>
      <c r="AF5464" s="36">
        <v>200</v>
      </c>
      <c r="AG5464" s="36">
        <v>200</v>
      </c>
      <c r="AH5464" s="36">
        <v>200</v>
      </c>
      <c r="AI5464" s="36">
        <v>200</v>
      </c>
      <c r="AJ5464" s="15">
        <f t="shared" ref="AJ5464:AJ7493" si="846">SUM(X5464:AI5464)</f>
        <v>800</v>
      </c>
      <c r="AK5464" s="14"/>
      <c r="AL5464" s="14"/>
      <c r="AM5464" s="14"/>
      <c r="AN5464" s="14"/>
      <c r="AO5464" s="14"/>
      <c r="AP5464" s="14"/>
      <c r="AQ5464" s="14"/>
      <c r="AR5464" s="14"/>
      <c r="AS5464" s="14"/>
      <c r="AT5464" s="14"/>
      <c r="AU5464" s="14"/>
      <c r="AV5464" s="14"/>
      <c r="AW5464" s="15">
        <f t="shared" ref="AW5464:AW7493" si="847">SUM(AK5464:AV5464)</f>
        <v>0</v>
      </c>
      <c r="AX5464" s="16"/>
    </row>
    <row r="5465" spans="2:50" x14ac:dyDescent="0.2">
      <c r="B5465" s="7"/>
      <c r="C5465" s="8">
        <v>15646</v>
      </c>
      <c r="D5465" s="9" t="s">
        <v>262</v>
      </c>
      <c r="E5465" s="10" t="str">
        <f t="shared" si="842"/>
        <v>Rancho Recoveco No. 1</v>
      </c>
      <c r="F5465" s="10" t="str">
        <f t="shared" si="843"/>
        <v>Díaz</v>
      </c>
      <c r="G5465" s="8">
        <v>1</v>
      </c>
      <c r="H5465" s="11">
        <v>300</v>
      </c>
      <c r="I5465" s="12">
        <v>43099</v>
      </c>
      <c r="J5465" s="35">
        <f t="shared" si="844"/>
        <v>0</v>
      </c>
      <c r="K5465" s="36"/>
      <c r="L5465" s="36"/>
      <c r="M5465" s="36"/>
      <c r="N5465" s="36"/>
      <c r="O5465" s="36"/>
      <c r="P5465" s="36"/>
      <c r="Q5465" s="36"/>
      <c r="R5465" s="36"/>
      <c r="S5465" s="36"/>
      <c r="T5465" s="36"/>
      <c r="U5465" s="36"/>
      <c r="V5465" s="36"/>
      <c r="W5465" s="15">
        <f t="shared" si="845"/>
        <v>0</v>
      </c>
      <c r="X5465" s="36"/>
      <c r="Y5465" s="36"/>
      <c r="Z5465" s="36"/>
      <c r="AA5465" s="36"/>
      <c r="AB5465" s="36"/>
      <c r="AC5465" s="36"/>
      <c r="AD5465" s="36"/>
      <c r="AE5465" s="36"/>
      <c r="AF5465" s="36"/>
      <c r="AG5465" s="36"/>
      <c r="AH5465" s="36"/>
      <c r="AI5465" s="36">
        <v>300</v>
      </c>
      <c r="AJ5465" s="15">
        <f t="shared" si="846"/>
        <v>300</v>
      </c>
      <c r="AK5465" s="14"/>
      <c r="AL5465" s="14"/>
      <c r="AM5465" s="14"/>
      <c r="AN5465" s="14"/>
      <c r="AO5465" s="14"/>
      <c r="AP5465" s="14"/>
      <c r="AQ5465" s="14"/>
      <c r="AR5465" s="14"/>
      <c r="AS5465" s="14"/>
      <c r="AT5465" s="14"/>
      <c r="AU5465" s="14"/>
      <c r="AV5465" s="14"/>
      <c r="AW5465" s="15">
        <f t="shared" si="847"/>
        <v>0</v>
      </c>
      <c r="AX5465" s="16"/>
    </row>
    <row r="5466" spans="2:50" x14ac:dyDescent="0.2">
      <c r="B5466" s="7"/>
      <c r="C5466" s="8">
        <v>15646</v>
      </c>
      <c r="D5466" s="9" t="s">
        <v>262</v>
      </c>
      <c r="E5466" s="10" t="str">
        <f t="shared" si="842"/>
        <v>Rancho Recoveco No. 1</v>
      </c>
      <c r="F5466" s="10" t="str">
        <f t="shared" si="843"/>
        <v>Díaz</v>
      </c>
      <c r="G5466" s="8">
        <v>5</v>
      </c>
      <c r="H5466" s="11">
        <v>50</v>
      </c>
      <c r="I5466" s="12">
        <v>43099</v>
      </c>
      <c r="J5466" s="35">
        <f t="shared" si="844"/>
        <v>0</v>
      </c>
      <c r="K5466" s="36"/>
      <c r="L5466" s="36"/>
      <c r="M5466" s="36"/>
      <c r="N5466" s="36"/>
      <c r="O5466" s="36"/>
      <c r="P5466" s="36"/>
      <c r="Q5466" s="36"/>
      <c r="R5466" s="36"/>
      <c r="S5466" s="36"/>
      <c r="T5466" s="36"/>
      <c r="U5466" s="36"/>
      <c r="V5466" s="36"/>
      <c r="W5466" s="15">
        <f t="shared" si="845"/>
        <v>0</v>
      </c>
      <c r="X5466" s="36"/>
      <c r="Y5466" s="36"/>
      <c r="Z5466" s="36"/>
      <c r="AA5466" s="36"/>
      <c r="AB5466" s="36"/>
      <c r="AC5466" s="36"/>
      <c r="AD5466" s="36"/>
      <c r="AE5466" s="36"/>
      <c r="AF5466" s="36"/>
      <c r="AG5466" s="36"/>
      <c r="AH5466" s="36"/>
      <c r="AI5466" s="36"/>
      <c r="AJ5466" s="15">
        <f t="shared" si="846"/>
        <v>0</v>
      </c>
      <c r="AK5466" s="14"/>
      <c r="AL5466" s="14"/>
      <c r="AM5466" s="14"/>
      <c r="AN5466" s="14"/>
      <c r="AO5466" s="14"/>
      <c r="AP5466" s="14"/>
      <c r="AQ5466" s="14"/>
      <c r="AR5466" s="14"/>
      <c r="AS5466" s="14"/>
      <c r="AT5466" s="14"/>
      <c r="AU5466" s="14"/>
      <c r="AV5466" s="14"/>
      <c r="AW5466" s="15">
        <f t="shared" si="847"/>
        <v>0</v>
      </c>
      <c r="AX5466" s="16"/>
    </row>
    <row r="5467" spans="2:50" x14ac:dyDescent="0.2">
      <c r="B5467" s="7"/>
      <c r="C5467" s="8">
        <v>15647</v>
      </c>
      <c r="D5467" s="9" t="s">
        <v>538</v>
      </c>
      <c r="E5467" s="10" t="str">
        <f t="shared" si="842"/>
        <v>Rancho Landero No. 73</v>
      </c>
      <c r="F5467" s="10" t="str">
        <f t="shared" si="843"/>
        <v>Islas Palacios</v>
      </c>
      <c r="G5467" s="8">
        <v>1</v>
      </c>
      <c r="H5467" s="11">
        <v>400</v>
      </c>
      <c r="I5467" s="12">
        <v>43099</v>
      </c>
      <c r="J5467" s="35">
        <f t="shared" si="844"/>
        <v>0</v>
      </c>
      <c r="K5467" s="36"/>
      <c r="L5467" s="36"/>
      <c r="M5467" s="36"/>
      <c r="N5467" s="36"/>
      <c r="O5467" s="36"/>
      <c r="P5467" s="36"/>
      <c r="Q5467" s="36"/>
      <c r="R5467" s="36"/>
      <c r="S5467" s="36"/>
      <c r="T5467" s="36"/>
      <c r="U5467" s="36"/>
      <c r="V5467" s="36"/>
      <c r="W5467" s="15">
        <f t="shared" si="845"/>
        <v>0</v>
      </c>
      <c r="X5467" s="36"/>
      <c r="Y5467" s="36"/>
      <c r="Z5467" s="36"/>
      <c r="AA5467" s="36"/>
      <c r="AB5467" s="36"/>
      <c r="AC5467" s="36"/>
      <c r="AD5467" s="36"/>
      <c r="AE5467" s="36"/>
      <c r="AF5467" s="36"/>
      <c r="AG5467" s="36"/>
      <c r="AH5467" s="36"/>
      <c r="AI5467" s="36">
        <v>400</v>
      </c>
      <c r="AJ5467" s="15">
        <f t="shared" si="846"/>
        <v>400</v>
      </c>
      <c r="AK5467" s="14"/>
      <c r="AL5467" s="14"/>
      <c r="AM5467" s="14"/>
      <c r="AN5467" s="14"/>
      <c r="AO5467" s="14"/>
      <c r="AP5467" s="14"/>
      <c r="AQ5467" s="14"/>
      <c r="AR5467" s="14"/>
      <c r="AS5467" s="14"/>
      <c r="AT5467" s="14"/>
      <c r="AU5467" s="14"/>
      <c r="AV5467" s="14"/>
      <c r="AW5467" s="15">
        <f t="shared" si="847"/>
        <v>0</v>
      </c>
      <c r="AX5467" s="16"/>
    </row>
    <row r="5468" spans="2:50" x14ac:dyDescent="0.2">
      <c r="B5468" s="7"/>
      <c r="C5468" s="8">
        <v>15648</v>
      </c>
      <c r="D5468" s="9" t="s">
        <v>103</v>
      </c>
      <c r="E5468" s="10" t="str">
        <f t="shared" si="842"/>
        <v>Rancho La Cuchilla No. 41</v>
      </c>
      <c r="F5468" s="10" t="str">
        <f t="shared" si="843"/>
        <v>Arriaga Lemus</v>
      </c>
      <c r="G5468" s="8">
        <v>1</v>
      </c>
      <c r="H5468" s="11">
        <v>400</v>
      </c>
      <c r="I5468" s="12">
        <v>43099</v>
      </c>
      <c r="J5468" s="35">
        <f t="shared" si="844"/>
        <v>0</v>
      </c>
      <c r="K5468" s="36"/>
      <c r="L5468" s="36"/>
      <c r="M5468" s="36"/>
      <c r="N5468" s="36"/>
      <c r="O5468" s="36"/>
      <c r="P5468" s="36"/>
      <c r="Q5468" s="36"/>
      <c r="R5468" s="36"/>
      <c r="S5468" s="36"/>
      <c r="T5468" s="36"/>
      <c r="U5468" s="36"/>
      <c r="V5468" s="36"/>
      <c r="W5468" s="15">
        <f t="shared" si="845"/>
        <v>0</v>
      </c>
      <c r="X5468" s="36"/>
      <c r="Y5468" s="36"/>
      <c r="Z5468" s="36"/>
      <c r="AA5468" s="36"/>
      <c r="AB5468" s="36"/>
      <c r="AC5468" s="36"/>
      <c r="AD5468" s="36"/>
      <c r="AE5468" s="36"/>
      <c r="AF5468" s="36"/>
      <c r="AG5468" s="36"/>
      <c r="AH5468" s="36"/>
      <c r="AI5468" s="36">
        <v>400</v>
      </c>
      <c r="AJ5468" s="15">
        <f t="shared" si="846"/>
        <v>400</v>
      </c>
      <c r="AK5468" s="14"/>
      <c r="AL5468" s="14"/>
      <c r="AM5468" s="14"/>
      <c r="AN5468" s="14"/>
      <c r="AO5468" s="14"/>
      <c r="AP5468" s="14"/>
      <c r="AQ5468" s="14"/>
      <c r="AR5468" s="14"/>
      <c r="AS5468" s="14"/>
      <c r="AT5468" s="14"/>
      <c r="AU5468" s="14"/>
      <c r="AV5468" s="14"/>
      <c r="AW5468" s="15">
        <f t="shared" si="847"/>
        <v>0</v>
      </c>
      <c r="AX5468" s="16"/>
    </row>
    <row r="5469" spans="2:50" x14ac:dyDescent="0.2">
      <c r="B5469" s="7"/>
      <c r="C5469" s="8">
        <v>15649</v>
      </c>
      <c r="D5469" s="9" t="s">
        <v>634</v>
      </c>
      <c r="E5469" s="10" t="str">
        <f t="shared" si="842"/>
        <v>Rancho Upácuaro No. 19</v>
      </c>
      <c r="F5469" s="10" t="str">
        <f t="shared" si="843"/>
        <v>Peña Inclán</v>
      </c>
      <c r="G5469" s="8">
        <v>1</v>
      </c>
      <c r="H5469" s="11">
        <v>3300</v>
      </c>
      <c r="I5469" s="12">
        <v>43099</v>
      </c>
      <c r="J5469" s="35">
        <f t="shared" si="844"/>
        <v>0</v>
      </c>
      <c r="K5469" s="36"/>
      <c r="L5469" s="36"/>
      <c r="M5469" s="36"/>
      <c r="N5469" s="36"/>
      <c r="O5469" s="36"/>
      <c r="P5469" s="36"/>
      <c r="Q5469" s="36"/>
      <c r="R5469" s="36"/>
      <c r="S5469" s="36"/>
      <c r="T5469" s="36"/>
      <c r="U5469" s="36"/>
      <c r="V5469" s="36"/>
      <c r="W5469" s="15">
        <f t="shared" si="845"/>
        <v>0</v>
      </c>
      <c r="X5469" s="36"/>
      <c r="Y5469" s="36"/>
      <c r="Z5469" s="36"/>
      <c r="AA5469" s="36"/>
      <c r="AB5469" s="36"/>
      <c r="AC5469" s="36"/>
      <c r="AD5469" s="36"/>
      <c r="AE5469" s="36"/>
      <c r="AF5469" s="36"/>
      <c r="AG5469" s="36"/>
      <c r="AH5469" s="36"/>
      <c r="AI5469" s="36"/>
      <c r="AJ5469" s="15">
        <f t="shared" si="846"/>
        <v>0</v>
      </c>
      <c r="AK5469" s="14">
        <v>300</v>
      </c>
      <c r="AL5469" s="14">
        <v>300</v>
      </c>
      <c r="AM5469" s="14">
        <v>300</v>
      </c>
      <c r="AN5469" s="14">
        <v>300</v>
      </c>
      <c r="AO5469" s="14">
        <v>300</v>
      </c>
      <c r="AP5469" s="14">
        <v>300</v>
      </c>
      <c r="AQ5469" s="14">
        <v>300</v>
      </c>
      <c r="AR5469" s="14">
        <v>300</v>
      </c>
      <c r="AS5469" s="14">
        <v>300</v>
      </c>
      <c r="AT5469" s="14">
        <v>300</v>
      </c>
      <c r="AU5469" s="14">
        <v>300</v>
      </c>
      <c r="AV5469" s="14"/>
      <c r="AW5469" s="15">
        <f t="shared" si="847"/>
        <v>3300</v>
      </c>
      <c r="AX5469" s="16" t="s">
        <v>4431</v>
      </c>
    </row>
    <row r="5470" spans="2:50" x14ac:dyDescent="0.2">
      <c r="B5470" s="7"/>
      <c r="C5470" s="8">
        <v>15650</v>
      </c>
      <c r="D5470" s="9" t="s">
        <v>235</v>
      </c>
      <c r="E5470" s="10" t="str">
        <f t="shared" si="842"/>
        <v>Rancho La Cuchilla No. 43, A</v>
      </c>
      <c r="F5470" s="10" t="str">
        <f t="shared" si="843"/>
        <v>De la Rosa</v>
      </c>
      <c r="G5470" s="8">
        <v>1</v>
      </c>
      <c r="H5470" s="11">
        <v>400</v>
      </c>
      <c r="I5470" s="12">
        <v>43099</v>
      </c>
      <c r="J5470" s="35">
        <f t="shared" si="844"/>
        <v>0</v>
      </c>
      <c r="K5470" s="36"/>
      <c r="L5470" s="36"/>
      <c r="M5470" s="36"/>
      <c r="N5470" s="36"/>
      <c r="O5470" s="36"/>
      <c r="P5470" s="36"/>
      <c r="Q5470" s="36"/>
      <c r="R5470" s="36"/>
      <c r="S5470" s="36"/>
      <c r="T5470" s="36"/>
      <c r="U5470" s="36"/>
      <c r="V5470" s="36"/>
      <c r="W5470" s="15">
        <f t="shared" si="845"/>
        <v>0</v>
      </c>
      <c r="X5470" s="36"/>
      <c r="Y5470" s="36"/>
      <c r="Z5470" s="36"/>
      <c r="AA5470" s="36"/>
      <c r="AB5470" s="36"/>
      <c r="AC5470" s="36"/>
      <c r="AD5470" s="36"/>
      <c r="AE5470" s="36"/>
      <c r="AF5470" s="36"/>
      <c r="AG5470" s="36"/>
      <c r="AH5470" s="36"/>
      <c r="AI5470" s="36">
        <v>400</v>
      </c>
      <c r="AJ5470" s="15">
        <f t="shared" si="846"/>
        <v>400</v>
      </c>
      <c r="AK5470" s="14"/>
      <c r="AL5470" s="14"/>
      <c r="AM5470" s="14"/>
      <c r="AN5470" s="14"/>
      <c r="AO5470" s="14"/>
      <c r="AP5470" s="14"/>
      <c r="AQ5470" s="14"/>
      <c r="AR5470" s="14"/>
      <c r="AS5470" s="14"/>
      <c r="AT5470" s="14"/>
      <c r="AU5470" s="14"/>
      <c r="AV5470" s="14"/>
      <c r="AW5470" s="15">
        <f t="shared" si="847"/>
        <v>0</v>
      </c>
      <c r="AX5470" s="16"/>
    </row>
    <row r="5471" spans="2:50" x14ac:dyDescent="0.2">
      <c r="B5471" s="7"/>
      <c r="C5471" s="8">
        <v>15651</v>
      </c>
      <c r="D5471" s="9" t="s">
        <v>807</v>
      </c>
      <c r="E5471" s="10" t="str">
        <f t="shared" si="842"/>
        <v>Rancho La Cuchilla No. 61</v>
      </c>
      <c r="F5471" s="10" t="str">
        <f t="shared" si="843"/>
        <v>Rivera</v>
      </c>
      <c r="G5471" s="8">
        <v>1</v>
      </c>
      <c r="H5471" s="11">
        <v>400</v>
      </c>
      <c r="I5471" s="12">
        <v>43099</v>
      </c>
      <c r="J5471" s="35">
        <f t="shared" si="844"/>
        <v>0</v>
      </c>
      <c r="K5471" s="36"/>
      <c r="L5471" s="36"/>
      <c r="M5471" s="36"/>
      <c r="N5471" s="36"/>
      <c r="O5471" s="36"/>
      <c r="P5471" s="36"/>
      <c r="Q5471" s="36"/>
      <c r="R5471" s="36"/>
      <c r="S5471" s="36"/>
      <c r="T5471" s="36"/>
      <c r="U5471" s="36"/>
      <c r="V5471" s="36"/>
      <c r="W5471" s="15">
        <f t="shared" si="845"/>
        <v>0</v>
      </c>
      <c r="X5471" s="36"/>
      <c r="Y5471" s="36"/>
      <c r="Z5471" s="36"/>
      <c r="AA5471" s="36"/>
      <c r="AB5471" s="36"/>
      <c r="AC5471" s="36"/>
      <c r="AD5471" s="36"/>
      <c r="AE5471" s="36"/>
      <c r="AF5471" s="36"/>
      <c r="AG5471" s="36"/>
      <c r="AH5471" s="36">
        <v>200</v>
      </c>
      <c r="AI5471" s="36">
        <v>200</v>
      </c>
      <c r="AJ5471" s="15">
        <f t="shared" si="846"/>
        <v>400</v>
      </c>
      <c r="AK5471" s="14"/>
      <c r="AL5471" s="14"/>
      <c r="AM5471" s="14"/>
      <c r="AN5471" s="14"/>
      <c r="AO5471" s="14"/>
      <c r="AP5471" s="14"/>
      <c r="AQ5471" s="14"/>
      <c r="AR5471" s="14"/>
      <c r="AS5471" s="14"/>
      <c r="AT5471" s="14"/>
      <c r="AU5471" s="14"/>
      <c r="AV5471" s="14"/>
      <c r="AW5471" s="15">
        <f t="shared" si="847"/>
        <v>0</v>
      </c>
      <c r="AX5471" s="16"/>
    </row>
    <row r="5472" spans="2:50" x14ac:dyDescent="0.2">
      <c r="B5472" s="7"/>
      <c r="C5472" s="8">
        <v>15652</v>
      </c>
      <c r="D5472" s="9" t="s">
        <v>1399</v>
      </c>
      <c r="E5472" s="10" t="str">
        <f t="shared" si="842"/>
        <v>Rancho Romeral No. 23, A</v>
      </c>
      <c r="F5472" s="10" t="str">
        <f t="shared" si="843"/>
        <v>Miranda</v>
      </c>
      <c r="G5472" s="8">
        <v>5</v>
      </c>
      <c r="H5472" s="11">
        <v>50</v>
      </c>
      <c r="I5472" s="12">
        <v>43099</v>
      </c>
      <c r="J5472" s="35">
        <f t="shared" si="844"/>
        <v>0</v>
      </c>
      <c r="K5472" s="36"/>
      <c r="L5472" s="36"/>
      <c r="M5472" s="36"/>
      <c r="N5472" s="36"/>
      <c r="O5472" s="36"/>
      <c r="P5472" s="36"/>
      <c r="Q5472" s="36"/>
      <c r="R5472" s="36"/>
      <c r="S5472" s="36"/>
      <c r="T5472" s="36"/>
      <c r="U5472" s="36"/>
      <c r="V5472" s="36"/>
      <c r="W5472" s="15">
        <f t="shared" si="845"/>
        <v>0</v>
      </c>
      <c r="X5472" s="36"/>
      <c r="Y5472" s="36"/>
      <c r="Z5472" s="36"/>
      <c r="AA5472" s="36"/>
      <c r="AB5472" s="36"/>
      <c r="AC5472" s="36"/>
      <c r="AD5472" s="36"/>
      <c r="AE5472" s="36"/>
      <c r="AF5472" s="36"/>
      <c r="AG5472" s="36"/>
      <c r="AH5472" s="36"/>
      <c r="AI5472" s="36"/>
      <c r="AJ5472" s="15">
        <f t="shared" si="846"/>
        <v>0</v>
      </c>
      <c r="AK5472" s="14"/>
      <c r="AL5472" s="14"/>
      <c r="AM5472" s="14"/>
      <c r="AN5472" s="14"/>
      <c r="AO5472" s="14"/>
      <c r="AP5472" s="14"/>
      <c r="AQ5472" s="14"/>
      <c r="AR5472" s="14"/>
      <c r="AS5472" s="14"/>
      <c r="AT5472" s="14"/>
      <c r="AU5472" s="14"/>
      <c r="AV5472" s="14"/>
      <c r="AW5472" s="15">
        <f t="shared" si="847"/>
        <v>0</v>
      </c>
      <c r="AX5472" s="16"/>
    </row>
    <row r="5473" spans="1:51" x14ac:dyDescent="0.2">
      <c r="B5473" s="7"/>
      <c r="C5473" s="8">
        <v>15653</v>
      </c>
      <c r="D5473" s="9" t="s">
        <v>1181</v>
      </c>
      <c r="E5473" s="10" t="str">
        <f t="shared" si="842"/>
        <v>Rancho Upácuaro No. 31</v>
      </c>
      <c r="F5473" s="10" t="str">
        <f t="shared" si="843"/>
        <v>Gallardo Ávila</v>
      </c>
      <c r="G5473" s="8">
        <v>1</v>
      </c>
      <c r="H5473" s="11">
        <v>600</v>
      </c>
      <c r="I5473" s="12">
        <v>43099</v>
      </c>
      <c r="J5473" s="35">
        <f t="shared" si="844"/>
        <v>0</v>
      </c>
      <c r="K5473" s="36"/>
      <c r="L5473" s="36"/>
      <c r="M5473" s="36"/>
      <c r="N5473" s="36"/>
      <c r="O5473" s="36"/>
      <c r="P5473" s="36"/>
      <c r="Q5473" s="36"/>
      <c r="R5473" s="36"/>
      <c r="S5473" s="36"/>
      <c r="T5473" s="36"/>
      <c r="U5473" s="36"/>
      <c r="V5473" s="36"/>
      <c r="W5473" s="15">
        <f t="shared" si="845"/>
        <v>0</v>
      </c>
      <c r="X5473" s="36"/>
      <c r="Y5473" s="36"/>
      <c r="Z5473" s="36"/>
      <c r="AA5473" s="36"/>
      <c r="AB5473" s="36"/>
      <c r="AC5473" s="36"/>
      <c r="AD5473" s="36"/>
      <c r="AE5473" s="36"/>
      <c r="AF5473" s="36"/>
      <c r="AG5473" s="36">
        <v>200</v>
      </c>
      <c r="AH5473" s="36">
        <v>200</v>
      </c>
      <c r="AI5473" s="36">
        <v>200</v>
      </c>
      <c r="AJ5473" s="15">
        <f t="shared" si="846"/>
        <v>600</v>
      </c>
      <c r="AK5473" s="14"/>
      <c r="AL5473" s="14"/>
      <c r="AM5473" s="14"/>
      <c r="AN5473" s="14"/>
      <c r="AO5473" s="14"/>
      <c r="AP5473" s="14"/>
      <c r="AQ5473" s="14"/>
      <c r="AR5473" s="14"/>
      <c r="AS5473" s="14"/>
      <c r="AT5473" s="14"/>
      <c r="AU5473" s="14"/>
      <c r="AV5473" s="14"/>
      <c r="AW5473" s="15">
        <f t="shared" si="847"/>
        <v>0</v>
      </c>
      <c r="AX5473" s="316">
        <f>SUM(H5461:H5473)</f>
        <v>8100</v>
      </c>
    </row>
    <row r="5474" spans="1:51" x14ac:dyDescent="0.2">
      <c r="B5474" s="7"/>
      <c r="C5474" s="8">
        <v>15634</v>
      </c>
      <c r="D5474" s="9"/>
      <c r="E5474" s="10" t="str">
        <f t="shared" ref="E5474:E5475" si="848">IF(D5474=0,"",VLOOKUP(D5474,BASE,2,FALSE))</f>
        <v/>
      </c>
      <c r="F5474" s="10" t="str">
        <f t="shared" ref="F5474:F5475" si="849">IF(D5474=0,"",VLOOKUP(D5474,BASE,3,FALSE))</f>
        <v/>
      </c>
      <c r="G5474" s="8">
        <v>8</v>
      </c>
      <c r="H5474" s="11"/>
      <c r="I5474" s="12"/>
      <c r="J5474" s="35">
        <f t="shared" ref="J5474:J5475" si="850">IF(G5474=1,SUM(W5474,AJ5474,AW5474,-H5474),0)</f>
        <v>0</v>
      </c>
      <c r="K5474" s="36"/>
      <c r="L5474" s="36"/>
      <c r="M5474" s="36"/>
      <c r="N5474" s="36"/>
      <c r="O5474" s="36"/>
      <c r="P5474" s="36"/>
      <c r="Q5474" s="36"/>
      <c r="R5474" s="36"/>
      <c r="S5474" s="36"/>
      <c r="T5474" s="36"/>
      <c r="U5474" s="36"/>
      <c r="V5474" s="36"/>
      <c r="W5474" s="15">
        <f t="shared" ref="W5474:W5475" si="851">SUM(K5474:V5474)</f>
        <v>0</v>
      </c>
      <c r="X5474" s="36"/>
      <c r="Y5474" s="36"/>
      <c r="Z5474" s="36"/>
      <c r="AA5474" s="36"/>
      <c r="AB5474" s="36"/>
      <c r="AC5474" s="36"/>
      <c r="AD5474" s="36"/>
      <c r="AE5474" s="36"/>
      <c r="AF5474" s="36"/>
      <c r="AG5474" s="36"/>
      <c r="AH5474" s="36"/>
      <c r="AI5474" s="36"/>
      <c r="AJ5474" s="15">
        <f t="shared" ref="AJ5474:AJ5475" si="852">SUM(X5474:AI5474)</f>
        <v>0</v>
      </c>
      <c r="AK5474" s="14"/>
      <c r="AL5474" s="14"/>
      <c r="AM5474" s="14"/>
      <c r="AN5474" s="14"/>
      <c r="AO5474" s="14"/>
      <c r="AP5474" s="14"/>
      <c r="AQ5474" s="14"/>
      <c r="AR5474" s="14"/>
      <c r="AS5474" s="14"/>
      <c r="AT5474" s="14"/>
      <c r="AU5474" s="14"/>
      <c r="AV5474" s="14"/>
      <c r="AW5474" s="15">
        <f t="shared" ref="AW5474:AW5475" si="853">SUM(AK5474:AV5474)</f>
        <v>0</v>
      </c>
      <c r="AX5474" s="16"/>
    </row>
    <row r="5475" spans="1:51" x14ac:dyDescent="0.2">
      <c r="B5475" s="7"/>
      <c r="C5475" s="8">
        <v>15655</v>
      </c>
      <c r="D5475" s="9"/>
      <c r="E5475" s="10" t="str">
        <f t="shared" si="848"/>
        <v/>
      </c>
      <c r="F5475" s="10" t="str">
        <f t="shared" si="849"/>
        <v/>
      </c>
      <c r="G5475" s="8">
        <v>8</v>
      </c>
      <c r="H5475" s="11"/>
      <c r="I5475" s="12"/>
      <c r="J5475" s="35">
        <f t="shared" si="850"/>
        <v>0</v>
      </c>
      <c r="K5475" s="36"/>
      <c r="L5475" s="36"/>
      <c r="M5475" s="36"/>
      <c r="N5475" s="36"/>
      <c r="O5475" s="36"/>
      <c r="P5475" s="36"/>
      <c r="Q5475" s="36"/>
      <c r="R5475" s="36"/>
      <c r="S5475" s="36"/>
      <c r="T5475" s="36"/>
      <c r="U5475" s="36"/>
      <c r="V5475" s="36"/>
      <c r="W5475" s="15">
        <f t="shared" si="851"/>
        <v>0</v>
      </c>
      <c r="X5475" s="36"/>
      <c r="Y5475" s="36"/>
      <c r="Z5475" s="36"/>
      <c r="AA5475" s="36"/>
      <c r="AB5475" s="36"/>
      <c r="AC5475" s="36"/>
      <c r="AD5475" s="36"/>
      <c r="AE5475" s="36"/>
      <c r="AF5475" s="36"/>
      <c r="AG5475" s="36"/>
      <c r="AH5475" s="36"/>
      <c r="AI5475" s="36"/>
      <c r="AJ5475" s="15">
        <f t="shared" si="852"/>
        <v>0</v>
      </c>
      <c r="AK5475" s="14"/>
      <c r="AL5475" s="14"/>
      <c r="AM5475" s="14"/>
      <c r="AN5475" s="14"/>
      <c r="AO5475" s="14"/>
      <c r="AP5475" s="14"/>
      <c r="AQ5475" s="14"/>
      <c r="AR5475" s="14"/>
      <c r="AS5475" s="14"/>
      <c r="AT5475" s="14"/>
      <c r="AU5475" s="14"/>
      <c r="AV5475" s="14"/>
      <c r="AW5475" s="15">
        <f t="shared" si="853"/>
        <v>0</v>
      </c>
      <c r="AX5475" s="16"/>
    </row>
    <row r="5476" spans="1:51" x14ac:dyDescent="0.2">
      <c r="B5476" s="7" t="s">
        <v>3523</v>
      </c>
      <c r="C5476" s="8">
        <v>15656</v>
      </c>
      <c r="D5476" s="9" t="s">
        <v>1441</v>
      </c>
      <c r="E5476" s="10" t="str">
        <f t="shared" si="842"/>
        <v>Rancho Upácuaro No. 92</v>
      </c>
      <c r="F5476" s="10" t="str">
        <f t="shared" si="843"/>
        <v>Rosetti</v>
      </c>
      <c r="G5476" s="8">
        <v>1</v>
      </c>
      <c r="H5476" s="11">
        <v>3300</v>
      </c>
      <c r="I5476" s="12">
        <v>43099</v>
      </c>
      <c r="J5476" s="35">
        <f t="shared" si="844"/>
        <v>0</v>
      </c>
      <c r="K5476" s="36"/>
      <c r="L5476" s="36"/>
      <c r="M5476" s="36"/>
      <c r="N5476" s="36"/>
      <c r="O5476" s="36"/>
      <c r="P5476" s="36"/>
      <c r="Q5476" s="36"/>
      <c r="R5476" s="36"/>
      <c r="S5476" s="36"/>
      <c r="T5476" s="36"/>
      <c r="U5476" s="36"/>
      <c r="V5476" s="36"/>
      <c r="W5476" s="15">
        <f t="shared" si="845"/>
        <v>0</v>
      </c>
      <c r="X5476" s="36"/>
      <c r="Y5476" s="36"/>
      <c r="Z5476" s="36"/>
      <c r="AA5476" s="36"/>
      <c r="AB5476" s="36"/>
      <c r="AC5476" s="36"/>
      <c r="AD5476" s="36"/>
      <c r="AE5476" s="36"/>
      <c r="AF5476" s="36"/>
      <c r="AG5476" s="36"/>
      <c r="AH5476" s="36"/>
      <c r="AI5476" s="36"/>
      <c r="AJ5476" s="15">
        <f t="shared" si="846"/>
        <v>0</v>
      </c>
      <c r="AK5476" s="14">
        <v>300</v>
      </c>
      <c r="AL5476" s="14">
        <v>300</v>
      </c>
      <c r="AM5476" s="14">
        <v>300</v>
      </c>
      <c r="AN5476" s="14">
        <v>300</v>
      </c>
      <c r="AO5476" s="14">
        <v>300</v>
      </c>
      <c r="AP5476" s="14">
        <v>300</v>
      </c>
      <c r="AQ5476" s="14">
        <v>300</v>
      </c>
      <c r="AR5476" s="14">
        <v>300</v>
      </c>
      <c r="AS5476" s="14">
        <v>300</v>
      </c>
      <c r="AT5476" s="14">
        <v>300</v>
      </c>
      <c r="AU5476" s="14">
        <v>300</v>
      </c>
      <c r="AV5476" s="14"/>
      <c r="AW5476" s="15">
        <f t="shared" si="847"/>
        <v>3300</v>
      </c>
      <c r="AX5476" s="16" t="s">
        <v>4431</v>
      </c>
      <c r="AY5476" s="112">
        <f>SUM(H5279:H5477)</f>
        <v>178075</v>
      </c>
    </row>
    <row r="5477" spans="1:51" x14ac:dyDescent="0.2">
      <c r="B5477" s="7"/>
      <c r="C5477" s="8"/>
      <c r="D5477" s="9" t="s">
        <v>806</v>
      </c>
      <c r="E5477" s="10" t="str">
        <f t="shared" si="842"/>
        <v>Rancho Estanzuela No. 130, A</v>
      </c>
      <c r="F5477" s="10" t="str">
        <f t="shared" si="843"/>
        <v>Colegio Carmel</v>
      </c>
      <c r="G5477" s="8">
        <v>1</v>
      </c>
      <c r="H5477" s="11">
        <v>11000</v>
      </c>
      <c r="I5477" s="12">
        <v>43089</v>
      </c>
      <c r="J5477" s="35">
        <f t="shared" si="844"/>
        <v>0</v>
      </c>
      <c r="K5477" s="36"/>
      <c r="L5477" s="36"/>
      <c r="M5477" s="36"/>
      <c r="N5477" s="36"/>
      <c r="O5477" s="36"/>
      <c r="P5477" s="36"/>
      <c r="Q5477" s="36"/>
      <c r="R5477" s="36"/>
      <c r="S5477" s="36"/>
      <c r="T5477" s="36"/>
      <c r="U5477" s="36"/>
      <c r="V5477" s="36"/>
      <c r="W5477" s="15">
        <f t="shared" si="845"/>
        <v>0</v>
      </c>
      <c r="X5477" s="36"/>
      <c r="Y5477" s="36"/>
      <c r="Z5477" s="36"/>
      <c r="AA5477" s="36"/>
      <c r="AB5477" s="36"/>
      <c r="AC5477" s="36"/>
      <c r="AD5477" s="36"/>
      <c r="AE5477" s="36"/>
      <c r="AF5477" s="36"/>
      <c r="AG5477" s="36"/>
      <c r="AH5477" s="36"/>
      <c r="AI5477" s="36">
        <v>11000</v>
      </c>
      <c r="AJ5477" s="15">
        <f t="shared" si="846"/>
        <v>11000</v>
      </c>
      <c r="AK5477" s="14"/>
      <c r="AL5477" s="14"/>
      <c r="AM5477" s="14"/>
      <c r="AN5477" s="14"/>
      <c r="AO5477" s="14"/>
      <c r="AP5477" s="14"/>
      <c r="AQ5477" s="14"/>
      <c r="AR5477" s="14"/>
      <c r="AS5477" s="14"/>
      <c r="AT5477" s="14"/>
      <c r="AU5477" s="14"/>
      <c r="AV5477" s="14"/>
      <c r="AW5477" s="15">
        <f t="shared" si="847"/>
        <v>0</v>
      </c>
      <c r="AX5477" s="16"/>
      <c r="AY5477" s="112">
        <f>SUM(H5279:H5477)</f>
        <v>178075</v>
      </c>
    </row>
    <row r="5478" spans="1:51" x14ac:dyDescent="0.2">
      <c r="B5478" s="7"/>
      <c r="C5478" s="8"/>
      <c r="D5478" s="9"/>
      <c r="E5478" s="10"/>
      <c r="F5478" s="10"/>
      <c r="G5478" s="8"/>
      <c r="H5478" s="11"/>
      <c r="I5478" s="12"/>
      <c r="J5478" s="35"/>
      <c r="K5478" s="36"/>
      <c r="L5478" s="36"/>
      <c r="M5478" s="36"/>
      <c r="N5478" s="36"/>
      <c r="O5478" s="36"/>
      <c r="P5478" s="36"/>
      <c r="Q5478" s="36"/>
      <c r="R5478" s="36"/>
      <c r="S5478" s="36"/>
      <c r="T5478" s="36"/>
      <c r="U5478" s="36"/>
      <c r="V5478" s="36"/>
      <c r="W5478" s="15"/>
      <c r="X5478" s="36"/>
      <c r="Y5478" s="36"/>
      <c r="Z5478" s="36"/>
      <c r="AA5478" s="36"/>
      <c r="AB5478" s="36"/>
      <c r="AC5478" s="36"/>
      <c r="AD5478" s="36"/>
      <c r="AE5478" s="36"/>
      <c r="AF5478" s="36"/>
      <c r="AG5478" s="36"/>
      <c r="AH5478" s="36"/>
      <c r="AI5478" s="36"/>
      <c r="AJ5478" s="15"/>
      <c r="AK5478" s="14"/>
      <c r="AL5478" s="14"/>
      <c r="AM5478" s="14"/>
      <c r="AN5478" s="14"/>
      <c r="AO5478" s="14"/>
      <c r="AP5478" s="14"/>
      <c r="AQ5478" s="14"/>
      <c r="AR5478" s="14"/>
      <c r="AS5478" s="14"/>
      <c r="AT5478" s="14"/>
      <c r="AU5478" s="14"/>
      <c r="AV5478" s="14"/>
      <c r="AW5478" s="15"/>
      <c r="AX5478" s="16"/>
      <c r="AY5478" s="112"/>
    </row>
    <row r="5479" spans="1:51" ht="22.5" x14ac:dyDescent="0.2">
      <c r="A5479" s="2"/>
      <c r="B5479" s="3" t="s">
        <v>1</v>
      </c>
      <c r="C5479" s="3" t="s">
        <v>2</v>
      </c>
      <c r="D5479" s="3" t="s">
        <v>3</v>
      </c>
      <c r="E5479" s="337" t="s">
        <v>4</v>
      </c>
      <c r="F5479" s="337" t="s">
        <v>5</v>
      </c>
      <c r="G5479" s="3" t="s">
        <v>6</v>
      </c>
      <c r="H5479" s="3" t="s">
        <v>7</v>
      </c>
      <c r="I5479" s="3" t="s">
        <v>8</v>
      </c>
      <c r="J5479" s="337" t="s">
        <v>9</v>
      </c>
      <c r="K5479" s="4" t="s">
        <v>10</v>
      </c>
      <c r="L5479" s="4" t="s">
        <v>11</v>
      </c>
      <c r="M5479" s="4" t="s">
        <v>12</v>
      </c>
      <c r="N5479" s="4" t="s">
        <v>13</v>
      </c>
      <c r="O5479" s="4" t="s">
        <v>14</v>
      </c>
      <c r="P5479" s="4" t="s">
        <v>15</v>
      </c>
      <c r="Q5479" s="4" t="s">
        <v>16</v>
      </c>
      <c r="R5479" s="4" t="s">
        <v>17</v>
      </c>
      <c r="S5479" s="4" t="s">
        <v>18</v>
      </c>
      <c r="T5479" s="4" t="s">
        <v>19</v>
      </c>
      <c r="U5479" s="4" t="s">
        <v>20</v>
      </c>
      <c r="V5479" s="4" t="s">
        <v>21</v>
      </c>
      <c r="W5479" s="338" t="s">
        <v>22</v>
      </c>
      <c r="X5479" s="4" t="s">
        <v>23</v>
      </c>
      <c r="Y5479" s="4" t="s">
        <v>24</v>
      </c>
      <c r="Z5479" s="4" t="s">
        <v>25</v>
      </c>
      <c r="AA5479" s="4" t="s">
        <v>26</v>
      </c>
      <c r="AB5479" s="4" t="s">
        <v>27</v>
      </c>
      <c r="AC5479" s="4" t="s">
        <v>28</v>
      </c>
      <c r="AD5479" s="4" t="s">
        <v>29</v>
      </c>
      <c r="AE5479" s="4" t="s">
        <v>30</v>
      </c>
      <c r="AF5479" s="4" t="s">
        <v>31</v>
      </c>
      <c r="AG5479" s="4" t="s">
        <v>32</v>
      </c>
      <c r="AH5479" s="4" t="s">
        <v>33</v>
      </c>
      <c r="AI5479" s="4" t="s">
        <v>34</v>
      </c>
      <c r="AJ5479" s="338" t="s">
        <v>35</v>
      </c>
      <c r="AK5479" s="4" t="s">
        <v>4607</v>
      </c>
      <c r="AL5479" s="4" t="s">
        <v>4608</v>
      </c>
      <c r="AM5479" s="4" t="s">
        <v>4609</v>
      </c>
      <c r="AN5479" s="4" t="s">
        <v>4610</v>
      </c>
      <c r="AO5479" s="4" t="s">
        <v>4611</v>
      </c>
      <c r="AP5479" s="4" t="s">
        <v>4612</v>
      </c>
      <c r="AQ5479" s="4" t="s">
        <v>4613</v>
      </c>
      <c r="AR5479" s="4" t="s">
        <v>4614</v>
      </c>
      <c r="AS5479" s="4" t="s">
        <v>4615</v>
      </c>
      <c r="AT5479" s="4" t="s">
        <v>4616</v>
      </c>
      <c r="AU5479" s="4" t="s">
        <v>4617</v>
      </c>
      <c r="AV5479" s="4" t="s">
        <v>4618</v>
      </c>
      <c r="AW5479" s="338" t="s">
        <v>4619</v>
      </c>
      <c r="AX5479" s="6" t="s">
        <v>36</v>
      </c>
    </row>
    <row r="5480" spans="1:51" x14ac:dyDescent="0.2">
      <c r="B5480" s="7"/>
      <c r="C5480" s="8">
        <v>15657</v>
      </c>
      <c r="D5480" s="9" t="s">
        <v>38</v>
      </c>
      <c r="E5480" s="10" t="str">
        <f t="shared" ref="E5480:E5483" si="854">IF(D5480=0,"",VLOOKUP(D5480,BASE,2,FALSE))</f>
        <v>Rancho Landero No. 2, 3</v>
      </c>
      <c r="F5480" s="10" t="str">
        <f t="shared" ref="F5480:F5483" si="855">IF(D5480=0,"",VLOOKUP(D5480,BASE,3,FALSE))</f>
        <v>Pineda Laura</v>
      </c>
      <c r="G5480" s="8">
        <v>1</v>
      </c>
      <c r="H5480" s="11">
        <v>2200</v>
      </c>
      <c r="I5480" s="12">
        <v>43102</v>
      </c>
      <c r="J5480" s="35">
        <f t="shared" ref="J5480:J5483" si="856">IF(G5480=1,SUM(W5480,AJ5480,AW5480,-H5480),0)</f>
        <v>0</v>
      </c>
      <c r="K5480" s="36"/>
      <c r="L5480" s="36"/>
      <c r="M5480" s="36"/>
      <c r="N5480" s="36"/>
      <c r="O5480" s="36"/>
      <c r="P5480" s="36"/>
      <c r="Q5480" s="36"/>
      <c r="R5480" s="36"/>
      <c r="S5480" s="36"/>
      <c r="T5480" s="36"/>
      <c r="U5480" s="36"/>
      <c r="V5480" s="36"/>
      <c r="W5480" s="15">
        <f t="shared" ref="W5480:W5483" si="857">SUM(K5480:V5480)</f>
        <v>0</v>
      </c>
      <c r="X5480" s="36"/>
      <c r="Y5480" s="36"/>
      <c r="Z5480" s="36"/>
      <c r="AA5480" s="36"/>
      <c r="AB5480" s="36"/>
      <c r="AC5480" s="36"/>
      <c r="AD5480" s="36"/>
      <c r="AE5480" s="36"/>
      <c r="AF5480" s="36"/>
      <c r="AG5480" s="36"/>
      <c r="AH5480" s="36"/>
      <c r="AI5480" s="36"/>
      <c r="AJ5480" s="15">
        <f t="shared" ref="AJ5480:AJ5483" si="858">SUM(X5480:AI5480)</f>
        <v>0</v>
      </c>
      <c r="AK5480" s="14">
        <v>200</v>
      </c>
      <c r="AL5480" s="14">
        <v>200</v>
      </c>
      <c r="AM5480" s="14">
        <v>200</v>
      </c>
      <c r="AN5480" s="14">
        <v>200</v>
      </c>
      <c r="AO5480" s="14">
        <v>200</v>
      </c>
      <c r="AP5480" s="14">
        <v>200</v>
      </c>
      <c r="AQ5480" s="14">
        <v>200</v>
      </c>
      <c r="AR5480" s="14">
        <v>200</v>
      </c>
      <c r="AS5480" s="14">
        <v>200</v>
      </c>
      <c r="AT5480" s="14">
        <v>200</v>
      </c>
      <c r="AU5480" s="14">
        <v>200</v>
      </c>
      <c r="AV5480" s="14"/>
      <c r="AW5480" s="15">
        <f t="shared" ref="AW5480:AW5483" si="859">SUM(AK5480:AV5480)</f>
        <v>2200</v>
      </c>
      <c r="AX5480" s="16" t="s">
        <v>4869</v>
      </c>
      <c r="AY5480" s="112"/>
    </row>
    <row r="5481" spans="1:51" x14ac:dyDescent="0.2">
      <c r="B5481" s="7"/>
      <c r="C5481" s="8">
        <v>15657</v>
      </c>
      <c r="D5481" s="9" t="s">
        <v>38</v>
      </c>
      <c r="E5481" s="10" t="str">
        <f t="shared" si="854"/>
        <v>Rancho Landero No. 2, 3</v>
      </c>
      <c r="F5481" s="10" t="str">
        <f t="shared" si="855"/>
        <v>Pineda Laura</v>
      </c>
      <c r="G5481" s="8">
        <v>3</v>
      </c>
      <c r="H5481" s="11">
        <v>200</v>
      </c>
      <c r="I5481" s="12">
        <v>43102</v>
      </c>
      <c r="J5481" s="35">
        <f t="shared" si="856"/>
        <v>0</v>
      </c>
      <c r="K5481" s="36"/>
      <c r="L5481" s="36"/>
      <c r="M5481" s="36"/>
      <c r="N5481" s="36"/>
      <c r="O5481" s="36"/>
      <c r="P5481" s="36"/>
      <c r="Q5481" s="36"/>
      <c r="R5481" s="36"/>
      <c r="S5481" s="36"/>
      <c r="T5481" s="36"/>
      <c r="U5481" s="36"/>
      <c r="V5481" s="36"/>
      <c r="W5481" s="15">
        <f t="shared" si="857"/>
        <v>0</v>
      </c>
      <c r="X5481" s="36"/>
      <c r="Y5481" s="36"/>
      <c r="Z5481" s="36"/>
      <c r="AA5481" s="36"/>
      <c r="AB5481" s="36"/>
      <c r="AC5481" s="36"/>
      <c r="AD5481" s="36"/>
      <c r="AE5481" s="36"/>
      <c r="AF5481" s="36"/>
      <c r="AG5481" s="36"/>
      <c r="AH5481" s="36"/>
      <c r="AI5481" s="36"/>
      <c r="AJ5481" s="15">
        <f t="shared" si="858"/>
        <v>0</v>
      </c>
      <c r="AK5481" s="14"/>
      <c r="AL5481" s="14"/>
      <c r="AM5481" s="14"/>
      <c r="AN5481" s="14"/>
      <c r="AO5481" s="14"/>
      <c r="AP5481" s="14"/>
      <c r="AQ5481" s="14"/>
      <c r="AR5481" s="14"/>
      <c r="AS5481" s="14"/>
      <c r="AT5481" s="14"/>
      <c r="AU5481" s="14"/>
      <c r="AV5481" s="14"/>
      <c r="AW5481" s="15">
        <f t="shared" si="859"/>
        <v>0</v>
      </c>
      <c r="AX5481" s="16"/>
      <c r="AY5481" s="112"/>
    </row>
    <row r="5482" spans="1:51" x14ac:dyDescent="0.2">
      <c r="B5482" s="7"/>
      <c r="C5482" s="8">
        <v>15658</v>
      </c>
      <c r="D5482" s="9" t="s">
        <v>887</v>
      </c>
      <c r="E5482" s="10" t="str">
        <f t="shared" si="854"/>
        <v>Rancho Estopila No. 44_4</v>
      </c>
      <c r="F5482" s="10" t="str">
        <f t="shared" si="855"/>
        <v>Acroy Mendoza</v>
      </c>
      <c r="G5482" s="8">
        <v>1</v>
      </c>
      <c r="H5482" s="11">
        <v>2200</v>
      </c>
      <c r="I5482" s="12">
        <v>43102</v>
      </c>
      <c r="J5482" s="35">
        <f t="shared" si="856"/>
        <v>0</v>
      </c>
      <c r="K5482" s="36"/>
      <c r="L5482" s="36"/>
      <c r="M5482" s="36"/>
      <c r="N5482" s="36"/>
      <c r="O5482" s="36"/>
      <c r="P5482" s="36"/>
      <c r="Q5482" s="36"/>
      <c r="R5482" s="36"/>
      <c r="S5482" s="36"/>
      <c r="T5482" s="36"/>
      <c r="U5482" s="36"/>
      <c r="V5482" s="36"/>
      <c r="W5482" s="15">
        <f t="shared" si="857"/>
        <v>0</v>
      </c>
      <c r="X5482" s="36"/>
      <c r="Y5482" s="36"/>
      <c r="Z5482" s="36"/>
      <c r="AA5482" s="36"/>
      <c r="AB5482" s="36"/>
      <c r="AC5482" s="36"/>
      <c r="AD5482" s="36"/>
      <c r="AE5482" s="36"/>
      <c r="AF5482" s="36"/>
      <c r="AG5482" s="36"/>
      <c r="AH5482" s="36"/>
      <c r="AI5482" s="36"/>
      <c r="AJ5482" s="15">
        <f t="shared" si="858"/>
        <v>0</v>
      </c>
      <c r="AK5482" s="14">
        <v>200</v>
      </c>
      <c r="AL5482" s="14">
        <v>200</v>
      </c>
      <c r="AM5482" s="14">
        <v>200</v>
      </c>
      <c r="AN5482" s="14">
        <v>200</v>
      </c>
      <c r="AO5482" s="14">
        <v>200</v>
      </c>
      <c r="AP5482" s="14">
        <v>200</v>
      </c>
      <c r="AQ5482" s="14">
        <v>200</v>
      </c>
      <c r="AR5482" s="14">
        <v>200</v>
      </c>
      <c r="AS5482" s="14">
        <v>200</v>
      </c>
      <c r="AT5482" s="14">
        <v>200</v>
      </c>
      <c r="AU5482" s="14">
        <v>200</v>
      </c>
      <c r="AV5482" s="14"/>
      <c r="AW5482" s="15">
        <f t="shared" si="859"/>
        <v>2200</v>
      </c>
      <c r="AX5482" s="16" t="s">
        <v>4869</v>
      </c>
      <c r="AY5482" s="112"/>
    </row>
    <row r="5483" spans="1:51" x14ac:dyDescent="0.2">
      <c r="B5483" s="7"/>
      <c r="C5483" s="8">
        <v>15659</v>
      </c>
      <c r="D5483" s="9" t="s">
        <v>1331</v>
      </c>
      <c r="E5483" s="10" t="str">
        <f t="shared" si="854"/>
        <v>Rancho Estanzuela No. 43</v>
      </c>
      <c r="F5483" s="10" t="str">
        <f t="shared" si="855"/>
        <v>Granados</v>
      </c>
      <c r="G5483" s="8">
        <v>1</v>
      </c>
      <c r="H5483" s="11">
        <v>1200</v>
      </c>
      <c r="I5483" s="12">
        <v>43103</v>
      </c>
      <c r="J5483" s="35">
        <f t="shared" si="856"/>
        <v>0</v>
      </c>
      <c r="K5483" s="36"/>
      <c r="L5483" s="36"/>
      <c r="M5483" s="36"/>
      <c r="N5483" s="36"/>
      <c r="O5483" s="36"/>
      <c r="P5483" s="36"/>
      <c r="Q5483" s="36"/>
      <c r="R5483" s="36"/>
      <c r="S5483" s="36"/>
      <c r="T5483" s="36"/>
      <c r="U5483" s="36"/>
      <c r="V5483" s="36"/>
      <c r="W5483" s="15">
        <f t="shared" si="857"/>
        <v>0</v>
      </c>
      <c r="X5483" s="36"/>
      <c r="Y5483" s="36"/>
      <c r="Z5483" s="36"/>
      <c r="AA5483" s="36"/>
      <c r="AB5483" s="36"/>
      <c r="AC5483" s="36"/>
      <c r="AD5483" s="36"/>
      <c r="AE5483" s="36"/>
      <c r="AF5483" s="36"/>
      <c r="AG5483" s="36"/>
      <c r="AH5483" s="36">
        <v>400</v>
      </c>
      <c r="AI5483" s="36">
        <v>400</v>
      </c>
      <c r="AJ5483" s="15">
        <f t="shared" si="858"/>
        <v>800</v>
      </c>
      <c r="AK5483" s="14">
        <v>400</v>
      </c>
      <c r="AL5483" s="14"/>
      <c r="AM5483" s="14"/>
      <c r="AN5483" s="14"/>
      <c r="AO5483" s="14"/>
      <c r="AP5483" s="14"/>
      <c r="AQ5483" s="14"/>
      <c r="AR5483" s="14"/>
      <c r="AS5483" s="14"/>
      <c r="AT5483" s="14"/>
      <c r="AU5483" s="14"/>
      <c r="AV5483" s="14"/>
      <c r="AW5483" s="15">
        <f t="shared" si="859"/>
        <v>400</v>
      </c>
      <c r="AX5483" s="16"/>
      <c r="AY5483" s="112"/>
    </row>
    <row r="5484" spans="1:51" x14ac:dyDescent="0.2">
      <c r="B5484" s="7"/>
      <c r="C5484" s="8">
        <v>15660</v>
      </c>
      <c r="D5484" s="9" t="s">
        <v>373</v>
      </c>
      <c r="E5484" s="10" t="str">
        <f t="shared" ref="E5484:E5541" si="860">IF(D5484=0,"",VLOOKUP(D5484,BASE,2,FALSE))</f>
        <v>Rancho Upácuaro No. 118</v>
      </c>
      <c r="F5484" s="10" t="str">
        <f t="shared" ref="F5484:F5541" si="861">IF(D5484=0,"",VLOOKUP(D5484,BASE,3,FALSE))</f>
        <v>Siegrist</v>
      </c>
      <c r="G5484" s="8">
        <v>1</v>
      </c>
      <c r="H5484" s="11">
        <v>400</v>
      </c>
      <c r="I5484" s="12">
        <v>43105</v>
      </c>
      <c r="J5484" s="35">
        <f t="shared" ref="J5484:J5541" si="862">IF(G5484=1,SUM(W5484,AJ5484,AW5484,-H5484),0)</f>
        <v>0</v>
      </c>
      <c r="K5484" s="36"/>
      <c r="L5484" s="36"/>
      <c r="M5484" s="36"/>
      <c r="N5484" s="36"/>
      <c r="O5484" s="36"/>
      <c r="P5484" s="36"/>
      <c r="Q5484" s="36"/>
      <c r="R5484" s="36"/>
      <c r="S5484" s="36"/>
      <c r="T5484" s="36"/>
      <c r="U5484" s="36"/>
      <c r="V5484" s="36"/>
      <c r="W5484" s="15">
        <f t="shared" ref="W5484:W5541" si="863">SUM(K5484:V5484)</f>
        <v>0</v>
      </c>
      <c r="X5484" s="36"/>
      <c r="Y5484" s="36"/>
      <c r="Z5484" s="36"/>
      <c r="AA5484" s="36"/>
      <c r="AB5484" s="36"/>
      <c r="AC5484" s="36"/>
      <c r="AD5484" s="36"/>
      <c r="AE5484" s="36"/>
      <c r="AF5484" s="36"/>
      <c r="AG5484" s="36"/>
      <c r="AH5484" s="36"/>
      <c r="AI5484" s="36">
        <v>400</v>
      </c>
      <c r="AJ5484" s="15">
        <f t="shared" ref="AJ5484:AJ5541" si="864">SUM(X5484:AI5484)</f>
        <v>400</v>
      </c>
      <c r="AK5484" s="14"/>
      <c r="AL5484" s="14"/>
      <c r="AM5484" s="14"/>
      <c r="AN5484" s="14"/>
      <c r="AO5484" s="14"/>
      <c r="AP5484" s="14"/>
      <c r="AQ5484" s="14"/>
      <c r="AR5484" s="14"/>
      <c r="AS5484" s="14"/>
      <c r="AT5484" s="14"/>
      <c r="AU5484" s="14"/>
      <c r="AV5484" s="14"/>
      <c r="AW5484" s="15">
        <f t="shared" ref="AW5484:AW5541" si="865">SUM(AK5484:AV5484)</f>
        <v>0</v>
      </c>
      <c r="AX5484" s="16"/>
      <c r="AY5484" s="112"/>
    </row>
    <row r="5485" spans="1:51" x14ac:dyDescent="0.2">
      <c r="B5485" s="7"/>
      <c r="C5485" s="8">
        <v>15661</v>
      </c>
      <c r="D5485" s="9" t="s">
        <v>834</v>
      </c>
      <c r="E5485" s="10" t="str">
        <f t="shared" si="860"/>
        <v>Rancho Upácuaro No. 110</v>
      </c>
      <c r="F5485" s="10" t="str">
        <f t="shared" si="861"/>
        <v>Ruiz Mijangos</v>
      </c>
      <c r="G5485" s="8">
        <v>1</v>
      </c>
      <c r="H5485" s="11">
        <v>900</v>
      </c>
      <c r="I5485" s="12">
        <v>43107</v>
      </c>
      <c r="J5485" s="35">
        <f t="shared" si="862"/>
        <v>0</v>
      </c>
      <c r="K5485" s="36"/>
      <c r="L5485" s="36"/>
      <c r="M5485" s="36"/>
      <c r="N5485" s="36"/>
      <c r="O5485" s="36"/>
      <c r="P5485" s="36"/>
      <c r="Q5485" s="36"/>
      <c r="R5485" s="36"/>
      <c r="S5485" s="36"/>
      <c r="T5485" s="36"/>
      <c r="U5485" s="36"/>
      <c r="V5485" s="36"/>
      <c r="W5485" s="15">
        <f t="shared" si="863"/>
        <v>0</v>
      </c>
      <c r="X5485" s="36"/>
      <c r="Y5485" s="36"/>
      <c r="Z5485" s="36"/>
      <c r="AA5485" s="36"/>
      <c r="AB5485" s="36"/>
      <c r="AC5485" s="36"/>
      <c r="AD5485" s="36"/>
      <c r="AE5485" s="36"/>
      <c r="AF5485" s="36"/>
      <c r="AG5485" s="36">
        <v>300</v>
      </c>
      <c r="AH5485" s="36">
        <v>300</v>
      </c>
      <c r="AI5485" s="36">
        <v>300</v>
      </c>
      <c r="AJ5485" s="15">
        <f t="shared" si="864"/>
        <v>900</v>
      </c>
      <c r="AK5485" s="14"/>
      <c r="AL5485" s="14"/>
      <c r="AM5485" s="14"/>
      <c r="AN5485" s="14"/>
      <c r="AO5485" s="14"/>
      <c r="AP5485" s="14"/>
      <c r="AQ5485" s="14"/>
      <c r="AR5485" s="14"/>
      <c r="AS5485" s="14"/>
      <c r="AT5485" s="14"/>
      <c r="AU5485" s="14"/>
      <c r="AV5485" s="14"/>
      <c r="AW5485" s="15">
        <f t="shared" si="865"/>
        <v>0</v>
      </c>
      <c r="AX5485" s="16"/>
      <c r="AY5485" s="112"/>
    </row>
    <row r="5486" spans="1:51" x14ac:dyDescent="0.2">
      <c r="B5486" s="7"/>
      <c r="C5486" s="8">
        <v>15662</v>
      </c>
      <c r="D5486" s="9" t="s">
        <v>162</v>
      </c>
      <c r="E5486" s="10" t="str">
        <f t="shared" si="860"/>
        <v>Rancho La Cuchilla No. 20</v>
      </c>
      <c r="F5486" s="10" t="str">
        <f t="shared" si="861"/>
        <v>Sánchez López</v>
      </c>
      <c r="G5486" s="8">
        <v>1</v>
      </c>
      <c r="H5486" s="11">
        <v>800</v>
      </c>
      <c r="I5486" s="12">
        <v>43107</v>
      </c>
      <c r="J5486" s="35">
        <f t="shared" si="862"/>
        <v>0</v>
      </c>
      <c r="K5486" s="36"/>
      <c r="L5486" s="36"/>
      <c r="M5486" s="36"/>
      <c r="N5486" s="36"/>
      <c r="O5486" s="36"/>
      <c r="P5486" s="36"/>
      <c r="Q5486" s="36"/>
      <c r="R5486" s="36"/>
      <c r="S5486" s="36"/>
      <c r="T5486" s="36"/>
      <c r="U5486" s="36"/>
      <c r="V5486" s="36"/>
      <c r="W5486" s="15">
        <f t="shared" si="863"/>
        <v>0</v>
      </c>
      <c r="X5486" s="36"/>
      <c r="Y5486" s="36"/>
      <c r="Z5486" s="36"/>
      <c r="AA5486" s="36"/>
      <c r="AB5486" s="36"/>
      <c r="AC5486" s="36"/>
      <c r="AD5486" s="36"/>
      <c r="AE5486" s="36"/>
      <c r="AF5486" s="36"/>
      <c r="AG5486" s="36"/>
      <c r="AH5486" s="36"/>
      <c r="AI5486" s="36"/>
      <c r="AJ5486" s="15">
        <f t="shared" si="864"/>
        <v>0</v>
      </c>
      <c r="AK5486" s="14">
        <v>400</v>
      </c>
      <c r="AL5486" s="14">
        <v>400</v>
      </c>
      <c r="AM5486" s="14"/>
      <c r="AN5486" s="14"/>
      <c r="AO5486" s="14"/>
      <c r="AP5486" s="14"/>
      <c r="AQ5486" s="14"/>
      <c r="AR5486" s="14"/>
      <c r="AS5486" s="14"/>
      <c r="AT5486" s="14"/>
      <c r="AU5486" s="14"/>
      <c r="AV5486" s="14"/>
      <c r="AW5486" s="15">
        <f t="shared" si="865"/>
        <v>800</v>
      </c>
      <c r="AX5486" s="16"/>
      <c r="AY5486" s="112"/>
    </row>
    <row r="5487" spans="1:51" x14ac:dyDescent="0.2">
      <c r="B5487" s="7"/>
      <c r="C5487" s="8">
        <v>15663</v>
      </c>
      <c r="D5487" s="9" t="s">
        <v>678</v>
      </c>
      <c r="E5487" s="10" t="str">
        <f t="shared" si="860"/>
        <v>Rancho Upácuaro No. 76</v>
      </c>
      <c r="F5487" s="10" t="str">
        <f t="shared" si="861"/>
        <v>Ruiz de San Pedro</v>
      </c>
      <c r="G5487" s="8">
        <v>1</v>
      </c>
      <c r="H5487" s="11">
        <v>400</v>
      </c>
      <c r="I5487" s="12">
        <v>43107</v>
      </c>
      <c r="J5487" s="35">
        <f t="shared" si="862"/>
        <v>0</v>
      </c>
      <c r="K5487" s="36"/>
      <c r="L5487" s="36"/>
      <c r="M5487" s="36"/>
      <c r="N5487" s="36"/>
      <c r="O5487" s="36"/>
      <c r="P5487" s="36"/>
      <c r="Q5487" s="36"/>
      <c r="R5487" s="36"/>
      <c r="S5487" s="36"/>
      <c r="T5487" s="36"/>
      <c r="U5487" s="36"/>
      <c r="V5487" s="36"/>
      <c r="W5487" s="15">
        <f t="shared" si="863"/>
        <v>0</v>
      </c>
      <c r="X5487" s="36"/>
      <c r="Y5487" s="36"/>
      <c r="Z5487" s="36"/>
      <c r="AA5487" s="36"/>
      <c r="AB5487" s="36"/>
      <c r="AC5487" s="36"/>
      <c r="AD5487" s="36"/>
      <c r="AE5487" s="36"/>
      <c r="AF5487" s="36"/>
      <c r="AG5487" s="36"/>
      <c r="AH5487" s="36"/>
      <c r="AI5487" s="36"/>
      <c r="AJ5487" s="15">
        <f t="shared" si="864"/>
        <v>0</v>
      </c>
      <c r="AK5487" s="14">
        <v>400</v>
      </c>
      <c r="AL5487" s="14"/>
      <c r="AM5487" s="14"/>
      <c r="AN5487" s="14"/>
      <c r="AO5487" s="14"/>
      <c r="AP5487" s="14"/>
      <c r="AQ5487" s="14"/>
      <c r="AR5487" s="14"/>
      <c r="AS5487" s="14"/>
      <c r="AT5487" s="14"/>
      <c r="AU5487" s="14"/>
      <c r="AV5487" s="14"/>
      <c r="AW5487" s="15">
        <f t="shared" si="865"/>
        <v>400</v>
      </c>
      <c r="AX5487" s="16"/>
      <c r="AY5487" s="112"/>
    </row>
    <row r="5488" spans="1:51" x14ac:dyDescent="0.2">
      <c r="B5488" s="7"/>
      <c r="C5488" s="8">
        <v>15664</v>
      </c>
      <c r="D5488" s="9" t="s">
        <v>331</v>
      </c>
      <c r="E5488" s="10" t="str">
        <f t="shared" si="860"/>
        <v>Rancho Recoveco No. 197</v>
      </c>
      <c r="F5488" s="10" t="str">
        <f t="shared" si="861"/>
        <v>Colín González</v>
      </c>
      <c r="G5488" s="8">
        <v>1</v>
      </c>
      <c r="H5488" s="11">
        <v>400</v>
      </c>
      <c r="I5488" s="12">
        <v>43107</v>
      </c>
      <c r="J5488" s="35">
        <f t="shared" si="862"/>
        <v>0</v>
      </c>
      <c r="K5488" s="36"/>
      <c r="L5488" s="36"/>
      <c r="M5488" s="36"/>
      <c r="N5488" s="36"/>
      <c r="O5488" s="36"/>
      <c r="P5488" s="36"/>
      <c r="Q5488" s="36"/>
      <c r="R5488" s="36"/>
      <c r="S5488" s="36"/>
      <c r="T5488" s="36"/>
      <c r="U5488" s="36"/>
      <c r="V5488" s="36"/>
      <c r="W5488" s="15">
        <f t="shared" si="863"/>
        <v>0</v>
      </c>
      <c r="X5488" s="36"/>
      <c r="Y5488" s="36"/>
      <c r="Z5488" s="36"/>
      <c r="AA5488" s="36"/>
      <c r="AB5488" s="36"/>
      <c r="AC5488" s="36"/>
      <c r="AD5488" s="36"/>
      <c r="AE5488" s="36"/>
      <c r="AF5488" s="36"/>
      <c r="AG5488" s="36"/>
      <c r="AH5488" s="36"/>
      <c r="AI5488" s="36"/>
      <c r="AJ5488" s="15">
        <f t="shared" si="864"/>
        <v>0</v>
      </c>
      <c r="AK5488" s="14">
        <v>400</v>
      </c>
      <c r="AL5488" s="14"/>
      <c r="AM5488" s="14"/>
      <c r="AN5488" s="14"/>
      <c r="AO5488" s="14"/>
      <c r="AP5488" s="14"/>
      <c r="AQ5488" s="14"/>
      <c r="AR5488" s="14"/>
      <c r="AS5488" s="14"/>
      <c r="AT5488" s="14"/>
      <c r="AU5488" s="14"/>
      <c r="AV5488" s="14"/>
      <c r="AW5488" s="15">
        <f t="shared" si="865"/>
        <v>400</v>
      </c>
      <c r="AX5488" s="16"/>
      <c r="AY5488" s="112"/>
    </row>
    <row r="5489" spans="2:51" x14ac:dyDescent="0.2">
      <c r="B5489" s="7"/>
      <c r="C5489" s="8">
        <v>15665</v>
      </c>
      <c r="D5489" s="9" t="s">
        <v>94</v>
      </c>
      <c r="E5489" s="10" t="str">
        <f t="shared" si="860"/>
        <v>Rancho Landero No. 42</v>
      </c>
      <c r="F5489" s="10" t="str">
        <f t="shared" si="861"/>
        <v>Ávila Fidel</v>
      </c>
      <c r="G5489" s="8">
        <v>1</v>
      </c>
      <c r="H5489" s="11">
        <v>400</v>
      </c>
      <c r="I5489" s="12">
        <v>43107</v>
      </c>
      <c r="J5489" s="35">
        <f t="shared" si="862"/>
        <v>0</v>
      </c>
      <c r="K5489" s="36"/>
      <c r="L5489" s="36"/>
      <c r="M5489" s="36"/>
      <c r="N5489" s="36"/>
      <c r="O5489" s="36"/>
      <c r="P5489" s="36"/>
      <c r="Q5489" s="36"/>
      <c r="R5489" s="36"/>
      <c r="S5489" s="36"/>
      <c r="T5489" s="36"/>
      <c r="U5489" s="36"/>
      <c r="V5489" s="36"/>
      <c r="W5489" s="15">
        <f t="shared" si="863"/>
        <v>0</v>
      </c>
      <c r="X5489" s="36"/>
      <c r="Y5489" s="36"/>
      <c r="Z5489" s="36"/>
      <c r="AA5489" s="36"/>
      <c r="AB5489" s="36"/>
      <c r="AC5489" s="36"/>
      <c r="AD5489" s="36"/>
      <c r="AE5489" s="36"/>
      <c r="AF5489" s="36"/>
      <c r="AG5489" s="36"/>
      <c r="AH5489" s="36"/>
      <c r="AI5489" s="36"/>
      <c r="AJ5489" s="15">
        <f t="shared" si="864"/>
        <v>0</v>
      </c>
      <c r="AK5489" s="14">
        <v>400</v>
      </c>
      <c r="AL5489" s="14"/>
      <c r="AM5489" s="14"/>
      <c r="AN5489" s="14"/>
      <c r="AO5489" s="14"/>
      <c r="AP5489" s="14"/>
      <c r="AQ5489" s="14"/>
      <c r="AR5489" s="14"/>
      <c r="AS5489" s="14"/>
      <c r="AT5489" s="14"/>
      <c r="AU5489" s="14"/>
      <c r="AV5489" s="14"/>
      <c r="AW5489" s="15">
        <f t="shared" si="865"/>
        <v>400</v>
      </c>
      <c r="AX5489" s="16"/>
      <c r="AY5489" s="112"/>
    </row>
    <row r="5490" spans="2:51" x14ac:dyDescent="0.2">
      <c r="B5490" s="7"/>
      <c r="C5490" s="8">
        <v>15666</v>
      </c>
      <c r="D5490" s="9" t="s">
        <v>794</v>
      </c>
      <c r="E5490" s="10" t="str">
        <f t="shared" si="860"/>
        <v>Rancho Landero No. 18</v>
      </c>
      <c r="F5490" s="10" t="str">
        <f t="shared" si="861"/>
        <v>Rosado</v>
      </c>
      <c r="G5490" s="8">
        <v>1</v>
      </c>
      <c r="H5490" s="11">
        <v>300</v>
      </c>
      <c r="I5490" s="12">
        <v>43107</v>
      </c>
      <c r="J5490" s="35">
        <f t="shared" si="862"/>
        <v>0</v>
      </c>
      <c r="K5490" s="36"/>
      <c r="L5490" s="36"/>
      <c r="M5490" s="36"/>
      <c r="N5490" s="36"/>
      <c r="O5490" s="36"/>
      <c r="P5490" s="36"/>
      <c r="Q5490" s="36"/>
      <c r="R5490" s="36"/>
      <c r="S5490" s="36"/>
      <c r="T5490" s="36"/>
      <c r="U5490" s="36"/>
      <c r="V5490" s="36"/>
      <c r="W5490" s="15">
        <f t="shared" si="863"/>
        <v>0</v>
      </c>
      <c r="X5490" s="36"/>
      <c r="Y5490" s="36"/>
      <c r="Z5490" s="36"/>
      <c r="AA5490" s="36"/>
      <c r="AB5490" s="36"/>
      <c r="AC5490" s="36"/>
      <c r="AD5490" s="36"/>
      <c r="AE5490" s="36"/>
      <c r="AF5490" s="36"/>
      <c r="AG5490" s="36"/>
      <c r="AH5490" s="36"/>
      <c r="AI5490" s="36">
        <v>300</v>
      </c>
      <c r="AJ5490" s="15">
        <f t="shared" si="864"/>
        <v>300</v>
      </c>
      <c r="AK5490" s="14"/>
      <c r="AL5490" s="14"/>
      <c r="AM5490" s="14"/>
      <c r="AN5490" s="14"/>
      <c r="AO5490" s="14"/>
      <c r="AP5490" s="14"/>
      <c r="AQ5490" s="14"/>
      <c r="AR5490" s="14"/>
      <c r="AS5490" s="14"/>
      <c r="AT5490" s="14"/>
      <c r="AU5490" s="14"/>
      <c r="AV5490" s="14"/>
      <c r="AW5490" s="15">
        <f t="shared" si="865"/>
        <v>0</v>
      </c>
      <c r="AX5490" s="16"/>
      <c r="AY5490" s="112"/>
    </row>
    <row r="5491" spans="2:51" x14ac:dyDescent="0.2">
      <c r="B5491" s="7"/>
      <c r="C5491" s="8">
        <v>15667</v>
      </c>
      <c r="D5491" s="9" t="s">
        <v>280</v>
      </c>
      <c r="E5491" s="10" t="str">
        <f t="shared" ref="E5491:E5515" si="866">IF(D5491=0,"",VLOOKUP(D5491,BASE,2,FALSE))</f>
        <v>Rancho La Cuchilla No. 40</v>
      </c>
      <c r="F5491" s="10" t="str">
        <f t="shared" ref="F5491:F5515" si="867">IF(D5491=0,"",VLOOKUP(D5491,BASE,3,FALSE))</f>
        <v>López Pico</v>
      </c>
      <c r="G5491" s="8">
        <v>1</v>
      </c>
      <c r="H5491" s="11">
        <v>400</v>
      </c>
      <c r="I5491" s="12">
        <v>43107</v>
      </c>
      <c r="J5491" s="35">
        <f t="shared" ref="J5491:J5515" si="868">IF(G5491=1,SUM(W5491,AJ5491,AW5491,-H5491),0)</f>
        <v>0</v>
      </c>
      <c r="K5491" s="36"/>
      <c r="L5491" s="36"/>
      <c r="M5491" s="36"/>
      <c r="N5491" s="36"/>
      <c r="O5491" s="36"/>
      <c r="P5491" s="36"/>
      <c r="Q5491" s="36"/>
      <c r="R5491" s="36"/>
      <c r="S5491" s="36"/>
      <c r="T5491" s="36"/>
      <c r="U5491" s="36"/>
      <c r="V5491" s="36"/>
      <c r="W5491" s="15">
        <f t="shared" ref="W5491:W5515" si="869">SUM(K5491:V5491)</f>
        <v>0</v>
      </c>
      <c r="X5491" s="36"/>
      <c r="Y5491" s="36"/>
      <c r="Z5491" s="36"/>
      <c r="AA5491" s="36"/>
      <c r="AB5491" s="36"/>
      <c r="AC5491" s="36"/>
      <c r="AD5491" s="36"/>
      <c r="AE5491" s="36"/>
      <c r="AF5491" s="36"/>
      <c r="AG5491" s="36"/>
      <c r="AH5491" s="36"/>
      <c r="AI5491" s="36"/>
      <c r="AJ5491" s="15">
        <f t="shared" ref="AJ5491:AJ5515" si="870">SUM(X5491:AI5491)</f>
        <v>0</v>
      </c>
      <c r="AK5491" s="14">
        <v>400</v>
      </c>
      <c r="AL5491" s="14"/>
      <c r="AM5491" s="14"/>
      <c r="AN5491" s="14"/>
      <c r="AO5491" s="14"/>
      <c r="AP5491" s="14"/>
      <c r="AQ5491" s="14"/>
      <c r="AR5491" s="14"/>
      <c r="AS5491" s="14"/>
      <c r="AT5491" s="14"/>
      <c r="AU5491" s="14"/>
      <c r="AV5491" s="14"/>
      <c r="AW5491" s="15">
        <f t="shared" ref="AW5491:AW5515" si="871">SUM(AK5491:AV5491)</f>
        <v>400</v>
      </c>
      <c r="AX5491" s="16"/>
      <c r="AY5491" s="112"/>
    </row>
    <row r="5492" spans="2:51" x14ac:dyDescent="0.2">
      <c r="B5492" s="7"/>
      <c r="C5492" s="8">
        <v>15668</v>
      </c>
      <c r="D5492" s="9" t="s">
        <v>100</v>
      </c>
      <c r="E5492" s="10" t="str">
        <f t="shared" si="866"/>
        <v>Rancho Upácuaro No. 32</v>
      </c>
      <c r="F5492" s="10" t="str">
        <f t="shared" si="867"/>
        <v>Sairafi Carmen</v>
      </c>
      <c r="G5492" s="8">
        <v>1</v>
      </c>
      <c r="H5492" s="11">
        <v>400</v>
      </c>
      <c r="I5492" s="12">
        <v>43107</v>
      </c>
      <c r="J5492" s="35">
        <f t="shared" si="868"/>
        <v>0</v>
      </c>
      <c r="K5492" s="36"/>
      <c r="L5492" s="36"/>
      <c r="M5492" s="36"/>
      <c r="N5492" s="36"/>
      <c r="O5492" s="36"/>
      <c r="P5492" s="36"/>
      <c r="Q5492" s="36"/>
      <c r="R5492" s="36"/>
      <c r="S5492" s="36"/>
      <c r="T5492" s="36"/>
      <c r="U5492" s="36"/>
      <c r="V5492" s="36"/>
      <c r="W5492" s="15">
        <f t="shared" si="869"/>
        <v>0</v>
      </c>
      <c r="X5492" s="36"/>
      <c r="Y5492" s="36"/>
      <c r="Z5492" s="36"/>
      <c r="AA5492" s="36"/>
      <c r="AB5492" s="36"/>
      <c r="AC5492" s="36"/>
      <c r="AD5492" s="36"/>
      <c r="AE5492" s="36"/>
      <c r="AF5492" s="36"/>
      <c r="AG5492" s="36"/>
      <c r="AH5492" s="36"/>
      <c r="AI5492" s="36"/>
      <c r="AJ5492" s="15">
        <f t="shared" si="870"/>
        <v>0</v>
      </c>
      <c r="AK5492" s="14">
        <v>400</v>
      </c>
      <c r="AL5492" s="14"/>
      <c r="AM5492" s="14"/>
      <c r="AN5492" s="14"/>
      <c r="AO5492" s="14"/>
      <c r="AP5492" s="14"/>
      <c r="AQ5492" s="14"/>
      <c r="AR5492" s="14"/>
      <c r="AS5492" s="14"/>
      <c r="AT5492" s="14"/>
      <c r="AU5492" s="14"/>
      <c r="AV5492" s="14"/>
      <c r="AW5492" s="15">
        <f t="shared" si="871"/>
        <v>400</v>
      </c>
      <c r="AX5492" s="16"/>
      <c r="AY5492" s="112"/>
    </row>
    <row r="5493" spans="2:51" x14ac:dyDescent="0.2">
      <c r="B5493" s="7"/>
      <c r="C5493" s="8">
        <v>15669</v>
      </c>
      <c r="D5493" s="9" t="s">
        <v>413</v>
      </c>
      <c r="E5493" s="10" t="str">
        <f t="shared" si="866"/>
        <v>Rancho Upácuaro No. 79</v>
      </c>
      <c r="F5493" s="10" t="str">
        <f t="shared" si="867"/>
        <v>Macías</v>
      </c>
      <c r="G5493" s="8">
        <v>1</v>
      </c>
      <c r="H5493" s="11">
        <v>800</v>
      </c>
      <c r="I5493" s="12">
        <v>43107</v>
      </c>
      <c r="J5493" s="35">
        <f t="shared" si="868"/>
        <v>0</v>
      </c>
      <c r="K5493" s="36"/>
      <c r="L5493" s="36"/>
      <c r="M5493" s="36"/>
      <c r="N5493" s="36"/>
      <c r="O5493" s="36"/>
      <c r="P5493" s="36"/>
      <c r="Q5493" s="36"/>
      <c r="R5493" s="36"/>
      <c r="S5493" s="36"/>
      <c r="T5493" s="36"/>
      <c r="U5493" s="36"/>
      <c r="V5493" s="36"/>
      <c r="W5493" s="15">
        <f t="shared" si="869"/>
        <v>0</v>
      </c>
      <c r="X5493" s="36"/>
      <c r="Y5493" s="36"/>
      <c r="Z5493" s="36"/>
      <c r="AA5493" s="36"/>
      <c r="AB5493" s="36"/>
      <c r="AC5493" s="36"/>
      <c r="AD5493" s="36"/>
      <c r="AE5493" s="36"/>
      <c r="AF5493" s="36"/>
      <c r="AG5493" s="36"/>
      <c r="AH5493" s="36"/>
      <c r="AI5493" s="36">
        <v>400</v>
      </c>
      <c r="AJ5493" s="15">
        <f t="shared" si="870"/>
        <v>400</v>
      </c>
      <c r="AK5493" s="14">
        <v>400</v>
      </c>
      <c r="AL5493" s="14"/>
      <c r="AM5493" s="14"/>
      <c r="AN5493" s="14"/>
      <c r="AO5493" s="14"/>
      <c r="AP5493" s="14"/>
      <c r="AQ5493" s="14"/>
      <c r="AR5493" s="14"/>
      <c r="AS5493" s="14"/>
      <c r="AT5493" s="14"/>
      <c r="AU5493" s="14"/>
      <c r="AV5493" s="14"/>
      <c r="AW5493" s="15">
        <f t="shared" si="871"/>
        <v>400</v>
      </c>
      <c r="AX5493" s="16"/>
      <c r="AY5493" s="112"/>
    </row>
    <row r="5494" spans="2:51" x14ac:dyDescent="0.2">
      <c r="B5494" s="7"/>
      <c r="C5494" s="8">
        <v>15670</v>
      </c>
      <c r="D5494" s="9" t="s">
        <v>544</v>
      </c>
      <c r="E5494" s="10" t="str">
        <f t="shared" si="866"/>
        <v>Rancho Estanzuela No. 89</v>
      </c>
      <c r="F5494" s="10" t="str">
        <f t="shared" si="867"/>
        <v>Romero Ortiz</v>
      </c>
      <c r="G5494" s="8">
        <v>1</v>
      </c>
      <c r="H5494" s="11">
        <v>400</v>
      </c>
      <c r="I5494" s="12">
        <v>43107</v>
      </c>
      <c r="J5494" s="35">
        <f t="shared" si="868"/>
        <v>0</v>
      </c>
      <c r="K5494" s="36"/>
      <c r="L5494" s="36"/>
      <c r="M5494" s="36"/>
      <c r="N5494" s="36"/>
      <c r="O5494" s="36"/>
      <c r="P5494" s="36"/>
      <c r="Q5494" s="36"/>
      <c r="R5494" s="36"/>
      <c r="S5494" s="36"/>
      <c r="T5494" s="36"/>
      <c r="U5494" s="36"/>
      <c r="V5494" s="36"/>
      <c r="W5494" s="15">
        <f t="shared" si="869"/>
        <v>0</v>
      </c>
      <c r="X5494" s="36"/>
      <c r="Y5494" s="36"/>
      <c r="Z5494" s="36"/>
      <c r="AA5494" s="36"/>
      <c r="AB5494" s="36"/>
      <c r="AC5494" s="36"/>
      <c r="AD5494" s="36"/>
      <c r="AE5494" s="36"/>
      <c r="AF5494" s="36"/>
      <c r="AG5494" s="36"/>
      <c r="AH5494" s="36"/>
      <c r="AI5494" s="36"/>
      <c r="AJ5494" s="15">
        <f t="shared" si="870"/>
        <v>0</v>
      </c>
      <c r="AK5494" s="14">
        <v>400</v>
      </c>
      <c r="AL5494" s="14"/>
      <c r="AM5494" s="14"/>
      <c r="AN5494" s="14"/>
      <c r="AO5494" s="14"/>
      <c r="AP5494" s="14"/>
      <c r="AQ5494" s="14"/>
      <c r="AR5494" s="14"/>
      <c r="AS5494" s="14"/>
      <c r="AT5494" s="14"/>
      <c r="AU5494" s="14"/>
      <c r="AV5494" s="14"/>
      <c r="AW5494" s="15">
        <f t="shared" si="871"/>
        <v>400</v>
      </c>
      <c r="AX5494" s="16"/>
      <c r="AY5494" s="112"/>
    </row>
    <row r="5495" spans="2:51" x14ac:dyDescent="0.2">
      <c r="B5495" s="7"/>
      <c r="C5495" s="8">
        <v>15671</v>
      </c>
      <c r="D5495" s="9" t="s">
        <v>238</v>
      </c>
      <c r="E5495" s="10" t="str">
        <f t="shared" si="866"/>
        <v>Rancho La Cuchilla No. 43, B</v>
      </c>
      <c r="F5495" s="10" t="str">
        <f t="shared" si="867"/>
        <v>Luna Albertano</v>
      </c>
      <c r="G5495" s="8">
        <v>1</v>
      </c>
      <c r="H5495" s="11">
        <v>125</v>
      </c>
      <c r="I5495" s="12">
        <v>43107</v>
      </c>
      <c r="J5495" s="35">
        <f t="shared" si="868"/>
        <v>0</v>
      </c>
      <c r="K5495" s="36"/>
      <c r="L5495" s="36"/>
      <c r="M5495" s="36"/>
      <c r="N5495" s="36"/>
      <c r="O5495" s="36"/>
      <c r="P5495" s="36"/>
      <c r="Q5495" s="36"/>
      <c r="R5495" s="36"/>
      <c r="S5495" s="36"/>
      <c r="T5495" s="36"/>
      <c r="U5495" s="36"/>
      <c r="V5495" s="36"/>
      <c r="W5495" s="15">
        <f t="shared" si="869"/>
        <v>0</v>
      </c>
      <c r="X5495" s="36"/>
      <c r="Y5495" s="36"/>
      <c r="Z5495" s="36"/>
      <c r="AA5495" s="36"/>
      <c r="AB5495" s="36"/>
      <c r="AC5495" s="36"/>
      <c r="AD5495" s="36"/>
      <c r="AE5495" s="36"/>
      <c r="AF5495" s="36"/>
      <c r="AG5495" s="36"/>
      <c r="AH5495" s="36"/>
      <c r="AI5495" s="36"/>
      <c r="AJ5495" s="15">
        <f t="shared" si="870"/>
        <v>0</v>
      </c>
      <c r="AK5495" s="14">
        <v>125</v>
      </c>
      <c r="AL5495" s="14"/>
      <c r="AM5495" s="14"/>
      <c r="AN5495" s="14"/>
      <c r="AO5495" s="14"/>
      <c r="AP5495" s="14"/>
      <c r="AQ5495" s="14"/>
      <c r="AR5495" s="14"/>
      <c r="AS5495" s="14"/>
      <c r="AT5495" s="14"/>
      <c r="AU5495" s="14"/>
      <c r="AV5495" s="14"/>
      <c r="AW5495" s="15">
        <f t="shared" si="871"/>
        <v>125</v>
      </c>
      <c r="AX5495" s="16"/>
      <c r="AY5495" s="112"/>
    </row>
    <row r="5496" spans="2:51" x14ac:dyDescent="0.2">
      <c r="B5496" s="7"/>
      <c r="C5496" s="8">
        <v>15672</v>
      </c>
      <c r="D5496" s="9" t="s">
        <v>247</v>
      </c>
      <c r="E5496" s="10" t="str">
        <f t="shared" si="866"/>
        <v>Rancho Landero No. 91</v>
      </c>
      <c r="F5496" s="10" t="str">
        <f t="shared" si="867"/>
        <v>Llaca</v>
      </c>
      <c r="G5496" s="8">
        <v>1</v>
      </c>
      <c r="H5496" s="11">
        <v>800</v>
      </c>
      <c r="I5496" s="12">
        <v>43107</v>
      </c>
      <c r="J5496" s="35">
        <f t="shared" si="868"/>
        <v>0</v>
      </c>
      <c r="K5496" s="36"/>
      <c r="L5496" s="36"/>
      <c r="M5496" s="36"/>
      <c r="N5496" s="36"/>
      <c r="O5496" s="36"/>
      <c r="P5496" s="36"/>
      <c r="Q5496" s="36"/>
      <c r="R5496" s="36"/>
      <c r="S5496" s="36"/>
      <c r="T5496" s="36"/>
      <c r="U5496" s="36"/>
      <c r="V5496" s="36"/>
      <c r="W5496" s="15">
        <f t="shared" si="869"/>
        <v>0</v>
      </c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15">
        <f t="shared" si="870"/>
        <v>0</v>
      </c>
      <c r="AK5496" s="14">
        <v>400</v>
      </c>
      <c r="AL5496" s="14">
        <v>400</v>
      </c>
      <c r="AM5496" s="14"/>
      <c r="AN5496" s="14"/>
      <c r="AO5496" s="14"/>
      <c r="AP5496" s="14"/>
      <c r="AQ5496" s="14"/>
      <c r="AR5496" s="14"/>
      <c r="AS5496" s="14"/>
      <c r="AT5496" s="14"/>
      <c r="AU5496" s="14"/>
      <c r="AV5496" s="14"/>
      <c r="AW5496" s="15">
        <f t="shared" si="871"/>
        <v>800</v>
      </c>
      <c r="AX5496" s="16"/>
      <c r="AY5496" s="112"/>
    </row>
    <row r="5497" spans="2:51" x14ac:dyDescent="0.2">
      <c r="B5497" s="7"/>
      <c r="C5497" s="8">
        <v>15673</v>
      </c>
      <c r="D5497" s="9" t="s">
        <v>301</v>
      </c>
      <c r="E5497" s="10" t="str">
        <f t="shared" si="866"/>
        <v>Rancho Upácuaro No. 51, 2</v>
      </c>
      <c r="F5497" s="10" t="str">
        <f t="shared" si="867"/>
        <v>Santoyo</v>
      </c>
      <c r="G5497" s="8">
        <v>1</v>
      </c>
      <c r="H5497" s="11">
        <v>400</v>
      </c>
      <c r="I5497" s="12">
        <v>43107</v>
      </c>
      <c r="J5497" s="35">
        <f t="shared" si="868"/>
        <v>0</v>
      </c>
      <c r="K5497" s="36"/>
      <c r="L5497" s="36"/>
      <c r="M5497" s="36"/>
      <c r="N5497" s="36"/>
      <c r="O5497" s="36"/>
      <c r="P5497" s="36"/>
      <c r="Q5497" s="36"/>
      <c r="R5497" s="36"/>
      <c r="S5497" s="36"/>
      <c r="T5497" s="36"/>
      <c r="U5497" s="36"/>
      <c r="V5497" s="36"/>
      <c r="W5497" s="15">
        <f t="shared" si="869"/>
        <v>0</v>
      </c>
      <c r="X5497" s="36"/>
      <c r="Y5497" s="36"/>
      <c r="Z5497" s="36"/>
      <c r="AA5497" s="36"/>
      <c r="AB5497" s="36"/>
      <c r="AC5497" s="36"/>
      <c r="AD5497" s="36"/>
      <c r="AE5497" s="36"/>
      <c r="AF5497" s="36"/>
      <c r="AG5497" s="36"/>
      <c r="AH5497" s="36"/>
      <c r="AI5497" s="36">
        <v>200</v>
      </c>
      <c r="AJ5497" s="15">
        <f t="shared" si="870"/>
        <v>200</v>
      </c>
      <c r="AK5497" s="14">
        <v>200</v>
      </c>
      <c r="AL5497" s="14"/>
      <c r="AM5497" s="14"/>
      <c r="AN5497" s="14"/>
      <c r="AO5497" s="14"/>
      <c r="AP5497" s="14"/>
      <c r="AQ5497" s="14"/>
      <c r="AR5497" s="14"/>
      <c r="AS5497" s="14"/>
      <c r="AT5497" s="14"/>
      <c r="AU5497" s="14"/>
      <c r="AV5497" s="14"/>
      <c r="AW5497" s="15">
        <f t="shared" si="871"/>
        <v>200</v>
      </c>
      <c r="AX5497" s="16"/>
      <c r="AY5497" s="112"/>
    </row>
    <row r="5498" spans="2:51" x14ac:dyDescent="0.2">
      <c r="B5498" s="7"/>
      <c r="C5498" s="8">
        <v>15674</v>
      </c>
      <c r="D5498" s="9" t="s">
        <v>652</v>
      </c>
      <c r="E5498" s="10" t="str">
        <f t="shared" si="866"/>
        <v>Rancho Zinamba No. 74</v>
      </c>
      <c r="F5498" s="10" t="str">
        <f t="shared" si="867"/>
        <v>García Castellanos</v>
      </c>
      <c r="G5498" s="8">
        <v>1</v>
      </c>
      <c r="H5498" s="11">
        <v>1200</v>
      </c>
      <c r="I5498" s="12">
        <v>43107</v>
      </c>
      <c r="J5498" s="35">
        <f t="shared" si="868"/>
        <v>0</v>
      </c>
      <c r="K5498" s="36"/>
      <c r="L5498" s="36"/>
      <c r="M5498" s="36"/>
      <c r="N5498" s="36"/>
      <c r="O5498" s="36"/>
      <c r="P5498" s="36"/>
      <c r="Q5498" s="36"/>
      <c r="R5498" s="36"/>
      <c r="S5498" s="36"/>
      <c r="T5498" s="36">
        <v>400</v>
      </c>
      <c r="U5498" s="36">
        <v>400</v>
      </c>
      <c r="V5498" s="36">
        <v>400</v>
      </c>
      <c r="W5498" s="15">
        <f t="shared" si="869"/>
        <v>1200</v>
      </c>
      <c r="X5498" s="36"/>
      <c r="Y5498" s="36"/>
      <c r="Z5498" s="36"/>
      <c r="AA5498" s="36"/>
      <c r="AB5498" s="36"/>
      <c r="AC5498" s="36"/>
      <c r="AD5498" s="36"/>
      <c r="AE5498" s="36"/>
      <c r="AF5498" s="36"/>
      <c r="AG5498" s="36"/>
      <c r="AH5498" s="36"/>
      <c r="AI5498" s="36"/>
      <c r="AJ5498" s="15">
        <f t="shared" si="870"/>
        <v>0</v>
      </c>
      <c r="AK5498" s="14"/>
      <c r="AL5498" s="14"/>
      <c r="AM5498" s="14"/>
      <c r="AN5498" s="14"/>
      <c r="AO5498" s="14"/>
      <c r="AP5498" s="14"/>
      <c r="AQ5498" s="14"/>
      <c r="AR5498" s="14"/>
      <c r="AS5498" s="14"/>
      <c r="AT5498" s="14"/>
      <c r="AU5498" s="14"/>
      <c r="AV5498" s="14"/>
      <c r="AW5498" s="15">
        <f t="shared" si="871"/>
        <v>0</v>
      </c>
      <c r="AX5498" s="16"/>
      <c r="AY5498" s="112"/>
    </row>
    <row r="5499" spans="2:51" x14ac:dyDescent="0.2">
      <c r="B5499" s="7"/>
      <c r="C5499" s="8">
        <v>15675</v>
      </c>
      <c r="D5499" s="9" t="s">
        <v>84</v>
      </c>
      <c r="E5499" s="10" t="str">
        <f t="shared" si="866"/>
        <v>Rancho La Cuchilla No. 139</v>
      </c>
      <c r="F5499" s="10" t="str">
        <f t="shared" si="867"/>
        <v>Garcia</v>
      </c>
      <c r="G5499" s="8">
        <v>1</v>
      </c>
      <c r="H5499" s="11">
        <v>200</v>
      </c>
      <c r="I5499" s="12">
        <v>43107</v>
      </c>
      <c r="J5499" s="35">
        <f t="shared" si="868"/>
        <v>0</v>
      </c>
      <c r="K5499" s="36"/>
      <c r="L5499" s="36"/>
      <c r="M5499" s="36"/>
      <c r="N5499" s="36"/>
      <c r="O5499" s="36"/>
      <c r="P5499" s="36"/>
      <c r="Q5499" s="36"/>
      <c r="R5499" s="36"/>
      <c r="S5499" s="36"/>
      <c r="T5499" s="36"/>
      <c r="U5499" s="36"/>
      <c r="V5499" s="36"/>
      <c r="W5499" s="15">
        <f t="shared" si="869"/>
        <v>0</v>
      </c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15">
        <f t="shared" si="870"/>
        <v>0</v>
      </c>
      <c r="AK5499" s="14">
        <v>200</v>
      </c>
      <c r="AL5499" s="14"/>
      <c r="AM5499" s="14"/>
      <c r="AN5499" s="14"/>
      <c r="AO5499" s="14"/>
      <c r="AP5499" s="14"/>
      <c r="AQ5499" s="14"/>
      <c r="AR5499" s="14"/>
      <c r="AS5499" s="14"/>
      <c r="AT5499" s="14"/>
      <c r="AU5499" s="14"/>
      <c r="AV5499" s="14"/>
      <c r="AW5499" s="15">
        <f t="shared" si="871"/>
        <v>200</v>
      </c>
      <c r="AX5499" s="16"/>
      <c r="AY5499" s="112"/>
    </row>
    <row r="5500" spans="2:51" x14ac:dyDescent="0.2">
      <c r="B5500" s="7"/>
      <c r="C5500" s="8">
        <v>15676</v>
      </c>
      <c r="D5500" s="9" t="s">
        <v>135</v>
      </c>
      <c r="E5500" s="10" t="str">
        <f t="shared" si="866"/>
        <v>Rancho Upácuaro No. 70</v>
      </c>
      <c r="F5500" s="10" t="str">
        <f t="shared" si="867"/>
        <v>Ramírez Tejeda</v>
      </c>
      <c r="G5500" s="8">
        <v>1</v>
      </c>
      <c r="H5500" s="11">
        <v>300</v>
      </c>
      <c r="I5500" s="12">
        <v>43107</v>
      </c>
      <c r="J5500" s="35">
        <f t="shared" si="868"/>
        <v>0</v>
      </c>
      <c r="K5500" s="36"/>
      <c r="L5500" s="36"/>
      <c r="M5500" s="36"/>
      <c r="N5500" s="36"/>
      <c r="O5500" s="36"/>
      <c r="P5500" s="36"/>
      <c r="Q5500" s="36"/>
      <c r="R5500" s="36"/>
      <c r="S5500" s="36"/>
      <c r="T5500" s="36"/>
      <c r="U5500" s="36"/>
      <c r="V5500" s="36"/>
      <c r="W5500" s="15">
        <f t="shared" si="869"/>
        <v>0</v>
      </c>
      <c r="X5500" s="36"/>
      <c r="Y5500" s="36"/>
      <c r="Z5500" s="36"/>
      <c r="AA5500" s="36"/>
      <c r="AB5500" s="36"/>
      <c r="AC5500" s="36"/>
      <c r="AD5500" s="36"/>
      <c r="AE5500" s="36"/>
      <c r="AF5500" s="36"/>
      <c r="AG5500" s="36"/>
      <c r="AH5500" s="36"/>
      <c r="AI5500" s="36"/>
      <c r="AJ5500" s="15">
        <f t="shared" si="870"/>
        <v>0</v>
      </c>
      <c r="AK5500" s="14">
        <v>300</v>
      </c>
      <c r="AL5500" s="14"/>
      <c r="AM5500" s="14"/>
      <c r="AN5500" s="14"/>
      <c r="AO5500" s="14"/>
      <c r="AP5500" s="14"/>
      <c r="AQ5500" s="14"/>
      <c r="AR5500" s="14"/>
      <c r="AS5500" s="14"/>
      <c r="AT5500" s="14"/>
      <c r="AU5500" s="14"/>
      <c r="AV5500" s="14"/>
      <c r="AW5500" s="15">
        <f t="shared" si="871"/>
        <v>300</v>
      </c>
      <c r="AX5500" s="16"/>
      <c r="AY5500" s="112"/>
    </row>
    <row r="5501" spans="2:51" x14ac:dyDescent="0.2">
      <c r="B5501" s="7"/>
      <c r="C5501" s="8">
        <v>15677</v>
      </c>
      <c r="D5501" s="9" t="s">
        <v>150</v>
      </c>
      <c r="E5501" s="10" t="str">
        <f t="shared" si="866"/>
        <v>Rancho La Cuchilla No. 33</v>
      </c>
      <c r="F5501" s="10" t="str">
        <f t="shared" si="867"/>
        <v>Tanús</v>
      </c>
      <c r="G5501" s="8">
        <v>1</v>
      </c>
      <c r="H5501" s="11">
        <v>400</v>
      </c>
      <c r="I5501" s="12">
        <v>43107</v>
      </c>
      <c r="J5501" s="35">
        <f t="shared" si="868"/>
        <v>0</v>
      </c>
      <c r="K5501" s="36"/>
      <c r="L5501" s="36"/>
      <c r="M5501" s="36"/>
      <c r="N5501" s="36"/>
      <c r="O5501" s="36"/>
      <c r="P5501" s="36"/>
      <c r="Q5501" s="36"/>
      <c r="R5501" s="36"/>
      <c r="S5501" s="36"/>
      <c r="T5501" s="36"/>
      <c r="U5501" s="36"/>
      <c r="V5501" s="36"/>
      <c r="W5501" s="15">
        <f t="shared" si="869"/>
        <v>0</v>
      </c>
      <c r="X5501" s="36"/>
      <c r="Y5501" s="36"/>
      <c r="Z5501" s="36"/>
      <c r="AA5501" s="36"/>
      <c r="AB5501" s="36"/>
      <c r="AC5501" s="36"/>
      <c r="AD5501" s="36"/>
      <c r="AE5501" s="36"/>
      <c r="AF5501" s="36"/>
      <c r="AG5501" s="36"/>
      <c r="AH5501" s="36"/>
      <c r="AI5501" s="36"/>
      <c r="AJ5501" s="15">
        <f t="shared" si="870"/>
        <v>0</v>
      </c>
      <c r="AK5501" s="14">
        <v>400</v>
      </c>
      <c r="AL5501" s="14"/>
      <c r="AM5501" s="14"/>
      <c r="AN5501" s="14"/>
      <c r="AO5501" s="14"/>
      <c r="AP5501" s="14"/>
      <c r="AQ5501" s="14"/>
      <c r="AR5501" s="14"/>
      <c r="AS5501" s="14"/>
      <c r="AT5501" s="14"/>
      <c r="AU5501" s="14"/>
      <c r="AV5501" s="14"/>
      <c r="AW5501" s="15">
        <f t="shared" si="871"/>
        <v>400</v>
      </c>
      <c r="AX5501" s="16"/>
      <c r="AY5501" s="112"/>
    </row>
    <row r="5502" spans="2:51" x14ac:dyDescent="0.2">
      <c r="B5502" s="7"/>
      <c r="C5502" s="8">
        <v>15678</v>
      </c>
      <c r="D5502" s="9" t="s">
        <v>455</v>
      </c>
      <c r="E5502" s="10" t="str">
        <f t="shared" si="866"/>
        <v>Rancho Zinamba No. 38</v>
      </c>
      <c r="F5502" s="10" t="str">
        <f t="shared" si="867"/>
        <v>Ramírez Díaz</v>
      </c>
      <c r="G5502" s="8">
        <v>1</v>
      </c>
      <c r="H5502" s="11">
        <v>400</v>
      </c>
      <c r="I5502" s="12">
        <v>43107</v>
      </c>
      <c r="J5502" s="35">
        <f t="shared" si="868"/>
        <v>0</v>
      </c>
      <c r="K5502" s="36"/>
      <c r="L5502" s="36"/>
      <c r="M5502" s="36"/>
      <c r="N5502" s="36"/>
      <c r="O5502" s="36"/>
      <c r="P5502" s="36"/>
      <c r="Q5502" s="36"/>
      <c r="R5502" s="36"/>
      <c r="S5502" s="36"/>
      <c r="T5502" s="36"/>
      <c r="U5502" s="36"/>
      <c r="V5502" s="36"/>
      <c r="W5502" s="15">
        <f t="shared" si="869"/>
        <v>0</v>
      </c>
      <c r="X5502" s="36"/>
      <c r="Y5502" s="36"/>
      <c r="Z5502" s="36"/>
      <c r="AA5502" s="36"/>
      <c r="AB5502" s="36"/>
      <c r="AC5502" s="36"/>
      <c r="AD5502" s="36"/>
      <c r="AE5502" s="36"/>
      <c r="AF5502" s="36"/>
      <c r="AG5502" s="36"/>
      <c r="AH5502" s="36"/>
      <c r="AI5502" s="36"/>
      <c r="AJ5502" s="15">
        <f t="shared" si="870"/>
        <v>0</v>
      </c>
      <c r="AK5502" s="14">
        <v>400</v>
      </c>
      <c r="AL5502" s="14"/>
      <c r="AM5502" s="14"/>
      <c r="AN5502" s="14"/>
      <c r="AO5502" s="14"/>
      <c r="AP5502" s="14"/>
      <c r="AQ5502" s="14"/>
      <c r="AR5502" s="14"/>
      <c r="AS5502" s="14"/>
      <c r="AT5502" s="14"/>
      <c r="AU5502" s="14"/>
      <c r="AV5502" s="14"/>
      <c r="AW5502" s="15">
        <f t="shared" si="871"/>
        <v>400</v>
      </c>
      <c r="AX5502" s="16"/>
      <c r="AY5502" s="112"/>
    </row>
    <row r="5503" spans="2:51" x14ac:dyDescent="0.2">
      <c r="B5503" s="7"/>
      <c r="C5503" s="8">
        <v>15679</v>
      </c>
      <c r="D5503" s="9" t="s">
        <v>310</v>
      </c>
      <c r="E5503" s="10" t="str">
        <f t="shared" si="866"/>
        <v>Rancho Recoveco No. 181</v>
      </c>
      <c r="F5503" s="10" t="str">
        <f t="shared" si="867"/>
        <v>Castillo</v>
      </c>
      <c r="G5503" s="8">
        <v>1</v>
      </c>
      <c r="H5503" s="11">
        <v>800</v>
      </c>
      <c r="I5503" s="12">
        <v>43107</v>
      </c>
      <c r="J5503" s="35">
        <f t="shared" si="868"/>
        <v>0</v>
      </c>
      <c r="K5503" s="36"/>
      <c r="L5503" s="36"/>
      <c r="M5503" s="36"/>
      <c r="N5503" s="36"/>
      <c r="O5503" s="36"/>
      <c r="P5503" s="36"/>
      <c r="Q5503" s="36"/>
      <c r="R5503" s="36"/>
      <c r="S5503" s="36"/>
      <c r="T5503" s="36"/>
      <c r="U5503" s="36"/>
      <c r="V5503" s="36"/>
      <c r="W5503" s="15">
        <f t="shared" si="869"/>
        <v>0</v>
      </c>
      <c r="X5503" s="36"/>
      <c r="Y5503" s="36"/>
      <c r="Z5503" s="36"/>
      <c r="AA5503" s="36"/>
      <c r="AB5503" s="36"/>
      <c r="AC5503" s="36"/>
      <c r="AD5503" s="36"/>
      <c r="AE5503" s="36"/>
      <c r="AF5503" s="36"/>
      <c r="AG5503" s="36"/>
      <c r="AH5503" s="36">
        <v>400</v>
      </c>
      <c r="AI5503" s="36">
        <v>400</v>
      </c>
      <c r="AJ5503" s="15">
        <f t="shared" si="870"/>
        <v>800</v>
      </c>
      <c r="AK5503" s="14"/>
      <c r="AL5503" s="14"/>
      <c r="AM5503" s="14"/>
      <c r="AN5503" s="14"/>
      <c r="AO5503" s="14"/>
      <c r="AP5503" s="14"/>
      <c r="AQ5503" s="14"/>
      <c r="AR5503" s="14"/>
      <c r="AS5503" s="14"/>
      <c r="AT5503" s="14"/>
      <c r="AU5503" s="14"/>
      <c r="AV5503" s="14"/>
      <c r="AW5503" s="15">
        <f t="shared" si="871"/>
        <v>0</v>
      </c>
      <c r="AX5503" s="16"/>
      <c r="AY5503" s="112"/>
    </row>
    <row r="5504" spans="2:51" x14ac:dyDescent="0.2">
      <c r="B5504" s="7"/>
      <c r="C5504" s="8">
        <v>15680</v>
      </c>
      <c r="D5504" s="9"/>
      <c r="E5504" s="10" t="str">
        <f t="shared" si="866"/>
        <v/>
      </c>
      <c r="F5504" s="10" t="str">
        <f t="shared" si="867"/>
        <v/>
      </c>
      <c r="G5504" s="8">
        <v>8</v>
      </c>
      <c r="H5504" s="11"/>
      <c r="I5504" s="12"/>
      <c r="J5504" s="35">
        <f t="shared" si="868"/>
        <v>0</v>
      </c>
      <c r="K5504" s="36"/>
      <c r="L5504" s="36"/>
      <c r="M5504" s="36"/>
      <c r="N5504" s="36"/>
      <c r="O5504" s="36"/>
      <c r="P5504" s="36"/>
      <c r="Q5504" s="36"/>
      <c r="R5504" s="36"/>
      <c r="S5504" s="36"/>
      <c r="T5504" s="36"/>
      <c r="U5504" s="36"/>
      <c r="V5504" s="36"/>
      <c r="W5504" s="15">
        <f t="shared" si="869"/>
        <v>0</v>
      </c>
      <c r="X5504" s="36"/>
      <c r="Y5504" s="36"/>
      <c r="Z5504" s="36"/>
      <c r="AA5504" s="36"/>
      <c r="AB5504" s="36"/>
      <c r="AC5504" s="36"/>
      <c r="AD5504" s="36"/>
      <c r="AE5504" s="36"/>
      <c r="AF5504" s="36"/>
      <c r="AG5504" s="36"/>
      <c r="AH5504" s="36"/>
      <c r="AI5504" s="36"/>
      <c r="AJ5504" s="15">
        <f t="shared" si="870"/>
        <v>0</v>
      </c>
      <c r="AK5504" s="14"/>
      <c r="AL5504" s="14"/>
      <c r="AM5504" s="14"/>
      <c r="AN5504" s="14"/>
      <c r="AO5504" s="14"/>
      <c r="AP5504" s="14"/>
      <c r="AQ5504" s="14"/>
      <c r="AR5504" s="14"/>
      <c r="AS5504" s="14"/>
      <c r="AT5504" s="14"/>
      <c r="AU5504" s="14"/>
      <c r="AV5504" s="14"/>
      <c r="AW5504" s="15">
        <f t="shared" si="871"/>
        <v>0</v>
      </c>
      <c r="AX5504" s="16"/>
      <c r="AY5504" s="112"/>
    </row>
    <row r="5505" spans="2:51" x14ac:dyDescent="0.2">
      <c r="B5505" s="7"/>
      <c r="C5505" s="8">
        <v>15681</v>
      </c>
      <c r="D5505" s="9" t="s">
        <v>307</v>
      </c>
      <c r="E5505" s="10" t="str">
        <f t="shared" si="866"/>
        <v>Rancho Landero No. 83</v>
      </c>
      <c r="F5505" s="10" t="str">
        <f t="shared" si="867"/>
        <v>Aguilar</v>
      </c>
      <c r="G5505" s="8">
        <v>1</v>
      </c>
      <c r="H5505" s="11">
        <v>350</v>
      </c>
      <c r="I5505" s="12">
        <v>43107</v>
      </c>
      <c r="J5505" s="35">
        <f t="shared" si="868"/>
        <v>0</v>
      </c>
      <c r="K5505" s="36"/>
      <c r="L5505" s="36"/>
      <c r="M5505" s="36"/>
      <c r="N5505" s="36"/>
      <c r="O5505" s="36"/>
      <c r="P5505" s="36"/>
      <c r="Q5505" s="36"/>
      <c r="R5505" s="36"/>
      <c r="S5505" s="36"/>
      <c r="T5505" s="36"/>
      <c r="U5505" s="36"/>
      <c r="V5505" s="36"/>
      <c r="W5505" s="15">
        <f t="shared" si="869"/>
        <v>0</v>
      </c>
      <c r="X5505" s="36"/>
      <c r="Y5505" s="36"/>
      <c r="Z5505" s="36"/>
      <c r="AA5505" s="36"/>
      <c r="AB5505" s="36"/>
      <c r="AC5505" s="36"/>
      <c r="AD5505" s="36"/>
      <c r="AE5505" s="36"/>
      <c r="AF5505" s="36"/>
      <c r="AG5505" s="36"/>
      <c r="AH5505" s="36"/>
      <c r="AI5505" s="36"/>
      <c r="AJ5505" s="15">
        <f t="shared" si="870"/>
        <v>0</v>
      </c>
      <c r="AK5505" s="14">
        <v>350</v>
      </c>
      <c r="AL5505" s="14"/>
      <c r="AM5505" s="14"/>
      <c r="AN5505" s="14"/>
      <c r="AO5505" s="14"/>
      <c r="AP5505" s="14"/>
      <c r="AQ5505" s="14"/>
      <c r="AR5505" s="14"/>
      <c r="AS5505" s="14"/>
      <c r="AT5505" s="14"/>
      <c r="AU5505" s="14"/>
      <c r="AV5505" s="14"/>
      <c r="AW5505" s="15">
        <f t="shared" si="871"/>
        <v>350</v>
      </c>
      <c r="AX5505" s="16"/>
      <c r="AY5505" s="112"/>
    </row>
    <row r="5506" spans="2:51" x14ac:dyDescent="0.2">
      <c r="B5506" s="7"/>
      <c r="C5506" s="8">
        <v>15682</v>
      </c>
      <c r="D5506" s="9" t="s">
        <v>649</v>
      </c>
      <c r="E5506" s="10" t="str">
        <f t="shared" si="866"/>
        <v>Rancho Estanzuela No. 57</v>
      </c>
      <c r="F5506" s="10" t="str">
        <f t="shared" si="867"/>
        <v>Olivares</v>
      </c>
      <c r="G5506" s="8">
        <v>1</v>
      </c>
      <c r="H5506" s="11">
        <v>600</v>
      </c>
      <c r="I5506" s="12">
        <v>43107</v>
      </c>
      <c r="J5506" s="35">
        <f t="shared" si="868"/>
        <v>0</v>
      </c>
      <c r="K5506" s="36"/>
      <c r="L5506" s="36"/>
      <c r="M5506" s="36"/>
      <c r="N5506" s="36"/>
      <c r="O5506" s="36"/>
      <c r="P5506" s="36"/>
      <c r="Q5506" s="36"/>
      <c r="R5506" s="36"/>
      <c r="S5506" s="36"/>
      <c r="T5506" s="36"/>
      <c r="U5506" s="36"/>
      <c r="V5506" s="36"/>
      <c r="W5506" s="15">
        <f t="shared" si="869"/>
        <v>0</v>
      </c>
      <c r="X5506" s="36"/>
      <c r="Y5506" s="36"/>
      <c r="Z5506" s="36"/>
      <c r="AA5506" s="36"/>
      <c r="AB5506" s="36"/>
      <c r="AC5506" s="36"/>
      <c r="AD5506" s="36"/>
      <c r="AE5506" s="36"/>
      <c r="AF5506" s="36"/>
      <c r="AG5506" s="36"/>
      <c r="AH5506" s="36"/>
      <c r="AI5506" s="36">
        <v>300</v>
      </c>
      <c r="AJ5506" s="15">
        <f t="shared" si="870"/>
        <v>300</v>
      </c>
      <c r="AK5506" s="14">
        <v>300</v>
      </c>
      <c r="AL5506" s="14"/>
      <c r="AM5506" s="14"/>
      <c r="AN5506" s="14"/>
      <c r="AO5506" s="14"/>
      <c r="AP5506" s="14"/>
      <c r="AQ5506" s="14"/>
      <c r="AR5506" s="14"/>
      <c r="AS5506" s="14"/>
      <c r="AT5506" s="14"/>
      <c r="AU5506" s="14"/>
      <c r="AV5506" s="14"/>
      <c r="AW5506" s="15">
        <f t="shared" si="871"/>
        <v>300</v>
      </c>
      <c r="AX5506" s="16"/>
      <c r="AY5506" s="112"/>
    </row>
    <row r="5507" spans="2:51" x14ac:dyDescent="0.2">
      <c r="B5507" s="7"/>
      <c r="C5507" s="8">
        <v>15683</v>
      </c>
      <c r="D5507" s="9" t="s">
        <v>268</v>
      </c>
      <c r="E5507" s="10" t="str">
        <f t="shared" si="866"/>
        <v>Rancho Landero No. 90</v>
      </c>
      <c r="F5507" s="10" t="str">
        <f t="shared" si="867"/>
        <v>Córdova Reséndiz</v>
      </c>
      <c r="G5507" s="8">
        <v>1</v>
      </c>
      <c r="H5507" s="11">
        <v>900</v>
      </c>
      <c r="I5507" s="12">
        <v>43107</v>
      </c>
      <c r="J5507" s="35">
        <f t="shared" si="868"/>
        <v>0</v>
      </c>
      <c r="K5507" s="36"/>
      <c r="L5507" s="36"/>
      <c r="M5507" s="36"/>
      <c r="N5507" s="36"/>
      <c r="O5507" s="36"/>
      <c r="P5507" s="36"/>
      <c r="Q5507" s="36"/>
      <c r="R5507" s="36"/>
      <c r="S5507" s="36"/>
      <c r="T5507" s="36"/>
      <c r="U5507" s="36"/>
      <c r="V5507" s="36"/>
      <c r="W5507" s="15">
        <f t="shared" si="869"/>
        <v>0</v>
      </c>
      <c r="X5507" s="36"/>
      <c r="Y5507" s="36"/>
      <c r="Z5507" s="36"/>
      <c r="AA5507" s="36"/>
      <c r="AB5507" s="36"/>
      <c r="AC5507" s="36"/>
      <c r="AD5507" s="36"/>
      <c r="AE5507" s="36"/>
      <c r="AF5507" s="36"/>
      <c r="AG5507" s="36"/>
      <c r="AH5507" s="36">
        <v>300</v>
      </c>
      <c r="AI5507" s="36">
        <v>300</v>
      </c>
      <c r="AJ5507" s="15">
        <f t="shared" si="870"/>
        <v>600</v>
      </c>
      <c r="AK5507" s="14">
        <v>300</v>
      </c>
      <c r="AL5507" s="14"/>
      <c r="AM5507" s="14"/>
      <c r="AN5507" s="14"/>
      <c r="AO5507" s="14"/>
      <c r="AP5507" s="14"/>
      <c r="AQ5507" s="14"/>
      <c r="AR5507" s="14"/>
      <c r="AS5507" s="14"/>
      <c r="AT5507" s="14"/>
      <c r="AU5507" s="14"/>
      <c r="AV5507" s="14"/>
      <c r="AW5507" s="15">
        <f t="shared" si="871"/>
        <v>300</v>
      </c>
      <c r="AX5507" s="16"/>
      <c r="AY5507" s="112"/>
    </row>
    <row r="5508" spans="2:51" x14ac:dyDescent="0.2">
      <c r="B5508" s="7"/>
      <c r="C5508" s="8">
        <v>15684</v>
      </c>
      <c r="D5508" s="9" t="s">
        <v>843</v>
      </c>
      <c r="E5508" s="10" t="str">
        <f t="shared" si="866"/>
        <v>Rancho Landero No. 12</v>
      </c>
      <c r="F5508" s="10" t="str">
        <f t="shared" si="867"/>
        <v>Guzmán Silva</v>
      </c>
      <c r="G5508" s="8">
        <v>1</v>
      </c>
      <c r="H5508" s="11">
        <v>200</v>
      </c>
      <c r="I5508" s="12">
        <v>43107</v>
      </c>
      <c r="J5508" s="35">
        <f t="shared" si="868"/>
        <v>0</v>
      </c>
      <c r="K5508" s="36"/>
      <c r="L5508" s="36"/>
      <c r="M5508" s="36"/>
      <c r="N5508" s="36"/>
      <c r="O5508" s="36"/>
      <c r="P5508" s="36"/>
      <c r="Q5508" s="36"/>
      <c r="R5508" s="36"/>
      <c r="S5508" s="36"/>
      <c r="T5508" s="36"/>
      <c r="U5508" s="36"/>
      <c r="V5508" s="36"/>
      <c r="W5508" s="15">
        <f t="shared" si="869"/>
        <v>0</v>
      </c>
      <c r="X5508" s="36"/>
      <c r="Y5508" s="36"/>
      <c r="Z5508" s="36"/>
      <c r="AA5508" s="36"/>
      <c r="AB5508" s="36"/>
      <c r="AC5508" s="36"/>
      <c r="AD5508" s="36"/>
      <c r="AE5508" s="36"/>
      <c r="AF5508" s="36"/>
      <c r="AG5508" s="36">
        <v>200</v>
      </c>
      <c r="AH5508" s="36"/>
      <c r="AI5508" s="36"/>
      <c r="AJ5508" s="15">
        <f t="shared" si="870"/>
        <v>200</v>
      </c>
      <c r="AK5508" s="14"/>
      <c r="AL5508" s="14"/>
      <c r="AM5508" s="14"/>
      <c r="AN5508" s="14"/>
      <c r="AO5508" s="14"/>
      <c r="AP5508" s="14"/>
      <c r="AQ5508" s="14"/>
      <c r="AR5508" s="14"/>
      <c r="AS5508" s="14"/>
      <c r="AT5508" s="14"/>
      <c r="AU5508" s="14"/>
      <c r="AV5508" s="14"/>
      <c r="AW5508" s="15">
        <f t="shared" si="871"/>
        <v>0</v>
      </c>
      <c r="AX5508" s="16"/>
      <c r="AY5508" s="112"/>
    </row>
    <row r="5509" spans="2:51" x14ac:dyDescent="0.2">
      <c r="B5509" s="7"/>
      <c r="C5509" s="8">
        <v>15685</v>
      </c>
      <c r="D5509" s="9" t="s">
        <v>195</v>
      </c>
      <c r="E5509" s="10" t="str">
        <f t="shared" si="866"/>
        <v>Rancho Estanzuela No. 100</v>
      </c>
      <c r="F5509" s="10" t="str">
        <f t="shared" si="867"/>
        <v>Arias Monter</v>
      </c>
      <c r="G5509" s="8">
        <v>1</v>
      </c>
      <c r="H5509" s="11">
        <v>1200</v>
      </c>
      <c r="I5509" s="12">
        <v>43107</v>
      </c>
      <c r="J5509" s="35">
        <f t="shared" si="868"/>
        <v>0</v>
      </c>
      <c r="K5509" s="36"/>
      <c r="L5509" s="36"/>
      <c r="M5509" s="36"/>
      <c r="N5509" s="36"/>
      <c r="O5509" s="36"/>
      <c r="P5509" s="36"/>
      <c r="Q5509" s="36"/>
      <c r="R5509" s="36"/>
      <c r="S5509" s="36"/>
      <c r="T5509" s="36"/>
      <c r="U5509" s="36"/>
      <c r="V5509" s="36"/>
      <c r="W5509" s="15">
        <f t="shared" si="869"/>
        <v>0</v>
      </c>
      <c r="X5509" s="36"/>
      <c r="Y5509" s="36"/>
      <c r="Z5509" s="36"/>
      <c r="AA5509" s="36"/>
      <c r="AB5509" s="36"/>
      <c r="AC5509" s="36"/>
      <c r="AD5509" s="36"/>
      <c r="AE5509" s="36">
        <v>400</v>
      </c>
      <c r="AF5509" s="36">
        <v>400</v>
      </c>
      <c r="AG5509" s="36">
        <v>400</v>
      </c>
      <c r="AH5509" s="36"/>
      <c r="AI5509" s="36"/>
      <c r="AJ5509" s="15">
        <f t="shared" si="870"/>
        <v>1200</v>
      </c>
      <c r="AK5509" s="14"/>
      <c r="AL5509" s="14"/>
      <c r="AM5509" s="14"/>
      <c r="AN5509" s="14"/>
      <c r="AO5509" s="14"/>
      <c r="AP5509" s="14"/>
      <c r="AQ5509" s="14"/>
      <c r="AR5509" s="14"/>
      <c r="AS5509" s="14"/>
      <c r="AT5509" s="14"/>
      <c r="AU5509" s="14"/>
      <c r="AV5509" s="14"/>
      <c r="AW5509" s="15">
        <f t="shared" si="871"/>
        <v>0</v>
      </c>
      <c r="AX5509" s="16"/>
      <c r="AY5509" s="112"/>
    </row>
    <row r="5510" spans="2:51" x14ac:dyDescent="0.2">
      <c r="B5510" s="7"/>
      <c r="C5510" s="8">
        <v>15686</v>
      </c>
      <c r="D5510" s="9" t="s">
        <v>304</v>
      </c>
      <c r="E5510" s="10" t="str">
        <f t="shared" si="866"/>
        <v>Rancho Upácuaro No. 8</v>
      </c>
      <c r="F5510" s="10" t="str">
        <f t="shared" si="867"/>
        <v>Ibarra</v>
      </c>
      <c r="G5510" s="8">
        <v>1</v>
      </c>
      <c r="H5510" s="11">
        <v>4400</v>
      </c>
      <c r="I5510" s="12">
        <v>43107</v>
      </c>
      <c r="J5510" s="35">
        <f t="shared" si="868"/>
        <v>0</v>
      </c>
      <c r="K5510" s="36"/>
      <c r="L5510" s="36"/>
      <c r="M5510" s="36"/>
      <c r="N5510" s="36"/>
      <c r="O5510" s="36"/>
      <c r="P5510" s="36"/>
      <c r="Q5510" s="36"/>
      <c r="R5510" s="36"/>
      <c r="S5510" s="36"/>
      <c r="T5510" s="36"/>
      <c r="U5510" s="36"/>
      <c r="V5510" s="36"/>
      <c r="W5510" s="15">
        <f t="shared" si="869"/>
        <v>0</v>
      </c>
      <c r="X5510" s="36"/>
      <c r="Y5510" s="36"/>
      <c r="Z5510" s="36"/>
      <c r="AA5510" s="36"/>
      <c r="AB5510" s="36"/>
      <c r="AC5510" s="36"/>
      <c r="AD5510" s="36"/>
      <c r="AE5510" s="36"/>
      <c r="AF5510" s="36"/>
      <c r="AG5510" s="36"/>
      <c r="AH5510" s="36"/>
      <c r="AI5510" s="36"/>
      <c r="AJ5510" s="15">
        <f t="shared" si="870"/>
        <v>0</v>
      </c>
      <c r="AK5510" s="14">
        <v>400</v>
      </c>
      <c r="AL5510" s="14">
        <v>400</v>
      </c>
      <c r="AM5510" s="14">
        <v>400</v>
      </c>
      <c r="AN5510" s="14">
        <v>400</v>
      </c>
      <c r="AO5510" s="14">
        <v>400</v>
      </c>
      <c r="AP5510" s="14">
        <v>400</v>
      </c>
      <c r="AQ5510" s="14">
        <v>400</v>
      </c>
      <c r="AR5510" s="14">
        <v>400</v>
      </c>
      <c r="AS5510" s="14">
        <v>400</v>
      </c>
      <c r="AT5510" s="14">
        <v>400</v>
      </c>
      <c r="AU5510" s="14">
        <v>400</v>
      </c>
      <c r="AV5510" s="14"/>
      <c r="AW5510" s="15">
        <f t="shared" si="871"/>
        <v>4400</v>
      </c>
      <c r="AX5510" s="16" t="s">
        <v>4869</v>
      </c>
      <c r="AY5510" s="112"/>
    </row>
    <row r="5511" spans="2:51" x14ac:dyDescent="0.2">
      <c r="B5511" s="7"/>
      <c r="C5511" s="8">
        <v>15687</v>
      </c>
      <c r="D5511" s="9" t="s">
        <v>562</v>
      </c>
      <c r="E5511" s="10" t="str">
        <f t="shared" si="866"/>
        <v>Rancho Upácuaro No. 87</v>
      </c>
      <c r="F5511" s="10" t="str">
        <f t="shared" si="867"/>
        <v>Rodríguez Parés</v>
      </c>
      <c r="G5511" s="8">
        <v>1</v>
      </c>
      <c r="H5511" s="11">
        <v>400</v>
      </c>
      <c r="I5511" s="12">
        <v>43107</v>
      </c>
      <c r="J5511" s="35">
        <f t="shared" si="868"/>
        <v>0</v>
      </c>
      <c r="K5511" s="36"/>
      <c r="L5511" s="36"/>
      <c r="M5511" s="36"/>
      <c r="N5511" s="36"/>
      <c r="O5511" s="36"/>
      <c r="P5511" s="36"/>
      <c r="Q5511" s="36"/>
      <c r="R5511" s="36"/>
      <c r="S5511" s="36"/>
      <c r="T5511" s="36"/>
      <c r="U5511" s="36"/>
      <c r="V5511" s="36"/>
      <c r="W5511" s="15">
        <f t="shared" si="869"/>
        <v>0</v>
      </c>
      <c r="X5511" s="36"/>
      <c r="Y5511" s="36"/>
      <c r="Z5511" s="36"/>
      <c r="AA5511" s="36"/>
      <c r="AB5511" s="36"/>
      <c r="AC5511" s="36"/>
      <c r="AD5511" s="36"/>
      <c r="AE5511" s="36"/>
      <c r="AF5511" s="36"/>
      <c r="AG5511" s="36"/>
      <c r="AH5511" s="36"/>
      <c r="AI5511" s="36"/>
      <c r="AJ5511" s="15">
        <f t="shared" si="870"/>
        <v>0</v>
      </c>
      <c r="AK5511" s="14">
        <v>400</v>
      </c>
      <c r="AL5511" s="14"/>
      <c r="AM5511" s="14"/>
      <c r="AN5511" s="14"/>
      <c r="AO5511" s="14"/>
      <c r="AP5511" s="14"/>
      <c r="AQ5511" s="14"/>
      <c r="AR5511" s="14"/>
      <c r="AS5511" s="14"/>
      <c r="AT5511" s="14"/>
      <c r="AU5511" s="14"/>
      <c r="AV5511" s="14"/>
      <c r="AW5511" s="15">
        <f t="shared" si="871"/>
        <v>400</v>
      </c>
      <c r="AX5511" s="16"/>
      <c r="AY5511" s="112"/>
    </row>
    <row r="5512" spans="2:51" x14ac:dyDescent="0.2">
      <c r="B5512" s="7"/>
      <c r="C5512" s="8">
        <v>15688</v>
      </c>
      <c r="D5512" s="9" t="s">
        <v>407</v>
      </c>
      <c r="E5512" s="10" t="str">
        <f t="shared" si="866"/>
        <v>Rancho Estanzuela No. 99</v>
      </c>
      <c r="F5512" s="10" t="str">
        <f t="shared" si="867"/>
        <v>García López</v>
      </c>
      <c r="G5512" s="8">
        <v>1</v>
      </c>
      <c r="H5512" s="11">
        <v>400</v>
      </c>
      <c r="I5512" s="12">
        <v>43107</v>
      </c>
      <c r="J5512" s="35">
        <f t="shared" si="868"/>
        <v>0</v>
      </c>
      <c r="K5512" s="36"/>
      <c r="L5512" s="36"/>
      <c r="M5512" s="36"/>
      <c r="N5512" s="36"/>
      <c r="O5512" s="36"/>
      <c r="P5512" s="36"/>
      <c r="Q5512" s="36"/>
      <c r="R5512" s="36"/>
      <c r="S5512" s="36"/>
      <c r="T5512" s="36"/>
      <c r="U5512" s="36"/>
      <c r="V5512" s="36"/>
      <c r="W5512" s="15">
        <f t="shared" si="869"/>
        <v>0</v>
      </c>
      <c r="X5512" s="36"/>
      <c r="Y5512" s="36"/>
      <c r="Z5512" s="36"/>
      <c r="AA5512" s="36"/>
      <c r="AB5512" s="36"/>
      <c r="AC5512" s="36"/>
      <c r="AD5512" s="36"/>
      <c r="AE5512" s="36"/>
      <c r="AF5512" s="36"/>
      <c r="AG5512" s="36"/>
      <c r="AH5512" s="36"/>
      <c r="AI5512" s="36"/>
      <c r="AJ5512" s="15">
        <f t="shared" si="870"/>
        <v>0</v>
      </c>
      <c r="AK5512" s="14">
        <v>400</v>
      </c>
      <c r="AL5512" s="14"/>
      <c r="AM5512" s="14"/>
      <c r="AN5512" s="14"/>
      <c r="AO5512" s="14"/>
      <c r="AP5512" s="14"/>
      <c r="AQ5512" s="14"/>
      <c r="AR5512" s="14"/>
      <c r="AS5512" s="14"/>
      <c r="AT5512" s="14"/>
      <c r="AU5512" s="14"/>
      <c r="AV5512" s="14"/>
      <c r="AW5512" s="15">
        <f t="shared" si="871"/>
        <v>400</v>
      </c>
      <c r="AX5512" s="16"/>
      <c r="AY5512" s="112"/>
    </row>
    <row r="5513" spans="2:51" x14ac:dyDescent="0.2">
      <c r="B5513" s="7"/>
      <c r="C5513" s="8">
        <v>15689</v>
      </c>
      <c r="D5513" s="9" t="s">
        <v>229</v>
      </c>
      <c r="E5513" s="10" t="str">
        <f t="shared" si="866"/>
        <v>Rancho La Cuchilla No. 14</v>
      </c>
      <c r="F5513" s="10" t="str">
        <f t="shared" si="867"/>
        <v>Chávez Lara</v>
      </c>
      <c r="G5513" s="8">
        <v>1</v>
      </c>
      <c r="H5513" s="11">
        <v>4400</v>
      </c>
      <c r="I5513" s="12">
        <v>43107</v>
      </c>
      <c r="J5513" s="35">
        <f t="shared" si="868"/>
        <v>0</v>
      </c>
      <c r="K5513" s="36"/>
      <c r="L5513" s="36"/>
      <c r="M5513" s="36"/>
      <c r="N5513" s="36"/>
      <c r="O5513" s="36"/>
      <c r="P5513" s="36"/>
      <c r="Q5513" s="36"/>
      <c r="R5513" s="36"/>
      <c r="S5513" s="36"/>
      <c r="T5513" s="36"/>
      <c r="U5513" s="36"/>
      <c r="V5513" s="36"/>
      <c r="W5513" s="15">
        <f t="shared" si="869"/>
        <v>0</v>
      </c>
      <c r="X5513" s="36"/>
      <c r="Y5513" s="36"/>
      <c r="Z5513" s="36"/>
      <c r="AA5513" s="36"/>
      <c r="AB5513" s="36"/>
      <c r="AC5513" s="36"/>
      <c r="AD5513" s="36"/>
      <c r="AE5513" s="36"/>
      <c r="AF5513" s="36"/>
      <c r="AG5513" s="36"/>
      <c r="AH5513" s="36"/>
      <c r="AI5513" s="36"/>
      <c r="AJ5513" s="15">
        <f t="shared" si="870"/>
        <v>0</v>
      </c>
      <c r="AK5513" s="14">
        <v>400</v>
      </c>
      <c r="AL5513" s="14">
        <v>400</v>
      </c>
      <c r="AM5513" s="14">
        <v>400</v>
      </c>
      <c r="AN5513" s="14">
        <v>400</v>
      </c>
      <c r="AO5513" s="14">
        <v>400</v>
      </c>
      <c r="AP5513" s="14">
        <v>400</v>
      </c>
      <c r="AQ5513" s="14">
        <v>400</v>
      </c>
      <c r="AR5513" s="14">
        <v>400</v>
      </c>
      <c r="AS5513" s="14">
        <v>400</v>
      </c>
      <c r="AT5513" s="14">
        <v>400</v>
      </c>
      <c r="AU5513" s="14">
        <v>400</v>
      </c>
      <c r="AV5513" s="14"/>
      <c r="AW5513" s="15">
        <f t="shared" si="871"/>
        <v>4400</v>
      </c>
      <c r="AX5513" s="16" t="s">
        <v>4869</v>
      </c>
      <c r="AY5513" s="112"/>
    </row>
    <row r="5514" spans="2:51" x14ac:dyDescent="0.2">
      <c r="B5514" s="7"/>
      <c r="C5514" s="8">
        <v>15690</v>
      </c>
      <c r="D5514" s="9" t="s">
        <v>696</v>
      </c>
      <c r="E5514" s="10" t="str">
        <f t="shared" si="866"/>
        <v>Rancho Upácuaro No. 64</v>
      </c>
      <c r="F5514" s="10" t="str">
        <f t="shared" si="867"/>
        <v>Méndez Oliva</v>
      </c>
      <c r="G5514" s="8">
        <v>1</v>
      </c>
      <c r="H5514" s="11">
        <v>300</v>
      </c>
      <c r="I5514" s="12">
        <v>43107</v>
      </c>
      <c r="J5514" s="35">
        <f t="shared" si="868"/>
        <v>0</v>
      </c>
      <c r="K5514" s="36"/>
      <c r="L5514" s="36"/>
      <c r="M5514" s="36"/>
      <c r="N5514" s="36"/>
      <c r="O5514" s="36"/>
      <c r="P5514" s="36"/>
      <c r="Q5514" s="36"/>
      <c r="R5514" s="36"/>
      <c r="S5514" s="36"/>
      <c r="T5514" s="36"/>
      <c r="U5514" s="36"/>
      <c r="V5514" s="36"/>
      <c r="W5514" s="15">
        <f t="shared" si="869"/>
        <v>0</v>
      </c>
      <c r="X5514" s="36"/>
      <c r="Y5514" s="36"/>
      <c r="Z5514" s="36"/>
      <c r="AA5514" s="36"/>
      <c r="AB5514" s="36"/>
      <c r="AC5514" s="36"/>
      <c r="AD5514" s="36"/>
      <c r="AE5514" s="36"/>
      <c r="AF5514" s="36"/>
      <c r="AG5514" s="36"/>
      <c r="AH5514" s="36"/>
      <c r="AI5514" s="36"/>
      <c r="AJ5514" s="15">
        <f t="shared" si="870"/>
        <v>0</v>
      </c>
      <c r="AK5514" s="14">
        <v>300</v>
      </c>
      <c r="AL5514" s="14"/>
      <c r="AM5514" s="14"/>
      <c r="AN5514" s="14"/>
      <c r="AO5514" s="14"/>
      <c r="AP5514" s="14"/>
      <c r="AQ5514" s="14"/>
      <c r="AR5514" s="14"/>
      <c r="AS5514" s="14"/>
      <c r="AT5514" s="14"/>
      <c r="AU5514" s="14"/>
      <c r="AV5514" s="14"/>
      <c r="AW5514" s="15">
        <f t="shared" si="871"/>
        <v>300</v>
      </c>
      <c r="AX5514" s="16"/>
      <c r="AY5514" s="112"/>
    </row>
    <row r="5515" spans="2:51" x14ac:dyDescent="0.2">
      <c r="B5515" s="7"/>
      <c r="C5515" s="8">
        <v>15691</v>
      </c>
      <c r="D5515" s="9" t="s">
        <v>62</v>
      </c>
      <c r="E5515" s="10" t="str">
        <f t="shared" si="866"/>
        <v>Rancho Romeral No. 10, A</v>
      </c>
      <c r="F5515" s="10" t="str">
        <f t="shared" si="867"/>
        <v>Casillas Álvarez</v>
      </c>
      <c r="G5515" s="8">
        <v>1</v>
      </c>
      <c r="H5515" s="11">
        <v>200</v>
      </c>
      <c r="I5515" s="12">
        <v>43107</v>
      </c>
      <c r="J5515" s="35">
        <f t="shared" si="868"/>
        <v>0</v>
      </c>
      <c r="K5515" s="36"/>
      <c r="L5515" s="36"/>
      <c r="M5515" s="36"/>
      <c r="N5515" s="36"/>
      <c r="O5515" s="36"/>
      <c r="P5515" s="36"/>
      <c r="Q5515" s="36"/>
      <c r="R5515" s="36"/>
      <c r="S5515" s="36"/>
      <c r="T5515" s="36"/>
      <c r="U5515" s="36"/>
      <c r="V5515" s="36"/>
      <c r="W5515" s="15">
        <f t="shared" si="869"/>
        <v>0</v>
      </c>
      <c r="X5515" s="36"/>
      <c r="Y5515" s="36"/>
      <c r="Z5515" s="36"/>
      <c r="AA5515" s="36"/>
      <c r="AB5515" s="36"/>
      <c r="AC5515" s="36"/>
      <c r="AD5515" s="36"/>
      <c r="AE5515" s="36"/>
      <c r="AF5515" s="36"/>
      <c r="AG5515" s="36"/>
      <c r="AH5515" s="36"/>
      <c r="AI5515" s="36"/>
      <c r="AJ5515" s="15">
        <f t="shared" si="870"/>
        <v>0</v>
      </c>
      <c r="AK5515" s="14"/>
      <c r="AL5515" s="14">
        <v>200</v>
      </c>
      <c r="AM5515" s="14"/>
      <c r="AN5515" s="14"/>
      <c r="AO5515" s="14"/>
      <c r="AP5515" s="14"/>
      <c r="AQ5515" s="14"/>
      <c r="AR5515" s="14"/>
      <c r="AS5515" s="14"/>
      <c r="AT5515" s="14"/>
      <c r="AU5515" s="14"/>
      <c r="AV5515" s="14"/>
      <c r="AW5515" s="15">
        <f t="shared" si="871"/>
        <v>200</v>
      </c>
      <c r="AX5515" s="16"/>
      <c r="AY5515" s="112"/>
    </row>
    <row r="5516" spans="2:51" x14ac:dyDescent="0.2">
      <c r="B5516" s="7"/>
      <c r="C5516" s="8">
        <v>15692</v>
      </c>
      <c r="D5516" s="9" t="s">
        <v>431</v>
      </c>
      <c r="E5516" s="10" t="str">
        <f t="shared" si="860"/>
        <v>Rancho Landero No. 63</v>
      </c>
      <c r="F5516" s="10" t="str">
        <f t="shared" si="861"/>
        <v>Hernández Chávez</v>
      </c>
      <c r="G5516" s="8">
        <v>1</v>
      </c>
      <c r="H5516" s="11">
        <v>800</v>
      </c>
      <c r="I5516" s="12">
        <v>43107</v>
      </c>
      <c r="J5516" s="35">
        <f t="shared" si="862"/>
        <v>0</v>
      </c>
      <c r="K5516" s="36"/>
      <c r="L5516" s="36"/>
      <c r="M5516" s="36"/>
      <c r="N5516" s="36"/>
      <c r="O5516" s="36"/>
      <c r="P5516" s="36"/>
      <c r="Q5516" s="36"/>
      <c r="R5516" s="36"/>
      <c r="S5516" s="36"/>
      <c r="T5516" s="36"/>
      <c r="U5516" s="36"/>
      <c r="V5516" s="36"/>
      <c r="W5516" s="15">
        <f t="shared" si="863"/>
        <v>0</v>
      </c>
      <c r="X5516" s="36"/>
      <c r="Y5516" s="36"/>
      <c r="Z5516" s="36"/>
      <c r="AA5516" s="36"/>
      <c r="AB5516" s="36"/>
      <c r="AC5516" s="36"/>
      <c r="AD5516" s="36"/>
      <c r="AE5516" s="36"/>
      <c r="AF5516" s="36"/>
      <c r="AG5516" s="36"/>
      <c r="AH5516" s="36">
        <v>400</v>
      </c>
      <c r="AI5516" s="36">
        <v>400</v>
      </c>
      <c r="AJ5516" s="15">
        <f t="shared" si="864"/>
        <v>800</v>
      </c>
      <c r="AK5516" s="14"/>
      <c r="AL5516" s="14"/>
      <c r="AM5516" s="14"/>
      <c r="AN5516" s="14"/>
      <c r="AO5516" s="14"/>
      <c r="AP5516" s="14"/>
      <c r="AQ5516" s="14"/>
      <c r="AR5516" s="14"/>
      <c r="AS5516" s="14"/>
      <c r="AT5516" s="14"/>
      <c r="AU5516" s="14"/>
      <c r="AV5516" s="14"/>
      <c r="AW5516" s="15">
        <f t="shared" si="865"/>
        <v>0</v>
      </c>
      <c r="AX5516" s="16"/>
      <c r="AY5516" s="112"/>
    </row>
    <row r="5517" spans="2:51" x14ac:dyDescent="0.2">
      <c r="B5517" s="7"/>
      <c r="C5517" s="8">
        <v>15693</v>
      </c>
      <c r="D5517" s="9" t="s">
        <v>313</v>
      </c>
      <c r="E5517" s="10" t="str">
        <f t="shared" si="860"/>
        <v>Rancho La Cuchilla No. 87</v>
      </c>
      <c r="F5517" s="10" t="str">
        <f t="shared" si="861"/>
        <v>Villanueva S.</v>
      </c>
      <c r="G5517" s="8">
        <v>1</v>
      </c>
      <c r="H5517" s="11">
        <v>400</v>
      </c>
      <c r="I5517" s="12">
        <v>43107</v>
      </c>
      <c r="J5517" s="35">
        <f t="shared" si="862"/>
        <v>0</v>
      </c>
      <c r="K5517" s="36"/>
      <c r="L5517" s="36"/>
      <c r="M5517" s="36"/>
      <c r="N5517" s="36"/>
      <c r="O5517" s="36"/>
      <c r="P5517" s="36"/>
      <c r="Q5517" s="36"/>
      <c r="R5517" s="36"/>
      <c r="S5517" s="36"/>
      <c r="T5517" s="36"/>
      <c r="U5517" s="36"/>
      <c r="V5517" s="36"/>
      <c r="W5517" s="15">
        <f t="shared" si="863"/>
        <v>0</v>
      </c>
      <c r="X5517" s="36"/>
      <c r="Y5517" s="36"/>
      <c r="Z5517" s="36"/>
      <c r="AA5517" s="36"/>
      <c r="AB5517" s="36"/>
      <c r="AC5517" s="36"/>
      <c r="AD5517" s="36"/>
      <c r="AE5517" s="36"/>
      <c r="AF5517" s="36"/>
      <c r="AG5517" s="36"/>
      <c r="AH5517" s="36"/>
      <c r="AI5517" s="36"/>
      <c r="AJ5517" s="15">
        <f t="shared" si="864"/>
        <v>0</v>
      </c>
      <c r="AK5517" s="14">
        <v>400</v>
      </c>
      <c r="AL5517" s="14"/>
      <c r="AM5517" s="14"/>
      <c r="AN5517" s="14"/>
      <c r="AO5517" s="14"/>
      <c r="AP5517" s="14"/>
      <c r="AQ5517" s="14"/>
      <c r="AR5517" s="14"/>
      <c r="AS5517" s="14"/>
      <c r="AT5517" s="14"/>
      <c r="AU5517" s="14"/>
      <c r="AV5517" s="14"/>
      <c r="AW5517" s="15">
        <f t="shared" si="865"/>
        <v>400</v>
      </c>
      <c r="AX5517" s="16"/>
      <c r="AY5517" s="112"/>
    </row>
    <row r="5518" spans="2:51" x14ac:dyDescent="0.2">
      <c r="B5518" s="7"/>
      <c r="C5518" s="8">
        <v>15694</v>
      </c>
      <c r="D5518" s="9" t="s">
        <v>186</v>
      </c>
      <c r="E5518" s="10" t="str">
        <f t="shared" si="860"/>
        <v>Rancho Upácuaro No. 100</v>
      </c>
      <c r="F5518" s="10" t="str">
        <f t="shared" si="861"/>
        <v>Valdez</v>
      </c>
      <c r="G5518" s="8">
        <v>1</v>
      </c>
      <c r="H5518" s="11">
        <v>400</v>
      </c>
      <c r="I5518" s="12">
        <v>43107</v>
      </c>
      <c r="J5518" s="35">
        <f t="shared" si="862"/>
        <v>0</v>
      </c>
      <c r="K5518" s="36"/>
      <c r="L5518" s="36"/>
      <c r="M5518" s="36"/>
      <c r="N5518" s="36"/>
      <c r="O5518" s="36"/>
      <c r="P5518" s="36"/>
      <c r="Q5518" s="36"/>
      <c r="R5518" s="36"/>
      <c r="S5518" s="36"/>
      <c r="T5518" s="36"/>
      <c r="U5518" s="36"/>
      <c r="V5518" s="36"/>
      <c r="W5518" s="15">
        <f t="shared" si="863"/>
        <v>0</v>
      </c>
      <c r="X5518" s="36"/>
      <c r="Y5518" s="36"/>
      <c r="Z5518" s="36"/>
      <c r="AA5518" s="36"/>
      <c r="AB5518" s="36"/>
      <c r="AC5518" s="36"/>
      <c r="AD5518" s="36"/>
      <c r="AE5518" s="36"/>
      <c r="AF5518" s="36"/>
      <c r="AG5518" s="36"/>
      <c r="AH5518" s="36"/>
      <c r="AI5518" s="36"/>
      <c r="AJ5518" s="15">
        <f t="shared" si="864"/>
        <v>0</v>
      </c>
      <c r="AK5518" s="14">
        <v>400</v>
      </c>
      <c r="AL5518" s="14"/>
      <c r="AM5518" s="14"/>
      <c r="AN5518" s="14"/>
      <c r="AO5518" s="14"/>
      <c r="AP5518" s="14"/>
      <c r="AQ5518" s="14"/>
      <c r="AR5518" s="14"/>
      <c r="AS5518" s="14"/>
      <c r="AT5518" s="14"/>
      <c r="AU5518" s="14"/>
      <c r="AV5518" s="14"/>
      <c r="AW5518" s="15">
        <f t="shared" si="865"/>
        <v>400</v>
      </c>
      <c r="AX5518" s="16"/>
      <c r="AY5518" s="112"/>
    </row>
    <row r="5519" spans="2:51" x14ac:dyDescent="0.2">
      <c r="B5519" s="7"/>
      <c r="C5519" s="8">
        <v>15694</v>
      </c>
      <c r="D5519" s="9" t="s">
        <v>186</v>
      </c>
      <c r="E5519" s="10" t="str">
        <f t="shared" si="860"/>
        <v>Rancho Upácuaro No. 100</v>
      </c>
      <c r="F5519" s="10" t="str">
        <f t="shared" si="861"/>
        <v>Valdez</v>
      </c>
      <c r="G5519" s="8">
        <v>5</v>
      </c>
      <c r="H5519" s="11">
        <v>50</v>
      </c>
      <c r="I5519" s="12">
        <v>43107</v>
      </c>
      <c r="J5519" s="35">
        <f t="shared" si="862"/>
        <v>0</v>
      </c>
      <c r="K5519" s="36"/>
      <c r="L5519" s="36"/>
      <c r="M5519" s="36"/>
      <c r="N5519" s="36"/>
      <c r="O5519" s="36"/>
      <c r="P5519" s="36"/>
      <c r="Q5519" s="36"/>
      <c r="R5519" s="36"/>
      <c r="S5519" s="36"/>
      <c r="T5519" s="36"/>
      <c r="U5519" s="36"/>
      <c r="V5519" s="36"/>
      <c r="W5519" s="15">
        <f t="shared" si="863"/>
        <v>0</v>
      </c>
      <c r="X5519" s="36"/>
      <c r="Y5519" s="36"/>
      <c r="Z5519" s="36"/>
      <c r="AA5519" s="36"/>
      <c r="AB5519" s="36"/>
      <c r="AC5519" s="36"/>
      <c r="AD5519" s="36"/>
      <c r="AE5519" s="36"/>
      <c r="AF5519" s="36"/>
      <c r="AG5519" s="36"/>
      <c r="AH5519" s="36"/>
      <c r="AI5519" s="36"/>
      <c r="AJ5519" s="15">
        <f t="shared" si="864"/>
        <v>0</v>
      </c>
      <c r="AK5519" s="14"/>
      <c r="AL5519" s="14"/>
      <c r="AM5519" s="14"/>
      <c r="AN5519" s="14"/>
      <c r="AO5519" s="14"/>
      <c r="AP5519" s="14"/>
      <c r="AQ5519" s="14"/>
      <c r="AR5519" s="14"/>
      <c r="AS5519" s="14"/>
      <c r="AT5519" s="14"/>
      <c r="AU5519" s="14"/>
      <c r="AV5519" s="14"/>
      <c r="AW5519" s="15">
        <f t="shared" si="865"/>
        <v>0</v>
      </c>
      <c r="AX5519" s="16"/>
      <c r="AY5519" s="112"/>
    </row>
    <row r="5520" spans="2:51" x14ac:dyDescent="0.2">
      <c r="B5520" s="7"/>
      <c r="C5520" s="8">
        <v>15695</v>
      </c>
      <c r="D5520" s="9" t="s">
        <v>343</v>
      </c>
      <c r="E5520" s="10" t="str">
        <f t="shared" si="860"/>
        <v>Rancho Upácuaro No. 88</v>
      </c>
      <c r="F5520" s="10" t="str">
        <f t="shared" si="861"/>
        <v>Millán Núñez</v>
      </c>
      <c r="G5520" s="8">
        <v>1</v>
      </c>
      <c r="H5520" s="11">
        <v>400</v>
      </c>
      <c r="I5520" s="12">
        <v>43107</v>
      </c>
      <c r="J5520" s="35">
        <f t="shared" si="862"/>
        <v>0</v>
      </c>
      <c r="K5520" s="36"/>
      <c r="L5520" s="36"/>
      <c r="M5520" s="36"/>
      <c r="N5520" s="36"/>
      <c r="O5520" s="36"/>
      <c r="P5520" s="36"/>
      <c r="Q5520" s="36"/>
      <c r="R5520" s="36"/>
      <c r="S5520" s="36"/>
      <c r="T5520" s="36"/>
      <c r="U5520" s="36"/>
      <c r="V5520" s="36"/>
      <c r="W5520" s="15">
        <f t="shared" si="863"/>
        <v>0</v>
      </c>
      <c r="X5520" s="36"/>
      <c r="Y5520" s="36"/>
      <c r="Z5520" s="36"/>
      <c r="AA5520" s="36"/>
      <c r="AB5520" s="36"/>
      <c r="AC5520" s="36"/>
      <c r="AD5520" s="36"/>
      <c r="AE5520" s="36"/>
      <c r="AF5520" s="36"/>
      <c r="AG5520" s="36"/>
      <c r="AH5520" s="36"/>
      <c r="AI5520" s="36"/>
      <c r="AJ5520" s="15">
        <f t="shared" si="864"/>
        <v>0</v>
      </c>
      <c r="AK5520" s="14">
        <v>400</v>
      </c>
      <c r="AL5520" s="14"/>
      <c r="AM5520" s="14"/>
      <c r="AN5520" s="14"/>
      <c r="AO5520" s="14"/>
      <c r="AP5520" s="14"/>
      <c r="AQ5520" s="14"/>
      <c r="AR5520" s="14"/>
      <c r="AS5520" s="14"/>
      <c r="AT5520" s="14"/>
      <c r="AU5520" s="14"/>
      <c r="AV5520" s="14"/>
      <c r="AW5520" s="15">
        <f t="shared" si="865"/>
        <v>400</v>
      </c>
      <c r="AX5520" s="16"/>
      <c r="AY5520" s="112"/>
    </row>
    <row r="5521" spans="2:51" x14ac:dyDescent="0.2">
      <c r="B5521" s="7"/>
      <c r="C5521" s="8">
        <v>15696</v>
      </c>
      <c r="D5521" s="9" t="s">
        <v>840</v>
      </c>
      <c r="E5521" s="10" t="str">
        <f t="shared" si="860"/>
        <v>Rancho Landero No. 33</v>
      </c>
      <c r="F5521" s="10" t="str">
        <f t="shared" si="861"/>
        <v>González Uribe</v>
      </c>
      <c r="G5521" s="8">
        <v>1</v>
      </c>
      <c r="H5521" s="11">
        <v>1200</v>
      </c>
      <c r="I5521" s="12">
        <v>43107</v>
      </c>
      <c r="J5521" s="35">
        <f t="shared" si="862"/>
        <v>0</v>
      </c>
      <c r="K5521" s="36"/>
      <c r="L5521" s="36"/>
      <c r="M5521" s="36"/>
      <c r="N5521" s="36"/>
      <c r="O5521" s="36"/>
      <c r="P5521" s="36"/>
      <c r="Q5521" s="36"/>
      <c r="R5521" s="36"/>
      <c r="S5521" s="36"/>
      <c r="T5521" s="36"/>
      <c r="U5521" s="36"/>
      <c r="V5521" s="36"/>
      <c r="W5521" s="15">
        <f t="shared" si="863"/>
        <v>0</v>
      </c>
      <c r="X5521" s="36"/>
      <c r="Y5521" s="36"/>
      <c r="Z5521" s="36"/>
      <c r="AA5521" s="36"/>
      <c r="AB5521" s="36"/>
      <c r="AC5521" s="36"/>
      <c r="AD5521" s="36"/>
      <c r="AE5521" s="36"/>
      <c r="AF5521" s="36"/>
      <c r="AG5521" s="36"/>
      <c r="AH5521" s="36">
        <v>400</v>
      </c>
      <c r="AI5521" s="36">
        <v>400</v>
      </c>
      <c r="AJ5521" s="15">
        <f t="shared" si="864"/>
        <v>800</v>
      </c>
      <c r="AK5521" s="14">
        <v>400</v>
      </c>
      <c r="AL5521" s="14"/>
      <c r="AM5521" s="14"/>
      <c r="AN5521" s="14"/>
      <c r="AO5521" s="14"/>
      <c r="AP5521" s="14"/>
      <c r="AQ5521" s="14"/>
      <c r="AR5521" s="14"/>
      <c r="AS5521" s="14"/>
      <c r="AT5521" s="14"/>
      <c r="AU5521" s="14"/>
      <c r="AV5521" s="14"/>
      <c r="AW5521" s="15">
        <f t="shared" si="865"/>
        <v>400</v>
      </c>
      <c r="AX5521" s="16"/>
      <c r="AY5521" s="112"/>
    </row>
    <row r="5522" spans="2:51" x14ac:dyDescent="0.2">
      <c r="B5522" s="7"/>
      <c r="C5522" s="8">
        <v>15697</v>
      </c>
      <c r="D5522" s="9" t="s">
        <v>325</v>
      </c>
      <c r="E5522" s="10" t="str">
        <f t="shared" si="860"/>
        <v>Rancho Upácuaro No. 120</v>
      </c>
      <c r="F5522" s="10" t="str">
        <f t="shared" si="861"/>
        <v>Rayas Rivera</v>
      </c>
      <c r="G5522" s="8">
        <v>1</v>
      </c>
      <c r="H5522" s="11">
        <v>400</v>
      </c>
      <c r="I5522" s="12">
        <v>43107</v>
      </c>
      <c r="J5522" s="35">
        <f t="shared" si="862"/>
        <v>0</v>
      </c>
      <c r="K5522" s="36"/>
      <c r="L5522" s="36"/>
      <c r="M5522" s="36"/>
      <c r="N5522" s="36"/>
      <c r="O5522" s="36"/>
      <c r="P5522" s="36"/>
      <c r="Q5522" s="36"/>
      <c r="R5522" s="36"/>
      <c r="S5522" s="36"/>
      <c r="T5522" s="36"/>
      <c r="U5522" s="36"/>
      <c r="V5522" s="36"/>
      <c r="W5522" s="15">
        <f t="shared" si="863"/>
        <v>0</v>
      </c>
      <c r="X5522" s="36"/>
      <c r="Y5522" s="36"/>
      <c r="Z5522" s="36"/>
      <c r="AA5522" s="36"/>
      <c r="AB5522" s="36"/>
      <c r="AC5522" s="36"/>
      <c r="AD5522" s="36"/>
      <c r="AE5522" s="36"/>
      <c r="AF5522" s="36"/>
      <c r="AG5522" s="36"/>
      <c r="AH5522" s="36"/>
      <c r="AI5522" s="36"/>
      <c r="AJ5522" s="15">
        <f t="shared" si="864"/>
        <v>0</v>
      </c>
      <c r="AK5522" s="14">
        <v>400</v>
      </c>
      <c r="AL5522" s="14"/>
      <c r="AM5522" s="14"/>
      <c r="AN5522" s="14"/>
      <c r="AO5522" s="14"/>
      <c r="AP5522" s="14"/>
      <c r="AQ5522" s="14"/>
      <c r="AR5522" s="14"/>
      <c r="AS5522" s="14"/>
      <c r="AT5522" s="14"/>
      <c r="AU5522" s="14"/>
      <c r="AV5522" s="14"/>
      <c r="AW5522" s="15">
        <f t="shared" si="865"/>
        <v>400</v>
      </c>
      <c r="AX5522" s="16"/>
      <c r="AY5522" s="112"/>
    </row>
    <row r="5523" spans="2:51" x14ac:dyDescent="0.2">
      <c r="B5523" s="7"/>
      <c r="C5523" s="8">
        <v>15698</v>
      </c>
      <c r="D5523" s="9" t="s">
        <v>476</v>
      </c>
      <c r="E5523" s="10" t="str">
        <f t="shared" si="860"/>
        <v>Rancho Upácuaro No. 33</v>
      </c>
      <c r="F5523" s="10" t="str">
        <f t="shared" si="861"/>
        <v>Ulloa Miranda</v>
      </c>
      <c r="G5523" s="8">
        <v>1</v>
      </c>
      <c r="H5523" s="11">
        <v>400</v>
      </c>
      <c r="I5523" s="12">
        <v>43107</v>
      </c>
      <c r="J5523" s="35">
        <f t="shared" si="862"/>
        <v>0</v>
      </c>
      <c r="K5523" s="36"/>
      <c r="L5523" s="36"/>
      <c r="M5523" s="36"/>
      <c r="N5523" s="36"/>
      <c r="O5523" s="36"/>
      <c r="P5523" s="36"/>
      <c r="Q5523" s="36"/>
      <c r="R5523" s="36"/>
      <c r="S5523" s="36"/>
      <c r="T5523" s="36"/>
      <c r="U5523" s="36"/>
      <c r="V5523" s="36"/>
      <c r="W5523" s="15">
        <f t="shared" si="863"/>
        <v>0</v>
      </c>
      <c r="X5523" s="36"/>
      <c r="Y5523" s="36"/>
      <c r="Z5523" s="36"/>
      <c r="AA5523" s="36"/>
      <c r="AB5523" s="36"/>
      <c r="AC5523" s="36"/>
      <c r="AD5523" s="36"/>
      <c r="AE5523" s="36"/>
      <c r="AF5523" s="36"/>
      <c r="AG5523" s="36"/>
      <c r="AH5523" s="36"/>
      <c r="AI5523" s="36"/>
      <c r="AJ5523" s="15">
        <f t="shared" si="864"/>
        <v>0</v>
      </c>
      <c r="AK5523" s="14">
        <v>400</v>
      </c>
      <c r="AL5523" s="14"/>
      <c r="AM5523" s="14"/>
      <c r="AN5523" s="14"/>
      <c r="AO5523" s="14"/>
      <c r="AP5523" s="14"/>
      <c r="AQ5523" s="14"/>
      <c r="AR5523" s="14"/>
      <c r="AS5523" s="14"/>
      <c r="AT5523" s="14"/>
      <c r="AU5523" s="14"/>
      <c r="AV5523" s="14"/>
      <c r="AW5523" s="15">
        <f t="shared" si="865"/>
        <v>400</v>
      </c>
      <c r="AX5523" s="16"/>
      <c r="AY5523" s="112"/>
    </row>
    <row r="5524" spans="2:51" x14ac:dyDescent="0.2">
      <c r="B5524" s="7"/>
      <c r="C5524" s="8">
        <v>15699</v>
      </c>
      <c r="D5524" s="9" t="s">
        <v>479</v>
      </c>
      <c r="E5524" s="10" t="str">
        <f t="shared" si="860"/>
        <v>Rancho Zinamba No. 68</v>
      </c>
      <c r="F5524" s="10" t="str">
        <f t="shared" si="861"/>
        <v>Rivera Villicaña</v>
      </c>
      <c r="G5524" s="8">
        <v>1</v>
      </c>
      <c r="H5524" s="11">
        <v>300</v>
      </c>
      <c r="I5524" s="12">
        <v>43107</v>
      </c>
      <c r="J5524" s="35">
        <f t="shared" si="862"/>
        <v>0</v>
      </c>
      <c r="K5524" s="36"/>
      <c r="L5524" s="36"/>
      <c r="M5524" s="36"/>
      <c r="N5524" s="36"/>
      <c r="O5524" s="36"/>
      <c r="P5524" s="36"/>
      <c r="Q5524" s="36"/>
      <c r="R5524" s="36"/>
      <c r="S5524" s="36"/>
      <c r="T5524" s="36"/>
      <c r="U5524" s="36"/>
      <c r="V5524" s="36"/>
      <c r="W5524" s="15">
        <f t="shared" si="863"/>
        <v>0</v>
      </c>
      <c r="X5524" s="36"/>
      <c r="Y5524" s="36"/>
      <c r="Z5524" s="36"/>
      <c r="AA5524" s="36"/>
      <c r="AB5524" s="36"/>
      <c r="AC5524" s="36"/>
      <c r="AD5524" s="36"/>
      <c r="AE5524" s="36"/>
      <c r="AF5524" s="36"/>
      <c r="AG5524" s="36"/>
      <c r="AH5524" s="36"/>
      <c r="AI5524" s="36"/>
      <c r="AJ5524" s="15">
        <f t="shared" si="864"/>
        <v>0</v>
      </c>
      <c r="AK5524" s="14">
        <v>300</v>
      </c>
      <c r="AL5524" s="14"/>
      <c r="AM5524" s="14"/>
      <c r="AN5524" s="14"/>
      <c r="AO5524" s="14"/>
      <c r="AP5524" s="14"/>
      <c r="AQ5524" s="14"/>
      <c r="AR5524" s="14"/>
      <c r="AS5524" s="14"/>
      <c r="AT5524" s="14"/>
      <c r="AU5524" s="14"/>
      <c r="AV5524" s="14"/>
      <c r="AW5524" s="15">
        <f t="shared" si="865"/>
        <v>300</v>
      </c>
      <c r="AX5524" s="16"/>
      <c r="AY5524" s="112"/>
    </row>
    <row r="5525" spans="2:51" x14ac:dyDescent="0.2">
      <c r="B5525" s="7"/>
      <c r="C5525" s="8">
        <v>15700</v>
      </c>
      <c r="D5525" s="9" t="s">
        <v>1272</v>
      </c>
      <c r="E5525" s="10" t="str">
        <f t="shared" si="860"/>
        <v>Rancho La Cuchilla No. 60</v>
      </c>
      <c r="F5525" s="10" t="str">
        <f t="shared" si="861"/>
        <v>Moisen</v>
      </c>
      <c r="G5525" s="8">
        <v>1</v>
      </c>
      <c r="H5525" s="11">
        <v>4400</v>
      </c>
      <c r="I5525" s="12">
        <v>43107</v>
      </c>
      <c r="J5525" s="35">
        <f t="shared" si="862"/>
        <v>0</v>
      </c>
      <c r="K5525" s="36"/>
      <c r="L5525" s="36"/>
      <c r="M5525" s="36"/>
      <c r="N5525" s="36"/>
      <c r="O5525" s="36"/>
      <c r="P5525" s="36"/>
      <c r="Q5525" s="36"/>
      <c r="R5525" s="36"/>
      <c r="S5525" s="36"/>
      <c r="T5525" s="36"/>
      <c r="U5525" s="36"/>
      <c r="V5525" s="36"/>
      <c r="W5525" s="15">
        <f t="shared" si="863"/>
        <v>0</v>
      </c>
      <c r="X5525" s="36"/>
      <c r="Y5525" s="36"/>
      <c r="Z5525" s="36"/>
      <c r="AA5525" s="36"/>
      <c r="AB5525" s="36"/>
      <c r="AC5525" s="36"/>
      <c r="AD5525" s="36"/>
      <c r="AE5525" s="36"/>
      <c r="AF5525" s="36"/>
      <c r="AG5525" s="36"/>
      <c r="AH5525" s="36"/>
      <c r="AI5525" s="36"/>
      <c r="AJ5525" s="15">
        <f t="shared" si="864"/>
        <v>0</v>
      </c>
      <c r="AK5525" s="14">
        <v>400</v>
      </c>
      <c r="AL5525" s="14">
        <v>400</v>
      </c>
      <c r="AM5525" s="14">
        <v>400</v>
      </c>
      <c r="AN5525" s="14">
        <v>400</v>
      </c>
      <c r="AO5525" s="14">
        <v>400</v>
      </c>
      <c r="AP5525" s="14">
        <v>400</v>
      </c>
      <c r="AQ5525" s="14">
        <v>400</v>
      </c>
      <c r="AR5525" s="14">
        <v>400</v>
      </c>
      <c r="AS5525" s="14">
        <v>400</v>
      </c>
      <c r="AT5525" s="14">
        <v>400</v>
      </c>
      <c r="AU5525" s="14">
        <v>400</v>
      </c>
      <c r="AV5525" s="14"/>
      <c r="AW5525" s="15">
        <f t="shared" si="865"/>
        <v>4400</v>
      </c>
      <c r="AX5525" s="16" t="s">
        <v>4869</v>
      </c>
      <c r="AY5525" s="112"/>
    </row>
    <row r="5526" spans="2:51" x14ac:dyDescent="0.2">
      <c r="B5526" s="7"/>
      <c r="C5526" s="8">
        <v>15701</v>
      </c>
      <c r="D5526" s="9" t="s">
        <v>328</v>
      </c>
      <c r="E5526" s="10" t="str">
        <f t="shared" si="860"/>
        <v>Rancho La Cuchilla No. 130</v>
      </c>
      <c r="F5526" s="10" t="str">
        <f t="shared" si="861"/>
        <v>Gonzalez</v>
      </c>
      <c r="G5526" s="8">
        <v>1</v>
      </c>
      <c r="H5526" s="11">
        <v>400</v>
      </c>
      <c r="I5526" s="12">
        <v>43107</v>
      </c>
      <c r="J5526" s="35">
        <f t="shared" si="862"/>
        <v>0</v>
      </c>
      <c r="K5526" s="36"/>
      <c r="L5526" s="36"/>
      <c r="M5526" s="36"/>
      <c r="N5526" s="36"/>
      <c r="O5526" s="36"/>
      <c r="P5526" s="36"/>
      <c r="Q5526" s="36"/>
      <c r="R5526" s="36"/>
      <c r="S5526" s="36"/>
      <c r="T5526" s="36"/>
      <c r="U5526" s="36"/>
      <c r="V5526" s="36"/>
      <c r="W5526" s="15">
        <f t="shared" si="863"/>
        <v>0</v>
      </c>
      <c r="X5526" s="36"/>
      <c r="Y5526" s="36"/>
      <c r="Z5526" s="36"/>
      <c r="AA5526" s="36"/>
      <c r="AB5526" s="36"/>
      <c r="AC5526" s="36"/>
      <c r="AD5526" s="36"/>
      <c r="AE5526" s="36"/>
      <c r="AF5526" s="36"/>
      <c r="AG5526" s="36"/>
      <c r="AH5526" s="36"/>
      <c r="AI5526" s="36"/>
      <c r="AJ5526" s="15">
        <f t="shared" si="864"/>
        <v>0</v>
      </c>
      <c r="AK5526" s="14">
        <v>400</v>
      </c>
      <c r="AL5526" s="14"/>
      <c r="AM5526" s="14"/>
      <c r="AN5526" s="14"/>
      <c r="AO5526" s="14"/>
      <c r="AP5526" s="14"/>
      <c r="AQ5526" s="14"/>
      <c r="AR5526" s="14"/>
      <c r="AS5526" s="14"/>
      <c r="AT5526" s="14"/>
      <c r="AU5526" s="14"/>
      <c r="AV5526" s="14"/>
      <c r="AW5526" s="15">
        <f t="shared" si="865"/>
        <v>400</v>
      </c>
      <c r="AX5526" s="16"/>
      <c r="AY5526" s="112"/>
    </row>
    <row r="5527" spans="2:51" x14ac:dyDescent="0.2">
      <c r="B5527" s="7"/>
      <c r="C5527" s="8">
        <v>15702</v>
      </c>
      <c r="D5527" s="9" t="s">
        <v>655</v>
      </c>
      <c r="E5527" s="10" t="str">
        <f t="shared" si="860"/>
        <v>Rancho La Cuchilla No. 115</v>
      </c>
      <c r="F5527" s="10" t="str">
        <f t="shared" si="861"/>
        <v>Alfaro</v>
      </c>
      <c r="G5527" s="8">
        <v>1</v>
      </c>
      <c r="H5527" s="11">
        <v>800</v>
      </c>
      <c r="I5527" s="12">
        <v>43107</v>
      </c>
      <c r="J5527" s="35">
        <f t="shared" si="862"/>
        <v>0</v>
      </c>
      <c r="K5527" s="36"/>
      <c r="L5527" s="36"/>
      <c r="M5527" s="36"/>
      <c r="N5527" s="36"/>
      <c r="O5527" s="36"/>
      <c r="P5527" s="36"/>
      <c r="Q5527" s="36"/>
      <c r="R5527" s="36"/>
      <c r="S5527" s="36"/>
      <c r="T5527" s="36"/>
      <c r="U5527" s="36"/>
      <c r="V5527" s="36"/>
      <c r="W5527" s="15">
        <f t="shared" si="863"/>
        <v>0</v>
      </c>
      <c r="X5527" s="36"/>
      <c r="Y5527" s="36"/>
      <c r="Z5527" s="36"/>
      <c r="AA5527" s="36"/>
      <c r="AB5527" s="36"/>
      <c r="AC5527" s="36"/>
      <c r="AD5527" s="36"/>
      <c r="AE5527" s="36">
        <v>400</v>
      </c>
      <c r="AF5527" s="36">
        <v>400</v>
      </c>
      <c r="AG5527" s="36"/>
      <c r="AH5527" s="36"/>
      <c r="AI5527" s="36"/>
      <c r="AJ5527" s="15">
        <f t="shared" si="864"/>
        <v>800</v>
      </c>
      <c r="AK5527" s="14"/>
      <c r="AL5527" s="14"/>
      <c r="AM5527" s="14"/>
      <c r="AN5527" s="14"/>
      <c r="AO5527" s="14"/>
      <c r="AP5527" s="14"/>
      <c r="AQ5527" s="14"/>
      <c r="AR5527" s="14"/>
      <c r="AS5527" s="14"/>
      <c r="AT5527" s="14"/>
      <c r="AU5527" s="14"/>
      <c r="AV5527" s="14"/>
      <c r="AW5527" s="15">
        <f t="shared" si="865"/>
        <v>0</v>
      </c>
      <c r="AX5527" s="16"/>
      <c r="AY5527" s="112"/>
    </row>
    <row r="5528" spans="2:51" x14ac:dyDescent="0.2">
      <c r="B5528" s="7"/>
      <c r="C5528" s="8">
        <v>15703</v>
      </c>
      <c r="D5528" s="9" t="s">
        <v>262</v>
      </c>
      <c r="E5528" s="10" t="str">
        <f t="shared" si="860"/>
        <v>Rancho Recoveco No. 1</v>
      </c>
      <c r="F5528" s="10" t="str">
        <f t="shared" si="861"/>
        <v>Díaz</v>
      </c>
      <c r="G5528" s="8">
        <v>1</v>
      </c>
      <c r="H5528" s="11">
        <v>300</v>
      </c>
      <c r="I5528" s="12">
        <v>43107</v>
      </c>
      <c r="J5528" s="35">
        <f t="shared" si="862"/>
        <v>0</v>
      </c>
      <c r="K5528" s="36"/>
      <c r="L5528" s="36"/>
      <c r="M5528" s="36"/>
      <c r="N5528" s="36"/>
      <c r="O5528" s="36"/>
      <c r="P5528" s="36"/>
      <c r="Q5528" s="36"/>
      <c r="R5528" s="36"/>
      <c r="S5528" s="36"/>
      <c r="T5528" s="36"/>
      <c r="U5528" s="36"/>
      <c r="V5528" s="36"/>
      <c r="W5528" s="15">
        <f t="shared" si="863"/>
        <v>0</v>
      </c>
      <c r="X5528" s="36"/>
      <c r="Y5528" s="36"/>
      <c r="Z5528" s="36"/>
      <c r="AA5528" s="36"/>
      <c r="AB5528" s="36"/>
      <c r="AC5528" s="36"/>
      <c r="AD5528" s="36"/>
      <c r="AE5528" s="36"/>
      <c r="AF5528" s="36"/>
      <c r="AG5528" s="36"/>
      <c r="AH5528" s="36"/>
      <c r="AI5528" s="36"/>
      <c r="AJ5528" s="15">
        <f t="shared" si="864"/>
        <v>0</v>
      </c>
      <c r="AK5528" s="14">
        <v>300</v>
      </c>
      <c r="AL5528" s="14"/>
      <c r="AM5528" s="14"/>
      <c r="AN5528" s="14"/>
      <c r="AO5528" s="14"/>
      <c r="AP5528" s="14"/>
      <c r="AQ5528" s="14"/>
      <c r="AR5528" s="14"/>
      <c r="AS5528" s="14"/>
      <c r="AT5528" s="14"/>
      <c r="AU5528" s="14"/>
      <c r="AV5528" s="14"/>
      <c r="AW5528" s="15">
        <f t="shared" si="865"/>
        <v>300</v>
      </c>
      <c r="AX5528" s="16"/>
      <c r="AY5528" s="112"/>
    </row>
    <row r="5529" spans="2:51" x14ac:dyDescent="0.2">
      <c r="B5529" s="7"/>
      <c r="C5529" s="8">
        <v>15704</v>
      </c>
      <c r="D5529" s="9" t="s">
        <v>223</v>
      </c>
      <c r="E5529" s="10" t="str">
        <f t="shared" si="860"/>
        <v>Rancho Landero No. 26</v>
      </c>
      <c r="F5529" s="10" t="str">
        <f t="shared" si="861"/>
        <v>Balderas Martínez</v>
      </c>
      <c r="G5529" s="8">
        <v>1</v>
      </c>
      <c r="H5529" s="11">
        <v>1200</v>
      </c>
      <c r="I5529" s="12">
        <v>43107</v>
      </c>
      <c r="J5529" s="35">
        <f t="shared" si="862"/>
        <v>0</v>
      </c>
      <c r="K5529" s="36"/>
      <c r="L5529" s="36"/>
      <c r="M5529" s="36"/>
      <c r="N5529" s="36"/>
      <c r="O5529" s="36"/>
      <c r="P5529" s="36"/>
      <c r="Q5529" s="36"/>
      <c r="R5529" s="36"/>
      <c r="S5529" s="36"/>
      <c r="T5529" s="36"/>
      <c r="U5529" s="36"/>
      <c r="V5529" s="36"/>
      <c r="W5529" s="15">
        <f t="shared" si="863"/>
        <v>0</v>
      </c>
      <c r="X5529" s="36"/>
      <c r="Y5529" s="36"/>
      <c r="Z5529" s="36"/>
      <c r="AA5529" s="36"/>
      <c r="AB5529" s="36"/>
      <c r="AC5529" s="36"/>
      <c r="AD5529" s="36">
        <v>200</v>
      </c>
      <c r="AE5529" s="36">
        <v>200</v>
      </c>
      <c r="AF5529" s="36">
        <v>200</v>
      </c>
      <c r="AG5529" s="36">
        <v>200</v>
      </c>
      <c r="AH5529" s="36">
        <v>200</v>
      </c>
      <c r="AI5529" s="36">
        <v>200</v>
      </c>
      <c r="AJ5529" s="15">
        <f t="shared" si="864"/>
        <v>1200</v>
      </c>
      <c r="AK5529" s="14"/>
      <c r="AL5529" s="14"/>
      <c r="AM5529" s="14"/>
      <c r="AN5529" s="14"/>
      <c r="AO5529" s="14"/>
      <c r="AP5529" s="14"/>
      <c r="AQ5529" s="14"/>
      <c r="AR5529" s="14"/>
      <c r="AS5529" s="14"/>
      <c r="AT5529" s="14"/>
      <c r="AU5529" s="14"/>
      <c r="AV5529" s="14"/>
      <c r="AW5529" s="15">
        <f t="shared" si="865"/>
        <v>0</v>
      </c>
      <c r="AX5529" s="16"/>
      <c r="AY5529" s="112"/>
    </row>
    <row r="5530" spans="2:51" x14ac:dyDescent="0.2">
      <c r="B5530" s="7"/>
      <c r="C5530" s="8">
        <v>15705</v>
      </c>
      <c r="D5530" s="9" t="s">
        <v>253</v>
      </c>
      <c r="E5530" s="10" t="str">
        <f t="shared" si="860"/>
        <v>Rancho Upácuaro No. 75</v>
      </c>
      <c r="F5530" s="10" t="str">
        <f t="shared" si="861"/>
        <v>Montaño Zetina</v>
      </c>
      <c r="G5530" s="8">
        <v>1</v>
      </c>
      <c r="H5530" s="11">
        <v>3300</v>
      </c>
      <c r="I5530" s="12">
        <v>43107</v>
      </c>
      <c r="J5530" s="35">
        <f t="shared" si="862"/>
        <v>0</v>
      </c>
      <c r="K5530" s="36"/>
      <c r="L5530" s="36"/>
      <c r="M5530" s="36"/>
      <c r="N5530" s="36"/>
      <c r="O5530" s="36"/>
      <c r="P5530" s="36"/>
      <c r="Q5530" s="36"/>
      <c r="R5530" s="36"/>
      <c r="S5530" s="36"/>
      <c r="T5530" s="36"/>
      <c r="U5530" s="36"/>
      <c r="V5530" s="36"/>
      <c r="W5530" s="15">
        <f t="shared" si="863"/>
        <v>0</v>
      </c>
      <c r="X5530" s="36"/>
      <c r="Y5530" s="36"/>
      <c r="Z5530" s="36"/>
      <c r="AA5530" s="36"/>
      <c r="AB5530" s="36"/>
      <c r="AC5530" s="36"/>
      <c r="AD5530" s="36"/>
      <c r="AE5530" s="36"/>
      <c r="AF5530" s="36"/>
      <c r="AG5530" s="36"/>
      <c r="AH5530" s="36"/>
      <c r="AI5530" s="36"/>
      <c r="AJ5530" s="15">
        <f t="shared" si="864"/>
        <v>0</v>
      </c>
      <c r="AK5530" s="14">
        <v>300</v>
      </c>
      <c r="AL5530" s="14">
        <v>300</v>
      </c>
      <c r="AM5530" s="14">
        <v>300</v>
      </c>
      <c r="AN5530" s="14">
        <v>300</v>
      </c>
      <c r="AO5530" s="14">
        <v>300</v>
      </c>
      <c r="AP5530" s="14">
        <v>300</v>
      </c>
      <c r="AQ5530" s="14">
        <v>300</v>
      </c>
      <c r="AR5530" s="14">
        <v>300</v>
      </c>
      <c r="AS5530" s="14">
        <v>300</v>
      </c>
      <c r="AT5530" s="14">
        <v>300</v>
      </c>
      <c r="AU5530" s="14">
        <v>300</v>
      </c>
      <c r="AV5530" s="14"/>
      <c r="AW5530" s="15">
        <f t="shared" si="865"/>
        <v>3300</v>
      </c>
      <c r="AX5530" s="16" t="s">
        <v>4869</v>
      </c>
      <c r="AY5530" s="112"/>
    </row>
    <row r="5531" spans="2:51" x14ac:dyDescent="0.2">
      <c r="B5531" s="7"/>
      <c r="C5531" s="8">
        <v>15706</v>
      </c>
      <c r="D5531" s="9" t="s">
        <v>171</v>
      </c>
      <c r="E5531" s="10" t="str">
        <f t="shared" si="860"/>
        <v>Rancho La Cuchilla No. 72</v>
      </c>
      <c r="F5531" s="10" t="str">
        <f t="shared" si="861"/>
        <v>Ortiz González</v>
      </c>
      <c r="G5531" s="8">
        <v>1</v>
      </c>
      <c r="H5531" s="11">
        <v>400</v>
      </c>
      <c r="I5531" s="12">
        <v>43107</v>
      </c>
      <c r="J5531" s="35">
        <f t="shared" si="862"/>
        <v>0</v>
      </c>
      <c r="K5531" s="36"/>
      <c r="L5531" s="36"/>
      <c r="M5531" s="36"/>
      <c r="N5531" s="36"/>
      <c r="O5531" s="36"/>
      <c r="P5531" s="36"/>
      <c r="Q5531" s="36"/>
      <c r="R5531" s="36"/>
      <c r="S5531" s="36"/>
      <c r="T5531" s="36"/>
      <c r="U5531" s="36"/>
      <c r="V5531" s="36"/>
      <c r="W5531" s="15">
        <f t="shared" si="863"/>
        <v>0</v>
      </c>
      <c r="X5531" s="36"/>
      <c r="Y5531" s="36"/>
      <c r="Z5531" s="36"/>
      <c r="AA5531" s="36"/>
      <c r="AB5531" s="36"/>
      <c r="AC5531" s="36"/>
      <c r="AD5531" s="36"/>
      <c r="AE5531" s="36"/>
      <c r="AF5531" s="36"/>
      <c r="AG5531" s="36"/>
      <c r="AH5531" s="36"/>
      <c r="AI5531" s="36"/>
      <c r="AJ5531" s="15">
        <f t="shared" si="864"/>
        <v>0</v>
      </c>
      <c r="AK5531" s="14">
        <v>400</v>
      </c>
      <c r="AL5531" s="14"/>
      <c r="AM5531" s="14"/>
      <c r="AN5531" s="14"/>
      <c r="AO5531" s="14"/>
      <c r="AP5531" s="14"/>
      <c r="AQ5531" s="14"/>
      <c r="AR5531" s="14"/>
      <c r="AS5531" s="14"/>
      <c r="AT5531" s="14"/>
      <c r="AU5531" s="14"/>
      <c r="AV5531" s="14"/>
      <c r="AW5531" s="15">
        <f t="shared" si="865"/>
        <v>400</v>
      </c>
      <c r="AX5531" s="16"/>
      <c r="AY5531" s="112"/>
    </row>
    <row r="5532" spans="2:51" x14ac:dyDescent="0.2">
      <c r="B5532" s="7"/>
      <c r="C5532" s="8">
        <v>15707</v>
      </c>
      <c r="D5532" s="9" t="s">
        <v>517</v>
      </c>
      <c r="E5532" s="10" t="str">
        <f t="shared" si="860"/>
        <v>Rancho La Cuchilla No. 91</v>
      </c>
      <c r="F5532" s="10" t="str">
        <f t="shared" si="861"/>
        <v>Roldán Flores</v>
      </c>
      <c r="G5532" s="8">
        <v>1</v>
      </c>
      <c r="H5532" s="11">
        <v>4400</v>
      </c>
      <c r="I5532" s="12">
        <v>43107</v>
      </c>
      <c r="J5532" s="35">
        <f t="shared" si="862"/>
        <v>0</v>
      </c>
      <c r="K5532" s="36"/>
      <c r="L5532" s="36"/>
      <c r="M5532" s="36"/>
      <c r="N5532" s="36"/>
      <c r="O5532" s="36"/>
      <c r="P5532" s="36"/>
      <c r="Q5532" s="36"/>
      <c r="R5532" s="36"/>
      <c r="S5532" s="36"/>
      <c r="T5532" s="36"/>
      <c r="U5532" s="36"/>
      <c r="V5532" s="36"/>
      <c r="W5532" s="15">
        <f t="shared" si="863"/>
        <v>0</v>
      </c>
      <c r="X5532" s="36"/>
      <c r="Y5532" s="36"/>
      <c r="Z5532" s="36"/>
      <c r="AA5532" s="36"/>
      <c r="AB5532" s="36"/>
      <c r="AC5532" s="36"/>
      <c r="AD5532" s="36"/>
      <c r="AE5532" s="36"/>
      <c r="AF5532" s="36"/>
      <c r="AG5532" s="36"/>
      <c r="AH5532" s="36"/>
      <c r="AI5532" s="36"/>
      <c r="AJ5532" s="15">
        <f t="shared" si="864"/>
        <v>0</v>
      </c>
      <c r="AK5532" s="14">
        <v>400</v>
      </c>
      <c r="AL5532" s="14">
        <v>400</v>
      </c>
      <c r="AM5532" s="14">
        <v>400</v>
      </c>
      <c r="AN5532" s="14">
        <v>400</v>
      </c>
      <c r="AO5532" s="14">
        <v>400</v>
      </c>
      <c r="AP5532" s="14">
        <v>400</v>
      </c>
      <c r="AQ5532" s="14">
        <v>400</v>
      </c>
      <c r="AR5532" s="14">
        <v>400</v>
      </c>
      <c r="AS5532" s="14">
        <v>400</v>
      </c>
      <c r="AT5532" s="14">
        <v>400</v>
      </c>
      <c r="AU5532" s="14">
        <v>400</v>
      </c>
      <c r="AV5532" s="14"/>
      <c r="AW5532" s="15">
        <f t="shared" si="865"/>
        <v>4400</v>
      </c>
      <c r="AX5532" s="16"/>
      <c r="AY5532" s="112"/>
    </row>
    <row r="5533" spans="2:51" x14ac:dyDescent="0.2">
      <c r="B5533" s="7"/>
      <c r="C5533" s="8">
        <v>15708</v>
      </c>
      <c r="D5533" s="9" t="s">
        <v>580</v>
      </c>
      <c r="E5533" s="10" t="str">
        <f t="shared" si="860"/>
        <v>Rancho La Cuchilla No. 59</v>
      </c>
      <c r="F5533" s="10" t="str">
        <f t="shared" si="861"/>
        <v>Ortega Vega</v>
      </c>
      <c r="G5533" s="8">
        <v>1</v>
      </c>
      <c r="H5533" s="11">
        <v>450</v>
      </c>
      <c r="I5533" s="12">
        <v>43107</v>
      </c>
      <c r="J5533" s="35">
        <f t="shared" si="862"/>
        <v>0</v>
      </c>
      <c r="K5533" s="36"/>
      <c r="L5533" s="36"/>
      <c r="M5533" s="36"/>
      <c r="N5533" s="36"/>
      <c r="O5533" s="36"/>
      <c r="P5533" s="36"/>
      <c r="Q5533" s="36"/>
      <c r="R5533" s="36"/>
      <c r="S5533" s="36"/>
      <c r="T5533" s="36"/>
      <c r="U5533" s="36"/>
      <c r="V5533" s="36"/>
      <c r="W5533" s="15">
        <f t="shared" si="863"/>
        <v>0</v>
      </c>
      <c r="X5533" s="36"/>
      <c r="Y5533" s="36"/>
      <c r="Z5533" s="36"/>
      <c r="AA5533" s="36"/>
      <c r="AB5533" s="36"/>
      <c r="AC5533" s="36"/>
      <c r="AD5533" s="36"/>
      <c r="AE5533" s="36"/>
      <c r="AF5533" s="36"/>
      <c r="AG5533" s="36"/>
      <c r="AH5533" s="36"/>
      <c r="AI5533" s="36"/>
      <c r="AJ5533" s="15">
        <f t="shared" si="864"/>
        <v>0</v>
      </c>
      <c r="AK5533" s="14">
        <v>150</v>
      </c>
      <c r="AL5533" s="14">
        <v>150</v>
      </c>
      <c r="AM5533" s="14">
        <v>150</v>
      </c>
      <c r="AN5533" s="14"/>
      <c r="AO5533" s="14"/>
      <c r="AP5533" s="14"/>
      <c r="AQ5533" s="14"/>
      <c r="AR5533" s="14"/>
      <c r="AS5533" s="14"/>
      <c r="AT5533" s="14"/>
      <c r="AU5533" s="14"/>
      <c r="AV5533" s="14"/>
      <c r="AW5533" s="15">
        <f t="shared" si="865"/>
        <v>450</v>
      </c>
      <c r="AX5533" s="16"/>
      <c r="AY5533" s="112"/>
    </row>
    <row r="5534" spans="2:51" x14ac:dyDescent="0.2">
      <c r="B5534" s="7"/>
      <c r="C5534" s="8">
        <v>15709</v>
      </c>
      <c r="D5534" s="9" t="s">
        <v>283</v>
      </c>
      <c r="E5534" s="10" t="str">
        <f t="shared" si="860"/>
        <v>Rancho Estanzuela No. 115</v>
      </c>
      <c r="F5534" s="10" t="str">
        <f t="shared" si="861"/>
        <v>Frías Solórzano</v>
      </c>
      <c r="G5534" s="8">
        <v>1</v>
      </c>
      <c r="H5534" s="11">
        <v>3080</v>
      </c>
      <c r="I5534" s="12">
        <v>43107</v>
      </c>
      <c r="J5534" s="35">
        <f t="shared" si="862"/>
        <v>0</v>
      </c>
      <c r="K5534" s="36"/>
      <c r="L5534" s="36"/>
      <c r="M5534" s="36"/>
      <c r="N5534" s="36"/>
      <c r="O5534" s="36"/>
      <c r="P5534" s="36"/>
      <c r="Q5534" s="36"/>
      <c r="R5534" s="36"/>
      <c r="S5534" s="36"/>
      <c r="T5534" s="36"/>
      <c r="U5534" s="36"/>
      <c r="V5534" s="36"/>
      <c r="W5534" s="15">
        <f t="shared" si="863"/>
        <v>0</v>
      </c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15">
        <f t="shared" si="864"/>
        <v>0</v>
      </c>
      <c r="AK5534" s="14">
        <v>280</v>
      </c>
      <c r="AL5534" s="14">
        <v>280</v>
      </c>
      <c r="AM5534" s="14">
        <v>280</v>
      </c>
      <c r="AN5534" s="14">
        <v>280</v>
      </c>
      <c r="AO5534" s="14">
        <v>280</v>
      </c>
      <c r="AP5534" s="14">
        <v>280</v>
      </c>
      <c r="AQ5534" s="14">
        <v>280</v>
      </c>
      <c r="AR5534" s="14">
        <v>280</v>
      </c>
      <c r="AS5534" s="14">
        <v>280</v>
      </c>
      <c r="AT5534" s="14">
        <v>280</v>
      </c>
      <c r="AU5534" s="14">
        <v>280</v>
      </c>
      <c r="AV5534" s="14"/>
      <c r="AW5534" s="15">
        <f t="shared" si="865"/>
        <v>3080</v>
      </c>
      <c r="AX5534" s="16"/>
      <c r="AY5534" s="112"/>
    </row>
    <row r="5535" spans="2:51" x14ac:dyDescent="0.2">
      <c r="B5535" s="7"/>
      <c r="C5535" s="8">
        <v>15710</v>
      </c>
      <c r="D5535" s="9"/>
      <c r="E5535" s="10" t="str">
        <f t="shared" si="860"/>
        <v/>
      </c>
      <c r="F5535" s="10" t="str">
        <f t="shared" si="861"/>
        <v/>
      </c>
      <c r="G5535" s="8">
        <v>8</v>
      </c>
      <c r="H5535" s="11"/>
      <c r="I5535" s="12"/>
      <c r="J5535" s="35">
        <f t="shared" si="862"/>
        <v>0</v>
      </c>
      <c r="K5535" s="36"/>
      <c r="L5535" s="36"/>
      <c r="M5535" s="36"/>
      <c r="N5535" s="36"/>
      <c r="O5535" s="36"/>
      <c r="P5535" s="36"/>
      <c r="Q5535" s="36"/>
      <c r="R5535" s="36"/>
      <c r="S5535" s="36"/>
      <c r="T5535" s="36"/>
      <c r="U5535" s="36"/>
      <c r="V5535" s="36"/>
      <c r="W5535" s="15">
        <f t="shared" si="863"/>
        <v>0</v>
      </c>
      <c r="X5535" s="36"/>
      <c r="Y5535" s="36"/>
      <c r="Z5535" s="36"/>
      <c r="AA5535" s="36"/>
      <c r="AB5535" s="36"/>
      <c r="AC5535" s="36"/>
      <c r="AD5535" s="36"/>
      <c r="AE5535" s="36"/>
      <c r="AF5535" s="36"/>
      <c r="AG5535" s="36"/>
      <c r="AH5535" s="36"/>
      <c r="AI5535" s="36"/>
      <c r="AJ5535" s="15">
        <f t="shared" si="864"/>
        <v>0</v>
      </c>
      <c r="AK5535" s="14"/>
      <c r="AL5535" s="14"/>
      <c r="AM5535" s="14"/>
      <c r="AN5535" s="14"/>
      <c r="AO5535" s="14"/>
      <c r="AP5535" s="14"/>
      <c r="AQ5535" s="14"/>
      <c r="AR5535" s="14"/>
      <c r="AS5535" s="14"/>
      <c r="AT5535" s="14"/>
      <c r="AU5535" s="14"/>
      <c r="AV5535" s="14"/>
      <c r="AW5535" s="15">
        <f t="shared" si="865"/>
        <v>0</v>
      </c>
      <c r="AX5535" s="16"/>
      <c r="AY5535" s="112"/>
    </row>
    <row r="5536" spans="2:51" x14ac:dyDescent="0.2">
      <c r="B5536" s="7"/>
      <c r="C5536" s="8">
        <v>15711</v>
      </c>
      <c r="D5536" s="9" t="s">
        <v>681</v>
      </c>
      <c r="E5536" s="10" t="str">
        <f t="shared" si="860"/>
        <v>Rancho Landero No. 87</v>
      </c>
      <c r="F5536" s="10" t="str">
        <f t="shared" si="861"/>
        <v>Fey Lafferla</v>
      </c>
      <c r="G5536" s="8">
        <v>1</v>
      </c>
      <c r="H5536" s="11">
        <v>300</v>
      </c>
      <c r="I5536" s="12">
        <v>43107</v>
      </c>
      <c r="J5536" s="35">
        <f t="shared" si="862"/>
        <v>0</v>
      </c>
      <c r="K5536" s="36"/>
      <c r="L5536" s="36"/>
      <c r="M5536" s="36"/>
      <c r="N5536" s="36"/>
      <c r="O5536" s="36"/>
      <c r="P5536" s="36"/>
      <c r="Q5536" s="36"/>
      <c r="R5536" s="36"/>
      <c r="S5536" s="36"/>
      <c r="T5536" s="36"/>
      <c r="U5536" s="36"/>
      <c r="V5536" s="36"/>
      <c r="W5536" s="15">
        <f t="shared" si="863"/>
        <v>0</v>
      </c>
      <c r="X5536" s="36"/>
      <c r="Y5536" s="36"/>
      <c r="Z5536" s="36"/>
      <c r="AA5536" s="36"/>
      <c r="AB5536" s="36"/>
      <c r="AC5536" s="36"/>
      <c r="AD5536" s="36"/>
      <c r="AE5536" s="36"/>
      <c r="AF5536" s="36"/>
      <c r="AG5536" s="36"/>
      <c r="AH5536" s="36"/>
      <c r="AI5536" s="36">
        <v>300</v>
      </c>
      <c r="AJ5536" s="15">
        <f t="shared" si="864"/>
        <v>300</v>
      </c>
      <c r="AK5536" s="14"/>
      <c r="AL5536" s="14"/>
      <c r="AM5536" s="14"/>
      <c r="AN5536" s="14"/>
      <c r="AO5536" s="14"/>
      <c r="AP5536" s="14"/>
      <c r="AQ5536" s="14"/>
      <c r="AR5536" s="14"/>
      <c r="AS5536" s="14"/>
      <c r="AT5536" s="14"/>
      <c r="AU5536" s="14"/>
      <c r="AV5536" s="14"/>
      <c r="AW5536" s="15">
        <f t="shared" si="865"/>
        <v>0</v>
      </c>
      <c r="AX5536" s="16"/>
      <c r="AY5536" s="112"/>
    </row>
    <row r="5537" spans="2:51" x14ac:dyDescent="0.2">
      <c r="B5537" s="7"/>
      <c r="C5537" s="8">
        <v>15712</v>
      </c>
      <c r="D5537" s="9" t="s">
        <v>241</v>
      </c>
      <c r="E5537" s="10" t="str">
        <f t="shared" si="860"/>
        <v>Rancho La Cuchilla No. 81, A</v>
      </c>
      <c r="F5537" s="10" t="str">
        <f t="shared" si="861"/>
        <v>Barrientos López</v>
      </c>
      <c r="G5537" s="8">
        <v>1</v>
      </c>
      <c r="H5537" s="11">
        <v>400</v>
      </c>
      <c r="I5537" s="12">
        <v>43107</v>
      </c>
      <c r="J5537" s="35">
        <f t="shared" si="862"/>
        <v>0</v>
      </c>
      <c r="K5537" s="36"/>
      <c r="L5537" s="36"/>
      <c r="M5537" s="36"/>
      <c r="N5537" s="36"/>
      <c r="O5537" s="36"/>
      <c r="P5537" s="36"/>
      <c r="Q5537" s="36"/>
      <c r="R5537" s="36"/>
      <c r="S5537" s="36"/>
      <c r="T5537" s="36"/>
      <c r="U5537" s="36"/>
      <c r="V5537" s="36"/>
      <c r="W5537" s="15">
        <f t="shared" si="863"/>
        <v>0</v>
      </c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15">
        <f t="shared" si="864"/>
        <v>0</v>
      </c>
      <c r="AK5537" s="14">
        <v>400</v>
      </c>
      <c r="AL5537" s="14"/>
      <c r="AM5537" s="14"/>
      <c r="AN5537" s="14"/>
      <c r="AO5537" s="14"/>
      <c r="AP5537" s="14"/>
      <c r="AQ5537" s="14"/>
      <c r="AR5537" s="14"/>
      <c r="AS5537" s="14"/>
      <c r="AT5537" s="14"/>
      <c r="AU5537" s="14"/>
      <c r="AV5537" s="14"/>
      <c r="AW5537" s="15">
        <f t="shared" si="865"/>
        <v>400</v>
      </c>
      <c r="AX5537" s="16"/>
      <c r="AY5537" s="112"/>
    </row>
    <row r="5538" spans="2:51" x14ac:dyDescent="0.2">
      <c r="B5538" s="7"/>
      <c r="C5538" s="8">
        <v>15713</v>
      </c>
      <c r="D5538" s="9" t="s">
        <v>1073</v>
      </c>
      <c r="E5538" s="10" t="str">
        <f t="shared" si="860"/>
        <v>Rancho Upácuaro No. 96</v>
      </c>
      <c r="F5538" s="10" t="str">
        <f t="shared" si="861"/>
        <v>Daza Gutiérrez</v>
      </c>
      <c r="G5538" s="8">
        <v>1</v>
      </c>
      <c r="H5538" s="11">
        <v>400</v>
      </c>
      <c r="I5538" s="12">
        <v>43107</v>
      </c>
      <c r="J5538" s="35">
        <f t="shared" si="862"/>
        <v>0</v>
      </c>
      <c r="K5538" s="36"/>
      <c r="L5538" s="36"/>
      <c r="M5538" s="36"/>
      <c r="N5538" s="36"/>
      <c r="O5538" s="36"/>
      <c r="P5538" s="36"/>
      <c r="Q5538" s="36"/>
      <c r="R5538" s="36"/>
      <c r="S5538" s="36"/>
      <c r="T5538" s="36"/>
      <c r="U5538" s="36"/>
      <c r="V5538" s="36"/>
      <c r="W5538" s="15">
        <f t="shared" si="863"/>
        <v>0</v>
      </c>
      <c r="X5538" s="36"/>
      <c r="Y5538" s="36"/>
      <c r="Z5538" s="36"/>
      <c r="AA5538" s="36"/>
      <c r="AB5538" s="36"/>
      <c r="AC5538" s="36"/>
      <c r="AD5538" s="36"/>
      <c r="AE5538" s="36"/>
      <c r="AF5538" s="36"/>
      <c r="AG5538" s="36"/>
      <c r="AH5538" s="36"/>
      <c r="AI5538" s="36"/>
      <c r="AJ5538" s="15">
        <f t="shared" si="864"/>
        <v>0</v>
      </c>
      <c r="AK5538" s="14">
        <v>400</v>
      </c>
      <c r="AL5538" s="14"/>
      <c r="AM5538" s="14"/>
      <c r="AN5538" s="14"/>
      <c r="AO5538" s="14"/>
      <c r="AP5538" s="14"/>
      <c r="AQ5538" s="14"/>
      <c r="AR5538" s="14"/>
      <c r="AS5538" s="14"/>
      <c r="AT5538" s="14"/>
      <c r="AU5538" s="14"/>
      <c r="AV5538" s="14"/>
      <c r="AW5538" s="15">
        <f t="shared" si="865"/>
        <v>400</v>
      </c>
      <c r="AX5538" s="16"/>
      <c r="AY5538" s="112"/>
    </row>
    <row r="5539" spans="2:51" x14ac:dyDescent="0.2">
      <c r="B5539" s="7"/>
      <c r="C5539" s="8">
        <v>15714</v>
      </c>
      <c r="D5539" s="9" t="s">
        <v>112</v>
      </c>
      <c r="E5539" s="10" t="str">
        <f t="shared" si="860"/>
        <v>Rancho Estanzuela No. 129</v>
      </c>
      <c r="F5539" s="10" t="str">
        <f t="shared" si="861"/>
        <v>Sta. María Mendoza</v>
      </c>
      <c r="G5539" s="8">
        <v>1</v>
      </c>
      <c r="H5539" s="11">
        <v>250</v>
      </c>
      <c r="I5539" s="12">
        <v>43107</v>
      </c>
      <c r="J5539" s="35">
        <f t="shared" si="862"/>
        <v>0</v>
      </c>
      <c r="K5539" s="36"/>
      <c r="L5539" s="36"/>
      <c r="M5539" s="36"/>
      <c r="N5539" s="36"/>
      <c r="O5539" s="36"/>
      <c r="P5539" s="36"/>
      <c r="Q5539" s="36"/>
      <c r="R5539" s="36"/>
      <c r="S5539" s="36"/>
      <c r="T5539" s="36"/>
      <c r="U5539" s="36"/>
      <c r="V5539" s="36"/>
      <c r="W5539" s="15">
        <f t="shared" si="863"/>
        <v>0</v>
      </c>
      <c r="X5539" s="36"/>
      <c r="Y5539" s="36"/>
      <c r="Z5539" s="36"/>
      <c r="AA5539" s="36"/>
      <c r="AB5539" s="36"/>
      <c r="AC5539" s="36"/>
      <c r="AD5539" s="36"/>
      <c r="AE5539" s="36"/>
      <c r="AF5539" s="36"/>
      <c r="AG5539" s="36"/>
      <c r="AH5539" s="36"/>
      <c r="AI5539" s="36">
        <v>250</v>
      </c>
      <c r="AJ5539" s="15">
        <f t="shared" si="864"/>
        <v>250</v>
      </c>
      <c r="AK5539" s="14"/>
      <c r="AL5539" s="14"/>
      <c r="AM5539" s="14"/>
      <c r="AN5539" s="14"/>
      <c r="AO5539" s="14"/>
      <c r="AP5539" s="14"/>
      <c r="AQ5539" s="14"/>
      <c r="AR5539" s="14"/>
      <c r="AS5539" s="14"/>
      <c r="AT5539" s="14"/>
      <c r="AU5539" s="14"/>
      <c r="AV5539" s="14"/>
      <c r="AW5539" s="15">
        <f t="shared" si="865"/>
        <v>0</v>
      </c>
      <c r="AX5539" s="16"/>
      <c r="AY5539" s="112"/>
    </row>
    <row r="5540" spans="2:51" x14ac:dyDescent="0.2">
      <c r="B5540" s="7"/>
      <c r="C5540" s="8">
        <v>15715</v>
      </c>
      <c r="D5540" s="9" t="s">
        <v>220</v>
      </c>
      <c r="E5540" s="10" t="str">
        <f t="shared" si="860"/>
        <v>Rancho Recoveco No. 3</v>
      </c>
      <c r="F5540" s="10" t="str">
        <f t="shared" si="861"/>
        <v>Garduño</v>
      </c>
      <c r="G5540" s="8">
        <v>1</v>
      </c>
      <c r="H5540" s="315">
        <v>300</v>
      </c>
      <c r="I5540" s="12">
        <v>43107</v>
      </c>
      <c r="J5540" s="35">
        <f t="shared" si="862"/>
        <v>0</v>
      </c>
      <c r="K5540" s="36"/>
      <c r="L5540" s="36"/>
      <c r="M5540" s="36"/>
      <c r="N5540" s="36"/>
      <c r="O5540" s="36"/>
      <c r="P5540" s="36"/>
      <c r="Q5540" s="36"/>
      <c r="R5540" s="36"/>
      <c r="S5540" s="36"/>
      <c r="T5540" s="36"/>
      <c r="U5540" s="36"/>
      <c r="V5540" s="36"/>
      <c r="W5540" s="15">
        <f t="shared" si="863"/>
        <v>0</v>
      </c>
      <c r="X5540" s="36"/>
      <c r="Y5540" s="36"/>
      <c r="Z5540" s="36"/>
      <c r="AA5540" s="36"/>
      <c r="AB5540" s="36"/>
      <c r="AC5540" s="36"/>
      <c r="AD5540" s="36"/>
      <c r="AE5540" s="36"/>
      <c r="AF5540" s="36"/>
      <c r="AG5540" s="36"/>
      <c r="AH5540" s="36"/>
      <c r="AI5540" s="36">
        <v>300</v>
      </c>
      <c r="AJ5540" s="15">
        <f t="shared" si="864"/>
        <v>300</v>
      </c>
      <c r="AK5540" s="14"/>
      <c r="AL5540" s="14"/>
      <c r="AM5540" s="14"/>
      <c r="AN5540" s="14"/>
      <c r="AO5540" s="14"/>
      <c r="AP5540" s="14"/>
      <c r="AQ5540" s="14"/>
      <c r="AR5540" s="14"/>
      <c r="AS5540" s="14"/>
      <c r="AT5540" s="14"/>
      <c r="AU5540" s="14"/>
      <c r="AV5540" s="14"/>
      <c r="AW5540" s="15">
        <f t="shared" si="865"/>
        <v>0</v>
      </c>
      <c r="AX5540" s="316">
        <f>SUM(H5480:H5540)</f>
        <v>54105</v>
      </c>
      <c r="AY5540" s="112"/>
    </row>
    <row r="5541" spans="2:51" x14ac:dyDescent="0.2">
      <c r="B5541" s="7"/>
      <c r="C5541" s="8">
        <v>15716</v>
      </c>
      <c r="D5541" s="9" t="s">
        <v>843</v>
      </c>
      <c r="E5541" s="10" t="str">
        <f t="shared" si="860"/>
        <v>Rancho Landero No. 12</v>
      </c>
      <c r="F5541" s="10" t="str">
        <f t="shared" si="861"/>
        <v>Guzmán Silva</v>
      </c>
      <c r="G5541" s="8">
        <v>1</v>
      </c>
      <c r="H5541" s="11">
        <v>600</v>
      </c>
      <c r="I5541" s="12">
        <v>43110</v>
      </c>
      <c r="J5541" s="35">
        <f t="shared" si="862"/>
        <v>0</v>
      </c>
      <c r="K5541" s="36"/>
      <c r="L5541" s="36"/>
      <c r="M5541" s="36"/>
      <c r="N5541" s="36"/>
      <c r="O5541" s="36"/>
      <c r="P5541" s="36"/>
      <c r="Q5541" s="36"/>
      <c r="R5541" s="36"/>
      <c r="S5541" s="36"/>
      <c r="T5541" s="36"/>
      <c r="U5541" s="36"/>
      <c r="V5541" s="36"/>
      <c r="W5541" s="15">
        <f t="shared" si="863"/>
        <v>0</v>
      </c>
      <c r="X5541" s="36"/>
      <c r="Y5541" s="36"/>
      <c r="Z5541" s="36"/>
      <c r="AA5541" s="36"/>
      <c r="AB5541" s="36"/>
      <c r="AC5541" s="36"/>
      <c r="AD5541" s="36"/>
      <c r="AE5541" s="36"/>
      <c r="AF5541" s="36"/>
      <c r="AG5541" s="36"/>
      <c r="AH5541" s="36">
        <v>200</v>
      </c>
      <c r="AI5541" s="36">
        <v>200</v>
      </c>
      <c r="AJ5541" s="15">
        <f t="shared" si="864"/>
        <v>400</v>
      </c>
      <c r="AK5541" s="14">
        <v>200</v>
      </c>
      <c r="AL5541" s="14"/>
      <c r="AM5541" s="14"/>
      <c r="AN5541" s="14"/>
      <c r="AO5541" s="14"/>
      <c r="AP5541" s="14"/>
      <c r="AQ5541" s="14"/>
      <c r="AR5541" s="14"/>
      <c r="AS5541" s="14"/>
      <c r="AT5541" s="14"/>
      <c r="AU5541" s="14"/>
      <c r="AV5541" s="14"/>
      <c r="AW5541" s="15">
        <f t="shared" si="865"/>
        <v>200</v>
      </c>
      <c r="AX5541" s="16"/>
      <c r="AY5541" s="112"/>
    </row>
    <row r="5542" spans="2:51" x14ac:dyDescent="0.2">
      <c r="B5542" s="7"/>
      <c r="C5542" s="8">
        <v>15717</v>
      </c>
      <c r="D5542" s="343" t="s">
        <v>1110</v>
      </c>
      <c r="E5542" s="10" t="str">
        <f t="shared" ref="E5542:E5576" si="872">IF(D5542=0,"",VLOOKUP(D5542,BASE,2,FALSE))</f>
        <v>Rancho Upácuaro No. 103</v>
      </c>
      <c r="F5542" s="10" t="str">
        <f t="shared" ref="F5542:F5576" si="873">IF(D5542=0,"",VLOOKUP(D5542,BASE,3,FALSE))</f>
        <v>Alfaro</v>
      </c>
      <c r="G5542" s="8">
        <v>1</v>
      </c>
      <c r="H5542" s="11">
        <v>400</v>
      </c>
      <c r="I5542" s="12">
        <v>43110</v>
      </c>
      <c r="J5542" s="35">
        <f t="shared" ref="J5542:J5576" si="874">IF(G5542=1,SUM(W5542,AJ5542,AW5542,-H5542),0)</f>
        <v>0</v>
      </c>
      <c r="K5542" s="36"/>
      <c r="L5542" s="36"/>
      <c r="M5542" s="36"/>
      <c r="N5542" s="36"/>
      <c r="O5542" s="36"/>
      <c r="P5542" s="36"/>
      <c r="Q5542" s="36"/>
      <c r="R5542" s="36"/>
      <c r="S5542" s="36"/>
      <c r="T5542" s="36"/>
      <c r="U5542" s="36"/>
      <c r="V5542" s="36"/>
      <c r="W5542" s="15">
        <f t="shared" ref="W5542:W5576" si="875">SUM(K5542:V5542)</f>
        <v>0</v>
      </c>
      <c r="X5542" s="36"/>
      <c r="Y5542" s="36"/>
      <c r="Z5542" s="36"/>
      <c r="AA5542" s="36"/>
      <c r="AB5542" s="36"/>
      <c r="AC5542" s="36"/>
      <c r="AD5542" s="36"/>
      <c r="AE5542" s="36"/>
      <c r="AF5542" s="36"/>
      <c r="AG5542" s="36"/>
      <c r="AH5542" s="36"/>
      <c r="AI5542" s="36"/>
      <c r="AJ5542" s="15">
        <f t="shared" ref="AJ5542:AJ5576" si="876">SUM(X5542:AI5542)</f>
        <v>0</v>
      </c>
      <c r="AK5542" s="14">
        <v>400</v>
      </c>
      <c r="AL5542" s="14"/>
      <c r="AM5542" s="14"/>
      <c r="AN5542" s="14"/>
      <c r="AO5542" s="14"/>
      <c r="AP5542" s="14"/>
      <c r="AQ5542" s="14"/>
      <c r="AR5542" s="14"/>
      <c r="AS5542" s="14"/>
      <c r="AT5542" s="14"/>
      <c r="AU5542" s="14"/>
      <c r="AV5542" s="14"/>
      <c r="AW5542" s="15">
        <f t="shared" ref="AW5542:AW5576" si="877">SUM(AK5542:AV5542)</f>
        <v>400</v>
      </c>
      <c r="AX5542" s="16"/>
      <c r="AY5542" s="112"/>
    </row>
    <row r="5543" spans="2:51" x14ac:dyDescent="0.2">
      <c r="B5543" s="7"/>
      <c r="C5543" s="8">
        <v>15718</v>
      </c>
      <c r="D5543" s="9" t="s">
        <v>346</v>
      </c>
      <c r="E5543" s="10" t="str">
        <f t="shared" si="872"/>
        <v>Rancho Upácuaro No. 108</v>
      </c>
      <c r="F5543" s="10" t="str">
        <f t="shared" si="873"/>
        <v>Mejía</v>
      </c>
      <c r="G5543" s="8">
        <v>1</v>
      </c>
      <c r="H5543" s="11">
        <v>300</v>
      </c>
      <c r="I5543" s="12">
        <v>43112</v>
      </c>
      <c r="J5543" s="35">
        <f t="shared" si="874"/>
        <v>0</v>
      </c>
      <c r="K5543" s="36"/>
      <c r="L5543" s="36"/>
      <c r="M5543" s="36"/>
      <c r="N5543" s="36"/>
      <c r="O5543" s="36"/>
      <c r="P5543" s="36"/>
      <c r="Q5543" s="36"/>
      <c r="R5543" s="36"/>
      <c r="S5543" s="36"/>
      <c r="T5543" s="36"/>
      <c r="U5543" s="36"/>
      <c r="V5543" s="36"/>
      <c r="W5543" s="15">
        <f t="shared" si="875"/>
        <v>0</v>
      </c>
      <c r="X5543" s="36"/>
      <c r="Y5543" s="36"/>
      <c r="Z5543" s="36"/>
      <c r="AA5543" s="36"/>
      <c r="AB5543" s="36"/>
      <c r="AC5543" s="36"/>
      <c r="AD5543" s="36"/>
      <c r="AE5543" s="36"/>
      <c r="AF5543" s="36"/>
      <c r="AG5543" s="36"/>
      <c r="AH5543" s="36"/>
      <c r="AI5543" s="36"/>
      <c r="AJ5543" s="15">
        <f t="shared" si="876"/>
        <v>0</v>
      </c>
      <c r="AK5543" s="14">
        <v>300</v>
      </c>
      <c r="AL5543" s="14"/>
      <c r="AM5543" s="14"/>
      <c r="AN5543" s="14"/>
      <c r="AO5543" s="14"/>
      <c r="AP5543" s="14"/>
      <c r="AQ5543" s="14"/>
      <c r="AR5543" s="14"/>
      <c r="AS5543" s="14"/>
      <c r="AT5543" s="14"/>
      <c r="AU5543" s="14"/>
      <c r="AV5543" s="14"/>
      <c r="AW5543" s="15">
        <f t="shared" si="877"/>
        <v>300</v>
      </c>
      <c r="AX5543" s="16"/>
      <c r="AY5543" s="112"/>
    </row>
    <row r="5544" spans="2:51" x14ac:dyDescent="0.2">
      <c r="B5544" s="7"/>
      <c r="C5544" s="8">
        <v>15719</v>
      </c>
      <c r="D5544" s="9" t="s">
        <v>256</v>
      </c>
      <c r="E5544" s="10" t="str">
        <f t="shared" si="872"/>
        <v>Rancho Recoveco No. 179</v>
      </c>
      <c r="F5544" s="10" t="str">
        <f t="shared" si="873"/>
        <v>Flores Delgado</v>
      </c>
      <c r="G5544" s="8">
        <v>1</v>
      </c>
      <c r="H5544" s="11">
        <v>900</v>
      </c>
      <c r="I5544" s="12">
        <v>43112</v>
      </c>
      <c r="J5544" s="35">
        <f t="shared" si="874"/>
        <v>0</v>
      </c>
      <c r="K5544" s="36"/>
      <c r="L5544" s="36"/>
      <c r="M5544" s="36"/>
      <c r="N5544" s="36"/>
      <c r="O5544" s="36"/>
      <c r="P5544" s="36"/>
      <c r="Q5544" s="36"/>
      <c r="R5544" s="36"/>
      <c r="S5544" s="36"/>
      <c r="T5544" s="36"/>
      <c r="U5544" s="36"/>
      <c r="V5544" s="36"/>
      <c r="W5544" s="15">
        <f t="shared" si="875"/>
        <v>0</v>
      </c>
      <c r="X5544" s="36"/>
      <c r="Y5544" s="36"/>
      <c r="Z5544" s="36"/>
      <c r="AA5544" s="36"/>
      <c r="AB5544" s="36"/>
      <c r="AC5544" s="36"/>
      <c r="AD5544" s="36"/>
      <c r="AE5544" s="36"/>
      <c r="AF5544" s="36"/>
      <c r="AG5544" s="36">
        <v>300</v>
      </c>
      <c r="AH5544" s="36">
        <v>300</v>
      </c>
      <c r="AI5544" s="36">
        <v>300</v>
      </c>
      <c r="AJ5544" s="15">
        <f t="shared" si="876"/>
        <v>900</v>
      </c>
      <c r="AK5544" s="14"/>
      <c r="AL5544" s="14"/>
      <c r="AM5544" s="14"/>
      <c r="AN5544" s="14"/>
      <c r="AO5544" s="14"/>
      <c r="AP5544" s="14"/>
      <c r="AQ5544" s="14"/>
      <c r="AR5544" s="14"/>
      <c r="AS5544" s="14"/>
      <c r="AT5544" s="14"/>
      <c r="AU5544" s="14"/>
      <c r="AV5544" s="14"/>
      <c r="AW5544" s="15">
        <f t="shared" si="877"/>
        <v>0</v>
      </c>
      <c r="AX5544" s="16"/>
      <c r="AY5544" s="112"/>
    </row>
    <row r="5545" spans="2:51" x14ac:dyDescent="0.2">
      <c r="B5545" s="7"/>
      <c r="C5545" s="8">
        <v>15720</v>
      </c>
      <c r="D5545" s="9" t="s">
        <v>180</v>
      </c>
      <c r="E5545" s="10" t="str">
        <f t="shared" si="872"/>
        <v>Rancho Landero No. 80</v>
      </c>
      <c r="F5545" s="10" t="str">
        <f t="shared" si="873"/>
        <v>Caballero</v>
      </c>
      <c r="G5545" s="8">
        <v>1</v>
      </c>
      <c r="H5545" s="11">
        <v>4400</v>
      </c>
      <c r="I5545" s="12">
        <v>43113</v>
      </c>
      <c r="J5545" s="35">
        <f t="shared" si="874"/>
        <v>0</v>
      </c>
      <c r="K5545" s="36"/>
      <c r="L5545" s="36"/>
      <c r="M5545" s="36"/>
      <c r="N5545" s="36"/>
      <c r="O5545" s="36"/>
      <c r="P5545" s="36"/>
      <c r="Q5545" s="36"/>
      <c r="R5545" s="36"/>
      <c r="S5545" s="36"/>
      <c r="T5545" s="36"/>
      <c r="U5545" s="36"/>
      <c r="V5545" s="36"/>
      <c r="W5545" s="15">
        <f t="shared" si="875"/>
        <v>0</v>
      </c>
      <c r="X5545" s="36"/>
      <c r="Y5545" s="36"/>
      <c r="Z5545" s="36"/>
      <c r="AA5545" s="36"/>
      <c r="AB5545" s="36"/>
      <c r="AC5545" s="36"/>
      <c r="AD5545" s="36"/>
      <c r="AE5545" s="36"/>
      <c r="AF5545" s="36"/>
      <c r="AG5545" s="36"/>
      <c r="AH5545" s="36"/>
      <c r="AI5545" s="36"/>
      <c r="AJ5545" s="15">
        <f t="shared" si="876"/>
        <v>0</v>
      </c>
      <c r="AK5545" s="14">
        <v>400</v>
      </c>
      <c r="AL5545" s="14">
        <v>400</v>
      </c>
      <c r="AM5545" s="14">
        <v>400</v>
      </c>
      <c r="AN5545" s="14">
        <v>400</v>
      </c>
      <c r="AO5545" s="14">
        <v>400</v>
      </c>
      <c r="AP5545" s="14">
        <v>400</v>
      </c>
      <c r="AQ5545" s="14">
        <v>400</v>
      </c>
      <c r="AR5545" s="14">
        <v>400</v>
      </c>
      <c r="AS5545" s="14">
        <v>400</v>
      </c>
      <c r="AT5545" s="14">
        <v>400</v>
      </c>
      <c r="AU5545" s="14">
        <v>400</v>
      </c>
      <c r="AV5545" s="14"/>
      <c r="AW5545" s="15">
        <f t="shared" si="877"/>
        <v>4400</v>
      </c>
      <c r="AX5545" s="16" t="s">
        <v>4869</v>
      </c>
      <c r="AY5545" s="112"/>
    </row>
    <row r="5546" spans="2:51" x14ac:dyDescent="0.2">
      <c r="B5546" s="7"/>
      <c r="C5546" s="8">
        <v>15720</v>
      </c>
      <c r="D5546" s="9" t="s">
        <v>180</v>
      </c>
      <c r="E5546" s="10" t="str">
        <f t="shared" si="872"/>
        <v>Rancho Landero No. 80</v>
      </c>
      <c r="F5546" s="10" t="str">
        <f t="shared" si="873"/>
        <v>Caballero</v>
      </c>
      <c r="G5546" s="8">
        <v>4</v>
      </c>
      <c r="H5546" s="11">
        <v>200</v>
      </c>
      <c r="I5546" s="12">
        <v>43113</v>
      </c>
      <c r="J5546" s="35">
        <f t="shared" si="874"/>
        <v>0</v>
      </c>
      <c r="K5546" s="36"/>
      <c r="L5546" s="36"/>
      <c r="M5546" s="36"/>
      <c r="N5546" s="36"/>
      <c r="O5546" s="36"/>
      <c r="P5546" s="36"/>
      <c r="Q5546" s="36"/>
      <c r="R5546" s="36"/>
      <c r="S5546" s="36"/>
      <c r="T5546" s="36"/>
      <c r="U5546" s="36"/>
      <c r="V5546" s="36"/>
      <c r="W5546" s="15">
        <f t="shared" si="875"/>
        <v>0</v>
      </c>
      <c r="X5546" s="36"/>
      <c r="Y5546" s="36"/>
      <c r="Z5546" s="36"/>
      <c r="AA5546" s="36"/>
      <c r="AB5546" s="36"/>
      <c r="AC5546" s="36"/>
      <c r="AD5546" s="36"/>
      <c r="AE5546" s="36"/>
      <c r="AF5546" s="36"/>
      <c r="AG5546" s="36"/>
      <c r="AH5546" s="36"/>
      <c r="AI5546" s="36"/>
      <c r="AJ5546" s="15">
        <f t="shared" si="876"/>
        <v>0</v>
      </c>
      <c r="AK5546" s="14"/>
      <c r="AL5546" s="14"/>
      <c r="AM5546" s="14"/>
      <c r="AN5546" s="14"/>
      <c r="AO5546" s="14"/>
      <c r="AP5546" s="14"/>
      <c r="AQ5546" s="14"/>
      <c r="AR5546" s="14"/>
      <c r="AS5546" s="14"/>
      <c r="AT5546" s="14"/>
      <c r="AU5546" s="14"/>
      <c r="AV5546" s="14"/>
      <c r="AW5546" s="15">
        <f t="shared" si="877"/>
        <v>0</v>
      </c>
      <c r="AX5546" s="16" t="s">
        <v>4871</v>
      </c>
      <c r="AY5546" s="112"/>
    </row>
    <row r="5547" spans="2:51" x14ac:dyDescent="0.2">
      <c r="B5547" s="7"/>
      <c r="C5547" s="8">
        <v>15721</v>
      </c>
      <c r="D5547" s="9" t="s">
        <v>205</v>
      </c>
      <c r="E5547" s="10" t="str">
        <f t="shared" si="872"/>
        <v>Rancho Landero No. 1, A</v>
      </c>
      <c r="F5547" s="10" t="str">
        <f t="shared" si="873"/>
        <v>Ebysos</v>
      </c>
      <c r="G5547" s="8">
        <v>5</v>
      </c>
      <c r="H5547" s="11">
        <v>50</v>
      </c>
      <c r="I5547" s="12">
        <v>43113</v>
      </c>
      <c r="J5547" s="35">
        <f t="shared" si="874"/>
        <v>0</v>
      </c>
      <c r="K5547" s="36"/>
      <c r="L5547" s="36"/>
      <c r="M5547" s="36"/>
      <c r="N5547" s="36"/>
      <c r="O5547" s="36"/>
      <c r="P5547" s="36"/>
      <c r="Q5547" s="36"/>
      <c r="R5547" s="36"/>
      <c r="S5547" s="36"/>
      <c r="T5547" s="36"/>
      <c r="U5547" s="36"/>
      <c r="V5547" s="36"/>
      <c r="W5547" s="15">
        <f t="shared" si="875"/>
        <v>0</v>
      </c>
      <c r="X5547" s="36"/>
      <c r="Y5547" s="36"/>
      <c r="Z5547" s="36"/>
      <c r="AA5547" s="36"/>
      <c r="AB5547" s="36"/>
      <c r="AC5547" s="36"/>
      <c r="AD5547" s="36"/>
      <c r="AE5547" s="36"/>
      <c r="AF5547" s="36"/>
      <c r="AG5547" s="36"/>
      <c r="AH5547" s="36"/>
      <c r="AI5547" s="36"/>
      <c r="AJ5547" s="15">
        <f t="shared" si="876"/>
        <v>0</v>
      </c>
      <c r="AK5547" s="14"/>
      <c r="AL5547" s="14"/>
      <c r="AM5547" s="14"/>
      <c r="AN5547" s="14"/>
      <c r="AO5547" s="14"/>
      <c r="AP5547" s="14"/>
      <c r="AQ5547" s="14"/>
      <c r="AR5547" s="14"/>
      <c r="AS5547" s="14"/>
      <c r="AT5547" s="14"/>
      <c r="AU5547" s="14"/>
      <c r="AV5547" s="14"/>
      <c r="AW5547" s="15">
        <f t="shared" si="877"/>
        <v>0</v>
      </c>
      <c r="AX5547" s="16"/>
      <c r="AY5547" s="112"/>
    </row>
    <row r="5548" spans="2:51" x14ac:dyDescent="0.2">
      <c r="B5548" s="7"/>
      <c r="C5548" s="8">
        <v>15722</v>
      </c>
      <c r="D5548" s="9" t="s">
        <v>1276</v>
      </c>
      <c r="E5548" s="10" t="str">
        <f t="shared" si="872"/>
        <v>Rancho La Cuchilla No. 63</v>
      </c>
      <c r="F5548" s="10" t="str">
        <f t="shared" si="873"/>
        <v>Díaz de la Rosa</v>
      </c>
      <c r="G5548" s="8">
        <v>1</v>
      </c>
      <c r="H5548" s="11">
        <v>400</v>
      </c>
      <c r="I5548" s="12">
        <v>43113</v>
      </c>
      <c r="J5548" s="35">
        <f t="shared" si="874"/>
        <v>0</v>
      </c>
      <c r="K5548" s="36"/>
      <c r="L5548" s="36"/>
      <c r="M5548" s="36"/>
      <c r="N5548" s="36"/>
      <c r="O5548" s="36"/>
      <c r="P5548" s="36"/>
      <c r="Q5548" s="36"/>
      <c r="R5548" s="36"/>
      <c r="S5548" s="36"/>
      <c r="T5548" s="36"/>
      <c r="U5548" s="36"/>
      <c r="V5548" s="36"/>
      <c r="W5548" s="15">
        <f t="shared" si="875"/>
        <v>0</v>
      </c>
      <c r="X5548" s="36"/>
      <c r="Y5548" s="36"/>
      <c r="Z5548" s="36"/>
      <c r="AA5548" s="36"/>
      <c r="AB5548" s="36"/>
      <c r="AC5548" s="36"/>
      <c r="AD5548" s="36"/>
      <c r="AE5548" s="36"/>
      <c r="AF5548" s="36"/>
      <c r="AG5548" s="36"/>
      <c r="AH5548" s="36"/>
      <c r="AI5548" s="36">
        <v>200</v>
      </c>
      <c r="AJ5548" s="15">
        <f t="shared" si="876"/>
        <v>200</v>
      </c>
      <c r="AK5548" s="14">
        <v>200</v>
      </c>
      <c r="AL5548" s="14"/>
      <c r="AM5548" s="14"/>
      <c r="AN5548" s="14"/>
      <c r="AO5548" s="14"/>
      <c r="AP5548" s="14"/>
      <c r="AQ5548" s="14"/>
      <c r="AR5548" s="14"/>
      <c r="AS5548" s="14"/>
      <c r="AT5548" s="14"/>
      <c r="AU5548" s="14"/>
      <c r="AV5548" s="14"/>
      <c r="AW5548" s="15">
        <f t="shared" si="877"/>
        <v>200</v>
      </c>
      <c r="AX5548" s="16"/>
      <c r="AY5548" s="112"/>
    </row>
    <row r="5549" spans="2:51" x14ac:dyDescent="0.2">
      <c r="B5549" s="7"/>
      <c r="C5549" s="8">
        <v>15723</v>
      </c>
      <c r="D5549" s="9" t="s">
        <v>944</v>
      </c>
      <c r="E5549" s="10" t="str">
        <f t="shared" si="872"/>
        <v>Rancho Upácuaro No. 104</v>
      </c>
      <c r="F5549" s="10" t="str">
        <f t="shared" si="873"/>
        <v>Jiménez Almazo</v>
      </c>
      <c r="G5549" s="8">
        <v>1</v>
      </c>
      <c r="H5549" s="11">
        <v>400</v>
      </c>
      <c r="I5549" s="12">
        <v>43113</v>
      </c>
      <c r="J5549" s="35">
        <f t="shared" si="874"/>
        <v>0</v>
      </c>
      <c r="K5549" s="36"/>
      <c r="L5549" s="36"/>
      <c r="M5549" s="36"/>
      <c r="N5549" s="36"/>
      <c r="O5549" s="36"/>
      <c r="P5549" s="36"/>
      <c r="Q5549" s="36"/>
      <c r="R5549" s="36"/>
      <c r="S5549" s="36"/>
      <c r="T5549" s="36"/>
      <c r="U5549" s="36"/>
      <c r="V5549" s="36"/>
      <c r="W5549" s="15">
        <f t="shared" si="875"/>
        <v>0</v>
      </c>
      <c r="X5549" s="36"/>
      <c r="Y5549" s="36"/>
      <c r="Z5549" s="36"/>
      <c r="AA5549" s="36"/>
      <c r="AB5549" s="36"/>
      <c r="AC5549" s="36"/>
      <c r="AD5549" s="36"/>
      <c r="AE5549" s="36"/>
      <c r="AF5549" s="36"/>
      <c r="AG5549" s="36"/>
      <c r="AH5549" s="36"/>
      <c r="AI5549" s="36"/>
      <c r="AJ5549" s="15">
        <f t="shared" si="876"/>
        <v>0</v>
      </c>
      <c r="AK5549" s="14">
        <v>400</v>
      </c>
      <c r="AL5549" s="14"/>
      <c r="AM5549" s="14"/>
      <c r="AN5549" s="14"/>
      <c r="AO5549" s="14"/>
      <c r="AP5549" s="14"/>
      <c r="AQ5549" s="14"/>
      <c r="AR5549" s="14"/>
      <c r="AS5549" s="14"/>
      <c r="AT5549" s="14"/>
      <c r="AU5549" s="14"/>
      <c r="AV5549" s="14"/>
      <c r="AW5549" s="15">
        <f t="shared" si="877"/>
        <v>400</v>
      </c>
      <c r="AX5549" s="16"/>
      <c r="AY5549" s="112"/>
    </row>
    <row r="5550" spans="2:51" x14ac:dyDescent="0.2">
      <c r="B5550" s="7"/>
      <c r="C5550" s="8">
        <v>15724</v>
      </c>
      <c r="D5550" s="9" t="s">
        <v>902</v>
      </c>
      <c r="E5550" s="10" t="str">
        <f t="shared" si="872"/>
        <v>Rancho Romeral No. 33</v>
      </c>
      <c r="F5550" s="10" t="str">
        <f t="shared" si="873"/>
        <v>Juárez Alva</v>
      </c>
      <c r="G5550" s="8">
        <v>3</v>
      </c>
      <c r="H5550" s="11">
        <v>200</v>
      </c>
      <c r="I5550" s="12">
        <v>43114</v>
      </c>
      <c r="J5550" s="35">
        <f t="shared" si="874"/>
        <v>0</v>
      </c>
      <c r="K5550" s="36"/>
      <c r="L5550" s="36"/>
      <c r="M5550" s="36"/>
      <c r="N5550" s="36"/>
      <c r="O5550" s="36"/>
      <c r="P5550" s="36"/>
      <c r="Q5550" s="36"/>
      <c r="R5550" s="36"/>
      <c r="S5550" s="36"/>
      <c r="T5550" s="36"/>
      <c r="U5550" s="36"/>
      <c r="V5550" s="36"/>
      <c r="W5550" s="15">
        <f t="shared" si="875"/>
        <v>0</v>
      </c>
      <c r="X5550" s="36"/>
      <c r="Y5550" s="36"/>
      <c r="Z5550" s="36"/>
      <c r="AA5550" s="36"/>
      <c r="AB5550" s="36"/>
      <c r="AC5550" s="36"/>
      <c r="AD5550" s="36"/>
      <c r="AE5550" s="36"/>
      <c r="AF5550" s="36"/>
      <c r="AG5550" s="36"/>
      <c r="AH5550" s="36"/>
      <c r="AI5550" s="36"/>
      <c r="AJ5550" s="15">
        <f t="shared" si="876"/>
        <v>0</v>
      </c>
      <c r="AK5550" s="14"/>
      <c r="AL5550" s="14"/>
      <c r="AM5550" s="14"/>
      <c r="AN5550" s="14"/>
      <c r="AO5550" s="14"/>
      <c r="AP5550" s="14"/>
      <c r="AQ5550" s="14"/>
      <c r="AR5550" s="14"/>
      <c r="AS5550" s="14"/>
      <c r="AT5550" s="14"/>
      <c r="AU5550" s="14"/>
      <c r="AV5550" s="14"/>
      <c r="AW5550" s="15">
        <f t="shared" si="877"/>
        <v>0</v>
      </c>
      <c r="AX5550" s="16"/>
      <c r="AY5550" s="112"/>
    </row>
    <row r="5551" spans="2:51" x14ac:dyDescent="0.2">
      <c r="B5551" s="7"/>
      <c r="C5551" s="8">
        <v>15725</v>
      </c>
      <c r="D5551" s="9" t="s">
        <v>174</v>
      </c>
      <c r="E5551" s="10" t="str">
        <f t="shared" si="872"/>
        <v>Rancho Upácuaro No. 18</v>
      </c>
      <c r="F5551" s="10" t="str">
        <f t="shared" si="873"/>
        <v>Guzmán</v>
      </c>
      <c r="G5551" s="8">
        <v>1</v>
      </c>
      <c r="H5551" s="11">
        <v>300</v>
      </c>
      <c r="I5551" s="12">
        <v>43114</v>
      </c>
      <c r="J5551" s="35">
        <f t="shared" si="874"/>
        <v>0</v>
      </c>
      <c r="K5551" s="36"/>
      <c r="L5551" s="36"/>
      <c r="M5551" s="36"/>
      <c r="N5551" s="36"/>
      <c r="O5551" s="36"/>
      <c r="P5551" s="36"/>
      <c r="Q5551" s="36"/>
      <c r="R5551" s="36"/>
      <c r="S5551" s="36"/>
      <c r="T5551" s="36"/>
      <c r="U5551" s="36"/>
      <c r="V5551" s="36"/>
      <c r="W5551" s="15">
        <f t="shared" si="875"/>
        <v>0</v>
      </c>
      <c r="X5551" s="36"/>
      <c r="Y5551" s="36"/>
      <c r="Z5551" s="36"/>
      <c r="AA5551" s="36"/>
      <c r="AB5551" s="36"/>
      <c r="AC5551" s="36"/>
      <c r="AD5551" s="36"/>
      <c r="AE5551" s="36"/>
      <c r="AF5551" s="36"/>
      <c r="AG5551" s="36"/>
      <c r="AH5551" s="36"/>
      <c r="AI5551" s="36"/>
      <c r="AJ5551" s="15">
        <f t="shared" si="876"/>
        <v>0</v>
      </c>
      <c r="AK5551" s="14">
        <v>300</v>
      </c>
      <c r="AL5551" s="14"/>
      <c r="AM5551" s="14"/>
      <c r="AN5551" s="14"/>
      <c r="AO5551" s="14"/>
      <c r="AP5551" s="14"/>
      <c r="AQ5551" s="14"/>
      <c r="AR5551" s="14"/>
      <c r="AS5551" s="14"/>
      <c r="AT5551" s="14"/>
      <c r="AU5551" s="14"/>
      <c r="AV5551" s="14"/>
      <c r="AW5551" s="15">
        <f t="shared" si="877"/>
        <v>300</v>
      </c>
      <c r="AX5551" s="16"/>
      <c r="AY5551" s="112"/>
    </row>
    <row r="5552" spans="2:51" x14ac:dyDescent="0.2">
      <c r="B5552" s="7"/>
      <c r="C5552" s="8">
        <v>15726</v>
      </c>
      <c r="D5552" s="9" t="s">
        <v>719</v>
      </c>
      <c r="E5552" s="10" t="str">
        <f t="shared" si="872"/>
        <v>Rancho Estanzuela No. 119, 1</v>
      </c>
      <c r="F5552" s="10" t="str">
        <f t="shared" si="873"/>
        <v>Crespo</v>
      </c>
      <c r="G5552" s="8">
        <v>1</v>
      </c>
      <c r="H5552" s="11">
        <v>600</v>
      </c>
      <c r="I5552" s="12">
        <v>43114</v>
      </c>
      <c r="J5552" s="35">
        <f t="shared" si="874"/>
        <v>0</v>
      </c>
      <c r="K5552" s="36"/>
      <c r="L5552" s="36"/>
      <c r="M5552" s="36"/>
      <c r="N5552" s="36"/>
      <c r="O5552" s="36"/>
      <c r="P5552" s="36"/>
      <c r="Q5552" s="36"/>
      <c r="R5552" s="36"/>
      <c r="S5552" s="36"/>
      <c r="T5552" s="36"/>
      <c r="U5552" s="36"/>
      <c r="V5552" s="36"/>
      <c r="W5552" s="15">
        <f t="shared" si="875"/>
        <v>0</v>
      </c>
      <c r="X5552" s="36"/>
      <c r="Y5552" s="36"/>
      <c r="Z5552" s="36"/>
      <c r="AA5552" s="36"/>
      <c r="AB5552" s="36"/>
      <c r="AC5552" s="36"/>
      <c r="AD5552" s="36"/>
      <c r="AE5552" s="36"/>
      <c r="AF5552" s="36"/>
      <c r="AG5552" s="36"/>
      <c r="AH5552" s="36">
        <v>200</v>
      </c>
      <c r="AI5552" s="36">
        <v>200</v>
      </c>
      <c r="AJ5552" s="15">
        <f t="shared" si="876"/>
        <v>400</v>
      </c>
      <c r="AK5552" s="14">
        <v>200</v>
      </c>
      <c r="AL5552" s="14"/>
      <c r="AM5552" s="14"/>
      <c r="AN5552" s="14"/>
      <c r="AO5552" s="14"/>
      <c r="AP5552" s="14"/>
      <c r="AQ5552" s="14"/>
      <c r="AR5552" s="14"/>
      <c r="AS5552" s="14"/>
      <c r="AT5552" s="14"/>
      <c r="AU5552" s="14"/>
      <c r="AV5552" s="14"/>
      <c r="AW5552" s="15">
        <f t="shared" si="877"/>
        <v>200</v>
      </c>
      <c r="AX5552" s="16"/>
      <c r="AY5552" s="112"/>
    </row>
    <row r="5553" spans="2:51" x14ac:dyDescent="0.2">
      <c r="B5553" s="7"/>
      <c r="C5553" s="8">
        <v>15727</v>
      </c>
      <c r="D5553" s="9" t="s">
        <v>123</v>
      </c>
      <c r="E5553" s="10" t="str">
        <f t="shared" si="872"/>
        <v>Rancho Recoveco No. 175, B</v>
      </c>
      <c r="F5553" s="10" t="str">
        <f t="shared" si="873"/>
        <v>García Calderón</v>
      </c>
      <c r="G5553" s="8">
        <v>1</v>
      </c>
      <c r="H5553" s="11">
        <v>250</v>
      </c>
      <c r="I5553" s="12">
        <v>43114</v>
      </c>
      <c r="J5553" s="35">
        <f t="shared" si="874"/>
        <v>0</v>
      </c>
      <c r="K5553" s="36"/>
      <c r="L5553" s="36"/>
      <c r="M5553" s="36"/>
      <c r="N5553" s="36"/>
      <c r="O5553" s="36"/>
      <c r="P5553" s="36"/>
      <c r="Q5553" s="36"/>
      <c r="R5553" s="36"/>
      <c r="S5553" s="36"/>
      <c r="T5553" s="36"/>
      <c r="U5553" s="36"/>
      <c r="V5553" s="36"/>
      <c r="W5553" s="15">
        <f t="shared" si="875"/>
        <v>0</v>
      </c>
      <c r="X5553" s="36"/>
      <c r="Y5553" s="36"/>
      <c r="Z5553" s="36"/>
      <c r="AA5553" s="36"/>
      <c r="AB5553" s="36"/>
      <c r="AC5553" s="36"/>
      <c r="AD5553" s="36"/>
      <c r="AE5553" s="36"/>
      <c r="AF5553" s="36"/>
      <c r="AG5553" s="36"/>
      <c r="AH5553" s="36"/>
      <c r="AI5553" s="36"/>
      <c r="AJ5553" s="15">
        <f t="shared" si="876"/>
        <v>0</v>
      </c>
      <c r="AK5553" s="14">
        <v>250</v>
      </c>
      <c r="AL5553" s="14"/>
      <c r="AM5553" s="14"/>
      <c r="AN5553" s="14"/>
      <c r="AO5553" s="14"/>
      <c r="AP5553" s="14"/>
      <c r="AQ5553" s="14"/>
      <c r="AR5553" s="14"/>
      <c r="AS5553" s="14"/>
      <c r="AT5553" s="14"/>
      <c r="AU5553" s="14"/>
      <c r="AV5553" s="14"/>
      <c r="AW5553" s="15">
        <f t="shared" si="877"/>
        <v>250</v>
      </c>
      <c r="AX5553" s="16"/>
      <c r="AY5553" s="112"/>
    </row>
    <row r="5554" spans="2:51" x14ac:dyDescent="0.2">
      <c r="B5554" s="7"/>
      <c r="C5554" s="8">
        <v>15728</v>
      </c>
      <c r="D5554" s="9" t="s">
        <v>165</v>
      </c>
      <c r="E5554" s="10" t="str">
        <f t="shared" si="872"/>
        <v>Rancho Upácuaro No. 23</v>
      </c>
      <c r="F5554" s="10" t="str">
        <f t="shared" si="873"/>
        <v>Gutièrrez Muñòz</v>
      </c>
      <c r="G5554" s="8">
        <v>1</v>
      </c>
      <c r="H5554" s="11">
        <v>1050</v>
      </c>
      <c r="I5554" s="12">
        <v>43114</v>
      </c>
      <c r="J5554" s="35">
        <f t="shared" si="874"/>
        <v>0</v>
      </c>
      <c r="K5554" s="36"/>
      <c r="L5554" s="36"/>
      <c r="M5554" s="36"/>
      <c r="N5554" s="36"/>
      <c r="O5554" s="36"/>
      <c r="P5554" s="36"/>
      <c r="Q5554" s="36"/>
      <c r="R5554" s="36"/>
      <c r="S5554" s="36"/>
      <c r="T5554" s="36"/>
      <c r="U5554" s="36"/>
      <c r="V5554" s="36"/>
      <c r="W5554" s="15">
        <f t="shared" si="875"/>
        <v>0</v>
      </c>
      <c r="X5554" s="36"/>
      <c r="Y5554" s="36"/>
      <c r="Z5554" s="36"/>
      <c r="AA5554" s="36"/>
      <c r="AB5554" s="36"/>
      <c r="AC5554" s="36"/>
      <c r="AD5554" s="36"/>
      <c r="AE5554" s="36"/>
      <c r="AF5554" s="36"/>
      <c r="AG5554" s="36"/>
      <c r="AH5554" s="36"/>
      <c r="AI5554" s="36">
        <v>350</v>
      </c>
      <c r="AJ5554" s="15">
        <f t="shared" si="876"/>
        <v>350</v>
      </c>
      <c r="AK5554" s="14">
        <v>350</v>
      </c>
      <c r="AL5554" s="14">
        <v>350</v>
      </c>
      <c r="AM5554" s="14"/>
      <c r="AN5554" s="14"/>
      <c r="AO5554" s="14"/>
      <c r="AP5554" s="14"/>
      <c r="AQ5554" s="14"/>
      <c r="AR5554" s="14"/>
      <c r="AS5554" s="14"/>
      <c r="AT5554" s="14"/>
      <c r="AU5554" s="14"/>
      <c r="AV5554" s="14"/>
      <c r="AW5554" s="15">
        <f t="shared" si="877"/>
        <v>700</v>
      </c>
      <c r="AX5554" s="16"/>
      <c r="AY5554" s="112"/>
    </row>
    <row r="5555" spans="2:51" x14ac:dyDescent="0.2">
      <c r="B5555" s="7"/>
      <c r="C5555" s="8">
        <v>15729</v>
      </c>
      <c r="D5555" s="9" t="s">
        <v>574</v>
      </c>
      <c r="E5555" s="10" t="str">
        <f t="shared" si="872"/>
        <v xml:space="preserve">Rancho Upácuaro No. 94 </v>
      </c>
      <c r="F5555" s="10" t="str">
        <f t="shared" si="873"/>
        <v>Juárez Patiño</v>
      </c>
      <c r="G5555" s="8">
        <v>1</v>
      </c>
      <c r="H5555" s="11">
        <v>300</v>
      </c>
      <c r="I5555" s="12">
        <v>43114</v>
      </c>
      <c r="J5555" s="35">
        <f t="shared" si="874"/>
        <v>0</v>
      </c>
      <c r="K5555" s="36"/>
      <c r="L5555" s="36"/>
      <c r="M5555" s="36"/>
      <c r="N5555" s="36"/>
      <c r="O5555" s="36"/>
      <c r="P5555" s="36"/>
      <c r="Q5555" s="36"/>
      <c r="R5555" s="36"/>
      <c r="S5555" s="36"/>
      <c r="T5555" s="36"/>
      <c r="U5555" s="36"/>
      <c r="V5555" s="36"/>
      <c r="W5555" s="15">
        <f t="shared" si="875"/>
        <v>0</v>
      </c>
      <c r="X5555" s="36"/>
      <c r="Y5555" s="36"/>
      <c r="Z5555" s="36"/>
      <c r="AA5555" s="36"/>
      <c r="AB5555" s="36"/>
      <c r="AC5555" s="36"/>
      <c r="AD5555" s="36"/>
      <c r="AE5555" s="36"/>
      <c r="AF5555" s="36"/>
      <c r="AG5555" s="36"/>
      <c r="AH5555" s="36"/>
      <c r="AI5555" s="36"/>
      <c r="AJ5555" s="15">
        <f t="shared" si="876"/>
        <v>0</v>
      </c>
      <c r="AK5555" s="14">
        <v>300</v>
      </c>
      <c r="AL5555" s="14"/>
      <c r="AM5555" s="14"/>
      <c r="AN5555" s="14"/>
      <c r="AO5555" s="14"/>
      <c r="AP5555" s="14"/>
      <c r="AQ5555" s="14"/>
      <c r="AR5555" s="14"/>
      <c r="AS5555" s="14"/>
      <c r="AT5555" s="14"/>
      <c r="AU5555" s="14"/>
      <c r="AV5555" s="14"/>
      <c r="AW5555" s="15">
        <f t="shared" si="877"/>
        <v>300</v>
      </c>
      <c r="AX5555" s="16"/>
      <c r="AY5555" s="112"/>
    </row>
    <row r="5556" spans="2:51" x14ac:dyDescent="0.2">
      <c r="B5556" s="7"/>
      <c r="C5556" s="8">
        <v>15730</v>
      </c>
      <c r="D5556" s="9" t="s">
        <v>526</v>
      </c>
      <c r="E5556" s="10" t="str">
        <f t="shared" si="872"/>
        <v>Rancho Landero No. 62</v>
      </c>
      <c r="F5556" s="10" t="str">
        <f t="shared" si="873"/>
        <v>Narvaez Sara</v>
      </c>
      <c r="G5556" s="8">
        <v>1</v>
      </c>
      <c r="H5556" s="11">
        <v>1200</v>
      </c>
      <c r="I5556" s="12">
        <v>43114</v>
      </c>
      <c r="J5556" s="35">
        <f t="shared" si="874"/>
        <v>0</v>
      </c>
      <c r="K5556" s="36"/>
      <c r="L5556" s="36"/>
      <c r="M5556" s="36"/>
      <c r="N5556" s="36"/>
      <c r="O5556" s="36"/>
      <c r="P5556" s="36"/>
      <c r="Q5556" s="36"/>
      <c r="R5556" s="36"/>
      <c r="S5556" s="36"/>
      <c r="T5556" s="36"/>
      <c r="U5556" s="36"/>
      <c r="V5556" s="36"/>
      <c r="W5556" s="15">
        <f t="shared" si="875"/>
        <v>0</v>
      </c>
      <c r="X5556" s="36"/>
      <c r="Y5556" s="36"/>
      <c r="Z5556" s="36"/>
      <c r="AA5556" s="36"/>
      <c r="AB5556" s="36"/>
      <c r="AC5556" s="36"/>
      <c r="AD5556" s="36"/>
      <c r="AE5556" s="36"/>
      <c r="AF5556" s="36"/>
      <c r="AG5556" s="36">
        <v>300</v>
      </c>
      <c r="AH5556" s="36">
        <v>300</v>
      </c>
      <c r="AI5556" s="36">
        <v>300</v>
      </c>
      <c r="AJ5556" s="15">
        <f t="shared" si="876"/>
        <v>900</v>
      </c>
      <c r="AK5556" s="14">
        <v>300</v>
      </c>
      <c r="AL5556" s="14"/>
      <c r="AM5556" s="14"/>
      <c r="AN5556" s="14"/>
      <c r="AO5556" s="14"/>
      <c r="AP5556" s="14"/>
      <c r="AQ5556" s="14"/>
      <c r="AR5556" s="14"/>
      <c r="AS5556" s="14"/>
      <c r="AT5556" s="14"/>
      <c r="AU5556" s="14"/>
      <c r="AV5556" s="14"/>
      <c r="AW5556" s="15">
        <f t="shared" si="877"/>
        <v>300</v>
      </c>
      <c r="AX5556" s="16"/>
      <c r="AY5556" s="112"/>
    </row>
    <row r="5557" spans="2:51" x14ac:dyDescent="0.2">
      <c r="B5557" s="7"/>
      <c r="C5557" s="8">
        <v>15731</v>
      </c>
      <c r="D5557" s="9" t="s">
        <v>3178</v>
      </c>
      <c r="E5557" s="10" t="str">
        <f t="shared" si="872"/>
        <v>Rancho La Cuchilla No. 103</v>
      </c>
      <c r="F5557" s="10" t="str">
        <f t="shared" si="873"/>
        <v>Bernal</v>
      </c>
      <c r="G5557" s="8">
        <v>1</v>
      </c>
      <c r="H5557" s="11">
        <v>1000</v>
      </c>
      <c r="I5557" s="12">
        <v>43114</v>
      </c>
      <c r="J5557" s="35">
        <f t="shared" si="874"/>
        <v>0</v>
      </c>
      <c r="K5557" s="36"/>
      <c r="L5557" s="36"/>
      <c r="M5557" s="36"/>
      <c r="N5557" s="36"/>
      <c r="O5557" s="36"/>
      <c r="P5557" s="36"/>
      <c r="Q5557" s="36"/>
      <c r="R5557" s="36"/>
      <c r="S5557" s="36"/>
      <c r="T5557" s="36"/>
      <c r="U5557" s="36"/>
      <c r="V5557" s="36"/>
      <c r="W5557" s="15">
        <f t="shared" si="875"/>
        <v>0</v>
      </c>
      <c r="X5557" s="36"/>
      <c r="Y5557" s="36"/>
      <c r="Z5557" s="36"/>
      <c r="AA5557" s="36"/>
      <c r="AB5557" s="36"/>
      <c r="AC5557" s="36"/>
      <c r="AD5557" s="36"/>
      <c r="AE5557" s="36"/>
      <c r="AF5557" s="36"/>
      <c r="AG5557" s="36"/>
      <c r="AH5557" s="36"/>
      <c r="AI5557" s="36"/>
      <c r="AJ5557" s="15">
        <f t="shared" si="876"/>
        <v>0</v>
      </c>
      <c r="AK5557" s="14">
        <v>500</v>
      </c>
      <c r="AL5557" s="14">
        <v>500</v>
      </c>
      <c r="AM5557" s="14"/>
      <c r="AN5557" s="14"/>
      <c r="AO5557" s="14"/>
      <c r="AP5557" s="14"/>
      <c r="AQ5557" s="14"/>
      <c r="AR5557" s="14"/>
      <c r="AS5557" s="14"/>
      <c r="AT5557" s="14"/>
      <c r="AU5557" s="14"/>
      <c r="AV5557" s="14"/>
      <c r="AW5557" s="15">
        <f t="shared" si="877"/>
        <v>1000</v>
      </c>
      <c r="AX5557" s="16"/>
      <c r="AY5557" s="112"/>
    </row>
    <row r="5558" spans="2:51" x14ac:dyDescent="0.2">
      <c r="B5558" s="7"/>
      <c r="C5558" s="8">
        <v>15732</v>
      </c>
      <c r="D5558" s="9" t="s">
        <v>202</v>
      </c>
      <c r="E5558" s="10" t="str">
        <f t="shared" si="872"/>
        <v>Rancho Estanzuela No. 25</v>
      </c>
      <c r="F5558" s="10" t="str">
        <f t="shared" si="873"/>
        <v>Contreras Figueroa</v>
      </c>
      <c r="G5558" s="8">
        <v>1</v>
      </c>
      <c r="H5558" s="11">
        <v>400</v>
      </c>
      <c r="I5558" s="12">
        <v>43114</v>
      </c>
      <c r="J5558" s="35">
        <f t="shared" si="874"/>
        <v>0</v>
      </c>
      <c r="K5558" s="36"/>
      <c r="L5558" s="36"/>
      <c r="M5558" s="36"/>
      <c r="N5558" s="36"/>
      <c r="O5558" s="36"/>
      <c r="P5558" s="36"/>
      <c r="Q5558" s="36"/>
      <c r="R5558" s="36"/>
      <c r="S5558" s="36"/>
      <c r="T5558" s="36"/>
      <c r="U5558" s="36"/>
      <c r="V5558" s="36"/>
      <c r="W5558" s="15">
        <f t="shared" si="875"/>
        <v>0</v>
      </c>
      <c r="X5558" s="36"/>
      <c r="Y5558" s="36"/>
      <c r="Z5558" s="36"/>
      <c r="AA5558" s="36"/>
      <c r="AB5558" s="36"/>
      <c r="AC5558" s="36"/>
      <c r="AD5558" s="36"/>
      <c r="AE5558" s="36"/>
      <c r="AF5558" s="36"/>
      <c r="AG5558" s="36"/>
      <c r="AH5558" s="36"/>
      <c r="AI5558" s="36"/>
      <c r="AJ5558" s="15">
        <f t="shared" si="876"/>
        <v>0</v>
      </c>
      <c r="AK5558" s="14">
        <v>400</v>
      </c>
      <c r="AL5558" s="14"/>
      <c r="AM5558" s="14"/>
      <c r="AN5558" s="14"/>
      <c r="AO5558" s="14"/>
      <c r="AP5558" s="14"/>
      <c r="AQ5558" s="14"/>
      <c r="AR5558" s="14"/>
      <c r="AS5558" s="14"/>
      <c r="AT5558" s="14"/>
      <c r="AU5558" s="14"/>
      <c r="AV5558" s="14"/>
      <c r="AW5558" s="15">
        <f t="shared" si="877"/>
        <v>400</v>
      </c>
      <c r="AX5558" s="16"/>
      <c r="AY5558" s="112"/>
    </row>
    <row r="5559" spans="2:51" x14ac:dyDescent="0.2">
      <c r="B5559" s="7"/>
      <c r="C5559" s="8">
        <v>15732</v>
      </c>
      <c r="D5559" s="9" t="s">
        <v>202</v>
      </c>
      <c r="E5559" s="10" t="str">
        <f t="shared" si="872"/>
        <v>Rancho Estanzuela No. 25</v>
      </c>
      <c r="F5559" s="10" t="str">
        <f t="shared" si="873"/>
        <v>Contreras Figueroa</v>
      </c>
      <c r="G5559" s="8">
        <v>3</v>
      </c>
      <c r="H5559" s="11">
        <v>200</v>
      </c>
      <c r="I5559" s="12">
        <v>43114</v>
      </c>
      <c r="J5559" s="35">
        <f t="shared" si="874"/>
        <v>0</v>
      </c>
      <c r="K5559" s="36"/>
      <c r="L5559" s="36"/>
      <c r="M5559" s="36"/>
      <c r="N5559" s="36"/>
      <c r="O5559" s="36"/>
      <c r="P5559" s="36"/>
      <c r="Q5559" s="36"/>
      <c r="R5559" s="36"/>
      <c r="S5559" s="36"/>
      <c r="T5559" s="36"/>
      <c r="U5559" s="36"/>
      <c r="V5559" s="36"/>
      <c r="W5559" s="15">
        <f t="shared" si="875"/>
        <v>0</v>
      </c>
      <c r="X5559" s="36"/>
      <c r="Y5559" s="36"/>
      <c r="Z5559" s="36"/>
      <c r="AA5559" s="36"/>
      <c r="AB5559" s="36"/>
      <c r="AC5559" s="36"/>
      <c r="AD5559" s="36"/>
      <c r="AE5559" s="36"/>
      <c r="AF5559" s="36"/>
      <c r="AG5559" s="36"/>
      <c r="AH5559" s="36"/>
      <c r="AI5559" s="36"/>
      <c r="AJ5559" s="15">
        <f t="shared" si="876"/>
        <v>0</v>
      </c>
      <c r="AK5559" s="14"/>
      <c r="AL5559" s="14"/>
      <c r="AM5559" s="14"/>
      <c r="AN5559" s="14"/>
      <c r="AO5559" s="14"/>
      <c r="AP5559" s="14"/>
      <c r="AQ5559" s="14"/>
      <c r="AR5559" s="14"/>
      <c r="AS5559" s="14"/>
      <c r="AT5559" s="14"/>
      <c r="AU5559" s="14"/>
      <c r="AV5559" s="14"/>
      <c r="AW5559" s="15">
        <f t="shared" si="877"/>
        <v>0</v>
      </c>
      <c r="AX5559" s="16"/>
      <c r="AY5559" s="112"/>
    </row>
    <row r="5560" spans="2:51" x14ac:dyDescent="0.2">
      <c r="B5560" s="7"/>
      <c r="C5560" s="8">
        <v>15733</v>
      </c>
      <c r="D5560" s="9" t="s">
        <v>568</v>
      </c>
      <c r="E5560" s="10" t="str">
        <f t="shared" si="872"/>
        <v>Rancho Landero No. 95</v>
      </c>
      <c r="F5560" s="10" t="str">
        <f t="shared" si="873"/>
        <v>Rivas Rangel</v>
      </c>
      <c r="G5560" s="8">
        <v>1</v>
      </c>
      <c r="H5560" s="11">
        <v>400</v>
      </c>
      <c r="I5560" s="12">
        <v>43114</v>
      </c>
      <c r="J5560" s="35">
        <f t="shared" si="874"/>
        <v>0</v>
      </c>
      <c r="K5560" s="36"/>
      <c r="L5560" s="36"/>
      <c r="M5560" s="36"/>
      <c r="N5560" s="36"/>
      <c r="O5560" s="36"/>
      <c r="P5560" s="36"/>
      <c r="Q5560" s="36"/>
      <c r="R5560" s="36"/>
      <c r="S5560" s="36"/>
      <c r="T5560" s="36"/>
      <c r="U5560" s="36"/>
      <c r="V5560" s="36"/>
      <c r="W5560" s="15">
        <f t="shared" si="875"/>
        <v>0</v>
      </c>
      <c r="X5560" s="36"/>
      <c r="Y5560" s="36"/>
      <c r="Z5560" s="36"/>
      <c r="AA5560" s="36"/>
      <c r="AB5560" s="36"/>
      <c r="AC5560" s="36"/>
      <c r="AD5560" s="36"/>
      <c r="AE5560" s="36"/>
      <c r="AF5560" s="36"/>
      <c r="AG5560" s="36"/>
      <c r="AH5560" s="36"/>
      <c r="AI5560" s="36"/>
      <c r="AJ5560" s="15">
        <f t="shared" si="876"/>
        <v>0</v>
      </c>
      <c r="AK5560" s="14">
        <v>400</v>
      </c>
      <c r="AL5560" s="14"/>
      <c r="AM5560" s="14"/>
      <c r="AN5560" s="14"/>
      <c r="AO5560" s="14"/>
      <c r="AP5560" s="14"/>
      <c r="AQ5560" s="14"/>
      <c r="AR5560" s="14"/>
      <c r="AS5560" s="14"/>
      <c r="AT5560" s="14"/>
      <c r="AU5560" s="14"/>
      <c r="AV5560" s="14"/>
      <c r="AW5560" s="15">
        <f t="shared" si="877"/>
        <v>400</v>
      </c>
      <c r="AX5560" s="16"/>
      <c r="AY5560" s="112"/>
    </row>
    <row r="5561" spans="2:51" x14ac:dyDescent="0.2">
      <c r="B5561" s="7"/>
      <c r="C5561" s="8">
        <v>15734</v>
      </c>
      <c r="D5561" s="9" t="s">
        <v>769</v>
      </c>
      <c r="E5561" s="10" t="str">
        <f t="shared" si="872"/>
        <v>Rancho La Cuchilla No. 66</v>
      </c>
      <c r="F5561" s="10" t="str">
        <f t="shared" si="873"/>
        <v>Prieto</v>
      </c>
      <c r="G5561" s="8">
        <v>1</v>
      </c>
      <c r="H5561" s="11">
        <v>800</v>
      </c>
      <c r="I5561" s="12">
        <v>43114</v>
      </c>
      <c r="J5561" s="35">
        <f t="shared" si="874"/>
        <v>0</v>
      </c>
      <c r="K5561" s="36"/>
      <c r="L5561" s="36"/>
      <c r="M5561" s="36"/>
      <c r="N5561" s="36"/>
      <c r="O5561" s="36"/>
      <c r="P5561" s="36"/>
      <c r="Q5561" s="36"/>
      <c r="R5561" s="36"/>
      <c r="S5561" s="36"/>
      <c r="T5561" s="36"/>
      <c r="U5561" s="36"/>
      <c r="V5561" s="36"/>
      <c r="W5561" s="15">
        <f t="shared" si="875"/>
        <v>0</v>
      </c>
      <c r="X5561" s="36"/>
      <c r="Y5561" s="36"/>
      <c r="Z5561" s="36"/>
      <c r="AA5561" s="36"/>
      <c r="AB5561" s="36"/>
      <c r="AC5561" s="36"/>
      <c r="AD5561" s="36"/>
      <c r="AE5561" s="36"/>
      <c r="AF5561" s="36"/>
      <c r="AG5561" s="36"/>
      <c r="AH5561" s="36"/>
      <c r="AI5561" s="36">
        <v>400</v>
      </c>
      <c r="AJ5561" s="15">
        <f t="shared" si="876"/>
        <v>400</v>
      </c>
      <c r="AK5561" s="14">
        <v>400</v>
      </c>
      <c r="AL5561" s="14"/>
      <c r="AM5561" s="14"/>
      <c r="AN5561" s="14"/>
      <c r="AO5561" s="14"/>
      <c r="AP5561" s="14"/>
      <c r="AQ5561" s="14"/>
      <c r="AR5561" s="14"/>
      <c r="AS5561" s="14"/>
      <c r="AT5561" s="14"/>
      <c r="AU5561" s="14"/>
      <c r="AV5561" s="14"/>
      <c r="AW5561" s="15">
        <f t="shared" si="877"/>
        <v>400</v>
      </c>
      <c r="AX5561" s="16"/>
      <c r="AY5561" s="112"/>
    </row>
    <row r="5562" spans="2:51" x14ac:dyDescent="0.2">
      <c r="B5562" s="7"/>
      <c r="C5562" s="8">
        <v>15735</v>
      </c>
      <c r="D5562" s="9" t="s">
        <v>428</v>
      </c>
      <c r="E5562" s="10" t="str">
        <f t="shared" si="872"/>
        <v>Rancho Upácuaro No. 86</v>
      </c>
      <c r="F5562" s="10" t="str">
        <f t="shared" si="873"/>
        <v>López Canseco</v>
      </c>
      <c r="G5562" s="8">
        <v>1</v>
      </c>
      <c r="H5562" s="11">
        <v>4400</v>
      </c>
      <c r="I5562" s="12">
        <v>43114</v>
      </c>
      <c r="J5562" s="35">
        <f t="shared" si="874"/>
        <v>0</v>
      </c>
      <c r="K5562" s="36"/>
      <c r="L5562" s="36"/>
      <c r="M5562" s="36"/>
      <c r="N5562" s="36"/>
      <c r="O5562" s="36"/>
      <c r="P5562" s="36"/>
      <c r="Q5562" s="36"/>
      <c r="R5562" s="36"/>
      <c r="S5562" s="36"/>
      <c r="T5562" s="36"/>
      <c r="U5562" s="36"/>
      <c r="V5562" s="36"/>
      <c r="W5562" s="15">
        <f t="shared" si="875"/>
        <v>0</v>
      </c>
      <c r="X5562" s="36"/>
      <c r="Y5562" s="36"/>
      <c r="Z5562" s="36"/>
      <c r="AA5562" s="36"/>
      <c r="AB5562" s="36"/>
      <c r="AC5562" s="36"/>
      <c r="AD5562" s="36"/>
      <c r="AE5562" s="36"/>
      <c r="AF5562" s="36"/>
      <c r="AG5562" s="36"/>
      <c r="AH5562" s="36"/>
      <c r="AI5562" s="36"/>
      <c r="AJ5562" s="15">
        <f t="shared" si="876"/>
        <v>0</v>
      </c>
      <c r="AK5562" s="14">
        <v>400</v>
      </c>
      <c r="AL5562" s="14">
        <v>400</v>
      </c>
      <c r="AM5562" s="14">
        <v>400</v>
      </c>
      <c r="AN5562" s="14">
        <v>400</v>
      </c>
      <c r="AO5562" s="14">
        <v>400</v>
      </c>
      <c r="AP5562" s="14">
        <v>400</v>
      </c>
      <c r="AQ5562" s="14">
        <v>400</v>
      </c>
      <c r="AR5562" s="14">
        <v>400</v>
      </c>
      <c r="AS5562" s="14">
        <v>400</v>
      </c>
      <c r="AT5562" s="14">
        <v>400</v>
      </c>
      <c r="AU5562" s="14">
        <v>400</v>
      </c>
      <c r="AV5562" s="14"/>
      <c r="AW5562" s="15">
        <f t="shared" si="877"/>
        <v>4400</v>
      </c>
      <c r="AX5562" s="16" t="s">
        <v>4869</v>
      </c>
      <c r="AY5562" s="112"/>
    </row>
    <row r="5563" spans="2:51" x14ac:dyDescent="0.2">
      <c r="B5563" s="7"/>
      <c r="C5563" s="8">
        <v>15735</v>
      </c>
      <c r="D5563" s="9" t="s">
        <v>428</v>
      </c>
      <c r="E5563" s="10" t="str">
        <f t="shared" si="872"/>
        <v>Rancho Upácuaro No. 86</v>
      </c>
      <c r="F5563" s="10" t="str">
        <f t="shared" si="873"/>
        <v>López Canseco</v>
      </c>
      <c r="G5563" s="8">
        <v>4</v>
      </c>
      <c r="H5563" s="11">
        <v>200</v>
      </c>
      <c r="I5563" s="12">
        <v>43114</v>
      </c>
      <c r="J5563" s="35">
        <f t="shared" si="874"/>
        <v>0</v>
      </c>
      <c r="K5563" s="36"/>
      <c r="L5563" s="36"/>
      <c r="M5563" s="36"/>
      <c r="N5563" s="36"/>
      <c r="O5563" s="36"/>
      <c r="P5563" s="36"/>
      <c r="Q5563" s="36"/>
      <c r="R5563" s="36"/>
      <c r="S5563" s="36"/>
      <c r="T5563" s="36"/>
      <c r="U5563" s="36"/>
      <c r="V5563" s="36"/>
      <c r="W5563" s="15">
        <f t="shared" si="875"/>
        <v>0</v>
      </c>
      <c r="X5563" s="36"/>
      <c r="Y5563" s="36"/>
      <c r="Z5563" s="36"/>
      <c r="AA5563" s="36"/>
      <c r="AB5563" s="36"/>
      <c r="AC5563" s="36"/>
      <c r="AD5563" s="36"/>
      <c r="AE5563" s="36"/>
      <c r="AF5563" s="36"/>
      <c r="AG5563" s="36"/>
      <c r="AH5563" s="36"/>
      <c r="AI5563" s="36"/>
      <c r="AJ5563" s="15">
        <f t="shared" si="876"/>
        <v>0</v>
      </c>
      <c r="AK5563" s="14"/>
      <c r="AL5563" s="14"/>
      <c r="AM5563" s="14"/>
      <c r="AN5563" s="14"/>
      <c r="AO5563" s="14"/>
      <c r="AP5563" s="14"/>
      <c r="AQ5563" s="14"/>
      <c r="AR5563" s="14"/>
      <c r="AS5563" s="14"/>
      <c r="AT5563" s="14"/>
      <c r="AU5563" s="14"/>
      <c r="AV5563" s="14"/>
      <c r="AW5563" s="15">
        <f t="shared" si="877"/>
        <v>0</v>
      </c>
      <c r="AX5563" s="16" t="s">
        <v>4874</v>
      </c>
      <c r="AY5563" s="112"/>
    </row>
    <row r="5564" spans="2:51" x14ac:dyDescent="0.2">
      <c r="B5564" s="7"/>
      <c r="C5564" s="8">
        <v>15736</v>
      </c>
      <c r="D5564" s="9" t="s">
        <v>983</v>
      </c>
      <c r="E5564" s="10" t="str">
        <f t="shared" si="872"/>
        <v>Rancho Landero No. 93</v>
      </c>
      <c r="F5564" s="10" t="str">
        <f t="shared" si="873"/>
        <v>Ortega López</v>
      </c>
      <c r="G5564" s="8">
        <v>1</v>
      </c>
      <c r="H5564" s="11">
        <v>400</v>
      </c>
      <c r="I5564" s="12">
        <v>43114</v>
      </c>
      <c r="J5564" s="35">
        <f t="shared" si="874"/>
        <v>0</v>
      </c>
      <c r="K5564" s="36"/>
      <c r="L5564" s="36"/>
      <c r="M5564" s="36"/>
      <c r="N5564" s="36"/>
      <c r="O5564" s="36"/>
      <c r="P5564" s="36"/>
      <c r="Q5564" s="36"/>
      <c r="R5564" s="36"/>
      <c r="S5564" s="36"/>
      <c r="T5564" s="36"/>
      <c r="U5564" s="36"/>
      <c r="V5564" s="36"/>
      <c r="W5564" s="15">
        <f t="shared" si="875"/>
        <v>0</v>
      </c>
      <c r="X5564" s="36"/>
      <c r="Y5564" s="36"/>
      <c r="Z5564" s="36"/>
      <c r="AA5564" s="36"/>
      <c r="AB5564" s="36"/>
      <c r="AC5564" s="36"/>
      <c r="AD5564" s="36"/>
      <c r="AE5564" s="36"/>
      <c r="AF5564" s="36"/>
      <c r="AG5564" s="36"/>
      <c r="AH5564" s="36"/>
      <c r="AI5564" s="36">
        <v>400</v>
      </c>
      <c r="AJ5564" s="15">
        <f t="shared" si="876"/>
        <v>400</v>
      </c>
      <c r="AK5564" s="14"/>
      <c r="AL5564" s="14"/>
      <c r="AM5564" s="14"/>
      <c r="AN5564" s="14"/>
      <c r="AO5564" s="14"/>
      <c r="AP5564" s="14"/>
      <c r="AQ5564" s="14"/>
      <c r="AR5564" s="14"/>
      <c r="AS5564" s="14"/>
      <c r="AT5564" s="14"/>
      <c r="AU5564" s="14"/>
      <c r="AV5564" s="14"/>
      <c r="AW5564" s="15">
        <f t="shared" si="877"/>
        <v>0</v>
      </c>
      <c r="AX5564" s="16"/>
      <c r="AY5564" s="112"/>
    </row>
    <row r="5565" spans="2:51" x14ac:dyDescent="0.2">
      <c r="B5565" s="7"/>
      <c r="C5565" s="8">
        <v>15737</v>
      </c>
      <c r="D5565" s="9" t="s">
        <v>583</v>
      </c>
      <c r="E5565" s="10" t="str">
        <f t="shared" si="872"/>
        <v>Rancho La Cuchilla No. 111</v>
      </c>
      <c r="F5565" s="10" t="str">
        <f t="shared" si="873"/>
        <v>García Santos Ofelia</v>
      </c>
      <c r="G5565" s="8">
        <v>1</v>
      </c>
      <c r="H5565" s="11">
        <v>200</v>
      </c>
      <c r="I5565" s="12">
        <v>43114</v>
      </c>
      <c r="J5565" s="35">
        <f t="shared" si="874"/>
        <v>0</v>
      </c>
      <c r="K5565" s="36"/>
      <c r="L5565" s="36"/>
      <c r="M5565" s="36"/>
      <c r="N5565" s="36"/>
      <c r="O5565" s="36"/>
      <c r="P5565" s="36"/>
      <c r="Q5565" s="36"/>
      <c r="R5565" s="36"/>
      <c r="S5565" s="36"/>
      <c r="T5565" s="36"/>
      <c r="U5565" s="36"/>
      <c r="V5565" s="36"/>
      <c r="W5565" s="15">
        <f t="shared" si="875"/>
        <v>0</v>
      </c>
      <c r="X5565" s="36"/>
      <c r="Y5565" s="36"/>
      <c r="Z5565" s="36"/>
      <c r="AA5565" s="36"/>
      <c r="AB5565" s="36"/>
      <c r="AC5565" s="36"/>
      <c r="AD5565" s="36"/>
      <c r="AE5565" s="36"/>
      <c r="AF5565" s="36"/>
      <c r="AG5565" s="36"/>
      <c r="AH5565" s="36"/>
      <c r="AI5565" s="36"/>
      <c r="AJ5565" s="15">
        <f t="shared" si="876"/>
        <v>0</v>
      </c>
      <c r="AK5565" s="14">
        <v>200</v>
      </c>
      <c r="AL5565" s="14"/>
      <c r="AM5565" s="14"/>
      <c r="AN5565" s="14"/>
      <c r="AO5565" s="14"/>
      <c r="AP5565" s="14"/>
      <c r="AQ5565" s="14"/>
      <c r="AR5565" s="14"/>
      <c r="AS5565" s="14"/>
      <c r="AT5565" s="14"/>
      <c r="AU5565" s="14"/>
      <c r="AV5565" s="14"/>
      <c r="AW5565" s="15">
        <f t="shared" si="877"/>
        <v>200</v>
      </c>
      <c r="AX5565" s="16"/>
      <c r="AY5565" s="112"/>
    </row>
    <row r="5566" spans="2:51" x14ac:dyDescent="0.2">
      <c r="B5566" s="7"/>
      <c r="C5566" s="8">
        <v>15738</v>
      </c>
      <c r="D5566" s="9" t="s">
        <v>361</v>
      </c>
      <c r="E5566" s="10" t="str">
        <f t="shared" si="872"/>
        <v>Rancho Upácuaro No. 101</v>
      </c>
      <c r="F5566" s="10" t="str">
        <f t="shared" si="873"/>
        <v>Chávez, Arturo</v>
      </c>
      <c r="G5566" s="8">
        <v>1</v>
      </c>
      <c r="H5566" s="11">
        <v>4400</v>
      </c>
      <c r="I5566" s="12">
        <v>43114</v>
      </c>
      <c r="J5566" s="35">
        <f t="shared" si="874"/>
        <v>0</v>
      </c>
      <c r="K5566" s="36"/>
      <c r="L5566" s="36"/>
      <c r="M5566" s="36"/>
      <c r="N5566" s="36"/>
      <c r="O5566" s="36"/>
      <c r="P5566" s="36"/>
      <c r="Q5566" s="36"/>
      <c r="R5566" s="36"/>
      <c r="S5566" s="36"/>
      <c r="T5566" s="36"/>
      <c r="U5566" s="36"/>
      <c r="V5566" s="36"/>
      <c r="W5566" s="15">
        <f t="shared" si="875"/>
        <v>0</v>
      </c>
      <c r="X5566" s="36"/>
      <c r="Y5566" s="36"/>
      <c r="Z5566" s="36"/>
      <c r="AA5566" s="36"/>
      <c r="AB5566" s="36"/>
      <c r="AC5566" s="36"/>
      <c r="AD5566" s="36"/>
      <c r="AE5566" s="36"/>
      <c r="AF5566" s="36"/>
      <c r="AG5566" s="36"/>
      <c r="AH5566" s="36"/>
      <c r="AI5566" s="36"/>
      <c r="AJ5566" s="15">
        <f t="shared" si="876"/>
        <v>0</v>
      </c>
      <c r="AK5566" s="14">
        <v>400</v>
      </c>
      <c r="AL5566" s="14">
        <v>400</v>
      </c>
      <c r="AM5566" s="14">
        <v>400</v>
      </c>
      <c r="AN5566" s="14">
        <v>400</v>
      </c>
      <c r="AO5566" s="14">
        <v>400</v>
      </c>
      <c r="AP5566" s="14">
        <v>400</v>
      </c>
      <c r="AQ5566" s="14">
        <v>400</v>
      </c>
      <c r="AR5566" s="14">
        <v>400</v>
      </c>
      <c r="AS5566" s="14">
        <v>400</v>
      </c>
      <c r="AT5566" s="14">
        <v>400</v>
      </c>
      <c r="AU5566" s="14">
        <v>400</v>
      </c>
      <c r="AV5566" s="14"/>
      <c r="AW5566" s="15">
        <f t="shared" si="877"/>
        <v>4400</v>
      </c>
      <c r="AX5566" s="16" t="s">
        <v>4869</v>
      </c>
      <c r="AY5566" s="112"/>
    </row>
    <row r="5567" spans="2:51" x14ac:dyDescent="0.2">
      <c r="B5567" s="7"/>
      <c r="C5567" s="8">
        <v>15739</v>
      </c>
      <c r="D5567" s="9" t="s">
        <v>226</v>
      </c>
      <c r="E5567" s="10" t="str">
        <f t="shared" si="872"/>
        <v>Rancho Landero No. 31</v>
      </c>
      <c r="F5567" s="10" t="str">
        <f t="shared" si="873"/>
        <v>Díaz Hernández</v>
      </c>
      <c r="G5567" s="8">
        <v>1</v>
      </c>
      <c r="H5567" s="11">
        <v>200</v>
      </c>
      <c r="I5567" s="12">
        <v>43114</v>
      </c>
      <c r="J5567" s="35">
        <f t="shared" si="874"/>
        <v>0</v>
      </c>
      <c r="K5567" s="36"/>
      <c r="L5567" s="36"/>
      <c r="M5567" s="36"/>
      <c r="N5567" s="36"/>
      <c r="O5567" s="36"/>
      <c r="P5567" s="36"/>
      <c r="Q5567" s="36"/>
      <c r="R5567" s="36"/>
      <c r="S5567" s="36"/>
      <c r="T5567" s="36"/>
      <c r="U5567" s="36"/>
      <c r="V5567" s="36"/>
      <c r="W5567" s="15">
        <f t="shared" si="875"/>
        <v>0</v>
      </c>
      <c r="X5567" s="36"/>
      <c r="Y5567" s="36"/>
      <c r="Z5567" s="36"/>
      <c r="AA5567" s="36"/>
      <c r="AB5567" s="36"/>
      <c r="AC5567" s="36"/>
      <c r="AD5567" s="36"/>
      <c r="AE5567" s="36"/>
      <c r="AF5567" s="36"/>
      <c r="AG5567" s="36"/>
      <c r="AH5567" s="36"/>
      <c r="AI5567" s="36"/>
      <c r="AJ5567" s="15">
        <f t="shared" si="876"/>
        <v>0</v>
      </c>
      <c r="AK5567" s="14">
        <v>200</v>
      </c>
      <c r="AL5567" s="14"/>
      <c r="AM5567" s="14"/>
      <c r="AN5567" s="14"/>
      <c r="AO5567" s="14"/>
      <c r="AP5567" s="14"/>
      <c r="AQ5567" s="14"/>
      <c r="AR5567" s="14"/>
      <c r="AS5567" s="14"/>
      <c r="AT5567" s="14"/>
      <c r="AU5567" s="14"/>
      <c r="AV5567" s="14"/>
      <c r="AW5567" s="15">
        <f t="shared" si="877"/>
        <v>200</v>
      </c>
      <c r="AX5567" s="16"/>
      <c r="AY5567" s="112"/>
    </row>
    <row r="5568" spans="2:51" x14ac:dyDescent="0.2">
      <c r="B5568" s="7"/>
      <c r="C5568" s="8">
        <v>15740</v>
      </c>
      <c r="D5568" s="9" t="s">
        <v>1017</v>
      </c>
      <c r="E5568" s="10" t="str">
        <f t="shared" si="872"/>
        <v>Rancho Estanzuela No. 119, 3</v>
      </c>
      <c r="F5568" s="10" t="str">
        <f t="shared" si="873"/>
        <v>Montecillo</v>
      </c>
      <c r="G5568" s="8">
        <v>1</v>
      </c>
      <c r="H5568" s="11">
        <v>250</v>
      </c>
      <c r="I5568" s="12">
        <v>43114</v>
      </c>
      <c r="J5568" s="35">
        <f t="shared" si="874"/>
        <v>0</v>
      </c>
      <c r="K5568" s="36"/>
      <c r="L5568" s="36"/>
      <c r="M5568" s="36"/>
      <c r="N5568" s="36"/>
      <c r="O5568" s="36"/>
      <c r="P5568" s="36"/>
      <c r="Q5568" s="36"/>
      <c r="R5568" s="36"/>
      <c r="S5568" s="36"/>
      <c r="T5568" s="36"/>
      <c r="U5568" s="36"/>
      <c r="V5568" s="36"/>
      <c r="W5568" s="15">
        <f t="shared" si="875"/>
        <v>0</v>
      </c>
      <c r="X5568" s="36"/>
      <c r="Y5568" s="36"/>
      <c r="Z5568" s="36"/>
      <c r="AA5568" s="36"/>
      <c r="AB5568" s="36"/>
      <c r="AC5568" s="36"/>
      <c r="AD5568" s="36"/>
      <c r="AE5568" s="36"/>
      <c r="AF5568" s="36"/>
      <c r="AG5568" s="36"/>
      <c r="AH5568" s="36"/>
      <c r="AI5568" s="36"/>
      <c r="AJ5568" s="15">
        <f t="shared" si="876"/>
        <v>0</v>
      </c>
      <c r="AK5568" s="14">
        <v>250</v>
      </c>
      <c r="AL5568" s="14"/>
      <c r="AM5568" s="14"/>
      <c r="AN5568" s="14"/>
      <c r="AO5568" s="14"/>
      <c r="AP5568" s="14"/>
      <c r="AQ5568" s="14"/>
      <c r="AR5568" s="14"/>
      <c r="AS5568" s="14"/>
      <c r="AT5568" s="14"/>
      <c r="AU5568" s="14"/>
      <c r="AV5568" s="14"/>
      <c r="AW5568" s="15">
        <f t="shared" si="877"/>
        <v>250</v>
      </c>
      <c r="AX5568" s="16"/>
      <c r="AY5568" s="112"/>
    </row>
    <row r="5569" spans="2:51" x14ac:dyDescent="0.2">
      <c r="B5569" s="7"/>
      <c r="C5569" s="8">
        <v>15741</v>
      </c>
      <c r="D5569" s="9" t="s">
        <v>791</v>
      </c>
      <c r="E5569" s="10" t="str">
        <f t="shared" si="872"/>
        <v>Rancho Upácuaro No. 116</v>
      </c>
      <c r="F5569" s="10" t="str">
        <f t="shared" si="873"/>
        <v>Zenteno</v>
      </c>
      <c r="G5569" s="8">
        <v>1</v>
      </c>
      <c r="H5569" s="11">
        <v>1200</v>
      </c>
      <c r="I5569" s="12">
        <v>43114</v>
      </c>
      <c r="J5569" s="35">
        <f t="shared" si="874"/>
        <v>0</v>
      </c>
      <c r="K5569" s="36"/>
      <c r="L5569" s="36"/>
      <c r="M5569" s="36"/>
      <c r="N5569" s="36"/>
      <c r="O5569" s="36"/>
      <c r="P5569" s="36"/>
      <c r="Q5569" s="36"/>
      <c r="R5569" s="36"/>
      <c r="S5569" s="36"/>
      <c r="T5569" s="36"/>
      <c r="U5569" s="36"/>
      <c r="V5569" s="36"/>
      <c r="W5569" s="15">
        <f t="shared" si="875"/>
        <v>0</v>
      </c>
      <c r="X5569" s="36"/>
      <c r="Y5569" s="36"/>
      <c r="Z5569" s="36"/>
      <c r="AA5569" s="36"/>
      <c r="AB5569" s="36"/>
      <c r="AC5569" s="36"/>
      <c r="AD5569" s="36"/>
      <c r="AE5569" s="36"/>
      <c r="AF5569" s="36"/>
      <c r="AG5569" s="36"/>
      <c r="AH5569" s="36">
        <v>400</v>
      </c>
      <c r="AI5569" s="36">
        <v>400</v>
      </c>
      <c r="AJ5569" s="15">
        <f t="shared" si="876"/>
        <v>800</v>
      </c>
      <c r="AK5569" s="14">
        <v>400</v>
      </c>
      <c r="AL5569" s="14"/>
      <c r="AM5569" s="14"/>
      <c r="AN5569" s="14"/>
      <c r="AO5569" s="14"/>
      <c r="AP5569" s="14"/>
      <c r="AQ5569" s="14"/>
      <c r="AR5569" s="14"/>
      <c r="AS5569" s="14"/>
      <c r="AT5569" s="14"/>
      <c r="AU5569" s="14"/>
      <c r="AV5569" s="14"/>
      <c r="AW5569" s="15">
        <f t="shared" si="877"/>
        <v>400</v>
      </c>
      <c r="AX5569" s="16"/>
      <c r="AY5569" s="112"/>
    </row>
    <row r="5570" spans="2:51" x14ac:dyDescent="0.2">
      <c r="B5570" s="7"/>
      <c r="C5570" s="8">
        <v>15742</v>
      </c>
      <c r="D5570" s="9" t="s">
        <v>911</v>
      </c>
      <c r="E5570" s="10" t="str">
        <f t="shared" si="872"/>
        <v>Rancho Estanzuela No. 19</v>
      </c>
      <c r="F5570" s="10" t="str">
        <f t="shared" si="873"/>
        <v>Robles</v>
      </c>
      <c r="G5570" s="8">
        <v>1</v>
      </c>
      <c r="H5570" s="11">
        <v>400</v>
      </c>
      <c r="I5570" s="12">
        <v>43114</v>
      </c>
      <c r="J5570" s="35">
        <f t="shared" si="874"/>
        <v>0</v>
      </c>
      <c r="K5570" s="36"/>
      <c r="L5570" s="36"/>
      <c r="M5570" s="36"/>
      <c r="N5570" s="36"/>
      <c r="O5570" s="36"/>
      <c r="P5570" s="36"/>
      <c r="Q5570" s="36"/>
      <c r="R5570" s="36"/>
      <c r="S5570" s="36"/>
      <c r="T5570" s="36"/>
      <c r="U5570" s="36"/>
      <c r="V5570" s="36"/>
      <c r="W5570" s="15">
        <f t="shared" si="875"/>
        <v>0</v>
      </c>
      <c r="X5570" s="36"/>
      <c r="Y5570" s="36"/>
      <c r="Z5570" s="36"/>
      <c r="AA5570" s="36"/>
      <c r="AB5570" s="36"/>
      <c r="AC5570" s="36"/>
      <c r="AD5570" s="36"/>
      <c r="AE5570" s="36"/>
      <c r="AF5570" s="36"/>
      <c r="AG5570" s="36"/>
      <c r="AH5570" s="36"/>
      <c r="AI5570" s="36"/>
      <c r="AJ5570" s="15">
        <f t="shared" si="876"/>
        <v>0</v>
      </c>
      <c r="AK5570" s="14">
        <v>400</v>
      </c>
      <c r="AL5570" s="14"/>
      <c r="AM5570" s="14"/>
      <c r="AN5570" s="14"/>
      <c r="AO5570" s="14"/>
      <c r="AP5570" s="14"/>
      <c r="AQ5570" s="14"/>
      <c r="AR5570" s="14"/>
      <c r="AS5570" s="14"/>
      <c r="AT5570" s="14"/>
      <c r="AU5570" s="14"/>
      <c r="AV5570" s="14"/>
      <c r="AW5570" s="15">
        <f t="shared" si="877"/>
        <v>400</v>
      </c>
      <c r="AX5570" s="16"/>
      <c r="AY5570" s="112"/>
    </row>
    <row r="5571" spans="2:51" x14ac:dyDescent="0.2">
      <c r="B5571" s="7"/>
      <c r="C5571" s="8">
        <v>15743</v>
      </c>
      <c r="D5571" s="9" t="s">
        <v>349</v>
      </c>
      <c r="E5571" s="10" t="str">
        <f t="shared" si="872"/>
        <v>Rancho La Cuchilla No. 15</v>
      </c>
      <c r="F5571" s="10" t="str">
        <f t="shared" si="873"/>
        <v>Guerrero Ponce</v>
      </c>
      <c r="G5571" s="8">
        <v>1</v>
      </c>
      <c r="H5571" s="11">
        <v>600</v>
      </c>
      <c r="I5571" s="12">
        <v>43114</v>
      </c>
      <c r="J5571" s="35">
        <f t="shared" si="874"/>
        <v>0</v>
      </c>
      <c r="K5571" s="36"/>
      <c r="L5571" s="36"/>
      <c r="M5571" s="36"/>
      <c r="N5571" s="36"/>
      <c r="O5571" s="36"/>
      <c r="P5571" s="36"/>
      <c r="Q5571" s="36"/>
      <c r="R5571" s="36"/>
      <c r="S5571" s="36"/>
      <c r="T5571" s="36"/>
      <c r="U5571" s="36"/>
      <c r="V5571" s="36"/>
      <c r="W5571" s="15">
        <f t="shared" si="875"/>
        <v>0</v>
      </c>
      <c r="X5571" s="36"/>
      <c r="Y5571" s="36"/>
      <c r="Z5571" s="36"/>
      <c r="AA5571" s="36"/>
      <c r="AB5571" s="36"/>
      <c r="AC5571" s="36"/>
      <c r="AD5571" s="36"/>
      <c r="AE5571" s="36"/>
      <c r="AF5571" s="36"/>
      <c r="AG5571" s="36"/>
      <c r="AH5571" s="36"/>
      <c r="AI5571" s="36">
        <v>300</v>
      </c>
      <c r="AJ5571" s="15">
        <f t="shared" si="876"/>
        <v>300</v>
      </c>
      <c r="AK5571" s="14">
        <v>300</v>
      </c>
      <c r="AL5571" s="14"/>
      <c r="AM5571" s="14"/>
      <c r="AN5571" s="14"/>
      <c r="AO5571" s="14"/>
      <c r="AP5571" s="14"/>
      <c r="AQ5571" s="14"/>
      <c r="AR5571" s="14"/>
      <c r="AS5571" s="14"/>
      <c r="AT5571" s="14"/>
      <c r="AU5571" s="14"/>
      <c r="AV5571" s="14"/>
      <c r="AW5571" s="15">
        <f t="shared" si="877"/>
        <v>300</v>
      </c>
      <c r="AX5571" s="16"/>
      <c r="AY5571" s="112"/>
    </row>
    <row r="5572" spans="2:51" x14ac:dyDescent="0.2">
      <c r="B5572" s="7"/>
      <c r="C5572" s="8">
        <v>15744</v>
      </c>
      <c r="D5572" s="9" t="s">
        <v>295</v>
      </c>
      <c r="E5572" s="10" t="str">
        <f t="shared" si="872"/>
        <v>Rancho Landero No. 99</v>
      </c>
      <c r="F5572" s="10" t="str">
        <f t="shared" si="873"/>
        <v>Rangel</v>
      </c>
      <c r="G5572" s="8">
        <v>1</v>
      </c>
      <c r="H5572" s="11">
        <v>300</v>
      </c>
      <c r="I5572" s="12">
        <v>43114</v>
      </c>
      <c r="J5572" s="35">
        <f t="shared" si="874"/>
        <v>0</v>
      </c>
      <c r="K5572" s="36"/>
      <c r="L5572" s="36"/>
      <c r="M5572" s="36"/>
      <c r="N5572" s="36"/>
      <c r="O5572" s="36"/>
      <c r="P5572" s="36"/>
      <c r="Q5572" s="36"/>
      <c r="R5572" s="36"/>
      <c r="S5572" s="36"/>
      <c r="T5572" s="36"/>
      <c r="U5572" s="36"/>
      <c r="V5572" s="36"/>
      <c r="W5572" s="15">
        <f t="shared" si="875"/>
        <v>0</v>
      </c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>
        <v>300</v>
      </c>
      <c r="AI5572" s="36"/>
      <c r="AJ5572" s="15">
        <f t="shared" si="876"/>
        <v>300</v>
      </c>
      <c r="AK5572" s="14"/>
      <c r="AL5572" s="14"/>
      <c r="AM5572" s="14"/>
      <c r="AN5572" s="14"/>
      <c r="AO5572" s="14"/>
      <c r="AP5572" s="14"/>
      <c r="AQ5572" s="14"/>
      <c r="AR5572" s="14"/>
      <c r="AS5572" s="14"/>
      <c r="AT5572" s="14"/>
      <c r="AU5572" s="14"/>
      <c r="AV5572" s="14"/>
      <c r="AW5572" s="15">
        <f t="shared" si="877"/>
        <v>0</v>
      </c>
      <c r="AX5572" s="16"/>
      <c r="AY5572" s="112"/>
    </row>
    <row r="5573" spans="2:51" x14ac:dyDescent="0.2">
      <c r="B5573" s="7"/>
      <c r="C5573" s="8">
        <v>15745</v>
      </c>
      <c r="D5573" s="9" t="s">
        <v>97</v>
      </c>
      <c r="E5573" s="10" t="str">
        <f t="shared" si="872"/>
        <v>Rancho La Cuchilla No. 78</v>
      </c>
      <c r="F5573" s="10" t="str">
        <f t="shared" si="873"/>
        <v>García</v>
      </c>
      <c r="G5573" s="8">
        <v>1</v>
      </c>
      <c r="H5573" s="11">
        <v>400</v>
      </c>
      <c r="I5573" s="12">
        <v>43114</v>
      </c>
      <c r="J5573" s="35">
        <f t="shared" si="874"/>
        <v>0</v>
      </c>
      <c r="K5573" s="36"/>
      <c r="L5573" s="36"/>
      <c r="M5573" s="36"/>
      <c r="N5573" s="36"/>
      <c r="O5573" s="36"/>
      <c r="P5573" s="36"/>
      <c r="Q5573" s="36"/>
      <c r="R5573" s="36"/>
      <c r="S5573" s="36"/>
      <c r="T5573" s="36"/>
      <c r="U5573" s="36"/>
      <c r="V5573" s="36"/>
      <c r="W5573" s="15">
        <f t="shared" si="875"/>
        <v>0</v>
      </c>
      <c r="X5573" s="36"/>
      <c r="Y5573" s="36"/>
      <c r="Z5573" s="36"/>
      <c r="AA5573" s="36"/>
      <c r="AB5573" s="36"/>
      <c r="AC5573" s="36"/>
      <c r="AD5573" s="36"/>
      <c r="AE5573" s="36"/>
      <c r="AF5573" s="36"/>
      <c r="AG5573" s="36"/>
      <c r="AH5573" s="36"/>
      <c r="AI5573" s="36"/>
      <c r="AJ5573" s="15">
        <f t="shared" si="876"/>
        <v>0</v>
      </c>
      <c r="AK5573" s="14">
        <v>400</v>
      </c>
      <c r="AL5573" s="14"/>
      <c r="AM5573" s="14"/>
      <c r="AN5573" s="14"/>
      <c r="AO5573" s="14"/>
      <c r="AP5573" s="14"/>
      <c r="AQ5573" s="14"/>
      <c r="AR5573" s="14"/>
      <c r="AS5573" s="14"/>
      <c r="AT5573" s="14"/>
      <c r="AU5573" s="14"/>
      <c r="AV5573" s="14"/>
      <c r="AW5573" s="15">
        <f t="shared" si="877"/>
        <v>400</v>
      </c>
      <c r="AX5573" s="16"/>
      <c r="AY5573" s="112"/>
    </row>
    <row r="5574" spans="2:51" x14ac:dyDescent="0.2">
      <c r="B5574" s="7"/>
      <c r="C5574" s="8">
        <v>15746</v>
      </c>
      <c r="D5574" s="9" t="s">
        <v>687</v>
      </c>
      <c r="E5574" s="10" t="str">
        <f t="shared" si="872"/>
        <v>Rancho Upácuaro No. 21</v>
      </c>
      <c r="F5574" s="10" t="str">
        <f t="shared" si="873"/>
        <v>Fierro Betancourt</v>
      </c>
      <c r="G5574" s="8">
        <v>1</v>
      </c>
      <c r="H5574" s="11">
        <v>600</v>
      </c>
      <c r="I5574" s="12">
        <v>43114</v>
      </c>
      <c r="J5574" s="35">
        <f t="shared" si="874"/>
        <v>0</v>
      </c>
      <c r="K5574" s="36"/>
      <c r="L5574" s="36"/>
      <c r="M5574" s="36"/>
      <c r="N5574" s="36"/>
      <c r="O5574" s="36"/>
      <c r="P5574" s="36"/>
      <c r="Q5574" s="36"/>
      <c r="R5574" s="36"/>
      <c r="S5574" s="36"/>
      <c r="T5574" s="36"/>
      <c r="U5574" s="36"/>
      <c r="V5574" s="36"/>
      <c r="W5574" s="15">
        <f t="shared" si="875"/>
        <v>0</v>
      </c>
      <c r="X5574" s="36"/>
      <c r="Y5574" s="36"/>
      <c r="Z5574" s="36"/>
      <c r="AA5574" s="36"/>
      <c r="AB5574" s="36"/>
      <c r="AC5574" s="36"/>
      <c r="AD5574" s="36"/>
      <c r="AE5574" s="36"/>
      <c r="AF5574" s="36"/>
      <c r="AG5574" s="36"/>
      <c r="AH5574" s="36"/>
      <c r="AI5574" s="36">
        <v>200</v>
      </c>
      <c r="AJ5574" s="15">
        <f t="shared" si="876"/>
        <v>200</v>
      </c>
      <c r="AK5574" s="14">
        <v>200</v>
      </c>
      <c r="AL5574" s="14">
        <v>200</v>
      </c>
      <c r="AM5574" s="14"/>
      <c r="AN5574" s="14"/>
      <c r="AO5574" s="14"/>
      <c r="AP5574" s="14"/>
      <c r="AQ5574" s="14"/>
      <c r="AR5574" s="14"/>
      <c r="AS5574" s="14"/>
      <c r="AT5574" s="14"/>
      <c r="AU5574" s="14"/>
      <c r="AV5574" s="14"/>
      <c r="AW5574" s="15">
        <f t="shared" si="877"/>
        <v>400</v>
      </c>
      <c r="AX5574" s="16"/>
      <c r="AY5574" s="112"/>
    </row>
    <row r="5575" spans="2:51" x14ac:dyDescent="0.2">
      <c r="B5575" s="7"/>
      <c r="C5575" s="8">
        <v>15747</v>
      </c>
      <c r="D5575" s="9" t="s">
        <v>395</v>
      </c>
      <c r="E5575" s="10" t="str">
        <f t="shared" si="872"/>
        <v>Rancho Landero No. 7</v>
      </c>
      <c r="F5575" s="10" t="str">
        <f t="shared" si="873"/>
        <v>Robles</v>
      </c>
      <c r="G5575" s="8">
        <v>1</v>
      </c>
      <c r="H5575" s="11">
        <v>200</v>
      </c>
      <c r="I5575" s="12">
        <v>43114</v>
      </c>
      <c r="J5575" s="35">
        <f t="shared" si="874"/>
        <v>0</v>
      </c>
      <c r="K5575" s="36"/>
      <c r="L5575" s="36"/>
      <c r="M5575" s="36"/>
      <c r="N5575" s="36"/>
      <c r="O5575" s="36"/>
      <c r="P5575" s="36"/>
      <c r="Q5575" s="36"/>
      <c r="R5575" s="36"/>
      <c r="S5575" s="36"/>
      <c r="T5575" s="36"/>
      <c r="U5575" s="36"/>
      <c r="V5575" s="36"/>
      <c r="W5575" s="15">
        <f t="shared" si="875"/>
        <v>0</v>
      </c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15">
        <f t="shared" si="876"/>
        <v>0</v>
      </c>
      <c r="AK5575" s="14">
        <v>200</v>
      </c>
      <c r="AL5575" s="14"/>
      <c r="AM5575" s="14"/>
      <c r="AN5575" s="14"/>
      <c r="AO5575" s="14"/>
      <c r="AP5575" s="14"/>
      <c r="AQ5575" s="14"/>
      <c r="AR5575" s="14"/>
      <c r="AS5575" s="14"/>
      <c r="AT5575" s="14"/>
      <c r="AU5575" s="14"/>
      <c r="AV5575" s="14"/>
      <c r="AW5575" s="15">
        <f t="shared" si="877"/>
        <v>200</v>
      </c>
      <c r="AX5575" s="16"/>
      <c r="AY5575" s="112"/>
    </row>
    <row r="5576" spans="2:51" x14ac:dyDescent="0.2">
      <c r="B5576" s="7"/>
      <c r="C5576" s="8">
        <v>15748</v>
      </c>
      <c r="D5576" s="9" t="s">
        <v>1128</v>
      </c>
      <c r="E5576" s="10" t="str">
        <f t="shared" si="872"/>
        <v>Rancho Upácuaro No. 26</v>
      </c>
      <c r="F5576" s="10" t="str">
        <f t="shared" si="873"/>
        <v>Salazar</v>
      </c>
      <c r="G5576" s="8">
        <v>1</v>
      </c>
      <c r="H5576" s="11">
        <v>4400</v>
      </c>
      <c r="I5576" s="12">
        <v>43114</v>
      </c>
      <c r="J5576" s="35">
        <f t="shared" si="874"/>
        <v>0</v>
      </c>
      <c r="K5576" s="36"/>
      <c r="L5576" s="36"/>
      <c r="M5576" s="36"/>
      <c r="N5576" s="36"/>
      <c r="O5576" s="36"/>
      <c r="P5576" s="36"/>
      <c r="Q5576" s="36"/>
      <c r="R5576" s="36"/>
      <c r="S5576" s="36"/>
      <c r="T5576" s="36"/>
      <c r="U5576" s="36"/>
      <c r="V5576" s="36"/>
      <c r="W5576" s="15">
        <f t="shared" si="875"/>
        <v>0</v>
      </c>
      <c r="X5576" s="36"/>
      <c r="Y5576" s="36"/>
      <c r="Z5576" s="36"/>
      <c r="AA5576" s="36"/>
      <c r="AB5576" s="36"/>
      <c r="AC5576" s="36"/>
      <c r="AD5576" s="36"/>
      <c r="AE5576" s="36"/>
      <c r="AF5576" s="36"/>
      <c r="AG5576" s="36"/>
      <c r="AH5576" s="36"/>
      <c r="AI5576" s="36"/>
      <c r="AJ5576" s="15">
        <f t="shared" si="876"/>
        <v>0</v>
      </c>
      <c r="AK5576" s="14">
        <v>400</v>
      </c>
      <c r="AL5576" s="14">
        <v>400</v>
      </c>
      <c r="AM5576" s="14">
        <v>400</v>
      </c>
      <c r="AN5576" s="14">
        <v>400</v>
      </c>
      <c r="AO5576" s="14">
        <v>400</v>
      </c>
      <c r="AP5576" s="14">
        <v>400</v>
      </c>
      <c r="AQ5576" s="14">
        <v>400</v>
      </c>
      <c r="AR5576" s="14">
        <v>400</v>
      </c>
      <c r="AS5576" s="14">
        <v>400</v>
      </c>
      <c r="AT5576" s="14">
        <v>400</v>
      </c>
      <c r="AU5576" s="14">
        <v>400</v>
      </c>
      <c r="AV5576" s="14"/>
      <c r="AW5576" s="15">
        <f t="shared" si="877"/>
        <v>4400</v>
      </c>
      <c r="AX5576" s="16" t="s">
        <v>4876</v>
      </c>
      <c r="AY5576" s="112"/>
    </row>
    <row r="5577" spans="2:51" x14ac:dyDescent="0.2">
      <c r="B5577" s="7"/>
      <c r="C5577" s="8">
        <v>15749</v>
      </c>
      <c r="D5577" s="9" t="s">
        <v>541</v>
      </c>
      <c r="E5577" s="10" t="str">
        <f t="shared" ref="E5577:E5589" si="878">IF(D5577=0,"",VLOOKUP(D5577,BASE,2,FALSE))</f>
        <v>Rancho Estanzuela No. 103, B</v>
      </c>
      <c r="F5577" s="10" t="str">
        <f t="shared" ref="F5577:F5589" si="879">IF(D5577=0,"",VLOOKUP(D5577,BASE,3,FALSE))</f>
        <v>Olivares Flores</v>
      </c>
      <c r="G5577" s="8">
        <v>1</v>
      </c>
      <c r="H5577" s="11">
        <v>400</v>
      </c>
      <c r="I5577" s="12">
        <v>43114</v>
      </c>
      <c r="J5577" s="35">
        <f t="shared" ref="J5577:J5589" si="880">IF(G5577=1,SUM(W5577,AJ5577,AW5577,-H5577),0)</f>
        <v>0</v>
      </c>
      <c r="K5577" s="36"/>
      <c r="L5577" s="36"/>
      <c r="M5577" s="36"/>
      <c r="N5577" s="36"/>
      <c r="O5577" s="36"/>
      <c r="P5577" s="36"/>
      <c r="Q5577" s="36"/>
      <c r="R5577" s="36"/>
      <c r="S5577" s="36"/>
      <c r="T5577" s="36"/>
      <c r="U5577" s="36"/>
      <c r="V5577" s="36"/>
      <c r="W5577" s="15">
        <f t="shared" ref="W5577:W5589" si="881">SUM(K5577:V5577)</f>
        <v>0</v>
      </c>
      <c r="X5577" s="36"/>
      <c r="Y5577" s="36"/>
      <c r="Z5577" s="36"/>
      <c r="AA5577" s="36"/>
      <c r="AB5577" s="36"/>
      <c r="AC5577" s="36"/>
      <c r="AD5577" s="36"/>
      <c r="AE5577" s="36"/>
      <c r="AF5577" s="36"/>
      <c r="AG5577" s="36"/>
      <c r="AH5577" s="36"/>
      <c r="AI5577" s="36"/>
      <c r="AJ5577" s="15">
        <f t="shared" ref="AJ5577:AJ5589" si="882">SUM(X5577:AI5577)</f>
        <v>0</v>
      </c>
      <c r="AK5577" s="14">
        <v>400</v>
      </c>
      <c r="AL5577" s="14"/>
      <c r="AM5577" s="14"/>
      <c r="AN5577" s="14"/>
      <c r="AO5577" s="14"/>
      <c r="AP5577" s="14"/>
      <c r="AQ5577" s="14"/>
      <c r="AR5577" s="14"/>
      <c r="AS5577" s="14"/>
      <c r="AT5577" s="14"/>
      <c r="AU5577" s="14"/>
      <c r="AV5577" s="14"/>
      <c r="AW5577" s="15">
        <f t="shared" ref="AW5577:AW5589" si="883">SUM(AK5577:AV5577)</f>
        <v>400</v>
      </c>
      <c r="AX5577" s="16"/>
      <c r="AY5577" s="112"/>
    </row>
    <row r="5578" spans="2:51" x14ac:dyDescent="0.2">
      <c r="B5578" s="7"/>
      <c r="C5578" s="8">
        <v>15750</v>
      </c>
      <c r="D5578" s="9" t="s">
        <v>797</v>
      </c>
      <c r="E5578" s="10" t="str">
        <f t="shared" si="878"/>
        <v>Rancho Recoveco No. 195</v>
      </c>
      <c r="F5578" s="10" t="str">
        <f t="shared" si="879"/>
        <v>Sandoval</v>
      </c>
      <c r="G5578" s="8">
        <v>1</v>
      </c>
      <c r="H5578" s="11">
        <v>250</v>
      </c>
      <c r="I5578" s="12">
        <v>43114</v>
      </c>
      <c r="J5578" s="35">
        <f t="shared" si="880"/>
        <v>0</v>
      </c>
      <c r="K5578" s="36"/>
      <c r="L5578" s="36"/>
      <c r="M5578" s="36"/>
      <c r="N5578" s="36"/>
      <c r="O5578" s="36"/>
      <c r="P5578" s="36"/>
      <c r="Q5578" s="36"/>
      <c r="R5578" s="36"/>
      <c r="S5578" s="36"/>
      <c r="T5578" s="36"/>
      <c r="U5578" s="36"/>
      <c r="V5578" s="36"/>
      <c r="W5578" s="15">
        <f t="shared" si="881"/>
        <v>0</v>
      </c>
      <c r="X5578" s="36"/>
      <c r="Y5578" s="36"/>
      <c r="Z5578" s="36"/>
      <c r="AA5578" s="36"/>
      <c r="AB5578" s="36"/>
      <c r="AC5578" s="36"/>
      <c r="AD5578" s="36"/>
      <c r="AE5578" s="36"/>
      <c r="AF5578" s="36"/>
      <c r="AG5578" s="36"/>
      <c r="AH5578" s="36"/>
      <c r="AI5578" s="36"/>
      <c r="AJ5578" s="15">
        <f t="shared" si="882"/>
        <v>0</v>
      </c>
      <c r="AK5578" s="14">
        <v>250</v>
      </c>
      <c r="AL5578" s="14"/>
      <c r="AM5578" s="14"/>
      <c r="AN5578" s="14"/>
      <c r="AO5578" s="14"/>
      <c r="AP5578" s="14"/>
      <c r="AQ5578" s="14"/>
      <c r="AR5578" s="14"/>
      <c r="AS5578" s="14"/>
      <c r="AT5578" s="14"/>
      <c r="AU5578" s="14"/>
      <c r="AV5578" s="14"/>
      <c r="AW5578" s="15">
        <f t="shared" si="883"/>
        <v>250</v>
      </c>
      <c r="AX5578" s="16"/>
      <c r="AY5578" s="112"/>
    </row>
    <row r="5579" spans="2:51" x14ac:dyDescent="0.2">
      <c r="B5579" s="7"/>
      <c r="C5579" s="8">
        <v>15751</v>
      </c>
      <c r="D5579" s="9" t="s">
        <v>458</v>
      </c>
      <c r="E5579" s="10" t="str">
        <f t="shared" si="878"/>
        <v>Rancho Estanzuela No. 143, B</v>
      </c>
      <c r="F5579" s="10" t="str">
        <f t="shared" si="879"/>
        <v>López</v>
      </c>
      <c r="G5579" s="8">
        <v>1</v>
      </c>
      <c r="H5579" s="11">
        <v>400</v>
      </c>
      <c r="I5579" s="12">
        <v>43114</v>
      </c>
      <c r="J5579" s="35">
        <f t="shared" si="880"/>
        <v>0</v>
      </c>
      <c r="K5579" s="36"/>
      <c r="L5579" s="36"/>
      <c r="M5579" s="36"/>
      <c r="N5579" s="36"/>
      <c r="O5579" s="36"/>
      <c r="P5579" s="36"/>
      <c r="Q5579" s="36"/>
      <c r="R5579" s="36"/>
      <c r="S5579" s="36"/>
      <c r="T5579" s="36"/>
      <c r="U5579" s="36"/>
      <c r="V5579" s="36"/>
      <c r="W5579" s="15">
        <f t="shared" si="881"/>
        <v>0</v>
      </c>
      <c r="X5579" s="36"/>
      <c r="Y5579" s="36"/>
      <c r="Z5579" s="36"/>
      <c r="AA5579" s="36"/>
      <c r="AB5579" s="36"/>
      <c r="AC5579" s="36"/>
      <c r="AD5579" s="36"/>
      <c r="AE5579" s="36"/>
      <c r="AF5579" s="36"/>
      <c r="AG5579" s="36"/>
      <c r="AH5579" s="36"/>
      <c r="AI5579" s="36"/>
      <c r="AJ5579" s="15">
        <f t="shared" si="882"/>
        <v>0</v>
      </c>
      <c r="AK5579" s="14">
        <v>400</v>
      </c>
      <c r="AL5579" s="14"/>
      <c r="AM5579" s="14"/>
      <c r="AN5579" s="14"/>
      <c r="AO5579" s="14"/>
      <c r="AP5579" s="14"/>
      <c r="AQ5579" s="14"/>
      <c r="AR5579" s="14"/>
      <c r="AS5579" s="14"/>
      <c r="AT5579" s="14"/>
      <c r="AU5579" s="14"/>
      <c r="AV5579" s="14"/>
      <c r="AW5579" s="15">
        <f t="shared" si="883"/>
        <v>400</v>
      </c>
      <c r="AX5579" s="16"/>
      <c r="AY5579" s="112"/>
    </row>
    <row r="5580" spans="2:51" x14ac:dyDescent="0.2">
      <c r="B5580" s="7"/>
      <c r="C5580" s="8">
        <v>15752</v>
      </c>
      <c r="D5580" s="9" t="s">
        <v>728</v>
      </c>
      <c r="E5580" s="10" t="str">
        <f t="shared" si="878"/>
        <v>Rancho Estanzuela No. 77</v>
      </c>
      <c r="F5580" s="10" t="str">
        <f t="shared" si="879"/>
        <v>De la Rosa Rico</v>
      </c>
      <c r="G5580" s="8">
        <v>1</v>
      </c>
      <c r="H5580" s="11">
        <v>800</v>
      </c>
      <c r="I5580" s="12">
        <v>43114</v>
      </c>
      <c r="J5580" s="35">
        <f t="shared" si="880"/>
        <v>0</v>
      </c>
      <c r="K5580" s="36"/>
      <c r="L5580" s="36"/>
      <c r="M5580" s="36"/>
      <c r="N5580" s="36"/>
      <c r="O5580" s="36"/>
      <c r="P5580" s="36"/>
      <c r="Q5580" s="36"/>
      <c r="R5580" s="36"/>
      <c r="S5580" s="36"/>
      <c r="T5580" s="36"/>
      <c r="U5580" s="36"/>
      <c r="V5580" s="36"/>
      <c r="W5580" s="15">
        <f t="shared" si="881"/>
        <v>0</v>
      </c>
      <c r="X5580" s="36"/>
      <c r="Y5580" s="36"/>
      <c r="Z5580" s="36"/>
      <c r="AA5580" s="36"/>
      <c r="AB5580" s="36"/>
      <c r="AC5580" s="36"/>
      <c r="AD5580" s="36"/>
      <c r="AE5580" s="36"/>
      <c r="AF5580" s="36"/>
      <c r="AG5580" s="36"/>
      <c r="AH5580" s="36">
        <v>400</v>
      </c>
      <c r="AI5580" s="36">
        <v>400</v>
      </c>
      <c r="AJ5580" s="15">
        <f t="shared" si="882"/>
        <v>800</v>
      </c>
      <c r="AK5580" s="14"/>
      <c r="AL5580" s="14"/>
      <c r="AM5580" s="14"/>
      <c r="AN5580" s="14"/>
      <c r="AO5580" s="14"/>
      <c r="AP5580" s="14"/>
      <c r="AQ5580" s="14"/>
      <c r="AR5580" s="14"/>
      <c r="AS5580" s="14"/>
      <c r="AT5580" s="14"/>
      <c r="AU5580" s="14"/>
      <c r="AV5580" s="14"/>
      <c r="AW5580" s="15">
        <f t="shared" si="883"/>
        <v>0</v>
      </c>
      <c r="AX5580" s="16"/>
      <c r="AY5580" s="112"/>
    </row>
    <row r="5581" spans="2:51" x14ac:dyDescent="0.2">
      <c r="B5581" s="7"/>
      <c r="C5581" s="8">
        <v>15753</v>
      </c>
      <c r="D5581" s="9" t="s">
        <v>858</v>
      </c>
      <c r="E5581" s="10" t="str">
        <f t="shared" si="878"/>
        <v>Rancho Landero No. 45</v>
      </c>
      <c r="F5581" s="10" t="str">
        <f t="shared" si="879"/>
        <v>Solano</v>
      </c>
      <c r="G5581" s="8">
        <v>1</v>
      </c>
      <c r="H5581" s="11">
        <v>800</v>
      </c>
      <c r="I5581" s="12">
        <v>43114</v>
      </c>
      <c r="J5581" s="35">
        <f t="shared" si="880"/>
        <v>0</v>
      </c>
      <c r="K5581" s="36"/>
      <c r="L5581" s="36"/>
      <c r="M5581" s="36"/>
      <c r="N5581" s="36"/>
      <c r="O5581" s="36"/>
      <c r="P5581" s="36"/>
      <c r="Q5581" s="36"/>
      <c r="R5581" s="36"/>
      <c r="S5581" s="36"/>
      <c r="T5581" s="36"/>
      <c r="U5581" s="36"/>
      <c r="V5581" s="36"/>
      <c r="W5581" s="15">
        <f t="shared" si="881"/>
        <v>0</v>
      </c>
      <c r="X5581" s="36"/>
      <c r="Y5581" s="36"/>
      <c r="Z5581" s="36"/>
      <c r="AA5581" s="36"/>
      <c r="AB5581" s="36"/>
      <c r="AC5581" s="36"/>
      <c r="AD5581" s="36"/>
      <c r="AE5581" s="36"/>
      <c r="AF5581" s="36"/>
      <c r="AG5581" s="36"/>
      <c r="AH5581" s="36"/>
      <c r="AI5581" s="36"/>
      <c r="AJ5581" s="15">
        <f t="shared" si="882"/>
        <v>0</v>
      </c>
      <c r="AK5581" s="14">
        <v>400</v>
      </c>
      <c r="AL5581" s="14">
        <v>400</v>
      </c>
      <c r="AM5581" s="14"/>
      <c r="AN5581" s="14"/>
      <c r="AO5581" s="14"/>
      <c r="AP5581" s="14"/>
      <c r="AQ5581" s="14"/>
      <c r="AR5581" s="14"/>
      <c r="AS5581" s="14"/>
      <c r="AT5581" s="14"/>
      <c r="AU5581" s="14"/>
      <c r="AV5581" s="14"/>
      <c r="AW5581" s="15">
        <f t="shared" si="883"/>
        <v>800</v>
      </c>
      <c r="AX5581" s="16"/>
      <c r="AY5581" s="112"/>
    </row>
    <row r="5582" spans="2:51" x14ac:dyDescent="0.2">
      <c r="B5582" s="7"/>
      <c r="C5582" s="8">
        <v>15754</v>
      </c>
      <c r="D5582" s="9" t="s">
        <v>156</v>
      </c>
      <c r="E5582" s="10" t="str">
        <f t="shared" si="878"/>
        <v>Rancho Zinamba No. 80</v>
      </c>
      <c r="F5582" s="10" t="str">
        <f t="shared" si="879"/>
        <v>Vázquez</v>
      </c>
      <c r="G5582" s="8">
        <v>1</v>
      </c>
      <c r="H5582" s="11">
        <v>300</v>
      </c>
      <c r="I5582" s="12">
        <v>43114</v>
      </c>
      <c r="J5582" s="35">
        <f t="shared" si="880"/>
        <v>0</v>
      </c>
      <c r="K5582" s="36"/>
      <c r="L5582" s="36"/>
      <c r="M5582" s="36"/>
      <c r="N5582" s="36"/>
      <c r="O5582" s="36"/>
      <c r="P5582" s="36"/>
      <c r="Q5582" s="36"/>
      <c r="R5582" s="36"/>
      <c r="S5582" s="36"/>
      <c r="T5582" s="36"/>
      <c r="U5582" s="36"/>
      <c r="V5582" s="36"/>
      <c r="W5582" s="15">
        <f t="shared" si="881"/>
        <v>0</v>
      </c>
      <c r="X5582" s="36"/>
      <c r="Y5582" s="36"/>
      <c r="Z5582" s="36"/>
      <c r="AA5582" s="36"/>
      <c r="AB5582" s="36"/>
      <c r="AC5582" s="36"/>
      <c r="AD5582" s="36"/>
      <c r="AE5582" s="36"/>
      <c r="AF5582" s="36"/>
      <c r="AG5582" s="36"/>
      <c r="AH5582" s="36"/>
      <c r="AI5582" s="36"/>
      <c r="AJ5582" s="15">
        <f t="shared" si="882"/>
        <v>0</v>
      </c>
      <c r="AK5582" s="14">
        <v>300</v>
      </c>
      <c r="AL5582" s="14"/>
      <c r="AM5582" s="14"/>
      <c r="AN5582" s="14"/>
      <c r="AO5582" s="14"/>
      <c r="AP5582" s="14"/>
      <c r="AQ5582" s="14"/>
      <c r="AR5582" s="14"/>
      <c r="AS5582" s="14"/>
      <c r="AT5582" s="14"/>
      <c r="AU5582" s="14"/>
      <c r="AV5582" s="14"/>
      <c r="AW5582" s="15">
        <f t="shared" si="883"/>
        <v>300</v>
      </c>
      <c r="AX5582" s="316">
        <f>SUM(H5541:H5582)</f>
        <v>35450</v>
      </c>
      <c r="AY5582" s="112"/>
    </row>
    <row r="5583" spans="2:51" x14ac:dyDescent="0.2">
      <c r="B5583" s="7"/>
      <c r="C5583" s="8">
        <v>15755</v>
      </c>
      <c r="D5583" s="9" t="s">
        <v>944</v>
      </c>
      <c r="E5583" s="10" t="str">
        <f t="shared" si="878"/>
        <v>Rancho Upácuaro No. 104</v>
      </c>
      <c r="F5583" s="10" t="str">
        <f t="shared" si="879"/>
        <v>Jiménez Almazo</v>
      </c>
      <c r="G5583" s="8">
        <v>4</v>
      </c>
      <c r="H5583" s="315">
        <v>200</v>
      </c>
      <c r="I5583" s="12">
        <v>43115</v>
      </c>
      <c r="J5583" s="35">
        <f t="shared" si="880"/>
        <v>0</v>
      </c>
      <c r="K5583" s="36"/>
      <c r="L5583" s="36"/>
      <c r="M5583" s="36"/>
      <c r="N5583" s="36"/>
      <c r="O5583" s="36"/>
      <c r="P5583" s="36"/>
      <c r="Q5583" s="36"/>
      <c r="R5583" s="36"/>
      <c r="S5583" s="36"/>
      <c r="T5583" s="36"/>
      <c r="U5583" s="36"/>
      <c r="V5583" s="36"/>
      <c r="W5583" s="15">
        <f t="shared" si="881"/>
        <v>0</v>
      </c>
      <c r="X5583" s="36"/>
      <c r="Y5583" s="36"/>
      <c r="Z5583" s="36"/>
      <c r="AA5583" s="36"/>
      <c r="AB5583" s="36"/>
      <c r="AC5583" s="36"/>
      <c r="AD5583" s="36"/>
      <c r="AE5583" s="36"/>
      <c r="AF5583" s="36"/>
      <c r="AG5583" s="36"/>
      <c r="AH5583" s="36"/>
      <c r="AI5583" s="36"/>
      <c r="AJ5583" s="15">
        <f t="shared" si="882"/>
        <v>0</v>
      </c>
      <c r="AK5583" s="14"/>
      <c r="AL5583" s="14"/>
      <c r="AM5583" s="14"/>
      <c r="AN5583" s="14"/>
      <c r="AO5583" s="14"/>
      <c r="AP5583" s="14"/>
      <c r="AQ5583" s="14"/>
      <c r="AR5583" s="14"/>
      <c r="AS5583" s="14"/>
      <c r="AT5583" s="14"/>
      <c r="AU5583" s="14"/>
      <c r="AV5583" s="14"/>
      <c r="AW5583" s="15">
        <f t="shared" si="883"/>
        <v>0</v>
      </c>
      <c r="AX5583" s="16" t="s">
        <v>4903</v>
      </c>
      <c r="AY5583" s="112"/>
    </row>
    <row r="5584" spans="2:51" x14ac:dyDescent="0.2">
      <c r="B5584" s="7"/>
      <c r="C5584" s="8">
        <v>15755</v>
      </c>
      <c r="D5584" s="9" t="s">
        <v>944</v>
      </c>
      <c r="E5584" s="10" t="str">
        <f t="shared" si="878"/>
        <v>Rancho Upácuaro No. 104</v>
      </c>
      <c r="F5584" s="10" t="str">
        <f t="shared" si="879"/>
        <v>Jiménez Almazo</v>
      </c>
      <c r="G5584" s="8">
        <v>5</v>
      </c>
      <c r="H5584" s="11">
        <v>50</v>
      </c>
      <c r="I5584" s="12">
        <v>43115</v>
      </c>
      <c r="J5584" s="35">
        <f t="shared" si="880"/>
        <v>0</v>
      </c>
      <c r="K5584" s="36"/>
      <c r="L5584" s="36"/>
      <c r="M5584" s="36"/>
      <c r="N5584" s="36"/>
      <c r="O5584" s="36"/>
      <c r="P5584" s="36"/>
      <c r="Q5584" s="36"/>
      <c r="R5584" s="36"/>
      <c r="S5584" s="36"/>
      <c r="T5584" s="36"/>
      <c r="U5584" s="36"/>
      <c r="V5584" s="36"/>
      <c r="W5584" s="15">
        <f t="shared" si="881"/>
        <v>0</v>
      </c>
      <c r="X5584" s="36"/>
      <c r="Y5584" s="36"/>
      <c r="Z5584" s="36"/>
      <c r="AA5584" s="36"/>
      <c r="AB5584" s="36"/>
      <c r="AC5584" s="36"/>
      <c r="AD5584" s="36"/>
      <c r="AE5584" s="36"/>
      <c r="AF5584" s="36"/>
      <c r="AG5584" s="36"/>
      <c r="AH5584" s="36"/>
      <c r="AI5584" s="36"/>
      <c r="AJ5584" s="15">
        <f t="shared" si="882"/>
        <v>0</v>
      </c>
      <c r="AK5584" s="14"/>
      <c r="AL5584" s="14"/>
      <c r="AM5584" s="14"/>
      <c r="AN5584" s="14"/>
      <c r="AO5584" s="14"/>
      <c r="AP5584" s="14"/>
      <c r="AQ5584" s="14"/>
      <c r="AR5584" s="14"/>
      <c r="AS5584" s="14"/>
      <c r="AT5584" s="14"/>
      <c r="AU5584" s="14"/>
      <c r="AV5584" s="14"/>
      <c r="AW5584" s="15">
        <f t="shared" si="883"/>
        <v>0</v>
      </c>
      <c r="AX5584" s="16"/>
      <c r="AY5584" s="112"/>
    </row>
    <row r="5585" spans="2:51" x14ac:dyDescent="0.2">
      <c r="B5585" s="7"/>
      <c r="C5585" s="390">
        <v>15756</v>
      </c>
      <c r="D5585" s="9" t="s">
        <v>217</v>
      </c>
      <c r="E5585" s="10" t="str">
        <f t="shared" si="878"/>
        <v>Rancho Recoveco No. 173</v>
      </c>
      <c r="F5585" s="10" t="str">
        <f t="shared" si="879"/>
        <v>Velarde</v>
      </c>
      <c r="G5585" s="8">
        <v>1</v>
      </c>
      <c r="H5585" s="11">
        <v>900</v>
      </c>
      <c r="I5585" s="12">
        <v>43115</v>
      </c>
      <c r="J5585" s="35">
        <f t="shared" si="880"/>
        <v>0</v>
      </c>
      <c r="K5585" s="36"/>
      <c r="L5585" s="36"/>
      <c r="M5585" s="36"/>
      <c r="N5585" s="36"/>
      <c r="O5585" s="36"/>
      <c r="P5585" s="36"/>
      <c r="Q5585" s="36"/>
      <c r="R5585" s="36"/>
      <c r="S5585" s="36"/>
      <c r="T5585" s="36"/>
      <c r="U5585" s="36"/>
      <c r="V5585" s="36"/>
      <c r="W5585" s="15">
        <f t="shared" si="881"/>
        <v>0</v>
      </c>
      <c r="X5585" s="36"/>
      <c r="Y5585" s="36"/>
      <c r="Z5585" s="36"/>
      <c r="AA5585" s="36"/>
      <c r="AB5585" s="36"/>
      <c r="AC5585" s="36"/>
      <c r="AD5585" s="36"/>
      <c r="AE5585" s="36"/>
      <c r="AF5585" s="36"/>
      <c r="AG5585" s="36"/>
      <c r="AH5585" s="36"/>
      <c r="AI5585" s="36"/>
      <c r="AJ5585" s="15">
        <f t="shared" si="882"/>
        <v>0</v>
      </c>
      <c r="AK5585" s="14">
        <v>300</v>
      </c>
      <c r="AL5585" s="14">
        <v>300</v>
      </c>
      <c r="AM5585" s="14">
        <v>300</v>
      </c>
      <c r="AN5585" s="14"/>
      <c r="AO5585" s="14"/>
      <c r="AP5585" s="14"/>
      <c r="AQ5585" s="14"/>
      <c r="AR5585" s="14"/>
      <c r="AS5585" s="14"/>
      <c r="AT5585" s="14"/>
      <c r="AU5585" s="14"/>
      <c r="AV5585" s="14"/>
      <c r="AW5585" s="15">
        <f t="shared" si="883"/>
        <v>900</v>
      </c>
      <c r="AX5585" s="16"/>
      <c r="AY5585" s="112"/>
    </row>
    <row r="5586" spans="2:51" x14ac:dyDescent="0.2">
      <c r="B5586" s="7"/>
      <c r="C5586" s="8">
        <v>15757</v>
      </c>
      <c r="D5586" s="9" t="s">
        <v>1391</v>
      </c>
      <c r="E5586" s="10" t="str">
        <f t="shared" si="878"/>
        <v>Rancho Landero No. 54, 1</v>
      </c>
      <c r="F5586" s="10" t="str">
        <f t="shared" si="879"/>
        <v>Montes de Oca</v>
      </c>
      <c r="G5586" s="8">
        <v>1</v>
      </c>
      <c r="H5586" s="11">
        <v>200</v>
      </c>
      <c r="I5586" s="12">
        <v>43115</v>
      </c>
      <c r="J5586" s="35">
        <f t="shared" si="880"/>
        <v>0</v>
      </c>
      <c r="K5586" s="36"/>
      <c r="L5586" s="36"/>
      <c r="M5586" s="36"/>
      <c r="N5586" s="36"/>
      <c r="O5586" s="36"/>
      <c r="P5586" s="36"/>
      <c r="Q5586" s="36"/>
      <c r="R5586" s="36"/>
      <c r="S5586" s="36"/>
      <c r="T5586" s="36"/>
      <c r="U5586" s="36"/>
      <c r="V5586" s="36"/>
      <c r="W5586" s="15">
        <f t="shared" si="881"/>
        <v>0</v>
      </c>
      <c r="X5586" s="36"/>
      <c r="Y5586" s="36"/>
      <c r="Z5586" s="36"/>
      <c r="AA5586" s="36"/>
      <c r="AB5586" s="36"/>
      <c r="AC5586" s="36"/>
      <c r="AD5586" s="36"/>
      <c r="AE5586" s="36"/>
      <c r="AF5586" s="36"/>
      <c r="AG5586" s="36"/>
      <c r="AH5586" s="36"/>
      <c r="AI5586" s="36"/>
      <c r="AJ5586" s="15">
        <f t="shared" si="882"/>
        <v>0</v>
      </c>
      <c r="AK5586" s="14">
        <v>200</v>
      </c>
      <c r="AL5586" s="14"/>
      <c r="AM5586" s="14"/>
      <c r="AN5586" s="14"/>
      <c r="AO5586" s="14"/>
      <c r="AP5586" s="14"/>
      <c r="AQ5586" s="14"/>
      <c r="AR5586" s="14"/>
      <c r="AS5586" s="14"/>
      <c r="AT5586" s="14"/>
      <c r="AU5586" s="14"/>
      <c r="AV5586" s="14"/>
      <c r="AW5586" s="15">
        <f t="shared" si="883"/>
        <v>200</v>
      </c>
      <c r="AX5586" s="16"/>
      <c r="AY5586" s="112"/>
    </row>
    <row r="5587" spans="2:51" x14ac:dyDescent="0.2">
      <c r="B5587" s="7"/>
      <c r="C5587" s="8">
        <v>15758</v>
      </c>
      <c r="D5587" s="9" t="s">
        <v>1391</v>
      </c>
      <c r="E5587" s="10" t="str">
        <f t="shared" si="878"/>
        <v>Rancho Landero No. 54, 1</v>
      </c>
      <c r="F5587" s="10" t="str">
        <f t="shared" si="879"/>
        <v>Montes de Oca</v>
      </c>
      <c r="G5587" s="8">
        <v>4</v>
      </c>
      <c r="H5587" s="11">
        <v>200</v>
      </c>
      <c r="I5587" s="12">
        <v>43115</v>
      </c>
      <c r="J5587" s="35">
        <f t="shared" si="880"/>
        <v>0</v>
      </c>
      <c r="K5587" s="36"/>
      <c r="L5587" s="36"/>
      <c r="M5587" s="36"/>
      <c r="N5587" s="36"/>
      <c r="O5587" s="36"/>
      <c r="P5587" s="36"/>
      <c r="Q5587" s="36"/>
      <c r="R5587" s="36"/>
      <c r="S5587" s="36"/>
      <c r="T5587" s="36"/>
      <c r="U5587" s="36"/>
      <c r="V5587" s="36"/>
      <c r="W5587" s="15">
        <f t="shared" si="881"/>
        <v>0</v>
      </c>
      <c r="X5587" s="36"/>
      <c r="Y5587" s="36"/>
      <c r="Z5587" s="36"/>
      <c r="AA5587" s="36"/>
      <c r="AB5587" s="36"/>
      <c r="AC5587" s="36"/>
      <c r="AD5587" s="36"/>
      <c r="AE5587" s="36"/>
      <c r="AF5587" s="36"/>
      <c r="AG5587" s="36"/>
      <c r="AH5587" s="36"/>
      <c r="AI5587" s="36"/>
      <c r="AJ5587" s="15">
        <f t="shared" si="882"/>
        <v>0</v>
      </c>
      <c r="AK5587" s="14"/>
      <c r="AL5587" s="14"/>
      <c r="AM5587" s="14"/>
      <c r="AN5587" s="14"/>
      <c r="AO5587" s="14"/>
      <c r="AP5587" s="14"/>
      <c r="AQ5587" s="14"/>
      <c r="AR5587" s="14"/>
      <c r="AS5587" s="14"/>
      <c r="AT5587" s="14"/>
      <c r="AU5587" s="14"/>
      <c r="AV5587" s="14"/>
      <c r="AW5587" s="15">
        <f t="shared" si="883"/>
        <v>0</v>
      </c>
      <c r="AX5587" s="16" t="s">
        <v>4902</v>
      </c>
      <c r="AY5587" s="112"/>
    </row>
    <row r="5588" spans="2:51" x14ac:dyDescent="0.2">
      <c r="B5588" s="7"/>
      <c r="C5588" s="8">
        <v>15759</v>
      </c>
      <c r="D5588" s="9" t="s">
        <v>1391</v>
      </c>
      <c r="E5588" s="10" t="str">
        <f t="shared" si="878"/>
        <v>Rancho Landero No. 54, 1</v>
      </c>
      <c r="F5588" s="10" t="str">
        <f t="shared" si="879"/>
        <v>Montes de Oca</v>
      </c>
      <c r="G5588" s="8">
        <v>3</v>
      </c>
      <c r="H5588" s="11">
        <v>200</v>
      </c>
      <c r="I5588" s="12">
        <v>43115</v>
      </c>
      <c r="J5588" s="35">
        <f t="shared" si="880"/>
        <v>0</v>
      </c>
      <c r="K5588" s="36"/>
      <c r="L5588" s="36"/>
      <c r="M5588" s="36"/>
      <c r="N5588" s="36"/>
      <c r="O5588" s="36"/>
      <c r="P5588" s="36"/>
      <c r="Q5588" s="36"/>
      <c r="R5588" s="36"/>
      <c r="S5588" s="36"/>
      <c r="T5588" s="36"/>
      <c r="U5588" s="36"/>
      <c r="V5588" s="36"/>
      <c r="W5588" s="15">
        <f t="shared" si="881"/>
        <v>0</v>
      </c>
      <c r="X5588" s="36"/>
      <c r="Y5588" s="36"/>
      <c r="Z5588" s="36"/>
      <c r="AA5588" s="36"/>
      <c r="AB5588" s="36"/>
      <c r="AC5588" s="36"/>
      <c r="AD5588" s="36"/>
      <c r="AE5588" s="36"/>
      <c r="AF5588" s="36"/>
      <c r="AG5588" s="36"/>
      <c r="AH5588" s="36"/>
      <c r="AI5588" s="36"/>
      <c r="AJ5588" s="15">
        <f t="shared" si="882"/>
        <v>0</v>
      </c>
      <c r="AK5588" s="14"/>
      <c r="AL5588" s="14"/>
      <c r="AM5588" s="14"/>
      <c r="AN5588" s="14"/>
      <c r="AO5588" s="14"/>
      <c r="AP5588" s="14"/>
      <c r="AQ5588" s="14"/>
      <c r="AR5588" s="14"/>
      <c r="AS5588" s="14"/>
      <c r="AT5588" s="14"/>
      <c r="AU5588" s="14"/>
      <c r="AV5588" s="14"/>
      <c r="AW5588" s="15">
        <f t="shared" si="883"/>
        <v>0</v>
      </c>
      <c r="AX5588" s="16"/>
      <c r="AY5588" s="112"/>
    </row>
    <row r="5589" spans="2:51" x14ac:dyDescent="0.2">
      <c r="B5589" s="7"/>
      <c r="C5589" s="8">
        <v>15759</v>
      </c>
      <c r="D5589" s="9" t="s">
        <v>1391</v>
      </c>
      <c r="E5589" s="10" t="str">
        <f t="shared" si="878"/>
        <v>Rancho Landero No. 54, 1</v>
      </c>
      <c r="F5589" s="10" t="str">
        <f t="shared" si="879"/>
        <v>Montes de Oca</v>
      </c>
      <c r="G5589" s="8">
        <v>5</v>
      </c>
      <c r="H5589" s="11">
        <v>50</v>
      </c>
      <c r="I5589" s="12">
        <v>43115</v>
      </c>
      <c r="J5589" s="35">
        <f t="shared" si="880"/>
        <v>0</v>
      </c>
      <c r="K5589" s="36"/>
      <c r="L5589" s="36"/>
      <c r="M5589" s="36"/>
      <c r="N5589" s="36"/>
      <c r="O5589" s="36"/>
      <c r="P5589" s="36"/>
      <c r="Q5589" s="36"/>
      <c r="R5589" s="36"/>
      <c r="S5589" s="36"/>
      <c r="T5589" s="36"/>
      <c r="U5589" s="36"/>
      <c r="V5589" s="36"/>
      <c r="W5589" s="15">
        <f t="shared" si="881"/>
        <v>0</v>
      </c>
      <c r="X5589" s="36"/>
      <c r="Y5589" s="36"/>
      <c r="Z5589" s="36"/>
      <c r="AA5589" s="36"/>
      <c r="AB5589" s="36"/>
      <c r="AC5589" s="36"/>
      <c r="AD5589" s="36"/>
      <c r="AE5589" s="36"/>
      <c r="AF5589" s="36"/>
      <c r="AG5589" s="36"/>
      <c r="AH5589" s="36"/>
      <c r="AI5589" s="36"/>
      <c r="AJ5589" s="15">
        <f t="shared" si="882"/>
        <v>0</v>
      </c>
      <c r="AK5589" s="14"/>
      <c r="AL5589" s="14"/>
      <c r="AM5589" s="14"/>
      <c r="AN5589" s="14"/>
      <c r="AO5589" s="14"/>
      <c r="AP5589" s="14"/>
      <c r="AQ5589" s="14"/>
      <c r="AR5589" s="14"/>
      <c r="AS5589" s="14"/>
      <c r="AT5589" s="14"/>
      <c r="AU5589" s="14"/>
      <c r="AV5589" s="14"/>
      <c r="AW5589" s="15">
        <f t="shared" si="883"/>
        <v>0</v>
      </c>
      <c r="AX5589" s="16"/>
      <c r="AY5589" s="112"/>
    </row>
    <row r="5590" spans="2:51" x14ac:dyDescent="0.2">
      <c r="B5590" s="7"/>
      <c r="C5590" s="8">
        <v>15760</v>
      </c>
      <c r="D5590" s="9" t="s">
        <v>852</v>
      </c>
      <c r="E5590" s="10" t="str">
        <f t="shared" ref="E5590:E5622" si="884">IF(D5590=0,"",VLOOKUP(D5590,BASE,2,FALSE))</f>
        <v>Rancho La Cuchilla No. 97</v>
      </c>
      <c r="F5590" s="10" t="str">
        <f t="shared" ref="F5590:F5622" si="885">IF(D5590=0,"",VLOOKUP(D5590,BASE,3,FALSE))</f>
        <v>López Ruiz</v>
      </c>
      <c r="G5590" s="8">
        <v>1</v>
      </c>
      <c r="H5590" s="11">
        <v>600</v>
      </c>
      <c r="I5590" s="12">
        <v>43115</v>
      </c>
      <c r="J5590" s="35">
        <f t="shared" ref="J5590:J5622" si="886">IF(G5590=1,SUM(W5590,AJ5590,AW5590,-H5590),0)</f>
        <v>0</v>
      </c>
      <c r="K5590" s="36"/>
      <c r="L5590" s="36"/>
      <c r="M5590" s="36"/>
      <c r="N5590" s="36"/>
      <c r="O5590" s="36"/>
      <c r="P5590" s="36"/>
      <c r="Q5590" s="36"/>
      <c r="R5590" s="36"/>
      <c r="S5590" s="36"/>
      <c r="T5590" s="36"/>
      <c r="U5590" s="36"/>
      <c r="V5590" s="36"/>
      <c r="W5590" s="15">
        <f t="shared" ref="W5590:W5622" si="887">SUM(K5590:V5590)</f>
        <v>0</v>
      </c>
      <c r="X5590" s="36"/>
      <c r="Y5590" s="36"/>
      <c r="Z5590" s="36"/>
      <c r="AA5590" s="36"/>
      <c r="AB5590" s="36"/>
      <c r="AC5590" s="36"/>
      <c r="AD5590" s="36"/>
      <c r="AE5590" s="36"/>
      <c r="AF5590" s="36"/>
      <c r="AG5590" s="36"/>
      <c r="AH5590" s="36">
        <v>300</v>
      </c>
      <c r="AI5590" s="36">
        <v>300</v>
      </c>
      <c r="AJ5590" s="15">
        <f t="shared" ref="AJ5590:AJ5622" si="888">SUM(X5590:AI5590)</f>
        <v>600</v>
      </c>
      <c r="AK5590" s="14"/>
      <c r="AL5590" s="14"/>
      <c r="AM5590" s="14"/>
      <c r="AN5590" s="14"/>
      <c r="AO5590" s="14"/>
      <c r="AP5590" s="14"/>
      <c r="AQ5590" s="14"/>
      <c r="AR5590" s="14"/>
      <c r="AS5590" s="14"/>
      <c r="AT5590" s="14"/>
      <c r="AU5590" s="14"/>
      <c r="AV5590" s="14"/>
      <c r="AW5590" s="15">
        <f t="shared" ref="AW5590:AW5622" si="889">SUM(AK5590:AV5590)</f>
        <v>0</v>
      </c>
      <c r="AX5590" s="16"/>
      <c r="AY5590" s="112"/>
    </row>
    <row r="5591" spans="2:51" x14ac:dyDescent="0.2">
      <c r="B5591" s="7"/>
      <c r="C5591" s="8">
        <v>15760</v>
      </c>
      <c r="D5591" s="9" t="s">
        <v>852</v>
      </c>
      <c r="E5591" s="10" t="str">
        <f t="shared" si="884"/>
        <v>Rancho La Cuchilla No. 97</v>
      </c>
      <c r="F5591" s="10" t="str">
        <f t="shared" si="885"/>
        <v>López Ruiz</v>
      </c>
      <c r="G5591" s="8">
        <v>5</v>
      </c>
      <c r="H5591" s="11">
        <v>50</v>
      </c>
      <c r="I5591" s="12">
        <v>43115</v>
      </c>
      <c r="J5591" s="35">
        <f t="shared" si="886"/>
        <v>0</v>
      </c>
      <c r="K5591" s="36"/>
      <c r="L5591" s="36"/>
      <c r="M5591" s="36"/>
      <c r="N5591" s="36"/>
      <c r="O5591" s="36"/>
      <c r="P5591" s="36"/>
      <c r="Q5591" s="36"/>
      <c r="R5591" s="36"/>
      <c r="S5591" s="36"/>
      <c r="T5591" s="36"/>
      <c r="U5591" s="36"/>
      <c r="V5591" s="36"/>
      <c r="W5591" s="15">
        <f t="shared" si="887"/>
        <v>0</v>
      </c>
      <c r="X5591" s="36"/>
      <c r="Y5591" s="36"/>
      <c r="Z5591" s="36"/>
      <c r="AA5591" s="36"/>
      <c r="AB5591" s="36"/>
      <c r="AC5591" s="36"/>
      <c r="AD5591" s="36"/>
      <c r="AE5591" s="36"/>
      <c r="AF5591" s="36"/>
      <c r="AG5591" s="36"/>
      <c r="AH5591" s="36"/>
      <c r="AI5591" s="36"/>
      <c r="AJ5591" s="15">
        <f t="shared" si="888"/>
        <v>0</v>
      </c>
      <c r="AK5591" s="14"/>
      <c r="AL5591" s="14"/>
      <c r="AM5591" s="14"/>
      <c r="AN5591" s="14"/>
      <c r="AO5591" s="14"/>
      <c r="AP5591" s="14"/>
      <c r="AQ5591" s="14"/>
      <c r="AR5591" s="14"/>
      <c r="AS5591" s="14"/>
      <c r="AT5591" s="14"/>
      <c r="AU5591" s="14"/>
      <c r="AV5591" s="14"/>
      <c r="AW5591" s="15">
        <f t="shared" si="889"/>
        <v>0</v>
      </c>
      <c r="AX5591" s="16"/>
      <c r="AY5591" s="112"/>
    </row>
    <row r="5592" spans="2:51" x14ac:dyDescent="0.2">
      <c r="B5592" s="7"/>
      <c r="C5592" s="8">
        <v>15761</v>
      </c>
      <c r="D5592" s="9" t="s">
        <v>416</v>
      </c>
      <c r="E5592" s="10" t="str">
        <f t="shared" si="884"/>
        <v>Rancho La Cuchilla No. 112, PB</v>
      </c>
      <c r="F5592" s="10" t="str">
        <f t="shared" si="885"/>
        <v>Soreque</v>
      </c>
      <c r="G5592" s="8">
        <v>1</v>
      </c>
      <c r="H5592" s="11">
        <v>200</v>
      </c>
      <c r="I5592" s="12">
        <v>43115</v>
      </c>
      <c r="J5592" s="35">
        <f t="shared" si="886"/>
        <v>0</v>
      </c>
      <c r="K5592" s="36"/>
      <c r="L5592" s="36"/>
      <c r="M5592" s="36"/>
      <c r="N5592" s="36"/>
      <c r="O5592" s="36"/>
      <c r="P5592" s="36"/>
      <c r="Q5592" s="36"/>
      <c r="R5592" s="36"/>
      <c r="S5592" s="36"/>
      <c r="T5592" s="36"/>
      <c r="U5592" s="36"/>
      <c r="V5592" s="36"/>
      <c r="W5592" s="15">
        <f t="shared" si="887"/>
        <v>0</v>
      </c>
      <c r="X5592" s="36"/>
      <c r="Y5592" s="36"/>
      <c r="Z5592" s="36"/>
      <c r="AA5592" s="36"/>
      <c r="AB5592" s="36"/>
      <c r="AC5592" s="36"/>
      <c r="AD5592" s="36"/>
      <c r="AE5592" s="36"/>
      <c r="AF5592" s="36"/>
      <c r="AG5592" s="36"/>
      <c r="AH5592" s="36"/>
      <c r="AI5592" s="36"/>
      <c r="AJ5592" s="15">
        <f t="shared" si="888"/>
        <v>0</v>
      </c>
      <c r="AK5592" s="14">
        <v>200</v>
      </c>
      <c r="AL5592" s="14"/>
      <c r="AM5592" s="14"/>
      <c r="AN5592" s="14"/>
      <c r="AO5592" s="14"/>
      <c r="AP5592" s="14"/>
      <c r="AQ5592" s="14"/>
      <c r="AR5592" s="14"/>
      <c r="AS5592" s="14"/>
      <c r="AT5592" s="14"/>
      <c r="AU5592" s="14"/>
      <c r="AV5592" s="14"/>
      <c r="AW5592" s="15">
        <f t="shared" si="889"/>
        <v>200</v>
      </c>
      <c r="AX5592" s="316">
        <f>SUM(H5583:H5592)</f>
        <v>2650</v>
      </c>
      <c r="AY5592" s="112"/>
    </row>
    <row r="5593" spans="2:51" x14ac:dyDescent="0.2">
      <c r="B5593" s="319"/>
      <c r="C5593" s="8">
        <v>15762</v>
      </c>
      <c r="D5593" s="9" t="s">
        <v>316</v>
      </c>
      <c r="E5593" s="10" t="str">
        <f t="shared" si="884"/>
        <v>Rancho Estanzuela No. 147, 1</v>
      </c>
      <c r="F5593" s="10" t="str">
        <f t="shared" si="885"/>
        <v>De la Rosa Enrique</v>
      </c>
      <c r="G5593" s="8">
        <v>1</v>
      </c>
      <c r="H5593" s="11">
        <v>300</v>
      </c>
      <c r="I5593" s="12">
        <v>43115</v>
      </c>
      <c r="J5593" s="35">
        <f t="shared" si="886"/>
        <v>0</v>
      </c>
      <c r="K5593" s="36"/>
      <c r="L5593" s="36"/>
      <c r="M5593" s="36"/>
      <c r="N5593" s="36"/>
      <c r="O5593" s="36"/>
      <c r="P5593" s="36"/>
      <c r="Q5593" s="36"/>
      <c r="R5593" s="36"/>
      <c r="S5593" s="36"/>
      <c r="T5593" s="36"/>
      <c r="U5593" s="36"/>
      <c r="V5593" s="36"/>
      <c r="W5593" s="15">
        <f t="shared" si="887"/>
        <v>0</v>
      </c>
      <c r="X5593" s="36"/>
      <c r="Y5593" s="36"/>
      <c r="Z5593" s="36"/>
      <c r="AA5593" s="36"/>
      <c r="AB5593" s="36"/>
      <c r="AC5593" s="36"/>
      <c r="AD5593" s="36"/>
      <c r="AE5593" s="36"/>
      <c r="AF5593" s="36"/>
      <c r="AG5593" s="36"/>
      <c r="AH5593" s="36">
        <v>100</v>
      </c>
      <c r="AI5593" s="36">
        <v>100</v>
      </c>
      <c r="AJ5593" s="15">
        <f t="shared" si="888"/>
        <v>200</v>
      </c>
      <c r="AK5593" s="14">
        <v>100</v>
      </c>
      <c r="AL5593" s="14"/>
      <c r="AM5593" s="14"/>
      <c r="AN5593" s="14"/>
      <c r="AO5593" s="14"/>
      <c r="AP5593" s="14"/>
      <c r="AQ5593" s="14"/>
      <c r="AR5593" s="14"/>
      <c r="AS5593" s="14"/>
      <c r="AT5593" s="14"/>
      <c r="AU5593" s="14"/>
      <c r="AV5593" s="14"/>
      <c r="AW5593" s="15">
        <f t="shared" si="889"/>
        <v>100</v>
      </c>
      <c r="AX5593" s="16"/>
      <c r="AY5593" s="112"/>
    </row>
    <row r="5594" spans="2:51" x14ac:dyDescent="0.2">
      <c r="B5594" s="7"/>
      <c r="C5594" s="8">
        <v>15763</v>
      </c>
      <c r="D5594" s="9" t="s">
        <v>319</v>
      </c>
      <c r="E5594" s="10" t="str">
        <f t="shared" si="884"/>
        <v>Rancho Estanzuela No. 147, 2</v>
      </c>
      <c r="F5594" s="10" t="str">
        <f t="shared" si="885"/>
        <v>Figueroa</v>
      </c>
      <c r="G5594" s="8">
        <v>1</v>
      </c>
      <c r="H5594" s="11">
        <v>300</v>
      </c>
      <c r="I5594" s="12">
        <v>43115</v>
      </c>
      <c r="J5594" s="35">
        <f t="shared" si="886"/>
        <v>0</v>
      </c>
      <c r="K5594" s="36"/>
      <c r="L5594" s="36"/>
      <c r="M5594" s="36"/>
      <c r="N5594" s="36"/>
      <c r="O5594" s="36"/>
      <c r="P5594" s="36"/>
      <c r="Q5594" s="36"/>
      <c r="R5594" s="36"/>
      <c r="S5594" s="36"/>
      <c r="T5594" s="36"/>
      <c r="U5594" s="36"/>
      <c r="V5594" s="36"/>
      <c r="W5594" s="15">
        <f t="shared" si="887"/>
        <v>0</v>
      </c>
      <c r="X5594" s="36"/>
      <c r="Y5594" s="36"/>
      <c r="Z5594" s="36"/>
      <c r="AA5594" s="36"/>
      <c r="AB5594" s="36"/>
      <c r="AC5594" s="36"/>
      <c r="AD5594" s="36"/>
      <c r="AE5594" s="36"/>
      <c r="AF5594" s="36"/>
      <c r="AG5594" s="36"/>
      <c r="AH5594" s="36">
        <v>100</v>
      </c>
      <c r="AI5594" s="36">
        <v>100</v>
      </c>
      <c r="AJ5594" s="15">
        <f t="shared" si="888"/>
        <v>200</v>
      </c>
      <c r="AK5594" s="14">
        <v>100</v>
      </c>
      <c r="AL5594" s="14"/>
      <c r="AM5594" s="14"/>
      <c r="AN5594" s="14"/>
      <c r="AO5594" s="14"/>
      <c r="AP5594" s="14"/>
      <c r="AQ5594" s="14"/>
      <c r="AR5594" s="14"/>
      <c r="AS5594" s="14"/>
      <c r="AT5594" s="14"/>
      <c r="AU5594" s="14"/>
      <c r="AV5594" s="14"/>
      <c r="AW5594" s="15">
        <f t="shared" si="889"/>
        <v>100</v>
      </c>
      <c r="AX5594" s="16"/>
      <c r="AY5594" s="112"/>
    </row>
    <row r="5595" spans="2:51" x14ac:dyDescent="0.2">
      <c r="B5595" s="7"/>
      <c r="C5595" s="8">
        <v>15764</v>
      </c>
      <c r="D5595" s="9" t="s">
        <v>702</v>
      </c>
      <c r="E5595" s="10" t="str">
        <f t="shared" si="884"/>
        <v>Rancho La Cuchilla No. 81</v>
      </c>
      <c r="F5595" s="10" t="str">
        <f t="shared" si="885"/>
        <v>Suárez</v>
      </c>
      <c r="G5595" s="8">
        <v>5</v>
      </c>
      <c r="H5595" s="11">
        <v>50</v>
      </c>
      <c r="I5595" s="12">
        <v>43121</v>
      </c>
      <c r="J5595" s="35">
        <f t="shared" si="886"/>
        <v>0</v>
      </c>
      <c r="K5595" s="36"/>
      <c r="L5595" s="36"/>
      <c r="M5595" s="36"/>
      <c r="N5595" s="36"/>
      <c r="O5595" s="36"/>
      <c r="P5595" s="36"/>
      <c r="Q5595" s="36"/>
      <c r="R5595" s="36"/>
      <c r="S5595" s="36"/>
      <c r="T5595" s="36"/>
      <c r="U5595" s="36"/>
      <c r="V5595" s="36"/>
      <c r="W5595" s="15">
        <f t="shared" si="887"/>
        <v>0</v>
      </c>
      <c r="X5595" s="36"/>
      <c r="Y5595" s="36"/>
      <c r="Z5595" s="36"/>
      <c r="AA5595" s="36"/>
      <c r="AB5595" s="36"/>
      <c r="AC5595" s="36"/>
      <c r="AD5595" s="36"/>
      <c r="AE5595" s="36"/>
      <c r="AF5595" s="36"/>
      <c r="AG5595" s="36"/>
      <c r="AH5595" s="36"/>
      <c r="AI5595" s="36"/>
      <c r="AJ5595" s="15">
        <f t="shared" si="888"/>
        <v>0</v>
      </c>
      <c r="AK5595" s="14"/>
      <c r="AL5595" s="14"/>
      <c r="AM5595" s="14"/>
      <c r="AN5595" s="14"/>
      <c r="AO5595" s="14"/>
      <c r="AP5595" s="14"/>
      <c r="AQ5595" s="14"/>
      <c r="AR5595" s="14"/>
      <c r="AS5595" s="14"/>
      <c r="AT5595" s="14"/>
      <c r="AU5595" s="14"/>
      <c r="AV5595" s="14"/>
      <c r="AW5595" s="15">
        <f t="shared" si="889"/>
        <v>0</v>
      </c>
      <c r="AX5595" s="16"/>
      <c r="AY5595" s="112"/>
    </row>
    <row r="5596" spans="2:51" x14ac:dyDescent="0.2">
      <c r="B5596" s="7"/>
      <c r="C5596" s="8">
        <v>15765</v>
      </c>
      <c r="D5596" s="9" t="s">
        <v>189</v>
      </c>
      <c r="E5596" s="10" t="str">
        <f t="shared" si="884"/>
        <v>Rancho La Cuchilla No. 42</v>
      </c>
      <c r="F5596" s="10" t="str">
        <f t="shared" si="885"/>
        <v>Mac Kinney</v>
      </c>
      <c r="G5596" s="8">
        <v>1</v>
      </c>
      <c r="H5596" s="11">
        <v>1200</v>
      </c>
      <c r="I5596" s="12">
        <v>43121</v>
      </c>
      <c r="J5596" s="35">
        <f t="shared" si="886"/>
        <v>0</v>
      </c>
      <c r="K5596" s="36"/>
      <c r="L5596" s="36"/>
      <c r="M5596" s="36"/>
      <c r="N5596" s="36"/>
      <c r="O5596" s="36"/>
      <c r="P5596" s="36"/>
      <c r="Q5596" s="36"/>
      <c r="R5596" s="36"/>
      <c r="S5596" s="36"/>
      <c r="T5596" s="36"/>
      <c r="U5596" s="36"/>
      <c r="V5596" s="36"/>
      <c r="W5596" s="15">
        <f t="shared" si="887"/>
        <v>0</v>
      </c>
      <c r="X5596" s="36"/>
      <c r="Y5596" s="36"/>
      <c r="Z5596" s="36"/>
      <c r="AA5596" s="36"/>
      <c r="AB5596" s="36"/>
      <c r="AC5596" s="36"/>
      <c r="AD5596" s="36"/>
      <c r="AE5596" s="36"/>
      <c r="AF5596" s="36"/>
      <c r="AG5596" s="36">
        <v>400</v>
      </c>
      <c r="AH5596" s="36">
        <v>400</v>
      </c>
      <c r="AI5596" s="36">
        <v>400</v>
      </c>
      <c r="AJ5596" s="15">
        <f t="shared" si="888"/>
        <v>1200</v>
      </c>
      <c r="AK5596" s="14"/>
      <c r="AL5596" s="14"/>
      <c r="AM5596" s="14"/>
      <c r="AN5596" s="14"/>
      <c r="AO5596" s="14"/>
      <c r="AP5596" s="14"/>
      <c r="AQ5596" s="14"/>
      <c r="AR5596" s="14"/>
      <c r="AS5596" s="14"/>
      <c r="AT5596" s="14"/>
      <c r="AU5596" s="14"/>
      <c r="AV5596" s="14"/>
      <c r="AW5596" s="15">
        <f t="shared" si="889"/>
        <v>0</v>
      </c>
      <c r="AX5596" s="16"/>
      <c r="AY5596" s="112"/>
    </row>
    <row r="5597" spans="2:51" x14ac:dyDescent="0.2">
      <c r="B5597" s="7"/>
      <c r="C5597" s="8">
        <v>15766</v>
      </c>
      <c r="D5597" s="9" t="s">
        <v>957</v>
      </c>
      <c r="E5597" s="10" t="str">
        <f t="shared" si="884"/>
        <v>Rancho La Cuchilla No. 148</v>
      </c>
      <c r="F5597" s="10" t="str">
        <f t="shared" si="885"/>
        <v>Vázquez Vázquez</v>
      </c>
      <c r="G5597" s="8">
        <v>1</v>
      </c>
      <c r="H5597" s="11">
        <v>1600</v>
      </c>
      <c r="I5597" s="12">
        <v>43121</v>
      </c>
      <c r="J5597" s="35">
        <f t="shared" si="886"/>
        <v>0</v>
      </c>
      <c r="K5597" s="36"/>
      <c r="L5597" s="36"/>
      <c r="M5597" s="36"/>
      <c r="N5597" s="36"/>
      <c r="O5597" s="36"/>
      <c r="P5597" s="36"/>
      <c r="Q5597" s="36"/>
      <c r="R5597" s="36"/>
      <c r="S5597" s="36"/>
      <c r="T5597" s="36"/>
      <c r="U5597" s="36"/>
      <c r="V5597" s="36"/>
      <c r="W5597" s="15">
        <f t="shared" si="887"/>
        <v>0</v>
      </c>
      <c r="X5597" s="36">
        <v>400</v>
      </c>
      <c r="Y5597" s="36">
        <v>400</v>
      </c>
      <c r="Z5597" s="36">
        <v>400</v>
      </c>
      <c r="AA5597" s="36"/>
      <c r="AB5597" s="36"/>
      <c r="AC5597" s="36"/>
      <c r="AD5597" s="36"/>
      <c r="AE5597" s="36"/>
      <c r="AF5597" s="36"/>
      <c r="AG5597" s="36"/>
      <c r="AH5597" s="36"/>
      <c r="AI5597" s="36"/>
      <c r="AJ5597" s="15">
        <f t="shared" si="888"/>
        <v>1200</v>
      </c>
      <c r="AK5597" s="14">
        <v>400</v>
      </c>
      <c r="AL5597" s="14"/>
      <c r="AM5597" s="14"/>
      <c r="AN5597" s="14"/>
      <c r="AO5597" s="14"/>
      <c r="AP5597" s="14"/>
      <c r="AQ5597" s="14"/>
      <c r="AR5597" s="14"/>
      <c r="AS5597" s="14"/>
      <c r="AT5597" s="14"/>
      <c r="AU5597" s="14"/>
      <c r="AV5597" s="14"/>
      <c r="AW5597" s="15">
        <f t="shared" si="889"/>
        <v>400</v>
      </c>
      <c r="AX5597" s="16"/>
      <c r="AY5597" s="112"/>
    </row>
    <row r="5598" spans="2:51" x14ac:dyDescent="0.2">
      <c r="B5598" s="7"/>
      <c r="C5598" s="8">
        <v>15767</v>
      </c>
      <c r="D5598" s="9" t="s">
        <v>684</v>
      </c>
      <c r="E5598" s="10" t="str">
        <f t="shared" si="884"/>
        <v>Rancho Landero No. 65</v>
      </c>
      <c r="F5598" s="10" t="str">
        <f t="shared" si="885"/>
        <v>Alpizar</v>
      </c>
      <c r="G5598" s="8">
        <v>1</v>
      </c>
      <c r="H5598" s="11">
        <v>400</v>
      </c>
      <c r="I5598" s="12">
        <v>43121</v>
      </c>
      <c r="J5598" s="35">
        <f t="shared" si="886"/>
        <v>0</v>
      </c>
      <c r="K5598" s="36"/>
      <c r="L5598" s="36"/>
      <c r="M5598" s="36"/>
      <c r="N5598" s="36"/>
      <c r="O5598" s="36"/>
      <c r="P5598" s="36"/>
      <c r="Q5598" s="36"/>
      <c r="R5598" s="36"/>
      <c r="S5598" s="36"/>
      <c r="T5598" s="36"/>
      <c r="U5598" s="36"/>
      <c r="V5598" s="36"/>
      <c r="W5598" s="15">
        <f t="shared" si="887"/>
        <v>0</v>
      </c>
      <c r="X5598" s="36"/>
      <c r="Y5598" s="36"/>
      <c r="Z5598" s="36"/>
      <c r="AA5598" s="36"/>
      <c r="AB5598" s="36"/>
      <c r="AC5598" s="36"/>
      <c r="AD5598" s="36"/>
      <c r="AE5598" s="36"/>
      <c r="AF5598" s="36"/>
      <c r="AG5598" s="36"/>
      <c r="AH5598" s="36"/>
      <c r="AI5598" s="36"/>
      <c r="AJ5598" s="15">
        <f t="shared" si="888"/>
        <v>0</v>
      </c>
      <c r="AK5598" s="14">
        <v>400</v>
      </c>
      <c r="AL5598" s="14"/>
      <c r="AM5598" s="14"/>
      <c r="AN5598" s="14"/>
      <c r="AO5598" s="14"/>
      <c r="AP5598" s="14"/>
      <c r="AQ5598" s="14"/>
      <c r="AR5598" s="14"/>
      <c r="AS5598" s="14"/>
      <c r="AT5598" s="14"/>
      <c r="AU5598" s="14"/>
      <c r="AV5598" s="14"/>
      <c r="AW5598" s="15">
        <f t="shared" si="889"/>
        <v>400</v>
      </c>
      <c r="AX5598" s="16"/>
      <c r="AY5598" s="112"/>
    </row>
    <row r="5599" spans="2:51" x14ac:dyDescent="0.2">
      <c r="B5599" s="7"/>
      <c r="C5599" s="8">
        <v>15768</v>
      </c>
      <c r="D5599" s="9" t="s">
        <v>488</v>
      </c>
      <c r="E5599" s="10" t="str">
        <f t="shared" si="884"/>
        <v>Rancho Landero No. 85</v>
      </c>
      <c r="F5599" s="10" t="str">
        <f t="shared" si="885"/>
        <v>Martínez Olague</v>
      </c>
      <c r="G5599" s="8">
        <v>1</v>
      </c>
      <c r="H5599" s="11">
        <v>400</v>
      </c>
      <c r="I5599" s="12">
        <v>43121</v>
      </c>
      <c r="J5599" s="35">
        <f t="shared" si="886"/>
        <v>0</v>
      </c>
      <c r="K5599" s="36"/>
      <c r="L5599" s="36"/>
      <c r="M5599" s="36"/>
      <c r="N5599" s="36"/>
      <c r="O5599" s="36"/>
      <c r="P5599" s="36"/>
      <c r="Q5599" s="36"/>
      <c r="R5599" s="36"/>
      <c r="S5599" s="36"/>
      <c r="T5599" s="36"/>
      <c r="U5599" s="36"/>
      <c r="V5599" s="36"/>
      <c r="W5599" s="15">
        <f t="shared" si="887"/>
        <v>0</v>
      </c>
      <c r="X5599" s="36"/>
      <c r="Y5599" s="36"/>
      <c r="Z5599" s="36"/>
      <c r="AA5599" s="36"/>
      <c r="AB5599" s="36"/>
      <c r="AC5599" s="36"/>
      <c r="AD5599" s="36"/>
      <c r="AE5599" s="36"/>
      <c r="AF5599" s="36"/>
      <c r="AG5599" s="36"/>
      <c r="AH5599" s="36"/>
      <c r="AI5599" s="36"/>
      <c r="AJ5599" s="15">
        <f t="shared" si="888"/>
        <v>0</v>
      </c>
      <c r="AK5599" s="14">
        <v>400</v>
      </c>
      <c r="AL5599" s="14"/>
      <c r="AM5599" s="14"/>
      <c r="AN5599" s="14"/>
      <c r="AO5599" s="14"/>
      <c r="AP5599" s="14"/>
      <c r="AQ5599" s="14"/>
      <c r="AR5599" s="14"/>
      <c r="AS5599" s="14"/>
      <c r="AT5599" s="14"/>
      <c r="AU5599" s="14"/>
      <c r="AV5599" s="14"/>
      <c r="AW5599" s="15">
        <f t="shared" si="889"/>
        <v>400</v>
      </c>
      <c r="AX5599" s="16"/>
      <c r="AY5599" s="112"/>
    </row>
    <row r="5600" spans="2:51" x14ac:dyDescent="0.2">
      <c r="B5600" s="7" t="s">
        <v>4904</v>
      </c>
      <c r="C5600" s="8">
        <v>15769</v>
      </c>
      <c r="D5600" s="9"/>
      <c r="E5600" s="10" t="str">
        <f t="shared" si="884"/>
        <v/>
      </c>
      <c r="F5600" s="10" t="str">
        <f t="shared" si="885"/>
        <v/>
      </c>
      <c r="G5600" s="8"/>
      <c r="H5600" s="11"/>
      <c r="I5600" s="12"/>
      <c r="J5600" s="35">
        <f t="shared" si="886"/>
        <v>0</v>
      </c>
      <c r="K5600" s="36"/>
      <c r="L5600" s="36"/>
      <c r="M5600" s="36"/>
      <c r="N5600" s="36"/>
      <c r="O5600" s="36"/>
      <c r="P5600" s="36"/>
      <c r="Q5600" s="36"/>
      <c r="R5600" s="36"/>
      <c r="S5600" s="36"/>
      <c r="T5600" s="36"/>
      <c r="U5600" s="36"/>
      <c r="V5600" s="36"/>
      <c r="W5600" s="15">
        <f t="shared" si="887"/>
        <v>0</v>
      </c>
      <c r="X5600" s="36"/>
      <c r="Y5600" s="36"/>
      <c r="Z5600" s="36"/>
      <c r="AA5600" s="36"/>
      <c r="AB5600" s="36"/>
      <c r="AC5600" s="36"/>
      <c r="AD5600" s="36"/>
      <c r="AE5600" s="36"/>
      <c r="AF5600" s="36"/>
      <c r="AG5600" s="36"/>
      <c r="AH5600" s="36"/>
      <c r="AI5600" s="36"/>
      <c r="AJ5600" s="15">
        <f t="shared" si="888"/>
        <v>0</v>
      </c>
      <c r="AK5600" s="14"/>
      <c r="AL5600" s="14"/>
      <c r="AM5600" s="14"/>
      <c r="AN5600" s="14"/>
      <c r="AO5600" s="14"/>
      <c r="AP5600" s="14"/>
      <c r="AQ5600" s="14"/>
      <c r="AR5600" s="14"/>
      <c r="AS5600" s="14"/>
      <c r="AT5600" s="14"/>
      <c r="AU5600" s="14"/>
      <c r="AV5600" s="14"/>
      <c r="AW5600" s="15">
        <f t="shared" si="889"/>
        <v>0</v>
      </c>
      <c r="AX5600" s="16"/>
      <c r="AY5600" s="112"/>
    </row>
    <row r="5601" spans="2:51" x14ac:dyDescent="0.2">
      <c r="B5601" s="7" t="s">
        <v>4904</v>
      </c>
      <c r="C5601" s="8">
        <v>15770</v>
      </c>
      <c r="D5601" s="9"/>
      <c r="E5601" s="10" t="str">
        <f t="shared" si="884"/>
        <v/>
      </c>
      <c r="F5601" s="10" t="str">
        <f t="shared" si="885"/>
        <v/>
      </c>
      <c r="G5601" s="8"/>
      <c r="H5601" s="11"/>
      <c r="I5601" s="12"/>
      <c r="J5601" s="35">
        <f t="shared" si="886"/>
        <v>0</v>
      </c>
      <c r="K5601" s="36"/>
      <c r="L5601" s="36"/>
      <c r="M5601" s="36"/>
      <c r="N5601" s="36"/>
      <c r="O5601" s="36"/>
      <c r="P5601" s="36"/>
      <c r="Q5601" s="36"/>
      <c r="R5601" s="36"/>
      <c r="S5601" s="36"/>
      <c r="T5601" s="36"/>
      <c r="U5601" s="36"/>
      <c r="V5601" s="36"/>
      <c r="W5601" s="15">
        <f t="shared" si="887"/>
        <v>0</v>
      </c>
      <c r="X5601" s="36"/>
      <c r="Y5601" s="36"/>
      <c r="Z5601" s="36"/>
      <c r="AA5601" s="36"/>
      <c r="AB5601" s="36"/>
      <c r="AC5601" s="36"/>
      <c r="AD5601" s="36"/>
      <c r="AE5601" s="36"/>
      <c r="AF5601" s="36"/>
      <c r="AG5601" s="36"/>
      <c r="AH5601" s="36"/>
      <c r="AI5601" s="36"/>
      <c r="AJ5601" s="15">
        <f t="shared" si="888"/>
        <v>0</v>
      </c>
      <c r="AK5601" s="14"/>
      <c r="AL5601" s="14"/>
      <c r="AM5601" s="14"/>
      <c r="AN5601" s="14"/>
      <c r="AO5601" s="14"/>
      <c r="AP5601" s="14"/>
      <c r="AQ5601" s="14"/>
      <c r="AR5601" s="14"/>
      <c r="AS5601" s="14"/>
      <c r="AT5601" s="14"/>
      <c r="AU5601" s="14"/>
      <c r="AV5601" s="14"/>
      <c r="AW5601" s="15">
        <f t="shared" si="889"/>
        <v>0</v>
      </c>
      <c r="AX5601" s="16"/>
      <c r="AY5601" s="112"/>
    </row>
    <row r="5602" spans="2:51" x14ac:dyDescent="0.2">
      <c r="B5602" s="7" t="s">
        <v>4904</v>
      </c>
      <c r="C5602" s="8">
        <v>15771</v>
      </c>
      <c r="D5602" s="9"/>
      <c r="E5602" s="10" t="str">
        <f t="shared" si="884"/>
        <v/>
      </c>
      <c r="F5602" s="10" t="str">
        <f t="shared" si="885"/>
        <v/>
      </c>
      <c r="G5602" s="8"/>
      <c r="H5602" s="11"/>
      <c r="I5602" s="12"/>
      <c r="J5602" s="35">
        <f t="shared" si="886"/>
        <v>0</v>
      </c>
      <c r="K5602" s="36"/>
      <c r="L5602" s="36"/>
      <c r="M5602" s="36"/>
      <c r="N5602" s="36"/>
      <c r="O5602" s="36"/>
      <c r="P5602" s="36"/>
      <c r="Q5602" s="36"/>
      <c r="R5602" s="36"/>
      <c r="S5602" s="36"/>
      <c r="T5602" s="36"/>
      <c r="U5602" s="36"/>
      <c r="V5602" s="36"/>
      <c r="W5602" s="15">
        <f t="shared" si="887"/>
        <v>0</v>
      </c>
      <c r="X5602" s="36"/>
      <c r="Y5602" s="36"/>
      <c r="Z5602" s="36"/>
      <c r="AA5602" s="36"/>
      <c r="AB5602" s="36"/>
      <c r="AC5602" s="36"/>
      <c r="AD5602" s="36"/>
      <c r="AE5602" s="36"/>
      <c r="AF5602" s="36"/>
      <c r="AG5602" s="36"/>
      <c r="AH5602" s="36"/>
      <c r="AI5602" s="36"/>
      <c r="AJ5602" s="15">
        <f t="shared" si="888"/>
        <v>0</v>
      </c>
      <c r="AK5602" s="14"/>
      <c r="AL5602" s="14"/>
      <c r="AM5602" s="14"/>
      <c r="AN5602" s="14"/>
      <c r="AO5602" s="14"/>
      <c r="AP5602" s="14"/>
      <c r="AQ5602" s="14"/>
      <c r="AR5602" s="14"/>
      <c r="AS5602" s="14"/>
      <c r="AT5602" s="14"/>
      <c r="AU5602" s="14"/>
      <c r="AV5602" s="14"/>
      <c r="AW5602" s="15">
        <f t="shared" si="889"/>
        <v>0</v>
      </c>
      <c r="AX5602" s="16"/>
      <c r="AY5602" s="112"/>
    </row>
    <row r="5603" spans="2:51" x14ac:dyDescent="0.2">
      <c r="B5603" s="7" t="s">
        <v>4904</v>
      </c>
      <c r="C5603" s="8">
        <v>15772</v>
      </c>
      <c r="D5603" s="9"/>
      <c r="E5603" s="10" t="str">
        <f t="shared" si="884"/>
        <v/>
      </c>
      <c r="F5603" s="10" t="str">
        <f t="shared" si="885"/>
        <v/>
      </c>
      <c r="G5603" s="8"/>
      <c r="H5603" s="11"/>
      <c r="I5603" s="12"/>
      <c r="J5603" s="35">
        <f t="shared" si="886"/>
        <v>0</v>
      </c>
      <c r="K5603" s="36"/>
      <c r="L5603" s="36"/>
      <c r="M5603" s="36"/>
      <c r="N5603" s="36"/>
      <c r="O5603" s="36"/>
      <c r="P5603" s="36"/>
      <c r="Q5603" s="36"/>
      <c r="R5603" s="36"/>
      <c r="S5603" s="36"/>
      <c r="T5603" s="36"/>
      <c r="U5603" s="36"/>
      <c r="V5603" s="36"/>
      <c r="W5603" s="15">
        <f t="shared" si="887"/>
        <v>0</v>
      </c>
      <c r="X5603" s="36"/>
      <c r="Y5603" s="36"/>
      <c r="Z5603" s="36"/>
      <c r="AA5603" s="36"/>
      <c r="AB5603" s="36"/>
      <c r="AC5603" s="36"/>
      <c r="AD5603" s="36"/>
      <c r="AE5603" s="36"/>
      <c r="AF5603" s="36"/>
      <c r="AG5603" s="36"/>
      <c r="AH5603" s="36"/>
      <c r="AI5603" s="36"/>
      <c r="AJ5603" s="15">
        <f t="shared" si="888"/>
        <v>0</v>
      </c>
      <c r="AK5603" s="14"/>
      <c r="AL5603" s="14"/>
      <c r="AM5603" s="14"/>
      <c r="AN5603" s="14"/>
      <c r="AO5603" s="14"/>
      <c r="AP5603" s="14"/>
      <c r="AQ5603" s="14"/>
      <c r="AR5603" s="14"/>
      <c r="AS5603" s="14"/>
      <c r="AT5603" s="14"/>
      <c r="AU5603" s="14"/>
      <c r="AV5603" s="14"/>
      <c r="AW5603" s="15">
        <f t="shared" si="889"/>
        <v>0</v>
      </c>
      <c r="AX5603" s="16"/>
      <c r="AY5603" s="112"/>
    </row>
    <row r="5604" spans="2:51" x14ac:dyDescent="0.2">
      <c r="B5604" s="7" t="s">
        <v>4904</v>
      </c>
      <c r="C5604" s="8">
        <v>15773</v>
      </c>
      <c r="D5604" s="9"/>
      <c r="E5604" s="10" t="str">
        <f t="shared" si="884"/>
        <v/>
      </c>
      <c r="F5604" s="10" t="str">
        <f t="shared" si="885"/>
        <v/>
      </c>
      <c r="G5604" s="8"/>
      <c r="H5604" s="11"/>
      <c r="I5604" s="12"/>
      <c r="J5604" s="35">
        <f t="shared" si="886"/>
        <v>0</v>
      </c>
      <c r="K5604" s="36"/>
      <c r="L5604" s="36"/>
      <c r="M5604" s="36"/>
      <c r="N5604" s="36"/>
      <c r="O5604" s="36"/>
      <c r="P5604" s="36"/>
      <c r="Q5604" s="36"/>
      <c r="R5604" s="36"/>
      <c r="S5604" s="36"/>
      <c r="T5604" s="36"/>
      <c r="U5604" s="36"/>
      <c r="V5604" s="36"/>
      <c r="W5604" s="15">
        <f t="shared" si="887"/>
        <v>0</v>
      </c>
      <c r="X5604" s="36"/>
      <c r="Y5604" s="36"/>
      <c r="Z5604" s="36"/>
      <c r="AA5604" s="36"/>
      <c r="AB5604" s="36"/>
      <c r="AC5604" s="36"/>
      <c r="AD5604" s="36"/>
      <c r="AE5604" s="36"/>
      <c r="AF5604" s="36"/>
      <c r="AG5604" s="36"/>
      <c r="AH5604" s="36"/>
      <c r="AI5604" s="36"/>
      <c r="AJ5604" s="15">
        <f t="shared" si="888"/>
        <v>0</v>
      </c>
      <c r="AK5604" s="14"/>
      <c r="AL5604" s="14"/>
      <c r="AM5604" s="14"/>
      <c r="AN5604" s="14"/>
      <c r="AO5604" s="14"/>
      <c r="AP5604" s="14"/>
      <c r="AQ5604" s="14"/>
      <c r="AR5604" s="14"/>
      <c r="AS5604" s="14"/>
      <c r="AT5604" s="14"/>
      <c r="AU5604" s="14"/>
      <c r="AV5604" s="14"/>
      <c r="AW5604" s="15">
        <f t="shared" si="889"/>
        <v>0</v>
      </c>
      <c r="AX5604" s="16"/>
      <c r="AY5604" s="112"/>
    </row>
    <row r="5605" spans="2:51" x14ac:dyDescent="0.2">
      <c r="B5605" s="7" t="s">
        <v>4904</v>
      </c>
      <c r="C5605" s="8">
        <v>15774</v>
      </c>
      <c r="D5605" s="9"/>
      <c r="E5605" s="10" t="str">
        <f t="shared" si="884"/>
        <v/>
      </c>
      <c r="F5605" s="10" t="str">
        <f t="shared" si="885"/>
        <v/>
      </c>
      <c r="G5605" s="8"/>
      <c r="H5605" s="11"/>
      <c r="I5605" s="12"/>
      <c r="J5605" s="35">
        <f t="shared" si="886"/>
        <v>0</v>
      </c>
      <c r="K5605" s="36"/>
      <c r="L5605" s="36"/>
      <c r="M5605" s="36"/>
      <c r="N5605" s="36"/>
      <c r="O5605" s="36"/>
      <c r="P5605" s="36"/>
      <c r="Q5605" s="36"/>
      <c r="R5605" s="36"/>
      <c r="S5605" s="36"/>
      <c r="T5605" s="36"/>
      <c r="U5605" s="36"/>
      <c r="V5605" s="36"/>
      <c r="W5605" s="15">
        <f t="shared" si="887"/>
        <v>0</v>
      </c>
      <c r="X5605" s="36"/>
      <c r="Y5605" s="36"/>
      <c r="Z5605" s="36"/>
      <c r="AA5605" s="36"/>
      <c r="AB5605" s="36"/>
      <c r="AC5605" s="36"/>
      <c r="AD5605" s="36"/>
      <c r="AE5605" s="36"/>
      <c r="AF5605" s="36"/>
      <c r="AG5605" s="36"/>
      <c r="AH5605" s="36"/>
      <c r="AI5605" s="36"/>
      <c r="AJ5605" s="15">
        <f t="shared" si="888"/>
        <v>0</v>
      </c>
      <c r="AK5605" s="14"/>
      <c r="AL5605" s="14"/>
      <c r="AM5605" s="14"/>
      <c r="AN5605" s="14"/>
      <c r="AO5605" s="14"/>
      <c r="AP5605" s="14"/>
      <c r="AQ5605" s="14"/>
      <c r="AR5605" s="14"/>
      <c r="AS5605" s="14"/>
      <c r="AT5605" s="14"/>
      <c r="AU5605" s="14"/>
      <c r="AV5605" s="14"/>
      <c r="AW5605" s="15">
        <f t="shared" si="889"/>
        <v>0</v>
      </c>
      <c r="AX5605" s="16"/>
      <c r="AY5605" s="112"/>
    </row>
    <row r="5606" spans="2:51" x14ac:dyDescent="0.2">
      <c r="B5606" s="7" t="s">
        <v>4904</v>
      </c>
      <c r="C5606" s="8">
        <v>15775</v>
      </c>
      <c r="D5606" s="9"/>
      <c r="E5606" s="10" t="str">
        <f t="shared" si="884"/>
        <v/>
      </c>
      <c r="F5606" s="10" t="str">
        <f t="shared" si="885"/>
        <v/>
      </c>
      <c r="G5606" s="8"/>
      <c r="H5606" s="11"/>
      <c r="I5606" s="12"/>
      <c r="J5606" s="35">
        <f t="shared" si="886"/>
        <v>0</v>
      </c>
      <c r="K5606" s="36"/>
      <c r="L5606" s="36"/>
      <c r="M5606" s="36"/>
      <c r="N5606" s="36"/>
      <c r="O5606" s="36"/>
      <c r="P5606" s="36"/>
      <c r="Q5606" s="36"/>
      <c r="R5606" s="36"/>
      <c r="S5606" s="36"/>
      <c r="T5606" s="36"/>
      <c r="U5606" s="36"/>
      <c r="V5606" s="36"/>
      <c r="W5606" s="15">
        <f t="shared" si="887"/>
        <v>0</v>
      </c>
      <c r="X5606" s="36"/>
      <c r="Y5606" s="36"/>
      <c r="Z5606" s="36"/>
      <c r="AA5606" s="36"/>
      <c r="AB5606" s="36"/>
      <c r="AC5606" s="36"/>
      <c r="AD5606" s="36"/>
      <c r="AE5606" s="36"/>
      <c r="AF5606" s="36"/>
      <c r="AG5606" s="36"/>
      <c r="AH5606" s="36"/>
      <c r="AI5606" s="36"/>
      <c r="AJ5606" s="15">
        <f t="shared" si="888"/>
        <v>0</v>
      </c>
      <c r="AK5606" s="14"/>
      <c r="AL5606" s="14"/>
      <c r="AM5606" s="14"/>
      <c r="AN5606" s="14"/>
      <c r="AO5606" s="14"/>
      <c r="AP5606" s="14"/>
      <c r="AQ5606" s="14"/>
      <c r="AR5606" s="14"/>
      <c r="AS5606" s="14"/>
      <c r="AT5606" s="14"/>
      <c r="AU5606" s="14"/>
      <c r="AV5606" s="14"/>
      <c r="AW5606" s="15">
        <f t="shared" si="889"/>
        <v>0</v>
      </c>
      <c r="AX5606" s="16"/>
      <c r="AY5606" s="112"/>
    </row>
    <row r="5607" spans="2:51" x14ac:dyDescent="0.2">
      <c r="B5607" s="7" t="s">
        <v>4904</v>
      </c>
      <c r="C5607" s="8">
        <v>15776</v>
      </c>
      <c r="D5607" s="9"/>
      <c r="E5607" s="10" t="str">
        <f t="shared" si="884"/>
        <v/>
      </c>
      <c r="F5607" s="10" t="str">
        <f t="shared" si="885"/>
        <v/>
      </c>
      <c r="G5607" s="8"/>
      <c r="H5607" s="11"/>
      <c r="I5607" s="12"/>
      <c r="J5607" s="35">
        <f t="shared" si="886"/>
        <v>0</v>
      </c>
      <c r="K5607" s="36"/>
      <c r="L5607" s="36"/>
      <c r="M5607" s="36"/>
      <c r="N5607" s="36"/>
      <c r="O5607" s="36"/>
      <c r="P5607" s="36"/>
      <c r="Q5607" s="36"/>
      <c r="R5607" s="36"/>
      <c r="S5607" s="36"/>
      <c r="T5607" s="36"/>
      <c r="U5607" s="36"/>
      <c r="V5607" s="36"/>
      <c r="W5607" s="15">
        <f t="shared" si="887"/>
        <v>0</v>
      </c>
      <c r="X5607" s="36"/>
      <c r="Y5607" s="36"/>
      <c r="Z5607" s="36"/>
      <c r="AA5607" s="36"/>
      <c r="AB5607" s="36"/>
      <c r="AC5607" s="36"/>
      <c r="AD5607" s="36"/>
      <c r="AE5607" s="36"/>
      <c r="AF5607" s="36"/>
      <c r="AG5607" s="36"/>
      <c r="AH5607" s="36"/>
      <c r="AI5607" s="36"/>
      <c r="AJ5607" s="15">
        <f t="shared" si="888"/>
        <v>0</v>
      </c>
      <c r="AK5607" s="14"/>
      <c r="AL5607" s="14"/>
      <c r="AM5607" s="14"/>
      <c r="AN5607" s="14"/>
      <c r="AO5607" s="14"/>
      <c r="AP5607" s="14"/>
      <c r="AQ5607" s="14"/>
      <c r="AR5607" s="14"/>
      <c r="AS5607" s="14"/>
      <c r="AT5607" s="14"/>
      <c r="AU5607" s="14"/>
      <c r="AV5607" s="14"/>
      <c r="AW5607" s="15">
        <f t="shared" si="889"/>
        <v>0</v>
      </c>
      <c r="AX5607" s="16"/>
      <c r="AY5607" s="112"/>
    </row>
    <row r="5608" spans="2:51" x14ac:dyDescent="0.2">
      <c r="B5608" s="7" t="s">
        <v>4904</v>
      </c>
      <c r="C5608" s="8">
        <v>15777</v>
      </c>
      <c r="D5608" s="9"/>
      <c r="E5608" s="10" t="str">
        <f t="shared" si="884"/>
        <v/>
      </c>
      <c r="F5608" s="10" t="str">
        <f t="shared" si="885"/>
        <v/>
      </c>
      <c r="G5608" s="8"/>
      <c r="H5608" s="11"/>
      <c r="I5608" s="12"/>
      <c r="J5608" s="35">
        <f t="shared" si="886"/>
        <v>0</v>
      </c>
      <c r="K5608" s="36"/>
      <c r="L5608" s="36"/>
      <c r="M5608" s="36"/>
      <c r="N5608" s="36"/>
      <c r="O5608" s="36"/>
      <c r="P5608" s="36"/>
      <c r="Q5608" s="36"/>
      <c r="R5608" s="36"/>
      <c r="S5608" s="36"/>
      <c r="T5608" s="36"/>
      <c r="U5608" s="36"/>
      <c r="V5608" s="36"/>
      <c r="W5608" s="15">
        <f t="shared" si="887"/>
        <v>0</v>
      </c>
      <c r="X5608" s="36"/>
      <c r="Y5608" s="36"/>
      <c r="Z5608" s="36"/>
      <c r="AA5608" s="36"/>
      <c r="AB5608" s="36"/>
      <c r="AC5608" s="36"/>
      <c r="AD5608" s="36"/>
      <c r="AE5608" s="36"/>
      <c r="AF5608" s="36"/>
      <c r="AG5608" s="36"/>
      <c r="AH5608" s="36"/>
      <c r="AI5608" s="36"/>
      <c r="AJ5608" s="15">
        <f t="shared" si="888"/>
        <v>0</v>
      </c>
      <c r="AK5608" s="14"/>
      <c r="AL5608" s="14"/>
      <c r="AM5608" s="14"/>
      <c r="AN5608" s="14"/>
      <c r="AO5608" s="14"/>
      <c r="AP5608" s="14"/>
      <c r="AQ5608" s="14"/>
      <c r="AR5608" s="14"/>
      <c r="AS5608" s="14"/>
      <c r="AT5608" s="14"/>
      <c r="AU5608" s="14"/>
      <c r="AV5608" s="14"/>
      <c r="AW5608" s="15">
        <f t="shared" si="889"/>
        <v>0</v>
      </c>
      <c r="AX5608" s="16"/>
      <c r="AY5608" s="112"/>
    </row>
    <row r="5609" spans="2:51" x14ac:dyDescent="0.2">
      <c r="B5609" s="7" t="s">
        <v>4904</v>
      </c>
      <c r="C5609" s="8">
        <v>15778</v>
      </c>
      <c r="D5609" s="9"/>
      <c r="E5609" s="10" t="str">
        <f t="shared" si="884"/>
        <v/>
      </c>
      <c r="F5609" s="10" t="str">
        <f t="shared" si="885"/>
        <v/>
      </c>
      <c r="G5609" s="8"/>
      <c r="H5609" s="11"/>
      <c r="I5609" s="12"/>
      <c r="J5609" s="35">
        <f t="shared" si="886"/>
        <v>0</v>
      </c>
      <c r="K5609" s="36"/>
      <c r="L5609" s="36"/>
      <c r="M5609" s="36"/>
      <c r="N5609" s="36"/>
      <c r="O5609" s="36"/>
      <c r="P5609" s="36"/>
      <c r="Q5609" s="36"/>
      <c r="R5609" s="36"/>
      <c r="S5609" s="36"/>
      <c r="T5609" s="36"/>
      <c r="U5609" s="36"/>
      <c r="V5609" s="36"/>
      <c r="W5609" s="15">
        <f t="shared" si="887"/>
        <v>0</v>
      </c>
      <c r="X5609" s="36"/>
      <c r="Y5609" s="36"/>
      <c r="Z5609" s="36"/>
      <c r="AA5609" s="36"/>
      <c r="AB5609" s="36"/>
      <c r="AC5609" s="36"/>
      <c r="AD5609" s="36"/>
      <c r="AE5609" s="36"/>
      <c r="AF5609" s="36"/>
      <c r="AG5609" s="36"/>
      <c r="AH5609" s="36"/>
      <c r="AI5609" s="36"/>
      <c r="AJ5609" s="15">
        <f t="shared" si="888"/>
        <v>0</v>
      </c>
      <c r="AK5609" s="14"/>
      <c r="AL5609" s="14"/>
      <c r="AM5609" s="14"/>
      <c r="AN5609" s="14"/>
      <c r="AO5609" s="14"/>
      <c r="AP5609" s="14"/>
      <c r="AQ5609" s="14"/>
      <c r="AR5609" s="14"/>
      <c r="AS5609" s="14"/>
      <c r="AT5609" s="14"/>
      <c r="AU5609" s="14"/>
      <c r="AV5609" s="14"/>
      <c r="AW5609" s="15">
        <f t="shared" si="889"/>
        <v>0</v>
      </c>
      <c r="AX5609" s="16"/>
      <c r="AY5609" s="112"/>
    </row>
    <row r="5610" spans="2:51" x14ac:dyDescent="0.2">
      <c r="B5610" s="7" t="s">
        <v>4904</v>
      </c>
      <c r="C5610" s="8">
        <v>15779</v>
      </c>
      <c r="D5610" s="9"/>
      <c r="E5610" s="10" t="str">
        <f t="shared" si="884"/>
        <v/>
      </c>
      <c r="F5610" s="10" t="str">
        <f t="shared" si="885"/>
        <v/>
      </c>
      <c r="G5610" s="8"/>
      <c r="H5610" s="11"/>
      <c r="I5610" s="12"/>
      <c r="J5610" s="35">
        <f t="shared" si="886"/>
        <v>0</v>
      </c>
      <c r="K5610" s="36"/>
      <c r="L5610" s="36"/>
      <c r="M5610" s="36"/>
      <c r="N5610" s="36"/>
      <c r="O5610" s="36"/>
      <c r="P5610" s="36"/>
      <c r="Q5610" s="36"/>
      <c r="R5610" s="36"/>
      <c r="S5610" s="36"/>
      <c r="T5610" s="36"/>
      <c r="U5610" s="36"/>
      <c r="V5610" s="36"/>
      <c r="W5610" s="15">
        <f t="shared" si="887"/>
        <v>0</v>
      </c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15">
        <f t="shared" si="888"/>
        <v>0</v>
      </c>
      <c r="AK5610" s="14"/>
      <c r="AL5610" s="14"/>
      <c r="AM5610" s="14"/>
      <c r="AN5610" s="14"/>
      <c r="AO5610" s="14"/>
      <c r="AP5610" s="14"/>
      <c r="AQ5610" s="14"/>
      <c r="AR5610" s="14"/>
      <c r="AS5610" s="14"/>
      <c r="AT5610" s="14"/>
      <c r="AU5610" s="14"/>
      <c r="AV5610" s="14"/>
      <c r="AW5610" s="15">
        <f t="shared" si="889"/>
        <v>0</v>
      </c>
      <c r="AX5610" s="16"/>
      <c r="AY5610" s="112"/>
    </row>
    <row r="5611" spans="2:51" x14ac:dyDescent="0.2">
      <c r="B5611" s="7" t="s">
        <v>4904</v>
      </c>
      <c r="C5611" s="8">
        <v>15780</v>
      </c>
      <c r="D5611" s="9"/>
      <c r="E5611" s="10" t="str">
        <f t="shared" si="884"/>
        <v/>
      </c>
      <c r="F5611" s="10" t="str">
        <f t="shared" si="885"/>
        <v/>
      </c>
      <c r="G5611" s="8"/>
      <c r="H5611" s="11"/>
      <c r="I5611" s="12"/>
      <c r="J5611" s="35">
        <f t="shared" si="886"/>
        <v>0</v>
      </c>
      <c r="K5611" s="36"/>
      <c r="L5611" s="36"/>
      <c r="M5611" s="36"/>
      <c r="N5611" s="36"/>
      <c r="O5611" s="36"/>
      <c r="P5611" s="36"/>
      <c r="Q5611" s="36"/>
      <c r="R5611" s="36"/>
      <c r="S5611" s="36"/>
      <c r="T5611" s="36"/>
      <c r="U5611" s="36"/>
      <c r="V5611" s="36"/>
      <c r="W5611" s="15">
        <f t="shared" si="887"/>
        <v>0</v>
      </c>
      <c r="X5611" s="36"/>
      <c r="Y5611" s="36"/>
      <c r="Z5611" s="36"/>
      <c r="AA5611" s="36"/>
      <c r="AB5611" s="36"/>
      <c r="AC5611" s="36"/>
      <c r="AD5611" s="36"/>
      <c r="AE5611" s="36"/>
      <c r="AF5611" s="36"/>
      <c r="AG5611" s="36"/>
      <c r="AH5611" s="36"/>
      <c r="AI5611" s="36"/>
      <c r="AJ5611" s="15">
        <f t="shared" si="888"/>
        <v>0</v>
      </c>
      <c r="AK5611" s="14"/>
      <c r="AL5611" s="14"/>
      <c r="AM5611" s="14"/>
      <c r="AN5611" s="14"/>
      <c r="AO5611" s="14"/>
      <c r="AP5611" s="14"/>
      <c r="AQ5611" s="14"/>
      <c r="AR5611" s="14"/>
      <c r="AS5611" s="14"/>
      <c r="AT5611" s="14"/>
      <c r="AU5611" s="14"/>
      <c r="AV5611" s="14"/>
      <c r="AW5611" s="15">
        <f t="shared" si="889"/>
        <v>0</v>
      </c>
      <c r="AX5611" s="16"/>
      <c r="AY5611" s="112"/>
    </row>
    <row r="5612" spans="2:51" x14ac:dyDescent="0.2">
      <c r="B5612" s="7" t="s">
        <v>4904</v>
      </c>
      <c r="C5612" s="8">
        <v>15781</v>
      </c>
      <c r="D5612" s="9"/>
      <c r="E5612" s="10" t="str">
        <f t="shared" si="884"/>
        <v/>
      </c>
      <c r="F5612" s="10" t="str">
        <f t="shared" si="885"/>
        <v/>
      </c>
      <c r="G5612" s="8"/>
      <c r="H5612" s="11"/>
      <c r="I5612" s="12"/>
      <c r="J5612" s="35">
        <f t="shared" si="886"/>
        <v>0</v>
      </c>
      <c r="K5612" s="36"/>
      <c r="L5612" s="36"/>
      <c r="M5612" s="36"/>
      <c r="N5612" s="36"/>
      <c r="O5612" s="36"/>
      <c r="P5612" s="36"/>
      <c r="Q5612" s="36"/>
      <c r="R5612" s="36"/>
      <c r="S5612" s="36"/>
      <c r="T5612" s="36"/>
      <c r="U5612" s="36"/>
      <c r="V5612" s="36"/>
      <c r="W5612" s="15">
        <f t="shared" si="887"/>
        <v>0</v>
      </c>
      <c r="X5612" s="36"/>
      <c r="Y5612" s="36"/>
      <c r="Z5612" s="36"/>
      <c r="AA5612" s="36"/>
      <c r="AB5612" s="36"/>
      <c r="AC5612" s="36"/>
      <c r="AD5612" s="36"/>
      <c r="AE5612" s="36"/>
      <c r="AF5612" s="36"/>
      <c r="AG5612" s="36"/>
      <c r="AH5612" s="36"/>
      <c r="AI5612" s="36"/>
      <c r="AJ5612" s="15">
        <f t="shared" si="888"/>
        <v>0</v>
      </c>
      <c r="AK5612" s="14"/>
      <c r="AL5612" s="14"/>
      <c r="AM5612" s="14"/>
      <c r="AN5612" s="14"/>
      <c r="AO5612" s="14"/>
      <c r="AP5612" s="14"/>
      <c r="AQ5612" s="14"/>
      <c r="AR5612" s="14"/>
      <c r="AS5612" s="14"/>
      <c r="AT5612" s="14"/>
      <c r="AU5612" s="14"/>
      <c r="AV5612" s="14"/>
      <c r="AW5612" s="15">
        <f t="shared" si="889"/>
        <v>0</v>
      </c>
      <c r="AX5612" s="16"/>
      <c r="AY5612" s="112"/>
    </row>
    <row r="5613" spans="2:51" x14ac:dyDescent="0.2">
      <c r="B5613" s="7" t="s">
        <v>4904</v>
      </c>
      <c r="C5613" s="8">
        <v>15782</v>
      </c>
      <c r="D5613" s="9"/>
      <c r="E5613" s="10" t="str">
        <f t="shared" si="884"/>
        <v/>
      </c>
      <c r="F5613" s="10" t="str">
        <f t="shared" si="885"/>
        <v/>
      </c>
      <c r="G5613" s="8"/>
      <c r="H5613" s="11"/>
      <c r="I5613" s="12"/>
      <c r="J5613" s="35">
        <f t="shared" si="886"/>
        <v>0</v>
      </c>
      <c r="K5613" s="36"/>
      <c r="L5613" s="36"/>
      <c r="M5613" s="36"/>
      <c r="N5613" s="36"/>
      <c r="O5613" s="36"/>
      <c r="P5613" s="36"/>
      <c r="Q5613" s="36"/>
      <c r="R5613" s="36"/>
      <c r="S5613" s="36"/>
      <c r="T5613" s="36"/>
      <c r="U5613" s="36"/>
      <c r="V5613" s="36"/>
      <c r="W5613" s="15">
        <f t="shared" si="887"/>
        <v>0</v>
      </c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15">
        <f t="shared" si="888"/>
        <v>0</v>
      </c>
      <c r="AK5613" s="14"/>
      <c r="AL5613" s="14"/>
      <c r="AM5613" s="14"/>
      <c r="AN5613" s="14"/>
      <c r="AO5613" s="14"/>
      <c r="AP5613" s="14"/>
      <c r="AQ5613" s="14"/>
      <c r="AR5613" s="14"/>
      <c r="AS5613" s="14"/>
      <c r="AT5613" s="14"/>
      <c r="AU5613" s="14"/>
      <c r="AV5613" s="14"/>
      <c r="AW5613" s="15">
        <f t="shared" si="889"/>
        <v>0</v>
      </c>
      <c r="AX5613" s="16"/>
      <c r="AY5613" s="112"/>
    </row>
    <row r="5614" spans="2:51" x14ac:dyDescent="0.2">
      <c r="B5614" s="7" t="s">
        <v>4904</v>
      </c>
      <c r="C5614" s="8">
        <v>15783</v>
      </c>
      <c r="D5614" s="9"/>
      <c r="E5614" s="10" t="str">
        <f t="shared" si="884"/>
        <v/>
      </c>
      <c r="F5614" s="10" t="str">
        <f t="shared" si="885"/>
        <v/>
      </c>
      <c r="G5614" s="8"/>
      <c r="H5614" s="11"/>
      <c r="I5614" s="12"/>
      <c r="J5614" s="35">
        <f t="shared" si="886"/>
        <v>0</v>
      </c>
      <c r="K5614" s="36"/>
      <c r="L5614" s="36"/>
      <c r="M5614" s="36"/>
      <c r="N5614" s="36"/>
      <c r="O5614" s="36"/>
      <c r="P5614" s="36"/>
      <c r="Q5614" s="36"/>
      <c r="R5614" s="36"/>
      <c r="S5614" s="36"/>
      <c r="T5614" s="36"/>
      <c r="U5614" s="36"/>
      <c r="V5614" s="36"/>
      <c r="W5614" s="15">
        <f t="shared" si="887"/>
        <v>0</v>
      </c>
      <c r="X5614" s="36"/>
      <c r="Y5614" s="36"/>
      <c r="Z5614" s="36"/>
      <c r="AA5614" s="36"/>
      <c r="AB5614" s="36"/>
      <c r="AC5614" s="36"/>
      <c r="AD5614" s="36"/>
      <c r="AE5614" s="36"/>
      <c r="AF5614" s="36"/>
      <c r="AG5614" s="36"/>
      <c r="AH5614" s="36"/>
      <c r="AI5614" s="36"/>
      <c r="AJ5614" s="15">
        <f t="shared" si="888"/>
        <v>0</v>
      </c>
      <c r="AK5614" s="14"/>
      <c r="AL5614" s="14"/>
      <c r="AM5614" s="14"/>
      <c r="AN5614" s="14"/>
      <c r="AO5614" s="14"/>
      <c r="AP5614" s="14"/>
      <c r="AQ5614" s="14"/>
      <c r="AR5614" s="14"/>
      <c r="AS5614" s="14"/>
      <c r="AT5614" s="14"/>
      <c r="AU5614" s="14"/>
      <c r="AV5614" s="14"/>
      <c r="AW5614" s="15">
        <f t="shared" si="889"/>
        <v>0</v>
      </c>
      <c r="AX5614" s="16"/>
      <c r="AY5614" s="112"/>
    </row>
    <row r="5615" spans="2:51" x14ac:dyDescent="0.2">
      <c r="B5615" s="7" t="s">
        <v>4904</v>
      </c>
      <c r="C5615" s="8">
        <v>15784</v>
      </c>
      <c r="D5615" s="9"/>
      <c r="E5615" s="10" t="str">
        <f t="shared" si="884"/>
        <v/>
      </c>
      <c r="F5615" s="10" t="str">
        <f t="shared" si="885"/>
        <v/>
      </c>
      <c r="G5615" s="8"/>
      <c r="H5615" s="11"/>
      <c r="I5615" s="12"/>
      <c r="J5615" s="35">
        <f t="shared" si="886"/>
        <v>0</v>
      </c>
      <c r="K5615" s="36"/>
      <c r="L5615" s="36"/>
      <c r="M5615" s="36"/>
      <c r="N5615" s="36"/>
      <c r="O5615" s="36"/>
      <c r="P5615" s="36"/>
      <c r="Q5615" s="36"/>
      <c r="R5615" s="36"/>
      <c r="S5615" s="36"/>
      <c r="T5615" s="36"/>
      <c r="U5615" s="36"/>
      <c r="V5615" s="36"/>
      <c r="W5615" s="15">
        <f t="shared" si="887"/>
        <v>0</v>
      </c>
      <c r="X5615" s="36"/>
      <c r="Y5615" s="36"/>
      <c r="Z5615" s="36"/>
      <c r="AA5615" s="36"/>
      <c r="AB5615" s="36"/>
      <c r="AC5615" s="36"/>
      <c r="AD5615" s="36"/>
      <c r="AE5615" s="36"/>
      <c r="AF5615" s="36"/>
      <c r="AG5615" s="36"/>
      <c r="AH5615" s="36"/>
      <c r="AI5615" s="36"/>
      <c r="AJ5615" s="15">
        <f t="shared" si="888"/>
        <v>0</v>
      </c>
      <c r="AK5615" s="14"/>
      <c r="AL5615" s="14"/>
      <c r="AM5615" s="14"/>
      <c r="AN5615" s="14"/>
      <c r="AO5615" s="14"/>
      <c r="AP5615" s="14"/>
      <c r="AQ5615" s="14"/>
      <c r="AR5615" s="14"/>
      <c r="AS5615" s="14"/>
      <c r="AT5615" s="14"/>
      <c r="AU5615" s="14"/>
      <c r="AV5615" s="14"/>
      <c r="AW5615" s="15">
        <f t="shared" si="889"/>
        <v>0</v>
      </c>
      <c r="AX5615" s="16"/>
      <c r="AY5615" s="112"/>
    </row>
    <row r="5616" spans="2:51" x14ac:dyDescent="0.2">
      <c r="B5616" s="7" t="s">
        <v>4904</v>
      </c>
      <c r="C5616" s="8">
        <v>15785</v>
      </c>
      <c r="D5616" s="9"/>
      <c r="E5616" s="10" t="str">
        <f t="shared" si="884"/>
        <v/>
      </c>
      <c r="F5616" s="10" t="str">
        <f t="shared" si="885"/>
        <v/>
      </c>
      <c r="G5616" s="8"/>
      <c r="H5616" s="11"/>
      <c r="I5616" s="12"/>
      <c r="J5616" s="35">
        <f t="shared" si="886"/>
        <v>0</v>
      </c>
      <c r="K5616" s="36"/>
      <c r="L5616" s="36"/>
      <c r="M5616" s="36"/>
      <c r="N5616" s="36"/>
      <c r="O5616" s="36"/>
      <c r="P5616" s="36"/>
      <c r="Q5616" s="36"/>
      <c r="R5616" s="36"/>
      <c r="S5616" s="36"/>
      <c r="T5616" s="36"/>
      <c r="U5616" s="36"/>
      <c r="V5616" s="36"/>
      <c r="W5616" s="15">
        <f t="shared" si="887"/>
        <v>0</v>
      </c>
      <c r="X5616" s="36"/>
      <c r="Y5616" s="36"/>
      <c r="Z5616" s="36"/>
      <c r="AA5616" s="36"/>
      <c r="AB5616" s="36"/>
      <c r="AC5616" s="36"/>
      <c r="AD5616" s="36"/>
      <c r="AE5616" s="36"/>
      <c r="AF5616" s="36"/>
      <c r="AG5616" s="36"/>
      <c r="AH5616" s="36"/>
      <c r="AI5616" s="36"/>
      <c r="AJ5616" s="15">
        <f t="shared" si="888"/>
        <v>0</v>
      </c>
      <c r="AK5616" s="14"/>
      <c r="AL5616" s="14"/>
      <c r="AM5616" s="14"/>
      <c r="AN5616" s="14"/>
      <c r="AO5616" s="14"/>
      <c r="AP5616" s="14"/>
      <c r="AQ5616" s="14"/>
      <c r="AR5616" s="14"/>
      <c r="AS5616" s="14"/>
      <c r="AT5616" s="14"/>
      <c r="AU5616" s="14"/>
      <c r="AV5616" s="14"/>
      <c r="AW5616" s="15">
        <f t="shared" si="889"/>
        <v>0</v>
      </c>
      <c r="AX5616" s="16"/>
      <c r="AY5616" s="112"/>
    </row>
    <row r="5617" spans="2:51" x14ac:dyDescent="0.2">
      <c r="B5617" s="7" t="s">
        <v>4904</v>
      </c>
      <c r="C5617" s="8">
        <v>15786</v>
      </c>
      <c r="D5617" s="9"/>
      <c r="E5617" s="10" t="str">
        <f t="shared" si="884"/>
        <v/>
      </c>
      <c r="F5617" s="10" t="str">
        <f t="shared" si="885"/>
        <v/>
      </c>
      <c r="G5617" s="8"/>
      <c r="H5617" s="11"/>
      <c r="I5617" s="12"/>
      <c r="J5617" s="35">
        <f t="shared" si="886"/>
        <v>0</v>
      </c>
      <c r="K5617" s="36"/>
      <c r="L5617" s="36"/>
      <c r="M5617" s="36"/>
      <c r="N5617" s="36"/>
      <c r="O5617" s="36"/>
      <c r="P5617" s="36"/>
      <c r="Q5617" s="36"/>
      <c r="R5617" s="36"/>
      <c r="S5617" s="36"/>
      <c r="T5617" s="36"/>
      <c r="U5617" s="36"/>
      <c r="V5617" s="36"/>
      <c r="W5617" s="15">
        <f t="shared" si="887"/>
        <v>0</v>
      </c>
      <c r="X5617" s="36"/>
      <c r="Y5617" s="36"/>
      <c r="Z5617" s="36"/>
      <c r="AA5617" s="36"/>
      <c r="AB5617" s="36"/>
      <c r="AC5617" s="36"/>
      <c r="AD5617" s="36"/>
      <c r="AE5617" s="36"/>
      <c r="AF5617" s="36"/>
      <c r="AG5617" s="36"/>
      <c r="AH5617" s="36"/>
      <c r="AI5617" s="36"/>
      <c r="AJ5617" s="15">
        <f t="shared" si="888"/>
        <v>0</v>
      </c>
      <c r="AK5617" s="14"/>
      <c r="AL5617" s="14"/>
      <c r="AM5617" s="14"/>
      <c r="AN5617" s="14"/>
      <c r="AO5617" s="14"/>
      <c r="AP5617" s="14"/>
      <c r="AQ5617" s="14"/>
      <c r="AR5617" s="14"/>
      <c r="AS5617" s="14"/>
      <c r="AT5617" s="14"/>
      <c r="AU5617" s="14"/>
      <c r="AV5617" s="14"/>
      <c r="AW5617" s="15">
        <f t="shared" si="889"/>
        <v>0</v>
      </c>
      <c r="AX5617" s="16"/>
      <c r="AY5617" s="112"/>
    </row>
    <row r="5618" spans="2:51" x14ac:dyDescent="0.2">
      <c r="B5618" s="7" t="s">
        <v>4904</v>
      </c>
      <c r="C5618" s="8">
        <v>15787</v>
      </c>
      <c r="D5618" s="9"/>
      <c r="E5618" s="10" t="str">
        <f t="shared" si="884"/>
        <v/>
      </c>
      <c r="F5618" s="10" t="str">
        <f t="shared" si="885"/>
        <v/>
      </c>
      <c r="G5618" s="8"/>
      <c r="H5618" s="11"/>
      <c r="I5618" s="12"/>
      <c r="J5618" s="35">
        <f t="shared" si="886"/>
        <v>0</v>
      </c>
      <c r="K5618" s="36"/>
      <c r="L5618" s="36"/>
      <c r="M5618" s="36"/>
      <c r="N5618" s="36"/>
      <c r="O5618" s="36"/>
      <c r="P5618" s="36"/>
      <c r="Q5618" s="36"/>
      <c r="R5618" s="36"/>
      <c r="S5618" s="36"/>
      <c r="T5618" s="36"/>
      <c r="U5618" s="36"/>
      <c r="V5618" s="36"/>
      <c r="W5618" s="15">
        <f t="shared" si="887"/>
        <v>0</v>
      </c>
      <c r="X5618" s="36"/>
      <c r="Y5618" s="36"/>
      <c r="Z5618" s="36"/>
      <c r="AA5618" s="36"/>
      <c r="AB5618" s="36"/>
      <c r="AC5618" s="36"/>
      <c r="AD5618" s="36"/>
      <c r="AE5618" s="36"/>
      <c r="AF5618" s="36"/>
      <c r="AG5618" s="36"/>
      <c r="AH5618" s="36"/>
      <c r="AI5618" s="36"/>
      <c r="AJ5618" s="15">
        <f t="shared" si="888"/>
        <v>0</v>
      </c>
      <c r="AK5618" s="14"/>
      <c r="AL5618" s="14"/>
      <c r="AM5618" s="14"/>
      <c r="AN5618" s="14"/>
      <c r="AO5618" s="14"/>
      <c r="AP5618" s="14"/>
      <c r="AQ5618" s="14"/>
      <c r="AR5618" s="14"/>
      <c r="AS5618" s="14"/>
      <c r="AT5618" s="14"/>
      <c r="AU5618" s="14"/>
      <c r="AV5618" s="14"/>
      <c r="AW5618" s="15">
        <f t="shared" si="889"/>
        <v>0</v>
      </c>
      <c r="AX5618" s="16"/>
      <c r="AY5618" s="112"/>
    </row>
    <row r="5619" spans="2:51" x14ac:dyDescent="0.2">
      <c r="B5619" s="7" t="s">
        <v>4904</v>
      </c>
      <c r="C5619" s="8">
        <v>15788</v>
      </c>
      <c r="D5619" s="9"/>
      <c r="E5619" s="10" t="str">
        <f t="shared" si="884"/>
        <v/>
      </c>
      <c r="F5619" s="10" t="str">
        <f t="shared" si="885"/>
        <v/>
      </c>
      <c r="G5619" s="8"/>
      <c r="H5619" s="11"/>
      <c r="I5619" s="12"/>
      <c r="J5619" s="35">
        <f t="shared" si="886"/>
        <v>0</v>
      </c>
      <c r="K5619" s="36"/>
      <c r="L5619" s="36"/>
      <c r="M5619" s="36"/>
      <c r="N5619" s="36"/>
      <c r="O5619" s="36"/>
      <c r="P5619" s="36"/>
      <c r="Q5619" s="36"/>
      <c r="R5619" s="36"/>
      <c r="S5619" s="36"/>
      <c r="T5619" s="36"/>
      <c r="U5619" s="36"/>
      <c r="V5619" s="36"/>
      <c r="W5619" s="15">
        <f t="shared" si="887"/>
        <v>0</v>
      </c>
      <c r="X5619" s="36"/>
      <c r="Y5619" s="36"/>
      <c r="Z5619" s="36"/>
      <c r="AA5619" s="36"/>
      <c r="AB5619" s="36"/>
      <c r="AC5619" s="36"/>
      <c r="AD5619" s="36"/>
      <c r="AE5619" s="36"/>
      <c r="AF5619" s="36"/>
      <c r="AG5619" s="36"/>
      <c r="AH5619" s="36"/>
      <c r="AI5619" s="36"/>
      <c r="AJ5619" s="15">
        <f t="shared" si="888"/>
        <v>0</v>
      </c>
      <c r="AK5619" s="14"/>
      <c r="AL5619" s="14"/>
      <c r="AM5619" s="14"/>
      <c r="AN5619" s="14"/>
      <c r="AO5619" s="14"/>
      <c r="AP5619" s="14"/>
      <c r="AQ5619" s="14"/>
      <c r="AR5619" s="14"/>
      <c r="AS5619" s="14"/>
      <c r="AT5619" s="14"/>
      <c r="AU5619" s="14"/>
      <c r="AV5619" s="14"/>
      <c r="AW5619" s="15">
        <f t="shared" si="889"/>
        <v>0</v>
      </c>
      <c r="AX5619" s="16"/>
      <c r="AY5619" s="112"/>
    </row>
    <row r="5620" spans="2:51" x14ac:dyDescent="0.2">
      <c r="B5620" s="7" t="s">
        <v>4904</v>
      </c>
      <c r="C5620" s="8">
        <v>15789</v>
      </c>
      <c r="D5620" s="9"/>
      <c r="E5620" s="10" t="str">
        <f t="shared" si="884"/>
        <v/>
      </c>
      <c r="F5620" s="10" t="str">
        <f t="shared" si="885"/>
        <v/>
      </c>
      <c r="G5620" s="8"/>
      <c r="H5620" s="11"/>
      <c r="I5620" s="12"/>
      <c r="J5620" s="35">
        <f t="shared" si="886"/>
        <v>0</v>
      </c>
      <c r="K5620" s="36"/>
      <c r="L5620" s="36"/>
      <c r="M5620" s="36"/>
      <c r="N5620" s="36"/>
      <c r="O5620" s="36"/>
      <c r="P5620" s="36"/>
      <c r="Q5620" s="36"/>
      <c r="R5620" s="36"/>
      <c r="S5620" s="36"/>
      <c r="T5620" s="36"/>
      <c r="U5620" s="36"/>
      <c r="V5620" s="36"/>
      <c r="W5620" s="15">
        <f t="shared" si="887"/>
        <v>0</v>
      </c>
      <c r="X5620" s="36"/>
      <c r="Y5620" s="36"/>
      <c r="Z5620" s="36"/>
      <c r="AA5620" s="36"/>
      <c r="AB5620" s="36"/>
      <c r="AC5620" s="36"/>
      <c r="AD5620" s="36"/>
      <c r="AE5620" s="36"/>
      <c r="AF5620" s="36"/>
      <c r="AG5620" s="36"/>
      <c r="AH5620" s="36"/>
      <c r="AI5620" s="36"/>
      <c r="AJ5620" s="15">
        <f t="shared" si="888"/>
        <v>0</v>
      </c>
      <c r="AK5620" s="14"/>
      <c r="AL5620" s="14"/>
      <c r="AM5620" s="14"/>
      <c r="AN5620" s="14"/>
      <c r="AO5620" s="14"/>
      <c r="AP5620" s="14"/>
      <c r="AQ5620" s="14"/>
      <c r="AR5620" s="14"/>
      <c r="AS5620" s="14"/>
      <c r="AT5620" s="14"/>
      <c r="AU5620" s="14"/>
      <c r="AV5620" s="14"/>
      <c r="AW5620" s="15">
        <f t="shared" si="889"/>
        <v>0</v>
      </c>
      <c r="AX5620" s="16"/>
      <c r="AY5620" s="112"/>
    </row>
    <row r="5621" spans="2:51" x14ac:dyDescent="0.2">
      <c r="B5621" s="7" t="s">
        <v>4904</v>
      </c>
      <c r="C5621" s="8">
        <v>15790</v>
      </c>
      <c r="D5621" s="9"/>
      <c r="E5621" s="10" t="str">
        <f t="shared" si="884"/>
        <v/>
      </c>
      <c r="F5621" s="10" t="str">
        <f t="shared" si="885"/>
        <v/>
      </c>
      <c r="G5621" s="8"/>
      <c r="H5621" s="11"/>
      <c r="I5621" s="12"/>
      <c r="J5621" s="35">
        <f t="shared" si="886"/>
        <v>0</v>
      </c>
      <c r="K5621" s="36"/>
      <c r="L5621" s="36"/>
      <c r="M5621" s="36"/>
      <c r="N5621" s="36"/>
      <c r="O5621" s="36"/>
      <c r="P5621" s="36"/>
      <c r="Q5621" s="36"/>
      <c r="R5621" s="36"/>
      <c r="S5621" s="36"/>
      <c r="T5621" s="36"/>
      <c r="U5621" s="36"/>
      <c r="V5621" s="36"/>
      <c r="W5621" s="15">
        <f t="shared" si="887"/>
        <v>0</v>
      </c>
      <c r="X5621" s="36"/>
      <c r="Y5621" s="36"/>
      <c r="Z5621" s="36"/>
      <c r="AA5621" s="36"/>
      <c r="AB5621" s="36"/>
      <c r="AC5621" s="36"/>
      <c r="AD5621" s="36"/>
      <c r="AE5621" s="36"/>
      <c r="AF5621" s="36"/>
      <c r="AG5621" s="36"/>
      <c r="AH5621" s="36"/>
      <c r="AI5621" s="36"/>
      <c r="AJ5621" s="15">
        <f t="shared" si="888"/>
        <v>0</v>
      </c>
      <c r="AK5621" s="14"/>
      <c r="AL5621" s="14"/>
      <c r="AM5621" s="14"/>
      <c r="AN5621" s="14"/>
      <c r="AO5621" s="14"/>
      <c r="AP5621" s="14"/>
      <c r="AQ5621" s="14"/>
      <c r="AR5621" s="14"/>
      <c r="AS5621" s="14"/>
      <c r="AT5621" s="14"/>
      <c r="AU5621" s="14"/>
      <c r="AV5621" s="14"/>
      <c r="AW5621" s="15">
        <f t="shared" si="889"/>
        <v>0</v>
      </c>
      <c r="AX5621" s="16"/>
      <c r="AY5621" s="112"/>
    </row>
    <row r="5622" spans="2:51" x14ac:dyDescent="0.2">
      <c r="B5622" s="7" t="s">
        <v>4904</v>
      </c>
      <c r="C5622" s="8">
        <v>15791</v>
      </c>
      <c r="D5622" s="9"/>
      <c r="E5622" s="10" t="str">
        <f t="shared" si="884"/>
        <v/>
      </c>
      <c r="F5622" s="10" t="str">
        <f t="shared" si="885"/>
        <v/>
      </c>
      <c r="G5622" s="8"/>
      <c r="H5622" s="11"/>
      <c r="I5622" s="12"/>
      <c r="J5622" s="35">
        <f t="shared" si="886"/>
        <v>0</v>
      </c>
      <c r="K5622" s="36"/>
      <c r="L5622" s="36"/>
      <c r="M5622" s="36"/>
      <c r="N5622" s="36"/>
      <c r="O5622" s="36"/>
      <c r="P5622" s="36"/>
      <c r="Q5622" s="36"/>
      <c r="R5622" s="36"/>
      <c r="S5622" s="36"/>
      <c r="T5622" s="36"/>
      <c r="U5622" s="36"/>
      <c r="V5622" s="36"/>
      <c r="W5622" s="15">
        <f t="shared" si="887"/>
        <v>0</v>
      </c>
      <c r="X5622" s="36"/>
      <c r="Y5622" s="36"/>
      <c r="Z5622" s="36"/>
      <c r="AA5622" s="36"/>
      <c r="AB5622" s="36"/>
      <c r="AC5622" s="36"/>
      <c r="AD5622" s="36"/>
      <c r="AE5622" s="36"/>
      <c r="AF5622" s="36"/>
      <c r="AG5622" s="36"/>
      <c r="AH5622" s="36"/>
      <c r="AI5622" s="36"/>
      <c r="AJ5622" s="15">
        <f t="shared" si="888"/>
        <v>0</v>
      </c>
      <c r="AK5622" s="14"/>
      <c r="AL5622" s="14"/>
      <c r="AM5622" s="14"/>
      <c r="AN5622" s="14"/>
      <c r="AO5622" s="14"/>
      <c r="AP5622" s="14"/>
      <c r="AQ5622" s="14"/>
      <c r="AR5622" s="14"/>
      <c r="AS5622" s="14"/>
      <c r="AT5622" s="14"/>
      <c r="AU5622" s="14"/>
      <c r="AV5622" s="14"/>
      <c r="AW5622" s="15">
        <f t="shared" si="889"/>
        <v>0</v>
      </c>
      <c r="AX5622" s="16"/>
      <c r="AY5622" s="112"/>
    </row>
    <row r="5623" spans="2:51" x14ac:dyDescent="0.2">
      <c r="B5623" s="7" t="s">
        <v>4904</v>
      </c>
      <c r="C5623" s="8">
        <v>15792</v>
      </c>
      <c r="D5623" s="9"/>
      <c r="E5623" s="10" t="str">
        <f t="shared" ref="E5623:E5682" si="890">IF(D5623=0,"",VLOOKUP(D5623,BASE,2,FALSE))</f>
        <v/>
      </c>
      <c r="F5623" s="10" t="str">
        <f t="shared" ref="F5623:F5682" si="891">IF(D5623=0,"",VLOOKUP(D5623,BASE,3,FALSE))</f>
        <v/>
      </c>
      <c r="G5623" s="8"/>
      <c r="H5623" s="11"/>
      <c r="I5623" s="12"/>
      <c r="J5623" s="35">
        <f t="shared" ref="J5623:J5682" si="892">IF(G5623=1,SUM(W5623,AJ5623,AW5623,-H5623),0)</f>
        <v>0</v>
      </c>
      <c r="K5623" s="36"/>
      <c r="L5623" s="36"/>
      <c r="M5623" s="36"/>
      <c r="N5623" s="36"/>
      <c r="O5623" s="36"/>
      <c r="P5623" s="36"/>
      <c r="Q5623" s="36"/>
      <c r="R5623" s="36"/>
      <c r="S5623" s="36"/>
      <c r="T5623" s="36"/>
      <c r="U5623" s="36"/>
      <c r="V5623" s="36"/>
      <c r="W5623" s="15">
        <f t="shared" ref="W5623:W5682" si="893">SUM(K5623:V5623)</f>
        <v>0</v>
      </c>
      <c r="X5623" s="36"/>
      <c r="Y5623" s="36"/>
      <c r="Z5623" s="36"/>
      <c r="AA5623" s="36"/>
      <c r="AB5623" s="36"/>
      <c r="AC5623" s="36"/>
      <c r="AD5623" s="36"/>
      <c r="AE5623" s="36"/>
      <c r="AF5623" s="36"/>
      <c r="AG5623" s="36"/>
      <c r="AH5623" s="36"/>
      <c r="AI5623" s="36"/>
      <c r="AJ5623" s="15">
        <f t="shared" ref="AJ5623:AJ5682" si="894">SUM(X5623:AI5623)</f>
        <v>0</v>
      </c>
      <c r="AK5623" s="14"/>
      <c r="AL5623" s="14"/>
      <c r="AM5623" s="14"/>
      <c r="AN5623" s="14"/>
      <c r="AO5623" s="14"/>
      <c r="AP5623" s="14"/>
      <c r="AQ5623" s="14"/>
      <c r="AR5623" s="14"/>
      <c r="AS5623" s="14"/>
      <c r="AT5623" s="14"/>
      <c r="AU5623" s="14"/>
      <c r="AV5623" s="14"/>
      <c r="AW5623" s="15">
        <f t="shared" ref="AW5623:AW5682" si="895">SUM(AK5623:AV5623)</f>
        <v>0</v>
      </c>
      <c r="AX5623" s="16"/>
      <c r="AY5623" s="112"/>
    </row>
    <row r="5624" spans="2:51" x14ac:dyDescent="0.2">
      <c r="B5624" s="7" t="s">
        <v>4904</v>
      </c>
      <c r="C5624" s="8">
        <v>15793</v>
      </c>
      <c r="D5624" s="9"/>
      <c r="E5624" s="10" t="str">
        <f t="shared" si="890"/>
        <v/>
      </c>
      <c r="F5624" s="10" t="str">
        <f t="shared" si="891"/>
        <v/>
      </c>
      <c r="G5624" s="8"/>
      <c r="H5624" s="11"/>
      <c r="I5624" s="12"/>
      <c r="J5624" s="35">
        <f t="shared" si="892"/>
        <v>0</v>
      </c>
      <c r="K5624" s="36"/>
      <c r="L5624" s="36"/>
      <c r="M5624" s="36"/>
      <c r="N5624" s="36"/>
      <c r="O5624" s="36"/>
      <c r="P5624" s="36"/>
      <c r="Q5624" s="36"/>
      <c r="R5624" s="36"/>
      <c r="S5624" s="36"/>
      <c r="T5624" s="36"/>
      <c r="U5624" s="36"/>
      <c r="V5624" s="36"/>
      <c r="W5624" s="15">
        <f t="shared" si="893"/>
        <v>0</v>
      </c>
      <c r="X5624" s="36"/>
      <c r="Y5624" s="36"/>
      <c r="Z5624" s="36"/>
      <c r="AA5624" s="36"/>
      <c r="AB5624" s="36"/>
      <c r="AC5624" s="36"/>
      <c r="AD5624" s="36"/>
      <c r="AE5624" s="36"/>
      <c r="AF5624" s="36"/>
      <c r="AG5624" s="36"/>
      <c r="AH5624" s="36"/>
      <c r="AI5624" s="36"/>
      <c r="AJ5624" s="15">
        <f t="shared" si="894"/>
        <v>0</v>
      </c>
      <c r="AK5624" s="14"/>
      <c r="AL5624" s="14"/>
      <c r="AM5624" s="14"/>
      <c r="AN5624" s="14"/>
      <c r="AO5624" s="14"/>
      <c r="AP5624" s="14"/>
      <c r="AQ5624" s="14"/>
      <c r="AR5624" s="14"/>
      <c r="AS5624" s="14"/>
      <c r="AT5624" s="14"/>
      <c r="AU5624" s="14"/>
      <c r="AV5624" s="14"/>
      <c r="AW5624" s="15">
        <f t="shared" si="895"/>
        <v>0</v>
      </c>
      <c r="AX5624" s="16"/>
      <c r="AY5624" s="112"/>
    </row>
    <row r="5625" spans="2:51" x14ac:dyDescent="0.2">
      <c r="B5625" s="7" t="s">
        <v>4904</v>
      </c>
      <c r="C5625" s="8">
        <v>15794</v>
      </c>
      <c r="D5625" s="9"/>
      <c r="E5625" s="10" t="str">
        <f t="shared" si="890"/>
        <v/>
      </c>
      <c r="F5625" s="10" t="str">
        <f t="shared" si="891"/>
        <v/>
      </c>
      <c r="G5625" s="8"/>
      <c r="H5625" s="11"/>
      <c r="I5625" s="12"/>
      <c r="J5625" s="35">
        <f t="shared" si="892"/>
        <v>0</v>
      </c>
      <c r="K5625" s="36"/>
      <c r="L5625" s="36"/>
      <c r="M5625" s="36"/>
      <c r="N5625" s="36"/>
      <c r="O5625" s="36"/>
      <c r="P5625" s="36"/>
      <c r="Q5625" s="36"/>
      <c r="R5625" s="36"/>
      <c r="S5625" s="36"/>
      <c r="T5625" s="36"/>
      <c r="U5625" s="36"/>
      <c r="V5625" s="36"/>
      <c r="W5625" s="15">
        <f t="shared" si="893"/>
        <v>0</v>
      </c>
      <c r="X5625" s="36"/>
      <c r="Y5625" s="36"/>
      <c r="Z5625" s="36"/>
      <c r="AA5625" s="36"/>
      <c r="AB5625" s="36"/>
      <c r="AC5625" s="36"/>
      <c r="AD5625" s="36"/>
      <c r="AE5625" s="36"/>
      <c r="AF5625" s="36"/>
      <c r="AG5625" s="36"/>
      <c r="AH5625" s="36"/>
      <c r="AI5625" s="36"/>
      <c r="AJ5625" s="15">
        <f t="shared" si="894"/>
        <v>0</v>
      </c>
      <c r="AK5625" s="14"/>
      <c r="AL5625" s="14"/>
      <c r="AM5625" s="14"/>
      <c r="AN5625" s="14"/>
      <c r="AO5625" s="14"/>
      <c r="AP5625" s="14"/>
      <c r="AQ5625" s="14"/>
      <c r="AR5625" s="14"/>
      <c r="AS5625" s="14"/>
      <c r="AT5625" s="14"/>
      <c r="AU5625" s="14"/>
      <c r="AV5625" s="14"/>
      <c r="AW5625" s="15">
        <f t="shared" si="895"/>
        <v>0</v>
      </c>
      <c r="AX5625" s="16"/>
      <c r="AY5625" s="112"/>
    </row>
    <row r="5626" spans="2:51" x14ac:dyDescent="0.2">
      <c r="B5626" s="7" t="s">
        <v>4904</v>
      </c>
      <c r="C5626" s="8">
        <v>15795</v>
      </c>
      <c r="D5626" s="9"/>
      <c r="E5626" s="10" t="str">
        <f t="shared" si="890"/>
        <v/>
      </c>
      <c r="F5626" s="10" t="str">
        <f t="shared" si="891"/>
        <v/>
      </c>
      <c r="G5626" s="8"/>
      <c r="H5626" s="11"/>
      <c r="I5626" s="12"/>
      <c r="J5626" s="35">
        <f t="shared" si="892"/>
        <v>0</v>
      </c>
      <c r="K5626" s="36"/>
      <c r="L5626" s="36"/>
      <c r="M5626" s="36"/>
      <c r="N5626" s="36"/>
      <c r="O5626" s="36"/>
      <c r="P5626" s="36"/>
      <c r="Q5626" s="36"/>
      <c r="R5626" s="36"/>
      <c r="S5626" s="36"/>
      <c r="T5626" s="36"/>
      <c r="U5626" s="36"/>
      <c r="V5626" s="36"/>
      <c r="W5626" s="15">
        <f t="shared" si="893"/>
        <v>0</v>
      </c>
      <c r="X5626" s="36"/>
      <c r="Y5626" s="36"/>
      <c r="Z5626" s="36"/>
      <c r="AA5626" s="36"/>
      <c r="AB5626" s="36"/>
      <c r="AC5626" s="36"/>
      <c r="AD5626" s="36"/>
      <c r="AE5626" s="36"/>
      <c r="AF5626" s="36"/>
      <c r="AG5626" s="36"/>
      <c r="AH5626" s="36"/>
      <c r="AI5626" s="36"/>
      <c r="AJ5626" s="15">
        <f t="shared" si="894"/>
        <v>0</v>
      </c>
      <c r="AK5626" s="14"/>
      <c r="AL5626" s="14"/>
      <c r="AM5626" s="14"/>
      <c r="AN5626" s="14"/>
      <c r="AO5626" s="14"/>
      <c r="AP5626" s="14"/>
      <c r="AQ5626" s="14"/>
      <c r="AR5626" s="14"/>
      <c r="AS5626" s="14"/>
      <c r="AT5626" s="14"/>
      <c r="AU5626" s="14"/>
      <c r="AV5626" s="14"/>
      <c r="AW5626" s="15">
        <f t="shared" si="895"/>
        <v>0</v>
      </c>
      <c r="AX5626" s="16"/>
      <c r="AY5626" s="112"/>
    </row>
    <row r="5627" spans="2:51" x14ac:dyDescent="0.2">
      <c r="B5627" s="7" t="s">
        <v>4904</v>
      </c>
      <c r="C5627" s="8">
        <v>15796</v>
      </c>
      <c r="D5627" s="9"/>
      <c r="E5627" s="10" t="str">
        <f t="shared" si="890"/>
        <v/>
      </c>
      <c r="F5627" s="10" t="str">
        <f t="shared" si="891"/>
        <v/>
      </c>
      <c r="G5627" s="8"/>
      <c r="H5627" s="11"/>
      <c r="I5627" s="12"/>
      <c r="J5627" s="35">
        <f t="shared" si="892"/>
        <v>0</v>
      </c>
      <c r="K5627" s="36"/>
      <c r="L5627" s="36"/>
      <c r="M5627" s="36"/>
      <c r="N5627" s="36"/>
      <c r="O5627" s="36"/>
      <c r="P5627" s="36"/>
      <c r="Q5627" s="36"/>
      <c r="R5627" s="36"/>
      <c r="S5627" s="36"/>
      <c r="T5627" s="36"/>
      <c r="U5627" s="36"/>
      <c r="V5627" s="36"/>
      <c r="W5627" s="15">
        <f t="shared" si="893"/>
        <v>0</v>
      </c>
      <c r="X5627" s="36"/>
      <c r="Y5627" s="36"/>
      <c r="Z5627" s="36"/>
      <c r="AA5627" s="36"/>
      <c r="AB5627" s="36"/>
      <c r="AC5627" s="36"/>
      <c r="AD5627" s="36"/>
      <c r="AE5627" s="36"/>
      <c r="AF5627" s="36"/>
      <c r="AG5627" s="36"/>
      <c r="AH5627" s="36"/>
      <c r="AI5627" s="36"/>
      <c r="AJ5627" s="15">
        <f t="shared" si="894"/>
        <v>0</v>
      </c>
      <c r="AK5627" s="14"/>
      <c r="AL5627" s="14"/>
      <c r="AM5627" s="14"/>
      <c r="AN5627" s="14"/>
      <c r="AO5627" s="14"/>
      <c r="AP5627" s="14"/>
      <c r="AQ5627" s="14"/>
      <c r="AR5627" s="14"/>
      <c r="AS5627" s="14"/>
      <c r="AT5627" s="14"/>
      <c r="AU5627" s="14"/>
      <c r="AV5627" s="14"/>
      <c r="AW5627" s="15">
        <f t="shared" si="895"/>
        <v>0</v>
      </c>
      <c r="AX5627" s="16"/>
    </row>
    <row r="5628" spans="2:51" x14ac:dyDescent="0.2">
      <c r="B5628" s="7" t="s">
        <v>4904</v>
      </c>
      <c r="C5628" s="8">
        <v>15797</v>
      </c>
      <c r="D5628" s="9"/>
      <c r="E5628" s="10" t="str">
        <f t="shared" si="890"/>
        <v/>
      </c>
      <c r="F5628" s="10" t="str">
        <f t="shared" si="891"/>
        <v/>
      </c>
      <c r="G5628" s="8"/>
      <c r="H5628" s="11"/>
      <c r="I5628" s="12"/>
      <c r="J5628" s="35">
        <f t="shared" si="892"/>
        <v>0</v>
      </c>
      <c r="K5628" s="36"/>
      <c r="L5628" s="36"/>
      <c r="M5628" s="36"/>
      <c r="N5628" s="36"/>
      <c r="O5628" s="36"/>
      <c r="P5628" s="36"/>
      <c r="Q5628" s="36"/>
      <c r="R5628" s="36"/>
      <c r="S5628" s="36"/>
      <c r="T5628" s="36"/>
      <c r="U5628" s="36"/>
      <c r="V5628" s="36"/>
      <c r="W5628" s="15">
        <f t="shared" si="893"/>
        <v>0</v>
      </c>
      <c r="X5628" s="36"/>
      <c r="Y5628" s="36"/>
      <c r="Z5628" s="36"/>
      <c r="AA5628" s="36"/>
      <c r="AB5628" s="36"/>
      <c r="AC5628" s="36"/>
      <c r="AD5628" s="36"/>
      <c r="AE5628" s="36"/>
      <c r="AF5628" s="36"/>
      <c r="AG5628" s="36"/>
      <c r="AH5628" s="36"/>
      <c r="AI5628" s="36"/>
      <c r="AJ5628" s="15">
        <f t="shared" si="894"/>
        <v>0</v>
      </c>
      <c r="AK5628" s="14"/>
      <c r="AL5628" s="14"/>
      <c r="AM5628" s="14"/>
      <c r="AN5628" s="14"/>
      <c r="AO5628" s="14"/>
      <c r="AP5628" s="14"/>
      <c r="AQ5628" s="14"/>
      <c r="AR5628" s="14"/>
      <c r="AS5628" s="14"/>
      <c r="AT5628" s="14"/>
      <c r="AU5628" s="14"/>
      <c r="AV5628" s="14"/>
      <c r="AW5628" s="15">
        <f t="shared" si="895"/>
        <v>0</v>
      </c>
      <c r="AX5628" s="16"/>
    </row>
    <row r="5629" spans="2:51" x14ac:dyDescent="0.2">
      <c r="B5629" s="7" t="s">
        <v>4904</v>
      </c>
      <c r="C5629" s="8">
        <v>15798</v>
      </c>
      <c r="D5629" s="9"/>
      <c r="E5629" s="10" t="str">
        <f t="shared" si="890"/>
        <v/>
      </c>
      <c r="F5629" s="10" t="str">
        <f t="shared" si="891"/>
        <v/>
      </c>
      <c r="G5629" s="8"/>
      <c r="H5629" s="11"/>
      <c r="I5629" s="12"/>
      <c r="J5629" s="35">
        <f t="shared" si="892"/>
        <v>0</v>
      </c>
      <c r="K5629" s="36"/>
      <c r="L5629" s="36"/>
      <c r="M5629" s="36"/>
      <c r="N5629" s="36"/>
      <c r="O5629" s="36"/>
      <c r="P5629" s="36"/>
      <c r="Q5629" s="36"/>
      <c r="R5629" s="36"/>
      <c r="S5629" s="36"/>
      <c r="T5629" s="36"/>
      <c r="U5629" s="36"/>
      <c r="V5629" s="36"/>
      <c r="W5629" s="15">
        <f t="shared" si="893"/>
        <v>0</v>
      </c>
      <c r="X5629" s="36"/>
      <c r="Y5629" s="36"/>
      <c r="Z5629" s="36"/>
      <c r="AA5629" s="36"/>
      <c r="AB5629" s="36"/>
      <c r="AC5629" s="36"/>
      <c r="AD5629" s="36"/>
      <c r="AE5629" s="36"/>
      <c r="AF5629" s="36"/>
      <c r="AG5629" s="36"/>
      <c r="AH5629" s="36"/>
      <c r="AI5629" s="36"/>
      <c r="AJ5629" s="15">
        <f t="shared" si="894"/>
        <v>0</v>
      </c>
      <c r="AK5629" s="14"/>
      <c r="AL5629" s="14"/>
      <c r="AM5629" s="14"/>
      <c r="AN5629" s="14"/>
      <c r="AO5629" s="14"/>
      <c r="AP5629" s="14"/>
      <c r="AQ5629" s="14"/>
      <c r="AR5629" s="14"/>
      <c r="AS5629" s="14"/>
      <c r="AT5629" s="14"/>
      <c r="AU5629" s="14"/>
      <c r="AV5629" s="14"/>
      <c r="AW5629" s="15">
        <f t="shared" si="895"/>
        <v>0</v>
      </c>
      <c r="AX5629" s="16"/>
    </row>
    <row r="5630" spans="2:51" x14ac:dyDescent="0.2">
      <c r="B5630" s="7" t="s">
        <v>4904</v>
      </c>
      <c r="C5630" s="8">
        <v>15799</v>
      </c>
      <c r="D5630" s="9"/>
      <c r="E5630" s="10" t="str">
        <f t="shared" si="890"/>
        <v/>
      </c>
      <c r="F5630" s="10" t="str">
        <f t="shared" si="891"/>
        <v/>
      </c>
      <c r="G5630" s="8"/>
      <c r="H5630" s="11"/>
      <c r="I5630" s="12"/>
      <c r="J5630" s="35">
        <f t="shared" si="892"/>
        <v>0</v>
      </c>
      <c r="K5630" s="36"/>
      <c r="L5630" s="36"/>
      <c r="M5630" s="36"/>
      <c r="N5630" s="36"/>
      <c r="O5630" s="36"/>
      <c r="P5630" s="36"/>
      <c r="Q5630" s="36"/>
      <c r="R5630" s="36"/>
      <c r="S5630" s="36"/>
      <c r="T5630" s="36"/>
      <c r="U5630" s="36"/>
      <c r="V5630" s="36"/>
      <c r="W5630" s="15">
        <f t="shared" si="893"/>
        <v>0</v>
      </c>
      <c r="X5630" s="36"/>
      <c r="Y5630" s="36"/>
      <c r="Z5630" s="36"/>
      <c r="AA5630" s="36"/>
      <c r="AB5630" s="36"/>
      <c r="AC5630" s="36"/>
      <c r="AD5630" s="36"/>
      <c r="AE5630" s="36"/>
      <c r="AF5630" s="36"/>
      <c r="AG5630" s="36"/>
      <c r="AH5630" s="36"/>
      <c r="AI5630" s="36"/>
      <c r="AJ5630" s="15">
        <f t="shared" si="894"/>
        <v>0</v>
      </c>
      <c r="AK5630" s="14"/>
      <c r="AL5630" s="14"/>
      <c r="AM5630" s="14"/>
      <c r="AN5630" s="14"/>
      <c r="AO5630" s="14"/>
      <c r="AP5630" s="14"/>
      <c r="AQ5630" s="14"/>
      <c r="AR5630" s="14"/>
      <c r="AS5630" s="14"/>
      <c r="AT5630" s="14"/>
      <c r="AU5630" s="14"/>
      <c r="AV5630" s="14"/>
      <c r="AW5630" s="15">
        <f t="shared" si="895"/>
        <v>0</v>
      </c>
      <c r="AX5630" s="16"/>
    </row>
    <row r="5631" spans="2:51" x14ac:dyDescent="0.2">
      <c r="B5631" s="7" t="s">
        <v>4904</v>
      </c>
      <c r="C5631" s="8">
        <v>15800</v>
      </c>
      <c r="D5631" s="9"/>
      <c r="E5631" s="10" t="str">
        <f t="shared" si="890"/>
        <v/>
      </c>
      <c r="F5631" s="10" t="str">
        <f t="shared" si="891"/>
        <v/>
      </c>
      <c r="G5631" s="8"/>
      <c r="H5631" s="11"/>
      <c r="I5631" s="12"/>
      <c r="J5631" s="35">
        <f t="shared" si="892"/>
        <v>0</v>
      </c>
      <c r="K5631" s="36"/>
      <c r="L5631" s="36"/>
      <c r="M5631" s="36"/>
      <c r="N5631" s="36"/>
      <c r="O5631" s="36"/>
      <c r="P5631" s="36"/>
      <c r="Q5631" s="36"/>
      <c r="R5631" s="36"/>
      <c r="S5631" s="36"/>
      <c r="T5631" s="36"/>
      <c r="U5631" s="36"/>
      <c r="V5631" s="36"/>
      <c r="W5631" s="15">
        <f t="shared" si="893"/>
        <v>0</v>
      </c>
      <c r="X5631" s="36"/>
      <c r="Y5631" s="36"/>
      <c r="Z5631" s="36"/>
      <c r="AA5631" s="36"/>
      <c r="AB5631" s="36"/>
      <c r="AC5631" s="36"/>
      <c r="AD5631" s="36"/>
      <c r="AE5631" s="36"/>
      <c r="AF5631" s="36"/>
      <c r="AG5631" s="36"/>
      <c r="AH5631" s="36"/>
      <c r="AI5631" s="36"/>
      <c r="AJ5631" s="15">
        <f t="shared" si="894"/>
        <v>0</v>
      </c>
      <c r="AK5631" s="14"/>
      <c r="AL5631" s="14"/>
      <c r="AM5631" s="14"/>
      <c r="AN5631" s="14"/>
      <c r="AO5631" s="14"/>
      <c r="AP5631" s="14"/>
      <c r="AQ5631" s="14"/>
      <c r="AR5631" s="14"/>
      <c r="AS5631" s="14"/>
      <c r="AT5631" s="14"/>
      <c r="AU5631" s="14"/>
      <c r="AV5631" s="14"/>
      <c r="AW5631" s="15">
        <f t="shared" si="895"/>
        <v>0</v>
      </c>
      <c r="AX5631" s="16"/>
    </row>
    <row r="5632" spans="2:51" x14ac:dyDescent="0.2">
      <c r="B5632" s="7"/>
      <c r="C5632" s="8">
        <v>15801</v>
      </c>
      <c r="D5632" s="9"/>
      <c r="E5632" s="10" t="str">
        <f t="shared" si="890"/>
        <v/>
      </c>
      <c r="F5632" s="10" t="str">
        <f t="shared" si="891"/>
        <v/>
      </c>
      <c r="G5632" s="8">
        <v>8</v>
      </c>
      <c r="H5632" s="11"/>
      <c r="I5632" s="12"/>
      <c r="J5632" s="35">
        <f t="shared" si="892"/>
        <v>0</v>
      </c>
      <c r="K5632" s="36"/>
      <c r="L5632" s="36"/>
      <c r="M5632" s="36"/>
      <c r="N5632" s="36"/>
      <c r="O5632" s="36"/>
      <c r="P5632" s="36"/>
      <c r="Q5632" s="36"/>
      <c r="R5632" s="36"/>
      <c r="S5632" s="36"/>
      <c r="T5632" s="36"/>
      <c r="U5632" s="36"/>
      <c r="V5632" s="36"/>
      <c r="W5632" s="15">
        <f t="shared" si="893"/>
        <v>0</v>
      </c>
      <c r="X5632" s="36"/>
      <c r="Y5632" s="36"/>
      <c r="Z5632" s="36"/>
      <c r="AA5632" s="36"/>
      <c r="AB5632" s="36"/>
      <c r="AC5632" s="36"/>
      <c r="AD5632" s="36"/>
      <c r="AE5632" s="36"/>
      <c r="AF5632" s="36"/>
      <c r="AG5632" s="36"/>
      <c r="AH5632" s="36"/>
      <c r="AI5632" s="36"/>
      <c r="AJ5632" s="15">
        <f t="shared" si="894"/>
        <v>0</v>
      </c>
      <c r="AK5632" s="14"/>
      <c r="AL5632" s="14"/>
      <c r="AM5632" s="14"/>
      <c r="AN5632" s="14"/>
      <c r="AO5632" s="14"/>
      <c r="AP5632" s="14"/>
      <c r="AQ5632" s="14"/>
      <c r="AR5632" s="14"/>
      <c r="AS5632" s="14"/>
      <c r="AT5632" s="14"/>
      <c r="AU5632" s="14"/>
      <c r="AV5632" s="14"/>
      <c r="AW5632" s="15">
        <f t="shared" si="895"/>
        <v>0</v>
      </c>
      <c r="AX5632" s="16"/>
    </row>
    <row r="5633" spans="2:50" x14ac:dyDescent="0.2">
      <c r="B5633" s="7"/>
      <c r="C5633" s="8">
        <v>15802</v>
      </c>
      <c r="D5633" s="9" t="s">
        <v>1294</v>
      </c>
      <c r="E5633" s="10" t="str">
        <f t="shared" si="890"/>
        <v>Rancho La Cuchilla No. 95</v>
      </c>
      <c r="F5633" s="10" t="str">
        <f t="shared" si="891"/>
        <v>Cruz Linares</v>
      </c>
      <c r="G5633" s="8">
        <v>1</v>
      </c>
      <c r="H5633" s="11">
        <v>4400</v>
      </c>
      <c r="I5633" s="12">
        <v>43121</v>
      </c>
      <c r="J5633" s="35">
        <f t="shared" si="892"/>
        <v>0</v>
      </c>
      <c r="K5633" s="36"/>
      <c r="L5633" s="36"/>
      <c r="M5633" s="36"/>
      <c r="N5633" s="36"/>
      <c r="O5633" s="36"/>
      <c r="P5633" s="36"/>
      <c r="Q5633" s="36"/>
      <c r="R5633" s="36"/>
      <c r="S5633" s="36"/>
      <c r="T5633" s="36"/>
      <c r="U5633" s="36"/>
      <c r="V5633" s="36"/>
      <c r="W5633" s="15">
        <f t="shared" si="893"/>
        <v>0</v>
      </c>
      <c r="X5633" s="36"/>
      <c r="Y5633" s="36"/>
      <c r="Z5633" s="36"/>
      <c r="AA5633" s="36"/>
      <c r="AB5633" s="36"/>
      <c r="AC5633" s="36"/>
      <c r="AD5633" s="36"/>
      <c r="AE5633" s="36"/>
      <c r="AF5633" s="36"/>
      <c r="AG5633" s="36"/>
      <c r="AH5633" s="36"/>
      <c r="AI5633" s="36"/>
      <c r="AJ5633" s="15">
        <f t="shared" si="894"/>
        <v>0</v>
      </c>
      <c r="AK5633" s="14">
        <v>400</v>
      </c>
      <c r="AL5633" s="14">
        <v>400</v>
      </c>
      <c r="AM5633" s="14">
        <v>400</v>
      </c>
      <c r="AN5633" s="14">
        <v>400</v>
      </c>
      <c r="AO5633" s="14">
        <v>400</v>
      </c>
      <c r="AP5633" s="14">
        <v>400</v>
      </c>
      <c r="AQ5633" s="14">
        <v>400</v>
      </c>
      <c r="AR5633" s="14">
        <v>400</v>
      </c>
      <c r="AS5633" s="14">
        <v>400</v>
      </c>
      <c r="AT5633" s="14">
        <v>400</v>
      </c>
      <c r="AU5633" s="14">
        <v>400</v>
      </c>
      <c r="AV5633" s="14"/>
      <c r="AW5633" s="15">
        <f t="shared" si="895"/>
        <v>4400</v>
      </c>
      <c r="AX5633" s="16" t="s">
        <v>4905</v>
      </c>
    </row>
    <row r="5634" spans="2:50" x14ac:dyDescent="0.2">
      <c r="B5634" s="7"/>
      <c r="C5634" s="8">
        <v>15803</v>
      </c>
      <c r="D5634" s="9" t="s">
        <v>1294</v>
      </c>
      <c r="E5634" s="10" t="str">
        <f t="shared" si="890"/>
        <v>Rancho La Cuchilla No. 95</v>
      </c>
      <c r="F5634" s="10" t="str">
        <f t="shared" si="891"/>
        <v>Cruz Linares</v>
      </c>
      <c r="G5634" s="8">
        <v>3</v>
      </c>
      <c r="H5634" s="11">
        <v>200</v>
      </c>
      <c r="I5634" s="12">
        <v>43121</v>
      </c>
      <c r="J5634" s="35">
        <f t="shared" si="892"/>
        <v>0</v>
      </c>
      <c r="K5634" s="36"/>
      <c r="L5634" s="36"/>
      <c r="M5634" s="36"/>
      <c r="N5634" s="36"/>
      <c r="O5634" s="36"/>
      <c r="P5634" s="36"/>
      <c r="Q5634" s="36"/>
      <c r="R5634" s="36"/>
      <c r="S5634" s="36"/>
      <c r="T5634" s="36"/>
      <c r="U5634" s="36"/>
      <c r="V5634" s="36"/>
      <c r="W5634" s="15">
        <f t="shared" si="893"/>
        <v>0</v>
      </c>
      <c r="X5634" s="36"/>
      <c r="Y5634" s="36"/>
      <c r="Z5634" s="36"/>
      <c r="AA5634" s="36"/>
      <c r="AB5634" s="36"/>
      <c r="AC5634" s="36"/>
      <c r="AD5634" s="36"/>
      <c r="AE5634" s="36"/>
      <c r="AF5634" s="36"/>
      <c r="AG5634" s="36"/>
      <c r="AH5634" s="36"/>
      <c r="AI5634" s="36"/>
      <c r="AJ5634" s="15">
        <f t="shared" si="894"/>
        <v>0</v>
      </c>
      <c r="AK5634" s="14"/>
      <c r="AL5634" s="14"/>
      <c r="AM5634" s="14"/>
      <c r="AN5634" s="14"/>
      <c r="AO5634" s="14"/>
      <c r="AP5634" s="14"/>
      <c r="AQ5634" s="14"/>
      <c r="AR5634" s="14"/>
      <c r="AS5634" s="14"/>
      <c r="AT5634" s="14"/>
      <c r="AU5634" s="14"/>
      <c r="AV5634" s="14"/>
      <c r="AW5634" s="15">
        <f t="shared" si="895"/>
        <v>0</v>
      </c>
      <c r="AX5634" s="16"/>
    </row>
    <row r="5635" spans="2:50" x14ac:dyDescent="0.2">
      <c r="B5635" s="7"/>
      <c r="C5635" s="8">
        <v>15804</v>
      </c>
      <c r="D5635" s="9" t="s">
        <v>425</v>
      </c>
      <c r="E5635" s="10" t="str">
        <f t="shared" si="890"/>
        <v>Rancho La Cuchilla No. 120</v>
      </c>
      <c r="F5635" s="10" t="str">
        <f t="shared" si="891"/>
        <v>Pozos Vilchis</v>
      </c>
      <c r="G5635" s="8">
        <v>1</v>
      </c>
      <c r="H5635" s="11">
        <v>400</v>
      </c>
      <c r="I5635" s="12">
        <v>43121</v>
      </c>
      <c r="J5635" s="35">
        <f t="shared" si="892"/>
        <v>0</v>
      </c>
      <c r="K5635" s="36"/>
      <c r="L5635" s="36"/>
      <c r="M5635" s="36"/>
      <c r="N5635" s="36"/>
      <c r="O5635" s="36"/>
      <c r="P5635" s="36"/>
      <c r="Q5635" s="36"/>
      <c r="R5635" s="36"/>
      <c r="S5635" s="36"/>
      <c r="T5635" s="36"/>
      <c r="U5635" s="36"/>
      <c r="V5635" s="36"/>
      <c r="W5635" s="15">
        <f t="shared" si="893"/>
        <v>0</v>
      </c>
      <c r="X5635" s="36"/>
      <c r="Y5635" s="36"/>
      <c r="Z5635" s="36"/>
      <c r="AA5635" s="36"/>
      <c r="AB5635" s="36"/>
      <c r="AC5635" s="36"/>
      <c r="AD5635" s="36"/>
      <c r="AE5635" s="36"/>
      <c r="AF5635" s="36"/>
      <c r="AG5635" s="36"/>
      <c r="AH5635" s="36"/>
      <c r="AI5635" s="36"/>
      <c r="AJ5635" s="15">
        <f t="shared" si="894"/>
        <v>0</v>
      </c>
      <c r="AK5635" s="14">
        <v>400</v>
      </c>
      <c r="AL5635" s="14"/>
      <c r="AM5635" s="14"/>
      <c r="AN5635" s="14"/>
      <c r="AO5635" s="14"/>
      <c r="AP5635" s="14"/>
      <c r="AQ5635" s="14"/>
      <c r="AR5635" s="14"/>
      <c r="AS5635" s="14"/>
      <c r="AT5635" s="14"/>
      <c r="AU5635" s="14"/>
      <c r="AV5635" s="14"/>
      <c r="AW5635" s="15">
        <f t="shared" si="895"/>
        <v>400</v>
      </c>
      <c r="AX5635" s="16"/>
    </row>
    <row r="5636" spans="2:50" x14ac:dyDescent="0.2">
      <c r="B5636" s="7"/>
      <c r="C5636" s="8">
        <v>15805</v>
      </c>
      <c r="D5636" s="9" t="s">
        <v>322</v>
      </c>
      <c r="E5636" s="10" t="str">
        <f t="shared" si="890"/>
        <v>Rancho Zinamba No. 8</v>
      </c>
      <c r="F5636" s="10" t="str">
        <f t="shared" si="891"/>
        <v>Florido</v>
      </c>
      <c r="G5636" s="8">
        <v>1</v>
      </c>
      <c r="H5636" s="11">
        <v>400</v>
      </c>
      <c r="I5636" s="12">
        <v>43121</v>
      </c>
      <c r="J5636" s="35">
        <f t="shared" si="892"/>
        <v>0</v>
      </c>
      <c r="K5636" s="36"/>
      <c r="L5636" s="36"/>
      <c r="M5636" s="36"/>
      <c r="N5636" s="36"/>
      <c r="O5636" s="36"/>
      <c r="P5636" s="36"/>
      <c r="Q5636" s="36"/>
      <c r="R5636" s="36"/>
      <c r="S5636" s="36"/>
      <c r="T5636" s="36"/>
      <c r="U5636" s="36"/>
      <c r="V5636" s="36"/>
      <c r="W5636" s="15">
        <f t="shared" si="893"/>
        <v>0</v>
      </c>
      <c r="X5636" s="36"/>
      <c r="Y5636" s="36"/>
      <c r="Z5636" s="36"/>
      <c r="AA5636" s="36"/>
      <c r="AB5636" s="36"/>
      <c r="AC5636" s="36"/>
      <c r="AD5636" s="36"/>
      <c r="AE5636" s="36"/>
      <c r="AF5636" s="36"/>
      <c r="AG5636" s="36"/>
      <c r="AH5636" s="36"/>
      <c r="AI5636" s="36"/>
      <c r="AJ5636" s="15">
        <f t="shared" si="894"/>
        <v>0</v>
      </c>
      <c r="AK5636" s="14">
        <v>400</v>
      </c>
      <c r="AL5636" s="14"/>
      <c r="AM5636" s="14"/>
      <c r="AN5636" s="14"/>
      <c r="AO5636" s="14"/>
      <c r="AP5636" s="14"/>
      <c r="AQ5636" s="14"/>
      <c r="AR5636" s="14"/>
      <c r="AS5636" s="14"/>
      <c r="AT5636" s="14"/>
      <c r="AU5636" s="14"/>
      <c r="AV5636" s="14"/>
      <c r="AW5636" s="15">
        <f t="shared" si="895"/>
        <v>400</v>
      </c>
      <c r="AX5636" s="16"/>
    </row>
    <row r="5637" spans="2:50" x14ac:dyDescent="0.2">
      <c r="B5637" s="7"/>
      <c r="C5637" s="8">
        <v>15805</v>
      </c>
      <c r="D5637" s="9" t="s">
        <v>322</v>
      </c>
      <c r="E5637" s="10" t="str">
        <f t="shared" si="890"/>
        <v>Rancho Zinamba No. 8</v>
      </c>
      <c r="F5637" s="10" t="str">
        <f t="shared" si="891"/>
        <v>Florido</v>
      </c>
      <c r="G5637" s="8">
        <v>5</v>
      </c>
      <c r="H5637" s="11">
        <v>50</v>
      </c>
      <c r="I5637" s="12">
        <v>43121</v>
      </c>
      <c r="J5637" s="35">
        <f t="shared" si="892"/>
        <v>0</v>
      </c>
      <c r="K5637" s="36"/>
      <c r="L5637" s="36"/>
      <c r="M5637" s="36"/>
      <c r="N5637" s="36"/>
      <c r="O5637" s="36"/>
      <c r="P5637" s="36"/>
      <c r="Q5637" s="36"/>
      <c r="R5637" s="36"/>
      <c r="S5637" s="36"/>
      <c r="T5637" s="36"/>
      <c r="U5637" s="36"/>
      <c r="V5637" s="36"/>
      <c r="W5637" s="15">
        <f t="shared" si="893"/>
        <v>0</v>
      </c>
      <c r="X5637" s="36"/>
      <c r="Y5637" s="36"/>
      <c r="Z5637" s="36"/>
      <c r="AA5637" s="36"/>
      <c r="AB5637" s="36"/>
      <c r="AC5637" s="36"/>
      <c r="AD5637" s="36"/>
      <c r="AE5637" s="36"/>
      <c r="AF5637" s="36"/>
      <c r="AG5637" s="36"/>
      <c r="AH5637" s="36"/>
      <c r="AI5637" s="36"/>
      <c r="AJ5637" s="15">
        <f t="shared" si="894"/>
        <v>0</v>
      </c>
      <c r="AK5637" s="14"/>
      <c r="AL5637" s="14"/>
      <c r="AM5637" s="14"/>
      <c r="AN5637" s="14"/>
      <c r="AO5637" s="14"/>
      <c r="AP5637" s="14"/>
      <c r="AQ5637" s="14"/>
      <c r="AR5637" s="14"/>
      <c r="AS5637" s="14"/>
      <c r="AT5637" s="14"/>
      <c r="AU5637" s="14"/>
      <c r="AV5637" s="14"/>
      <c r="AW5637" s="15">
        <f t="shared" si="895"/>
        <v>0</v>
      </c>
      <c r="AX5637" s="16"/>
    </row>
    <row r="5638" spans="2:50" x14ac:dyDescent="0.2">
      <c r="B5638" s="7"/>
      <c r="C5638" s="8">
        <v>15806</v>
      </c>
      <c r="D5638" s="9" t="s">
        <v>271</v>
      </c>
      <c r="E5638" s="10" t="str">
        <f t="shared" si="890"/>
        <v>Rancho Landero No. 76</v>
      </c>
      <c r="F5638" s="10" t="str">
        <f t="shared" si="891"/>
        <v>Ugarte</v>
      </c>
      <c r="G5638" s="8">
        <v>1</v>
      </c>
      <c r="H5638" s="11">
        <v>400</v>
      </c>
      <c r="I5638" s="12">
        <v>43121</v>
      </c>
      <c r="J5638" s="35">
        <f t="shared" si="892"/>
        <v>0</v>
      </c>
      <c r="K5638" s="36"/>
      <c r="L5638" s="36"/>
      <c r="M5638" s="36"/>
      <c r="N5638" s="36"/>
      <c r="O5638" s="36"/>
      <c r="P5638" s="36"/>
      <c r="Q5638" s="36"/>
      <c r="R5638" s="36"/>
      <c r="S5638" s="36"/>
      <c r="T5638" s="36"/>
      <c r="U5638" s="36"/>
      <c r="V5638" s="36"/>
      <c r="W5638" s="15">
        <f t="shared" si="893"/>
        <v>0</v>
      </c>
      <c r="X5638" s="36"/>
      <c r="Y5638" s="36"/>
      <c r="Z5638" s="36"/>
      <c r="AA5638" s="36"/>
      <c r="AB5638" s="36"/>
      <c r="AC5638" s="36"/>
      <c r="AD5638" s="36"/>
      <c r="AE5638" s="36"/>
      <c r="AF5638" s="36"/>
      <c r="AG5638" s="36"/>
      <c r="AH5638" s="36"/>
      <c r="AI5638" s="36"/>
      <c r="AJ5638" s="15">
        <f t="shared" si="894"/>
        <v>0</v>
      </c>
      <c r="AK5638" s="14">
        <v>400</v>
      </c>
      <c r="AL5638" s="14"/>
      <c r="AM5638" s="14"/>
      <c r="AN5638" s="14"/>
      <c r="AO5638" s="14"/>
      <c r="AP5638" s="14"/>
      <c r="AQ5638" s="14"/>
      <c r="AR5638" s="14"/>
      <c r="AS5638" s="14"/>
      <c r="AT5638" s="14"/>
      <c r="AU5638" s="14"/>
      <c r="AV5638" s="14"/>
      <c r="AW5638" s="15">
        <f t="shared" si="895"/>
        <v>400</v>
      </c>
      <c r="AX5638" s="16"/>
    </row>
    <row r="5639" spans="2:50" x14ac:dyDescent="0.2">
      <c r="B5639" s="7"/>
      <c r="C5639" s="8">
        <v>15807</v>
      </c>
      <c r="D5639" s="9" t="s">
        <v>831</v>
      </c>
      <c r="E5639" s="10" t="str">
        <f t="shared" si="890"/>
        <v>Rancho Upácuaro No. 80</v>
      </c>
      <c r="F5639" s="10" t="str">
        <f t="shared" si="891"/>
        <v>De los Ríos</v>
      </c>
      <c r="G5639" s="8">
        <v>1</v>
      </c>
      <c r="H5639" s="11">
        <v>1200</v>
      </c>
      <c r="I5639" s="12">
        <v>43121</v>
      </c>
      <c r="J5639" s="35">
        <f t="shared" si="892"/>
        <v>0</v>
      </c>
      <c r="K5639" s="36"/>
      <c r="L5639" s="36"/>
      <c r="M5639" s="36"/>
      <c r="N5639" s="36"/>
      <c r="O5639" s="36"/>
      <c r="P5639" s="36"/>
      <c r="Q5639" s="36"/>
      <c r="R5639" s="36"/>
      <c r="S5639" s="36"/>
      <c r="T5639" s="36"/>
      <c r="U5639" s="36"/>
      <c r="V5639" s="36"/>
      <c r="W5639" s="15">
        <f t="shared" si="893"/>
        <v>0</v>
      </c>
      <c r="X5639" s="36"/>
      <c r="Y5639" s="36"/>
      <c r="Z5639" s="36"/>
      <c r="AA5639" s="36"/>
      <c r="AB5639" s="36"/>
      <c r="AC5639" s="36"/>
      <c r="AD5639" s="36"/>
      <c r="AE5639" s="36"/>
      <c r="AF5639" s="36"/>
      <c r="AG5639" s="36"/>
      <c r="AH5639" s="36"/>
      <c r="AI5639" s="36">
        <v>400</v>
      </c>
      <c r="AJ5639" s="15">
        <f t="shared" si="894"/>
        <v>400</v>
      </c>
      <c r="AK5639" s="14">
        <v>400</v>
      </c>
      <c r="AL5639" s="14">
        <v>400</v>
      </c>
      <c r="AM5639" s="14"/>
      <c r="AN5639" s="14"/>
      <c r="AO5639" s="14"/>
      <c r="AP5639" s="14"/>
      <c r="AQ5639" s="14"/>
      <c r="AR5639" s="14"/>
      <c r="AS5639" s="14"/>
      <c r="AT5639" s="14"/>
      <c r="AU5639" s="14"/>
      <c r="AV5639" s="14"/>
      <c r="AW5639" s="15">
        <f t="shared" si="895"/>
        <v>800</v>
      </c>
      <c r="AX5639" s="16"/>
    </row>
    <row r="5640" spans="2:50" x14ac:dyDescent="0.2">
      <c r="B5640" s="7"/>
      <c r="C5640" s="8">
        <v>15808</v>
      </c>
      <c r="D5640" s="9" t="s">
        <v>722</v>
      </c>
      <c r="E5640" s="10" t="str">
        <f t="shared" si="890"/>
        <v>Rancho Estanzuela No. 71</v>
      </c>
      <c r="F5640" s="10" t="str">
        <f t="shared" si="891"/>
        <v>Soriano</v>
      </c>
      <c r="G5640" s="8">
        <v>1</v>
      </c>
      <c r="H5640" s="11">
        <v>4400</v>
      </c>
      <c r="I5640" s="12">
        <v>43121</v>
      </c>
      <c r="J5640" s="35">
        <f t="shared" si="892"/>
        <v>0</v>
      </c>
      <c r="K5640" s="36"/>
      <c r="L5640" s="36"/>
      <c r="M5640" s="36"/>
      <c r="N5640" s="36"/>
      <c r="O5640" s="36"/>
      <c r="P5640" s="36"/>
      <c r="Q5640" s="36"/>
      <c r="R5640" s="36"/>
      <c r="S5640" s="36"/>
      <c r="T5640" s="36"/>
      <c r="U5640" s="36"/>
      <c r="V5640" s="36"/>
      <c r="W5640" s="15">
        <f t="shared" si="893"/>
        <v>0</v>
      </c>
      <c r="X5640" s="36"/>
      <c r="Y5640" s="36"/>
      <c r="Z5640" s="36"/>
      <c r="AA5640" s="36"/>
      <c r="AB5640" s="36"/>
      <c r="AC5640" s="36"/>
      <c r="AD5640" s="36"/>
      <c r="AE5640" s="36"/>
      <c r="AF5640" s="36"/>
      <c r="AG5640" s="36"/>
      <c r="AH5640" s="36"/>
      <c r="AI5640" s="36"/>
      <c r="AJ5640" s="15">
        <f t="shared" si="894"/>
        <v>0</v>
      </c>
      <c r="AK5640" s="14">
        <v>400</v>
      </c>
      <c r="AL5640" s="14">
        <v>400</v>
      </c>
      <c r="AM5640" s="14">
        <v>400</v>
      </c>
      <c r="AN5640" s="14">
        <v>400</v>
      </c>
      <c r="AO5640" s="14">
        <v>400</v>
      </c>
      <c r="AP5640" s="14">
        <v>400</v>
      </c>
      <c r="AQ5640" s="14">
        <v>400</v>
      </c>
      <c r="AR5640" s="14">
        <v>400</v>
      </c>
      <c r="AS5640" s="14">
        <v>400</v>
      </c>
      <c r="AT5640" s="14">
        <v>400</v>
      </c>
      <c r="AU5640" s="14">
        <v>400</v>
      </c>
      <c r="AV5640" s="14"/>
      <c r="AW5640" s="15">
        <f t="shared" si="895"/>
        <v>4400</v>
      </c>
      <c r="AX5640" s="16" t="s">
        <v>4905</v>
      </c>
    </row>
    <row r="5641" spans="2:50" x14ac:dyDescent="0.2">
      <c r="B5641" s="7"/>
      <c r="C5641" s="8">
        <v>15809</v>
      </c>
      <c r="D5641" s="9" t="s">
        <v>722</v>
      </c>
      <c r="E5641" s="10" t="str">
        <f t="shared" si="890"/>
        <v>Rancho Estanzuela No. 71</v>
      </c>
      <c r="F5641" s="10" t="str">
        <f t="shared" si="891"/>
        <v>Soriano</v>
      </c>
      <c r="G5641" s="8">
        <v>5</v>
      </c>
      <c r="H5641" s="11">
        <v>50</v>
      </c>
      <c r="I5641" s="12">
        <v>43121</v>
      </c>
      <c r="J5641" s="35">
        <f t="shared" si="892"/>
        <v>0</v>
      </c>
      <c r="K5641" s="36"/>
      <c r="L5641" s="36"/>
      <c r="M5641" s="36"/>
      <c r="N5641" s="36"/>
      <c r="O5641" s="36"/>
      <c r="P5641" s="36"/>
      <c r="Q5641" s="36"/>
      <c r="R5641" s="36"/>
      <c r="S5641" s="36"/>
      <c r="T5641" s="36"/>
      <c r="U5641" s="36"/>
      <c r="V5641" s="36"/>
      <c r="W5641" s="15">
        <f t="shared" si="893"/>
        <v>0</v>
      </c>
      <c r="X5641" s="36"/>
      <c r="Y5641" s="36"/>
      <c r="Z5641" s="36"/>
      <c r="AA5641" s="36"/>
      <c r="AB5641" s="36"/>
      <c r="AC5641" s="36"/>
      <c r="AD5641" s="36"/>
      <c r="AE5641" s="36"/>
      <c r="AF5641" s="36"/>
      <c r="AG5641" s="36"/>
      <c r="AH5641" s="36"/>
      <c r="AI5641" s="36"/>
      <c r="AJ5641" s="15">
        <f t="shared" si="894"/>
        <v>0</v>
      </c>
      <c r="AK5641" s="14"/>
      <c r="AL5641" s="14"/>
      <c r="AM5641" s="14"/>
      <c r="AN5641" s="14"/>
      <c r="AO5641" s="14"/>
      <c r="AP5641" s="14"/>
      <c r="AQ5641" s="14"/>
      <c r="AR5641" s="14"/>
      <c r="AS5641" s="14"/>
      <c r="AT5641" s="14"/>
      <c r="AU5641" s="14"/>
      <c r="AV5641" s="14"/>
      <c r="AW5641" s="15">
        <f t="shared" si="895"/>
        <v>0</v>
      </c>
      <c r="AX5641" s="16"/>
    </row>
    <row r="5642" spans="2:50" x14ac:dyDescent="0.2">
      <c r="B5642" s="7"/>
      <c r="C5642" s="8">
        <v>15810</v>
      </c>
      <c r="D5642" s="9" t="s">
        <v>458</v>
      </c>
      <c r="E5642" s="10" t="str">
        <f t="shared" si="890"/>
        <v>Rancho Estanzuela No. 143, B</v>
      </c>
      <c r="F5642" s="10" t="str">
        <f t="shared" si="891"/>
        <v>López</v>
      </c>
      <c r="G5642" s="8">
        <v>5</v>
      </c>
      <c r="H5642" s="11">
        <v>50</v>
      </c>
      <c r="I5642" s="12">
        <v>43121</v>
      </c>
      <c r="J5642" s="35">
        <f t="shared" si="892"/>
        <v>0</v>
      </c>
      <c r="K5642" s="36"/>
      <c r="L5642" s="36"/>
      <c r="M5642" s="36"/>
      <c r="N5642" s="36"/>
      <c r="O5642" s="36"/>
      <c r="P5642" s="36"/>
      <c r="Q5642" s="36"/>
      <c r="R5642" s="36"/>
      <c r="S5642" s="36"/>
      <c r="T5642" s="36"/>
      <c r="U5642" s="36"/>
      <c r="V5642" s="36"/>
      <c r="W5642" s="15">
        <f t="shared" si="893"/>
        <v>0</v>
      </c>
      <c r="X5642" s="36"/>
      <c r="Y5642" s="36"/>
      <c r="Z5642" s="36"/>
      <c r="AA5642" s="36"/>
      <c r="AB5642" s="36"/>
      <c r="AC5642" s="36"/>
      <c r="AD5642" s="36"/>
      <c r="AE5642" s="36"/>
      <c r="AF5642" s="36"/>
      <c r="AG5642" s="36"/>
      <c r="AH5642" s="36"/>
      <c r="AI5642" s="36"/>
      <c r="AJ5642" s="15">
        <f t="shared" si="894"/>
        <v>0</v>
      </c>
      <c r="AK5642" s="14"/>
      <c r="AL5642" s="14"/>
      <c r="AM5642" s="14"/>
      <c r="AN5642" s="14"/>
      <c r="AO5642" s="14"/>
      <c r="AP5642" s="14"/>
      <c r="AQ5642" s="14"/>
      <c r="AR5642" s="14"/>
      <c r="AS5642" s="14"/>
      <c r="AT5642" s="14"/>
      <c r="AU5642" s="14"/>
      <c r="AV5642" s="14"/>
      <c r="AW5642" s="15">
        <f t="shared" si="895"/>
        <v>0</v>
      </c>
      <c r="AX5642" s="16"/>
    </row>
    <row r="5643" spans="2:50" x14ac:dyDescent="0.2">
      <c r="B5643" s="7"/>
      <c r="C5643" s="8">
        <v>15811</v>
      </c>
      <c r="D5643" s="9" t="s">
        <v>404</v>
      </c>
      <c r="E5643" s="10" t="str">
        <f t="shared" si="890"/>
        <v>Rancho La Cuchilla No. 89</v>
      </c>
      <c r="F5643" s="10" t="str">
        <f t="shared" si="891"/>
        <v>Gálvez</v>
      </c>
      <c r="G5643" s="8">
        <v>1</v>
      </c>
      <c r="H5643" s="11">
        <v>400</v>
      </c>
      <c r="I5643" s="12">
        <v>43121</v>
      </c>
      <c r="J5643" s="35">
        <f t="shared" si="892"/>
        <v>0</v>
      </c>
      <c r="K5643" s="36"/>
      <c r="L5643" s="36"/>
      <c r="M5643" s="36"/>
      <c r="N5643" s="36"/>
      <c r="O5643" s="36"/>
      <c r="P5643" s="36"/>
      <c r="Q5643" s="36"/>
      <c r="R5643" s="36"/>
      <c r="S5643" s="36"/>
      <c r="T5643" s="36"/>
      <c r="U5643" s="36"/>
      <c r="V5643" s="36"/>
      <c r="W5643" s="15">
        <f t="shared" si="893"/>
        <v>0</v>
      </c>
      <c r="X5643" s="36"/>
      <c r="Y5643" s="36"/>
      <c r="Z5643" s="36"/>
      <c r="AA5643" s="36"/>
      <c r="AB5643" s="36"/>
      <c r="AC5643" s="36"/>
      <c r="AD5643" s="36"/>
      <c r="AE5643" s="36"/>
      <c r="AF5643" s="36"/>
      <c r="AG5643" s="36"/>
      <c r="AH5643" s="36"/>
      <c r="AI5643" s="36"/>
      <c r="AJ5643" s="15">
        <f t="shared" si="894"/>
        <v>0</v>
      </c>
      <c r="AK5643" s="14">
        <v>400</v>
      </c>
      <c r="AL5643" s="14"/>
      <c r="AM5643" s="14"/>
      <c r="AN5643" s="14"/>
      <c r="AO5643" s="14"/>
      <c r="AP5643" s="14"/>
      <c r="AQ5643" s="14"/>
      <c r="AR5643" s="14"/>
      <c r="AS5643" s="14"/>
      <c r="AT5643" s="14"/>
      <c r="AU5643" s="14"/>
      <c r="AV5643" s="14"/>
      <c r="AW5643" s="15">
        <f t="shared" si="895"/>
        <v>400</v>
      </c>
      <c r="AX5643" s="16"/>
    </row>
    <row r="5644" spans="2:50" x14ac:dyDescent="0.2">
      <c r="B5644" s="7"/>
      <c r="C5644" s="8">
        <v>15812</v>
      </c>
      <c r="D5644" s="9" t="s">
        <v>963</v>
      </c>
      <c r="E5644" s="10" t="str">
        <f t="shared" si="890"/>
        <v>Rancho La Cuchilla No. 47</v>
      </c>
      <c r="F5644" s="10" t="str">
        <f t="shared" si="891"/>
        <v>López</v>
      </c>
      <c r="G5644" s="8">
        <v>1</v>
      </c>
      <c r="H5644" s="11">
        <v>300</v>
      </c>
      <c r="I5644" s="12">
        <v>43121</v>
      </c>
      <c r="J5644" s="35">
        <f t="shared" si="892"/>
        <v>0</v>
      </c>
      <c r="K5644" s="36"/>
      <c r="L5644" s="36"/>
      <c r="M5644" s="36"/>
      <c r="N5644" s="36"/>
      <c r="O5644" s="36"/>
      <c r="P5644" s="36"/>
      <c r="Q5644" s="36"/>
      <c r="R5644" s="36"/>
      <c r="S5644" s="36"/>
      <c r="T5644" s="36"/>
      <c r="U5644" s="36"/>
      <c r="V5644" s="36"/>
      <c r="W5644" s="15">
        <f t="shared" si="893"/>
        <v>0</v>
      </c>
      <c r="X5644" s="36"/>
      <c r="Y5644" s="36"/>
      <c r="Z5644" s="36"/>
      <c r="AA5644" s="36"/>
      <c r="AB5644" s="36"/>
      <c r="AC5644" s="36"/>
      <c r="AD5644" s="36"/>
      <c r="AE5644" s="36"/>
      <c r="AF5644" s="36"/>
      <c r="AG5644" s="36"/>
      <c r="AH5644" s="36"/>
      <c r="AI5644" s="36"/>
      <c r="AJ5644" s="15">
        <f t="shared" si="894"/>
        <v>0</v>
      </c>
      <c r="AK5644" s="14">
        <v>300</v>
      </c>
      <c r="AL5644" s="14"/>
      <c r="AM5644" s="14"/>
      <c r="AN5644" s="14"/>
      <c r="AO5644" s="14"/>
      <c r="AP5644" s="14"/>
      <c r="AQ5644" s="14"/>
      <c r="AR5644" s="14"/>
      <c r="AS5644" s="14"/>
      <c r="AT5644" s="14"/>
      <c r="AU5644" s="14"/>
      <c r="AV5644" s="14"/>
      <c r="AW5644" s="15">
        <f t="shared" si="895"/>
        <v>300</v>
      </c>
      <c r="AX5644" s="16"/>
    </row>
    <row r="5645" spans="2:50" x14ac:dyDescent="0.2">
      <c r="B5645" s="7"/>
      <c r="C5645" s="8">
        <v>15813</v>
      </c>
      <c r="D5645" s="9" t="s">
        <v>1326</v>
      </c>
      <c r="E5645" s="10" t="str">
        <f t="shared" si="890"/>
        <v>Rancho Estanzuela No. 5, B</v>
      </c>
      <c r="F5645" s="10" t="str">
        <f t="shared" si="891"/>
        <v>Juárez Guerrero</v>
      </c>
      <c r="G5645" s="8">
        <v>1</v>
      </c>
      <c r="H5645" s="11">
        <v>900</v>
      </c>
      <c r="I5645" s="12">
        <v>43121</v>
      </c>
      <c r="J5645" s="35">
        <f t="shared" si="892"/>
        <v>0</v>
      </c>
      <c r="K5645" s="36"/>
      <c r="L5645" s="36"/>
      <c r="M5645" s="36"/>
      <c r="N5645" s="36"/>
      <c r="O5645" s="36"/>
      <c r="P5645" s="36"/>
      <c r="Q5645" s="36"/>
      <c r="R5645" s="36"/>
      <c r="S5645" s="36"/>
      <c r="T5645" s="36"/>
      <c r="U5645" s="36"/>
      <c r="V5645" s="36"/>
      <c r="W5645" s="15">
        <f t="shared" si="893"/>
        <v>0</v>
      </c>
      <c r="X5645" s="36"/>
      <c r="Y5645" s="36"/>
      <c r="Z5645" s="36"/>
      <c r="AA5645" s="36">
        <v>200</v>
      </c>
      <c r="AB5645" s="36">
        <v>200</v>
      </c>
      <c r="AC5645" s="36">
        <v>200</v>
      </c>
      <c r="AD5645" s="36">
        <v>200</v>
      </c>
      <c r="AE5645" s="36">
        <v>100</v>
      </c>
      <c r="AF5645" s="36"/>
      <c r="AG5645" s="36"/>
      <c r="AH5645" s="36"/>
      <c r="AI5645" s="36"/>
      <c r="AJ5645" s="15">
        <f t="shared" si="894"/>
        <v>900</v>
      </c>
      <c r="AK5645" s="14"/>
      <c r="AL5645" s="14"/>
      <c r="AM5645" s="14"/>
      <c r="AN5645" s="14"/>
      <c r="AO5645" s="14"/>
      <c r="AP5645" s="14"/>
      <c r="AQ5645" s="14"/>
      <c r="AR5645" s="14"/>
      <c r="AS5645" s="14"/>
      <c r="AT5645" s="14"/>
      <c r="AU5645" s="14"/>
      <c r="AV5645" s="14"/>
      <c r="AW5645" s="15">
        <f t="shared" si="895"/>
        <v>0</v>
      </c>
      <c r="AX5645" s="16"/>
    </row>
    <row r="5646" spans="2:50" x14ac:dyDescent="0.2">
      <c r="B5646" s="7"/>
      <c r="C5646" s="8">
        <v>15814</v>
      </c>
      <c r="D5646" s="9" t="s">
        <v>1326</v>
      </c>
      <c r="E5646" s="10" t="str">
        <f t="shared" si="890"/>
        <v>Rancho Estanzuela No. 5, B</v>
      </c>
      <c r="F5646" s="10" t="str">
        <f t="shared" si="891"/>
        <v>Juárez Guerrero</v>
      </c>
      <c r="G5646" s="8">
        <v>4</v>
      </c>
      <c r="H5646" s="11">
        <v>200</v>
      </c>
      <c r="I5646" s="12">
        <v>43121</v>
      </c>
      <c r="J5646" s="35">
        <f t="shared" si="892"/>
        <v>0</v>
      </c>
      <c r="K5646" s="36"/>
      <c r="L5646" s="36"/>
      <c r="M5646" s="36"/>
      <c r="N5646" s="36"/>
      <c r="O5646" s="36"/>
      <c r="P5646" s="36"/>
      <c r="Q5646" s="36"/>
      <c r="R5646" s="36"/>
      <c r="S5646" s="36"/>
      <c r="T5646" s="36"/>
      <c r="U5646" s="36"/>
      <c r="V5646" s="36"/>
      <c r="W5646" s="15">
        <f t="shared" si="893"/>
        <v>0</v>
      </c>
      <c r="X5646" s="36"/>
      <c r="Y5646" s="36"/>
      <c r="Z5646" s="36"/>
      <c r="AA5646" s="36"/>
      <c r="AB5646" s="36"/>
      <c r="AC5646" s="36"/>
      <c r="AD5646" s="36"/>
      <c r="AE5646" s="36"/>
      <c r="AF5646" s="36"/>
      <c r="AG5646" s="36"/>
      <c r="AH5646" s="36"/>
      <c r="AI5646" s="36"/>
      <c r="AJ5646" s="15">
        <f t="shared" si="894"/>
        <v>0</v>
      </c>
      <c r="AK5646" s="14"/>
      <c r="AL5646" s="14"/>
      <c r="AM5646" s="14"/>
      <c r="AN5646" s="14"/>
      <c r="AO5646" s="14"/>
      <c r="AP5646" s="14"/>
      <c r="AQ5646" s="14"/>
      <c r="AR5646" s="14"/>
      <c r="AS5646" s="14"/>
      <c r="AT5646" s="14"/>
      <c r="AU5646" s="14"/>
      <c r="AV5646" s="14"/>
      <c r="AW5646" s="15">
        <f t="shared" si="895"/>
        <v>0</v>
      </c>
      <c r="AX5646" s="16" t="s">
        <v>4906</v>
      </c>
    </row>
    <row r="5647" spans="2:50" x14ac:dyDescent="0.2">
      <c r="B5647" s="7"/>
      <c r="C5647" s="8">
        <v>15814</v>
      </c>
      <c r="D5647" s="9" t="s">
        <v>1326</v>
      </c>
      <c r="E5647" s="10" t="str">
        <f t="shared" ref="E5647:E5662" si="896">IF(D5647=0,"",VLOOKUP(D5647,BASE,2,FALSE))</f>
        <v>Rancho Estanzuela No. 5, B</v>
      </c>
      <c r="F5647" s="10" t="str">
        <f t="shared" ref="F5647:F5662" si="897">IF(D5647=0,"",VLOOKUP(D5647,BASE,3,FALSE))</f>
        <v>Juárez Guerrero</v>
      </c>
      <c r="G5647" s="8">
        <v>5</v>
      </c>
      <c r="H5647" s="11">
        <v>50</v>
      </c>
      <c r="I5647" s="12">
        <v>43121</v>
      </c>
      <c r="J5647" s="35">
        <f t="shared" ref="J5647:J5662" si="898">IF(G5647=1,SUM(W5647,AJ5647,AW5647,-H5647),0)</f>
        <v>0</v>
      </c>
      <c r="K5647" s="36"/>
      <c r="L5647" s="36"/>
      <c r="M5647" s="36"/>
      <c r="N5647" s="36"/>
      <c r="O5647" s="36"/>
      <c r="P5647" s="36"/>
      <c r="Q5647" s="36"/>
      <c r="R5647" s="36"/>
      <c r="S5647" s="36"/>
      <c r="T5647" s="36"/>
      <c r="U5647" s="36"/>
      <c r="V5647" s="36"/>
      <c r="W5647" s="15">
        <f t="shared" ref="W5647:W5662" si="899">SUM(K5647:V5647)</f>
        <v>0</v>
      </c>
      <c r="X5647" s="36"/>
      <c r="Y5647" s="36"/>
      <c r="Z5647" s="36"/>
      <c r="AA5647" s="36"/>
      <c r="AB5647" s="36"/>
      <c r="AC5647" s="36"/>
      <c r="AD5647" s="36"/>
      <c r="AE5647" s="36"/>
      <c r="AF5647" s="36"/>
      <c r="AG5647" s="36"/>
      <c r="AH5647" s="36"/>
      <c r="AI5647" s="36"/>
      <c r="AJ5647" s="15">
        <f t="shared" ref="AJ5647:AJ5662" si="900">SUM(X5647:AI5647)</f>
        <v>0</v>
      </c>
      <c r="AK5647" s="14"/>
      <c r="AL5647" s="14"/>
      <c r="AM5647" s="14"/>
      <c r="AN5647" s="14"/>
      <c r="AO5647" s="14"/>
      <c r="AP5647" s="14"/>
      <c r="AQ5647" s="14"/>
      <c r="AR5647" s="14"/>
      <c r="AS5647" s="14"/>
      <c r="AT5647" s="14"/>
      <c r="AU5647" s="14"/>
      <c r="AV5647" s="14"/>
      <c r="AW5647" s="15">
        <f t="shared" ref="AW5647:AW5662" si="901">SUM(AK5647:AV5647)</f>
        <v>0</v>
      </c>
      <c r="AX5647" s="16"/>
    </row>
    <row r="5648" spans="2:50" x14ac:dyDescent="0.2">
      <c r="B5648" s="7"/>
      <c r="C5648" s="8">
        <v>15815</v>
      </c>
      <c r="D5648" s="9" t="s">
        <v>743</v>
      </c>
      <c r="E5648" s="10" t="str">
        <f t="shared" si="896"/>
        <v>Rancho Upácuaro No. 106</v>
      </c>
      <c r="F5648" s="10" t="str">
        <f t="shared" si="897"/>
        <v>Hernández Sánchez</v>
      </c>
      <c r="G5648" s="8">
        <v>1</v>
      </c>
      <c r="H5648" s="11">
        <v>800</v>
      </c>
      <c r="I5648" s="12">
        <v>43121</v>
      </c>
      <c r="J5648" s="35">
        <f t="shared" si="898"/>
        <v>0</v>
      </c>
      <c r="K5648" s="36"/>
      <c r="L5648" s="36"/>
      <c r="M5648" s="36"/>
      <c r="N5648" s="36"/>
      <c r="O5648" s="36"/>
      <c r="P5648" s="36"/>
      <c r="Q5648" s="36"/>
      <c r="R5648" s="36"/>
      <c r="S5648" s="36"/>
      <c r="T5648" s="36"/>
      <c r="U5648" s="36"/>
      <c r="V5648" s="36"/>
      <c r="W5648" s="15">
        <f t="shared" si="899"/>
        <v>0</v>
      </c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>
        <v>400</v>
      </c>
      <c r="AH5648" s="36">
        <v>400</v>
      </c>
      <c r="AI5648" s="36"/>
      <c r="AJ5648" s="15">
        <f t="shared" si="900"/>
        <v>800</v>
      </c>
      <c r="AK5648" s="14"/>
      <c r="AL5648" s="14"/>
      <c r="AM5648" s="14"/>
      <c r="AN5648" s="14"/>
      <c r="AO5648" s="14"/>
      <c r="AP5648" s="14"/>
      <c r="AQ5648" s="14"/>
      <c r="AR5648" s="14"/>
      <c r="AS5648" s="14"/>
      <c r="AT5648" s="14"/>
      <c r="AU5648" s="14"/>
      <c r="AV5648" s="14"/>
      <c r="AW5648" s="15">
        <f t="shared" si="901"/>
        <v>0</v>
      </c>
      <c r="AX5648" s="16"/>
    </row>
    <row r="5649" spans="2:51" x14ac:dyDescent="0.2">
      <c r="B5649" s="7"/>
      <c r="C5649" s="8">
        <v>15816</v>
      </c>
      <c r="D5649" s="9" t="s">
        <v>235</v>
      </c>
      <c r="E5649" s="10" t="str">
        <f t="shared" si="896"/>
        <v>Rancho La Cuchilla No. 43, A</v>
      </c>
      <c r="F5649" s="10" t="str">
        <f t="shared" si="897"/>
        <v>De la Rosa</v>
      </c>
      <c r="G5649" s="8">
        <v>1</v>
      </c>
      <c r="H5649" s="11">
        <v>400</v>
      </c>
      <c r="I5649" s="12">
        <v>43121</v>
      </c>
      <c r="J5649" s="35">
        <f t="shared" si="898"/>
        <v>0</v>
      </c>
      <c r="K5649" s="36"/>
      <c r="L5649" s="36"/>
      <c r="M5649" s="36"/>
      <c r="N5649" s="36"/>
      <c r="O5649" s="36"/>
      <c r="P5649" s="36"/>
      <c r="Q5649" s="36"/>
      <c r="R5649" s="36"/>
      <c r="S5649" s="36"/>
      <c r="T5649" s="36"/>
      <c r="U5649" s="36"/>
      <c r="V5649" s="36"/>
      <c r="W5649" s="15">
        <f t="shared" si="899"/>
        <v>0</v>
      </c>
      <c r="X5649" s="36"/>
      <c r="Y5649" s="36"/>
      <c r="Z5649" s="36"/>
      <c r="AA5649" s="36"/>
      <c r="AB5649" s="36"/>
      <c r="AC5649" s="36"/>
      <c r="AD5649" s="36"/>
      <c r="AE5649" s="36"/>
      <c r="AF5649" s="36"/>
      <c r="AG5649" s="36"/>
      <c r="AH5649" s="36"/>
      <c r="AI5649" s="36"/>
      <c r="AJ5649" s="15">
        <f t="shared" si="900"/>
        <v>0</v>
      </c>
      <c r="AK5649" s="14">
        <v>400</v>
      </c>
      <c r="AL5649" s="14"/>
      <c r="AM5649" s="14"/>
      <c r="AN5649" s="14"/>
      <c r="AO5649" s="14"/>
      <c r="AP5649" s="14"/>
      <c r="AQ5649" s="14"/>
      <c r="AR5649" s="14"/>
      <c r="AS5649" s="14"/>
      <c r="AT5649" s="14"/>
      <c r="AU5649" s="14"/>
      <c r="AV5649" s="14"/>
      <c r="AW5649" s="15">
        <f t="shared" si="901"/>
        <v>400</v>
      </c>
      <c r="AX5649" s="16"/>
    </row>
    <row r="5650" spans="2:51" x14ac:dyDescent="0.2">
      <c r="B5650" s="7"/>
      <c r="C5650" s="8">
        <v>15817</v>
      </c>
      <c r="D5650" s="9" t="s">
        <v>520</v>
      </c>
      <c r="E5650" s="10" t="str">
        <f t="shared" si="896"/>
        <v>Rancho Landero No. 38</v>
      </c>
      <c r="F5650" s="10" t="str">
        <f t="shared" si="897"/>
        <v>Sánchez Peña</v>
      </c>
      <c r="G5650" s="8">
        <v>1</v>
      </c>
      <c r="H5650" s="11">
        <v>800</v>
      </c>
      <c r="I5650" s="12">
        <v>43121</v>
      </c>
      <c r="J5650" s="35">
        <f t="shared" si="898"/>
        <v>0</v>
      </c>
      <c r="K5650" s="36"/>
      <c r="L5650" s="36"/>
      <c r="M5650" s="36"/>
      <c r="N5650" s="36"/>
      <c r="O5650" s="36"/>
      <c r="P5650" s="36"/>
      <c r="Q5650" s="36"/>
      <c r="R5650" s="36"/>
      <c r="S5650" s="36"/>
      <c r="T5650" s="36"/>
      <c r="U5650" s="36"/>
      <c r="V5650" s="36"/>
      <c r="W5650" s="15">
        <f t="shared" si="899"/>
        <v>0</v>
      </c>
      <c r="X5650" s="36"/>
      <c r="Y5650" s="36"/>
      <c r="Z5650" s="36"/>
      <c r="AA5650" s="36"/>
      <c r="AB5650" s="36"/>
      <c r="AC5650" s="36"/>
      <c r="AD5650" s="36"/>
      <c r="AE5650" s="36"/>
      <c r="AF5650" s="36"/>
      <c r="AG5650" s="36"/>
      <c r="AH5650" s="36"/>
      <c r="AI5650" s="36"/>
      <c r="AJ5650" s="15">
        <f t="shared" si="900"/>
        <v>0</v>
      </c>
      <c r="AK5650" s="14">
        <v>400</v>
      </c>
      <c r="AL5650" s="14">
        <v>400</v>
      </c>
      <c r="AM5650" s="14"/>
      <c r="AN5650" s="14"/>
      <c r="AO5650" s="14"/>
      <c r="AP5650" s="14"/>
      <c r="AQ5650" s="14"/>
      <c r="AR5650" s="14"/>
      <c r="AS5650" s="14"/>
      <c r="AT5650" s="14"/>
      <c r="AU5650" s="14"/>
      <c r="AV5650" s="14"/>
      <c r="AW5650" s="15">
        <f t="shared" si="901"/>
        <v>800</v>
      </c>
      <c r="AX5650" s="16"/>
    </row>
    <row r="5651" spans="2:51" x14ac:dyDescent="0.2">
      <c r="B5651" s="7"/>
      <c r="C5651" s="8">
        <v>15818</v>
      </c>
      <c r="D5651" s="9" t="s">
        <v>823</v>
      </c>
      <c r="E5651" s="10" t="str">
        <f t="shared" si="896"/>
        <v>Rancho La Cuchilla No. 122</v>
      </c>
      <c r="F5651" s="10" t="str">
        <f t="shared" si="897"/>
        <v>Mendoza</v>
      </c>
      <c r="G5651" s="8">
        <v>1</v>
      </c>
      <c r="H5651" s="11">
        <v>600</v>
      </c>
      <c r="I5651" s="12">
        <v>43121</v>
      </c>
      <c r="J5651" s="35">
        <f t="shared" si="898"/>
        <v>0</v>
      </c>
      <c r="K5651" s="36"/>
      <c r="L5651" s="36"/>
      <c r="M5651" s="36"/>
      <c r="N5651" s="36"/>
      <c r="O5651" s="36"/>
      <c r="P5651" s="36"/>
      <c r="Q5651" s="36"/>
      <c r="R5651" s="36"/>
      <c r="S5651" s="36"/>
      <c r="T5651" s="36"/>
      <c r="U5651" s="36"/>
      <c r="V5651" s="36"/>
      <c r="W5651" s="15">
        <f t="shared" si="899"/>
        <v>0</v>
      </c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>
        <v>200</v>
      </c>
      <c r="AI5651" s="36">
        <v>200</v>
      </c>
      <c r="AJ5651" s="15">
        <f t="shared" si="900"/>
        <v>400</v>
      </c>
      <c r="AK5651" s="14">
        <v>200</v>
      </c>
      <c r="AL5651" s="14"/>
      <c r="AM5651" s="14"/>
      <c r="AN5651" s="14"/>
      <c r="AO5651" s="14"/>
      <c r="AP5651" s="14"/>
      <c r="AQ5651" s="14"/>
      <c r="AR5651" s="14"/>
      <c r="AS5651" s="14"/>
      <c r="AT5651" s="14"/>
      <c r="AU5651" s="14"/>
      <c r="AV5651" s="14"/>
      <c r="AW5651" s="15">
        <f t="shared" si="901"/>
        <v>200</v>
      </c>
      <c r="AX5651" s="16"/>
    </row>
    <row r="5652" spans="2:51" x14ac:dyDescent="0.2">
      <c r="B5652" s="7"/>
      <c r="C5652" s="8">
        <v>15819</v>
      </c>
      <c r="D5652" s="9" t="s">
        <v>529</v>
      </c>
      <c r="E5652" s="10" t="str">
        <f t="shared" si="896"/>
        <v>Rancho Estanzuela No. 37</v>
      </c>
      <c r="F5652" s="10" t="str">
        <f t="shared" si="897"/>
        <v>Cabello Eduardo</v>
      </c>
      <c r="G5652" s="8">
        <v>1</v>
      </c>
      <c r="H5652" s="11">
        <v>1200</v>
      </c>
      <c r="I5652" s="12">
        <v>43121</v>
      </c>
      <c r="J5652" s="35">
        <f t="shared" si="898"/>
        <v>0</v>
      </c>
      <c r="K5652" s="36"/>
      <c r="L5652" s="36"/>
      <c r="M5652" s="36"/>
      <c r="N5652" s="36"/>
      <c r="O5652" s="36"/>
      <c r="P5652" s="36"/>
      <c r="Q5652" s="36"/>
      <c r="R5652" s="36"/>
      <c r="S5652" s="36"/>
      <c r="T5652" s="36"/>
      <c r="U5652" s="36"/>
      <c r="V5652" s="36"/>
      <c r="W5652" s="15">
        <f t="shared" si="899"/>
        <v>0</v>
      </c>
      <c r="X5652" s="36"/>
      <c r="Y5652" s="36"/>
      <c r="Z5652" s="36"/>
      <c r="AA5652" s="36"/>
      <c r="AB5652" s="36"/>
      <c r="AC5652" s="36"/>
      <c r="AD5652" s="36"/>
      <c r="AE5652" s="36"/>
      <c r="AF5652" s="36"/>
      <c r="AG5652" s="36">
        <v>400</v>
      </c>
      <c r="AH5652" s="36">
        <v>400</v>
      </c>
      <c r="AI5652" s="36">
        <v>400</v>
      </c>
      <c r="AJ5652" s="15">
        <f t="shared" si="900"/>
        <v>1200</v>
      </c>
      <c r="AK5652" s="14"/>
      <c r="AL5652" s="14"/>
      <c r="AM5652" s="14"/>
      <c r="AN5652" s="14"/>
      <c r="AO5652" s="14"/>
      <c r="AP5652" s="14"/>
      <c r="AQ5652" s="14"/>
      <c r="AR5652" s="14"/>
      <c r="AS5652" s="14"/>
      <c r="AT5652" s="14"/>
      <c r="AU5652" s="14"/>
      <c r="AV5652" s="14"/>
      <c r="AW5652" s="15">
        <f t="shared" si="901"/>
        <v>0</v>
      </c>
      <c r="AX5652" s="16"/>
    </row>
    <row r="5653" spans="2:51" x14ac:dyDescent="0.2">
      <c r="B5653" s="7"/>
      <c r="C5653" s="8">
        <v>15820</v>
      </c>
      <c r="D5653" s="9" t="s">
        <v>109</v>
      </c>
      <c r="E5653" s="10" t="str">
        <f t="shared" si="896"/>
        <v>Rancho Estanzuela No. 31</v>
      </c>
      <c r="F5653" s="10" t="str">
        <f t="shared" si="897"/>
        <v>Chávez Valdés</v>
      </c>
      <c r="G5653" s="8">
        <v>1</v>
      </c>
      <c r="H5653" s="11">
        <v>400</v>
      </c>
      <c r="I5653" s="12">
        <v>43121</v>
      </c>
      <c r="J5653" s="35">
        <f t="shared" si="898"/>
        <v>0</v>
      </c>
      <c r="K5653" s="36"/>
      <c r="L5653" s="36"/>
      <c r="M5653" s="36"/>
      <c r="N5653" s="36"/>
      <c r="O5653" s="36"/>
      <c r="P5653" s="36"/>
      <c r="Q5653" s="36"/>
      <c r="R5653" s="36"/>
      <c r="S5653" s="36"/>
      <c r="T5653" s="36"/>
      <c r="U5653" s="36"/>
      <c r="V5653" s="36"/>
      <c r="W5653" s="15">
        <f t="shared" si="899"/>
        <v>0</v>
      </c>
      <c r="X5653" s="36"/>
      <c r="Y5653" s="36"/>
      <c r="Z5653" s="36"/>
      <c r="AA5653" s="36"/>
      <c r="AB5653" s="36"/>
      <c r="AC5653" s="36"/>
      <c r="AD5653" s="36"/>
      <c r="AE5653" s="36"/>
      <c r="AF5653" s="36"/>
      <c r="AG5653" s="36"/>
      <c r="AH5653" s="36"/>
      <c r="AI5653" s="36">
        <v>400</v>
      </c>
      <c r="AJ5653" s="15">
        <f t="shared" si="900"/>
        <v>400</v>
      </c>
      <c r="AK5653" s="14"/>
      <c r="AL5653" s="14"/>
      <c r="AM5653" s="14"/>
      <c r="AN5653" s="14"/>
      <c r="AO5653" s="14"/>
      <c r="AP5653" s="14"/>
      <c r="AQ5653" s="14"/>
      <c r="AR5653" s="14"/>
      <c r="AS5653" s="14"/>
      <c r="AT5653" s="14"/>
      <c r="AU5653" s="14"/>
      <c r="AV5653" s="14"/>
      <c r="AW5653" s="15">
        <f t="shared" si="901"/>
        <v>0</v>
      </c>
      <c r="AX5653" s="16"/>
    </row>
    <row r="5654" spans="2:51" x14ac:dyDescent="0.2">
      <c r="B5654" s="7"/>
      <c r="C5654" s="8">
        <v>15821</v>
      </c>
      <c r="D5654" s="9" t="s">
        <v>138</v>
      </c>
      <c r="E5654" s="10" t="str">
        <f t="shared" si="896"/>
        <v>Rancho La Cuchilla No. 135</v>
      </c>
      <c r="F5654" s="10" t="str">
        <f t="shared" si="897"/>
        <v>Perea</v>
      </c>
      <c r="G5654" s="8">
        <v>1</v>
      </c>
      <c r="H5654" s="11">
        <v>4400</v>
      </c>
      <c r="I5654" s="12">
        <v>43121</v>
      </c>
      <c r="J5654" s="35">
        <f t="shared" si="898"/>
        <v>0</v>
      </c>
      <c r="K5654" s="36"/>
      <c r="L5654" s="36"/>
      <c r="M5654" s="36"/>
      <c r="N5654" s="36"/>
      <c r="O5654" s="36"/>
      <c r="P5654" s="36"/>
      <c r="Q5654" s="36"/>
      <c r="R5654" s="36"/>
      <c r="S5654" s="36"/>
      <c r="T5654" s="36"/>
      <c r="U5654" s="36"/>
      <c r="V5654" s="36"/>
      <c r="W5654" s="15">
        <f t="shared" si="899"/>
        <v>0</v>
      </c>
      <c r="X5654" s="36"/>
      <c r="Y5654" s="36"/>
      <c r="Z5654" s="36"/>
      <c r="AA5654" s="36"/>
      <c r="AB5654" s="36"/>
      <c r="AC5654" s="36"/>
      <c r="AD5654" s="36"/>
      <c r="AE5654" s="36"/>
      <c r="AF5654" s="36"/>
      <c r="AG5654" s="36"/>
      <c r="AH5654" s="36"/>
      <c r="AI5654" s="36"/>
      <c r="AJ5654" s="15">
        <f t="shared" si="900"/>
        <v>0</v>
      </c>
      <c r="AK5654" s="14">
        <v>400</v>
      </c>
      <c r="AL5654" s="14">
        <v>400</v>
      </c>
      <c r="AM5654" s="14">
        <v>400</v>
      </c>
      <c r="AN5654" s="14">
        <v>400</v>
      </c>
      <c r="AO5654" s="14">
        <v>400</v>
      </c>
      <c r="AP5654" s="14">
        <v>400</v>
      </c>
      <c r="AQ5654" s="14">
        <v>400</v>
      </c>
      <c r="AR5654" s="14">
        <v>400</v>
      </c>
      <c r="AS5654" s="14">
        <v>400</v>
      </c>
      <c r="AT5654" s="14">
        <v>400</v>
      </c>
      <c r="AU5654" s="14">
        <v>400</v>
      </c>
      <c r="AV5654" s="14"/>
      <c r="AW5654" s="15">
        <f t="shared" si="901"/>
        <v>4400</v>
      </c>
      <c r="AX5654" s="16" t="s">
        <v>4905</v>
      </c>
    </row>
    <row r="5655" spans="2:51" x14ac:dyDescent="0.2">
      <c r="B5655" s="7"/>
      <c r="C5655" s="8">
        <v>15822</v>
      </c>
      <c r="D5655" s="9" t="s">
        <v>419</v>
      </c>
      <c r="E5655" s="10" t="str">
        <f t="shared" si="896"/>
        <v>Rancho Zinamba No. 6</v>
      </c>
      <c r="F5655" s="10" t="str">
        <f t="shared" si="897"/>
        <v>Villafaña</v>
      </c>
      <c r="G5655" s="8">
        <v>1</v>
      </c>
      <c r="H5655" s="11">
        <v>4400</v>
      </c>
      <c r="I5655" s="12">
        <v>43121</v>
      </c>
      <c r="J5655" s="35">
        <f t="shared" si="898"/>
        <v>0</v>
      </c>
      <c r="K5655" s="36"/>
      <c r="L5655" s="36"/>
      <c r="M5655" s="36"/>
      <c r="N5655" s="36"/>
      <c r="O5655" s="36"/>
      <c r="P5655" s="36"/>
      <c r="Q5655" s="36"/>
      <c r="R5655" s="36"/>
      <c r="S5655" s="36"/>
      <c r="T5655" s="36"/>
      <c r="U5655" s="36"/>
      <c r="V5655" s="36"/>
      <c r="W5655" s="15">
        <f t="shared" si="899"/>
        <v>0</v>
      </c>
      <c r="X5655" s="36"/>
      <c r="Y5655" s="36"/>
      <c r="Z5655" s="36"/>
      <c r="AA5655" s="36"/>
      <c r="AB5655" s="36"/>
      <c r="AC5655" s="36"/>
      <c r="AD5655" s="36"/>
      <c r="AE5655" s="36"/>
      <c r="AF5655" s="36"/>
      <c r="AG5655" s="36"/>
      <c r="AH5655" s="36"/>
      <c r="AI5655" s="36"/>
      <c r="AJ5655" s="15">
        <f t="shared" si="900"/>
        <v>0</v>
      </c>
      <c r="AK5655" s="14">
        <v>400</v>
      </c>
      <c r="AL5655" s="14">
        <v>400</v>
      </c>
      <c r="AM5655" s="14">
        <v>400</v>
      </c>
      <c r="AN5655" s="14">
        <v>400</v>
      </c>
      <c r="AO5655" s="14">
        <v>400</v>
      </c>
      <c r="AP5655" s="14">
        <v>400</v>
      </c>
      <c r="AQ5655" s="14">
        <v>400</v>
      </c>
      <c r="AR5655" s="14">
        <v>400</v>
      </c>
      <c r="AS5655" s="14">
        <v>400</v>
      </c>
      <c r="AT5655" s="14">
        <v>400</v>
      </c>
      <c r="AU5655" s="14">
        <v>400</v>
      </c>
      <c r="AV5655" s="14"/>
      <c r="AW5655" s="15">
        <f t="shared" si="901"/>
        <v>4400</v>
      </c>
      <c r="AX5655" s="16" t="s">
        <v>4905</v>
      </c>
    </row>
    <row r="5656" spans="2:51" x14ac:dyDescent="0.2">
      <c r="B5656" s="7"/>
      <c r="C5656" s="8">
        <v>15823</v>
      </c>
      <c r="D5656" s="9" t="s">
        <v>565</v>
      </c>
      <c r="E5656" s="10" t="str">
        <f t="shared" si="896"/>
        <v>Rancho Zinamba No. 62</v>
      </c>
      <c r="F5656" s="10" t="str">
        <f t="shared" si="897"/>
        <v>Martínez León</v>
      </c>
      <c r="G5656" s="8">
        <v>1</v>
      </c>
      <c r="H5656" s="11">
        <v>750</v>
      </c>
      <c r="I5656" s="12">
        <v>43121</v>
      </c>
      <c r="J5656" s="35">
        <f t="shared" si="898"/>
        <v>0</v>
      </c>
      <c r="K5656" s="36"/>
      <c r="L5656" s="36"/>
      <c r="M5656" s="36"/>
      <c r="N5656" s="36"/>
      <c r="O5656" s="36"/>
      <c r="P5656" s="36"/>
      <c r="Q5656" s="36"/>
      <c r="R5656" s="36"/>
      <c r="S5656" s="36"/>
      <c r="T5656" s="36"/>
      <c r="U5656" s="36"/>
      <c r="V5656" s="36"/>
      <c r="W5656" s="15">
        <f t="shared" si="899"/>
        <v>0</v>
      </c>
      <c r="X5656" s="36"/>
      <c r="Y5656" s="36"/>
      <c r="Z5656" s="36"/>
      <c r="AA5656" s="36"/>
      <c r="AB5656" s="36"/>
      <c r="AC5656" s="36"/>
      <c r="AD5656" s="36"/>
      <c r="AE5656" s="36"/>
      <c r="AF5656" s="36"/>
      <c r="AG5656" s="36"/>
      <c r="AH5656" s="36">
        <v>250</v>
      </c>
      <c r="AI5656" s="36">
        <v>250</v>
      </c>
      <c r="AJ5656" s="15">
        <f t="shared" si="900"/>
        <v>500</v>
      </c>
      <c r="AK5656" s="14">
        <v>250</v>
      </c>
      <c r="AL5656" s="14"/>
      <c r="AM5656" s="14"/>
      <c r="AN5656" s="14"/>
      <c r="AO5656" s="14"/>
      <c r="AP5656" s="14"/>
      <c r="AQ5656" s="14"/>
      <c r="AR5656" s="14"/>
      <c r="AS5656" s="14"/>
      <c r="AT5656" s="14"/>
      <c r="AU5656" s="14"/>
      <c r="AV5656" s="14"/>
      <c r="AW5656" s="15">
        <f t="shared" si="901"/>
        <v>250</v>
      </c>
      <c r="AX5656" s="16"/>
    </row>
    <row r="5657" spans="2:51" x14ac:dyDescent="0.2">
      <c r="B5657" s="7"/>
      <c r="C5657" s="8">
        <v>15824</v>
      </c>
      <c r="D5657" s="9" t="s">
        <v>1420</v>
      </c>
      <c r="E5657" s="10" t="str">
        <f t="shared" si="896"/>
        <v>Rancho Upácuaro No. 35</v>
      </c>
      <c r="F5657" s="10" t="str">
        <f t="shared" si="897"/>
        <v>García</v>
      </c>
      <c r="G5657" s="8">
        <v>1</v>
      </c>
      <c r="H5657" s="11">
        <v>800</v>
      </c>
      <c r="I5657" s="12">
        <v>43121</v>
      </c>
      <c r="J5657" s="35">
        <f t="shared" si="898"/>
        <v>0</v>
      </c>
      <c r="K5657" s="36"/>
      <c r="L5657" s="36"/>
      <c r="M5657" s="36"/>
      <c r="N5657" s="36"/>
      <c r="O5657" s="36"/>
      <c r="P5657" s="36"/>
      <c r="Q5657" s="36"/>
      <c r="R5657" s="36"/>
      <c r="S5657" s="36"/>
      <c r="T5657" s="36"/>
      <c r="U5657" s="36"/>
      <c r="V5657" s="36"/>
      <c r="W5657" s="15">
        <f t="shared" si="899"/>
        <v>0</v>
      </c>
      <c r="X5657" s="36"/>
      <c r="Y5657" s="36"/>
      <c r="Z5657" s="36"/>
      <c r="AA5657" s="36"/>
      <c r="AB5657" s="36"/>
      <c r="AC5657" s="36"/>
      <c r="AD5657" s="36"/>
      <c r="AE5657" s="36"/>
      <c r="AF5657" s="36"/>
      <c r="AG5657" s="36"/>
      <c r="AH5657" s="36"/>
      <c r="AI5657" s="36"/>
      <c r="AJ5657" s="15">
        <f t="shared" si="900"/>
        <v>0</v>
      </c>
      <c r="AK5657" s="14">
        <v>400</v>
      </c>
      <c r="AL5657" s="14">
        <v>400</v>
      </c>
      <c r="AM5657" s="14"/>
      <c r="AN5657" s="14"/>
      <c r="AO5657" s="14"/>
      <c r="AP5657" s="14"/>
      <c r="AQ5657" s="14"/>
      <c r="AR5657" s="14"/>
      <c r="AS5657" s="14"/>
      <c r="AT5657" s="14"/>
      <c r="AU5657" s="14"/>
      <c r="AV5657" s="14"/>
      <c r="AW5657" s="15">
        <f t="shared" si="901"/>
        <v>800</v>
      </c>
      <c r="AX5657" s="16"/>
    </row>
    <row r="5658" spans="2:51" x14ac:dyDescent="0.2">
      <c r="B5658" s="7"/>
      <c r="C5658" s="8">
        <v>15825</v>
      </c>
      <c r="D5658" s="9" t="s">
        <v>470</v>
      </c>
      <c r="E5658" s="10" t="str">
        <f t="shared" si="896"/>
        <v>Rancho Zinamba No. 42</v>
      </c>
      <c r="F5658" s="10" t="str">
        <f t="shared" si="897"/>
        <v>López Aldave</v>
      </c>
      <c r="G5658" s="8">
        <v>1</v>
      </c>
      <c r="H5658" s="11">
        <v>700</v>
      </c>
      <c r="I5658" s="12">
        <v>43121</v>
      </c>
      <c r="J5658" s="35">
        <f t="shared" si="898"/>
        <v>0</v>
      </c>
      <c r="K5658" s="36"/>
      <c r="L5658" s="36"/>
      <c r="M5658" s="36"/>
      <c r="N5658" s="36"/>
      <c r="O5658" s="36"/>
      <c r="P5658" s="36"/>
      <c r="Q5658" s="36"/>
      <c r="R5658" s="36"/>
      <c r="S5658" s="36"/>
      <c r="T5658" s="36"/>
      <c r="U5658" s="36"/>
      <c r="V5658" s="36"/>
      <c r="W5658" s="15">
        <f t="shared" si="899"/>
        <v>0</v>
      </c>
      <c r="X5658" s="36"/>
      <c r="Y5658" s="36"/>
      <c r="Z5658" s="36"/>
      <c r="AA5658" s="36"/>
      <c r="AB5658" s="36"/>
      <c r="AC5658" s="36"/>
      <c r="AD5658" s="36"/>
      <c r="AE5658" s="36"/>
      <c r="AF5658" s="36"/>
      <c r="AG5658" s="36"/>
      <c r="AH5658" s="36"/>
      <c r="AI5658" s="36"/>
      <c r="AJ5658" s="15">
        <f t="shared" si="900"/>
        <v>0</v>
      </c>
      <c r="AK5658" s="14">
        <v>350</v>
      </c>
      <c r="AL5658" s="14">
        <v>350</v>
      </c>
      <c r="AM5658" s="14"/>
      <c r="AN5658" s="14"/>
      <c r="AO5658" s="14"/>
      <c r="AP5658" s="14"/>
      <c r="AQ5658" s="14"/>
      <c r="AR5658" s="14"/>
      <c r="AS5658" s="14"/>
      <c r="AT5658" s="14"/>
      <c r="AU5658" s="14"/>
      <c r="AV5658" s="14"/>
      <c r="AW5658" s="15">
        <f t="shared" si="901"/>
        <v>700</v>
      </c>
      <c r="AX5658" s="16"/>
    </row>
    <row r="5659" spans="2:51" x14ac:dyDescent="0.2">
      <c r="B5659" s="7"/>
      <c r="C5659" s="8">
        <v>15826</v>
      </c>
      <c r="D5659" s="9" t="s">
        <v>232</v>
      </c>
      <c r="E5659" s="10" t="str">
        <f t="shared" si="896"/>
        <v>Rancho Landero No. 15</v>
      </c>
      <c r="F5659" s="10" t="str">
        <f t="shared" si="897"/>
        <v>Morales D.</v>
      </c>
      <c r="G5659" s="8">
        <v>5</v>
      </c>
      <c r="H5659" s="11">
        <v>50</v>
      </c>
      <c r="I5659" s="12">
        <v>43121</v>
      </c>
      <c r="J5659" s="35">
        <f t="shared" si="898"/>
        <v>0</v>
      </c>
      <c r="K5659" s="36"/>
      <c r="L5659" s="36"/>
      <c r="M5659" s="36"/>
      <c r="N5659" s="36"/>
      <c r="O5659" s="36"/>
      <c r="P5659" s="36"/>
      <c r="Q5659" s="36"/>
      <c r="R5659" s="36"/>
      <c r="S5659" s="36"/>
      <c r="T5659" s="36"/>
      <c r="U5659" s="36"/>
      <c r="V5659" s="36"/>
      <c r="W5659" s="15">
        <f t="shared" si="899"/>
        <v>0</v>
      </c>
      <c r="X5659" s="36"/>
      <c r="Y5659" s="36"/>
      <c r="Z5659" s="36"/>
      <c r="AA5659" s="36"/>
      <c r="AB5659" s="36"/>
      <c r="AC5659" s="36"/>
      <c r="AD5659" s="36"/>
      <c r="AE5659" s="36"/>
      <c r="AF5659" s="36"/>
      <c r="AG5659" s="36"/>
      <c r="AH5659" s="36"/>
      <c r="AI5659" s="36"/>
      <c r="AJ5659" s="15">
        <f t="shared" si="900"/>
        <v>0</v>
      </c>
      <c r="AK5659" s="14"/>
      <c r="AL5659" s="14"/>
      <c r="AM5659" s="14"/>
      <c r="AN5659" s="14"/>
      <c r="AO5659" s="14"/>
      <c r="AP5659" s="14"/>
      <c r="AQ5659" s="14"/>
      <c r="AR5659" s="14"/>
      <c r="AS5659" s="14"/>
      <c r="AT5659" s="14"/>
      <c r="AU5659" s="14"/>
      <c r="AV5659" s="14"/>
      <c r="AW5659" s="15">
        <f t="shared" si="901"/>
        <v>0</v>
      </c>
      <c r="AX5659" s="316">
        <f>SUM(H5593:H5659)</f>
        <v>32950</v>
      </c>
      <c r="AY5659" s="112">
        <f>SUM(H5583:H5659)</f>
        <v>35600</v>
      </c>
    </row>
    <row r="5660" spans="2:51" x14ac:dyDescent="0.2">
      <c r="B5660" s="7"/>
      <c r="C5660" s="8">
        <v>15827</v>
      </c>
      <c r="D5660" s="9" t="s">
        <v>494</v>
      </c>
      <c r="E5660" s="10" t="str">
        <f t="shared" si="896"/>
        <v>Rancho Landero No. 2, B</v>
      </c>
      <c r="F5660" s="10" t="str">
        <f t="shared" si="897"/>
        <v>Pack Mail</v>
      </c>
      <c r="G5660" s="8">
        <v>1</v>
      </c>
      <c r="H5660" s="315">
        <v>300</v>
      </c>
      <c r="I5660" s="12">
        <v>43123</v>
      </c>
      <c r="J5660" s="35">
        <f t="shared" si="898"/>
        <v>0</v>
      </c>
      <c r="K5660" s="36"/>
      <c r="L5660" s="36"/>
      <c r="M5660" s="36"/>
      <c r="N5660" s="36"/>
      <c r="O5660" s="36"/>
      <c r="P5660" s="36"/>
      <c r="Q5660" s="36"/>
      <c r="R5660" s="36"/>
      <c r="S5660" s="36"/>
      <c r="T5660" s="36"/>
      <c r="U5660" s="36"/>
      <c r="V5660" s="36"/>
      <c r="W5660" s="15">
        <f t="shared" si="899"/>
        <v>0</v>
      </c>
      <c r="X5660" s="36"/>
      <c r="Y5660" s="36"/>
      <c r="Z5660" s="36"/>
      <c r="AA5660" s="36"/>
      <c r="AB5660" s="36"/>
      <c r="AC5660" s="36"/>
      <c r="AD5660" s="36"/>
      <c r="AE5660" s="36"/>
      <c r="AF5660" s="36"/>
      <c r="AG5660" s="36"/>
      <c r="AH5660" s="36"/>
      <c r="AI5660" s="36">
        <v>150</v>
      </c>
      <c r="AJ5660" s="15">
        <f t="shared" si="900"/>
        <v>150</v>
      </c>
      <c r="AK5660" s="14">
        <v>150</v>
      </c>
      <c r="AL5660" s="14"/>
      <c r="AM5660" s="14"/>
      <c r="AN5660" s="14"/>
      <c r="AO5660" s="14"/>
      <c r="AP5660" s="14"/>
      <c r="AQ5660" s="14"/>
      <c r="AR5660" s="14"/>
      <c r="AS5660" s="14"/>
      <c r="AT5660" s="14"/>
      <c r="AU5660" s="14"/>
      <c r="AV5660" s="14"/>
      <c r="AW5660" s="15">
        <f t="shared" si="901"/>
        <v>150</v>
      </c>
      <c r="AX5660" s="16"/>
      <c r="AY5660" s="112"/>
    </row>
    <row r="5661" spans="2:51" x14ac:dyDescent="0.2">
      <c r="B5661" s="7"/>
      <c r="C5661" s="8">
        <v>15828</v>
      </c>
      <c r="D5661" s="9" t="s">
        <v>485</v>
      </c>
      <c r="E5661" s="10" t="str">
        <f t="shared" si="896"/>
        <v>Rancho Estanzuela No. 111</v>
      </c>
      <c r="F5661" s="10" t="str">
        <f t="shared" si="897"/>
        <v>Flores Pérez</v>
      </c>
      <c r="G5661" s="8">
        <v>1</v>
      </c>
      <c r="H5661" s="11">
        <v>1200</v>
      </c>
      <c r="I5661" s="12">
        <v>43123</v>
      </c>
      <c r="J5661" s="35">
        <f t="shared" si="898"/>
        <v>0</v>
      </c>
      <c r="K5661" s="36"/>
      <c r="L5661" s="36"/>
      <c r="M5661" s="36"/>
      <c r="N5661" s="36"/>
      <c r="O5661" s="36"/>
      <c r="P5661" s="36"/>
      <c r="Q5661" s="36"/>
      <c r="R5661" s="36"/>
      <c r="S5661" s="36"/>
      <c r="T5661" s="36"/>
      <c r="U5661" s="36"/>
      <c r="V5661" s="36"/>
      <c r="W5661" s="15">
        <f t="shared" si="899"/>
        <v>0</v>
      </c>
      <c r="X5661" s="36"/>
      <c r="Y5661" s="36"/>
      <c r="Z5661" s="36"/>
      <c r="AA5661" s="36"/>
      <c r="AB5661" s="36"/>
      <c r="AC5661" s="36"/>
      <c r="AD5661" s="36"/>
      <c r="AE5661" s="36"/>
      <c r="AF5661" s="36"/>
      <c r="AG5661" s="36"/>
      <c r="AH5661" s="36">
        <v>400</v>
      </c>
      <c r="AI5661" s="36">
        <v>400</v>
      </c>
      <c r="AJ5661" s="15">
        <f t="shared" si="900"/>
        <v>800</v>
      </c>
      <c r="AK5661" s="14">
        <v>400</v>
      </c>
      <c r="AL5661" s="14"/>
      <c r="AM5661" s="14"/>
      <c r="AN5661" s="14"/>
      <c r="AO5661" s="14"/>
      <c r="AP5661" s="14"/>
      <c r="AQ5661" s="14"/>
      <c r="AR5661" s="14"/>
      <c r="AS5661" s="14"/>
      <c r="AT5661" s="14"/>
      <c r="AU5661" s="14"/>
      <c r="AV5661" s="14"/>
      <c r="AW5661" s="15">
        <f t="shared" si="901"/>
        <v>400</v>
      </c>
      <c r="AX5661" s="16"/>
      <c r="AY5661" s="112"/>
    </row>
    <row r="5662" spans="2:51" x14ac:dyDescent="0.2">
      <c r="B5662" s="7"/>
      <c r="C5662" s="8">
        <v>15829</v>
      </c>
      <c r="D5662" s="9" t="s">
        <v>289</v>
      </c>
      <c r="E5662" s="10" t="str">
        <f t="shared" si="896"/>
        <v>Rancho Estanzuela No. 17</v>
      </c>
      <c r="F5662" s="10" t="str">
        <f t="shared" si="897"/>
        <v>Enciso Ledesma</v>
      </c>
      <c r="G5662" s="8">
        <v>3</v>
      </c>
      <c r="H5662" s="11">
        <v>1600</v>
      </c>
      <c r="I5662" s="12">
        <v>43123</v>
      </c>
      <c r="J5662" s="35">
        <f t="shared" si="898"/>
        <v>0</v>
      </c>
      <c r="K5662" s="36"/>
      <c r="L5662" s="36"/>
      <c r="M5662" s="36"/>
      <c r="N5662" s="36"/>
      <c r="O5662" s="36"/>
      <c r="P5662" s="36"/>
      <c r="Q5662" s="36"/>
      <c r="R5662" s="36"/>
      <c r="S5662" s="36"/>
      <c r="T5662" s="36"/>
      <c r="U5662" s="36"/>
      <c r="V5662" s="36"/>
      <c r="W5662" s="15">
        <f t="shared" si="899"/>
        <v>0</v>
      </c>
      <c r="X5662" s="36"/>
      <c r="Y5662" s="36"/>
      <c r="Z5662" s="36"/>
      <c r="AA5662" s="36"/>
      <c r="AB5662" s="36"/>
      <c r="AC5662" s="36"/>
      <c r="AD5662" s="36"/>
      <c r="AE5662" s="36"/>
      <c r="AF5662" s="36"/>
      <c r="AG5662" s="36"/>
      <c r="AH5662" s="36"/>
      <c r="AI5662" s="36"/>
      <c r="AJ5662" s="15">
        <f t="shared" si="900"/>
        <v>0</v>
      </c>
      <c r="AK5662" s="14"/>
      <c r="AL5662" s="14"/>
      <c r="AM5662" s="14"/>
      <c r="AN5662" s="14"/>
      <c r="AO5662" s="14"/>
      <c r="AP5662" s="14"/>
      <c r="AQ5662" s="14"/>
      <c r="AR5662" s="14"/>
      <c r="AS5662" s="14"/>
      <c r="AT5662" s="14"/>
      <c r="AU5662" s="14"/>
      <c r="AV5662" s="14"/>
      <c r="AW5662" s="15">
        <f t="shared" si="901"/>
        <v>0</v>
      </c>
      <c r="AX5662" s="316">
        <f>SUM(H5660:H5662)</f>
        <v>3100</v>
      </c>
      <c r="AY5662" s="112">
        <v>3100</v>
      </c>
    </row>
    <row r="5663" spans="2:51" x14ac:dyDescent="0.2">
      <c r="B5663" s="7"/>
      <c r="C5663" s="8">
        <v>15830</v>
      </c>
      <c r="D5663" s="9" t="s">
        <v>177</v>
      </c>
      <c r="E5663" s="10" t="str">
        <f t="shared" si="890"/>
        <v>Rancho Landero No. 71</v>
      </c>
      <c r="F5663" s="10" t="str">
        <f t="shared" si="891"/>
        <v xml:space="preserve">Luna  </v>
      </c>
      <c r="G5663" s="8">
        <v>1</v>
      </c>
      <c r="H5663" s="315">
        <v>400</v>
      </c>
      <c r="I5663" s="12">
        <v>43128</v>
      </c>
      <c r="J5663" s="35">
        <f t="shared" si="892"/>
        <v>0</v>
      </c>
      <c r="K5663" s="36"/>
      <c r="L5663" s="36"/>
      <c r="M5663" s="36"/>
      <c r="N5663" s="36"/>
      <c r="O5663" s="36"/>
      <c r="P5663" s="36"/>
      <c r="Q5663" s="36"/>
      <c r="R5663" s="36"/>
      <c r="S5663" s="36"/>
      <c r="T5663" s="36"/>
      <c r="U5663" s="36"/>
      <c r="V5663" s="36"/>
      <c r="W5663" s="15">
        <f t="shared" si="893"/>
        <v>0</v>
      </c>
      <c r="X5663" s="36"/>
      <c r="Y5663" s="36"/>
      <c r="Z5663" s="36"/>
      <c r="AA5663" s="36"/>
      <c r="AB5663" s="36"/>
      <c r="AC5663" s="36"/>
      <c r="AD5663" s="36"/>
      <c r="AE5663" s="36"/>
      <c r="AF5663" s="36"/>
      <c r="AG5663" s="36"/>
      <c r="AH5663" s="36"/>
      <c r="AI5663" s="36"/>
      <c r="AJ5663" s="15">
        <f t="shared" si="894"/>
        <v>0</v>
      </c>
      <c r="AK5663" s="14">
        <v>400</v>
      </c>
      <c r="AL5663" s="14"/>
      <c r="AM5663" s="14"/>
      <c r="AN5663" s="14"/>
      <c r="AO5663" s="14"/>
      <c r="AP5663" s="14"/>
      <c r="AQ5663" s="14"/>
      <c r="AR5663" s="14"/>
      <c r="AS5663" s="14"/>
      <c r="AT5663" s="14"/>
      <c r="AU5663" s="14"/>
      <c r="AV5663" s="14"/>
      <c r="AW5663" s="15">
        <f t="shared" si="895"/>
        <v>400</v>
      </c>
      <c r="AX5663" s="16"/>
    </row>
    <row r="5664" spans="2:51" x14ac:dyDescent="0.2">
      <c r="B5664" s="7"/>
      <c r="C5664" s="8">
        <v>15831</v>
      </c>
      <c r="D5664" s="9" t="s">
        <v>640</v>
      </c>
      <c r="E5664" s="10" t="str">
        <f t="shared" si="890"/>
        <v>Rancho Estopila No. 22, A</v>
      </c>
      <c r="F5664" s="10" t="str">
        <f t="shared" si="891"/>
        <v>Ayala Carranza</v>
      </c>
      <c r="G5664" s="8">
        <v>1</v>
      </c>
      <c r="H5664" s="11">
        <v>200</v>
      </c>
      <c r="I5664" s="12">
        <v>43128</v>
      </c>
      <c r="J5664" s="35">
        <f t="shared" si="892"/>
        <v>0</v>
      </c>
      <c r="K5664" s="36"/>
      <c r="L5664" s="36"/>
      <c r="M5664" s="36"/>
      <c r="N5664" s="36"/>
      <c r="O5664" s="36"/>
      <c r="P5664" s="36"/>
      <c r="Q5664" s="36"/>
      <c r="R5664" s="36"/>
      <c r="S5664" s="36"/>
      <c r="T5664" s="36"/>
      <c r="U5664" s="36"/>
      <c r="V5664" s="36"/>
      <c r="W5664" s="15">
        <f t="shared" si="893"/>
        <v>0</v>
      </c>
      <c r="X5664" s="36"/>
      <c r="Y5664" s="36"/>
      <c r="Z5664" s="36"/>
      <c r="AA5664" s="36"/>
      <c r="AB5664" s="36"/>
      <c r="AC5664" s="36"/>
      <c r="AD5664" s="36"/>
      <c r="AE5664" s="36"/>
      <c r="AF5664" s="36"/>
      <c r="AG5664" s="36"/>
      <c r="AH5664" s="36"/>
      <c r="AI5664" s="36"/>
      <c r="AJ5664" s="15">
        <f t="shared" si="894"/>
        <v>0</v>
      </c>
      <c r="AK5664" s="14">
        <v>200</v>
      </c>
      <c r="AL5664" s="14"/>
      <c r="AM5664" s="14"/>
      <c r="AN5664" s="14"/>
      <c r="AO5664" s="14"/>
      <c r="AP5664" s="14"/>
      <c r="AQ5664" s="14"/>
      <c r="AR5664" s="14"/>
      <c r="AS5664" s="14"/>
      <c r="AT5664" s="14"/>
      <c r="AU5664" s="14"/>
      <c r="AV5664" s="14"/>
      <c r="AW5664" s="15">
        <f t="shared" si="895"/>
        <v>200</v>
      </c>
      <c r="AX5664" s="16"/>
    </row>
    <row r="5665" spans="2:50" x14ac:dyDescent="0.2">
      <c r="B5665" s="7"/>
      <c r="C5665" s="8">
        <v>15832</v>
      </c>
      <c r="D5665" s="9" t="s">
        <v>893</v>
      </c>
      <c r="E5665" s="10" t="str">
        <f t="shared" ref="E5665:E5673" si="902">IF(D5665=0,"",VLOOKUP(D5665,BASE,2,FALSE))</f>
        <v>Rancho Upácuaro No. 136</v>
      </c>
      <c r="F5665" s="10" t="str">
        <f t="shared" ref="F5665:F5673" si="903">IF(D5665=0,"",VLOOKUP(D5665,BASE,3,FALSE))</f>
        <v>López Lena</v>
      </c>
      <c r="G5665" s="8">
        <v>1</v>
      </c>
      <c r="H5665" s="11">
        <v>900</v>
      </c>
      <c r="I5665" s="12">
        <v>43128</v>
      </c>
      <c r="J5665" s="35">
        <f t="shared" ref="J5665:J5673" si="904">IF(G5665=1,SUM(W5665,AJ5665,AW5665,-H5665),0)</f>
        <v>0</v>
      </c>
      <c r="K5665" s="36"/>
      <c r="L5665" s="36"/>
      <c r="M5665" s="36"/>
      <c r="N5665" s="36"/>
      <c r="O5665" s="36"/>
      <c r="P5665" s="36"/>
      <c r="Q5665" s="36"/>
      <c r="R5665" s="36"/>
      <c r="S5665" s="36"/>
      <c r="T5665" s="36"/>
      <c r="U5665" s="36"/>
      <c r="V5665" s="36"/>
      <c r="W5665" s="15">
        <f t="shared" ref="W5665:W5673" si="905">SUM(K5665:V5665)</f>
        <v>0</v>
      </c>
      <c r="X5665" s="36"/>
      <c r="Y5665" s="36"/>
      <c r="Z5665" s="36"/>
      <c r="AA5665" s="36"/>
      <c r="AB5665" s="36"/>
      <c r="AC5665" s="36"/>
      <c r="AD5665" s="36"/>
      <c r="AE5665" s="36"/>
      <c r="AF5665" s="36"/>
      <c r="AG5665" s="36"/>
      <c r="AH5665" s="36">
        <v>300</v>
      </c>
      <c r="AI5665" s="36">
        <v>300</v>
      </c>
      <c r="AJ5665" s="15">
        <f t="shared" ref="AJ5665:AJ5673" si="906">SUM(X5665:AI5665)</f>
        <v>600</v>
      </c>
      <c r="AK5665" s="14">
        <v>300</v>
      </c>
      <c r="AL5665" s="14"/>
      <c r="AM5665" s="14"/>
      <c r="AN5665" s="14"/>
      <c r="AO5665" s="14"/>
      <c r="AP5665" s="14"/>
      <c r="AQ5665" s="14"/>
      <c r="AR5665" s="14"/>
      <c r="AS5665" s="14"/>
      <c r="AT5665" s="14"/>
      <c r="AU5665" s="14"/>
      <c r="AV5665" s="14"/>
      <c r="AW5665" s="15">
        <f t="shared" ref="AW5665:AW5673" si="907">SUM(AK5665:AV5665)</f>
        <v>300</v>
      </c>
      <c r="AX5665" s="16"/>
    </row>
    <row r="5666" spans="2:50" x14ac:dyDescent="0.2">
      <c r="B5666" s="7"/>
      <c r="C5666" s="8">
        <v>15833</v>
      </c>
      <c r="D5666" s="9" t="s">
        <v>277</v>
      </c>
      <c r="E5666" s="10" t="str">
        <f t="shared" si="902"/>
        <v>Rancho Estanzuela No. 7, A</v>
      </c>
      <c r="F5666" s="10" t="str">
        <f t="shared" si="903"/>
        <v>Herrera Izquierdo</v>
      </c>
      <c r="G5666" s="8">
        <v>1</v>
      </c>
      <c r="H5666" s="11">
        <v>400</v>
      </c>
      <c r="I5666" s="12">
        <v>43128</v>
      </c>
      <c r="J5666" s="35">
        <f t="shared" si="904"/>
        <v>0</v>
      </c>
      <c r="K5666" s="36"/>
      <c r="L5666" s="36"/>
      <c r="M5666" s="36"/>
      <c r="N5666" s="36"/>
      <c r="O5666" s="36"/>
      <c r="P5666" s="36"/>
      <c r="Q5666" s="36"/>
      <c r="R5666" s="36"/>
      <c r="S5666" s="36"/>
      <c r="T5666" s="36"/>
      <c r="U5666" s="36"/>
      <c r="V5666" s="36"/>
      <c r="W5666" s="15">
        <f t="shared" si="905"/>
        <v>0</v>
      </c>
      <c r="X5666" s="36"/>
      <c r="Y5666" s="36"/>
      <c r="Z5666" s="36"/>
      <c r="AA5666" s="36"/>
      <c r="AB5666" s="36"/>
      <c r="AC5666" s="36"/>
      <c r="AD5666" s="36"/>
      <c r="AE5666" s="36"/>
      <c r="AF5666" s="36"/>
      <c r="AG5666" s="36"/>
      <c r="AH5666" s="36"/>
      <c r="AI5666" s="36"/>
      <c r="AJ5666" s="15">
        <f t="shared" si="906"/>
        <v>0</v>
      </c>
      <c r="AK5666" s="14">
        <v>200</v>
      </c>
      <c r="AL5666" s="14">
        <v>200</v>
      </c>
      <c r="AM5666" s="14"/>
      <c r="AN5666" s="14"/>
      <c r="AO5666" s="14"/>
      <c r="AP5666" s="14"/>
      <c r="AQ5666" s="14"/>
      <c r="AR5666" s="14"/>
      <c r="AS5666" s="14"/>
      <c r="AT5666" s="14"/>
      <c r="AU5666" s="14"/>
      <c r="AV5666" s="14"/>
      <c r="AW5666" s="15">
        <f t="shared" si="907"/>
        <v>400</v>
      </c>
      <c r="AX5666" s="16"/>
    </row>
    <row r="5667" spans="2:50" x14ac:dyDescent="0.2">
      <c r="B5667" s="7"/>
      <c r="C5667" s="8">
        <v>15834</v>
      </c>
      <c r="D5667" s="9" t="s">
        <v>271</v>
      </c>
      <c r="E5667" s="10" t="str">
        <f t="shared" si="902"/>
        <v>Rancho Landero No. 76</v>
      </c>
      <c r="F5667" s="10" t="str">
        <f t="shared" si="903"/>
        <v>Ugarte</v>
      </c>
      <c r="G5667" s="8">
        <v>1</v>
      </c>
      <c r="H5667" s="11">
        <v>400</v>
      </c>
      <c r="I5667" s="12">
        <v>43128</v>
      </c>
      <c r="J5667" s="35">
        <f t="shared" si="904"/>
        <v>0</v>
      </c>
      <c r="K5667" s="36"/>
      <c r="L5667" s="36"/>
      <c r="M5667" s="36"/>
      <c r="N5667" s="36"/>
      <c r="O5667" s="36"/>
      <c r="P5667" s="36"/>
      <c r="Q5667" s="36"/>
      <c r="R5667" s="36"/>
      <c r="S5667" s="36"/>
      <c r="T5667" s="36"/>
      <c r="U5667" s="36"/>
      <c r="V5667" s="36"/>
      <c r="W5667" s="15">
        <f t="shared" si="905"/>
        <v>0</v>
      </c>
      <c r="X5667" s="36"/>
      <c r="Y5667" s="36"/>
      <c r="Z5667" s="36"/>
      <c r="AA5667" s="36"/>
      <c r="AB5667" s="36"/>
      <c r="AC5667" s="36"/>
      <c r="AD5667" s="36"/>
      <c r="AE5667" s="36"/>
      <c r="AF5667" s="36"/>
      <c r="AG5667" s="36"/>
      <c r="AH5667" s="36"/>
      <c r="AI5667" s="36"/>
      <c r="AJ5667" s="15">
        <f t="shared" si="906"/>
        <v>0</v>
      </c>
      <c r="AK5667" s="14"/>
      <c r="AL5667" s="14">
        <v>400</v>
      </c>
      <c r="AM5667" s="14"/>
      <c r="AN5667" s="14"/>
      <c r="AO5667" s="14"/>
      <c r="AP5667" s="14"/>
      <c r="AQ5667" s="14"/>
      <c r="AR5667" s="14"/>
      <c r="AS5667" s="14"/>
      <c r="AT5667" s="14"/>
      <c r="AU5667" s="14"/>
      <c r="AV5667" s="14"/>
      <c r="AW5667" s="15">
        <f t="shared" si="907"/>
        <v>400</v>
      </c>
      <c r="AX5667" s="16"/>
    </row>
    <row r="5668" spans="2:50" x14ac:dyDescent="0.2">
      <c r="B5668" s="7"/>
      <c r="C5668" s="8">
        <v>15835</v>
      </c>
      <c r="D5668" s="9" t="s">
        <v>794</v>
      </c>
      <c r="E5668" s="10" t="str">
        <f t="shared" si="902"/>
        <v>Rancho Landero No. 18</v>
      </c>
      <c r="F5668" s="10" t="str">
        <f t="shared" si="903"/>
        <v>Rosado</v>
      </c>
      <c r="G5668" s="8">
        <v>1</v>
      </c>
      <c r="H5668" s="11">
        <v>300</v>
      </c>
      <c r="I5668" s="12">
        <v>43128</v>
      </c>
      <c r="J5668" s="35">
        <f t="shared" si="904"/>
        <v>0</v>
      </c>
      <c r="K5668" s="36"/>
      <c r="L5668" s="36"/>
      <c r="M5668" s="36"/>
      <c r="N5668" s="36"/>
      <c r="O5668" s="36"/>
      <c r="P5668" s="36"/>
      <c r="Q5668" s="36"/>
      <c r="R5668" s="36"/>
      <c r="S5668" s="36"/>
      <c r="T5668" s="36"/>
      <c r="U5668" s="36"/>
      <c r="V5668" s="36"/>
      <c r="W5668" s="15">
        <f t="shared" si="905"/>
        <v>0</v>
      </c>
      <c r="X5668" s="36"/>
      <c r="Y5668" s="36"/>
      <c r="Z5668" s="36"/>
      <c r="AA5668" s="36"/>
      <c r="AB5668" s="36"/>
      <c r="AC5668" s="36"/>
      <c r="AD5668" s="36"/>
      <c r="AE5668" s="36"/>
      <c r="AF5668" s="36"/>
      <c r="AG5668" s="36"/>
      <c r="AH5668" s="36"/>
      <c r="AI5668" s="36"/>
      <c r="AJ5668" s="15">
        <f t="shared" si="906"/>
        <v>0</v>
      </c>
      <c r="AK5668" s="14">
        <v>300</v>
      </c>
      <c r="AL5668" s="14"/>
      <c r="AM5668" s="14"/>
      <c r="AN5668" s="14"/>
      <c r="AO5668" s="14"/>
      <c r="AP5668" s="14"/>
      <c r="AQ5668" s="14"/>
      <c r="AR5668" s="14"/>
      <c r="AS5668" s="14"/>
      <c r="AT5668" s="14"/>
      <c r="AU5668" s="14"/>
      <c r="AV5668" s="14"/>
      <c r="AW5668" s="15">
        <f t="shared" si="907"/>
        <v>300</v>
      </c>
      <c r="AX5668" s="16"/>
    </row>
    <row r="5669" spans="2:50" x14ac:dyDescent="0.2">
      <c r="B5669" s="7"/>
      <c r="C5669" s="8">
        <v>15836</v>
      </c>
      <c r="D5669" s="9" t="s">
        <v>731</v>
      </c>
      <c r="E5669" s="10" t="str">
        <f t="shared" si="902"/>
        <v>Rancho Estanzuela No. 133</v>
      </c>
      <c r="F5669" s="10" t="str">
        <f t="shared" si="903"/>
        <v>Hernández Salazar</v>
      </c>
      <c r="G5669" s="8">
        <v>1</v>
      </c>
      <c r="H5669" s="11">
        <v>900</v>
      </c>
      <c r="I5669" s="12">
        <v>43128</v>
      </c>
      <c r="J5669" s="35">
        <f t="shared" si="904"/>
        <v>0</v>
      </c>
      <c r="K5669" s="36"/>
      <c r="L5669" s="36"/>
      <c r="M5669" s="36"/>
      <c r="N5669" s="36"/>
      <c r="O5669" s="36"/>
      <c r="P5669" s="36"/>
      <c r="Q5669" s="36"/>
      <c r="R5669" s="36"/>
      <c r="S5669" s="36"/>
      <c r="T5669" s="36"/>
      <c r="U5669" s="36"/>
      <c r="V5669" s="36"/>
      <c r="W5669" s="15">
        <f t="shared" si="905"/>
        <v>0</v>
      </c>
      <c r="X5669" s="36"/>
      <c r="Y5669" s="36"/>
      <c r="Z5669" s="36"/>
      <c r="AA5669" s="36"/>
      <c r="AB5669" s="36"/>
      <c r="AC5669" s="36"/>
      <c r="AD5669" s="36"/>
      <c r="AE5669" s="36"/>
      <c r="AF5669" s="36"/>
      <c r="AG5669" s="36"/>
      <c r="AH5669" s="36">
        <v>300</v>
      </c>
      <c r="AI5669" s="36">
        <v>300</v>
      </c>
      <c r="AJ5669" s="15">
        <f t="shared" si="906"/>
        <v>600</v>
      </c>
      <c r="AK5669" s="14">
        <v>300</v>
      </c>
      <c r="AL5669" s="14"/>
      <c r="AM5669" s="14"/>
      <c r="AN5669" s="14"/>
      <c r="AO5669" s="14"/>
      <c r="AP5669" s="14"/>
      <c r="AQ5669" s="14"/>
      <c r="AR5669" s="14"/>
      <c r="AS5669" s="14"/>
      <c r="AT5669" s="14"/>
      <c r="AU5669" s="14"/>
      <c r="AV5669" s="14"/>
      <c r="AW5669" s="15">
        <f t="shared" si="907"/>
        <v>300</v>
      </c>
      <c r="AX5669" s="16"/>
    </row>
    <row r="5670" spans="2:50" x14ac:dyDescent="0.2">
      <c r="B5670" s="7"/>
      <c r="C5670" s="8">
        <v>15837</v>
      </c>
      <c r="D5670" s="9" t="s">
        <v>159</v>
      </c>
      <c r="E5670" s="10" t="str">
        <f t="shared" si="902"/>
        <v>Rancho Zinamba No. 24</v>
      </c>
      <c r="F5670" s="10" t="str">
        <f t="shared" si="903"/>
        <v>Monroy García</v>
      </c>
      <c r="G5670" s="8">
        <v>1</v>
      </c>
      <c r="H5670" s="11">
        <v>400</v>
      </c>
      <c r="I5670" s="12">
        <v>43128</v>
      </c>
      <c r="J5670" s="35">
        <f t="shared" si="904"/>
        <v>0</v>
      </c>
      <c r="K5670" s="36"/>
      <c r="L5670" s="36"/>
      <c r="M5670" s="36"/>
      <c r="N5670" s="36"/>
      <c r="O5670" s="36"/>
      <c r="P5670" s="36"/>
      <c r="Q5670" s="36"/>
      <c r="R5670" s="36"/>
      <c r="S5670" s="36"/>
      <c r="T5670" s="36"/>
      <c r="U5670" s="36"/>
      <c r="V5670" s="36"/>
      <c r="W5670" s="15">
        <f t="shared" si="905"/>
        <v>0</v>
      </c>
      <c r="X5670" s="36"/>
      <c r="Y5670" s="36"/>
      <c r="Z5670" s="36"/>
      <c r="AA5670" s="36"/>
      <c r="AB5670" s="36"/>
      <c r="AC5670" s="36"/>
      <c r="AD5670" s="36"/>
      <c r="AE5670" s="36"/>
      <c r="AF5670" s="36"/>
      <c r="AG5670" s="36"/>
      <c r="AH5670" s="36"/>
      <c r="AI5670" s="36"/>
      <c r="AJ5670" s="15">
        <f t="shared" si="906"/>
        <v>0</v>
      </c>
      <c r="AK5670" s="14">
        <v>400</v>
      </c>
      <c r="AL5670" s="14"/>
      <c r="AM5670" s="14"/>
      <c r="AN5670" s="14"/>
      <c r="AO5670" s="14"/>
      <c r="AP5670" s="14"/>
      <c r="AQ5670" s="14"/>
      <c r="AR5670" s="14"/>
      <c r="AS5670" s="14"/>
      <c r="AT5670" s="14"/>
      <c r="AU5670" s="14"/>
      <c r="AV5670" s="14"/>
      <c r="AW5670" s="15">
        <f t="shared" si="907"/>
        <v>400</v>
      </c>
      <c r="AX5670" s="16"/>
    </row>
    <row r="5671" spans="2:50" x14ac:dyDescent="0.2">
      <c r="B5671" s="7"/>
      <c r="C5671" s="8">
        <v>15838</v>
      </c>
      <c r="D5671" s="9" t="s">
        <v>538</v>
      </c>
      <c r="E5671" s="10" t="str">
        <f t="shared" si="902"/>
        <v>Rancho Landero No. 73</v>
      </c>
      <c r="F5671" s="10" t="str">
        <f t="shared" si="903"/>
        <v>Islas Palacios</v>
      </c>
      <c r="G5671" s="8">
        <v>1</v>
      </c>
      <c r="H5671" s="11">
        <v>400</v>
      </c>
      <c r="I5671" s="12">
        <v>43128</v>
      </c>
      <c r="J5671" s="35">
        <f t="shared" si="904"/>
        <v>0</v>
      </c>
      <c r="K5671" s="36"/>
      <c r="L5671" s="36"/>
      <c r="M5671" s="36"/>
      <c r="N5671" s="36"/>
      <c r="O5671" s="36"/>
      <c r="P5671" s="36"/>
      <c r="Q5671" s="36"/>
      <c r="R5671" s="36"/>
      <c r="S5671" s="36"/>
      <c r="T5671" s="36"/>
      <c r="U5671" s="36"/>
      <c r="V5671" s="36"/>
      <c r="W5671" s="15">
        <f t="shared" si="905"/>
        <v>0</v>
      </c>
      <c r="X5671" s="36"/>
      <c r="Y5671" s="36"/>
      <c r="Z5671" s="36"/>
      <c r="AA5671" s="36"/>
      <c r="AB5671" s="36"/>
      <c r="AC5671" s="36"/>
      <c r="AD5671" s="36"/>
      <c r="AE5671" s="36"/>
      <c r="AF5671" s="36"/>
      <c r="AG5671" s="36"/>
      <c r="AH5671" s="36"/>
      <c r="AI5671" s="36"/>
      <c r="AJ5671" s="15">
        <f t="shared" si="906"/>
        <v>0</v>
      </c>
      <c r="AK5671" s="14">
        <v>400</v>
      </c>
      <c r="AL5671" s="14"/>
      <c r="AM5671" s="14"/>
      <c r="AN5671" s="14"/>
      <c r="AO5671" s="14"/>
      <c r="AP5671" s="14"/>
      <c r="AQ5671" s="14"/>
      <c r="AR5671" s="14"/>
      <c r="AS5671" s="14"/>
      <c r="AT5671" s="14"/>
      <c r="AU5671" s="14"/>
      <c r="AV5671" s="14"/>
      <c r="AW5671" s="15">
        <f t="shared" si="907"/>
        <v>400</v>
      </c>
      <c r="AX5671" s="16"/>
    </row>
    <row r="5672" spans="2:50" x14ac:dyDescent="0.2">
      <c r="B5672" s="7"/>
      <c r="C5672" s="8">
        <v>15839</v>
      </c>
      <c r="D5672" s="9" t="s">
        <v>935</v>
      </c>
      <c r="E5672" s="10" t="str">
        <f t="shared" si="902"/>
        <v>Rancho Landero No. 39</v>
      </c>
      <c r="F5672" s="10" t="str">
        <f t="shared" si="903"/>
        <v>Soto del Cueto</v>
      </c>
      <c r="G5672" s="8">
        <v>1</v>
      </c>
      <c r="H5672" s="11">
        <v>250</v>
      </c>
      <c r="I5672" s="12">
        <v>43128</v>
      </c>
      <c r="J5672" s="35">
        <f t="shared" si="904"/>
        <v>0</v>
      </c>
      <c r="K5672" s="36"/>
      <c r="L5672" s="36"/>
      <c r="M5672" s="36"/>
      <c r="N5672" s="36"/>
      <c r="O5672" s="36"/>
      <c r="P5672" s="36"/>
      <c r="Q5672" s="36"/>
      <c r="R5672" s="36"/>
      <c r="S5672" s="36"/>
      <c r="T5672" s="36"/>
      <c r="U5672" s="36"/>
      <c r="V5672" s="36"/>
      <c r="W5672" s="15">
        <f t="shared" si="905"/>
        <v>0</v>
      </c>
      <c r="X5672" s="36"/>
      <c r="Y5672" s="36"/>
      <c r="Z5672" s="36"/>
      <c r="AA5672" s="36"/>
      <c r="AB5672" s="36"/>
      <c r="AC5672" s="36"/>
      <c r="AD5672" s="36"/>
      <c r="AE5672" s="36"/>
      <c r="AF5672" s="36"/>
      <c r="AG5672" s="36"/>
      <c r="AH5672" s="36"/>
      <c r="AI5672" s="36">
        <v>250</v>
      </c>
      <c r="AJ5672" s="15">
        <f t="shared" si="906"/>
        <v>250</v>
      </c>
      <c r="AK5672" s="14"/>
      <c r="AL5672" s="14"/>
      <c r="AM5672" s="14"/>
      <c r="AN5672" s="14"/>
      <c r="AO5672" s="14"/>
      <c r="AP5672" s="14"/>
      <c r="AQ5672" s="14"/>
      <c r="AR5672" s="14"/>
      <c r="AS5672" s="14"/>
      <c r="AT5672" s="14"/>
      <c r="AU5672" s="14"/>
      <c r="AV5672" s="14"/>
      <c r="AW5672" s="15">
        <f t="shared" si="907"/>
        <v>0</v>
      </c>
      <c r="AX5672" s="16"/>
    </row>
    <row r="5673" spans="2:50" x14ac:dyDescent="0.2">
      <c r="B5673" s="7"/>
      <c r="C5673" s="8">
        <v>15840</v>
      </c>
      <c r="D5673" s="9" t="s">
        <v>410</v>
      </c>
      <c r="E5673" s="10" t="str">
        <f t="shared" si="902"/>
        <v>Rancho Upácuaro No. 7</v>
      </c>
      <c r="F5673" s="10" t="str">
        <f t="shared" si="903"/>
        <v xml:space="preserve">Troncoso </v>
      </c>
      <c r="G5673" s="8">
        <v>1</v>
      </c>
      <c r="H5673" s="11">
        <v>3300</v>
      </c>
      <c r="I5673" s="12">
        <v>43128</v>
      </c>
      <c r="J5673" s="35">
        <f t="shared" si="904"/>
        <v>0</v>
      </c>
      <c r="K5673" s="36"/>
      <c r="L5673" s="36"/>
      <c r="M5673" s="36"/>
      <c r="N5673" s="36"/>
      <c r="O5673" s="36"/>
      <c r="P5673" s="36"/>
      <c r="Q5673" s="36"/>
      <c r="R5673" s="36"/>
      <c r="S5673" s="36"/>
      <c r="T5673" s="36"/>
      <c r="U5673" s="36"/>
      <c r="V5673" s="36"/>
      <c r="W5673" s="15">
        <f t="shared" si="905"/>
        <v>0</v>
      </c>
      <c r="X5673" s="36"/>
      <c r="Y5673" s="36"/>
      <c r="Z5673" s="36"/>
      <c r="AA5673" s="36"/>
      <c r="AB5673" s="36"/>
      <c r="AC5673" s="36"/>
      <c r="AD5673" s="36"/>
      <c r="AE5673" s="36"/>
      <c r="AF5673" s="36"/>
      <c r="AG5673" s="36"/>
      <c r="AH5673" s="36"/>
      <c r="AI5673" s="36"/>
      <c r="AJ5673" s="15">
        <f t="shared" si="906"/>
        <v>0</v>
      </c>
      <c r="AK5673" s="14">
        <v>300</v>
      </c>
      <c r="AL5673" s="14">
        <v>300</v>
      </c>
      <c r="AM5673" s="14">
        <v>300</v>
      </c>
      <c r="AN5673" s="14">
        <v>300</v>
      </c>
      <c r="AO5673" s="14">
        <v>300</v>
      </c>
      <c r="AP5673" s="14">
        <v>300</v>
      </c>
      <c r="AQ5673" s="14">
        <v>300</v>
      </c>
      <c r="AR5673" s="14">
        <v>300</v>
      </c>
      <c r="AS5673" s="14">
        <v>300</v>
      </c>
      <c r="AT5673" s="14">
        <v>300</v>
      </c>
      <c r="AU5673" s="14">
        <v>300</v>
      </c>
      <c r="AV5673" s="14"/>
      <c r="AW5673" s="15">
        <f t="shared" si="907"/>
        <v>3300</v>
      </c>
      <c r="AX5673" s="16" t="s">
        <v>4905</v>
      </c>
    </row>
    <row r="5674" spans="2:50" x14ac:dyDescent="0.2">
      <c r="B5674" s="7"/>
      <c r="C5674" s="8">
        <v>15841</v>
      </c>
      <c r="D5674" s="9" t="s">
        <v>535</v>
      </c>
      <c r="E5674" s="10" t="str">
        <f t="shared" ref="E5674:E5681" si="908">IF(D5674=0,"",VLOOKUP(D5674,BASE,2,FALSE))</f>
        <v>Rancho Upácuaro No. 142</v>
      </c>
      <c r="F5674" s="10" t="str">
        <f t="shared" ref="F5674:F5681" si="909">IF(D5674=0,"",VLOOKUP(D5674,BASE,3,FALSE))</f>
        <v>Fierro Villaneda</v>
      </c>
      <c r="G5674" s="8">
        <v>1</v>
      </c>
      <c r="H5674" s="11">
        <v>4400</v>
      </c>
      <c r="I5674" s="12">
        <v>43128</v>
      </c>
      <c r="J5674" s="35">
        <f t="shared" ref="J5674:J5681" si="910">IF(G5674=1,SUM(W5674,AJ5674,AW5674,-H5674),0)</f>
        <v>0</v>
      </c>
      <c r="K5674" s="36"/>
      <c r="L5674" s="36"/>
      <c r="M5674" s="36"/>
      <c r="N5674" s="36"/>
      <c r="O5674" s="36"/>
      <c r="P5674" s="36"/>
      <c r="Q5674" s="36"/>
      <c r="R5674" s="36"/>
      <c r="S5674" s="36"/>
      <c r="T5674" s="36"/>
      <c r="U5674" s="36"/>
      <c r="V5674" s="36"/>
      <c r="W5674" s="15">
        <f t="shared" ref="W5674:W5681" si="911">SUM(K5674:V5674)</f>
        <v>0</v>
      </c>
      <c r="X5674" s="36"/>
      <c r="Y5674" s="36"/>
      <c r="Z5674" s="36"/>
      <c r="AA5674" s="36"/>
      <c r="AB5674" s="36"/>
      <c r="AC5674" s="36"/>
      <c r="AD5674" s="36"/>
      <c r="AE5674" s="36"/>
      <c r="AF5674" s="36"/>
      <c r="AG5674" s="36"/>
      <c r="AH5674" s="36"/>
      <c r="AI5674" s="36"/>
      <c r="AJ5674" s="15">
        <f t="shared" ref="AJ5674:AJ5681" si="912">SUM(X5674:AI5674)</f>
        <v>0</v>
      </c>
      <c r="AK5674" s="14">
        <v>400</v>
      </c>
      <c r="AL5674" s="14">
        <v>400</v>
      </c>
      <c r="AM5674" s="14">
        <v>400</v>
      </c>
      <c r="AN5674" s="14">
        <v>400</v>
      </c>
      <c r="AO5674" s="14">
        <v>400</v>
      </c>
      <c r="AP5674" s="14">
        <v>400</v>
      </c>
      <c r="AQ5674" s="14">
        <v>400</v>
      </c>
      <c r="AR5674" s="14">
        <v>400</v>
      </c>
      <c r="AS5674" s="14">
        <v>400</v>
      </c>
      <c r="AT5674" s="14">
        <v>400</v>
      </c>
      <c r="AU5674" s="14">
        <v>400</v>
      </c>
      <c r="AV5674" s="14"/>
      <c r="AW5674" s="15">
        <f t="shared" ref="AW5674:AW5681" si="913">SUM(AK5674:AV5674)</f>
        <v>4400</v>
      </c>
      <c r="AX5674" s="16" t="s">
        <v>4905</v>
      </c>
    </row>
    <row r="5675" spans="2:50" x14ac:dyDescent="0.2">
      <c r="B5675" s="7"/>
      <c r="C5675" s="8">
        <v>15842</v>
      </c>
      <c r="D5675" s="9" t="s">
        <v>772</v>
      </c>
      <c r="E5675" s="10" t="str">
        <f t="shared" si="908"/>
        <v>Rancho La Cuchilla No. 79</v>
      </c>
      <c r="F5675" s="10" t="str">
        <f t="shared" si="909"/>
        <v>De la Rosa</v>
      </c>
      <c r="G5675" s="8">
        <v>3</v>
      </c>
      <c r="H5675" s="11">
        <v>200</v>
      </c>
      <c r="I5675" s="12">
        <v>43128</v>
      </c>
      <c r="J5675" s="35">
        <f t="shared" si="910"/>
        <v>0</v>
      </c>
      <c r="K5675" s="36"/>
      <c r="L5675" s="36"/>
      <c r="M5675" s="36"/>
      <c r="N5675" s="36"/>
      <c r="O5675" s="36"/>
      <c r="P5675" s="36"/>
      <c r="Q5675" s="36"/>
      <c r="R5675" s="36"/>
      <c r="S5675" s="36"/>
      <c r="T5675" s="36"/>
      <c r="U5675" s="36"/>
      <c r="V5675" s="36"/>
      <c r="W5675" s="15">
        <f t="shared" si="911"/>
        <v>0</v>
      </c>
      <c r="X5675" s="36"/>
      <c r="Y5675" s="36"/>
      <c r="Z5675" s="36"/>
      <c r="AA5675" s="36"/>
      <c r="AB5675" s="36"/>
      <c r="AC5675" s="36"/>
      <c r="AD5675" s="36"/>
      <c r="AE5675" s="36"/>
      <c r="AF5675" s="36"/>
      <c r="AG5675" s="36"/>
      <c r="AH5675" s="36"/>
      <c r="AI5675" s="36"/>
      <c r="AJ5675" s="15">
        <f t="shared" si="912"/>
        <v>0</v>
      </c>
      <c r="AK5675" s="14"/>
      <c r="AL5675" s="14"/>
      <c r="AM5675" s="14"/>
      <c r="AN5675" s="14"/>
      <c r="AO5675" s="14"/>
      <c r="AP5675" s="14"/>
      <c r="AQ5675" s="14"/>
      <c r="AR5675" s="14"/>
      <c r="AS5675" s="14"/>
      <c r="AT5675" s="14"/>
      <c r="AU5675" s="14"/>
      <c r="AV5675" s="14"/>
      <c r="AW5675" s="15">
        <f t="shared" si="913"/>
        <v>0</v>
      </c>
      <c r="AX5675" s="16"/>
    </row>
    <row r="5676" spans="2:50" x14ac:dyDescent="0.2">
      <c r="B5676" s="7"/>
      <c r="C5676" s="8">
        <v>15843</v>
      </c>
      <c r="D5676" s="9" t="s">
        <v>1061</v>
      </c>
      <c r="E5676" s="10" t="str">
        <f t="shared" si="908"/>
        <v>Rancho Estanzuela No. 103, A</v>
      </c>
      <c r="F5676" s="10" t="str">
        <f t="shared" si="909"/>
        <v>Valencia Morentin</v>
      </c>
      <c r="G5676" s="8">
        <v>1</v>
      </c>
      <c r="H5676" s="11">
        <v>250</v>
      </c>
      <c r="I5676" s="12">
        <v>43108</v>
      </c>
      <c r="J5676" s="35">
        <f t="shared" si="910"/>
        <v>0</v>
      </c>
      <c r="K5676" s="36"/>
      <c r="L5676" s="36"/>
      <c r="M5676" s="36"/>
      <c r="N5676" s="36"/>
      <c r="O5676" s="36"/>
      <c r="P5676" s="36"/>
      <c r="Q5676" s="36"/>
      <c r="R5676" s="36"/>
      <c r="S5676" s="36"/>
      <c r="T5676" s="36"/>
      <c r="U5676" s="36"/>
      <c r="V5676" s="36"/>
      <c r="W5676" s="15">
        <f t="shared" si="911"/>
        <v>0</v>
      </c>
      <c r="X5676" s="36"/>
      <c r="Y5676" s="36"/>
      <c r="Z5676" s="36"/>
      <c r="AA5676" s="36"/>
      <c r="AB5676" s="36"/>
      <c r="AC5676" s="36"/>
      <c r="AD5676" s="36"/>
      <c r="AE5676" s="36"/>
      <c r="AF5676" s="36"/>
      <c r="AG5676" s="36"/>
      <c r="AH5676" s="36"/>
      <c r="AI5676" s="36"/>
      <c r="AJ5676" s="15">
        <f t="shared" si="912"/>
        <v>0</v>
      </c>
      <c r="AK5676" s="14">
        <v>250</v>
      </c>
      <c r="AL5676" s="14"/>
      <c r="AM5676" s="14"/>
      <c r="AN5676" s="14"/>
      <c r="AO5676" s="14"/>
      <c r="AP5676" s="14"/>
      <c r="AQ5676" s="14"/>
      <c r="AR5676" s="14"/>
      <c r="AS5676" s="14"/>
      <c r="AT5676" s="14"/>
      <c r="AU5676" s="14"/>
      <c r="AV5676" s="14"/>
      <c r="AW5676" s="15">
        <f t="shared" si="913"/>
        <v>250</v>
      </c>
      <c r="AX5676" s="16"/>
    </row>
    <row r="5677" spans="2:50" x14ac:dyDescent="0.2">
      <c r="B5677" s="7"/>
      <c r="C5677" s="8">
        <v>15844</v>
      </c>
      <c r="D5677" s="9" t="s">
        <v>458</v>
      </c>
      <c r="E5677" s="10" t="str">
        <f t="shared" si="908"/>
        <v>Rancho Estanzuela No. 143, B</v>
      </c>
      <c r="F5677" s="10" t="str">
        <f t="shared" si="909"/>
        <v>López</v>
      </c>
      <c r="G5677" s="8">
        <v>1</v>
      </c>
      <c r="H5677" s="11">
        <v>400</v>
      </c>
      <c r="I5677" s="12">
        <v>43128</v>
      </c>
      <c r="J5677" s="35">
        <f t="shared" si="910"/>
        <v>0</v>
      </c>
      <c r="K5677" s="36"/>
      <c r="L5677" s="36"/>
      <c r="M5677" s="36"/>
      <c r="N5677" s="36"/>
      <c r="O5677" s="36"/>
      <c r="P5677" s="36"/>
      <c r="Q5677" s="36"/>
      <c r="R5677" s="36"/>
      <c r="S5677" s="36"/>
      <c r="T5677" s="36"/>
      <c r="U5677" s="36"/>
      <c r="V5677" s="36"/>
      <c r="W5677" s="15">
        <f t="shared" si="911"/>
        <v>0</v>
      </c>
      <c r="X5677" s="36"/>
      <c r="Y5677" s="36"/>
      <c r="Z5677" s="36"/>
      <c r="AA5677" s="36"/>
      <c r="AB5677" s="36"/>
      <c r="AC5677" s="36"/>
      <c r="AD5677" s="36"/>
      <c r="AE5677" s="36"/>
      <c r="AF5677" s="36"/>
      <c r="AG5677" s="36"/>
      <c r="AH5677" s="36"/>
      <c r="AI5677" s="36">
        <v>400</v>
      </c>
      <c r="AJ5677" s="15">
        <f t="shared" si="912"/>
        <v>400</v>
      </c>
      <c r="AK5677" s="14"/>
      <c r="AL5677" s="14"/>
      <c r="AM5677" s="14"/>
      <c r="AN5677" s="14"/>
      <c r="AO5677" s="14"/>
      <c r="AP5677" s="14"/>
      <c r="AQ5677" s="14"/>
      <c r="AR5677" s="14"/>
      <c r="AS5677" s="14"/>
      <c r="AT5677" s="14"/>
      <c r="AU5677" s="14"/>
      <c r="AV5677" s="14"/>
      <c r="AW5677" s="15">
        <f t="shared" si="913"/>
        <v>0</v>
      </c>
      <c r="AX5677" s="16"/>
    </row>
    <row r="5678" spans="2:50" x14ac:dyDescent="0.2">
      <c r="B5678" s="7"/>
      <c r="C5678" s="8">
        <v>15845</v>
      </c>
      <c r="D5678" s="9" t="s">
        <v>681</v>
      </c>
      <c r="E5678" s="10" t="str">
        <f t="shared" si="908"/>
        <v>Rancho Landero No. 87</v>
      </c>
      <c r="F5678" s="10" t="str">
        <f t="shared" si="909"/>
        <v>Fey Lafferla</v>
      </c>
      <c r="G5678" s="8">
        <v>1</v>
      </c>
      <c r="H5678" s="11">
        <v>300</v>
      </c>
      <c r="I5678" s="12">
        <v>43128</v>
      </c>
      <c r="J5678" s="35">
        <f t="shared" si="910"/>
        <v>0</v>
      </c>
      <c r="K5678" s="36"/>
      <c r="L5678" s="36"/>
      <c r="M5678" s="36"/>
      <c r="N5678" s="36"/>
      <c r="O5678" s="36"/>
      <c r="P5678" s="36"/>
      <c r="Q5678" s="36"/>
      <c r="R5678" s="36"/>
      <c r="S5678" s="36"/>
      <c r="T5678" s="36"/>
      <c r="U5678" s="36"/>
      <c r="V5678" s="36"/>
      <c r="W5678" s="15">
        <f t="shared" si="911"/>
        <v>0</v>
      </c>
      <c r="X5678" s="36"/>
      <c r="Y5678" s="36"/>
      <c r="Z5678" s="36"/>
      <c r="AA5678" s="36"/>
      <c r="AB5678" s="36"/>
      <c r="AC5678" s="36"/>
      <c r="AD5678" s="36"/>
      <c r="AE5678" s="36"/>
      <c r="AF5678" s="36"/>
      <c r="AG5678" s="36"/>
      <c r="AH5678" s="36"/>
      <c r="AI5678" s="36"/>
      <c r="AJ5678" s="15">
        <f t="shared" si="912"/>
        <v>0</v>
      </c>
      <c r="AK5678" s="14">
        <v>300</v>
      </c>
      <c r="AL5678" s="14"/>
      <c r="AM5678" s="14"/>
      <c r="AN5678" s="14"/>
      <c r="AO5678" s="14"/>
      <c r="AP5678" s="14"/>
      <c r="AQ5678" s="14"/>
      <c r="AR5678" s="14"/>
      <c r="AS5678" s="14"/>
      <c r="AT5678" s="14"/>
      <c r="AU5678" s="14"/>
      <c r="AV5678" s="14"/>
      <c r="AW5678" s="15">
        <f t="shared" si="913"/>
        <v>300</v>
      </c>
      <c r="AX5678" s="16"/>
    </row>
    <row r="5679" spans="2:50" x14ac:dyDescent="0.2">
      <c r="B5679" s="7"/>
      <c r="C5679" s="8">
        <v>15846</v>
      </c>
      <c r="D5679" s="9" t="s">
        <v>550</v>
      </c>
      <c r="E5679" s="10" t="str">
        <f t="shared" si="908"/>
        <v>Rancho Landero No. 89</v>
      </c>
      <c r="F5679" s="10" t="str">
        <f t="shared" si="909"/>
        <v>Del Pozo Solís</v>
      </c>
      <c r="G5679" s="8">
        <v>1</v>
      </c>
      <c r="H5679" s="11">
        <v>500</v>
      </c>
      <c r="I5679" s="12">
        <v>43128</v>
      </c>
      <c r="J5679" s="35">
        <f t="shared" si="910"/>
        <v>0</v>
      </c>
      <c r="K5679" s="36"/>
      <c r="L5679" s="36"/>
      <c r="M5679" s="36"/>
      <c r="N5679" s="36"/>
      <c r="O5679" s="36"/>
      <c r="P5679" s="36"/>
      <c r="Q5679" s="36"/>
      <c r="R5679" s="36"/>
      <c r="S5679" s="36"/>
      <c r="T5679" s="36"/>
      <c r="U5679" s="36"/>
      <c r="V5679" s="36"/>
      <c r="W5679" s="15">
        <f t="shared" si="911"/>
        <v>0</v>
      </c>
      <c r="X5679" s="36"/>
      <c r="Y5679" s="36"/>
      <c r="Z5679" s="36"/>
      <c r="AA5679" s="36"/>
      <c r="AB5679" s="36"/>
      <c r="AC5679" s="36"/>
      <c r="AD5679" s="36"/>
      <c r="AE5679" s="36"/>
      <c r="AF5679" s="36"/>
      <c r="AG5679" s="36"/>
      <c r="AH5679" s="36"/>
      <c r="AI5679" s="36">
        <v>250</v>
      </c>
      <c r="AJ5679" s="15">
        <f t="shared" si="912"/>
        <v>250</v>
      </c>
      <c r="AK5679" s="14">
        <v>250</v>
      </c>
      <c r="AL5679" s="14"/>
      <c r="AM5679" s="14"/>
      <c r="AN5679" s="14"/>
      <c r="AO5679" s="14"/>
      <c r="AP5679" s="14"/>
      <c r="AQ5679" s="14"/>
      <c r="AR5679" s="14"/>
      <c r="AS5679" s="14"/>
      <c r="AT5679" s="14"/>
      <c r="AU5679" s="14"/>
      <c r="AV5679" s="14"/>
      <c r="AW5679" s="15">
        <f t="shared" si="913"/>
        <v>250</v>
      </c>
      <c r="AX5679" s="16"/>
    </row>
    <row r="5680" spans="2:50" x14ac:dyDescent="0.2">
      <c r="B5680" s="7"/>
      <c r="C5680" s="8">
        <v>15847</v>
      </c>
      <c r="D5680" s="9" t="s">
        <v>672</v>
      </c>
      <c r="E5680" s="10" t="str">
        <f t="shared" si="908"/>
        <v>Rancho Estanzuela No. 11, B</v>
      </c>
      <c r="F5680" s="10" t="str">
        <f t="shared" si="909"/>
        <v>Gómez Miguel</v>
      </c>
      <c r="G5680" s="8">
        <v>1</v>
      </c>
      <c r="H5680" s="11">
        <v>400</v>
      </c>
      <c r="I5680" s="12">
        <v>43128</v>
      </c>
      <c r="J5680" s="35">
        <f t="shared" si="910"/>
        <v>0</v>
      </c>
      <c r="K5680" s="36"/>
      <c r="L5680" s="36"/>
      <c r="M5680" s="36"/>
      <c r="N5680" s="36"/>
      <c r="O5680" s="36"/>
      <c r="P5680" s="36"/>
      <c r="Q5680" s="36"/>
      <c r="R5680" s="36"/>
      <c r="S5680" s="36"/>
      <c r="T5680" s="36"/>
      <c r="U5680" s="36"/>
      <c r="V5680" s="36"/>
      <c r="W5680" s="15">
        <f t="shared" si="911"/>
        <v>0</v>
      </c>
      <c r="X5680" s="36"/>
      <c r="Y5680" s="36"/>
      <c r="Z5680" s="36"/>
      <c r="AA5680" s="36"/>
      <c r="AB5680" s="36"/>
      <c r="AC5680" s="36"/>
      <c r="AD5680" s="36"/>
      <c r="AE5680" s="36"/>
      <c r="AF5680" s="36"/>
      <c r="AG5680" s="36"/>
      <c r="AH5680" s="36"/>
      <c r="AI5680" s="36">
        <v>200</v>
      </c>
      <c r="AJ5680" s="15">
        <f t="shared" si="912"/>
        <v>200</v>
      </c>
      <c r="AK5680" s="14">
        <v>200</v>
      </c>
      <c r="AL5680" s="14"/>
      <c r="AM5680" s="14"/>
      <c r="AN5680" s="14"/>
      <c r="AO5680" s="14"/>
      <c r="AP5680" s="14"/>
      <c r="AQ5680" s="14"/>
      <c r="AR5680" s="14"/>
      <c r="AS5680" s="14"/>
      <c r="AT5680" s="14"/>
      <c r="AU5680" s="14"/>
      <c r="AV5680" s="14"/>
      <c r="AW5680" s="15">
        <f t="shared" si="913"/>
        <v>200</v>
      </c>
      <c r="AX5680" s="16"/>
    </row>
    <row r="5681" spans="1:52" x14ac:dyDescent="0.2">
      <c r="B5681" s="7"/>
      <c r="C5681" s="8">
        <v>15848</v>
      </c>
      <c r="D5681" s="9" t="s">
        <v>129</v>
      </c>
      <c r="E5681" s="10" t="str">
        <f t="shared" si="908"/>
        <v>Rancho Zinamba No. 44</v>
      </c>
      <c r="F5681" s="10" t="str">
        <f t="shared" si="909"/>
        <v>Canales</v>
      </c>
      <c r="G5681" s="8">
        <v>1</v>
      </c>
      <c r="H5681" s="11">
        <v>400</v>
      </c>
      <c r="I5681" s="12">
        <v>43128</v>
      </c>
      <c r="J5681" s="35">
        <f t="shared" si="910"/>
        <v>0</v>
      </c>
      <c r="K5681" s="36"/>
      <c r="L5681" s="36"/>
      <c r="M5681" s="36"/>
      <c r="N5681" s="36"/>
      <c r="O5681" s="36"/>
      <c r="P5681" s="36"/>
      <c r="Q5681" s="36"/>
      <c r="R5681" s="36"/>
      <c r="S5681" s="36"/>
      <c r="T5681" s="36"/>
      <c r="U5681" s="36"/>
      <c r="V5681" s="36"/>
      <c r="W5681" s="15">
        <f t="shared" si="911"/>
        <v>0</v>
      </c>
      <c r="X5681" s="36"/>
      <c r="Y5681" s="36"/>
      <c r="Z5681" s="36"/>
      <c r="AA5681" s="36"/>
      <c r="AB5681" s="36"/>
      <c r="AC5681" s="36"/>
      <c r="AD5681" s="36"/>
      <c r="AE5681" s="36"/>
      <c r="AF5681" s="36"/>
      <c r="AG5681" s="36"/>
      <c r="AH5681" s="36"/>
      <c r="AI5681" s="36"/>
      <c r="AJ5681" s="15">
        <f t="shared" si="912"/>
        <v>0</v>
      </c>
      <c r="AK5681" s="14">
        <v>400</v>
      </c>
      <c r="AL5681" s="14"/>
      <c r="AM5681" s="14"/>
      <c r="AN5681" s="14"/>
      <c r="AO5681" s="14"/>
      <c r="AP5681" s="14"/>
      <c r="AQ5681" s="14"/>
      <c r="AR5681" s="14"/>
      <c r="AS5681" s="14"/>
      <c r="AT5681" s="14"/>
      <c r="AU5681" s="14"/>
      <c r="AV5681" s="14"/>
      <c r="AW5681" s="15">
        <f t="shared" si="913"/>
        <v>400</v>
      </c>
      <c r="AX5681" s="16"/>
    </row>
    <row r="5682" spans="1:52" x14ac:dyDescent="0.2">
      <c r="B5682" s="7"/>
      <c r="C5682" s="8">
        <v>15849</v>
      </c>
      <c r="D5682" s="9" t="s">
        <v>129</v>
      </c>
      <c r="E5682" s="10" t="str">
        <f t="shared" si="890"/>
        <v>Rancho Zinamba No. 44</v>
      </c>
      <c r="F5682" s="10" t="str">
        <f t="shared" si="891"/>
        <v>Canales</v>
      </c>
      <c r="G5682" s="8">
        <v>1</v>
      </c>
      <c r="H5682" s="11">
        <v>400</v>
      </c>
      <c r="I5682" s="12">
        <v>43128</v>
      </c>
      <c r="J5682" s="35">
        <f t="shared" si="892"/>
        <v>0</v>
      </c>
      <c r="K5682" s="36"/>
      <c r="L5682" s="36"/>
      <c r="M5682" s="36"/>
      <c r="N5682" s="36"/>
      <c r="O5682" s="36"/>
      <c r="P5682" s="36"/>
      <c r="Q5682" s="36"/>
      <c r="R5682" s="36"/>
      <c r="S5682" s="36"/>
      <c r="T5682" s="36"/>
      <c r="U5682" s="36"/>
      <c r="V5682" s="36"/>
      <c r="W5682" s="15">
        <f t="shared" si="893"/>
        <v>0</v>
      </c>
      <c r="X5682" s="36"/>
      <c r="Y5682" s="36"/>
      <c r="Z5682" s="36"/>
      <c r="AA5682" s="36"/>
      <c r="AB5682" s="36"/>
      <c r="AC5682" s="36"/>
      <c r="AD5682" s="36"/>
      <c r="AE5682" s="36"/>
      <c r="AF5682" s="36"/>
      <c r="AG5682" s="36"/>
      <c r="AH5682" s="36"/>
      <c r="AI5682" s="36"/>
      <c r="AJ5682" s="15">
        <f t="shared" si="894"/>
        <v>0</v>
      </c>
      <c r="AK5682" s="14"/>
      <c r="AL5682" s="14">
        <v>400</v>
      </c>
      <c r="AM5682" s="14"/>
      <c r="AN5682" s="14"/>
      <c r="AO5682" s="14"/>
      <c r="AP5682" s="14"/>
      <c r="AQ5682" s="14"/>
      <c r="AR5682" s="14"/>
      <c r="AS5682" s="14"/>
      <c r="AT5682" s="14"/>
      <c r="AU5682" s="14"/>
      <c r="AV5682" s="14"/>
      <c r="AW5682" s="15">
        <f t="shared" si="895"/>
        <v>400</v>
      </c>
      <c r="AX5682" s="16"/>
    </row>
    <row r="5683" spans="1:52" x14ac:dyDescent="0.2">
      <c r="B5683" s="7"/>
      <c r="C5683" s="8">
        <v>15850</v>
      </c>
      <c r="D5683" s="9" t="s">
        <v>387</v>
      </c>
      <c r="E5683" s="10" t="str">
        <f t="shared" ref="E5683:E5686" si="914">IF(D5683=0,"",VLOOKUP(D5683,BASE,2,FALSE))</f>
        <v>Rancho Upácuaro No. 69</v>
      </c>
      <c r="F5683" s="10" t="str">
        <f t="shared" ref="F5683:F5686" si="915">IF(D5683=0,"",VLOOKUP(D5683,BASE,3,FALSE))</f>
        <v>Gómez</v>
      </c>
      <c r="G5683" s="8">
        <v>1</v>
      </c>
      <c r="H5683" s="11">
        <v>400</v>
      </c>
      <c r="I5683" s="12">
        <v>43128</v>
      </c>
      <c r="J5683" s="35">
        <f t="shared" ref="J5683:J5686" si="916">IF(G5683=1,SUM(W5683,AJ5683,AW5683,-H5683),0)</f>
        <v>0</v>
      </c>
      <c r="K5683" s="36"/>
      <c r="L5683" s="36"/>
      <c r="M5683" s="36"/>
      <c r="N5683" s="36"/>
      <c r="O5683" s="36"/>
      <c r="P5683" s="36"/>
      <c r="Q5683" s="36"/>
      <c r="R5683" s="36"/>
      <c r="S5683" s="36"/>
      <c r="T5683" s="36"/>
      <c r="U5683" s="36"/>
      <c r="V5683" s="36"/>
      <c r="W5683" s="15">
        <f t="shared" ref="W5683:W5686" si="917">SUM(K5683:V5683)</f>
        <v>0</v>
      </c>
      <c r="X5683" s="36"/>
      <c r="Y5683" s="36"/>
      <c r="Z5683" s="36"/>
      <c r="AA5683" s="36"/>
      <c r="AB5683" s="36"/>
      <c r="AC5683" s="36"/>
      <c r="AD5683" s="36"/>
      <c r="AE5683" s="36"/>
      <c r="AF5683" s="36"/>
      <c r="AG5683" s="36"/>
      <c r="AH5683" s="36"/>
      <c r="AI5683" s="36"/>
      <c r="AJ5683" s="15">
        <f t="shared" ref="AJ5683:AJ5686" si="918">SUM(X5683:AI5683)</f>
        <v>0</v>
      </c>
      <c r="AK5683" s="14">
        <v>400</v>
      </c>
      <c r="AL5683" s="14"/>
      <c r="AM5683" s="14"/>
      <c r="AN5683" s="14"/>
      <c r="AO5683" s="14"/>
      <c r="AP5683" s="14"/>
      <c r="AQ5683" s="14"/>
      <c r="AR5683" s="14"/>
      <c r="AS5683" s="14"/>
      <c r="AT5683" s="14"/>
      <c r="AU5683" s="14"/>
      <c r="AV5683" s="14"/>
      <c r="AW5683" s="15">
        <f t="shared" ref="AW5683:AW5686" si="919">SUM(AK5683:AV5683)</f>
        <v>400</v>
      </c>
      <c r="AX5683" s="16"/>
    </row>
    <row r="5684" spans="1:52" x14ac:dyDescent="0.2">
      <c r="B5684" s="7"/>
      <c r="C5684" s="8">
        <v>15851</v>
      </c>
      <c r="D5684" s="9" t="s">
        <v>669</v>
      </c>
      <c r="E5684" s="10" t="str">
        <f t="shared" si="914"/>
        <v>Rancho Landero No. 24</v>
      </c>
      <c r="F5684" s="10" t="str">
        <f t="shared" si="915"/>
        <v>Vázquez Peralta</v>
      </c>
      <c r="G5684" s="8">
        <v>1</v>
      </c>
      <c r="H5684" s="11">
        <v>4400</v>
      </c>
      <c r="I5684" s="12">
        <v>43128</v>
      </c>
      <c r="J5684" s="35">
        <f t="shared" si="916"/>
        <v>0</v>
      </c>
      <c r="K5684" s="36"/>
      <c r="L5684" s="36"/>
      <c r="M5684" s="36"/>
      <c r="N5684" s="36"/>
      <c r="O5684" s="36"/>
      <c r="P5684" s="36"/>
      <c r="Q5684" s="36"/>
      <c r="R5684" s="36"/>
      <c r="S5684" s="36"/>
      <c r="T5684" s="36"/>
      <c r="U5684" s="36"/>
      <c r="V5684" s="36"/>
      <c r="W5684" s="15">
        <f t="shared" si="917"/>
        <v>0</v>
      </c>
      <c r="X5684" s="36"/>
      <c r="Y5684" s="36"/>
      <c r="Z5684" s="36"/>
      <c r="AA5684" s="36"/>
      <c r="AB5684" s="36"/>
      <c r="AC5684" s="36"/>
      <c r="AD5684" s="36"/>
      <c r="AE5684" s="36"/>
      <c r="AF5684" s="36"/>
      <c r="AG5684" s="36"/>
      <c r="AH5684" s="36"/>
      <c r="AI5684" s="36"/>
      <c r="AJ5684" s="15">
        <f t="shared" si="918"/>
        <v>0</v>
      </c>
      <c r="AK5684" s="14">
        <v>400</v>
      </c>
      <c r="AL5684" s="14">
        <v>400</v>
      </c>
      <c r="AM5684" s="14">
        <v>400</v>
      </c>
      <c r="AN5684" s="14">
        <v>400</v>
      </c>
      <c r="AO5684" s="14">
        <v>400</v>
      </c>
      <c r="AP5684" s="14">
        <v>400</v>
      </c>
      <c r="AQ5684" s="14">
        <v>400</v>
      </c>
      <c r="AR5684" s="14">
        <v>400</v>
      </c>
      <c r="AS5684" s="14">
        <v>400</v>
      </c>
      <c r="AT5684" s="14">
        <v>400</v>
      </c>
      <c r="AU5684" s="14">
        <v>400</v>
      </c>
      <c r="AV5684" s="14"/>
      <c r="AW5684" s="15">
        <f t="shared" si="919"/>
        <v>4400</v>
      </c>
      <c r="AX5684" s="16" t="s">
        <v>4905</v>
      </c>
      <c r="AY5684" s="112">
        <f>SUM(H5663:H5684)</f>
        <v>19900</v>
      </c>
      <c r="AZ5684" s="112">
        <f>SUM(AY5662:AY5684)</f>
        <v>23000</v>
      </c>
    </row>
    <row r="5685" spans="1:52" x14ac:dyDescent="0.2">
      <c r="B5685" s="7"/>
      <c r="C5685" s="8">
        <v>15852</v>
      </c>
      <c r="D5685" s="9" t="s">
        <v>352</v>
      </c>
      <c r="E5685" s="10" t="str">
        <f t="shared" si="914"/>
        <v>Rancho La Cuchilla No. 21</v>
      </c>
      <c r="F5685" s="10" t="str">
        <f t="shared" si="915"/>
        <v>Solórzano Calderón</v>
      </c>
      <c r="G5685" s="8">
        <v>1</v>
      </c>
      <c r="H5685" s="315">
        <v>800</v>
      </c>
      <c r="I5685" s="12">
        <v>43129</v>
      </c>
      <c r="J5685" s="35">
        <f t="shared" si="916"/>
        <v>0</v>
      </c>
      <c r="K5685" s="36"/>
      <c r="L5685" s="36"/>
      <c r="M5685" s="36"/>
      <c r="N5685" s="36"/>
      <c r="O5685" s="36"/>
      <c r="P5685" s="36"/>
      <c r="Q5685" s="36"/>
      <c r="R5685" s="36"/>
      <c r="S5685" s="36"/>
      <c r="T5685" s="36"/>
      <c r="U5685" s="36"/>
      <c r="V5685" s="36"/>
      <c r="W5685" s="15">
        <f t="shared" si="917"/>
        <v>0</v>
      </c>
      <c r="X5685" s="36"/>
      <c r="Y5685" s="36"/>
      <c r="Z5685" s="36"/>
      <c r="AA5685" s="36"/>
      <c r="AB5685" s="36"/>
      <c r="AC5685" s="36"/>
      <c r="AD5685" s="36"/>
      <c r="AE5685" s="36"/>
      <c r="AF5685" s="36"/>
      <c r="AG5685" s="36"/>
      <c r="AH5685" s="36"/>
      <c r="AI5685" s="36"/>
      <c r="AJ5685" s="15">
        <f t="shared" si="918"/>
        <v>0</v>
      </c>
      <c r="AK5685" s="14">
        <v>400</v>
      </c>
      <c r="AL5685" s="14">
        <v>400</v>
      </c>
      <c r="AM5685" s="14"/>
      <c r="AN5685" s="14"/>
      <c r="AO5685" s="14"/>
      <c r="AP5685" s="14"/>
      <c r="AQ5685" s="14"/>
      <c r="AR5685" s="14"/>
      <c r="AS5685" s="14"/>
      <c r="AT5685" s="14"/>
      <c r="AU5685" s="14"/>
      <c r="AV5685" s="14"/>
      <c r="AW5685" s="15">
        <f t="shared" si="919"/>
        <v>800</v>
      </c>
      <c r="AX5685" s="16"/>
    </row>
    <row r="5686" spans="1:52" x14ac:dyDescent="0.2">
      <c r="B5686" s="7"/>
      <c r="C5686" s="8">
        <v>15853</v>
      </c>
      <c r="D5686" s="9" t="s">
        <v>785</v>
      </c>
      <c r="E5686" s="10" t="str">
        <f t="shared" si="914"/>
        <v>Rancho Estanzuela No. 61</v>
      </c>
      <c r="F5686" s="10" t="str">
        <f t="shared" si="915"/>
        <v>González Almazán</v>
      </c>
      <c r="G5686" s="8">
        <v>1</v>
      </c>
      <c r="H5686" s="11">
        <v>600</v>
      </c>
      <c r="I5686" s="12">
        <v>43129</v>
      </c>
      <c r="J5686" s="35">
        <f t="shared" si="916"/>
        <v>0</v>
      </c>
      <c r="K5686" s="36"/>
      <c r="L5686" s="36"/>
      <c r="M5686" s="36"/>
      <c r="N5686" s="36"/>
      <c r="O5686" s="36"/>
      <c r="P5686" s="36"/>
      <c r="Q5686" s="36"/>
      <c r="R5686" s="36"/>
      <c r="S5686" s="36"/>
      <c r="T5686" s="36"/>
      <c r="U5686" s="36"/>
      <c r="V5686" s="36"/>
      <c r="W5686" s="15">
        <f t="shared" si="917"/>
        <v>0</v>
      </c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>
        <v>200</v>
      </c>
      <c r="AI5686" s="36">
        <v>200</v>
      </c>
      <c r="AJ5686" s="15">
        <f t="shared" si="918"/>
        <v>400</v>
      </c>
      <c r="AK5686" s="14">
        <v>200</v>
      </c>
      <c r="AL5686" s="14"/>
      <c r="AM5686" s="14"/>
      <c r="AN5686" s="14"/>
      <c r="AO5686" s="14"/>
      <c r="AP5686" s="14"/>
      <c r="AQ5686" s="14"/>
      <c r="AR5686" s="14"/>
      <c r="AS5686" s="14"/>
      <c r="AT5686" s="14"/>
      <c r="AU5686" s="14"/>
      <c r="AV5686" s="14"/>
      <c r="AW5686" s="15">
        <f t="shared" si="919"/>
        <v>200</v>
      </c>
      <c r="AX5686" s="16"/>
    </row>
    <row r="5687" spans="1:52" x14ac:dyDescent="0.2">
      <c r="B5687" s="7"/>
      <c r="C5687" s="8">
        <v>15854</v>
      </c>
      <c r="D5687" s="9" t="s">
        <v>370</v>
      </c>
      <c r="E5687" s="10" t="str">
        <f t="shared" ref="E5687:E5701" si="920">IF(D5687=0,"",VLOOKUP(D5687,BASE,2,FALSE))</f>
        <v>Rancho Upácuaro No. 124</v>
      </c>
      <c r="F5687" s="10" t="str">
        <f t="shared" ref="F5687:F5701" si="921">IF(D5687=0,"",VLOOKUP(D5687,BASE,3,FALSE))</f>
        <v>Reyes Nicandro</v>
      </c>
      <c r="G5687" s="8">
        <v>1</v>
      </c>
      <c r="H5687" s="11">
        <v>900</v>
      </c>
      <c r="I5687" s="12">
        <v>43129</v>
      </c>
      <c r="J5687" s="35">
        <f t="shared" ref="J5687:J5701" si="922">IF(G5687=1,SUM(W5687,AJ5687,AW5687,-H5687),0)</f>
        <v>0</v>
      </c>
      <c r="K5687" s="36"/>
      <c r="L5687" s="36"/>
      <c r="M5687" s="36"/>
      <c r="N5687" s="36"/>
      <c r="O5687" s="36"/>
      <c r="P5687" s="36"/>
      <c r="Q5687" s="36"/>
      <c r="R5687" s="36"/>
      <c r="S5687" s="36"/>
      <c r="T5687" s="36"/>
      <c r="U5687" s="36"/>
      <c r="V5687" s="36"/>
      <c r="W5687" s="15">
        <f t="shared" ref="W5687:W5701" si="923">SUM(K5687:V5687)</f>
        <v>0</v>
      </c>
      <c r="X5687" s="36"/>
      <c r="Y5687" s="36"/>
      <c r="Z5687" s="36"/>
      <c r="AA5687" s="36"/>
      <c r="AB5687" s="36"/>
      <c r="AC5687" s="36"/>
      <c r="AD5687" s="36"/>
      <c r="AE5687" s="36"/>
      <c r="AF5687" s="36"/>
      <c r="AG5687" s="36"/>
      <c r="AH5687" s="36"/>
      <c r="AI5687" s="36"/>
      <c r="AJ5687" s="15">
        <f t="shared" ref="AJ5687:AJ5701" si="924">SUM(X5687:AI5687)</f>
        <v>0</v>
      </c>
      <c r="AK5687" s="14">
        <v>150</v>
      </c>
      <c r="AL5687" s="14">
        <v>150</v>
      </c>
      <c r="AM5687" s="14">
        <v>150</v>
      </c>
      <c r="AN5687" s="14">
        <v>150</v>
      </c>
      <c r="AO5687" s="14">
        <v>150</v>
      </c>
      <c r="AP5687" s="14">
        <v>150</v>
      </c>
      <c r="AQ5687" s="14"/>
      <c r="AR5687" s="14"/>
      <c r="AS5687" s="14"/>
      <c r="AT5687" s="14"/>
      <c r="AU5687" s="14"/>
      <c r="AV5687" s="14"/>
      <c r="AW5687" s="15">
        <f t="shared" ref="AW5687:AW5701" si="925">SUM(AK5687:AV5687)</f>
        <v>900</v>
      </c>
      <c r="AX5687" s="16"/>
    </row>
    <row r="5688" spans="1:52" x14ac:dyDescent="0.2">
      <c r="B5688" s="7"/>
      <c r="C5688" s="8">
        <v>15855</v>
      </c>
      <c r="D5688" s="9" t="s">
        <v>367</v>
      </c>
      <c r="E5688" s="10" t="str">
        <f t="shared" si="920"/>
        <v>Rancho La Cuchilla No. 145</v>
      </c>
      <c r="F5688" s="10" t="str">
        <f t="shared" si="921"/>
        <v>Arámburu C.</v>
      </c>
      <c r="G5688" s="8">
        <v>1</v>
      </c>
      <c r="H5688" s="11">
        <v>4400</v>
      </c>
      <c r="I5688" s="12">
        <v>43130</v>
      </c>
      <c r="J5688" s="35">
        <f t="shared" si="922"/>
        <v>0</v>
      </c>
      <c r="K5688" s="36"/>
      <c r="L5688" s="36"/>
      <c r="M5688" s="36"/>
      <c r="N5688" s="36"/>
      <c r="O5688" s="36"/>
      <c r="P5688" s="36"/>
      <c r="Q5688" s="36"/>
      <c r="R5688" s="36"/>
      <c r="S5688" s="36"/>
      <c r="T5688" s="36"/>
      <c r="U5688" s="36"/>
      <c r="V5688" s="36"/>
      <c r="W5688" s="15">
        <f t="shared" si="923"/>
        <v>0</v>
      </c>
      <c r="X5688" s="36"/>
      <c r="Y5688" s="36"/>
      <c r="Z5688" s="36"/>
      <c r="AA5688" s="36"/>
      <c r="AB5688" s="36"/>
      <c r="AC5688" s="36"/>
      <c r="AD5688" s="36"/>
      <c r="AE5688" s="36"/>
      <c r="AF5688" s="36"/>
      <c r="AG5688" s="36"/>
      <c r="AH5688" s="36"/>
      <c r="AI5688" s="36"/>
      <c r="AJ5688" s="15">
        <f t="shared" si="924"/>
        <v>0</v>
      </c>
      <c r="AK5688" s="14">
        <v>400</v>
      </c>
      <c r="AL5688" s="14">
        <v>400</v>
      </c>
      <c r="AM5688" s="14">
        <v>400</v>
      </c>
      <c r="AN5688" s="14">
        <v>400</v>
      </c>
      <c r="AO5688" s="14">
        <v>400</v>
      </c>
      <c r="AP5688" s="14">
        <v>400</v>
      </c>
      <c r="AQ5688" s="14">
        <v>400</v>
      </c>
      <c r="AR5688" s="14">
        <v>400</v>
      </c>
      <c r="AS5688" s="14">
        <v>400</v>
      </c>
      <c r="AT5688" s="14">
        <v>400</v>
      </c>
      <c r="AU5688" s="14">
        <v>400</v>
      </c>
      <c r="AV5688" s="14"/>
      <c r="AW5688" s="15">
        <f t="shared" si="925"/>
        <v>4400</v>
      </c>
      <c r="AX5688" s="16" t="s">
        <v>4905</v>
      </c>
    </row>
    <row r="5689" spans="1:52" x14ac:dyDescent="0.2">
      <c r="B5689" s="7"/>
      <c r="C5689" s="8">
        <v>15856</v>
      </c>
      <c r="D5689" s="9" t="s">
        <v>211</v>
      </c>
      <c r="E5689" s="10" t="str">
        <f t="shared" si="920"/>
        <v>Rancho Upácuaro No. 46</v>
      </c>
      <c r="F5689" s="10" t="str">
        <f t="shared" si="921"/>
        <v>Fuentes</v>
      </c>
      <c r="G5689" s="8">
        <v>1</v>
      </c>
      <c r="H5689" s="11">
        <v>300</v>
      </c>
      <c r="I5689" s="12">
        <v>43131</v>
      </c>
      <c r="J5689" s="35">
        <f t="shared" si="922"/>
        <v>0</v>
      </c>
      <c r="K5689" s="36"/>
      <c r="L5689" s="36"/>
      <c r="M5689" s="36"/>
      <c r="N5689" s="36"/>
      <c r="O5689" s="36"/>
      <c r="P5689" s="36"/>
      <c r="Q5689" s="36"/>
      <c r="R5689" s="36"/>
      <c r="S5689" s="36"/>
      <c r="T5689" s="36"/>
      <c r="U5689" s="36"/>
      <c r="V5689" s="36"/>
      <c r="W5689" s="15">
        <f t="shared" si="923"/>
        <v>0</v>
      </c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15">
        <f t="shared" si="924"/>
        <v>0</v>
      </c>
      <c r="AK5689" s="14">
        <v>300</v>
      </c>
      <c r="AL5689" s="14"/>
      <c r="AM5689" s="14"/>
      <c r="AN5689" s="14"/>
      <c r="AO5689" s="14"/>
      <c r="AP5689" s="14"/>
      <c r="AQ5689" s="14"/>
      <c r="AR5689" s="14"/>
      <c r="AS5689" s="14"/>
      <c r="AT5689" s="14"/>
      <c r="AU5689" s="14"/>
      <c r="AV5689" s="14"/>
      <c r="AW5689" s="15">
        <f t="shared" si="925"/>
        <v>300</v>
      </c>
      <c r="AX5689" s="16"/>
      <c r="AY5689" s="112">
        <f>SUM(H5685:H5689)</f>
        <v>7000</v>
      </c>
    </row>
    <row r="5690" spans="1:52" x14ac:dyDescent="0.2">
      <c r="B5690" s="7"/>
      <c r="C5690" s="8"/>
      <c r="D5690" s="9" t="s">
        <v>806</v>
      </c>
      <c r="E5690" s="10" t="str">
        <f t="shared" si="920"/>
        <v>Rancho Estanzuela No. 130, A</v>
      </c>
      <c r="F5690" s="10" t="str">
        <f t="shared" si="921"/>
        <v>Colegio Carmel</v>
      </c>
      <c r="G5690" s="8">
        <v>1</v>
      </c>
      <c r="H5690" s="11">
        <v>11000</v>
      </c>
      <c r="I5690" s="12">
        <v>43129</v>
      </c>
      <c r="J5690" s="35">
        <f t="shared" si="922"/>
        <v>0</v>
      </c>
      <c r="K5690" s="36"/>
      <c r="L5690" s="36"/>
      <c r="M5690" s="36"/>
      <c r="N5690" s="36"/>
      <c r="O5690" s="36"/>
      <c r="P5690" s="36"/>
      <c r="Q5690" s="36"/>
      <c r="R5690" s="36"/>
      <c r="S5690" s="36"/>
      <c r="T5690" s="36"/>
      <c r="U5690" s="36"/>
      <c r="V5690" s="36"/>
      <c r="W5690" s="15">
        <f t="shared" si="923"/>
        <v>0</v>
      </c>
      <c r="X5690" s="36"/>
      <c r="Y5690" s="36"/>
      <c r="Z5690" s="36"/>
      <c r="AA5690" s="36"/>
      <c r="AB5690" s="36"/>
      <c r="AC5690" s="36"/>
      <c r="AD5690" s="36"/>
      <c r="AE5690" s="36"/>
      <c r="AF5690" s="36"/>
      <c r="AG5690" s="36"/>
      <c r="AH5690" s="36"/>
      <c r="AI5690" s="36"/>
      <c r="AJ5690" s="15">
        <f t="shared" si="924"/>
        <v>0</v>
      </c>
      <c r="AK5690" s="14">
        <v>11000</v>
      </c>
      <c r="AL5690" s="14"/>
      <c r="AM5690" s="14"/>
      <c r="AN5690" s="14"/>
      <c r="AO5690" s="14"/>
      <c r="AP5690" s="14"/>
      <c r="AQ5690" s="14"/>
      <c r="AR5690" s="14"/>
      <c r="AS5690" s="14"/>
      <c r="AT5690" s="14"/>
      <c r="AU5690" s="14"/>
      <c r="AV5690" s="14"/>
      <c r="AW5690" s="15">
        <f t="shared" si="925"/>
        <v>11000</v>
      </c>
      <c r="AX5690" s="16"/>
    </row>
    <row r="5691" spans="1:52" x14ac:dyDescent="0.2">
      <c r="B5691" s="7"/>
      <c r="C5691" s="8"/>
      <c r="D5691" s="9"/>
      <c r="E5691" s="10" t="str">
        <f t="shared" si="920"/>
        <v/>
      </c>
      <c r="F5691" s="10" t="str">
        <f t="shared" si="921"/>
        <v/>
      </c>
      <c r="G5691" s="8"/>
      <c r="H5691" s="11"/>
      <c r="I5691" s="12"/>
      <c r="J5691" s="35">
        <f t="shared" si="922"/>
        <v>0</v>
      </c>
      <c r="K5691" s="36"/>
      <c r="L5691" s="36"/>
      <c r="M5691" s="36"/>
      <c r="N5691" s="36"/>
      <c r="O5691" s="36"/>
      <c r="P5691" s="36"/>
      <c r="Q5691" s="36"/>
      <c r="R5691" s="36"/>
      <c r="S5691" s="36"/>
      <c r="T5691" s="36"/>
      <c r="U5691" s="36"/>
      <c r="V5691" s="36"/>
      <c r="W5691" s="15">
        <f t="shared" si="923"/>
        <v>0</v>
      </c>
      <c r="X5691" s="36"/>
      <c r="Y5691" s="36"/>
      <c r="Z5691" s="36"/>
      <c r="AA5691" s="36"/>
      <c r="AB5691" s="36"/>
      <c r="AC5691" s="36"/>
      <c r="AD5691" s="36"/>
      <c r="AE5691" s="36"/>
      <c r="AF5691" s="36"/>
      <c r="AG5691" s="36"/>
      <c r="AH5691" s="36"/>
      <c r="AI5691" s="36"/>
      <c r="AJ5691" s="15">
        <f t="shared" si="924"/>
        <v>0</v>
      </c>
      <c r="AK5691" s="14"/>
      <c r="AL5691" s="14"/>
      <c r="AM5691" s="14"/>
      <c r="AN5691" s="14"/>
      <c r="AO5691" s="14"/>
      <c r="AP5691" s="14"/>
      <c r="AQ5691" s="14"/>
      <c r="AR5691" s="14"/>
      <c r="AS5691" s="14"/>
      <c r="AT5691" s="14"/>
      <c r="AU5691" s="14"/>
      <c r="AV5691" s="14"/>
      <c r="AW5691" s="15">
        <f t="shared" si="925"/>
        <v>0</v>
      </c>
      <c r="AX5691" s="16"/>
    </row>
    <row r="5692" spans="1:52" ht="22.5" x14ac:dyDescent="0.2">
      <c r="A5692" s="2"/>
      <c r="B5692" s="3" t="s">
        <v>1</v>
      </c>
      <c r="C5692" s="3" t="s">
        <v>2</v>
      </c>
      <c r="D5692" s="3" t="s">
        <v>3</v>
      </c>
      <c r="E5692" s="337" t="s">
        <v>4</v>
      </c>
      <c r="F5692" s="337" t="s">
        <v>5</v>
      </c>
      <c r="G5692" s="3" t="s">
        <v>6</v>
      </c>
      <c r="H5692" s="3" t="s">
        <v>7</v>
      </c>
      <c r="I5692" s="3" t="s">
        <v>8</v>
      </c>
      <c r="J5692" s="337" t="s">
        <v>9</v>
      </c>
      <c r="K5692" s="4" t="s">
        <v>10</v>
      </c>
      <c r="L5692" s="4" t="s">
        <v>11</v>
      </c>
      <c r="M5692" s="4" t="s">
        <v>12</v>
      </c>
      <c r="N5692" s="4" t="s">
        <v>13</v>
      </c>
      <c r="O5692" s="4" t="s">
        <v>14</v>
      </c>
      <c r="P5692" s="4" t="s">
        <v>15</v>
      </c>
      <c r="Q5692" s="4" t="s">
        <v>16</v>
      </c>
      <c r="R5692" s="4" t="s">
        <v>17</v>
      </c>
      <c r="S5692" s="4" t="s">
        <v>18</v>
      </c>
      <c r="T5692" s="4" t="s">
        <v>19</v>
      </c>
      <c r="U5692" s="4" t="s">
        <v>20</v>
      </c>
      <c r="V5692" s="4" t="s">
        <v>21</v>
      </c>
      <c r="W5692" s="338" t="s">
        <v>22</v>
      </c>
      <c r="X5692" s="4" t="s">
        <v>23</v>
      </c>
      <c r="Y5692" s="4" t="s">
        <v>24</v>
      </c>
      <c r="Z5692" s="4" t="s">
        <v>25</v>
      </c>
      <c r="AA5692" s="4" t="s">
        <v>26</v>
      </c>
      <c r="AB5692" s="4" t="s">
        <v>27</v>
      </c>
      <c r="AC5692" s="4" t="s">
        <v>28</v>
      </c>
      <c r="AD5692" s="4" t="s">
        <v>29</v>
      </c>
      <c r="AE5692" s="4" t="s">
        <v>30</v>
      </c>
      <c r="AF5692" s="4" t="s">
        <v>31</v>
      </c>
      <c r="AG5692" s="4" t="s">
        <v>32</v>
      </c>
      <c r="AH5692" s="4" t="s">
        <v>33</v>
      </c>
      <c r="AI5692" s="4" t="s">
        <v>34</v>
      </c>
      <c r="AJ5692" s="338" t="s">
        <v>35</v>
      </c>
      <c r="AK5692" s="4" t="s">
        <v>4607</v>
      </c>
      <c r="AL5692" s="4" t="s">
        <v>4608</v>
      </c>
      <c r="AM5692" s="4" t="s">
        <v>4609</v>
      </c>
      <c r="AN5692" s="4" t="s">
        <v>4610</v>
      </c>
      <c r="AO5692" s="4" t="s">
        <v>4611</v>
      </c>
      <c r="AP5692" s="4" t="s">
        <v>4612</v>
      </c>
      <c r="AQ5692" s="4" t="s">
        <v>4613</v>
      </c>
      <c r="AR5692" s="4" t="s">
        <v>4614</v>
      </c>
      <c r="AS5692" s="4" t="s">
        <v>4615</v>
      </c>
      <c r="AT5692" s="4" t="s">
        <v>4616</v>
      </c>
      <c r="AU5692" s="4" t="s">
        <v>4617</v>
      </c>
      <c r="AV5692" s="4" t="s">
        <v>4618</v>
      </c>
      <c r="AW5692" s="338" t="s">
        <v>4619</v>
      </c>
      <c r="AX5692" s="6" t="s">
        <v>36</v>
      </c>
    </row>
    <row r="5693" spans="1:52" x14ac:dyDescent="0.2">
      <c r="B5693" s="7"/>
      <c r="C5693" s="8">
        <v>15857</v>
      </c>
      <c r="D5693" s="9" t="s">
        <v>259</v>
      </c>
      <c r="E5693" s="10" t="str">
        <f t="shared" si="920"/>
        <v>Rancho Estanzuela No. 55</v>
      </c>
      <c r="F5693" s="10" t="str">
        <f t="shared" si="921"/>
        <v>Rodríguez Acevedo</v>
      </c>
      <c r="G5693" s="8">
        <v>1</v>
      </c>
      <c r="H5693" s="11">
        <v>400</v>
      </c>
      <c r="I5693" s="12">
        <v>43135</v>
      </c>
      <c r="J5693" s="35">
        <f t="shared" si="922"/>
        <v>0</v>
      </c>
      <c r="K5693" s="36"/>
      <c r="L5693" s="36"/>
      <c r="M5693" s="36"/>
      <c r="N5693" s="36"/>
      <c r="O5693" s="36"/>
      <c r="P5693" s="36"/>
      <c r="Q5693" s="36"/>
      <c r="R5693" s="36"/>
      <c r="S5693" s="36"/>
      <c r="T5693" s="36"/>
      <c r="U5693" s="36"/>
      <c r="V5693" s="36"/>
      <c r="W5693" s="15">
        <f t="shared" si="923"/>
        <v>0</v>
      </c>
      <c r="X5693" s="36"/>
      <c r="Y5693" s="36"/>
      <c r="Z5693" s="36"/>
      <c r="AA5693" s="36"/>
      <c r="AB5693" s="36"/>
      <c r="AC5693" s="36"/>
      <c r="AD5693" s="36"/>
      <c r="AE5693" s="36"/>
      <c r="AF5693" s="36"/>
      <c r="AG5693" s="36"/>
      <c r="AH5693" s="36"/>
      <c r="AI5693" s="36"/>
      <c r="AJ5693" s="15">
        <f t="shared" si="924"/>
        <v>0</v>
      </c>
      <c r="AK5693" s="14">
        <v>400</v>
      </c>
      <c r="AL5693" s="14"/>
      <c r="AM5693" s="14"/>
      <c r="AN5693" s="14"/>
      <c r="AO5693" s="14"/>
      <c r="AP5693" s="14"/>
      <c r="AQ5693" s="14"/>
      <c r="AR5693" s="14"/>
      <c r="AS5693" s="14"/>
      <c r="AT5693" s="14"/>
      <c r="AU5693" s="14"/>
      <c r="AV5693" s="14"/>
      <c r="AW5693" s="15">
        <f t="shared" si="925"/>
        <v>400</v>
      </c>
      <c r="AX5693" s="16"/>
    </row>
    <row r="5694" spans="1:52" x14ac:dyDescent="0.2">
      <c r="B5694" s="7"/>
      <c r="C5694" s="8">
        <v>15858</v>
      </c>
      <c r="D5694" s="9" t="s">
        <v>602</v>
      </c>
      <c r="E5694" s="10" t="str">
        <f t="shared" si="920"/>
        <v>Rancho Upácuaro No. 30</v>
      </c>
      <c r="F5694" s="10" t="str">
        <f t="shared" si="921"/>
        <v>Dorantes</v>
      </c>
      <c r="G5694" s="8">
        <v>1</v>
      </c>
      <c r="H5694" s="11">
        <v>600</v>
      </c>
      <c r="I5694" s="12">
        <v>43135</v>
      </c>
      <c r="J5694" s="35">
        <f t="shared" si="922"/>
        <v>0</v>
      </c>
      <c r="K5694" s="36"/>
      <c r="L5694" s="36"/>
      <c r="M5694" s="36"/>
      <c r="N5694" s="36"/>
      <c r="O5694" s="36"/>
      <c r="P5694" s="36"/>
      <c r="Q5694" s="36"/>
      <c r="R5694" s="36"/>
      <c r="S5694" s="36"/>
      <c r="T5694" s="36"/>
      <c r="U5694" s="36"/>
      <c r="V5694" s="36"/>
      <c r="W5694" s="15">
        <f t="shared" si="923"/>
        <v>0</v>
      </c>
      <c r="X5694" s="36"/>
      <c r="Y5694" s="36"/>
      <c r="Z5694" s="36"/>
      <c r="AA5694" s="36"/>
      <c r="AB5694" s="36"/>
      <c r="AC5694" s="36"/>
      <c r="AD5694" s="36"/>
      <c r="AE5694" s="36"/>
      <c r="AF5694" s="36"/>
      <c r="AG5694" s="36"/>
      <c r="AH5694" s="36"/>
      <c r="AI5694" s="36">
        <v>200</v>
      </c>
      <c r="AJ5694" s="15">
        <f t="shared" si="924"/>
        <v>200</v>
      </c>
      <c r="AK5694" s="14">
        <v>200</v>
      </c>
      <c r="AL5694" s="14">
        <v>200</v>
      </c>
      <c r="AM5694" s="14"/>
      <c r="AN5694" s="14"/>
      <c r="AO5694" s="14"/>
      <c r="AP5694" s="14"/>
      <c r="AQ5694" s="14"/>
      <c r="AR5694" s="14"/>
      <c r="AS5694" s="14"/>
      <c r="AT5694" s="14"/>
      <c r="AU5694" s="14"/>
      <c r="AV5694" s="14"/>
      <c r="AW5694" s="15">
        <f t="shared" si="925"/>
        <v>400</v>
      </c>
      <c r="AX5694" s="16"/>
    </row>
    <row r="5695" spans="1:52" x14ac:dyDescent="0.2">
      <c r="B5695" s="7"/>
      <c r="C5695" s="8">
        <v>15859</v>
      </c>
      <c r="D5695" s="9" t="s">
        <v>361</v>
      </c>
      <c r="E5695" s="10" t="str">
        <f t="shared" si="920"/>
        <v>Rancho Upácuaro No. 101</v>
      </c>
      <c r="F5695" s="10" t="str">
        <f t="shared" si="921"/>
        <v>Chávez, Arturo</v>
      </c>
      <c r="G5695" s="8">
        <v>3</v>
      </c>
      <c r="H5695" s="11">
        <v>200</v>
      </c>
      <c r="I5695" s="12">
        <v>43135</v>
      </c>
      <c r="J5695" s="35">
        <f t="shared" si="922"/>
        <v>0</v>
      </c>
      <c r="K5695" s="36"/>
      <c r="L5695" s="36"/>
      <c r="M5695" s="36"/>
      <c r="N5695" s="36"/>
      <c r="O5695" s="36"/>
      <c r="P5695" s="36"/>
      <c r="Q5695" s="36"/>
      <c r="R5695" s="36"/>
      <c r="S5695" s="36"/>
      <c r="T5695" s="36"/>
      <c r="U5695" s="36"/>
      <c r="V5695" s="36"/>
      <c r="W5695" s="15">
        <f t="shared" si="923"/>
        <v>0</v>
      </c>
      <c r="X5695" s="36"/>
      <c r="Y5695" s="36"/>
      <c r="Z5695" s="36"/>
      <c r="AA5695" s="36"/>
      <c r="AB5695" s="36"/>
      <c r="AC5695" s="36"/>
      <c r="AD5695" s="36"/>
      <c r="AE5695" s="36"/>
      <c r="AF5695" s="36"/>
      <c r="AG5695" s="36"/>
      <c r="AH5695" s="36"/>
      <c r="AI5695" s="36"/>
      <c r="AJ5695" s="15">
        <f t="shared" si="924"/>
        <v>0</v>
      </c>
      <c r="AK5695" s="14"/>
      <c r="AL5695" s="14"/>
      <c r="AM5695" s="14"/>
      <c r="AN5695" s="14"/>
      <c r="AO5695" s="14"/>
      <c r="AP5695" s="14"/>
      <c r="AQ5695" s="14"/>
      <c r="AR5695" s="14"/>
      <c r="AS5695" s="14"/>
      <c r="AT5695" s="14"/>
      <c r="AU5695" s="14"/>
      <c r="AV5695" s="14"/>
      <c r="AW5695" s="15">
        <f t="shared" si="925"/>
        <v>0</v>
      </c>
      <c r="AX5695" s="16"/>
    </row>
    <row r="5696" spans="1:52" x14ac:dyDescent="0.2">
      <c r="B5696" s="7"/>
      <c r="C5696" s="8">
        <v>15860</v>
      </c>
      <c r="D5696" s="9" t="s">
        <v>94</v>
      </c>
      <c r="E5696" s="10" t="str">
        <f t="shared" si="920"/>
        <v>Rancho Landero No. 42</v>
      </c>
      <c r="F5696" s="10" t="str">
        <f t="shared" si="921"/>
        <v>Ávila Fidel</v>
      </c>
      <c r="G5696" s="8">
        <v>1</v>
      </c>
      <c r="H5696" s="11">
        <v>400</v>
      </c>
      <c r="I5696" s="12">
        <v>43135</v>
      </c>
      <c r="J5696" s="35">
        <f t="shared" si="922"/>
        <v>0</v>
      </c>
      <c r="K5696" s="36"/>
      <c r="L5696" s="36"/>
      <c r="M5696" s="36"/>
      <c r="N5696" s="36"/>
      <c r="O5696" s="36"/>
      <c r="P5696" s="36"/>
      <c r="Q5696" s="36"/>
      <c r="R5696" s="36"/>
      <c r="S5696" s="36"/>
      <c r="T5696" s="36"/>
      <c r="U5696" s="36"/>
      <c r="V5696" s="36"/>
      <c r="W5696" s="15">
        <f t="shared" si="923"/>
        <v>0</v>
      </c>
      <c r="X5696" s="36"/>
      <c r="Y5696" s="36"/>
      <c r="Z5696" s="36"/>
      <c r="AA5696" s="36"/>
      <c r="AB5696" s="36"/>
      <c r="AC5696" s="36"/>
      <c r="AD5696" s="36"/>
      <c r="AE5696" s="36"/>
      <c r="AF5696" s="36"/>
      <c r="AG5696" s="36"/>
      <c r="AH5696" s="36"/>
      <c r="AI5696" s="36"/>
      <c r="AJ5696" s="15">
        <f t="shared" si="924"/>
        <v>0</v>
      </c>
      <c r="AK5696" s="14"/>
      <c r="AL5696" s="14">
        <v>400</v>
      </c>
      <c r="AM5696" s="14"/>
      <c r="AN5696" s="14"/>
      <c r="AO5696" s="14"/>
      <c r="AP5696" s="14"/>
      <c r="AQ5696" s="14"/>
      <c r="AR5696" s="14"/>
      <c r="AS5696" s="14"/>
      <c r="AT5696" s="14"/>
      <c r="AU5696" s="14"/>
      <c r="AV5696" s="14"/>
      <c r="AW5696" s="15">
        <f t="shared" si="925"/>
        <v>400</v>
      </c>
      <c r="AX5696" s="16"/>
    </row>
    <row r="5697" spans="2:50" x14ac:dyDescent="0.2">
      <c r="B5697" s="7"/>
      <c r="C5697" s="8">
        <v>15861</v>
      </c>
      <c r="D5697" s="9" t="s">
        <v>608</v>
      </c>
      <c r="E5697" s="10" t="str">
        <f t="shared" si="920"/>
        <v>Rancho Upácuaro No. 146</v>
      </c>
      <c r="F5697" s="10" t="str">
        <f t="shared" si="921"/>
        <v>Islas</v>
      </c>
      <c r="G5697" s="8">
        <v>1</v>
      </c>
      <c r="H5697" s="11">
        <v>800</v>
      </c>
      <c r="I5697" s="12">
        <v>43135</v>
      </c>
      <c r="J5697" s="35">
        <f t="shared" si="922"/>
        <v>0</v>
      </c>
      <c r="K5697" s="36"/>
      <c r="L5697" s="36"/>
      <c r="M5697" s="36"/>
      <c r="N5697" s="36"/>
      <c r="O5697" s="36"/>
      <c r="P5697" s="36"/>
      <c r="Q5697" s="36"/>
      <c r="R5697" s="36"/>
      <c r="S5697" s="36"/>
      <c r="T5697" s="36"/>
      <c r="U5697" s="36"/>
      <c r="V5697" s="36"/>
      <c r="W5697" s="15">
        <f t="shared" si="923"/>
        <v>0</v>
      </c>
      <c r="X5697" s="36"/>
      <c r="Y5697" s="36"/>
      <c r="Z5697" s="36"/>
      <c r="AA5697" s="36"/>
      <c r="AB5697" s="36"/>
      <c r="AC5697" s="36"/>
      <c r="AD5697" s="36"/>
      <c r="AE5697" s="36"/>
      <c r="AF5697" s="36"/>
      <c r="AG5697" s="36"/>
      <c r="AH5697" s="36">
        <v>400</v>
      </c>
      <c r="AI5697" s="36">
        <v>400</v>
      </c>
      <c r="AJ5697" s="15">
        <f t="shared" si="924"/>
        <v>800</v>
      </c>
      <c r="AK5697" s="14"/>
      <c r="AL5697" s="14"/>
      <c r="AM5697" s="14"/>
      <c r="AN5697" s="14"/>
      <c r="AO5697" s="14"/>
      <c r="AP5697" s="14"/>
      <c r="AQ5697" s="14"/>
      <c r="AR5697" s="14"/>
      <c r="AS5697" s="14"/>
      <c r="AT5697" s="14"/>
      <c r="AU5697" s="14"/>
      <c r="AV5697" s="14"/>
      <c r="AW5697" s="15">
        <f t="shared" si="925"/>
        <v>0</v>
      </c>
      <c r="AX5697" s="16"/>
    </row>
    <row r="5698" spans="2:50" x14ac:dyDescent="0.2">
      <c r="B5698" s="7"/>
      <c r="C5698" s="8">
        <v>15862</v>
      </c>
      <c r="D5698" s="9" t="s">
        <v>769</v>
      </c>
      <c r="E5698" s="10" t="str">
        <f t="shared" si="920"/>
        <v>Rancho La Cuchilla No. 66</v>
      </c>
      <c r="F5698" s="10" t="str">
        <f t="shared" si="921"/>
        <v>Prieto</v>
      </c>
      <c r="G5698" s="8">
        <v>1</v>
      </c>
      <c r="H5698" s="11">
        <v>400</v>
      </c>
      <c r="I5698" s="12">
        <v>43135</v>
      </c>
      <c r="J5698" s="35">
        <f t="shared" si="922"/>
        <v>0</v>
      </c>
      <c r="K5698" s="36"/>
      <c r="L5698" s="36"/>
      <c r="M5698" s="36"/>
      <c r="N5698" s="36"/>
      <c r="O5698" s="36"/>
      <c r="P5698" s="36"/>
      <c r="Q5698" s="36"/>
      <c r="R5698" s="36"/>
      <c r="S5698" s="36"/>
      <c r="T5698" s="36"/>
      <c r="U5698" s="36"/>
      <c r="V5698" s="36"/>
      <c r="W5698" s="15">
        <f t="shared" si="923"/>
        <v>0</v>
      </c>
      <c r="X5698" s="36"/>
      <c r="Y5698" s="36"/>
      <c r="Z5698" s="36"/>
      <c r="AA5698" s="36"/>
      <c r="AB5698" s="36"/>
      <c r="AC5698" s="36"/>
      <c r="AD5698" s="36"/>
      <c r="AE5698" s="36"/>
      <c r="AF5698" s="36"/>
      <c r="AG5698" s="36"/>
      <c r="AH5698" s="36"/>
      <c r="AI5698" s="36"/>
      <c r="AJ5698" s="15">
        <f t="shared" si="924"/>
        <v>0</v>
      </c>
      <c r="AK5698" s="14"/>
      <c r="AL5698" s="14">
        <v>400</v>
      </c>
      <c r="AM5698" s="14"/>
      <c r="AN5698" s="14"/>
      <c r="AO5698" s="14"/>
      <c r="AP5698" s="14"/>
      <c r="AQ5698" s="14"/>
      <c r="AR5698" s="14"/>
      <c r="AS5698" s="14"/>
      <c r="AT5698" s="14"/>
      <c r="AU5698" s="14"/>
      <c r="AV5698" s="14"/>
      <c r="AW5698" s="15">
        <f t="shared" si="925"/>
        <v>400</v>
      </c>
      <c r="AX5698" s="16"/>
    </row>
    <row r="5699" spans="2:50" x14ac:dyDescent="0.2">
      <c r="B5699" s="7"/>
      <c r="C5699" s="8">
        <v>15863</v>
      </c>
      <c r="D5699" s="9" t="s">
        <v>655</v>
      </c>
      <c r="E5699" s="10" t="str">
        <f t="shared" si="920"/>
        <v>Rancho La Cuchilla No. 115</v>
      </c>
      <c r="F5699" s="10" t="str">
        <f t="shared" si="921"/>
        <v>Alfaro</v>
      </c>
      <c r="G5699" s="8">
        <v>1</v>
      </c>
      <c r="H5699" s="11">
        <v>400</v>
      </c>
      <c r="I5699" s="12">
        <v>43135</v>
      </c>
      <c r="J5699" s="35">
        <f t="shared" si="922"/>
        <v>0</v>
      </c>
      <c r="K5699" s="36"/>
      <c r="L5699" s="36"/>
      <c r="M5699" s="36"/>
      <c r="N5699" s="36"/>
      <c r="O5699" s="36"/>
      <c r="P5699" s="36"/>
      <c r="Q5699" s="36"/>
      <c r="R5699" s="36"/>
      <c r="S5699" s="36"/>
      <c r="T5699" s="36"/>
      <c r="U5699" s="36"/>
      <c r="V5699" s="36"/>
      <c r="W5699" s="15">
        <f t="shared" si="923"/>
        <v>0</v>
      </c>
      <c r="X5699" s="36"/>
      <c r="Y5699" s="36"/>
      <c r="Z5699" s="36"/>
      <c r="AA5699" s="36"/>
      <c r="AB5699" s="36"/>
      <c r="AC5699" s="36"/>
      <c r="AD5699" s="36"/>
      <c r="AE5699" s="36"/>
      <c r="AF5699" s="36"/>
      <c r="AG5699" s="36">
        <v>400</v>
      </c>
      <c r="AH5699" s="36"/>
      <c r="AI5699" s="36"/>
      <c r="AJ5699" s="15">
        <f t="shared" si="924"/>
        <v>400</v>
      </c>
      <c r="AK5699" s="14"/>
      <c r="AL5699" s="14"/>
      <c r="AM5699" s="14"/>
      <c r="AN5699" s="14"/>
      <c r="AO5699" s="14"/>
      <c r="AP5699" s="14"/>
      <c r="AQ5699" s="14"/>
      <c r="AR5699" s="14"/>
      <c r="AS5699" s="14"/>
      <c r="AT5699" s="14"/>
      <c r="AU5699" s="14"/>
      <c r="AV5699" s="14"/>
      <c r="AW5699" s="15">
        <f t="shared" si="925"/>
        <v>0</v>
      </c>
      <c r="AX5699" s="16"/>
    </row>
    <row r="5700" spans="2:50" x14ac:dyDescent="0.2">
      <c r="B5700" s="7"/>
      <c r="C5700" s="8">
        <v>15864</v>
      </c>
      <c r="D5700" s="9" t="s">
        <v>820</v>
      </c>
      <c r="E5700" s="10" t="str">
        <f t="shared" si="920"/>
        <v>Rancho Zinamba No. 84</v>
      </c>
      <c r="F5700" s="10" t="str">
        <f t="shared" si="921"/>
        <v>Lobato</v>
      </c>
      <c r="G5700" s="8">
        <v>1</v>
      </c>
      <c r="H5700" s="11">
        <v>900</v>
      </c>
      <c r="I5700" s="12">
        <v>43135</v>
      </c>
      <c r="J5700" s="35">
        <f t="shared" si="922"/>
        <v>0</v>
      </c>
      <c r="K5700" s="36"/>
      <c r="L5700" s="36"/>
      <c r="M5700" s="36"/>
      <c r="N5700" s="36"/>
      <c r="O5700" s="36"/>
      <c r="P5700" s="36"/>
      <c r="Q5700" s="36"/>
      <c r="R5700" s="36"/>
      <c r="S5700" s="36"/>
      <c r="T5700" s="36"/>
      <c r="U5700" s="36"/>
      <c r="V5700" s="36"/>
      <c r="W5700" s="15">
        <f t="shared" si="923"/>
        <v>0</v>
      </c>
      <c r="X5700" s="36"/>
      <c r="Y5700" s="36"/>
      <c r="Z5700" s="36"/>
      <c r="AA5700" s="36"/>
      <c r="AB5700" s="36"/>
      <c r="AC5700" s="36"/>
      <c r="AD5700" s="36"/>
      <c r="AE5700" s="36"/>
      <c r="AF5700" s="36"/>
      <c r="AG5700" s="36"/>
      <c r="AH5700" s="36">
        <v>300</v>
      </c>
      <c r="AI5700" s="36">
        <v>300</v>
      </c>
      <c r="AJ5700" s="15">
        <f t="shared" si="924"/>
        <v>600</v>
      </c>
      <c r="AK5700" s="14">
        <v>300</v>
      </c>
      <c r="AL5700" s="14"/>
      <c r="AM5700" s="14"/>
      <c r="AN5700" s="14"/>
      <c r="AO5700" s="14"/>
      <c r="AP5700" s="14"/>
      <c r="AQ5700" s="14"/>
      <c r="AR5700" s="14"/>
      <c r="AS5700" s="14"/>
      <c r="AT5700" s="14"/>
      <c r="AU5700" s="14"/>
      <c r="AV5700" s="14"/>
      <c r="AW5700" s="15">
        <f t="shared" si="925"/>
        <v>300</v>
      </c>
      <c r="AX5700" s="16"/>
    </row>
    <row r="5701" spans="2:50" x14ac:dyDescent="0.2">
      <c r="B5701" s="7"/>
      <c r="C5701" s="8">
        <v>15865</v>
      </c>
      <c r="D5701" s="9" t="s">
        <v>625</v>
      </c>
      <c r="E5701" s="10" t="str">
        <f t="shared" si="920"/>
        <v>Rancho Upácuaro No. 60</v>
      </c>
      <c r="F5701" s="10" t="str">
        <f t="shared" si="921"/>
        <v>Zavala</v>
      </c>
      <c r="G5701" s="8">
        <v>1</v>
      </c>
      <c r="H5701" s="11">
        <v>800</v>
      </c>
      <c r="I5701" s="12">
        <v>43135</v>
      </c>
      <c r="J5701" s="35">
        <f t="shared" si="922"/>
        <v>0</v>
      </c>
      <c r="K5701" s="36"/>
      <c r="L5701" s="36"/>
      <c r="M5701" s="36"/>
      <c r="N5701" s="36"/>
      <c r="O5701" s="36"/>
      <c r="P5701" s="36"/>
      <c r="Q5701" s="36"/>
      <c r="R5701" s="36"/>
      <c r="S5701" s="36"/>
      <c r="T5701" s="36"/>
      <c r="U5701" s="36"/>
      <c r="V5701" s="36"/>
      <c r="W5701" s="15">
        <f t="shared" si="923"/>
        <v>0</v>
      </c>
      <c r="X5701" s="36"/>
      <c r="Y5701" s="36"/>
      <c r="Z5701" s="36"/>
      <c r="AA5701" s="36"/>
      <c r="AB5701" s="36"/>
      <c r="AC5701" s="36"/>
      <c r="AD5701" s="36"/>
      <c r="AE5701" s="36"/>
      <c r="AF5701" s="36"/>
      <c r="AG5701" s="36"/>
      <c r="AH5701" s="36"/>
      <c r="AI5701" s="36"/>
      <c r="AJ5701" s="15">
        <f t="shared" si="924"/>
        <v>0</v>
      </c>
      <c r="AK5701" s="14">
        <v>400</v>
      </c>
      <c r="AL5701" s="14">
        <v>400</v>
      </c>
      <c r="AM5701" s="14"/>
      <c r="AN5701" s="14"/>
      <c r="AO5701" s="14"/>
      <c r="AP5701" s="14"/>
      <c r="AQ5701" s="14"/>
      <c r="AR5701" s="14"/>
      <c r="AS5701" s="14"/>
      <c r="AT5701" s="14"/>
      <c r="AU5701" s="14"/>
      <c r="AV5701" s="14"/>
      <c r="AW5701" s="15">
        <f t="shared" si="925"/>
        <v>800</v>
      </c>
      <c r="AX5701" s="16"/>
    </row>
    <row r="5702" spans="2:50" x14ac:dyDescent="0.2">
      <c r="B5702" s="7"/>
      <c r="C5702" s="8">
        <v>15866</v>
      </c>
      <c r="D5702" s="9" t="s">
        <v>97</v>
      </c>
      <c r="E5702" s="10" t="str">
        <f t="shared" ref="E5702:E5814" si="926">IF(D5702=0,"",VLOOKUP(D5702,BASE,2,FALSE))</f>
        <v>Rancho La Cuchilla No. 78</v>
      </c>
      <c r="F5702" s="10" t="str">
        <f t="shared" ref="F5702:F5814" si="927">IF(D5702=0,"",VLOOKUP(D5702,BASE,3,FALSE))</f>
        <v>García</v>
      </c>
      <c r="G5702" s="8">
        <v>1</v>
      </c>
      <c r="H5702" s="11">
        <v>400</v>
      </c>
      <c r="I5702" s="12">
        <v>43135</v>
      </c>
      <c r="J5702" s="35">
        <f t="shared" ref="J5702:J5814" si="928">IF(G5702=1,SUM(W5702,AJ5702,AW5702,-H5702),0)</f>
        <v>0</v>
      </c>
      <c r="K5702" s="36"/>
      <c r="L5702" s="36"/>
      <c r="M5702" s="36"/>
      <c r="N5702" s="36"/>
      <c r="O5702" s="36"/>
      <c r="P5702" s="36"/>
      <c r="Q5702" s="36"/>
      <c r="R5702" s="36"/>
      <c r="S5702" s="36"/>
      <c r="T5702" s="36"/>
      <c r="U5702" s="36"/>
      <c r="V5702" s="36"/>
      <c r="W5702" s="15">
        <f t="shared" ref="W5702:W5814" si="929">SUM(K5702:V5702)</f>
        <v>0</v>
      </c>
      <c r="X5702" s="36"/>
      <c r="Y5702" s="36"/>
      <c r="Z5702" s="36"/>
      <c r="AA5702" s="36"/>
      <c r="AB5702" s="36"/>
      <c r="AC5702" s="36"/>
      <c r="AD5702" s="36"/>
      <c r="AE5702" s="36"/>
      <c r="AF5702" s="36"/>
      <c r="AG5702" s="36"/>
      <c r="AH5702" s="36"/>
      <c r="AI5702" s="36"/>
      <c r="AJ5702" s="15">
        <f t="shared" ref="AJ5702:AJ5814" si="930">SUM(X5702:AI5702)</f>
        <v>0</v>
      </c>
      <c r="AK5702" s="14"/>
      <c r="AL5702" s="14">
        <v>400</v>
      </c>
      <c r="AM5702" s="14"/>
      <c r="AN5702" s="14"/>
      <c r="AO5702" s="14"/>
      <c r="AP5702" s="14"/>
      <c r="AQ5702" s="14"/>
      <c r="AR5702" s="14"/>
      <c r="AS5702" s="14"/>
      <c r="AT5702" s="14"/>
      <c r="AU5702" s="14"/>
      <c r="AV5702" s="14"/>
      <c r="AW5702" s="15">
        <f t="shared" ref="AW5702:AW5814" si="931">SUM(AK5702:AV5702)</f>
        <v>400</v>
      </c>
      <c r="AX5702" s="16"/>
    </row>
    <row r="5703" spans="2:50" x14ac:dyDescent="0.2">
      <c r="B5703" s="7"/>
      <c r="C5703" s="8">
        <v>15867</v>
      </c>
      <c r="D5703" s="9" t="s">
        <v>763</v>
      </c>
      <c r="E5703" s="10" t="str">
        <f t="shared" si="926"/>
        <v>Rancho Estanzuela No. 79</v>
      </c>
      <c r="F5703" s="10" t="str">
        <f t="shared" si="927"/>
        <v>Mendoza</v>
      </c>
      <c r="G5703" s="8">
        <v>1</v>
      </c>
      <c r="H5703" s="11">
        <v>400</v>
      </c>
      <c r="I5703" s="12">
        <v>43135</v>
      </c>
      <c r="J5703" s="35">
        <f t="shared" si="928"/>
        <v>0</v>
      </c>
      <c r="K5703" s="36"/>
      <c r="L5703" s="36"/>
      <c r="M5703" s="36"/>
      <c r="N5703" s="36"/>
      <c r="O5703" s="36"/>
      <c r="P5703" s="36"/>
      <c r="Q5703" s="36"/>
      <c r="R5703" s="36"/>
      <c r="S5703" s="36"/>
      <c r="T5703" s="36"/>
      <c r="U5703" s="36"/>
      <c r="V5703" s="36"/>
      <c r="W5703" s="15">
        <f t="shared" si="929"/>
        <v>0</v>
      </c>
      <c r="X5703" s="36"/>
      <c r="Y5703" s="36"/>
      <c r="Z5703" s="36"/>
      <c r="AA5703" s="36"/>
      <c r="AB5703" s="36"/>
      <c r="AC5703" s="36"/>
      <c r="AD5703" s="36"/>
      <c r="AE5703" s="36"/>
      <c r="AF5703" s="36"/>
      <c r="AG5703" s="36"/>
      <c r="AH5703" s="36"/>
      <c r="AI5703" s="36"/>
      <c r="AJ5703" s="15">
        <f t="shared" si="930"/>
        <v>0</v>
      </c>
      <c r="AK5703" s="14">
        <v>400</v>
      </c>
      <c r="AL5703" s="14"/>
      <c r="AM5703" s="14"/>
      <c r="AN5703" s="14"/>
      <c r="AO5703" s="14"/>
      <c r="AP5703" s="14"/>
      <c r="AQ5703" s="14"/>
      <c r="AR5703" s="14"/>
      <c r="AS5703" s="14"/>
      <c r="AT5703" s="14"/>
      <c r="AU5703" s="14"/>
      <c r="AV5703" s="14"/>
      <c r="AW5703" s="15">
        <f t="shared" si="931"/>
        <v>400</v>
      </c>
      <c r="AX5703" s="16"/>
    </row>
    <row r="5704" spans="2:50" x14ac:dyDescent="0.2">
      <c r="B5704" s="7"/>
      <c r="C5704" s="8">
        <v>15868</v>
      </c>
      <c r="D5704" s="9" t="s">
        <v>384</v>
      </c>
      <c r="E5704" s="10" t="str">
        <f t="shared" si="926"/>
        <v>Rancho Zinamba No. 88</v>
      </c>
      <c r="F5704" s="10" t="str">
        <f t="shared" si="927"/>
        <v>Martínez</v>
      </c>
      <c r="G5704" s="8">
        <v>1</v>
      </c>
      <c r="H5704" s="11">
        <v>600</v>
      </c>
      <c r="I5704" s="12">
        <v>43135</v>
      </c>
      <c r="J5704" s="35">
        <f t="shared" si="928"/>
        <v>0</v>
      </c>
      <c r="K5704" s="36"/>
      <c r="L5704" s="36"/>
      <c r="M5704" s="36"/>
      <c r="N5704" s="36"/>
      <c r="O5704" s="36"/>
      <c r="P5704" s="36"/>
      <c r="Q5704" s="36"/>
      <c r="R5704" s="36"/>
      <c r="S5704" s="36"/>
      <c r="T5704" s="36"/>
      <c r="U5704" s="36"/>
      <c r="V5704" s="36"/>
      <c r="W5704" s="15">
        <f t="shared" si="929"/>
        <v>0</v>
      </c>
      <c r="X5704" s="36"/>
      <c r="Y5704" s="36"/>
      <c r="Z5704" s="36"/>
      <c r="AA5704" s="36"/>
      <c r="AB5704" s="36"/>
      <c r="AC5704" s="36"/>
      <c r="AD5704" s="36"/>
      <c r="AE5704" s="36"/>
      <c r="AF5704" s="36"/>
      <c r="AG5704" s="36"/>
      <c r="AH5704" s="36"/>
      <c r="AI5704" s="36"/>
      <c r="AJ5704" s="15">
        <f t="shared" si="930"/>
        <v>0</v>
      </c>
      <c r="AK5704" s="14">
        <v>300</v>
      </c>
      <c r="AL5704" s="14">
        <v>300</v>
      </c>
      <c r="AM5704" s="14"/>
      <c r="AN5704" s="14"/>
      <c r="AO5704" s="14"/>
      <c r="AP5704" s="14"/>
      <c r="AQ5704" s="14"/>
      <c r="AR5704" s="14"/>
      <c r="AS5704" s="14"/>
      <c r="AT5704" s="14"/>
      <c r="AU5704" s="14"/>
      <c r="AV5704" s="14"/>
      <c r="AW5704" s="15">
        <f t="shared" si="931"/>
        <v>600</v>
      </c>
      <c r="AX5704" s="16"/>
    </row>
    <row r="5705" spans="2:50" x14ac:dyDescent="0.2">
      <c r="B5705" s="7"/>
      <c r="C5705" s="8">
        <v>15869</v>
      </c>
      <c r="D5705" s="9" t="s">
        <v>135</v>
      </c>
      <c r="E5705" s="10" t="str">
        <f t="shared" si="926"/>
        <v>Rancho Upácuaro No. 70</v>
      </c>
      <c r="F5705" s="10" t="str">
        <f t="shared" si="927"/>
        <v>Ramírez Tejeda</v>
      </c>
      <c r="G5705" s="8">
        <v>1</v>
      </c>
      <c r="H5705" s="11">
        <v>300</v>
      </c>
      <c r="I5705" s="12">
        <v>43135</v>
      </c>
      <c r="J5705" s="35">
        <f t="shared" si="928"/>
        <v>0</v>
      </c>
      <c r="K5705" s="36"/>
      <c r="L5705" s="36"/>
      <c r="M5705" s="36"/>
      <c r="N5705" s="36"/>
      <c r="O5705" s="36"/>
      <c r="P5705" s="36"/>
      <c r="Q5705" s="36"/>
      <c r="R5705" s="36"/>
      <c r="S5705" s="36"/>
      <c r="T5705" s="36"/>
      <c r="U5705" s="36"/>
      <c r="V5705" s="36"/>
      <c r="W5705" s="15">
        <f t="shared" si="929"/>
        <v>0</v>
      </c>
      <c r="X5705" s="36"/>
      <c r="Y5705" s="36"/>
      <c r="Z5705" s="36"/>
      <c r="AA5705" s="36"/>
      <c r="AB5705" s="36"/>
      <c r="AC5705" s="36"/>
      <c r="AD5705" s="36"/>
      <c r="AE5705" s="36"/>
      <c r="AF5705" s="36"/>
      <c r="AG5705" s="36"/>
      <c r="AH5705" s="36"/>
      <c r="AI5705" s="36"/>
      <c r="AJ5705" s="15">
        <f t="shared" si="930"/>
        <v>0</v>
      </c>
      <c r="AK5705" s="14"/>
      <c r="AL5705" s="14">
        <v>300</v>
      </c>
      <c r="AM5705" s="14"/>
      <c r="AN5705" s="14"/>
      <c r="AO5705" s="14"/>
      <c r="AP5705" s="14"/>
      <c r="AQ5705" s="14"/>
      <c r="AR5705" s="14"/>
      <c r="AS5705" s="14"/>
      <c r="AT5705" s="14"/>
      <c r="AU5705" s="14"/>
      <c r="AV5705" s="14"/>
      <c r="AW5705" s="15">
        <f t="shared" si="931"/>
        <v>300</v>
      </c>
      <c r="AX5705" s="16"/>
    </row>
    <row r="5706" spans="2:50" x14ac:dyDescent="0.2">
      <c r="B5706" s="7"/>
      <c r="C5706" s="8">
        <v>15870</v>
      </c>
      <c r="D5706" s="9" t="s">
        <v>238</v>
      </c>
      <c r="E5706" s="10" t="str">
        <f t="shared" si="926"/>
        <v>Rancho La Cuchilla No. 43, B</v>
      </c>
      <c r="F5706" s="10" t="str">
        <f t="shared" si="927"/>
        <v>Luna Albertano</v>
      </c>
      <c r="G5706" s="8">
        <v>1</v>
      </c>
      <c r="H5706" s="11">
        <v>125</v>
      </c>
      <c r="I5706" s="12">
        <v>43135</v>
      </c>
      <c r="J5706" s="35">
        <f t="shared" si="928"/>
        <v>0</v>
      </c>
      <c r="K5706" s="36"/>
      <c r="L5706" s="36"/>
      <c r="M5706" s="36"/>
      <c r="N5706" s="36"/>
      <c r="O5706" s="36"/>
      <c r="P5706" s="36"/>
      <c r="Q5706" s="36"/>
      <c r="R5706" s="36"/>
      <c r="S5706" s="36"/>
      <c r="T5706" s="36"/>
      <c r="U5706" s="36"/>
      <c r="V5706" s="36"/>
      <c r="W5706" s="15">
        <f t="shared" si="929"/>
        <v>0</v>
      </c>
      <c r="X5706" s="36"/>
      <c r="Y5706" s="36"/>
      <c r="Z5706" s="36"/>
      <c r="AA5706" s="36"/>
      <c r="AB5706" s="36"/>
      <c r="AC5706" s="36"/>
      <c r="AD5706" s="36"/>
      <c r="AE5706" s="36"/>
      <c r="AF5706" s="36"/>
      <c r="AG5706" s="36"/>
      <c r="AH5706" s="36"/>
      <c r="AI5706" s="36"/>
      <c r="AJ5706" s="15">
        <f t="shared" si="930"/>
        <v>0</v>
      </c>
      <c r="AK5706" s="14"/>
      <c r="AL5706" s="14">
        <v>125</v>
      </c>
      <c r="AM5706" s="14"/>
      <c r="AN5706" s="14"/>
      <c r="AO5706" s="14"/>
      <c r="AP5706" s="14"/>
      <c r="AQ5706" s="14"/>
      <c r="AR5706" s="14"/>
      <c r="AS5706" s="14"/>
      <c r="AT5706" s="14"/>
      <c r="AU5706" s="14"/>
      <c r="AV5706" s="14"/>
      <c r="AW5706" s="15">
        <f t="shared" si="931"/>
        <v>125</v>
      </c>
      <c r="AX5706" s="16"/>
    </row>
    <row r="5707" spans="2:50" x14ac:dyDescent="0.2">
      <c r="B5707" s="7"/>
      <c r="C5707" s="8">
        <v>15871</v>
      </c>
      <c r="D5707" s="9" t="s">
        <v>373</v>
      </c>
      <c r="E5707" s="10" t="str">
        <f t="shared" si="926"/>
        <v>Rancho Upácuaro No. 118</v>
      </c>
      <c r="F5707" s="10" t="str">
        <f t="shared" si="927"/>
        <v>Siegrist</v>
      </c>
      <c r="G5707" s="8">
        <v>5</v>
      </c>
      <c r="H5707" s="11">
        <v>50</v>
      </c>
      <c r="I5707" s="12">
        <v>43135</v>
      </c>
      <c r="J5707" s="35">
        <f t="shared" si="928"/>
        <v>0</v>
      </c>
      <c r="K5707" s="36"/>
      <c r="L5707" s="36"/>
      <c r="M5707" s="36"/>
      <c r="N5707" s="36"/>
      <c r="O5707" s="36"/>
      <c r="P5707" s="36"/>
      <c r="Q5707" s="36"/>
      <c r="R5707" s="36"/>
      <c r="S5707" s="36"/>
      <c r="T5707" s="36"/>
      <c r="U5707" s="36"/>
      <c r="V5707" s="36"/>
      <c r="W5707" s="15">
        <f t="shared" si="929"/>
        <v>0</v>
      </c>
      <c r="X5707" s="36"/>
      <c r="Y5707" s="36"/>
      <c r="Z5707" s="36"/>
      <c r="AA5707" s="36"/>
      <c r="AB5707" s="36"/>
      <c r="AC5707" s="36"/>
      <c r="AD5707" s="36"/>
      <c r="AE5707" s="36"/>
      <c r="AF5707" s="36"/>
      <c r="AG5707" s="36"/>
      <c r="AH5707" s="36"/>
      <c r="AI5707" s="36"/>
      <c r="AJ5707" s="15">
        <f t="shared" si="930"/>
        <v>0</v>
      </c>
      <c r="AK5707" s="14"/>
      <c r="AL5707" s="14"/>
      <c r="AM5707" s="14"/>
      <c r="AN5707" s="14"/>
      <c r="AO5707" s="14"/>
      <c r="AP5707" s="14"/>
      <c r="AQ5707" s="14"/>
      <c r="AR5707" s="14"/>
      <c r="AS5707" s="14"/>
      <c r="AT5707" s="14"/>
      <c r="AU5707" s="14"/>
      <c r="AV5707" s="14"/>
      <c r="AW5707" s="15">
        <f t="shared" si="931"/>
        <v>0</v>
      </c>
      <c r="AX5707" s="16"/>
    </row>
    <row r="5708" spans="2:50" x14ac:dyDescent="0.2">
      <c r="B5708" s="7"/>
      <c r="C5708" s="8">
        <v>15872</v>
      </c>
      <c r="D5708" s="9" t="s">
        <v>84</v>
      </c>
      <c r="E5708" s="10" t="str">
        <f t="shared" si="926"/>
        <v>Rancho La Cuchilla No. 139</v>
      </c>
      <c r="F5708" s="10" t="str">
        <f t="shared" si="927"/>
        <v>Garcia</v>
      </c>
      <c r="G5708" s="8">
        <v>1</v>
      </c>
      <c r="H5708" s="11">
        <v>200</v>
      </c>
      <c r="I5708" s="12">
        <v>43135</v>
      </c>
      <c r="J5708" s="35">
        <f t="shared" si="928"/>
        <v>0</v>
      </c>
      <c r="K5708" s="36"/>
      <c r="L5708" s="36"/>
      <c r="M5708" s="36"/>
      <c r="N5708" s="36"/>
      <c r="O5708" s="36"/>
      <c r="P5708" s="36"/>
      <c r="Q5708" s="36"/>
      <c r="R5708" s="36"/>
      <c r="S5708" s="36"/>
      <c r="T5708" s="36"/>
      <c r="U5708" s="36"/>
      <c r="V5708" s="36"/>
      <c r="W5708" s="15">
        <f t="shared" si="929"/>
        <v>0</v>
      </c>
      <c r="X5708" s="36"/>
      <c r="Y5708" s="36"/>
      <c r="Z5708" s="36"/>
      <c r="AA5708" s="36"/>
      <c r="AB5708" s="36"/>
      <c r="AC5708" s="36"/>
      <c r="AD5708" s="36"/>
      <c r="AE5708" s="36"/>
      <c r="AF5708" s="36"/>
      <c r="AG5708" s="36"/>
      <c r="AH5708" s="36"/>
      <c r="AI5708" s="36"/>
      <c r="AJ5708" s="15">
        <f t="shared" si="930"/>
        <v>0</v>
      </c>
      <c r="AK5708" s="14"/>
      <c r="AL5708" s="14">
        <v>200</v>
      </c>
      <c r="AM5708" s="14"/>
      <c r="AN5708" s="14"/>
      <c r="AO5708" s="14"/>
      <c r="AP5708" s="14"/>
      <c r="AQ5708" s="14"/>
      <c r="AR5708" s="14"/>
      <c r="AS5708" s="14"/>
      <c r="AT5708" s="14"/>
      <c r="AU5708" s="14"/>
      <c r="AV5708" s="14"/>
      <c r="AW5708" s="15">
        <f t="shared" si="931"/>
        <v>200</v>
      </c>
      <c r="AX5708" s="16"/>
    </row>
    <row r="5709" spans="2:50" x14ac:dyDescent="0.2">
      <c r="B5709" s="7"/>
      <c r="C5709" s="8">
        <v>15873</v>
      </c>
      <c r="D5709" s="9" t="s">
        <v>476</v>
      </c>
      <c r="E5709" s="10" t="str">
        <f t="shared" si="926"/>
        <v>Rancho Upácuaro No. 33</v>
      </c>
      <c r="F5709" s="10" t="str">
        <f t="shared" si="927"/>
        <v>Ulloa Miranda</v>
      </c>
      <c r="G5709" s="8">
        <v>1</v>
      </c>
      <c r="H5709" s="11">
        <v>400</v>
      </c>
      <c r="I5709" s="12">
        <v>43135</v>
      </c>
      <c r="J5709" s="35">
        <f t="shared" si="928"/>
        <v>0</v>
      </c>
      <c r="K5709" s="36"/>
      <c r="L5709" s="36"/>
      <c r="M5709" s="36"/>
      <c r="N5709" s="36"/>
      <c r="O5709" s="36"/>
      <c r="P5709" s="36"/>
      <c r="Q5709" s="36"/>
      <c r="R5709" s="36"/>
      <c r="S5709" s="36"/>
      <c r="T5709" s="36"/>
      <c r="U5709" s="36"/>
      <c r="V5709" s="36"/>
      <c r="W5709" s="15">
        <f t="shared" si="929"/>
        <v>0</v>
      </c>
      <c r="X5709" s="36"/>
      <c r="Y5709" s="36"/>
      <c r="Z5709" s="36"/>
      <c r="AA5709" s="36"/>
      <c r="AB5709" s="36"/>
      <c r="AC5709" s="36"/>
      <c r="AD5709" s="36"/>
      <c r="AE5709" s="36"/>
      <c r="AF5709" s="36"/>
      <c r="AG5709" s="36"/>
      <c r="AH5709" s="36"/>
      <c r="AI5709" s="36"/>
      <c r="AJ5709" s="15">
        <f t="shared" si="930"/>
        <v>0</v>
      </c>
      <c r="AK5709" s="14"/>
      <c r="AL5709" s="14">
        <v>400</v>
      </c>
      <c r="AM5709" s="14"/>
      <c r="AN5709" s="14"/>
      <c r="AO5709" s="14"/>
      <c r="AP5709" s="14"/>
      <c r="AQ5709" s="14"/>
      <c r="AR5709" s="14"/>
      <c r="AS5709" s="14"/>
      <c r="AT5709" s="14"/>
      <c r="AU5709" s="14"/>
      <c r="AV5709" s="14"/>
      <c r="AW5709" s="15">
        <f t="shared" si="931"/>
        <v>400</v>
      </c>
      <c r="AX5709" s="16"/>
    </row>
    <row r="5710" spans="2:50" x14ac:dyDescent="0.2">
      <c r="B5710" s="7"/>
      <c r="C5710" s="8">
        <v>15874</v>
      </c>
      <c r="D5710" s="9" t="s">
        <v>476</v>
      </c>
      <c r="E5710" s="10" t="str">
        <f t="shared" si="926"/>
        <v>Rancho Upácuaro No. 33</v>
      </c>
      <c r="F5710" s="10" t="str">
        <f t="shared" si="927"/>
        <v>Ulloa Miranda</v>
      </c>
      <c r="G5710" s="8">
        <v>3</v>
      </c>
      <c r="H5710" s="11">
        <v>150</v>
      </c>
      <c r="I5710" s="12">
        <v>43135</v>
      </c>
      <c r="J5710" s="35">
        <f t="shared" si="928"/>
        <v>0</v>
      </c>
      <c r="K5710" s="36"/>
      <c r="L5710" s="36"/>
      <c r="M5710" s="36"/>
      <c r="N5710" s="36"/>
      <c r="O5710" s="36"/>
      <c r="P5710" s="36"/>
      <c r="Q5710" s="36"/>
      <c r="R5710" s="36"/>
      <c r="S5710" s="36"/>
      <c r="T5710" s="36"/>
      <c r="U5710" s="36"/>
      <c r="V5710" s="36"/>
      <c r="W5710" s="15">
        <f t="shared" si="929"/>
        <v>0</v>
      </c>
      <c r="X5710" s="36"/>
      <c r="Y5710" s="36"/>
      <c r="Z5710" s="36"/>
      <c r="AA5710" s="36"/>
      <c r="AB5710" s="36"/>
      <c r="AC5710" s="36"/>
      <c r="AD5710" s="36"/>
      <c r="AE5710" s="36"/>
      <c r="AF5710" s="36"/>
      <c r="AG5710" s="36"/>
      <c r="AH5710" s="36"/>
      <c r="AI5710" s="36"/>
      <c r="AJ5710" s="15">
        <f t="shared" si="930"/>
        <v>0</v>
      </c>
      <c r="AK5710" s="14"/>
      <c r="AL5710" s="14"/>
      <c r="AM5710" s="14"/>
      <c r="AN5710" s="14"/>
      <c r="AO5710" s="14"/>
      <c r="AP5710" s="14"/>
      <c r="AQ5710" s="14"/>
      <c r="AR5710" s="14"/>
      <c r="AS5710" s="14"/>
      <c r="AT5710" s="14"/>
      <c r="AU5710" s="14"/>
      <c r="AV5710" s="14"/>
      <c r="AW5710" s="15">
        <f t="shared" si="931"/>
        <v>0</v>
      </c>
      <c r="AX5710" s="16"/>
    </row>
    <row r="5711" spans="2:50" x14ac:dyDescent="0.2">
      <c r="B5711" s="7"/>
      <c r="C5711" s="8">
        <v>15875</v>
      </c>
      <c r="D5711" s="9" t="s">
        <v>292</v>
      </c>
      <c r="E5711" s="10" t="str">
        <f t="shared" si="926"/>
        <v>Rancho Upácuaro No. 140</v>
      </c>
      <c r="F5711" s="10" t="str">
        <f t="shared" si="927"/>
        <v>Gozain</v>
      </c>
      <c r="G5711" s="8">
        <v>1</v>
      </c>
      <c r="H5711" s="11">
        <v>400</v>
      </c>
      <c r="I5711" s="12">
        <v>43135</v>
      </c>
      <c r="J5711" s="35">
        <f t="shared" si="928"/>
        <v>0</v>
      </c>
      <c r="K5711" s="36"/>
      <c r="L5711" s="36"/>
      <c r="M5711" s="36"/>
      <c r="N5711" s="36"/>
      <c r="O5711" s="36"/>
      <c r="P5711" s="36"/>
      <c r="Q5711" s="36"/>
      <c r="R5711" s="36"/>
      <c r="S5711" s="36"/>
      <c r="T5711" s="36"/>
      <c r="U5711" s="36"/>
      <c r="V5711" s="36"/>
      <c r="W5711" s="15">
        <f t="shared" si="929"/>
        <v>0</v>
      </c>
      <c r="X5711" s="36"/>
      <c r="Y5711" s="36"/>
      <c r="Z5711" s="36"/>
      <c r="AA5711" s="36"/>
      <c r="AB5711" s="36"/>
      <c r="AC5711" s="36"/>
      <c r="AD5711" s="36"/>
      <c r="AE5711" s="36"/>
      <c r="AF5711" s="36"/>
      <c r="AG5711" s="36"/>
      <c r="AH5711" s="36"/>
      <c r="AI5711" s="36"/>
      <c r="AJ5711" s="15">
        <f t="shared" si="930"/>
        <v>0</v>
      </c>
      <c r="AK5711" s="14"/>
      <c r="AL5711" s="14">
        <v>400</v>
      </c>
      <c r="AM5711" s="14"/>
      <c r="AN5711" s="14"/>
      <c r="AO5711" s="14"/>
      <c r="AP5711" s="14"/>
      <c r="AQ5711" s="14"/>
      <c r="AR5711" s="14"/>
      <c r="AS5711" s="14"/>
      <c r="AT5711" s="14"/>
      <c r="AU5711" s="14"/>
      <c r="AV5711" s="14"/>
      <c r="AW5711" s="15">
        <f t="shared" si="931"/>
        <v>400</v>
      </c>
      <c r="AX5711" s="16"/>
    </row>
    <row r="5712" spans="2:50" x14ac:dyDescent="0.2">
      <c r="B5712" s="7"/>
      <c r="C5712" s="8">
        <v>15876</v>
      </c>
      <c r="D5712" s="9" t="s">
        <v>265</v>
      </c>
      <c r="E5712" s="10" t="str">
        <f t="shared" si="926"/>
        <v>Rancho Upácuaro No. 85</v>
      </c>
      <c r="F5712" s="10" t="str">
        <f t="shared" si="927"/>
        <v>Del Toro Huerta</v>
      </c>
      <c r="G5712" s="8">
        <v>1</v>
      </c>
      <c r="H5712" s="11">
        <v>800</v>
      </c>
      <c r="I5712" s="12">
        <v>43135</v>
      </c>
      <c r="J5712" s="35">
        <f t="shared" si="928"/>
        <v>0</v>
      </c>
      <c r="K5712" s="36"/>
      <c r="L5712" s="36"/>
      <c r="M5712" s="36"/>
      <c r="N5712" s="36"/>
      <c r="O5712" s="36"/>
      <c r="P5712" s="36"/>
      <c r="Q5712" s="36"/>
      <c r="R5712" s="36"/>
      <c r="S5712" s="36"/>
      <c r="T5712" s="36"/>
      <c r="U5712" s="36"/>
      <c r="V5712" s="36"/>
      <c r="W5712" s="15">
        <f t="shared" si="929"/>
        <v>0</v>
      </c>
      <c r="X5712" s="36"/>
      <c r="Y5712" s="36"/>
      <c r="Z5712" s="36"/>
      <c r="AA5712" s="36"/>
      <c r="AB5712" s="36"/>
      <c r="AC5712" s="36"/>
      <c r="AD5712" s="36"/>
      <c r="AE5712" s="36"/>
      <c r="AF5712" s="36"/>
      <c r="AG5712" s="36"/>
      <c r="AH5712" s="36"/>
      <c r="AI5712" s="36"/>
      <c r="AJ5712" s="15">
        <f t="shared" si="930"/>
        <v>0</v>
      </c>
      <c r="AK5712" s="14">
        <v>400</v>
      </c>
      <c r="AL5712" s="14">
        <v>400</v>
      </c>
      <c r="AM5712" s="14"/>
      <c r="AN5712" s="14"/>
      <c r="AO5712" s="14"/>
      <c r="AP5712" s="14"/>
      <c r="AQ5712" s="14"/>
      <c r="AR5712" s="14"/>
      <c r="AS5712" s="14"/>
      <c r="AT5712" s="14"/>
      <c r="AU5712" s="14"/>
      <c r="AV5712" s="14"/>
      <c r="AW5712" s="15">
        <f t="shared" si="931"/>
        <v>800</v>
      </c>
      <c r="AX5712" s="16"/>
    </row>
    <row r="5713" spans="2:50" x14ac:dyDescent="0.2">
      <c r="B5713" s="7"/>
      <c r="C5713" s="8">
        <v>15877</v>
      </c>
      <c r="D5713" s="9" t="s">
        <v>100</v>
      </c>
      <c r="E5713" s="10" t="str">
        <f t="shared" si="926"/>
        <v>Rancho Upácuaro No. 32</v>
      </c>
      <c r="F5713" s="10" t="str">
        <f t="shared" si="927"/>
        <v>Sairafi Carmen</v>
      </c>
      <c r="G5713" s="8">
        <v>1</v>
      </c>
      <c r="H5713" s="11">
        <v>400</v>
      </c>
      <c r="I5713" s="12">
        <v>43135</v>
      </c>
      <c r="J5713" s="35">
        <f t="shared" si="928"/>
        <v>0</v>
      </c>
      <c r="K5713" s="36"/>
      <c r="L5713" s="36"/>
      <c r="M5713" s="36"/>
      <c r="N5713" s="36"/>
      <c r="O5713" s="36"/>
      <c r="P5713" s="36"/>
      <c r="Q5713" s="36"/>
      <c r="R5713" s="36"/>
      <c r="S5713" s="36"/>
      <c r="T5713" s="36"/>
      <c r="U5713" s="36"/>
      <c r="V5713" s="36"/>
      <c r="W5713" s="15">
        <f t="shared" si="929"/>
        <v>0</v>
      </c>
      <c r="X5713" s="36"/>
      <c r="Y5713" s="36"/>
      <c r="Z5713" s="36"/>
      <c r="AA5713" s="36"/>
      <c r="AB5713" s="36"/>
      <c r="AC5713" s="36"/>
      <c r="AD5713" s="36"/>
      <c r="AE5713" s="36"/>
      <c r="AF5713" s="36"/>
      <c r="AG5713" s="36"/>
      <c r="AH5713" s="36"/>
      <c r="AI5713" s="36"/>
      <c r="AJ5713" s="15">
        <f t="shared" si="930"/>
        <v>0</v>
      </c>
      <c r="AK5713" s="14"/>
      <c r="AL5713" s="14">
        <v>400</v>
      </c>
      <c r="AM5713" s="14"/>
      <c r="AN5713" s="14"/>
      <c r="AO5713" s="14"/>
      <c r="AP5713" s="14"/>
      <c r="AQ5713" s="14"/>
      <c r="AR5713" s="14"/>
      <c r="AS5713" s="14"/>
      <c r="AT5713" s="14"/>
      <c r="AU5713" s="14"/>
      <c r="AV5713" s="14"/>
      <c r="AW5713" s="15">
        <f t="shared" si="931"/>
        <v>400</v>
      </c>
      <c r="AX5713" s="16"/>
    </row>
    <row r="5714" spans="2:50" x14ac:dyDescent="0.2">
      <c r="B5714" s="7"/>
      <c r="C5714" s="8">
        <v>15878</v>
      </c>
      <c r="D5714" s="9" t="s">
        <v>678</v>
      </c>
      <c r="E5714" s="10" t="str">
        <f t="shared" si="926"/>
        <v>Rancho Upácuaro No. 76</v>
      </c>
      <c r="F5714" s="10" t="str">
        <f t="shared" si="927"/>
        <v>Ruiz de San Pedro</v>
      </c>
      <c r="G5714" s="8">
        <v>1</v>
      </c>
      <c r="H5714" s="11">
        <v>400</v>
      </c>
      <c r="I5714" s="12">
        <v>43135</v>
      </c>
      <c r="J5714" s="35">
        <f t="shared" si="928"/>
        <v>0</v>
      </c>
      <c r="K5714" s="36"/>
      <c r="L5714" s="36"/>
      <c r="M5714" s="36"/>
      <c r="N5714" s="36"/>
      <c r="O5714" s="36"/>
      <c r="P5714" s="36"/>
      <c r="Q5714" s="36"/>
      <c r="R5714" s="36"/>
      <c r="S5714" s="36"/>
      <c r="T5714" s="36"/>
      <c r="U5714" s="36"/>
      <c r="V5714" s="36"/>
      <c r="W5714" s="15">
        <f t="shared" si="929"/>
        <v>0</v>
      </c>
      <c r="X5714" s="36"/>
      <c r="Y5714" s="36"/>
      <c r="Z5714" s="36"/>
      <c r="AA5714" s="36"/>
      <c r="AB5714" s="36"/>
      <c r="AC5714" s="36"/>
      <c r="AD5714" s="36"/>
      <c r="AE5714" s="36"/>
      <c r="AF5714" s="36"/>
      <c r="AG5714" s="36"/>
      <c r="AH5714" s="36"/>
      <c r="AI5714" s="36"/>
      <c r="AJ5714" s="15">
        <f t="shared" si="930"/>
        <v>0</v>
      </c>
      <c r="AK5714" s="14"/>
      <c r="AL5714" s="14">
        <v>400</v>
      </c>
      <c r="AM5714" s="14"/>
      <c r="AN5714" s="14"/>
      <c r="AO5714" s="14"/>
      <c r="AP5714" s="14"/>
      <c r="AQ5714" s="14"/>
      <c r="AR5714" s="14"/>
      <c r="AS5714" s="14"/>
      <c r="AT5714" s="14"/>
      <c r="AU5714" s="14"/>
      <c r="AV5714" s="14"/>
      <c r="AW5714" s="15">
        <f t="shared" si="931"/>
        <v>400</v>
      </c>
      <c r="AX5714" s="16"/>
    </row>
    <row r="5715" spans="2:50" x14ac:dyDescent="0.2">
      <c r="B5715" s="7"/>
      <c r="C5715" s="8">
        <v>15879</v>
      </c>
      <c r="D5715" s="9" t="s">
        <v>562</v>
      </c>
      <c r="E5715" s="10" t="str">
        <f t="shared" si="926"/>
        <v>Rancho Upácuaro No. 87</v>
      </c>
      <c r="F5715" s="10" t="str">
        <f t="shared" si="927"/>
        <v>Rodríguez Parés</v>
      </c>
      <c r="G5715" s="8">
        <v>1</v>
      </c>
      <c r="H5715" s="11">
        <v>400</v>
      </c>
      <c r="I5715" s="12">
        <v>43135</v>
      </c>
      <c r="J5715" s="35">
        <f t="shared" si="928"/>
        <v>0</v>
      </c>
      <c r="K5715" s="36"/>
      <c r="L5715" s="36"/>
      <c r="M5715" s="36"/>
      <c r="N5715" s="36"/>
      <c r="O5715" s="36"/>
      <c r="P5715" s="36"/>
      <c r="Q5715" s="36"/>
      <c r="R5715" s="36"/>
      <c r="S5715" s="36"/>
      <c r="T5715" s="36"/>
      <c r="U5715" s="36"/>
      <c r="V5715" s="36"/>
      <c r="W5715" s="15">
        <f t="shared" si="929"/>
        <v>0</v>
      </c>
      <c r="X5715" s="36"/>
      <c r="Y5715" s="36"/>
      <c r="Z5715" s="36"/>
      <c r="AA5715" s="36"/>
      <c r="AB5715" s="36"/>
      <c r="AC5715" s="36"/>
      <c r="AD5715" s="36"/>
      <c r="AE5715" s="36"/>
      <c r="AF5715" s="36"/>
      <c r="AG5715" s="36"/>
      <c r="AH5715" s="36"/>
      <c r="AI5715" s="36"/>
      <c r="AJ5715" s="15">
        <f t="shared" si="930"/>
        <v>0</v>
      </c>
      <c r="AK5715" s="14"/>
      <c r="AL5715" s="14">
        <v>400</v>
      </c>
      <c r="AM5715" s="14"/>
      <c r="AN5715" s="14"/>
      <c r="AO5715" s="14"/>
      <c r="AP5715" s="14"/>
      <c r="AQ5715" s="14"/>
      <c r="AR5715" s="14"/>
      <c r="AS5715" s="14"/>
      <c r="AT5715" s="14"/>
      <c r="AU5715" s="14"/>
      <c r="AV5715" s="14"/>
      <c r="AW5715" s="15">
        <f t="shared" si="931"/>
        <v>400</v>
      </c>
      <c r="AX5715" s="16"/>
    </row>
    <row r="5716" spans="2:50" x14ac:dyDescent="0.2">
      <c r="B5716" s="7"/>
      <c r="C5716" s="8">
        <v>15880</v>
      </c>
      <c r="D5716" s="9" t="s">
        <v>123</v>
      </c>
      <c r="E5716" s="10" t="str">
        <f t="shared" si="926"/>
        <v>Rancho Recoveco No. 175, B</v>
      </c>
      <c r="F5716" s="10" t="str">
        <f t="shared" si="927"/>
        <v>García Calderón</v>
      </c>
      <c r="G5716" s="8">
        <v>1</v>
      </c>
      <c r="H5716" s="11">
        <v>250</v>
      </c>
      <c r="I5716" s="12">
        <v>43135</v>
      </c>
      <c r="J5716" s="35">
        <f t="shared" si="928"/>
        <v>0</v>
      </c>
      <c r="K5716" s="36"/>
      <c r="L5716" s="36"/>
      <c r="M5716" s="36"/>
      <c r="N5716" s="36"/>
      <c r="O5716" s="36"/>
      <c r="P5716" s="36"/>
      <c r="Q5716" s="36"/>
      <c r="R5716" s="36"/>
      <c r="S5716" s="36"/>
      <c r="T5716" s="36"/>
      <c r="U5716" s="36"/>
      <c r="V5716" s="36"/>
      <c r="W5716" s="15">
        <f t="shared" si="929"/>
        <v>0</v>
      </c>
      <c r="X5716" s="36"/>
      <c r="Y5716" s="36"/>
      <c r="Z5716" s="36"/>
      <c r="AA5716" s="36"/>
      <c r="AB5716" s="36"/>
      <c r="AC5716" s="36"/>
      <c r="AD5716" s="36"/>
      <c r="AE5716" s="36"/>
      <c r="AF5716" s="36"/>
      <c r="AG5716" s="36"/>
      <c r="AH5716" s="36"/>
      <c r="AI5716" s="36"/>
      <c r="AJ5716" s="15">
        <f t="shared" si="930"/>
        <v>0</v>
      </c>
      <c r="AK5716" s="14"/>
      <c r="AL5716" s="14">
        <v>250</v>
      </c>
      <c r="AM5716" s="14"/>
      <c r="AN5716" s="14"/>
      <c r="AO5716" s="14"/>
      <c r="AP5716" s="14"/>
      <c r="AQ5716" s="14"/>
      <c r="AR5716" s="14"/>
      <c r="AS5716" s="14"/>
      <c r="AT5716" s="14"/>
      <c r="AU5716" s="14"/>
      <c r="AV5716" s="14"/>
      <c r="AW5716" s="15">
        <f t="shared" si="931"/>
        <v>250</v>
      </c>
      <c r="AX5716" s="16"/>
    </row>
    <row r="5717" spans="2:50" x14ac:dyDescent="0.2">
      <c r="B5717" s="7"/>
      <c r="C5717" s="8">
        <v>15881</v>
      </c>
      <c r="D5717" s="9" t="s">
        <v>1002</v>
      </c>
      <c r="E5717" s="10" t="str">
        <f t="shared" si="926"/>
        <v>Rancho Upácuaro No. 39</v>
      </c>
      <c r="F5717" s="10" t="str">
        <f t="shared" si="927"/>
        <v>Valdez</v>
      </c>
      <c r="G5717" s="8">
        <v>1</v>
      </c>
      <c r="H5717" s="11">
        <v>400</v>
      </c>
      <c r="I5717" s="12">
        <v>43135</v>
      </c>
      <c r="J5717" s="35">
        <f t="shared" si="928"/>
        <v>0</v>
      </c>
      <c r="K5717" s="36"/>
      <c r="L5717" s="36"/>
      <c r="M5717" s="36"/>
      <c r="N5717" s="36"/>
      <c r="O5717" s="36"/>
      <c r="P5717" s="36"/>
      <c r="Q5717" s="36"/>
      <c r="R5717" s="36"/>
      <c r="S5717" s="36"/>
      <c r="T5717" s="36"/>
      <c r="U5717" s="36"/>
      <c r="V5717" s="36"/>
      <c r="W5717" s="15">
        <f t="shared" si="929"/>
        <v>0</v>
      </c>
      <c r="X5717" s="36"/>
      <c r="Y5717" s="36"/>
      <c r="Z5717" s="36"/>
      <c r="AA5717" s="36"/>
      <c r="AB5717" s="36"/>
      <c r="AC5717" s="36"/>
      <c r="AD5717" s="36"/>
      <c r="AE5717" s="36"/>
      <c r="AF5717" s="36"/>
      <c r="AG5717" s="36"/>
      <c r="AH5717" s="36"/>
      <c r="AI5717" s="36"/>
      <c r="AJ5717" s="15">
        <f t="shared" si="930"/>
        <v>0</v>
      </c>
      <c r="AK5717" s="14"/>
      <c r="AL5717" s="14">
        <v>400</v>
      </c>
      <c r="AM5717" s="14"/>
      <c r="AN5717" s="14"/>
      <c r="AO5717" s="14"/>
      <c r="AP5717" s="14"/>
      <c r="AQ5717" s="14"/>
      <c r="AR5717" s="14"/>
      <c r="AS5717" s="14"/>
      <c r="AT5717" s="14"/>
      <c r="AU5717" s="14"/>
      <c r="AV5717" s="14"/>
      <c r="AW5717" s="15">
        <f t="shared" si="931"/>
        <v>400</v>
      </c>
      <c r="AX5717" s="16"/>
    </row>
    <row r="5718" spans="2:50" x14ac:dyDescent="0.2">
      <c r="B5718" s="7"/>
      <c r="C5718" s="8">
        <v>15882</v>
      </c>
      <c r="D5718" s="9" t="s">
        <v>693</v>
      </c>
      <c r="E5718" s="10" t="str">
        <f t="shared" si="926"/>
        <v>Rancho Romeral No. 9, B</v>
      </c>
      <c r="F5718" s="10" t="str">
        <f t="shared" si="927"/>
        <v>Morales Macías</v>
      </c>
      <c r="G5718" s="8">
        <v>1</v>
      </c>
      <c r="H5718" s="11">
        <v>450</v>
      </c>
      <c r="I5718" s="12">
        <v>43135</v>
      </c>
      <c r="J5718" s="35">
        <f t="shared" si="928"/>
        <v>0</v>
      </c>
      <c r="K5718" s="36"/>
      <c r="L5718" s="36"/>
      <c r="M5718" s="36"/>
      <c r="N5718" s="36"/>
      <c r="O5718" s="36"/>
      <c r="P5718" s="36"/>
      <c r="Q5718" s="36"/>
      <c r="R5718" s="36"/>
      <c r="S5718" s="36"/>
      <c r="T5718" s="36"/>
      <c r="U5718" s="36"/>
      <c r="V5718" s="36"/>
      <c r="W5718" s="15">
        <f t="shared" si="929"/>
        <v>0</v>
      </c>
      <c r="X5718" s="36"/>
      <c r="Y5718" s="36"/>
      <c r="Z5718" s="36"/>
      <c r="AA5718" s="36"/>
      <c r="AB5718" s="36"/>
      <c r="AC5718" s="36"/>
      <c r="AD5718" s="36"/>
      <c r="AE5718" s="36"/>
      <c r="AF5718" s="36"/>
      <c r="AG5718" s="36"/>
      <c r="AH5718" s="36"/>
      <c r="AI5718" s="36">
        <v>150</v>
      </c>
      <c r="AJ5718" s="15">
        <f t="shared" si="930"/>
        <v>150</v>
      </c>
      <c r="AK5718" s="14">
        <v>150</v>
      </c>
      <c r="AL5718" s="14">
        <v>150</v>
      </c>
      <c r="AM5718" s="14"/>
      <c r="AN5718" s="14"/>
      <c r="AO5718" s="14"/>
      <c r="AP5718" s="14"/>
      <c r="AQ5718" s="14"/>
      <c r="AR5718" s="14"/>
      <c r="AS5718" s="14"/>
      <c r="AT5718" s="14"/>
      <c r="AU5718" s="14"/>
      <c r="AV5718" s="14"/>
      <c r="AW5718" s="15">
        <f t="shared" si="931"/>
        <v>300</v>
      </c>
      <c r="AX5718" s="16"/>
    </row>
    <row r="5719" spans="2:50" x14ac:dyDescent="0.2">
      <c r="B5719" s="7"/>
      <c r="C5719" s="8">
        <v>15883</v>
      </c>
      <c r="D5719" s="9" t="s">
        <v>479</v>
      </c>
      <c r="E5719" s="10" t="str">
        <f t="shared" si="926"/>
        <v>Rancho Zinamba No. 68</v>
      </c>
      <c r="F5719" s="10" t="str">
        <f t="shared" si="927"/>
        <v>Rivera Villicaña</v>
      </c>
      <c r="G5719" s="8">
        <v>1</v>
      </c>
      <c r="H5719" s="11">
        <v>300</v>
      </c>
      <c r="I5719" s="12">
        <v>43135</v>
      </c>
      <c r="J5719" s="35">
        <f t="shared" si="928"/>
        <v>0</v>
      </c>
      <c r="K5719" s="36"/>
      <c r="L5719" s="36"/>
      <c r="M5719" s="36"/>
      <c r="N5719" s="36"/>
      <c r="O5719" s="36"/>
      <c r="P5719" s="36"/>
      <c r="Q5719" s="36"/>
      <c r="R5719" s="36"/>
      <c r="S5719" s="36"/>
      <c r="T5719" s="36"/>
      <c r="U5719" s="36"/>
      <c r="V5719" s="36"/>
      <c r="W5719" s="15">
        <f t="shared" si="929"/>
        <v>0</v>
      </c>
      <c r="X5719" s="36"/>
      <c r="Y5719" s="36"/>
      <c r="Z5719" s="36"/>
      <c r="AA5719" s="36"/>
      <c r="AB5719" s="36"/>
      <c r="AC5719" s="36"/>
      <c r="AD5719" s="36"/>
      <c r="AE5719" s="36"/>
      <c r="AF5719" s="36"/>
      <c r="AG5719" s="36"/>
      <c r="AH5719" s="36"/>
      <c r="AI5719" s="36"/>
      <c r="AJ5719" s="15">
        <f t="shared" si="930"/>
        <v>0</v>
      </c>
      <c r="AK5719" s="14"/>
      <c r="AL5719" s="14">
        <v>300</v>
      </c>
      <c r="AM5719" s="14"/>
      <c r="AN5719" s="14"/>
      <c r="AO5719" s="14"/>
      <c r="AP5719" s="14"/>
      <c r="AQ5719" s="14"/>
      <c r="AR5719" s="14"/>
      <c r="AS5719" s="14"/>
      <c r="AT5719" s="14"/>
      <c r="AU5719" s="14"/>
      <c r="AV5719" s="14"/>
      <c r="AW5719" s="15">
        <f t="shared" si="931"/>
        <v>300</v>
      </c>
      <c r="AX5719" s="16"/>
    </row>
    <row r="5720" spans="2:50" x14ac:dyDescent="0.2">
      <c r="B5720" s="7"/>
      <c r="C5720" s="8">
        <v>15884</v>
      </c>
      <c r="D5720" s="9" t="s">
        <v>307</v>
      </c>
      <c r="E5720" s="10" t="str">
        <f t="shared" si="926"/>
        <v>Rancho Landero No. 83</v>
      </c>
      <c r="F5720" s="10" t="str">
        <f t="shared" si="927"/>
        <v>Aguilar</v>
      </c>
      <c r="G5720" s="8">
        <v>1</v>
      </c>
      <c r="H5720" s="11">
        <v>350</v>
      </c>
      <c r="I5720" s="12">
        <v>43135</v>
      </c>
      <c r="J5720" s="35">
        <f t="shared" si="928"/>
        <v>0</v>
      </c>
      <c r="K5720" s="36"/>
      <c r="L5720" s="36"/>
      <c r="M5720" s="36"/>
      <c r="N5720" s="36"/>
      <c r="O5720" s="36"/>
      <c r="P5720" s="36"/>
      <c r="Q5720" s="36"/>
      <c r="R5720" s="36"/>
      <c r="S5720" s="36"/>
      <c r="T5720" s="36"/>
      <c r="U5720" s="36"/>
      <c r="V5720" s="36"/>
      <c r="W5720" s="15">
        <f t="shared" si="929"/>
        <v>0</v>
      </c>
      <c r="X5720" s="36"/>
      <c r="Y5720" s="36"/>
      <c r="Z5720" s="36"/>
      <c r="AA5720" s="36"/>
      <c r="AB5720" s="36"/>
      <c r="AC5720" s="36"/>
      <c r="AD5720" s="36"/>
      <c r="AE5720" s="36"/>
      <c r="AF5720" s="36"/>
      <c r="AG5720" s="36"/>
      <c r="AH5720" s="36"/>
      <c r="AI5720" s="36"/>
      <c r="AJ5720" s="15">
        <f t="shared" si="930"/>
        <v>0</v>
      </c>
      <c r="AK5720" s="14"/>
      <c r="AL5720" s="14">
        <v>350</v>
      </c>
      <c r="AM5720" s="14"/>
      <c r="AN5720" s="14"/>
      <c r="AO5720" s="14"/>
      <c r="AP5720" s="14"/>
      <c r="AQ5720" s="14"/>
      <c r="AR5720" s="14"/>
      <c r="AS5720" s="14"/>
      <c r="AT5720" s="14"/>
      <c r="AU5720" s="14"/>
      <c r="AV5720" s="14"/>
      <c r="AW5720" s="15">
        <f t="shared" si="931"/>
        <v>350</v>
      </c>
      <c r="AX5720" s="16"/>
    </row>
    <row r="5721" spans="2:50" x14ac:dyDescent="0.2">
      <c r="B5721" s="7"/>
      <c r="C5721" s="8">
        <v>15885</v>
      </c>
      <c r="D5721" s="9" t="s">
        <v>416</v>
      </c>
      <c r="E5721" s="10" t="str">
        <f t="shared" si="926"/>
        <v>Rancho La Cuchilla No. 112, PB</v>
      </c>
      <c r="F5721" s="10" t="str">
        <f t="shared" si="927"/>
        <v>Soreque</v>
      </c>
      <c r="G5721" s="8">
        <v>1</v>
      </c>
      <c r="H5721" s="11">
        <v>200</v>
      </c>
      <c r="I5721" s="12">
        <v>43135</v>
      </c>
      <c r="J5721" s="35">
        <f t="shared" si="928"/>
        <v>0</v>
      </c>
      <c r="K5721" s="36"/>
      <c r="L5721" s="36"/>
      <c r="M5721" s="36"/>
      <c r="N5721" s="36"/>
      <c r="O5721" s="36"/>
      <c r="P5721" s="36"/>
      <c r="Q5721" s="36"/>
      <c r="R5721" s="36"/>
      <c r="S5721" s="36"/>
      <c r="T5721" s="36"/>
      <c r="U5721" s="36"/>
      <c r="V5721" s="36"/>
      <c r="W5721" s="15">
        <f t="shared" si="929"/>
        <v>0</v>
      </c>
      <c r="X5721" s="36"/>
      <c r="Y5721" s="36"/>
      <c r="Z5721" s="36"/>
      <c r="AA5721" s="36"/>
      <c r="AB5721" s="36"/>
      <c r="AC5721" s="36"/>
      <c r="AD5721" s="36"/>
      <c r="AE5721" s="36"/>
      <c r="AF5721" s="36"/>
      <c r="AG5721" s="36"/>
      <c r="AH5721" s="36"/>
      <c r="AI5721" s="36"/>
      <c r="AJ5721" s="15">
        <f t="shared" si="930"/>
        <v>0</v>
      </c>
      <c r="AK5721" s="14"/>
      <c r="AL5721" s="14">
        <v>200</v>
      </c>
      <c r="AM5721" s="14"/>
      <c r="AN5721" s="14"/>
      <c r="AO5721" s="14"/>
      <c r="AP5721" s="14"/>
      <c r="AQ5721" s="14"/>
      <c r="AR5721" s="14"/>
      <c r="AS5721" s="14"/>
      <c r="AT5721" s="14"/>
      <c r="AU5721" s="14"/>
      <c r="AV5721" s="14"/>
      <c r="AW5721" s="15">
        <f t="shared" si="931"/>
        <v>200</v>
      </c>
      <c r="AX5721" s="16"/>
    </row>
    <row r="5722" spans="2:50" x14ac:dyDescent="0.2">
      <c r="B5722" s="7"/>
      <c r="C5722" s="8">
        <v>15886</v>
      </c>
      <c r="D5722" s="9" t="s">
        <v>331</v>
      </c>
      <c r="E5722" s="10" t="str">
        <f t="shared" si="926"/>
        <v>Rancho Recoveco No. 197</v>
      </c>
      <c r="F5722" s="10" t="str">
        <f t="shared" si="927"/>
        <v>Colín González</v>
      </c>
      <c r="G5722" s="8">
        <v>1</v>
      </c>
      <c r="H5722" s="11">
        <v>400</v>
      </c>
      <c r="I5722" s="12">
        <v>43135</v>
      </c>
      <c r="J5722" s="35">
        <f t="shared" si="928"/>
        <v>0</v>
      </c>
      <c r="K5722" s="36"/>
      <c r="L5722" s="36"/>
      <c r="M5722" s="36"/>
      <c r="N5722" s="36"/>
      <c r="O5722" s="36"/>
      <c r="P5722" s="36"/>
      <c r="Q5722" s="36"/>
      <c r="R5722" s="36"/>
      <c r="S5722" s="36"/>
      <c r="T5722" s="36"/>
      <c r="U5722" s="36"/>
      <c r="V5722" s="36"/>
      <c r="W5722" s="15">
        <f t="shared" si="929"/>
        <v>0</v>
      </c>
      <c r="X5722" s="36"/>
      <c r="Y5722" s="36"/>
      <c r="Z5722" s="36"/>
      <c r="AA5722" s="36"/>
      <c r="AB5722" s="36"/>
      <c r="AC5722" s="36"/>
      <c r="AD5722" s="36"/>
      <c r="AE5722" s="36"/>
      <c r="AF5722" s="36"/>
      <c r="AG5722" s="36"/>
      <c r="AH5722" s="36"/>
      <c r="AI5722" s="36"/>
      <c r="AJ5722" s="15">
        <f t="shared" si="930"/>
        <v>0</v>
      </c>
      <c r="AK5722" s="14"/>
      <c r="AL5722" s="14">
        <v>400</v>
      </c>
      <c r="AM5722" s="14"/>
      <c r="AN5722" s="14"/>
      <c r="AO5722" s="14"/>
      <c r="AP5722" s="14"/>
      <c r="AQ5722" s="14"/>
      <c r="AR5722" s="14"/>
      <c r="AS5722" s="14"/>
      <c r="AT5722" s="14"/>
      <c r="AU5722" s="14"/>
      <c r="AV5722" s="14"/>
      <c r="AW5722" s="15">
        <f t="shared" si="931"/>
        <v>400</v>
      </c>
      <c r="AX5722" s="16"/>
    </row>
    <row r="5723" spans="2:50" x14ac:dyDescent="0.2">
      <c r="B5723" s="7"/>
      <c r="C5723" s="8">
        <v>15887</v>
      </c>
      <c r="D5723" s="9" t="s">
        <v>473</v>
      </c>
      <c r="E5723" s="10" t="str">
        <f t="shared" si="926"/>
        <v>Rancho Zinamba No. 14</v>
      </c>
      <c r="F5723" s="10" t="str">
        <f t="shared" si="927"/>
        <v>Gutiérrez García</v>
      </c>
      <c r="G5723" s="8">
        <v>1</v>
      </c>
      <c r="H5723" s="11">
        <v>800</v>
      </c>
      <c r="I5723" s="12">
        <v>43135</v>
      </c>
      <c r="J5723" s="35">
        <f t="shared" si="928"/>
        <v>0</v>
      </c>
      <c r="K5723" s="36"/>
      <c r="L5723" s="36"/>
      <c r="M5723" s="36"/>
      <c r="N5723" s="36"/>
      <c r="O5723" s="36"/>
      <c r="P5723" s="36"/>
      <c r="Q5723" s="36"/>
      <c r="R5723" s="36"/>
      <c r="S5723" s="36"/>
      <c r="T5723" s="36"/>
      <c r="U5723" s="36"/>
      <c r="V5723" s="36"/>
      <c r="W5723" s="15">
        <f t="shared" si="929"/>
        <v>0</v>
      </c>
      <c r="X5723" s="36"/>
      <c r="Y5723" s="36"/>
      <c r="Z5723" s="36"/>
      <c r="AA5723" s="36"/>
      <c r="AB5723" s="36"/>
      <c r="AC5723" s="36"/>
      <c r="AD5723" s="36"/>
      <c r="AE5723" s="36"/>
      <c r="AF5723" s="36"/>
      <c r="AG5723" s="36"/>
      <c r="AH5723" s="36">
        <v>400</v>
      </c>
      <c r="AI5723" s="36">
        <v>400</v>
      </c>
      <c r="AJ5723" s="15">
        <f t="shared" si="930"/>
        <v>800</v>
      </c>
      <c r="AK5723" s="14"/>
      <c r="AL5723" s="14"/>
      <c r="AM5723" s="14"/>
      <c r="AN5723" s="14"/>
      <c r="AO5723" s="14"/>
      <c r="AP5723" s="14"/>
      <c r="AQ5723" s="14"/>
      <c r="AR5723" s="14"/>
      <c r="AS5723" s="14"/>
      <c r="AT5723" s="14"/>
      <c r="AU5723" s="14"/>
      <c r="AV5723" s="14"/>
      <c r="AW5723" s="15">
        <f t="shared" si="931"/>
        <v>0</v>
      </c>
      <c r="AX5723" s="16"/>
    </row>
    <row r="5724" spans="2:50" x14ac:dyDescent="0.2">
      <c r="B5724" s="7"/>
      <c r="C5724" s="8">
        <v>15888</v>
      </c>
      <c r="D5724" s="9" t="s">
        <v>280</v>
      </c>
      <c r="E5724" s="10" t="str">
        <f t="shared" si="926"/>
        <v>Rancho La Cuchilla No. 40</v>
      </c>
      <c r="F5724" s="10" t="str">
        <f t="shared" si="927"/>
        <v>López Pico</v>
      </c>
      <c r="G5724" s="8">
        <v>1</v>
      </c>
      <c r="H5724" s="11">
        <v>400</v>
      </c>
      <c r="I5724" s="12">
        <v>43135</v>
      </c>
      <c r="J5724" s="35">
        <f t="shared" si="928"/>
        <v>0</v>
      </c>
      <c r="K5724" s="36"/>
      <c r="L5724" s="36"/>
      <c r="M5724" s="36"/>
      <c r="N5724" s="36"/>
      <c r="O5724" s="36"/>
      <c r="P5724" s="36"/>
      <c r="Q5724" s="36"/>
      <c r="R5724" s="36"/>
      <c r="S5724" s="36"/>
      <c r="T5724" s="36"/>
      <c r="U5724" s="36"/>
      <c r="V5724" s="36"/>
      <c r="W5724" s="15">
        <f t="shared" si="929"/>
        <v>0</v>
      </c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15">
        <f t="shared" si="930"/>
        <v>0</v>
      </c>
      <c r="AK5724" s="14"/>
      <c r="AL5724" s="14">
        <v>400</v>
      </c>
      <c r="AM5724" s="14"/>
      <c r="AN5724" s="14"/>
      <c r="AO5724" s="14"/>
      <c r="AP5724" s="14"/>
      <c r="AQ5724" s="14"/>
      <c r="AR5724" s="14"/>
      <c r="AS5724" s="14"/>
      <c r="AT5724" s="14"/>
      <c r="AU5724" s="14"/>
      <c r="AV5724" s="14"/>
      <c r="AW5724" s="15">
        <f t="shared" si="931"/>
        <v>400</v>
      </c>
      <c r="AX5724" s="16"/>
    </row>
    <row r="5725" spans="2:50" x14ac:dyDescent="0.2">
      <c r="B5725" s="7"/>
      <c r="C5725" s="8">
        <v>15889</v>
      </c>
      <c r="D5725" s="9" t="s">
        <v>171</v>
      </c>
      <c r="E5725" s="10" t="str">
        <f t="shared" si="926"/>
        <v>Rancho La Cuchilla No. 72</v>
      </c>
      <c r="F5725" s="10" t="str">
        <f t="shared" si="927"/>
        <v>Ortiz González</v>
      </c>
      <c r="G5725" s="8">
        <v>1</v>
      </c>
      <c r="H5725" s="11">
        <v>400</v>
      </c>
      <c r="I5725" s="12">
        <v>43135</v>
      </c>
      <c r="J5725" s="35">
        <f t="shared" si="928"/>
        <v>0</v>
      </c>
      <c r="K5725" s="36"/>
      <c r="L5725" s="36"/>
      <c r="M5725" s="36"/>
      <c r="N5725" s="36"/>
      <c r="O5725" s="36"/>
      <c r="P5725" s="36"/>
      <c r="Q5725" s="36"/>
      <c r="R5725" s="36"/>
      <c r="S5725" s="36"/>
      <c r="T5725" s="36"/>
      <c r="U5725" s="36"/>
      <c r="V5725" s="36"/>
      <c r="W5725" s="15">
        <f t="shared" si="929"/>
        <v>0</v>
      </c>
      <c r="X5725" s="36"/>
      <c r="Y5725" s="36"/>
      <c r="Z5725" s="36"/>
      <c r="AA5725" s="36"/>
      <c r="AB5725" s="36"/>
      <c r="AC5725" s="36"/>
      <c r="AD5725" s="36"/>
      <c r="AE5725" s="36"/>
      <c r="AF5725" s="36"/>
      <c r="AG5725" s="36"/>
      <c r="AH5725" s="36"/>
      <c r="AI5725" s="36"/>
      <c r="AJ5725" s="15">
        <f t="shared" si="930"/>
        <v>0</v>
      </c>
      <c r="AK5725" s="14"/>
      <c r="AL5725" s="14">
        <v>400</v>
      </c>
      <c r="AM5725" s="14"/>
      <c r="AN5725" s="14"/>
      <c r="AO5725" s="14"/>
      <c r="AP5725" s="14"/>
      <c r="AQ5725" s="14"/>
      <c r="AR5725" s="14"/>
      <c r="AS5725" s="14"/>
      <c r="AT5725" s="14"/>
      <c r="AU5725" s="14"/>
      <c r="AV5725" s="14"/>
      <c r="AW5725" s="15">
        <f t="shared" si="931"/>
        <v>400</v>
      </c>
      <c r="AX5725" s="16"/>
    </row>
    <row r="5726" spans="2:50" x14ac:dyDescent="0.2">
      <c r="B5726" s="7"/>
      <c r="C5726" s="8">
        <v>15890</v>
      </c>
      <c r="D5726" s="9" t="s">
        <v>313</v>
      </c>
      <c r="E5726" s="10" t="str">
        <f t="shared" si="926"/>
        <v>Rancho La Cuchilla No. 87</v>
      </c>
      <c r="F5726" s="10" t="str">
        <f t="shared" si="927"/>
        <v>Villanueva S.</v>
      </c>
      <c r="G5726" s="8">
        <v>1</v>
      </c>
      <c r="H5726" s="11">
        <v>400</v>
      </c>
      <c r="I5726" s="12">
        <v>43135</v>
      </c>
      <c r="J5726" s="35">
        <f t="shared" si="928"/>
        <v>0</v>
      </c>
      <c r="K5726" s="36"/>
      <c r="L5726" s="36"/>
      <c r="M5726" s="36"/>
      <c r="N5726" s="36"/>
      <c r="O5726" s="36"/>
      <c r="P5726" s="36"/>
      <c r="Q5726" s="36"/>
      <c r="R5726" s="36"/>
      <c r="S5726" s="36"/>
      <c r="T5726" s="36"/>
      <c r="U5726" s="36"/>
      <c r="V5726" s="36"/>
      <c r="W5726" s="15">
        <f t="shared" si="929"/>
        <v>0</v>
      </c>
      <c r="X5726" s="36"/>
      <c r="Y5726" s="36"/>
      <c r="Z5726" s="36"/>
      <c r="AA5726" s="36"/>
      <c r="AB5726" s="36"/>
      <c r="AC5726" s="36"/>
      <c r="AD5726" s="36"/>
      <c r="AE5726" s="36"/>
      <c r="AF5726" s="36"/>
      <c r="AG5726" s="36"/>
      <c r="AH5726" s="36"/>
      <c r="AI5726" s="36"/>
      <c r="AJ5726" s="15">
        <f t="shared" si="930"/>
        <v>0</v>
      </c>
      <c r="AK5726" s="14"/>
      <c r="AL5726" s="14">
        <v>400</v>
      </c>
      <c r="AM5726" s="14"/>
      <c r="AN5726" s="14"/>
      <c r="AO5726" s="14"/>
      <c r="AP5726" s="14"/>
      <c r="AQ5726" s="14"/>
      <c r="AR5726" s="14"/>
      <c r="AS5726" s="14"/>
      <c r="AT5726" s="14"/>
      <c r="AU5726" s="14"/>
      <c r="AV5726" s="14"/>
      <c r="AW5726" s="15">
        <f t="shared" si="931"/>
        <v>400</v>
      </c>
      <c r="AX5726" s="16"/>
    </row>
    <row r="5727" spans="2:50" x14ac:dyDescent="0.2">
      <c r="B5727" s="7"/>
      <c r="C5727" s="8">
        <v>15891</v>
      </c>
      <c r="D5727" s="9" t="s">
        <v>62</v>
      </c>
      <c r="E5727" s="10" t="str">
        <f t="shared" si="926"/>
        <v>Rancho Romeral No. 10, A</v>
      </c>
      <c r="F5727" s="10" t="str">
        <f t="shared" si="927"/>
        <v>Casillas Álvarez</v>
      </c>
      <c r="G5727" s="8">
        <v>1</v>
      </c>
      <c r="H5727" s="11">
        <v>200</v>
      </c>
      <c r="I5727" s="12">
        <v>43135</v>
      </c>
      <c r="J5727" s="35">
        <f t="shared" si="928"/>
        <v>0</v>
      </c>
      <c r="K5727" s="36"/>
      <c r="L5727" s="36"/>
      <c r="M5727" s="36"/>
      <c r="N5727" s="36"/>
      <c r="O5727" s="36"/>
      <c r="P5727" s="36"/>
      <c r="Q5727" s="36"/>
      <c r="R5727" s="36"/>
      <c r="S5727" s="36"/>
      <c r="T5727" s="36"/>
      <c r="U5727" s="36"/>
      <c r="V5727" s="36"/>
      <c r="W5727" s="15">
        <f t="shared" si="929"/>
        <v>0</v>
      </c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15">
        <f t="shared" si="930"/>
        <v>0</v>
      </c>
      <c r="AK5727" s="14"/>
      <c r="AL5727" s="14"/>
      <c r="AM5727" s="14">
        <v>200</v>
      </c>
      <c r="AN5727" s="14"/>
      <c r="AO5727" s="14"/>
      <c r="AP5727" s="14"/>
      <c r="AQ5727" s="14"/>
      <c r="AR5727" s="14"/>
      <c r="AS5727" s="14"/>
      <c r="AT5727" s="14"/>
      <c r="AU5727" s="14"/>
      <c r="AV5727" s="14"/>
      <c r="AW5727" s="15">
        <f t="shared" si="931"/>
        <v>200</v>
      </c>
      <c r="AX5727" s="16"/>
    </row>
    <row r="5728" spans="2:50" x14ac:dyDescent="0.2">
      <c r="B5728" s="7"/>
      <c r="C5728" s="8">
        <v>15892</v>
      </c>
      <c r="D5728" s="9" t="s">
        <v>556</v>
      </c>
      <c r="E5728" s="10" t="str">
        <f t="shared" si="926"/>
        <v>Rancho Zinamba No. 26</v>
      </c>
      <c r="F5728" s="10" t="str">
        <f t="shared" si="927"/>
        <v>Ayala</v>
      </c>
      <c r="G5728" s="8">
        <v>1</v>
      </c>
      <c r="H5728" s="11">
        <v>400</v>
      </c>
      <c r="I5728" s="12">
        <v>43135</v>
      </c>
      <c r="J5728" s="35">
        <f t="shared" si="928"/>
        <v>0</v>
      </c>
      <c r="K5728" s="36"/>
      <c r="L5728" s="36"/>
      <c r="M5728" s="36"/>
      <c r="N5728" s="36"/>
      <c r="O5728" s="36"/>
      <c r="P5728" s="36"/>
      <c r="Q5728" s="36"/>
      <c r="R5728" s="36"/>
      <c r="S5728" s="36"/>
      <c r="T5728" s="36"/>
      <c r="U5728" s="36"/>
      <c r="V5728" s="36"/>
      <c r="W5728" s="15">
        <f t="shared" si="929"/>
        <v>0</v>
      </c>
      <c r="X5728" s="36"/>
      <c r="Y5728" s="36"/>
      <c r="Z5728" s="36"/>
      <c r="AA5728" s="36"/>
      <c r="AB5728" s="36"/>
      <c r="AC5728" s="36"/>
      <c r="AD5728" s="36"/>
      <c r="AE5728" s="36"/>
      <c r="AF5728" s="36"/>
      <c r="AG5728" s="36"/>
      <c r="AH5728" s="36"/>
      <c r="AI5728" s="36">
        <v>400</v>
      </c>
      <c r="AJ5728" s="15">
        <f t="shared" si="930"/>
        <v>400</v>
      </c>
      <c r="AK5728" s="14"/>
      <c r="AL5728" s="14"/>
      <c r="AM5728" s="14"/>
      <c r="AN5728" s="14"/>
      <c r="AO5728" s="14"/>
      <c r="AP5728" s="14"/>
      <c r="AQ5728" s="14"/>
      <c r="AR5728" s="14"/>
      <c r="AS5728" s="14"/>
      <c r="AT5728" s="14"/>
      <c r="AU5728" s="14"/>
      <c r="AV5728" s="14"/>
      <c r="AW5728" s="15">
        <f t="shared" si="931"/>
        <v>0</v>
      </c>
      <c r="AX5728" s="16"/>
    </row>
    <row r="5729" spans="2:51" x14ac:dyDescent="0.2">
      <c r="B5729" s="7"/>
      <c r="C5729" s="8">
        <v>15893</v>
      </c>
      <c r="D5729" s="9" t="s">
        <v>103</v>
      </c>
      <c r="E5729" s="10" t="str">
        <f t="shared" si="926"/>
        <v>Rancho La Cuchilla No. 41</v>
      </c>
      <c r="F5729" s="10" t="str">
        <f t="shared" si="927"/>
        <v>Arriaga Lemus</v>
      </c>
      <c r="G5729" s="8">
        <v>1</v>
      </c>
      <c r="H5729" s="11">
        <v>400</v>
      </c>
      <c r="I5729" s="12">
        <v>43135</v>
      </c>
      <c r="J5729" s="35">
        <f t="shared" si="928"/>
        <v>0</v>
      </c>
      <c r="K5729" s="36"/>
      <c r="L5729" s="36"/>
      <c r="M5729" s="36"/>
      <c r="N5729" s="36"/>
      <c r="O5729" s="36"/>
      <c r="P5729" s="36"/>
      <c r="Q5729" s="36"/>
      <c r="R5729" s="36"/>
      <c r="S5729" s="36"/>
      <c r="T5729" s="36"/>
      <c r="U5729" s="36"/>
      <c r="V5729" s="36"/>
      <c r="W5729" s="15">
        <f t="shared" si="929"/>
        <v>0</v>
      </c>
      <c r="X5729" s="36"/>
      <c r="Y5729" s="36"/>
      <c r="Z5729" s="36"/>
      <c r="AA5729" s="36"/>
      <c r="AB5729" s="36"/>
      <c r="AC5729" s="36"/>
      <c r="AD5729" s="36"/>
      <c r="AE5729" s="36"/>
      <c r="AF5729" s="36"/>
      <c r="AG5729" s="36"/>
      <c r="AH5729" s="36"/>
      <c r="AI5729" s="36"/>
      <c r="AJ5729" s="15">
        <f t="shared" si="930"/>
        <v>0</v>
      </c>
      <c r="AK5729" s="14">
        <v>400</v>
      </c>
      <c r="AL5729" s="14"/>
      <c r="AM5729" s="14"/>
      <c r="AN5729" s="14"/>
      <c r="AO5729" s="14"/>
      <c r="AP5729" s="14"/>
      <c r="AQ5729" s="14"/>
      <c r="AR5729" s="14"/>
      <c r="AS5729" s="14"/>
      <c r="AT5729" s="14"/>
      <c r="AU5729" s="14"/>
      <c r="AV5729" s="14"/>
      <c r="AW5729" s="15">
        <f t="shared" si="931"/>
        <v>400</v>
      </c>
      <c r="AX5729" s="16"/>
    </row>
    <row r="5730" spans="2:51" x14ac:dyDescent="0.2">
      <c r="B5730" s="7"/>
      <c r="C5730" s="8">
        <v>15894</v>
      </c>
      <c r="D5730" s="9" t="s">
        <v>631</v>
      </c>
      <c r="E5730" s="10" t="str">
        <f t="shared" si="926"/>
        <v>Rancho Romeral No. 10, B</v>
      </c>
      <c r="F5730" s="10" t="str">
        <f t="shared" si="927"/>
        <v>López Castellano</v>
      </c>
      <c r="G5730" s="8">
        <v>1</v>
      </c>
      <c r="H5730" s="11">
        <v>600</v>
      </c>
      <c r="I5730" s="12">
        <v>43135</v>
      </c>
      <c r="J5730" s="35">
        <f t="shared" si="928"/>
        <v>0</v>
      </c>
      <c r="K5730" s="36"/>
      <c r="L5730" s="36"/>
      <c r="M5730" s="36"/>
      <c r="N5730" s="36"/>
      <c r="O5730" s="36"/>
      <c r="P5730" s="36"/>
      <c r="Q5730" s="36"/>
      <c r="R5730" s="36"/>
      <c r="S5730" s="36"/>
      <c r="T5730" s="36"/>
      <c r="U5730" s="36"/>
      <c r="V5730" s="36"/>
      <c r="W5730" s="15">
        <f t="shared" si="929"/>
        <v>0</v>
      </c>
      <c r="X5730" s="36"/>
      <c r="Y5730" s="36"/>
      <c r="Z5730" s="36"/>
      <c r="AA5730" s="36"/>
      <c r="AB5730" s="36"/>
      <c r="AC5730" s="36"/>
      <c r="AD5730" s="36"/>
      <c r="AE5730" s="36"/>
      <c r="AF5730" s="36"/>
      <c r="AG5730" s="36"/>
      <c r="AH5730" s="36"/>
      <c r="AI5730" s="36">
        <v>300</v>
      </c>
      <c r="AJ5730" s="15">
        <f t="shared" si="930"/>
        <v>300</v>
      </c>
      <c r="AK5730" s="14">
        <v>300</v>
      </c>
      <c r="AL5730" s="14"/>
      <c r="AM5730" s="14"/>
      <c r="AN5730" s="14"/>
      <c r="AO5730" s="14"/>
      <c r="AP5730" s="14"/>
      <c r="AQ5730" s="14"/>
      <c r="AR5730" s="14"/>
      <c r="AS5730" s="14"/>
      <c r="AT5730" s="14"/>
      <c r="AU5730" s="14"/>
      <c r="AV5730" s="14"/>
      <c r="AW5730" s="15">
        <f t="shared" si="931"/>
        <v>300</v>
      </c>
      <c r="AX5730" s="16"/>
    </row>
    <row r="5731" spans="2:51" x14ac:dyDescent="0.2">
      <c r="B5731" s="7"/>
      <c r="C5731" s="8">
        <v>15895</v>
      </c>
      <c r="D5731" s="9" t="s">
        <v>183</v>
      </c>
      <c r="E5731" s="10" t="str">
        <f t="shared" si="926"/>
        <v>Rancho La Cuchilla No. 54</v>
      </c>
      <c r="F5731" s="10" t="str">
        <f t="shared" si="927"/>
        <v>Mendoza León</v>
      </c>
      <c r="G5731" s="8">
        <v>1</v>
      </c>
      <c r="H5731" s="11">
        <v>400</v>
      </c>
      <c r="I5731" s="12">
        <v>43135</v>
      </c>
      <c r="J5731" s="35">
        <f t="shared" si="928"/>
        <v>0</v>
      </c>
      <c r="K5731" s="36"/>
      <c r="L5731" s="36"/>
      <c r="M5731" s="36"/>
      <c r="N5731" s="36"/>
      <c r="O5731" s="36"/>
      <c r="P5731" s="36"/>
      <c r="Q5731" s="36"/>
      <c r="R5731" s="36"/>
      <c r="S5731" s="36"/>
      <c r="T5731" s="36"/>
      <c r="U5731" s="36"/>
      <c r="V5731" s="36"/>
      <c r="W5731" s="15">
        <f t="shared" si="929"/>
        <v>0</v>
      </c>
      <c r="X5731" s="36"/>
      <c r="Y5731" s="36"/>
      <c r="Z5731" s="36"/>
      <c r="AA5731" s="36"/>
      <c r="AB5731" s="36"/>
      <c r="AC5731" s="36"/>
      <c r="AD5731" s="36"/>
      <c r="AE5731" s="36"/>
      <c r="AF5731" s="36"/>
      <c r="AG5731" s="36"/>
      <c r="AH5731" s="36"/>
      <c r="AI5731" s="36">
        <v>400</v>
      </c>
      <c r="AJ5731" s="15">
        <f t="shared" si="930"/>
        <v>400</v>
      </c>
      <c r="AK5731" s="14"/>
      <c r="AL5731" s="14"/>
      <c r="AM5731" s="14"/>
      <c r="AN5731" s="14"/>
      <c r="AO5731" s="14"/>
      <c r="AP5731" s="14"/>
      <c r="AQ5731" s="14"/>
      <c r="AR5731" s="14"/>
      <c r="AS5731" s="14"/>
      <c r="AT5731" s="14"/>
      <c r="AU5731" s="14"/>
      <c r="AV5731" s="14"/>
      <c r="AW5731" s="15">
        <f t="shared" si="931"/>
        <v>0</v>
      </c>
      <c r="AX5731" s="16"/>
    </row>
    <row r="5732" spans="2:51" x14ac:dyDescent="0.2">
      <c r="B5732" s="7"/>
      <c r="C5732" s="8">
        <v>15896</v>
      </c>
      <c r="D5732" s="9" t="s">
        <v>620</v>
      </c>
      <c r="E5732" s="10" t="str">
        <f t="shared" si="926"/>
        <v>Rancho La Cuchilla No. 32</v>
      </c>
      <c r="F5732" s="10" t="str">
        <f t="shared" si="927"/>
        <v>Hernández</v>
      </c>
      <c r="G5732" s="8">
        <v>3</v>
      </c>
      <c r="H5732" s="11">
        <v>200</v>
      </c>
      <c r="I5732" s="12">
        <v>43135</v>
      </c>
      <c r="J5732" s="35">
        <f t="shared" si="928"/>
        <v>0</v>
      </c>
      <c r="K5732" s="36"/>
      <c r="L5732" s="36"/>
      <c r="M5732" s="36"/>
      <c r="N5732" s="36"/>
      <c r="O5732" s="36"/>
      <c r="P5732" s="36"/>
      <c r="Q5732" s="36"/>
      <c r="R5732" s="36"/>
      <c r="S5732" s="36"/>
      <c r="T5732" s="36"/>
      <c r="U5732" s="36"/>
      <c r="V5732" s="36"/>
      <c r="W5732" s="15">
        <f t="shared" si="929"/>
        <v>0</v>
      </c>
      <c r="X5732" s="36"/>
      <c r="Y5732" s="36"/>
      <c r="Z5732" s="36"/>
      <c r="AA5732" s="36"/>
      <c r="AB5732" s="36"/>
      <c r="AC5732" s="36"/>
      <c r="AD5732" s="36"/>
      <c r="AE5732" s="36"/>
      <c r="AF5732" s="36"/>
      <c r="AG5732" s="36"/>
      <c r="AH5732" s="36"/>
      <c r="AI5732" s="36"/>
      <c r="AJ5732" s="15">
        <f t="shared" si="930"/>
        <v>0</v>
      </c>
      <c r="AK5732" s="14"/>
      <c r="AL5732" s="14"/>
      <c r="AM5732" s="14"/>
      <c r="AN5732" s="14"/>
      <c r="AO5732" s="14"/>
      <c r="AP5732" s="14"/>
      <c r="AQ5732" s="14"/>
      <c r="AR5732" s="14"/>
      <c r="AS5732" s="14"/>
      <c r="AT5732" s="14"/>
      <c r="AU5732" s="14"/>
      <c r="AV5732" s="14"/>
      <c r="AW5732" s="15">
        <f t="shared" si="931"/>
        <v>0</v>
      </c>
      <c r="AX5732" s="16"/>
    </row>
    <row r="5733" spans="2:51" x14ac:dyDescent="0.2">
      <c r="B5733" s="7"/>
      <c r="C5733" s="8">
        <v>15897</v>
      </c>
      <c r="D5733" s="9" t="s">
        <v>455</v>
      </c>
      <c r="E5733" s="10" t="str">
        <f t="shared" si="926"/>
        <v>Rancho Zinamba No. 38</v>
      </c>
      <c r="F5733" s="10" t="str">
        <f t="shared" si="927"/>
        <v>Ramírez Díaz</v>
      </c>
      <c r="G5733" s="8">
        <v>1</v>
      </c>
      <c r="H5733" s="11">
        <v>400</v>
      </c>
      <c r="I5733" s="12">
        <v>43135</v>
      </c>
      <c r="J5733" s="35">
        <f t="shared" si="928"/>
        <v>0</v>
      </c>
      <c r="K5733" s="36"/>
      <c r="L5733" s="36"/>
      <c r="M5733" s="36"/>
      <c r="N5733" s="36"/>
      <c r="O5733" s="36"/>
      <c r="P5733" s="36"/>
      <c r="Q5733" s="36"/>
      <c r="R5733" s="36"/>
      <c r="S5733" s="36"/>
      <c r="T5733" s="36"/>
      <c r="U5733" s="36"/>
      <c r="V5733" s="36"/>
      <c r="W5733" s="15">
        <f t="shared" si="929"/>
        <v>0</v>
      </c>
      <c r="X5733" s="36"/>
      <c r="Y5733" s="36"/>
      <c r="Z5733" s="36"/>
      <c r="AA5733" s="36"/>
      <c r="AB5733" s="36"/>
      <c r="AC5733" s="36"/>
      <c r="AD5733" s="36"/>
      <c r="AE5733" s="36"/>
      <c r="AF5733" s="36"/>
      <c r="AG5733" s="36"/>
      <c r="AH5733" s="36"/>
      <c r="AI5733" s="36"/>
      <c r="AJ5733" s="15">
        <f t="shared" si="930"/>
        <v>0</v>
      </c>
      <c r="AK5733" s="14"/>
      <c r="AL5733" s="14">
        <v>400</v>
      </c>
      <c r="AM5733" s="14"/>
      <c r="AN5733" s="14"/>
      <c r="AO5733" s="14"/>
      <c r="AP5733" s="14"/>
      <c r="AQ5733" s="14"/>
      <c r="AR5733" s="14"/>
      <c r="AS5733" s="14"/>
      <c r="AT5733" s="14"/>
      <c r="AU5733" s="14"/>
      <c r="AV5733" s="14"/>
      <c r="AW5733" s="15">
        <f t="shared" si="931"/>
        <v>400</v>
      </c>
      <c r="AX5733" s="16"/>
    </row>
    <row r="5734" spans="2:51" x14ac:dyDescent="0.2">
      <c r="B5734" s="7"/>
      <c r="C5734" s="8">
        <v>15898</v>
      </c>
      <c r="D5734" s="9" t="s">
        <v>622</v>
      </c>
      <c r="E5734" s="10" t="str">
        <f t="shared" si="926"/>
        <v>Rancho Recoveco No. 175</v>
      </c>
      <c r="F5734" s="10" t="str">
        <f t="shared" si="927"/>
        <v>Ramírez</v>
      </c>
      <c r="G5734" s="8">
        <v>1</v>
      </c>
      <c r="H5734" s="11">
        <v>2400</v>
      </c>
      <c r="I5734" s="12">
        <v>43135</v>
      </c>
      <c r="J5734" s="35">
        <f t="shared" si="928"/>
        <v>0</v>
      </c>
      <c r="K5734" s="36"/>
      <c r="L5734" s="36"/>
      <c r="M5734" s="36"/>
      <c r="N5734" s="36"/>
      <c r="O5734" s="36"/>
      <c r="P5734" s="36"/>
      <c r="Q5734" s="36"/>
      <c r="R5734" s="36"/>
      <c r="S5734" s="36"/>
      <c r="T5734" s="36"/>
      <c r="U5734" s="36"/>
      <c r="V5734" s="36"/>
      <c r="W5734" s="15">
        <f t="shared" si="929"/>
        <v>0</v>
      </c>
      <c r="X5734" s="36"/>
      <c r="Y5734" s="36"/>
      <c r="Z5734" s="36"/>
      <c r="AA5734" s="36"/>
      <c r="AB5734" s="36"/>
      <c r="AC5734" s="36"/>
      <c r="AD5734" s="36"/>
      <c r="AE5734" s="36">
        <v>400</v>
      </c>
      <c r="AF5734" s="36">
        <v>400</v>
      </c>
      <c r="AG5734" s="36">
        <v>400</v>
      </c>
      <c r="AH5734" s="36">
        <v>400</v>
      </c>
      <c r="AI5734" s="36">
        <v>400</v>
      </c>
      <c r="AJ5734" s="15">
        <f t="shared" si="930"/>
        <v>2000</v>
      </c>
      <c r="AK5734" s="14">
        <v>400</v>
      </c>
      <c r="AL5734" s="14"/>
      <c r="AM5734" s="14"/>
      <c r="AN5734" s="14"/>
      <c r="AO5734" s="14"/>
      <c r="AP5734" s="14"/>
      <c r="AQ5734" s="14"/>
      <c r="AR5734" s="14"/>
      <c r="AS5734" s="14"/>
      <c r="AT5734" s="14"/>
      <c r="AU5734" s="14"/>
      <c r="AV5734" s="14"/>
      <c r="AW5734" s="15">
        <f t="shared" si="931"/>
        <v>400</v>
      </c>
      <c r="AX5734" s="16"/>
    </row>
    <row r="5735" spans="2:51" x14ac:dyDescent="0.2">
      <c r="B5735" s="7"/>
      <c r="C5735" s="8">
        <v>15899</v>
      </c>
      <c r="D5735" s="9" t="s">
        <v>262</v>
      </c>
      <c r="E5735" s="10" t="str">
        <f t="shared" ref="E5735:E5745" si="932">IF(D5735=0,"",VLOOKUP(D5735,BASE,2,FALSE))</f>
        <v>Rancho Recoveco No. 1</v>
      </c>
      <c r="F5735" s="10" t="str">
        <f t="shared" ref="F5735:F5745" si="933">IF(D5735=0,"",VLOOKUP(D5735,BASE,3,FALSE))</f>
        <v>Díaz</v>
      </c>
      <c r="G5735" s="8">
        <v>1</v>
      </c>
      <c r="H5735" s="11">
        <v>300</v>
      </c>
      <c r="I5735" s="12">
        <v>43135</v>
      </c>
      <c r="J5735" s="35">
        <f t="shared" ref="J5735:J5745" si="934">IF(G5735=1,SUM(W5735,AJ5735,AW5735,-H5735),0)</f>
        <v>0</v>
      </c>
      <c r="K5735" s="36"/>
      <c r="L5735" s="36"/>
      <c r="M5735" s="36"/>
      <c r="N5735" s="36"/>
      <c r="O5735" s="36"/>
      <c r="P5735" s="36"/>
      <c r="Q5735" s="36"/>
      <c r="R5735" s="36"/>
      <c r="S5735" s="36"/>
      <c r="T5735" s="36"/>
      <c r="U5735" s="36"/>
      <c r="V5735" s="36"/>
      <c r="W5735" s="15">
        <f t="shared" ref="W5735:W5745" si="935">SUM(K5735:V5735)</f>
        <v>0</v>
      </c>
      <c r="X5735" s="36"/>
      <c r="Y5735" s="36"/>
      <c r="Z5735" s="36"/>
      <c r="AA5735" s="36"/>
      <c r="AB5735" s="36"/>
      <c r="AC5735" s="36"/>
      <c r="AD5735" s="36"/>
      <c r="AE5735" s="36"/>
      <c r="AF5735" s="36"/>
      <c r="AG5735" s="36"/>
      <c r="AH5735" s="36"/>
      <c r="AI5735" s="36"/>
      <c r="AJ5735" s="15">
        <f t="shared" ref="AJ5735:AJ5745" si="936">SUM(X5735:AI5735)</f>
        <v>0</v>
      </c>
      <c r="AK5735" s="14"/>
      <c r="AL5735" s="14">
        <v>300</v>
      </c>
      <c r="AM5735" s="14"/>
      <c r="AN5735" s="14"/>
      <c r="AO5735" s="14"/>
      <c r="AP5735" s="14"/>
      <c r="AQ5735" s="14"/>
      <c r="AR5735" s="14"/>
      <c r="AS5735" s="14"/>
      <c r="AT5735" s="14"/>
      <c r="AU5735" s="14"/>
      <c r="AV5735" s="14"/>
      <c r="AW5735" s="15">
        <f t="shared" ref="AW5735:AW5745" si="937">SUM(AK5735:AV5735)</f>
        <v>300</v>
      </c>
      <c r="AX5735" s="16"/>
    </row>
    <row r="5736" spans="2:51" x14ac:dyDescent="0.2">
      <c r="B5736" s="7"/>
      <c r="C5736" s="8">
        <v>15900</v>
      </c>
      <c r="D5736" s="9" t="s">
        <v>189</v>
      </c>
      <c r="E5736" s="10" t="str">
        <f t="shared" si="932"/>
        <v>Rancho La Cuchilla No. 42</v>
      </c>
      <c r="F5736" s="10" t="str">
        <f t="shared" si="933"/>
        <v>Mac Kinney</v>
      </c>
      <c r="G5736" s="8">
        <v>1</v>
      </c>
      <c r="H5736" s="11">
        <v>400</v>
      </c>
      <c r="I5736" s="12">
        <v>43135</v>
      </c>
      <c r="J5736" s="35">
        <f t="shared" si="934"/>
        <v>0</v>
      </c>
      <c r="K5736" s="36"/>
      <c r="L5736" s="36"/>
      <c r="M5736" s="36"/>
      <c r="N5736" s="36"/>
      <c r="O5736" s="36"/>
      <c r="P5736" s="36"/>
      <c r="Q5736" s="36"/>
      <c r="R5736" s="36"/>
      <c r="S5736" s="36"/>
      <c r="T5736" s="36"/>
      <c r="U5736" s="36"/>
      <c r="V5736" s="36"/>
      <c r="W5736" s="15">
        <f t="shared" si="935"/>
        <v>0</v>
      </c>
      <c r="X5736" s="36"/>
      <c r="Y5736" s="36"/>
      <c r="Z5736" s="36"/>
      <c r="AA5736" s="36"/>
      <c r="AB5736" s="36"/>
      <c r="AC5736" s="36"/>
      <c r="AD5736" s="36"/>
      <c r="AE5736" s="36"/>
      <c r="AF5736" s="36"/>
      <c r="AG5736" s="36"/>
      <c r="AH5736" s="36"/>
      <c r="AI5736" s="36"/>
      <c r="AJ5736" s="15">
        <f t="shared" si="936"/>
        <v>0</v>
      </c>
      <c r="AK5736" s="14">
        <v>400</v>
      </c>
      <c r="AL5736" s="14"/>
      <c r="AM5736" s="14"/>
      <c r="AN5736" s="14"/>
      <c r="AO5736" s="14"/>
      <c r="AP5736" s="14"/>
      <c r="AQ5736" s="14"/>
      <c r="AR5736" s="14"/>
      <c r="AS5736" s="14"/>
      <c r="AT5736" s="14"/>
      <c r="AU5736" s="14"/>
      <c r="AV5736" s="14"/>
      <c r="AW5736" s="15">
        <f t="shared" si="937"/>
        <v>400</v>
      </c>
      <c r="AX5736" s="316">
        <f>SUM(H5693:H5736)</f>
        <v>19975</v>
      </c>
      <c r="AY5736" s="112">
        <f>SUM(H5693:H5736)</f>
        <v>19975</v>
      </c>
    </row>
    <row r="5737" spans="2:51" x14ac:dyDescent="0.2">
      <c r="B5737" s="7"/>
      <c r="C5737" s="8">
        <v>15901</v>
      </c>
      <c r="D5737" s="9" t="s">
        <v>410</v>
      </c>
      <c r="E5737" s="10" t="str">
        <f t="shared" si="932"/>
        <v>Rancho Upácuaro No. 7</v>
      </c>
      <c r="F5737" s="10" t="str">
        <f t="shared" si="933"/>
        <v xml:space="preserve">Troncoso </v>
      </c>
      <c r="G5737" s="8">
        <v>5</v>
      </c>
      <c r="H5737" s="315">
        <v>50</v>
      </c>
      <c r="I5737" s="12">
        <v>43138</v>
      </c>
      <c r="J5737" s="35">
        <f t="shared" si="934"/>
        <v>0</v>
      </c>
      <c r="K5737" s="36"/>
      <c r="L5737" s="36"/>
      <c r="M5737" s="36"/>
      <c r="N5737" s="36"/>
      <c r="O5737" s="36"/>
      <c r="P5737" s="36"/>
      <c r="Q5737" s="36"/>
      <c r="R5737" s="36"/>
      <c r="S5737" s="36"/>
      <c r="T5737" s="36"/>
      <c r="U5737" s="36"/>
      <c r="V5737" s="36"/>
      <c r="W5737" s="15">
        <f t="shared" si="935"/>
        <v>0</v>
      </c>
      <c r="X5737" s="36"/>
      <c r="Y5737" s="36"/>
      <c r="Z5737" s="36"/>
      <c r="AA5737" s="36"/>
      <c r="AB5737" s="36"/>
      <c r="AC5737" s="36"/>
      <c r="AD5737" s="36"/>
      <c r="AE5737" s="36"/>
      <c r="AF5737" s="36"/>
      <c r="AG5737" s="36"/>
      <c r="AH5737" s="36"/>
      <c r="AI5737" s="36"/>
      <c r="AJ5737" s="15">
        <f t="shared" si="936"/>
        <v>0</v>
      </c>
      <c r="AK5737" s="14"/>
      <c r="AL5737" s="14"/>
      <c r="AM5737" s="14"/>
      <c r="AN5737" s="14"/>
      <c r="AO5737" s="14"/>
      <c r="AP5737" s="14"/>
      <c r="AQ5737" s="14"/>
      <c r="AR5737" s="14"/>
      <c r="AS5737" s="14"/>
      <c r="AT5737" s="14"/>
      <c r="AU5737" s="14"/>
      <c r="AV5737" s="14"/>
      <c r="AW5737" s="15">
        <f t="shared" si="937"/>
        <v>0</v>
      </c>
      <c r="AX5737" s="16"/>
    </row>
    <row r="5738" spans="2:51" x14ac:dyDescent="0.2">
      <c r="B5738" s="7"/>
      <c r="C5738" s="8">
        <v>15902</v>
      </c>
      <c r="D5738" s="9" t="s">
        <v>205</v>
      </c>
      <c r="E5738" s="10" t="str">
        <f t="shared" si="932"/>
        <v>Rancho Landero No. 1, A</v>
      </c>
      <c r="F5738" s="10" t="str">
        <f t="shared" si="933"/>
        <v>Ebysos</v>
      </c>
      <c r="G5738" s="8">
        <v>1</v>
      </c>
      <c r="H5738" s="11">
        <v>600</v>
      </c>
      <c r="I5738" s="12">
        <v>43138</v>
      </c>
      <c r="J5738" s="35">
        <f t="shared" si="934"/>
        <v>0</v>
      </c>
      <c r="K5738" s="36"/>
      <c r="L5738" s="36"/>
      <c r="M5738" s="36"/>
      <c r="N5738" s="36"/>
      <c r="O5738" s="36"/>
      <c r="P5738" s="36"/>
      <c r="Q5738" s="36"/>
      <c r="R5738" s="36"/>
      <c r="S5738" s="36"/>
      <c r="T5738" s="36"/>
      <c r="U5738" s="36"/>
      <c r="V5738" s="36"/>
      <c r="W5738" s="15">
        <f t="shared" si="935"/>
        <v>0</v>
      </c>
      <c r="X5738" s="36"/>
      <c r="Y5738" s="36"/>
      <c r="Z5738" s="36"/>
      <c r="AA5738" s="36"/>
      <c r="AB5738" s="36"/>
      <c r="AC5738" s="36"/>
      <c r="AD5738" s="36"/>
      <c r="AE5738" s="36"/>
      <c r="AF5738" s="36"/>
      <c r="AG5738" s="36"/>
      <c r="AH5738" s="36"/>
      <c r="AI5738" s="36"/>
      <c r="AJ5738" s="15">
        <f t="shared" si="936"/>
        <v>0</v>
      </c>
      <c r="AK5738" s="14">
        <v>600</v>
      </c>
      <c r="AL5738" s="14"/>
      <c r="AM5738" s="14"/>
      <c r="AN5738" s="14"/>
      <c r="AO5738" s="14"/>
      <c r="AP5738" s="14"/>
      <c r="AQ5738" s="14"/>
      <c r="AR5738" s="14"/>
      <c r="AS5738" s="14"/>
      <c r="AT5738" s="14"/>
      <c r="AU5738" s="14"/>
      <c r="AV5738" s="14"/>
      <c r="AW5738" s="15">
        <f t="shared" si="937"/>
        <v>600</v>
      </c>
      <c r="AX5738" s="16"/>
    </row>
    <row r="5739" spans="2:51" x14ac:dyDescent="0.2">
      <c r="B5739" s="7"/>
      <c r="C5739" s="8">
        <v>15903</v>
      </c>
      <c r="D5739" s="9" t="s">
        <v>1340</v>
      </c>
      <c r="E5739" s="10" t="str">
        <f t="shared" si="932"/>
        <v>Rancho Estanzuela No. 73</v>
      </c>
      <c r="F5739" s="10" t="str">
        <f t="shared" si="933"/>
        <v>Salcedo García</v>
      </c>
      <c r="G5739" s="8">
        <v>1</v>
      </c>
      <c r="H5739" s="11">
        <v>800</v>
      </c>
      <c r="I5739" s="12">
        <v>43138</v>
      </c>
      <c r="J5739" s="35">
        <f t="shared" si="934"/>
        <v>0</v>
      </c>
      <c r="K5739" s="36"/>
      <c r="L5739" s="36"/>
      <c r="M5739" s="36"/>
      <c r="N5739" s="36"/>
      <c r="O5739" s="36"/>
      <c r="P5739" s="36"/>
      <c r="Q5739" s="36"/>
      <c r="R5739" s="36"/>
      <c r="S5739" s="36"/>
      <c r="T5739" s="36"/>
      <c r="U5739" s="36"/>
      <c r="V5739" s="36"/>
      <c r="W5739" s="15">
        <f t="shared" si="935"/>
        <v>0</v>
      </c>
      <c r="X5739" s="36"/>
      <c r="Y5739" s="36"/>
      <c r="Z5739" s="36"/>
      <c r="AA5739" s="36"/>
      <c r="AB5739" s="36"/>
      <c r="AC5739" s="36"/>
      <c r="AD5739" s="36"/>
      <c r="AE5739" s="36"/>
      <c r="AF5739" s="36"/>
      <c r="AG5739" s="36"/>
      <c r="AH5739" s="36">
        <v>400</v>
      </c>
      <c r="AI5739" s="36">
        <v>400</v>
      </c>
      <c r="AJ5739" s="15">
        <f t="shared" si="936"/>
        <v>800</v>
      </c>
      <c r="AK5739" s="14"/>
      <c r="AL5739" s="14"/>
      <c r="AM5739" s="14"/>
      <c r="AN5739" s="14"/>
      <c r="AO5739" s="14"/>
      <c r="AP5739" s="14"/>
      <c r="AQ5739" s="14"/>
      <c r="AR5739" s="14"/>
      <c r="AS5739" s="14"/>
      <c r="AT5739" s="14"/>
      <c r="AU5739" s="14"/>
      <c r="AV5739" s="14"/>
      <c r="AW5739" s="15">
        <f t="shared" si="937"/>
        <v>0</v>
      </c>
      <c r="AX5739" s="16"/>
    </row>
    <row r="5740" spans="2:51" x14ac:dyDescent="0.2">
      <c r="B5740" s="7"/>
      <c r="C5740" s="8">
        <v>15904</v>
      </c>
      <c r="D5740" s="9" t="s">
        <v>1112</v>
      </c>
      <c r="E5740" s="10" t="str">
        <f t="shared" si="932"/>
        <v>Rancho La Cuchilla No. 27</v>
      </c>
      <c r="F5740" s="10" t="str">
        <f t="shared" si="933"/>
        <v>Montoya</v>
      </c>
      <c r="G5740" s="8">
        <v>5</v>
      </c>
      <c r="H5740" s="11">
        <v>100</v>
      </c>
      <c r="I5740" s="12">
        <v>43138</v>
      </c>
      <c r="J5740" s="35">
        <f t="shared" si="934"/>
        <v>0</v>
      </c>
      <c r="K5740" s="36"/>
      <c r="L5740" s="36"/>
      <c r="M5740" s="36"/>
      <c r="N5740" s="36"/>
      <c r="O5740" s="36"/>
      <c r="P5740" s="36"/>
      <c r="Q5740" s="36"/>
      <c r="R5740" s="36"/>
      <c r="S5740" s="36"/>
      <c r="T5740" s="36"/>
      <c r="U5740" s="36"/>
      <c r="V5740" s="36"/>
      <c r="W5740" s="15">
        <f t="shared" si="935"/>
        <v>0</v>
      </c>
      <c r="X5740" s="36"/>
      <c r="Y5740" s="36"/>
      <c r="Z5740" s="36"/>
      <c r="AA5740" s="36"/>
      <c r="AB5740" s="36"/>
      <c r="AC5740" s="36"/>
      <c r="AD5740" s="36"/>
      <c r="AE5740" s="36"/>
      <c r="AF5740" s="36"/>
      <c r="AG5740" s="36"/>
      <c r="AH5740" s="36"/>
      <c r="AI5740" s="36"/>
      <c r="AJ5740" s="15">
        <f t="shared" si="936"/>
        <v>0</v>
      </c>
      <c r="AK5740" s="14"/>
      <c r="AL5740" s="14"/>
      <c r="AM5740" s="14"/>
      <c r="AN5740" s="14"/>
      <c r="AO5740" s="14"/>
      <c r="AP5740" s="14"/>
      <c r="AQ5740" s="14"/>
      <c r="AR5740" s="14"/>
      <c r="AS5740" s="14"/>
      <c r="AT5740" s="14"/>
      <c r="AU5740" s="14"/>
      <c r="AV5740" s="14"/>
      <c r="AW5740" s="15">
        <f t="shared" si="937"/>
        <v>0</v>
      </c>
      <c r="AX5740" s="16"/>
    </row>
    <row r="5741" spans="2:51" x14ac:dyDescent="0.2">
      <c r="B5741" s="7" t="s">
        <v>4983</v>
      </c>
      <c r="C5741" s="8">
        <v>15905</v>
      </c>
      <c r="D5741" s="9" t="s">
        <v>211</v>
      </c>
      <c r="E5741" s="10" t="str">
        <f t="shared" si="932"/>
        <v>Rancho Upácuaro No. 46</v>
      </c>
      <c r="F5741" s="10" t="str">
        <f t="shared" si="933"/>
        <v>Fuentes</v>
      </c>
      <c r="G5741" s="8">
        <v>1</v>
      </c>
      <c r="H5741" s="11">
        <v>300</v>
      </c>
      <c r="I5741" s="12">
        <v>43138</v>
      </c>
      <c r="J5741" s="35">
        <f t="shared" si="934"/>
        <v>0</v>
      </c>
      <c r="K5741" s="36"/>
      <c r="L5741" s="36"/>
      <c r="M5741" s="36"/>
      <c r="N5741" s="36"/>
      <c r="O5741" s="36"/>
      <c r="P5741" s="36"/>
      <c r="Q5741" s="36"/>
      <c r="R5741" s="36"/>
      <c r="S5741" s="36"/>
      <c r="T5741" s="36"/>
      <c r="U5741" s="36"/>
      <c r="V5741" s="36"/>
      <c r="W5741" s="15">
        <f t="shared" si="935"/>
        <v>0</v>
      </c>
      <c r="X5741" s="36"/>
      <c r="Y5741" s="36"/>
      <c r="Z5741" s="36"/>
      <c r="AA5741" s="36"/>
      <c r="AB5741" s="36"/>
      <c r="AC5741" s="36"/>
      <c r="AD5741" s="36"/>
      <c r="AE5741" s="36"/>
      <c r="AF5741" s="36"/>
      <c r="AG5741" s="36"/>
      <c r="AH5741" s="36"/>
      <c r="AI5741" s="36"/>
      <c r="AJ5741" s="15">
        <f t="shared" si="936"/>
        <v>0</v>
      </c>
      <c r="AK5741" s="14"/>
      <c r="AL5741" s="14">
        <v>300</v>
      </c>
      <c r="AM5741" s="14"/>
      <c r="AN5741" s="14"/>
      <c r="AO5741" s="14"/>
      <c r="AP5741" s="14"/>
      <c r="AQ5741" s="14"/>
      <c r="AR5741" s="14"/>
      <c r="AS5741" s="14"/>
      <c r="AT5741" s="14"/>
      <c r="AU5741" s="14"/>
      <c r="AV5741" s="14"/>
      <c r="AW5741" s="15">
        <f t="shared" si="937"/>
        <v>300</v>
      </c>
      <c r="AX5741" s="16"/>
    </row>
    <row r="5742" spans="2:51" x14ac:dyDescent="0.2">
      <c r="B5742" s="7"/>
      <c r="C5742" s="8">
        <v>15906</v>
      </c>
      <c r="D5742" s="9" t="s">
        <v>960</v>
      </c>
      <c r="E5742" s="10" t="str">
        <f t="shared" si="932"/>
        <v>Rancho Landero No. 28</v>
      </c>
      <c r="F5742" s="10" t="str">
        <f t="shared" si="933"/>
        <v>Hernàndez Orteales</v>
      </c>
      <c r="G5742" s="8">
        <v>5</v>
      </c>
      <c r="H5742" s="11">
        <v>150</v>
      </c>
      <c r="I5742" s="12">
        <v>43138</v>
      </c>
      <c r="J5742" s="35">
        <f t="shared" si="934"/>
        <v>0</v>
      </c>
      <c r="K5742" s="36"/>
      <c r="L5742" s="36"/>
      <c r="M5742" s="36"/>
      <c r="N5742" s="36"/>
      <c r="O5742" s="36"/>
      <c r="P5742" s="36"/>
      <c r="Q5742" s="36"/>
      <c r="R5742" s="36"/>
      <c r="S5742" s="36"/>
      <c r="T5742" s="36"/>
      <c r="U5742" s="36"/>
      <c r="V5742" s="36"/>
      <c r="W5742" s="15">
        <f t="shared" si="935"/>
        <v>0</v>
      </c>
      <c r="X5742" s="36"/>
      <c r="Y5742" s="36"/>
      <c r="Z5742" s="36"/>
      <c r="AA5742" s="36"/>
      <c r="AB5742" s="36"/>
      <c r="AC5742" s="36"/>
      <c r="AD5742" s="36"/>
      <c r="AE5742" s="36"/>
      <c r="AF5742" s="36"/>
      <c r="AG5742" s="36"/>
      <c r="AH5742" s="36"/>
      <c r="AI5742" s="36"/>
      <c r="AJ5742" s="15">
        <f t="shared" si="936"/>
        <v>0</v>
      </c>
      <c r="AK5742" s="14"/>
      <c r="AL5742" s="14"/>
      <c r="AM5742" s="14"/>
      <c r="AN5742" s="14"/>
      <c r="AO5742" s="14"/>
      <c r="AP5742" s="14"/>
      <c r="AQ5742" s="14"/>
      <c r="AR5742" s="14"/>
      <c r="AS5742" s="14"/>
      <c r="AT5742" s="14"/>
      <c r="AU5742" s="14"/>
      <c r="AV5742" s="14"/>
      <c r="AW5742" s="15">
        <f t="shared" si="937"/>
        <v>0</v>
      </c>
      <c r="AX5742" s="16"/>
    </row>
    <row r="5743" spans="2:51" x14ac:dyDescent="0.2">
      <c r="B5743" s="7"/>
      <c r="C5743" s="8">
        <v>15907</v>
      </c>
      <c r="D5743" s="9" t="s">
        <v>443</v>
      </c>
      <c r="E5743" s="10" t="str">
        <f t="shared" si="932"/>
        <v>Rancho Landero No. 11</v>
      </c>
      <c r="F5743" s="10" t="str">
        <f t="shared" si="933"/>
        <v>Reyes Robles</v>
      </c>
      <c r="G5743" s="8">
        <v>3</v>
      </c>
      <c r="H5743" s="11">
        <v>200</v>
      </c>
      <c r="I5743" s="12">
        <v>43139</v>
      </c>
      <c r="J5743" s="35">
        <f t="shared" si="934"/>
        <v>0</v>
      </c>
      <c r="K5743" s="36"/>
      <c r="L5743" s="36"/>
      <c r="M5743" s="36"/>
      <c r="N5743" s="36"/>
      <c r="O5743" s="36"/>
      <c r="P5743" s="36"/>
      <c r="Q5743" s="36"/>
      <c r="R5743" s="36"/>
      <c r="S5743" s="36"/>
      <c r="T5743" s="36"/>
      <c r="U5743" s="36"/>
      <c r="V5743" s="36"/>
      <c r="W5743" s="15">
        <f t="shared" si="935"/>
        <v>0</v>
      </c>
      <c r="X5743" s="36"/>
      <c r="Y5743" s="36"/>
      <c r="Z5743" s="36"/>
      <c r="AA5743" s="36"/>
      <c r="AB5743" s="36"/>
      <c r="AC5743" s="36"/>
      <c r="AD5743" s="36"/>
      <c r="AE5743" s="36"/>
      <c r="AF5743" s="36"/>
      <c r="AG5743" s="36"/>
      <c r="AH5743" s="36"/>
      <c r="AI5743" s="36"/>
      <c r="AJ5743" s="15">
        <f t="shared" si="936"/>
        <v>0</v>
      </c>
      <c r="AK5743" s="14"/>
      <c r="AL5743" s="14"/>
      <c r="AM5743" s="14"/>
      <c r="AN5743" s="14"/>
      <c r="AO5743" s="14"/>
      <c r="AP5743" s="14"/>
      <c r="AQ5743" s="14"/>
      <c r="AR5743" s="14"/>
      <c r="AS5743" s="14"/>
      <c r="AT5743" s="14"/>
      <c r="AU5743" s="14"/>
      <c r="AV5743" s="14"/>
      <c r="AW5743" s="15">
        <f t="shared" si="937"/>
        <v>0</v>
      </c>
      <c r="AX5743" s="16"/>
    </row>
    <row r="5744" spans="2:51" x14ac:dyDescent="0.2">
      <c r="B5744" s="7"/>
      <c r="C5744" s="8">
        <v>15907</v>
      </c>
      <c r="D5744" s="9" t="s">
        <v>443</v>
      </c>
      <c r="E5744" s="10" t="str">
        <f t="shared" si="932"/>
        <v>Rancho Landero No. 11</v>
      </c>
      <c r="F5744" s="10" t="str">
        <f t="shared" si="933"/>
        <v>Reyes Robles</v>
      </c>
      <c r="G5744" s="8">
        <v>4</v>
      </c>
      <c r="H5744" s="11">
        <v>200</v>
      </c>
      <c r="I5744" s="12">
        <v>43139</v>
      </c>
      <c r="J5744" s="35">
        <f t="shared" si="934"/>
        <v>0</v>
      </c>
      <c r="K5744" s="36"/>
      <c r="L5744" s="36"/>
      <c r="M5744" s="36"/>
      <c r="N5744" s="36"/>
      <c r="O5744" s="36"/>
      <c r="P5744" s="36"/>
      <c r="Q5744" s="36"/>
      <c r="R5744" s="36"/>
      <c r="S5744" s="36"/>
      <c r="T5744" s="36"/>
      <c r="U5744" s="36"/>
      <c r="V5744" s="36"/>
      <c r="W5744" s="15">
        <f t="shared" si="935"/>
        <v>0</v>
      </c>
      <c r="X5744" s="36"/>
      <c r="Y5744" s="36"/>
      <c r="Z5744" s="36"/>
      <c r="AA5744" s="36"/>
      <c r="AB5744" s="36"/>
      <c r="AC5744" s="36"/>
      <c r="AD5744" s="36"/>
      <c r="AE5744" s="36"/>
      <c r="AF5744" s="36"/>
      <c r="AG5744" s="36"/>
      <c r="AH5744" s="36"/>
      <c r="AI5744" s="36"/>
      <c r="AJ5744" s="15">
        <f t="shared" si="936"/>
        <v>0</v>
      </c>
      <c r="AK5744" s="14"/>
      <c r="AL5744" s="14"/>
      <c r="AM5744" s="14"/>
      <c r="AN5744" s="14"/>
      <c r="AO5744" s="14"/>
      <c r="AP5744" s="14"/>
      <c r="AQ5744" s="14"/>
      <c r="AR5744" s="14"/>
      <c r="AS5744" s="14"/>
      <c r="AT5744" s="14"/>
      <c r="AU5744" s="14"/>
      <c r="AV5744" s="14"/>
      <c r="AW5744" s="15">
        <f t="shared" si="937"/>
        <v>0</v>
      </c>
      <c r="AX5744" s="16" t="s">
        <v>4984</v>
      </c>
    </row>
    <row r="5745" spans="2:53" x14ac:dyDescent="0.2">
      <c r="B5745" s="7"/>
      <c r="C5745" s="8">
        <v>15907</v>
      </c>
      <c r="D5745" s="9" t="s">
        <v>443</v>
      </c>
      <c r="E5745" s="10" t="str">
        <f t="shared" si="932"/>
        <v>Rancho Landero No. 11</v>
      </c>
      <c r="F5745" s="10" t="str">
        <f t="shared" si="933"/>
        <v>Reyes Robles</v>
      </c>
      <c r="G5745" s="8">
        <v>5</v>
      </c>
      <c r="H5745" s="11">
        <v>50</v>
      </c>
      <c r="I5745" s="12">
        <v>43139</v>
      </c>
      <c r="J5745" s="35">
        <f t="shared" si="934"/>
        <v>0</v>
      </c>
      <c r="K5745" s="36"/>
      <c r="L5745" s="36"/>
      <c r="M5745" s="36"/>
      <c r="N5745" s="36"/>
      <c r="O5745" s="36"/>
      <c r="P5745" s="36"/>
      <c r="Q5745" s="36"/>
      <c r="R5745" s="36"/>
      <c r="S5745" s="36"/>
      <c r="T5745" s="36"/>
      <c r="U5745" s="36"/>
      <c r="V5745" s="36"/>
      <c r="W5745" s="15">
        <f t="shared" si="935"/>
        <v>0</v>
      </c>
      <c r="X5745" s="36"/>
      <c r="Y5745" s="36"/>
      <c r="Z5745" s="36"/>
      <c r="AA5745" s="36"/>
      <c r="AB5745" s="36"/>
      <c r="AC5745" s="36"/>
      <c r="AD5745" s="36"/>
      <c r="AE5745" s="36"/>
      <c r="AF5745" s="36"/>
      <c r="AG5745" s="36"/>
      <c r="AH5745" s="36"/>
      <c r="AI5745" s="36"/>
      <c r="AJ5745" s="15">
        <f t="shared" si="936"/>
        <v>0</v>
      </c>
      <c r="AK5745" s="14"/>
      <c r="AL5745" s="14"/>
      <c r="AM5745" s="14"/>
      <c r="AN5745" s="14"/>
      <c r="AO5745" s="14"/>
      <c r="AP5745" s="14"/>
      <c r="AQ5745" s="14"/>
      <c r="AR5745" s="14"/>
      <c r="AS5745" s="14"/>
      <c r="AT5745" s="14"/>
      <c r="AU5745" s="14"/>
      <c r="AV5745" s="14"/>
      <c r="AW5745" s="15">
        <f t="shared" si="937"/>
        <v>0</v>
      </c>
      <c r="AX5745" s="16"/>
    </row>
    <row r="5746" spans="2:53" x14ac:dyDescent="0.2">
      <c r="B5746" s="7"/>
      <c r="C5746" s="8">
        <v>15908</v>
      </c>
      <c r="D5746" s="9" t="s">
        <v>186</v>
      </c>
      <c r="E5746" s="10" t="str">
        <f t="shared" ref="E5746:E5755" si="938">IF(D5746=0,"",VLOOKUP(D5746,BASE,2,FALSE))</f>
        <v>Rancho Upácuaro No. 100</v>
      </c>
      <c r="F5746" s="10" t="str">
        <f t="shared" ref="F5746:F5755" si="939">IF(D5746=0,"",VLOOKUP(D5746,BASE,3,FALSE))</f>
        <v>Valdez</v>
      </c>
      <c r="G5746" s="8">
        <v>5</v>
      </c>
      <c r="H5746" s="11">
        <v>100</v>
      </c>
      <c r="I5746" s="12">
        <v>43139</v>
      </c>
      <c r="J5746" s="35">
        <f t="shared" ref="J5746:J5755" si="940">IF(G5746=1,SUM(W5746,AJ5746,AW5746,-H5746),0)</f>
        <v>0</v>
      </c>
      <c r="K5746" s="36"/>
      <c r="L5746" s="36"/>
      <c r="M5746" s="36"/>
      <c r="N5746" s="36"/>
      <c r="O5746" s="36"/>
      <c r="P5746" s="36"/>
      <c r="Q5746" s="36"/>
      <c r="R5746" s="36"/>
      <c r="S5746" s="36"/>
      <c r="T5746" s="36"/>
      <c r="U5746" s="36"/>
      <c r="V5746" s="36"/>
      <c r="W5746" s="15">
        <f t="shared" ref="W5746:W5755" si="941">SUM(K5746:V5746)</f>
        <v>0</v>
      </c>
      <c r="X5746" s="36"/>
      <c r="Y5746" s="36"/>
      <c r="Z5746" s="36"/>
      <c r="AA5746" s="36"/>
      <c r="AB5746" s="36"/>
      <c r="AC5746" s="36"/>
      <c r="AD5746" s="36"/>
      <c r="AE5746" s="36"/>
      <c r="AF5746" s="36"/>
      <c r="AG5746" s="36"/>
      <c r="AH5746" s="36"/>
      <c r="AI5746" s="36"/>
      <c r="AJ5746" s="15">
        <f t="shared" ref="AJ5746:AJ5755" si="942">SUM(X5746:AI5746)</f>
        <v>0</v>
      </c>
      <c r="AK5746" s="14"/>
      <c r="AL5746" s="14"/>
      <c r="AM5746" s="14"/>
      <c r="AN5746" s="14"/>
      <c r="AO5746" s="14"/>
      <c r="AP5746" s="14"/>
      <c r="AQ5746" s="14"/>
      <c r="AR5746" s="14"/>
      <c r="AS5746" s="14"/>
      <c r="AT5746" s="14"/>
      <c r="AU5746" s="14"/>
      <c r="AV5746" s="14"/>
      <c r="AW5746" s="15">
        <f t="shared" ref="AW5746:AW5755" si="943">SUM(AK5746:AV5746)</f>
        <v>0</v>
      </c>
      <c r="AX5746" s="16"/>
    </row>
    <row r="5747" spans="2:53" x14ac:dyDescent="0.2">
      <c r="B5747" s="7"/>
      <c r="C5747" s="8">
        <v>15909</v>
      </c>
      <c r="D5747" s="9" t="s">
        <v>202</v>
      </c>
      <c r="E5747" s="10" t="str">
        <f t="shared" si="938"/>
        <v>Rancho Estanzuela No. 25</v>
      </c>
      <c r="F5747" s="10" t="str">
        <f t="shared" si="939"/>
        <v>Contreras Figueroa</v>
      </c>
      <c r="G5747" s="8">
        <v>1</v>
      </c>
      <c r="H5747" s="11">
        <v>400</v>
      </c>
      <c r="I5747" s="12">
        <v>43139</v>
      </c>
      <c r="J5747" s="35">
        <f t="shared" si="940"/>
        <v>0</v>
      </c>
      <c r="K5747" s="36"/>
      <c r="L5747" s="36"/>
      <c r="M5747" s="36"/>
      <c r="N5747" s="36"/>
      <c r="O5747" s="36"/>
      <c r="P5747" s="36"/>
      <c r="Q5747" s="36"/>
      <c r="R5747" s="36"/>
      <c r="S5747" s="36"/>
      <c r="T5747" s="36"/>
      <c r="U5747" s="36"/>
      <c r="V5747" s="36"/>
      <c r="W5747" s="15">
        <f t="shared" si="941"/>
        <v>0</v>
      </c>
      <c r="X5747" s="36"/>
      <c r="Y5747" s="36"/>
      <c r="Z5747" s="36"/>
      <c r="AA5747" s="36"/>
      <c r="AB5747" s="36"/>
      <c r="AC5747" s="36"/>
      <c r="AD5747" s="36"/>
      <c r="AE5747" s="36"/>
      <c r="AF5747" s="36"/>
      <c r="AG5747" s="36"/>
      <c r="AH5747" s="36"/>
      <c r="AI5747" s="36"/>
      <c r="AJ5747" s="15">
        <f t="shared" si="942"/>
        <v>0</v>
      </c>
      <c r="AK5747" s="14"/>
      <c r="AL5747" s="14">
        <v>400</v>
      </c>
      <c r="AM5747" s="14"/>
      <c r="AN5747" s="14"/>
      <c r="AO5747" s="14"/>
      <c r="AP5747" s="14"/>
      <c r="AQ5747" s="14"/>
      <c r="AR5747" s="14"/>
      <c r="AS5747" s="14"/>
      <c r="AT5747" s="14"/>
      <c r="AU5747" s="14"/>
      <c r="AV5747" s="14"/>
      <c r="AW5747" s="15">
        <f t="shared" si="943"/>
        <v>400</v>
      </c>
      <c r="AX5747" s="16"/>
    </row>
    <row r="5748" spans="2:53" x14ac:dyDescent="0.2">
      <c r="B5748" s="7"/>
      <c r="C5748" s="8">
        <v>15910</v>
      </c>
      <c r="D5748" s="9" t="s">
        <v>834</v>
      </c>
      <c r="E5748" s="10" t="str">
        <f t="shared" si="938"/>
        <v>Rancho Upácuaro No. 110</v>
      </c>
      <c r="F5748" s="10" t="str">
        <f t="shared" si="939"/>
        <v>Ruiz Mijangos</v>
      </c>
      <c r="G5748" s="8">
        <v>1</v>
      </c>
      <c r="H5748" s="11">
        <v>600</v>
      </c>
      <c r="I5748" s="12">
        <v>43139</v>
      </c>
      <c r="J5748" s="35">
        <f t="shared" si="940"/>
        <v>0</v>
      </c>
      <c r="K5748" s="36"/>
      <c r="L5748" s="36"/>
      <c r="M5748" s="36"/>
      <c r="N5748" s="36"/>
      <c r="O5748" s="36"/>
      <c r="P5748" s="36"/>
      <c r="Q5748" s="36"/>
      <c r="R5748" s="36"/>
      <c r="S5748" s="36"/>
      <c r="T5748" s="36"/>
      <c r="U5748" s="36"/>
      <c r="V5748" s="36"/>
      <c r="W5748" s="15">
        <f t="shared" si="941"/>
        <v>0</v>
      </c>
      <c r="X5748" s="36"/>
      <c r="Y5748" s="36"/>
      <c r="Z5748" s="36"/>
      <c r="AA5748" s="36"/>
      <c r="AB5748" s="36"/>
      <c r="AC5748" s="36"/>
      <c r="AD5748" s="36"/>
      <c r="AE5748" s="36"/>
      <c r="AF5748" s="36"/>
      <c r="AG5748" s="36"/>
      <c r="AH5748" s="36"/>
      <c r="AI5748" s="36"/>
      <c r="AJ5748" s="15">
        <f t="shared" si="942"/>
        <v>0</v>
      </c>
      <c r="AK5748" s="14">
        <v>300</v>
      </c>
      <c r="AL5748" s="14">
        <v>300</v>
      </c>
      <c r="AM5748" s="14"/>
      <c r="AN5748" s="14"/>
      <c r="AO5748" s="14"/>
      <c r="AP5748" s="14"/>
      <c r="AQ5748" s="14"/>
      <c r="AR5748" s="14"/>
      <c r="AS5748" s="14"/>
      <c r="AT5748" s="14"/>
      <c r="AU5748" s="14"/>
      <c r="AV5748" s="14"/>
      <c r="AW5748" s="15">
        <f t="shared" si="943"/>
        <v>600</v>
      </c>
      <c r="AX5748" s="16"/>
    </row>
    <row r="5749" spans="2:53" x14ac:dyDescent="0.2">
      <c r="B5749" s="7"/>
      <c r="C5749" s="8">
        <v>15911</v>
      </c>
      <c r="D5749" s="9" t="s">
        <v>1142</v>
      </c>
      <c r="E5749" s="10" t="str">
        <f t="shared" si="938"/>
        <v>Rancho La Cuchilla No. 49</v>
      </c>
      <c r="F5749" s="10" t="str">
        <f t="shared" si="939"/>
        <v>Orozco Castelazo</v>
      </c>
      <c r="G5749" s="8">
        <v>1</v>
      </c>
      <c r="H5749" s="11">
        <v>1200</v>
      </c>
      <c r="I5749" s="12">
        <v>43140</v>
      </c>
      <c r="J5749" s="35">
        <f t="shared" si="940"/>
        <v>0</v>
      </c>
      <c r="K5749" s="36"/>
      <c r="L5749" s="36"/>
      <c r="M5749" s="36"/>
      <c r="N5749" s="36"/>
      <c r="O5749" s="36"/>
      <c r="P5749" s="36"/>
      <c r="Q5749" s="36"/>
      <c r="R5749" s="36"/>
      <c r="S5749" s="36"/>
      <c r="T5749" s="36"/>
      <c r="U5749" s="36"/>
      <c r="V5749" s="36"/>
      <c r="W5749" s="15">
        <f t="shared" si="941"/>
        <v>0</v>
      </c>
      <c r="X5749" s="36"/>
      <c r="Y5749" s="36"/>
      <c r="Z5749" s="36"/>
      <c r="AA5749" s="36"/>
      <c r="AB5749" s="36"/>
      <c r="AC5749" s="36"/>
      <c r="AD5749" s="36"/>
      <c r="AE5749" s="36">
        <v>400</v>
      </c>
      <c r="AF5749" s="36">
        <v>400</v>
      </c>
      <c r="AG5749" s="36">
        <v>400</v>
      </c>
      <c r="AH5749" s="36"/>
      <c r="AI5749" s="36"/>
      <c r="AJ5749" s="15">
        <f t="shared" si="942"/>
        <v>1200</v>
      </c>
      <c r="AK5749" s="14"/>
      <c r="AL5749" s="14"/>
      <c r="AM5749" s="14"/>
      <c r="AN5749" s="14"/>
      <c r="AO5749" s="14"/>
      <c r="AP5749" s="14"/>
      <c r="AQ5749" s="14"/>
      <c r="AR5749" s="14"/>
      <c r="AS5749" s="14"/>
      <c r="AT5749" s="14"/>
      <c r="AU5749" s="14"/>
      <c r="AV5749" s="14"/>
      <c r="AW5749" s="15">
        <f t="shared" si="943"/>
        <v>0</v>
      </c>
      <c r="AX5749" s="16"/>
    </row>
    <row r="5750" spans="2:53" x14ac:dyDescent="0.2">
      <c r="B5750" s="7"/>
      <c r="C5750" s="8">
        <v>15911</v>
      </c>
      <c r="D5750" s="9" t="s">
        <v>1142</v>
      </c>
      <c r="E5750" s="10" t="str">
        <f t="shared" si="938"/>
        <v>Rancho La Cuchilla No. 49</v>
      </c>
      <c r="F5750" s="10" t="str">
        <f t="shared" si="939"/>
        <v>Orozco Castelazo</v>
      </c>
      <c r="G5750" s="8">
        <v>5</v>
      </c>
      <c r="H5750" s="11">
        <v>200</v>
      </c>
      <c r="I5750" s="12">
        <v>43140</v>
      </c>
      <c r="J5750" s="35">
        <f t="shared" si="940"/>
        <v>0</v>
      </c>
      <c r="K5750" s="36"/>
      <c r="L5750" s="36"/>
      <c r="M5750" s="36"/>
      <c r="N5750" s="36"/>
      <c r="O5750" s="36"/>
      <c r="P5750" s="36"/>
      <c r="Q5750" s="36"/>
      <c r="R5750" s="36"/>
      <c r="S5750" s="36"/>
      <c r="T5750" s="36"/>
      <c r="U5750" s="36"/>
      <c r="V5750" s="36"/>
      <c r="W5750" s="15">
        <f t="shared" si="941"/>
        <v>0</v>
      </c>
      <c r="X5750" s="36"/>
      <c r="Y5750" s="36"/>
      <c r="Z5750" s="36"/>
      <c r="AA5750" s="36"/>
      <c r="AB5750" s="36"/>
      <c r="AC5750" s="36"/>
      <c r="AD5750" s="36"/>
      <c r="AE5750" s="36"/>
      <c r="AF5750" s="36"/>
      <c r="AG5750" s="36"/>
      <c r="AH5750" s="36"/>
      <c r="AI5750" s="36"/>
      <c r="AJ5750" s="15">
        <f t="shared" si="942"/>
        <v>0</v>
      </c>
      <c r="AK5750" s="14"/>
      <c r="AL5750" s="14"/>
      <c r="AM5750" s="14"/>
      <c r="AN5750" s="14"/>
      <c r="AO5750" s="14"/>
      <c r="AP5750" s="14"/>
      <c r="AQ5750" s="14"/>
      <c r="AR5750" s="14"/>
      <c r="AS5750" s="14"/>
      <c r="AT5750" s="14"/>
      <c r="AU5750" s="14"/>
      <c r="AV5750" s="14"/>
      <c r="AW5750" s="15">
        <f t="shared" si="943"/>
        <v>0</v>
      </c>
      <c r="AX5750" s="16"/>
    </row>
    <row r="5751" spans="2:53" x14ac:dyDescent="0.2">
      <c r="B5751" s="7"/>
      <c r="C5751" s="8">
        <v>15912</v>
      </c>
      <c r="D5751" s="9" t="s">
        <v>1014</v>
      </c>
      <c r="E5751" s="10" t="str">
        <f t="shared" si="938"/>
        <v>Rancho La Cuchilla No. 86</v>
      </c>
      <c r="F5751" s="10" t="str">
        <f t="shared" si="939"/>
        <v>Del Villar</v>
      </c>
      <c r="G5751" s="8">
        <v>1</v>
      </c>
      <c r="H5751" s="11">
        <v>2400</v>
      </c>
      <c r="I5751" s="12">
        <v>43140</v>
      </c>
      <c r="J5751" s="35">
        <f t="shared" si="940"/>
        <v>0</v>
      </c>
      <c r="K5751" s="36"/>
      <c r="L5751" s="36"/>
      <c r="M5751" s="36"/>
      <c r="N5751" s="36"/>
      <c r="O5751" s="36"/>
      <c r="P5751" s="36"/>
      <c r="Q5751" s="36"/>
      <c r="R5751" s="36"/>
      <c r="S5751" s="36"/>
      <c r="T5751" s="36"/>
      <c r="U5751" s="36"/>
      <c r="V5751" s="36"/>
      <c r="W5751" s="15">
        <f t="shared" si="941"/>
        <v>0</v>
      </c>
      <c r="X5751" s="36"/>
      <c r="Y5751" s="36"/>
      <c r="Z5751" s="36"/>
      <c r="AA5751" s="36"/>
      <c r="AB5751" s="36"/>
      <c r="AC5751" s="36"/>
      <c r="AD5751" s="36"/>
      <c r="AE5751" s="36"/>
      <c r="AF5751" s="36"/>
      <c r="AG5751" s="36"/>
      <c r="AH5751" s="36"/>
      <c r="AI5751" s="36"/>
      <c r="AJ5751" s="15">
        <f t="shared" si="942"/>
        <v>0</v>
      </c>
      <c r="AK5751" s="14">
        <v>400</v>
      </c>
      <c r="AL5751" s="14">
        <v>400</v>
      </c>
      <c r="AM5751" s="14">
        <v>400</v>
      </c>
      <c r="AN5751" s="14">
        <v>400</v>
      </c>
      <c r="AO5751" s="14">
        <v>400</v>
      </c>
      <c r="AP5751" s="14">
        <v>400</v>
      </c>
      <c r="AQ5751" s="14"/>
      <c r="AR5751" s="14"/>
      <c r="AS5751" s="14"/>
      <c r="AT5751" s="14"/>
      <c r="AU5751" s="14"/>
      <c r="AV5751" s="14"/>
      <c r="AW5751" s="15">
        <f t="shared" si="943"/>
        <v>2400</v>
      </c>
      <c r="AX5751" s="16"/>
    </row>
    <row r="5752" spans="2:53" x14ac:dyDescent="0.2">
      <c r="B5752" s="7"/>
      <c r="C5752" s="8">
        <v>15912</v>
      </c>
      <c r="D5752" s="9" t="s">
        <v>1014</v>
      </c>
      <c r="E5752" s="10" t="str">
        <f t="shared" si="938"/>
        <v>Rancho La Cuchilla No. 86</v>
      </c>
      <c r="F5752" s="10" t="str">
        <f t="shared" si="939"/>
        <v>Del Villar</v>
      </c>
      <c r="G5752" s="8">
        <v>5</v>
      </c>
      <c r="H5752" s="11">
        <v>200</v>
      </c>
      <c r="I5752" s="12">
        <v>43140</v>
      </c>
      <c r="J5752" s="35">
        <f t="shared" si="940"/>
        <v>0</v>
      </c>
      <c r="K5752" s="36"/>
      <c r="L5752" s="36"/>
      <c r="M5752" s="36"/>
      <c r="N5752" s="36"/>
      <c r="O5752" s="36"/>
      <c r="P5752" s="36"/>
      <c r="Q5752" s="36"/>
      <c r="R5752" s="36"/>
      <c r="S5752" s="36"/>
      <c r="T5752" s="36"/>
      <c r="U5752" s="36"/>
      <c r="V5752" s="36"/>
      <c r="W5752" s="15">
        <f t="shared" si="941"/>
        <v>0</v>
      </c>
      <c r="X5752" s="36"/>
      <c r="Y5752" s="36"/>
      <c r="Z5752" s="36"/>
      <c r="AA5752" s="36"/>
      <c r="AB5752" s="36"/>
      <c r="AC5752" s="36"/>
      <c r="AD5752" s="36"/>
      <c r="AE5752" s="36"/>
      <c r="AF5752" s="36"/>
      <c r="AG5752" s="36"/>
      <c r="AH5752" s="36"/>
      <c r="AI5752" s="36"/>
      <c r="AJ5752" s="15">
        <f t="shared" si="942"/>
        <v>0</v>
      </c>
      <c r="AK5752" s="14"/>
      <c r="AL5752" s="14"/>
      <c r="AM5752" s="14"/>
      <c r="AN5752" s="14"/>
      <c r="AO5752" s="14"/>
      <c r="AP5752" s="14"/>
      <c r="AQ5752" s="14"/>
      <c r="AR5752" s="14"/>
      <c r="AS5752" s="14"/>
      <c r="AT5752" s="14"/>
      <c r="AU5752" s="14"/>
      <c r="AV5752" s="14"/>
      <c r="AW5752" s="15">
        <f t="shared" si="943"/>
        <v>0</v>
      </c>
      <c r="AX5752" s="16"/>
    </row>
    <row r="5753" spans="2:53" x14ac:dyDescent="0.2">
      <c r="B5753" s="7"/>
      <c r="C5753" s="8">
        <v>15913</v>
      </c>
      <c r="D5753" s="9" t="s">
        <v>1110</v>
      </c>
      <c r="E5753" s="10" t="str">
        <f t="shared" si="938"/>
        <v>Rancho Upácuaro No. 103</v>
      </c>
      <c r="F5753" s="10" t="str">
        <f t="shared" si="939"/>
        <v>Alfaro</v>
      </c>
      <c r="G5753" s="8">
        <v>1</v>
      </c>
      <c r="H5753" s="11">
        <v>400</v>
      </c>
      <c r="I5753" s="12">
        <v>43140</v>
      </c>
      <c r="J5753" s="35">
        <f t="shared" si="940"/>
        <v>0</v>
      </c>
      <c r="K5753" s="36"/>
      <c r="L5753" s="36"/>
      <c r="M5753" s="36"/>
      <c r="N5753" s="36"/>
      <c r="O5753" s="36"/>
      <c r="P5753" s="36"/>
      <c r="Q5753" s="36"/>
      <c r="R5753" s="36"/>
      <c r="S5753" s="36"/>
      <c r="T5753" s="36"/>
      <c r="U5753" s="36"/>
      <c r="V5753" s="36"/>
      <c r="W5753" s="15">
        <f t="shared" si="941"/>
        <v>0</v>
      </c>
      <c r="X5753" s="36"/>
      <c r="Y5753" s="36"/>
      <c r="Z5753" s="36"/>
      <c r="AA5753" s="36"/>
      <c r="AB5753" s="36"/>
      <c r="AC5753" s="36"/>
      <c r="AD5753" s="36"/>
      <c r="AE5753" s="36"/>
      <c r="AF5753" s="36"/>
      <c r="AG5753" s="36"/>
      <c r="AH5753" s="36"/>
      <c r="AI5753" s="36"/>
      <c r="AJ5753" s="15">
        <f t="shared" si="942"/>
        <v>0</v>
      </c>
      <c r="AK5753" s="14"/>
      <c r="AL5753" s="14">
        <v>400</v>
      </c>
      <c r="AM5753" s="14"/>
      <c r="AN5753" s="14"/>
      <c r="AO5753" s="14"/>
      <c r="AP5753" s="14"/>
      <c r="AQ5753" s="14"/>
      <c r="AR5753" s="14"/>
      <c r="AS5753" s="14"/>
      <c r="AT5753" s="14"/>
      <c r="AU5753" s="14"/>
      <c r="AV5753" s="14"/>
      <c r="AW5753" s="15">
        <f t="shared" si="943"/>
        <v>400</v>
      </c>
      <c r="AX5753" s="16"/>
    </row>
    <row r="5754" spans="2:53" x14ac:dyDescent="0.2">
      <c r="B5754" s="7"/>
      <c r="C5754" s="8">
        <v>15914</v>
      </c>
      <c r="D5754" s="9" t="s">
        <v>220</v>
      </c>
      <c r="E5754" s="10" t="str">
        <f t="shared" si="938"/>
        <v>Rancho Recoveco No. 3</v>
      </c>
      <c r="F5754" s="10" t="str">
        <f t="shared" si="939"/>
        <v>Garduño</v>
      </c>
      <c r="G5754" s="8">
        <v>1</v>
      </c>
      <c r="H5754" s="11">
        <v>600</v>
      </c>
      <c r="I5754" s="12">
        <v>43140</v>
      </c>
      <c r="J5754" s="35">
        <f t="shared" si="940"/>
        <v>0</v>
      </c>
      <c r="K5754" s="36"/>
      <c r="L5754" s="36"/>
      <c r="M5754" s="36"/>
      <c r="N5754" s="36"/>
      <c r="O5754" s="36"/>
      <c r="P5754" s="36"/>
      <c r="Q5754" s="36"/>
      <c r="R5754" s="36"/>
      <c r="S5754" s="36"/>
      <c r="T5754" s="36"/>
      <c r="U5754" s="36"/>
      <c r="V5754" s="36"/>
      <c r="W5754" s="15">
        <f t="shared" si="941"/>
        <v>0</v>
      </c>
      <c r="X5754" s="36"/>
      <c r="Y5754" s="36"/>
      <c r="Z5754" s="36"/>
      <c r="AA5754" s="36"/>
      <c r="AB5754" s="36"/>
      <c r="AC5754" s="36"/>
      <c r="AD5754" s="36"/>
      <c r="AE5754" s="36"/>
      <c r="AF5754" s="36"/>
      <c r="AG5754" s="36"/>
      <c r="AH5754" s="36"/>
      <c r="AI5754" s="36"/>
      <c r="AJ5754" s="15">
        <f t="shared" si="942"/>
        <v>0</v>
      </c>
      <c r="AK5754" s="14">
        <v>300</v>
      </c>
      <c r="AL5754" s="14">
        <v>300</v>
      </c>
      <c r="AM5754" s="14"/>
      <c r="AN5754" s="14"/>
      <c r="AO5754" s="14"/>
      <c r="AP5754" s="14"/>
      <c r="AQ5754" s="14"/>
      <c r="AR5754" s="14"/>
      <c r="AS5754" s="14"/>
      <c r="AT5754" s="14"/>
      <c r="AU5754" s="14"/>
      <c r="AV5754" s="14"/>
      <c r="AW5754" s="15">
        <f t="shared" si="943"/>
        <v>600</v>
      </c>
      <c r="AX5754" s="316">
        <f>SUM(H5737:H5754)</f>
        <v>8550</v>
      </c>
      <c r="AY5754" s="112"/>
      <c r="AZ5754">
        <v>8550</v>
      </c>
      <c r="BA5754" s="112">
        <f>SUM(AY5754:AZ5754)</f>
        <v>8550</v>
      </c>
    </row>
    <row r="5755" spans="2:53" x14ac:dyDescent="0.2">
      <c r="B5755" s="7"/>
      <c r="C5755" s="8">
        <v>15915</v>
      </c>
      <c r="D5755" s="9" t="s">
        <v>855</v>
      </c>
      <c r="E5755" s="10" t="str">
        <f t="shared" si="938"/>
        <v>Rancho Upácuaro No. 99</v>
      </c>
      <c r="F5755" s="10" t="str">
        <f t="shared" si="939"/>
        <v>Frías</v>
      </c>
      <c r="G5755" s="8">
        <v>1</v>
      </c>
      <c r="H5755" s="315">
        <v>1000</v>
      </c>
      <c r="I5755" s="12">
        <v>43142</v>
      </c>
      <c r="J5755" s="35">
        <f t="shared" si="940"/>
        <v>0</v>
      </c>
      <c r="K5755" s="36"/>
      <c r="L5755" s="36"/>
      <c r="M5755" s="36"/>
      <c r="N5755" s="36"/>
      <c r="O5755" s="36"/>
      <c r="P5755" s="36"/>
      <c r="Q5755" s="36"/>
      <c r="R5755" s="36"/>
      <c r="S5755" s="36"/>
      <c r="T5755" s="36"/>
      <c r="U5755" s="36"/>
      <c r="V5755" s="36"/>
      <c r="W5755" s="15">
        <f t="shared" si="941"/>
        <v>0</v>
      </c>
      <c r="X5755" s="36"/>
      <c r="Y5755" s="36"/>
      <c r="Z5755" s="36"/>
      <c r="AA5755" s="36"/>
      <c r="AB5755" s="36"/>
      <c r="AC5755" s="36"/>
      <c r="AD5755" s="36"/>
      <c r="AE5755" s="36"/>
      <c r="AF5755" s="36"/>
      <c r="AG5755" s="36"/>
      <c r="AH5755" s="36"/>
      <c r="AI5755" s="36"/>
      <c r="AJ5755" s="15">
        <f t="shared" si="942"/>
        <v>0</v>
      </c>
      <c r="AK5755" s="14">
        <v>200</v>
      </c>
      <c r="AL5755" s="14">
        <v>200</v>
      </c>
      <c r="AM5755" s="14">
        <v>200</v>
      </c>
      <c r="AN5755" s="14">
        <v>200</v>
      </c>
      <c r="AO5755" s="14">
        <v>200</v>
      </c>
      <c r="AP5755" s="14"/>
      <c r="AQ5755" s="14"/>
      <c r="AR5755" s="14"/>
      <c r="AS5755" s="14"/>
      <c r="AT5755" s="14"/>
      <c r="AU5755" s="14"/>
      <c r="AV5755" s="14"/>
      <c r="AW5755" s="15">
        <f t="shared" si="943"/>
        <v>1000</v>
      </c>
      <c r="AX5755" s="16"/>
    </row>
    <row r="5756" spans="2:53" x14ac:dyDescent="0.2">
      <c r="B5756" s="7"/>
      <c r="C5756" s="8">
        <v>15916</v>
      </c>
      <c r="D5756" s="9" t="s">
        <v>355</v>
      </c>
      <c r="E5756" s="10" t="str">
        <f t="shared" ref="E5756:E5773" si="944">IF(D5756=0,"",VLOOKUP(D5756,BASE,2,FALSE))</f>
        <v>Rancho Estanzuela No. 11, A</v>
      </c>
      <c r="F5756" s="10" t="str">
        <f t="shared" ref="F5756:F5773" si="945">IF(D5756=0,"",VLOOKUP(D5756,BASE,3,FALSE))</f>
        <v>Evans González</v>
      </c>
      <c r="G5756" s="8">
        <v>1</v>
      </c>
      <c r="H5756" s="11">
        <v>900</v>
      </c>
      <c r="I5756" s="12">
        <v>43142</v>
      </c>
      <c r="J5756" s="35">
        <f t="shared" ref="J5756:J5773" si="946">IF(G5756=1,SUM(W5756,AJ5756,AW5756,-H5756),0)</f>
        <v>0</v>
      </c>
      <c r="K5756" s="36"/>
      <c r="L5756" s="36"/>
      <c r="M5756" s="36"/>
      <c r="N5756" s="36"/>
      <c r="O5756" s="36"/>
      <c r="P5756" s="36"/>
      <c r="Q5756" s="36"/>
      <c r="R5756" s="36"/>
      <c r="S5756" s="36"/>
      <c r="T5756" s="36"/>
      <c r="U5756" s="36"/>
      <c r="V5756" s="36"/>
      <c r="W5756" s="15">
        <f t="shared" ref="W5756:W5773" si="947">SUM(K5756:V5756)</f>
        <v>0</v>
      </c>
      <c r="X5756" s="36"/>
      <c r="Y5756" s="36"/>
      <c r="Z5756" s="36"/>
      <c r="AA5756" s="36"/>
      <c r="AB5756" s="36"/>
      <c r="AC5756" s="36"/>
      <c r="AD5756" s="36"/>
      <c r="AE5756" s="36"/>
      <c r="AF5756" s="36"/>
      <c r="AG5756" s="36"/>
      <c r="AH5756" s="36"/>
      <c r="AI5756" s="36"/>
      <c r="AJ5756" s="15">
        <f t="shared" ref="AJ5756:AJ5773" si="948">SUM(X5756:AI5756)</f>
        <v>0</v>
      </c>
      <c r="AK5756" s="14">
        <v>300</v>
      </c>
      <c r="AL5756" s="14">
        <v>300</v>
      </c>
      <c r="AM5756" s="14">
        <v>300</v>
      </c>
      <c r="AN5756" s="14"/>
      <c r="AO5756" s="14"/>
      <c r="AP5756" s="14"/>
      <c r="AQ5756" s="14"/>
      <c r="AR5756" s="14"/>
      <c r="AS5756" s="14"/>
      <c r="AT5756" s="14"/>
      <c r="AU5756" s="14"/>
      <c r="AV5756" s="14"/>
      <c r="AW5756" s="15">
        <f t="shared" ref="AW5756:AW5773" si="949">SUM(AK5756:AV5756)</f>
        <v>900</v>
      </c>
      <c r="AX5756" s="16"/>
    </row>
    <row r="5757" spans="2:53" x14ac:dyDescent="0.2">
      <c r="B5757" s="7"/>
      <c r="C5757" s="8">
        <v>15917</v>
      </c>
      <c r="D5757" s="9" t="s">
        <v>574</v>
      </c>
      <c r="E5757" s="10" t="str">
        <f t="shared" si="944"/>
        <v xml:space="preserve">Rancho Upácuaro No. 94 </v>
      </c>
      <c r="F5757" s="10" t="str">
        <f t="shared" si="945"/>
        <v>Juárez Patiño</v>
      </c>
      <c r="G5757" s="8">
        <v>1</v>
      </c>
      <c r="H5757" s="11">
        <v>300</v>
      </c>
      <c r="I5757" s="12">
        <v>43142</v>
      </c>
      <c r="J5757" s="35">
        <f t="shared" si="946"/>
        <v>0</v>
      </c>
      <c r="K5757" s="36"/>
      <c r="L5757" s="36"/>
      <c r="M5757" s="36"/>
      <c r="N5757" s="36"/>
      <c r="O5757" s="36"/>
      <c r="P5757" s="36"/>
      <c r="Q5757" s="36"/>
      <c r="R5757" s="36"/>
      <c r="S5757" s="36"/>
      <c r="T5757" s="36"/>
      <c r="U5757" s="36"/>
      <c r="V5757" s="36"/>
      <c r="W5757" s="15">
        <f t="shared" si="947"/>
        <v>0</v>
      </c>
      <c r="X5757" s="36"/>
      <c r="Y5757" s="36"/>
      <c r="Z5757" s="36"/>
      <c r="AA5757" s="36"/>
      <c r="AB5757" s="36"/>
      <c r="AC5757" s="36"/>
      <c r="AD5757" s="36"/>
      <c r="AE5757" s="36"/>
      <c r="AF5757" s="36"/>
      <c r="AG5757" s="36"/>
      <c r="AH5757" s="36"/>
      <c r="AI5757" s="36"/>
      <c r="AJ5757" s="15">
        <f t="shared" si="948"/>
        <v>0</v>
      </c>
      <c r="AK5757" s="14"/>
      <c r="AL5757" s="14">
        <v>300</v>
      </c>
      <c r="AM5757" s="14"/>
      <c r="AN5757" s="14"/>
      <c r="AO5757" s="14"/>
      <c r="AP5757" s="14"/>
      <c r="AQ5757" s="14"/>
      <c r="AR5757" s="14"/>
      <c r="AS5757" s="14"/>
      <c r="AT5757" s="14"/>
      <c r="AU5757" s="14"/>
      <c r="AV5757" s="14"/>
      <c r="AW5757" s="15">
        <f t="shared" si="949"/>
        <v>300</v>
      </c>
      <c r="AX5757" s="16"/>
    </row>
    <row r="5758" spans="2:53" x14ac:dyDescent="0.2">
      <c r="B5758" s="7"/>
      <c r="C5758" s="8">
        <v>15918</v>
      </c>
      <c r="D5758" s="9" t="s">
        <v>328</v>
      </c>
      <c r="E5758" s="10" t="str">
        <f t="shared" si="944"/>
        <v>Rancho La Cuchilla No. 130</v>
      </c>
      <c r="F5758" s="10" t="str">
        <f t="shared" si="945"/>
        <v>Gonzalez</v>
      </c>
      <c r="G5758" s="8">
        <v>1</v>
      </c>
      <c r="H5758" s="11">
        <v>400</v>
      </c>
      <c r="I5758" s="12">
        <v>43142</v>
      </c>
      <c r="J5758" s="35">
        <f t="shared" si="946"/>
        <v>0</v>
      </c>
      <c r="K5758" s="36"/>
      <c r="L5758" s="36"/>
      <c r="M5758" s="36"/>
      <c r="N5758" s="36"/>
      <c r="O5758" s="36"/>
      <c r="P5758" s="36"/>
      <c r="Q5758" s="36"/>
      <c r="R5758" s="36"/>
      <c r="S5758" s="36"/>
      <c r="T5758" s="36"/>
      <c r="U5758" s="36"/>
      <c r="V5758" s="36"/>
      <c r="W5758" s="15">
        <f t="shared" si="947"/>
        <v>0</v>
      </c>
      <c r="X5758" s="36"/>
      <c r="Y5758" s="36"/>
      <c r="Z5758" s="36"/>
      <c r="AA5758" s="36"/>
      <c r="AB5758" s="36"/>
      <c r="AC5758" s="36"/>
      <c r="AD5758" s="36"/>
      <c r="AE5758" s="36"/>
      <c r="AF5758" s="36"/>
      <c r="AG5758" s="36"/>
      <c r="AH5758" s="36"/>
      <c r="AI5758" s="36"/>
      <c r="AJ5758" s="15">
        <f t="shared" si="948"/>
        <v>0</v>
      </c>
      <c r="AK5758" s="14"/>
      <c r="AL5758" s="14">
        <v>400</v>
      </c>
      <c r="AM5758" s="14"/>
      <c r="AN5758" s="14"/>
      <c r="AO5758" s="14"/>
      <c r="AP5758" s="14"/>
      <c r="AQ5758" s="14"/>
      <c r="AR5758" s="14"/>
      <c r="AS5758" s="14"/>
      <c r="AT5758" s="14"/>
      <c r="AU5758" s="14"/>
      <c r="AV5758" s="14"/>
      <c r="AW5758" s="15">
        <f t="shared" si="949"/>
        <v>400</v>
      </c>
      <c r="AX5758" s="16"/>
    </row>
    <row r="5759" spans="2:53" x14ac:dyDescent="0.2">
      <c r="B5759" s="7"/>
      <c r="C5759" s="8">
        <v>15919</v>
      </c>
      <c r="D5759" s="9" t="s">
        <v>568</v>
      </c>
      <c r="E5759" s="10" t="str">
        <f t="shared" si="944"/>
        <v>Rancho Landero No. 95</v>
      </c>
      <c r="F5759" s="10" t="str">
        <f t="shared" si="945"/>
        <v>Rivas Rangel</v>
      </c>
      <c r="G5759" s="8">
        <v>1</v>
      </c>
      <c r="H5759" s="11">
        <v>400</v>
      </c>
      <c r="I5759" s="12">
        <v>43142</v>
      </c>
      <c r="J5759" s="35">
        <f t="shared" si="946"/>
        <v>0</v>
      </c>
      <c r="K5759" s="36"/>
      <c r="L5759" s="36"/>
      <c r="M5759" s="36"/>
      <c r="N5759" s="36"/>
      <c r="O5759" s="36"/>
      <c r="P5759" s="36"/>
      <c r="Q5759" s="36"/>
      <c r="R5759" s="36"/>
      <c r="S5759" s="36"/>
      <c r="T5759" s="36"/>
      <c r="U5759" s="36"/>
      <c r="V5759" s="36"/>
      <c r="W5759" s="15">
        <f t="shared" si="947"/>
        <v>0</v>
      </c>
      <c r="X5759" s="36"/>
      <c r="Y5759" s="36"/>
      <c r="Z5759" s="36"/>
      <c r="AA5759" s="36"/>
      <c r="AB5759" s="36"/>
      <c r="AC5759" s="36"/>
      <c r="AD5759" s="36"/>
      <c r="AE5759" s="36"/>
      <c r="AF5759" s="36"/>
      <c r="AG5759" s="36"/>
      <c r="AH5759" s="36"/>
      <c r="AI5759" s="36"/>
      <c r="AJ5759" s="15">
        <f t="shared" si="948"/>
        <v>0</v>
      </c>
      <c r="AK5759" s="14"/>
      <c r="AL5759" s="14">
        <v>400</v>
      </c>
      <c r="AM5759" s="14"/>
      <c r="AN5759" s="14"/>
      <c r="AO5759" s="14"/>
      <c r="AP5759" s="14"/>
      <c r="AQ5759" s="14"/>
      <c r="AR5759" s="14"/>
      <c r="AS5759" s="14"/>
      <c r="AT5759" s="14"/>
      <c r="AU5759" s="14"/>
      <c r="AV5759" s="14"/>
      <c r="AW5759" s="15">
        <f t="shared" si="949"/>
        <v>400</v>
      </c>
      <c r="AX5759" s="16"/>
    </row>
    <row r="5760" spans="2:53" x14ac:dyDescent="0.2">
      <c r="B5760" s="7"/>
      <c r="C5760" s="8">
        <v>15920</v>
      </c>
      <c r="D5760" s="9" t="s">
        <v>620</v>
      </c>
      <c r="E5760" s="10" t="str">
        <f t="shared" si="944"/>
        <v>Rancho La Cuchilla No. 32</v>
      </c>
      <c r="F5760" s="10" t="str">
        <f t="shared" si="945"/>
        <v>Hernández</v>
      </c>
      <c r="G5760" s="8">
        <v>1</v>
      </c>
      <c r="H5760" s="11">
        <v>800</v>
      </c>
      <c r="I5760" s="12">
        <v>43142</v>
      </c>
      <c r="J5760" s="35">
        <f t="shared" si="946"/>
        <v>0</v>
      </c>
      <c r="K5760" s="36"/>
      <c r="L5760" s="36"/>
      <c r="M5760" s="36"/>
      <c r="N5760" s="36"/>
      <c r="O5760" s="36"/>
      <c r="P5760" s="36"/>
      <c r="Q5760" s="36"/>
      <c r="R5760" s="36"/>
      <c r="S5760" s="36"/>
      <c r="T5760" s="36"/>
      <c r="U5760" s="36"/>
      <c r="V5760" s="36"/>
      <c r="W5760" s="15">
        <f t="shared" si="947"/>
        <v>0</v>
      </c>
      <c r="X5760" s="36"/>
      <c r="Y5760" s="36"/>
      <c r="Z5760" s="36"/>
      <c r="AA5760" s="36"/>
      <c r="AB5760" s="36"/>
      <c r="AC5760" s="36"/>
      <c r="AD5760" s="36"/>
      <c r="AE5760" s="36"/>
      <c r="AF5760" s="36"/>
      <c r="AG5760" s="36"/>
      <c r="AH5760" s="36"/>
      <c r="AI5760" s="36">
        <v>400</v>
      </c>
      <c r="AJ5760" s="15">
        <f t="shared" si="948"/>
        <v>400</v>
      </c>
      <c r="AK5760" s="14">
        <v>400</v>
      </c>
      <c r="AL5760" s="14"/>
      <c r="AM5760" s="14"/>
      <c r="AN5760" s="14"/>
      <c r="AO5760" s="14"/>
      <c r="AP5760" s="14"/>
      <c r="AQ5760" s="14"/>
      <c r="AR5760" s="14"/>
      <c r="AS5760" s="14"/>
      <c r="AT5760" s="14"/>
      <c r="AU5760" s="14"/>
      <c r="AV5760" s="14"/>
      <c r="AW5760" s="15">
        <f t="shared" si="949"/>
        <v>400</v>
      </c>
      <c r="AX5760" s="16"/>
    </row>
    <row r="5761" spans="2:50" x14ac:dyDescent="0.2">
      <c r="B5761" s="7"/>
      <c r="C5761" s="8">
        <v>15921</v>
      </c>
      <c r="D5761" s="9" t="s">
        <v>749</v>
      </c>
      <c r="E5761" s="10" t="str">
        <f t="shared" si="944"/>
        <v>Rancho Landero No. 96</v>
      </c>
      <c r="F5761" s="10" t="str">
        <f t="shared" si="945"/>
        <v>Espinoza Aguirre</v>
      </c>
      <c r="G5761" s="8">
        <v>1</v>
      </c>
      <c r="H5761" s="11">
        <v>1200</v>
      </c>
      <c r="I5761" s="12">
        <v>43142</v>
      </c>
      <c r="J5761" s="35">
        <f t="shared" si="946"/>
        <v>0</v>
      </c>
      <c r="K5761" s="36"/>
      <c r="L5761" s="36"/>
      <c r="M5761" s="36"/>
      <c r="N5761" s="36"/>
      <c r="O5761" s="36"/>
      <c r="P5761" s="36"/>
      <c r="Q5761" s="36"/>
      <c r="R5761" s="36"/>
      <c r="S5761" s="36"/>
      <c r="T5761" s="36"/>
      <c r="U5761" s="36"/>
      <c r="V5761" s="36"/>
      <c r="W5761" s="15">
        <f t="shared" si="947"/>
        <v>0</v>
      </c>
      <c r="X5761" s="36"/>
      <c r="Y5761" s="36"/>
      <c r="Z5761" s="36"/>
      <c r="AA5761" s="36"/>
      <c r="AB5761" s="36"/>
      <c r="AC5761" s="36"/>
      <c r="AD5761" s="36"/>
      <c r="AE5761" s="36"/>
      <c r="AF5761" s="36"/>
      <c r="AG5761" s="36"/>
      <c r="AH5761" s="36"/>
      <c r="AI5761" s="36">
        <v>400</v>
      </c>
      <c r="AJ5761" s="15">
        <f t="shared" si="948"/>
        <v>400</v>
      </c>
      <c r="AK5761" s="14">
        <v>400</v>
      </c>
      <c r="AL5761" s="14">
        <v>400</v>
      </c>
      <c r="AM5761" s="14"/>
      <c r="AN5761" s="14"/>
      <c r="AO5761" s="14"/>
      <c r="AP5761" s="14"/>
      <c r="AQ5761" s="14"/>
      <c r="AR5761" s="14"/>
      <c r="AS5761" s="14"/>
      <c r="AT5761" s="14"/>
      <c r="AU5761" s="14"/>
      <c r="AV5761" s="14"/>
      <c r="AW5761" s="15">
        <f t="shared" si="949"/>
        <v>800</v>
      </c>
      <c r="AX5761" s="16"/>
    </row>
    <row r="5762" spans="2:50" x14ac:dyDescent="0.2">
      <c r="B5762" s="7"/>
      <c r="C5762" s="8">
        <v>15922</v>
      </c>
      <c r="D5762" s="9" t="s">
        <v>325</v>
      </c>
      <c r="E5762" s="10" t="str">
        <f t="shared" si="944"/>
        <v>Rancho Upácuaro No. 120</v>
      </c>
      <c r="F5762" s="10" t="str">
        <f t="shared" si="945"/>
        <v>Rayas Rivera</v>
      </c>
      <c r="G5762" s="8">
        <v>1</v>
      </c>
      <c r="H5762" s="11">
        <v>400</v>
      </c>
      <c r="I5762" s="12">
        <v>43142</v>
      </c>
      <c r="J5762" s="35">
        <f t="shared" si="946"/>
        <v>0</v>
      </c>
      <c r="K5762" s="36"/>
      <c r="L5762" s="36"/>
      <c r="M5762" s="36"/>
      <c r="N5762" s="36"/>
      <c r="O5762" s="36"/>
      <c r="P5762" s="36"/>
      <c r="Q5762" s="36"/>
      <c r="R5762" s="36"/>
      <c r="S5762" s="36"/>
      <c r="T5762" s="36"/>
      <c r="U5762" s="36"/>
      <c r="V5762" s="36"/>
      <c r="W5762" s="15">
        <f t="shared" si="947"/>
        <v>0</v>
      </c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15">
        <f t="shared" si="948"/>
        <v>0</v>
      </c>
      <c r="AK5762" s="14"/>
      <c r="AL5762" s="14">
        <v>400</v>
      </c>
      <c r="AM5762" s="14"/>
      <c r="AN5762" s="14"/>
      <c r="AO5762" s="14"/>
      <c r="AP5762" s="14"/>
      <c r="AQ5762" s="14"/>
      <c r="AR5762" s="14"/>
      <c r="AS5762" s="14"/>
      <c r="AT5762" s="14"/>
      <c r="AU5762" s="14"/>
      <c r="AV5762" s="14"/>
      <c r="AW5762" s="15">
        <f t="shared" si="949"/>
        <v>400</v>
      </c>
      <c r="AX5762" s="16"/>
    </row>
    <row r="5763" spans="2:50" x14ac:dyDescent="0.2">
      <c r="B5763" s="7"/>
      <c r="C5763" s="8">
        <v>15923</v>
      </c>
      <c r="D5763" s="9" t="s">
        <v>322</v>
      </c>
      <c r="E5763" s="10" t="str">
        <f t="shared" si="944"/>
        <v>Rancho Zinamba No. 8</v>
      </c>
      <c r="F5763" s="10" t="str">
        <f t="shared" si="945"/>
        <v>Florido</v>
      </c>
      <c r="G5763" s="8">
        <v>1</v>
      </c>
      <c r="H5763" s="11">
        <v>400</v>
      </c>
      <c r="I5763" s="12">
        <v>43142</v>
      </c>
      <c r="J5763" s="35">
        <f t="shared" si="946"/>
        <v>0</v>
      </c>
      <c r="K5763" s="36"/>
      <c r="L5763" s="36"/>
      <c r="M5763" s="36"/>
      <c r="N5763" s="36"/>
      <c r="O5763" s="36"/>
      <c r="P5763" s="36"/>
      <c r="Q5763" s="36"/>
      <c r="R5763" s="36"/>
      <c r="S5763" s="36"/>
      <c r="T5763" s="36"/>
      <c r="U5763" s="36"/>
      <c r="V5763" s="36"/>
      <c r="W5763" s="15">
        <f t="shared" si="947"/>
        <v>0</v>
      </c>
      <c r="X5763" s="36"/>
      <c r="Y5763" s="36"/>
      <c r="Z5763" s="36"/>
      <c r="AA5763" s="36"/>
      <c r="AB5763" s="36"/>
      <c r="AC5763" s="36"/>
      <c r="AD5763" s="36"/>
      <c r="AE5763" s="36"/>
      <c r="AF5763" s="36"/>
      <c r="AG5763" s="36"/>
      <c r="AH5763" s="36"/>
      <c r="AI5763" s="36"/>
      <c r="AJ5763" s="15">
        <f t="shared" si="948"/>
        <v>0</v>
      </c>
      <c r="AK5763" s="14"/>
      <c r="AL5763" s="14">
        <v>400</v>
      </c>
      <c r="AM5763" s="14"/>
      <c r="AN5763" s="14"/>
      <c r="AO5763" s="14"/>
      <c r="AP5763" s="14"/>
      <c r="AQ5763" s="14"/>
      <c r="AR5763" s="14"/>
      <c r="AS5763" s="14"/>
      <c r="AT5763" s="14"/>
      <c r="AU5763" s="14"/>
      <c r="AV5763" s="14"/>
      <c r="AW5763" s="15">
        <f t="shared" si="949"/>
        <v>400</v>
      </c>
      <c r="AX5763" s="16"/>
    </row>
    <row r="5764" spans="2:50" x14ac:dyDescent="0.2">
      <c r="B5764" s="7"/>
      <c r="C5764" s="8">
        <v>15924</v>
      </c>
      <c r="D5764" s="9" t="s">
        <v>663</v>
      </c>
      <c r="E5764" s="10" t="str">
        <f t="shared" si="944"/>
        <v>Rancho Romeral No. 23, B</v>
      </c>
      <c r="F5764" s="10" t="str">
        <f t="shared" si="945"/>
        <v>Castillo Avila</v>
      </c>
      <c r="G5764" s="8">
        <v>1</v>
      </c>
      <c r="H5764" s="11">
        <v>4400</v>
      </c>
      <c r="I5764" s="12">
        <v>43142</v>
      </c>
      <c r="J5764" s="35">
        <f t="shared" si="946"/>
        <v>0</v>
      </c>
      <c r="K5764" s="36"/>
      <c r="L5764" s="36"/>
      <c r="M5764" s="36"/>
      <c r="N5764" s="36"/>
      <c r="O5764" s="36"/>
      <c r="P5764" s="36"/>
      <c r="Q5764" s="36"/>
      <c r="R5764" s="36"/>
      <c r="S5764" s="36"/>
      <c r="T5764" s="36"/>
      <c r="U5764" s="36"/>
      <c r="V5764" s="36"/>
      <c r="W5764" s="15">
        <f t="shared" si="947"/>
        <v>0</v>
      </c>
      <c r="X5764" s="36"/>
      <c r="Y5764" s="36"/>
      <c r="Z5764" s="36"/>
      <c r="AA5764" s="36"/>
      <c r="AB5764" s="36"/>
      <c r="AC5764" s="36"/>
      <c r="AD5764" s="36"/>
      <c r="AE5764" s="36"/>
      <c r="AF5764" s="36"/>
      <c r="AG5764" s="36"/>
      <c r="AH5764" s="36"/>
      <c r="AI5764" s="36"/>
      <c r="AJ5764" s="15">
        <f t="shared" si="948"/>
        <v>0</v>
      </c>
      <c r="AK5764" s="14">
        <v>400</v>
      </c>
      <c r="AL5764" s="14">
        <v>400</v>
      </c>
      <c r="AM5764" s="14">
        <v>400</v>
      </c>
      <c r="AN5764" s="14">
        <v>400</v>
      </c>
      <c r="AO5764" s="14">
        <v>400</v>
      </c>
      <c r="AP5764" s="14">
        <v>400</v>
      </c>
      <c r="AQ5764" s="14">
        <v>400</v>
      </c>
      <c r="AR5764" s="14">
        <v>400</v>
      </c>
      <c r="AS5764" s="14">
        <v>400</v>
      </c>
      <c r="AT5764" s="14">
        <v>400</v>
      </c>
      <c r="AU5764" s="14">
        <v>400</v>
      </c>
      <c r="AV5764" s="14"/>
      <c r="AW5764" s="15">
        <f t="shared" si="949"/>
        <v>4400</v>
      </c>
      <c r="AX5764" s="16" t="s">
        <v>4905</v>
      </c>
    </row>
    <row r="5765" spans="2:50" x14ac:dyDescent="0.2">
      <c r="B5765" s="7"/>
      <c r="C5765" s="8">
        <v>15925</v>
      </c>
      <c r="D5765" s="9" t="s">
        <v>434</v>
      </c>
      <c r="E5765" s="10" t="str">
        <f t="shared" si="944"/>
        <v>Rancho La Cuchilla No. 55</v>
      </c>
      <c r="F5765" s="10" t="str">
        <f t="shared" si="945"/>
        <v>López Velázquez</v>
      </c>
      <c r="G5765" s="8">
        <v>1</v>
      </c>
      <c r="H5765" s="11">
        <v>1200</v>
      </c>
      <c r="I5765" s="12">
        <v>43142</v>
      </c>
      <c r="J5765" s="35">
        <f t="shared" si="946"/>
        <v>0</v>
      </c>
      <c r="K5765" s="36"/>
      <c r="L5765" s="36"/>
      <c r="M5765" s="36"/>
      <c r="N5765" s="36"/>
      <c r="O5765" s="36"/>
      <c r="P5765" s="36"/>
      <c r="Q5765" s="36"/>
      <c r="R5765" s="36"/>
      <c r="S5765" s="36"/>
      <c r="T5765" s="36"/>
      <c r="U5765" s="36"/>
      <c r="V5765" s="36"/>
      <c r="W5765" s="15">
        <f t="shared" si="947"/>
        <v>0</v>
      </c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15">
        <f t="shared" si="948"/>
        <v>0</v>
      </c>
      <c r="AK5765" s="14">
        <v>400</v>
      </c>
      <c r="AL5765" s="14">
        <v>400</v>
      </c>
      <c r="AM5765" s="14">
        <v>400</v>
      </c>
      <c r="AN5765" s="14"/>
      <c r="AO5765" s="14"/>
      <c r="AP5765" s="14"/>
      <c r="AQ5765" s="14"/>
      <c r="AR5765" s="14"/>
      <c r="AS5765" s="14"/>
      <c r="AT5765" s="14"/>
      <c r="AU5765" s="14"/>
      <c r="AV5765" s="14"/>
      <c r="AW5765" s="15">
        <f t="shared" si="949"/>
        <v>1200</v>
      </c>
      <c r="AX5765" s="16"/>
    </row>
    <row r="5766" spans="2:50" x14ac:dyDescent="0.2">
      <c r="B5766" s="7"/>
      <c r="C5766" s="8">
        <v>15926</v>
      </c>
      <c r="D5766" s="9" t="s">
        <v>310</v>
      </c>
      <c r="E5766" s="10" t="str">
        <f t="shared" si="944"/>
        <v>Rancho Recoveco No. 181</v>
      </c>
      <c r="F5766" s="10" t="str">
        <f t="shared" si="945"/>
        <v>Castillo</v>
      </c>
      <c r="G5766" s="8">
        <v>1</v>
      </c>
      <c r="H5766" s="11">
        <v>800</v>
      </c>
      <c r="I5766" s="12">
        <v>43142</v>
      </c>
      <c r="J5766" s="35">
        <f t="shared" si="946"/>
        <v>0</v>
      </c>
      <c r="K5766" s="36"/>
      <c r="L5766" s="36"/>
      <c r="M5766" s="36"/>
      <c r="N5766" s="36"/>
      <c r="O5766" s="36"/>
      <c r="P5766" s="36"/>
      <c r="Q5766" s="36"/>
      <c r="R5766" s="36"/>
      <c r="S5766" s="36"/>
      <c r="T5766" s="36"/>
      <c r="U5766" s="36"/>
      <c r="V5766" s="36"/>
      <c r="W5766" s="15">
        <f t="shared" si="947"/>
        <v>0</v>
      </c>
      <c r="X5766" s="36"/>
      <c r="Y5766" s="36"/>
      <c r="Z5766" s="36"/>
      <c r="AA5766" s="36"/>
      <c r="AB5766" s="36"/>
      <c r="AC5766" s="36"/>
      <c r="AD5766" s="36"/>
      <c r="AE5766" s="36"/>
      <c r="AF5766" s="36"/>
      <c r="AG5766" s="36"/>
      <c r="AH5766" s="36"/>
      <c r="AI5766" s="36"/>
      <c r="AJ5766" s="15">
        <f t="shared" si="948"/>
        <v>0</v>
      </c>
      <c r="AK5766" s="14">
        <v>400</v>
      </c>
      <c r="AL5766" s="14">
        <v>400</v>
      </c>
      <c r="AM5766" s="14"/>
      <c r="AN5766" s="14"/>
      <c r="AO5766" s="14"/>
      <c r="AP5766" s="14"/>
      <c r="AQ5766" s="14"/>
      <c r="AR5766" s="14"/>
      <c r="AS5766" s="14"/>
      <c r="AT5766" s="14"/>
      <c r="AU5766" s="14"/>
      <c r="AV5766" s="14"/>
      <c r="AW5766" s="15">
        <f t="shared" si="949"/>
        <v>800</v>
      </c>
      <c r="AX5766" s="16"/>
    </row>
    <row r="5767" spans="2:50" x14ac:dyDescent="0.2">
      <c r="B5767" s="7"/>
      <c r="C5767" s="8">
        <v>15927</v>
      </c>
      <c r="D5767" s="9" t="s">
        <v>488</v>
      </c>
      <c r="E5767" s="10" t="str">
        <f t="shared" si="944"/>
        <v>Rancho Landero No. 85</v>
      </c>
      <c r="F5767" s="10" t="str">
        <f t="shared" si="945"/>
        <v>Martínez Olague</v>
      </c>
      <c r="G5767" s="8">
        <v>1</v>
      </c>
      <c r="H5767" s="11">
        <v>400</v>
      </c>
      <c r="I5767" s="12">
        <v>43142</v>
      </c>
      <c r="J5767" s="35">
        <f t="shared" si="946"/>
        <v>0</v>
      </c>
      <c r="K5767" s="36"/>
      <c r="L5767" s="36"/>
      <c r="M5767" s="36"/>
      <c r="N5767" s="36"/>
      <c r="O5767" s="36"/>
      <c r="P5767" s="36"/>
      <c r="Q5767" s="36"/>
      <c r="R5767" s="36"/>
      <c r="S5767" s="36"/>
      <c r="T5767" s="36"/>
      <c r="U5767" s="36"/>
      <c r="V5767" s="36"/>
      <c r="W5767" s="15">
        <f t="shared" si="947"/>
        <v>0</v>
      </c>
      <c r="X5767" s="36"/>
      <c r="Y5767" s="36"/>
      <c r="Z5767" s="36"/>
      <c r="AA5767" s="36"/>
      <c r="AB5767" s="36"/>
      <c r="AC5767" s="36"/>
      <c r="AD5767" s="36"/>
      <c r="AE5767" s="36"/>
      <c r="AF5767" s="36"/>
      <c r="AG5767" s="36"/>
      <c r="AH5767" s="36"/>
      <c r="AI5767" s="36"/>
      <c r="AJ5767" s="15">
        <f t="shared" si="948"/>
        <v>0</v>
      </c>
      <c r="AK5767" s="14"/>
      <c r="AL5767" s="14">
        <v>400</v>
      </c>
      <c r="AM5767" s="14"/>
      <c r="AN5767" s="14"/>
      <c r="AO5767" s="14"/>
      <c r="AP5767" s="14"/>
      <c r="AQ5767" s="14"/>
      <c r="AR5767" s="14"/>
      <c r="AS5767" s="14"/>
      <c r="AT5767" s="14"/>
      <c r="AU5767" s="14"/>
      <c r="AV5767" s="14"/>
      <c r="AW5767" s="15">
        <f t="shared" si="949"/>
        <v>400</v>
      </c>
      <c r="AX5767" s="16"/>
    </row>
    <row r="5768" spans="2:50" x14ac:dyDescent="0.2">
      <c r="B5768" s="7"/>
      <c r="C5768" s="8">
        <v>15928</v>
      </c>
      <c r="D5768" s="9" t="s">
        <v>785</v>
      </c>
      <c r="E5768" s="10" t="str">
        <f t="shared" si="944"/>
        <v>Rancho Estanzuela No. 61</v>
      </c>
      <c r="F5768" s="10" t="str">
        <f t="shared" si="945"/>
        <v>González Almazán</v>
      </c>
      <c r="G5768" s="8">
        <v>1</v>
      </c>
      <c r="H5768" s="11">
        <v>200</v>
      </c>
      <c r="I5768" s="12">
        <v>43142</v>
      </c>
      <c r="J5768" s="35">
        <f t="shared" si="946"/>
        <v>0</v>
      </c>
      <c r="K5768" s="36"/>
      <c r="L5768" s="36"/>
      <c r="M5768" s="36"/>
      <c r="N5768" s="36"/>
      <c r="O5768" s="36"/>
      <c r="P5768" s="36"/>
      <c r="Q5768" s="36"/>
      <c r="R5768" s="36"/>
      <c r="S5768" s="36"/>
      <c r="T5768" s="36"/>
      <c r="U5768" s="36"/>
      <c r="V5768" s="36"/>
      <c r="W5768" s="15">
        <f t="shared" si="947"/>
        <v>0</v>
      </c>
      <c r="X5768" s="36"/>
      <c r="Y5768" s="36"/>
      <c r="Z5768" s="36"/>
      <c r="AA5768" s="36"/>
      <c r="AB5768" s="36"/>
      <c r="AC5768" s="36"/>
      <c r="AD5768" s="36"/>
      <c r="AE5768" s="36"/>
      <c r="AF5768" s="36"/>
      <c r="AG5768" s="36"/>
      <c r="AH5768" s="36"/>
      <c r="AI5768" s="36"/>
      <c r="AJ5768" s="15">
        <f t="shared" si="948"/>
        <v>0</v>
      </c>
      <c r="AK5768" s="14"/>
      <c r="AL5768" s="14">
        <v>200</v>
      </c>
      <c r="AM5768" s="14"/>
      <c r="AN5768" s="14"/>
      <c r="AO5768" s="14"/>
      <c r="AP5768" s="14"/>
      <c r="AQ5768" s="14"/>
      <c r="AR5768" s="14"/>
      <c r="AS5768" s="14"/>
      <c r="AT5768" s="14"/>
      <c r="AU5768" s="14"/>
      <c r="AV5768" s="14"/>
      <c r="AW5768" s="15">
        <f t="shared" si="949"/>
        <v>200</v>
      </c>
      <c r="AX5768" s="16"/>
    </row>
    <row r="5769" spans="2:50" x14ac:dyDescent="0.2">
      <c r="B5769" s="7"/>
      <c r="C5769" s="8">
        <v>15929</v>
      </c>
      <c r="D5769" s="9" t="s">
        <v>431</v>
      </c>
      <c r="E5769" s="10" t="str">
        <f t="shared" si="944"/>
        <v>Rancho Landero No. 63</v>
      </c>
      <c r="F5769" s="10" t="str">
        <f t="shared" si="945"/>
        <v>Hernández Chávez</v>
      </c>
      <c r="G5769" s="8">
        <v>1</v>
      </c>
      <c r="H5769" s="11">
        <v>400</v>
      </c>
      <c r="I5769" s="12">
        <v>43142</v>
      </c>
      <c r="J5769" s="35">
        <f t="shared" si="946"/>
        <v>0</v>
      </c>
      <c r="K5769" s="36"/>
      <c r="L5769" s="36"/>
      <c r="M5769" s="36"/>
      <c r="N5769" s="36"/>
      <c r="O5769" s="36"/>
      <c r="P5769" s="36"/>
      <c r="Q5769" s="36"/>
      <c r="R5769" s="36"/>
      <c r="S5769" s="36"/>
      <c r="T5769" s="36"/>
      <c r="U5769" s="36"/>
      <c r="V5769" s="36"/>
      <c r="W5769" s="15">
        <f t="shared" si="947"/>
        <v>0</v>
      </c>
      <c r="X5769" s="36"/>
      <c r="Y5769" s="36"/>
      <c r="Z5769" s="36"/>
      <c r="AA5769" s="36"/>
      <c r="AB5769" s="36"/>
      <c r="AC5769" s="36"/>
      <c r="AD5769" s="36"/>
      <c r="AE5769" s="36"/>
      <c r="AF5769" s="36"/>
      <c r="AG5769" s="36"/>
      <c r="AH5769" s="36"/>
      <c r="AI5769" s="36"/>
      <c r="AJ5769" s="15">
        <f t="shared" si="948"/>
        <v>0</v>
      </c>
      <c r="AK5769" s="14">
        <v>400</v>
      </c>
      <c r="AL5769" s="14"/>
      <c r="AM5769" s="14"/>
      <c r="AN5769" s="14"/>
      <c r="AO5769" s="14"/>
      <c r="AP5769" s="14"/>
      <c r="AQ5769" s="14"/>
      <c r="AR5769" s="14"/>
      <c r="AS5769" s="14"/>
      <c r="AT5769" s="14"/>
      <c r="AU5769" s="14"/>
      <c r="AV5769" s="14"/>
      <c r="AW5769" s="15">
        <f t="shared" si="949"/>
        <v>400</v>
      </c>
      <c r="AX5769" s="16"/>
    </row>
    <row r="5770" spans="2:50" x14ac:dyDescent="0.2">
      <c r="B5770" s="7"/>
      <c r="C5770" s="8">
        <v>15930</v>
      </c>
      <c r="D5770" s="9" t="s">
        <v>523</v>
      </c>
      <c r="E5770" s="10" t="str">
        <f t="shared" si="944"/>
        <v>Rancho Estanzuela No. 139</v>
      </c>
      <c r="F5770" s="10" t="str">
        <f t="shared" si="945"/>
        <v xml:space="preserve">Ortiz   </v>
      </c>
      <c r="G5770" s="8">
        <v>1</v>
      </c>
      <c r="H5770" s="11">
        <v>800</v>
      </c>
      <c r="I5770" s="12">
        <v>43142</v>
      </c>
      <c r="J5770" s="35">
        <f t="shared" si="946"/>
        <v>0</v>
      </c>
      <c r="K5770" s="36"/>
      <c r="L5770" s="36"/>
      <c r="M5770" s="36"/>
      <c r="N5770" s="36"/>
      <c r="O5770" s="36"/>
      <c r="P5770" s="36"/>
      <c r="Q5770" s="36"/>
      <c r="R5770" s="36"/>
      <c r="S5770" s="36"/>
      <c r="T5770" s="36"/>
      <c r="U5770" s="36"/>
      <c r="V5770" s="36"/>
      <c r="W5770" s="15">
        <f t="shared" si="947"/>
        <v>0</v>
      </c>
      <c r="X5770" s="36"/>
      <c r="Y5770" s="36"/>
      <c r="Z5770" s="36"/>
      <c r="AA5770" s="36"/>
      <c r="AB5770" s="36"/>
      <c r="AC5770" s="36"/>
      <c r="AD5770" s="36"/>
      <c r="AE5770" s="36"/>
      <c r="AF5770" s="36"/>
      <c r="AG5770" s="36"/>
      <c r="AH5770" s="36"/>
      <c r="AI5770" s="36"/>
      <c r="AJ5770" s="15">
        <f t="shared" si="948"/>
        <v>0</v>
      </c>
      <c r="AK5770" s="14">
        <v>400</v>
      </c>
      <c r="AL5770" s="14">
        <v>400</v>
      </c>
      <c r="AM5770" s="14"/>
      <c r="AN5770" s="14"/>
      <c r="AO5770" s="14"/>
      <c r="AP5770" s="14"/>
      <c r="AQ5770" s="14"/>
      <c r="AR5770" s="14"/>
      <c r="AS5770" s="14"/>
      <c r="AT5770" s="14"/>
      <c r="AU5770" s="14"/>
      <c r="AV5770" s="14"/>
      <c r="AW5770" s="15">
        <f t="shared" si="949"/>
        <v>800</v>
      </c>
      <c r="AX5770" s="16"/>
    </row>
    <row r="5771" spans="2:50" x14ac:dyDescent="0.2">
      <c r="B5771" s="7"/>
      <c r="C5771" s="8">
        <v>15931</v>
      </c>
      <c r="D5771" s="9" t="s">
        <v>307</v>
      </c>
      <c r="E5771" s="10" t="str">
        <f t="shared" si="944"/>
        <v>Rancho Landero No. 83</v>
      </c>
      <c r="F5771" s="10" t="str">
        <f t="shared" si="945"/>
        <v>Aguilar</v>
      </c>
      <c r="G5771" s="8">
        <v>3</v>
      </c>
      <c r="H5771" s="11">
        <v>200</v>
      </c>
      <c r="I5771" s="12">
        <v>43142</v>
      </c>
      <c r="J5771" s="35">
        <f t="shared" si="946"/>
        <v>0</v>
      </c>
      <c r="K5771" s="36"/>
      <c r="L5771" s="36"/>
      <c r="M5771" s="36"/>
      <c r="N5771" s="36"/>
      <c r="O5771" s="36"/>
      <c r="P5771" s="36"/>
      <c r="Q5771" s="36"/>
      <c r="R5771" s="36"/>
      <c r="S5771" s="36"/>
      <c r="T5771" s="36"/>
      <c r="U5771" s="36"/>
      <c r="V5771" s="36"/>
      <c r="W5771" s="15">
        <f t="shared" si="947"/>
        <v>0</v>
      </c>
      <c r="X5771" s="36"/>
      <c r="Y5771" s="36"/>
      <c r="Z5771" s="36"/>
      <c r="AA5771" s="36"/>
      <c r="AB5771" s="36"/>
      <c r="AC5771" s="36"/>
      <c r="AD5771" s="36"/>
      <c r="AE5771" s="36"/>
      <c r="AF5771" s="36"/>
      <c r="AG5771" s="36"/>
      <c r="AH5771" s="36"/>
      <c r="AI5771" s="36"/>
      <c r="AJ5771" s="15">
        <f t="shared" si="948"/>
        <v>0</v>
      </c>
      <c r="AK5771" s="14"/>
      <c r="AL5771" s="14"/>
      <c r="AM5771" s="14"/>
      <c r="AN5771" s="14"/>
      <c r="AO5771" s="14"/>
      <c r="AP5771" s="14"/>
      <c r="AQ5771" s="14"/>
      <c r="AR5771" s="14"/>
      <c r="AS5771" s="14"/>
      <c r="AT5771" s="14"/>
      <c r="AU5771" s="14"/>
      <c r="AV5771" s="14"/>
      <c r="AW5771" s="15">
        <f t="shared" si="949"/>
        <v>0</v>
      </c>
      <c r="AX5771" s="16"/>
    </row>
    <row r="5772" spans="2:50" x14ac:dyDescent="0.2">
      <c r="B5772" s="7"/>
      <c r="C5772" s="8">
        <v>15932</v>
      </c>
      <c r="D5772" s="9" t="s">
        <v>84</v>
      </c>
      <c r="E5772" s="10" t="str">
        <f t="shared" si="944"/>
        <v>Rancho La Cuchilla No. 139</v>
      </c>
      <c r="F5772" s="10" t="str">
        <f t="shared" si="945"/>
        <v>Garcia</v>
      </c>
      <c r="G5772" s="8">
        <v>5</v>
      </c>
      <c r="H5772" s="11">
        <v>50</v>
      </c>
      <c r="I5772" s="12">
        <v>43142</v>
      </c>
      <c r="J5772" s="35">
        <f t="shared" si="946"/>
        <v>0</v>
      </c>
      <c r="K5772" s="36"/>
      <c r="L5772" s="36"/>
      <c r="M5772" s="36"/>
      <c r="N5772" s="36"/>
      <c r="O5772" s="36"/>
      <c r="P5772" s="36"/>
      <c r="Q5772" s="36"/>
      <c r="R5772" s="36"/>
      <c r="S5772" s="36"/>
      <c r="T5772" s="36"/>
      <c r="U5772" s="36"/>
      <c r="V5772" s="36"/>
      <c r="W5772" s="15">
        <f t="shared" si="947"/>
        <v>0</v>
      </c>
      <c r="X5772" s="36"/>
      <c r="Y5772" s="36"/>
      <c r="Z5772" s="36"/>
      <c r="AA5772" s="36"/>
      <c r="AB5772" s="36"/>
      <c r="AC5772" s="36"/>
      <c r="AD5772" s="36"/>
      <c r="AE5772" s="36"/>
      <c r="AF5772" s="36"/>
      <c r="AG5772" s="36"/>
      <c r="AH5772" s="36"/>
      <c r="AI5772" s="36"/>
      <c r="AJ5772" s="15">
        <f t="shared" si="948"/>
        <v>0</v>
      </c>
      <c r="AK5772" s="14"/>
      <c r="AL5772" s="14"/>
      <c r="AM5772" s="14"/>
      <c r="AN5772" s="14"/>
      <c r="AO5772" s="14"/>
      <c r="AP5772" s="14"/>
      <c r="AQ5772" s="14"/>
      <c r="AR5772" s="14"/>
      <c r="AS5772" s="14"/>
      <c r="AT5772" s="14"/>
      <c r="AU5772" s="14"/>
      <c r="AV5772" s="14"/>
      <c r="AW5772" s="15">
        <f t="shared" si="949"/>
        <v>0</v>
      </c>
      <c r="AX5772" s="16"/>
    </row>
    <row r="5773" spans="2:50" x14ac:dyDescent="0.2">
      <c r="B5773" s="7"/>
      <c r="C5773" s="8">
        <v>15933</v>
      </c>
      <c r="D5773" s="9" t="s">
        <v>509</v>
      </c>
      <c r="E5773" s="10" t="str">
        <f t="shared" si="944"/>
        <v>Rancho La Cuchilla No. 77</v>
      </c>
      <c r="F5773" s="10" t="str">
        <f t="shared" si="945"/>
        <v>Loperena</v>
      </c>
      <c r="G5773" s="8">
        <v>1</v>
      </c>
      <c r="H5773" s="11">
        <v>600</v>
      </c>
      <c r="I5773" s="12">
        <v>43142</v>
      </c>
      <c r="J5773" s="35">
        <f t="shared" si="946"/>
        <v>0</v>
      </c>
      <c r="K5773" s="36"/>
      <c r="L5773" s="36"/>
      <c r="M5773" s="36"/>
      <c r="N5773" s="36"/>
      <c r="O5773" s="36"/>
      <c r="P5773" s="36"/>
      <c r="Q5773" s="36"/>
      <c r="R5773" s="36"/>
      <c r="S5773" s="36"/>
      <c r="T5773" s="36"/>
      <c r="U5773" s="36"/>
      <c r="V5773" s="36"/>
      <c r="W5773" s="15">
        <f t="shared" si="947"/>
        <v>0</v>
      </c>
      <c r="X5773" s="36"/>
      <c r="Y5773" s="36"/>
      <c r="Z5773" s="36"/>
      <c r="AA5773" s="36"/>
      <c r="AB5773" s="36"/>
      <c r="AC5773" s="36"/>
      <c r="AD5773" s="36"/>
      <c r="AE5773" s="36"/>
      <c r="AF5773" s="36"/>
      <c r="AG5773" s="36"/>
      <c r="AH5773" s="36"/>
      <c r="AI5773" s="36"/>
      <c r="AJ5773" s="15">
        <f t="shared" si="948"/>
        <v>0</v>
      </c>
      <c r="AK5773" s="14">
        <v>300</v>
      </c>
      <c r="AL5773" s="14">
        <v>300</v>
      </c>
      <c r="AM5773" s="14"/>
      <c r="AN5773" s="14"/>
      <c r="AO5773" s="14"/>
      <c r="AP5773" s="14"/>
      <c r="AQ5773" s="14"/>
      <c r="AR5773" s="14"/>
      <c r="AS5773" s="14"/>
      <c r="AT5773" s="14"/>
      <c r="AU5773" s="14"/>
      <c r="AV5773" s="14"/>
      <c r="AW5773" s="15">
        <f t="shared" si="949"/>
        <v>600</v>
      </c>
      <c r="AX5773" s="16"/>
    </row>
    <row r="5774" spans="2:50" x14ac:dyDescent="0.2">
      <c r="B5774" s="7"/>
      <c r="C5774" s="8">
        <v>15934</v>
      </c>
      <c r="D5774" s="9" t="s">
        <v>58</v>
      </c>
      <c r="E5774" s="10" t="str">
        <f t="shared" ref="E5774:E5788" si="950">IF(D5774=0,"",VLOOKUP(D5774,BASE,2,FALSE))</f>
        <v>Rancho Landero No. 19</v>
      </c>
      <c r="F5774" s="10" t="str">
        <f t="shared" ref="F5774:F5788" si="951">IF(D5774=0,"",VLOOKUP(D5774,BASE,3,FALSE))</f>
        <v>Becerril Amaya</v>
      </c>
      <c r="G5774" s="8">
        <v>1</v>
      </c>
      <c r="H5774" s="11">
        <v>3300</v>
      </c>
      <c r="I5774" s="12">
        <v>43142</v>
      </c>
      <c r="J5774" s="35">
        <f t="shared" ref="J5774:J5788" si="952">IF(G5774=1,SUM(W5774,AJ5774,AW5774,-H5774),0)</f>
        <v>0</v>
      </c>
      <c r="K5774" s="36"/>
      <c r="L5774" s="36"/>
      <c r="M5774" s="36"/>
      <c r="N5774" s="36"/>
      <c r="O5774" s="36"/>
      <c r="P5774" s="36"/>
      <c r="Q5774" s="36"/>
      <c r="R5774" s="36"/>
      <c r="S5774" s="36"/>
      <c r="T5774" s="36"/>
      <c r="U5774" s="36"/>
      <c r="V5774" s="36"/>
      <c r="W5774" s="15">
        <f t="shared" ref="W5774:W5788" si="953">SUM(K5774:V5774)</f>
        <v>0</v>
      </c>
      <c r="X5774" s="36"/>
      <c r="Y5774" s="36"/>
      <c r="Z5774" s="36"/>
      <c r="AA5774" s="36"/>
      <c r="AB5774" s="36"/>
      <c r="AC5774" s="36"/>
      <c r="AD5774" s="36"/>
      <c r="AE5774" s="36"/>
      <c r="AF5774" s="36"/>
      <c r="AG5774" s="36"/>
      <c r="AH5774" s="36"/>
      <c r="AI5774" s="36"/>
      <c r="AJ5774" s="15">
        <f t="shared" ref="AJ5774:AJ5788" si="954">SUM(X5774:AI5774)</f>
        <v>0</v>
      </c>
      <c r="AK5774" s="14">
        <v>300</v>
      </c>
      <c r="AL5774" s="14">
        <v>300</v>
      </c>
      <c r="AM5774" s="14">
        <v>300</v>
      </c>
      <c r="AN5774" s="14">
        <v>300</v>
      </c>
      <c r="AO5774" s="14">
        <v>300</v>
      </c>
      <c r="AP5774" s="14">
        <v>300</v>
      </c>
      <c r="AQ5774" s="14">
        <v>300</v>
      </c>
      <c r="AR5774" s="14">
        <v>300</v>
      </c>
      <c r="AS5774" s="14">
        <v>300</v>
      </c>
      <c r="AT5774" s="14">
        <v>300</v>
      </c>
      <c r="AU5774" s="14">
        <v>300</v>
      </c>
      <c r="AV5774" s="14"/>
      <c r="AW5774" s="15">
        <f t="shared" ref="AW5774:AW5788" si="955">SUM(AK5774:AV5774)</f>
        <v>3300</v>
      </c>
      <c r="AX5774" s="16" t="s">
        <v>4905</v>
      </c>
    </row>
    <row r="5775" spans="2:50" x14ac:dyDescent="0.2">
      <c r="B5775" s="7"/>
      <c r="C5775" s="8">
        <v>15935</v>
      </c>
      <c r="D5775" s="9" t="s">
        <v>803</v>
      </c>
      <c r="E5775" s="10" t="str">
        <f t="shared" si="950"/>
        <v>Rancho La Cuchilla No. 36</v>
      </c>
      <c r="F5775" s="10" t="str">
        <f t="shared" si="951"/>
        <v>Castillo</v>
      </c>
      <c r="G5775" s="8">
        <v>1</v>
      </c>
      <c r="H5775" s="11">
        <v>800</v>
      </c>
      <c r="I5775" s="12">
        <v>43142</v>
      </c>
      <c r="J5775" s="35">
        <f t="shared" si="952"/>
        <v>0</v>
      </c>
      <c r="K5775" s="36"/>
      <c r="L5775" s="36"/>
      <c r="M5775" s="36"/>
      <c r="N5775" s="36"/>
      <c r="O5775" s="36"/>
      <c r="P5775" s="36"/>
      <c r="Q5775" s="36"/>
      <c r="R5775" s="36"/>
      <c r="S5775" s="36"/>
      <c r="T5775" s="36"/>
      <c r="U5775" s="36"/>
      <c r="V5775" s="36"/>
      <c r="W5775" s="15">
        <f t="shared" si="953"/>
        <v>0</v>
      </c>
      <c r="X5775" s="36"/>
      <c r="Y5775" s="36"/>
      <c r="Z5775" s="36"/>
      <c r="AA5775" s="36"/>
      <c r="AB5775" s="36"/>
      <c r="AC5775" s="36"/>
      <c r="AD5775" s="36"/>
      <c r="AE5775" s="36"/>
      <c r="AF5775" s="36"/>
      <c r="AG5775" s="36"/>
      <c r="AH5775" s="36"/>
      <c r="AI5775" s="36">
        <v>400</v>
      </c>
      <c r="AJ5775" s="15">
        <f t="shared" si="954"/>
        <v>400</v>
      </c>
      <c r="AK5775" s="14">
        <v>400</v>
      </c>
      <c r="AL5775" s="14"/>
      <c r="AM5775" s="14"/>
      <c r="AN5775" s="14"/>
      <c r="AO5775" s="14"/>
      <c r="AP5775" s="14"/>
      <c r="AQ5775" s="14"/>
      <c r="AR5775" s="14"/>
      <c r="AS5775" s="14"/>
      <c r="AT5775" s="14"/>
      <c r="AU5775" s="14"/>
      <c r="AV5775" s="14"/>
      <c r="AW5775" s="15">
        <f t="shared" si="955"/>
        <v>400</v>
      </c>
      <c r="AX5775" s="16"/>
    </row>
    <row r="5776" spans="2:50" x14ac:dyDescent="0.2">
      <c r="B5776" s="7"/>
      <c r="C5776" s="8">
        <v>15935</v>
      </c>
      <c r="D5776" s="9" t="s">
        <v>803</v>
      </c>
      <c r="E5776" s="10" t="str">
        <f t="shared" si="950"/>
        <v>Rancho La Cuchilla No. 36</v>
      </c>
      <c r="F5776" s="10" t="str">
        <f t="shared" si="951"/>
        <v>Castillo</v>
      </c>
      <c r="G5776" s="8">
        <v>5</v>
      </c>
      <c r="H5776" s="11">
        <v>50</v>
      </c>
      <c r="I5776" s="12">
        <v>43142</v>
      </c>
      <c r="J5776" s="35">
        <f t="shared" si="952"/>
        <v>0</v>
      </c>
      <c r="K5776" s="36"/>
      <c r="L5776" s="36"/>
      <c r="M5776" s="36"/>
      <c r="N5776" s="36"/>
      <c r="O5776" s="36"/>
      <c r="P5776" s="36"/>
      <c r="Q5776" s="36"/>
      <c r="R5776" s="36"/>
      <c r="S5776" s="36"/>
      <c r="T5776" s="36"/>
      <c r="U5776" s="36"/>
      <c r="V5776" s="36"/>
      <c r="W5776" s="15">
        <f t="shared" si="953"/>
        <v>0</v>
      </c>
      <c r="X5776" s="36"/>
      <c r="Y5776" s="36"/>
      <c r="Z5776" s="36"/>
      <c r="AA5776" s="36"/>
      <c r="AB5776" s="36"/>
      <c r="AC5776" s="36"/>
      <c r="AD5776" s="36"/>
      <c r="AE5776" s="36"/>
      <c r="AF5776" s="36"/>
      <c r="AG5776" s="36"/>
      <c r="AH5776" s="36"/>
      <c r="AI5776" s="36"/>
      <c r="AJ5776" s="15">
        <f t="shared" si="954"/>
        <v>0</v>
      </c>
      <c r="AK5776" s="14"/>
      <c r="AL5776" s="14"/>
      <c r="AM5776" s="14"/>
      <c r="AN5776" s="14"/>
      <c r="AO5776" s="14"/>
      <c r="AP5776" s="14"/>
      <c r="AQ5776" s="14"/>
      <c r="AR5776" s="14"/>
      <c r="AS5776" s="14"/>
      <c r="AT5776" s="14"/>
      <c r="AU5776" s="14"/>
      <c r="AV5776" s="14"/>
      <c r="AW5776" s="15">
        <f t="shared" si="955"/>
        <v>0</v>
      </c>
      <c r="AX5776" s="16"/>
    </row>
    <row r="5777" spans="2:50" x14ac:dyDescent="0.2">
      <c r="B5777" s="7"/>
      <c r="C5777" s="8">
        <v>15936</v>
      </c>
      <c r="D5777" s="9" t="s">
        <v>803</v>
      </c>
      <c r="E5777" s="10" t="str">
        <f t="shared" si="950"/>
        <v>Rancho La Cuchilla No. 36</v>
      </c>
      <c r="F5777" s="10" t="str">
        <f t="shared" si="951"/>
        <v>Castillo</v>
      </c>
      <c r="G5777" s="8">
        <v>4</v>
      </c>
      <c r="H5777" s="11">
        <v>200</v>
      </c>
      <c r="I5777" s="12">
        <v>43142</v>
      </c>
      <c r="J5777" s="35">
        <f t="shared" si="952"/>
        <v>0</v>
      </c>
      <c r="K5777" s="36"/>
      <c r="L5777" s="36"/>
      <c r="M5777" s="36"/>
      <c r="N5777" s="36"/>
      <c r="O5777" s="36"/>
      <c r="P5777" s="36"/>
      <c r="Q5777" s="36"/>
      <c r="R5777" s="36"/>
      <c r="S5777" s="36"/>
      <c r="T5777" s="36"/>
      <c r="U5777" s="36"/>
      <c r="V5777" s="36"/>
      <c r="W5777" s="15">
        <f t="shared" si="953"/>
        <v>0</v>
      </c>
      <c r="X5777" s="36"/>
      <c r="Y5777" s="36"/>
      <c r="Z5777" s="36"/>
      <c r="AA5777" s="36"/>
      <c r="AB5777" s="36"/>
      <c r="AC5777" s="36"/>
      <c r="AD5777" s="36"/>
      <c r="AE5777" s="36"/>
      <c r="AF5777" s="36"/>
      <c r="AG5777" s="36"/>
      <c r="AH5777" s="36"/>
      <c r="AI5777" s="36"/>
      <c r="AJ5777" s="15">
        <f t="shared" si="954"/>
        <v>0</v>
      </c>
      <c r="AK5777" s="14"/>
      <c r="AL5777" s="14"/>
      <c r="AM5777" s="14"/>
      <c r="AN5777" s="14"/>
      <c r="AO5777" s="14"/>
      <c r="AP5777" s="14"/>
      <c r="AQ5777" s="14"/>
      <c r="AR5777" s="14"/>
      <c r="AS5777" s="14"/>
      <c r="AT5777" s="14"/>
      <c r="AU5777" s="14"/>
      <c r="AV5777" s="14"/>
      <c r="AW5777" s="15">
        <f t="shared" si="955"/>
        <v>0</v>
      </c>
      <c r="AX5777" s="16" t="s">
        <v>4985</v>
      </c>
    </row>
    <row r="5778" spans="2:50" x14ac:dyDescent="0.2">
      <c r="B5778" s="7"/>
      <c r="C5778" s="8">
        <v>15936</v>
      </c>
      <c r="D5778" s="9" t="s">
        <v>803</v>
      </c>
      <c r="E5778" s="10" t="str">
        <f t="shared" si="950"/>
        <v>Rancho La Cuchilla No. 36</v>
      </c>
      <c r="F5778" s="10" t="str">
        <f t="shared" si="951"/>
        <v>Castillo</v>
      </c>
      <c r="G5778" s="8">
        <v>7</v>
      </c>
      <c r="H5778" s="11">
        <v>25</v>
      </c>
      <c r="I5778" s="12">
        <v>43142</v>
      </c>
      <c r="J5778" s="35">
        <f t="shared" si="952"/>
        <v>0</v>
      </c>
      <c r="K5778" s="36"/>
      <c r="L5778" s="36"/>
      <c r="M5778" s="36"/>
      <c r="N5778" s="36"/>
      <c r="O5778" s="36"/>
      <c r="P5778" s="36"/>
      <c r="Q5778" s="36"/>
      <c r="R5778" s="36"/>
      <c r="S5778" s="36"/>
      <c r="T5778" s="36"/>
      <c r="U5778" s="36"/>
      <c r="V5778" s="36"/>
      <c r="W5778" s="15">
        <f t="shared" si="953"/>
        <v>0</v>
      </c>
      <c r="X5778" s="36"/>
      <c r="Y5778" s="36"/>
      <c r="Z5778" s="36"/>
      <c r="AA5778" s="36"/>
      <c r="AB5778" s="36"/>
      <c r="AC5778" s="36"/>
      <c r="AD5778" s="36"/>
      <c r="AE5778" s="36"/>
      <c r="AF5778" s="36"/>
      <c r="AG5778" s="36"/>
      <c r="AH5778" s="36"/>
      <c r="AI5778" s="36"/>
      <c r="AJ5778" s="15">
        <f t="shared" si="954"/>
        <v>0</v>
      </c>
      <c r="AK5778" s="14"/>
      <c r="AL5778" s="14"/>
      <c r="AM5778" s="14"/>
      <c r="AN5778" s="14"/>
      <c r="AO5778" s="14"/>
      <c r="AP5778" s="14"/>
      <c r="AQ5778" s="14"/>
      <c r="AR5778" s="14"/>
      <c r="AS5778" s="14"/>
      <c r="AT5778" s="14"/>
      <c r="AU5778" s="14"/>
      <c r="AV5778" s="14"/>
      <c r="AW5778" s="15">
        <f t="shared" si="955"/>
        <v>0</v>
      </c>
      <c r="AX5778" s="16" t="s">
        <v>4328</v>
      </c>
    </row>
    <row r="5779" spans="2:50" x14ac:dyDescent="0.2">
      <c r="B5779" s="7"/>
      <c r="C5779" s="8">
        <v>15937</v>
      </c>
      <c r="D5779" s="9" t="s">
        <v>425</v>
      </c>
      <c r="E5779" s="10" t="str">
        <f t="shared" si="950"/>
        <v>Rancho La Cuchilla No. 120</v>
      </c>
      <c r="F5779" s="10" t="str">
        <f t="shared" si="951"/>
        <v>Pozos Vilchis</v>
      </c>
      <c r="G5779" s="8">
        <v>1</v>
      </c>
      <c r="H5779" s="11">
        <v>400</v>
      </c>
      <c r="I5779" s="12">
        <v>43142</v>
      </c>
      <c r="J5779" s="35">
        <f t="shared" si="952"/>
        <v>0</v>
      </c>
      <c r="K5779" s="36"/>
      <c r="L5779" s="36"/>
      <c r="M5779" s="36"/>
      <c r="N5779" s="36"/>
      <c r="O5779" s="36"/>
      <c r="P5779" s="36"/>
      <c r="Q5779" s="36"/>
      <c r="R5779" s="36"/>
      <c r="S5779" s="36"/>
      <c r="T5779" s="36"/>
      <c r="U5779" s="36"/>
      <c r="V5779" s="36"/>
      <c r="W5779" s="15">
        <f t="shared" si="953"/>
        <v>0</v>
      </c>
      <c r="X5779" s="36"/>
      <c r="Y5779" s="36"/>
      <c r="Z5779" s="36"/>
      <c r="AA5779" s="36"/>
      <c r="AB5779" s="36"/>
      <c r="AC5779" s="36"/>
      <c r="AD5779" s="36"/>
      <c r="AE5779" s="36"/>
      <c r="AF5779" s="36"/>
      <c r="AG5779" s="36"/>
      <c r="AH5779" s="36"/>
      <c r="AI5779" s="36"/>
      <c r="AJ5779" s="15">
        <f t="shared" si="954"/>
        <v>0</v>
      </c>
      <c r="AK5779" s="14"/>
      <c r="AL5779" s="14">
        <v>400</v>
      </c>
      <c r="AM5779" s="14"/>
      <c r="AN5779" s="14"/>
      <c r="AO5779" s="14"/>
      <c r="AP5779" s="14"/>
      <c r="AQ5779" s="14"/>
      <c r="AR5779" s="14"/>
      <c r="AS5779" s="14"/>
      <c r="AT5779" s="14"/>
      <c r="AU5779" s="14"/>
      <c r="AV5779" s="14"/>
      <c r="AW5779" s="15">
        <f t="shared" si="955"/>
        <v>400</v>
      </c>
      <c r="AX5779" s="16"/>
    </row>
    <row r="5780" spans="2:50" x14ac:dyDescent="0.2">
      <c r="B5780" s="7"/>
      <c r="C5780" s="8">
        <v>15938</v>
      </c>
      <c r="D5780" s="9" t="s">
        <v>696</v>
      </c>
      <c r="E5780" s="10" t="str">
        <f t="shared" si="950"/>
        <v>Rancho Upácuaro No. 64</v>
      </c>
      <c r="F5780" s="10" t="str">
        <f t="shared" si="951"/>
        <v>Méndez Oliva</v>
      </c>
      <c r="G5780" s="8">
        <v>1</v>
      </c>
      <c r="H5780" s="11">
        <v>300</v>
      </c>
      <c r="I5780" s="12">
        <v>43142</v>
      </c>
      <c r="J5780" s="35">
        <f t="shared" si="952"/>
        <v>0</v>
      </c>
      <c r="K5780" s="36"/>
      <c r="L5780" s="36"/>
      <c r="M5780" s="36"/>
      <c r="N5780" s="36"/>
      <c r="O5780" s="36"/>
      <c r="P5780" s="36"/>
      <c r="Q5780" s="36"/>
      <c r="R5780" s="36"/>
      <c r="S5780" s="36"/>
      <c r="T5780" s="36"/>
      <c r="U5780" s="36"/>
      <c r="V5780" s="36"/>
      <c r="W5780" s="15">
        <f t="shared" si="953"/>
        <v>0</v>
      </c>
      <c r="X5780" s="36"/>
      <c r="Y5780" s="36"/>
      <c r="Z5780" s="36"/>
      <c r="AA5780" s="36"/>
      <c r="AB5780" s="36"/>
      <c r="AC5780" s="36"/>
      <c r="AD5780" s="36"/>
      <c r="AE5780" s="36"/>
      <c r="AF5780" s="36"/>
      <c r="AG5780" s="36"/>
      <c r="AH5780" s="36"/>
      <c r="AI5780" s="36"/>
      <c r="AJ5780" s="15">
        <f t="shared" si="954"/>
        <v>0</v>
      </c>
      <c r="AK5780" s="14"/>
      <c r="AL5780" s="14">
        <v>300</v>
      </c>
      <c r="AM5780" s="14"/>
      <c r="AN5780" s="14"/>
      <c r="AO5780" s="14"/>
      <c r="AP5780" s="14"/>
      <c r="AQ5780" s="14"/>
      <c r="AR5780" s="14"/>
      <c r="AS5780" s="14"/>
      <c r="AT5780" s="14"/>
      <c r="AU5780" s="14"/>
      <c r="AV5780" s="14"/>
      <c r="AW5780" s="15">
        <f t="shared" si="955"/>
        <v>300</v>
      </c>
      <c r="AX5780" s="16"/>
    </row>
    <row r="5781" spans="2:50" x14ac:dyDescent="0.2">
      <c r="B5781" s="7"/>
      <c r="C5781" s="8">
        <v>15939</v>
      </c>
      <c r="D5781" s="9" t="s">
        <v>268</v>
      </c>
      <c r="E5781" s="10" t="str">
        <f t="shared" si="950"/>
        <v>Rancho Landero No. 90</v>
      </c>
      <c r="F5781" s="10" t="str">
        <f t="shared" si="951"/>
        <v>Córdova Reséndiz</v>
      </c>
      <c r="G5781" s="8">
        <v>1</v>
      </c>
      <c r="H5781" s="11">
        <v>300</v>
      </c>
      <c r="I5781" s="12">
        <v>43142</v>
      </c>
      <c r="J5781" s="35">
        <f t="shared" si="952"/>
        <v>0</v>
      </c>
      <c r="K5781" s="36"/>
      <c r="L5781" s="36"/>
      <c r="M5781" s="36"/>
      <c r="N5781" s="36"/>
      <c r="O5781" s="36"/>
      <c r="P5781" s="36"/>
      <c r="Q5781" s="36"/>
      <c r="R5781" s="36"/>
      <c r="S5781" s="36"/>
      <c r="T5781" s="36"/>
      <c r="U5781" s="36"/>
      <c r="V5781" s="36"/>
      <c r="W5781" s="15">
        <f t="shared" si="953"/>
        <v>0</v>
      </c>
      <c r="X5781" s="36"/>
      <c r="Y5781" s="36"/>
      <c r="Z5781" s="36"/>
      <c r="AA5781" s="36"/>
      <c r="AB5781" s="36"/>
      <c r="AC5781" s="36"/>
      <c r="AD5781" s="36"/>
      <c r="AE5781" s="36"/>
      <c r="AF5781" s="36"/>
      <c r="AG5781" s="36"/>
      <c r="AH5781" s="36"/>
      <c r="AI5781" s="36"/>
      <c r="AJ5781" s="15">
        <f t="shared" si="954"/>
        <v>0</v>
      </c>
      <c r="AK5781" s="14"/>
      <c r="AL5781" s="14">
        <v>300</v>
      </c>
      <c r="AM5781" s="14"/>
      <c r="AN5781" s="14"/>
      <c r="AO5781" s="14"/>
      <c r="AP5781" s="14"/>
      <c r="AQ5781" s="14"/>
      <c r="AR5781" s="14"/>
      <c r="AS5781" s="14"/>
      <c r="AT5781" s="14"/>
      <c r="AU5781" s="14"/>
      <c r="AV5781" s="14"/>
      <c r="AW5781" s="15">
        <f t="shared" si="955"/>
        <v>300</v>
      </c>
      <c r="AX5781" s="16"/>
    </row>
    <row r="5782" spans="2:50" x14ac:dyDescent="0.2">
      <c r="B5782" s="7"/>
      <c r="C5782" s="8">
        <v>15940</v>
      </c>
      <c r="D5782" s="9" t="s">
        <v>195</v>
      </c>
      <c r="E5782" s="10" t="str">
        <f t="shared" si="950"/>
        <v>Rancho Estanzuela No. 100</v>
      </c>
      <c r="F5782" s="10" t="str">
        <f t="shared" si="951"/>
        <v>Arias Monter</v>
      </c>
      <c r="G5782" s="8">
        <v>1</v>
      </c>
      <c r="H5782" s="11">
        <v>1200</v>
      </c>
      <c r="I5782" s="12">
        <v>43142</v>
      </c>
      <c r="J5782" s="35">
        <f t="shared" si="952"/>
        <v>0</v>
      </c>
      <c r="K5782" s="36"/>
      <c r="L5782" s="36"/>
      <c r="M5782" s="36"/>
      <c r="N5782" s="36"/>
      <c r="O5782" s="36"/>
      <c r="P5782" s="36"/>
      <c r="Q5782" s="36"/>
      <c r="R5782" s="36"/>
      <c r="S5782" s="36"/>
      <c r="T5782" s="36"/>
      <c r="U5782" s="36"/>
      <c r="V5782" s="36"/>
      <c r="W5782" s="15">
        <f t="shared" si="953"/>
        <v>0</v>
      </c>
      <c r="X5782" s="36"/>
      <c r="Y5782" s="36"/>
      <c r="Z5782" s="36"/>
      <c r="AA5782" s="36"/>
      <c r="AB5782" s="36"/>
      <c r="AC5782" s="36"/>
      <c r="AD5782" s="36"/>
      <c r="AE5782" s="36"/>
      <c r="AF5782" s="36"/>
      <c r="AG5782" s="36"/>
      <c r="AH5782" s="36">
        <v>400</v>
      </c>
      <c r="AI5782" s="36">
        <v>400</v>
      </c>
      <c r="AJ5782" s="15">
        <f t="shared" si="954"/>
        <v>800</v>
      </c>
      <c r="AK5782" s="14">
        <v>400</v>
      </c>
      <c r="AL5782" s="14"/>
      <c r="AM5782" s="14"/>
      <c r="AN5782" s="14"/>
      <c r="AO5782" s="14"/>
      <c r="AP5782" s="14"/>
      <c r="AQ5782" s="14"/>
      <c r="AR5782" s="14"/>
      <c r="AS5782" s="14"/>
      <c r="AT5782" s="14"/>
      <c r="AU5782" s="14"/>
      <c r="AV5782" s="14"/>
      <c r="AW5782" s="15">
        <f t="shared" si="955"/>
        <v>400</v>
      </c>
      <c r="AX5782" s="16"/>
    </row>
    <row r="5783" spans="2:50" x14ac:dyDescent="0.2">
      <c r="B5783" s="7"/>
      <c r="C5783" s="8">
        <v>15941</v>
      </c>
      <c r="D5783" s="9" t="s">
        <v>301</v>
      </c>
      <c r="E5783" s="10" t="str">
        <f t="shared" si="950"/>
        <v>Rancho Upácuaro No. 51, 2</v>
      </c>
      <c r="F5783" s="10" t="str">
        <f t="shared" si="951"/>
        <v>Santoyo</v>
      </c>
      <c r="G5783" s="8">
        <v>1</v>
      </c>
      <c r="H5783" s="11">
        <v>200</v>
      </c>
      <c r="I5783" s="12">
        <v>43142</v>
      </c>
      <c r="J5783" s="35">
        <f t="shared" si="952"/>
        <v>0</v>
      </c>
      <c r="K5783" s="36"/>
      <c r="L5783" s="36"/>
      <c r="M5783" s="36"/>
      <c r="N5783" s="36"/>
      <c r="O5783" s="36"/>
      <c r="P5783" s="36"/>
      <c r="Q5783" s="36"/>
      <c r="R5783" s="36"/>
      <c r="S5783" s="36"/>
      <c r="T5783" s="36"/>
      <c r="U5783" s="36"/>
      <c r="V5783" s="36"/>
      <c r="W5783" s="15">
        <f t="shared" si="953"/>
        <v>0</v>
      </c>
      <c r="X5783" s="36"/>
      <c r="Y5783" s="36"/>
      <c r="Z5783" s="36"/>
      <c r="AA5783" s="36"/>
      <c r="AB5783" s="36"/>
      <c r="AC5783" s="36"/>
      <c r="AD5783" s="36"/>
      <c r="AE5783" s="36"/>
      <c r="AF5783" s="36"/>
      <c r="AG5783" s="36"/>
      <c r="AH5783" s="36"/>
      <c r="AI5783" s="36"/>
      <c r="AJ5783" s="15">
        <f t="shared" si="954"/>
        <v>0</v>
      </c>
      <c r="AK5783" s="14"/>
      <c r="AL5783" s="14">
        <v>200</v>
      </c>
      <c r="AM5783" s="14"/>
      <c r="AN5783" s="14"/>
      <c r="AO5783" s="14"/>
      <c r="AP5783" s="14"/>
      <c r="AQ5783" s="14"/>
      <c r="AR5783" s="14"/>
      <c r="AS5783" s="14"/>
      <c r="AT5783" s="14"/>
      <c r="AU5783" s="14"/>
      <c r="AV5783" s="14"/>
      <c r="AW5783" s="15">
        <f t="shared" si="955"/>
        <v>200</v>
      </c>
      <c r="AX5783" s="16"/>
    </row>
    <row r="5784" spans="2:50" x14ac:dyDescent="0.2">
      <c r="B5784" s="7"/>
      <c r="C5784" s="8">
        <v>15942</v>
      </c>
      <c r="D5784" s="9" t="s">
        <v>725</v>
      </c>
      <c r="E5784" s="10" t="str">
        <f t="shared" si="950"/>
        <v>Rancho Zinamba No. 34</v>
      </c>
      <c r="F5784" s="10" t="str">
        <f t="shared" si="951"/>
        <v>Torres Zavala</v>
      </c>
      <c r="G5784" s="8">
        <v>1</v>
      </c>
      <c r="H5784" s="11">
        <v>800</v>
      </c>
      <c r="I5784" s="12">
        <v>43142</v>
      </c>
      <c r="J5784" s="35">
        <f t="shared" si="952"/>
        <v>0</v>
      </c>
      <c r="K5784" s="36"/>
      <c r="L5784" s="36"/>
      <c r="M5784" s="36"/>
      <c r="N5784" s="36"/>
      <c r="O5784" s="36"/>
      <c r="P5784" s="36"/>
      <c r="Q5784" s="36"/>
      <c r="R5784" s="36"/>
      <c r="S5784" s="36"/>
      <c r="T5784" s="36"/>
      <c r="U5784" s="36"/>
      <c r="V5784" s="36"/>
      <c r="W5784" s="15">
        <f t="shared" si="953"/>
        <v>0</v>
      </c>
      <c r="X5784" s="36"/>
      <c r="Y5784" s="36"/>
      <c r="Z5784" s="36"/>
      <c r="AA5784" s="36"/>
      <c r="AB5784" s="36"/>
      <c r="AC5784" s="36"/>
      <c r="AD5784" s="36"/>
      <c r="AE5784" s="36"/>
      <c r="AF5784" s="36"/>
      <c r="AG5784" s="36"/>
      <c r="AH5784" s="36"/>
      <c r="AI5784" s="36">
        <v>400</v>
      </c>
      <c r="AJ5784" s="15">
        <f t="shared" si="954"/>
        <v>400</v>
      </c>
      <c r="AK5784" s="14">
        <v>400</v>
      </c>
      <c r="AL5784" s="14"/>
      <c r="AM5784" s="14"/>
      <c r="AN5784" s="14"/>
      <c r="AO5784" s="14"/>
      <c r="AP5784" s="14"/>
      <c r="AQ5784" s="14"/>
      <c r="AR5784" s="14"/>
      <c r="AS5784" s="14"/>
      <c r="AT5784" s="14"/>
      <c r="AU5784" s="14"/>
      <c r="AV5784" s="14"/>
      <c r="AW5784" s="15">
        <f t="shared" si="955"/>
        <v>400</v>
      </c>
      <c r="AX5784" s="16"/>
    </row>
    <row r="5785" spans="2:50" x14ac:dyDescent="0.2">
      <c r="B5785" s="7"/>
      <c r="C5785" s="8">
        <v>15943</v>
      </c>
      <c r="D5785" s="9" t="s">
        <v>192</v>
      </c>
      <c r="E5785" s="10" t="str">
        <f t="shared" si="950"/>
        <v>Rancho Landero No. 77</v>
      </c>
      <c r="F5785" s="10" t="str">
        <f t="shared" si="951"/>
        <v>Muñoz</v>
      </c>
      <c r="G5785" s="8">
        <v>1</v>
      </c>
      <c r="H5785" s="11">
        <v>400</v>
      </c>
      <c r="I5785" s="12">
        <v>43142</v>
      </c>
      <c r="J5785" s="35">
        <f t="shared" si="952"/>
        <v>0</v>
      </c>
      <c r="K5785" s="36"/>
      <c r="L5785" s="36"/>
      <c r="M5785" s="36"/>
      <c r="N5785" s="36"/>
      <c r="O5785" s="36"/>
      <c r="P5785" s="36"/>
      <c r="Q5785" s="36"/>
      <c r="R5785" s="36"/>
      <c r="S5785" s="36"/>
      <c r="T5785" s="36"/>
      <c r="U5785" s="36"/>
      <c r="V5785" s="36"/>
      <c r="W5785" s="15">
        <f t="shared" si="953"/>
        <v>0</v>
      </c>
      <c r="X5785" s="36"/>
      <c r="Y5785" s="36"/>
      <c r="Z5785" s="36"/>
      <c r="AA5785" s="36"/>
      <c r="AB5785" s="36"/>
      <c r="AC5785" s="36"/>
      <c r="AD5785" s="36"/>
      <c r="AE5785" s="36"/>
      <c r="AF5785" s="36"/>
      <c r="AG5785" s="36"/>
      <c r="AH5785" s="36"/>
      <c r="AI5785" s="36"/>
      <c r="AJ5785" s="15">
        <f t="shared" si="954"/>
        <v>0</v>
      </c>
      <c r="AK5785" s="14">
        <v>400</v>
      </c>
      <c r="AL5785" s="14"/>
      <c r="AM5785" s="14"/>
      <c r="AN5785" s="14"/>
      <c r="AO5785" s="14"/>
      <c r="AP5785" s="14"/>
      <c r="AQ5785" s="14"/>
      <c r="AR5785" s="14"/>
      <c r="AS5785" s="14"/>
      <c r="AT5785" s="14"/>
      <c r="AU5785" s="14"/>
      <c r="AV5785" s="14"/>
      <c r="AW5785" s="15">
        <f t="shared" si="955"/>
        <v>400</v>
      </c>
      <c r="AX5785" s="16"/>
    </row>
    <row r="5786" spans="2:50" x14ac:dyDescent="0.2">
      <c r="B5786" s="7"/>
      <c r="C5786" s="8">
        <v>15944</v>
      </c>
      <c r="D5786" s="9" t="s">
        <v>106</v>
      </c>
      <c r="E5786" s="10" t="str">
        <f t="shared" si="950"/>
        <v>Rancho La Cuchilla No. 45</v>
      </c>
      <c r="F5786" s="10" t="str">
        <f t="shared" si="951"/>
        <v>Estévez Hernández</v>
      </c>
      <c r="G5786" s="8">
        <v>4</v>
      </c>
      <c r="H5786" s="11">
        <v>200</v>
      </c>
      <c r="I5786" s="12">
        <v>43142</v>
      </c>
      <c r="J5786" s="35">
        <f t="shared" si="952"/>
        <v>0</v>
      </c>
      <c r="K5786" s="36"/>
      <c r="L5786" s="36"/>
      <c r="M5786" s="36"/>
      <c r="N5786" s="36"/>
      <c r="O5786" s="36"/>
      <c r="P5786" s="36"/>
      <c r="Q5786" s="36"/>
      <c r="R5786" s="36"/>
      <c r="S5786" s="36"/>
      <c r="T5786" s="36"/>
      <c r="U5786" s="36"/>
      <c r="V5786" s="36"/>
      <c r="W5786" s="15">
        <f t="shared" si="953"/>
        <v>0</v>
      </c>
      <c r="X5786" s="36"/>
      <c r="Y5786" s="36"/>
      <c r="Z5786" s="36"/>
      <c r="AA5786" s="36"/>
      <c r="AB5786" s="36"/>
      <c r="AC5786" s="36"/>
      <c r="AD5786" s="36"/>
      <c r="AE5786" s="36"/>
      <c r="AF5786" s="36"/>
      <c r="AG5786" s="36"/>
      <c r="AH5786" s="36"/>
      <c r="AI5786" s="36"/>
      <c r="AJ5786" s="15">
        <f t="shared" si="954"/>
        <v>0</v>
      </c>
      <c r="AK5786" s="14"/>
      <c r="AL5786" s="14"/>
      <c r="AM5786" s="14"/>
      <c r="AN5786" s="14"/>
      <c r="AO5786" s="14"/>
      <c r="AP5786" s="14"/>
      <c r="AQ5786" s="14"/>
      <c r="AR5786" s="14"/>
      <c r="AS5786" s="14"/>
      <c r="AT5786" s="14"/>
      <c r="AU5786" s="14"/>
      <c r="AV5786" s="14"/>
      <c r="AW5786" s="15">
        <f t="shared" si="955"/>
        <v>0</v>
      </c>
      <c r="AX5786" s="16" t="s">
        <v>4986</v>
      </c>
    </row>
    <row r="5787" spans="2:50" x14ac:dyDescent="0.2">
      <c r="B5787" s="7"/>
      <c r="C5787" s="8">
        <v>15945</v>
      </c>
      <c r="D5787" s="9" t="s">
        <v>340</v>
      </c>
      <c r="E5787" s="10" t="str">
        <f t="shared" si="950"/>
        <v>Rancho Romeral No. 17</v>
      </c>
      <c r="F5787" s="10" t="str">
        <f t="shared" si="951"/>
        <v>Aguilar Lomelí</v>
      </c>
      <c r="G5787" s="8">
        <v>3</v>
      </c>
      <c r="H5787" s="11">
        <v>200</v>
      </c>
      <c r="I5787" s="12">
        <v>43142</v>
      </c>
      <c r="J5787" s="35">
        <f t="shared" si="952"/>
        <v>0</v>
      </c>
      <c r="K5787" s="36"/>
      <c r="L5787" s="36"/>
      <c r="M5787" s="36"/>
      <c r="N5787" s="36"/>
      <c r="O5787" s="36"/>
      <c r="P5787" s="36"/>
      <c r="Q5787" s="36"/>
      <c r="R5787" s="36"/>
      <c r="S5787" s="36"/>
      <c r="T5787" s="36"/>
      <c r="U5787" s="36"/>
      <c r="V5787" s="36"/>
      <c r="W5787" s="15">
        <f t="shared" si="953"/>
        <v>0</v>
      </c>
      <c r="X5787" s="36"/>
      <c r="Y5787" s="36"/>
      <c r="Z5787" s="36"/>
      <c r="AA5787" s="36"/>
      <c r="AB5787" s="36"/>
      <c r="AC5787" s="36"/>
      <c r="AD5787" s="36"/>
      <c r="AE5787" s="36"/>
      <c r="AF5787" s="36"/>
      <c r="AG5787" s="36"/>
      <c r="AH5787" s="36"/>
      <c r="AI5787" s="36"/>
      <c r="AJ5787" s="15">
        <f t="shared" si="954"/>
        <v>0</v>
      </c>
      <c r="AK5787" s="14"/>
      <c r="AL5787" s="14"/>
      <c r="AM5787" s="14"/>
      <c r="AN5787" s="14"/>
      <c r="AO5787" s="14"/>
      <c r="AP5787" s="14"/>
      <c r="AQ5787" s="14"/>
      <c r="AR5787" s="14"/>
      <c r="AS5787" s="14"/>
      <c r="AT5787" s="14"/>
      <c r="AU5787" s="14"/>
      <c r="AV5787" s="14"/>
      <c r="AW5787" s="15">
        <f t="shared" si="955"/>
        <v>0</v>
      </c>
      <c r="AX5787" s="16"/>
    </row>
    <row r="5788" spans="2:50" x14ac:dyDescent="0.2">
      <c r="B5788" s="7"/>
      <c r="C5788" s="8">
        <v>15946</v>
      </c>
      <c r="D5788" s="9" t="s">
        <v>1073</v>
      </c>
      <c r="E5788" s="10" t="str">
        <f t="shared" si="950"/>
        <v>Rancho Upácuaro No. 96</v>
      </c>
      <c r="F5788" s="10" t="str">
        <f t="shared" si="951"/>
        <v>Daza Gutiérrez</v>
      </c>
      <c r="G5788" s="8">
        <v>1</v>
      </c>
      <c r="H5788" s="11">
        <v>400</v>
      </c>
      <c r="I5788" s="12">
        <v>43142</v>
      </c>
      <c r="J5788" s="35">
        <f t="shared" si="952"/>
        <v>0</v>
      </c>
      <c r="K5788" s="36"/>
      <c r="L5788" s="36"/>
      <c r="M5788" s="36"/>
      <c r="N5788" s="36"/>
      <c r="O5788" s="36"/>
      <c r="P5788" s="36"/>
      <c r="Q5788" s="36"/>
      <c r="R5788" s="36"/>
      <c r="S5788" s="36"/>
      <c r="T5788" s="36"/>
      <c r="U5788" s="36"/>
      <c r="V5788" s="36"/>
      <c r="W5788" s="15">
        <f t="shared" si="953"/>
        <v>0</v>
      </c>
      <c r="X5788" s="36"/>
      <c r="Y5788" s="36"/>
      <c r="Z5788" s="36"/>
      <c r="AA5788" s="36"/>
      <c r="AB5788" s="36"/>
      <c r="AC5788" s="36"/>
      <c r="AD5788" s="36"/>
      <c r="AE5788" s="36"/>
      <c r="AF5788" s="36"/>
      <c r="AG5788" s="36"/>
      <c r="AH5788" s="36"/>
      <c r="AI5788" s="36"/>
      <c r="AJ5788" s="15">
        <f t="shared" si="954"/>
        <v>0</v>
      </c>
      <c r="AK5788" s="14"/>
      <c r="AL5788" s="14">
        <v>400</v>
      </c>
      <c r="AM5788" s="14"/>
      <c r="AN5788" s="14"/>
      <c r="AO5788" s="14"/>
      <c r="AP5788" s="14"/>
      <c r="AQ5788" s="14"/>
      <c r="AR5788" s="14"/>
      <c r="AS5788" s="14"/>
      <c r="AT5788" s="14"/>
      <c r="AU5788" s="14"/>
      <c r="AV5788" s="14"/>
      <c r="AW5788" s="15">
        <f t="shared" si="955"/>
        <v>400</v>
      </c>
      <c r="AX5788" s="16"/>
    </row>
    <row r="5789" spans="2:50" x14ac:dyDescent="0.2">
      <c r="B5789" s="7"/>
      <c r="C5789" s="8">
        <v>15946</v>
      </c>
      <c r="D5789" s="9" t="s">
        <v>1073</v>
      </c>
      <c r="E5789" s="10" t="str">
        <f t="shared" ref="E5789:E5805" si="956">IF(D5789=0,"",VLOOKUP(D5789,BASE,2,FALSE))</f>
        <v>Rancho Upácuaro No. 96</v>
      </c>
      <c r="F5789" s="10" t="str">
        <f t="shared" ref="F5789:F5805" si="957">IF(D5789=0,"",VLOOKUP(D5789,BASE,3,FALSE))</f>
        <v>Daza Gutiérrez</v>
      </c>
      <c r="G5789" s="8">
        <v>3</v>
      </c>
      <c r="H5789" s="11">
        <v>200</v>
      </c>
      <c r="I5789" s="12">
        <v>43142</v>
      </c>
      <c r="J5789" s="35">
        <f t="shared" ref="J5789:J5805" si="958">IF(G5789=1,SUM(W5789,AJ5789,AW5789,-H5789),0)</f>
        <v>0</v>
      </c>
      <c r="K5789" s="36"/>
      <c r="L5789" s="36"/>
      <c r="M5789" s="36"/>
      <c r="N5789" s="36"/>
      <c r="O5789" s="36"/>
      <c r="P5789" s="36"/>
      <c r="Q5789" s="36"/>
      <c r="R5789" s="36"/>
      <c r="S5789" s="36"/>
      <c r="T5789" s="36"/>
      <c r="U5789" s="36"/>
      <c r="V5789" s="36"/>
      <c r="W5789" s="15">
        <f t="shared" ref="W5789:W5805" si="959">SUM(K5789:V5789)</f>
        <v>0</v>
      </c>
      <c r="X5789" s="36"/>
      <c r="Y5789" s="36"/>
      <c r="Z5789" s="36"/>
      <c r="AA5789" s="36"/>
      <c r="AB5789" s="36"/>
      <c r="AC5789" s="36"/>
      <c r="AD5789" s="36"/>
      <c r="AE5789" s="36"/>
      <c r="AF5789" s="36"/>
      <c r="AG5789" s="36"/>
      <c r="AH5789" s="36"/>
      <c r="AI5789" s="36"/>
      <c r="AJ5789" s="15">
        <f t="shared" ref="AJ5789:AJ5805" si="960">SUM(X5789:AI5789)</f>
        <v>0</v>
      </c>
      <c r="AK5789" s="14"/>
      <c r="AL5789" s="14"/>
      <c r="AM5789" s="14"/>
      <c r="AN5789" s="14"/>
      <c r="AO5789" s="14"/>
      <c r="AP5789" s="14"/>
      <c r="AQ5789" s="14"/>
      <c r="AR5789" s="14"/>
      <c r="AS5789" s="14"/>
      <c r="AT5789" s="14"/>
      <c r="AU5789" s="14"/>
      <c r="AV5789" s="14"/>
      <c r="AW5789" s="15">
        <f t="shared" ref="AW5789:AW5805" si="961">SUM(AK5789:AV5789)</f>
        <v>0</v>
      </c>
      <c r="AX5789" s="16"/>
    </row>
    <row r="5790" spans="2:50" x14ac:dyDescent="0.2">
      <c r="B5790" s="7"/>
      <c r="C5790" s="8">
        <v>15947</v>
      </c>
      <c r="D5790" s="9" t="s">
        <v>407</v>
      </c>
      <c r="E5790" s="10" t="str">
        <f t="shared" si="956"/>
        <v>Rancho Estanzuela No. 99</v>
      </c>
      <c r="F5790" s="10" t="str">
        <f t="shared" si="957"/>
        <v>García López</v>
      </c>
      <c r="G5790" s="8">
        <v>1</v>
      </c>
      <c r="H5790" s="11">
        <v>400</v>
      </c>
      <c r="I5790" s="12">
        <v>43142</v>
      </c>
      <c r="J5790" s="35">
        <f t="shared" si="958"/>
        <v>0</v>
      </c>
      <c r="K5790" s="36"/>
      <c r="L5790" s="36"/>
      <c r="M5790" s="36"/>
      <c r="N5790" s="36"/>
      <c r="O5790" s="36"/>
      <c r="P5790" s="36"/>
      <c r="Q5790" s="36"/>
      <c r="R5790" s="36"/>
      <c r="S5790" s="36"/>
      <c r="T5790" s="36"/>
      <c r="U5790" s="36"/>
      <c r="V5790" s="36"/>
      <c r="W5790" s="15">
        <f t="shared" si="959"/>
        <v>0</v>
      </c>
      <c r="X5790" s="36"/>
      <c r="Y5790" s="36"/>
      <c r="Z5790" s="36"/>
      <c r="AA5790" s="36"/>
      <c r="AB5790" s="36"/>
      <c r="AC5790" s="36"/>
      <c r="AD5790" s="36"/>
      <c r="AE5790" s="36"/>
      <c r="AF5790" s="36"/>
      <c r="AG5790" s="36"/>
      <c r="AH5790" s="36"/>
      <c r="AI5790" s="36"/>
      <c r="AJ5790" s="15">
        <f t="shared" si="960"/>
        <v>0</v>
      </c>
      <c r="AK5790" s="14"/>
      <c r="AL5790" s="14">
        <v>400</v>
      </c>
      <c r="AM5790" s="14"/>
      <c r="AN5790" s="14"/>
      <c r="AO5790" s="14"/>
      <c r="AP5790" s="14"/>
      <c r="AQ5790" s="14"/>
      <c r="AR5790" s="14"/>
      <c r="AS5790" s="14"/>
      <c r="AT5790" s="14"/>
      <c r="AU5790" s="14"/>
      <c r="AV5790" s="14"/>
      <c r="AW5790" s="15">
        <f t="shared" si="961"/>
        <v>400</v>
      </c>
      <c r="AX5790" s="16"/>
    </row>
    <row r="5791" spans="2:50" x14ac:dyDescent="0.2">
      <c r="B5791" s="7"/>
      <c r="C5791" s="8">
        <v>15948</v>
      </c>
      <c r="D5791" s="9" t="s">
        <v>965</v>
      </c>
      <c r="E5791" s="10" t="str">
        <f t="shared" si="956"/>
        <v>Rancho La Cuchilla No. 52</v>
      </c>
      <c r="F5791" s="10" t="str">
        <f t="shared" si="957"/>
        <v>Velázquez</v>
      </c>
      <c r="G5791" s="8">
        <v>1</v>
      </c>
      <c r="H5791" s="11">
        <v>400</v>
      </c>
      <c r="I5791" s="12">
        <v>43142</v>
      </c>
      <c r="J5791" s="35">
        <f t="shared" si="958"/>
        <v>0</v>
      </c>
      <c r="K5791" s="36"/>
      <c r="L5791" s="36"/>
      <c r="M5791" s="36"/>
      <c r="N5791" s="36"/>
      <c r="O5791" s="36"/>
      <c r="P5791" s="36"/>
      <c r="Q5791" s="36"/>
      <c r="R5791" s="36"/>
      <c r="S5791" s="36"/>
      <c r="T5791" s="36"/>
      <c r="U5791" s="36"/>
      <c r="V5791" s="36"/>
      <c r="W5791" s="15">
        <f t="shared" si="959"/>
        <v>0</v>
      </c>
      <c r="X5791" s="36"/>
      <c r="Y5791" s="36"/>
      <c r="Z5791" s="36"/>
      <c r="AA5791" s="36"/>
      <c r="AB5791" s="36"/>
      <c r="AC5791" s="36"/>
      <c r="AD5791" s="36"/>
      <c r="AE5791" s="36"/>
      <c r="AF5791" s="36"/>
      <c r="AG5791" s="36">
        <v>400</v>
      </c>
      <c r="AH5791" s="36"/>
      <c r="AI5791" s="36"/>
      <c r="AJ5791" s="15">
        <f t="shared" si="960"/>
        <v>400</v>
      </c>
      <c r="AK5791" s="14"/>
      <c r="AL5791" s="14"/>
      <c r="AM5791" s="14"/>
      <c r="AN5791" s="14"/>
      <c r="AO5791" s="14"/>
      <c r="AP5791" s="14"/>
      <c r="AQ5791" s="14"/>
      <c r="AR5791" s="14"/>
      <c r="AS5791" s="14"/>
      <c r="AT5791" s="14"/>
      <c r="AU5791" s="14"/>
      <c r="AV5791" s="14"/>
      <c r="AW5791" s="15">
        <f t="shared" si="961"/>
        <v>0</v>
      </c>
      <c r="AX5791" s="16"/>
    </row>
    <row r="5792" spans="2:50" x14ac:dyDescent="0.2">
      <c r="B5792" s="7"/>
      <c r="C5792" s="8">
        <v>15949</v>
      </c>
      <c r="D5792" s="9" t="s">
        <v>965</v>
      </c>
      <c r="E5792" s="10" t="str">
        <f t="shared" si="956"/>
        <v>Rancho La Cuchilla No. 52</v>
      </c>
      <c r="F5792" s="10" t="str">
        <f t="shared" si="957"/>
        <v>Velázquez</v>
      </c>
      <c r="G5792" s="8">
        <v>5</v>
      </c>
      <c r="H5792" s="11">
        <v>50</v>
      </c>
      <c r="I5792" s="12">
        <v>43142</v>
      </c>
      <c r="J5792" s="35">
        <f t="shared" si="958"/>
        <v>0</v>
      </c>
      <c r="K5792" s="36"/>
      <c r="L5792" s="36"/>
      <c r="M5792" s="36"/>
      <c r="N5792" s="36"/>
      <c r="O5792" s="36"/>
      <c r="P5792" s="36"/>
      <c r="Q5792" s="36"/>
      <c r="R5792" s="36"/>
      <c r="S5792" s="36"/>
      <c r="T5792" s="36"/>
      <c r="U5792" s="36"/>
      <c r="V5792" s="36"/>
      <c r="W5792" s="15">
        <f t="shared" si="959"/>
        <v>0</v>
      </c>
      <c r="X5792" s="36"/>
      <c r="Y5792" s="36"/>
      <c r="Z5792" s="36"/>
      <c r="AA5792" s="36"/>
      <c r="AB5792" s="36"/>
      <c r="AC5792" s="36"/>
      <c r="AD5792" s="36"/>
      <c r="AE5792" s="36"/>
      <c r="AF5792" s="36"/>
      <c r="AG5792" s="36"/>
      <c r="AH5792" s="36"/>
      <c r="AI5792" s="36"/>
      <c r="AJ5792" s="15">
        <f t="shared" si="960"/>
        <v>0</v>
      </c>
      <c r="AK5792" s="14"/>
      <c r="AL5792" s="14"/>
      <c r="AM5792" s="14"/>
      <c r="AN5792" s="14"/>
      <c r="AO5792" s="14"/>
      <c r="AP5792" s="14"/>
      <c r="AQ5792" s="14"/>
      <c r="AR5792" s="14"/>
      <c r="AS5792" s="14"/>
      <c r="AT5792" s="14"/>
      <c r="AU5792" s="14"/>
      <c r="AV5792" s="14"/>
      <c r="AW5792" s="15">
        <f t="shared" si="961"/>
        <v>0</v>
      </c>
      <c r="AX5792" s="16"/>
    </row>
    <row r="5793" spans="2:50" x14ac:dyDescent="0.2">
      <c r="B5793" s="7"/>
      <c r="C5793" s="8">
        <v>15950</v>
      </c>
      <c r="D5793" s="9" t="s">
        <v>168</v>
      </c>
      <c r="E5793" s="10" t="str">
        <f t="shared" si="956"/>
        <v>Rancho Upácuaro No. 73, A</v>
      </c>
      <c r="F5793" s="10" t="str">
        <f t="shared" si="957"/>
        <v>Ortega</v>
      </c>
      <c r="G5793" s="8">
        <v>1</v>
      </c>
      <c r="H5793" s="11">
        <v>400</v>
      </c>
      <c r="I5793" s="12">
        <v>43142</v>
      </c>
      <c r="J5793" s="35">
        <f t="shared" si="958"/>
        <v>0</v>
      </c>
      <c r="K5793" s="36"/>
      <c r="L5793" s="36"/>
      <c r="M5793" s="36"/>
      <c r="N5793" s="36"/>
      <c r="O5793" s="36"/>
      <c r="P5793" s="36"/>
      <c r="Q5793" s="36"/>
      <c r="R5793" s="36"/>
      <c r="S5793" s="36"/>
      <c r="T5793" s="36"/>
      <c r="U5793" s="36"/>
      <c r="V5793" s="36"/>
      <c r="W5793" s="15">
        <f t="shared" si="959"/>
        <v>0</v>
      </c>
      <c r="X5793" s="36"/>
      <c r="Y5793" s="36"/>
      <c r="Z5793" s="36"/>
      <c r="AA5793" s="36"/>
      <c r="AB5793" s="36"/>
      <c r="AC5793" s="36"/>
      <c r="AD5793" s="36"/>
      <c r="AE5793" s="36"/>
      <c r="AF5793" s="36"/>
      <c r="AG5793" s="36">
        <v>200</v>
      </c>
      <c r="AH5793" s="36">
        <v>200</v>
      </c>
      <c r="AI5793" s="36"/>
      <c r="AJ5793" s="15">
        <f t="shared" si="960"/>
        <v>400</v>
      </c>
      <c r="AK5793" s="14"/>
      <c r="AL5793" s="14"/>
      <c r="AM5793" s="14"/>
      <c r="AN5793" s="14"/>
      <c r="AO5793" s="14"/>
      <c r="AP5793" s="14"/>
      <c r="AQ5793" s="14"/>
      <c r="AR5793" s="14"/>
      <c r="AS5793" s="14"/>
      <c r="AT5793" s="14"/>
      <c r="AU5793" s="14"/>
      <c r="AV5793" s="14"/>
      <c r="AW5793" s="15">
        <f t="shared" si="961"/>
        <v>0</v>
      </c>
      <c r="AX5793" s="16"/>
    </row>
    <row r="5794" spans="2:50" x14ac:dyDescent="0.2">
      <c r="B5794" s="7"/>
      <c r="C5794" s="8">
        <v>15951</v>
      </c>
      <c r="D5794" s="9" t="s">
        <v>437</v>
      </c>
      <c r="E5794" s="10" t="str">
        <f t="shared" si="956"/>
        <v>Rancho Upácuaro No. 47</v>
      </c>
      <c r="F5794" s="10" t="str">
        <f t="shared" si="957"/>
        <v>Flores Muñoz</v>
      </c>
      <c r="G5794" s="8">
        <v>1</v>
      </c>
      <c r="H5794" s="11">
        <v>400</v>
      </c>
      <c r="I5794" s="12">
        <v>43142</v>
      </c>
      <c r="J5794" s="35">
        <f t="shared" si="958"/>
        <v>0</v>
      </c>
      <c r="K5794" s="36"/>
      <c r="L5794" s="36"/>
      <c r="M5794" s="36"/>
      <c r="N5794" s="36"/>
      <c r="O5794" s="36"/>
      <c r="P5794" s="36"/>
      <c r="Q5794" s="36"/>
      <c r="R5794" s="36"/>
      <c r="S5794" s="36"/>
      <c r="T5794" s="36"/>
      <c r="U5794" s="36"/>
      <c r="V5794" s="36"/>
      <c r="W5794" s="15">
        <f t="shared" si="959"/>
        <v>0</v>
      </c>
      <c r="X5794" s="36"/>
      <c r="Y5794" s="36"/>
      <c r="Z5794" s="36"/>
      <c r="AA5794" s="36"/>
      <c r="AB5794" s="36"/>
      <c r="AC5794" s="36"/>
      <c r="AD5794" s="36"/>
      <c r="AE5794" s="36"/>
      <c r="AF5794" s="36"/>
      <c r="AG5794" s="36"/>
      <c r="AH5794" s="36"/>
      <c r="AI5794" s="36"/>
      <c r="AJ5794" s="15">
        <f t="shared" si="960"/>
        <v>0</v>
      </c>
      <c r="AK5794" s="14">
        <v>400</v>
      </c>
      <c r="AL5794" s="14"/>
      <c r="AM5794" s="14"/>
      <c r="AN5794" s="14"/>
      <c r="AO5794" s="14"/>
      <c r="AP5794" s="14"/>
      <c r="AQ5794" s="14"/>
      <c r="AR5794" s="14"/>
      <c r="AS5794" s="14"/>
      <c r="AT5794" s="14"/>
      <c r="AU5794" s="14"/>
      <c r="AV5794" s="14"/>
      <c r="AW5794" s="15">
        <f t="shared" si="961"/>
        <v>400</v>
      </c>
      <c r="AX5794" s="16"/>
    </row>
    <row r="5795" spans="2:50" x14ac:dyDescent="0.2">
      <c r="B5795" s="7"/>
      <c r="C5795" s="8">
        <v>15951</v>
      </c>
      <c r="D5795" s="9" t="s">
        <v>437</v>
      </c>
      <c r="E5795" s="10" t="str">
        <f t="shared" si="956"/>
        <v>Rancho Upácuaro No. 47</v>
      </c>
      <c r="F5795" s="10" t="str">
        <f t="shared" si="957"/>
        <v>Flores Muñoz</v>
      </c>
      <c r="G5795" s="8">
        <v>5</v>
      </c>
      <c r="H5795" s="11">
        <v>50</v>
      </c>
      <c r="I5795" s="12">
        <v>43142</v>
      </c>
      <c r="J5795" s="35">
        <f t="shared" si="958"/>
        <v>0</v>
      </c>
      <c r="K5795" s="36"/>
      <c r="L5795" s="36"/>
      <c r="M5795" s="36"/>
      <c r="N5795" s="36"/>
      <c r="O5795" s="36"/>
      <c r="P5795" s="36"/>
      <c r="Q5795" s="36"/>
      <c r="R5795" s="36"/>
      <c r="S5795" s="36"/>
      <c r="T5795" s="36"/>
      <c r="U5795" s="36"/>
      <c r="V5795" s="36"/>
      <c r="W5795" s="15">
        <f t="shared" si="959"/>
        <v>0</v>
      </c>
      <c r="X5795" s="36"/>
      <c r="Y5795" s="36"/>
      <c r="Z5795" s="36"/>
      <c r="AA5795" s="36"/>
      <c r="AB5795" s="36"/>
      <c r="AC5795" s="36"/>
      <c r="AD5795" s="36"/>
      <c r="AE5795" s="36"/>
      <c r="AF5795" s="36"/>
      <c r="AG5795" s="36"/>
      <c r="AH5795" s="36"/>
      <c r="AI5795" s="36"/>
      <c r="AJ5795" s="15">
        <f t="shared" si="960"/>
        <v>0</v>
      </c>
      <c r="AK5795" s="14"/>
      <c r="AL5795" s="14"/>
      <c r="AM5795" s="14"/>
      <c r="AN5795" s="14"/>
      <c r="AO5795" s="14"/>
      <c r="AP5795" s="14"/>
      <c r="AQ5795" s="14"/>
      <c r="AR5795" s="14"/>
      <c r="AS5795" s="14"/>
      <c r="AT5795" s="14"/>
      <c r="AU5795" s="14"/>
      <c r="AV5795" s="14"/>
      <c r="AW5795" s="15">
        <f t="shared" si="961"/>
        <v>0</v>
      </c>
      <c r="AX5795" s="16"/>
    </row>
    <row r="5796" spans="2:50" x14ac:dyDescent="0.2">
      <c r="B5796" s="7"/>
      <c r="C5796" s="8">
        <v>15952</v>
      </c>
      <c r="D5796" s="9" t="s">
        <v>395</v>
      </c>
      <c r="E5796" s="10" t="str">
        <f t="shared" si="956"/>
        <v>Rancho Landero No. 7</v>
      </c>
      <c r="F5796" s="10" t="str">
        <f t="shared" si="957"/>
        <v>Robles</v>
      </c>
      <c r="G5796" s="8">
        <v>1</v>
      </c>
      <c r="H5796" s="11">
        <v>200</v>
      </c>
      <c r="I5796" s="12">
        <v>43142</v>
      </c>
      <c r="J5796" s="35">
        <f t="shared" si="958"/>
        <v>0</v>
      </c>
      <c r="K5796" s="36"/>
      <c r="L5796" s="36"/>
      <c r="M5796" s="36"/>
      <c r="N5796" s="36"/>
      <c r="O5796" s="36"/>
      <c r="P5796" s="36"/>
      <c r="Q5796" s="36"/>
      <c r="R5796" s="36"/>
      <c r="S5796" s="36"/>
      <c r="T5796" s="36"/>
      <c r="U5796" s="36"/>
      <c r="V5796" s="36"/>
      <c r="W5796" s="15">
        <f t="shared" si="959"/>
        <v>0</v>
      </c>
      <c r="X5796" s="36"/>
      <c r="Y5796" s="36"/>
      <c r="Z5796" s="36"/>
      <c r="AA5796" s="36"/>
      <c r="AB5796" s="36"/>
      <c r="AC5796" s="36"/>
      <c r="AD5796" s="36"/>
      <c r="AE5796" s="36"/>
      <c r="AF5796" s="36"/>
      <c r="AG5796" s="36"/>
      <c r="AH5796" s="36"/>
      <c r="AI5796" s="36"/>
      <c r="AJ5796" s="15">
        <f t="shared" si="960"/>
        <v>0</v>
      </c>
      <c r="AK5796" s="14"/>
      <c r="AL5796" s="14">
        <v>200</v>
      </c>
      <c r="AM5796" s="14"/>
      <c r="AN5796" s="14"/>
      <c r="AO5796" s="14"/>
      <c r="AP5796" s="14"/>
      <c r="AQ5796" s="14"/>
      <c r="AR5796" s="14"/>
      <c r="AS5796" s="14"/>
      <c r="AT5796" s="14"/>
      <c r="AU5796" s="14"/>
      <c r="AV5796" s="14"/>
      <c r="AW5796" s="15">
        <f t="shared" si="961"/>
        <v>200</v>
      </c>
      <c r="AX5796" s="16"/>
    </row>
    <row r="5797" spans="2:50" x14ac:dyDescent="0.2">
      <c r="B5797" s="7"/>
      <c r="C5797" s="8">
        <v>15953</v>
      </c>
      <c r="D5797" s="9" t="s">
        <v>652</v>
      </c>
      <c r="E5797" s="10" t="str">
        <f t="shared" si="956"/>
        <v>Rancho Zinamba No. 74</v>
      </c>
      <c r="F5797" s="10" t="str">
        <f t="shared" si="957"/>
        <v>García Castellanos</v>
      </c>
      <c r="G5797" s="8">
        <v>1</v>
      </c>
      <c r="H5797" s="11">
        <v>400</v>
      </c>
      <c r="I5797" s="12">
        <v>43142</v>
      </c>
      <c r="J5797" s="35">
        <f t="shared" si="958"/>
        <v>0</v>
      </c>
      <c r="K5797" s="36"/>
      <c r="L5797" s="36"/>
      <c r="M5797" s="36"/>
      <c r="N5797" s="36"/>
      <c r="O5797" s="36"/>
      <c r="P5797" s="36"/>
      <c r="Q5797" s="36"/>
      <c r="R5797" s="36"/>
      <c r="S5797" s="36"/>
      <c r="T5797" s="36"/>
      <c r="U5797" s="36"/>
      <c r="V5797" s="36"/>
      <c r="W5797" s="15">
        <f t="shared" si="959"/>
        <v>0</v>
      </c>
      <c r="X5797" s="36"/>
      <c r="Y5797" s="36"/>
      <c r="Z5797" s="36"/>
      <c r="AA5797" s="36"/>
      <c r="AB5797" s="36"/>
      <c r="AC5797" s="36"/>
      <c r="AD5797" s="36"/>
      <c r="AE5797" s="36"/>
      <c r="AF5797" s="36"/>
      <c r="AG5797" s="36"/>
      <c r="AH5797" s="36"/>
      <c r="AI5797" s="36"/>
      <c r="AJ5797" s="15">
        <f t="shared" si="960"/>
        <v>0</v>
      </c>
      <c r="AK5797" s="14">
        <v>400</v>
      </c>
      <c r="AL5797" s="14"/>
      <c r="AM5797" s="14"/>
      <c r="AN5797" s="14"/>
      <c r="AO5797" s="14"/>
      <c r="AP5797" s="14"/>
      <c r="AQ5797" s="14"/>
      <c r="AR5797" s="14"/>
      <c r="AS5797" s="14"/>
      <c r="AT5797" s="14"/>
      <c r="AU5797" s="14"/>
      <c r="AV5797" s="14"/>
      <c r="AW5797" s="15">
        <f t="shared" si="961"/>
        <v>400</v>
      </c>
      <c r="AX5797" s="16"/>
    </row>
    <row r="5798" spans="2:50" x14ac:dyDescent="0.2">
      <c r="B5798" s="7"/>
      <c r="C5798" s="8">
        <v>15953</v>
      </c>
      <c r="D5798" s="9" t="s">
        <v>652</v>
      </c>
      <c r="E5798" s="10" t="str">
        <f t="shared" ref="E5798:E5803" si="962">IF(D5798=0,"",VLOOKUP(D5798,BASE,2,FALSE))</f>
        <v>Rancho Zinamba No. 74</v>
      </c>
      <c r="F5798" s="10" t="str">
        <f t="shared" ref="F5798:F5803" si="963">IF(D5798=0,"",VLOOKUP(D5798,BASE,3,FALSE))</f>
        <v>García Castellanos</v>
      </c>
      <c r="G5798" s="8">
        <v>5</v>
      </c>
      <c r="H5798" s="11">
        <v>50</v>
      </c>
      <c r="I5798" s="12">
        <v>43142</v>
      </c>
      <c r="J5798" s="35">
        <f t="shared" ref="J5798:J5803" si="964">IF(G5798=1,SUM(W5798,AJ5798,AW5798,-H5798),0)</f>
        <v>0</v>
      </c>
      <c r="K5798" s="36"/>
      <c r="L5798" s="36"/>
      <c r="M5798" s="36"/>
      <c r="N5798" s="36"/>
      <c r="O5798" s="36"/>
      <c r="P5798" s="36"/>
      <c r="Q5798" s="36"/>
      <c r="R5798" s="36"/>
      <c r="S5798" s="36"/>
      <c r="T5798" s="36"/>
      <c r="U5798" s="36"/>
      <c r="V5798" s="36"/>
      <c r="W5798" s="15">
        <f t="shared" ref="W5798:W5803" si="965">SUM(K5798:V5798)</f>
        <v>0</v>
      </c>
      <c r="X5798" s="36"/>
      <c r="Y5798" s="36"/>
      <c r="Z5798" s="36"/>
      <c r="AA5798" s="36"/>
      <c r="AB5798" s="36"/>
      <c r="AC5798" s="36"/>
      <c r="AD5798" s="36"/>
      <c r="AE5798" s="36"/>
      <c r="AF5798" s="36"/>
      <c r="AG5798" s="36"/>
      <c r="AH5798" s="36"/>
      <c r="AI5798" s="36"/>
      <c r="AJ5798" s="15">
        <f t="shared" ref="AJ5798:AJ5803" si="966">SUM(X5798:AI5798)</f>
        <v>0</v>
      </c>
      <c r="AK5798" s="14"/>
      <c r="AL5798" s="14"/>
      <c r="AM5798" s="14"/>
      <c r="AN5798" s="14"/>
      <c r="AO5798" s="14"/>
      <c r="AP5798" s="14"/>
      <c r="AQ5798" s="14"/>
      <c r="AR5798" s="14"/>
      <c r="AS5798" s="14"/>
      <c r="AT5798" s="14"/>
      <c r="AU5798" s="14"/>
      <c r="AV5798" s="14"/>
      <c r="AW5798" s="15">
        <f t="shared" ref="AW5798:AW5803" si="967">SUM(AK5798:AV5798)</f>
        <v>0</v>
      </c>
      <c r="AX5798" s="16"/>
    </row>
    <row r="5799" spans="2:50" x14ac:dyDescent="0.2">
      <c r="B5799" s="7"/>
      <c r="C5799" s="8">
        <v>15954</v>
      </c>
      <c r="D5799" s="9" t="s">
        <v>708</v>
      </c>
      <c r="E5799" s="10" t="str">
        <f t="shared" si="962"/>
        <v>Rancho Landero No. 21</v>
      </c>
      <c r="F5799" s="10" t="str">
        <f t="shared" si="963"/>
        <v>Meza</v>
      </c>
      <c r="G5799" s="8">
        <v>1</v>
      </c>
      <c r="H5799" s="11">
        <v>1200</v>
      </c>
      <c r="I5799" s="12">
        <v>43142</v>
      </c>
      <c r="J5799" s="35">
        <f t="shared" si="964"/>
        <v>0</v>
      </c>
      <c r="K5799" s="36"/>
      <c r="L5799" s="36"/>
      <c r="M5799" s="36"/>
      <c r="N5799" s="36"/>
      <c r="O5799" s="36"/>
      <c r="P5799" s="36"/>
      <c r="Q5799" s="36"/>
      <c r="R5799" s="36"/>
      <c r="S5799" s="36"/>
      <c r="T5799" s="36"/>
      <c r="U5799" s="36"/>
      <c r="V5799" s="36"/>
      <c r="W5799" s="15">
        <f t="shared" si="965"/>
        <v>0</v>
      </c>
      <c r="X5799" s="36"/>
      <c r="Y5799" s="36"/>
      <c r="Z5799" s="36"/>
      <c r="AA5799" s="36"/>
      <c r="AB5799" s="36"/>
      <c r="AC5799" s="36"/>
      <c r="AD5799" s="36"/>
      <c r="AE5799" s="36"/>
      <c r="AF5799" s="36"/>
      <c r="AG5799" s="36"/>
      <c r="AH5799" s="36"/>
      <c r="AI5799" s="36">
        <v>400</v>
      </c>
      <c r="AJ5799" s="15">
        <f t="shared" si="966"/>
        <v>400</v>
      </c>
      <c r="AK5799" s="14">
        <v>400</v>
      </c>
      <c r="AL5799" s="14">
        <v>400</v>
      </c>
      <c r="AM5799" s="14"/>
      <c r="AN5799" s="14"/>
      <c r="AO5799" s="14"/>
      <c r="AP5799" s="14"/>
      <c r="AQ5799" s="14"/>
      <c r="AR5799" s="14"/>
      <c r="AS5799" s="14"/>
      <c r="AT5799" s="14"/>
      <c r="AU5799" s="14"/>
      <c r="AV5799" s="14"/>
      <c r="AW5799" s="15">
        <f t="shared" si="967"/>
        <v>800</v>
      </c>
      <c r="AX5799" s="16"/>
    </row>
    <row r="5800" spans="2:50" x14ac:dyDescent="0.2">
      <c r="B5800" s="7"/>
      <c r="C5800" s="8">
        <v>15955</v>
      </c>
      <c r="D5800" s="9" t="s">
        <v>156</v>
      </c>
      <c r="E5800" s="10" t="str">
        <f t="shared" si="962"/>
        <v>Rancho Zinamba No. 80</v>
      </c>
      <c r="F5800" s="10" t="str">
        <f t="shared" si="963"/>
        <v>Vázquez</v>
      </c>
      <c r="G5800" s="8">
        <v>1</v>
      </c>
      <c r="H5800" s="11">
        <v>300</v>
      </c>
      <c r="I5800" s="12">
        <v>43142</v>
      </c>
      <c r="J5800" s="35">
        <f t="shared" si="964"/>
        <v>0</v>
      </c>
      <c r="K5800" s="36"/>
      <c r="L5800" s="36"/>
      <c r="M5800" s="36"/>
      <c r="N5800" s="36"/>
      <c r="O5800" s="36"/>
      <c r="P5800" s="36"/>
      <c r="Q5800" s="36"/>
      <c r="R5800" s="36"/>
      <c r="S5800" s="36"/>
      <c r="T5800" s="36"/>
      <c r="U5800" s="36"/>
      <c r="V5800" s="36"/>
      <c r="W5800" s="15">
        <f t="shared" si="965"/>
        <v>0</v>
      </c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15">
        <f t="shared" si="966"/>
        <v>0</v>
      </c>
      <c r="AK5800" s="14"/>
      <c r="AL5800" s="14">
        <v>300</v>
      </c>
      <c r="AM5800" s="14"/>
      <c r="AN5800" s="14"/>
      <c r="AO5800" s="14"/>
      <c r="AP5800" s="14"/>
      <c r="AQ5800" s="14"/>
      <c r="AR5800" s="14"/>
      <c r="AS5800" s="14"/>
      <c r="AT5800" s="14"/>
      <c r="AU5800" s="14"/>
      <c r="AV5800" s="14"/>
      <c r="AW5800" s="15">
        <f t="shared" si="967"/>
        <v>300</v>
      </c>
      <c r="AX5800" s="16"/>
    </row>
    <row r="5801" spans="2:50" x14ac:dyDescent="0.2">
      <c r="B5801" s="7"/>
      <c r="C5801" s="8">
        <v>15956</v>
      </c>
      <c r="D5801" s="9" t="s">
        <v>87</v>
      </c>
      <c r="E5801" s="10" t="str">
        <f t="shared" si="962"/>
        <v>Rancho Zinamba No. 36</v>
      </c>
      <c r="F5801" s="10" t="str">
        <f t="shared" si="963"/>
        <v>Rodríguez Ortiz</v>
      </c>
      <c r="G5801" s="8">
        <v>1</v>
      </c>
      <c r="H5801" s="11">
        <v>800</v>
      </c>
      <c r="I5801" s="12">
        <v>43142</v>
      </c>
      <c r="J5801" s="35">
        <f t="shared" si="964"/>
        <v>0</v>
      </c>
      <c r="K5801" s="36"/>
      <c r="L5801" s="36"/>
      <c r="M5801" s="36"/>
      <c r="N5801" s="36"/>
      <c r="O5801" s="36"/>
      <c r="P5801" s="36"/>
      <c r="Q5801" s="36"/>
      <c r="R5801" s="36"/>
      <c r="S5801" s="36"/>
      <c r="T5801" s="36"/>
      <c r="U5801" s="36"/>
      <c r="V5801" s="36"/>
      <c r="W5801" s="15">
        <f t="shared" si="965"/>
        <v>0</v>
      </c>
      <c r="X5801" s="36"/>
      <c r="Y5801" s="36"/>
      <c r="Z5801" s="36"/>
      <c r="AA5801" s="36"/>
      <c r="AB5801" s="36"/>
      <c r="AC5801" s="36"/>
      <c r="AD5801" s="36"/>
      <c r="AE5801" s="36"/>
      <c r="AF5801" s="36"/>
      <c r="AG5801" s="36"/>
      <c r="AH5801" s="36"/>
      <c r="AI5801" s="36"/>
      <c r="AJ5801" s="15">
        <f t="shared" si="966"/>
        <v>0</v>
      </c>
      <c r="AK5801" s="14"/>
      <c r="AL5801" s="14">
        <v>400</v>
      </c>
      <c r="AM5801" s="14">
        <v>400</v>
      </c>
      <c r="AN5801" s="14"/>
      <c r="AO5801" s="14"/>
      <c r="AP5801" s="14"/>
      <c r="AQ5801" s="14"/>
      <c r="AR5801" s="14"/>
      <c r="AS5801" s="14"/>
      <c r="AT5801" s="14"/>
      <c r="AU5801" s="14"/>
      <c r="AV5801" s="14"/>
      <c r="AW5801" s="15">
        <f t="shared" si="967"/>
        <v>800</v>
      </c>
      <c r="AX5801" s="16"/>
    </row>
    <row r="5802" spans="2:50" x14ac:dyDescent="0.2">
      <c r="B5802" s="7"/>
      <c r="C5802" s="8">
        <v>15957</v>
      </c>
      <c r="D5802" s="9" t="s">
        <v>541</v>
      </c>
      <c r="E5802" s="10" t="str">
        <f t="shared" si="962"/>
        <v>Rancho Estanzuela No. 103, B</v>
      </c>
      <c r="F5802" s="10" t="str">
        <f t="shared" si="963"/>
        <v>Olivares Flores</v>
      </c>
      <c r="G5802" s="8">
        <v>1</v>
      </c>
      <c r="H5802" s="11">
        <v>400</v>
      </c>
      <c r="I5802" s="12">
        <v>43142</v>
      </c>
      <c r="J5802" s="35">
        <f t="shared" si="964"/>
        <v>0</v>
      </c>
      <c r="K5802" s="36"/>
      <c r="L5802" s="36"/>
      <c r="M5802" s="36"/>
      <c r="N5802" s="36"/>
      <c r="O5802" s="36"/>
      <c r="P5802" s="36"/>
      <c r="Q5802" s="36"/>
      <c r="R5802" s="36"/>
      <c r="S5802" s="36"/>
      <c r="T5802" s="36"/>
      <c r="U5802" s="36"/>
      <c r="V5802" s="36"/>
      <c r="W5802" s="15">
        <f t="shared" si="965"/>
        <v>0</v>
      </c>
      <c r="X5802" s="36"/>
      <c r="Y5802" s="36"/>
      <c r="Z5802" s="36"/>
      <c r="AA5802" s="36"/>
      <c r="AB5802" s="36"/>
      <c r="AC5802" s="36"/>
      <c r="AD5802" s="36"/>
      <c r="AE5802" s="36"/>
      <c r="AF5802" s="36"/>
      <c r="AG5802" s="36"/>
      <c r="AH5802" s="36"/>
      <c r="AI5802" s="36"/>
      <c r="AJ5802" s="15">
        <f t="shared" si="966"/>
        <v>0</v>
      </c>
      <c r="AK5802" s="14"/>
      <c r="AL5802" s="14">
        <v>400</v>
      </c>
      <c r="AM5802" s="14"/>
      <c r="AN5802" s="14"/>
      <c r="AO5802" s="14"/>
      <c r="AP5802" s="14"/>
      <c r="AQ5802" s="14"/>
      <c r="AR5802" s="14"/>
      <c r="AS5802" s="14"/>
      <c r="AT5802" s="14"/>
      <c r="AU5802" s="14"/>
      <c r="AV5802" s="14"/>
      <c r="AW5802" s="15">
        <f t="shared" si="967"/>
        <v>400</v>
      </c>
      <c r="AX5802" s="16"/>
    </row>
    <row r="5803" spans="2:50" x14ac:dyDescent="0.2">
      <c r="B5803" s="7"/>
      <c r="C5803" s="8">
        <v>15958</v>
      </c>
      <c r="D5803" s="9" t="s">
        <v>971</v>
      </c>
      <c r="E5803" s="10" t="str">
        <f t="shared" si="962"/>
        <v>Rancho La Cuchilla No. 53</v>
      </c>
      <c r="F5803" s="10" t="str">
        <f t="shared" si="963"/>
        <v>Rivera Hernández</v>
      </c>
      <c r="G5803" s="8">
        <v>1</v>
      </c>
      <c r="H5803" s="11">
        <v>4400</v>
      </c>
      <c r="I5803" s="12">
        <v>43142</v>
      </c>
      <c r="J5803" s="35">
        <f t="shared" si="964"/>
        <v>0</v>
      </c>
      <c r="K5803" s="36"/>
      <c r="L5803" s="36"/>
      <c r="M5803" s="36"/>
      <c r="N5803" s="36"/>
      <c r="O5803" s="36"/>
      <c r="P5803" s="36"/>
      <c r="Q5803" s="36"/>
      <c r="R5803" s="36"/>
      <c r="S5803" s="36"/>
      <c r="T5803" s="36"/>
      <c r="U5803" s="36"/>
      <c r="V5803" s="36"/>
      <c r="W5803" s="15">
        <f t="shared" si="965"/>
        <v>0</v>
      </c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15">
        <f t="shared" si="966"/>
        <v>0</v>
      </c>
      <c r="AK5803" s="14">
        <v>400</v>
      </c>
      <c r="AL5803" s="14">
        <v>400</v>
      </c>
      <c r="AM5803" s="14">
        <v>400</v>
      </c>
      <c r="AN5803" s="14">
        <v>400</v>
      </c>
      <c r="AO5803" s="14">
        <v>400</v>
      </c>
      <c r="AP5803" s="14">
        <v>400</v>
      </c>
      <c r="AQ5803" s="14">
        <v>400</v>
      </c>
      <c r="AR5803" s="14">
        <v>400</v>
      </c>
      <c r="AS5803" s="14">
        <v>400</v>
      </c>
      <c r="AT5803" s="14">
        <v>400</v>
      </c>
      <c r="AU5803" s="14">
        <v>400</v>
      </c>
      <c r="AV5803" s="14"/>
      <c r="AW5803" s="15">
        <f t="shared" si="967"/>
        <v>4400</v>
      </c>
      <c r="AX5803" s="16" t="s">
        <v>4905</v>
      </c>
    </row>
    <row r="5804" spans="2:50" x14ac:dyDescent="0.2">
      <c r="B5804" s="7"/>
      <c r="C5804" s="8">
        <v>15959</v>
      </c>
      <c r="D5804" s="9" t="s">
        <v>583</v>
      </c>
      <c r="E5804" s="10" t="str">
        <f t="shared" si="956"/>
        <v>Rancho La Cuchilla No. 111</v>
      </c>
      <c r="F5804" s="10" t="str">
        <f t="shared" si="957"/>
        <v>García Santos Ofelia</v>
      </c>
      <c r="G5804" s="8">
        <v>1</v>
      </c>
      <c r="H5804" s="11">
        <v>200</v>
      </c>
      <c r="I5804" s="12">
        <v>43142</v>
      </c>
      <c r="J5804" s="35">
        <f t="shared" si="958"/>
        <v>0</v>
      </c>
      <c r="K5804" s="36"/>
      <c r="L5804" s="36"/>
      <c r="M5804" s="36"/>
      <c r="N5804" s="36"/>
      <c r="O5804" s="36"/>
      <c r="P5804" s="36"/>
      <c r="Q5804" s="36"/>
      <c r="R5804" s="36"/>
      <c r="S5804" s="36"/>
      <c r="T5804" s="36"/>
      <c r="U5804" s="36"/>
      <c r="V5804" s="36"/>
      <c r="W5804" s="15">
        <f t="shared" si="959"/>
        <v>0</v>
      </c>
      <c r="X5804" s="36"/>
      <c r="Y5804" s="36"/>
      <c r="Z5804" s="36"/>
      <c r="AA5804" s="36"/>
      <c r="AB5804" s="36"/>
      <c r="AC5804" s="36"/>
      <c r="AD5804" s="36"/>
      <c r="AE5804" s="36"/>
      <c r="AF5804" s="36"/>
      <c r="AG5804" s="36"/>
      <c r="AH5804" s="36"/>
      <c r="AI5804" s="36"/>
      <c r="AJ5804" s="15">
        <f t="shared" si="960"/>
        <v>0</v>
      </c>
      <c r="AK5804" s="14"/>
      <c r="AL5804" s="14">
        <v>200</v>
      </c>
      <c r="AM5804" s="14"/>
      <c r="AN5804" s="14"/>
      <c r="AO5804" s="14"/>
      <c r="AP5804" s="14"/>
      <c r="AQ5804" s="14"/>
      <c r="AR5804" s="14"/>
      <c r="AS5804" s="14"/>
      <c r="AT5804" s="14"/>
      <c r="AU5804" s="14"/>
      <c r="AV5804" s="14"/>
      <c r="AW5804" s="15">
        <f t="shared" si="961"/>
        <v>200</v>
      </c>
      <c r="AX5804" s="16"/>
    </row>
    <row r="5805" spans="2:50" x14ac:dyDescent="0.2">
      <c r="B5805" s="7"/>
      <c r="C5805" s="8">
        <v>15960</v>
      </c>
      <c r="D5805" s="9" t="s">
        <v>162</v>
      </c>
      <c r="E5805" s="10" t="str">
        <f t="shared" si="956"/>
        <v>Rancho La Cuchilla No. 20</v>
      </c>
      <c r="F5805" s="10" t="str">
        <f t="shared" si="957"/>
        <v>Sánchez López</v>
      </c>
      <c r="G5805" s="8">
        <v>4</v>
      </c>
      <c r="H5805" s="11">
        <v>200</v>
      </c>
      <c r="I5805" s="12">
        <v>43142</v>
      </c>
      <c r="J5805" s="35">
        <f t="shared" si="958"/>
        <v>0</v>
      </c>
      <c r="K5805" s="36"/>
      <c r="L5805" s="36"/>
      <c r="M5805" s="36"/>
      <c r="N5805" s="36"/>
      <c r="O5805" s="36"/>
      <c r="P5805" s="36"/>
      <c r="Q5805" s="36"/>
      <c r="R5805" s="36"/>
      <c r="S5805" s="36"/>
      <c r="T5805" s="36"/>
      <c r="U5805" s="36"/>
      <c r="V5805" s="36"/>
      <c r="W5805" s="15">
        <f t="shared" si="959"/>
        <v>0</v>
      </c>
      <c r="X5805" s="36"/>
      <c r="Y5805" s="36"/>
      <c r="Z5805" s="36"/>
      <c r="AA5805" s="36"/>
      <c r="AB5805" s="36"/>
      <c r="AC5805" s="36"/>
      <c r="AD5805" s="36"/>
      <c r="AE5805" s="36"/>
      <c r="AF5805" s="36"/>
      <c r="AG5805" s="36"/>
      <c r="AH5805" s="36"/>
      <c r="AI5805" s="36"/>
      <c r="AJ5805" s="15">
        <f t="shared" si="960"/>
        <v>0</v>
      </c>
      <c r="AK5805" s="14"/>
      <c r="AL5805" s="14"/>
      <c r="AM5805" s="14"/>
      <c r="AN5805" s="14"/>
      <c r="AO5805" s="14"/>
      <c r="AP5805" s="14"/>
      <c r="AQ5805" s="14"/>
      <c r="AR5805" s="14"/>
      <c r="AS5805" s="14"/>
      <c r="AT5805" s="14"/>
      <c r="AU5805" s="14"/>
      <c r="AV5805" s="14"/>
      <c r="AW5805" s="15">
        <f t="shared" si="961"/>
        <v>0</v>
      </c>
      <c r="AX5805" s="16" t="s">
        <v>4987</v>
      </c>
    </row>
    <row r="5806" spans="2:50" x14ac:dyDescent="0.2">
      <c r="B5806" s="7"/>
      <c r="C5806" s="8">
        <v>15961</v>
      </c>
      <c r="D5806" s="9" t="s">
        <v>1326</v>
      </c>
      <c r="E5806" s="10" t="str">
        <f t="shared" ref="E5806:E5810" si="968">IF(D5806=0,"",VLOOKUP(D5806,BASE,2,FALSE))</f>
        <v>Rancho Estanzuela No. 5, B</v>
      </c>
      <c r="F5806" s="10" t="str">
        <f t="shared" ref="F5806:F5810" si="969">IF(D5806=0,"",VLOOKUP(D5806,BASE,3,FALSE))</f>
        <v>Juárez Guerrero</v>
      </c>
      <c r="G5806" s="8">
        <v>1</v>
      </c>
      <c r="H5806" s="11">
        <v>700</v>
      </c>
      <c r="I5806" s="12">
        <v>43142</v>
      </c>
      <c r="J5806" s="35">
        <f t="shared" ref="J5806:J5810" si="970">IF(G5806=1,SUM(W5806,AJ5806,AW5806,-H5806),0)</f>
        <v>0</v>
      </c>
      <c r="K5806" s="36"/>
      <c r="L5806" s="36"/>
      <c r="M5806" s="36"/>
      <c r="N5806" s="36"/>
      <c r="O5806" s="36"/>
      <c r="P5806" s="36"/>
      <c r="Q5806" s="36"/>
      <c r="R5806" s="36"/>
      <c r="S5806" s="36"/>
      <c r="T5806" s="36"/>
      <c r="U5806" s="36"/>
      <c r="V5806" s="36"/>
      <c r="W5806" s="15">
        <f t="shared" ref="W5806:W5810" si="971">SUM(K5806:V5806)</f>
        <v>0</v>
      </c>
      <c r="X5806" s="36"/>
      <c r="Y5806" s="36"/>
      <c r="Z5806" s="36"/>
      <c r="AA5806" s="36"/>
      <c r="AB5806" s="36"/>
      <c r="AC5806" s="36"/>
      <c r="AD5806" s="36"/>
      <c r="AE5806" s="36">
        <v>100</v>
      </c>
      <c r="AF5806" s="36">
        <v>200</v>
      </c>
      <c r="AG5806" s="36">
        <v>200</v>
      </c>
      <c r="AH5806" s="36">
        <v>200</v>
      </c>
      <c r="AI5806" s="36"/>
      <c r="AJ5806" s="15">
        <f t="shared" ref="AJ5806:AJ5810" si="972">SUM(X5806:AI5806)</f>
        <v>700</v>
      </c>
      <c r="AK5806" s="14"/>
      <c r="AL5806" s="14"/>
      <c r="AM5806" s="14"/>
      <c r="AN5806" s="14"/>
      <c r="AO5806" s="14"/>
      <c r="AP5806" s="14"/>
      <c r="AQ5806" s="14"/>
      <c r="AR5806" s="14"/>
      <c r="AS5806" s="14"/>
      <c r="AT5806" s="14"/>
      <c r="AU5806" s="14"/>
      <c r="AV5806" s="14"/>
      <c r="AW5806" s="15">
        <f t="shared" ref="AW5806:AW5810" si="973">SUM(AK5806:AV5806)</f>
        <v>0</v>
      </c>
      <c r="AX5806" s="16"/>
    </row>
    <row r="5807" spans="2:50" x14ac:dyDescent="0.2">
      <c r="B5807" s="7"/>
      <c r="C5807" s="8">
        <v>15962</v>
      </c>
      <c r="D5807" s="9" t="s">
        <v>349</v>
      </c>
      <c r="E5807" s="10" t="str">
        <f t="shared" si="968"/>
        <v>Rancho La Cuchilla No. 15</v>
      </c>
      <c r="F5807" s="10" t="str">
        <f t="shared" si="969"/>
        <v>Guerrero Ponce</v>
      </c>
      <c r="G5807" s="8">
        <v>1</v>
      </c>
      <c r="H5807" s="11">
        <v>300</v>
      </c>
      <c r="I5807" s="12">
        <v>43142</v>
      </c>
      <c r="J5807" s="35">
        <f t="shared" si="970"/>
        <v>0</v>
      </c>
      <c r="K5807" s="36"/>
      <c r="L5807" s="36"/>
      <c r="M5807" s="36"/>
      <c r="N5807" s="36"/>
      <c r="O5807" s="36"/>
      <c r="P5807" s="36"/>
      <c r="Q5807" s="36"/>
      <c r="R5807" s="36"/>
      <c r="S5807" s="36"/>
      <c r="T5807" s="36"/>
      <c r="U5807" s="36"/>
      <c r="V5807" s="36"/>
      <c r="W5807" s="15">
        <f t="shared" si="971"/>
        <v>0</v>
      </c>
      <c r="X5807" s="36"/>
      <c r="Y5807" s="36"/>
      <c r="Z5807" s="36"/>
      <c r="AA5807" s="36"/>
      <c r="AB5807" s="36"/>
      <c r="AC5807" s="36"/>
      <c r="AD5807" s="36"/>
      <c r="AE5807" s="36"/>
      <c r="AF5807" s="36"/>
      <c r="AG5807" s="36"/>
      <c r="AH5807" s="36"/>
      <c r="AI5807" s="36"/>
      <c r="AJ5807" s="15">
        <f t="shared" si="972"/>
        <v>0</v>
      </c>
      <c r="AK5807" s="14"/>
      <c r="AL5807" s="14">
        <v>300</v>
      </c>
      <c r="AM5807" s="14"/>
      <c r="AN5807" s="14"/>
      <c r="AO5807" s="14"/>
      <c r="AP5807" s="14"/>
      <c r="AQ5807" s="14"/>
      <c r="AR5807" s="14"/>
      <c r="AS5807" s="14"/>
      <c r="AT5807" s="14"/>
      <c r="AU5807" s="14"/>
      <c r="AV5807" s="14"/>
      <c r="AW5807" s="15">
        <f t="shared" si="973"/>
        <v>300</v>
      </c>
      <c r="AX5807" s="16"/>
    </row>
    <row r="5808" spans="2:50" x14ac:dyDescent="0.2">
      <c r="B5808" s="7"/>
      <c r="C5808" s="8">
        <v>15962</v>
      </c>
      <c r="D5808" s="9" t="s">
        <v>349</v>
      </c>
      <c r="E5808" s="10" t="str">
        <f t="shared" si="968"/>
        <v>Rancho La Cuchilla No. 15</v>
      </c>
      <c r="F5808" s="10" t="str">
        <f t="shared" si="969"/>
        <v>Guerrero Ponce</v>
      </c>
      <c r="G5808" s="8">
        <v>5</v>
      </c>
      <c r="H5808" s="11">
        <v>100</v>
      </c>
      <c r="I5808" s="12">
        <v>43142</v>
      </c>
      <c r="J5808" s="35">
        <f t="shared" si="970"/>
        <v>0</v>
      </c>
      <c r="K5808" s="36"/>
      <c r="L5808" s="36"/>
      <c r="M5808" s="36"/>
      <c r="N5808" s="36"/>
      <c r="O5808" s="36"/>
      <c r="P5808" s="36"/>
      <c r="Q5808" s="36"/>
      <c r="R5808" s="36"/>
      <c r="S5808" s="36"/>
      <c r="T5808" s="36"/>
      <c r="U5808" s="36"/>
      <c r="V5808" s="36"/>
      <c r="W5808" s="15">
        <f t="shared" si="971"/>
        <v>0</v>
      </c>
      <c r="X5808" s="36"/>
      <c r="Y5808" s="36"/>
      <c r="Z5808" s="36"/>
      <c r="AA5808" s="36"/>
      <c r="AB5808" s="36"/>
      <c r="AC5808" s="36"/>
      <c r="AD5808" s="36"/>
      <c r="AE5808" s="36"/>
      <c r="AF5808" s="36"/>
      <c r="AG5808" s="36"/>
      <c r="AH5808" s="36"/>
      <c r="AI5808" s="36"/>
      <c r="AJ5808" s="15">
        <f t="shared" si="972"/>
        <v>0</v>
      </c>
      <c r="AK5808" s="14"/>
      <c r="AL5808" s="14"/>
      <c r="AM5808" s="14"/>
      <c r="AN5808" s="14"/>
      <c r="AO5808" s="14"/>
      <c r="AP5808" s="14"/>
      <c r="AQ5808" s="14"/>
      <c r="AR5808" s="14"/>
      <c r="AS5808" s="14"/>
      <c r="AT5808" s="14"/>
      <c r="AU5808" s="14"/>
      <c r="AV5808" s="14"/>
      <c r="AW5808" s="15">
        <f t="shared" si="973"/>
        <v>0</v>
      </c>
      <c r="AX5808" s="16"/>
    </row>
    <row r="5809" spans="2:51" x14ac:dyDescent="0.2">
      <c r="B5809" s="7"/>
      <c r="C5809" s="8">
        <v>15963</v>
      </c>
      <c r="D5809" s="9" t="s">
        <v>150</v>
      </c>
      <c r="E5809" s="10" t="str">
        <f t="shared" si="968"/>
        <v>Rancho La Cuchilla No. 33</v>
      </c>
      <c r="F5809" s="10" t="str">
        <f t="shared" si="969"/>
        <v>Tanús</v>
      </c>
      <c r="G5809" s="8">
        <v>1</v>
      </c>
      <c r="H5809" s="11">
        <v>400</v>
      </c>
      <c r="I5809" s="12">
        <v>43142</v>
      </c>
      <c r="J5809" s="35">
        <f t="shared" si="970"/>
        <v>0</v>
      </c>
      <c r="K5809" s="36"/>
      <c r="L5809" s="36"/>
      <c r="M5809" s="36"/>
      <c r="N5809" s="36"/>
      <c r="O5809" s="36"/>
      <c r="P5809" s="36"/>
      <c r="Q5809" s="36"/>
      <c r="R5809" s="36"/>
      <c r="S5809" s="36"/>
      <c r="T5809" s="36"/>
      <c r="U5809" s="36"/>
      <c r="V5809" s="36"/>
      <c r="W5809" s="15">
        <f t="shared" si="971"/>
        <v>0</v>
      </c>
      <c r="X5809" s="36"/>
      <c r="Y5809" s="36"/>
      <c r="Z5809" s="36"/>
      <c r="AA5809" s="36"/>
      <c r="AB5809" s="36"/>
      <c r="AC5809" s="36"/>
      <c r="AD5809" s="36"/>
      <c r="AE5809" s="36"/>
      <c r="AF5809" s="36"/>
      <c r="AG5809" s="36"/>
      <c r="AH5809" s="36"/>
      <c r="AI5809" s="36"/>
      <c r="AJ5809" s="15">
        <f t="shared" si="972"/>
        <v>0</v>
      </c>
      <c r="AK5809" s="14"/>
      <c r="AL5809" s="14">
        <v>400</v>
      </c>
      <c r="AM5809" s="14"/>
      <c r="AN5809" s="14"/>
      <c r="AO5809" s="14"/>
      <c r="AP5809" s="14"/>
      <c r="AQ5809" s="14"/>
      <c r="AR5809" s="14"/>
      <c r="AS5809" s="14"/>
      <c r="AT5809" s="14"/>
      <c r="AU5809" s="14"/>
      <c r="AV5809" s="14"/>
      <c r="AW5809" s="15">
        <f t="shared" si="973"/>
        <v>400</v>
      </c>
      <c r="AX5809" s="16"/>
    </row>
    <row r="5810" spans="2:51" x14ac:dyDescent="0.2">
      <c r="B5810" s="7"/>
      <c r="C5810" s="8">
        <v>15964</v>
      </c>
      <c r="D5810" s="9" t="s">
        <v>896</v>
      </c>
      <c r="E5810" s="10" t="str">
        <f t="shared" si="968"/>
        <v>Rancho La Cuchilla No. 7, 102</v>
      </c>
      <c r="F5810" s="10" t="str">
        <f t="shared" si="969"/>
        <v>García Moreno</v>
      </c>
      <c r="G5810" s="8">
        <v>1</v>
      </c>
      <c r="H5810" s="11">
        <v>800</v>
      </c>
      <c r="I5810" s="12">
        <v>43142</v>
      </c>
      <c r="J5810" s="35">
        <f t="shared" si="970"/>
        <v>0</v>
      </c>
      <c r="K5810" s="36"/>
      <c r="L5810" s="36"/>
      <c r="M5810" s="36"/>
      <c r="N5810" s="36"/>
      <c r="O5810" s="36"/>
      <c r="P5810" s="36"/>
      <c r="Q5810" s="36"/>
      <c r="R5810" s="36"/>
      <c r="S5810" s="36"/>
      <c r="T5810" s="36"/>
      <c r="U5810" s="36"/>
      <c r="V5810" s="36"/>
      <c r="W5810" s="15">
        <f t="shared" si="971"/>
        <v>0</v>
      </c>
      <c r="X5810" s="36"/>
      <c r="Y5810" s="36"/>
      <c r="Z5810" s="36"/>
      <c r="AA5810" s="36"/>
      <c r="AB5810" s="36">
        <v>100</v>
      </c>
      <c r="AC5810" s="36">
        <v>100</v>
      </c>
      <c r="AD5810" s="36">
        <v>100</v>
      </c>
      <c r="AE5810" s="36">
        <v>100</v>
      </c>
      <c r="AF5810" s="36">
        <v>100</v>
      </c>
      <c r="AG5810" s="36">
        <v>100</v>
      </c>
      <c r="AH5810" s="36">
        <v>100</v>
      </c>
      <c r="AI5810" s="36">
        <v>100</v>
      </c>
      <c r="AJ5810" s="15">
        <f t="shared" si="972"/>
        <v>800</v>
      </c>
      <c r="AK5810" s="14"/>
      <c r="AL5810" s="14"/>
      <c r="AM5810" s="14"/>
      <c r="AN5810" s="14"/>
      <c r="AO5810" s="14"/>
      <c r="AP5810" s="14"/>
      <c r="AQ5810" s="14"/>
      <c r="AR5810" s="14"/>
      <c r="AS5810" s="14"/>
      <c r="AT5810" s="14"/>
      <c r="AU5810" s="14"/>
      <c r="AV5810" s="14"/>
      <c r="AW5810" s="15">
        <f t="shared" si="973"/>
        <v>0</v>
      </c>
      <c r="AX5810" s="16"/>
    </row>
    <row r="5811" spans="2:51" x14ac:dyDescent="0.2">
      <c r="B5811" s="7"/>
      <c r="C5811" s="8">
        <v>15965</v>
      </c>
      <c r="D5811" s="9" t="s">
        <v>547</v>
      </c>
      <c r="E5811" s="10" t="str">
        <f t="shared" si="926"/>
        <v>Rancho Zinamba No. 72</v>
      </c>
      <c r="F5811" s="10" t="str">
        <f t="shared" si="927"/>
        <v>Romo de Vivar</v>
      </c>
      <c r="G5811" s="8">
        <v>1</v>
      </c>
      <c r="H5811" s="11">
        <v>600</v>
      </c>
      <c r="I5811" s="12">
        <v>43142</v>
      </c>
      <c r="J5811" s="35">
        <f t="shared" si="928"/>
        <v>0</v>
      </c>
      <c r="K5811" s="36"/>
      <c r="L5811" s="36"/>
      <c r="M5811" s="36"/>
      <c r="N5811" s="36"/>
      <c r="O5811" s="36"/>
      <c r="P5811" s="36"/>
      <c r="Q5811" s="36"/>
      <c r="R5811" s="36"/>
      <c r="S5811" s="36"/>
      <c r="T5811" s="36"/>
      <c r="U5811" s="36"/>
      <c r="V5811" s="36"/>
      <c r="W5811" s="15">
        <f t="shared" si="929"/>
        <v>0</v>
      </c>
      <c r="X5811" s="36"/>
      <c r="Y5811" s="36"/>
      <c r="Z5811" s="36"/>
      <c r="AA5811" s="36"/>
      <c r="AB5811" s="36"/>
      <c r="AC5811" s="36"/>
      <c r="AD5811" s="36"/>
      <c r="AE5811" s="36"/>
      <c r="AF5811" s="36"/>
      <c r="AG5811" s="36"/>
      <c r="AH5811" s="36">
        <v>200</v>
      </c>
      <c r="AI5811" s="36">
        <v>200</v>
      </c>
      <c r="AJ5811" s="15">
        <f t="shared" si="930"/>
        <v>400</v>
      </c>
      <c r="AK5811" s="14">
        <v>200</v>
      </c>
      <c r="AL5811" s="14"/>
      <c r="AM5811" s="14"/>
      <c r="AN5811" s="14"/>
      <c r="AO5811" s="14"/>
      <c r="AP5811" s="14"/>
      <c r="AQ5811" s="14"/>
      <c r="AR5811" s="14"/>
      <c r="AS5811" s="14"/>
      <c r="AT5811" s="14"/>
      <c r="AU5811" s="14"/>
      <c r="AV5811" s="14"/>
      <c r="AW5811" s="15">
        <f t="shared" si="931"/>
        <v>200</v>
      </c>
      <c r="AX5811" s="316">
        <f>SUM(H5755:H5811)</f>
        <v>36575</v>
      </c>
      <c r="AY5811" s="112">
        <f>SUM(H5737:H5811)</f>
        <v>45125</v>
      </c>
    </row>
    <row r="5812" spans="2:51" x14ac:dyDescent="0.2">
      <c r="B5812" s="7"/>
      <c r="C5812" s="8">
        <v>15966</v>
      </c>
      <c r="D5812" s="9" t="s">
        <v>41</v>
      </c>
      <c r="E5812" s="10" t="str">
        <f t="shared" si="926"/>
        <v>Rancho Landero No. 54, 2</v>
      </c>
      <c r="F5812" s="10" t="str">
        <f t="shared" si="927"/>
        <v>Montemayor Santana</v>
      </c>
      <c r="G5812" s="8">
        <v>1</v>
      </c>
      <c r="H5812" s="315">
        <v>200</v>
      </c>
      <c r="I5812" s="12">
        <v>43143</v>
      </c>
      <c r="J5812" s="35">
        <f t="shared" si="928"/>
        <v>0</v>
      </c>
      <c r="K5812" s="36"/>
      <c r="L5812" s="36"/>
      <c r="M5812" s="36"/>
      <c r="N5812" s="36"/>
      <c r="O5812" s="36"/>
      <c r="P5812" s="36"/>
      <c r="Q5812" s="36"/>
      <c r="R5812" s="36"/>
      <c r="S5812" s="36"/>
      <c r="T5812" s="36"/>
      <c r="U5812" s="36"/>
      <c r="V5812" s="36"/>
      <c r="W5812" s="15">
        <f t="shared" si="929"/>
        <v>0</v>
      </c>
      <c r="X5812" s="36"/>
      <c r="Y5812" s="36"/>
      <c r="Z5812" s="36"/>
      <c r="AA5812" s="36"/>
      <c r="AB5812" s="36"/>
      <c r="AC5812" s="36"/>
      <c r="AD5812" s="36"/>
      <c r="AE5812" s="36"/>
      <c r="AF5812" s="36"/>
      <c r="AG5812" s="36"/>
      <c r="AH5812" s="36"/>
      <c r="AI5812" s="36"/>
      <c r="AJ5812" s="15">
        <f t="shared" si="930"/>
        <v>0</v>
      </c>
      <c r="AK5812" s="14">
        <v>200</v>
      </c>
      <c r="AL5812" s="14"/>
      <c r="AM5812" s="14"/>
      <c r="AN5812" s="14"/>
      <c r="AO5812" s="14"/>
      <c r="AP5812" s="14"/>
      <c r="AQ5812" s="14"/>
      <c r="AR5812" s="14"/>
      <c r="AS5812" s="14"/>
      <c r="AT5812" s="14"/>
      <c r="AU5812" s="14"/>
      <c r="AV5812" s="14"/>
      <c r="AW5812" s="15">
        <f t="shared" si="931"/>
        <v>200</v>
      </c>
      <c r="AX5812" s="16"/>
    </row>
    <row r="5813" spans="2:51" x14ac:dyDescent="0.2">
      <c r="B5813" s="7"/>
      <c r="C5813" s="8">
        <v>15966</v>
      </c>
      <c r="D5813" s="9" t="s">
        <v>41</v>
      </c>
      <c r="E5813" s="10" t="str">
        <f t="shared" si="926"/>
        <v>Rancho Landero No. 54, 2</v>
      </c>
      <c r="F5813" s="10" t="str">
        <f t="shared" si="927"/>
        <v>Montemayor Santana</v>
      </c>
      <c r="G5813" s="8">
        <v>5</v>
      </c>
      <c r="H5813" s="11">
        <v>100</v>
      </c>
      <c r="I5813" s="12">
        <v>43143</v>
      </c>
      <c r="J5813" s="35">
        <f t="shared" si="928"/>
        <v>0</v>
      </c>
      <c r="K5813" s="36"/>
      <c r="L5813" s="36"/>
      <c r="M5813" s="36"/>
      <c r="N5813" s="36"/>
      <c r="O5813" s="36"/>
      <c r="P5813" s="36"/>
      <c r="Q5813" s="36"/>
      <c r="R5813" s="36"/>
      <c r="S5813" s="36"/>
      <c r="T5813" s="36"/>
      <c r="U5813" s="36"/>
      <c r="V5813" s="36"/>
      <c r="W5813" s="15">
        <f t="shared" si="929"/>
        <v>0</v>
      </c>
      <c r="X5813" s="36"/>
      <c r="Y5813" s="36"/>
      <c r="Z5813" s="36"/>
      <c r="AA5813" s="36"/>
      <c r="AB5813" s="36"/>
      <c r="AC5813" s="36"/>
      <c r="AD5813" s="36"/>
      <c r="AE5813" s="36"/>
      <c r="AF5813" s="36"/>
      <c r="AG5813" s="36"/>
      <c r="AH5813" s="36"/>
      <c r="AI5813" s="36"/>
      <c r="AJ5813" s="15">
        <f t="shared" si="930"/>
        <v>0</v>
      </c>
      <c r="AK5813" s="14"/>
      <c r="AL5813" s="14"/>
      <c r="AM5813" s="14"/>
      <c r="AN5813" s="14"/>
      <c r="AO5813" s="14"/>
      <c r="AP5813" s="14"/>
      <c r="AQ5813" s="14"/>
      <c r="AR5813" s="14"/>
      <c r="AS5813" s="14"/>
      <c r="AT5813" s="14"/>
      <c r="AU5813" s="14"/>
      <c r="AV5813" s="14"/>
      <c r="AW5813" s="15">
        <f t="shared" si="931"/>
        <v>0</v>
      </c>
      <c r="AX5813" s="16"/>
    </row>
    <row r="5814" spans="2:51" x14ac:dyDescent="0.2">
      <c r="B5814" s="7"/>
      <c r="C5814" s="8">
        <v>15967</v>
      </c>
      <c r="D5814" s="9" t="s">
        <v>112</v>
      </c>
      <c r="E5814" s="10" t="str">
        <f t="shared" si="926"/>
        <v>Rancho Estanzuela No. 129</v>
      </c>
      <c r="F5814" s="10" t="str">
        <f t="shared" si="927"/>
        <v>Sta. María Mendoza</v>
      </c>
      <c r="G5814" s="8">
        <v>1</v>
      </c>
      <c r="H5814" s="11">
        <v>250</v>
      </c>
      <c r="I5814" s="12">
        <v>43143</v>
      </c>
      <c r="J5814" s="35">
        <f t="shared" si="928"/>
        <v>0</v>
      </c>
      <c r="K5814" s="36"/>
      <c r="L5814" s="36"/>
      <c r="M5814" s="36"/>
      <c r="N5814" s="36"/>
      <c r="O5814" s="36"/>
      <c r="P5814" s="36"/>
      <c r="Q5814" s="36"/>
      <c r="R5814" s="36"/>
      <c r="S5814" s="36"/>
      <c r="T5814" s="36"/>
      <c r="U5814" s="36"/>
      <c r="V5814" s="36"/>
      <c r="W5814" s="15">
        <f t="shared" si="929"/>
        <v>0</v>
      </c>
      <c r="X5814" s="36"/>
      <c r="Y5814" s="36"/>
      <c r="Z5814" s="36"/>
      <c r="AA5814" s="36"/>
      <c r="AB5814" s="36"/>
      <c r="AC5814" s="36"/>
      <c r="AD5814" s="36"/>
      <c r="AE5814" s="36"/>
      <c r="AF5814" s="36"/>
      <c r="AG5814" s="36"/>
      <c r="AH5814" s="36"/>
      <c r="AI5814" s="36"/>
      <c r="AJ5814" s="15">
        <f t="shared" si="930"/>
        <v>0</v>
      </c>
      <c r="AK5814" s="14">
        <v>250</v>
      </c>
      <c r="AL5814" s="14"/>
      <c r="AM5814" s="14"/>
      <c r="AN5814" s="14"/>
      <c r="AO5814" s="14"/>
      <c r="AP5814" s="14"/>
      <c r="AQ5814" s="14"/>
      <c r="AR5814" s="14"/>
      <c r="AS5814" s="14"/>
      <c r="AT5814" s="14"/>
      <c r="AU5814" s="14"/>
      <c r="AV5814" s="14"/>
      <c r="AW5814" s="15">
        <f t="shared" si="931"/>
        <v>250</v>
      </c>
      <c r="AX5814" s="16"/>
    </row>
    <row r="5815" spans="2:51" x14ac:dyDescent="0.2">
      <c r="B5815" s="7"/>
      <c r="C5815" s="8">
        <v>15968</v>
      </c>
      <c r="D5815" s="9" t="s">
        <v>90</v>
      </c>
      <c r="E5815" s="10" t="str">
        <f t="shared" ref="E5815:E5849" si="974">IF(D5815=0,"",VLOOKUP(D5815,BASE,2,FALSE))</f>
        <v>Rancho Estanzuela No. 69</v>
      </c>
      <c r="F5815" s="10" t="str">
        <f t="shared" ref="F5815:F5849" si="975">IF(D5815=0,"",VLOOKUP(D5815,BASE,3,FALSE))</f>
        <v>Apaez</v>
      </c>
      <c r="G5815" s="8">
        <v>5</v>
      </c>
      <c r="H5815" s="11">
        <v>50</v>
      </c>
      <c r="I5815" s="12">
        <v>43143</v>
      </c>
      <c r="J5815" s="35">
        <f t="shared" ref="J5815:J5849" si="976">IF(G5815=1,SUM(W5815,AJ5815,AW5815,-H5815),0)</f>
        <v>0</v>
      </c>
      <c r="K5815" s="36"/>
      <c r="L5815" s="36"/>
      <c r="M5815" s="36"/>
      <c r="N5815" s="36"/>
      <c r="O5815" s="36"/>
      <c r="P5815" s="36"/>
      <c r="Q5815" s="36"/>
      <c r="R5815" s="36"/>
      <c r="S5815" s="36"/>
      <c r="T5815" s="36"/>
      <c r="U5815" s="36"/>
      <c r="V5815" s="36"/>
      <c r="W5815" s="15">
        <f t="shared" ref="W5815:W5849" si="977">SUM(K5815:V5815)</f>
        <v>0</v>
      </c>
      <c r="X5815" s="36"/>
      <c r="Y5815" s="36"/>
      <c r="Z5815" s="36"/>
      <c r="AA5815" s="36"/>
      <c r="AB5815" s="36"/>
      <c r="AC5815" s="36"/>
      <c r="AD5815" s="36"/>
      <c r="AE5815" s="36"/>
      <c r="AF5815" s="36"/>
      <c r="AG5815" s="36"/>
      <c r="AH5815" s="36"/>
      <c r="AI5815" s="36"/>
      <c r="AJ5815" s="15">
        <f t="shared" ref="AJ5815:AJ5849" si="978">SUM(X5815:AI5815)</f>
        <v>0</v>
      </c>
      <c r="AK5815" s="14"/>
      <c r="AL5815" s="14"/>
      <c r="AM5815" s="14"/>
      <c r="AN5815" s="14"/>
      <c r="AO5815" s="14"/>
      <c r="AP5815" s="14"/>
      <c r="AQ5815" s="14"/>
      <c r="AR5815" s="14"/>
      <c r="AS5815" s="14"/>
      <c r="AT5815" s="14"/>
      <c r="AU5815" s="14"/>
      <c r="AV5815" s="14"/>
      <c r="AW5815" s="15">
        <f t="shared" ref="AW5815:AW5849" si="979">SUM(AK5815:AV5815)</f>
        <v>0</v>
      </c>
      <c r="AX5815" s="16"/>
    </row>
    <row r="5816" spans="2:51" x14ac:dyDescent="0.2">
      <c r="B5816" s="7"/>
      <c r="C5816" s="8">
        <v>15968</v>
      </c>
      <c r="D5816" s="9" t="s">
        <v>90</v>
      </c>
      <c r="E5816" s="10" t="str">
        <f t="shared" si="974"/>
        <v>Rancho Estanzuela No. 69</v>
      </c>
      <c r="F5816" s="10" t="str">
        <f t="shared" si="975"/>
        <v>Apaez</v>
      </c>
      <c r="G5816" s="8">
        <v>7</v>
      </c>
      <c r="H5816" s="11">
        <v>25</v>
      </c>
      <c r="I5816" s="12">
        <v>43143</v>
      </c>
      <c r="J5816" s="35">
        <f t="shared" si="976"/>
        <v>0</v>
      </c>
      <c r="K5816" s="36"/>
      <c r="L5816" s="36"/>
      <c r="M5816" s="36"/>
      <c r="N5816" s="36"/>
      <c r="O5816" s="36"/>
      <c r="P5816" s="36"/>
      <c r="Q5816" s="36"/>
      <c r="R5816" s="36"/>
      <c r="S5816" s="36"/>
      <c r="T5816" s="36"/>
      <c r="U5816" s="36"/>
      <c r="V5816" s="36"/>
      <c r="W5816" s="15">
        <f t="shared" si="977"/>
        <v>0</v>
      </c>
      <c r="X5816" s="36"/>
      <c r="Y5816" s="36"/>
      <c r="Z5816" s="36"/>
      <c r="AA5816" s="36"/>
      <c r="AB5816" s="36"/>
      <c r="AC5816" s="36"/>
      <c r="AD5816" s="36"/>
      <c r="AE5816" s="36"/>
      <c r="AF5816" s="36"/>
      <c r="AG5816" s="36"/>
      <c r="AH5816" s="36"/>
      <c r="AI5816" s="36"/>
      <c r="AJ5816" s="15">
        <f t="shared" si="978"/>
        <v>0</v>
      </c>
      <c r="AK5816" s="14"/>
      <c r="AL5816" s="14"/>
      <c r="AM5816" s="14"/>
      <c r="AN5816" s="14"/>
      <c r="AO5816" s="14"/>
      <c r="AP5816" s="14"/>
      <c r="AQ5816" s="14"/>
      <c r="AR5816" s="14"/>
      <c r="AS5816" s="14"/>
      <c r="AT5816" s="14"/>
      <c r="AU5816" s="14"/>
      <c r="AV5816" s="14"/>
      <c r="AW5816" s="15">
        <f t="shared" si="979"/>
        <v>0</v>
      </c>
      <c r="AX5816" s="16" t="s">
        <v>3694</v>
      </c>
    </row>
    <row r="5817" spans="2:51" x14ac:dyDescent="0.2">
      <c r="B5817" s="7"/>
      <c r="C5817" s="8">
        <v>15969</v>
      </c>
      <c r="D5817" s="9" t="s">
        <v>346</v>
      </c>
      <c r="E5817" s="10" t="str">
        <f t="shared" si="974"/>
        <v>Rancho Upácuaro No. 108</v>
      </c>
      <c r="F5817" s="10" t="str">
        <f t="shared" si="975"/>
        <v>Mejía</v>
      </c>
      <c r="G5817" s="8">
        <v>1</v>
      </c>
      <c r="H5817" s="11">
        <v>300</v>
      </c>
      <c r="I5817" s="12">
        <v>43145</v>
      </c>
      <c r="J5817" s="35">
        <f t="shared" si="976"/>
        <v>0</v>
      </c>
      <c r="K5817" s="36"/>
      <c r="L5817" s="36"/>
      <c r="M5817" s="36"/>
      <c r="N5817" s="36"/>
      <c r="O5817" s="36"/>
      <c r="P5817" s="36"/>
      <c r="Q5817" s="36"/>
      <c r="R5817" s="36"/>
      <c r="S5817" s="36"/>
      <c r="T5817" s="36"/>
      <c r="U5817" s="36"/>
      <c r="V5817" s="36"/>
      <c r="W5817" s="15">
        <f t="shared" si="977"/>
        <v>0</v>
      </c>
      <c r="X5817" s="36"/>
      <c r="Y5817" s="36"/>
      <c r="Z5817" s="36"/>
      <c r="AA5817" s="36"/>
      <c r="AB5817" s="36"/>
      <c r="AC5817" s="36"/>
      <c r="AD5817" s="36"/>
      <c r="AE5817" s="36"/>
      <c r="AF5817" s="36"/>
      <c r="AG5817" s="36"/>
      <c r="AH5817" s="36"/>
      <c r="AI5817" s="36"/>
      <c r="AJ5817" s="15">
        <f t="shared" si="978"/>
        <v>0</v>
      </c>
      <c r="AK5817" s="14"/>
      <c r="AL5817" s="14">
        <v>300</v>
      </c>
      <c r="AM5817" s="14"/>
      <c r="AN5817" s="14"/>
      <c r="AO5817" s="14"/>
      <c r="AP5817" s="14"/>
      <c r="AQ5817" s="14"/>
      <c r="AR5817" s="14"/>
      <c r="AS5817" s="14"/>
      <c r="AT5817" s="14"/>
      <c r="AU5817" s="14"/>
      <c r="AV5817" s="14"/>
      <c r="AW5817" s="15">
        <f t="shared" si="979"/>
        <v>300</v>
      </c>
      <c r="AX5817" s="16"/>
    </row>
    <row r="5818" spans="2:51" x14ac:dyDescent="0.2">
      <c r="B5818" s="7"/>
      <c r="C5818" s="8">
        <v>15970</v>
      </c>
      <c r="D5818" s="9" t="s">
        <v>1064</v>
      </c>
      <c r="E5818" s="10" t="str">
        <f t="shared" si="974"/>
        <v>Rancho Estanzuela No. 105</v>
      </c>
      <c r="F5818" s="10" t="str">
        <f t="shared" si="975"/>
        <v>Ochoa</v>
      </c>
      <c r="G5818" s="8">
        <v>5</v>
      </c>
      <c r="H5818" s="11">
        <v>50</v>
      </c>
      <c r="I5818" s="12">
        <v>43147</v>
      </c>
      <c r="J5818" s="35">
        <f t="shared" si="976"/>
        <v>0</v>
      </c>
      <c r="K5818" s="36"/>
      <c r="L5818" s="36"/>
      <c r="M5818" s="36"/>
      <c r="N5818" s="36"/>
      <c r="O5818" s="36"/>
      <c r="P5818" s="36"/>
      <c r="Q5818" s="36"/>
      <c r="R5818" s="36"/>
      <c r="S5818" s="36"/>
      <c r="T5818" s="36"/>
      <c r="U5818" s="36"/>
      <c r="V5818" s="36"/>
      <c r="W5818" s="15">
        <f t="shared" si="977"/>
        <v>0</v>
      </c>
      <c r="X5818" s="36"/>
      <c r="Y5818" s="36"/>
      <c r="Z5818" s="36"/>
      <c r="AA5818" s="36"/>
      <c r="AB5818" s="36"/>
      <c r="AC5818" s="36"/>
      <c r="AD5818" s="36"/>
      <c r="AE5818" s="36"/>
      <c r="AF5818" s="36"/>
      <c r="AG5818" s="36"/>
      <c r="AH5818" s="36"/>
      <c r="AI5818" s="36"/>
      <c r="AJ5818" s="15">
        <f t="shared" si="978"/>
        <v>0</v>
      </c>
      <c r="AK5818" s="14"/>
      <c r="AL5818" s="14"/>
      <c r="AM5818" s="14"/>
      <c r="AN5818" s="14"/>
      <c r="AO5818" s="14"/>
      <c r="AP5818" s="14"/>
      <c r="AQ5818" s="14"/>
      <c r="AR5818" s="14"/>
      <c r="AS5818" s="14"/>
      <c r="AT5818" s="14"/>
      <c r="AU5818" s="14"/>
      <c r="AV5818" s="14"/>
      <c r="AW5818" s="15">
        <f t="shared" si="979"/>
        <v>0</v>
      </c>
      <c r="AX5818" s="16"/>
    </row>
    <row r="5819" spans="2:51" x14ac:dyDescent="0.2">
      <c r="B5819" s="7"/>
      <c r="C5819" s="8">
        <v>15971</v>
      </c>
      <c r="D5819" s="9" t="s">
        <v>702</v>
      </c>
      <c r="E5819" s="10" t="str">
        <f t="shared" si="974"/>
        <v>Rancho La Cuchilla No. 81</v>
      </c>
      <c r="F5819" s="10" t="str">
        <f t="shared" si="975"/>
        <v>Suárez</v>
      </c>
      <c r="G5819" s="8">
        <v>4</v>
      </c>
      <c r="H5819" s="11">
        <v>200</v>
      </c>
      <c r="I5819" s="12">
        <v>43147</v>
      </c>
      <c r="J5819" s="35">
        <f t="shared" si="976"/>
        <v>0</v>
      </c>
      <c r="K5819" s="36"/>
      <c r="L5819" s="36"/>
      <c r="M5819" s="36"/>
      <c r="N5819" s="36"/>
      <c r="O5819" s="36"/>
      <c r="P5819" s="36"/>
      <c r="Q5819" s="36"/>
      <c r="R5819" s="36"/>
      <c r="S5819" s="36"/>
      <c r="T5819" s="36"/>
      <c r="U5819" s="36"/>
      <c r="V5819" s="36"/>
      <c r="W5819" s="15">
        <f t="shared" si="977"/>
        <v>0</v>
      </c>
      <c r="X5819" s="36"/>
      <c r="Y5819" s="36"/>
      <c r="Z5819" s="36"/>
      <c r="AA5819" s="36"/>
      <c r="AB5819" s="36"/>
      <c r="AC5819" s="36"/>
      <c r="AD5819" s="36"/>
      <c r="AE5819" s="36"/>
      <c r="AF5819" s="36"/>
      <c r="AG5819" s="36"/>
      <c r="AH5819" s="36"/>
      <c r="AI5819" s="36"/>
      <c r="AJ5819" s="15">
        <f t="shared" si="978"/>
        <v>0</v>
      </c>
      <c r="AK5819" s="14"/>
      <c r="AL5819" s="14"/>
      <c r="AM5819" s="14"/>
      <c r="AN5819" s="14"/>
      <c r="AO5819" s="14"/>
      <c r="AP5819" s="14"/>
      <c r="AQ5819" s="14"/>
      <c r="AR5819" s="14"/>
      <c r="AS5819" s="14"/>
      <c r="AT5819" s="14"/>
      <c r="AU5819" s="14"/>
      <c r="AV5819" s="14"/>
      <c r="AW5819" s="15">
        <f t="shared" si="979"/>
        <v>0</v>
      </c>
      <c r="AX5819" s="16"/>
    </row>
    <row r="5820" spans="2:51" x14ac:dyDescent="0.2">
      <c r="B5820" s="7"/>
      <c r="C5820" s="8">
        <v>15972</v>
      </c>
      <c r="D5820" s="9" t="s">
        <v>458</v>
      </c>
      <c r="E5820" s="10" t="str">
        <f t="shared" si="974"/>
        <v>Rancho Estanzuela No. 143, B</v>
      </c>
      <c r="F5820" s="10" t="str">
        <f t="shared" si="975"/>
        <v>López</v>
      </c>
      <c r="G5820" s="8">
        <v>1</v>
      </c>
      <c r="H5820" s="11">
        <v>400</v>
      </c>
      <c r="I5820" s="12">
        <v>43149</v>
      </c>
      <c r="J5820" s="35">
        <f t="shared" si="976"/>
        <v>0</v>
      </c>
      <c r="K5820" s="36"/>
      <c r="L5820" s="36"/>
      <c r="M5820" s="36"/>
      <c r="N5820" s="36"/>
      <c r="O5820" s="36"/>
      <c r="P5820" s="36"/>
      <c r="Q5820" s="36"/>
      <c r="R5820" s="36"/>
      <c r="S5820" s="36"/>
      <c r="T5820" s="36"/>
      <c r="U5820" s="36"/>
      <c r="V5820" s="36"/>
      <c r="W5820" s="15">
        <f t="shared" si="977"/>
        <v>0</v>
      </c>
      <c r="X5820" s="36"/>
      <c r="Y5820" s="36"/>
      <c r="Z5820" s="36"/>
      <c r="AA5820" s="36"/>
      <c r="AB5820" s="36"/>
      <c r="AC5820" s="36"/>
      <c r="AD5820" s="36"/>
      <c r="AE5820" s="36"/>
      <c r="AF5820" s="36"/>
      <c r="AG5820" s="36"/>
      <c r="AH5820" s="36"/>
      <c r="AI5820" s="36"/>
      <c r="AJ5820" s="15">
        <f t="shared" si="978"/>
        <v>0</v>
      </c>
      <c r="AK5820" s="14"/>
      <c r="AL5820" s="14">
        <v>400</v>
      </c>
      <c r="AM5820" s="14"/>
      <c r="AN5820" s="14"/>
      <c r="AO5820" s="14"/>
      <c r="AP5820" s="14"/>
      <c r="AQ5820" s="14"/>
      <c r="AR5820" s="14"/>
      <c r="AS5820" s="14"/>
      <c r="AT5820" s="14"/>
      <c r="AU5820" s="14"/>
      <c r="AV5820" s="14"/>
      <c r="AW5820" s="15">
        <f t="shared" si="979"/>
        <v>400</v>
      </c>
      <c r="AX5820" s="16"/>
    </row>
    <row r="5821" spans="2:51" x14ac:dyDescent="0.2">
      <c r="B5821" s="7"/>
      <c r="C5821" s="8">
        <v>15972</v>
      </c>
      <c r="D5821" s="9" t="s">
        <v>458</v>
      </c>
      <c r="E5821" s="10" t="str">
        <f t="shared" si="974"/>
        <v>Rancho Estanzuela No. 143, B</v>
      </c>
      <c r="F5821" s="10" t="str">
        <f t="shared" si="975"/>
        <v>López</v>
      </c>
      <c r="G5821" s="8">
        <v>5</v>
      </c>
      <c r="H5821" s="11">
        <v>50</v>
      </c>
      <c r="I5821" s="12">
        <v>43149</v>
      </c>
      <c r="J5821" s="35">
        <f t="shared" si="976"/>
        <v>0</v>
      </c>
      <c r="K5821" s="36"/>
      <c r="L5821" s="36"/>
      <c r="M5821" s="36"/>
      <c r="N5821" s="36"/>
      <c r="O5821" s="36"/>
      <c r="P5821" s="36"/>
      <c r="Q5821" s="36"/>
      <c r="R5821" s="36"/>
      <c r="S5821" s="36"/>
      <c r="T5821" s="36"/>
      <c r="U5821" s="36"/>
      <c r="V5821" s="36"/>
      <c r="W5821" s="15">
        <f t="shared" si="977"/>
        <v>0</v>
      </c>
      <c r="X5821" s="36"/>
      <c r="Y5821" s="36"/>
      <c r="Z5821" s="36"/>
      <c r="AA5821" s="36"/>
      <c r="AB5821" s="36"/>
      <c r="AC5821" s="36"/>
      <c r="AD5821" s="36"/>
      <c r="AE5821" s="36"/>
      <c r="AF5821" s="36"/>
      <c r="AG5821" s="36"/>
      <c r="AH5821" s="36"/>
      <c r="AI5821" s="36"/>
      <c r="AJ5821" s="15">
        <f t="shared" si="978"/>
        <v>0</v>
      </c>
      <c r="AK5821" s="14"/>
      <c r="AL5821" s="14"/>
      <c r="AM5821" s="14"/>
      <c r="AN5821" s="14"/>
      <c r="AO5821" s="14"/>
      <c r="AP5821" s="14"/>
      <c r="AQ5821" s="14"/>
      <c r="AR5821" s="14"/>
      <c r="AS5821" s="14"/>
      <c r="AT5821" s="14"/>
      <c r="AU5821" s="14"/>
      <c r="AV5821" s="14"/>
      <c r="AW5821" s="15">
        <f t="shared" si="979"/>
        <v>0</v>
      </c>
      <c r="AX5821" s="16"/>
    </row>
    <row r="5822" spans="2:51" x14ac:dyDescent="0.2">
      <c r="B5822" s="7"/>
      <c r="C5822" s="8">
        <v>15973</v>
      </c>
      <c r="D5822" s="9" t="s">
        <v>788</v>
      </c>
      <c r="E5822" s="10" t="str">
        <f t="shared" si="974"/>
        <v>Rancho Recoveco No. 175, A</v>
      </c>
      <c r="F5822" s="10" t="str">
        <f t="shared" si="975"/>
        <v>Pérez</v>
      </c>
      <c r="G5822" s="8">
        <v>1</v>
      </c>
      <c r="H5822" s="11">
        <v>4400</v>
      </c>
      <c r="I5822" s="12">
        <v>43149</v>
      </c>
      <c r="J5822" s="35">
        <f t="shared" si="976"/>
        <v>0</v>
      </c>
      <c r="K5822" s="36"/>
      <c r="L5822" s="36"/>
      <c r="M5822" s="36"/>
      <c r="N5822" s="36"/>
      <c r="O5822" s="36"/>
      <c r="P5822" s="36"/>
      <c r="Q5822" s="36"/>
      <c r="R5822" s="36"/>
      <c r="S5822" s="36"/>
      <c r="T5822" s="36"/>
      <c r="U5822" s="36"/>
      <c r="V5822" s="36"/>
      <c r="W5822" s="15">
        <f t="shared" si="977"/>
        <v>0</v>
      </c>
      <c r="X5822" s="36"/>
      <c r="Y5822" s="36"/>
      <c r="Z5822" s="36"/>
      <c r="AA5822" s="36"/>
      <c r="AB5822" s="36"/>
      <c r="AC5822" s="36"/>
      <c r="AD5822" s="36"/>
      <c r="AE5822" s="36"/>
      <c r="AF5822" s="36"/>
      <c r="AG5822" s="36"/>
      <c r="AH5822" s="36"/>
      <c r="AI5822" s="36"/>
      <c r="AJ5822" s="15">
        <f t="shared" si="978"/>
        <v>0</v>
      </c>
      <c r="AK5822" s="14">
        <v>400</v>
      </c>
      <c r="AL5822" s="14">
        <v>400</v>
      </c>
      <c r="AM5822" s="14">
        <v>400</v>
      </c>
      <c r="AN5822" s="14">
        <v>400</v>
      </c>
      <c r="AO5822" s="14">
        <v>400</v>
      </c>
      <c r="AP5822" s="14">
        <v>400</v>
      </c>
      <c r="AQ5822" s="14">
        <v>400</v>
      </c>
      <c r="AR5822" s="14">
        <v>400</v>
      </c>
      <c r="AS5822" s="14">
        <v>400</v>
      </c>
      <c r="AT5822" s="14">
        <v>400</v>
      </c>
      <c r="AU5822" s="14">
        <v>400</v>
      </c>
      <c r="AV5822" s="14"/>
      <c r="AW5822" s="15">
        <f t="shared" si="979"/>
        <v>4400</v>
      </c>
      <c r="AX5822" s="16" t="s">
        <v>4905</v>
      </c>
    </row>
    <row r="5823" spans="2:51" x14ac:dyDescent="0.2">
      <c r="B5823" s="7"/>
      <c r="C5823" s="8">
        <v>15974</v>
      </c>
      <c r="D5823" s="9" t="s">
        <v>740</v>
      </c>
      <c r="E5823" s="10" t="str">
        <f t="shared" si="974"/>
        <v>Rancho Upácuaro No. 65</v>
      </c>
      <c r="F5823" s="10" t="str">
        <f t="shared" si="975"/>
        <v>Cruz González</v>
      </c>
      <c r="G5823" s="8">
        <v>1</v>
      </c>
      <c r="H5823" s="11">
        <v>1200</v>
      </c>
      <c r="I5823" s="12">
        <v>43149</v>
      </c>
      <c r="J5823" s="35">
        <f t="shared" si="976"/>
        <v>0</v>
      </c>
      <c r="K5823" s="36"/>
      <c r="L5823" s="36"/>
      <c r="M5823" s="36"/>
      <c r="N5823" s="36"/>
      <c r="O5823" s="36"/>
      <c r="P5823" s="36"/>
      <c r="Q5823" s="36"/>
      <c r="R5823" s="36"/>
      <c r="S5823" s="36"/>
      <c r="T5823" s="36"/>
      <c r="U5823" s="36"/>
      <c r="V5823" s="36"/>
      <c r="W5823" s="15">
        <f t="shared" si="977"/>
        <v>0</v>
      </c>
      <c r="X5823" s="36"/>
      <c r="Y5823" s="36"/>
      <c r="Z5823" s="36"/>
      <c r="AA5823" s="36"/>
      <c r="AB5823" s="36"/>
      <c r="AC5823" s="36"/>
      <c r="AD5823" s="36"/>
      <c r="AE5823" s="36"/>
      <c r="AF5823" s="36"/>
      <c r="AG5823" s="36"/>
      <c r="AH5823" s="36"/>
      <c r="AI5823" s="36">
        <v>400</v>
      </c>
      <c r="AJ5823" s="15">
        <f t="shared" si="978"/>
        <v>400</v>
      </c>
      <c r="AK5823" s="14">
        <v>400</v>
      </c>
      <c r="AL5823" s="14">
        <v>400</v>
      </c>
      <c r="AM5823" s="14"/>
      <c r="AN5823" s="14"/>
      <c r="AO5823" s="14"/>
      <c r="AP5823" s="14"/>
      <c r="AQ5823" s="14"/>
      <c r="AR5823" s="14"/>
      <c r="AS5823" s="14"/>
      <c r="AT5823" s="14"/>
      <c r="AU5823" s="14"/>
      <c r="AV5823" s="14"/>
      <c r="AW5823" s="15">
        <f t="shared" si="979"/>
        <v>800</v>
      </c>
      <c r="AX5823" s="16"/>
    </row>
    <row r="5824" spans="2:51" x14ac:dyDescent="0.2">
      <c r="B5824" s="7"/>
      <c r="C5824" s="8">
        <v>15975</v>
      </c>
      <c r="D5824" s="9" t="s">
        <v>387</v>
      </c>
      <c r="E5824" s="10" t="str">
        <f t="shared" si="974"/>
        <v>Rancho Upácuaro No. 69</v>
      </c>
      <c r="F5824" s="10" t="str">
        <f t="shared" si="975"/>
        <v>Gómez</v>
      </c>
      <c r="G5824" s="8">
        <v>1</v>
      </c>
      <c r="H5824" s="11">
        <v>400</v>
      </c>
      <c r="I5824" s="12">
        <v>43149</v>
      </c>
      <c r="J5824" s="35">
        <f t="shared" si="976"/>
        <v>0</v>
      </c>
      <c r="K5824" s="36"/>
      <c r="L5824" s="36"/>
      <c r="M5824" s="36"/>
      <c r="N5824" s="36"/>
      <c r="O5824" s="36"/>
      <c r="P5824" s="36"/>
      <c r="Q5824" s="36"/>
      <c r="R5824" s="36"/>
      <c r="S5824" s="36"/>
      <c r="T5824" s="36"/>
      <c r="U5824" s="36"/>
      <c r="V5824" s="36"/>
      <c r="W5824" s="15">
        <f t="shared" si="977"/>
        <v>0</v>
      </c>
      <c r="X5824" s="36"/>
      <c r="Y5824" s="36"/>
      <c r="Z5824" s="36"/>
      <c r="AA5824" s="36"/>
      <c r="AB5824" s="36"/>
      <c r="AC5824" s="36"/>
      <c r="AD5824" s="36"/>
      <c r="AE5824" s="36"/>
      <c r="AF5824" s="36"/>
      <c r="AG5824" s="36"/>
      <c r="AH5824" s="36"/>
      <c r="AI5824" s="36"/>
      <c r="AJ5824" s="15">
        <f t="shared" si="978"/>
        <v>0</v>
      </c>
      <c r="AK5824" s="14"/>
      <c r="AL5824" s="14">
        <v>400</v>
      </c>
      <c r="AM5824" s="14"/>
      <c r="AN5824" s="14"/>
      <c r="AO5824" s="14"/>
      <c r="AP5824" s="14"/>
      <c r="AQ5824" s="14"/>
      <c r="AR5824" s="14"/>
      <c r="AS5824" s="14"/>
      <c r="AT5824" s="14"/>
      <c r="AU5824" s="14"/>
      <c r="AV5824" s="14"/>
      <c r="AW5824" s="15">
        <f t="shared" si="979"/>
        <v>400</v>
      </c>
      <c r="AX5824" s="16"/>
    </row>
    <row r="5825" spans="2:50" x14ac:dyDescent="0.2">
      <c r="B5825" s="7"/>
      <c r="C5825" s="8">
        <v>15975</v>
      </c>
      <c r="D5825" s="9" t="s">
        <v>387</v>
      </c>
      <c r="E5825" s="10" t="str">
        <f t="shared" si="974"/>
        <v>Rancho Upácuaro No. 69</v>
      </c>
      <c r="F5825" s="10" t="str">
        <f t="shared" si="975"/>
        <v>Gómez</v>
      </c>
      <c r="G5825" s="8">
        <v>5</v>
      </c>
      <c r="H5825" s="11">
        <v>50</v>
      </c>
      <c r="I5825" s="12">
        <v>43149</v>
      </c>
      <c r="J5825" s="35">
        <f t="shared" si="976"/>
        <v>0</v>
      </c>
      <c r="K5825" s="36"/>
      <c r="L5825" s="36"/>
      <c r="M5825" s="36"/>
      <c r="N5825" s="36"/>
      <c r="O5825" s="36"/>
      <c r="P5825" s="36"/>
      <c r="Q5825" s="36"/>
      <c r="R5825" s="36"/>
      <c r="S5825" s="36"/>
      <c r="T5825" s="36"/>
      <c r="U5825" s="36"/>
      <c r="V5825" s="36"/>
      <c r="W5825" s="15">
        <f t="shared" si="977"/>
        <v>0</v>
      </c>
      <c r="X5825" s="36"/>
      <c r="Y5825" s="36"/>
      <c r="Z5825" s="36"/>
      <c r="AA5825" s="36"/>
      <c r="AB5825" s="36"/>
      <c r="AC5825" s="36"/>
      <c r="AD5825" s="36"/>
      <c r="AE5825" s="36"/>
      <c r="AF5825" s="36"/>
      <c r="AG5825" s="36"/>
      <c r="AH5825" s="36"/>
      <c r="AI5825" s="36"/>
      <c r="AJ5825" s="15">
        <f t="shared" si="978"/>
        <v>0</v>
      </c>
      <c r="AK5825" s="14"/>
      <c r="AL5825" s="14"/>
      <c r="AM5825" s="14"/>
      <c r="AN5825" s="14"/>
      <c r="AO5825" s="14"/>
      <c r="AP5825" s="14"/>
      <c r="AQ5825" s="14"/>
      <c r="AR5825" s="14"/>
      <c r="AS5825" s="14"/>
      <c r="AT5825" s="14"/>
      <c r="AU5825" s="14"/>
      <c r="AV5825" s="14"/>
      <c r="AW5825" s="15">
        <f t="shared" si="979"/>
        <v>0</v>
      </c>
      <c r="AX5825" s="16"/>
    </row>
    <row r="5826" spans="2:50" x14ac:dyDescent="0.2">
      <c r="B5826" s="7"/>
      <c r="C5826" s="8">
        <v>15976</v>
      </c>
      <c r="D5826" s="9" t="s">
        <v>174</v>
      </c>
      <c r="E5826" s="10" t="str">
        <f t="shared" si="974"/>
        <v>Rancho Upácuaro No. 18</v>
      </c>
      <c r="F5826" s="10" t="str">
        <f t="shared" si="975"/>
        <v>Guzmán</v>
      </c>
      <c r="G5826" s="8">
        <v>1</v>
      </c>
      <c r="H5826" s="11">
        <v>300</v>
      </c>
      <c r="I5826" s="12">
        <v>43149</v>
      </c>
      <c r="J5826" s="35">
        <f t="shared" si="976"/>
        <v>0</v>
      </c>
      <c r="K5826" s="36"/>
      <c r="L5826" s="36"/>
      <c r="M5826" s="36"/>
      <c r="N5826" s="36"/>
      <c r="O5826" s="36"/>
      <c r="P5826" s="36"/>
      <c r="Q5826" s="36"/>
      <c r="R5826" s="36"/>
      <c r="S5826" s="36"/>
      <c r="T5826" s="36"/>
      <c r="U5826" s="36"/>
      <c r="V5826" s="36"/>
      <c r="W5826" s="15">
        <f t="shared" si="977"/>
        <v>0</v>
      </c>
      <c r="X5826" s="36"/>
      <c r="Y5826" s="36"/>
      <c r="Z5826" s="36"/>
      <c r="AA5826" s="36"/>
      <c r="AB5826" s="36"/>
      <c r="AC5826" s="36"/>
      <c r="AD5826" s="36"/>
      <c r="AE5826" s="36"/>
      <c r="AF5826" s="36"/>
      <c r="AG5826" s="36"/>
      <c r="AH5826" s="36"/>
      <c r="AI5826" s="36"/>
      <c r="AJ5826" s="15">
        <f t="shared" si="978"/>
        <v>0</v>
      </c>
      <c r="AK5826" s="14"/>
      <c r="AL5826" s="14">
        <v>300</v>
      </c>
      <c r="AM5826" s="14"/>
      <c r="AN5826" s="14"/>
      <c r="AO5826" s="14"/>
      <c r="AP5826" s="14"/>
      <c r="AQ5826" s="14"/>
      <c r="AR5826" s="14"/>
      <c r="AS5826" s="14"/>
      <c r="AT5826" s="14"/>
      <c r="AU5826" s="14"/>
      <c r="AV5826" s="14"/>
      <c r="AW5826" s="15">
        <f t="shared" si="979"/>
        <v>300</v>
      </c>
      <c r="AX5826" s="16"/>
    </row>
    <row r="5827" spans="2:50" x14ac:dyDescent="0.2">
      <c r="B5827" s="7"/>
      <c r="C5827" s="8">
        <v>15977</v>
      </c>
      <c r="D5827" s="9" t="s">
        <v>817</v>
      </c>
      <c r="E5827" s="10" t="str">
        <f t="shared" si="974"/>
        <v>Rancho Estanzuela No. 7, B</v>
      </c>
      <c r="F5827" s="10" t="str">
        <f t="shared" si="975"/>
        <v>Camargo Romero</v>
      </c>
      <c r="G5827" s="8">
        <v>1</v>
      </c>
      <c r="H5827" s="11">
        <v>1000</v>
      </c>
      <c r="I5827" s="12">
        <v>43149</v>
      </c>
      <c r="J5827" s="35">
        <f t="shared" si="976"/>
        <v>0</v>
      </c>
      <c r="K5827" s="36"/>
      <c r="L5827" s="36"/>
      <c r="M5827" s="36"/>
      <c r="N5827" s="36"/>
      <c r="O5827" s="36"/>
      <c r="P5827" s="36"/>
      <c r="Q5827" s="36"/>
      <c r="R5827" s="36"/>
      <c r="S5827" s="36"/>
      <c r="T5827" s="36"/>
      <c r="U5827" s="36"/>
      <c r="V5827" s="36"/>
      <c r="W5827" s="15">
        <f t="shared" si="977"/>
        <v>0</v>
      </c>
      <c r="X5827" s="36"/>
      <c r="Y5827" s="36"/>
      <c r="Z5827" s="36"/>
      <c r="AA5827" s="36"/>
      <c r="AB5827" s="36"/>
      <c r="AC5827" s="36"/>
      <c r="AD5827" s="36"/>
      <c r="AE5827" s="36"/>
      <c r="AF5827" s="36"/>
      <c r="AG5827" s="36"/>
      <c r="AH5827" s="36">
        <v>200</v>
      </c>
      <c r="AI5827" s="36">
        <v>200</v>
      </c>
      <c r="AJ5827" s="15">
        <f t="shared" si="978"/>
        <v>400</v>
      </c>
      <c r="AK5827" s="14">
        <v>200</v>
      </c>
      <c r="AL5827" s="14">
        <v>200</v>
      </c>
      <c r="AM5827" s="14">
        <v>200</v>
      </c>
      <c r="AN5827" s="14"/>
      <c r="AO5827" s="14"/>
      <c r="AP5827" s="14"/>
      <c r="AQ5827" s="14"/>
      <c r="AR5827" s="14"/>
      <c r="AS5827" s="14"/>
      <c r="AT5827" s="14"/>
      <c r="AU5827" s="14"/>
      <c r="AV5827" s="14"/>
      <c r="AW5827" s="15">
        <f t="shared" si="979"/>
        <v>600</v>
      </c>
      <c r="AX5827" s="16"/>
    </row>
    <row r="5828" spans="2:50" x14ac:dyDescent="0.2">
      <c r="B5828" s="7"/>
      <c r="C5828" s="8">
        <v>15978</v>
      </c>
      <c r="D5828" s="9" t="s">
        <v>452</v>
      </c>
      <c r="E5828" s="10" t="str">
        <f t="shared" si="974"/>
        <v>Rancho Upácuaro No. 78</v>
      </c>
      <c r="F5828" s="10" t="str">
        <f t="shared" si="975"/>
        <v>Villaseñor Carranza</v>
      </c>
      <c r="G5828" s="8">
        <v>1</v>
      </c>
      <c r="H5828" s="11">
        <v>4400</v>
      </c>
      <c r="I5828" s="12">
        <v>43149</v>
      </c>
      <c r="J5828" s="35">
        <f t="shared" si="976"/>
        <v>0</v>
      </c>
      <c r="K5828" s="36"/>
      <c r="L5828" s="36"/>
      <c r="M5828" s="36"/>
      <c r="N5828" s="36"/>
      <c r="O5828" s="36"/>
      <c r="P5828" s="36"/>
      <c r="Q5828" s="36"/>
      <c r="R5828" s="36"/>
      <c r="S5828" s="36"/>
      <c r="T5828" s="36"/>
      <c r="U5828" s="36"/>
      <c r="V5828" s="36"/>
      <c r="W5828" s="15">
        <f t="shared" si="977"/>
        <v>0</v>
      </c>
      <c r="X5828" s="36"/>
      <c r="Y5828" s="36"/>
      <c r="Z5828" s="36"/>
      <c r="AA5828" s="36"/>
      <c r="AB5828" s="36"/>
      <c r="AC5828" s="36"/>
      <c r="AD5828" s="36"/>
      <c r="AE5828" s="36"/>
      <c r="AF5828" s="36"/>
      <c r="AG5828" s="36"/>
      <c r="AH5828" s="36"/>
      <c r="AI5828" s="36"/>
      <c r="AJ5828" s="15">
        <f t="shared" si="978"/>
        <v>0</v>
      </c>
      <c r="AK5828" s="14">
        <v>400</v>
      </c>
      <c r="AL5828" s="14">
        <v>400</v>
      </c>
      <c r="AM5828" s="14">
        <v>400</v>
      </c>
      <c r="AN5828" s="14">
        <v>400</v>
      </c>
      <c r="AO5828" s="14">
        <v>400</v>
      </c>
      <c r="AP5828" s="14">
        <v>400</v>
      </c>
      <c r="AQ5828" s="14">
        <v>400</v>
      </c>
      <c r="AR5828" s="14">
        <v>400</v>
      </c>
      <c r="AS5828" s="14">
        <v>400</v>
      </c>
      <c r="AT5828" s="14">
        <v>400</v>
      </c>
      <c r="AU5828" s="14">
        <v>400</v>
      </c>
      <c r="AV5828" s="14"/>
      <c r="AW5828" s="15">
        <f t="shared" si="979"/>
        <v>4400</v>
      </c>
      <c r="AX5828" s="16" t="s">
        <v>4905</v>
      </c>
    </row>
    <row r="5829" spans="2:50" x14ac:dyDescent="0.2">
      <c r="B5829" s="7"/>
      <c r="C5829" s="8">
        <v>15979</v>
      </c>
      <c r="D5829" s="9" t="s">
        <v>655</v>
      </c>
      <c r="E5829" s="10" t="str">
        <f t="shared" si="974"/>
        <v>Rancho La Cuchilla No. 115</v>
      </c>
      <c r="F5829" s="10" t="str">
        <f t="shared" si="975"/>
        <v>Alfaro</v>
      </c>
      <c r="G5829" s="8">
        <v>1</v>
      </c>
      <c r="H5829" s="11">
        <v>800</v>
      </c>
      <c r="I5829" s="12">
        <v>43149</v>
      </c>
      <c r="J5829" s="35">
        <f t="shared" si="976"/>
        <v>0</v>
      </c>
      <c r="K5829" s="36"/>
      <c r="L5829" s="36"/>
      <c r="M5829" s="36"/>
      <c r="N5829" s="36"/>
      <c r="O5829" s="36"/>
      <c r="P5829" s="36"/>
      <c r="Q5829" s="36"/>
      <c r="R5829" s="36"/>
      <c r="S5829" s="36"/>
      <c r="T5829" s="36"/>
      <c r="U5829" s="36"/>
      <c r="V5829" s="36"/>
      <c r="W5829" s="15">
        <f t="shared" si="977"/>
        <v>0</v>
      </c>
      <c r="X5829" s="36"/>
      <c r="Y5829" s="36"/>
      <c r="Z5829" s="36"/>
      <c r="AA5829" s="36"/>
      <c r="AB5829" s="36"/>
      <c r="AC5829" s="36"/>
      <c r="AD5829" s="36"/>
      <c r="AE5829" s="36"/>
      <c r="AF5829" s="36"/>
      <c r="AG5829" s="36"/>
      <c r="AH5829" s="36">
        <v>400</v>
      </c>
      <c r="AI5829" s="36">
        <v>400</v>
      </c>
      <c r="AJ5829" s="15">
        <f t="shared" si="978"/>
        <v>800</v>
      </c>
      <c r="AK5829" s="14"/>
      <c r="AL5829" s="14"/>
      <c r="AM5829" s="14"/>
      <c r="AN5829" s="14"/>
      <c r="AO5829" s="14"/>
      <c r="AP5829" s="14"/>
      <c r="AQ5829" s="14"/>
      <c r="AR5829" s="14"/>
      <c r="AS5829" s="14"/>
      <c r="AT5829" s="14"/>
      <c r="AU5829" s="14"/>
      <c r="AV5829" s="14"/>
      <c r="AW5829" s="15">
        <f t="shared" si="979"/>
        <v>0</v>
      </c>
      <c r="AX5829" s="16"/>
    </row>
    <row r="5830" spans="2:50" x14ac:dyDescent="0.2">
      <c r="B5830" s="7"/>
      <c r="C5830" s="8">
        <v>15980</v>
      </c>
      <c r="D5830" s="9" t="s">
        <v>791</v>
      </c>
      <c r="E5830" s="10" t="str">
        <f t="shared" si="974"/>
        <v>Rancho Upácuaro No. 116</v>
      </c>
      <c r="F5830" s="10" t="str">
        <f t="shared" si="975"/>
        <v>Zenteno</v>
      </c>
      <c r="G5830" s="8">
        <v>1</v>
      </c>
      <c r="H5830" s="11">
        <v>400</v>
      </c>
      <c r="I5830" s="12">
        <v>43149</v>
      </c>
      <c r="J5830" s="35">
        <f t="shared" si="976"/>
        <v>0</v>
      </c>
      <c r="K5830" s="36"/>
      <c r="L5830" s="36"/>
      <c r="M5830" s="36"/>
      <c r="N5830" s="36"/>
      <c r="O5830" s="36"/>
      <c r="P5830" s="36"/>
      <c r="Q5830" s="36"/>
      <c r="R5830" s="36"/>
      <c r="S5830" s="36"/>
      <c r="T5830" s="36"/>
      <c r="U5830" s="36"/>
      <c r="V5830" s="36"/>
      <c r="W5830" s="15">
        <f t="shared" si="977"/>
        <v>0</v>
      </c>
      <c r="X5830" s="36"/>
      <c r="Y5830" s="36"/>
      <c r="Z5830" s="36"/>
      <c r="AA5830" s="36"/>
      <c r="AB5830" s="36"/>
      <c r="AC5830" s="36"/>
      <c r="AD5830" s="36"/>
      <c r="AE5830" s="36"/>
      <c r="AF5830" s="36"/>
      <c r="AG5830" s="36"/>
      <c r="AH5830" s="36"/>
      <c r="AI5830" s="36"/>
      <c r="AJ5830" s="15">
        <f t="shared" si="978"/>
        <v>0</v>
      </c>
      <c r="AK5830" s="14"/>
      <c r="AL5830" s="14">
        <v>400</v>
      </c>
      <c r="AM5830" s="14"/>
      <c r="AN5830" s="14"/>
      <c r="AO5830" s="14"/>
      <c r="AP5830" s="14"/>
      <c r="AQ5830" s="14"/>
      <c r="AR5830" s="14"/>
      <c r="AS5830" s="14"/>
      <c r="AT5830" s="14"/>
      <c r="AU5830" s="14"/>
      <c r="AV5830" s="14"/>
      <c r="AW5830" s="15">
        <f t="shared" si="979"/>
        <v>400</v>
      </c>
      <c r="AX5830" s="16"/>
    </row>
    <row r="5831" spans="2:50" x14ac:dyDescent="0.2">
      <c r="B5831" s="7"/>
      <c r="C5831" s="8">
        <v>15981</v>
      </c>
      <c r="D5831" s="9" t="s">
        <v>452</v>
      </c>
      <c r="E5831" s="10" t="str">
        <f t="shared" si="974"/>
        <v>Rancho Upácuaro No. 78</v>
      </c>
      <c r="F5831" s="10" t="str">
        <f t="shared" si="975"/>
        <v>Villaseñor Carranza</v>
      </c>
      <c r="G5831" s="8">
        <v>4</v>
      </c>
      <c r="H5831" s="11">
        <v>200</v>
      </c>
      <c r="I5831" s="12">
        <v>43149</v>
      </c>
      <c r="J5831" s="35">
        <f t="shared" si="976"/>
        <v>0</v>
      </c>
      <c r="K5831" s="36"/>
      <c r="L5831" s="36"/>
      <c r="M5831" s="36"/>
      <c r="N5831" s="36"/>
      <c r="O5831" s="36"/>
      <c r="P5831" s="36"/>
      <c r="Q5831" s="36"/>
      <c r="R5831" s="36"/>
      <c r="S5831" s="36"/>
      <c r="T5831" s="36"/>
      <c r="U5831" s="36"/>
      <c r="V5831" s="36"/>
      <c r="W5831" s="15">
        <f t="shared" si="977"/>
        <v>0</v>
      </c>
      <c r="X5831" s="36"/>
      <c r="Y5831" s="36"/>
      <c r="Z5831" s="36"/>
      <c r="AA5831" s="36"/>
      <c r="AB5831" s="36"/>
      <c r="AC5831" s="36"/>
      <c r="AD5831" s="36"/>
      <c r="AE5831" s="36"/>
      <c r="AF5831" s="36"/>
      <c r="AG5831" s="36"/>
      <c r="AH5831" s="36"/>
      <c r="AI5831" s="36"/>
      <c r="AJ5831" s="15">
        <f t="shared" si="978"/>
        <v>0</v>
      </c>
      <c r="AK5831" s="14"/>
      <c r="AL5831" s="14"/>
      <c r="AM5831" s="14"/>
      <c r="AN5831" s="14"/>
      <c r="AO5831" s="14"/>
      <c r="AP5831" s="14"/>
      <c r="AQ5831" s="14"/>
      <c r="AR5831" s="14"/>
      <c r="AS5831" s="14"/>
      <c r="AT5831" s="14"/>
      <c r="AU5831" s="14"/>
      <c r="AV5831" s="14"/>
      <c r="AW5831" s="15">
        <f t="shared" si="979"/>
        <v>0</v>
      </c>
      <c r="AX5831" s="16" t="s">
        <v>5015</v>
      </c>
    </row>
    <row r="5832" spans="2:50" x14ac:dyDescent="0.2">
      <c r="B5832" s="7"/>
      <c r="C5832" s="8">
        <v>15982</v>
      </c>
      <c r="D5832" s="9" t="s">
        <v>295</v>
      </c>
      <c r="E5832" s="10" t="str">
        <f t="shared" si="974"/>
        <v>Rancho Landero No. 99</v>
      </c>
      <c r="F5832" s="10" t="str">
        <f t="shared" si="975"/>
        <v>Rangel</v>
      </c>
      <c r="G5832" s="8">
        <v>1</v>
      </c>
      <c r="H5832" s="11">
        <v>300</v>
      </c>
      <c r="I5832" s="12">
        <v>43149</v>
      </c>
      <c r="J5832" s="35">
        <f t="shared" si="976"/>
        <v>0</v>
      </c>
      <c r="K5832" s="36"/>
      <c r="L5832" s="36"/>
      <c r="M5832" s="36"/>
      <c r="N5832" s="36"/>
      <c r="O5832" s="36"/>
      <c r="P5832" s="36"/>
      <c r="Q5832" s="36"/>
      <c r="R5832" s="36"/>
      <c r="S5832" s="36"/>
      <c r="T5832" s="36"/>
      <c r="U5832" s="36"/>
      <c r="V5832" s="36"/>
      <c r="W5832" s="15">
        <f t="shared" si="977"/>
        <v>0</v>
      </c>
      <c r="X5832" s="36"/>
      <c r="Y5832" s="36"/>
      <c r="Z5832" s="36"/>
      <c r="AA5832" s="36"/>
      <c r="AB5832" s="36"/>
      <c r="AC5832" s="36"/>
      <c r="AD5832" s="36"/>
      <c r="AE5832" s="36"/>
      <c r="AF5832" s="36"/>
      <c r="AG5832" s="36"/>
      <c r="AH5832" s="36"/>
      <c r="AI5832" s="36">
        <v>300</v>
      </c>
      <c r="AJ5832" s="15">
        <f t="shared" si="978"/>
        <v>300</v>
      </c>
      <c r="AK5832" s="14"/>
      <c r="AL5832" s="14"/>
      <c r="AM5832" s="14"/>
      <c r="AN5832" s="14"/>
      <c r="AO5832" s="14"/>
      <c r="AP5832" s="14"/>
      <c r="AQ5832" s="14"/>
      <c r="AR5832" s="14"/>
      <c r="AS5832" s="14"/>
      <c r="AT5832" s="14"/>
      <c r="AU5832" s="14"/>
      <c r="AV5832" s="14"/>
      <c r="AW5832" s="15">
        <f t="shared" si="979"/>
        <v>0</v>
      </c>
      <c r="AX5832" s="16"/>
    </row>
    <row r="5833" spans="2:50" x14ac:dyDescent="0.2">
      <c r="B5833" s="7"/>
      <c r="C5833" s="8">
        <v>15983</v>
      </c>
      <c r="D5833" s="9" t="s">
        <v>226</v>
      </c>
      <c r="E5833" s="10" t="str">
        <f t="shared" si="974"/>
        <v>Rancho Landero No. 31</v>
      </c>
      <c r="F5833" s="10" t="str">
        <f t="shared" si="975"/>
        <v>Díaz Hernández</v>
      </c>
      <c r="G5833" s="8">
        <v>1</v>
      </c>
      <c r="H5833" s="11">
        <v>200</v>
      </c>
      <c r="I5833" s="12">
        <v>43149</v>
      </c>
      <c r="J5833" s="35">
        <f t="shared" si="976"/>
        <v>0</v>
      </c>
      <c r="K5833" s="36"/>
      <c r="L5833" s="36"/>
      <c r="M5833" s="36"/>
      <c r="N5833" s="36"/>
      <c r="O5833" s="36"/>
      <c r="P5833" s="36"/>
      <c r="Q5833" s="36"/>
      <c r="R5833" s="36"/>
      <c r="S5833" s="36"/>
      <c r="T5833" s="36"/>
      <c r="U5833" s="36"/>
      <c r="V5833" s="36"/>
      <c r="W5833" s="15">
        <f t="shared" si="977"/>
        <v>0</v>
      </c>
      <c r="X5833" s="36"/>
      <c r="Y5833" s="36"/>
      <c r="Z5833" s="36"/>
      <c r="AA5833" s="36"/>
      <c r="AB5833" s="36"/>
      <c r="AC5833" s="36"/>
      <c r="AD5833" s="36"/>
      <c r="AE5833" s="36"/>
      <c r="AF5833" s="36"/>
      <c r="AG5833" s="36"/>
      <c r="AH5833" s="36"/>
      <c r="AI5833" s="36"/>
      <c r="AJ5833" s="15">
        <f t="shared" si="978"/>
        <v>0</v>
      </c>
      <c r="AK5833" s="14"/>
      <c r="AL5833" s="14">
        <v>200</v>
      </c>
      <c r="AM5833" s="14"/>
      <c r="AN5833" s="14"/>
      <c r="AO5833" s="14"/>
      <c r="AP5833" s="14"/>
      <c r="AQ5833" s="14"/>
      <c r="AR5833" s="14"/>
      <c r="AS5833" s="14"/>
      <c r="AT5833" s="14"/>
      <c r="AU5833" s="14"/>
      <c r="AV5833" s="14"/>
      <c r="AW5833" s="15">
        <f t="shared" si="979"/>
        <v>200</v>
      </c>
      <c r="AX5833" s="16"/>
    </row>
    <row r="5834" spans="2:50" x14ac:dyDescent="0.2">
      <c r="B5834" s="7"/>
      <c r="C5834" s="8">
        <v>15984</v>
      </c>
      <c r="D5834" s="9" t="s">
        <v>605</v>
      </c>
      <c r="E5834" s="10" t="str">
        <f t="shared" si="974"/>
        <v>Rancho Upácuaro No. 50</v>
      </c>
      <c r="F5834" s="10" t="str">
        <f t="shared" si="975"/>
        <v>Rivera Rodríguez</v>
      </c>
      <c r="G5834" s="8">
        <v>1</v>
      </c>
      <c r="H5834" s="11">
        <v>600</v>
      </c>
      <c r="I5834" s="12">
        <v>43149</v>
      </c>
      <c r="J5834" s="35">
        <f t="shared" si="976"/>
        <v>0</v>
      </c>
      <c r="K5834" s="36"/>
      <c r="L5834" s="36"/>
      <c r="M5834" s="36"/>
      <c r="N5834" s="36"/>
      <c r="O5834" s="36"/>
      <c r="P5834" s="36"/>
      <c r="Q5834" s="36"/>
      <c r="R5834" s="36"/>
      <c r="S5834" s="36"/>
      <c r="T5834" s="36"/>
      <c r="U5834" s="36"/>
      <c r="V5834" s="36"/>
      <c r="W5834" s="15">
        <f t="shared" si="977"/>
        <v>0</v>
      </c>
      <c r="X5834" s="36"/>
      <c r="Y5834" s="36"/>
      <c r="Z5834" s="36"/>
      <c r="AA5834" s="36"/>
      <c r="AB5834" s="36"/>
      <c r="AC5834" s="36"/>
      <c r="AD5834" s="36"/>
      <c r="AE5834" s="36"/>
      <c r="AF5834" s="36"/>
      <c r="AG5834" s="36"/>
      <c r="AH5834" s="36"/>
      <c r="AI5834" s="36"/>
      <c r="AJ5834" s="15">
        <f t="shared" si="978"/>
        <v>0</v>
      </c>
      <c r="AK5834" s="14">
        <v>300</v>
      </c>
      <c r="AL5834" s="14">
        <v>300</v>
      </c>
      <c r="AM5834" s="14"/>
      <c r="AN5834" s="14"/>
      <c r="AO5834" s="14"/>
      <c r="AP5834" s="14"/>
      <c r="AQ5834" s="14"/>
      <c r="AR5834" s="14"/>
      <c r="AS5834" s="14"/>
      <c r="AT5834" s="14"/>
      <c r="AU5834" s="14"/>
      <c r="AV5834" s="14"/>
      <c r="AW5834" s="15">
        <f t="shared" si="979"/>
        <v>600</v>
      </c>
      <c r="AX5834" s="16"/>
    </row>
    <row r="5835" spans="2:50" x14ac:dyDescent="0.2">
      <c r="B5835" s="7"/>
      <c r="C5835" s="8">
        <v>15985</v>
      </c>
      <c r="D5835" s="9" t="s">
        <v>241</v>
      </c>
      <c r="E5835" s="10" t="str">
        <f t="shared" si="974"/>
        <v>Rancho La Cuchilla No. 81, A</v>
      </c>
      <c r="F5835" s="10" t="str">
        <f t="shared" si="975"/>
        <v>Barrientos López</v>
      </c>
      <c r="G5835" s="8">
        <v>1</v>
      </c>
      <c r="H5835" s="11">
        <v>400</v>
      </c>
      <c r="I5835" s="12">
        <v>43149</v>
      </c>
      <c r="J5835" s="35">
        <f t="shared" si="976"/>
        <v>0</v>
      </c>
      <c r="K5835" s="36"/>
      <c r="L5835" s="36"/>
      <c r="M5835" s="36"/>
      <c r="N5835" s="36"/>
      <c r="O5835" s="36"/>
      <c r="P5835" s="36"/>
      <c r="Q5835" s="36"/>
      <c r="R5835" s="36"/>
      <c r="S5835" s="36"/>
      <c r="T5835" s="36"/>
      <c r="U5835" s="36"/>
      <c r="V5835" s="36"/>
      <c r="W5835" s="15">
        <f t="shared" si="977"/>
        <v>0</v>
      </c>
      <c r="X5835" s="36"/>
      <c r="Y5835" s="36"/>
      <c r="Z5835" s="36"/>
      <c r="AA5835" s="36"/>
      <c r="AB5835" s="36"/>
      <c r="AC5835" s="36"/>
      <c r="AD5835" s="36"/>
      <c r="AE5835" s="36"/>
      <c r="AF5835" s="36"/>
      <c r="AG5835" s="36"/>
      <c r="AH5835" s="36"/>
      <c r="AI5835" s="36"/>
      <c r="AJ5835" s="15">
        <f t="shared" si="978"/>
        <v>0</v>
      </c>
      <c r="AK5835" s="14"/>
      <c r="AL5835" s="14">
        <v>400</v>
      </c>
      <c r="AM5835" s="14"/>
      <c r="AN5835" s="14"/>
      <c r="AO5835" s="14"/>
      <c r="AP5835" s="14"/>
      <c r="AQ5835" s="14"/>
      <c r="AR5835" s="14"/>
      <c r="AS5835" s="14"/>
      <c r="AT5835" s="14"/>
      <c r="AU5835" s="14"/>
      <c r="AV5835" s="14"/>
      <c r="AW5835" s="15">
        <f t="shared" si="979"/>
        <v>400</v>
      </c>
      <c r="AX5835" s="16"/>
    </row>
    <row r="5836" spans="2:50" x14ac:dyDescent="0.2">
      <c r="B5836" s="7"/>
      <c r="C5836" s="8">
        <v>15986</v>
      </c>
      <c r="D5836" s="9" t="s">
        <v>422</v>
      </c>
      <c r="E5836" s="10" t="str">
        <f t="shared" ref="E5836:E5840" si="980">IF(D5836=0,"",VLOOKUP(D5836,BASE,2,FALSE))</f>
        <v>Rancho Recoveco No. 183</v>
      </c>
      <c r="F5836" s="10" t="str">
        <f t="shared" ref="F5836:F5840" si="981">IF(D5836=0,"",VLOOKUP(D5836,BASE,3,FALSE))</f>
        <v>Atilano Limón</v>
      </c>
      <c r="G5836" s="8">
        <v>1</v>
      </c>
      <c r="H5836" s="11">
        <v>4400</v>
      </c>
      <c r="I5836" s="12">
        <v>43149</v>
      </c>
      <c r="J5836" s="35">
        <f t="shared" ref="J5836:J5840" si="982">IF(G5836=1,SUM(W5836,AJ5836,AW5836,-H5836),0)</f>
        <v>0</v>
      </c>
      <c r="K5836" s="36"/>
      <c r="L5836" s="36"/>
      <c r="M5836" s="36"/>
      <c r="N5836" s="36"/>
      <c r="O5836" s="36"/>
      <c r="P5836" s="36"/>
      <c r="Q5836" s="36"/>
      <c r="R5836" s="36"/>
      <c r="S5836" s="36"/>
      <c r="T5836" s="36"/>
      <c r="U5836" s="36"/>
      <c r="V5836" s="36"/>
      <c r="W5836" s="15">
        <f t="shared" ref="W5836:W5840" si="983">SUM(K5836:V5836)</f>
        <v>0</v>
      </c>
      <c r="X5836" s="36"/>
      <c r="Y5836" s="36"/>
      <c r="Z5836" s="36"/>
      <c r="AA5836" s="36"/>
      <c r="AB5836" s="36"/>
      <c r="AC5836" s="36"/>
      <c r="AD5836" s="36"/>
      <c r="AE5836" s="36"/>
      <c r="AF5836" s="36"/>
      <c r="AG5836" s="36"/>
      <c r="AH5836" s="36"/>
      <c r="AI5836" s="36"/>
      <c r="AJ5836" s="15">
        <f t="shared" ref="AJ5836:AJ5840" si="984">SUM(X5836:AI5836)</f>
        <v>0</v>
      </c>
      <c r="AK5836" s="14">
        <v>400</v>
      </c>
      <c r="AL5836" s="14">
        <v>400</v>
      </c>
      <c r="AM5836" s="14">
        <v>400</v>
      </c>
      <c r="AN5836" s="14">
        <v>400</v>
      </c>
      <c r="AO5836" s="14">
        <v>400</v>
      </c>
      <c r="AP5836" s="14">
        <v>400</v>
      </c>
      <c r="AQ5836" s="14">
        <v>400</v>
      </c>
      <c r="AR5836" s="14">
        <v>400</v>
      </c>
      <c r="AS5836" s="14">
        <v>400</v>
      </c>
      <c r="AT5836" s="14">
        <v>400</v>
      </c>
      <c r="AU5836" s="14">
        <v>400</v>
      </c>
      <c r="AV5836" s="14"/>
      <c r="AW5836" s="15">
        <f t="shared" ref="AW5836:AW5840" si="985">SUM(AK5836:AV5836)</f>
        <v>4400</v>
      </c>
      <c r="AX5836" s="16" t="s">
        <v>4905</v>
      </c>
    </row>
    <row r="5837" spans="2:50" x14ac:dyDescent="0.2">
      <c r="B5837" s="7"/>
      <c r="C5837" s="8">
        <v>15987</v>
      </c>
      <c r="D5837" s="9" t="s">
        <v>235</v>
      </c>
      <c r="E5837" s="10" t="str">
        <f t="shared" si="980"/>
        <v>Rancho La Cuchilla No. 43, A</v>
      </c>
      <c r="F5837" s="10" t="str">
        <f t="shared" si="981"/>
        <v>De la Rosa</v>
      </c>
      <c r="G5837" s="8">
        <v>1</v>
      </c>
      <c r="H5837" s="11">
        <v>400</v>
      </c>
      <c r="I5837" s="12">
        <v>43149</v>
      </c>
      <c r="J5837" s="35">
        <f t="shared" si="982"/>
        <v>0</v>
      </c>
      <c r="K5837" s="36"/>
      <c r="L5837" s="36"/>
      <c r="M5837" s="36"/>
      <c r="N5837" s="36"/>
      <c r="O5837" s="36"/>
      <c r="P5837" s="36"/>
      <c r="Q5837" s="36"/>
      <c r="R5837" s="36"/>
      <c r="S5837" s="36"/>
      <c r="T5837" s="36"/>
      <c r="U5837" s="36"/>
      <c r="V5837" s="36"/>
      <c r="W5837" s="15">
        <f t="shared" si="983"/>
        <v>0</v>
      </c>
      <c r="X5837" s="36"/>
      <c r="Y5837" s="36"/>
      <c r="Z5837" s="36"/>
      <c r="AA5837" s="36"/>
      <c r="AB5837" s="36"/>
      <c r="AC5837" s="36"/>
      <c r="AD5837" s="36"/>
      <c r="AE5837" s="36"/>
      <c r="AF5837" s="36"/>
      <c r="AG5837" s="36"/>
      <c r="AH5837" s="36"/>
      <c r="AI5837" s="36"/>
      <c r="AJ5837" s="15">
        <f t="shared" si="984"/>
        <v>0</v>
      </c>
      <c r="AK5837" s="14"/>
      <c r="AL5837" s="14">
        <v>400</v>
      </c>
      <c r="AM5837" s="14"/>
      <c r="AN5837" s="14"/>
      <c r="AO5837" s="14"/>
      <c r="AP5837" s="14"/>
      <c r="AQ5837" s="14"/>
      <c r="AR5837" s="14"/>
      <c r="AS5837" s="14"/>
      <c r="AT5837" s="14"/>
      <c r="AU5837" s="14"/>
      <c r="AV5837" s="14"/>
      <c r="AW5837" s="15">
        <f t="shared" si="985"/>
        <v>400</v>
      </c>
      <c r="AX5837" s="16"/>
    </row>
    <row r="5838" spans="2:50" x14ac:dyDescent="0.2">
      <c r="B5838" s="7"/>
      <c r="C5838" s="8">
        <v>15988</v>
      </c>
      <c r="D5838" s="9" t="s">
        <v>807</v>
      </c>
      <c r="E5838" s="10" t="str">
        <f t="shared" si="980"/>
        <v>Rancho La Cuchilla No. 61</v>
      </c>
      <c r="F5838" s="10" t="str">
        <f t="shared" si="981"/>
        <v>Rivera</v>
      </c>
      <c r="G5838" s="8">
        <v>1</v>
      </c>
      <c r="H5838" s="11">
        <v>400</v>
      </c>
      <c r="I5838" s="12">
        <v>43149</v>
      </c>
      <c r="J5838" s="35">
        <f t="shared" si="982"/>
        <v>0</v>
      </c>
      <c r="K5838" s="36"/>
      <c r="L5838" s="36"/>
      <c r="M5838" s="36"/>
      <c r="N5838" s="36"/>
      <c r="O5838" s="36"/>
      <c r="P5838" s="36"/>
      <c r="Q5838" s="36"/>
      <c r="R5838" s="36"/>
      <c r="S5838" s="36"/>
      <c r="T5838" s="36"/>
      <c r="U5838" s="36"/>
      <c r="V5838" s="36"/>
      <c r="W5838" s="15">
        <f t="shared" si="983"/>
        <v>0</v>
      </c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15">
        <f t="shared" si="984"/>
        <v>0</v>
      </c>
      <c r="AK5838" s="14">
        <v>200</v>
      </c>
      <c r="AL5838" s="14">
        <v>200</v>
      </c>
      <c r="AM5838" s="14"/>
      <c r="AN5838" s="14"/>
      <c r="AO5838" s="14"/>
      <c r="AP5838" s="14"/>
      <c r="AQ5838" s="14"/>
      <c r="AR5838" s="14"/>
      <c r="AS5838" s="14"/>
      <c r="AT5838" s="14"/>
      <c r="AU5838" s="14"/>
      <c r="AV5838" s="14"/>
      <c r="AW5838" s="15">
        <f t="shared" si="985"/>
        <v>400</v>
      </c>
      <c r="AX5838" s="16"/>
    </row>
    <row r="5839" spans="2:50" x14ac:dyDescent="0.2">
      <c r="B5839" s="7"/>
      <c r="C5839" s="8">
        <v>15989</v>
      </c>
      <c r="D5839" s="9" t="s">
        <v>983</v>
      </c>
      <c r="E5839" s="10" t="str">
        <f t="shared" si="980"/>
        <v>Rancho Landero No. 93</v>
      </c>
      <c r="F5839" s="10" t="str">
        <f t="shared" si="981"/>
        <v>Ortega López</v>
      </c>
      <c r="G5839" s="8">
        <v>1</v>
      </c>
      <c r="H5839" s="11">
        <v>800</v>
      </c>
      <c r="I5839" s="12">
        <v>43149</v>
      </c>
      <c r="J5839" s="35">
        <f t="shared" si="982"/>
        <v>0</v>
      </c>
      <c r="K5839" s="36"/>
      <c r="L5839" s="36"/>
      <c r="M5839" s="36"/>
      <c r="N5839" s="36"/>
      <c r="O5839" s="36"/>
      <c r="P5839" s="36"/>
      <c r="Q5839" s="36"/>
      <c r="R5839" s="36"/>
      <c r="S5839" s="36"/>
      <c r="T5839" s="36"/>
      <c r="U5839" s="36"/>
      <c r="V5839" s="36"/>
      <c r="W5839" s="15">
        <f t="shared" si="983"/>
        <v>0</v>
      </c>
      <c r="X5839" s="36"/>
      <c r="Y5839" s="36"/>
      <c r="Z5839" s="36"/>
      <c r="AA5839" s="36"/>
      <c r="AB5839" s="36"/>
      <c r="AC5839" s="36"/>
      <c r="AD5839" s="36"/>
      <c r="AE5839" s="36"/>
      <c r="AF5839" s="36"/>
      <c r="AG5839" s="36"/>
      <c r="AH5839" s="36"/>
      <c r="AI5839" s="36"/>
      <c r="AJ5839" s="15">
        <f t="shared" si="984"/>
        <v>0</v>
      </c>
      <c r="AK5839" s="14">
        <v>400</v>
      </c>
      <c r="AL5839" s="14">
        <v>400</v>
      </c>
      <c r="AM5839" s="14"/>
      <c r="AN5839" s="14"/>
      <c r="AO5839" s="14"/>
      <c r="AP5839" s="14"/>
      <c r="AQ5839" s="14"/>
      <c r="AR5839" s="14"/>
      <c r="AS5839" s="14"/>
      <c r="AT5839" s="14"/>
      <c r="AU5839" s="14"/>
      <c r="AV5839" s="14"/>
      <c r="AW5839" s="15">
        <f t="shared" si="985"/>
        <v>800</v>
      </c>
      <c r="AX5839" s="16"/>
    </row>
    <row r="5840" spans="2:50" x14ac:dyDescent="0.2">
      <c r="B5840" s="7"/>
      <c r="C5840" s="8">
        <v>15990</v>
      </c>
      <c r="D5840" s="9" t="s">
        <v>628</v>
      </c>
      <c r="E5840" s="10" t="str">
        <f t="shared" si="980"/>
        <v>Rancho Landero No. 51</v>
      </c>
      <c r="F5840" s="10" t="str">
        <f t="shared" si="981"/>
        <v>H. Robles Tamayo</v>
      </c>
      <c r="G5840" s="8">
        <v>1</v>
      </c>
      <c r="H5840" s="11">
        <v>1200</v>
      </c>
      <c r="I5840" s="12">
        <v>43149</v>
      </c>
      <c r="J5840" s="35">
        <f t="shared" si="982"/>
        <v>0</v>
      </c>
      <c r="K5840" s="36"/>
      <c r="L5840" s="36"/>
      <c r="M5840" s="36"/>
      <c r="N5840" s="36"/>
      <c r="O5840" s="36"/>
      <c r="P5840" s="36"/>
      <c r="Q5840" s="36"/>
      <c r="R5840" s="36"/>
      <c r="S5840" s="36"/>
      <c r="T5840" s="36"/>
      <c r="U5840" s="36"/>
      <c r="V5840" s="36"/>
      <c r="W5840" s="15">
        <f t="shared" si="983"/>
        <v>0</v>
      </c>
      <c r="X5840" s="36"/>
      <c r="Y5840" s="36"/>
      <c r="Z5840" s="36"/>
      <c r="AA5840" s="36"/>
      <c r="AB5840" s="36"/>
      <c r="AC5840" s="36"/>
      <c r="AD5840" s="36"/>
      <c r="AE5840" s="36"/>
      <c r="AF5840" s="36"/>
      <c r="AG5840" s="36"/>
      <c r="AH5840" s="36"/>
      <c r="AI5840" s="36">
        <v>400</v>
      </c>
      <c r="AJ5840" s="15">
        <f t="shared" si="984"/>
        <v>400</v>
      </c>
      <c r="AK5840" s="14">
        <v>400</v>
      </c>
      <c r="AL5840" s="14">
        <v>400</v>
      </c>
      <c r="AM5840" s="14"/>
      <c r="AN5840" s="14"/>
      <c r="AO5840" s="14"/>
      <c r="AP5840" s="14"/>
      <c r="AQ5840" s="14"/>
      <c r="AR5840" s="14"/>
      <c r="AS5840" s="14"/>
      <c r="AT5840" s="14"/>
      <c r="AU5840" s="14"/>
      <c r="AV5840" s="14"/>
      <c r="AW5840" s="15">
        <f t="shared" si="985"/>
        <v>800</v>
      </c>
      <c r="AX5840" s="16"/>
    </row>
    <row r="5841" spans="2:51" x14ac:dyDescent="0.2">
      <c r="B5841" s="7"/>
      <c r="C5841" s="8">
        <v>15991</v>
      </c>
      <c r="D5841" s="9" t="s">
        <v>761</v>
      </c>
      <c r="E5841" s="10" t="str">
        <f t="shared" ref="E5841:E5848" si="986">IF(D5841=0,"",VLOOKUP(D5841,BASE,2,FALSE))</f>
        <v>Rancho Recoveco No. 187</v>
      </c>
      <c r="F5841" s="10" t="str">
        <f t="shared" ref="F5841:F5848" si="987">IF(D5841=0,"",VLOOKUP(D5841,BASE,3,FALSE))</f>
        <v>Moreno</v>
      </c>
      <c r="G5841" s="8">
        <v>5</v>
      </c>
      <c r="H5841" s="11">
        <v>50</v>
      </c>
      <c r="I5841" s="12">
        <v>43149</v>
      </c>
      <c r="J5841" s="35">
        <f t="shared" ref="J5841:J5848" si="988">IF(G5841=1,SUM(W5841,AJ5841,AW5841,-H5841),0)</f>
        <v>0</v>
      </c>
      <c r="K5841" s="36"/>
      <c r="L5841" s="36"/>
      <c r="M5841" s="36"/>
      <c r="N5841" s="36"/>
      <c r="O5841" s="36"/>
      <c r="P5841" s="36"/>
      <c r="Q5841" s="36"/>
      <c r="R5841" s="36"/>
      <c r="S5841" s="36"/>
      <c r="T5841" s="36"/>
      <c r="U5841" s="36"/>
      <c r="V5841" s="36"/>
      <c r="W5841" s="15">
        <f t="shared" ref="W5841:W5848" si="989">SUM(K5841:V5841)</f>
        <v>0</v>
      </c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15">
        <f t="shared" ref="AJ5841:AJ5848" si="990">SUM(X5841:AI5841)</f>
        <v>0</v>
      </c>
      <c r="AK5841" s="14"/>
      <c r="AL5841" s="14"/>
      <c r="AM5841" s="14"/>
      <c r="AN5841" s="14"/>
      <c r="AO5841" s="14"/>
      <c r="AP5841" s="14"/>
      <c r="AQ5841" s="14"/>
      <c r="AR5841" s="14"/>
      <c r="AS5841" s="14"/>
      <c r="AT5841" s="14"/>
      <c r="AU5841" s="14"/>
      <c r="AV5841" s="14"/>
      <c r="AW5841" s="15">
        <f t="shared" ref="AW5841:AW5848" si="991">SUM(AK5841:AV5841)</f>
        <v>0</v>
      </c>
      <c r="AX5841" s="16"/>
    </row>
    <row r="5842" spans="2:51" x14ac:dyDescent="0.2">
      <c r="B5842" s="7"/>
      <c r="C5842" s="8">
        <v>15992</v>
      </c>
      <c r="D5842" s="9" t="s">
        <v>681</v>
      </c>
      <c r="E5842" s="10" t="str">
        <f t="shared" si="986"/>
        <v>Rancho Landero No. 87</v>
      </c>
      <c r="F5842" s="10" t="str">
        <f t="shared" si="987"/>
        <v>Fey Lafferla</v>
      </c>
      <c r="G5842" s="8">
        <v>1</v>
      </c>
      <c r="H5842" s="11">
        <v>300</v>
      </c>
      <c r="I5842" s="12">
        <v>43149</v>
      </c>
      <c r="J5842" s="35">
        <f t="shared" si="988"/>
        <v>0</v>
      </c>
      <c r="K5842" s="36"/>
      <c r="L5842" s="36"/>
      <c r="M5842" s="36"/>
      <c r="N5842" s="36"/>
      <c r="O5842" s="36"/>
      <c r="P5842" s="36"/>
      <c r="Q5842" s="36"/>
      <c r="R5842" s="36"/>
      <c r="S5842" s="36"/>
      <c r="T5842" s="36"/>
      <c r="U5842" s="36"/>
      <c r="V5842" s="36"/>
      <c r="W5842" s="15">
        <f t="shared" si="989"/>
        <v>0</v>
      </c>
      <c r="X5842" s="36"/>
      <c r="Y5842" s="36"/>
      <c r="Z5842" s="36"/>
      <c r="AA5842" s="36"/>
      <c r="AB5842" s="36"/>
      <c r="AC5842" s="36"/>
      <c r="AD5842" s="36"/>
      <c r="AE5842" s="36"/>
      <c r="AF5842" s="36"/>
      <c r="AG5842" s="36"/>
      <c r="AH5842" s="36"/>
      <c r="AI5842" s="36"/>
      <c r="AJ5842" s="15">
        <f t="shared" si="990"/>
        <v>0</v>
      </c>
      <c r="AK5842" s="14"/>
      <c r="AL5842" s="14">
        <v>300</v>
      </c>
      <c r="AM5842" s="14"/>
      <c r="AN5842" s="14"/>
      <c r="AO5842" s="14"/>
      <c r="AP5842" s="14"/>
      <c r="AQ5842" s="14"/>
      <c r="AR5842" s="14"/>
      <c r="AS5842" s="14"/>
      <c r="AT5842" s="14"/>
      <c r="AU5842" s="14"/>
      <c r="AV5842" s="14"/>
      <c r="AW5842" s="15">
        <f t="shared" si="991"/>
        <v>300</v>
      </c>
      <c r="AX5842" s="16"/>
    </row>
    <row r="5843" spans="2:51" x14ac:dyDescent="0.2">
      <c r="B5843" s="7"/>
      <c r="C5843" s="8">
        <v>15993</v>
      </c>
      <c r="D5843" s="9" t="s">
        <v>544</v>
      </c>
      <c r="E5843" s="10" t="str">
        <f t="shared" si="986"/>
        <v>Rancho Estanzuela No. 89</v>
      </c>
      <c r="F5843" s="10" t="str">
        <f t="shared" si="987"/>
        <v>Romero Ortiz</v>
      </c>
      <c r="G5843" s="8">
        <v>1</v>
      </c>
      <c r="H5843" s="11">
        <v>400</v>
      </c>
      <c r="I5843" s="12">
        <v>43149</v>
      </c>
      <c r="J5843" s="35">
        <f t="shared" si="988"/>
        <v>0</v>
      </c>
      <c r="K5843" s="36"/>
      <c r="L5843" s="36"/>
      <c r="M5843" s="36"/>
      <c r="N5843" s="36"/>
      <c r="O5843" s="36"/>
      <c r="P5843" s="36"/>
      <c r="Q5843" s="36"/>
      <c r="R5843" s="36"/>
      <c r="S5843" s="36"/>
      <c r="T5843" s="36"/>
      <c r="U5843" s="36"/>
      <c r="V5843" s="36"/>
      <c r="W5843" s="15">
        <f t="shared" si="989"/>
        <v>0</v>
      </c>
      <c r="X5843" s="36"/>
      <c r="Y5843" s="36"/>
      <c r="Z5843" s="36"/>
      <c r="AA5843" s="36"/>
      <c r="AB5843" s="36"/>
      <c r="AC5843" s="36"/>
      <c r="AD5843" s="36"/>
      <c r="AE5843" s="36"/>
      <c r="AF5843" s="36"/>
      <c r="AG5843" s="36"/>
      <c r="AH5843" s="36"/>
      <c r="AI5843" s="36"/>
      <c r="AJ5843" s="15">
        <f t="shared" si="990"/>
        <v>0</v>
      </c>
      <c r="AK5843" s="14"/>
      <c r="AL5843" s="14">
        <v>400</v>
      </c>
      <c r="AM5843" s="14"/>
      <c r="AN5843" s="14"/>
      <c r="AO5843" s="14"/>
      <c r="AP5843" s="14"/>
      <c r="AQ5843" s="14"/>
      <c r="AR5843" s="14"/>
      <c r="AS5843" s="14"/>
      <c r="AT5843" s="14"/>
      <c r="AU5843" s="14"/>
      <c r="AV5843" s="14"/>
      <c r="AW5843" s="15">
        <f t="shared" si="991"/>
        <v>400</v>
      </c>
      <c r="AX5843" s="16"/>
    </row>
    <row r="5844" spans="2:51" x14ac:dyDescent="0.2">
      <c r="B5844" s="7"/>
      <c r="C5844" s="8">
        <v>15994</v>
      </c>
      <c r="D5844" s="9" t="s">
        <v>343</v>
      </c>
      <c r="E5844" s="10" t="str">
        <f t="shared" si="986"/>
        <v>Rancho Upácuaro No. 88</v>
      </c>
      <c r="F5844" s="10" t="str">
        <f t="shared" si="987"/>
        <v>Millán Núñez</v>
      </c>
      <c r="G5844" s="8">
        <v>1</v>
      </c>
      <c r="H5844" s="11">
        <v>400</v>
      </c>
      <c r="I5844" s="12">
        <v>43149</v>
      </c>
      <c r="J5844" s="35">
        <f t="shared" si="988"/>
        <v>0</v>
      </c>
      <c r="K5844" s="36"/>
      <c r="L5844" s="36"/>
      <c r="M5844" s="36"/>
      <c r="N5844" s="36"/>
      <c r="O5844" s="36"/>
      <c r="P5844" s="36"/>
      <c r="Q5844" s="36"/>
      <c r="R5844" s="36"/>
      <c r="S5844" s="36"/>
      <c r="T5844" s="36"/>
      <c r="U5844" s="36"/>
      <c r="V5844" s="36"/>
      <c r="W5844" s="15">
        <f t="shared" si="989"/>
        <v>0</v>
      </c>
      <c r="X5844" s="36"/>
      <c r="Y5844" s="36"/>
      <c r="Z5844" s="36"/>
      <c r="AA5844" s="36"/>
      <c r="AB5844" s="36"/>
      <c r="AC5844" s="36"/>
      <c r="AD5844" s="36"/>
      <c r="AE5844" s="36"/>
      <c r="AF5844" s="36"/>
      <c r="AG5844" s="36"/>
      <c r="AH5844" s="36"/>
      <c r="AI5844" s="36"/>
      <c r="AJ5844" s="15">
        <f t="shared" si="990"/>
        <v>0</v>
      </c>
      <c r="AK5844" s="14"/>
      <c r="AL5844" s="14">
        <v>400</v>
      </c>
      <c r="AM5844" s="14"/>
      <c r="AN5844" s="14"/>
      <c r="AO5844" s="14"/>
      <c r="AP5844" s="14"/>
      <c r="AQ5844" s="14"/>
      <c r="AR5844" s="14"/>
      <c r="AS5844" s="14"/>
      <c r="AT5844" s="14"/>
      <c r="AU5844" s="14"/>
      <c r="AV5844" s="14"/>
      <c r="AW5844" s="15">
        <f t="shared" si="991"/>
        <v>400</v>
      </c>
      <c r="AX5844" s="16"/>
    </row>
    <row r="5845" spans="2:51" x14ac:dyDescent="0.2">
      <c r="B5845" s="7"/>
      <c r="C5845" s="8">
        <v>15995</v>
      </c>
      <c r="D5845" s="9" t="s">
        <v>51</v>
      </c>
      <c r="E5845" s="10" t="str">
        <f t="shared" si="986"/>
        <v>Rancho Landero No. 22</v>
      </c>
      <c r="F5845" s="10" t="str">
        <f t="shared" si="987"/>
        <v>Reyes</v>
      </c>
      <c r="G5845" s="8">
        <v>1</v>
      </c>
      <c r="H5845" s="11">
        <v>500</v>
      </c>
      <c r="I5845" s="12">
        <v>43149</v>
      </c>
      <c r="J5845" s="35">
        <f t="shared" si="988"/>
        <v>0</v>
      </c>
      <c r="K5845" s="36"/>
      <c r="L5845" s="36"/>
      <c r="M5845" s="36"/>
      <c r="N5845" s="36"/>
      <c r="O5845" s="36"/>
      <c r="P5845" s="36"/>
      <c r="Q5845" s="36"/>
      <c r="R5845" s="36"/>
      <c r="S5845" s="36"/>
      <c r="T5845" s="36"/>
      <c r="U5845" s="36"/>
      <c r="V5845" s="36"/>
      <c r="W5845" s="15">
        <f t="shared" si="989"/>
        <v>0</v>
      </c>
      <c r="X5845" s="36"/>
      <c r="Y5845" s="36"/>
      <c r="Z5845" s="36"/>
      <c r="AA5845" s="36"/>
      <c r="AB5845" s="36"/>
      <c r="AC5845" s="36"/>
      <c r="AD5845" s="36"/>
      <c r="AE5845" s="36"/>
      <c r="AF5845" s="36"/>
      <c r="AG5845" s="36"/>
      <c r="AH5845" s="36"/>
      <c r="AI5845" s="36"/>
      <c r="AJ5845" s="15">
        <f t="shared" si="990"/>
        <v>0</v>
      </c>
      <c r="AK5845" s="14"/>
      <c r="AL5845" s="14">
        <v>250</v>
      </c>
      <c r="AM5845" s="14">
        <v>250</v>
      </c>
      <c r="AN5845" s="14"/>
      <c r="AO5845" s="14"/>
      <c r="AP5845" s="14"/>
      <c r="AQ5845" s="14"/>
      <c r="AR5845" s="14"/>
      <c r="AS5845" s="14"/>
      <c r="AT5845" s="14"/>
      <c r="AU5845" s="14"/>
      <c r="AV5845" s="14"/>
      <c r="AW5845" s="15">
        <f t="shared" si="991"/>
        <v>500</v>
      </c>
      <c r="AX5845" s="16"/>
    </row>
    <row r="5846" spans="2:51" x14ac:dyDescent="0.2">
      <c r="B5846" s="7"/>
      <c r="C5846" s="8">
        <v>15996</v>
      </c>
      <c r="D5846" s="9" t="s">
        <v>882</v>
      </c>
      <c r="E5846" s="10" t="str">
        <f t="shared" si="986"/>
        <v>Rancho Upácuaro No. 54</v>
      </c>
      <c r="F5846" s="10" t="str">
        <f t="shared" si="987"/>
        <v>García Rueda</v>
      </c>
      <c r="G5846" s="8">
        <v>1</v>
      </c>
      <c r="H5846" s="11">
        <v>400</v>
      </c>
      <c r="I5846" s="12">
        <v>43149</v>
      </c>
      <c r="J5846" s="35">
        <f t="shared" si="988"/>
        <v>0</v>
      </c>
      <c r="K5846" s="36"/>
      <c r="L5846" s="36"/>
      <c r="M5846" s="36"/>
      <c r="N5846" s="36"/>
      <c r="O5846" s="36"/>
      <c r="P5846" s="36"/>
      <c r="Q5846" s="36"/>
      <c r="R5846" s="36"/>
      <c r="S5846" s="36"/>
      <c r="T5846" s="36"/>
      <c r="U5846" s="36"/>
      <c r="V5846" s="36"/>
      <c r="W5846" s="15">
        <f t="shared" si="989"/>
        <v>0</v>
      </c>
      <c r="X5846" s="36"/>
      <c r="Y5846" s="36"/>
      <c r="Z5846" s="36"/>
      <c r="AA5846" s="36"/>
      <c r="AB5846" s="36"/>
      <c r="AC5846" s="36"/>
      <c r="AD5846" s="36"/>
      <c r="AE5846" s="36"/>
      <c r="AF5846" s="36"/>
      <c r="AG5846" s="36"/>
      <c r="AH5846" s="36"/>
      <c r="AI5846" s="36"/>
      <c r="AJ5846" s="15">
        <f t="shared" si="990"/>
        <v>0</v>
      </c>
      <c r="AK5846" s="14">
        <v>200</v>
      </c>
      <c r="AL5846" s="14">
        <v>200</v>
      </c>
      <c r="AM5846" s="14"/>
      <c r="AN5846" s="14"/>
      <c r="AO5846" s="14"/>
      <c r="AP5846" s="14"/>
      <c r="AQ5846" s="14"/>
      <c r="AR5846" s="14"/>
      <c r="AS5846" s="14"/>
      <c r="AT5846" s="14"/>
      <c r="AU5846" s="14"/>
      <c r="AV5846" s="14"/>
      <c r="AW5846" s="15">
        <f t="shared" si="991"/>
        <v>400</v>
      </c>
      <c r="AX5846" s="16"/>
    </row>
    <row r="5847" spans="2:51" x14ac:dyDescent="0.2">
      <c r="B5847" s="7"/>
      <c r="C5847" s="8">
        <v>15997</v>
      </c>
      <c r="D5847" s="9" t="s">
        <v>223</v>
      </c>
      <c r="E5847" s="10" t="str">
        <f t="shared" si="986"/>
        <v>Rancho Landero No. 26</v>
      </c>
      <c r="F5847" s="10" t="str">
        <f t="shared" si="987"/>
        <v>Balderas Martínez</v>
      </c>
      <c r="G5847" s="8">
        <v>1</v>
      </c>
      <c r="H5847" s="11">
        <v>400</v>
      </c>
      <c r="I5847" s="12">
        <v>43149</v>
      </c>
      <c r="J5847" s="35">
        <f t="shared" si="988"/>
        <v>0</v>
      </c>
      <c r="K5847" s="36"/>
      <c r="L5847" s="36"/>
      <c r="M5847" s="36"/>
      <c r="N5847" s="36"/>
      <c r="O5847" s="36"/>
      <c r="P5847" s="36"/>
      <c r="Q5847" s="36"/>
      <c r="R5847" s="36"/>
      <c r="S5847" s="36"/>
      <c r="T5847" s="36"/>
      <c r="U5847" s="36"/>
      <c r="V5847" s="36"/>
      <c r="W5847" s="15">
        <f t="shared" si="989"/>
        <v>0</v>
      </c>
      <c r="X5847" s="36"/>
      <c r="Y5847" s="36"/>
      <c r="Z5847" s="36"/>
      <c r="AA5847" s="36"/>
      <c r="AB5847" s="36"/>
      <c r="AC5847" s="36"/>
      <c r="AD5847" s="36"/>
      <c r="AE5847" s="36"/>
      <c r="AF5847" s="36"/>
      <c r="AG5847" s="36"/>
      <c r="AH5847" s="36"/>
      <c r="AI5847" s="36"/>
      <c r="AJ5847" s="15">
        <f t="shared" si="990"/>
        <v>0</v>
      </c>
      <c r="AK5847" s="14">
        <v>200</v>
      </c>
      <c r="AL5847" s="14">
        <v>200</v>
      </c>
      <c r="AM5847" s="14"/>
      <c r="AN5847" s="14"/>
      <c r="AO5847" s="14"/>
      <c r="AP5847" s="14"/>
      <c r="AQ5847" s="14"/>
      <c r="AR5847" s="14"/>
      <c r="AS5847" s="14"/>
      <c r="AT5847" s="14"/>
      <c r="AU5847" s="14"/>
      <c r="AV5847" s="14"/>
      <c r="AW5847" s="15">
        <f t="shared" si="991"/>
        <v>400</v>
      </c>
      <c r="AX5847" s="16"/>
    </row>
    <row r="5848" spans="2:51" x14ac:dyDescent="0.2">
      <c r="B5848" s="7"/>
      <c r="C5848" s="8">
        <v>15998</v>
      </c>
      <c r="D5848" s="9" t="s">
        <v>1055</v>
      </c>
      <c r="E5848" s="10" t="str">
        <f t="shared" si="986"/>
        <v>Rancho Estanzuela No. 119, 4</v>
      </c>
      <c r="F5848" s="10" t="str">
        <f t="shared" si="987"/>
        <v>Pérez Martínez</v>
      </c>
      <c r="G5848" s="8">
        <v>1</v>
      </c>
      <c r="H5848" s="11">
        <v>400</v>
      </c>
      <c r="I5848" s="12">
        <v>43149</v>
      </c>
      <c r="J5848" s="35">
        <f t="shared" si="988"/>
        <v>0</v>
      </c>
      <c r="K5848" s="36"/>
      <c r="L5848" s="36"/>
      <c r="M5848" s="36"/>
      <c r="N5848" s="36"/>
      <c r="O5848" s="36"/>
      <c r="P5848" s="36"/>
      <c r="Q5848" s="36"/>
      <c r="R5848" s="36"/>
      <c r="S5848" s="36"/>
      <c r="T5848" s="36"/>
      <c r="U5848" s="36"/>
      <c r="V5848" s="36"/>
      <c r="W5848" s="15">
        <f t="shared" si="989"/>
        <v>0</v>
      </c>
      <c r="X5848" s="36"/>
      <c r="Y5848" s="36"/>
      <c r="Z5848" s="36"/>
      <c r="AA5848" s="36"/>
      <c r="AB5848" s="36"/>
      <c r="AC5848" s="36"/>
      <c r="AD5848" s="36"/>
      <c r="AE5848" s="36"/>
      <c r="AF5848" s="36"/>
      <c r="AG5848" s="36"/>
      <c r="AH5848" s="36"/>
      <c r="AI5848" s="36">
        <v>200</v>
      </c>
      <c r="AJ5848" s="15">
        <f t="shared" si="990"/>
        <v>200</v>
      </c>
      <c r="AK5848" s="14">
        <v>200</v>
      </c>
      <c r="AL5848" s="14"/>
      <c r="AM5848" s="14"/>
      <c r="AN5848" s="14"/>
      <c r="AO5848" s="14"/>
      <c r="AP5848" s="14"/>
      <c r="AQ5848" s="14"/>
      <c r="AR5848" s="14"/>
      <c r="AS5848" s="14"/>
      <c r="AT5848" s="14"/>
      <c r="AU5848" s="14"/>
      <c r="AV5848" s="14"/>
      <c r="AW5848" s="15">
        <f t="shared" si="991"/>
        <v>200</v>
      </c>
      <c r="AX5848" s="16"/>
    </row>
    <row r="5849" spans="2:51" x14ac:dyDescent="0.2">
      <c r="B5849" s="7"/>
      <c r="C5849" s="8">
        <v>15999</v>
      </c>
      <c r="D5849" s="9" t="s">
        <v>1326</v>
      </c>
      <c r="E5849" s="10" t="str">
        <f t="shared" si="974"/>
        <v>Rancho Estanzuela No. 5, B</v>
      </c>
      <c r="F5849" s="10" t="str">
        <f t="shared" si="975"/>
        <v>Juárez Guerrero</v>
      </c>
      <c r="G5849" s="8">
        <v>1</v>
      </c>
      <c r="H5849" s="11">
        <v>400</v>
      </c>
      <c r="I5849" s="12">
        <v>43149</v>
      </c>
      <c r="J5849" s="35">
        <f t="shared" si="976"/>
        <v>0</v>
      </c>
      <c r="K5849" s="36"/>
      <c r="L5849" s="36"/>
      <c r="M5849" s="36"/>
      <c r="N5849" s="36"/>
      <c r="O5849" s="36"/>
      <c r="P5849" s="36"/>
      <c r="Q5849" s="36"/>
      <c r="R5849" s="36"/>
      <c r="S5849" s="36"/>
      <c r="T5849" s="36"/>
      <c r="U5849" s="36"/>
      <c r="V5849" s="36"/>
      <c r="W5849" s="15">
        <f t="shared" si="977"/>
        <v>0</v>
      </c>
      <c r="X5849" s="36"/>
      <c r="Y5849" s="36"/>
      <c r="Z5849" s="36"/>
      <c r="AA5849" s="36"/>
      <c r="AB5849" s="36"/>
      <c r="AC5849" s="36"/>
      <c r="AD5849" s="36"/>
      <c r="AE5849" s="36"/>
      <c r="AF5849" s="36"/>
      <c r="AG5849" s="36"/>
      <c r="AH5849" s="36"/>
      <c r="AI5849" s="36">
        <v>200</v>
      </c>
      <c r="AJ5849" s="15">
        <f t="shared" si="978"/>
        <v>200</v>
      </c>
      <c r="AK5849" s="14">
        <v>200</v>
      </c>
      <c r="AL5849" s="14"/>
      <c r="AM5849" s="14"/>
      <c r="AN5849" s="14"/>
      <c r="AO5849" s="14"/>
      <c r="AP5849" s="14"/>
      <c r="AQ5849" s="14"/>
      <c r="AR5849" s="14"/>
      <c r="AS5849" s="14"/>
      <c r="AT5849" s="14"/>
      <c r="AU5849" s="14"/>
      <c r="AV5849" s="14"/>
      <c r="AW5849" s="15">
        <f t="shared" si="979"/>
        <v>200</v>
      </c>
      <c r="AX5849" s="16"/>
    </row>
    <row r="5850" spans="2:51" x14ac:dyDescent="0.2">
      <c r="B5850" s="7"/>
      <c r="C5850" s="8">
        <v>16000</v>
      </c>
      <c r="D5850" s="9" t="s">
        <v>661</v>
      </c>
      <c r="E5850" s="10" t="str">
        <f t="shared" ref="E5850:E5855" si="992">IF(D5850=0,"",VLOOKUP(D5850,BASE,2,FALSE))</f>
        <v>Rancho Landero No. 101</v>
      </c>
      <c r="F5850" s="10" t="str">
        <f t="shared" ref="F5850:F5855" si="993">IF(D5850=0,"",VLOOKUP(D5850,BASE,3,FALSE))</f>
        <v>Ramírez</v>
      </c>
      <c r="G5850" s="8">
        <v>1</v>
      </c>
      <c r="H5850" s="11">
        <v>4400</v>
      </c>
      <c r="I5850" s="12">
        <v>43149</v>
      </c>
      <c r="J5850" s="35">
        <f t="shared" ref="J5850:J5855" si="994">IF(G5850=1,SUM(W5850,AJ5850,AW5850,-H5850),0)</f>
        <v>0</v>
      </c>
      <c r="K5850" s="36"/>
      <c r="L5850" s="36"/>
      <c r="M5850" s="36"/>
      <c r="N5850" s="36"/>
      <c r="O5850" s="36"/>
      <c r="P5850" s="36"/>
      <c r="Q5850" s="36"/>
      <c r="R5850" s="36"/>
      <c r="S5850" s="36"/>
      <c r="T5850" s="36"/>
      <c r="U5850" s="36"/>
      <c r="V5850" s="36"/>
      <c r="W5850" s="15">
        <f t="shared" ref="W5850:W5855" si="995">SUM(K5850:V5850)</f>
        <v>0</v>
      </c>
      <c r="X5850" s="36"/>
      <c r="Y5850" s="36"/>
      <c r="Z5850" s="36"/>
      <c r="AA5850" s="36"/>
      <c r="AB5850" s="36"/>
      <c r="AC5850" s="36"/>
      <c r="AD5850" s="36"/>
      <c r="AE5850" s="36"/>
      <c r="AF5850" s="36"/>
      <c r="AG5850" s="36"/>
      <c r="AH5850" s="36"/>
      <c r="AI5850" s="36"/>
      <c r="AJ5850" s="15">
        <f t="shared" ref="AJ5850:AJ5855" si="996">SUM(X5850:AI5850)</f>
        <v>0</v>
      </c>
      <c r="AK5850" s="14">
        <v>400</v>
      </c>
      <c r="AL5850" s="14">
        <v>400</v>
      </c>
      <c r="AM5850" s="14">
        <v>400</v>
      </c>
      <c r="AN5850" s="14">
        <v>400</v>
      </c>
      <c r="AO5850" s="14">
        <v>400</v>
      </c>
      <c r="AP5850" s="14">
        <v>400</v>
      </c>
      <c r="AQ5850" s="14">
        <v>400</v>
      </c>
      <c r="AR5850" s="14">
        <v>400</v>
      </c>
      <c r="AS5850" s="14">
        <v>400</v>
      </c>
      <c r="AT5850" s="14">
        <v>400</v>
      </c>
      <c r="AU5850" s="14">
        <v>400</v>
      </c>
      <c r="AV5850" s="14"/>
      <c r="AW5850" s="15">
        <f t="shared" ref="AW5850:AW5855" si="997">SUM(AK5850:AV5850)</f>
        <v>4400</v>
      </c>
      <c r="AX5850" s="16" t="s">
        <v>4905</v>
      </c>
    </row>
    <row r="5851" spans="2:51" x14ac:dyDescent="0.2">
      <c r="B5851" s="7"/>
      <c r="C5851" s="8">
        <v>16001</v>
      </c>
      <c r="D5851" s="9" t="s">
        <v>376</v>
      </c>
      <c r="E5851" s="10" t="str">
        <f t="shared" si="992"/>
        <v>Rancho Estanzuela No. 33</v>
      </c>
      <c r="F5851" s="10" t="str">
        <f t="shared" si="993"/>
        <v>Arauz</v>
      </c>
      <c r="G5851" s="8">
        <v>4</v>
      </c>
      <c r="H5851" s="11">
        <v>200</v>
      </c>
      <c r="I5851" s="12">
        <v>43149</v>
      </c>
      <c r="J5851" s="35">
        <f t="shared" si="994"/>
        <v>0</v>
      </c>
      <c r="K5851" s="36"/>
      <c r="L5851" s="36"/>
      <c r="M5851" s="36"/>
      <c r="N5851" s="36"/>
      <c r="O5851" s="36"/>
      <c r="P5851" s="36"/>
      <c r="Q5851" s="36"/>
      <c r="R5851" s="36"/>
      <c r="S5851" s="36"/>
      <c r="T5851" s="36"/>
      <c r="U5851" s="36"/>
      <c r="V5851" s="36"/>
      <c r="W5851" s="15">
        <f t="shared" si="995"/>
        <v>0</v>
      </c>
      <c r="X5851" s="36"/>
      <c r="Y5851" s="36"/>
      <c r="Z5851" s="36"/>
      <c r="AA5851" s="36"/>
      <c r="AB5851" s="36"/>
      <c r="AC5851" s="36"/>
      <c r="AD5851" s="36"/>
      <c r="AE5851" s="36"/>
      <c r="AF5851" s="36"/>
      <c r="AG5851" s="36"/>
      <c r="AH5851" s="36"/>
      <c r="AI5851" s="36"/>
      <c r="AJ5851" s="15">
        <f t="shared" si="996"/>
        <v>0</v>
      </c>
      <c r="AK5851" s="14"/>
      <c r="AL5851" s="14"/>
      <c r="AM5851" s="14"/>
      <c r="AN5851" s="14"/>
      <c r="AO5851" s="14"/>
      <c r="AP5851" s="14"/>
      <c r="AQ5851" s="14"/>
      <c r="AR5851" s="14"/>
      <c r="AS5851" s="14"/>
      <c r="AT5851" s="14"/>
      <c r="AU5851" s="14"/>
      <c r="AV5851" s="14"/>
      <c r="AW5851" s="15">
        <f t="shared" si="997"/>
        <v>0</v>
      </c>
      <c r="AX5851" s="16" t="s">
        <v>5016</v>
      </c>
    </row>
    <row r="5852" spans="2:51" x14ac:dyDescent="0.2">
      <c r="B5852" s="7"/>
      <c r="C5852" s="8">
        <v>16002</v>
      </c>
      <c r="D5852" s="9" t="s">
        <v>1184</v>
      </c>
      <c r="E5852" s="10" t="str">
        <f t="shared" si="992"/>
        <v>Rancho Zinamba No. 66</v>
      </c>
      <c r="F5852" s="10" t="str">
        <f t="shared" si="993"/>
        <v>Pacheco</v>
      </c>
      <c r="G5852" s="8">
        <v>5</v>
      </c>
      <c r="H5852" s="11">
        <v>100</v>
      </c>
      <c r="I5852" s="12">
        <v>43149</v>
      </c>
      <c r="J5852" s="35">
        <f t="shared" si="994"/>
        <v>0</v>
      </c>
      <c r="K5852" s="36"/>
      <c r="L5852" s="36"/>
      <c r="M5852" s="36"/>
      <c r="N5852" s="36"/>
      <c r="O5852" s="36"/>
      <c r="P5852" s="36"/>
      <c r="Q5852" s="36"/>
      <c r="R5852" s="36"/>
      <c r="S5852" s="36"/>
      <c r="T5852" s="36"/>
      <c r="U5852" s="36"/>
      <c r="V5852" s="36"/>
      <c r="W5852" s="15">
        <f t="shared" si="995"/>
        <v>0</v>
      </c>
      <c r="X5852" s="36"/>
      <c r="Y5852" s="36"/>
      <c r="Z5852" s="36"/>
      <c r="AA5852" s="36"/>
      <c r="AB5852" s="36"/>
      <c r="AC5852" s="36"/>
      <c r="AD5852" s="36"/>
      <c r="AE5852" s="36"/>
      <c r="AF5852" s="36"/>
      <c r="AG5852" s="36"/>
      <c r="AH5852" s="36"/>
      <c r="AI5852" s="36"/>
      <c r="AJ5852" s="15">
        <f t="shared" si="996"/>
        <v>0</v>
      </c>
      <c r="AK5852" s="14"/>
      <c r="AL5852" s="14"/>
      <c r="AM5852" s="14"/>
      <c r="AN5852" s="14"/>
      <c r="AO5852" s="14"/>
      <c r="AP5852" s="14"/>
      <c r="AQ5852" s="14"/>
      <c r="AR5852" s="14"/>
      <c r="AS5852" s="14"/>
      <c r="AT5852" s="14"/>
      <c r="AU5852" s="14"/>
      <c r="AV5852" s="14"/>
      <c r="AW5852" s="15">
        <f t="shared" si="997"/>
        <v>0</v>
      </c>
      <c r="AX5852" s="316">
        <f>SUM(H5812:H5852)</f>
        <v>31425</v>
      </c>
      <c r="AY5852" s="112">
        <f>SUM(H5812:H5852)</f>
        <v>31425</v>
      </c>
    </row>
    <row r="5853" spans="2:51" x14ac:dyDescent="0.2">
      <c r="B5853" s="7"/>
      <c r="C5853" s="8">
        <v>16003</v>
      </c>
      <c r="D5853" s="9" t="s">
        <v>772</v>
      </c>
      <c r="E5853" s="10" t="str">
        <f t="shared" si="992"/>
        <v>Rancho La Cuchilla No. 79</v>
      </c>
      <c r="F5853" s="10" t="str">
        <f t="shared" si="993"/>
        <v>De la Rosa</v>
      </c>
      <c r="G5853" s="8">
        <v>1</v>
      </c>
      <c r="H5853" s="315">
        <v>400</v>
      </c>
      <c r="I5853" s="12">
        <v>43150</v>
      </c>
      <c r="J5853" s="35">
        <f t="shared" si="994"/>
        <v>0</v>
      </c>
      <c r="K5853" s="36"/>
      <c r="L5853" s="36"/>
      <c r="M5853" s="36"/>
      <c r="N5853" s="36"/>
      <c r="O5853" s="36"/>
      <c r="P5853" s="36"/>
      <c r="Q5853" s="36"/>
      <c r="R5853" s="36"/>
      <c r="S5853" s="36"/>
      <c r="T5853" s="36"/>
      <c r="U5853" s="36"/>
      <c r="V5853" s="36"/>
      <c r="W5853" s="15">
        <f t="shared" si="995"/>
        <v>0</v>
      </c>
      <c r="X5853" s="36"/>
      <c r="Y5853" s="36"/>
      <c r="Z5853" s="36"/>
      <c r="AA5853" s="36"/>
      <c r="AB5853" s="36"/>
      <c r="AC5853" s="36"/>
      <c r="AD5853" s="36"/>
      <c r="AE5853" s="36"/>
      <c r="AF5853" s="36"/>
      <c r="AG5853" s="36"/>
      <c r="AH5853" s="36"/>
      <c r="AI5853" s="36"/>
      <c r="AJ5853" s="15">
        <f t="shared" si="996"/>
        <v>0</v>
      </c>
      <c r="AK5853" s="14">
        <v>200</v>
      </c>
      <c r="AL5853" s="14">
        <v>200</v>
      </c>
      <c r="AM5853" s="14"/>
      <c r="AN5853" s="14"/>
      <c r="AO5853" s="14"/>
      <c r="AP5853" s="14"/>
      <c r="AQ5853" s="14"/>
      <c r="AR5853" s="14"/>
      <c r="AS5853" s="14"/>
      <c r="AT5853" s="14"/>
      <c r="AU5853" s="14"/>
      <c r="AV5853" s="14"/>
      <c r="AW5853" s="15">
        <f t="shared" si="997"/>
        <v>400</v>
      </c>
      <c r="AX5853" s="16"/>
    </row>
    <row r="5854" spans="2:51" x14ac:dyDescent="0.2">
      <c r="B5854" s="7"/>
      <c r="C5854" s="8">
        <v>16004</v>
      </c>
      <c r="D5854" s="9" t="s">
        <v>1276</v>
      </c>
      <c r="E5854" s="10" t="str">
        <f t="shared" si="992"/>
        <v>Rancho La Cuchilla No. 63</v>
      </c>
      <c r="F5854" s="10" t="str">
        <f t="shared" si="993"/>
        <v>Díaz de la Rosa</v>
      </c>
      <c r="G5854" s="8">
        <v>1</v>
      </c>
      <c r="H5854" s="11">
        <v>200</v>
      </c>
      <c r="I5854" s="12">
        <v>43150</v>
      </c>
      <c r="J5854" s="35">
        <f t="shared" si="994"/>
        <v>0</v>
      </c>
      <c r="K5854" s="36"/>
      <c r="L5854" s="36"/>
      <c r="M5854" s="36"/>
      <c r="N5854" s="36"/>
      <c r="O5854" s="36"/>
      <c r="P5854" s="36"/>
      <c r="Q5854" s="36"/>
      <c r="R5854" s="36"/>
      <c r="S5854" s="36"/>
      <c r="T5854" s="36"/>
      <c r="U5854" s="36"/>
      <c r="V5854" s="36"/>
      <c r="W5854" s="15">
        <f t="shared" si="995"/>
        <v>0</v>
      </c>
      <c r="X5854" s="36"/>
      <c r="Y5854" s="36"/>
      <c r="Z5854" s="36"/>
      <c r="AA5854" s="36"/>
      <c r="AB5854" s="36"/>
      <c r="AC5854" s="36"/>
      <c r="AD5854" s="36"/>
      <c r="AE5854" s="36"/>
      <c r="AF5854" s="36"/>
      <c r="AG5854" s="36"/>
      <c r="AH5854" s="36"/>
      <c r="AI5854" s="36"/>
      <c r="AJ5854" s="15">
        <f t="shared" si="996"/>
        <v>0</v>
      </c>
      <c r="AK5854" s="14"/>
      <c r="AL5854" s="14">
        <v>200</v>
      </c>
      <c r="AM5854" s="14"/>
      <c r="AN5854" s="14"/>
      <c r="AO5854" s="14"/>
      <c r="AP5854" s="14"/>
      <c r="AQ5854" s="14"/>
      <c r="AR5854" s="14"/>
      <c r="AS5854" s="14"/>
      <c r="AT5854" s="14"/>
      <c r="AU5854" s="14"/>
      <c r="AV5854" s="14"/>
      <c r="AW5854" s="15">
        <f t="shared" si="997"/>
        <v>200</v>
      </c>
      <c r="AX5854" s="16"/>
    </row>
    <row r="5855" spans="2:51" x14ac:dyDescent="0.2">
      <c r="B5855" s="7"/>
      <c r="C5855" s="8">
        <v>16005</v>
      </c>
      <c r="D5855" s="9" t="s">
        <v>1276</v>
      </c>
      <c r="E5855" s="10" t="str">
        <f t="shared" si="992"/>
        <v>Rancho La Cuchilla No. 63</v>
      </c>
      <c r="F5855" s="10" t="str">
        <f t="shared" si="993"/>
        <v>Díaz de la Rosa</v>
      </c>
      <c r="G5855" s="8">
        <v>5</v>
      </c>
      <c r="H5855" s="11">
        <v>75</v>
      </c>
      <c r="I5855" s="12">
        <v>43150</v>
      </c>
      <c r="J5855" s="35">
        <f t="shared" si="994"/>
        <v>0</v>
      </c>
      <c r="K5855" s="36"/>
      <c r="L5855" s="36"/>
      <c r="M5855" s="36"/>
      <c r="N5855" s="36"/>
      <c r="O5855" s="36"/>
      <c r="P5855" s="36"/>
      <c r="Q5855" s="36"/>
      <c r="R5855" s="36"/>
      <c r="S5855" s="36"/>
      <c r="T5855" s="36"/>
      <c r="U5855" s="36"/>
      <c r="V5855" s="36"/>
      <c r="W5855" s="15">
        <f t="shared" si="995"/>
        <v>0</v>
      </c>
      <c r="X5855" s="36"/>
      <c r="Y5855" s="36"/>
      <c r="Z5855" s="36"/>
      <c r="AA5855" s="36"/>
      <c r="AB5855" s="36"/>
      <c r="AC5855" s="36"/>
      <c r="AD5855" s="36"/>
      <c r="AE5855" s="36"/>
      <c r="AF5855" s="36"/>
      <c r="AG5855" s="36"/>
      <c r="AH5855" s="36"/>
      <c r="AI5855" s="36"/>
      <c r="AJ5855" s="15">
        <f t="shared" si="996"/>
        <v>0</v>
      </c>
      <c r="AK5855" s="14"/>
      <c r="AL5855" s="14"/>
      <c r="AM5855" s="14"/>
      <c r="AN5855" s="14"/>
      <c r="AO5855" s="14"/>
      <c r="AP5855" s="14"/>
      <c r="AQ5855" s="14"/>
      <c r="AR5855" s="14"/>
      <c r="AS5855" s="14"/>
      <c r="AT5855" s="14"/>
      <c r="AU5855" s="14"/>
      <c r="AV5855" s="14"/>
      <c r="AW5855" s="15">
        <f t="shared" si="997"/>
        <v>0</v>
      </c>
      <c r="AX5855" s="16"/>
    </row>
    <row r="5856" spans="2:51" x14ac:dyDescent="0.2">
      <c r="B5856" s="7"/>
      <c r="C5856" s="8">
        <v>16006</v>
      </c>
      <c r="D5856" s="9" t="s">
        <v>1276</v>
      </c>
      <c r="E5856" s="10" t="str">
        <f t="shared" ref="E5856:E5898" si="998">IF(D5856=0,"",VLOOKUP(D5856,BASE,2,FALSE))</f>
        <v>Rancho La Cuchilla No. 63</v>
      </c>
      <c r="F5856" s="10" t="str">
        <f t="shared" ref="F5856:F5898" si="999">IF(D5856=0,"",VLOOKUP(D5856,BASE,3,FALSE))</f>
        <v>Díaz de la Rosa</v>
      </c>
      <c r="G5856" s="8">
        <v>4</v>
      </c>
      <c r="H5856" s="11">
        <v>200</v>
      </c>
      <c r="I5856" s="12">
        <v>43150</v>
      </c>
      <c r="J5856" s="35">
        <f t="shared" ref="J5856:J5898" si="1000">IF(G5856=1,SUM(W5856,AJ5856,AW5856,-H5856),0)</f>
        <v>0</v>
      </c>
      <c r="K5856" s="36"/>
      <c r="L5856" s="36"/>
      <c r="M5856" s="36"/>
      <c r="N5856" s="36"/>
      <c r="O5856" s="36"/>
      <c r="P5856" s="36"/>
      <c r="Q5856" s="36"/>
      <c r="R5856" s="36"/>
      <c r="S5856" s="36"/>
      <c r="T5856" s="36"/>
      <c r="U5856" s="36"/>
      <c r="V5856" s="36"/>
      <c r="W5856" s="15">
        <f t="shared" ref="W5856:W5898" si="1001">SUM(K5856:V5856)</f>
        <v>0</v>
      </c>
      <c r="X5856" s="36"/>
      <c r="Y5856" s="36"/>
      <c r="Z5856" s="36"/>
      <c r="AA5856" s="36"/>
      <c r="AB5856" s="36"/>
      <c r="AC5856" s="36"/>
      <c r="AD5856" s="36"/>
      <c r="AE5856" s="36"/>
      <c r="AF5856" s="36"/>
      <c r="AG5856" s="36"/>
      <c r="AH5856" s="36"/>
      <c r="AI5856" s="36"/>
      <c r="AJ5856" s="15">
        <f t="shared" ref="AJ5856:AJ5898" si="1002">SUM(X5856:AI5856)</f>
        <v>0</v>
      </c>
      <c r="AK5856" s="14"/>
      <c r="AL5856" s="14"/>
      <c r="AM5856" s="14"/>
      <c r="AN5856" s="14"/>
      <c r="AO5856" s="14"/>
      <c r="AP5856" s="14"/>
      <c r="AQ5856" s="14"/>
      <c r="AR5856" s="14"/>
      <c r="AS5856" s="14"/>
      <c r="AT5856" s="14"/>
      <c r="AU5856" s="14"/>
      <c r="AV5856" s="14"/>
      <c r="AW5856" s="15">
        <f t="shared" ref="AW5856:AW5898" si="1003">SUM(AK5856:AV5856)</f>
        <v>0</v>
      </c>
      <c r="AX5856" s="16" t="s">
        <v>5046</v>
      </c>
    </row>
    <row r="5857" spans="2:50" x14ac:dyDescent="0.2">
      <c r="B5857" s="7"/>
      <c r="C5857" s="8">
        <v>16007</v>
      </c>
      <c r="D5857" s="9" t="s">
        <v>177</v>
      </c>
      <c r="E5857" s="10" t="str">
        <f t="shared" si="998"/>
        <v>Rancho Landero No. 71</v>
      </c>
      <c r="F5857" s="10" t="str">
        <f t="shared" si="999"/>
        <v xml:space="preserve">Luna  </v>
      </c>
      <c r="G5857" s="8">
        <v>1</v>
      </c>
      <c r="H5857" s="11">
        <v>400</v>
      </c>
      <c r="I5857" s="12">
        <v>43153</v>
      </c>
      <c r="J5857" s="35">
        <f t="shared" si="1000"/>
        <v>0</v>
      </c>
      <c r="K5857" s="36"/>
      <c r="L5857" s="36"/>
      <c r="M5857" s="36"/>
      <c r="N5857" s="36"/>
      <c r="O5857" s="36"/>
      <c r="P5857" s="36"/>
      <c r="Q5857" s="36"/>
      <c r="R5857" s="36"/>
      <c r="S5857" s="36"/>
      <c r="T5857" s="36"/>
      <c r="U5857" s="36"/>
      <c r="V5857" s="36"/>
      <c r="W5857" s="15">
        <f t="shared" si="1001"/>
        <v>0</v>
      </c>
      <c r="X5857" s="36"/>
      <c r="Y5857" s="36"/>
      <c r="Z5857" s="36"/>
      <c r="AA5857" s="36"/>
      <c r="AB5857" s="36"/>
      <c r="AC5857" s="36"/>
      <c r="AD5857" s="36"/>
      <c r="AE5857" s="36"/>
      <c r="AF5857" s="36"/>
      <c r="AG5857" s="36"/>
      <c r="AH5857" s="36"/>
      <c r="AI5857" s="36"/>
      <c r="AJ5857" s="15">
        <f t="shared" si="1002"/>
        <v>0</v>
      </c>
      <c r="AK5857" s="14"/>
      <c r="AL5857" s="14">
        <v>400</v>
      </c>
      <c r="AM5857" s="14"/>
      <c r="AN5857" s="14"/>
      <c r="AO5857" s="14"/>
      <c r="AP5857" s="14"/>
      <c r="AQ5857" s="14"/>
      <c r="AR5857" s="14"/>
      <c r="AS5857" s="14"/>
      <c r="AT5857" s="14"/>
      <c r="AU5857" s="14"/>
      <c r="AV5857" s="14"/>
      <c r="AW5857" s="15">
        <f t="shared" si="1003"/>
        <v>400</v>
      </c>
      <c r="AX5857" s="16"/>
    </row>
    <row r="5858" spans="2:50" x14ac:dyDescent="0.2">
      <c r="B5858" s="7"/>
      <c r="C5858" s="8">
        <v>16008</v>
      </c>
      <c r="D5858" s="9" t="s">
        <v>44</v>
      </c>
      <c r="E5858" s="10" t="str">
        <f t="shared" si="998"/>
        <v>Rancho Landero No. 14</v>
      </c>
      <c r="F5858" s="10" t="str">
        <f t="shared" si="999"/>
        <v xml:space="preserve">Castrejón  </v>
      </c>
      <c r="G5858" s="8">
        <v>1</v>
      </c>
      <c r="H5858" s="11">
        <v>2000</v>
      </c>
      <c r="I5858" s="12">
        <v>43156</v>
      </c>
      <c r="J5858" s="35">
        <f t="shared" si="1000"/>
        <v>0</v>
      </c>
      <c r="K5858" s="36"/>
      <c r="L5858" s="36"/>
      <c r="M5858" s="36"/>
      <c r="N5858" s="36"/>
      <c r="O5858" s="36"/>
      <c r="P5858" s="36"/>
      <c r="Q5858" s="36"/>
      <c r="R5858" s="36"/>
      <c r="S5858" s="36"/>
      <c r="T5858" s="36"/>
      <c r="U5858" s="36"/>
      <c r="V5858" s="36"/>
      <c r="W5858" s="15">
        <f t="shared" si="1001"/>
        <v>0</v>
      </c>
      <c r="X5858" s="36"/>
      <c r="Y5858" s="36"/>
      <c r="Z5858" s="36"/>
      <c r="AA5858" s="36"/>
      <c r="AB5858" s="36"/>
      <c r="AC5858" s="36"/>
      <c r="AD5858" s="36"/>
      <c r="AE5858" s="36"/>
      <c r="AF5858" s="36"/>
      <c r="AG5858" s="36"/>
      <c r="AH5858" s="36"/>
      <c r="AI5858" s="36">
        <v>400</v>
      </c>
      <c r="AJ5858" s="15">
        <f t="shared" si="1002"/>
        <v>400</v>
      </c>
      <c r="AK5858" s="14">
        <v>400</v>
      </c>
      <c r="AL5858" s="14">
        <v>400</v>
      </c>
      <c r="AM5858" s="14">
        <v>400</v>
      </c>
      <c r="AN5858" s="14">
        <v>400</v>
      </c>
      <c r="AO5858" s="14"/>
      <c r="AP5858" s="14"/>
      <c r="AQ5858" s="14"/>
      <c r="AR5858" s="14"/>
      <c r="AS5858" s="14"/>
      <c r="AT5858" s="14"/>
      <c r="AU5858" s="14"/>
      <c r="AV5858" s="14"/>
      <c r="AW5858" s="15">
        <f t="shared" si="1003"/>
        <v>1600</v>
      </c>
      <c r="AX5858" s="16"/>
    </row>
    <row r="5859" spans="2:50" x14ac:dyDescent="0.2">
      <c r="B5859" s="7"/>
      <c r="C5859" s="8">
        <v>16009</v>
      </c>
      <c r="D5859" s="9" t="s">
        <v>1335</v>
      </c>
      <c r="E5859" s="10" t="str">
        <f t="shared" si="998"/>
        <v>Rancho Estanzuela No. 49</v>
      </c>
      <c r="F5859" s="10" t="str">
        <f t="shared" si="999"/>
        <v>Sánchez Zamora</v>
      </c>
      <c r="G5859" s="8">
        <v>1</v>
      </c>
      <c r="H5859" s="11">
        <v>400</v>
      </c>
      <c r="I5859" s="12">
        <v>43156</v>
      </c>
      <c r="J5859" s="35">
        <f t="shared" si="1000"/>
        <v>0</v>
      </c>
      <c r="K5859" s="36"/>
      <c r="L5859" s="36"/>
      <c r="M5859" s="36"/>
      <c r="N5859" s="36"/>
      <c r="O5859" s="36"/>
      <c r="P5859" s="36"/>
      <c r="Q5859" s="36"/>
      <c r="R5859" s="36"/>
      <c r="S5859" s="36"/>
      <c r="T5859" s="36"/>
      <c r="U5859" s="36"/>
      <c r="V5859" s="36"/>
      <c r="W5859" s="15">
        <f t="shared" si="1001"/>
        <v>0</v>
      </c>
      <c r="X5859" s="36"/>
      <c r="Y5859" s="36"/>
      <c r="Z5859" s="36"/>
      <c r="AA5859" s="36"/>
      <c r="AB5859" s="36"/>
      <c r="AC5859" s="36"/>
      <c r="AD5859" s="36"/>
      <c r="AE5859" s="36"/>
      <c r="AF5859" s="36"/>
      <c r="AG5859" s="36"/>
      <c r="AH5859" s="36"/>
      <c r="AI5859" s="36"/>
      <c r="AJ5859" s="15">
        <f t="shared" si="1002"/>
        <v>0</v>
      </c>
      <c r="AK5859" s="14">
        <v>200</v>
      </c>
      <c r="AL5859" s="14">
        <v>200</v>
      </c>
      <c r="AM5859" s="14"/>
      <c r="AN5859" s="14"/>
      <c r="AO5859" s="14"/>
      <c r="AP5859" s="14"/>
      <c r="AQ5859" s="14"/>
      <c r="AR5859" s="14"/>
      <c r="AS5859" s="14"/>
      <c r="AT5859" s="14"/>
      <c r="AU5859" s="14"/>
      <c r="AV5859" s="14"/>
      <c r="AW5859" s="15">
        <f t="shared" si="1003"/>
        <v>400</v>
      </c>
      <c r="AX5859" s="16"/>
    </row>
    <row r="5860" spans="2:50" x14ac:dyDescent="0.2">
      <c r="B5860" s="7"/>
      <c r="C5860" s="8">
        <v>16009</v>
      </c>
      <c r="D5860" s="9" t="s">
        <v>1335</v>
      </c>
      <c r="E5860" s="10" t="str">
        <f t="shared" si="998"/>
        <v>Rancho Estanzuela No. 49</v>
      </c>
      <c r="F5860" s="10" t="str">
        <f t="shared" si="999"/>
        <v>Sánchez Zamora</v>
      </c>
      <c r="G5860" s="8">
        <v>3</v>
      </c>
      <c r="H5860" s="11">
        <v>200</v>
      </c>
      <c r="I5860" s="12">
        <v>43156</v>
      </c>
      <c r="J5860" s="35">
        <f t="shared" si="1000"/>
        <v>0</v>
      </c>
      <c r="K5860" s="36"/>
      <c r="L5860" s="36"/>
      <c r="M5860" s="36"/>
      <c r="N5860" s="36"/>
      <c r="O5860" s="36"/>
      <c r="P5860" s="36"/>
      <c r="Q5860" s="36"/>
      <c r="R5860" s="36"/>
      <c r="S5860" s="36"/>
      <c r="T5860" s="36"/>
      <c r="U5860" s="36"/>
      <c r="V5860" s="36"/>
      <c r="W5860" s="15">
        <f t="shared" si="1001"/>
        <v>0</v>
      </c>
      <c r="X5860" s="36"/>
      <c r="Y5860" s="36"/>
      <c r="Z5860" s="36"/>
      <c r="AA5860" s="36"/>
      <c r="AB5860" s="36"/>
      <c r="AC5860" s="36"/>
      <c r="AD5860" s="36"/>
      <c r="AE5860" s="36"/>
      <c r="AF5860" s="36"/>
      <c r="AG5860" s="36"/>
      <c r="AH5860" s="36"/>
      <c r="AI5860" s="36"/>
      <c r="AJ5860" s="15">
        <f t="shared" si="1002"/>
        <v>0</v>
      </c>
      <c r="AK5860" s="14"/>
      <c r="AL5860" s="14"/>
      <c r="AM5860" s="14"/>
      <c r="AN5860" s="14"/>
      <c r="AO5860" s="14"/>
      <c r="AP5860" s="14"/>
      <c r="AQ5860" s="14"/>
      <c r="AR5860" s="14"/>
      <c r="AS5860" s="14"/>
      <c r="AT5860" s="14"/>
      <c r="AU5860" s="14"/>
      <c r="AV5860" s="14"/>
      <c r="AW5860" s="15">
        <f t="shared" si="1003"/>
        <v>0</v>
      </c>
      <c r="AX5860" s="16"/>
    </row>
    <row r="5861" spans="2:50" x14ac:dyDescent="0.2">
      <c r="B5861" s="7"/>
      <c r="C5861" s="8">
        <v>16009</v>
      </c>
      <c r="D5861" s="9" t="s">
        <v>1335</v>
      </c>
      <c r="E5861" s="10" t="str">
        <f t="shared" si="998"/>
        <v>Rancho Estanzuela No. 49</v>
      </c>
      <c r="F5861" s="10" t="str">
        <f t="shared" si="999"/>
        <v>Sánchez Zamora</v>
      </c>
      <c r="G5861" s="8">
        <v>4</v>
      </c>
      <c r="H5861" s="11">
        <v>200</v>
      </c>
      <c r="I5861" s="12">
        <v>43156</v>
      </c>
      <c r="J5861" s="35">
        <f t="shared" si="1000"/>
        <v>0</v>
      </c>
      <c r="K5861" s="36"/>
      <c r="L5861" s="36"/>
      <c r="M5861" s="36"/>
      <c r="N5861" s="36"/>
      <c r="O5861" s="36"/>
      <c r="P5861" s="36"/>
      <c r="Q5861" s="36"/>
      <c r="R5861" s="36"/>
      <c r="S5861" s="36"/>
      <c r="T5861" s="36"/>
      <c r="U5861" s="36"/>
      <c r="V5861" s="36"/>
      <c r="W5861" s="15">
        <f t="shared" si="1001"/>
        <v>0</v>
      </c>
      <c r="X5861" s="36"/>
      <c r="Y5861" s="36"/>
      <c r="Z5861" s="36"/>
      <c r="AA5861" s="36"/>
      <c r="AB5861" s="36"/>
      <c r="AC5861" s="36"/>
      <c r="AD5861" s="36"/>
      <c r="AE5861" s="36"/>
      <c r="AF5861" s="36"/>
      <c r="AG5861" s="36"/>
      <c r="AH5861" s="36"/>
      <c r="AI5861" s="36"/>
      <c r="AJ5861" s="15">
        <f t="shared" si="1002"/>
        <v>0</v>
      </c>
      <c r="AK5861" s="14"/>
      <c r="AL5861" s="14"/>
      <c r="AM5861" s="14"/>
      <c r="AN5861" s="14"/>
      <c r="AO5861" s="14"/>
      <c r="AP5861" s="14"/>
      <c r="AQ5861" s="14"/>
      <c r="AR5861" s="14"/>
      <c r="AS5861" s="14"/>
      <c r="AT5861" s="14"/>
      <c r="AU5861" s="14"/>
      <c r="AV5861" s="14"/>
      <c r="AW5861" s="15">
        <f t="shared" si="1003"/>
        <v>0</v>
      </c>
      <c r="AX5861" s="16" t="s">
        <v>5047</v>
      </c>
    </row>
    <row r="5862" spans="2:50" x14ac:dyDescent="0.2">
      <c r="B5862" s="7"/>
      <c r="C5862" s="8">
        <v>16010</v>
      </c>
      <c r="D5862" s="9" t="s">
        <v>132</v>
      </c>
      <c r="E5862" s="10" t="str">
        <f t="shared" si="998"/>
        <v>Rancho La Cuchilla No. 129</v>
      </c>
      <c r="F5862" s="10" t="str">
        <f t="shared" si="999"/>
        <v>Gamboa Rueda</v>
      </c>
      <c r="G5862" s="8">
        <v>1</v>
      </c>
      <c r="H5862" s="11">
        <v>400</v>
      </c>
      <c r="I5862" s="12">
        <v>43156</v>
      </c>
      <c r="J5862" s="35">
        <f t="shared" si="1000"/>
        <v>0</v>
      </c>
      <c r="K5862" s="36"/>
      <c r="L5862" s="36"/>
      <c r="M5862" s="36"/>
      <c r="N5862" s="36"/>
      <c r="O5862" s="36"/>
      <c r="P5862" s="36"/>
      <c r="Q5862" s="36"/>
      <c r="R5862" s="36"/>
      <c r="S5862" s="36"/>
      <c r="T5862" s="36"/>
      <c r="U5862" s="36"/>
      <c r="V5862" s="36"/>
      <c r="W5862" s="15">
        <f t="shared" si="1001"/>
        <v>0</v>
      </c>
      <c r="X5862" s="36"/>
      <c r="Y5862" s="36"/>
      <c r="Z5862" s="36"/>
      <c r="AA5862" s="36"/>
      <c r="AB5862" s="36"/>
      <c r="AC5862" s="36"/>
      <c r="AD5862" s="36"/>
      <c r="AE5862" s="36"/>
      <c r="AF5862" s="36"/>
      <c r="AG5862" s="36"/>
      <c r="AH5862" s="36"/>
      <c r="AI5862" s="36"/>
      <c r="AJ5862" s="15">
        <f t="shared" si="1002"/>
        <v>0</v>
      </c>
      <c r="AK5862" s="14">
        <v>200</v>
      </c>
      <c r="AL5862" s="14">
        <v>200</v>
      </c>
      <c r="AM5862" s="14"/>
      <c r="AN5862" s="14"/>
      <c r="AO5862" s="14"/>
      <c r="AP5862" s="14"/>
      <c r="AQ5862" s="14"/>
      <c r="AR5862" s="14"/>
      <c r="AS5862" s="14"/>
      <c r="AT5862" s="14"/>
      <c r="AU5862" s="14"/>
      <c r="AV5862" s="14"/>
      <c r="AW5862" s="15">
        <f t="shared" si="1003"/>
        <v>400</v>
      </c>
      <c r="AX5862" s="16"/>
    </row>
    <row r="5863" spans="2:50" x14ac:dyDescent="0.2">
      <c r="B5863" s="7"/>
      <c r="C5863" s="8">
        <v>16011</v>
      </c>
      <c r="D5863" s="9" t="s">
        <v>404</v>
      </c>
      <c r="E5863" s="10" t="str">
        <f t="shared" si="998"/>
        <v>Rancho La Cuchilla No. 89</v>
      </c>
      <c r="F5863" s="10" t="str">
        <f t="shared" si="999"/>
        <v>Gálvez</v>
      </c>
      <c r="G5863" s="8">
        <v>1</v>
      </c>
      <c r="H5863" s="11">
        <v>400</v>
      </c>
      <c r="I5863" s="12">
        <v>43156</v>
      </c>
      <c r="J5863" s="35">
        <f t="shared" si="1000"/>
        <v>0</v>
      </c>
      <c r="K5863" s="36"/>
      <c r="L5863" s="36"/>
      <c r="M5863" s="36"/>
      <c r="N5863" s="36"/>
      <c r="O5863" s="36"/>
      <c r="P5863" s="36"/>
      <c r="Q5863" s="36"/>
      <c r="R5863" s="36"/>
      <c r="S5863" s="36"/>
      <c r="T5863" s="36"/>
      <c r="U5863" s="36"/>
      <c r="V5863" s="36"/>
      <c r="W5863" s="15">
        <f t="shared" si="1001"/>
        <v>0</v>
      </c>
      <c r="X5863" s="36"/>
      <c r="Y5863" s="36"/>
      <c r="Z5863" s="36"/>
      <c r="AA5863" s="36"/>
      <c r="AB5863" s="36"/>
      <c r="AC5863" s="36"/>
      <c r="AD5863" s="36"/>
      <c r="AE5863" s="36"/>
      <c r="AF5863" s="36"/>
      <c r="AG5863" s="36"/>
      <c r="AH5863" s="36"/>
      <c r="AI5863" s="36"/>
      <c r="AJ5863" s="15">
        <f t="shared" si="1002"/>
        <v>0</v>
      </c>
      <c r="AK5863" s="14"/>
      <c r="AL5863" s="14">
        <v>400</v>
      </c>
      <c r="AM5863" s="14"/>
      <c r="AN5863" s="14"/>
      <c r="AO5863" s="14"/>
      <c r="AP5863" s="14"/>
      <c r="AQ5863" s="14"/>
      <c r="AR5863" s="14"/>
      <c r="AS5863" s="14"/>
      <c r="AT5863" s="14"/>
      <c r="AU5863" s="14"/>
      <c r="AV5863" s="14"/>
      <c r="AW5863" s="15">
        <f t="shared" si="1003"/>
        <v>400</v>
      </c>
      <c r="AX5863" s="16"/>
    </row>
    <row r="5864" spans="2:50" x14ac:dyDescent="0.2">
      <c r="B5864" s="7"/>
      <c r="C5864" s="8">
        <v>16012</v>
      </c>
      <c r="D5864" s="9" t="s">
        <v>1039</v>
      </c>
      <c r="E5864" s="10" t="str">
        <f t="shared" si="998"/>
        <v>Rancho Upácuaro No. 77</v>
      </c>
      <c r="F5864" s="10" t="str">
        <f t="shared" si="999"/>
        <v>Alvarado</v>
      </c>
      <c r="G5864" s="8">
        <v>1</v>
      </c>
      <c r="H5864" s="11">
        <v>800</v>
      </c>
      <c r="I5864" s="12">
        <v>43156</v>
      </c>
      <c r="J5864" s="35">
        <f t="shared" si="1000"/>
        <v>0</v>
      </c>
      <c r="K5864" s="36"/>
      <c r="L5864" s="36"/>
      <c r="M5864" s="36"/>
      <c r="N5864" s="36"/>
      <c r="O5864" s="36"/>
      <c r="P5864" s="36"/>
      <c r="Q5864" s="36"/>
      <c r="R5864" s="36"/>
      <c r="S5864" s="36"/>
      <c r="T5864" s="36"/>
      <c r="U5864" s="36"/>
      <c r="V5864" s="36"/>
      <c r="W5864" s="15">
        <f t="shared" si="1001"/>
        <v>0</v>
      </c>
      <c r="X5864" s="36"/>
      <c r="Y5864" s="36"/>
      <c r="Z5864" s="36"/>
      <c r="AA5864" s="36"/>
      <c r="AB5864" s="36"/>
      <c r="AC5864" s="36"/>
      <c r="AD5864" s="36"/>
      <c r="AE5864" s="36"/>
      <c r="AF5864" s="36"/>
      <c r="AG5864" s="36"/>
      <c r="AH5864" s="36"/>
      <c r="AI5864" s="36">
        <v>400</v>
      </c>
      <c r="AJ5864" s="15">
        <f t="shared" si="1002"/>
        <v>400</v>
      </c>
      <c r="AK5864" s="14">
        <v>400</v>
      </c>
      <c r="AL5864" s="14"/>
      <c r="AM5864" s="14"/>
      <c r="AN5864" s="14"/>
      <c r="AO5864" s="14"/>
      <c r="AP5864" s="14"/>
      <c r="AQ5864" s="14"/>
      <c r="AR5864" s="14"/>
      <c r="AS5864" s="14"/>
      <c r="AT5864" s="14"/>
      <c r="AU5864" s="14"/>
      <c r="AV5864" s="14"/>
      <c r="AW5864" s="15">
        <f t="shared" si="1003"/>
        <v>400</v>
      </c>
      <c r="AX5864" s="16"/>
    </row>
    <row r="5865" spans="2:50" x14ac:dyDescent="0.2">
      <c r="B5865" s="7"/>
      <c r="C5865" s="8">
        <v>16012</v>
      </c>
      <c r="D5865" s="9" t="s">
        <v>1039</v>
      </c>
      <c r="E5865" s="10" t="str">
        <f t="shared" si="998"/>
        <v>Rancho Upácuaro No. 77</v>
      </c>
      <c r="F5865" s="10" t="str">
        <f t="shared" si="999"/>
        <v>Alvarado</v>
      </c>
      <c r="G5865" s="8">
        <v>4</v>
      </c>
      <c r="H5865" s="11">
        <v>200</v>
      </c>
      <c r="I5865" s="12">
        <v>43156</v>
      </c>
      <c r="J5865" s="35">
        <f t="shared" si="1000"/>
        <v>0</v>
      </c>
      <c r="K5865" s="36"/>
      <c r="L5865" s="36"/>
      <c r="M5865" s="36"/>
      <c r="N5865" s="36"/>
      <c r="O5865" s="36"/>
      <c r="P5865" s="36"/>
      <c r="Q5865" s="36"/>
      <c r="R5865" s="36"/>
      <c r="S5865" s="36"/>
      <c r="T5865" s="36"/>
      <c r="U5865" s="36"/>
      <c r="V5865" s="36"/>
      <c r="W5865" s="15">
        <f t="shared" si="1001"/>
        <v>0</v>
      </c>
      <c r="X5865" s="36"/>
      <c r="Y5865" s="36"/>
      <c r="Z5865" s="36"/>
      <c r="AA5865" s="36"/>
      <c r="AB5865" s="36"/>
      <c r="AC5865" s="36"/>
      <c r="AD5865" s="36"/>
      <c r="AE5865" s="36"/>
      <c r="AF5865" s="36"/>
      <c r="AG5865" s="36"/>
      <c r="AH5865" s="36"/>
      <c r="AI5865" s="36"/>
      <c r="AJ5865" s="15">
        <f t="shared" si="1002"/>
        <v>0</v>
      </c>
      <c r="AK5865" s="14"/>
      <c r="AL5865" s="14"/>
      <c r="AM5865" s="14"/>
      <c r="AN5865" s="14"/>
      <c r="AO5865" s="14"/>
      <c r="AP5865" s="14"/>
      <c r="AQ5865" s="14"/>
      <c r="AR5865" s="14"/>
      <c r="AS5865" s="14"/>
      <c r="AT5865" s="14"/>
      <c r="AU5865" s="14"/>
      <c r="AV5865" s="14"/>
      <c r="AW5865" s="15">
        <f t="shared" si="1003"/>
        <v>0</v>
      </c>
      <c r="AX5865" s="16" t="s">
        <v>5048</v>
      </c>
    </row>
    <row r="5866" spans="2:50" x14ac:dyDescent="0.2">
      <c r="B5866" s="7"/>
      <c r="C5866" s="8">
        <v>16013</v>
      </c>
      <c r="D5866" s="9" t="s">
        <v>514</v>
      </c>
      <c r="E5866" s="10" t="str">
        <f t="shared" si="998"/>
        <v>Rancho Upácuaro No. 114</v>
      </c>
      <c r="F5866" s="10" t="str">
        <f t="shared" si="999"/>
        <v>Hernández Cornejo</v>
      </c>
      <c r="G5866" s="8">
        <v>1</v>
      </c>
      <c r="H5866" s="11">
        <v>1200</v>
      </c>
      <c r="I5866" s="12">
        <v>43156</v>
      </c>
      <c r="J5866" s="35">
        <f t="shared" si="1000"/>
        <v>0</v>
      </c>
      <c r="K5866" s="36"/>
      <c r="L5866" s="36"/>
      <c r="M5866" s="36"/>
      <c r="N5866" s="36"/>
      <c r="O5866" s="36"/>
      <c r="P5866" s="36"/>
      <c r="Q5866" s="36"/>
      <c r="R5866" s="36"/>
      <c r="S5866" s="36"/>
      <c r="T5866" s="36"/>
      <c r="U5866" s="36"/>
      <c r="V5866" s="36"/>
      <c r="W5866" s="15">
        <f t="shared" si="1001"/>
        <v>0</v>
      </c>
      <c r="X5866" s="36"/>
      <c r="Y5866" s="36"/>
      <c r="Z5866" s="36"/>
      <c r="AA5866" s="36"/>
      <c r="AB5866" s="36"/>
      <c r="AC5866" s="36"/>
      <c r="AD5866" s="36"/>
      <c r="AE5866" s="36"/>
      <c r="AF5866" s="36"/>
      <c r="AG5866" s="36"/>
      <c r="AH5866" s="36"/>
      <c r="AI5866" s="36"/>
      <c r="AJ5866" s="15">
        <f t="shared" si="1002"/>
        <v>0</v>
      </c>
      <c r="AK5866" s="14">
        <v>400</v>
      </c>
      <c r="AL5866" s="14">
        <v>400</v>
      </c>
      <c r="AM5866" s="14">
        <v>400</v>
      </c>
      <c r="AN5866" s="14"/>
      <c r="AO5866" s="14"/>
      <c r="AP5866" s="14"/>
      <c r="AQ5866" s="14"/>
      <c r="AR5866" s="14"/>
      <c r="AS5866" s="14"/>
      <c r="AT5866" s="14"/>
      <c r="AU5866" s="14"/>
      <c r="AV5866" s="14"/>
      <c r="AW5866" s="15">
        <f t="shared" si="1003"/>
        <v>1200</v>
      </c>
      <c r="AX5866" s="16"/>
    </row>
    <row r="5867" spans="2:50" x14ac:dyDescent="0.2">
      <c r="B5867" s="7"/>
      <c r="C5867" s="8">
        <v>16014</v>
      </c>
      <c r="D5867" s="9" t="s">
        <v>899</v>
      </c>
      <c r="E5867" s="10" t="str">
        <f t="shared" si="998"/>
        <v>Rancho Landero No. 8</v>
      </c>
      <c r="F5867" s="10" t="str">
        <f t="shared" si="999"/>
        <v>Garces Suarez</v>
      </c>
      <c r="G5867" s="8">
        <v>1</v>
      </c>
      <c r="H5867" s="11">
        <v>800</v>
      </c>
      <c r="I5867" s="12">
        <v>43156</v>
      </c>
      <c r="J5867" s="35">
        <f t="shared" si="1000"/>
        <v>0</v>
      </c>
      <c r="K5867" s="36"/>
      <c r="L5867" s="36"/>
      <c r="M5867" s="36"/>
      <c r="N5867" s="36"/>
      <c r="O5867" s="36"/>
      <c r="P5867" s="36"/>
      <c r="Q5867" s="36"/>
      <c r="R5867" s="36"/>
      <c r="S5867" s="36"/>
      <c r="T5867" s="36"/>
      <c r="U5867" s="36"/>
      <c r="V5867" s="36"/>
      <c r="W5867" s="15">
        <f t="shared" si="1001"/>
        <v>0</v>
      </c>
      <c r="X5867" s="36"/>
      <c r="Y5867" s="36"/>
      <c r="Z5867" s="36"/>
      <c r="AA5867" s="36"/>
      <c r="AB5867" s="36"/>
      <c r="AC5867" s="36"/>
      <c r="AD5867" s="36"/>
      <c r="AE5867" s="36"/>
      <c r="AF5867" s="36"/>
      <c r="AG5867" s="36"/>
      <c r="AH5867" s="36"/>
      <c r="AI5867" s="36"/>
      <c r="AJ5867" s="15">
        <f t="shared" si="1002"/>
        <v>0</v>
      </c>
      <c r="AK5867" s="14"/>
      <c r="AL5867" s="14">
        <v>400</v>
      </c>
      <c r="AM5867" s="14">
        <v>400</v>
      </c>
      <c r="AN5867" s="14"/>
      <c r="AO5867" s="14"/>
      <c r="AP5867" s="14"/>
      <c r="AQ5867" s="14"/>
      <c r="AR5867" s="14"/>
      <c r="AS5867" s="14"/>
      <c r="AT5867" s="14"/>
      <c r="AU5867" s="14"/>
      <c r="AV5867" s="14"/>
      <c r="AW5867" s="15">
        <f t="shared" si="1003"/>
        <v>800</v>
      </c>
      <c r="AX5867" s="16"/>
    </row>
    <row r="5868" spans="2:50" x14ac:dyDescent="0.2">
      <c r="B5868" s="7"/>
      <c r="C5868" s="8">
        <v>16015</v>
      </c>
      <c r="D5868" s="9" t="s">
        <v>589</v>
      </c>
      <c r="E5868" s="10" t="str">
        <f t="shared" si="998"/>
        <v>Rancho La Cuchilla No. 149</v>
      </c>
      <c r="F5868" s="10" t="str">
        <f t="shared" si="999"/>
        <v>Montes Irineos</v>
      </c>
      <c r="G5868" s="8">
        <v>1</v>
      </c>
      <c r="H5868" s="11">
        <v>800</v>
      </c>
      <c r="I5868" s="12">
        <v>43156</v>
      </c>
      <c r="J5868" s="35">
        <f t="shared" si="1000"/>
        <v>0</v>
      </c>
      <c r="K5868" s="36"/>
      <c r="L5868" s="36"/>
      <c r="M5868" s="36"/>
      <c r="N5868" s="36"/>
      <c r="O5868" s="36"/>
      <c r="P5868" s="36"/>
      <c r="Q5868" s="36"/>
      <c r="R5868" s="36"/>
      <c r="S5868" s="36"/>
      <c r="T5868" s="36"/>
      <c r="U5868" s="36"/>
      <c r="V5868" s="36"/>
      <c r="W5868" s="15">
        <f t="shared" si="1001"/>
        <v>0</v>
      </c>
      <c r="X5868" s="36"/>
      <c r="Y5868" s="36"/>
      <c r="Z5868" s="36"/>
      <c r="AA5868" s="36"/>
      <c r="AB5868" s="36"/>
      <c r="AC5868" s="36"/>
      <c r="AD5868" s="36"/>
      <c r="AE5868" s="36"/>
      <c r="AF5868" s="36"/>
      <c r="AG5868" s="36"/>
      <c r="AH5868" s="36">
        <v>400</v>
      </c>
      <c r="AI5868" s="36">
        <v>400</v>
      </c>
      <c r="AJ5868" s="15">
        <f t="shared" si="1002"/>
        <v>800</v>
      </c>
      <c r="AK5868" s="14"/>
      <c r="AL5868" s="14"/>
      <c r="AM5868" s="14"/>
      <c r="AN5868" s="14"/>
      <c r="AO5868" s="14"/>
      <c r="AP5868" s="14"/>
      <c r="AQ5868" s="14"/>
      <c r="AR5868" s="14"/>
      <c r="AS5868" s="14"/>
      <c r="AT5868" s="14"/>
      <c r="AU5868" s="14"/>
      <c r="AV5868" s="14"/>
      <c r="AW5868" s="15">
        <f t="shared" si="1003"/>
        <v>0</v>
      </c>
      <c r="AX5868" s="16"/>
    </row>
    <row r="5869" spans="2:50" x14ac:dyDescent="0.2">
      <c r="B5869" s="7"/>
      <c r="C5869" s="8">
        <v>16016</v>
      </c>
      <c r="D5869" s="9" t="s">
        <v>343</v>
      </c>
      <c r="E5869" s="10" t="str">
        <f t="shared" si="998"/>
        <v>Rancho Upácuaro No. 88</v>
      </c>
      <c r="F5869" s="10" t="str">
        <f t="shared" si="999"/>
        <v>Millán Núñez</v>
      </c>
      <c r="G5869" s="8">
        <v>1</v>
      </c>
      <c r="H5869" s="11">
        <v>400</v>
      </c>
      <c r="I5869" s="12">
        <v>43156</v>
      </c>
      <c r="J5869" s="35">
        <f t="shared" si="1000"/>
        <v>0</v>
      </c>
      <c r="K5869" s="36"/>
      <c r="L5869" s="36"/>
      <c r="M5869" s="36"/>
      <c r="N5869" s="36"/>
      <c r="O5869" s="36"/>
      <c r="P5869" s="36"/>
      <c r="Q5869" s="36"/>
      <c r="R5869" s="36"/>
      <c r="S5869" s="36"/>
      <c r="T5869" s="36"/>
      <c r="U5869" s="36"/>
      <c r="V5869" s="36"/>
      <c r="W5869" s="15">
        <f t="shared" si="1001"/>
        <v>0</v>
      </c>
      <c r="X5869" s="36"/>
      <c r="Y5869" s="36"/>
      <c r="Z5869" s="36"/>
      <c r="AA5869" s="36"/>
      <c r="AB5869" s="36"/>
      <c r="AC5869" s="36"/>
      <c r="AD5869" s="36"/>
      <c r="AE5869" s="36"/>
      <c r="AF5869" s="36"/>
      <c r="AG5869" s="36"/>
      <c r="AH5869" s="36"/>
      <c r="AI5869" s="36"/>
      <c r="AJ5869" s="15">
        <f t="shared" si="1002"/>
        <v>0</v>
      </c>
      <c r="AK5869" s="14"/>
      <c r="AL5869" s="14"/>
      <c r="AM5869" s="14">
        <v>400</v>
      </c>
      <c r="AN5869" s="14"/>
      <c r="AO5869" s="14"/>
      <c r="AP5869" s="14"/>
      <c r="AQ5869" s="14"/>
      <c r="AR5869" s="14"/>
      <c r="AS5869" s="14"/>
      <c r="AT5869" s="14"/>
      <c r="AU5869" s="14"/>
      <c r="AV5869" s="14"/>
      <c r="AW5869" s="15">
        <f t="shared" si="1003"/>
        <v>400</v>
      </c>
      <c r="AX5869" s="16"/>
    </row>
    <row r="5870" spans="2:50" x14ac:dyDescent="0.2">
      <c r="B5870" s="7"/>
      <c r="C5870" s="8">
        <v>16017</v>
      </c>
      <c r="D5870" s="9" t="s">
        <v>699</v>
      </c>
      <c r="E5870" s="10" t="str">
        <f t="shared" si="998"/>
        <v>Rancho La Cuchilla No. 18</v>
      </c>
      <c r="F5870" s="10" t="str">
        <f t="shared" si="999"/>
        <v>Aldana Sánchez</v>
      </c>
      <c r="G5870" s="8">
        <v>1</v>
      </c>
      <c r="H5870" s="11">
        <v>800</v>
      </c>
      <c r="I5870" s="12">
        <v>43156</v>
      </c>
      <c r="J5870" s="35">
        <f t="shared" si="1000"/>
        <v>0</v>
      </c>
      <c r="K5870" s="36"/>
      <c r="L5870" s="36"/>
      <c r="M5870" s="36"/>
      <c r="N5870" s="36"/>
      <c r="O5870" s="36"/>
      <c r="P5870" s="36"/>
      <c r="Q5870" s="36"/>
      <c r="R5870" s="36"/>
      <c r="S5870" s="36"/>
      <c r="T5870" s="36"/>
      <c r="U5870" s="36"/>
      <c r="V5870" s="36"/>
      <c r="W5870" s="15">
        <f t="shared" si="1001"/>
        <v>0</v>
      </c>
      <c r="X5870" s="36"/>
      <c r="Y5870" s="36"/>
      <c r="Z5870" s="36"/>
      <c r="AA5870" s="36"/>
      <c r="AB5870" s="36"/>
      <c r="AC5870" s="36"/>
      <c r="AD5870" s="36"/>
      <c r="AE5870" s="36"/>
      <c r="AF5870" s="36"/>
      <c r="AG5870" s="36"/>
      <c r="AH5870" s="36"/>
      <c r="AI5870" s="36"/>
      <c r="AJ5870" s="15">
        <f t="shared" si="1002"/>
        <v>0</v>
      </c>
      <c r="AK5870" s="14">
        <v>400</v>
      </c>
      <c r="AL5870" s="14">
        <v>400</v>
      </c>
      <c r="AM5870" s="14"/>
      <c r="AN5870" s="14"/>
      <c r="AO5870" s="14"/>
      <c r="AP5870" s="14"/>
      <c r="AQ5870" s="14"/>
      <c r="AR5870" s="14"/>
      <c r="AS5870" s="14"/>
      <c r="AT5870" s="14"/>
      <c r="AU5870" s="14"/>
      <c r="AV5870" s="14"/>
      <c r="AW5870" s="15">
        <f t="shared" si="1003"/>
        <v>800</v>
      </c>
      <c r="AX5870" s="16"/>
    </row>
    <row r="5871" spans="2:50" x14ac:dyDescent="0.2">
      <c r="B5871" s="7"/>
      <c r="C5871" s="8">
        <v>16018</v>
      </c>
      <c r="D5871" s="9" t="s">
        <v>413</v>
      </c>
      <c r="E5871" s="10" t="str">
        <f t="shared" ref="E5871:E5879" si="1004">IF(D5871=0,"",VLOOKUP(D5871,BASE,2,FALSE))</f>
        <v>Rancho Upácuaro No. 79</v>
      </c>
      <c r="F5871" s="10" t="str">
        <f t="shared" ref="F5871:F5879" si="1005">IF(D5871=0,"",VLOOKUP(D5871,BASE,3,FALSE))</f>
        <v>Macías</v>
      </c>
      <c r="G5871" s="8">
        <v>1</v>
      </c>
      <c r="H5871" s="11">
        <v>800</v>
      </c>
      <c r="I5871" s="12">
        <v>43156</v>
      </c>
      <c r="J5871" s="35">
        <f t="shared" ref="J5871:J5879" si="1006">IF(G5871=1,SUM(W5871,AJ5871,AW5871,-H5871),0)</f>
        <v>0</v>
      </c>
      <c r="K5871" s="36"/>
      <c r="L5871" s="36"/>
      <c r="M5871" s="36"/>
      <c r="N5871" s="36"/>
      <c r="O5871" s="36"/>
      <c r="P5871" s="36"/>
      <c r="Q5871" s="36"/>
      <c r="R5871" s="36"/>
      <c r="S5871" s="36"/>
      <c r="T5871" s="36"/>
      <c r="U5871" s="36"/>
      <c r="V5871" s="36"/>
      <c r="W5871" s="15">
        <f t="shared" ref="W5871:W5879" si="1007">SUM(K5871:V5871)</f>
        <v>0</v>
      </c>
      <c r="X5871" s="36"/>
      <c r="Y5871" s="36"/>
      <c r="Z5871" s="36"/>
      <c r="AA5871" s="36"/>
      <c r="AB5871" s="36"/>
      <c r="AC5871" s="36"/>
      <c r="AD5871" s="36"/>
      <c r="AE5871" s="36"/>
      <c r="AF5871" s="36"/>
      <c r="AG5871" s="36"/>
      <c r="AH5871" s="36"/>
      <c r="AI5871" s="36"/>
      <c r="AJ5871" s="15">
        <f t="shared" ref="AJ5871:AJ5879" si="1008">SUM(X5871:AI5871)</f>
        <v>0</v>
      </c>
      <c r="AK5871" s="14"/>
      <c r="AL5871" s="14">
        <v>400</v>
      </c>
      <c r="AM5871" s="14">
        <v>400</v>
      </c>
      <c r="AN5871" s="14"/>
      <c r="AO5871" s="14"/>
      <c r="AP5871" s="14"/>
      <c r="AQ5871" s="14"/>
      <c r="AR5871" s="14"/>
      <c r="AS5871" s="14"/>
      <c r="AT5871" s="14"/>
      <c r="AU5871" s="14"/>
      <c r="AV5871" s="14"/>
      <c r="AW5871" s="15">
        <f t="shared" ref="AW5871:AW5879" si="1009">SUM(AK5871:AV5871)</f>
        <v>800</v>
      </c>
      <c r="AX5871" s="16"/>
    </row>
    <row r="5872" spans="2:50" x14ac:dyDescent="0.2">
      <c r="B5872" s="7"/>
      <c r="C5872" s="8">
        <v>16019</v>
      </c>
      <c r="D5872" s="9" t="s">
        <v>162</v>
      </c>
      <c r="E5872" s="10" t="str">
        <f t="shared" si="1004"/>
        <v>Rancho La Cuchilla No. 20</v>
      </c>
      <c r="F5872" s="10" t="str">
        <f t="shared" si="1005"/>
        <v>Sánchez López</v>
      </c>
      <c r="G5872" s="8">
        <v>1</v>
      </c>
      <c r="H5872" s="11">
        <v>800</v>
      </c>
      <c r="I5872" s="12">
        <v>43156</v>
      </c>
      <c r="J5872" s="35">
        <f t="shared" si="1006"/>
        <v>0</v>
      </c>
      <c r="K5872" s="36"/>
      <c r="L5872" s="36"/>
      <c r="M5872" s="36"/>
      <c r="N5872" s="36"/>
      <c r="O5872" s="36"/>
      <c r="P5872" s="36"/>
      <c r="Q5872" s="36"/>
      <c r="R5872" s="36"/>
      <c r="S5872" s="36"/>
      <c r="T5872" s="36"/>
      <c r="U5872" s="36"/>
      <c r="V5872" s="36"/>
      <c r="W5872" s="15">
        <f t="shared" si="1007"/>
        <v>0</v>
      </c>
      <c r="X5872" s="36"/>
      <c r="Y5872" s="36"/>
      <c r="Z5872" s="36"/>
      <c r="AA5872" s="36"/>
      <c r="AB5872" s="36"/>
      <c r="AC5872" s="36"/>
      <c r="AD5872" s="36"/>
      <c r="AE5872" s="36"/>
      <c r="AF5872" s="36"/>
      <c r="AG5872" s="36"/>
      <c r="AH5872" s="36"/>
      <c r="AI5872" s="36"/>
      <c r="AJ5872" s="15">
        <f t="shared" si="1008"/>
        <v>0</v>
      </c>
      <c r="AK5872" s="14"/>
      <c r="AL5872" s="14"/>
      <c r="AM5872" s="14">
        <v>400</v>
      </c>
      <c r="AN5872" s="14">
        <v>400</v>
      </c>
      <c r="AO5872" s="14"/>
      <c r="AP5872" s="14"/>
      <c r="AQ5872" s="14"/>
      <c r="AR5872" s="14"/>
      <c r="AS5872" s="14"/>
      <c r="AT5872" s="14"/>
      <c r="AU5872" s="14"/>
      <c r="AV5872" s="14"/>
      <c r="AW5872" s="15">
        <f t="shared" si="1009"/>
        <v>800</v>
      </c>
      <c r="AX5872" s="16"/>
    </row>
    <row r="5873" spans="2:50" x14ac:dyDescent="0.2">
      <c r="B5873" s="7"/>
      <c r="C5873" s="8">
        <v>16020</v>
      </c>
      <c r="D5873" s="9" t="s">
        <v>728</v>
      </c>
      <c r="E5873" s="10" t="str">
        <f t="shared" si="1004"/>
        <v>Rancho Estanzuela No. 77</v>
      </c>
      <c r="F5873" s="10" t="str">
        <f t="shared" si="1005"/>
        <v>De la Rosa Rico</v>
      </c>
      <c r="G5873" s="8">
        <v>1</v>
      </c>
      <c r="H5873" s="11">
        <v>400</v>
      </c>
      <c r="I5873" s="12">
        <v>43156</v>
      </c>
      <c r="J5873" s="35">
        <f t="shared" si="1006"/>
        <v>0</v>
      </c>
      <c r="K5873" s="36"/>
      <c r="L5873" s="36"/>
      <c r="M5873" s="36"/>
      <c r="N5873" s="36"/>
      <c r="O5873" s="36"/>
      <c r="P5873" s="36"/>
      <c r="Q5873" s="36"/>
      <c r="R5873" s="36"/>
      <c r="S5873" s="36"/>
      <c r="T5873" s="36"/>
      <c r="U5873" s="36"/>
      <c r="V5873" s="36"/>
      <c r="W5873" s="15">
        <f t="shared" si="1007"/>
        <v>0</v>
      </c>
      <c r="X5873" s="36"/>
      <c r="Y5873" s="36"/>
      <c r="Z5873" s="36"/>
      <c r="AA5873" s="36"/>
      <c r="AB5873" s="36"/>
      <c r="AC5873" s="36"/>
      <c r="AD5873" s="36"/>
      <c r="AE5873" s="36"/>
      <c r="AF5873" s="36"/>
      <c r="AG5873" s="36"/>
      <c r="AH5873" s="36"/>
      <c r="AI5873" s="36"/>
      <c r="AJ5873" s="15">
        <f t="shared" si="1008"/>
        <v>0</v>
      </c>
      <c r="AK5873" s="14">
        <v>400</v>
      </c>
      <c r="AL5873" s="14"/>
      <c r="AM5873" s="14"/>
      <c r="AN5873" s="14"/>
      <c r="AO5873" s="14"/>
      <c r="AP5873" s="14"/>
      <c r="AQ5873" s="14"/>
      <c r="AR5873" s="14"/>
      <c r="AS5873" s="14"/>
      <c r="AT5873" s="14"/>
      <c r="AU5873" s="14"/>
      <c r="AV5873" s="14"/>
      <c r="AW5873" s="15">
        <f t="shared" si="1009"/>
        <v>400</v>
      </c>
      <c r="AX5873" s="16"/>
    </row>
    <row r="5874" spans="2:50" x14ac:dyDescent="0.2">
      <c r="B5874" s="7"/>
      <c r="C5874" s="8">
        <v>16021</v>
      </c>
      <c r="D5874" s="9" t="s">
        <v>497</v>
      </c>
      <c r="E5874" s="10" t="str">
        <f t="shared" si="1004"/>
        <v>Rancho La Cuchilla No. 94</v>
      </c>
      <c r="F5874" s="10" t="str">
        <f t="shared" si="1005"/>
        <v>Sánchez Márquez</v>
      </c>
      <c r="G5874" s="8">
        <v>1</v>
      </c>
      <c r="H5874" s="11">
        <v>800</v>
      </c>
      <c r="I5874" s="12">
        <v>43156</v>
      </c>
      <c r="J5874" s="35">
        <f t="shared" si="1006"/>
        <v>0</v>
      </c>
      <c r="K5874" s="36"/>
      <c r="L5874" s="36"/>
      <c r="M5874" s="36"/>
      <c r="N5874" s="36"/>
      <c r="O5874" s="36"/>
      <c r="P5874" s="36"/>
      <c r="Q5874" s="36"/>
      <c r="R5874" s="36"/>
      <c r="S5874" s="36"/>
      <c r="T5874" s="36"/>
      <c r="U5874" s="36"/>
      <c r="V5874" s="36"/>
      <c r="W5874" s="15">
        <f t="shared" si="1007"/>
        <v>0</v>
      </c>
      <c r="X5874" s="36"/>
      <c r="Y5874" s="36"/>
      <c r="Z5874" s="36"/>
      <c r="AA5874" s="36"/>
      <c r="AB5874" s="36"/>
      <c r="AC5874" s="36"/>
      <c r="AD5874" s="36"/>
      <c r="AE5874" s="36"/>
      <c r="AF5874" s="36"/>
      <c r="AG5874" s="36"/>
      <c r="AH5874" s="36"/>
      <c r="AI5874" s="36"/>
      <c r="AJ5874" s="15">
        <f t="shared" si="1008"/>
        <v>0</v>
      </c>
      <c r="AK5874" s="14"/>
      <c r="AL5874" s="14">
        <v>400</v>
      </c>
      <c r="AM5874" s="14">
        <v>400</v>
      </c>
      <c r="AN5874" s="14"/>
      <c r="AO5874" s="14"/>
      <c r="AP5874" s="14"/>
      <c r="AQ5874" s="14"/>
      <c r="AR5874" s="14"/>
      <c r="AS5874" s="14"/>
      <c r="AT5874" s="14"/>
      <c r="AU5874" s="14"/>
      <c r="AV5874" s="14"/>
      <c r="AW5874" s="15">
        <f t="shared" si="1009"/>
        <v>800</v>
      </c>
      <c r="AX5874" s="16"/>
    </row>
    <row r="5875" spans="2:50" x14ac:dyDescent="0.2">
      <c r="B5875" s="7"/>
      <c r="C5875" s="8">
        <v>16022</v>
      </c>
      <c r="D5875" s="9" t="s">
        <v>840</v>
      </c>
      <c r="E5875" s="10" t="str">
        <f t="shared" si="1004"/>
        <v>Rancho Landero No. 33</v>
      </c>
      <c r="F5875" s="10" t="str">
        <f t="shared" si="1005"/>
        <v>González Uribe</v>
      </c>
      <c r="G5875" s="8">
        <v>1</v>
      </c>
      <c r="H5875" s="11">
        <v>400</v>
      </c>
      <c r="I5875" s="12">
        <v>43156</v>
      </c>
      <c r="J5875" s="35">
        <f t="shared" si="1006"/>
        <v>0</v>
      </c>
      <c r="K5875" s="36"/>
      <c r="L5875" s="36"/>
      <c r="M5875" s="36"/>
      <c r="N5875" s="36"/>
      <c r="O5875" s="36"/>
      <c r="P5875" s="36"/>
      <c r="Q5875" s="36"/>
      <c r="R5875" s="36"/>
      <c r="S5875" s="36"/>
      <c r="T5875" s="36"/>
      <c r="U5875" s="36"/>
      <c r="V5875" s="36"/>
      <c r="W5875" s="15">
        <f t="shared" si="1007"/>
        <v>0</v>
      </c>
      <c r="X5875" s="36"/>
      <c r="Y5875" s="36"/>
      <c r="Z5875" s="36"/>
      <c r="AA5875" s="36"/>
      <c r="AB5875" s="36"/>
      <c r="AC5875" s="36"/>
      <c r="AD5875" s="36"/>
      <c r="AE5875" s="36"/>
      <c r="AF5875" s="36"/>
      <c r="AG5875" s="36"/>
      <c r="AH5875" s="36"/>
      <c r="AI5875" s="36"/>
      <c r="AJ5875" s="15">
        <f t="shared" si="1008"/>
        <v>0</v>
      </c>
      <c r="AK5875" s="14"/>
      <c r="AL5875" s="14">
        <v>400</v>
      </c>
      <c r="AM5875" s="14"/>
      <c r="AN5875" s="14"/>
      <c r="AO5875" s="14"/>
      <c r="AP5875" s="14"/>
      <c r="AQ5875" s="14"/>
      <c r="AR5875" s="14"/>
      <c r="AS5875" s="14"/>
      <c r="AT5875" s="14"/>
      <c r="AU5875" s="14"/>
      <c r="AV5875" s="14"/>
      <c r="AW5875" s="15">
        <f t="shared" si="1009"/>
        <v>400</v>
      </c>
      <c r="AX5875" s="16"/>
    </row>
    <row r="5876" spans="2:50" x14ac:dyDescent="0.2">
      <c r="B5876" s="7"/>
      <c r="C5876" s="8">
        <v>16023</v>
      </c>
      <c r="D5876" s="9" t="s">
        <v>538</v>
      </c>
      <c r="E5876" s="10" t="str">
        <f t="shared" si="1004"/>
        <v>Rancho Landero No. 73</v>
      </c>
      <c r="F5876" s="10" t="str">
        <f t="shared" si="1005"/>
        <v>Islas Palacios</v>
      </c>
      <c r="G5876" s="8">
        <v>1</v>
      </c>
      <c r="H5876" s="11">
        <v>400</v>
      </c>
      <c r="I5876" s="12">
        <v>43156</v>
      </c>
      <c r="J5876" s="35">
        <f t="shared" si="1006"/>
        <v>0</v>
      </c>
      <c r="K5876" s="36"/>
      <c r="L5876" s="36"/>
      <c r="M5876" s="36"/>
      <c r="N5876" s="36"/>
      <c r="O5876" s="36"/>
      <c r="P5876" s="36"/>
      <c r="Q5876" s="36"/>
      <c r="R5876" s="36"/>
      <c r="S5876" s="36"/>
      <c r="T5876" s="36"/>
      <c r="U5876" s="36"/>
      <c r="V5876" s="36"/>
      <c r="W5876" s="15">
        <f t="shared" si="1007"/>
        <v>0</v>
      </c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15">
        <f t="shared" si="1008"/>
        <v>0</v>
      </c>
      <c r="AK5876" s="14"/>
      <c r="AL5876" s="14">
        <v>400</v>
      </c>
      <c r="AM5876" s="14"/>
      <c r="AN5876" s="14"/>
      <c r="AO5876" s="14"/>
      <c r="AP5876" s="14"/>
      <c r="AQ5876" s="14"/>
      <c r="AR5876" s="14"/>
      <c r="AS5876" s="14"/>
      <c r="AT5876" s="14"/>
      <c r="AU5876" s="14"/>
      <c r="AV5876" s="14"/>
      <c r="AW5876" s="15">
        <f t="shared" si="1009"/>
        <v>400</v>
      </c>
      <c r="AX5876" s="16"/>
    </row>
    <row r="5877" spans="2:50" x14ac:dyDescent="0.2">
      <c r="B5877" s="7"/>
      <c r="C5877" s="8">
        <v>16024</v>
      </c>
      <c r="D5877" s="9" t="s">
        <v>876</v>
      </c>
      <c r="E5877" s="10" t="str">
        <f t="shared" si="1004"/>
        <v>Rancho Estopila No. 44_3</v>
      </c>
      <c r="F5877" s="10" t="str">
        <f t="shared" si="1005"/>
        <v>Martìnez</v>
      </c>
      <c r="G5877" s="8">
        <v>1</v>
      </c>
      <c r="H5877" s="11">
        <v>2200</v>
      </c>
      <c r="I5877" s="12">
        <v>43156</v>
      </c>
      <c r="J5877" s="35">
        <f t="shared" si="1006"/>
        <v>0</v>
      </c>
      <c r="K5877" s="36"/>
      <c r="L5877" s="36"/>
      <c r="M5877" s="36"/>
      <c r="N5877" s="36"/>
      <c r="O5877" s="36"/>
      <c r="P5877" s="36"/>
      <c r="Q5877" s="36"/>
      <c r="R5877" s="36"/>
      <c r="S5877" s="36"/>
      <c r="T5877" s="36"/>
      <c r="U5877" s="36"/>
      <c r="V5877" s="36"/>
      <c r="W5877" s="15">
        <f t="shared" si="1007"/>
        <v>0</v>
      </c>
      <c r="X5877" s="36"/>
      <c r="Y5877" s="36"/>
      <c r="Z5877" s="36"/>
      <c r="AA5877" s="36"/>
      <c r="AB5877" s="36"/>
      <c r="AC5877" s="36"/>
      <c r="AD5877" s="36"/>
      <c r="AE5877" s="36"/>
      <c r="AF5877" s="36"/>
      <c r="AG5877" s="36"/>
      <c r="AH5877" s="36"/>
      <c r="AI5877" s="36"/>
      <c r="AJ5877" s="15">
        <f t="shared" si="1008"/>
        <v>0</v>
      </c>
      <c r="AK5877" s="14">
        <v>200</v>
      </c>
      <c r="AL5877" s="14">
        <v>200</v>
      </c>
      <c r="AM5877" s="14">
        <v>200</v>
      </c>
      <c r="AN5877" s="14">
        <v>200</v>
      </c>
      <c r="AO5877" s="14">
        <v>200</v>
      </c>
      <c r="AP5877" s="14">
        <v>200</v>
      </c>
      <c r="AQ5877" s="14">
        <v>200</v>
      </c>
      <c r="AR5877" s="14">
        <v>200</v>
      </c>
      <c r="AS5877" s="14">
        <v>200</v>
      </c>
      <c r="AT5877" s="14">
        <v>200</v>
      </c>
      <c r="AU5877" s="14">
        <v>200</v>
      </c>
      <c r="AV5877" s="14"/>
      <c r="AW5877" s="15">
        <f t="shared" si="1009"/>
        <v>2200</v>
      </c>
      <c r="AX5877" s="16" t="s">
        <v>4905</v>
      </c>
    </row>
    <row r="5878" spans="2:50" x14ac:dyDescent="0.2">
      <c r="B5878" s="7"/>
      <c r="C5878" s="8">
        <v>16025</v>
      </c>
      <c r="D5878" s="9" t="s">
        <v>1148</v>
      </c>
      <c r="E5878" s="10" t="str">
        <f t="shared" si="1004"/>
        <v>Rancho La Cuchilla No. 118</v>
      </c>
      <c r="F5878" s="10" t="str">
        <f t="shared" si="1005"/>
        <v>Astorga Ruiz</v>
      </c>
      <c r="G5878" s="8">
        <v>1</v>
      </c>
      <c r="H5878" s="11">
        <v>2000</v>
      </c>
      <c r="I5878" s="12">
        <v>43156</v>
      </c>
      <c r="J5878" s="35">
        <f t="shared" si="1006"/>
        <v>0</v>
      </c>
      <c r="K5878" s="36"/>
      <c r="L5878" s="36"/>
      <c r="M5878" s="36"/>
      <c r="N5878" s="36"/>
      <c r="O5878" s="36"/>
      <c r="P5878" s="36"/>
      <c r="Q5878" s="36"/>
      <c r="R5878" s="36"/>
      <c r="S5878" s="36"/>
      <c r="T5878" s="36"/>
      <c r="U5878" s="36"/>
      <c r="V5878" s="36"/>
      <c r="W5878" s="15">
        <f t="shared" si="1007"/>
        <v>0</v>
      </c>
      <c r="X5878" s="36"/>
      <c r="Y5878" s="36"/>
      <c r="Z5878" s="36"/>
      <c r="AA5878" s="36"/>
      <c r="AB5878" s="36"/>
      <c r="AC5878" s="36">
        <v>400</v>
      </c>
      <c r="AD5878" s="36">
        <v>400</v>
      </c>
      <c r="AE5878" s="36">
        <v>400</v>
      </c>
      <c r="AF5878" s="36">
        <v>400</v>
      </c>
      <c r="AG5878" s="36">
        <v>400</v>
      </c>
      <c r="AH5878" s="36"/>
      <c r="AI5878" s="36"/>
      <c r="AJ5878" s="15">
        <f t="shared" si="1008"/>
        <v>2000</v>
      </c>
      <c r="AK5878" s="14"/>
      <c r="AL5878" s="14"/>
      <c r="AM5878" s="14"/>
      <c r="AN5878" s="14"/>
      <c r="AO5878" s="14"/>
      <c r="AP5878" s="14"/>
      <c r="AQ5878" s="14"/>
      <c r="AR5878" s="14"/>
      <c r="AS5878" s="14"/>
      <c r="AT5878" s="14"/>
      <c r="AU5878" s="14"/>
      <c r="AV5878" s="14"/>
      <c r="AW5878" s="15">
        <f t="shared" si="1009"/>
        <v>0</v>
      </c>
      <c r="AX5878" s="16"/>
    </row>
    <row r="5879" spans="2:50" x14ac:dyDescent="0.2">
      <c r="B5879" s="7"/>
      <c r="C5879" s="8">
        <v>16026</v>
      </c>
      <c r="D5879" s="9" t="s">
        <v>541</v>
      </c>
      <c r="E5879" s="10" t="str">
        <f t="shared" si="1004"/>
        <v>Rancho Estanzuela No. 103, B</v>
      </c>
      <c r="F5879" s="10" t="str">
        <f t="shared" si="1005"/>
        <v>Olivares Flores</v>
      </c>
      <c r="G5879" s="8">
        <v>1</v>
      </c>
      <c r="H5879" s="11">
        <v>400</v>
      </c>
      <c r="I5879" s="12">
        <v>43156</v>
      </c>
      <c r="J5879" s="35">
        <f t="shared" si="1006"/>
        <v>0</v>
      </c>
      <c r="K5879" s="36"/>
      <c r="L5879" s="36"/>
      <c r="M5879" s="36"/>
      <c r="N5879" s="36"/>
      <c r="O5879" s="36"/>
      <c r="P5879" s="36"/>
      <c r="Q5879" s="36"/>
      <c r="R5879" s="36"/>
      <c r="S5879" s="36"/>
      <c r="T5879" s="36"/>
      <c r="U5879" s="36"/>
      <c r="V5879" s="36"/>
      <c r="W5879" s="15">
        <f t="shared" si="1007"/>
        <v>0</v>
      </c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15">
        <f t="shared" si="1008"/>
        <v>0</v>
      </c>
      <c r="AK5879" s="14"/>
      <c r="AL5879" s="14"/>
      <c r="AM5879" s="14">
        <v>400</v>
      </c>
      <c r="AN5879" s="14"/>
      <c r="AO5879" s="14"/>
      <c r="AP5879" s="14"/>
      <c r="AQ5879" s="14"/>
      <c r="AR5879" s="14"/>
      <c r="AS5879" s="14"/>
      <c r="AT5879" s="14"/>
      <c r="AU5879" s="14"/>
      <c r="AV5879" s="14"/>
      <c r="AW5879" s="15">
        <f t="shared" si="1009"/>
        <v>400</v>
      </c>
      <c r="AX5879" s="16"/>
    </row>
    <row r="5880" spans="2:50" x14ac:dyDescent="0.2">
      <c r="B5880" s="7"/>
      <c r="C5880" s="8">
        <v>16027</v>
      </c>
      <c r="D5880" s="9" t="s">
        <v>1020</v>
      </c>
      <c r="E5880" s="10" t="str">
        <f t="shared" ref="E5880:E5886" si="1010">IF(D5880=0,"",VLOOKUP(D5880,BASE,2,FALSE))</f>
        <v>Rancho Landero No. 52</v>
      </c>
      <c r="F5880" s="10" t="str">
        <f t="shared" ref="F5880:F5886" si="1011">IF(D5880=0,"",VLOOKUP(D5880,BASE,3,FALSE))</f>
        <v>Feregrino</v>
      </c>
      <c r="G5880" s="8">
        <v>1</v>
      </c>
      <c r="H5880" s="11">
        <v>800</v>
      </c>
      <c r="I5880" s="12">
        <v>43156</v>
      </c>
      <c r="J5880" s="35">
        <f t="shared" ref="J5880:J5886" si="1012">IF(G5880=1,SUM(W5880,AJ5880,AW5880,-H5880),0)</f>
        <v>0</v>
      </c>
      <c r="K5880" s="36"/>
      <c r="L5880" s="36"/>
      <c r="M5880" s="36"/>
      <c r="N5880" s="36"/>
      <c r="O5880" s="36"/>
      <c r="P5880" s="36"/>
      <c r="Q5880" s="36"/>
      <c r="R5880" s="36"/>
      <c r="S5880" s="36"/>
      <c r="T5880" s="36"/>
      <c r="U5880" s="36"/>
      <c r="V5880" s="36"/>
      <c r="W5880" s="15">
        <f t="shared" ref="W5880:W5886" si="1013">SUM(K5880:V5880)</f>
        <v>0</v>
      </c>
      <c r="X5880" s="36"/>
      <c r="Y5880" s="36"/>
      <c r="Z5880" s="36"/>
      <c r="AA5880" s="36"/>
      <c r="AB5880" s="36"/>
      <c r="AC5880" s="36"/>
      <c r="AD5880" s="36"/>
      <c r="AE5880" s="36"/>
      <c r="AF5880" s="36"/>
      <c r="AG5880" s="36"/>
      <c r="AH5880" s="36"/>
      <c r="AI5880" s="36"/>
      <c r="AJ5880" s="15">
        <f t="shared" ref="AJ5880:AJ5886" si="1014">SUM(X5880:AI5880)</f>
        <v>0</v>
      </c>
      <c r="AK5880" s="14">
        <v>400</v>
      </c>
      <c r="AL5880" s="14">
        <v>400</v>
      </c>
      <c r="AM5880" s="14"/>
      <c r="AN5880" s="14"/>
      <c r="AO5880" s="14"/>
      <c r="AP5880" s="14"/>
      <c r="AQ5880" s="14"/>
      <c r="AR5880" s="14"/>
      <c r="AS5880" s="14"/>
      <c r="AT5880" s="14"/>
      <c r="AU5880" s="14"/>
      <c r="AV5880" s="14"/>
      <c r="AW5880" s="15">
        <f t="shared" ref="AW5880:AW5886" si="1015">SUM(AK5880:AV5880)</f>
        <v>800</v>
      </c>
      <c r="AX5880" s="16"/>
    </row>
    <row r="5881" spans="2:50" x14ac:dyDescent="0.2">
      <c r="B5881" s="7"/>
      <c r="C5881" s="8">
        <v>16028</v>
      </c>
      <c r="D5881" s="9" t="s">
        <v>611</v>
      </c>
      <c r="E5881" s="10" t="str">
        <f t="shared" si="1010"/>
        <v>Rancho Estanzuela No. 47</v>
      </c>
      <c r="F5881" s="10" t="str">
        <f t="shared" si="1011"/>
        <v>Bussey García</v>
      </c>
      <c r="G5881" s="8">
        <v>1</v>
      </c>
      <c r="H5881" s="11">
        <v>4400</v>
      </c>
      <c r="I5881" s="12">
        <v>43156</v>
      </c>
      <c r="J5881" s="35">
        <f t="shared" si="1012"/>
        <v>0</v>
      </c>
      <c r="K5881" s="36"/>
      <c r="L5881" s="36"/>
      <c r="M5881" s="36"/>
      <c r="N5881" s="36"/>
      <c r="O5881" s="36"/>
      <c r="P5881" s="36"/>
      <c r="Q5881" s="36"/>
      <c r="R5881" s="36"/>
      <c r="S5881" s="36"/>
      <c r="T5881" s="36"/>
      <c r="U5881" s="36"/>
      <c r="V5881" s="36"/>
      <c r="W5881" s="15">
        <f t="shared" si="1013"/>
        <v>0</v>
      </c>
      <c r="X5881" s="36"/>
      <c r="Y5881" s="36"/>
      <c r="Z5881" s="36"/>
      <c r="AA5881" s="36"/>
      <c r="AB5881" s="36"/>
      <c r="AC5881" s="36"/>
      <c r="AD5881" s="36"/>
      <c r="AE5881" s="36"/>
      <c r="AF5881" s="36"/>
      <c r="AG5881" s="36"/>
      <c r="AH5881" s="36"/>
      <c r="AI5881" s="36"/>
      <c r="AJ5881" s="15">
        <f t="shared" si="1014"/>
        <v>0</v>
      </c>
      <c r="AK5881" s="14">
        <v>400</v>
      </c>
      <c r="AL5881" s="14">
        <v>400</v>
      </c>
      <c r="AM5881" s="14">
        <v>400</v>
      </c>
      <c r="AN5881" s="14">
        <v>400</v>
      </c>
      <c r="AO5881" s="14">
        <v>400</v>
      </c>
      <c r="AP5881" s="14">
        <v>400</v>
      </c>
      <c r="AQ5881" s="14">
        <v>400</v>
      </c>
      <c r="AR5881" s="14">
        <v>400</v>
      </c>
      <c r="AS5881" s="14">
        <v>400</v>
      </c>
      <c r="AT5881" s="14">
        <v>400</v>
      </c>
      <c r="AU5881" s="14">
        <v>400</v>
      </c>
      <c r="AV5881" s="14"/>
      <c r="AW5881" s="15">
        <f t="shared" si="1015"/>
        <v>4400</v>
      </c>
      <c r="AX5881" s="16" t="s">
        <v>4905</v>
      </c>
    </row>
    <row r="5882" spans="2:50" x14ac:dyDescent="0.2">
      <c r="B5882" s="7"/>
      <c r="C5882" s="8">
        <v>16029</v>
      </c>
      <c r="D5882" s="9" t="s">
        <v>259</v>
      </c>
      <c r="E5882" s="10" t="str">
        <f t="shared" si="1010"/>
        <v>Rancho Estanzuela No. 55</v>
      </c>
      <c r="F5882" s="10" t="str">
        <f t="shared" si="1011"/>
        <v>Rodríguez Acevedo</v>
      </c>
      <c r="G5882" s="8">
        <v>1</v>
      </c>
      <c r="H5882" s="11">
        <v>400</v>
      </c>
      <c r="I5882" s="12">
        <v>43156</v>
      </c>
      <c r="J5882" s="35">
        <f t="shared" si="1012"/>
        <v>0</v>
      </c>
      <c r="K5882" s="36"/>
      <c r="L5882" s="36"/>
      <c r="M5882" s="36"/>
      <c r="N5882" s="36"/>
      <c r="O5882" s="36"/>
      <c r="P5882" s="36"/>
      <c r="Q5882" s="36"/>
      <c r="R5882" s="36"/>
      <c r="S5882" s="36"/>
      <c r="T5882" s="36"/>
      <c r="U5882" s="36"/>
      <c r="V5882" s="36"/>
      <c r="W5882" s="15">
        <f t="shared" si="1013"/>
        <v>0</v>
      </c>
      <c r="X5882" s="36"/>
      <c r="Y5882" s="36"/>
      <c r="Z5882" s="36"/>
      <c r="AA5882" s="36"/>
      <c r="AB5882" s="36"/>
      <c r="AC5882" s="36"/>
      <c r="AD5882" s="36"/>
      <c r="AE5882" s="36"/>
      <c r="AF5882" s="36"/>
      <c r="AG5882" s="36"/>
      <c r="AH5882" s="36"/>
      <c r="AI5882" s="36"/>
      <c r="AJ5882" s="15">
        <f t="shared" si="1014"/>
        <v>0</v>
      </c>
      <c r="AK5882" s="14"/>
      <c r="AL5882" s="14">
        <v>400</v>
      </c>
      <c r="AM5882" s="14"/>
      <c r="AN5882" s="14"/>
      <c r="AO5882" s="14"/>
      <c r="AP5882" s="14"/>
      <c r="AQ5882" s="14"/>
      <c r="AR5882" s="14"/>
      <c r="AS5882" s="14"/>
      <c r="AT5882" s="14"/>
      <c r="AU5882" s="14"/>
      <c r="AV5882" s="14"/>
      <c r="AW5882" s="15">
        <f t="shared" si="1015"/>
        <v>400</v>
      </c>
      <c r="AX5882" s="16"/>
    </row>
    <row r="5883" spans="2:50" x14ac:dyDescent="0.2">
      <c r="B5883" s="7"/>
      <c r="C5883" s="8">
        <v>16030</v>
      </c>
      <c r="D5883" s="9" t="s">
        <v>168</v>
      </c>
      <c r="E5883" s="10" t="str">
        <f t="shared" si="1010"/>
        <v>Rancho Upácuaro No. 73, A</v>
      </c>
      <c r="F5883" s="10" t="str">
        <f t="shared" si="1011"/>
        <v>Ortega</v>
      </c>
      <c r="G5883" s="8">
        <v>1</v>
      </c>
      <c r="H5883" s="11">
        <v>400</v>
      </c>
      <c r="I5883" s="12">
        <v>43156</v>
      </c>
      <c r="J5883" s="35">
        <f t="shared" si="1012"/>
        <v>0</v>
      </c>
      <c r="K5883" s="36"/>
      <c r="L5883" s="36"/>
      <c r="M5883" s="36"/>
      <c r="N5883" s="36"/>
      <c r="O5883" s="36"/>
      <c r="P5883" s="36"/>
      <c r="Q5883" s="36"/>
      <c r="R5883" s="36"/>
      <c r="S5883" s="36"/>
      <c r="T5883" s="36"/>
      <c r="U5883" s="36"/>
      <c r="V5883" s="36"/>
      <c r="W5883" s="15">
        <f t="shared" si="1013"/>
        <v>0</v>
      </c>
      <c r="X5883" s="36"/>
      <c r="Y5883" s="36"/>
      <c r="Z5883" s="36"/>
      <c r="AA5883" s="36"/>
      <c r="AB5883" s="36"/>
      <c r="AC5883" s="36"/>
      <c r="AD5883" s="36"/>
      <c r="AE5883" s="36"/>
      <c r="AF5883" s="36"/>
      <c r="AG5883" s="36"/>
      <c r="AH5883" s="36"/>
      <c r="AI5883" s="36">
        <v>200</v>
      </c>
      <c r="AJ5883" s="15">
        <f t="shared" si="1014"/>
        <v>200</v>
      </c>
      <c r="AK5883" s="14">
        <v>200</v>
      </c>
      <c r="AL5883" s="14"/>
      <c r="AM5883" s="14"/>
      <c r="AN5883" s="14"/>
      <c r="AO5883" s="14"/>
      <c r="AP5883" s="14"/>
      <c r="AQ5883" s="14"/>
      <c r="AR5883" s="14"/>
      <c r="AS5883" s="14"/>
      <c r="AT5883" s="14"/>
      <c r="AU5883" s="14"/>
      <c r="AV5883" s="14"/>
      <c r="AW5883" s="15">
        <f t="shared" si="1015"/>
        <v>200</v>
      </c>
      <c r="AX5883" s="16"/>
    </row>
    <row r="5884" spans="2:50" x14ac:dyDescent="0.2">
      <c r="B5884" s="7"/>
      <c r="C5884" s="8">
        <v>16031</v>
      </c>
      <c r="D5884" s="9" t="s">
        <v>340</v>
      </c>
      <c r="E5884" s="10" t="str">
        <f t="shared" si="1010"/>
        <v>Rancho Romeral No. 17</v>
      </c>
      <c r="F5884" s="10" t="str">
        <f t="shared" si="1011"/>
        <v>Aguilar Lomelí</v>
      </c>
      <c r="G5884" s="8">
        <v>1</v>
      </c>
      <c r="H5884" s="11">
        <v>400</v>
      </c>
      <c r="I5884" s="12">
        <v>43156</v>
      </c>
      <c r="J5884" s="35">
        <f t="shared" si="1012"/>
        <v>0</v>
      </c>
      <c r="K5884" s="36"/>
      <c r="L5884" s="36"/>
      <c r="M5884" s="36"/>
      <c r="N5884" s="36"/>
      <c r="O5884" s="36"/>
      <c r="P5884" s="36"/>
      <c r="Q5884" s="36"/>
      <c r="R5884" s="36"/>
      <c r="S5884" s="36"/>
      <c r="T5884" s="36"/>
      <c r="U5884" s="36"/>
      <c r="V5884" s="36"/>
      <c r="W5884" s="15">
        <f t="shared" si="1013"/>
        <v>0</v>
      </c>
      <c r="X5884" s="36"/>
      <c r="Y5884" s="36"/>
      <c r="Z5884" s="36"/>
      <c r="AA5884" s="36"/>
      <c r="AB5884" s="36"/>
      <c r="AC5884" s="36"/>
      <c r="AD5884" s="36"/>
      <c r="AE5884" s="36"/>
      <c r="AF5884" s="36"/>
      <c r="AG5884" s="36"/>
      <c r="AH5884" s="36"/>
      <c r="AI5884" s="36"/>
      <c r="AJ5884" s="15">
        <f t="shared" si="1014"/>
        <v>0</v>
      </c>
      <c r="AK5884" s="14">
        <v>400</v>
      </c>
      <c r="AL5884" s="14"/>
      <c r="AM5884" s="14"/>
      <c r="AN5884" s="14"/>
      <c r="AO5884" s="14"/>
      <c r="AP5884" s="14"/>
      <c r="AQ5884" s="14"/>
      <c r="AR5884" s="14"/>
      <c r="AS5884" s="14"/>
      <c r="AT5884" s="14"/>
      <c r="AU5884" s="14"/>
      <c r="AV5884" s="14"/>
      <c r="AW5884" s="15">
        <f t="shared" si="1015"/>
        <v>400</v>
      </c>
      <c r="AX5884" s="16"/>
    </row>
    <row r="5885" spans="2:50" x14ac:dyDescent="0.2">
      <c r="B5885" s="7"/>
      <c r="C5885" s="8">
        <v>16032</v>
      </c>
      <c r="D5885" s="9" t="s">
        <v>340</v>
      </c>
      <c r="E5885" s="10" t="str">
        <f t="shared" si="1010"/>
        <v>Rancho Romeral No. 17</v>
      </c>
      <c r="F5885" s="10" t="str">
        <f t="shared" si="1011"/>
        <v>Aguilar Lomelí</v>
      </c>
      <c r="G5885" s="8">
        <v>1</v>
      </c>
      <c r="H5885" s="11">
        <v>400</v>
      </c>
      <c r="I5885" s="12">
        <v>43156</v>
      </c>
      <c r="J5885" s="35">
        <f t="shared" si="1012"/>
        <v>0</v>
      </c>
      <c r="K5885" s="36"/>
      <c r="L5885" s="36"/>
      <c r="M5885" s="36"/>
      <c r="N5885" s="36"/>
      <c r="O5885" s="36"/>
      <c r="P5885" s="36"/>
      <c r="Q5885" s="36"/>
      <c r="R5885" s="36"/>
      <c r="S5885" s="36"/>
      <c r="T5885" s="36"/>
      <c r="U5885" s="36"/>
      <c r="V5885" s="36"/>
      <c r="W5885" s="15">
        <f t="shared" si="1013"/>
        <v>0</v>
      </c>
      <c r="X5885" s="36"/>
      <c r="Y5885" s="36"/>
      <c r="Z5885" s="36"/>
      <c r="AA5885" s="36"/>
      <c r="AB5885" s="36"/>
      <c r="AC5885" s="36"/>
      <c r="AD5885" s="36"/>
      <c r="AE5885" s="36"/>
      <c r="AF5885" s="36"/>
      <c r="AG5885" s="36"/>
      <c r="AH5885" s="36"/>
      <c r="AI5885" s="36"/>
      <c r="AJ5885" s="15">
        <f t="shared" si="1014"/>
        <v>0</v>
      </c>
      <c r="AK5885" s="14"/>
      <c r="AL5885" s="14">
        <v>400</v>
      </c>
      <c r="AM5885" s="14"/>
      <c r="AN5885" s="14"/>
      <c r="AO5885" s="14"/>
      <c r="AP5885" s="14"/>
      <c r="AQ5885" s="14"/>
      <c r="AR5885" s="14"/>
      <c r="AS5885" s="14"/>
      <c r="AT5885" s="14"/>
      <c r="AU5885" s="14"/>
      <c r="AV5885" s="14"/>
      <c r="AW5885" s="15">
        <f t="shared" si="1015"/>
        <v>400</v>
      </c>
      <c r="AX5885" s="16"/>
    </row>
    <row r="5886" spans="2:50" x14ac:dyDescent="0.2">
      <c r="B5886" s="7"/>
      <c r="C5886" s="8">
        <v>16033</v>
      </c>
      <c r="D5886" s="9" t="s">
        <v>846</v>
      </c>
      <c r="E5886" s="10" t="str">
        <f t="shared" si="1010"/>
        <v>Rancho Estanzuela No. 95</v>
      </c>
      <c r="F5886" s="10" t="str">
        <f t="shared" si="1011"/>
        <v>Castro Puente</v>
      </c>
      <c r="G5886" s="8">
        <v>1</v>
      </c>
      <c r="H5886" s="11">
        <v>800</v>
      </c>
      <c r="I5886" s="12">
        <v>43156</v>
      </c>
      <c r="J5886" s="35">
        <f t="shared" si="1012"/>
        <v>0</v>
      </c>
      <c r="K5886" s="36"/>
      <c r="L5886" s="36"/>
      <c r="M5886" s="36"/>
      <c r="N5886" s="36"/>
      <c r="O5886" s="36"/>
      <c r="P5886" s="36"/>
      <c r="Q5886" s="36"/>
      <c r="R5886" s="36"/>
      <c r="S5886" s="36"/>
      <c r="T5886" s="36"/>
      <c r="U5886" s="36"/>
      <c r="V5886" s="36"/>
      <c r="W5886" s="15">
        <f t="shared" si="1013"/>
        <v>0</v>
      </c>
      <c r="X5886" s="36"/>
      <c r="Y5886" s="36"/>
      <c r="Z5886" s="36"/>
      <c r="AA5886" s="36"/>
      <c r="AB5886" s="36"/>
      <c r="AC5886" s="36"/>
      <c r="AD5886" s="36"/>
      <c r="AE5886" s="36"/>
      <c r="AF5886" s="36"/>
      <c r="AG5886" s="36"/>
      <c r="AH5886" s="36"/>
      <c r="AI5886" s="36"/>
      <c r="AJ5886" s="15">
        <f t="shared" si="1014"/>
        <v>0</v>
      </c>
      <c r="AK5886" s="14">
        <v>400</v>
      </c>
      <c r="AL5886" s="14">
        <v>400</v>
      </c>
      <c r="AM5886" s="14"/>
      <c r="AN5886" s="14"/>
      <c r="AO5886" s="14"/>
      <c r="AP5886" s="14"/>
      <c r="AQ5886" s="14"/>
      <c r="AR5886" s="14"/>
      <c r="AS5886" s="14"/>
      <c r="AT5886" s="14"/>
      <c r="AU5886" s="14"/>
      <c r="AV5886" s="14"/>
      <c r="AW5886" s="15">
        <f t="shared" si="1015"/>
        <v>800</v>
      </c>
      <c r="AX5886" s="16"/>
    </row>
    <row r="5887" spans="2:50" x14ac:dyDescent="0.2">
      <c r="B5887" s="7"/>
      <c r="C5887" s="8">
        <v>16034</v>
      </c>
      <c r="D5887" s="9" t="s">
        <v>3178</v>
      </c>
      <c r="E5887" s="10" t="str">
        <f t="shared" si="998"/>
        <v>Rancho La Cuchilla No. 103</v>
      </c>
      <c r="F5887" s="10" t="str">
        <f t="shared" si="999"/>
        <v>Bernal</v>
      </c>
      <c r="G5887" s="8">
        <v>1</v>
      </c>
      <c r="H5887" s="11">
        <v>500</v>
      </c>
      <c r="I5887" s="12">
        <v>43156</v>
      </c>
      <c r="J5887" s="35">
        <f t="shared" si="1000"/>
        <v>0</v>
      </c>
      <c r="K5887" s="36"/>
      <c r="L5887" s="36"/>
      <c r="M5887" s="36"/>
      <c r="N5887" s="36"/>
      <c r="O5887" s="36"/>
      <c r="P5887" s="36"/>
      <c r="Q5887" s="36"/>
      <c r="R5887" s="36"/>
      <c r="S5887" s="36"/>
      <c r="T5887" s="36"/>
      <c r="U5887" s="36"/>
      <c r="V5887" s="36"/>
      <c r="W5887" s="15">
        <f t="shared" si="1001"/>
        <v>0</v>
      </c>
      <c r="X5887" s="36"/>
      <c r="Y5887" s="36"/>
      <c r="Z5887" s="36"/>
      <c r="AA5887" s="36"/>
      <c r="AB5887" s="36"/>
      <c r="AC5887" s="36"/>
      <c r="AD5887" s="36"/>
      <c r="AE5887" s="36"/>
      <c r="AF5887" s="36"/>
      <c r="AG5887" s="36"/>
      <c r="AH5887" s="36"/>
      <c r="AI5887" s="36"/>
      <c r="AJ5887" s="15">
        <f t="shared" si="1002"/>
        <v>0</v>
      </c>
      <c r="AK5887" s="14"/>
      <c r="AL5887" s="14"/>
      <c r="AM5887" s="14">
        <v>500</v>
      </c>
      <c r="AN5887" s="14"/>
      <c r="AO5887" s="14"/>
      <c r="AP5887" s="14"/>
      <c r="AQ5887" s="14"/>
      <c r="AR5887" s="14"/>
      <c r="AS5887" s="14"/>
      <c r="AT5887" s="14"/>
      <c r="AU5887" s="14"/>
      <c r="AV5887" s="14"/>
      <c r="AW5887" s="15">
        <f t="shared" si="1003"/>
        <v>500</v>
      </c>
      <c r="AX5887" s="16"/>
    </row>
    <row r="5888" spans="2:50" x14ac:dyDescent="0.2">
      <c r="B5888" s="7"/>
      <c r="C5888" s="8">
        <v>16035</v>
      </c>
      <c r="D5888" s="9" t="s">
        <v>103</v>
      </c>
      <c r="E5888" s="10" t="str">
        <f t="shared" ref="E5888:E5893" si="1016">IF(D5888=0,"",VLOOKUP(D5888,BASE,2,FALSE))</f>
        <v>Rancho La Cuchilla No. 41</v>
      </c>
      <c r="F5888" s="10" t="str">
        <f t="shared" ref="F5888:F5893" si="1017">IF(D5888=0,"",VLOOKUP(D5888,BASE,3,FALSE))</f>
        <v>Arriaga Lemus</v>
      </c>
      <c r="G5888" s="8">
        <v>1</v>
      </c>
      <c r="H5888" s="11">
        <v>400</v>
      </c>
      <c r="I5888" s="12">
        <v>43156</v>
      </c>
      <c r="J5888" s="35">
        <f t="shared" ref="J5888:J5893" si="1018">IF(G5888=1,SUM(W5888,AJ5888,AW5888,-H5888),0)</f>
        <v>0</v>
      </c>
      <c r="K5888" s="36"/>
      <c r="L5888" s="36"/>
      <c r="M5888" s="36"/>
      <c r="N5888" s="36"/>
      <c r="O5888" s="36"/>
      <c r="P5888" s="36"/>
      <c r="Q5888" s="36"/>
      <c r="R5888" s="36"/>
      <c r="S5888" s="36"/>
      <c r="T5888" s="36"/>
      <c r="U5888" s="36"/>
      <c r="V5888" s="36"/>
      <c r="W5888" s="15">
        <f t="shared" ref="W5888:W5893" si="1019">SUM(K5888:V5888)</f>
        <v>0</v>
      </c>
      <c r="X5888" s="36"/>
      <c r="Y5888" s="36"/>
      <c r="Z5888" s="36"/>
      <c r="AA5888" s="36"/>
      <c r="AB5888" s="36"/>
      <c r="AC5888" s="36"/>
      <c r="AD5888" s="36"/>
      <c r="AE5888" s="36"/>
      <c r="AF5888" s="36"/>
      <c r="AG5888" s="36"/>
      <c r="AH5888" s="36"/>
      <c r="AI5888" s="36"/>
      <c r="AJ5888" s="15">
        <f t="shared" ref="AJ5888:AJ5893" si="1020">SUM(X5888:AI5888)</f>
        <v>0</v>
      </c>
      <c r="AK5888" s="14"/>
      <c r="AL5888" s="14">
        <v>400</v>
      </c>
      <c r="AM5888" s="14"/>
      <c r="AN5888" s="14"/>
      <c r="AO5888" s="14"/>
      <c r="AP5888" s="14"/>
      <c r="AQ5888" s="14"/>
      <c r="AR5888" s="14"/>
      <c r="AS5888" s="14"/>
      <c r="AT5888" s="14"/>
      <c r="AU5888" s="14"/>
      <c r="AV5888" s="14"/>
      <c r="AW5888" s="15">
        <f t="shared" ref="AW5888:AW5893" si="1021">SUM(AK5888:AV5888)</f>
        <v>400</v>
      </c>
      <c r="AX5888" s="16"/>
    </row>
    <row r="5889" spans="1:51" x14ac:dyDescent="0.2">
      <c r="B5889" s="7"/>
      <c r="C5889" s="8">
        <v>16036</v>
      </c>
      <c r="D5889" s="9" t="s">
        <v>868</v>
      </c>
      <c r="E5889" s="10" t="str">
        <f t="shared" si="1016"/>
        <v>Rancho Upácuaro No. 12</v>
      </c>
      <c r="F5889" s="10" t="str">
        <f t="shared" si="1017"/>
        <v>Moreno Chávez</v>
      </c>
      <c r="G5889" s="8">
        <v>1</v>
      </c>
      <c r="H5889" s="11">
        <v>2400</v>
      </c>
      <c r="I5889" s="12">
        <v>43156</v>
      </c>
      <c r="J5889" s="35">
        <f t="shared" si="1018"/>
        <v>0</v>
      </c>
      <c r="K5889" s="36"/>
      <c r="L5889" s="36"/>
      <c r="M5889" s="36"/>
      <c r="N5889" s="36"/>
      <c r="O5889" s="36"/>
      <c r="P5889" s="36"/>
      <c r="Q5889" s="36"/>
      <c r="R5889" s="36"/>
      <c r="S5889" s="36"/>
      <c r="T5889" s="36"/>
      <c r="U5889" s="36"/>
      <c r="V5889" s="36"/>
      <c r="W5889" s="15">
        <f t="shared" si="1019"/>
        <v>0</v>
      </c>
      <c r="X5889" s="36"/>
      <c r="Y5889" s="36"/>
      <c r="Z5889" s="36"/>
      <c r="AA5889" s="36"/>
      <c r="AB5889" s="36"/>
      <c r="AC5889" s="36"/>
      <c r="AD5889" s="36">
        <v>400</v>
      </c>
      <c r="AE5889" s="36">
        <v>400</v>
      </c>
      <c r="AF5889" s="36">
        <v>400</v>
      </c>
      <c r="AG5889" s="36">
        <v>400</v>
      </c>
      <c r="AH5889" s="36">
        <v>400</v>
      </c>
      <c r="AI5889" s="36">
        <v>400</v>
      </c>
      <c r="AJ5889" s="15">
        <f t="shared" si="1020"/>
        <v>2400</v>
      </c>
      <c r="AK5889" s="14"/>
      <c r="AL5889" s="14"/>
      <c r="AM5889" s="14"/>
      <c r="AN5889" s="14"/>
      <c r="AO5889" s="14"/>
      <c r="AP5889" s="14"/>
      <c r="AQ5889" s="14"/>
      <c r="AR5889" s="14"/>
      <c r="AS5889" s="14"/>
      <c r="AT5889" s="14"/>
      <c r="AU5889" s="14"/>
      <c r="AV5889" s="14"/>
      <c r="AW5889" s="15">
        <f t="shared" si="1021"/>
        <v>0</v>
      </c>
      <c r="AX5889" s="16"/>
    </row>
    <row r="5890" spans="1:51" x14ac:dyDescent="0.2">
      <c r="B5890" s="7"/>
      <c r="C5890" s="8">
        <v>16037</v>
      </c>
      <c r="D5890" s="9" t="s">
        <v>868</v>
      </c>
      <c r="E5890" s="10" t="str">
        <f t="shared" si="1016"/>
        <v>Rancho Upácuaro No. 12</v>
      </c>
      <c r="F5890" s="10" t="str">
        <f t="shared" si="1017"/>
        <v>Moreno Chávez</v>
      </c>
      <c r="G5890" s="8">
        <v>1</v>
      </c>
      <c r="H5890" s="11">
        <v>4400</v>
      </c>
      <c r="I5890" s="12">
        <v>43156</v>
      </c>
      <c r="J5890" s="35">
        <f t="shared" si="1018"/>
        <v>0</v>
      </c>
      <c r="K5890" s="36"/>
      <c r="L5890" s="36"/>
      <c r="M5890" s="36"/>
      <c r="N5890" s="36"/>
      <c r="O5890" s="36"/>
      <c r="P5890" s="36"/>
      <c r="Q5890" s="36"/>
      <c r="R5890" s="36"/>
      <c r="S5890" s="36"/>
      <c r="T5890" s="36"/>
      <c r="U5890" s="36"/>
      <c r="V5890" s="36"/>
      <c r="W5890" s="15">
        <f t="shared" si="1019"/>
        <v>0</v>
      </c>
      <c r="X5890" s="36"/>
      <c r="Y5890" s="36"/>
      <c r="Z5890" s="36"/>
      <c r="AA5890" s="36"/>
      <c r="AB5890" s="36"/>
      <c r="AC5890" s="36"/>
      <c r="AD5890" s="36"/>
      <c r="AE5890" s="36"/>
      <c r="AF5890" s="36"/>
      <c r="AG5890" s="36"/>
      <c r="AH5890" s="36"/>
      <c r="AI5890" s="36"/>
      <c r="AJ5890" s="15">
        <f t="shared" si="1020"/>
        <v>0</v>
      </c>
      <c r="AK5890" s="14">
        <v>400</v>
      </c>
      <c r="AL5890" s="14">
        <v>400</v>
      </c>
      <c r="AM5890" s="14">
        <v>400</v>
      </c>
      <c r="AN5890" s="14">
        <v>400</v>
      </c>
      <c r="AO5890" s="14">
        <v>400</v>
      </c>
      <c r="AP5890" s="14">
        <v>400</v>
      </c>
      <c r="AQ5890" s="14">
        <v>400</v>
      </c>
      <c r="AR5890" s="14">
        <v>400</v>
      </c>
      <c r="AS5890" s="14">
        <v>400</v>
      </c>
      <c r="AT5890" s="14">
        <v>400</v>
      </c>
      <c r="AU5890" s="14">
        <v>400</v>
      </c>
      <c r="AV5890" s="14"/>
      <c r="AW5890" s="15">
        <f t="shared" si="1021"/>
        <v>4400</v>
      </c>
      <c r="AX5890" s="16" t="s">
        <v>4905</v>
      </c>
    </row>
    <row r="5891" spans="1:51" x14ac:dyDescent="0.2">
      <c r="B5891" s="7"/>
      <c r="C5891" s="8">
        <v>16038</v>
      </c>
      <c r="D5891" s="9" t="s">
        <v>1026</v>
      </c>
      <c r="E5891" s="10" t="str">
        <f t="shared" si="1016"/>
        <v>Rancho Estanzuela No. 119, 2</v>
      </c>
      <c r="F5891" s="10" t="str">
        <f t="shared" si="1017"/>
        <v>Lòpez Tovar</v>
      </c>
      <c r="G5891" s="8">
        <v>1</v>
      </c>
      <c r="H5891" s="11">
        <v>800</v>
      </c>
      <c r="I5891" s="12">
        <v>43156</v>
      </c>
      <c r="J5891" s="35">
        <f t="shared" si="1018"/>
        <v>0</v>
      </c>
      <c r="K5891" s="36"/>
      <c r="L5891" s="36"/>
      <c r="M5891" s="36"/>
      <c r="N5891" s="36"/>
      <c r="O5891" s="36"/>
      <c r="P5891" s="36"/>
      <c r="Q5891" s="36"/>
      <c r="R5891" s="36"/>
      <c r="S5891" s="36"/>
      <c r="T5891" s="36"/>
      <c r="U5891" s="36"/>
      <c r="V5891" s="36"/>
      <c r="W5891" s="15">
        <f t="shared" si="1019"/>
        <v>0</v>
      </c>
      <c r="X5891" s="36"/>
      <c r="Y5891" s="36"/>
      <c r="Z5891" s="36"/>
      <c r="AA5891" s="36"/>
      <c r="AB5891" s="36"/>
      <c r="AC5891" s="36"/>
      <c r="AD5891" s="36"/>
      <c r="AE5891" s="36"/>
      <c r="AF5891" s="36"/>
      <c r="AG5891" s="36"/>
      <c r="AH5891" s="36">
        <v>200</v>
      </c>
      <c r="AI5891" s="36">
        <v>200</v>
      </c>
      <c r="AJ5891" s="15">
        <f t="shared" si="1020"/>
        <v>400</v>
      </c>
      <c r="AK5891" s="14">
        <v>200</v>
      </c>
      <c r="AL5891" s="14">
        <v>200</v>
      </c>
      <c r="AM5891" s="14"/>
      <c r="AN5891" s="14"/>
      <c r="AO5891" s="14"/>
      <c r="AP5891" s="14"/>
      <c r="AQ5891" s="14"/>
      <c r="AR5891" s="14"/>
      <c r="AS5891" s="14"/>
      <c r="AT5891" s="14"/>
      <c r="AU5891" s="14"/>
      <c r="AV5891" s="14"/>
      <c r="AW5891" s="15">
        <f t="shared" si="1021"/>
        <v>400</v>
      </c>
      <c r="AX5891" s="16"/>
    </row>
    <row r="5892" spans="1:51" x14ac:dyDescent="0.2">
      <c r="B5892" s="7"/>
      <c r="C5892" s="8">
        <v>16039</v>
      </c>
      <c r="D5892" s="9" t="s">
        <v>1026</v>
      </c>
      <c r="E5892" s="10" t="str">
        <f t="shared" si="1016"/>
        <v>Rancho Estanzuela No. 119, 2</v>
      </c>
      <c r="F5892" s="10" t="str">
        <f t="shared" si="1017"/>
        <v>Lòpez Tovar</v>
      </c>
      <c r="G5892" s="8">
        <v>5</v>
      </c>
      <c r="H5892" s="11">
        <v>100</v>
      </c>
      <c r="I5892" s="12">
        <v>43156</v>
      </c>
      <c r="J5892" s="35">
        <f t="shared" si="1018"/>
        <v>0</v>
      </c>
      <c r="K5892" s="36"/>
      <c r="L5892" s="36"/>
      <c r="M5892" s="36"/>
      <c r="N5892" s="36"/>
      <c r="O5892" s="36"/>
      <c r="P5892" s="36"/>
      <c r="Q5892" s="36"/>
      <c r="R5892" s="36"/>
      <c r="S5892" s="36"/>
      <c r="T5892" s="36"/>
      <c r="U5892" s="36"/>
      <c r="V5892" s="36"/>
      <c r="W5892" s="15">
        <f t="shared" si="1019"/>
        <v>0</v>
      </c>
      <c r="X5892" s="36"/>
      <c r="Y5892" s="36"/>
      <c r="Z5892" s="36"/>
      <c r="AA5892" s="36"/>
      <c r="AB5892" s="36"/>
      <c r="AC5892" s="36"/>
      <c r="AD5892" s="36"/>
      <c r="AE5892" s="36"/>
      <c r="AF5892" s="36"/>
      <c r="AG5892" s="36"/>
      <c r="AH5892" s="36"/>
      <c r="AI5892" s="36"/>
      <c r="AJ5892" s="15">
        <f t="shared" si="1020"/>
        <v>0</v>
      </c>
      <c r="AK5892" s="14"/>
      <c r="AL5892" s="14"/>
      <c r="AM5892" s="14"/>
      <c r="AN5892" s="14"/>
      <c r="AO5892" s="14"/>
      <c r="AP5892" s="14"/>
      <c r="AQ5892" s="14"/>
      <c r="AR5892" s="14"/>
      <c r="AS5892" s="14"/>
      <c r="AT5892" s="14"/>
      <c r="AU5892" s="14"/>
      <c r="AV5892" s="14"/>
      <c r="AW5892" s="15">
        <f t="shared" si="1021"/>
        <v>0</v>
      </c>
      <c r="AX5892" s="16"/>
    </row>
    <row r="5893" spans="1:51" x14ac:dyDescent="0.2">
      <c r="B5893" s="7"/>
      <c r="C5893" s="8">
        <v>16040</v>
      </c>
      <c r="D5893" s="9" t="s">
        <v>577</v>
      </c>
      <c r="E5893" s="10" t="str">
        <f t="shared" si="1016"/>
        <v>Rancho La Cuchilla No. 46</v>
      </c>
      <c r="F5893" s="10" t="str">
        <f t="shared" si="1017"/>
        <v>Cruz López</v>
      </c>
      <c r="G5893" s="8">
        <v>1</v>
      </c>
      <c r="H5893" s="11">
        <v>1200</v>
      </c>
      <c r="I5893" s="12">
        <v>43156</v>
      </c>
      <c r="J5893" s="35">
        <f t="shared" si="1018"/>
        <v>0</v>
      </c>
      <c r="K5893" s="36"/>
      <c r="L5893" s="36"/>
      <c r="M5893" s="36"/>
      <c r="N5893" s="36"/>
      <c r="O5893" s="36"/>
      <c r="P5893" s="36"/>
      <c r="Q5893" s="36"/>
      <c r="R5893" s="36"/>
      <c r="S5893" s="36"/>
      <c r="T5893" s="36"/>
      <c r="U5893" s="36"/>
      <c r="V5893" s="36"/>
      <c r="W5893" s="15">
        <f t="shared" si="1019"/>
        <v>0</v>
      </c>
      <c r="X5893" s="36"/>
      <c r="Y5893" s="36"/>
      <c r="Z5893" s="36"/>
      <c r="AA5893" s="36"/>
      <c r="AB5893" s="36"/>
      <c r="AC5893" s="36"/>
      <c r="AD5893" s="36"/>
      <c r="AE5893" s="36"/>
      <c r="AF5893" s="36"/>
      <c r="AG5893" s="36"/>
      <c r="AH5893" s="36"/>
      <c r="AI5893" s="36"/>
      <c r="AJ5893" s="15">
        <f t="shared" si="1020"/>
        <v>0</v>
      </c>
      <c r="AK5893" s="14">
        <v>400</v>
      </c>
      <c r="AL5893" s="14">
        <v>400</v>
      </c>
      <c r="AM5893" s="14">
        <v>400</v>
      </c>
      <c r="AN5893" s="14"/>
      <c r="AO5893" s="14"/>
      <c r="AP5893" s="14"/>
      <c r="AQ5893" s="14"/>
      <c r="AR5893" s="14"/>
      <c r="AS5893" s="14"/>
      <c r="AT5893" s="14"/>
      <c r="AU5893" s="14"/>
      <c r="AV5893" s="14"/>
      <c r="AW5893" s="15">
        <f t="shared" si="1021"/>
        <v>1200</v>
      </c>
      <c r="AX5893" s="16"/>
    </row>
    <row r="5894" spans="1:51" x14ac:dyDescent="0.2">
      <c r="B5894" s="7"/>
      <c r="C5894" s="8">
        <v>16040</v>
      </c>
      <c r="D5894" s="9" t="s">
        <v>577</v>
      </c>
      <c r="E5894" s="10" t="str">
        <f t="shared" si="998"/>
        <v>Rancho La Cuchilla No. 46</v>
      </c>
      <c r="F5894" s="10" t="str">
        <f t="shared" si="999"/>
        <v>Cruz López</v>
      </c>
      <c r="G5894" s="8">
        <v>3</v>
      </c>
      <c r="H5894" s="11">
        <v>200</v>
      </c>
      <c r="I5894" s="12">
        <v>43156</v>
      </c>
      <c r="J5894" s="35">
        <f t="shared" si="1000"/>
        <v>0</v>
      </c>
      <c r="K5894" s="36"/>
      <c r="L5894" s="36"/>
      <c r="M5894" s="36"/>
      <c r="N5894" s="36"/>
      <c r="O5894" s="36"/>
      <c r="P5894" s="36"/>
      <c r="Q5894" s="36"/>
      <c r="R5894" s="36"/>
      <c r="S5894" s="36"/>
      <c r="T5894" s="36"/>
      <c r="U5894" s="36"/>
      <c r="V5894" s="36"/>
      <c r="W5894" s="15">
        <f t="shared" si="1001"/>
        <v>0</v>
      </c>
      <c r="X5894" s="36"/>
      <c r="Y5894" s="36"/>
      <c r="Z5894" s="36"/>
      <c r="AA5894" s="36"/>
      <c r="AB5894" s="36"/>
      <c r="AC5894" s="36"/>
      <c r="AD5894" s="36"/>
      <c r="AE5894" s="36"/>
      <c r="AF5894" s="36"/>
      <c r="AG5894" s="36"/>
      <c r="AH5894" s="36"/>
      <c r="AI5894" s="36"/>
      <c r="AJ5894" s="15">
        <f t="shared" si="1002"/>
        <v>0</v>
      </c>
      <c r="AK5894" s="14"/>
      <c r="AL5894" s="14"/>
      <c r="AM5894" s="14"/>
      <c r="AN5894" s="14"/>
      <c r="AO5894" s="14"/>
      <c r="AP5894" s="14"/>
      <c r="AQ5894" s="14"/>
      <c r="AR5894" s="14"/>
      <c r="AS5894" s="14"/>
      <c r="AT5894" s="14"/>
      <c r="AU5894" s="14"/>
      <c r="AV5894" s="14"/>
      <c r="AW5894" s="15">
        <f t="shared" si="1003"/>
        <v>0</v>
      </c>
      <c r="AX5894" s="16"/>
    </row>
    <row r="5895" spans="1:51" x14ac:dyDescent="0.2">
      <c r="B5895" s="7"/>
      <c r="C5895" s="8">
        <v>16041</v>
      </c>
      <c r="D5895" s="9" t="s">
        <v>810</v>
      </c>
      <c r="E5895" s="10" t="str">
        <f t="shared" si="998"/>
        <v>Rancho La Cuchilla No. 90</v>
      </c>
      <c r="F5895" s="10" t="str">
        <f t="shared" si="999"/>
        <v>Porras Fuentes</v>
      </c>
      <c r="G5895" s="8">
        <v>1</v>
      </c>
      <c r="H5895" s="11">
        <v>400</v>
      </c>
      <c r="I5895" s="12">
        <v>43156</v>
      </c>
      <c r="J5895" s="35">
        <f t="shared" si="1000"/>
        <v>0</v>
      </c>
      <c r="K5895" s="36"/>
      <c r="L5895" s="36"/>
      <c r="M5895" s="36"/>
      <c r="N5895" s="36"/>
      <c r="O5895" s="36"/>
      <c r="P5895" s="36"/>
      <c r="Q5895" s="36"/>
      <c r="R5895" s="36"/>
      <c r="S5895" s="36"/>
      <c r="T5895" s="36"/>
      <c r="U5895" s="36"/>
      <c r="V5895" s="36"/>
      <c r="W5895" s="15">
        <f t="shared" si="1001"/>
        <v>0</v>
      </c>
      <c r="X5895" s="36"/>
      <c r="Y5895" s="36"/>
      <c r="Z5895" s="36"/>
      <c r="AA5895" s="36"/>
      <c r="AB5895" s="36"/>
      <c r="AC5895" s="36"/>
      <c r="AD5895" s="36"/>
      <c r="AE5895" s="36"/>
      <c r="AF5895" s="36"/>
      <c r="AG5895" s="36"/>
      <c r="AH5895" s="36"/>
      <c r="AI5895" s="36"/>
      <c r="AJ5895" s="15">
        <f t="shared" si="1002"/>
        <v>0</v>
      </c>
      <c r="AK5895" s="14"/>
      <c r="AL5895" s="14">
        <v>200</v>
      </c>
      <c r="AM5895" s="14">
        <v>200</v>
      </c>
      <c r="AN5895" s="14"/>
      <c r="AO5895" s="14"/>
      <c r="AP5895" s="14"/>
      <c r="AQ5895" s="14"/>
      <c r="AR5895" s="14"/>
      <c r="AS5895" s="14"/>
      <c r="AT5895" s="14"/>
      <c r="AU5895" s="14"/>
      <c r="AV5895" s="14"/>
      <c r="AW5895" s="15">
        <f t="shared" si="1003"/>
        <v>400</v>
      </c>
      <c r="AX5895" s="316">
        <f>SUM(H5853:H5895)</f>
        <v>36075</v>
      </c>
      <c r="AY5895" s="112">
        <f>SUM(H5853:H5895)</f>
        <v>36075</v>
      </c>
    </row>
    <row r="5896" spans="1:51" x14ac:dyDescent="0.2">
      <c r="B5896" s="7"/>
      <c r="C5896" s="8">
        <v>16042</v>
      </c>
      <c r="D5896" s="9" t="s">
        <v>643</v>
      </c>
      <c r="E5896" s="10" t="str">
        <f t="shared" si="998"/>
        <v>Rancho Upácuaro No. 90</v>
      </c>
      <c r="F5896" s="10" t="str">
        <f t="shared" si="999"/>
        <v>Moreno Calderón</v>
      </c>
      <c r="G5896" s="8">
        <v>1</v>
      </c>
      <c r="H5896" s="11">
        <v>1400</v>
      </c>
      <c r="I5896" s="12">
        <v>43156</v>
      </c>
      <c r="J5896" s="35">
        <f t="shared" si="1000"/>
        <v>0</v>
      </c>
      <c r="K5896" s="36"/>
      <c r="L5896" s="36"/>
      <c r="M5896" s="36"/>
      <c r="N5896" s="36"/>
      <c r="O5896" s="36"/>
      <c r="P5896" s="36"/>
      <c r="Q5896" s="36"/>
      <c r="R5896" s="36"/>
      <c r="S5896" s="36"/>
      <c r="T5896" s="36"/>
      <c r="U5896" s="36"/>
      <c r="V5896" s="36"/>
      <c r="W5896" s="15">
        <f t="shared" si="1001"/>
        <v>0</v>
      </c>
      <c r="X5896" s="36"/>
      <c r="Y5896" s="36"/>
      <c r="Z5896" s="36"/>
      <c r="AA5896" s="36"/>
      <c r="AB5896" s="36"/>
      <c r="AC5896" s="36"/>
      <c r="AD5896" s="36"/>
      <c r="AE5896" s="36">
        <v>200</v>
      </c>
      <c r="AF5896" s="36">
        <v>200</v>
      </c>
      <c r="AG5896" s="36">
        <v>200</v>
      </c>
      <c r="AH5896" s="36">
        <v>200</v>
      </c>
      <c r="AI5896" s="36">
        <v>200</v>
      </c>
      <c r="AJ5896" s="15">
        <f t="shared" si="1002"/>
        <v>1000</v>
      </c>
      <c r="AK5896" s="14">
        <v>200</v>
      </c>
      <c r="AL5896" s="14">
        <v>200</v>
      </c>
      <c r="AM5896" s="14"/>
      <c r="AN5896" s="14"/>
      <c r="AO5896" s="14"/>
      <c r="AP5896" s="14"/>
      <c r="AQ5896" s="14"/>
      <c r="AR5896" s="14"/>
      <c r="AS5896" s="14"/>
      <c r="AT5896" s="14"/>
      <c r="AU5896" s="14"/>
      <c r="AV5896" s="14"/>
      <c r="AW5896" s="15">
        <f t="shared" si="1003"/>
        <v>400</v>
      </c>
      <c r="AX5896" s="16"/>
    </row>
    <row r="5897" spans="1:51" x14ac:dyDescent="0.2">
      <c r="B5897" s="7"/>
      <c r="C5897" s="8">
        <v>16042</v>
      </c>
      <c r="D5897" s="9" t="s">
        <v>643</v>
      </c>
      <c r="E5897" s="10" t="str">
        <f t="shared" si="998"/>
        <v>Rancho Upácuaro No. 90</v>
      </c>
      <c r="F5897" s="10" t="str">
        <f t="shared" si="999"/>
        <v>Moreno Calderón</v>
      </c>
      <c r="G5897" s="8">
        <v>4</v>
      </c>
      <c r="H5897" s="11">
        <v>200</v>
      </c>
      <c r="I5897" s="12">
        <v>43156</v>
      </c>
      <c r="J5897" s="35">
        <f t="shared" si="1000"/>
        <v>0</v>
      </c>
      <c r="K5897" s="36"/>
      <c r="L5897" s="36"/>
      <c r="M5897" s="36"/>
      <c r="N5897" s="36"/>
      <c r="O5897" s="36"/>
      <c r="P5897" s="36"/>
      <c r="Q5897" s="36"/>
      <c r="R5897" s="36"/>
      <c r="S5897" s="36"/>
      <c r="T5897" s="36"/>
      <c r="U5897" s="36"/>
      <c r="V5897" s="36"/>
      <c r="W5897" s="15">
        <f t="shared" si="1001"/>
        <v>0</v>
      </c>
      <c r="X5897" s="36"/>
      <c r="Y5897" s="36"/>
      <c r="Z5897" s="36"/>
      <c r="AA5897" s="36"/>
      <c r="AB5897" s="36"/>
      <c r="AC5897" s="36"/>
      <c r="AD5897" s="36"/>
      <c r="AE5897" s="36"/>
      <c r="AF5897" s="36"/>
      <c r="AG5897" s="36"/>
      <c r="AH5897" s="36"/>
      <c r="AI5897" s="36"/>
      <c r="AJ5897" s="15">
        <f t="shared" si="1002"/>
        <v>0</v>
      </c>
      <c r="AK5897" s="14"/>
      <c r="AL5897" s="14"/>
      <c r="AM5897" s="14"/>
      <c r="AN5897" s="14"/>
      <c r="AO5897" s="14"/>
      <c r="AP5897" s="14"/>
      <c r="AQ5897" s="14"/>
      <c r="AR5897" s="14"/>
      <c r="AS5897" s="14"/>
      <c r="AT5897" s="14"/>
      <c r="AU5897" s="14"/>
      <c r="AV5897" s="14"/>
      <c r="AW5897" s="15">
        <f t="shared" si="1003"/>
        <v>0</v>
      </c>
      <c r="AX5897" s="16" t="s">
        <v>5065</v>
      </c>
      <c r="AY5897" s="112">
        <f>SUM(AY5736:AY5895)</f>
        <v>132600</v>
      </c>
    </row>
    <row r="5898" spans="1:51" x14ac:dyDescent="0.2">
      <c r="B5898" s="7"/>
      <c r="C5898" s="8">
        <v>16043</v>
      </c>
      <c r="D5898" s="9" t="s">
        <v>211</v>
      </c>
      <c r="E5898" s="10" t="str">
        <f t="shared" si="998"/>
        <v>Rancho Upácuaro No. 46</v>
      </c>
      <c r="F5898" s="10" t="str">
        <f t="shared" si="999"/>
        <v>Fuentes</v>
      </c>
      <c r="G5898" s="8">
        <v>1</v>
      </c>
      <c r="H5898" s="11">
        <v>300</v>
      </c>
      <c r="I5898" s="12">
        <v>43138</v>
      </c>
      <c r="J5898" s="35">
        <f t="shared" si="1000"/>
        <v>0</v>
      </c>
      <c r="K5898" s="36"/>
      <c r="L5898" s="36"/>
      <c r="M5898" s="36"/>
      <c r="N5898" s="36"/>
      <c r="O5898" s="36"/>
      <c r="P5898" s="36"/>
      <c r="Q5898" s="36"/>
      <c r="R5898" s="36"/>
      <c r="S5898" s="36"/>
      <c r="T5898" s="36"/>
      <c r="U5898" s="36"/>
      <c r="V5898" s="36"/>
      <c r="W5898" s="15">
        <f t="shared" si="1001"/>
        <v>0</v>
      </c>
      <c r="X5898" s="36"/>
      <c r="Y5898" s="36"/>
      <c r="Z5898" s="36"/>
      <c r="AA5898" s="36"/>
      <c r="AB5898" s="36"/>
      <c r="AC5898" s="36"/>
      <c r="AD5898" s="36"/>
      <c r="AE5898" s="36"/>
      <c r="AF5898" s="36"/>
      <c r="AG5898" s="36"/>
      <c r="AH5898" s="36"/>
      <c r="AI5898" s="36"/>
      <c r="AJ5898" s="15">
        <f t="shared" si="1002"/>
        <v>0</v>
      </c>
      <c r="AK5898" s="14"/>
      <c r="AL5898" s="14">
        <v>300</v>
      </c>
      <c r="AM5898" s="14"/>
      <c r="AN5898" s="14"/>
      <c r="AO5898" s="14"/>
      <c r="AP5898" s="14"/>
      <c r="AQ5898" s="14"/>
      <c r="AR5898" s="14"/>
      <c r="AS5898" s="14"/>
      <c r="AT5898" s="14"/>
      <c r="AU5898" s="14"/>
      <c r="AV5898" s="14"/>
      <c r="AW5898" s="15">
        <f t="shared" si="1003"/>
        <v>300</v>
      </c>
      <c r="AX5898" s="16"/>
    </row>
    <row r="5899" spans="1:51" x14ac:dyDescent="0.2">
      <c r="B5899" s="7"/>
      <c r="C5899" s="8"/>
      <c r="D5899" s="9" t="s">
        <v>806</v>
      </c>
      <c r="E5899" s="10" t="str">
        <f t="shared" ref="E5899:E6317" si="1022">IF(D5899=0,"",VLOOKUP(D5899,BASE,2,FALSE))</f>
        <v>Rancho Estanzuela No. 130, A</v>
      </c>
      <c r="F5899" s="10" t="str">
        <f t="shared" ref="F5899:F6317" si="1023">IF(D5899=0,"",VLOOKUP(D5899,BASE,3,FALSE))</f>
        <v>Colegio Carmel</v>
      </c>
      <c r="G5899" s="8">
        <v>1</v>
      </c>
      <c r="H5899" s="11">
        <v>11000</v>
      </c>
      <c r="I5899" s="12">
        <v>43150</v>
      </c>
      <c r="J5899" s="35">
        <f t="shared" ref="J5899:J6317" si="1024">IF(G5899=1,SUM(W5899,AJ5899,AW5899,-H5899),0)</f>
        <v>0</v>
      </c>
      <c r="K5899" s="36"/>
      <c r="L5899" s="36"/>
      <c r="M5899" s="36"/>
      <c r="N5899" s="36"/>
      <c r="O5899" s="36"/>
      <c r="P5899" s="36"/>
      <c r="Q5899" s="36"/>
      <c r="R5899" s="36"/>
      <c r="S5899" s="36"/>
      <c r="T5899" s="36"/>
      <c r="U5899" s="36"/>
      <c r="V5899" s="36"/>
      <c r="W5899" s="15">
        <f t="shared" ref="W5899:W6317" si="1025">SUM(K5899:V5899)</f>
        <v>0</v>
      </c>
      <c r="X5899" s="36"/>
      <c r="Y5899" s="36"/>
      <c r="Z5899" s="36"/>
      <c r="AA5899" s="36"/>
      <c r="AB5899" s="36"/>
      <c r="AC5899" s="36"/>
      <c r="AD5899" s="36"/>
      <c r="AE5899" s="36"/>
      <c r="AF5899" s="36"/>
      <c r="AG5899" s="36"/>
      <c r="AH5899" s="36"/>
      <c r="AI5899" s="36"/>
      <c r="AJ5899" s="15">
        <f t="shared" ref="AJ5899:AJ6317" si="1026">SUM(X5899:AI5899)</f>
        <v>0</v>
      </c>
      <c r="AK5899" s="14"/>
      <c r="AL5899" s="14">
        <v>11000</v>
      </c>
      <c r="AM5899" s="14"/>
      <c r="AN5899" s="14"/>
      <c r="AO5899" s="14"/>
      <c r="AP5899" s="14"/>
      <c r="AQ5899" s="14"/>
      <c r="AR5899" s="14"/>
      <c r="AS5899" s="14"/>
      <c r="AT5899" s="14"/>
      <c r="AU5899" s="14"/>
      <c r="AV5899" s="14"/>
      <c r="AW5899" s="15">
        <f t="shared" ref="AW5899:AW6317" si="1027">SUM(AK5899:AV5899)</f>
        <v>11000</v>
      </c>
      <c r="AX5899" s="16"/>
      <c r="AY5899" s="112">
        <f>SUM(H5854:H5898)</f>
        <v>37575</v>
      </c>
    </row>
    <row r="5900" spans="1:51" x14ac:dyDescent="0.2">
      <c r="B5900" s="7"/>
      <c r="C5900" s="8"/>
      <c r="D5900" s="9"/>
      <c r="E5900" s="10" t="str">
        <f t="shared" si="1022"/>
        <v/>
      </c>
      <c r="F5900" s="10" t="str">
        <f t="shared" si="1023"/>
        <v/>
      </c>
      <c r="G5900" s="8"/>
      <c r="H5900" s="11"/>
      <c r="I5900" s="12"/>
      <c r="J5900" s="35">
        <f t="shared" si="1024"/>
        <v>0</v>
      </c>
      <c r="K5900" s="36"/>
      <c r="L5900" s="36"/>
      <c r="M5900" s="36"/>
      <c r="N5900" s="36"/>
      <c r="O5900" s="36"/>
      <c r="P5900" s="36"/>
      <c r="Q5900" s="36"/>
      <c r="R5900" s="36"/>
      <c r="S5900" s="36"/>
      <c r="T5900" s="36"/>
      <c r="U5900" s="36"/>
      <c r="V5900" s="36"/>
      <c r="W5900" s="15">
        <f t="shared" si="1025"/>
        <v>0</v>
      </c>
      <c r="X5900" s="36"/>
      <c r="Y5900" s="36"/>
      <c r="Z5900" s="36"/>
      <c r="AA5900" s="36"/>
      <c r="AB5900" s="36"/>
      <c r="AC5900" s="36"/>
      <c r="AD5900" s="36"/>
      <c r="AE5900" s="36"/>
      <c r="AF5900" s="36"/>
      <c r="AG5900" s="36"/>
      <c r="AH5900" s="36"/>
      <c r="AI5900" s="36"/>
      <c r="AJ5900" s="15">
        <f t="shared" si="1026"/>
        <v>0</v>
      </c>
      <c r="AK5900" s="14"/>
      <c r="AL5900" s="14"/>
      <c r="AM5900" s="14"/>
      <c r="AN5900" s="14"/>
      <c r="AO5900" s="14"/>
      <c r="AP5900" s="14"/>
      <c r="AQ5900" s="14"/>
      <c r="AR5900" s="14"/>
      <c r="AS5900" s="14"/>
      <c r="AT5900" s="14"/>
      <c r="AU5900" s="14"/>
      <c r="AV5900" s="14"/>
      <c r="AW5900" s="15">
        <f t="shared" si="1027"/>
        <v>0</v>
      </c>
      <c r="AX5900" s="16"/>
    </row>
    <row r="5901" spans="1:51" x14ac:dyDescent="0.2">
      <c r="B5901" s="7"/>
      <c r="C5901" s="8"/>
      <c r="D5901" s="9"/>
      <c r="E5901" s="10" t="str">
        <f t="shared" si="1022"/>
        <v/>
      </c>
      <c r="F5901" s="10" t="str">
        <f t="shared" si="1023"/>
        <v/>
      </c>
      <c r="G5901" s="8"/>
      <c r="H5901" s="11"/>
      <c r="I5901" s="12"/>
      <c r="J5901" s="35">
        <f t="shared" si="1024"/>
        <v>0</v>
      </c>
      <c r="K5901" s="36"/>
      <c r="L5901" s="36"/>
      <c r="M5901" s="36"/>
      <c r="N5901" s="36"/>
      <c r="O5901" s="36"/>
      <c r="P5901" s="36"/>
      <c r="Q5901" s="36"/>
      <c r="R5901" s="36"/>
      <c r="S5901" s="36"/>
      <c r="T5901" s="36"/>
      <c r="U5901" s="36"/>
      <c r="V5901" s="36"/>
      <c r="W5901" s="15">
        <f t="shared" si="1025"/>
        <v>0</v>
      </c>
      <c r="X5901" s="36"/>
      <c r="Y5901" s="36"/>
      <c r="Z5901" s="36"/>
      <c r="AA5901" s="36"/>
      <c r="AB5901" s="36"/>
      <c r="AC5901" s="36"/>
      <c r="AD5901" s="36"/>
      <c r="AE5901" s="36"/>
      <c r="AF5901" s="36"/>
      <c r="AG5901" s="36"/>
      <c r="AH5901" s="36"/>
      <c r="AI5901" s="36"/>
      <c r="AJ5901" s="15">
        <f t="shared" si="1026"/>
        <v>0</v>
      </c>
      <c r="AK5901" s="14"/>
      <c r="AL5901" s="14"/>
      <c r="AM5901" s="14"/>
      <c r="AN5901" s="14"/>
      <c r="AO5901" s="14"/>
      <c r="AP5901" s="14"/>
      <c r="AQ5901" s="14"/>
      <c r="AR5901" s="14"/>
      <c r="AS5901" s="14"/>
      <c r="AT5901" s="14"/>
      <c r="AU5901" s="14"/>
      <c r="AV5901" s="14"/>
      <c r="AW5901" s="15">
        <f t="shared" si="1027"/>
        <v>0</v>
      </c>
      <c r="AX5901" s="316">
        <f>SUM(H5693:H5898)</f>
        <v>134500</v>
      </c>
    </row>
    <row r="5902" spans="1:51" ht="22.5" x14ac:dyDescent="0.2">
      <c r="A5902" s="2"/>
      <c r="B5902" s="3" t="s">
        <v>1</v>
      </c>
      <c r="C5902" s="3" t="s">
        <v>2</v>
      </c>
      <c r="D5902" s="3" t="s">
        <v>3</v>
      </c>
      <c r="E5902" s="337" t="s">
        <v>4</v>
      </c>
      <c r="F5902" s="337" t="s">
        <v>5</v>
      </c>
      <c r="G5902" s="3" t="s">
        <v>6</v>
      </c>
      <c r="H5902" s="3" t="s">
        <v>7</v>
      </c>
      <c r="I5902" s="3" t="s">
        <v>8</v>
      </c>
      <c r="J5902" s="337" t="s">
        <v>9</v>
      </c>
      <c r="K5902" s="4" t="s">
        <v>10</v>
      </c>
      <c r="L5902" s="4" t="s">
        <v>11</v>
      </c>
      <c r="M5902" s="4" t="s">
        <v>12</v>
      </c>
      <c r="N5902" s="4" t="s">
        <v>13</v>
      </c>
      <c r="O5902" s="4" t="s">
        <v>14</v>
      </c>
      <c r="P5902" s="4" t="s">
        <v>15</v>
      </c>
      <c r="Q5902" s="4" t="s">
        <v>16</v>
      </c>
      <c r="R5902" s="4" t="s">
        <v>17</v>
      </c>
      <c r="S5902" s="4" t="s">
        <v>18</v>
      </c>
      <c r="T5902" s="4" t="s">
        <v>19</v>
      </c>
      <c r="U5902" s="4" t="s">
        <v>20</v>
      </c>
      <c r="V5902" s="4" t="s">
        <v>21</v>
      </c>
      <c r="W5902" s="338" t="s">
        <v>22</v>
      </c>
      <c r="X5902" s="4" t="s">
        <v>23</v>
      </c>
      <c r="Y5902" s="4" t="s">
        <v>24</v>
      </c>
      <c r="Z5902" s="4" t="s">
        <v>25</v>
      </c>
      <c r="AA5902" s="4" t="s">
        <v>26</v>
      </c>
      <c r="AB5902" s="4" t="s">
        <v>27</v>
      </c>
      <c r="AC5902" s="4" t="s">
        <v>28</v>
      </c>
      <c r="AD5902" s="4" t="s">
        <v>29</v>
      </c>
      <c r="AE5902" s="4" t="s">
        <v>30</v>
      </c>
      <c r="AF5902" s="4" t="s">
        <v>31</v>
      </c>
      <c r="AG5902" s="4" t="s">
        <v>32</v>
      </c>
      <c r="AH5902" s="4" t="s">
        <v>33</v>
      </c>
      <c r="AI5902" s="4" t="s">
        <v>34</v>
      </c>
      <c r="AJ5902" s="338" t="s">
        <v>35</v>
      </c>
      <c r="AK5902" s="4" t="s">
        <v>4607</v>
      </c>
      <c r="AL5902" s="4" t="s">
        <v>4608</v>
      </c>
      <c r="AM5902" s="4" t="s">
        <v>4609</v>
      </c>
      <c r="AN5902" s="4" t="s">
        <v>4610</v>
      </c>
      <c r="AO5902" s="4" t="s">
        <v>4611</v>
      </c>
      <c r="AP5902" s="4" t="s">
        <v>4612</v>
      </c>
      <c r="AQ5902" s="4" t="s">
        <v>4613</v>
      </c>
      <c r="AR5902" s="4" t="s">
        <v>4614</v>
      </c>
      <c r="AS5902" s="4" t="s">
        <v>4615</v>
      </c>
      <c r="AT5902" s="4" t="s">
        <v>4616</v>
      </c>
      <c r="AU5902" s="4" t="s">
        <v>4617</v>
      </c>
      <c r="AV5902" s="4" t="s">
        <v>4618</v>
      </c>
      <c r="AW5902" s="338" t="s">
        <v>4619</v>
      </c>
      <c r="AX5902" s="6" t="s">
        <v>36</v>
      </c>
    </row>
    <row r="5903" spans="1:51" x14ac:dyDescent="0.2">
      <c r="B5903" s="7"/>
      <c r="C5903" s="8">
        <v>16044</v>
      </c>
      <c r="D5903" s="9" t="s">
        <v>777</v>
      </c>
      <c r="E5903" s="10" t="str">
        <f t="shared" si="1022"/>
        <v>Rancho Zinamba No. 76</v>
      </c>
      <c r="F5903" s="10" t="str">
        <f t="shared" si="1023"/>
        <v>Márquez</v>
      </c>
      <c r="G5903" s="8">
        <v>4</v>
      </c>
      <c r="H5903" s="11">
        <v>400</v>
      </c>
      <c r="I5903" s="12">
        <v>43160</v>
      </c>
      <c r="J5903" s="35">
        <f t="shared" si="1024"/>
        <v>0</v>
      </c>
      <c r="K5903" s="36"/>
      <c r="L5903" s="36"/>
      <c r="M5903" s="36"/>
      <c r="N5903" s="36"/>
      <c r="O5903" s="36"/>
      <c r="P5903" s="36"/>
      <c r="Q5903" s="36"/>
      <c r="R5903" s="36"/>
      <c r="S5903" s="36"/>
      <c r="T5903" s="36"/>
      <c r="U5903" s="36"/>
      <c r="V5903" s="36"/>
      <c r="W5903" s="15">
        <f t="shared" si="1025"/>
        <v>0</v>
      </c>
      <c r="X5903" s="36"/>
      <c r="Y5903" s="36"/>
      <c r="Z5903" s="36"/>
      <c r="AA5903" s="36"/>
      <c r="AB5903" s="36"/>
      <c r="AC5903" s="36"/>
      <c r="AD5903" s="36"/>
      <c r="AE5903" s="36"/>
      <c r="AF5903" s="36"/>
      <c r="AG5903" s="36"/>
      <c r="AH5903" s="36"/>
      <c r="AI5903" s="36"/>
      <c r="AJ5903" s="15">
        <f t="shared" si="1026"/>
        <v>0</v>
      </c>
      <c r="AK5903" s="14"/>
      <c r="AL5903" s="14"/>
      <c r="AM5903" s="14"/>
      <c r="AN5903" s="14"/>
      <c r="AO5903" s="14"/>
      <c r="AP5903" s="14"/>
      <c r="AQ5903" s="14"/>
      <c r="AR5903" s="14"/>
      <c r="AS5903" s="14"/>
      <c r="AT5903" s="14"/>
      <c r="AU5903" s="14"/>
      <c r="AV5903" s="14"/>
      <c r="AW5903" s="15">
        <f t="shared" si="1027"/>
        <v>0</v>
      </c>
      <c r="AX5903" s="16" t="s">
        <v>5066</v>
      </c>
    </row>
    <row r="5904" spans="1:51" x14ac:dyDescent="0.2">
      <c r="B5904" s="7"/>
      <c r="C5904" s="8">
        <v>16045</v>
      </c>
      <c r="D5904" s="9" t="s">
        <v>1425</v>
      </c>
      <c r="E5904" s="10" t="str">
        <f t="shared" si="1022"/>
        <v>Rancho Upácuaro No. 55</v>
      </c>
      <c r="F5904" s="10" t="str">
        <f t="shared" si="1023"/>
        <v>Ávila</v>
      </c>
      <c r="G5904" s="8">
        <v>1</v>
      </c>
      <c r="H5904" s="11">
        <v>4800</v>
      </c>
      <c r="I5904" s="12">
        <v>43160</v>
      </c>
      <c r="J5904" s="35">
        <f t="shared" si="1024"/>
        <v>0</v>
      </c>
      <c r="K5904" s="36"/>
      <c r="L5904" s="36"/>
      <c r="M5904" s="36"/>
      <c r="N5904" s="36"/>
      <c r="O5904" s="36"/>
      <c r="P5904" s="36"/>
      <c r="Q5904" s="36"/>
      <c r="R5904" s="36"/>
      <c r="S5904" s="36"/>
      <c r="T5904" s="36"/>
      <c r="U5904" s="36"/>
      <c r="V5904" s="36"/>
      <c r="W5904" s="15">
        <f t="shared" si="1025"/>
        <v>0</v>
      </c>
      <c r="X5904" s="36">
        <v>400</v>
      </c>
      <c r="Y5904" s="36">
        <v>400</v>
      </c>
      <c r="Z5904" s="36">
        <v>400</v>
      </c>
      <c r="AA5904" s="36">
        <v>400</v>
      </c>
      <c r="AB5904" s="36">
        <v>400</v>
      </c>
      <c r="AC5904" s="36">
        <v>400</v>
      </c>
      <c r="AD5904" s="36">
        <v>400</v>
      </c>
      <c r="AE5904" s="36">
        <v>400</v>
      </c>
      <c r="AF5904" s="36">
        <v>400</v>
      </c>
      <c r="AG5904" s="36">
        <v>400</v>
      </c>
      <c r="AH5904" s="36">
        <v>400</v>
      </c>
      <c r="AI5904" s="36">
        <v>400</v>
      </c>
      <c r="AJ5904" s="15">
        <f t="shared" si="1026"/>
        <v>4800</v>
      </c>
      <c r="AK5904" s="14"/>
      <c r="AL5904" s="14"/>
      <c r="AM5904" s="14"/>
      <c r="AN5904" s="14"/>
      <c r="AO5904" s="14"/>
      <c r="AP5904" s="14"/>
      <c r="AQ5904" s="14"/>
      <c r="AR5904" s="14"/>
      <c r="AS5904" s="14"/>
      <c r="AT5904" s="14"/>
      <c r="AU5904" s="14"/>
      <c r="AV5904" s="14"/>
      <c r="AW5904" s="15">
        <f t="shared" si="1027"/>
        <v>0</v>
      </c>
      <c r="AX5904" s="16"/>
    </row>
    <row r="5905" spans="2:50" x14ac:dyDescent="0.2">
      <c r="B5905" s="7"/>
      <c r="C5905" s="8">
        <v>16046</v>
      </c>
      <c r="D5905" s="9" t="s">
        <v>491</v>
      </c>
      <c r="E5905" s="10" t="str">
        <f t="shared" ref="E5905:E5990" si="1028">IF(D5905=0,"",VLOOKUP(D5905,BASE,2,FALSE))</f>
        <v>Rancho Landero No. 70</v>
      </c>
      <c r="F5905" s="10" t="str">
        <f t="shared" ref="F5905:F5990" si="1029">IF(D5905=0,"",VLOOKUP(D5905,BASE,3,FALSE))</f>
        <v>Olguín</v>
      </c>
      <c r="G5905" s="8">
        <v>1</v>
      </c>
      <c r="H5905" s="11">
        <v>1200</v>
      </c>
      <c r="I5905" s="12">
        <v>43160</v>
      </c>
      <c r="J5905" s="35">
        <f t="shared" ref="J5905:J5990" si="1030">IF(G5905=1,SUM(W5905,AJ5905,AW5905,-H5905),0)</f>
        <v>0</v>
      </c>
      <c r="K5905" s="36"/>
      <c r="L5905" s="36"/>
      <c r="M5905" s="36"/>
      <c r="N5905" s="36"/>
      <c r="O5905" s="36"/>
      <c r="P5905" s="36"/>
      <c r="Q5905" s="36"/>
      <c r="R5905" s="36"/>
      <c r="S5905" s="36"/>
      <c r="T5905" s="36"/>
      <c r="U5905" s="36"/>
      <c r="V5905" s="36"/>
      <c r="W5905" s="15">
        <f t="shared" ref="W5905:W5990" si="1031">SUM(K5905:V5905)</f>
        <v>0</v>
      </c>
      <c r="X5905" s="36"/>
      <c r="Y5905" s="36"/>
      <c r="Z5905" s="36"/>
      <c r="AA5905" s="36"/>
      <c r="AB5905" s="36"/>
      <c r="AC5905" s="36"/>
      <c r="AD5905" s="36"/>
      <c r="AE5905" s="36"/>
      <c r="AF5905" s="36"/>
      <c r="AG5905" s="36"/>
      <c r="AH5905" s="36"/>
      <c r="AI5905" s="36"/>
      <c r="AJ5905" s="15">
        <f t="shared" ref="AJ5905:AJ5990" si="1032">SUM(X5905:AI5905)</f>
        <v>0</v>
      </c>
      <c r="AK5905" s="14">
        <v>100</v>
      </c>
      <c r="AL5905" s="14">
        <v>100</v>
      </c>
      <c r="AM5905" s="14">
        <v>100</v>
      </c>
      <c r="AN5905" s="14">
        <v>100</v>
      </c>
      <c r="AO5905" s="14">
        <v>100</v>
      </c>
      <c r="AP5905" s="14">
        <v>100</v>
      </c>
      <c r="AQ5905" s="14">
        <v>100</v>
      </c>
      <c r="AR5905" s="14">
        <v>100</v>
      </c>
      <c r="AS5905" s="14">
        <v>100</v>
      </c>
      <c r="AT5905" s="14">
        <v>100</v>
      </c>
      <c r="AU5905" s="14">
        <v>100</v>
      </c>
      <c r="AV5905" s="14">
        <v>100</v>
      </c>
      <c r="AW5905" s="15">
        <f t="shared" ref="AW5905:AW5990" si="1033">SUM(AK5905:AV5905)</f>
        <v>1200</v>
      </c>
      <c r="AX5905" s="16"/>
    </row>
    <row r="5906" spans="2:50" x14ac:dyDescent="0.2">
      <c r="B5906" s="7"/>
      <c r="C5906" s="8">
        <v>16047</v>
      </c>
      <c r="D5906" s="9"/>
      <c r="E5906" s="10" t="str">
        <f t="shared" si="1028"/>
        <v/>
      </c>
      <c r="F5906" s="10" t="str">
        <f t="shared" si="1029"/>
        <v/>
      </c>
      <c r="G5906" s="8">
        <v>8</v>
      </c>
      <c r="H5906" s="11"/>
      <c r="I5906" s="12"/>
      <c r="J5906" s="35">
        <f t="shared" si="1030"/>
        <v>0</v>
      </c>
      <c r="K5906" s="36"/>
      <c r="L5906" s="36"/>
      <c r="M5906" s="36"/>
      <c r="N5906" s="36"/>
      <c r="O5906" s="36"/>
      <c r="P5906" s="36"/>
      <c r="Q5906" s="36"/>
      <c r="R5906" s="36"/>
      <c r="S5906" s="36"/>
      <c r="T5906" s="36"/>
      <c r="U5906" s="36"/>
      <c r="V5906" s="36"/>
      <c r="W5906" s="15">
        <f t="shared" si="1031"/>
        <v>0</v>
      </c>
      <c r="X5906" s="36"/>
      <c r="Y5906" s="36"/>
      <c r="Z5906" s="36"/>
      <c r="AA5906" s="36"/>
      <c r="AB5906" s="36"/>
      <c r="AC5906" s="36"/>
      <c r="AD5906" s="36"/>
      <c r="AE5906" s="36"/>
      <c r="AF5906" s="36"/>
      <c r="AG5906" s="36"/>
      <c r="AH5906" s="36"/>
      <c r="AI5906" s="36"/>
      <c r="AJ5906" s="15">
        <f t="shared" si="1032"/>
        <v>0</v>
      </c>
      <c r="AK5906" s="14"/>
      <c r="AL5906" s="14"/>
      <c r="AM5906" s="14"/>
      <c r="AN5906" s="14"/>
      <c r="AO5906" s="14"/>
      <c r="AP5906" s="14"/>
      <c r="AQ5906" s="14"/>
      <c r="AR5906" s="14"/>
      <c r="AS5906" s="14"/>
      <c r="AT5906" s="14"/>
      <c r="AU5906" s="14"/>
      <c r="AV5906" s="14"/>
      <c r="AW5906" s="15">
        <f t="shared" si="1033"/>
        <v>0</v>
      </c>
      <c r="AX5906" s="16"/>
    </row>
    <row r="5907" spans="2:50" x14ac:dyDescent="0.2">
      <c r="B5907" s="7"/>
      <c r="C5907" s="8">
        <v>16048</v>
      </c>
      <c r="D5907" s="9" t="s">
        <v>780</v>
      </c>
      <c r="E5907" s="10" t="str">
        <f t="shared" ref="E5907:E5940" si="1034">IF(D5907=0,"",VLOOKUP(D5907,BASE,2,FALSE))</f>
        <v>Rancho Landero No. 72</v>
      </c>
      <c r="F5907" s="10" t="str">
        <f t="shared" ref="F5907:F5940" si="1035">IF(D5907=0,"",VLOOKUP(D5907,BASE,3,FALSE))</f>
        <v>Olguín</v>
      </c>
      <c r="G5907" s="8">
        <v>1</v>
      </c>
      <c r="H5907" s="11">
        <v>1200</v>
      </c>
      <c r="I5907" s="12">
        <v>43160</v>
      </c>
      <c r="J5907" s="35">
        <f t="shared" ref="J5907:J5940" si="1036">IF(G5907=1,SUM(W5907,AJ5907,AW5907,-H5907),0)</f>
        <v>0</v>
      </c>
      <c r="K5907" s="36"/>
      <c r="L5907" s="36"/>
      <c r="M5907" s="36"/>
      <c r="N5907" s="36"/>
      <c r="O5907" s="36"/>
      <c r="P5907" s="36"/>
      <c r="Q5907" s="36"/>
      <c r="R5907" s="36"/>
      <c r="S5907" s="36"/>
      <c r="T5907" s="36"/>
      <c r="U5907" s="36"/>
      <c r="V5907" s="36"/>
      <c r="W5907" s="15">
        <f t="shared" ref="W5907:W5940" si="1037">SUM(K5907:V5907)</f>
        <v>0</v>
      </c>
      <c r="X5907" s="36"/>
      <c r="Y5907" s="36"/>
      <c r="Z5907" s="36"/>
      <c r="AA5907" s="36"/>
      <c r="AB5907" s="36"/>
      <c r="AC5907" s="36"/>
      <c r="AD5907" s="36"/>
      <c r="AE5907" s="36"/>
      <c r="AF5907" s="36"/>
      <c r="AG5907" s="36"/>
      <c r="AH5907" s="36"/>
      <c r="AI5907" s="36"/>
      <c r="AJ5907" s="15">
        <f t="shared" ref="AJ5907:AJ5940" si="1038">SUM(X5907:AI5907)</f>
        <v>0</v>
      </c>
      <c r="AK5907" s="14">
        <v>100</v>
      </c>
      <c r="AL5907" s="14">
        <v>100</v>
      </c>
      <c r="AM5907" s="14">
        <v>100</v>
      </c>
      <c r="AN5907" s="14">
        <v>100</v>
      </c>
      <c r="AO5907" s="14">
        <v>100</v>
      </c>
      <c r="AP5907" s="14">
        <v>100</v>
      </c>
      <c r="AQ5907" s="14">
        <v>100</v>
      </c>
      <c r="AR5907" s="14">
        <v>100</v>
      </c>
      <c r="AS5907" s="14">
        <v>100</v>
      </c>
      <c r="AT5907" s="14">
        <v>100</v>
      </c>
      <c r="AU5907" s="14">
        <v>100</v>
      </c>
      <c r="AV5907" s="14">
        <v>100</v>
      </c>
      <c r="AW5907" s="15">
        <f t="shared" ref="AW5907:AW5940" si="1039">SUM(AK5907:AV5907)</f>
        <v>1200</v>
      </c>
      <c r="AX5907" s="16"/>
    </row>
    <row r="5908" spans="2:50" x14ac:dyDescent="0.2">
      <c r="B5908" s="7"/>
      <c r="C5908" s="8">
        <v>16049</v>
      </c>
      <c r="D5908" s="9" t="s">
        <v>777</v>
      </c>
      <c r="E5908" s="10" t="str">
        <f t="shared" si="1034"/>
        <v>Rancho Zinamba No. 76</v>
      </c>
      <c r="F5908" s="10" t="str">
        <f t="shared" si="1035"/>
        <v>Márquez</v>
      </c>
      <c r="G5908" s="8">
        <v>1</v>
      </c>
      <c r="H5908" s="11">
        <v>4400</v>
      </c>
      <c r="I5908" s="12">
        <v>43160</v>
      </c>
      <c r="J5908" s="35">
        <f t="shared" si="1036"/>
        <v>0</v>
      </c>
      <c r="K5908" s="36"/>
      <c r="L5908" s="36"/>
      <c r="M5908" s="36"/>
      <c r="N5908" s="36"/>
      <c r="O5908" s="36"/>
      <c r="P5908" s="36"/>
      <c r="Q5908" s="36"/>
      <c r="R5908" s="36"/>
      <c r="S5908" s="36"/>
      <c r="T5908" s="36"/>
      <c r="U5908" s="36"/>
      <c r="V5908" s="36"/>
      <c r="W5908" s="15">
        <f t="shared" si="1037"/>
        <v>0</v>
      </c>
      <c r="X5908" s="36"/>
      <c r="Y5908" s="36"/>
      <c r="Z5908" s="36"/>
      <c r="AA5908" s="36"/>
      <c r="AB5908" s="36"/>
      <c r="AC5908" s="36"/>
      <c r="AD5908" s="36"/>
      <c r="AE5908" s="36"/>
      <c r="AF5908" s="36"/>
      <c r="AG5908" s="36"/>
      <c r="AH5908" s="36"/>
      <c r="AI5908" s="36"/>
      <c r="AJ5908" s="15">
        <f t="shared" si="1038"/>
        <v>0</v>
      </c>
      <c r="AK5908" s="14">
        <v>400</v>
      </c>
      <c r="AL5908" s="14">
        <v>400</v>
      </c>
      <c r="AM5908" s="14">
        <v>400</v>
      </c>
      <c r="AN5908" s="14">
        <v>400</v>
      </c>
      <c r="AO5908" s="14">
        <v>400</v>
      </c>
      <c r="AP5908" s="14">
        <v>400</v>
      </c>
      <c r="AQ5908" s="14">
        <v>400</v>
      </c>
      <c r="AR5908" s="14">
        <v>400</v>
      </c>
      <c r="AS5908" s="14">
        <v>400</v>
      </c>
      <c r="AT5908" s="14">
        <v>400</v>
      </c>
      <c r="AU5908" s="14">
        <v>400</v>
      </c>
      <c r="AV5908" s="14"/>
      <c r="AW5908" s="15">
        <f t="shared" si="1039"/>
        <v>4400</v>
      </c>
      <c r="AX5908" s="16" t="s">
        <v>4905</v>
      </c>
    </row>
    <row r="5909" spans="2:50" x14ac:dyDescent="0.2">
      <c r="B5909" s="7"/>
      <c r="C5909" s="8">
        <v>16050</v>
      </c>
      <c r="D5909" s="9" t="s">
        <v>837</v>
      </c>
      <c r="E5909" s="10" t="str">
        <f t="shared" si="1034"/>
        <v>Rancho Estanzuela No. 67</v>
      </c>
      <c r="F5909" s="10" t="str">
        <f t="shared" si="1035"/>
        <v>Carmona Galarza</v>
      </c>
      <c r="G5909" s="8">
        <v>1</v>
      </c>
      <c r="H5909" s="11">
        <v>1200</v>
      </c>
      <c r="I5909" s="12">
        <v>43160</v>
      </c>
      <c r="J5909" s="35">
        <f t="shared" si="1036"/>
        <v>0</v>
      </c>
      <c r="K5909" s="36"/>
      <c r="L5909" s="36"/>
      <c r="M5909" s="36"/>
      <c r="N5909" s="36"/>
      <c r="O5909" s="36"/>
      <c r="P5909" s="36"/>
      <c r="Q5909" s="36"/>
      <c r="R5909" s="36"/>
      <c r="S5909" s="36"/>
      <c r="T5909" s="36"/>
      <c r="U5909" s="36"/>
      <c r="V5909" s="36"/>
      <c r="W5909" s="15">
        <f t="shared" si="1037"/>
        <v>0</v>
      </c>
      <c r="X5909" s="36"/>
      <c r="Y5909" s="36"/>
      <c r="Z5909" s="36"/>
      <c r="AA5909" s="36"/>
      <c r="AB5909" s="36"/>
      <c r="AC5909" s="36"/>
      <c r="AD5909" s="36"/>
      <c r="AE5909" s="36"/>
      <c r="AF5909" s="36"/>
      <c r="AG5909" s="36"/>
      <c r="AH5909" s="36"/>
      <c r="AI5909" s="36"/>
      <c r="AJ5909" s="15">
        <f t="shared" si="1038"/>
        <v>0</v>
      </c>
      <c r="AK5909" s="14">
        <v>400</v>
      </c>
      <c r="AL5909" s="14">
        <v>400</v>
      </c>
      <c r="AM5909" s="14">
        <v>400</v>
      </c>
      <c r="AN5909" s="14"/>
      <c r="AO5909" s="14"/>
      <c r="AP5909" s="14"/>
      <c r="AQ5909" s="14"/>
      <c r="AR5909" s="14"/>
      <c r="AS5909" s="14"/>
      <c r="AT5909" s="14"/>
      <c r="AU5909" s="14"/>
      <c r="AV5909" s="14"/>
      <c r="AW5909" s="15">
        <f t="shared" si="1039"/>
        <v>1200</v>
      </c>
      <c r="AX5909" s="16"/>
    </row>
    <row r="5910" spans="2:50" x14ac:dyDescent="0.2">
      <c r="B5910" s="7"/>
      <c r="C5910" s="8">
        <v>16051</v>
      </c>
      <c r="D5910" s="9"/>
      <c r="E5910" s="10" t="str">
        <f t="shared" si="1034"/>
        <v/>
      </c>
      <c r="F5910" s="10" t="str">
        <f t="shared" si="1035"/>
        <v/>
      </c>
      <c r="G5910" s="8">
        <v>8</v>
      </c>
      <c r="H5910" s="11"/>
      <c r="I5910" s="12"/>
      <c r="J5910" s="35">
        <f t="shared" si="1036"/>
        <v>0</v>
      </c>
      <c r="K5910" s="36"/>
      <c r="L5910" s="36"/>
      <c r="M5910" s="36"/>
      <c r="N5910" s="36"/>
      <c r="O5910" s="36"/>
      <c r="P5910" s="36"/>
      <c r="Q5910" s="36"/>
      <c r="R5910" s="36"/>
      <c r="S5910" s="36"/>
      <c r="T5910" s="36"/>
      <c r="U5910" s="36"/>
      <c r="V5910" s="36"/>
      <c r="W5910" s="15">
        <f t="shared" si="1037"/>
        <v>0</v>
      </c>
      <c r="X5910" s="36"/>
      <c r="Y5910" s="36"/>
      <c r="Z5910" s="36"/>
      <c r="AA5910" s="36"/>
      <c r="AB5910" s="36"/>
      <c r="AC5910" s="36"/>
      <c r="AD5910" s="36"/>
      <c r="AE5910" s="36"/>
      <c r="AF5910" s="36"/>
      <c r="AG5910" s="36"/>
      <c r="AH5910" s="36"/>
      <c r="AI5910" s="36"/>
      <c r="AJ5910" s="15">
        <f t="shared" si="1038"/>
        <v>0</v>
      </c>
      <c r="AK5910" s="14"/>
      <c r="AL5910" s="14"/>
      <c r="AM5910" s="14"/>
      <c r="AN5910" s="14"/>
      <c r="AO5910" s="14"/>
      <c r="AP5910" s="14"/>
      <c r="AQ5910" s="14"/>
      <c r="AR5910" s="14"/>
      <c r="AS5910" s="14"/>
      <c r="AT5910" s="14"/>
      <c r="AU5910" s="14"/>
      <c r="AV5910" s="14"/>
      <c r="AW5910" s="15">
        <f t="shared" si="1039"/>
        <v>0</v>
      </c>
      <c r="AX5910" s="16"/>
    </row>
    <row r="5911" spans="2:50" x14ac:dyDescent="0.2">
      <c r="B5911" s="7"/>
      <c r="C5911" s="8">
        <v>16052</v>
      </c>
      <c r="D5911" s="9" t="s">
        <v>1364</v>
      </c>
      <c r="E5911" s="10" t="str">
        <f t="shared" si="1034"/>
        <v>Calzada del Hueso No. 828</v>
      </c>
      <c r="F5911" s="10" t="str">
        <f t="shared" si="1035"/>
        <v>Cervantes, Miguel</v>
      </c>
      <c r="G5911" s="8">
        <v>5</v>
      </c>
      <c r="H5911" s="11">
        <v>100</v>
      </c>
      <c r="I5911" s="12">
        <v>43160</v>
      </c>
      <c r="J5911" s="35">
        <f t="shared" si="1036"/>
        <v>0</v>
      </c>
      <c r="K5911" s="36"/>
      <c r="L5911" s="36"/>
      <c r="M5911" s="36"/>
      <c r="N5911" s="36"/>
      <c r="O5911" s="36"/>
      <c r="P5911" s="36"/>
      <c r="Q5911" s="36"/>
      <c r="R5911" s="36"/>
      <c r="S5911" s="36"/>
      <c r="T5911" s="36"/>
      <c r="U5911" s="36"/>
      <c r="V5911" s="36"/>
      <c r="W5911" s="15">
        <f t="shared" si="1037"/>
        <v>0</v>
      </c>
      <c r="X5911" s="36"/>
      <c r="Y5911" s="36"/>
      <c r="Z5911" s="36"/>
      <c r="AA5911" s="36"/>
      <c r="AB5911" s="36"/>
      <c r="AC5911" s="36"/>
      <c r="AD5911" s="36"/>
      <c r="AE5911" s="36"/>
      <c r="AF5911" s="36"/>
      <c r="AG5911" s="36"/>
      <c r="AH5911" s="36"/>
      <c r="AI5911" s="36"/>
      <c r="AJ5911" s="15">
        <f t="shared" si="1038"/>
        <v>0</v>
      </c>
      <c r="AK5911" s="14"/>
      <c r="AL5911" s="14"/>
      <c r="AM5911" s="14"/>
      <c r="AN5911" s="14"/>
      <c r="AO5911" s="14"/>
      <c r="AP5911" s="14"/>
      <c r="AQ5911" s="14"/>
      <c r="AR5911" s="14"/>
      <c r="AS5911" s="14"/>
      <c r="AT5911" s="14"/>
      <c r="AU5911" s="14"/>
      <c r="AV5911" s="14"/>
      <c r="AW5911" s="15">
        <f t="shared" si="1039"/>
        <v>0</v>
      </c>
      <c r="AX5911" s="16"/>
    </row>
    <row r="5912" spans="2:50" x14ac:dyDescent="0.2">
      <c r="B5912" s="7"/>
      <c r="C5912" s="8">
        <v>16053</v>
      </c>
      <c r="D5912" s="9" t="s">
        <v>1119</v>
      </c>
      <c r="E5912" s="10" t="str">
        <f t="shared" si="1034"/>
        <v>Calzada del Hueso No. 840_2</v>
      </c>
      <c r="F5912" s="10" t="str">
        <f t="shared" si="1035"/>
        <v>Moto Space</v>
      </c>
      <c r="G5912" s="8">
        <v>1</v>
      </c>
      <c r="H5912" s="11">
        <v>600</v>
      </c>
      <c r="I5912" s="12">
        <v>43160</v>
      </c>
      <c r="J5912" s="35">
        <f t="shared" si="1036"/>
        <v>0</v>
      </c>
      <c r="K5912" s="36"/>
      <c r="L5912" s="36"/>
      <c r="M5912" s="36"/>
      <c r="N5912" s="36"/>
      <c r="O5912" s="36"/>
      <c r="P5912" s="36"/>
      <c r="Q5912" s="36"/>
      <c r="R5912" s="36"/>
      <c r="S5912" s="36"/>
      <c r="T5912" s="36"/>
      <c r="U5912" s="36"/>
      <c r="V5912" s="36"/>
      <c r="W5912" s="15">
        <f t="shared" si="1037"/>
        <v>0</v>
      </c>
      <c r="X5912" s="36"/>
      <c r="Y5912" s="36"/>
      <c r="Z5912" s="36"/>
      <c r="AA5912" s="36"/>
      <c r="AB5912" s="36">
        <v>150</v>
      </c>
      <c r="AC5912" s="36">
        <v>150</v>
      </c>
      <c r="AD5912" s="36">
        <v>150</v>
      </c>
      <c r="AE5912" s="36">
        <v>150</v>
      </c>
      <c r="AF5912" s="36"/>
      <c r="AG5912" s="36"/>
      <c r="AH5912" s="36"/>
      <c r="AI5912" s="36"/>
      <c r="AJ5912" s="15">
        <f t="shared" si="1038"/>
        <v>600</v>
      </c>
      <c r="AK5912" s="14"/>
      <c r="AL5912" s="14"/>
      <c r="AM5912" s="14"/>
      <c r="AN5912" s="14"/>
      <c r="AO5912" s="14"/>
      <c r="AP5912" s="14"/>
      <c r="AQ5912" s="14"/>
      <c r="AR5912" s="14"/>
      <c r="AS5912" s="14"/>
      <c r="AT5912" s="14"/>
      <c r="AU5912" s="14"/>
      <c r="AV5912" s="14"/>
      <c r="AW5912" s="15">
        <f t="shared" si="1039"/>
        <v>0</v>
      </c>
      <c r="AX5912" s="16"/>
    </row>
    <row r="5913" spans="2:50" x14ac:dyDescent="0.2">
      <c r="B5913" s="7"/>
      <c r="C5913" s="8">
        <v>16054</v>
      </c>
      <c r="D5913" s="9" t="s">
        <v>777</v>
      </c>
      <c r="E5913" s="10" t="str">
        <f t="shared" si="1034"/>
        <v>Rancho Zinamba No. 76</v>
      </c>
      <c r="F5913" s="10" t="str">
        <f t="shared" si="1035"/>
        <v>Márquez</v>
      </c>
      <c r="G5913" s="8">
        <v>7</v>
      </c>
      <c r="H5913" s="11">
        <v>50</v>
      </c>
      <c r="I5913" s="12">
        <v>43132</v>
      </c>
      <c r="J5913" s="35">
        <f t="shared" si="1036"/>
        <v>0</v>
      </c>
      <c r="K5913" s="36"/>
      <c r="L5913" s="36"/>
      <c r="M5913" s="36"/>
      <c r="N5913" s="36"/>
      <c r="O5913" s="36"/>
      <c r="P5913" s="36"/>
      <c r="Q5913" s="36"/>
      <c r="R5913" s="36"/>
      <c r="S5913" s="36"/>
      <c r="T5913" s="36"/>
      <c r="U5913" s="36"/>
      <c r="V5913" s="36"/>
      <c r="W5913" s="15">
        <f t="shared" si="1037"/>
        <v>0</v>
      </c>
      <c r="X5913" s="36"/>
      <c r="Y5913" s="36"/>
      <c r="Z5913" s="36"/>
      <c r="AA5913" s="36"/>
      <c r="AB5913" s="36"/>
      <c r="AC5913" s="36"/>
      <c r="AD5913" s="36"/>
      <c r="AE5913" s="36"/>
      <c r="AF5913" s="36"/>
      <c r="AG5913" s="36"/>
      <c r="AH5913" s="36"/>
      <c r="AI5913" s="36"/>
      <c r="AJ5913" s="15">
        <f t="shared" si="1038"/>
        <v>0</v>
      </c>
      <c r="AK5913" s="14"/>
      <c r="AL5913" s="14"/>
      <c r="AM5913" s="14"/>
      <c r="AN5913" s="14"/>
      <c r="AO5913" s="14"/>
      <c r="AP5913" s="14"/>
      <c r="AQ5913" s="14"/>
      <c r="AR5913" s="14"/>
      <c r="AS5913" s="14"/>
      <c r="AT5913" s="14"/>
      <c r="AU5913" s="14"/>
      <c r="AV5913" s="14"/>
      <c r="AW5913" s="15">
        <f t="shared" si="1039"/>
        <v>0</v>
      </c>
      <c r="AX5913" s="16" t="s">
        <v>5067</v>
      </c>
    </row>
    <row r="5914" spans="2:50" x14ac:dyDescent="0.2">
      <c r="B5914" s="7"/>
      <c r="C5914" s="8">
        <v>16055</v>
      </c>
      <c r="D5914" s="9" t="s">
        <v>183</v>
      </c>
      <c r="E5914" s="10" t="str">
        <f t="shared" si="1034"/>
        <v>Rancho La Cuchilla No. 54</v>
      </c>
      <c r="F5914" s="10" t="str">
        <f t="shared" si="1035"/>
        <v>Mendoza León</v>
      </c>
      <c r="G5914" s="8">
        <v>1</v>
      </c>
      <c r="H5914" s="11">
        <v>400</v>
      </c>
      <c r="I5914" s="12">
        <v>43161</v>
      </c>
      <c r="J5914" s="35">
        <f t="shared" si="1036"/>
        <v>0</v>
      </c>
      <c r="K5914" s="36"/>
      <c r="L5914" s="36"/>
      <c r="M5914" s="36"/>
      <c r="N5914" s="36"/>
      <c r="O5914" s="36"/>
      <c r="P5914" s="36"/>
      <c r="Q5914" s="36"/>
      <c r="R5914" s="36"/>
      <c r="S5914" s="36"/>
      <c r="T5914" s="36"/>
      <c r="U5914" s="36"/>
      <c r="V5914" s="36"/>
      <c r="W5914" s="15">
        <f t="shared" si="1037"/>
        <v>0</v>
      </c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15">
        <f t="shared" si="1038"/>
        <v>0</v>
      </c>
      <c r="AK5914" s="14">
        <v>400</v>
      </c>
      <c r="AL5914" s="14"/>
      <c r="AM5914" s="14"/>
      <c r="AN5914" s="14"/>
      <c r="AO5914" s="14"/>
      <c r="AP5914" s="14"/>
      <c r="AQ5914" s="14"/>
      <c r="AR5914" s="14"/>
      <c r="AS5914" s="14"/>
      <c r="AT5914" s="14"/>
      <c r="AU5914" s="14"/>
      <c r="AV5914" s="14"/>
      <c r="AW5914" s="15">
        <f t="shared" si="1039"/>
        <v>400</v>
      </c>
      <c r="AX5914" s="16"/>
    </row>
    <row r="5915" spans="2:50" x14ac:dyDescent="0.2">
      <c r="B5915" s="7"/>
      <c r="C5915" s="8">
        <v>16056</v>
      </c>
      <c r="D5915" s="9" t="s">
        <v>909</v>
      </c>
      <c r="E5915" s="10" t="str">
        <f t="shared" si="1034"/>
        <v>Rancho La Cuchilla No. 44</v>
      </c>
      <c r="F5915" s="10" t="str">
        <f t="shared" si="1035"/>
        <v>García Osorio</v>
      </c>
      <c r="G5915" s="8">
        <v>1</v>
      </c>
      <c r="H5915" s="11">
        <v>350</v>
      </c>
      <c r="I5915" s="12">
        <v>43163</v>
      </c>
      <c r="J5915" s="35">
        <f t="shared" si="1036"/>
        <v>0</v>
      </c>
      <c r="K5915" s="36"/>
      <c r="L5915" s="36"/>
      <c r="M5915" s="36"/>
      <c r="N5915" s="36"/>
      <c r="O5915" s="36"/>
      <c r="P5915" s="36"/>
      <c r="Q5915" s="36"/>
      <c r="R5915" s="36"/>
      <c r="S5915" s="36"/>
      <c r="T5915" s="36"/>
      <c r="U5915" s="36"/>
      <c r="V5915" s="36"/>
      <c r="W5915" s="15">
        <f t="shared" si="1037"/>
        <v>0</v>
      </c>
      <c r="X5915" s="36"/>
      <c r="Y5915" s="36"/>
      <c r="Z5915" s="36"/>
      <c r="AA5915" s="36"/>
      <c r="AB5915" s="36"/>
      <c r="AC5915" s="36"/>
      <c r="AD5915" s="36"/>
      <c r="AE5915" s="36"/>
      <c r="AF5915" s="36"/>
      <c r="AG5915" s="36"/>
      <c r="AH5915" s="36"/>
      <c r="AI5915" s="36"/>
      <c r="AJ5915" s="15">
        <f t="shared" si="1038"/>
        <v>0</v>
      </c>
      <c r="AK5915" s="14"/>
      <c r="AL5915" s="14"/>
      <c r="AM5915" s="14">
        <v>350</v>
      </c>
      <c r="AN5915" s="14"/>
      <c r="AO5915" s="14"/>
      <c r="AP5915" s="14"/>
      <c r="AQ5915" s="14"/>
      <c r="AR5915" s="14"/>
      <c r="AS5915" s="14"/>
      <c r="AT5915" s="14"/>
      <c r="AU5915" s="14"/>
      <c r="AV5915" s="14"/>
      <c r="AW5915" s="15">
        <f t="shared" si="1039"/>
        <v>350</v>
      </c>
      <c r="AX5915" s="16"/>
    </row>
    <row r="5916" spans="2:50" x14ac:dyDescent="0.2">
      <c r="B5916" s="7"/>
      <c r="C5916" s="8">
        <v>16056</v>
      </c>
      <c r="D5916" s="9" t="s">
        <v>909</v>
      </c>
      <c r="E5916" s="10" t="str">
        <f t="shared" si="1034"/>
        <v>Rancho La Cuchilla No. 44</v>
      </c>
      <c r="F5916" s="10" t="str">
        <f t="shared" si="1035"/>
        <v>García Osorio</v>
      </c>
      <c r="G5916" s="8">
        <v>5</v>
      </c>
      <c r="H5916" s="11">
        <v>50</v>
      </c>
      <c r="I5916" s="12">
        <v>43163</v>
      </c>
      <c r="J5916" s="35">
        <f t="shared" si="1036"/>
        <v>0</v>
      </c>
      <c r="K5916" s="36"/>
      <c r="L5916" s="36"/>
      <c r="M5916" s="36"/>
      <c r="N5916" s="36"/>
      <c r="O5916" s="36"/>
      <c r="P5916" s="36"/>
      <c r="Q5916" s="36"/>
      <c r="R5916" s="36"/>
      <c r="S5916" s="36"/>
      <c r="T5916" s="36"/>
      <c r="U5916" s="36"/>
      <c r="V5916" s="36"/>
      <c r="W5916" s="15">
        <f t="shared" si="1037"/>
        <v>0</v>
      </c>
      <c r="X5916" s="36"/>
      <c r="Y5916" s="36"/>
      <c r="Z5916" s="36"/>
      <c r="AA5916" s="36"/>
      <c r="AB5916" s="36"/>
      <c r="AC5916" s="36"/>
      <c r="AD5916" s="36"/>
      <c r="AE5916" s="36"/>
      <c r="AF5916" s="36"/>
      <c r="AG5916" s="36"/>
      <c r="AH5916" s="36"/>
      <c r="AI5916" s="36"/>
      <c r="AJ5916" s="15">
        <f t="shared" si="1038"/>
        <v>0</v>
      </c>
      <c r="AK5916" s="14"/>
      <c r="AL5916" s="14"/>
      <c r="AM5916" s="14"/>
      <c r="AN5916" s="14"/>
      <c r="AO5916" s="14"/>
      <c r="AP5916" s="14"/>
      <c r="AQ5916" s="14"/>
      <c r="AR5916" s="14"/>
      <c r="AS5916" s="14"/>
      <c r="AT5916" s="14"/>
      <c r="AU5916" s="14"/>
      <c r="AV5916" s="14"/>
      <c r="AW5916" s="15">
        <f t="shared" si="1039"/>
        <v>0</v>
      </c>
      <c r="AX5916" s="16"/>
    </row>
    <row r="5917" spans="2:50" x14ac:dyDescent="0.2">
      <c r="B5917" s="7"/>
      <c r="C5917" s="8">
        <v>16057</v>
      </c>
      <c r="D5917" s="9" t="s">
        <v>1260</v>
      </c>
      <c r="E5917" s="10" t="str">
        <f t="shared" si="1034"/>
        <v>Rancho La Cuchilla No. 11</v>
      </c>
      <c r="F5917" s="10" t="str">
        <f t="shared" si="1035"/>
        <v>Santiago</v>
      </c>
      <c r="G5917" s="8">
        <v>5</v>
      </c>
      <c r="H5917" s="11">
        <v>200</v>
      </c>
      <c r="I5917" s="12">
        <v>43163</v>
      </c>
      <c r="J5917" s="35">
        <f t="shared" si="1036"/>
        <v>0</v>
      </c>
      <c r="K5917" s="36"/>
      <c r="L5917" s="36"/>
      <c r="M5917" s="36"/>
      <c r="N5917" s="36"/>
      <c r="O5917" s="36"/>
      <c r="P5917" s="36"/>
      <c r="Q5917" s="36"/>
      <c r="R5917" s="36"/>
      <c r="S5917" s="36"/>
      <c r="T5917" s="36"/>
      <c r="U5917" s="36"/>
      <c r="V5917" s="36"/>
      <c r="W5917" s="15">
        <f t="shared" si="1037"/>
        <v>0</v>
      </c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15">
        <f t="shared" si="1038"/>
        <v>0</v>
      </c>
      <c r="AK5917" s="14"/>
      <c r="AL5917" s="14"/>
      <c r="AM5917" s="14"/>
      <c r="AN5917" s="14"/>
      <c r="AO5917" s="14"/>
      <c r="AP5917" s="14"/>
      <c r="AQ5917" s="14"/>
      <c r="AR5917" s="14"/>
      <c r="AS5917" s="14"/>
      <c r="AT5917" s="14"/>
      <c r="AU5917" s="14"/>
      <c r="AV5917" s="14"/>
      <c r="AW5917" s="15">
        <f t="shared" si="1039"/>
        <v>0</v>
      </c>
      <c r="AX5917" s="16"/>
    </row>
    <row r="5918" spans="2:50" x14ac:dyDescent="0.2">
      <c r="B5918" s="7"/>
      <c r="C5918" s="8">
        <v>16058</v>
      </c>
      <c r="D5918" s="9" t="s">
        <v>684</v>
      </c>
      <c r="E5918" s="10" t="str">
        <f t="shared" si="1034"/>
        <v>Rancho Landero No. 65</v>
      </c>
      <c r="F5918" s="10" t="str">
        <f t="shared" si="1035"/>
        <v>Alpizar</v>
      </c>
      <c r="G5918" s="8">
        <v>1</v>
      </c>
      <c r="H5918" s="11">
        <v>800</v>
      </c>
      <c r="I5918" s="12">
        <v>43163</v>
      </c>
      <c r="J5918" s="35">
        <f t="shared" si="1036"/>
        <v>0</v>
      </c>
      <c r="K5918" s="36"/>
      <c r="L5918" s="36"/>
      <c r="M5918" s="36"/>
      <c r="N5918" s="36"/>
      <c r="O5918" s="36"/>
      <c r="P5918" s="36"/>
      <c r="Q5918" s="36"/>
      <c r="R5918" s="36"/>
      <c r="S5918" s="36"/>
      <c r="T5918" s="36"/>
      <c r="U5918" s="36"/>
      <c r="V5918" s="36"/>
      <c r="W5918" s="15">
        <f t="shared" si="1037"/>
        <v>0</v>
      </c>
      <c r="X5918" s="36"/>
      <c r="Y5918" s="36"/>
      <c r="Z5918" s="36"/>
      <c r="AA5918" s="36"/>
      <c r="AB5918" s="36"/>
      <c r="AC5918" s="36"/>
      <c r="AD5918" s="36"/>
      <c r="AE5918" s="36"/>
      <c r="AF5918" s="36"/>
      <c r="AG5918" s="36"/>
      <c r="AH5918" s="36"/>
      <c r="AI5918" s="36"/>
      <c r="AJ5918" s="15">
        <f t="shared" si="1038"/>
        <v>0</v>
      </c>
      <c r="AK5918" s="14"/>
      <c r="AL5918" s="14">
        <v>400</v>
      </c>
      <c r="AM5918" s="14">
        <v>400</v>
      </c>
      <c r="AN5918" s="14"/>
      <c r="AO5918" s="14"/>
      <c r="AP5918" s="14"/>
      <c r="AQ5918" s="14"/>
      <c r="AR5918" s="14"/>
      <c r="AS5918" s="14"/>
      <c r="AT5918" s="14"/>
      <c r="AU5918" s="14"/>
      <c r="AV5918" s="14"/>
      <c r="AW5918" s="15">
        <f t="shared" si="1039"/>
        <v>800</v>
      </c>
      <c r="AX5918" s="16"/>
    </row>
    <row r="5919" spans="2:50" x14ac:dyDescent="0.2">
      <c r="B5919" s="7"/>
      <c r="C5919" s="8">
        <v>16059</v>
      </c>
      <c r="D5919" s="9" t="s">
        <v>820</v>
      </c>
      <c r="E5919" s="10" t="str">
        <f t="shared" si="1034"/>
        <v>Rancho Zinamba No. 84</v>
      </c>
      <c r="F5919" s="10" t="str">
        <f t="shared" si="1035"/>
        <v>Lobato</v>
      </c>
      <c r="G5919" s="8">
        <v>1</v>
      </c>
      <c r="H5919" s="11">
        <v>300</v>
      </c>
      <c r="I5919" s="12">
        <v>43163</v>
      </c>
      <c r="J5919" s="35">
        <f t="shared" si="1036"/>
        <v>0</v>
      </c>
      <c r="K5919" s="36"/>
      <c r="L5919" s="36"/>
      <c r="M5919" s="36"/>
      <c r="N5919" s="36"/>
      <c r="O5919" s="36"/>
      <c r="P5919" s="36"/>
      <c r="Q5919" s="36"/>
      <c r="R5919" s="36"/>
      <c r="S5919" s="36"/>
      <c r="T5919" s="36"/>
      <c r="U5919" s="36"/>
      <c r="V5919" s="36"/>
      <c r="W5919" s="15">
        <f t="shared" si="1037"/>
        <v>0</v>
      </c>
      <c r="X5919" s="36"/>
      <c r="Y5919" s="36"/>
      <c r="Z5919" s="36"/>
      <c r="AA5919" s="36"/>
      <c r="AB5919" s="36"/>
      <c r="AC5919" s="36"/>
      <c r="AD5919" s="36"/>
      <c r="AE5919" s="36"/>
      <c r="AF5919" s="36"/>
      <c r="AG5919" s="36"/>
      <c r="AH5919" s="36"/>
      <c r="AI5919" s="36"/>
      <c r="AJ5919" s="15">
        <f t="shared" si="1038"/>
        <v>0</v>
      </c>
      <c r="AK5919" s="14"/>
      <c r="AL5919" s="14">
        <v>300</v>
      </c>
      <c r="AM5919" s="14"/>
      <c r="AN5919" s="14"/>
      <c r="AO5919" s="14"/>
      <c r="AP5919" s="14"/>
      <c r="AQ5919" s="14"/>
      <c r="AR5919" s="14"/>
      <c r="AS5919" s="14"/>
      <c r="AT5919" s="14"/>
      <c r="AU5919" s="14"/>
      <c r="AV5919" s="14"/>
      <c r="AW5919" s="15">
        <f t="shared" si="1039"/>
        <v>300</v>
      </c>
      <c r="AX5919" s="16"/>
    </row>
    <row r="5920" spans="2:50" x14ac:dyDescent="0.2">
      <c r="B5920" s="7"/>
      <c r="C5920" s="8">
        <v>16060</v>
      </c>
      <c r="D5920" s="9" t="s">
        <v>97</v>
      </c>
      <c r="E5920" s="10" t="str">
        <f t="shared" si="1034"/>
        <v>Rancho La Cuchilla No. 78</v>
      </c>
      <c r="F5920" s="10" t="str">
        <f t="shared" si="1035"/>
        <v>García</v>
      </c>
      <c r="G5920" s="8">
        <v>1</v>
      </c>
      <c r="H5920" s="11">
        <v>400</v>
      </c>
      <c r="I5920" s="12">
        <v>43163</v>
      </c>
      <c r="J5920" s="35">
        <f t="shared" si="1036"/>
        <v>0</v>
      </c>
      <c r="K5920" s="36"/>
      <c r="L5920" s="36"/>
      <c r="M5920" s="36"/>
      <c r="N5920" s="36"/>
      <c r="O5920" s="36"/>
      <c r="P5920" s="36"/>
      <c r="Q5920" s="36"/>
      <c r="R5920" s="36"/>
      <c r="S5920" s="36"/>
      <c r="T5920" s="36"/>
      <c r="U5920" s="36"/>
      <c r="V5920" s="36"/>
      <c r="W5920" s="15">
        <f t="shared" si="1037"/>
        <v>0</v>
      </c>
      <c r="X5920" s="36"/>
      <c r="Y5920" s="36"/>
      <c r="Z5920" s="36"/>
      <c r="AA5920" s="36"/>
      <c r="AB5920" s="36"/>
      <c r="AC5920" s="36"/>
      <c r="AD5920" s="36"/>
      <c r="AE5920" s="36"/>
      <c r="AF5920" s="36"/>
      <c r="AG5920" s="36"/>
      <c r="AH5920" s="36"/>
      <c r="AI5920" s="36"/>
      <c r="AJ5920" s="15">
        <f t="shared" si="1038"/>
        <v>0</v>
      </c>
      <c r="AK5920" s="14"/>
      <c r="AL5920" s="14"/>
      <c r="AM5920" s="14">
        <v>400</v>
      </c>
      <c r="AN5920" s="14"/>
      <c r="AO5920" s="14"/>
      <c r="AP5920" s="14"/>
      <c r="AQ5920" s="14"/>
      <c r="AR5920" s="14"/>
      <c r="AS5920" s="14"/>
      <c r="AT5920" s="14"/>
      <c r="AU5920" s="14"/>
      <c r="AV5920" s="14"/>
      <c r="AW5920" s="15">
        <f t="shared" si="1039"/>
        <v>400</v>
      </c>
      <c r="AX5920" s="16"/>
    </row>
    <row r="5921" spans="2:50" x14ac:dyDescent="0.2">
      <c r="B5921" s="7"/>
      <c r="C5921" s="8">
        <v>16061</v>
      </c>
      <c r="D5921" s="9" t="s">
        <v>794</v>
      </c>
      <c r="E5921" s="10" t="str">
        <f t="shared" si="1034"/>
        <v>Rancho Landero No. 18</v>
      </c>
      <c r="F5921" s="10" t="str">
        <f t="shared" si="1035"/>
        <v>Rosado</v>
      </c>
      <c r="G5921" s="8">
        <v>1</v>
      </c>
      <c r="H5921" s="11">
        <v>300</v>
      </c>
      <c r="I5921" s="12">
        <v>43163</v>
      </c>
      <c r="J5921" s="35">
        <f t="shared" si="1036"/>
        <v>0</v>
      </c>
      <c r="K5921" s="36"/>
      <c r="L5921" s="36"/>
      <c r="M5921" s="36"/>
      <c r="N5921" s="36"/>
      <c r="O5921" s="36"/>
      <c r="P5921" s="36"/>
      <c r="Q5921" s="36"/>
      <c r="R5921" s="36"/>
      <c r="S5921" s="36"/>
      <c r="T5921" s="36"/>
      <c r="U5921" s="36"/>
      <c r="V5921" s="36"/>
      <c r="W5921" s="15">
        <f t="shared" si="1037"/>
        <v>0</v>
      </c>
      <c r="X5921" s="36"/>
      <c r="Y5921" s="36"/>
      <c r="Z5921" s="36"/>
      <c r="AA5921" s="36"/>
      <c r="AB5921" s="36"/>
      <c r="AC5921" s="36"/>
      <c r="AD5921" s="36"/>
      <c r="AE5921" s="36"/>
      <c r="AF5921" s="36"/>
      <c r="AG5921" s="36"/>
      <c r="AH5921" s="36"/>
      <c r="AI5921" s="36"/>
      <c r="AJ5921" s="15">
        <f t="shared" si="1038"/>
        <v>0</v>
      </c>
      <c r="AK5921" s="14"/>
      <c r="AL5921" s="14">
        <v>300</v>
      </c>
      <c r="AM5921" s="14"/>
      <c r="AN5921" s="14"/>
      <c r="AO5921" s="14"/>
      <c r="AP5921" s="14"/>
      <c r="AQ5921" s="14"/>
      <c r="AR5921" s="14"/>
      <c r="AS5921" s="14"/>
      <c r="AT5921" s="14"/>
      <c r="AU5921" s="14"/>
      <c r="AV5921" s="14"/>
      <c r="AW5921" s="15">
        <f t="shared" si="1039"/>
        <v>300</v>
      </c>
      <c r="AX5921" s="16"/>
    </row>
    <row r="5922" spans="2:50" x14ac:dyDescent="0.2">
      <c r="B5922" s="7"/>
      <c r="C5922" s="8">
        <v>16062</v>
      </c>
      <c r="D5922" s="9" t="s">
        <v>1425</v>
      </c>
      <c r="E5922" s="10" t="str">
        <f t="shared" si="1034"/>
        <v>Rancho Upácuaro No. 55</v>
      </c>
      <c r="F5922" s="10" t="str">
        <f t="shared" si="1035"/>
        <v>Ávila</v>
      </c>
      <c r="G5922" s="8">
        <v>5</v>
      </c>
      <c r="H5922" s="11">
        <v>100</v>
      </c>
      <c r="I5922" s="12">
        <v>43163</v>
      </c>
      <c r="J5922" s="35">
        <f t="shared" si="1036"/>
        <v>0</v>
      </c>
      <c r="K5922" s="36"/>
      <c r="L5922" s="36"/>
      <c r="M5922" s="36"/>
      <c r="N5922" s="36"/>
      <c r="O5922" s="36"/>
      <c r="P5922" s="36"/>
      <c r="Q5922" s="36"/>
      <c r="R5922" s="36"/>
      <c r="S5922" s="36"/>
      <c r="T5922" s="36"/>
      <c r="U5922" s="36"/>
      <c r="V5922" s="36"/>
      <c r="W5922" s="15">
        <f t="shared" si="1037"/>
        <v>0</v>
      </c>
      <c r="X5922" s="36"/>
      <c r="Y5922" s="36"/>
      <c r="Z5922" s="36"/>
      <c r="AA5922" s="36"/>
      <c r="AB5922" s="36"/>
      <c r="AC5922" s="36"/>
      <c r="AD5922" s="36"/>
      <c r="AE5922" s="36"/>
      <c r="AF5922" s="36"/>
      <c r="AG5922" s="36"/>
      <c r="AH5922" s="36"/>
      <c r="AI5922" s="36"/>
      <c r="AJ5922" s="15">
        <f t="shared" si="1038"/>
        <v>0</v>
      </c>
      <c r="AK5922" s="14"/>
      <c r="AL5922" s="14"/>
      <c r="AM5922" s="14"/>
      <c r="AN5922" s="14"/>
      <c r="AO5922" s="14"/>
      <c r="AP5922" s="14"/>
      <c r="AQ5922" s="14"/>
      <c r="AR5922" s="14"/>
      <c r="AS5922" s="14"/>
      <c r="AT5922" s="14"/>
      <c r="AU5922" s="14"/>
      <c r="AV5922" s="14"/>
      <c r="AW5922" s="15">
        <f t="shared" si="1039"/>
        <v>0</v>
      </c>
      <c r="AX5922" s="16"/>
    </row>
    <row r="5923" spans="2:50" x14ac:dyDescent="0.2">
      <c r="B5923" s="7"/>
      <c r="C5923" s="8">
        <v>16063</v>
      </c>
      <c r="D5923" s="9" t="s">
        <v>189</v>
      </c>
      <c r="E5923" s="10" t="str">
        <f t="shared" si="1034"/>
        <v>Rancho La Cuchilla No. 42</v>
      </c>
      <c r="F5923" s="10" t="str">
        <f t="shared" si="1035"/>
        <v>Mac Kinney</v>
      </c>
      <c r="G5923" s="8">
        <v>3</v>
      </c>
      <c r="H5923" s="11">
        <v>200</v>
      </c>
      <c r="I5923" s="12">
        <v>43163</v>
      </c>
      <c r="J5923" s="35">
        <f t="shared" si="1036"/>
        <v>0</v>
      </c>
      <c r="K5923" s="36"/>
      <c r="L5923" s="36"/>
      <c r="M5923" s="36"/>
      <c r="N5923" s="36"/>
      <c r="O5923" s="36"/>
      <c r="P5923" s="36"/>
      <c r="Q5923" s="36"/>
      <c r="R5923" s="36"/>
      <c r="S5923" s="36"/>
      <c r="T5923" s="36"/>
      <c r="U5923" s="36"/>
      <c r="V5923" s="36"/>
      <c r="W5923" s="15">
        <f t="shared" si="1037"/>
        <v>0</v>
      </c>
      <c r="X5923" s="36"/>
      <c r="Y5923" s="36"/>
      <c r="Z5923" s="36"/>
      <c r="AA5923" s="36"/>
      <c r="AB5923" s="36"/>
      <c r="AC5923" s="36"/>
      <c r="AD5923" s="36"/>
      <c r="AE5923" s="36"/>
      <c r="AF5923" s="36"/>
      <c r="AG5923" s="36"/>
      <c r="AH5923" s="36"/>
      <c r="AI5923" s="36"/>
      <c r="AJ5923" s="15">
        <f t="shared" si="1038"/>
        <v>0</v>
      </c>
      <c r="AK5923" s="14"/>
      <c r="AL5923" s="14"/>
      <c r="AM5923" s="14"/>
      <c r="AN5923" s="14"/>
      <c r="AO5923" s="14"/>
      <c r="AP5923" s="14"/>
      <c r="AQ5923" s="14"/>
      <c r="AR5923" s="14"/>
      <c r="AS5923" s="14"/>
      <c r="AT5923" s="14"/>
      <c r="AU5923" s="14"/>
      <c r="AV5923" s="14"/>
      <c r="AW5923" s="15">
        <f t="shared" si="1039"/>
        <v>0</v>
      </c>
      <c r="AX5923" s="16"/>
    </row>
    <row r="5924" spans="2:50" x14ac:dyDescent="0.2">
      <c r="B5924" s="7"/>
      <c r="C5924" s="8">
        <v>16064</v>
      </c>
      <c r="D5924" s="9" t="s">
        <v>652</v>
      </c>
      <c r="E5924" s="10" t="str">
        <f t="shared" si="1034"/>
        <v>Rancho Zinamba No. 74</v>
      </c>
      <c r="F5924" s="10" t="str">
        <f t="shared" si="1035"/>
        <v>García Castellanos</v>
      </c>
      <c r="G5924" s="8">
        <v>1</v>
      </c>
      <c r="H5924" s="11">
        <v>400</v>
      </c>
      <c r="I5924" s="12">
        <v>43163</v>
      </c>
      <c r="J5924" s="35">
        <f t="shared" si="1036"/>
        <v>0</v>
      </c>
      <c r="K5924" s="36"/>
      <c r="L5924" s="36"/>
      <c r="M5924" s="36"/>
      <c r="N5924" s="36"/>
      <c r="O5924" s="36"/>
      <c r="P5924" s="36"/>
      <c r="Q5924" s="36"/>
      <c r="R5924" s="36"/>
      <c r="S5924" s="36"/>
      <c r="T5924" s="36"/>
      <c r="U5924" s="36"/>
      <c r="V5924" s="36"/>
      <c r="W5924" s="15">
        <f t="shared" si="1037"/>
        <v>0</v>
      </c>
      <c r="X5924" s="36"/>
      <c r="Y5924" s="36"/>
      <c r="Z5924" s="36"/>
      <c r="AA5924" s="36"/>
      <c r="AB5924" s="36"/>
      <c r="AC5924" s="36"/>
      <c r="AD5924" s="36"/>
      <c r="AE5924" s="36"/>
      <c r="AF5924" s="36"/>
      <c r="AG5924" s="36"/>
      <c r="AH5924" s="36"/>
      <c r="AI5924" s="36"/>
      <c r="AJ5924" s="15">
        <f t="shared" si="1038"/>
        <v>0</v>
      </c>
      <c r="AK5924" s="14"/>
      <c r="AL5924" s="14">
        <v>400</v>
      </c>
      <c r="AM5924" s="14"/>
      <c r="AN5924" s="14"/>
      <c r="AO5924" s="14"/>
      <c r="AP5924" s="14"/>
      <c r="AQ5924" s="14"/>
      <c r="AR5924" s="14"/>
      <c r="AS5924" s="14"/>
      <c r="AT5924" s="14"/>
      <c r="AU5924" s="14"/>
      <c r="AV5924" s="14"/>
      <c r="AW5924" s="15">
        <f t="shared" si="1039"/>
        <v>400</v>
      </c>
      <c r="AX5924" s="16"/>
    </row>
    <row r="5925" spans="2:50" x14ac:dyDescent="0.2">
      <c r="B5925" s="7"/>
      <c r="C5925" s="8">
        <v>16065</v>
      </c>
      <c r="D5925" s="9" t="s">
        <v>325</v>
      </c>
      <c r="E5925" s="10" t="str">
        <f t="shared" si="1034"/>
        <v>Rancho Upácuaro No. 120</v>
      </c>
      <c r="F5925" s="10" t="str">
        <f t="shared" si="1035"/>
        <v>Rayas Rivera</v>
      </c>
      <c r="G5925" s="8">
        <v>1</v>
      </c>
      <c r="H5925" s="11">
        <v>400</v>
      </c>
      <c r="I5925" s="12">
        <v>43163</v>
      </c>
      <c r="J5925" s="35">
        <f t="shared" si="1036"/>
        <v>0</v>
      </c>
      <c r="K5925" s="36"/>
      <c r="L5925" s="36"/>
      <c r="M5925" s="36"/>
      <c r="N5925" s="36"/>
      <c r="O5925" s="36"/>
      <c r="P5925" s="36"/>
      <c r="Q5925" s="36"/>
      <c r="R5925" s="36"/>
      <c r="S5925" s="36"/>
      <c r="T5925" s="36"/>
      <c r="U5925" s="36"/>
      <c r="V5925" s="36"/>
      <c r="W5925" s="15">
        <f t="shared" si="1037"/>
        <v>0</v>
      </c>
      <c r="X5925" s="36"/>
      <c r="Y5925" s="36"/>
      <c r="Z5925" s="36"/>
      <c r="AA5925" s="36"/>
      <c r="AB5925" s="36"/>
      <c r="AC5925" s="36"/>
      <c r="AD5925" s="36"/>
      <c r="AE5925" s="36"/>
      <c r="AF5925" s="36"/>
      <c r="AG5925" s="36"/>
      <c r="AH5925" s="36"/>
      <c r="AI5925" s="36"/>
      <c r="AJ5925" s="15">
        <f t="shared" si="1038"/>
        <v>0</v>
      </c>
      <c r="AK5925" s="14"/>
      <c r="AL5925" s="14"/>
      <c r="AM5925" s="14">
        <v>400</v>
      </c>
      <c r="AN5925" s="14"/>
      <c r="AO5925" s="14"/>
      <c r="AP5925" s="14"/>
      <c r="AQ5925" s="14"/>
      <c r="AR5925" s="14"/>
      <c r="AS5925" s="14"/>
      <c r="AT5925" s="14"/>
      <c r="AU5925" s="14"/>
      <c r="AV5925" s="14"/>
      <c r="AW5925" s="15">
        <f t="shared" si="1039"/>
        <v>400</v>
      </c>
      <c r="AX5925" s="16"/>
    </row>
    <row r="5926" spans="2:50" x14ac:dyDescent="0.2">
      <c r="B5926" s="7"/>
      <c r="C5926" s="8">
        <v>16066</v>
      </c>
      <c r="D5926" s="9" t="s">
        <v>532</v>
      </c>
      <c r="E5926" s="10" t="str">
        <f t="shared" si="1034"/>
        <v>Rancho Estanzuela No. 101</v>
      </c>
      <c r="F5926" s="10" t="str">
        <f t="shared" si="1035"/>
        <v>Calderón Celis</v>
      </c>
      <c r="G5926" s="8">
        <v>1</v>
      </c>
      <c r="H5926" s="11">
        <v>1000</v>
      </c>
      <c r="I5926" s="12">
        <v>43163</v>
      </c>
      <c r="J5926" s="35">
        <f t="shared" si="1036"/>
        <v>0</v>
      </c>
      <c r="K5926" s="36"/>
      <c r="L5926" s="36"/>
      <c r="M5926" s="36"/>
      <c r="N5926" s="36"/>
      <c r="O5926" s="36"/>
      <c r="P5926" s="36"/>
      <c r="Q5926" s="36"/>
      <c r="R5926" s="36"/>
      <c r="S5926" s="36"/>
      <c r="T5926" s="36"/>
      <c r="U5926" s="36"/>
      <c r="V5926" s="36"/>
      <c r="W5926" s="15">
        <f t="shared" si="1037"/>
        <v>0</v>
      </c>
      <c r="X5926" s="36"/>
      <c r="Y5926" s="36"/>
      <c r="Z5926" s="36"/>
      <c r="AA5926" s="36"/>
      <c r="AB5926" s="36"/>
      <c r="AC5926" s="36"/>
      <c r="AD5926" s="36"/>
      <c r="AE5926" s="36"/>
      <c r="AF5926" s="36"/>
      <c r="AG5926" s="36">
        <v>200</v>
      </c>
      <c r="AH5926" s="36">
        <v>200</v>
      </c>
      <c r="AI5926" s="36">
        <v>200</v>
      </c>
      <c r="AJ5926" s="15">
        <f t="shared" si="1038"/>
        <v>600</v>
      </c>
      <c r="AK5926" s="14">
        <v>200</v>
      </c>
      <c r="AL5926" s="14">
        <v>200</v>
      </c>
      <c r="AM5926" s="14"/>
      <c r="AN5926" s="14"/>
      <c r="AO5926" s="14"/>
      <c r="AP5926" s="14"/>
      <c r="AQ5926" s="14"/>
      <c r="AR5926" s="14"/>
      <c r="AS5926" s="14"/>
      <c r="AT5926" s="14"/>
      <c r="AU5926" s="14"/>
      <c r="AV5926" s="14"/>
      <c r="AW5926" s="15">
        <f t="shared" si="1039"/>
        <v>400</v>
      </c>
      <c r="AX5926" s="16"/>
    </row>
    <row r="5927" spans="2:50" x14ac:dyDescent="0.2">
      <c r="B5927" s="7"/>
      <c r="C5927" s="8">
        <v>16066</v>
      </c>
      <c r="D5927" s="9" t="s">
        <v>532</v>
      </c>
      <c r="E5927" s="10" t="str">
        <f t="shared" si="1034"/>
        <v>Rancho Estanzuela No. 101</v>
      </c>
      <c r="F5927" s="10" t="str">
        <f t="shared" si="1035"/>
        <v>Calderón Celis</v>
      </c>
      <c r="G5927" s="8">
        <v>3</v>
      </c>
      <c r="H5927" s="11">
        <v>200</v>
      </c>
      <c r="I5927" s="12">
        <v>43163</v>
      </c>
      <c r="J5927" s="35">
        <f t="shared" si="1036"/>
        <v>0</v>
      </c>
      <c r="K5927" s="36"/>
      <c r="L5927" s="36"/>
      <c r="M5927" s="36"/>
      <c r="N5927" s="36"/>
      <c r="O5927" s="36"/>
      <c r="P5927" s="36"/>
      <c r="Q5927" s="36"/>
      <c r="R5927" s="36"/>
      <c r="S5927" s="36"/>
      <c r="T5927" s="36"/>
      <c r="U5927" s="36"/>
      <c r="V5927" s="36"/>
      <c r="W5927" s="15">
        <f t="shared" si="1037"/>
        <v>0</v>
      </c>
      <c r="X5927" s="36"/>
      <c r="Y5927" s="36"/>
      <c r="Z5927" s="36"/>
      <c r="AA5927" s="36"/>
      <c r="AB5927" s="36"/>
      <c r="AC5927" s="36"/>
      <c r="AD5927" s="36"/>
      <c r="AE5927" s="36"/>
      <c r="AF5927" s="36"/>
      <c r="AG5927" s="36"/>
      <c r="AH5927" s="36"/>
      <c r="AI5927" s="36"/>
      <c r="AJ5927" s="15">
        <f t="shared" si="1038"/>
        <v>0</v>
      </c>
      <c r="AK5927" s="14"/>
      <c r="AL5927" s="14"/>
      <c r="AM5927" s="14"/>
      <c r="AN5927" s="14"/>
      <c r="AO5927" s="14"/>
      <c r="AP5927" s="14"/>
      <c r="AQ5927" s="14"/>
      <c r="AR5927" s="14"/>
      <c r="AS5927" s="14"/>
      <c r="AT5927" s="14"/>
      <c r="AU5927" s="14"/>
      <c r="AV5927" s="14"/>
      <c r="AW5927" s="15">
        <f t="shared" si="1039"/>
        <v>0</v>
      </c>
      <c r="AX5927" s="16"/>
    </row>
    <row r="5928" spans="2:50" x14ac:dyDescent="0.2">
      <c r="B5928" s="7"/>
      <c r="C5928" s="8">
        <v>16066</v>
      </c>
      <c r="D5928" s="9" t="s">
        <v>532</v>
      </c>
      <c r="E5928" s="10" t="str">
        <f t="shared" si="1034"/>
        <v>Rancho Estanzuela No. 101</v>
      </c>
      <c r="F5928" s="10" t="str">
        <f t="shared" si="1035"/>
        <v>Calderón Celis</v>
      </c>
      <c r="G5928" s="8">
        <v>5</v>
      </c>
      <c r="H5928" s="11">
        <v>50</v>
      </c>
      <c r="I5928" s="12">
        <v>43163</v>
      </c>
      <c r="J5928" s="35">
        <f t="shared" si="1036"/>
        <v>0</v>
      </c>
      <c r="K5928" s="36"/>
      <c r="L5928" s="36"/>
      <c r="M5928" s="36"/>
      <c r="N5928" s="36"/>
      <c r="O5928" s="36"/>
      <c r="P5928" s="36"/>
      <c r="Q5928" s="36"/>
      <c r="R5928" s="36"/>
      <c r="S5928" s="36"/>
      <c r="T5928" s="36"/>
      <c r="U5928" s="36"/>
      <c r="V5928" s="36"/>
      <c r="W5928" s="15">
        <f t="shared" si="1037"/>
        <v>0</v>
      </c>
      <c r="X5928" s="36"/>
      <c r="Y5928" s="36"/>
      <c r="Z5928" s="36"/>
      <c r="AA5928" s="36"/>
      <c r="AB5928" s="36"/>
      <c r="AC5928" s="36"/>
      <c r="AD5928" s="36"/>
      <c r="AE5928" s="36"/>
      <c r="AF5928" s="36"/>
      <c r="AG5928" s="36"/>
      <c r="AH5928" s="36"/>
      <c r="AI5928" s="36"/>
      <c r="AJ5928" s="15">
        <f t="shared" si="1038"/>
        <v>0</v>
      </c>
      <c r="AK5928" s="14"/>
      <c r="AL5928" s="14"/>
      <c r="AM5928" s="14"/>
      <c r="AN5928" s="14"/>
      <c r="AO5928" s="14"/>
      <c r="AP5928" s="14"/>
      <c r="AQ5928" s="14"/>
      <c r="AR5928" s="14"/>
      <c r="AS5928" s="14"/>
      <c r="AT5928" s="14"/>
      <c r="AU5928" s="14"/>
      <c r="AV5928" s="14"/>
      <c r="AW5928" s="15">
        <f t="shared" si="1039"/>
        <v>0</v>
      </c>
      <c r="AX5928" s="16"/>
    </row>
    <row r="5929" spans="2:50" x14ac:dyDescent="0.2">
      <c r="B5929" s="7"/>
      <c r="C5929" s="8">
        <v>16067</v>
      </c>
      <c r="D5929" s="9" t="s">
        <v>186</v>
      </c>
      <c r="E5929" s="10" t="str">
        <f t="shared" si="1034"/>
        <v>Rancho Upácuaro No. 100</v>
      </c>
      <c r="F5929" s="10" t="str">
        <f t="shared" si="1035"/>
        <v>Valdez</v>
      </c>
      <c r="G5929" s="8">
        <v>1</v>
      </c>
      <c r="H5929" s="11">
        <v>400</v>
      </c>
      <c r="I5929" s="12">
        <v>43163</v>
      </c>
      <c r="J5929" s="35">
        <f t="shared" si="1036"/>
        <v>0</v>
      </c>
      <c r="K5929" s="36"/>
      <c r="L5929" s="36"/>
      <c r="M5929" s="36"/>
      <c r="N5929" s="36"/>
      <c r="O5929" s="36"/>
      <c r="P5929" s="36"/>
      <c r="Q5929" s="36"/>
      <c r="R5929" s="36"/>
      <c r="S5929" s="36"/>
      <c r="T5929" s="36"/>
      <c r="U5929" s="36"/>
      <c r="V5929" s="36"/>
      <c r="W5929" s="15">
        <f t="shared" si="1037"/>
        <v>0</v>
      </c>
      <c r="X5929" s="36"/>
      <c r="Y5929" s="36"/>
      <c r="Z5929" s="36"/>
      <c r="AA5929" s="36"/>
      <c r="AB5929" s="36"/>
      <c r="AC5929" s="36"/>
      <c r="AD5929" s="36"/>
      <c r="AE5929" s="36"/>
      <c r="AF5929" s="36"/>
      <c r="AG5929" s="36"/>
      <c r="AH5929" s="36"/>
      <c r="AI5929" s="36"/>
      <c r="AJ5929" s="15">
        <f t="shared" si="1038"/>
        <v>0</v>
      </c>
      <c r="AK5929" s="14"/>
      <c r="AL5929" s="14"/>
      <c r="AM5929" s="14">
        <v>400</v>
      </c>
      <c r="AN5929" s="14"/>
      <c r="AO5929" s="14"/>
      <c r="AP5929" s="14"/>
      <c r="AQ5929" s="14"/>
      <c r="AR5929" s="14"/>
      <c r="AS5929" s="14"/>
      <c r="AT5929" s="14"/>
      <c r="AU5929" s="14"/>
      <c r="AV5929" s="14"/>
      <c r="AW5929" s="15">
        <f t="shared" si="1039"/>
        <v>400</v>
      </c>
      <c r="AX5929" s="16"/>
    </row>
    <row r="5930" spans="2:50" x14ac:dyDescent="0.2">
      <c r="B5930" s="7"/>
      <c r="C5930" s="8">
        <v>16068</v>
      </c>
      <c r="D5930" s="9" t="s">
        <v>58</v>
      </c>
      <c r="E5930" s="10" t="str">
        <f t="shared" si="1034"/>
        <v>Rancho Landero No. 19</v>
      </c>
      <c r="F5930" s="10" t="str">
        <f t="shared" si="1035"/>
        <v>Becerril Amaya</v>
      </c>
      <c r="G5930" s="8">
        <v>5</v>
      </c>
      <c r="H5930" s="11">
        <v>50</v>
      </c>
      <c r="I5930" s="12">
        <v>43163</v>
      </c>
      <c r="J5930" s="35">
        <f t="shared" si="1036"/>
        <v>0</v>
      </c>
      <c r="K5930" s="36"/>
      <c r="L5930" s="36"/>
      <c r="M5930" s="36"/>
      <c r="N5930" s="36"/>
      <c r="O5930" s="36"/>
      <c r="P5930" s="36"/>
      <c r="Q5930" s="36"/>
      <c r="R5930" s="36"/>
      <c r="S5930" s="36"/>
      <c r="T5930" s="36"/>
      <c r="U5930" s="36"/>
      <c r="V5930" s="36"/>
      <c r="W5930" s="15">
        <f t="shared" si="1037"/>
        <v>0</v>
      </c>
      <c r="X5930" s="36"/>
      <c r="Y5930" s="36"/>
      <c r="Z5930" s="36"/>
      <c r="AA5930" s="36"/>
      <c r="AB5930" s="36"/>
      <c r="AC5930" s="36"/>
      <c r="AD5930" s="36"/>
      <c r="AE5930" s="36"/>
      <c r="AF5930" s="36"/>
      <c r="AG5930" s="36"/>
      <c r="AH5930" s="36"/>
      <c r="AI5930" s="36"/>
      <c r="AJ5930" s="15">
        <f t="shared" si="1038"/>
        <v>0</v>
      </c>
      <c r="AK5930" s="14"/>
      <c r="AL5930" s="14"/>
      <c r="AM5930" s="14"/>
      <c r="AN5930" s="14"/>
      <c r="AO5930" s="14"/>
      <c r="AP5930" s="14"/>
      <c r="AQ5930" s="14"/>
      <c r="AR5930" s="14"/>
      <c r="AS5930" s="14"/>
      <c r="AT5930" s="14"/>
      <c r="AU5930" s="14"/>
      <c r="AV5930" s="14"/>
      <c r="AW5930" s="15">
        <f t="shared" si="1039"/>
        <v>0</v>
      </c>
      <c r="AX5930" s="16"/>
    </row>
    <row r="5931" spans="2:50" x14ac:dyDescent="0.2">
      <c r="B5931" s="7"/>
      <c r="C5931" s="8">
        <v>16069</v>
      </c>
      <c r="D5931" s="9" t="s">
        <v>1134</v>
      </c>
      <c r="E5931" s="10" t="str">
        <f t="shared" si="1034"/>
        <v>Rancho La Cuchilla No. 30</v>
      </c>
      <c r="F5931" s="10" t="str">
        <f t="shared" si="1035"/>
        <v>Ruiz Navarrete</v>
      </c>
      <c r="G5931" s="8">
        <v>3</v>
      </c>
      <c r="H5931" s="11">
        <v>200</v>
      </c>
      <c r="I5931" s="12">
        <v>43163</v>
      </c>
      <c r="J5931" s="35">
        <f t="shared" si="1036"/>
        <v>0</v>
      </c>
      <c r="K5931" s="36"/>
      <c r="L5931" s="36"/>
      <c r="M5931" s="36"/>
      <c r="N5931" s="36"/>
      <c r="O5931" s="36"/>
      <c r="P5931" s="36"/>
      <c r="Q5931" s="36"/>
      <c r="R5931" s="36"/>
      <c r="S5931" s="36"/>
      <c r="T5931" s="36"/>
      <c r="U5931" s="36"/>
      <c r="V5931" s="36"/>
      <c r="W5931" s="15">
        <f t="shared" si="1037"/>
        <v>0</v>
      </c>
      <c r="X5931" s="36"/>
      <c r="Y5931" s="36"/>
      <c r="Z5931" s="36"/>
      <c r="AA5931" s="36"/>
      <c r="AB5931" s="36"/>
      <c r="AC5931" s="36"/>
      <c r="AD5931" s="36"/>
      <c r="AE5931" s="36"/>
      <c r="AF5931" s="36"/>
      <c r="AG5931" s="36"/>
      <c r="AH5931" s="36"/>
      <c r="AI5931" s="36"/>
      <c r="AJ5931" s="15">
        <f t="shared" si="1038"/>
        <v>0</v>
      </c>
      <c r="AK5931" s="14"/>
      <c r="AL5931" s="14"/>
      <c r="AM5931" s="14"/>
      <c r="AN5931" s="14"/>
      <c r="AO5931" s="14"/>
      <c r="AP5931" s="14"/>
      <c r="AQ5931" s="14"/>
      <c r="AR5931" s="14"/>
      <c r="AS5931" s="14"/>
      <c r="AT5931" s="14"/>
      <c r="AU5931" s="14"/>
      <c r="AV5931" s="14"/>
      <c r="AW5931" s="15">
        <f t="shared" si="1039"/>
        <v>0</v>
      </c>
      <c r="AX5931" s="16"/>
    </row>
    <row r="5932" spans="2:50" x14ac:dyDescent="0.2">
      <c r="B5932" s="7"/>
      <c r="C5932" s="8">
        <v>16070</v>
      </c>
      <c r="D5932" s="9" t="s">
        <v>100</v>
      </c>
      <c r="E5932" s="10" t="str">
        <f t="shared" si="1034"/>
        <v>Rancho Upácuaro No. 32</v>
      </c>
      <c r="F5932" s="10" t="str">
        <f t="shared" si="1035"/>
        <v>Sairafi Carmen</v>
      </c>
      <c r="G5932" s="8">
        <v>1</v>
      </c>
      <c r="H5932" s="11">
        <v>400</v>
      </c>
      <c r="I5932" s="12">
        <v>43163</v>
      </c>
      <c r="J5932" s="35">
        <f t="shared" si="1036"/>
        <v>0</v>
      </c>
      <c r="K5932" s="36"/>
      <c r="L5932" s="36"/>
      <c r="M5932" s="36"/>
      <c r="N5932" s="36"/>
      <c r="O5932" s="36"/>
      <c r="P5932" s="36"/>
      <c r="Q5932" s="36"/>
      <c r="R5932" s="36"/>
      <c r="S5932" s="36"/>
      <c r="T5932" s="36"/>
      <c r="U5932" s="36"/>
      <c r="V5932" s="36"/>
      <c r="W5932" s="15">
        <f t="shared" si="1037"/>
        <v>0</v>
      </c>
      <c r="X5932" s="36"/>
      <c r="Y5932" s="36"/>
      <c r="Z5932" s="36"/>
      <c r="AA5932" s="36"/>
      <c r="AB5932" s="36"/>
      <c r="AC5932" s="36"/>
      <c r="AD5932" s="36"/>
      <c r="AE5932" s="36"/>
      <c r="AF5932" s="36"/>
      <c r="AG5932" s="36"/>
      <c r="AH5932" s="36"/>
      <c r="AI5932" s="36"/>
      <c r="AJ5932" s="15">
        <f t="shared" si="1038"/>
        <v>0</v>
      </c>
      <c r="AK5932" s="14"/>
      <c r="AL5932" s="14"/>
      <c r="AM5932" s="14">
        <v>400</v>
      </c>
      <c r="AN5932" s="14"/>
      <c r="AO5932" s="14"/>
      <c r="AP5932" s="14"/>
      <c r="AQ5932" s="14"/>
      <c r="AR5932" s="14"/>
      <c r="AS5932" s="14"/>
      <c r="AT5932" s="14"/>
      <c r="AU5932" s="14"/>
      <c r="AV5932" s="14"/>
      <c r="AW5932" s="15">
        <f t="shared" si="1039"/>
        <v>400</v>
      </c>
      <c r="AX5932" s="16"/>
    </row>
    <row r="5933" spans="2:50" x14ac:dyDescent="0.2">
      <c r="B5933" s="7"/>
      <c r="C5933" s="8">
        <v>16071</v>
      </c>
      <c r="D5933" s="9" t="s">
        <v>141</v>
      </c>
      <c r="E5933" s="10" t="str">
        <f t="shared" si="1034"/>
        <v>Rancho Estanzuela No. 91</v>
      </c>
      <c r="F5933" s="10" t="str">
        <f t="shared" si="1035"/>
        <v>Lobato Hernàndez</v>
      </c>
      <c r="G5933" s="8">
        <v>1</v>
      </c>
      <c r="H5933" s="11">
        <v>1200</v>
      </c>
      <c r="I5933" s="12">
        <v>43163</v>
      </c>
      <c r="J5933" s="35">
        <f t="shared" si="1036"/>
        <v>0</v>
      </c>
      <c r="K5933" s="36"/>
      <c r="L5933" s="36"/>
      <c r="M5933" s="36"/>
      <c r="N5933" s="36"/>
      <c r="O5933" s="36"/>
      <c r="P5933" s="36"/>
      <c r="Q5933" s="36"/>
      <c r="R5933" s="36"/>
      <c r="S5933" s="36"/>
      <c r="T5933" s="36"/>
      <c r="U5933" s="36"/>
      <c r="V5933" s="36"/>
      <c r="W5933" s="15">
        <f t="shared" si="1037"/>
        <v>0</v>
      </c>
      <c r="X5933" s="36"/>
      <c r="Y5933" s="36"/>
      <c r="Z5933" s="36"/>
      <c r="AA5933" s="36"/>
      <c r="AB5933" s="36"/>
      <c r="AC5933" s="36"/>
      <c r="AD5933" s="36"/>
      <c r="AE5933" s="36"/>
      <c r="AF5933" s="36"/>
      <c r="AG5933" s="36"/>
      <c r="AH5933" s="36"/>
      <c r="AI5933" s="36"/>
      <c r="AJ5933" s="15">
        <f t="shared" si="1038"/>
        <v>0</v>
      </c>
      <c r="AK5933" s="14">
        <v>400</v>
      </c>
      <c r="AL5933" s="14">
        <v>400</v>
      </c>
      <c r="AM5933" s="14">
        <v>400</v>
      </c>
      <c r="AN5933" s="14"/>
      <c r="AO5933" s="14"/>
      <c r="AP5933" s="14"/>
      <c r="AQ5933" s="14"/>
      <c r="AR5933" s="14"/>
      <c r="AS5933" s="14"/>
      <c r="AT5933" s="14"/>
      <c r="AU5933" s="14"/>
      <c r="AV5933" s="14"/>
      <c r="AW5933" s="15">
        <f t="shared" si="1039"/>
        <v>1200</v>
      </c>
      <c r="AX5933" s="16"/>
    </row>
    <row r="5934" spans="2:50" x14ac:dyDescent="0.2">
      <c r="B5934" s="7"/>
      <c r="C5934" s="8">
        <v>16072</v>
      </c>
      <c r="D5934" s="9" t="s">
        <v>562</v>
      </c>
      <c r="E5934" s="10" t="str">
        <f t="shared" si="1034"/>
        <v>Rancho Upácuaro No. 87</v>
      </c>
      <c r="F5934" s="10" t="str">
        <f t="shared" si="1035"/>
        <v>Rodríguez Parés</v>
      </c>
      <c r="G5934" s="8">
        <v>1</v>
      </c>
      <c r="H5934" s="11">
        <v>400</v>
      </c>
      <c r="I5934" s="12">
        <v>43163</v>
      </c>
      <c r="J5934" s="35">
        <f t="shared" si="1036"/>
        <v>0</v>
      </c>
      <c r="K5934" s="36"/>
      <c r="L5934" s="36"/>
      <c r="M5934" s="36"/>
      <c r="N5934" s="36"/>
      <c r="O5934" s="36"/>
      <c r="P5934" s="36"/>
      <c r="Q5934" s="36"/>
      <c r="R5934" s="36"/>
      <c r="S5934" s="36"/>
      <c r="T5934" s="36"/>
      <c r="U5934" s="36"/>
      <c r="V5934" s="36"/>
      <c r="W5934" s="15">
        <f t="shared" si="1037"/>
        <v>0</v>
      </c>
      <c r="X5934" s="36"/>
      <c r="Y5934" s="36"/>
      <c r="Z5934" s="36"/>
      <c r="AA5934" s="36"/>
      <c r="AB5934" s="36"/>
      <c r="AC5934" s="36"/>
      <c r="AD5934" s="36"/>
      <c r="AE5934" s="36"/>
      <c r="AF5934" s="36"/>
      <c r="AG5934" s="36"/>
      <c r="AH5934" s="36"/>
      <c r="AI5934" s="36"/>
      <c r="AJ5934" s="15">
        <f t="shared" si="1038"/>
        <v>0</v>
      </c>
      <c r="AK5934" s="14"/>
      <c r="AL5934" s="14"/>
      <c r="AM5934" s="14">
        <v>400</v>
      </c>
      <c r="AN5934" s="14"/>
      <c r="AO5934" s="14"/>
      <c r="AP5934" s="14"/>
      <c r="AQ5934" s="14"/>
      <c r="AR5934" s="14"/>
      <c r="AS5934" s="14"/>
      <c r="AT5934" s="14"/>
      <c r="AU5934" s="14"/>
      <c r="AV5934" s="14"/>
      <c r="AW5934" s="15">
        <f t="shared" si="1039"/>
        <v>400</v>
      </c>
      <c r="AX5934" s="16"/>
    </row>
    <row r="5935" spans="2:50" x14ac:dyDescent="0.2">
      <c r="B5935" s="7"/>
      <c r="C5935" s="8">
        <v>16073</v>
      </c>
      <c r="D5935" s="9" t="s">
        <v>568</v>
      </c>
      <c r="E5935" s="10" t="str">
        <f t="shared" si="1034"/>
        <v>Rancho Landero No. 95</v>
      </c>
      <c r="F5935" s="10" t="str">
        <f t="shared" si="1035"/>
        <v>Rivas Rangel</v>
      </c>
      <c r="G5935" s="8">
        <v>1</v>
      </c>
      <c r="H5935" s="11">
        <v>400</v>
      </c>
      <c r="I5935" s="12">
        <v>43163</v>
      </c>
      <c r="J5935" s="35">
        <f t="shared" si="1036"/>
        <v>0</v>
      </c>
      <c r="K5935" s="36"/>
      <c r="L5935" s="36"/>
      <c r="M5935" s="36"/>
      <c r="N5935" s="36"/>
      <c r="O5935" s="36"/>
      <c r="P5935" s="36"/>
      <c r="Q5935" s="36"/>
      <c r="R5935" s="36"/>
      <c r="S5935" s="36"/>
      <c r="T5935" s="36"/>
      <c r="U5935" s="36"/>
      <c r="V5935" s="36"/>
      <c r="W5935" s="15">
        <f t="shared" si="1037"/>
        <v>0</v>
      </c>
      <c r="X5935" s="36"/>
      <c r="Y5935" s="36"/>
      <c r="Z5935" s="36"/>
      <c r="AA5935" s="36"/>
      <c r="AB5935" s="36"/>
      <c r="AC5935" s="36"/>
      <c r="AD5935" s="36"/>
      <c r="AE5935" s="36"/>
      <c r="AF5935" s="36"/>
      <c r="AG5935" s="36"/>
      <c r="AH5935" s="36"/>
      <c r="AI5935" s="36"/>
      <c r="AJ5935" s="15">
        <f t="shared" si="1038"/>
        <v>0</v>
      </c>
      <c r="AK5935" s="14"/>
      <c r="AL5935" s="14"/>
      <c r="AM5935" s="14">
        <v>400</v>
      </c>
      <c r="AN5935" s="14"/>
      <c r="AO5935" s="14"/>
      <c r="AP5935" s="14"/>
      <c r="AQ5935" s="14"/>
      <c r="AR5935" s="14"/>
      <c r="AS5935" s="14"/>
      <c r="AT5935" s="14"/>
      <c r="AU5935" s="14"/>
      <c r="AV5935" s="14"/>
      <c r="AW5935" s="15">
        <f t="shared" si="1039"/>
        <v>400</v>
      </c>
      <c r="AX5935" s="16"/>
    </row>
    <row r="5936" spans="2:50" x14ac:dyDescent="0.2">
      <c r="B5936" s="7"/>
      <c r="C5936" s="8">
        <v>16074</v>
      </c>
      <c r="D5936" s="9" t="s">
        <v>944</v>
      </c>
      <c r="E5936" s="10" t="str">
        <f t="shared" si="1034"/>
        <v>Rancho Upácuaro No. 104</v>
      </c>
      <c r="F5936" s="10" t="str">
        <f t="shared" si="1035"/>
        <v>Jiménez Almazo</v>
      </c>
      <c r="G5936" s="8">
        <v>1</v>
      </c>
      <c r="H5936" s="11">
        <v>400</v>
      </c>
      <c r="I5936" s="12">
        <v>43163</v>
      </c>
      <c r="J5936" s="35">
        <f t="shared" si="1036"/>
        <v>0</v>
      </c>
      <c r="K5936" s="36"/>
      <c r="L5936" s="36"/>
      <c r="M5936" s="36"/>
      <c r="N5936" s="36"/>
      <c r="O5936" s="36"/>
      <c r="P5936" s="36"/>
      <c r="Q5936" s="36"/>
      <c r="R5936" s="36"/>
      <c r="S5936" s="36"/>
      <c r="T5936" s="36"/>
      <c r="U5936" s="36"/>
      <c r="V5936" s="36"/>
      <c r="W5936" s="15">
        <f t="shared" si="1037"/>
        <v>0</v>
      </c>
      <c r="X5936" s="36"/>
      <c r="Y5936" s="36"/>
      <c r="Z5936" s="36"/>
      <c r="AA5936" s="36"/>
      <c r="AB5936" s="36"/>
      <c r="AC5936" s="36"/>
      <c r="AD5936" s="36"/>
      <c r="AE5936" s="36"/>
      <c r="AF5936" s="36"/>
      <c r="AG5936" s="36"/>
      <c r="AH5936" s="36"/>
      <c r="AI5936" s="36"/>
      <c r="AJ5936" s="15">
        <f t="shared" si="1038"/>
        <v>0</v>
      </c>
      <c r="AK5936" s="14"/>
      <c r="AL5936" s="14">
        <v>400</v>
      </c>
      <c r="AM5936" s="14"/>
      <c r="AN5936" s="14"/>
      <c r="AO5936" s="14"/>
      <c r="AP5936" s="14"/>
      <c r="AQ5936" s="14"/>
      <c r="AR5936" s="14"/>
      <c r="AS5936" s="14"/>
      <c r="AT5936" s="14"/>
      <c r="AU5936" s="14"/>
      <c r="AV5936" s="14"/>
      <c r="AW5936" s="15">
        <f t="shared" si="1039"/>
        <v>400</v>
      </c>
      <c r="AX5936" s="16"/>
    </row>
    <row r="5937" spans="2:50" x14ac:dyDescent="0.2">
      <c r="B5937" s="7"/>
      <c r="C5937" s="8">
        <v>16075</v>
      </c>
      <c r="D5937" s="9" t="s">
        <v>265</v>
      </c>
      <c r="E5937" s="10" t="str">
        <f t="shared" si="1034"/>
        <v>Rancho Upácuaro No. 85</v>
      </c>
      <c r="F5937" s="10" t="str">
        <f t="shared" si="1035"/>
        <v>Del Toro Huerta</v>
      </c>
      <c r="G5937" s="8">
        <v>1</v>
      </c>
      <c r="H5937" s="11">
        <v>400</v>
      </c>
      <c r="I5937" s="12">
        <v>43163</v>
      </c>
      <c r="J5937" s="35">
        <f t="shared" si="1036"/>
        <v>0</v>
      </c>
      <c r="K5937" s="36"/>
      <c r="L5937" s="36"/>
      <c r="M5937" s="36"/>
      <c r="N5937" s="36"/>
      <c r="O5937" s="36"/>
      <c r="P5937" s="36"/>
      <c r="Q5937" s="36"/>
      <c r="R5937" s="36"/>
      <c r="S5937" s="36"/>
      <c r="T5937" s="36"/>
      <c r="U5937" s="36"/>
      <c r="V5937" s="36"/>
      <c r="W5937" s="15">
        <f t="shared" si="1037"/>
        <v>0</v>
      </c>
      <c r="X5937" s="36"/>
      <c r="Y5937" s="36"/>
      <c r="Z5937" s="36"/>
      <c r="AA5937" s="36"/>
      <c r="AB5937" s="36"/>
      <c r="AC5937" s="36"/>
      <c r="AD5937" s="36"/>
      <c r="AE5937" s="36"/>
      <c r="AF5937" s="36"/>
      <c r="AG5937" s="36"/>
      <c r="AH5937" s="36"/>
      <c r="AI5937" s="36"/>
      <c r="AJ5937" s="15">
        <f t="shared" si="1038"/>
        <v>0</v>
      </c>
      <c r="AK5937" s="14"/>
      <c r="AL5937" s="14"/>
      <c r="AM5937" s="14">
        <v>400</v>
      </c>
      <c r="AN5937" s="14"/>
      <c r="AO5937" s="14"/>
      <c r="AP5937" s="14"/>
      <c r="AQ5937" s="14"/>
      <c r="AR5937" s="14"/>
      <c r="AS5937" s="14"/>
      <c r="AT5937" s="14"/>
      <c r="AU5937" s="14"/>
      <c r="AV5937" s="14"/>
      <c r="AW5937" s="15">
        <f t="shared" si="1039"/>
        <v>400</v>
      </c>
      <c r="AX5937" s="16"/>
    </row>
    <row r="5938" spans="2:50" x14ac:dyDescent="0.2">
      <c r="B5938" s="7"/>
      <c r="C5938" s="8">
        <v>16076</v>
      </c>
      <c r="D5938" s="9" t="s">
        <v>150</v>
      </c>
      <c r="E5938" s="10" t="str">
        <f t="shared" si="1034"/>
        <v>Rancho La Cuchilla No. 33</v>
      </c>
      <c r="F5938" s="10" t="str">
        <f t="shared" si="1035"/>
        <v>Tanús</v>
      </c>
      <c r="G5938" s="8">
        <v>1</v>
      </c>
      <c r="H5938" s="11">
        <v>400</v>
      </c>
      <c r="I5938" s="12">
        <v>43163</v>
      </c>
      <c r="J5938" s="35">
        <f t="shared" si="1036"/>
        <v>0</v>
      </c>
      <c r="K5938" s="36"/>
      <c r="L5938" s="36"/>
      <c r="M5938" s="36"/>
      <c r="N5938" s="36"/>
      <c r="O5938" s="36"/>
      <c r="P5938" s="36"/>
      <c r="Q5938" s="36"/>
      <c r="R5938" s="36"/>
      <c r="S5938" s="36"/>
      <c r="T5938" s="36"/>
      <c r="U5938" s="36"/>
      <c r="V5938" s="36"/>
      <c r="W5938" s="15">
        <f t="shared" si="1037"/>
        <v>0</v>
      </c>
      <c r="X5938" s="36"/>
      <c r="Y5938" s="36"/>
      <c r="Z5938" s="36"/>
      <c r="AA5938" s="36"/>
      <c r="AB5938" s="36"/>
      <c r="AC5938" s="36"/>
      <c r="AD5938" s="36"/>
      <c r="AE5938" s="36"/>
      <c r="AF5938" s="36"/>
      <c r="AG5938" s="36"/>
      <c r="AH5938" s="36"/>
      <c r="AI5938" s="36"/>
      <c r="AJ5938" s="15">
        <f t="shared" si="1038"/>
        <v>0</v>
      </c>
      <c r="AK5938" s="14"/>
      <c r="AL5938" s="14"/>
      <c r="AM5938" s="14">
        <v>400</v>
      </c>
      <c r="AN5938" s="14"/>
      <c r="AO5938" s="14"/>
      <c r="AP5938" s="14"/>
      <c r="AQ5938" s="14"/>
      <c r="AR5938" s="14"/>
      <c r="AS5938" s="14"/>
      <c r="AT5938" s="14"/>
      <c r="AU5938" s="14"/>
      <c r="AV5938" s="14"/>
      <c r="AW5938" s="15">
        <f t="shared" si="1039"/>
        <v>400</v>
      </c>
      <c r="AX5938" s="16"/>
    </row>
    <row r="5939" spans="2:50" x14ac:dyDescent="0.2">
      <c r="B5939" s="7"/>
      <c r="C5939" s="8">
        <v>16077</v>
      </c>
      <c r="D5939" s="9" t="s">
        <v>147</v>
      </c>
      <c r="E5939" s="10" t="str">
        <f t="shared" si="1034"/>
        <v>Rancho Upácuaro No. 37</v>
      </c>
      <c r="F5939" s="10" t="str">
        <f t="shared" si="1035"/>
        <v>García Valdés</v>
      </c>
      <c r="G5939" s="8">
        <v>5</v>
      </c>
      <c r="H5939" s="11">
        <v>50</v>
      </c>
      <c r="I5939" s="12">
        <v>43163</v>
      </c>
      <c r="J5939" s="35">
        <f t="shared" si="1036"/>
        <v>0</v>
      </c>
      <c r="K5939" s="36"/>
      <c r="L5939" s="36"/>
      <c r="M5939" s="36"/>
      <c r="N5939" s="36"/>
      <c r="O5939" s="36"/>
      <c r="P5939" s="36"/>
      <c r="Q5939" s="36"/>
      <c r="R5939" s="36"/>
      <c r="S5939" s="36"/>
      <c r="T5939" s="36"/>
      <c r="U5939" s="36"/>
      <c r="V5939" s="36"/>
      <c r="W5939" s="15">
        <f t="shared" si="1037"/>
        <v>0</v>
      </c>
      <c r="X5939" s="36"/>
      <c r="Y5939" s="36"/>
      <c r="Z5939" s="36"/>
      <c r="AA5939" s="36"/>
      <c r="AB5939" s="36"/>
      <c r="AC5939" s="36"/>
      <c r="AD5939" s="36"/>
      <c r="AE5939" s="36"/>
      <c r="AF5939" s="36"/>
      <c r="AG5939" s="36"/>
      <c r="AH5939" s="36"/>
      <c r="AI5939" s="36"/>
      <c r="AJ5939" s="15">
        <f t="shared" si="1038"/>
        <v>0</v>
      </c>
      <c r="AK5939" s="14"/>
      <c r="AL5939" s="14"/>
      <c r="AM5939" s="14"/>
      <c r="AN5939" s="14"/>
      <c r="AO5939" s="14"/>
      <c r="AP5939" s="14"/>
      <c r="AQ5939" s="14"/>
      <c r="AR5939" s="14"/>
      <c r="AS5939" s="14"/>
      <c r="AT5939" s="14"/>
      <c r="AU5939" s="14"/>
      <c r="AV5939" s="14"/>
      <c r="AW5939" s="15">
        <f t="shared" si="1039"/>
        <v>0</v>
      </c>
      <c r="AX5939" s="16"/>
    </row>
    <row r="5940" spans="2:50" x14ac:dyDescent="0.2">
      <c r="B5940" s="7"/>
      <c r="C5940" s="8">
        <v>16078</v>
      </c>
      <c r="D5940" s="9" t="s">
        <v>84</v>
      </c>
      <c r="E5940" s="10" t="str">
        <f t="shared" si="1034"/>
        <v>Rancho La Cuchilla No. 139</v>
      </c>
      <c r="F5940" s="10" t="str">
        <f t="shared" si="1035"/>
        <v>Garcia</v>
      </c>
      <c r="G5940" s="8">
        <v>1</v>
      </c>
      <c r="H5940" s="11">
        <v>200</v>
      </c>
      <c r="I5940" s="12">
        <v>43163</v>
      </c>
      <c r="J5940" s="35">
        <f t="shared" si="1036"/>
        <v>0</v>
      </c>
      <c r="K5940" s="36"/>
      <c r="L5940" s="36"/>
      <c r="M5940" s="36"/>
      <c r="N5940" s="36"/>
      <c r="O5940" s="36"/>
      <c r="P5940" s="36"/>
      <c r="Q5940" s="36"/>
      <c r="R5940" s="36"/>
      <c r="S5940" s="36"/>
      <c r="T5940" s="36"/>
      <c r="U5940" s="36"/>
      <c r="V5940" s="36"/>
      <c r="W5940" s="15">
        <f t="shared" si="1037"/>
        <v>0</v>
      </c>
      <c r="X5940" s="36"/>
      <c r="Y5940" s="36"/>
      <c r="Z5940" s="36"/>
      <c r="AA5940" s="36"/>
      <c r="AB5940" s="36"/>
      <c r="AC5940" s="36"/>
      <c r="AD5940" s="36"/>
      <c r="AE5940" s="36"/>
      <c r="AF5940" s="36"/>
      <c r="AG5940" s="36"/>
      <c r="AH5940" s="36"/>
      <c r="AI5940" s="36"/>
      <c r="AJ5940" s="15">
        <f t="shared" si="1038"/>
        <v>0</v>
      </c>
      <c r="AK5940" s="14"/>
      <c r="AL5940" s="14"/>
      <c r="AM5940" s="14">
        <v>200</v>
      </c>
      <c r="AN5940" s="14"/>
      <c r="AO5940" s="14"/>
      <c r="AP5940" s="14"/>
      <c r="AQ5940" s="14"/>
      <c r="AR5940" s="14"/>
      <c r="AS5940" s="14"/>
      <c r="AT5940" s="14"/>
      <c r="AU5940" s="14"/>
      <c r="AV5940" s="14"/>
      <c r="AW5940" s="15">
        <f t="shared" si="1039"/>
        <v>200</v>
      </c>
      <c r="AX5940" s="16"/>
    </row>
    <row r="5941" spans="2:50" x14ac:dyDescent="0.2">
      <c r="B5941" s="7"/>
      <c r="C5941" s="8">
        <v>16078</v>
      </c>
      <c r="D5941" s="9" t="s">
        <v>84</v>
      </c>
      <c r="E5941" s="10" t="str">
        <f t="shared" si="1028"/>
        <v>Rancho La Cuchilla No. 139</v>
      </c>
      <c r="F5941" s="10" t="str">
        <f t="shared" si="1029"/>
        <v>Garcia</v>
      </c>
      <c r="G5941" s="8">
        <v>4</v>
      </c>
      <c r="H5941" s="11">
        <v>200</v>
      </c>
      <c r="I5941" s="12">
        <v>43163</v>
      </c>
      <c r="J5941" s="35">
        <f t="shared" si="1030"/>
        <v>0</v>
      </c>
      <c r="K5941" s="36"/>
      <c r="L5941" s="36"/>
      <c r="M5941" s="36"/>
      <c r="N5941" s="36"/>
      <c r="O5941" s="36"/>
      <c r="P5941" s="36"/>
      <c r="Q5941" s="36"/>
      <c r="R5941" s="36"/>
      <c r="S5941" s="36"/>
      <c r="T5941" s="36"/>
      <c r="U5941" s="36"/>
      <c r="V5941" s="36"/>
      <c r="W5941" s="15">
        <f t="shared" si="1031"/>
        <v>0</v>
      </c>
      <c r="X5941" s="36"/>
      <c r="Y5941" s="36"/>
      <c r="Z5941" s="36"/>
      <c r="AA5941" s="36"/>
      <c r="AB5941" s="36"/>
      <c r="AC5941" s="36"/>
      <c r="AD5941" s="36"/>
      <c r="AE5941" s="36"/>
      <c r="AF5941" s="36"/>
      <c r="AG5941" s="36"/>
      <c r="AH5941" s="36"/>
      <c r="AI5941" s="36"/>
      <c r="AJ5941" s="15">
        <f t="shared" si="1032"/>
        <v>0</v>
      </c>
      <c r="AK5941" s="14"/>
      <c r="AL5941" s="14"/>
      <c r="AM5941" s="14"/>
      <c r="AN5941" s="14"/>
      <c r="AO5941" s="14"/>
      <c r="AP5941" s="14"/>
      <c r="AQ5941" s="14"/>
      <c r="AR5941" s="14"/>
      <c r="AS5941" s="14"/>
      <c r="AT5941" s="14"/>
      <c r="AU5941" s="14"/>
      <c r="AV5941" s="14"/>
      <c r="AW5941" s="15">
        <f t="shared" si="1033"/>
        <v>0</v>
      </c>
      <c r="AX5941" s="16" t="s">
        <v>5068</v>
      </c>
    </row>
    <row r="5942" spans="2:50" x14ac:dyDescent="0.2">
      <c r="B5942" s="7"/>
      <c r="C5942" s="8">
        <v>16079</v>
      </c>
      <c r="D5942" s="9" t="s">
        <v>678</v>
      </c>
      <c r="E5942" s="10" t="str">
        <f t="shared" si="1028"/>
        <v>Rancho Upácuaro No. 76</v>
      </c>
      <c r="F5942" s="10" t="str">
        <f t="shared" si="1029"/>
        <v>Ruiz de San Pedro</v>
      </c>
      <c r="G5942" s="8">
        <v>1</v>
      </c>
      <c r="H5942" s="11">
        <v>400</v>
      </c>
      <c r="I5942" s="12">
        <v>43163</v>
      </c>
      <c r="J5942" s="35">
        <f t="shared" si="1030"/>
        <v>0</v>
      </c>
      <c r="K5942" s="36"/>
      <c r="L5942" s="36"/>
      <c r="M5942" s="36"/>
      <c r="N5942" s="36"/>
      <c r="O5942" s="36"/>
      <c r="P5942" s="36"/>
      <c r="Q5942" s="36"/>
      <c r="R5942" s="36"/>
      <c r="S5942" s="36"/>
      <c r="T5942" s="36"/>
      <c r="U5942" s="36"/>
      <c r="V5942" s="36"/>
      <c r="W5942" s="15">
        <f t="shared" si="1031"/>
        <v>0</v>
      </c>
      <c r="X5942" s="36"/>
      <c r="Y5942" s="36"/>
      <c r="Z5942" s="36"/>
      <c r="AA5942" s="36"/>
      <c r="AB5942" s="36"/>
      <c r="AC5942" s="36"/>
      <c r="AD5942" s="36"/>
      <c r="AE5942" s="36"/>
      <c r="AF5942" s="36"/>
      <c r="AG5942" s="36"/>
      <c r="AH5942" s="36"/>
      <c r="AI5942" s="36"/>
      <c r="AJ5942" s="15">
        <f t="shared" si="1032"/>
        <v>0</v>
      </c>
      <c r="AK5942" s="14"/>
      <c r="AL5942" s="14"/>
      <c r="AM5942" s="14">
        <v>400</v>
      </c>
      <c r="AN5942" s="14"/>
      <c r="AO5942" s="14"/>
      <c r="AP5942" s="14"/>
      <c r="AQ5942" s="14"/>
      <c r="AR5942" s="14"/>
      <c r="AS5942" s="14"/>
      <c r="AT5942" s="14"/>
      <c r="AU5942" s="14"/>
      <c r="AV5942" s="14"/>
      <c r="AW5942" s="15">
        <f t="shared" si="1033"/>
        <v>400</v>
      </c>
      <c r="AX5942" s="16"/>
    </row>
    <row r="5943" spans="2:50" x14ac:dyDescent="0.2">
      <c r="B5943" s="7"/>
      <c r="C5943" s="8">
        <v>16080</v>
      </c>
      <c r="D5943" s="9" t="s">
        <v>183</v>
      </c>
      <c r="E5943" s="10" t="str">
        <f t="shared" si="1028"/>
        <v>Rancho La Cuchilla No. 54</v>
      </c>
      <c r="F5943" s="10" t="str">
        <f t="shared" si="1029"/>
        <v>Mendoza León</v>
      </c>
      <c r="G5943" s="8">
        <v>1</v>
      </c>
      <c r="H5943" s="11">
        <v>400</v>
      </c>
      <c r="I5943" s="12">
        <v>43163</v>
      </c>
      <c r="J5943" s="35">
        <f t="shared" si="1030"/>
        <v>0</v>
      </c>
      <c r="K5943" s="36"/>
      <c r="L5943" s="36"/>
      <c r="M5943" s="36"/>
      <c r="N5943" s="36"/>
      <c r="O5943" s="36"/>
      <c r="P5943" s="36"/>
      <c r="Q5943" s="36"/>
      <c r="R5943" s="36"/>
      <c r="S5943" s="36"/>
      <c r="T5943" s="36"/>
      <c r="U5943" s="36"/>
      <c r="V5943" s="36"/>
      <c r="W5943" s="15">
        <f t="shared" si="1031"/>
        <v>0</v>
      </c>
      <c r="X5943" s="36"/>
      <c r="Y5943" s="36"/>
      <c r="Z5943" s="36"/>
      <c r="AA5943" s="36"/>
      <c r="AB5943" s="36"/>
      <c r="AC5943" s="36"/>
      <c r="AD5943" s="36"/>
      <c r="AE5943" s="36"/>
      <c r="AF5943" s="36"/>
      <c r="AG5943" s="36"/>
      <c r="AH5943" s="36"/>
      <c r="AI5943" s="36"/>
      <c r="AJ5943" s="15">
        <f t="shared" si="1032"/>
        <v>0</v>
      </c>
      <c r="AK5943" s="14"/>
      <c r="AL5943" s="14">
        <v>400</v>
      </c>
      <c r="AM5943" s="14"/>
      <c r="AN5943" s="14"/>
      <c r="AO5943" s="14"/>
      <c r="AP5943" s="14"/>
      <c r="AQ5943" s="14"/>
      <c r="AR5943" s="14"/>
      <c r="AS5943" s="14"/>
      <c r="AT5943" s="14"/>
      <c r="AU5943" s="14"/>
      <c r="AV5943" s="14"/>
      <c r="AW5943" s="15">
        <f t="shared" si="1033"/>
        <v>400</v>
      </c>
      <c r="AX5943" s="16"/>
    </row>
    <row r="5944" spans="2:50" x14ac:dyDescent="0.2">
      <c r="B5944" s="7"/>
      <c r="C5944" s="8">
        <v>16081</v>
      </c>
      <c r="D5944" s="9" t="s">
        <v>135</v>
      </c>
      <c r="E5944" s="10" t="str">
        <f t="shared" si="1028"/>
        <v>Rancho Upácuaro No. 70</v>
      </c>
      <c r="F5944" s="10" t="str">
        <f t="shared" si="1029"/>
        <v>Ramírez Tejeda</v>
      </c>
      <c r="G5944" s="8">
        <v>1</v>
      </c>
      <c r="H5944" s="11">
        <v>300</v>
      </c>
      <c r="I5944" s="12">
        <v>43163</v>
      </c>
      <c r="J5944" s="35">
        <f t="shared" si="1030"/>
        <v>0</v>
      </c>
      <c r="K5944" s="36"/>
      <c r="L5944" s="36"/>
      <c r="M5944" s="36"/>
      <c r="N5944" s="36"/>
      <c r="O5944" s="36"/>
      <c r="P5944" s="36"/>
      <c r="Q5944" s="36"/>
      <c r="R5944" s="36"/>
      <c r="S5944" s="36"/>
      <c r="T5944" s="36"/>
      <c r="U5944" s="36"/>
      <c r="V5944" s="36"/>
      <c r="W5944" s="15">
        <f t="shared" si="1031"/>
        <v>0</v>
      </c>
      <c r="X5944" s="36"/>
      <c r="Y5944" s="36"/>
      <c r="Z5944" s="36"/>
      <c r="AA5944" s="36"/>
      <c r="AB5944" s="36"/>
      <c r="AC5944" s="36"/>
      <c r="AD5944" s="36"/>
      <c r="AE5944" s="36"/>
      <c r="AF5944" s="36"/>
      <c r="AG5944" s="36"/>
      <c r="AH5944" s="36"/>
      <c r="AI5944" s="36"/>
      <c r="AJ5944" s="15">
        <f t="shared" si="1032"/>
        <v>0</v>
      </c>
      <c r="AK5944" s="14"/>
      <c r="AL5944" s="14"/>
      <c r="AM5944" s="14">
        <v>300</v>
      </c>
      <c r="AN5944" s="14"/>
      <c r="AO5944" s="14"/>
      <c r="AP5944" s="14"/>
      <c r="AQ5944" s="14"/>
      <c r="AR5944" s="14"/>
      <c r="AS5944" s="14"/>
      <c r="AT5944" s="14"/>
      <c r="AU5944" s="14"/>
      <c r="AV5944" s="14"/>
      <c r="AW5944" s="15">
        <f t="shared" si="1033"/>
        <v>300</v>
      </c>
      <c r="AX5944" s="16"/>
    </row>
    <row r="5945" spans="2:50" x14ac:dyDescent="0.2">
      <c r="B5945" s="7"/>
      <c r="C5945" s="8">
        <v>16082</v>
      </c>
      <c r="D5945" s="9" t="s">
        <v>646</v>
      </c>
      <c r="E5945" s="10" t="str">
        <f t="shared" si="1028"/>
        <v>Rancho Landero No. 84</v>
      </c>
      <c r="F5945" s="10" t="str">
        <f t="shared" si="1029"/>
        <v>Alcántara</v>
      </c>
      <c r="G5945" s="8">
        <v>1</v>
      </c>
      <c r="H5945" s="11">
        <v>900</v>
      </c>
      <c r="I5945" s="12">
        <v>43163</v>
      </c>
      <c r="J5945" s="35">
        <f t="shared" si="1030"/>
        <v>0</v>
      </c>
      <c r="K5945" s="36"/>
      <c r="L5945" s="36"/>
      <c r="M5945" s="36"/>
      <c r="N5945" s="36"/>
      <c r="O5945" s="36"/>
      <c r="P5945" s="36"/>
      <c r="Q5945" s="36"/>
      <c r="R5945" s="36"/>
      <c r="S5945" s="36"/>
      <c r="T5945" s="36"/>
      <c r="U5945" s="36"/>
      <c r="V5945" s="36"/>
      <c r="W5945" s="15">
        <f t="shared" si="1031"/>
        <v>0</v>
      </c>
      <c r="X5945" s="36"/>
      <c r="Y5945" s="36"/>
      <c r="Z5945" s="36"/>
      <c r="AA5945" s="36"/>
      <c r="AB5945" s="36"/>
      <c r="AC5945" s="36"/>
      <c r="AD5945" s="36"/>
      <c r="AE5945" s="36"/>
      <c r="AF5945" s="36"/>
      <c r="AG5945" s="36"/>
      <c r="AH5945" s="36"/>
      <c r="AI5945" s="36"/>
      <c r="AJ5945" s="15">
        <f t="shared" si="1032"/>
        <v>0</v>
      </c>
      <c r="AK5945" s="14">
        <v>300</v>
      </c>
      <c r="AL5945" s="14">
        <v>300</v>
      </c>
      <c r="AM5945" s="14">
        <v>300</v>
      </c>
      <c r="AN5945" s="14"/>
      <c r="AO5945" s="14"/>
      <c r="AP5945" s="14"/>
      <c r="AQ5945" s="14"/>
      <c r="AR5945" s="14"/>
      <c r="AS5945" s="14"/>
      <c r="AT5945" s="14"/>
      <c r="AU5945" s="14"/>
      <c r="AV5945" s="14"/>
      <c r="AW5945" s="15">
        <f t="shared" si="1033"/>
        <v>900</v>
      </c>
      <c r="AX5945" s="16"/>
    </row>
    <row r="5946" spans="2:50" x14ac:dyDescent="0.2">
      <c r="B5946" s="7"/>
      <c r="C5946" s="8">
        <v>16083</v>
      </c>
      <c r="D5946" s="9" t="s">
        <v>307</v>
      </c>
      <c r="E5946" s="10" t="str">
        <f t="shared" si="1028"/>
        <v>Rancho Landero No. 83</v>
      </c>
      <c r="F5946" s="10" t="str">
        <f t="shared" si="1029"/>
        <v>Aguilar</v>
      </c>
      <c r="G5946" s="8">
        <v>1</v>
      </c>
      <c r="H5946" s="11">
        <v>350</v>
      </c>
      <c r="I5946" s="12">
        <v>43163</v>
      </c>
      <c r="J5946" s="35">
        <f t="shared" si="1030"/>
        <v>0</v>
      </c>
      <c r="K5946" s="36"/>
      <c r="L5946" s="36"/>
      <c r="M5946" s="36"/>
      <c r="N5946" s="36"/>
      <c r="O5946" s="36"/>
      <c r="P5946" s="36"/>
      <c r="Q5946" s="36"/>
      <c r="R5946" s="36"/>
      <c r="S5946" s="36"/>
      <c r="T5946" s="36"/>
      <c r="U5946" s="36"/>
      <c r="V5946" s="36"/>
      <c r="W5946" s="15">
        <f t="shared" si="1031"/>
        <v>0</v>
      </c>
      <c r="X5946" s="36"/>
      <c r="Y5946" s="36"/>
      <c r="Z5946" s="36"/>
      <c r="AA5946" s="36"/>
      <c r="AB5946" s="36"/>
      <c r="AC5946" s="36"/>
      <c r="AD5946" s="36"/>
      <c r="AE5946" s="36"/>
      <c r="AF5946" s="36"/>
      <c r="AG5946" s="36"/>
      <c r="AH5946" s="36"/>
      <c r="AI5946" s="36"/>
      <c r="AJ5946" s="15">
        <f t="shared" si="1032"/>
        <v>0</v>
      </c>
      <c r="AK5946" s="14"/>
      <c r="AL5946" s="14"/>
      <c r="AM5946" s="14">
        <v>350</v>
      </c>
      <c r="AN5946" s="14"/>
      <c r="AO5946" s="14"/>
      <c r="AP5946" s="14"/>
      <c r="AQ5946" s="14"/>
      <c r="AR5946" s="14"/>
      <c r="AS5946" s="14"/>
      <c r="AT5946" s="14"/>
      <c r="AU5946" s="14"/>
      <c r="AV5946" s="14"/>
      <c r="AW5946" s="15">
        <f t="shared" si="1033"/>
        <v>350</v>
      </c>
      <c r="AX5946" s="16"/>
    </row>
    <row r="5947" spans="2:50" x14ac:dyDescent="0.2">
      <c r="B5947" s="7"/>
      <c r="C5947" s="8">
        <v>16084</v>
      </c>
      <c r="D5947" s="9" t="s">
        <v>449</v>
      </c>
      <c r="E5947" s="10" t="str">
        <f t="shared" si="1028"/>
        <v>Rancho La Cuchilla No. 132</v>
      </c>
      <c r="F5947" s="10" t="str">
        <f t="shared" si="1029"/>
        <v>Téllez Girón</v>
      </c>
      <c r="G5947" s="8">
        <v>1</v>
      </c>
      <c r="H5947" s="11">
        <v>900</v>
      </c>
      <c r="I5947" s="12">
        <v>43163</v>
      </c>
      <c r="J5947" s="35">
        <f t="shared" si="1030"/>
        <v>0</v>
      </c>
      <c r="K5947" s="36"/>
      <c r="L5947" s="36"/>
      <c r="M5947" s="36"/>
      <c r="N5947" s="36"/>
      <c r="O5947" s="36"/>
      <c r="P5947" s="36"/>
      <c r="Q5947" s="36"/>
      <c r="R5947" s="36"/>
      <c r="S5947" s="36"/>
      <c r="T5947" s="36"/>
      <c r="U5947" s="36"/>
      <c r="V5947" s="36"/>
      <c r="W5947" s="15">
        <f t="shared" si="1031"/>
        <v>0</v>
      </c>
      <c r="X5947" s="36"/>
      <c r="Y5947" s="36"/>
      <c r="Z5947" s="36"/>
      <c r="AA5947" s="36"/>
      <c r="AB5947" s="36"/>
      <c r="AC5947" s="36"/>
      <c r="AD5947" s="36"/>
      <c r="AE5947" s="36"/>
      <c r="AF5947" s="36"/>
      <c r="AG5947" s="36"/>
      <c r="AH5947" s="36"/>
      <c r="AI5947" s="36"/>
      <c r="AJ5947" s="15">
        <f t="shared" si="1032"/>
        <v>0</v>
      </c>
      <c r="AK5947" s="14">
        <v>300</v>
      </c>
      <c r="AL5947" s="14">
        <v>300</v>
      </c>
      <c r="AM5947" s="14">
        <v>300</v>
      </c>
      <c r="AN5947" s="14"/>
      <c r="AO5947" s="14"/>
      <c r="AP5947" s="14"/>
      <c r="AQ5947" s="14"/>
      <c r="AR5947" s="14"/>
      <c r="AS5947" s="14"/>
      <c r="AT5947" s="14"/>
      <c r="AU5947" s="14"/>
      <c r="AV5947" s="14"/>
      <c r="AW5947" s="15">
        <f t="shared" si="1033"/>
        <v>900</v>
      </c>
      <c r="AX5947" s="16"/>
    </row>
    <row r="5948" spans="2:50" x14ac:dyDescent="0.2">
      <c r="B5948" s="7"/>
      <c r="C5948" s="8">
        <v>16085</v>
      </c>
      <c r="D5948" s="9" t="s">
        <v>292</v>
      </c>
      <c r="E5948" s="10" t="str">
        <f t="shared" si="1028"/>
        <v>Rancho Upácuaro No. 140</v>
      </c>
      <c r="F5948" s="10" t="str">
        <f t="shared" si="1029"/>
        <v>Gozain</v>
      </c>
      <c r="G5948" s="8">
        <v>1</v>
      </c>
      <c r="H5948" s="11">
        <v>400</v>
      </c>
      <c r="I5948" s="12">
        <v>43163</v>
      </c>
      <c r="J5948" s="35">
        <f t="shared" si="1030"/>
        <v>0</v>
      </c>
      <c r="K5948" s="36"/>
      <c r="L5948" s="36"/>
      <c r="M5948" s="36"/>
      <c r="N5948" s="36"/>
      <c r="O5948" s="36"/>
      <c r="P5948" s="36"/>
      <c r="Q5948" s="36"/>
      <c r="R5948" s="36"/>
      <c r="S5948" s="36"/>
      <c r="T5948" s="36"/>
      <c r="U5948" s="36"/>
      <c r="V5948" s="36"/>
      <c r="W5948" s="15">
        <f t="shared" si="1031"/>
        <v>0</v>
      </c>
      <c r="X5948" s="36"/>
      <c r="Y5948" s="36"/>
      <c r="Z5948" s="36"/>
      <c r="AA5948" s="36"/>
      <c r="AB5948" s="36"/>
      <c r="AC5948" s="36"/>
      <c r="AD5948" s="36"/>
      <c r="AE5948" s="36"/>
      <c r="AF5948" s="36"/>
      <c r="AG5948" s="36"/>
      <c r="AH5948" s="36"/>
      <c r="AI5948" s="36"/>
      <c r="AJ5948" s="15">
        <f t="shared" si="1032"/>
        <v>0</v>
      </c>
      <c r="AK5948" s="14"/>
      <c r="AL5948" s="14"/>
      <c r="AM5948" s="14">
        <v>400</v>
      </c>
      <c r="AN5948" s="14"/>
      <c r="AO5948" s="14"/>
      <c r="AP5948" s="14"/>
      <c r="AQ5948" s="14"/>
      <c r="AR5948" s="14"/>
      <c r="AS5948" s="14"/>
      <c r="AT5948" s="14"/>
      <c r="AU5948" s="14"/>
      <c r="AV5948" s="14"/>
      <c r="AW5948" s="15">
        <f t="shared" si="1033"/>
        <v>400</v>
      </c>
      <c r="AX5948" s="16"/>
    </row>
    <row r="5949" spans="2:50" x14ac:dyDescent="0.2">
      <c r="B5949" s="7"/>
      <c r="C5949" s="8">
        <v>16086</v>
      </c>
      <c r="D5949" s="9" t="s">
        <v>262</v>
      </c>
      <c r="E5949" s="10" t="str">
        <f t="shared" si="1028"/>
        <v>Rancho Recoveco No. 1</v>
      </c>
      <c r="F5949" s="10" t="str">
        <f t="shared" si="1029"/>
        <v>Díaz</v>
      </c>
      <c r="G5949" s="8">
        <v>1</v>
      </c>
      <c r="H5949" s="11">
        <v>300</v>
      </c>
      <c r="I5949" s="12">
        <v>43163</v>
      </c>
      <c r="J5949" s="35">
        <f t="shared" si="1030"/>
        <v>0</v>
      </c>
      <c r="K5949" s="36"/>
      <c r="L5949" s="36"/>
      <c r="M5949" s="36"/>
      <c r="N5949" s="36"/>
      <c r="O5949" s="36"/>
      <c r="P5949" s="36"/>
      <c r="Q5949" s="36"/>
      <c r="R5949" s="36"/>
      <c r="S5949" s="36"/>
      <c r="T5949" s="36"/>
      <c r="U5949" s="36"/>
      <c r="V5949" s="36"/>
      <c r="W5949" s="15">
        <f t="shared" si="1031"/>
        <v>0</v>
      </c>
      <c r="X5949" s="36"/>
      <c r="Y5949" s="36"/>
      <c r="Z5949" s="36"/>
      <c r="AA5949" s="36"/>
      <c r="AB5949" s="36"/>
      <c r="AC5949" s="36"/>
      <c r="AD5949" s="36"/>
      <c r="AE5949" s="36"/>
      <c r="AF5949" s="36"/>
      <c r="AG5949" s="36"/>
      <c r="AH5949" s="36"/>
      <c r="AI5949" s="36"/>
      <c r="AJ5949" s="15">
        <f t="shared" si="1032"/>
        <v>0</v>
      </c>
      <c r="AK5949" s="14"/>
      <c r="AL5949" s="14"/>
      <c r="AM5949" s="14">
        <v>300</v>
      </c>
      <c r="AN5949" s="14"/>
      <c r="AO5949" s="14"/>
      <c r="AP5949" s="14"/>
      <c r="AQ5949" s="14"/>
      <c r="AR5949" s="14"/>
      <c r="AS5949" s="14"/>
      <c r="AT5949" s="14"/>
      <c r="AU5949" s="14"/>
      <c r="AV5949" s="14"/>
      <c r="AW5949" s="15">
        <f t="shared" si="1033"/>
        <v>300</v>
      </c>
      <c r="AX5949" s="16"/>
    </row>
    <row r="5950" spans="2:50" x14ac:dyDescent="0.2">
      <c r="B5950" s="7"/>
      <c r="C5950" s="8">
        <v>16087</v>
      </c>
      <c r="D5950" s="9" t="s">
        <v>617</v>
      </c>
      <c r="E5950" s="10" t="str">
        <f t="shared" si="1028"/>
        <v>Rancho Zinamba No. 50</v>
      </c>
      <c r="F5950" s="10" t="str">
        <f t="shared" si="1029"/>
        <v>Del Castillo</v>
      </c>
      <c r="G5950" s="8">
        <v>1</v>
      </c>
      <c r="H5950" s="11">
        <v>400</v>
      </c>
      <c r="I5950" s="12">
        <v>43163</v>
      </c>
      <c r="J5950" s="35">
        <f t="shared" si="1030"/>
        <v>0</v>
      </c>
      <c r="K5950" s="36"/>
      <c r="L5950" s="36"/>
      <c r="M5950" s="36"/>
      <c r="N5950" s="36"/>
      <c r="O5950" s="36"/>
      <c r="P5950" s="36"/>
      <c r="Q5950" s="36"/>
      <c r="R5950" s="36"/>
      <c r="S5950" s="36"/>
      <c r="T5950" s="36"/>
      <c r="U5950" s="36"/>
      <c r="V5950" s="36"/>
      <c r="W5950" s="15">
        <f t="shared" si="1031"/>
        <v>0</v>
      </c>
      <c r="X5950" s="36"/>
      <c r="Y5950" s="36"/>
      <c r="Z5950" s="36"/>
      <c r="AA5950" s="36"/>
      <c r="AB5950" s="36"/>
      <c r="AC5950" s="36"/>
      <c r="AD5950" s="36"/>
      <c r="AE5950" s="36"/>
      <c r="AF5950" s="36"/>
      <c r="AG5950" s="36"/>
      <c r="AH5950" s="36"/>
      <c r="AI5950" s="36"/>
      <c r="AJ5950" s="15">
        <f t="shared" si="1032"/>
        <v>0</v>
      </c>
      <c r="AK5950" s="14">
        <v>400</v>
      </c>
      <c r="AL5950" s="14"/>
      <c r="AM5950" s="14"/>
      <c r="AN5950" s="14"/>
      <c r="AO5950" s="14"/>
      <c r="AP5950" s="14"/>
      <c r="AQ5950" s="14"/>
      <c r="AR5950" s="14"/>
      <c r="AS5950" s="14"/>
      <c r="AT5950" s="14"/>
      <c r="AU5950" s="14"/>
      <c r="AV5950" s="14"/>
      <c r="AW5950" s="15">
        <f t="shared" si="1033"/>
        <v>400</v>
      </c>
      <c r="AX5950" s="16"/>
    </row>
    <row r="5951" spans="2:50" x14ac:dyDescent="0.2">
      <c r="B5951" s="7"/>
      <c r="C5951" s="8">
        <v>16088</v>
      </c>
      <c r="D5951" s="9" t="s">
        <v>238</v>
      </c>
      <c r="E5951" s="10" t="str">
        <f t="shared" si="1028"/>
        <v>Rancho La Cuchilla No. 43, B</v>
      </c>
      <c r="F5951" s="10" t="str">
        <f t="shared" si="1029"/>
        <v>Luna Albertano</v>
      </c>
      <c r="G5951" s="8">
        <v>1</v>
      </c>
      <c r="H5951" s="11">
        <v>125</v>
      </c>
      <c r="I5951" s="12">
        <v>43163</v>
      </c>
      <c r="J5951" s="35">
        <f t="shared" si="1030"/>
        <v>0</v>
      </c>
      <c r="K5951" s="36"/>
      <c r="L5951" s="36"/>
      <c r="M5951" s="36"/>
      <c r="N5951" s="36"/>
      <c r="O5951" s="36"/>
      <c r="P5951" s="36"/>
      <c r="Q5951" s="36"/>
      <c r="R5951" s="36"/>
      <c r="S5951" s="36"/>
      <c r="T5951" s="36"/>
      <c r="U5951" s="36"/>
      <c r="V5951" s="36"/>
      <c r="W5951" s="15">
        <f t="shared" si="1031"/>
        <v>0</v>
      </c>
      <c r="X5951" s="36"/>
      <c r="Y5951" s="36"/>
      <c r="Z5951" s="36"/>
      <c r="AA5951" s="36"/>
      <c r="AB5951" s="36"/>
      <c r="AC5951" s="36"/>
      <c r="AD5951" s="36"/>
      <c r="AE5951" s="36"/>
      <c r="AF5951" s="36"/>
      <c r="AG5951" s="36"/>
      <c r="AH5951" s="36"/>
      <c r="AI5951" s="36"/>
      <c r="AJ5951" s="15">
        <f t="shared" si="1032"/>
        <v>0</v>
      </c>
      <c r="AK5951" s="14"/>
      <c r="AL5951" s="14"/>
      <c r="AM5951" s="14">
        <v>125</v>
      </c>
      <c r="AN5951" s="14"/>
      <c r="AO5951" s="14"/>
      <c r="AP5951" s="14"/>
      <c r="AQ5951" s="14"/>
      <c r="AR5951" s="14"/>
      <c r="AS5951" s="14"/>
      <c r="AT5951" s="14"/>
      <c r="AU5951" s="14"/>
      <c r="AV5951" s="14"/>
      <c r="AW5951" s="15">
        <f t="shared" si="1033"/>
        <v>125</v>
      </c>
      <c r="AX5951" s="16"/>
    </row>
    <row r="5952" spans="2:50" x14ac:dyDescent="0.2">
      <c r="B5952" s="7"/>
      <c r="C5952" s="8">
        <v>16089</v>
      </c>
      <c r="D5952" s="9" t="s">
        <v>407</v>
      </c>
      <c r="E5952" s="10" t="str">
        <f t="shared" si="1028"/>
        <v>Rancho Estanzuela No. 99</v>
      </c>
      <c r="F5952" s="10" t="str">
        <f t="shared" si="1029"/>
        <v>García López</v>
      </c>
      <c r="G5952" s="8">
        <v>1</v>
      </c>
      <c r="H5952" s="11">
        <v>400</v>
      </c>
      <c r="I5952" s="12">
        <v>43163</v>
      </c>
      <c r="J5952" s="35">
        <f t="shared" si="1030"/>
        <v>0</v>
      </c>
      <c r="K5952" s="36"/>
      <c r="L5952" s="36"/>
      <c r="M5952" s="36"/>
      <c r="N5952" s="36"/>
      <c r="O5952" s="36"/>
      <c r="P5952" s="36"/>
      <c r="Q5952" s="36"/>
      <c r="R5952" s="36"/>
      <c r="S5952" s="36"/>
      <c r="T5952" s="36"/>
      <c r="U5952" s="36"/>
      <c r="V5952" s="36"/>
      <c r="W5952" s="15">
        <f t="shared" si="1031"/>
        <v>0</v>
      </c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15">
        <f t="shared" si="1032"/>
        <v>0</v>
      </c>
      <c r="AK5952" s="14"/>
      <c r="AL5952" s="14"/>
      <c r="AM5952" s="14">
        <v>400</v>
      </c>
      <c r="AN5952" s="14"/>
      <c r="AO5952" s="14"/>
      <c r="AP5952" s="14"/>
      <c r="AQ5952" s="14"/>
      <c r="AR5952" s="14"/>
      <c r="AS5952" s="14"/>
      <c r="AT5952" s="14"/>
      <c r="AU5952" s="14"/>
      <c r="AV5952" s="14"/>
      <c r="AW5952" s="15">
        <f t="shared" si="1033"/>
        <v>400</v>
      </c>
      <c r="AX5952" s="16"/>
    </row>
    <row r="5953" spans="2:50" x14ac:dyDescent="0.2">
      <c r="B5953" s="7"/>
      <c r="C5953" s="8">
        <v>16090</v>
      </c>
      <c r="D5953" s="9" t="s">
        <v>479</v>
      </c>
      <c r="E5953" s="10" t="str">
        <f t="shared" si="1028"/>
        <v>Rancho Zinamba No. 68</v>
      </c>
      <c r="F5953" s="10" t="str">
        <f t="shared" si="1029"/>
        <v>Rivera Villicaña</v>
      </c>
      <c r="G5953" s="8">
        <v>1</v>
      </c>
      <c r="H5953" s="11">
        <v>300</v>
      </c>
      <c r="I5953" s="12">
        <v>43163</v>
      </c>
      <c r="J5953" s="35">
        <f t="shared" si="1030"/>
        <v>0</v>
      </c>
      <c r="K5953" s="36"/>
      <c r="L5953" s="36"/>
      <c r="M5953" s="36"/>
      <c r="N5953" s="36"/>
      <c r="O5953" s="36"/>
      <c r="P5953" s="36"/>
      <c r="Q5953" s="36"/>
      <c r="R5953" s="36"/>
      <c r="S5953" s="36"/>
      <c r="T5953" s="36"/>
      <c r="U5953" s="36"/>
      <c r="V5953" s="36"/>
      <c r="W5953" s="15">
        <f t="shared" si="1031"/>
        <v>0</v>
      </c>
      <c r="X5953" s="36"/>
      <c r="Y5953" s="36"/>
      <c r="Z5953" s="36"/>
      <c r="AA5953" s="36"/>
      <c r="AB5953" s="36"/>
      <c r="AC5953" s="36"/>
      <c r="AD5953" s="36"/>
      <c r="AE5953" s="36"/>
      <c r="AF5953" s="36"/>
      <c r="AG5953" s="36"/>
      <c r="AH5953" s="36"/>
      <c r="AI5953" s="36"/>
      <c r="AJ5953" s="15">
        <f t="shared" si="1032"/>
        <v>0</v>
      </c>
      <c r="AK5953" s="14"/>
      <c r="AL5953" s="14"/>
      <c r="AM5953" s="14">
        <v>300</v>
      </c>
      <c r="AN5953" s="14"/>
      <c r="AO5953" s="14"/>
      <c r="AP5953" s="14"/>
      <c r="AQ5953" s="14"/>
      <c r="AR5953" s="14"/>
      <c r="AS5953" s="14"/>
      <c r="AT5953" s="14"/>
      <c r="AU5953" s="14"/>
      <c r="AV5953" s="14"/>
      <c r="AW5953" s="15">
        <f t="shared" si="1033"/>
        <v>300</v>
      </c>
      <c r="AX5953" s="16"/>
    </row>
    <row r="5954" spans="2:50" x14ac:dyDescent="0.2">
      <c r="B5954" s="7"/>
      <c r="C5954" s="8">
        <v>16091</v>
      </c>
      <c r="D5954" s="9" t="s">
        <v>247</v>
      </c>
      <c r="E5954" s="10" t="str">
        <f t="shared" si="1028"/>
        <v>Rancho Landero No. 91</v>
      </c>
      <c r="F5954" s="10" t="str">
        <f t="shared" si="1029"/>
        <v>Llaca</v>
      </c>
      <c r="G5954" s="8">
        <v>1</v>
      </c>
      <c r="H5954" s="11">
        <v>800</v>
      </c>
      <c r="I5954" s="12">
        <v>43163</v>
      </c>
      <c r="J5954" s="35">
        <f t="shared" si="1030"/>
        <v>0</v>
      </c>
      <c r="K5954" s="36"/>
      <c r="L5954" s="36"/>
      <c r="M5954" s="36"/>
      <c r="N5954" s="36"/>
      <c r="O5954" s="36"/>
      <c r="P5954" s="36"/>
      <c r="Q5954" s="36"/>
      <c r="R5954" s="36"/>
      <c r="S5954" s="36"/>
      <c r="T5954" s="36"/>
      <c r="U5954" s="36"/>
      <c r="V5954" s="36"/>
      <c r="W5954" s="15">
        <f t="shared" si="1031"/>
        <v>0</v>
      </c>
      <c r="X5954" s="36"/>
      <c r="Y5954" s="36"/>
      <c r="Z5954" s="36"/>
      <c r="AA5954" s="36"/>
      <c r="AB5954" s="36"/>
      <c r="AC5954" s="36"/>
      <c r="AD5954" s="36"/>
      <c r="AE5954" s="36"/>
      <c r="AF5954" s="36"/>
      <c r="AG5954" s="36"/>
      <c r="AH5954" s="36"/>
      <c r="AI5954" s="36"/>
      <c r="AJ5954" s="15">
        <f t="shared" si="1032"/>
        <v>0</v>
      </c>
      <c r="AK5954" s="14"/>
      <c r="AL5954" s="14"/>
      <c r="AM5954" s="14">
        <v>400</v>
      </c>
      <c r="AN5954" s="14">
        <v>400</v>
      </c>
      <c r="AO5954" s="14"/>
      <c r="AP5954" s="14"/>
      <c r="AQ5954" s="14"/>
      <c r="AR5954" s="14"/>
      <c r="AS5954" s="14"/>
      <c r="AT5954" s="14"/>
      <c r="AU5954" s="14"/>
      <c r="AV5954" s="14"/>
      <c r="AW5954" s="15">
        <f t="shared" si="1033"/>
        <v>800</v>
      </c>
      <c r="AX5954" s="16"/>
    </row>
    <row r="5955" spans="2:50" x14ac:dyDescent="0.2">
      <c r="B5955" s="7"/>
      <c r="C5955" s="8">
        <v>16092</v>
      </c>
      <c r="D5955" s="9" t="s">
        <v>672</v>
      </c>
      <c r="E5955" s="10" t="str">
        <f t="shared" si="1028"/>
        <v>Rancho Estanzuela No. 11, B</v>
      </c>
      <c r="F5955" s="10" t="str">
        <f t="shared" si="1029"/>
        <v>Gómez Miguel</v>
      </c>
      <c r="G5955" s="8">
        <v>1</v>
      </c>
      <c r="H5955" s="11">
        <v>400</v>
      </c>
      <c r="I5955" s="12">
        <v>43163</v>
      </c>
      <c r="J5955" s="35">
        <f t="shared" si="1030"/>
        <v>0</v>
      </c>
      <c r="K5955" s="36"/>
      <c r="L5955" s="36"/>
      <c r="M5955" s="36"/>
      <c r="N5955" s="36"/>
      <c r="O5955" s="36"/>
      <c r="P5955" s="36"/>
      <c r="Q5955" s="36"/>
      <c r="R5955" s="36"/>
      <c r="S5955" s="36"/>
      <c r="T5955" s="36"/>
      <c r="U5955" s="36"/>
      <c r="V5955" s="36"/>
      <c r="W5955" s="15">
        <f t="shared" si="1031"/>
        <v>0</v>
      </c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15">
        <f t="shared" si="1032"/>
        <v>0</v>
      </c>
      <c r="AK5955" s="14"/>
      <c r="AL5955" s="14">
        <v>200</v>
      </c>
      <c r="AM5955" s="14">
        <v>200</v>
      </c>
      <c r="AN5955" s="14"/>
      <c r="AO5955" s="14"/>
      <c r="AP5955" s="14"/>
      <c r="AQ5955" s="14"/>
      <c r="AR5955" s="14"/>
      <c r="AS5955" s="14"/>
      <c r="AT5955" s="14"/>
      <c r="AU5955" s="14"/>
      <c r="AV5955" s="14"/>
      <c r="AW5955" s="15">
        <f t="shared" si="1033"/>
        <v>400</v>
      </c>
      <c r="AX5955" s="16"/>
    </row>
    <row r="5956" spans="2:50" x14ac:dyDescent="0.2">
      <c r="B5956" s="7"/>
      <c r="C5956" s="8">
        <v>16092</v>
      </c>
      <c r="D5956" s="9" t="s">
        <v>672</v>
      </c>
      <c r="E5956" s="10" t="str">
        <f t="shared" si="1028"/>
        <v>Rancho Estanzuela No. 11, B</v>
      </c>
      <c r="F5956" s="10" t="str">
        <f t="shared" si="1029"/>
        <v>Gómez Miguel</v>
      </c>
      <c r="G5956" s="8">
        <v>4</v>
      </c>
      <c r="H5956" s="11">
        <v>400</v>
      </c>
      <c r="I5956" s="12">
        <v>43163</v>
      </c>
      <c r="J5956" s="35">
        <f t="shared" si="1030"/>
        <v>0</v>
      </c>
      <c r="K5956" s="36"/>
      <c r="L5956" s="36"/>
      <c r="M5956" s="36"/>
      <c r="N5956" s="36"/>
      <c r="O5956" s="36"/>
      <c r="P5956" s="36"/>
      <c r="Q5956" s="36"/>
      <c r="R5956" s="36"/>
      <c r="S5956" s="36"/>
      <c r="T5956" s="36"/>
      <c r="U5956" s="36"/>
      <c r="V5956" s="36"/>
      <c r="W5956" s="15">
        <f t="shared" si="1031"/>
        <v>0</v>
      </c>
      <c r="X5956" s="36"/>
      <c r="Y5956" s="36"/>
      <c r="Z5956" s="36"/>
      <c r="AA5956" s="36"/>
      <c r="AB5956" s="36"/>
      <c r="AC5956" s="36"/>
      <c r="AD5956" s="36"/>
      <c r="AE5956" s="36"/>
      <c r="AF5956" s="36"/>
      <c r="AG5956" s="36"/>
      <c r="AH5956" s="36"/>
      <c r="AI5956" s="36"/>
      <c r="AJ5956" s="15">
        <f t="shared" si="1032"/>
        <v>0</v>
      </c>
      <c r="AK5956" s="14"/>
      <c r="AL5956" s="14"/>
      <c r="AM5956" s="14"/>
      <c r="AN5956" s="14"/>
      <c r="AO5956" s="14"/>
      <c r="AP5956" s="14"/>
      <c r="AQ5956" s="14"/>
      <c r="AR5956" s="14"/>
      <c r="AS5956" s="14"/>
      <c r="AT5956" s="14"/>
      <c r="AU5956" s="14"/>
      <c r="AV5956" s="14"/>
      <c r="AW5956" s="15">
        <f t="shared" si="1033"/>
        <v>0</v>
      </c>
      <c r="AX5956" s="16" t="s">
        <v>5069</v>
      </c>
    </row>
    <row r="5957" spans="2:50" x14ac:dyDescent="0.2">
      <c r="B5957" s="7"/>
      <c r="C5957" s="8">
        <v>16092</v>
      </c>
      <c r="D5957" s="9" t="s">
        <v>672</v>
      </c>
      <c r="E5957" s="10" t="str">
        <f t="shared" si="1028"/>
        <v>Rancho Estanzuela No. 11, B</v>
      </c>
      <c r="F5957" s="10" t="str">
        <f t="shared" si="1029"/>
        <v>Gómez Miguel</v>
      </c>
      <c r="G5957" s="8">
        <v>5</v>
      </c>
      <c r="H5957" s="11">
        <v>100</v>
      </c>
      <c r="I5957" s="12">
        <v>43163</v>
      </c>
      <c r="J5957" s="35">
        <f t="shared" si="1030"/>
        <v>0</v>
      </c>
      <c r="K5957" s="36"/>
      <c r="L5957" s="36"/>
      <c r="M5957" s="36"/>
      <c r="N5957" s="36"/>
      <c r="O5957" s="36"/>
      <c r="P5957" s="36"/>
      <c r="Q5957" s="36"/>
      <c r="R5957" s="36"/>
      <c r="S5957" s="36"/>
      <c r="T5957" s="36"/>
      <c r="U5957" s="36"/>
      <c r="V5957" s="36"/>
      <c r="W5957" s="15">
        <f t="shared" si="1031"/>
        <v>0</v>
      </c>
      <c r="X5957" s="36"/>
      <c r="Y5957" s="36"/>
      <c r="Z5957" s="36"/>
      <c r="AA5957" s="36"/>
      <c r="AB5957" s="36"/>
      <c r="AC5957" s="36"/>
      <c r="AD5957" s="36"/>
      <c r="AE5957" s="36"/>
      <c r="AF5957" s="36"/>
      <c r="AG5957" s="36"/>
      <c r="AH5957" s="36"/>
      <c r="AI5957" s="36"/>
      <c r="AJ5957" s="15">
        <f t="shared" si="1032"/>
        <v>0</v>
      </c>
      <c r="AK5957" s="14"/>
      <c r="AL5957" s="14"/>
      <c r="AM5957" s="14"/>
      <c r="AN5957" s="14"/>
      <c r="AO5957" s="14"/>
      <c r="AP5957" s="14"/>
      <c r="AQ5957" s="14"/>
      <c r="AR5957" s="14"/>
      <c r="AS5957" s="14"/>
      <c r="AT5957" s="14"/>
      <c r="AU5957" s="14"/>
      <c r="AV5957" s="14"/>
      <c r="AW5957" s="15">
        <f t="shared" si="1033"/>
        <v>0</v>
      </c>
      <c r="AX5957" s="16"/>
    </row>
    <row r="5958" spans="2:50" x14ac:dyDescent="0.2">
      <c r="B5958" s="7"/>
      <c r="C5958" s="8">
        <v>16093</v>
      </c>
      <c r="D5958" s="9" t="s">
        <v>280</v>
      </c>
      <c r="E5958" s="10" t="str">
        <f t="shared" si="1028"/>
        <v>Rancho La Cuchilla No. 40</v>
      </c>
      <c r="F5958" s="10" t="str">
        <f t="shared" si="1029"/>
        <v>López Pico</v>
      </c>
      <c r="G5958" s="8">
        <v>1</v>
      </c>
      <c r="H5958" s="11">
        <v>400</v>
      </c>
      <c r="I5958" s="12">
        <v>43163</v>
      </c>
      <c r="J5958" s="35">
        <f t="shared" si="1030"/>
        <v>0</v>
      </c>
      <c r="K5958" s="36"/>
      <c r="L5958" s="36"/>
      <c r="M5958" s="36"/>
      <c r="N5958" s="36"/>
      <c r="O5958" s="36"/>
      <c r="P5958" s="36"/>
      <c r="Q5958" s="36"/>
      <c r="R5958" s="36"/>
      <c r="S5958" s="36"/>
      <c r="T5958" s="36"/>
      <c r="U5958" s="36"/>
      <c r="V5958" s="36"/>
      <c r="W5958" s="15">
        <f t="shared" si="1031"/>
        <v>0</v>
      </c>
      <c r="X5958" s="36"/>
      <c r="Y5958" s="36"/>
      <c r="Z5958" s="36"/>
      <c r="AA5958" s="36"/>
      <c r="AB5958" s="36"/>
      <c r="AC5958" s="36"/>
      <c r="AD5958" s="36"/>
      <c r="AE5958" s="36"/>
      <c r="AF5958" s="36"/>
      <c r="AG5958" s="36"/>
      <c r="AH5958" s="36"/>
      <c r="AI5958" s="36"/>
      <c r="AJ5958" s="15">
        <f t="shared" si="1032"/>
        <v>0</v>
      </c>
      <c r="AK5958" s="14"/>
      <c r="AL5958" s="14"/>
      <c r="AM5958" s="14">
        <v>400</v>
      </c>
      <c r="AN5958" s="14"/>
      <c r="AO5958" s="14"/>
      <c r="AP5958" s="14"/>
      <c r="AQ5958" s="14"/>
      <c r="AR5958" s="14"/>
      <c r="AS5958" s="14"/>
      <c r="AT5958" s="14"/>
      <c r="AU5958" s="14"/>
      <c r="AV5958" s="14"/>
      <c r="AW5958" s="15">
        <f t="shared" si="1033"/>
        <v>400</v>
      </c>
      <c r="AX5958" s="16"/>
    </row>
    <row r="5959" spans="2:50" x14ac:dyDescent="0.2">
      <c r="B5959" s="7"/>
      <c r="C5959" s="8">
        <v>16094</v>
      </c>
      <c r="D5959" s="9" t="s">
        <v>286</v>
      </c>
      <c r="E5959" s="10" t="str">
        <f t="shared" si="1028"/>
        <v>Rancho Zinamba No. 20</v>
      </c>
      <c r="F5959" s="10" t="str">
        <f t="shared" si="1029"/>
        <v>Cruz Vallejo</v>
      </c>
      <c r="G5959" s="8">
        <v>1</v>
      </c>
      <c r="H5959" s="11">
        <v>400</v>
      </c>
      <c r="I5959" s="12">
        <v>43163</v>
      </c>
      <c r="J5959" s="35">
        <f t="shared" si="1030"/>
        <v>0</v>
      </c>
      <c r="K5959" s="36"/>
      <c r="L5959" s="36"/>
      <c r="M5959" s="36"/>
      <c r="N5959" s="36"/>
      <c r="O5959" s="36"/>
      <c r="P5959" s="36"/>
      <c r="Q5959" s="36"/>
      <c r="R5959" s="36"/>
      <c r="S5959" s="36"/>
      <c r="T5959" s="36"/>
      <c r="U5959" s="36"/>
      <c r="V5959" s="36"/>
      <c r="W5959" s="15">
        <f t="shared" si="1031"/>
        <v>0</v>
      </c>
      <c r="X5959" s="36"/>
      <c r="Y5959" s="36"/>
      <c r="Z5959" s="36"/>
      <c r="AA5959" s="36"/>
      <c r="AB5959" s="36"/>
      <c r="AC5959" s="36"/>
      <c r="AD5959" s="36"/>
      <c r="AE5959" s="36"/>
      <c r="AF5959" s="36"/>
      <c r="AG5959" s="36"/>
      <c r="AH5959" s="36"/>
      <c r="AI5959" s="36"/>
      <c r="AJ5959" s="15">
        <f t="shared" si="1032"/>
        <v>0</v>
      </c>
      <c r="AK5959" s="14">
        <v>400</v>
      </c>
      <c r="AL5959" s="14"/>
      <c r="AM5959" s="14"/>
      <c r="AN5959" s="14"/>
      <c r="AO5959" s="14"/>
      <c r="AP5959" s="14"/>
      <c r="AQ5959" s="14"/>
      <c r="AR5959" s="14"/>
      <c r="AS5959" s="14"/>
      <c r="AT5959" s="14"/>
      <c r="AU5959" s="14"/>
      <c r="AV5959" s="14"/>
      <c r="AW5959" s="15">
        <f t="shared" si="1033"/>
        <v>400</v>
      </c>
      <c r="AX5959" s="16"/>
    </row>
    <row r="5960" spans="2:50" x14ac:dyDescent="0.2">
      <c r="B5960" s="7"/>
      <c r="C5960" s="8">
        <v>16095</v>
      </c>
      <c r="D5960" s="9" t="s">
        <v>687</v>
      </c>
      <c r="E5960" s="10" t="str">
        <f t="shared" si="1028"/>
        <v>Rancho Upácuaro No. 21</v>
      </c>
      <c r="F5960" s="10" t="str">
        <f t="shared" si="1029"/>
        <v>Fierro Betancourt</v>
      </c>
      <c r="G5960" s="8">
        <v>1</v>
      </c>
      <c r="H5960" s="11">
        <v>600</v>
      </c>
      <c r="I5960" s="12">
        <v>43163</v>
      </c>
      <c r="J5960" s="35">
        <f t="shared" si="1030"/>
        <v>0</v>
      </c>
      <c r="K5960" s="36"/>
      <c r="L5960" s="36"/>
      <c r="M5960" s="36"/>
      <c r="N5960" s="36"/>
      <c r="O5960" s="36"/>
      <c r="P5960" s="36"/>
      <c r="Q5960" s="36"/>
      <c r="R5960" s="36"/>
      <c r="S5960" s="36"/>
      <c r="T5960" s="36"/>
      <c r="U5960" s="36"/>
      <c r="V5960" s="36"/>
      <c r="W5960" s="15">
        <f t="shared" si="1031"/>
        <v>0</v>
      </c>
      <c r="X5960" s="36"/>
      <c r="Y5960" s="36"/>
      <c r="Z5960" s="36"/>
      <c r="AA5960" s="36"/>
      <c r="AB5960" s="36"/>
      <c r="AC5960" s="36"/>
      <c r="AD5960" s="36"/>
      <c r="AE5960" s="36"/>
      <c r="AF5960" s="36"/>
      <c r="AG5960" s="36"/>
      <c r="AH5960" s="36"/>
      <c r="AI5960" s="36"/>
      <c r="AJ5960" s="15">
        <f t="shared" si="1032"/>
        <v>0</v>
      </c>
      <c r="AK5960" s="14"/>
      <c r="AL5960" s="14"/>
      <c r="AM5960" s="14">
        <v>200</v>
      </c>
      <c r="AN5960" s="14">
        <v>200</v>
      </c>
      <c r="AO5960" s="14">
        <v>200</v>
      </c>
      <c r="AP5960" s="14"/>
      <c r="AQ5960" s="14"/>
      <c r="AR5960" s="14"/>
      <c r="AS5960" s="14"/>
      <c r="AT5960" s="14"/>
      <c r="AU5960" s="14"/>
      <c r="AV5960" s="14"/>
      <c r="AW5960" s="15">
        <f t="shared" si="1033"/>
        <v>600</v>
      </c>
      <c r="AX5960" s="16"/>
    </row>
    <row r="5961" spans="2:50" x14ac:dyDescent="0.2">
      <c r="B5961" s="7"/>
      <c r="C5961" s="8">
        <v>16096</v>
      </c>
      <c r="D5961" s="9" t="s">
        <v>331</v>
      </c>
      <c r="E5961" s="10" t="str">
        <f t="shared" si="1028"/>
        <v>Rancho Recoveco No. 197</v>
      </c>
      <c r="F5961" s="10" t="str">
        <f t="shared" si="1029"/>
        <v>Colín González</v>
      </c>
      <c r="G5961" s="8">
        <v>1</v>
      </c>
      <c r="H5961" s="11">
        <v>400</v>
      </c>
      <c r="I5961" s="12">
        <v>43163</v>
      </c>
      <c r="J5961" s="35">
        <f t="shared" si="1030"/>
        <v>0</v>
      </c>
      <c r="K5961" s="36"/>
      <c r="L5961" s="36"/>
      <c r="M5961" s="36"/>
      <c r="N5961" s="36"/>
      <c r="O5961" s="36"/>
      <c r="P5961" s="36"/>
      <c r="Q5961" s="36"/>
      <c r="R5961" s="36"/>
      <c r="S5961" s="36"/>
      <c r="T5961" s="36"/>
      <c r="U5961" s="36"/>
      <c r="V5961" s="36"/>
      <c r="W5961" s="15">
        <f t="shared" si="1031"/>
        <v>0</v>
      </c>
      <c r="X5961" s="36"/>
      <c r="Y5961" s="36"/>
      <c r="Z5961" s="36"/>
      <c r="AA5961" s="36"/>
      <c r="AB5961" s="36"/>
      <c r="AC5961" s="36"/>
      <c r="AD5961" s="36"/>
      <c r="AE5961" s="36"/>
      <c r="AF5961" s="36"/>
      <c r="AG5961" s="36"/>
      <c r="AH5961" s="36"/>
      <c r="AI5961" s="36"/>
      <c r="AJ5961" s="15">
        <f t="shared" si="1032"/>
        <v>0</v>
      </c>
      <c r="AK5961" s="14"/>
      <c r="AL5961" s="14"/>
      <c r="AM5961" s="14">
        <v>400</v>
      </c>
      <c r="AN5961" s="14"/>
      <c r="AO5961" s="14"/>
      <c r="AP5961" s="14"/>
      <c r="AQ5961" s="14"/>
      <c r="AR5961" s="14"/>
      <c r="AS5961" s="14"/>
      <c r="AT5961" s="14"/>
      <c r="AU5961" s="14"/>
      <c r="AV5961" s="14"/>
      <c r="AW5961" s="15">
        <f t="shared" si="1033"/>
        <v>400</v>
      </c>
      <c r="AX5961" s="16"/>
    </row>
    <row r="5962" spans="2:50" x14ac:dyDescent="0.2">
      <c r="B5962" s="7"/>
      <c r="C5962" s="8">
        <v>16097</v>
      </c>
      <c r="D5962" s="9" t="s">
        <v>476</v>
      </c>
      <c r="E5962" s="10" t="str">
        <f t="shared" si="1028"/>
        <v>Rancho Upácuaro No. 33</v>
      </c>
      <c r="F5962" s="10" t="str">
        <f t="shared" si="1029"/>
        <v>Ulloa Miranda</v>
      </c>
      <c r="G5962" s="8">
        <v>1</v>
      </c>
      <c r="H5962" s="11">
        <v>400</v>
      </c>
      <c r="I5962" s="12">
        <v>43163</v>
      </c>
      <c r="J5962" s="35">
        <f t="shared" si="1030"/>
        <v>0</v>
      </c>
      <c r="K5962" s="36"/>
      <c r="L5962" s="36"/>
      <c r="M5962" s="36"/>
      <c r="N5962" s="36"/>
      <c r="O5962" s="36"/>
      <c r="P5962" s="36"/>
      <c r="Q5962" s="36"/>
      <c r="R5962" s="36"/>
      <c r="S5962" s="36"/>
      <c r="T5962" s="36"/>
      <c r="U5962" s="36"/>
      <c r="V5962" s="36"/>
      <c r="W5962" s="15">
        <f t="shared" si="1031"/>
        <v>0</v>
      </c>
      <c r="X5962" s="36"/>
      <c r="Y5962" s="36"/>
      <c r="Z5962" s="36"/>
      <c r="AA5962" s="36"/>
      <c r="AB5962" s="36"/>
      <c r="AC5962" s="36"/>
      <c r="AD5962" s="36"/>
      <c r="AE5962" s="36"/>
      <c r="AF5962" s="36"/>
      <c r="AG5962" s="36"/>
      <c r="AH5962" s="36"/>
      <c r="AI5962" s="36"/>
      <c r="AJ5962" s="15">
        <f t="shared" si="1032"/>
        <v>0</v>
      </c>
      <c r="AK5962" s="14"/>
      <c r="AL5962" s="14"/>
      <c r="AM5962" s="14">
        <v>400</v>
      </c>
      <c r="AN5962" s="14"/>
      <c r="AO5962" s="14"/>
      <c r="AP5962" s="14"/>
      <c r="AQ5962" s="14"/>
      <c r="AR5962" s="14"/>
      <c r="AS5962" s="14"/>
      <c r="AT5962" s="14"/>
      <c r="AU5962" s="14"/>
      <c r="AV5962" s="14"/>
      <c r="AW5962" s="15">
        <f t="shared" si="1033"/>
        <v>400</v>
      </c>
      <c r="AX5962" s="16"/>
    </row>
    <row r="5963" spans="2:50" x14ac:dyDescent="0.2">
      <c r="B5963" s="7"/>
      <c r="C5963" s="8">
        <v>16098</v>
      </c>
      <c r="D5963" s="9" t="s">
        <v>416</v>
      </c>
      <c r="E5963" s="10" t="str">
        <f t="shared" si="1028"/>
        <v>Rancho La Cuchilla No. 112, PB</v>
      </c>
      <c r="F5963" s="10" t="str">
        <f t="shared" si="1029"/>
        <v>Soreque</v>
      </c>
      <c r="G5963" s="8">
        <v>1</v>
      </c>
      <c r="H5963" s="11">
        <v>200</v>
      </c>
      <c r="I5963" s="12">
        <v>43163</v>
      </c>
      <c r="J5963" s="35">
        <f t="shared" si="1030"/>
        <v>0</v>
      </c>
      <c r="K5963" s="36"/>
      <c r="L5963" s="36"/>
      <c r="M5963" s="36"/>
      <c r="N5963" s="36"/>
      <c r="O5963" s="36"/>
      <c r="P5963" s="36"/>
      <c r="Q5963" s="36"/>
      <c r="R5963" s="36"/>
      <c r="S5963" s="36"/>
      <c r="T5963" s="36"/>
      <c r="U5963" s="36"/>
      <c r="V5963" s="36"/>
      <c r="W5963" s="15">
        <f t="shared" si="1031"/>
        <v>0</v>
      </c>
      <c r="X5963" s="36"/>
      <c r="Y5963" s="36"/>
      <c r="Z5963" s="36"/>
      <c r="AA5963" s="36"/>
      <c r="AB5963" s="36"/>
      <c r="AC5963" s="36"/>
      <c r="AD5963" s="36"/>
      <c r="AE5963" s="36"/>
      <c r="AF5963" s="36"/>
      <c r="AG5963" s="36"/>
      <c r="AH5963" s="36"/>
      <c r="AI5963" s="36"/>
      <c r="AJ5963" s="15">
        <f t="shared" si="1032"/>
        <v>0</v>
      </c>
      <c r="AK5963" s="14"/>
      <c r="AL5963" s="14"/>
      <c r="AM5963" s="14">
        <v>200</v>
      </c>
      <c r="AN5963" s="14"/>
      <c r="AO5963" s="14"/>
      <c r="AP5963" s="14"/>
      <c r="AQ5963" s="14"/>
      <c r="AR5963" s="14"/>
      <c r="AS5963" s="14"/>
      <c r="AT5963" s="14"/>
      <c r="AU5963" s="14"/>
      <c r="AV5963" s="14"/>
      <c r="AW5963" s="15">
        <f t="shared" si="1033"/>
        <v>200</v>
      </c>
      <c r="AX5963" s="16"/>
    </row>
    <row r="5964" spans="2:50" x14ac:dyDescent="0.2">
      <c r="B5964" s="7"/>
      <c r="C5964" s="8">
        <v>16099</v>
      </c>
      <c r="D5964" s="9" t="s">
        <v>731</v>
      </c>
      <c r="E5964" s="10" t="str">
        <f t="shared" si="1028"/>
        <v>Rancho Estanzuela No. 133</v>
      </c>
      <c r="F5964" s="10" t="str">
        <f t="shared" si="1029"/>
        <v>Hernández Salazar</v>
      </c>
      <c r="G5964" s="8">
        <v>1</v>
      </c>
      <c r="H5964" s="11">
        <v>600</v>
      </c>
      <c r="I5964" s="12">
        <v>43163</v>
      </c>
      <c r="J5964" s="35">
        <f t="shared" si="1030"/>
        <v>0</v>
      </c>
      <c r="K5964" s="36"/>
      <c r="L5964" s="36"/>
      <c r="M5964" s="36"/>
      <c r="N5964" s="36"/>
      <c r="O5964" s="36"/>
      <c r="P5964" s="36"/>
      <c r="Q5964" s="36"/>
      <c r="R5964" s="36"/>
      <c r="S5964" s="36"/>
      <c r="T5964" s="36"/>
      <c r="U5964" s="36"/>
      <c r="V5964" s="36"/>
      <c r="W5964" s="15">
        <f t="shared" si="1031"/>
        <v>0</v>
      </c>
      <c r="X5964" s="36"/>
      <c r="Y5964" s="36"/>
      <c r="Z5964" s="36"/>
      <c r="AA5964" s="36"/>
      <c r="AB5964" s="36"/>
      <c r="AC5964" s="36"/>
      <c r="AD5964" s="36"/>
      <c r="AE5964" s="36"/>
      <c r="AF5964" s="36"/>
      <c r="AG5964" s="36"/>
      <c r="AH5964" s="36"/>
      <c r="AI5964" s="36"/>
      <c r="AJ5964" s="15">
        <f t="shared" si="1032"/>
        <v>0</v>
      </c>
      <c r="AK5964" s="14"/>
      <c r="AL5964" s="14">
        <v>300</v>
      </c>
      <c r="AM5964" s="14">
        <v>300</v>
      </c>
      <c r="AN5964" s="14"/>
      <c r="AO5964" s="14"/>
      <c r="AP5964" s="14"/>
      <c r="AQ5964" s="14"/>
      <c r="AR5964" s="14"/>
      <c r="AS5964" s="14"/>
      <c r="AT5964" s="14"/>
      <c r="AU5964" s="14"/>
      <c r="AV5964" s="14"/>
      <c r="AW5964" s="15">
        <f t="shared" si="1033"/>
        <v>600</v>
      </c>
      <c r="AX5964" s="16"/>
    </row>
    <row r="5965" spans="2:50" x14ac:dyDescent="0.2">
      <c r="B5965" s="7"/>
      <c r="C5965" s="8">
        <v>16100</v>
      </c>
      <c r="D5965" s="9" t="s">
        <v>797</v>
      </c>
      <c r="E5965" s="10" t="str">
        <f t="shared" si="1028"/>
        <v>Rancho Recoveco No. 195</v>
      </c>
      <c r="F5965" s="10" t="str">
        <f t="shared" si="1029"/>
        <v>Sandoval</v>
      </c>
      <c r="G5965" s="8">
        <v>1</v>
      </c>
      <c r="H5965" s="11">
        <v>500</v>
      </c>
      <c r="I5965" s="12">
        <v>43163</v>
      </c>
      <c r="J5965" s="35">
        <f t="shared" si="1030"/>
        <v>0</v>
      </c>
      <c r="K5965" s="36"/>
      <c r="L5965" s="36"/>
      <c r="M5965" s="36"/>
      <c r="N5965" s="36"/>
      <c r="O5965" s="36"/>
      <c r="P5965" s="36"/>
      <c r="Q5965" s="36"/>
      <c r="R5965" s="36"/>
      <c r="S5965" s="36"/>
      <c r="T5965" s="36"/>
      <c r="U5965" s="36"/>
      <c r="V5965" s="36"/>
      <c r="W5965" s="15">
        <f t="shared" si="1031"/>
        <v>0</v>
      </c>
      <c r="X5965" s="36"/>
      <c r="Y5965" s="36"/>
      <c r="Z5965" s="36"/>
      <c r="AA5965" s="36"/>
      <c r="AB5965" s="36"/>
      <c r="AC5965" s="36"/>
      <c r="AD5965" s="36"/>
      <c r="AE5965" s="36"/>
      <c r="AF5965" s="36"/>
      <c r="AG5965" s="36"/>
      <c r="AH5965" s="36"/>
      <c r="AI5965" s="36"/>
      <c r="AJ5965" s="15">
        <f t="shared" si="1032"/>
        <v>0</v>
      </c>
      <c r="AK5965" s="14"/>
      <c r="AL5965" s="14">
        <v>250</v>
      </c>
      <c r="AM5965" s="14">
        <v>250</v>
      </c>
      <c r="AN5965" s="14"/>
      <c r="AO5965" s="14"/>
      <c r="AP5965" s="14"/>
      <c r="AQ5965" s="14"/>
      <c r="AR5965" s="14"/>
      <c r="AS5965" s="14"/>
      <c r="AT5965" s="14"/>
      <c r="AU5965" s="14"/>
      <c r="AV5965" s="14"/>
      <c r="AW5965" s="15">
        <f t="shared" si="1033"/>
        <v>500</v>
      </c>
      <c r="AX5965" s="16"/>
    </row>
    <row r="5966" spans="2:50" x14ac:dyDescent="0.2">
      <c r="B5966" s="7"/>
      <c r="C5966" s="8">
        <v>16101</v>
      </c>
      <c r="D5966" s="9" t="s">
        <v>864</v>
      </c>
      <c r="E5966" s="10" t="str">
        <f t="shared" si="1028"/>
        <v>Rancho Upácuaro No. 40</v>
      </c>
      <c r="F5966" s="10" t="str">
        <f t="shared" si="1029"/>
        <v>López Ramírez</v>
      </c>
      <c r="G5966" s="8">
        <v>1</v>
      </c>
      <c r="H5966" s="11">
        <v>900</v>
      </c>
      <c r="I5966" s="12">
        <v>43163</v>
      </c>
      <c r="J5966" s="35">
        <f t="shared" si="1030"/>
        <v>0</v>
      </c>
      <c r="K5966" s="36"/>
      <c r="L5966" s="36"/>
      <c r="M5966" s="36"/>
      <c r="N5966" s="36"/>
      <c r="O5966" s="36"/>
      <c r="P5966" s="36"/>
      <c r="Q5966" s="36"/>
      <c r="R5966" s="36"/>
      <c r="S5966" s="36"/>
      <c r="T5966" s="36"/>
      <c r="U5966" s="36"/>
      <c r="V5966" s="36"/>
      <c r="W5966" s="15">
        <f t="shared" si="1031"/>
        <v>0</v>
      </c>
      <c r="X5966" s="36"/>
      <c r="Y5966" s="36"/>
      <c r="Z5966" s="36"/>
      <c r="AA5966" s="36"/>
      <c r="AB5966" s="36"/>
      <c r="AC5966" s="36"/>
      <c r="AD5966" s="36"/>
      <c r="AE5966" s="36"/>
      <c r="AF5966" s="36"/>
      <c r="AG5966" s="36"/>
      <c r="AH5966" s="36">
        <v>300</v>
      </c>
      <c r="AI5966" s="36">
        <v>300</v>
      </c>
      <c r="AJ5966" s="15">
        <f t="shared" si="1032"/>
        <v>600</v>
      </c>
      <c r="AK5966" s="14">
        <v>300</v>
      </c>
      <c r="AL5966" s="14"/>
      <c r="AM5966" s="14"/>
      <c r="AN5966" s="14"/>
      <c r="AO5966" s="14"/>
      <c r="AP5966" s="14"/>
      <c r="AQ5966" s="14"/>
      <c r="AR5966" s="14"/>
      <c r="AS5966" s="14"/>
      <c r="AT5966" s="14"/>
      <c r="AU5966" s="14"/>
      <c r="AV5966" s="14"/>
      <c r="AW5966" s="15">
        <f t="shared" si="1033"/>
        <v>300</v>
      </c>
      <c r="AX5966" s="316">
        <f>SUM(H5903:H5965)</f>
        <v>34175</v>
      </c>
    </row>
    <row r="5967" spans="2:50" x14ac:dyDescent="0.2">
      <c r="B5967" s="7"/>
      <c r="C5967" s="8">
        <v>16102</v>
      </c>
      <c r="D5967" s="9" t="s">
        <v>313</v>
      </c>
      <c r="E5967" s="10" t="str">
        <f t="shared" si="1028"/>
        <v>Rancho La Cuchilla No. 87</v>
      </c>
      <c r="F5967" s="10" t="str">
        <f t="shared" si="1029"/>
        <v>Villanueva S.</v>
      </c>
      <c r="G5967" s="8">
        <v>1</v>
      </c>
      <c r="H5967" s="11">
        <v>400</v>
      </c>
      <c r="I5967" s="12">
        <v>43163</v>
      </c>
      <c r="J5967" s="35">
        <f t="shared" si="1030"/>
        <v>0</v>
      </c>
      <c r="K5967" s="36"/>
      <c r="L5967" s="36"/>
      <c r="M5967" s="36"/>
      <c r="N5967" s="36"/>
      <c r="O5967" s="36"/>
      <c r="P5967" s="36"/>
      <c r="Q5967" s="36"/>
      <c r="R5967" s="36"/>
      <c r="S5967" s="36"/>
      <c r="T5967" s="36"/>
      <c r="U5967" s="36"/>
      <c r="V5967" s="36"/>
      <c r="W5967" s="15">
        <f t="shared" si="1031"/>
        <v>0</v>
      </c>
      <c r="X5967" s="36"/>
      <c r="Y5967" s="36"/>
      <c r="Z5967" s="36"/>
      <c r="AA5967" s="36"/>
      <c r="AB5967" s="36"/>
      <c r="AC5967" s="36"/>
      <c r="AD5967" s="36"/>
      <c r="AE5967" s="36"/>
      <c r="AF5967" s="36"/>
      <c r="AG5967" s="36"/>
      <c r="AH5967" s="36"/>
      <c r="AI5967" s="36"/>
      <c r="AJ5967" s="15">
        <f t="shared" si="1032"/>
        <v>0</v>
      </c>
      <c r="AK5967" s="14"/>
      <c r="AL5967" s="14"/>
      <c r="AM5967" s="14">
        <v>400</v>
      </c>
      <c r="AN5967" s="14"/>
      <c r="AO5967" s="14"/>
      <c r="AP5967" s="14"/>
      <c r="AQ5967" s="14"/>
      <c r="AR5967" s="14"/>
      <c r="AS5967" s="14"/>
      <c r="AT5967" s="14"/>
      <c r="AU5967" s="14"/>
      <c r="AV5967" s="14"/>
      <c r="AW5967" s="15">
        <f t="shared" si="1033"/>
        <v>400</v>
      </c>
      <c r="AX5967" s="16"/>
    </row>
    <row r="5968" spans="2:50" x14ac:dyDescent="0.2">
      <c r="B5968" s="7"/>
      <c r="C5968" s="8">
        <v>16103</v>
      </c>
      <c r="D5968" s="9" t="s">
        <v>681</v>
      </c>
      <c r="E5968" s="10" t="str">
        <f t="shared" si="1028"/>
        <v>Rancho Landero No. 87</v>
      </c>
      <c r="F5968" s="10" t="str">
        <f t="shared" si="1029"/>
        <v>Fey Lafferla</v>
      </c>
      <c r="G5968" s="8">
        <v>1</v>
      </c>
      <c r="H5968" s="11">
        <v>300</v>
      </c>
      <c r="I5968" s="12">
        <v>43163</v>
      </c>
      <c r="J5968" s="35">
        <f t="shared" si="1030"/>
        <v>0</v>
      </c>
      <c r="K5968" s="36"/>
      <c r="L5968" s="36"/>
      <c r="M5968" s="36"/>
      <c r="N5968" s="36"/>
      <c r="O5968" s="36"/>
      <c r="P5968" s="36"/>
      <c r="Q5968" s="36"/>
      <c r="R5968" s="36"/>
      <c r="S5968" s="36"/>
      <c r="T5968" s="36"/>
      <c r="U5968" s="36"/>
      <c r="V5968" s="36"/>
      <c r="W5968" s="15">
        <f t="shared" si="1031"/>
        <v>0</v>
      </c>
      <c r="X5968" s="36"/>
      <c r="Y5968" s="36"/>
      <c r="Z5968" s="36"/>
      <c r="AA5968" s="36"/>
      <c r="AB5968" s="36"/>
      <c r="AC5968" s="36"/>
      <c r="AD5968" s="36"/>
      <c r="AE5968" s="36"/>
      <c r="AF5968" s="36"/>
      <c r="AG5968" s="36"/>
      <c r="AH5968" s="36"/>
      <c r="AI5968" s="36"/>
      <c r="AJ5968" s="15">
        <f t="shared" si="1032"/>
        <v>0</v>
      </c>
      <c r="AK5968" s="14"/>
      <c r="AL5968" s="14"/>
      <c r="AM5968" s="14">
        <v>300</v>
      </c>
      <c r="AN5968" s="14"/>
      <c r="AO5968" s="14"/>
      <c r="AP5968" s="14"/>
      <c r="AQ5968" s="14"/>
      <c r="AR5968" s="14"/>
      <c r="AS5968" s="14"/>
      <c r="AT5968" s="14"/>
      <c r="AU5968" s="14"/>
      <c r="AV5968" s="14"/>
      <c r="AW5968" s="15">
        <f t="shared" si="1033"/>
        <v>300</v>
      </c>
      <c r="AX5968" s="16"/>
    </row>
    <row r="5969" spans="2:51" x14ac:dyDescent="0.2">
      <c r="B5969" s="7"/>
      <c r="C5969" s="8">
        <v>16104</v>
      </c>
      <c r="D5969" s="9"/>
      <c r="E5969" s="10" t="str">
        <f t="shared" si="1028"/>
        <v/>
      </c>
      <c r="F5969" s="10" t="str">
        <f t="shared" si="1029"/>
        <v/>
      </c>
      <c r="G5969" s="8">
        <v>8</v>
      </c>
      <c r="H5969" s="11"/>
      <c r="I5969" s="12"/>
      <c r="J5969" s="35">
        <f t="shared" si="1030"/>
        <v>0</v>
      </c>
      <c r="K5969" s="36"/>
      <c r="L5969" s="36"/>
      <c r="M5969" s="36"/>
      <c r="N5969" s="36"/>
      <c r="O5969" s="36"/>
      <c r="P5969" s="36"/>
      <c r="Q5969" s="36"/>
      <c r="R5969" s="36"/>
      <c r="S5969" s="36"/>
      <c r="T5969" s="36"/>
      <c r="U5969" s="36"/>
      <c r="V5969" s="36"/>
      <c r="W5969" s="15">
        <f t="shared" si="1031"/>
        <v>0</v>
      </c>
      <c r="X5969" s="36"/>
      <c r="Y5969" s="36"/>
      <c r="Z5969" s="36"/>
      <c r="AA5969" s="36"/>
      <c r="AB5969" s="36"/>
      <c r="AC5969" s="36"/>
      <c r="AD5969" s="36"/>
      <c r="AE5969" s="36"/>
      <c r="AF5969" s="36"/>
      <c r="AG5969" s="36"/>
      <c r="AH5969" s="36"/>
      <c r="AI5969" s="36"/>
      <c r="AJ5969" s="15">
        <f t="shared" si="1032"/>
        <v>0</v>
      </c>
      <c r="AK5969" s="14"/>
      <c r="AL5969" s="14"/>
      <c r="AM5969" s="14"/>
      <c r="AN5969" s="14"/>
      <c r="AO5969" s="14"/>
      <c r="AP5969" s="14"/>
      <c r="AQ5969" s="14"/>
      <c r="AR5969" s="14"/>
      <c r="AS5969" s="14"/>
      <c r="AT5969" s="14"/>
      <c r="AU5969" s="14"/>
      <c r="AV5969" s="14"/>
      <c r="AW5969" s="15">
        <f t="shared" si="1033"/>
        <v>0</v>
      </c>
      <c r="AX5969" s="16"/>
    </row>
    <row r="5970" spans="2:51" x14ac:dyDescent="0.2">
      <c r="B5970" s="7"/>
      <c r="C5970" s="8">
        <v>16105</v>
      </c>
      <c r="D5970" s="9" t="s">
        <v>132</v>
      </c>
      <c r="E5970" s="10" t="str">
        <f t="shared" si="1028"/>
        <v>Rancho La Cuchilla No. 129</v>
      </c>
      <c r="F5970" s="10" t="str">
        <f t="shared" si="1029"/>
        <v>Gamboa Rueda</v>
      </c>
      <c r="G5970" s="8">
        <v>4</v>
      </c>
      <c r="H5970" s="11">
        <v>200</v>
      </c>
      <c r="I5970" s="12">
        <v>43163</v>
      </c>
      <c r="J5970" s="35">
        <f t="shared" si="1030"/>
        <v>0</v>
      </c>
      <c r="K5970" s="36"/>
      <c r="L5970" s="36"/>
      <c r="M5970" s="36"/>
      <c r="N5970" s="36"/>
      <c r="O5970" s="36"/>
      <c r="P5970" s="36"/>
      <c r="Q5970" s="36"/>
      <c r="R5970" s="36"/>
      <c r="S5970" s="36"/>
      <c r="T5970" s="36"/>
      <c r="U5970" s="36"/>
      <c r="V5970" s="36"/>
      <c r="W5970" s="15">
        <f t="shared" si="1031"/>
        <v>0</v>
      </c>
      <c r="X5970" s="36"/>
      <c r="Y5970" s="36"/>
      <c r="Z5970" s="36"/>
      <c r="AA5970" s="36"/>
      <c r="AB5970" s="36"/>
      <c r="AC5970" s="36"/>
      <c r="AD5970" s="36"/>
      <c r="AE5970" s="36"/>
      <c r="AF5970" s="36"/>
      <c r="AG5970" s="36"/>
      <c r="AH5970" s="36"/>
      <c r="AI5970" s="36"/>
      <c r="AJ5970" s="15">
        <f t="shared" si="1032"/>
        <v>0</v>
      </c>
      <c r="AK5970" s="14"/>
      <c r="AL5970" s="14"/>
      <c r="AM5970" s="14"/>
      <c r="AN5970" s="14"/>
      <c r="AO5970" s="14"/>
      <c r="AP5970" s="14"/>
      <c r="AQ5970" s="14"/>
      <c r="AR5970" s="14"/>
      <c r="AS5970" s="14"/>
      <c r="AT5970" s="14"/>
      <c r="AU5970" s="14"/>
      <c r="AV5970" s="14"/>
      <c r="AW5970" s="15">
        <f t="shared" si="1033"/>
        <v>0</v>
      </c>
      <c r="AX5970" s="16" t="s">
        <v>5070</v>
      </c>
      <c r="AY5970" s="112"/>
    </row>
    <row r="5971" spans="2:51" x14ac:dyDescent="0.2">
      <c r="B5971" s="7"/>
      <c r="C5971" s="8">
        <v>16106</v>
      </c>
      <c r="D5971" s="9" t="s">
        <v>911</v>
      </c>
      <c r="E5971" s="10" t="str">
        <f t="shared" si="1028"/>
        <v>Rancho Estanzuela No. 19</v>
      </c>
      <c r="F5971" s="10" t="str">
        <f t="shared" si="1029"/>
        <v>Robles</v>
      </c>
      <c r="G5971" s="8">
        <v>1</v>
      </c>
      <c r="H5971" s="11">
        <v>400</v>
      </c>
      <c r="I5971" s="12">
        <v>43163</v>
      </c>
      <c r="J5971" s="35">
        <f t="shared" si="1030"/>
        <v>0</v>
      </c>
      <c r="K5971" s="36"/>
      <c r="L5971" s="36"/>
      <c r="M5971" s="36"/>
      <c r="N5971" s="36"/>
      <c r="O5971" s="36"/>
      <c r="P5971" s="36"/>
      <c r="Q5971" s="36"/>
      <c r="R5971" s="36"/>
      <c r="S5971" s="36"/>
      <c r="T5971" s="36"/>
      <c r="U5971" s="36"/>
      <c r="V5971" s="36"/>
      <c r="W5971" s="15">
        <f t="shared" si="1031"/>
        <v>0</v>
      </c>
      <c r="X5971" s="36"/>
      <c r="Y5971" s="36"/>
      <c r="Z5971" s="36"/>
      <c r="AA5971" s="36"/>
      <c r="AB5971" s="36"/>
      <c r="AC5971" s="36"/>
      <c r="AD5971" s="36"/>
      <c r="AE5971" s="36"/>
      <c r="AF5971" s="36"/>
      <c r="AG5971" s="36"/>
      <c r="AH5971" s="36"/>
      <c r="AI5971" s="36"/>
      <c r="AJ5971" s="15">
        <f t="shared" si="1032"/>
        <v>0</v>
      </c>
      <c r="AK5971" s="14"/>
      <c r="AL5971" s="14">
        <v>400</v>
      </c>
      <c r="AM5971" s="14"/>
      <c r="AN5971" s="14"/>
      <c r="AO5971" s="14"/>
      <c r="AP5971" s="14"/>
      <c r="AQ5971" s="14"/>
      <c r="AR5971" s="14"/>
      <c r="AS5971" s="14"/>
      <c r="AT5971" s="14"/>
      <c r="AU5971" s="14"/>
      <c r="AV5971" s="14"/>
      <c r="AW5971" s="15">
        <f t="shared" si="1033"/>
        <v>400</v>
      </c>
      <c r="AX5971" s="16"/>
    </row>
    <row r="5972" spans="2:51" x14ac:dyDescent="0.2">
      <c r="B5972" s="7"/>
      <c r="C5972" s="8">
        <v>16107</v>
      </c>
      <c r="D5972" s="9" t="s">
        <v>256</v>
      </c>
      <c r="E5972" s="10" t="str">
        <f t="shared" si="1028"/>
        <v>Rancho Recoveco No. 179</v>
      </c>
      <c r="F5972" s="10" t="str">
        <f t="shared" si="1029"/>
        <v>Flores Delgado</v>
      </c>
      <c r="G5972" s="8">
        <v>1</v>
      </c>
      <c r="H5972" s="11">
        <v>900</v>
      </c>
      <c r="I5972" s="12">
        <v>43163</v>
      </c>
      <c r="J5972" s="35">
        <f t="shared" si="1030"/>
        <v>0</v>
      </c>
      <c r="K5972" s="36"/>
      <c r="L5972" s="36"/>
      <c r="M5972" s="36"/>
      <c r="N5972" s="36"/>
      <c r="O5972" s="36"/>
      <c r="P5972" s="36"/>
      <c r="Q5972" s="36"/>
      <c r="R5972" s="36"/>
      <c r="S5972" s="36"/>
      <c r="T5972" s="36"/>
      <c r="U5972" s="36"/>
      <c r="V5972" s="36"/>
      <c r="W5972" s="15">
        <f t="shared" si="1031"/>
        <v>0</v>
      </c>
      <c r="X5972" s="36"/>
      <c r="Y5972" s="36"/>
      <c r="Z5972" s="36"/>
      <c r="AA5972" s="36"/>
      <c r="AB5972" s="36"/>
      <c r="AC5972" s="36"/>
      <c r="AD5972" s="36"/>
      <c r="AE5972" s="36"/>
      <c r="AF5972" s="36"/>
      <c r="AG5972" s="36"/>
      <c r="AH5972" s="36"/>
      <c r="AI5972" s="36"/>
      <c r="AJ5972" s="15">
        <f t="shared" si="1032"/>
        <v>0</v>
      </c>
      <c r="AK5972" s="14">
        <v>300</v>
      </c>
      <c r="AL5972" s="14">
        <v>300</v>
      </c>
      <c r="AM5972" s="14">
        <v>300</v>
      </c>
      <c r="AN5972" s="14"/>
      <c r="AO5972" s="14"/>
      <c r="AP5972" s="14"/>
      <c r="AQ5972" s="14"/>
      <c r="AR5972" s="14"/>
      <c r="AS5972" s="14"/>
      <c r="AT5972" s="14"/>
      <c r="AU5972" s="14"/>
      <c r="AV5972" s="14"/>
      <c r="AW5972" s="15">
        <f t="shared" si="1033"/>
        <v>900</v>
      </c>
      <c r="AX5972" s="16"/>
    </row>
    <row r="5973" spans="2:51" x14ac:dyDescent="0.2">
      <c r="B5973" s="7"/>
      <c r="C5973" s="8">
        <v>16108</v>
      </c>
      <c r="D5973" s="9" t="s">
        <v>637</v>
      </c>
      <c r="E5973" s="10" t="str">
        <f t="shared" si="1028"/>
        <v>Rancho Recoveco No. 193</v>
      </c>
      <c r="F5973" s="10" t="str">
        <f t="shared" si="1029"/>
        <v>Salazar Pérez</v>
      </c>
      <c r="G5973" s="8">
        <v>3</v>
      </c>
      <c r="H5973" s="11">
        <v>200</v>
      </c>
      <c r="I5973" s="12">
        <v>43163</v>
      </c>
      <c r="J5973" s="35">
        <f t="shared" si="1030"/>
        <v>0</v>
      </c>
      <c r="K5973" s="36"/>
      <c r="L5973" s="36"/>
      <c r="M5973" s="36"/>
      <c r="N5973" s="36"/>
      <c r="O5973" s="36"/>
      <c r="P5973" s="36"/>
      <c r="Q5973" s="36"/>
      <c r="R5973" s="36"/>
      <c r="S5973" s="36"/>
      <c r="T5973" s="36"/>
      <c r="U5973" s="36"/>
      <c r="V5973" s="36"/>
      <c r="W5973" s="15">
        <f t="shared" si="1031"/>
        <v>0</v>
      </c>
      <c r="X5973" s="36"/>
      <c r="Y5973" s="36"/>
      <c r="Z5973" s="36"/>
      <c r="AA5973" s="36"/>
      <c r="AB5973" s="36"/>
      <c r="AC5973" s="36"/>
      <c r="AD5973" s="36"/>
      <c r="AE5973" s="36"/>
      <c r="AF5973" s="36"/>
      <c r="AG5973" s="36"/>
      <c r="AH5973" s="36"/>
      <c r="AI5973" s="36"/>
      <c r="AJ5973" s="15">
        <f t="shared" si="1032"/>
        <v>0</v>
      </c>
      <c r="AK5973" s="14"/>
      <c r="AL5973" s="14"/>
      <c r="AM5973" s="14"/>
      <c r="AN5973" s="14"/>
      <c r="AO5973" s="14"/>
      <c r="AP5973" s="14"/>
      <c r="AQ5973" s="14"/>
      <c r="AR5973" s="14"/>
      <c r="AS5973" s="14"/>
      <c r="AT5973" s="14"/>
      <c r="AU5973" s="14"/>
      <c r="AV5973" s="14"/>
      <c r="AW5973" s="15">
        <f t="shared" si="1033"/>
        <v>0</v>
      </c>
      <c r="AX5973" s="16"/>
    </row>
    <row r="5974" spans="2:51" x14ac:dyDescent="0.2">
      <c r="B5974" s="7"/>
      <c r="C5974" s="8">
        <v>16109</v>
      </c>
      <c r="D5974" s="9" t="s">
        <v>1017</v>
      </c>
      <c r="E5974" s="10" t="str">
        <f t="shared" si="1028"/>
        <v>Rancho Estanzuela No. 119, 3</v>
      </c>
      <c r="F5974" s="10" t="str">
        <f t="shared" si="1029"/>
        <v>Montecillo</v>
      </c>
      <c r="G5974" s="8">
        <v>1</v>
      </c>
      <c r="H5974" s="11">
        <v>500</v>
      </c>
      <c r="I5974" s="12">
        <v>43163</v>
      </c>
      <c r="J5974" s="35">
        <f t="shared" si="1030"/>
        <v>0</v>
      </c>
      <c r="K5974" s="36"/>
      <c r="L5974" s="36"/>
      <c r="M5974" s="36"/>
      <c r="N5974" s="36"/>
      <c r="O5974" s="36"/>
      <c r="P5974" s="36"/>
      <c r="Q5974" s="36"/>
      <c r="R5974" s="36"/>
      <c r="S5974" s="36"/>
      <c r="T5974" s="36"/>
      <c r="U5974" s="36"/>
      <c r="V5974" s="36"/>
      <c r="W5974" s="15">
        <f t="shared" si="1031"/>
        <v>0</v>
      </c>
      <c r="X5974" s="36"/>
      <c r="Y5974" s="36"/>
      <c r="Z5974" s="36"/>
      <c r="AA5974" s="36"/>
      <c r="AB5974" s="36"/>
      <c r="AC5974" s="36"/>
      <c r="AD5974" s="36"/>
      <c r="AE5974" s="36"/>
      <c r="AF5974" s="36"/>
      <c r="AG5974" s="36"/>
      <c r="AH5974" s="36"/>
      <c r="AI5974" s="36"/>
      <c r="AJ5974" s="15">
        <f t="shared" si="1032"/>
        <v>0</v>
      </c>
      <c r="AK5974" s="14"/>
      <c r="AL5974" s="14">
        <v>250</v>
      </c>
      <c r="AM5974" s="14">
        <v>250</v>
      </c>
      <c r="AN5974" s="14"/>
      <c r="AO5974" s="14"/>
      <c r="AP5974" s="14"/>
      <c r="AQ5974" s="14"/>
      <c r="AR5974" s="14"/>
      <c r="AS5974" s="14"/>
      <c r="AT5974" s="14"/>
      <c r="AU5974" s="14"/>
      <c r="AV5974" s="14"/>
      <c r="AW5974" s="15">
        <f t="shared" si="1033"/>
        <v>500</v>
      </c>
      <c r="AX5974" s="316">
        <f>SUM(H5903:H5974)</f>
        <v>37975</v>
      </c>
      <c r="AY5974" s="112">
        <f>SUM(H5903:H5974)</f>
        <v>37975</v>
      </c>
    </row>
    <row r="5975" spans="2:51" x14ac:dyDescent="0.2">
      <c r="B5975" s="7"/>
      <c r="C5975" s="8">
        <v>16110</v>
      </c>
      <c r="D5975" s="9" t="s">
        <v>174</v>
      </c>
      <c r="E5975" s="10" t="str">
        <f t="shared" si="1028"/>
        <v>Rancho Upácuaro No. 18</v>
      </c>
      <c r="F5975" s="10" t="str">
        <f t="shared" si="1029"/>
        <v>Guzmán</v>
      </c>
      <c r="G5975" s="8">
        <v>1</v>
      </c>
      <c r="H5975" s="315">
        <v>300</v>
      </c>
      <c r="I5975" s="12">
        <v>43163</v>
      </c>
      <c r="J5975" s="35">
        <f t="shared" si="1030"/>
        <v>0</v>
      </c>
      <c r="K5975" s="36"/>
      <c r="L5975" s="36"/>
      <c r="M5975" s="36"/>
      <c r="N5975" s="36"/>
      <c r="O5975" s="36"/>
      <c r="P5975" s="36"/>
      <c r="Q5975" s="36"/>
      <c r="R5975" s="36"/>
      <c r="S5975" s="36"/>
      <c r="T5975" s="36"/>
      <c r="U5975" s="36"/>
      <c r="V5975" s="36"/>
      <c r="W5975" s="15">
        <f t="shared" si="1031"/>
        <v>0</v>
      </c>
      <c r="X5975" s="36"/>
      <c r="Y5975" s="36"/>
      <c r="Z5975" s="36"/>
      <c r="AA5975" s="36"/>
      <c r="AB5975" s="36"/>
      <c r="AC5975" s="36"/>
      <c r="AD5975" s="36"/>
      <c r="AE5975" s="36"/>
      <c r="AF5975" s="36"/>
      <c r="AG5975" s="36"/>
      <c r="AH5975" s="36"/>
      <c r="AI5975" s="36"/>
      <c r="AJ5975" s="15">
        <f t="shared" si="1032"/>
        <v>0</v>
      </c>
      <c r="AK5975" s="14"/>
      <c r="AL5975" s="14"/>
      <c r="AM5975" s="14">
        <v>300</v>
      </c>
      <c r="AN5975" s="14"/>
      <c r="AO5975" s="14"/>
      <c r="AP5975" s="14"/>
      <c r="AQ5975" s="14"/>
      <c r="AR5975" s="14"/>
      <c r="AS5975" s="14"/>
      <c r="AT5975" s="14"/>
      <c r="AU5975" s="14"/>
      <c r="AV5975" s="14"/>
      <c r="AW5975" s="15">
        <f t="shared" si="1033"/>
        <v>300</v>
      </c>
      <c r="AX5975" s="16"/>
      <c r="AY5975" s="112"/>
    </row>
    <row r="5976" spans="2:51" x14ac:dyDescent="0.2">
      <c r="B5976" s="7"/>
      <c r="C5976" s="8">
        <v>16111</v>
      </c>
      <c r="D5976" s="9" t="s">
        <v>205</v>
      </c>
      <c r="E5976" s="10" t="str">
        <f t="shared" si="1028"/>
        <v>Rancho Landero No. 1, A</v>
      </c>
      <c r="F5976" s="10" t="str">
        <f t="shared" si="1029"/>
        <v>Ebysos</v>
      </c>
      <c r="G5976" s="8">
        <v>1</v>
      </c>
      <c r="H5976" s="11">
        <v>600</v>
      </c>
      <c r="I5976" s="12">
        <v>43166</v>
      </c>
      <c r="J5976" s="35">
        <f t="shared" si="1030"/>
        <v>0</v>
      </c>
      <c r="K5976" s="36"/>
      <c r="L5976" s="36"/>
      <c r="M5976" s="36"/>
      <c r="N5976" s="36"/>
      <c r="O5976" s="36"/>
      <c r="P5976" s="36"/>
      <c r="Q5976" s="36"/>
      <c r="R5976" s="36"/>
      <c r="S5976" s="36"/>
      <c r="T5976" s="36"/>
      <c r="U5976" s="36"/>
      <c r="V5976" s="36"/>
      <c r="W5976" s="15">
        <f t="shared" si="1031"/>
        <v>0</v>
      </c>
      <c r="X5976" s="36"/>
      <c r="Y5976" s="36"/>
      <c r="Z5976" s="36"/>
      <c r="AA5976" s="36"/>
      <c r="AB5976" s="36"/>
      <c r="AC5976" s="36"/>
      <c r="AD5976" s="36"/>
      <c r="AE5976" s="36"/>
      <c r="AF5976" s="36"/>
      <c r="AG5976" s="36"/>
      <c r="AH5976" s="36"/>
      <c r="AI5976" s="36"/>
      <c r="AJ5976" s="15">
        <f t="shared" si="1032"/>
        <v>0</v>
      </c>
      <c r="AK5976" s="14"/>
      <c r="AL5976" s="14">
        <v>600</v>
      </c>
      <c r="AM5976" s="14"/>
      <c r="AN5976" s="14"/>
      <c r="AO5976" s="14"/>
      <c r="AP5976" s="14"/>
      <c r="AQ5976" s="14"/>
      <c r="AR5976" s="14"/>
      <c r="AS5976" s="14"/>
      <c r="AT5976" s="14"/>
      <c r="AU5976" s="14"/>
      <c r="AV5976" s="14"/>
      <c r="AW5976" s="15">
        <f t="shared" si="1033"/>
        <v>600</v>
      </c>
      <c r="AX5976" s="16"/>
    </row>
    <row r="5977" spans="2:51" x14ac:dyDescent="0.2">
      <c r="B5977" s="7"/>
      <c r="C5977" s="8">
        <v>16112</v>
      </c>
      <c r="D5977" s="9" t="s">
        <v>1391</v>
      </c>
      <c r="E5977" s="10" t="str">
        <f t="shared" si="1028"/>
        <v>Rancho Landero No. 54, 1</v>
      </c>
      <c r="F5977" s="10" t="str">
        <f t="shared" si="1029"/>
        <v>Montes de Oca</v>
      </c>
      <c r="G5977" s="8">
        <v>1</v>
      </c>
      <c r="H5977" s="11">
        <v>200</v>
      </c>
      <c r="I5977" s="12">
        <v>43167</v>
      </c>
      <c r="J5977" s="35">
        <f t="shared" si="1030"/>
        <v>0</v>
      </c>
      <c r="K5977" s="36"/>
      <c r="L5977" s="36"/>
      <c r="M5977" s="36"/>
      <c r="N5977" s="36"/>
      <c r="O5977" s="36"/>
      <c r="P5977" s="36"/>
      <c r="Q5977" s="36"/>
      <c r="R5977" s="36"/>
      <c r="S5977" s="36"/>
      <c r="T5977" s="36"/>
      <c r="U5977" s="36"/>
      <c r="V5977" s="36"/>
      <c r="W5977" s="15">
        <f t="shared" si="1031"/>
        <v>0</v>
      </c>
      <c r="X5977" s="36"/>
      <c r="Y5977" s="36"/>
      <c r="Z5977" s="36"/>
      <c r="AA5977" s="36"/>
      <c r="AB5977" s="36"/>
      <c r="AC5977" s="36"/>
      <c r="AD5977" s="36"/>
      <c r="AE5977" s="36"/>
      <c r="AF5977" s="36"/>
      <c r="AG5977" s="36"/>
      <c r="AH5977" s="36"/>
      <c r="AI5977" s="36"/>
      <c r="AJ5977" s="15">
        <f t="shared" si="1032"/>
        <v>0</v>
      </c>
      <c r="AK5977" s="14"/>
      <c r="AL5977" s="14">
        <v>200</v>
      </c>
      <c r="AM5977" s="14"/>
      <c r="AN5977" s="14"/>
      <c r="AO5977" s="14"/>
      <c r="AP5977" s="14"/>
      <c r="AQ5977" s="14"/>
      <c r="AR5977" s="14"/>
      <c r="AS5977" s="14"/>
      <c r="AT5977" s="14"/>
      <c r="AU5977" s="14"/>
      <c r="AV5977" s="14"/>
      <c r="AW5977" s="15">
        <f t="shared" si="1033"/>
        <v>200</v>
      </c>
      <c r="AX5977" s="16"/>
    </row>
    <row r="5978" spans="2:51" x14ac:dyDescent="0.2">
      <c r="B5978" s="7"/>
      <c r="C5978" s="8">
        <v>16113</v>
      </c>
      <c r="D5978" s="9" t="s">
        <v>384</v>
      </c>
      <c r="E5978" s="10" t="str">
        <f t="shared" si="1028"/>
        <v>Rancho Zinamba No. 88</v>
      </c>
      <c r="F5978" s="10" t="str">
        <f t="shared" si="1029"/>
        <v>Martínez</v>
      </c>
      <c r="G5978" s="8">
        <v>1</v>
      </c>
      <c r="H5978" s="11">
        <v>300</v>
      </c>
      <c r="I5978" s="12">
        <v>43170</v>
      </c>
      <c r="J5978" s="35">
        <f t="shared" si="1030"/>
        <v>0</v>
      </c>
      <c r="K5978" s="36"/>
      <c r="L5978" s="36"/>
      <c r="M5978" s="36"/>
      <c r="N5978" s="36"/>
      <c r="O5978" s="36"/>
      <c r="P5978" s="36"/>
      <c r="Q5978" s="36"/>
      <c r="R5978" s="36"/>
      <c r="S5978" s="36"/>
      <c r="T5978" s="36"/>
      <c r="U5978" s="36"/>
      <c r="V5978" s="36"/>
      <c r="W5978" s="15">
        <f t="shared" si="1031"/>
        <v>0</v>
      </c>
      <c r="X5978" s="36"/>
      <c r="Y5978" s="36"/>
      <c r="Z5978" s="36"/>
      <c r="AA5978" s="36"/>
      <c r="AB5978" s="36"/>
      <c r="AC5978" s="36"/>
      <c r="AD5978" s="36"/>
      <c r="AE5978" s="36"/>
      <c r="AF5978" s="36"/>
      <c r="AG5978" s="36"/>
      <c r="AH5978" s="36"/>
      <c r="AI5978" s="36"/>
      <c r="AJ5978" s="15">
        <f t="shared" si="1032"/>
        <v>0</v>
      </c>
      <c r="AK5978" s="14"/>
      <c r="AL5978" s="14"/>
      <c r="AM5978" s="14">
        <v>300</v>
      </c>
      <c r="AN5978" s="14"/>
      <c r="AO5978" s="14"/>
      <c r="AP5978" s="14"/>
      <c r="AQ5978" s="14"/>
      <c r="AR5978" s="14"/>
      <c r="AS5978" s="14"/>
      <c r="AT5978" s="14"/>
      <c r="AU5978" s="14"/>
      <c r="AV5978" s="14"/>
      <c r="AW5978" s="15">
        <f t="shared" si="1033"/>
        <v>300</v>
      </c>
      <c r="AX5978" s="16"/>
    </row>
    <row r="5979" spans="2:51" x14ac:dyDescent="0.2">
      <c r="B5979" s="7"/>
      <c r="C5979" s="8">
        <v>16114</v>
      </c>
      <c r="D5979" s="9" t="s">
        <v>473</v>
      </c>
      <c r="E5979" s="10" t="str">
        <f t="shared" si="1028"/>
        <v>Rancho Zinamba No. 14</v>
      </c>
      <c r="F5979" s="10" t="str">
        <f t="shared" si="1029"/>
        <v>Gutiérrez García</v>
      </c>
      <c r="G5979" s="8">
        <v>1</v>
      </c>
      <c r="H5979" s="11">
        <v>1200</v>
      </c>
      <c r="I5979" s="12">
        <v>43170</v>
      </c>
      <c r="J5979" s="35">
        <f t="shared" si="1030"/>
        <v>0</v>
      </c>
      <c r="K5979" s="36"/>
      <c r="L5979" s="36"/>
      <c r="M5979" s="36"/>
      <c r="N5979" s="36"/>
      <c r="O5979" s="36"/>
      <c r="P5979" s="36"/>
      <c r="Q5979" s="36"/>
      <c r="R5979" s="36"/>
      <c r="S5979" s="36"/>
      <c r="T5979" s="36"/>
      <c r="U5979" s="36"/>
      <c r="V5979" s="36"/>
      <c r="W5979" s="15">
        <f t="shared" si="1031"/>
        <v>0</v>
      </c>
      <c r="X5979" s="36"/>
      <c r="Y5979" s="36"/>
      <c r="Z5979" s="36"/>
      <c r="AA5979" s="36"/>
      <c r="AB5979" s="36"/>
      <c r="AC5979" s="36"/>
      <c r="AD5979" s="36"/>
      <c r="AE5979" s="36"/>
      <c r="AF5979" s="36"/>
      <c r="AG5979" s="36"/>
      <c r="AH5979" s="36"/>
      <c r="AI5979" s="36"/>
      <c r="AJ5979" s="15">
        <f t="shared" si="1032"/>
        <v>0</v>
      </c>
      <c r="AK5979" s="14">
        <v>400</v>
      </c>
      <c r="AL5979" s="14">
        <v>400</v>
      </c>
      <c r="AM5979" s="14">
        <v>400</v>
      </c>
      <c r="AN5979" s="14"/>
      <c r="AO5979" s="14"/>
      <c r="AP5979" s="14"/>
      <c r="AQ5979" s="14"/>
      <c r="AR5979" s="14"/>
      <c r="AS5979" s="14"/>
      <c r="AT5979" s="14"/>
      <c r="AU5979" s="14"/>
      <c r="AV5979" s="14"/>
      <c r="AW5979" s="15">
        <f t="shared" si="1033"/>
        <v>1200</v>
      </c>
      <c r="AX5979" s="16"/>
    </row>
    <row r="5980" spans="2:51" x14ac:dyDescent="0.2">
      <c r="B5980" s="7"/>
      <c r="C5980" s="8">
        <v>16115</v>
      </c>
      <c r="D5980" s="9" t="s">
        <v>617</v>
      </c>
      <c r="E5980" s="10" t="str">
        <f t="shared" si="1028"/>
        <v>Rancho Zinamba No. 50</v>
      </c>
      <c r="F5980" s="10" t="str">
        <f t="shared" si="1029"/>
        <v>Del Castillo</v>
      </c>
      <c r="G5980" s="8">
        <v>1</v>
      </c>
      <c r="H5980" s="11">
        <v>400</v>
      </c>
      <c r="I5980" s="12">
        <v>43170</v>
      </c>
      <c r="J5980" s="35">
        <f t="shared" si="1030"/>
        <v>0</v>
      </c>
      <c r="K5980" s="36"/>
      <c r="L5980" s="36"/>
      <c r="M5980" s="36"/>
      <c r="N5980" s="36"/>
      <c r="O5980" s="36"/>
      <c r="P5980" s="36"/>
      <c r="Q5980" s="36"/>
      <c r="R5980" s="36"/>
      <c r="S5980" s="36"/>
      <c r="T5980" s="36"/>
      <c r="U5980" s="36"/>
      <c r="V5980" s="36"/>
      <c r="W5980" s="15">
        <f t="shared" si="1031"/>
        <v>0</v>
      </c>
      <c r="X5980" s="36"/>
      <c r="Y5980" s="36"/>
      <c r="Z5980" s="36"/>
      <c r="AA5980" s="36"/>
      <c r="AB5980" s="36"/>
      <c r="AC5980" s="36"/>
      <c r="AD5980" s="36"/>
      <c r="AE5980" s="36"/>
      <c r="AF5980" s="36"/>
      <c r="AG5980" s="36"/>
      <c r="AH5980" s="36"/>
      <c r="AI5980" s="36"/>
      <c r="AJ5980" s="15">
        <f t="shared" si="1032"/>
        <v>0</v>
      </c>
      <c r="AK5980" s="14"/>
      <c r="AL5980" s="14">
        <v>400</v>
      </c>
      <c r="AM5980" s="14"/>
      <c r="AN5980" s="14"/>
      <c r="AO5980" s="14"/>
      <c r="AP5980" s="14"/>
      <c r="AQ5980" s="14"/>
      <c r="AR5980" s="14"/>
      <c r="AS5980" s="14"/>
      <c r="AT5980" s="14"/>
      <c r="AU5980" s="14"/>
      <c r="AV5980" s="14"/>
      <c r="AW5980" s="15">
        <f t="shared" si="1033"/>
        <v>400</v>
      </c>
      <c r="AX5980" s="16"/>
    </row>
    <row r="5981" spans="2:51" x14ac:dyDescent="0.2">
      <c r="B5981" s="7"/>
      <c r="C5981" s="8">
        <v>16116</v>
      </c>
      <c r="D5981" s="9" t="s">
        <v>431</v>
      </c>
      <c r="E5981" s="10" t="str">
        <f t="shared" si="1028"/>
        <v>Rancho Landero No. 63</v>
      </c>
      <c r="F5981" s="10" t="str">
        <f t="shared" si="1029"/>
        <v>Hernández Chávez</v>
      </c>
      <c r="G5981" s="8">
        <v>1</v>
      </c>
      <c r="H5981" s="11">
        <v>400</v>
      </c>
      <c r="I5981" s="12">
        <v>43170</v>
      </c>
      <c r="J5981" s="35">
        <f t="shared" si="1030"/>
        <v>0</v>
      </c>
      <c r="K5981" s="36"/>
      <c r="L5981" s="36"/>
      <c r="M5981" s="36"/>
      <c r="N5981" s="36"/>
      <c r="O5981" s="36"/>
      <c r="P5981" s="36"/>
      <c r="Q5981" s="36"/>
      <c r="R5981" s="36"/>
      <c r="S5981" s="36"/>
      <c r="T5981" s="36"/>
      <c r="U5981" s="36"/>
      <c r="V5981" s="36"/>
      <c r="W5981" s="15">
        <f t="shared" si="1031"/>
        <v>0</v>
      </c>
      <c r="X5981" s="36"/>
      <c r="Y5981" s="36"/>
      <c r="Z5981" s="36"/>
      <c r="AA5981" s="36"/>
      <c r="AB5981" s="36"/>
      <c r="AC5981" s="36"/>
      <c r="AD5981" s="36"/>
      <c r="AE5981" s="36"/>
      <c r="AF5981" s="36"/>
      <c r="AG5981" s="36"/>
      <c r="AH5981" s="36"/>
      <c r="AI5981" s="36"/>
      <c r="AJ5981" s="15">
        <f t="shared" si="1032"/>
        <v>0</v>
      </c>
      <c r="AK5981" s="14"/>
      <c r="AL5981" s="14">
        <v>400</v>
      </c>
      <c r="AM5981" s="14"/>
      <c r="AN5981" s="14"/>
      <c r="AO5981" s="14"/>
      <c r="AP5981" s="14"/>
      <c r="AQ5981" s="14"/>
      <c r="AR5981" s="14"/>
      <c r="AS5981" s="14"/>
      <c r="AT5981" s="14"/>
      <c r="AU5981" s="14"/>
      <c r="AV5981" s="14"/>
      <c r="AW5981" s="15">
        <f t="shared" si="1033"/>
        <v>400</v>
      </c>
      <c r="AX5981" s="16"/>
    </row>
    <row r="5982" spans="2:51" x14ac:dyDescent="0.2">
      <c r="B5982" s="7"/>
      <c r="C5982" s="8">
        <v>16117</v>
      </c>
      <c r="D5982" s="9" t="s">
        <v>574</v>
      </c>
      <c r="E5982" s="10" t="str">
        <f t="shared" si="1028"/>
        <v xml:space="preserve">Rancho Upácuaro No. 94 </v>
      </c>
      <c r="F5982" s="10" t="str">
        <f t="shared" si="1029"/>
        <v>Juárez Patiño</v>
      </c>
      <c r="G5982" s="8">
        <v>1</v>
      </c>
      <c r="H5982" s="11">
        <v>300</v>
      </c>
      <c r="I5982" s="12">
        <v>43170</v>
      </c>
      <c r="J5982" s="35">
        <f t="shared" si="1030"/>
        <v>0</v>
      </c>
      <c r="K5982" s="36"/>
      <c r="L5982" s="36"/>
      <c r="M5982" s="36"/>
      <c r="N5982" s="36"/>
      <c r="O5982" s="36"/>
      <c r="P5982" s="36"/>
      <c r="Q5982" s="36"/>
      <c r="R5982" s="36"/>
      <c r="S5982" s="36"/>
      <c r="T5982" s="36"/>
      <c r="U5982" s="36"/>
      <c r="V5982" s="36"/>
      <c r="W5982" s="15">
        <f t="shared" si="1031"/>
        <v>0</v>
      </c>
      <c r="X5982" s="36"/>
      <c r="Y5982" s="36"/>
      <c r="Z5982" s="36"/>
      <c r="AA5982" s="36"/>
      <c r="AB5982" s="36"/>
      <c r="AC5982" s="36"/>
      <c r="AD5982" s="36"/>
      <c r="AE5982" s="36"/>
      <c r="AF5982" s="36"/>
      <c r="AG5982" s="36"/>
      <c r="AH5982" s="36"/>
      <c r="AI5982" s="36"/>
      <c r="AJ5982" s="15">
        <f t="shared" si="1032"/>
        <v>0</v>
      </c>
      <c r="AK5982" s="14"/>
      <c r="AL5982" s="14"/>
      <c r="AM5982" s="14">
        <v>300</v>
      </c>
      <c r="AN5982" s="14"/>
      <c r="AO5982" s="14"/>
      <c r="AP5982" s="14"/>
      <c r="AQ5982" s="14"/>
      <c r="AR5982" s="14"/>
      <c r="AS5982" s="14"/>
      <c r="AT5982" s="14"/>
      <c r="AU5982" s="14"/>
      <c r="AV5982" s="14"/>
      <c r="AW5982" s="15">
        <f t="shared" si="1033"/>
        <v>300</v>
      </c>
      <c r="AX5982" s="16"/>
    </row>
    <row r="5983" spans="2:51" x14ac:dyDescent="0.2">
      <c r="B5983" s="7"/>
      <c r="C5983" s="8">
        <v>16118</v>
      </c>
      <c r="D5983" s="9" t="s">
        <v>1148</v>
      </c>
      <c r="E5983" s="10" t="str">
        <f t="shared" si="1028"/>
        <v>Rancho La Cuchilla No. 118</v>
      </c>
      <c r="F5983" s="10" t="str">
        <f t="shared" si="1029"/>
        <v>Astorga Ruiz</v>
      </c>
      <c r="G5983" s="8">
        <v>1</v>
      </c>
      <c r="H5983" s="11">
        <v>800</v>
      </c>
      <c r="I5983" s="12">
        <v>43170</v>
      </c>
      <c r="J5983" s="35">
        <f t="shared" si="1030"/>
        <v>0</v>
      </c>
      <c r="K5983" s="36"/>
      <c r="L5983" s="36"/>
      <c r="M5983" s="36"/>
      <c r="N5983" s="36"/>
      <c r="O5983" s="36"/>
      <c r="P5983" s="36"/>
      <c r="Q5983" s="36"/>
      <c r="R5983" s="36"/>
      <c r="S5983" s="36"/>
      <c r="T5983" s="36"/>
      <c r="U5983" s="36"/>
      <c r="V5983" s="36"/>
      <c r="W5983" s="15">
        <f t="shared" si="1031"/>
        <v>0</v>
      </c>
      <c r="X5983" s="36"/>
      <c r="Y5983" s="36"/>
      <c r="Z5983" s="36"/>
      <c r="AA5983" s="36"/>
      <c r="AB5983" s="36"/>
      <c r="AC5983" s="36"/>
      <c r="AD5983" s="36"/>
      <c r="AE5983" s="36"/>
      <c r="AF5983" s="36"/>
      <c r="AG5983" s="36"/>
      <c r="AH5983" s="36">
        <v>400</v>
      </c>
      <c r="AI5983" s="36">
        <v>400</v>
      </c>
      <c r="AJ5983" s="15">
        <f t="shared" si="1032"/>
        <v>800</v>
      </c>
      <c r="AK5983" s="14"/>
      <c r="AL5983" s="14"/>
      <c r="AM5983" s="14"/>
      <c r="AN5983" s="14"/>
      <c r="AO5983" s="14"/>
      <c r="AP5983" s="14"/>
      <c r="AQ5983" s="14"/>
      <c r="AR5983" s="14"/>
      <c r="AS5983" s="14"/>
      <c r="AT5983" s="14"/>
      <c r="AU5983" s="14"/>
      <c r="AV5983" s="14"/>
      <c r="AW5983" s="15">
        <f t="shared" si="1033"/>
        <v>0</v>
      </c>
      <c r="AX5983" s="16"/>
    </row>
    <row r="5984" spans="2:51" x14ac:dyDescent="0.2">
      <c r="B5984" s="7"/>
      <c r="C5984" s="8">
        <v>16118</v>
      </c>
      <c r="D5984" s="9" t="s">
        <v>1148</v>
      </c>
      <c r="E5984" s="10" t="str">
        <f t="shared" si="1028"/>
        <v>Rancho La Cuchilla No. 118</v>
      </c>
      <c r="F5984" s="10" t="str">
        <f t="shared" si="1029"/>
        <v>Astorga Ruiz</v>
      </c>
      <c r="G5984" s="8">
        <v>4</v>
      </c>
      <c r="H5984" s="11">
        <v>200</v>
      </c>
      <c r="I5984" s="12">
        <v>43170</v>
      </c>
      <c r="J5984" s="35">
        <f t="shared" si="1030"/>
        <v>0</v>
      </c>
      <c r="K5984" s="36"/>
      <c r="L5984" s="36"/>
      <c r="M5984" s="36"/>
      <c r="N5984" s="36"/>
      <c r="O5984" s="36"/>
      <c r="P5984" s="36"/>
      <c r="Q5984" s="36"/>
      <c r="R5984" s="36"/>
      <c r="S5984" s="36"/>
      <c r="T5984" s="36"/>
      <c r="U5984" s="36"/>
      <c r="V5984" s="36"/>
      <c r="W5984" s="15">
        <f t="shared" si="1031"/>
        <v>0</v>
      </c>
      <c r="X5984" s="36"/>
      <c r="Y5984" s="36"/>
      <c r="Z5984" s="36"/>
      <c r="AA5984" s="36"/>
      <c r="AB5984" s="36"/>
      <c r="AC5984" s="36"/>
      <c r="AD5984" s="36"/>
      <c r="AE5984" s="36"/>
      <c r="AF5984" s="36"/>
      <c r="AG5984" s="36"/>
      <c r="AH5984" s="36"/>
      <c r="AI5984" s="36"/>
      <c r="AJ5984" s="15">
        <f t="shared" si="1032"/>
        <v>0</v>
      </c>
      <c r="AK5984" s="14"/>
      <c r="AL5984" s="14"/>
      <c r="AM5984" s="14"/>
      <c r="AN5984" s="14"/>
      <c r="AO5984" s="14"/>
      <c r="AP5984" s="14"/>
      <c r="AQ5984" s="14"/>
      <c r="AR5984" s="14"/>
      <c r="AS5984" s="14"/>
      <c r="AT5984" s="14"/>
      <c r="AU5984" s="14"/>
      <c r="AV5984" s="14"/>
      <c r="AW5984" s="15">
        <f t="shared" si="1033"/>
        <v>0</v>
      </c>
      <c r="AX5984" s="16" t="s">
        <v>5071</v>
      </c>
    </row>
    <row r="5985" spans="2:50" x14ac:dyDescent="0.2">
      <c r="B5985" s="7"/>
      <c r="C5985" s="8">
        <v>16118</v>
      </c>
      <c r="D5985" s="9" t="s">
        <v>1148</v>
      </c>
      <c r="E5985" s="10" t="str">
        <f t="shared" si="1028"/>
        <v>Rancho La Cuchilla No. 118</v>
      </c>
      <c r="F5985" s="10" t="str">
        <f t="shared" si="1029"/>
        <v>Astorga Ruiz</v>
      </c>
      <c r="G5985" s="8">
        <v>5</v>
      </c>
      <c r="H5985" s="11">
        <v>50</v>
      </c>
      <c r="I5985" s="12">
        <v>43170</v>
      </c>
      <c r="J5985" s="35">
        <f t="shared" si="1030"/>
        <v>0</v>
      </c>
      <c r="K5985" s="36"/>
      <c r="L5985" s="36"/>
      <c r="M5985" s="36"/>
      <c r="N5985" s="36"/>
      <c r="O5985" s="36"/>
      <c r="P5985" s="36"/>
      <c r="Q5985" s="36"/>
      <c r="R5985" s="36"/>
      <c r="S5985" s="36"/>
      <c r="T5985" s="36"/>
      <c r="U5985" s="36"/>
      <c r="V5985" s="36"/>
      <c r="W5985" s="15">
        <f t="shared" si="1031"/>
        <v>0</v>
      </c>
      <c r="X5985" s="36"/>
      <c r="Y5985" s="36"/>
      <c r="Z5985" s="36"/>
      <c r="AA5985" s="36"/>
      <c r="AB5985" s="36"/>
      <c r="AC5985" s="36"/>
      <c r="AD5985" s="36"/>
      <c r="AE5985" s="36"/>
      <c r="AF5985" s="36"/>
      <c r="AG5985" s="36"/>
      <c r="AH5985" s="36"/>
      <c r="AI5985" s="36"/>
      <c r="AJ5985" s="15">
        <f t="shared" si="1032"/>
        <v>0</v>
      </c>
      <c r="AK5985" s="14"/>
      <c r="AL5985" s="14"/>
      <c r="AM5985" s="14"/>
      <c r="AN5985" s="14"/>
      <c r="AO5985" s="14"/>
      <c r="AP5985" s="14"/>
      <c r="AQ5985" s="14"/>
      <c r="AR5985" s="14"/>
      <c r="AS5985" s="14"/>
      <c r="AT5985" s="14"/>
      <c r="AU5985" s="14"/>
      <c r="AV5985" s="14"/>
      <c r="AW5985" s="15">
        <f t="shared" si="1033"/>
        <v>0</v>
      </c>
      <c r="AX5985" s="16"/>
    </row>
    <row r="5986" spans="2:50" x14ac:dyDescent="0.2">
      <c r="B5986" s="7"/>
      <c r="C5986" s="8">
        <v>16119</v>
      </c>
      <c r="D5986" s="9" t="s">
        <v>271</v>
      </c>
      <c r="E5986" s="10" t="str">
        <f t="shared" si="1028"/>
        <v>Rancho Landero No. 76</v>
      </c>
      <c r="F5986" s="10" t="str">
        <f t="shared" si="1029"/>
        <v>Ugarte</v>
      </c>
      <c r="G5986" s="8">
        <v>1</v>
      </c>
      <c r="H5986" s="11">
        <v>400</v>
      </c>
      <c r="I5986" s="12">
        <v>43170</v>
      </c>
      <c r="J5986" s="35">
        <f t="shared" si="1030"/>
        <v>0</v>
      </c>
      <c r="K5986" s="36"/>
      <c r="L5986" s="36"/>
      <c r="M5986" s="36"/>
      <c r="N5986" s="36"/>
      <c r="O5986" s="36"/>
      <c r="P5986" s="36"/>
      <c r="Q5986" s="36"/>
      <c r="R5986" s="36"/>
      <c r="S5986" s="36"/>
      <c r="T5986" s="36"/>
      <c r="U5986" s="36"/>
      <c r="V5986" s="36"/>
      <c r="W5986" s="15">
        <f t="shared" si="1031"/>
        <v>0</v>
      </c>
      <c r="X5986" s="36"/>
      <c r="Y5986" s="36"/>
      <c r="Z5986" s="36"/>
      <c r="AA5986" s="36"/>
      <c r="AB5986" s="36"/>
      <c r="AC5986" s="36"/>
      <c r="AD5986" s="36"/>
      <c r="AE5986" s="36"/>
      <c r="AF5986" s="36"/>
      <c r="AG5986" s="36"/>
      <c r="AH5986" s="36"/>
      <c r="AI5986" s="36"/>
      <c r="AJ5986" s="15">
        <f t="shared" si="1032"/>
        <v>0</v>
      </c>
      <c r="AK5986" s="14"/>
      <c r="AL5986" s="14"/>
      <c r="AM5986" s="14">
        <v>400</v>
      </c>
      <c r="AN5986" s="14"/>
      <c r="AO5986" s="14"/>
      <c r="AP5986" s="14"/>
      <c r="AQ5986" s="14"/>
      <c r="AR5986" s="14"/>
      <c r="AS5986" s="14"/>
      <c r="AT5986" s="14"/>
      <c r="AU5986" s="14"/>
      <c r="AV5986" s="14"/>
      <c r="AW5986" s="15">
        <f t="shared" si="1033"/>
        <v>400</v>
      </c>
      <c r="AX5986" s="16"/>
    </row>
    <row r="5987" spans="2:50" x14ac:dyDescent="0.2">
      <c r="B5987" s="7"/>
      <c r="C5987" s="8">
        <v>16120</v>
      </c>
      <c r="D5987" s="9" t="s">
        <v>192</v>
      </c>
      <c r="E5987" s="10" t="str">
        <f t="shared" si="1028"/>
        <v>Rancho Landero No. 77</v>
      </c>
      <c r="F5987" s="10" t="str">
        <f t="shared" si="1029"/>
        <v>Muñoz</v>
      </c>
      <c r="G5987" s="8">
        <v>1</v>
      </c>
      <c r="H5987" s="11">
        <v>400</v>
      </c>
      <c r="I5987" s="12">
        <v>43170</v>
      </c>
      <c r="J5987" s="35">
        <f t="shared" si="1030"/>
        <v>0</v>
      </c>
      <c r="K5987" s="36"/>
      <c r="L5987" s="36"/>
      <c r="M5987" s="36"/>
      <c r="N5987" s="36"/>
      <c r="O5987" s="36"/>
      <c r="P5987" s="36"/>
      <c r="Q5987" s="36"/>
      <c r="R5987" s="36"/>
      <c r="S5987" s="36"/>
      <c r="T5987" s="36"/>
      <c r="U5987" s="36"/>
      <c r="V5987" s="36"/>
      <c r="W5987" s="15">
        <f t="shared" si="1031"/>
        <v>0</v>
      </c>
      <c r="X5987" s="36"/>
      <c r="Y5987" s="36"/>
      <c r="Z5987" s="36"/>
      <c r="AA5987" s="36"/>
      <c r="AB5987" s="36"/>
      <c r="AC5987" s="36"/>
      <c r="AD5987" s="36"/>
      <c r="AE5987" s="36"/>
      <c r="AF5987" s="36"/>
      <c r="AG5987" s="36"/>
      <c r="AH5987" s="36"/>
      <c r="AI5987" s="36"/>
      <c r="AJ5987" s="15">
        <f t="shared" si="1032"/>
        <v>0</v>
      </c>
      <c r="AK5987" s="14"/>
      <c r="AL5987" s="14">
        <v>400</v>
      </c>
      <c r="AM5987" s="14"/>
      <c r="AN5987" s="14"/>
      <c r="AO5987" s="14"/>
      <c r="AP5987" s="14"/>
      <c r="AQ5987" s="14"/>
      <c r="AR5987" s="14"/>
      <c r="AS5987" s="14"/>
      <c r="AT5987" s="14"/>
      <c r="AU5987" s="14"/>
      <c r="AV5987" s="14"/>
      <c r="AW5987" s="15">
        <f t="shared" si="1033"/>
        <v>400</v>
      </c>
      <c r="AX5987" s="16"/>
    </row>
    <row r="5988" spans="2:50" x14ac:dyDescent="0.2">
      <c r="B5988" s="7"/>
      <c r="C5988" s="8">
        <v>16120</v>
      </c>
      <c r="D5988" s="9" t="s">
        <v>192</v>
      </c>
      <c r="E5988" s="10" t="str">
        <f t="shared" si="1028"/>
        <v>Rancho Landero No. 77</v>
      </c>
      <c r="F5988" s="10" t="str">
        <f t="shared" si="1029"/>
        <v>Muñoz</v>
      </c>
      <c r="G5988" s="8">
        <v>4</v>
      </c>
      <c r="H5988" s="11">
        <v>200</v>
      </c>
      <c r="I5988" s="12">
        <v>43170</v>
      </c>
      <c r="J5988" s="35">
        <f t="shared" si="1030"/>
        <v>0</v>
      </c>
      <c r="K5988" s="36"/>
      <c r="L5988" s="36"/>
      <c r="M5988" s="36"/>
      <c r="N5988" s="36"/>
      <c r="O5988" s="36"/>
      <c r="P5988" s="36"/>
      <c r="Q5988" s="36"/>
      <c r="R5988" s="36"/>
      <c r="S5988" s="36"/>
      <c r="T5988" s="36"/>
      <c r="U5988" s="36"/>
      <c r="V5988" s="36"/>
      <c r="W5988" s="15">
        <f t="shared" si="1031"/>
        <v>0</v>
      </c>
      <c r="X5988" s="36"/>
      <c r="Y5988" s="36"/>
      <c r="Z5988" s="36"/>
      <c r="AA5988" s="36"/>
      <c r="AB5988" s="36"/>
      <c r="AC5988" s="36"/>
      <c r="AD5988" s="36"/>
      <c r="AE5988" s="36"/>
      <c r="AF5988" s="36"/>
      <c r="AG5988" s="36"/>
      <c r="AH5988" s="36"/>
      <c r="AI5988" s="36"/>
      <c r="AJ5988" s="15">
        <f t="shared" si="1032"/>
        <v>0</v>
      </c>
      <c r="AK5988" s="14"/>
      <c r="AL5988" s="14"/>
      <c r="AM5988" s="14"/>
      <c r="AN5988" s="14"/>
      <c r="AO5988" s="14"/>
      <c r="AP5988" s="14"/>
      <c r="AQ5988" s="14"/>
      <c r="AR5988" s="14"/>
      <c r="AS5988" s="14"/>
      <c r="AT5988" s="14"/>
      <c r="AU5988" s="14"/>
      <c r="AV5988" s="14"/>
      <c r="AW5988" s="15">
        <f t="shared" si="1033"/>
        <v>0</v>
      </c>
      <c r="AX5988" s="16" t="s">
        <v>5072</v>
      </c>
    </row>
    <row r="5989" spans="2:50" x14ac:dyDescent="0.2">
      <c r="B5989" s="7"/>
      <c r="C5989" s="8">
        <v>16120</v>
      </c>
      <c r="D5989" s="9" t="s">
        <v>192</v>
      </c>
      <c r="E5989" s="10" t="str">
        <f t="shared" si="1028"/>
        <v>Rancho Landero No. 77</v>
      </c>
      <c r="F5989" s="10" t="str">
        <f t="shared" si="1029"/>
        <v>Muñoz</v>
      </c>
      <c r="G5989" s="8">
        <v>5</v>
      </c>
      <c r="H5989" s="11">
        <v>50</v>
      </c>
      <c r="I5989" s="12">
        <v>43170</v>
      </c>
      <c r="J5989" s="35">
        <f t="shared" si="1030"/>
        <v>0</v>
      </c>
      <c r="K5989" s="36"/>
      <c r="L5989" s="36"/>
      <c r="M5989" s="36"/>
      <c r="N5989" s="36"/>
      <c r="O5989" s="36"/>
      <c r="P5989" s="36"/>
      <c r="Q5989" s="36"/>
      <c r="R5989" s="36"/>
      <c r="S5989" s="36"/>
      <c r="T5989" s="36"/>
      <c r="U5989" s="36"/>
      <c r="V5989" s="36"/>
      <c r="W5989" s="15">
        <f t="shared" si="1031"/>
        <v>0</v>
      </c>
      <c r="X5989" s="36"/>
      <c r="Y5989" s="36"/>
      <c r="Z5989" s="36"/>
      <c r="AA5989" s="36"/>
      <c r="AB5989" s="36"/>
      <c r="AC5989" s="36"/>
      <c r="AD5989" s="36"/>
      <c r="AE5989" s="36"/>
      <c r="AF5989" s="36"/>
      <c r="AG5989" s="36"/>
      <c r="AH5989" s="36"/>
      <c r="AI5989" s="36"/>
      <c r="AJ5989" s="15">
        <f t="shared" si="1032"/>
        <v>0</v>
      </c>
      <c r="AK5989" s="14"/>
      <c r="AL5989" s="14"/>
      <c r="AM5989" s="14"/>
      <c r="AN5989" s="14"/>
      <c r="AO5989" s="14"/>
      <c r="AP5989" s="14"/>
      <c r="AQ5989" s="14"/>
      <c r="AR5989" s="14"/>
      <c r="AS5989" s="14"/>
      <c r="AT5989" s="14"/>
      <c r="AU5989" s="14"/>
      <c r="AV5989" s="14"/>
      <c r="AW5989" s="15">
        <f t="shared" si="1033"/>
        <v>0</v>
      </c>
      <c r="AX5989" s="16"/>
    </row>
    <row r="5990" spans="2:50" x14ac:dyDescent="0.2">
      <c r="B5990" s="7"/>
      <c r="C5990" s="8">
        <v>16121</v>
      </c>
      <c r="D5990" s="9" t="s">
        <v>202</v>
      </c>
      <c r="E5990" s="10" t="str">
        <f t="shared" si="1028"/>
        <v>Rancho Estanzuela No. 25</v>
      </c>
      <c r="F5990" s="10" t="str">
        <f t="shared" si="1029"/>
        <v>Contreras Figueroa</v>
      </c>
      <c r="G5990" s="8">
        <v>1</v>
      </c>
      <c r="H5990" s="11">
        <v>400</v>
      </c>
      <c r="I5990" s="12">
        <v>43170</v>
      </c>
      <c r="J5990" s="35">
        <f t="shared" si="1030"/>
        <v>0</v>
      </c>
      <c r="K5990" s="36"/>
      <c r="L5990" s="36"/>
      <c r="M5990" s="36"/>
      <c r="N5990" s="36"/>
      <c r="O5990" s="36"/>
      <c r="P5990" s="36"/>
      <c r="Q5990" s="36"/>
      <c r="R5990" s="36"/>
      <c r="S5990" s="36"/>
      <c r="T5990" s="36"/>
      <c r="U5990" s="36"/>
      <c r="V5990" s="36"/>
      <c r="W5990" s="15">
        <f t="shared" si="1031"/>
        <v>0</v>
      </c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15">
        <f t="shared" si="1032"/>
        <v>0</v>
      </c>
      <c r="AK5990" s="14"/>
      <c r="AL5990" s="14"/>
      <c r="AM5990" s="14">
        <v>400</v>
      </c>
      <c r="AN5990" s="14"/>
      <c r="AO5990" s="14"/>
      <c r="AP5990" s="14"/>
      <c r="AQ5990" s="14"/>
      <c r="AR5990" s="14"/>
      <c r="AS5990" s="14"/>
      <c r="AT5990" s="14"/>
      <c r="AU5990" s="14"/>
      <c r="AV5990" s="14"/>
      <c r="AW5990" s="15">
        <f t="shared" si="1033"/>
        <v>400</v>
      </c>
      <c r="AX5990" s="16"/>
    </row>
    <row r="5991" spans="2:50" x14ac:dyDescent="0.2">
      <c r="B5991" s="7"/>
      <c r="C5991" s="8">
        <v>16122</v>
      </c>
      <c r="D5991" s="9" t="s">
        <v>241</v>
      </c>
      <c r="E5991" s="10" t="str">
        <f t="shared" ref="E5991:E6023" si="1040">IF(D5991=0,"",VLOOKUP(D5991,BASE,2,FALSE))</f>
        <v>Rancho La Cuchilla No. 81, A</v>
      </c>
      <c r="F5991" s="10" t="str">
        <f t="shared" ref="F5991:F6023" si="1041">IF(D5991=0,"",VLOOKUP(D5991,BASE,3,FALSE))</f>
        <v>Barrientos López</v>
      </c>
      <c r="G5991" s="8">
        <v>1</v>
      </c>
      <c r="H5991" s="11">
        <v>400</v>
      </c>
      <c r="I5991" s="12">
        <v>43170</v>
      </c>
      <c r="J5991" s="35">
        <f t="shared" ref="J5991:J6023" si="1042">IF(G5991=1,SUM(W5991,AJ5991,AW5991,-H5991),0)</f>
        <v>0</v>
      </c>
      <c r="K5991" s="36"/>
      <c r="L5991" s="36"/>
      <c r="M5991" s="36"/>
      <c r="N5991" s="36"/>
      <c r="O5991" s="36"/>
      <c r="P5991" s="36"/>
      <c r="Q5991" s="36"/>
      <c r="R5991" s="36"/>
      <c r="S5991" s="36"/>
      <c r="T5991" s="36"/>
      <c r="U5991" s="36"/>
      <c r="V5991" s="36"/>
      <c r="W5991" s="15">
        <f t="shared" ref="W5991:W6023" si="1043">SUM(K5991:V5991)</f>
        <v>0</v>
      </c>
      <c r="X5991" s="36"/>
      <c r="Y5991" s="36"/>
      <c r="Z5991" s="36"/>
      <c r="AA5991" s="36"/>
      <c r="AB5991" s="36"/>
      <c r="AC5991" s="36"/>
      <c r="AD5991" s="36"/>
      <c r="AE5991" s="36"/>
      <c r="AF5991" s="36"/>
      <c r="AG5991" s="36"/>
      <c r="AH5991" s="36"/>
      <c r="AI5991" s="36"/>
      <c r="AJ5991" s="15">
        <f t="shared" ref="AJ5991:AJ6023" si="1044">SUM(X5991:AI5991)</f>
        <v>0</v>
      </c>
      <c r="AK5991" s="14"/>
      <c r="AL5991" s="14"/>
      <c r="AM5991" s="14">
        <v>400</v>
      </c>
      <c r="AN5991" s="14"/>
      <c r="AO5991" s="14"/>
      <c r="AP5991" s="14"/>
      <c r="AQ5991" s="14"/>
      <c r="AR5991" s="14"/>
      <c r="AS5991" s="14"/>
      <c r="AT5991" s="14"/>
      <c r="AU5991" s="14"/>
      <c r="AV5991" s="14"/>
      <c r="AW5991" s="15">
        <f t="shared" ref="AW5991:AW6023" si="1045">SUM(AK5991:AV5991)</f>
        <v>400</v>
      </c>
      <c r="AX5991" s="16"/>
    </row>
    <row r="5992" spans="2:50" x14ac:dyDescent="0.2">
      <c r="B5992" s="7"/>
      <c r="C5992" s="8">
        <v>16123</v>
      </c>
      <c r="D5992" s="9" t="s">
        <v>649</v>
      </c>
      <c r="E5992" s="10" t="str">
        <f t="shared" si="1040"/>
        <v>Rancho Estanzuela No. 57</v>
      </c>
      <c r="F5992" s="10" t="str">
        <f t="shared" si="1041"/>
        <v>Olivares</v>
      </c>
      <c r="G5992" s="8">
        <v>1</v>
      </c>
      <c r="H5992" s="11">
        <v>600</v>
      </c>
      <c r="I5992" s="12">
        <v>43170</v>
      </c>
      <c r="J5992" s="35">
        <f t="shared" si="1042"/>
        <v>0</v>
      </c>
      <c r="K5992" s="36"/>
      <c r="L5992" s="36"/>
      <c r="M5992" s="36"/>
      <c r="N5992" s="36"/>
      <c r="O5992" s="36"/>
      <c r="P5992" s="36"/>
      <c r="Q5992" s="36"/>
      <c r="R5992" s="36"/>
      <c r="S5992" s="36"/>
      <c r="T5992" s="36"/>
      <c r="U5992" s="36"/>
      <c r="V5992" s="36"/>
      <c r="W5992" s="15">
        <f t="shared" si="1043"/>
        <v>0</v>
      </c>
      <c r="X5992" s="36"/>
      <c r="Y5992" s="36"/>
      <c r="Z5992" s="36"/>
      <c r="AA5992" s="36"/>
      <c r="AB5992" s="36"/>
      <c r="AC5992" s="36"/>
      <c r="AD5992" s="36"/>
      <c r="AE5992" s="36"/>
      <c r="AF5992" s="36"/>
      <c r="AG5992" s="36"/>
      <c r="AH5992" s="36"/>
      <c r="AI5992" s="36"/>
      <c r="AJ5992" s="15">
        <f t="shared" si="1044"/>
        <v>0</v>
      </c>
      <c r="AK5992" s="14"/>
      <c r="AL5992" s="14">
        <v>300</v>
      </c>
      <c r="AM5992" s="14">
        <v>300</v>
      </c>
      <c r="AN5992" s="14"/>
      <c r="AO5992" s="14"/>
      <c r="AP5992" s="14"/>
      <c r="AQ5992" s="14"/>
      <c r="AR5992" s="14"/>
      <c r="AS5992" s="14"/>
      <c r="AT5992" s="14"/>
      <c r="AU5992" s="14"/>
      <c r="AV5992" s="14"/>
      <c r="AW5992" s="15">
        <f t="shared" si="1045"/>
        <v>600</v>
      </c>
      <c r="AX5992" s="16"/>
    </row>
    <row r="5993" spans="2:50" x14ac:dyDescent="0.2">
      <c r="B5993" s="7"/>
      <c r="C5993" s="8">
        <v>16124</v>
      </c>
      <c r="D5993" s="9" t="s">
        <v>488</v>
      </c>
      <c r="E5993" s="10" t="str">
        <f t="shared" si="1040"/>
        <v>Rancho Landero No. 85</v>
      </c>
      <c r="F5993" s="10" t="str">
        <f t="shared" si="1041"/>
        <v>Martínez Olague</v>
      </c>
      <c r="G5993" s="8">
        <v>1</v>
      </c>
      <c r="H5993" s="11">
        <v>400</v>
      </c>
      <c r="I5993" s="12">
        <v>43170</v>
      </c>
      <c r="J5993" s="35">
        <f t="shared" si="1042"/>
        <v>0</v>
      </c>
      <c r="K5993" s="36"/>
      <c r="L5993" s="36"/>
      <c r="M5993" s="36"/>
      <c r="N5993" s="36"/>
      <c r="O5993" s="36"/>
      <c r="P5993" s="36"/>
      <c r="Q5993" s="36"/>
      <c r="R5993" s="36"/>
      <c r="S5993" s="36"/>
      <c r="T5993" s="36"/>
      <c r="U5993" s="36"/>
      <c r="V5993" s="36"/>
      <c r="W5993" s="15">
        <f t="shared" si="1043"/>
        <v>0</v>
      </c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15">
        <f t="shared" si="1044"/>
        <v>0</v>
      </c>
      <c r="AK5993" s="14"/>
      <c r="AL5993" s="14"/>
      <c r="AM5993" s="14">
        <v>400</v>
      </c>
      <c r="AN5993" s="14"/>
      <c r="AO5993" s="14"/>
      <c r="AP5993" s="14"/>
      <c r="AQ5993" s="14"/>
      <c r="AR5993" s="14"/>
      <c r="AS5993" s="14"/>
      <c r="AT5993" s="14"/>
      <c r="AU5993" s="14"/>
      <c r="AV5993" s="14"/>
      <c r="AW5993" s="15">
        <f t="shared" si="1045"/>
        <v>400</v>
      </c>
      <c r="AX5993" s="16"/>
    </row>
    <row r="5994" spans="2:50" x14ac:dyDescent="0.2">
      <c r="B5994" s="7"/>
      <c r="C5994" s="8">
        <v>16125</v>
      </c>
      <c r="D5994" s="9" t="s">
        <v>583</v>
      </c>
      <c r="E5994" s="10" t="str">
        <f t="shared" si="1040"/>
        <v>Rancho La Cuchilla No. 111</v>
      </c>
      <c r="F5994" s="10" t="str">
        <f t="shared" si="1041"/>
        <v>García Santos Ofelia</v>
      </c>
      <c r="G5994" s="8">
        <v>1</v>
      </c>
      <c r="H5994" s="11">
        <v>200</v>
      </c>
      <c r="I5994" s="12">
        <v>43170</v>
      </c>
      <c r="J5994" s="35">
        <f t="shared" si="1042"/>
        <v>0</v>
      </c>
      <c r="K5994" s="36"/>
      <c r="L5994" s="36"/>
      <c r="M5994" s="36"/>
      <c r="N5994" s="36"/>
      <c r="O5994" s="36"/>
      <c r="P5994" s="36"/>
      <c r="Q5994" s="36"/>
      <c r="R5994" s="36"/>
      <c r="S5994" s="36"/>
      <c r="T5994" s="36"/>
      <c r="U5994" s="36"/>
      <c r="V5994" s="36"/>
      <c r="W5994" s="15">
        <f t="shared" si="1043"/>
        <v>0</v>
      </c>
      <c r="X5994" s="36"/>
      <c r="Y5994" s="36"/>
      <c r="Z5994" s="36"/>
      <c r="AA5994" s="36"/>
      <c r="AB5994" s="36"/>
      <c r="AC5994" s="36"/>
      <c r="AD5994" s="36"/>
      <c r="AE5994" s="36"/>
      <c r="AF5994" s="36"/>
      <c r="AG5994" s="36"/>
      <c r="AH5994" s="36"/>
      <c r="AI5994" s="36"/>
      <c r="AJ5994" s="15">
        <f t="shared" si="1044"/>
        <v>0</v>
      </c>
      <c r="AK5994" s="14"/>
      <c r="AL5994" s="14"/>
      <c r="AM5994" s="14">
        <v>200</v>
      </c>
      <c r="AN5994" s="14"/>
      <c r="AO5994" s="14"/>
      <c r="AP5994" s="14"/>
      <c r="AQ5994" s="14"/>
      <c r="AR5994" s="14"/>
      <c r="AS5994" s="14"/>
      <c r="AT5994" s="14"/>
      <c r="AU5994" s="14"/>
      <c r="AV5994" s="14"/>
      <c r="AW5994" s="15">
        <f t="shared" si="1045"/>
        <v>200</v>
      </c>
      <c r="AX5994" s="16"/>
    </row>
    <row r="5995" spans="2:50" x14ac:dyDescent="0.2">
      <c r="B5995" s="7"/>
      <c r="C5995" s="8">
        <v>16126</v>
      </c>
      <c r="D5995" s="9" t="s">
        <v>277</v>
      </c>
      <c r="E5995" s="10" t="str">
        <f t="shared" si="1040"/>
        <v>Rancho Estanzuela No. 7, A</v>
      </c>
      <c r="F5995" s="10" t="str">
        <f t="shared" si="1041"/>
        <v>Herrera Izquierdo</v>
      </c>
      <c r="G5995" s="8">
        <v>1</v>
      </c>
      <c r="H5995" s="11">
        <v>200</v>
      </c>
      <c r="I5995" s="12">
        <v>43170</v>
      </c>
      <c r="J5995" s="35">
        <f t="shared" si="1042"/>
        <v>0</v>
      </c>
      <c r="K5995" s="36"/>
      <c r="L5995" s="36"/>
      <c r="M5995" s="36"/>
      <c r="N5995" s="36"/>
      <c r="O5995" s="36"/>
      <c r="P5995" s="36"/>
      <c r="Q5995" s="36"/>
      <c r="R5995" s="36"/>
      <c r="S5995" s="36"/>
      <c r="T5995" s="36"/>
      <c r="U5995" s="36"/>
      <c r="V5995" s="36"/>
      <c r="W5995" s="15">
        <f t="shared" si="1043"/>
        <v>0</v>
      </c>
      <c r="X5995" s="36"/>
      <c r="Y5995" s="36"/>
      <c r="Z5995" s="36"/>
      <c r="AA5995" s="36"/>
      <c r="AB5995" s="36"/>
      <c r="AC5995" s="36"/>
      <c r="AD5995" s="36"/>
      <c r="AE5995" s="36"/>
      <c r="AF5995" s="36"/>
      <c r="AG5995" s="36"/>
      <c r="AH5995" s="36"/>
      <c r="AI5995" s="36"/>
      <c r="AJ5995" s="15">
        <f t="shared" si="1044"/>
        <v>0</v>
      </c>
      <c r="AK5995" s="14"/>
      <c r="AL5995" s="14"/>
      <c r="AM5995" s="14">
        <v>200</v>
      </c>
      <c r="AN5995" s="14"/>
      <c r="AO5995" s="14"/>
      <c r="AP5995" s="14"/>
      <c r="AQ5995" s="14"/>
      <c r="AR5995" s="14"/>
      <c r="AS5995" s="14"/>
      <c r="AT5995" s="14"/>
      <c r="AU5995" s="14"/>
      <c r="AV5995" s="14"/>
      <c r="AW5995" s="15">
        <f t="shared" si="1045"/>
        <v>200</v>
      </c>
      <c r="AX5995" s="16"/>
    </row>
    <row r="5996" spans="2:50" x14ac:dyDescent="0.2">
      <c r="B5996" s="7"/>
      <c r="C5996" s="8">
        <v>16127</v>
      </c>
      <c r="D5996" s="9" t="s">
        <v>129</v>
      </c>
      <c r="E5996" s="10" t="str">
        <f t="shared" si="1040"/>
        <v>Rancho Zinamba No. 44</v>
      </c>
      <c r="F5996" s="10" t="str">
        <f t="shared" si="1041"/>
        <v>Canales</v>
      </c>
      <c r="G5996" s="8">
        <v>1</v>
      </c>
      <c r="H5996" s="11">
        <v>400</v>
      </c>
      <c r="I5996" s="12">
        <v>43170</v>
      </c>
      <c r="J5996" s="35">
        <f t="shared" si="1042"/>
        <v>0</v>
      </c>
      <c r="K5996" s="36"/>
      <c r="L5996" s="36"/>
      <c r="M5996" s="36"/>
      <c r="N5996" s="36"/>
      <c r="O5996" s="36"/>
      <c r="P5996" s="36"/>
      <c r="Q5996" s="36"/>
      <c r="R5996" s="36"/>
      <c r="S5996" s="36"/>
      <c r="T5996" s="36"/>
      <c r="U5996" s="36"/>
      <c r="V5996" s="36"/>
      <c r="W5996" s="15">
        <f t="shared" si="1043"/>
        <v>0</v>
      </c>
      <c r="X5996" s="36"/>
      <c r="Y5996" s="36"/>
      <c r="Z5996" s="36"/>
      <c r="AA5996" s="36"/>
      <c r="AB5996" s="36"/>
      <c r="AC5996" s="36"/>
      <c r="AD5996" s="36"/>
      <c r="AE5996" s="36"/>
      <c r="AF5996" s="36"/>
      <c r="AG5996" s="36"/>
      <c r="AH5996" s="36"/>
      <c r="AI5996" s="36"/>
      <c r="AJ5996" s="15">
        <f t="shared" si="1044"/>
        <v>0</v>
      </c>
      <c r="AK5996" s="14"/>
      <c r="AL5996" s="14"/>
      <c r="AM5996" s="14">
        <v>400</v>
      </c>
      <c r="AN5996" s="14"/>
      <c r="AO5996" s="14"/>
      <c r="AP5996" s="14"/>
      <c r="AQ5996" s="14"/>
      <c r="AR5996" s="14"/>
      <c r="AS5996" s="14"/>
      <c r="AT5996" s="14"/>
      <c r="AU5996" s="14"/>
      <c r="AV5996" s="14"/>
      <c r="AW5996" s="15">
        <f t="shared" si="1045"/>
        <v>400</v>
      </c>
      <c r="AX5996" s="16"/>
    </row>
    <row r="5997" spans="2:50" x14ac:dyDescent="0.2">
      <c r="B5997" s="7"/>
      <c r="C5997" s="8">
        <v>16128</v>
      </c>
      <c r="D5997" s="9" t="s">
        <v>595</v>
      </c>
      <c r="E5997" s="10" t="str">
        <f t="shared" si="1040"/>
        <v>Rancho Upácuaro No. 62</v>
      </c>
      <c r="F5997" s="10" t="str">
        <f t="shared" si="1041"/>
        <v>Jiménez Escutia</v>
      </c>
      <c r="G5997" s="8">
        <v>1</v>
      </c>
      <c r="H5997" s="11">
        <v>4800</v>
      </c>
      <c r="I5997" s="12">
        <v>43170</v>
      </c>
      <c r="J5997" s="35">
        <f t="shared" si="1042"/>
        <v>0</v>
      </c>
      <c r="K5997" s="36"/>
      <c r="L5997" s="36"/>
      <c r="M5997" s="36"/>
      <c r="N5997" s="36"/>
      <c r="O5997" s="36"/>
      <c r="P5997" s="36"/>
      <c r="Q5997" s="36"/>
      <c r="R5997" s="36"/>
      <c r="S5997" s="36"/>
      <c r="T5997" s="36"/>
      <c r="U5997" s="36"/>
      <c r="V5997" s="36"/>
      <c r="W5997" s="15">
        <f t="shared" si="1043"/>
        <v>0</v>
      </c>
      <c r="X5997" s="36"/>
      <c r="Y5997" s="36"/>
      <c r="Z5997" s="36"/>
      <c r="AA5997" s="36"/>
      <c r="AB5997" s="36"/>
      <c r="AC5997" s="36"/>
      <c r="AD5997" s="36"/>
      <c r="AE5997" s="36"/>
      <c r="AF5997" s="36"/>
      <c r="AG5997" s="36"/>
      <c r="AH5997" s="36"/>
      <c r="AI5997" s="36"/>
      <c r="AJ5997" s="15">
        <f t="shared" si="1044"/>
        <v>0</v>
      </c>
      <c r="AK5997" s="14">
        <v>400</v>
      </c>
      <c r="AL5997" s="14">
        <v>400</v>
      </c>
      <c r="AM5997" s="14">
        <v>400</v>
      </c>
      <c r="AN5997" s="14">
        <v>400</v>
      </c>
      <c r="AO5997" s="14">
        <v>400</v>
      </c>
      <c r="AP5997" s="14">
        <v>400</v>
      </c>
      <c r="AQ5997" s="14">
        <v>400</v>
      </c>
      <c r="AR5997" s="14">
        <v>400</v>
      </c>
      <c r="AS5997" s="14">
        <v>400</v>
      </c>
      <c r="AT5997" s="14">
        <v>400</v>
      </c>
      <c r="AU5997" s="14">
        <v>400</v>
      </c>
      <c r="AV5997" s="14">
        <v>400</v>
      </c>
      <c r="AW5997" s="15">
        <f t="shared" si="1045"/>
        <v>4800</v>
      </c>
      <c r="AX5997" s="16"/>
    </row>
    <row r="5998" spans="2:50" x14ac:dyDescent="0.2">
      <c r="B5998" s="7"/>
      <c r="C5998" s="8">
        <v>16129</v>
      </c>
      <c r="D5998" s="9" t="s">
        <v>1299</v>
      </c>
      <c r="E5998" s="10" t="str">
        <f t="shared" si="1040"/>
        <v>Rancho La Cuchilla No. 107</v>
      </c>
      <c r="F5998" s="10" t="str">
        <f t="shared" si="1041"/>
        <v>Quiñones, Eduardo</v>
      </c>
      <c r="G5998" s="8">
        <v>1</v>
      </c>
      <c r="H5998" s="11">
        <v>1200</v>
      </c>
      <c r="I5998" s="12">
        <v>43170</v>
      </c>
      <c r="J5998" s="35">
        <f t="shared" si="1042"/>
        <v>0</v>
      </c>
      <c r="K5998" s="36"/>
      <c r="L5998" s="36"/>
      <c r="M5998" s="36"/>
      <c r="N5998" s="36"/>
      <c r="O5998" s="36"/>
      <c r="P5998" s="36"/>
      <c r="Q5998" s="36"/>
      <c r="R5998" s="36"/>
      <c r="S5998" s="36"/>
      <c r="T5998" s="36"/>
      <c r="U5998" s="36"/>
      <c r="V5998" s="36"/>
      <c r="W5998" s="15">
        <f t="shared" si="1043"/>
        <v>0</v>
      </c>
      <c r="X5998" s="36"/>
      <c r="Y5998" s="36"/>
      <c r="Z5998" s="36"/>
      <c r="AA5998" s="36"/>
      <c r="AB5998" s="36"/>
      <c r="AC5998" s="36"/>
      <c r="AD5998" s="36"/>
      <c r="AE5998" s="36"/>
      <c r="AF5998" s="36"/>
      <c r="AG5998" s="36"/>
      <c r="AH5998" s="36"/>
      <c r="AI5998" s="36"/>
      <c r="AJ5998" s="15">
        <f t="shared" si="1044"/>
        <v>0</v>
      </c>
      <c r="AK5998" s="14">
        <v>400</v>
      </c>
      <c r="AL5998" s="14">
        <v>400</v>
      </c>
      <c r="AM5998" s="14">
        <v>400</v>
      </c>
      <c r="AN5998" s="14"/>
      <c r="AO5998" s="14"/>
      <c r="AP5998" s="14"/>
      <c r="AQ5998" s="14"/>
      <c r="AR5998" s="14"/>
      <c r="AS5998" s="14"/>
      <c r="AT5998" s="14"/>
      <c r="AU5998" s="14"/>
      <c r="AV5998" s="14"/>
      <c r="AW5998" s="15">
        <f t="shared" si="1045"/>
        <v>1200</v>
      </c>
      <c r="AX5998" s="16"/>
    </row>
    <row r="5999" spans="2:50" x14ac:dyDescent="0.2">
      <c r="B5999" s="7"/>
      <c r="C5999" s="8">
        <v>16130</v>
      </c>
      <c r="D5999" s="9" t="s">
        <v>625</v>
      </c>
      <c r="E5999" s="10" t="str">
        <f t="shared" si="1040"/>
        <v>Rancho Upácuaro No. 60</v>
      </c>
      <c r="F5999" s="10" t="str">
        <f t="shared" si="1041"/>
        <v>Zavala</v>
      </c>
      <c r="G5999" s="8">
        <v>1</v>
      </c>
      <c r="H5999" s="11">
        <v>400</v>
      </c>
      <c r="I5999" s="12">
        <v>43170</v>
      </c>
      <c r="J5999" s="35">
        <f t="shared" si="1042"/>
        <v>0</v>
      </c>
      <c r="K5999" s="36"/>
      <c r="L5999" s="36"/>
      <c r="M5999" s="36"/>
      <c r="N5999" s="36"/>
      <c r="O5999" s="36"/>
      <c r="P5999" s="36"/>
      <c r="Q5999" s="36"/>
      <c r="R5999" s="36"/>
      <c r="S5999" s="36"/>
      <c r="T5999" s="36"/>
      <c r="U5999" s="36"/>
      <c r="V5999" s="36"/>
      <c r="W5999" s="15">
        <f t="shared" si="1043"/>
        <v>0</v>
      </c>
      <c r="X5999" s="36"/>
      <c r="Y5999" s="36"/>
      <c r="Z5999" s="36"/>
      <c r="AA5999" s="36"/>
      <c r="AB5999" s="36"/>
      <c r="AC5999" s="36"/>
      <c r="AD5999" s="36"/>
      <c r="AE5999" s="36"/>
      <c r="AF5999" s="36"/>
      <c r="AG5999" s="36"/>
      <c r="AH5999" s="36"/>
      <c r="AI5999" s="36"/>
      <c r="AJ5999" s="15">
        <f t="shared" si="1044"/>
        <v>0</v>
      </c>
      <c r="AK5999" s="14"/>
      <c r="AL5999" s="14"/>
      <c r="AM5999" s="14">
        <v>400</v>
      </c>
      <c r="AN5999" s="14"/>
      <c r="AO5999" s="14"/>
      <c r="AP5999" s="14"/>
      <c r="AQ5999" s="14"/>
      <c r="AR5999" s="14"/>
      <c r="AS5999" s="14"/>
      <c r="AT5999" s="14"/>
      <c r="AU5999" s="14"/>
      <c r="AV5999" s="14"/>
      <c r="AW5999" s="15">
        <f t="shared" si="1045"/>
        <v>400</v>
      </c>
      <c r="AX5999" s="16"/>
    </row>
    <row r="6000" spans="2:50" x14ac:dyDescent="0.2">
      <c r="B6000" s="7"/>
      <c r="C6000" s="8">
        <v>16131</v>
      </c>
      <c r="D6000" s="9" t="s">
        <v>544</v>
      </c>
      <c r="E6000" s="10" t="str">
        <f t="shared" si="1040"/>
        <v>Rancho Estanzuela No. 89</v>
      </c>
      <c r="F6000" s="10" t="str">
        <f t="shared" si="1041"/>
        <v>Romero Ortiz</v>
      </c>
      <c r="G6000" s="8">
        <v>1</v>
      </c>
      <c r="H6000" s="11">
        <v>400</v>
      </c>
      <c r="I6000" s="12">
        <v>43170</v>
      </c>
      <c r="J6000" s="35">
        <f t="shared" si="1042"/>
        <v>0</v>
      </c>
      <c r="K6000" s="36"/>
      <c r="L6000" s="36"/>
      <c r="M6000" s="36"/>
      <c r="N6000" s="36"/>
      <c r="O6000" s="36"/>
      <c r="P6000" s="36"/>
      <c r="Q6000" s="36"/>
      <c r="R6000" s="36"/>
      <c r="S6000" s="36"/>
      <c r="T6000" s="36"/>
      <c r="U6000" s="36"/>
      <c r="V6000" s="36"/>
      <c r="W6000" s="15">
        <f t="shared" si="1043"/>
        <v>0</v>
      </c>
      <c r="X6000" s="36"/>
      <c r="Y6000" s="36"/>
      <c r="Z6000" s="36"/>
      <c r="AA6000" s="36"/>
      <c r="AB6000" s="36"/>
      <c r="AC6000" s="36"/>
      <c r="AD6000" s="36"/>
      <c r="AE6000" s="36"/>
      <c r="AF6000" s="36"/>
      <c r="AG6000" s="36"/>
      <c r="AH6000" s="36"/>
      <c r="AI6000" s="36"/>
      <c r="AJ6000" s="15">
        <f t="shared" si="1044"/>
        <v>0</v>
      </c>
      <c r="AK6000" s="14"/>
      <c r="AL6000" s="14"/>
      <c r="AM6000" s="14">
        <v>400</v>
      </c>
      <c r="AN6000" s="14"/>
      <c r="AO6000" s="14"/>
      <c r="AP6000" s="14"/>
      <c r="AQ6000" s="14"/>
      <c r="AR6000" s="14"/>
      <c r="AS6000" s="14"/>
      <c r="AT6000" s="14"/>
      <c r="AU6000" s="14"/>
      <c r="AV6000" s="14"/>
      <c r="AW6000" s="15">
        <f t="shared" si="1045"/>
        <v>400</v>
      </c>
      <c r="AX6000" s="16"/>
    </row>
    <row r="6001" spans="2:50" x14ac:dyDescent="0.2">
      <c r="B6001" s="7"/>
      <c r="C6001" s="8">
        <v>16132</v>
      </c>
      <c r="D6001" s="9" t="s">
        <v>437</v>
      </c>
      <c r="E6001" s="10" t="str">
        <f t="shared" si="1040"/>
        <v>Rancho Upácuaro No. 47</v>
      </c>
      <c r="F6001" s="10" t="str">
        <f t="shared" si="1041"/>
        <v>Flores Muñoz</v>
      </c>
      <c r="G6001" s="8">
        <v>1</v>
      </c>
      <c r="H6001" s="11">
        <v>800</v>
      </c>
      <c r="I6001" s="12">
        <v>43170</v>
      </c>
      <c r="J6001" s="35">
        <f t="shared" si="1042"/>
        <v>0</v>
      </c>
      <c r="K6001" s="36"/>
      <c r="L6001" s="36"/>
      <c r="M6001" s="36"/>
      <c r="N6001" s="36"/>
      <c r="O6001" s="36"/>
      <c r="P6001" s="36"/>
      <c r="Q6001" s="36"/>
      <c r="R6001" s="36"/>
      <c r="S6001" s="36"/>
      <c r="T6001" s="36"/>
      <c r="U6001" s="36"/>
      <c r="V6001" s="36"/>
      <c r="W6001" s="15">
        <f t="shared" si="1043"/>
        <v>0</v>
      </c>
      <c r="X6001" s="36"/>
      <c r="Y6001" s="36"/>
      <c r="Z6001" s="36"/>
      <c r="AA6001" s="36"/>
      <c r="AB6001" s="36"/>
      <c r="AC6001" s="36"/>
      <c r="AD6001" s="36"/>
      <c r="AE6001" s="36"/>
      <c r="AF6001" s="36"/>
      <c r="AG6001" s="36"/>
      <c r="AH6001" s="36"/>
      <c r="AI6001" s="36"/>
      <c r="AJ6001" s="15">
        <f t="shared" si="1044"/>
        <v>0</v>
      </c>
      <c r="AK6001" s="14"/>
      <c r="AL6001" s="14">
        <v>400</v>
      </c>
      <c r="AM6001" s="14">
        <v>400</v>
      </c>
      <c r="AN6001" s="14"/>
      <c r="AO6001" s="14"/>
      <c r="AP6001" s="14"/>
      <c r="AQ6001" s="14"/>
      <c r="AR6001" s="14"/>
      <c r="AS6001" s="14"/>
      <c r="AT6001" s="14"/>
      <c r="AU6001" s="14"/>
      <c r="AV6001" s="14"/>
      <c r="AW6001" s="15">
        <f t="shared" si="1045"/>
        <v>800</v>
      </c>
      <c r="AX6001" s="16"/>
    </row>
    <row r="6002" spans="2:50" x14ac:dyDescent="0.2">
      <c r="B6002" s="7"/>
      <c r="C6002" s="8">
        <v>16132</v>
      </c>
      <c r="D6002" s="9" t="s">
        <v>437</v>
      </c>
      <c r="E6002" s="10" t="str">
        <f t="shared" si="1040"/>
        <v>Rancho Upácuaro No. 47</v>
      </c>
      <c r="F6002" s="10" t="str">
        <f t="shared" si="1041"/>
        <v>Flores Muñoz</v>
      </c>
      <c r="G6002" s="8">
        <v>5</v>
      </c>
      <c r="H6002" s="11">
        <v>100</v>
      </c>
      <c r="I6002" s="12">
        <v>43170</v>
      </c>
      <c r="J6002" s="35">
        <f t="shared" si="1042"/>
        <v>0</v>
      </c>
      <c r="K6002" s="36"/>
      <c r="L6002" s="36"/>
      <c r="M6002" s="36"/>
      <c r="N6002" s="36"/>
      <c r="O6002" s="36"/>
      <c r="P6002" s="36"/>
      <c r="Q6002" s="36"/>
      <c r="R6002" s="36"/>
      <c r="S6002" s="36"/>
      <c r="T6002" s="36"/>
      <c r="U6002" s="36"/>
      <c r="V6002" s="36"/>
      <c r="W6002" s="15">
        <f t="shared" si="1043"/>
        <v>0</v>
      </c>
      <c r="X6002" s="36"/>
      <c r="Y6002" s="36"/>
      <c r="Z6002" s="36"/>
      <c r="AA6002" s="36"/>
      <c r="AB6002" s="36"/>
      <c r="AC6002" s="36"/>
      <c r="AD6002" s="36"/>
      <c r="AE6002" s="36"/>
      <c r="AF6002" s="36"/>
      <c r="AG6002" s="36"/>
      <c r="AH6002" s="36"/>
      <c r="AI6002" s="36"/>
      <c r="AJ6002" s="15">
        <f t="shared" si="1044"/>
        <v>0</v>
      </c>
      <c r="AK6002" s="14"/>
      <c r="AL6002" s="14"/>
      <c r="AM6002" s="14"/>
      <c r="AN6002" s="14"/>
      <c r="AO6002" s="14"/>
      <c r="AP6002" s="14"/>
      <c r="AQ6002" s="14"/>
      <c r="AR6002" s="14"/>
      <c r="AS6002" s="14"/>
      <c r="AT6002" s="14"/>
      <c r="AU6002" s="14"/>
      <c r="AV6002" s="14"/>
      <c r="AW6002" s="15">
        <f t="shared" si="1045"/>
        <v>0</v>
      </c>
      <c r="AX6002" s="16"/>
    </row>
    <row r="6003" spans="2:50" x14ac:dyDescent="0.2">
      <c r="B6003" s="7"/>
      <c r="C6003" s="8">
        <v>16133</v>
      </c>
      <c r="D6003" s="9" t="s">
        <v>696</v>
      </c>
      <c r="E6003" s="10" t="str">
        <f t="shared" si="1040"/>
        <v>Rancho Upácuaro No. 64</v>
      </c>
      <c r="F6003" s="10" t="str">
        <f t="shared" si="1041"/>
        <v>Méndez Oliva</v>
      </c>
      <c r="G6003" s="8">
        <v>1</v>
      </c>
      <c r="H6003" s="11">
        <v>300</v>
      </c>
      <c r="I6003" s="12">
        <v>43170</v>
      </c>
      <c r="J6003" s="35">
        <f t="shared" si="1042"/>
        <v>0</v>
      </c>
      <c r="K6003" s="36"/>
      <c r="L6003" s="36"/>
      <c r="M6003" s="36"/>
      <c r="N6003" s="36"/>
      <c r="O6003" s="36"/>
      <c r="P6003" s="36"/>
      <c r="Q6003" s="36"/>
      <c r="R6003" s="36"/>
      <c r="S6003" s="36"/>
      <c r="T6003" s="36"/>
      <c r="U6003" s="36"/>
      <c r="V6003" s="36"/>
      <c r="W6003" s="15">
        <f t="shared" si="1043"/>
        <v>0</v>
      </c>
      <c r="X6003" s="36"/>
      <c r="Y6003" s="36"/>
      <c r="Z6003" s="36"/>
      <c r="AA6003" s="36"/>
      <c r="AB6003" s="36"/>
      <c r="AC6003" s="36"/>
      <c r="AD6003" s="36"/>
      <c r="AE6003" s="36"/>
      <c r="AF6003" s="36"/>
      <c r="AG6003" s="36"/>
      <c r="AH6003" s="36"/>
      <c r="AI6003" s="36"/>
      <c r="AJ6003" s="15">
        <f t="shared" si="1044"/>
        <v>0</v>
      </c>
      <c r="AK6003" s="14"/>
      <c r="AL6003" s="14"/>
      <c r="AM6003" s="14">
        <v>300</v>
      </c>
      <c r="AN6003" s="14"/>
      <c r="AO6003" s="14"/>
      <c r="AP6003" s="14"/>
      <c r="AQ6003" s="14"/>
      <c r="AR6003" s="14"/>
      <c r="AS6003" s="14"/>
      <c r="AT6003" s="14"/>
      <c r="AU6003" s="14"/>
      <c r="AV6003" s="14"/>
      <c r="AW6003" s="15">
        <f t="shared" si="1045"/>
        <v>300</v>
      </c>
      <c r="AX6003" s="16"/>
    </row>
    <row r="6004" spans="2:50" x14ac:dyDescent="0.2">
      <c r="B6004" s="7"/>
      <c r="C6004" s="8">
        <v>16134</v>
      </c>
      <c r="D6004" s="9" t="s">
        <v>858</v>
      </c>
      <c r="E6004" s="10" t="str">
        <f t="shared" si="1040"/>
        <v>Rancho Landero No. 45</v>
      </c>
      <c r="F6004" s="10" t="str">
        <f t="shared" si="1041"/>
        <v>Solano</v>
      </c>
      <c r="G6004" s="8">
        <v>1</v>
      </c>
      <c r="H6004" s="11">
        <v>800</v>
      </c>
      <c r="I6004" s="12">
        <v>43170</v>
      </c>
      <c r="J6004" s="35">
        <f t="shared" si="1042"/>
        <v>0</v>
      </c>
      <c r="K6004" s="36"/>
      <c r="L6004" s="36"/>
      <c r="M6004" s="36"/>
      <c r="N6004" s="36"/>
      <c r="O6004" s="36"/>
      <c r="P6004" s="36"/>
      <c r="Q6004" s="36"/>
      <c r="R6004" s="36"/>
      <c r="S6004" s="36"/>
      <c r="T6004" s="36"/>
      <c r="U6004" s="36"/>
      <c r="V6004" s="36"/>
      <c r="W6004" s="15">
        <f t="shared" si="1043"/>
        <v>0</v>
      </c>
      <c r="X6004" s="36"/>
      <c r="Y6004" s="36"/>
      <c r="Z6004" s="36"/>
      <c r="AA6004" s="36"/>
      <c r="AB6004" s="36"/>
      <c r="AC6004" s="36"/>
      <c r="AD6004" s="36"/>
      <c r="AE6004" s="36"/>
      <c r="AF6004" s="36"/>
      <c r="AG6004" s="36"/>
      <c r="AH6004" s="36"/>
      <c r="AI6004" s="36"/>
      <c r="AJ6004" s="15">
        <f t="shared" si="1044"/>
        <v>0</v>
      </c>
      <c r="AK6004" s="14"/>
      <c r="AL6004" s="14"/>
      <c r="AM6004" s="14">
        <v>400</v>
      </c>
      <c r="AN6004" s="14">
        <v>400</v>
      </c>
      <c r="AO6004" s="14"/>
      <c r="AP6004" s="14"/>
      <c r="AQ6004" s="14"/>
      <c r="AR6004" s="14"/>
      <c r="AS6004" s="14"/>
      <c r="AT6004" s="14"/>
      <c r="AU6004" s="14"/>
      <c r="AV6004" s="14"/>
      <c r="AW6004" s="15">
        <f t="shared" si="1045"/>
        <v>800</v>
      </c>
      <c r="AX6004" s="16"/>
    </row>
    <row r="6005" spans="2:50" x14ac:dyDescent="0.2">
      <c r="B6005" s="7"/>
      <c r="C6005" s="8">
        <v>16135</v>
      </c>
      <c r="D6005" s="9" t="s">
        <v>944</v>
      </c>
      <c r="E6005" s="10" t="str">
        <f t="shared" si="1040"/>
        <v>Rancho Upácuaro No. 104</v>
      </c>
      <c r="F6005" s="10" t="str">
        <f t="shared" si="1041"/>
        <v>Jiménez Almazo</v>
      </c>
      <c r="G6005" s="8">
        <v>3</v>
      </c>
      <c r="H6005" s="11">
        <v>200</v>
      </c>
      <c r="I6005" s="12">
        <v>43170</v>
      </c>
      <c r="J6005" s="35">
        <f t="shared" si="1042"/>
        <v>0</v>
      </c>
      <c r="K6005" s="36"/>
      <c r="L6005" s="36"/>
      <c r="M6005" s="36"/>
      <c r="N6005" s="36"/>
      <c r="O6005" s="36"/>
      <c r="P6005" s="36"/>
      <c r="Q6005" s="36"/>
      <c r="R6005" s="36"/>
      <c r="S6005" s="36"/>
      <c r="T6005" s="36"/>
      <c r="U6005" s="36"/>
      <c r="V6005" s="36"/>
      <c r="W6005" s="15">
        <f t="shared" si="1043"/>
        <v>0</v>
      </c>
      <c r="X6005" s="36"/>
      <c r="Y6005" s="36"/>
      <c r="Z6005" s="36"/>
      <c r="AA6005" s="36"/>
      <c r="AB6005" s="36"/>
      <c r="AC6005" s="36"/>
      <c r="AD6005" s="36"/>
      <c r="AE6005" s="36"/>
      <c r="AF6005" s="36"/>
      <c r="AG6005" s="36"/>
      <c r="AH6005" s="36"/>
      <c r="AI6005" s="36"/>
      <c r="AJ6005" s="15">
        <f t="shared" si="1044"/>
        <v>0</v>
      </c>
      <c r="AK6005" s="14"/>
      <c r="AL6005" s="14"/>
      <c r="AM6005" s="14"/>
      <c r="AN6005" s="14"/>
      <c r="AO6005" s="14"/>
      <c r="AP6005" s="14"/>
      <c r="AQ6005" s="14"/>
      <c r="AR6005" s="14"/>
      <c r="AS6005" s="14"/>
      <c r="AT6005" s="14"/>
      <c r="AU6005" s="14"/>
      <c r="AV6005" s="14"/>
      <c r="AW6005" s="15">
        <f t="shared" si="1045"/>
        <v>0</v>
      </c>
      <c r="AX6005" s="16"/>
    </row>
    <row r="6006" spans="2:50" x14ac:dyDescent="0.2">
      <c r="B6006" s="7"/>
      <c r="C6006" s="8">
        <v>16135</v>
      </c>
      <c r="D6006" s="9" t="s">
        <v>944</v>
      </c>
      <c r="E6006" s="10" t="str">
        <f t="shared" si="1040"/>
        <v>Rancho Upácuaro No. 104</v>
      </c>
      <c r="F6006" s="10" t="str">
        <f t="shared" si="1041"/>
        <v>Jiménez Almazo</v>
      </c>
      <c r="G6006" s="8">
        <v>5</v>
      </c>
      <c r="H6006" s="11">
        <v>50</v>
      </c>
      <c r="I6006" s="12">
        <v>43170</v>
      </c>
      <c r="J6006" s="35">
        <f t="shared" si="1042"/>
        <v>0</v>
      </c>
      <c r="K6006" s="36"/>
      <c r="L6006" s="36"/>
      <c r="M6006" s="36"/>
      <c r="N6006" s="36"/>
      <c r="O6006" s="36"/>
      <c r="P6006" s="36"/>
      <c r="Q6006" s="36"/>
      <c r="R6006" s="36"/>
      <c r="S6006" s="36"/>
      <c r="T6006" s="36"/>
      <c r="U6006" s="36"/>
      <c r="V6006" s="36"/>
      <c r="W6006" s="15">
        <f t="shared" si="1043"/>
        <v>0</v>
      </c>
      <c r="X6006" s="36"/>
      <c r="Y6006" s="36"/>
      <c r="Z6006" s="36"/>
      <c r="AA6006" s="36"/>
      <c r="AB6006" s="36"/>
      <c r="AC6006" s="36"/>
      <c r="AD6006" s="36"/>
      <c r="AE6006" s="36"/>
      <c r="AF6006" s="36"/>
      <c r="AG6006" s="36"/>
      <c r="AH6006" s="36"/>
      <c r="AI6006" s="36"/>
      <c r="AJ6006" s="15">
        <f t="shared" si="1044"/>
        <v>0</v>
      </c>
      <c r="AK6006" s="14"/>
      <c r="AL6006" s="14"/>
      <c r="AM6006" s="14"/>
      <c r="AN6006" s="14"/>
      <c r="AO6006" s="14"/>
      <c r="AP6006" s="14"/>
      <c r="AQ6006" s="14"/>
      <c r="AR6006" s="14"/>
      <c r="AS6006" s="14"/>
      <c r="AT6006" s="14"/>
      <c r="AU6006" s="14"/>
      <c r="AV6006" s="14"/>
      <c r="AW6006" s="15">
        <f t="shared" si="1045"/>
        <v>0</v>
      </c>
      <c r="AX6006" s="16"/>
    </row>
    <row r="6007" spans="2:50" x14ac:dyDescent="0.2">
      <c r="B6007" s="7"/>
      <c r="C6007" s="8">
        <v>16136</v>
      </c>
      <c r="D6007" s="9" t="s">
        <v>171</v>
      </c>
      <c r="E6007" s="10" t="str">
        <f t="shared" si="1040"/>
        <v>Rancho La Cuchilla No. 72</v>
      </c>
      <c r="F6007" s="10" t="str">
        <f t="shared" si="1041"/>
        <v>Ortiz González</v>
      </c>
      <c r="G6007" s="8">
        <v>1</v>
      </c>
      <c r="H6007" s="11">
        <v>400</v>
      </c>
      <c r="I6007" s="12">
        <v>43170</v>
      </c>
      <c r="J6007" s="35">
        <f t="shared" si="1042"/>
        <v>0</v>
      </c>
      <c r="K6007" s="36"/>
      <c r="L6007" s="36"/>
      <c r="M6007" s="36"/>
      <c r="N6007" s="36"/>
      <c r="O6007" s="36"/>
      <c r="P6007" s="36"/>
      <c r="Q6007" s="36"/>
      <c r="R6007" s="36"/>
      <c r="S6007" s="36"/>
      <c r="T6007" s="36"/>
      <c r="U6007" s="36"/>
      <c r="V6007" s="36"/>
      <c r="W6007" s="15">
        <f t="shared" si="1043"/>
        <v>0</v>
      </c>
      <c r="X6007" s="36"/>
      <c r="Y6007" s="36"/>
      <c r="Z6007" s="36"/>
      <c r="AA6007" s="36"/>
      <c r="AB6007" s="36"/>
      <c r="AC6007" s="36"/>
      <c r="AD6007" s="36"/>
      <c r="AE6007" s="36"/>
      <c r="AF6007" s="36"/>
      <c r="AG6007" s="36"/>
      <c r="AH6007" s="36"/>
      <c r="AI6007" s="36"/>
      <c r="AJ6007" s="15">
        <f t="shared" si="1044"/>
        <v>0</v>
      </c>
      <c r="AK6007" s="14"/>
      <c r="AL6007" s="14"/>
      <c r="AM6007" s="14">
        <v>400</v>
      </c>
      <c r="AN6007" s="14"/>
      <c r="AO6007" s="14"/>
      <c r="AP6007" s="14"/>
      <c r="AQ6007" s="14"/>
      <c r="AR6007" s="14"/>
      <c r="AS6007" s="14"/>
      <c r="AT6007" s="14"/>
      <c r="AU6007" s="14"/>
      <c r="AV6007" s="14"/>
      <c r="AW6007" s="15">
        <f t="shared" si="1045"/>
        <v>400</v>
      </c>
      <c r="AX6007" s="16"/>
    </row>
    <row r="6008" spans="2:50" x14ac:dyDescent="0.2">
      <c r="B6008" s="7"/>
      <c r="C6008" s="8">
        <v>16137</v>
      </c>
      <c r="D6008" s="9" t="s">
        <v>643</v>
      </c>
      <c r="E6008" s="10" t="str">
        <f t="shared" si="1040"/>
        <v>Rancho Upácuaro No. 90</v>
      </c>
      <c r="F6008" s="10" t="str">
        <f t="shared" si="1041"/>
        <v>Moreno Calderón</v>
      </c>
      <c r="G6008" s="8">
        <v>5</v>
      </c>
      <c r="H6008" s="11">
        <v>50</v>
      </c>
      <c r="I6008" s="12">
        <v>43170</v>
      </c>
      <c r="J6008" s="35">
        <f t="shared" si="1042"/>
        <v>0</v>
      </c>
      <c r="K6008" s="36"/>
      <c r="L6008" s="36"/>
      <c r="M6008" s="36"/>
      <c r="N6008" s="36"/>
      <c r="O6008" s="36"/>
      <c r="P6008" s="36"/>
      <c r="Q6008" s="36"/>
      <c r="R6008" s="36"/>
      <c r="S6008" s="36"/>
      <c r="T6008" s="36"/>
      <c r="U6008" s="36"/>
      <c r="V6008" s="36"/>
      <c r="W6008" s="15">
        <f t="shared" si="1043"/>
        <v>0</v>
      </c>
      <c r="X6008" s="36"/>
      <c r="Y6008" s="36"/>
      <c r="Z6008" s="36"/>
      <c r="AA6008" s="36"/>
      <c r="AB6008" s="36"/>
      <c r="AC6008" s="36"/>
      <c r="AD6008" s="36"/>
      <c r="AE6008" s="36"/>
      <c r="AF6008" s="36"/>
      <c r="AG6008" s="36"/>
      <c r="AH6008" s="36"/>
      <c r="AI6008" s="36"/>
      <c r="AJ6008" s="15">
        <f t="shared" si="1044"/>
        <v>0</v>
      </c>
      <c r="AK6008" s="14"/>
      <c r="AL6008" s="14"/>
      <c r="AM6008" s="14"/>
      <c r="AN6008" s="14"/>
      <c r="AO6008" s="14"/>
      <c r="AP6008" s="14"/>
      <c r="AQ6008" s="14"/>
      <c r="AR6008" s="14"/>
      <c r="AS6008" s="14"/>
      <c r="AT6008" s="14"/>
      <c r="AU6008" s="14"/>
      <c r="AV6008" s="14"/>
      <c r="AW6008" s="15">
        <f t="shared" si="1045"/>
        <v>0</v>
      </c>
      <c r="AX6008" s="16"/>
    </row>
    <row r="6009" spans="2:50" x14ac:dyDescent="0.2">
      <c r="B6009" s="7"/>
      <c r="C6009" s="8">
        <v>16138</v>
      </c>
      <c r="D6009" s="9" t="s">
        <v>62</v>
      </c>
      <c r="E6009" s="10" t="str">
        <f t="shared" ref="E6009:E6016" si="1046">IF(D6009=0,"",VLOOKUP(D6009,BASE,2,FALSE))</f>
        <v>Rancho Romeral No. 10, A</v>
      </c>
      <c r="F6009" s="10" t="str">
        <f t="shared" ref="F6009:F6016" si="1047">IF(D6009=0,"",VLOOKUP(D6009,BASE,3,FALSE))</f>
        <v>Casillas Álvarez</v>
      </c>
      <c r="G6009" s="8">
        <v>1</v>
      </c>
      <c r="H6009" s="11">
        <v>200</v>
      </c>
      <c r="I6009" s="12">
        <v>43170</v>
      </c>
      <c r="J6009" s="35">
        <f t="shared" ref="J6009:J6016" si="1048">IF(G6009=1,SUM(W6009,AJ6009,AW6009,-H6009),0)</f>
        <v>0</v>
      </c>
      <c r="K6009" s="36"/>
      <c r="L6009" s="36"/>
      <c r="M6009" s="36"/>
      <c r="N6009" s="36"/>
      <c r="O6009" s="36"/>
      <c r="P6009" s="36"/>
      <c r="Q6009" s="36"/>
      <c r="R6009" s="36"/>
      <c r="S6009" s="36"/>
      <c r="T6009" s="36"/>
      <c r="U6009" s="36"/>
      <c r="V6009" s="36"/>
      <c r="W6009" s="15">
        <f t="shared" ref="W6009:W6016" si="1049">SUM(K6009:V6009)</f>
        <v>0</v>
      </c>
      <c r="X6009" s="36"/>
      <c r="Y6009" s="36"/>
      <c r="Z6009" s="36"/>
      <c r="AA6009" s="36"/>
      <c r="AB6009" s="36"/>
      <c r="AC6009" s="36"/>
      <c r="AD6009" s="36"/>
      <c r="AE6009" s="36"/>
      <c r="AF6009" s="36"/>
      <c r="AG6009" s="36"/>
      <c r="AH6009" s="36"/>
      <c r="AI6009" s="36"/>
      <c r="AJ6009" s="15">
        <f t="shared" ref="AJ6009:AJ6016" si="1050">SUM(X6009:AI6009)</f>
        <v>0</v>
      </c>
      <c r="AK6009" s="14"/>
      <c r="AL6009" s="14"/>
      <c r="AM6009" s="14"/>
      <c r="AN6009" s="14">
        <v>200</v>
      </c>
      <c r="AO6009" s="14"/>
      <c r="AP6009" s="14"/>
      <c r="AQ6009" s="14"/>
      <c r="AR6009" s="14"/>
      <c r="AS6009" s="14"/>
      <c r="AT6009" s="14"/>
      <c r="AU6009" s="14"/>
      <c r="AV6009" s="14"/>
      <c r="AW6009" s="15">
        <f t="shared" ref="AW6009:AW6016" si="1051">SUM(AK6009:AV6009)</f>
        <v>200</v>
      </c>
      <c r="AX6009" s="16"/>
    </row>
    <row r="6010" spans="2:50" x14ac:dyDescent="0.2">
      <c r="B6010" s="7"/>
      <c r="C6010" s="8">
        <v>16139</v>
      </c>
      <c r="D6010" s="9" t="s">
        <v>156</v>
      </c>
      <c r="E6010" s="10" t="str">
        <f t="shared" si="1046"/>
        <v>Rancho Zinamba No. 80</v>
      </c>
      <c r="F6010" s="10" t="str">
        <f t="shared" si="1047"/>
        <v>Vázquez</v>
      </c>
      <c r="G6010" s="8">
        <v>1</v>
      </c>
      <c r="H6010" s="11">
        <v>300</v>
      </c>
      <c r="I6010" s="12">
        <v>43170</v>
      </c>
      <c r="J6010" s="35">
        <f t="shared" si="1048"/>
        <v>0</v>
      </c>
      <c r="K6010" s="36"/>
      <c r="L6010" s="36"/>
      <c r="M6010" s="36"/>
      <c r="N6010" s="36"/>
      <c r="O6010" s="36"/>
      <c r="P6010" s="36"/>
      <c r="Q6010" s="36"/>
      <c r="R6010" s="36"/>
      <c r="S6010" s="36"/>
      <c r="T6010" s="36"/>
      <c r="U6010" s="36"/>
      <c r="V6010" s="36"/>
      <c r="W6010" s="15">
        <f t="shared" si="1049"/>
        <v>0</v>
      </c>
      <c r="X6010" s="36"/>
      <c r="Y6010" s="36"/>
      <c r="Z6010" s="36"/>
      <c r="AA6010" s="36"/>
      <c r="AB6010" s="36"/>
      <c r="AC6010" s="36"/>
      <c r="AD6010" s="36"/>
      <c r="AE6010" s="36"/>
      <c r="AF6010" s="36"/>
      <c r="AG6010" s="36"/>
      <c r="AH6010" s="36"/>
      <c r="AI6010" s="36"/>
      <c r="AJ6010" s="15">
        <f t="shared" si="1050"/>
        <v>0</v>
      </c>
      <c r="AK6010" s="14"/>
      <c r="AL6010" s="14"/>
      <c r="AM6010" s="14">
        <v>300</v>
      </c>
      <c r="AN6010" s="14"/>
      <c r="AO6010" s="14"/>
      <c r="AP6010" s="14"/>
      <c r="AQ6010" s="14"/>
      <c r="AR6010" s="14"/>
      <c r="AS6010" s="14"/>
      <c r="AT6010" s="14"/>
      <c r="AU6010" s="14"/>
      <c r="AV6010" s="14"/>
      <c r="AW6010" s="15">
        <f t="shared" si="1051"/>
        <v>300</v>
      </c>
      <c r="AX6010" s="16"/>
    </row>
    <row r="6011" spans="2:50" x14ac:dyDescent="0.2">
      <c r="B6011" s="7"/>
      <c r="C6011" s="8">
        <v>16140</v>
      </c>
      <c r="D6011" s="9" t="s">
        <v>395</v>
      </c>
      <c r="E6011" s="10" t="str">
        <f t="shared" si="1046"/>
        <v>Rancho Landero No. 7</v>
      </c>
      <c r="F6011" s="10" t="str">
        <f t="shared" si="1047"/>
        <v>Robles</v>
      </c>
      <c r="G6011" s="8">
        <v>1</v>
      </c>
      <c r="H6011" s="11">
        <v>200</v>
      </c>
      <c r="I6011" s="12">
        <v>43170</v>
      </c>
      <c r="J6011" s="35">
        <f t="shared" si="1048"/>
        <v>0</v>
      </c>
      <c r="K6011" s="36"/>
      <c r="L6011" s="36"/>
      <c r="M6011" s="36"/>
      <c r="N6011" s="36"/>
      <c r="O6011" s="36"/>
      <c r="P6011" s="36"/>
      <c r="Q6011" s="36"/>
      <c r="R6011" s="36"/>
      <c r="S6011" s="36"/>
      <c r="T6011" s="36"/>
      <c r="U6011" s="36"/>
      <c r="V6011" s="36"/>
      <c r="W6011" s="15">
        <f t="shared" si="1049"/>
        <v>0</v>
      </c>
      <c r="X6011" s="36"/>
      <c r="Y6011" s="36"/>
      <c r="Z6011" s="36"/>
      <c r="AA6011" s="36"/>
      <c r="AB6011" s="36"/>
      <c r="AC6011" s="36"/>
      <c r="AD6011" s="36"/>
      <c r="AE6011" s="36"/>
      <c r="AF6011" s="36"/>
      <c r="AG6011" s="36"/>
      <c r="AH6011" s="36"/>
      <c r="AI6011" s="36"/>
      <c r="AJ6011" s="15">
        <f t="shared" si="1050"/>
        <v>0</v>
      </c>
      <c r="AK6011" s="14"/>
      <c r="AL6011" s="14"/>
      <c r="AM6011" s="14">
        <v>200</v>
      </c>
      <c r="AN6011" s="14"/>
      <c r="AO6011" s="14"/>
      <c r="AP6011" s="14"/>
      <c r="AQ6011" s="14"/>
      <c r="AR6011" s="14"/>
      <c r="AS6011" s="14"/>
      <c r="AT6011" s="14"/>
      <c r="AU6011" s="14"/>
      <c r="AV6011" s="14"/>
      <c r="AW6011" s="15">
        <f t="shared" si="1051"/>
        <v>200</v>
      </c>
      <c r="AX6011" s="16"/>
    </row>
    <row r="6012" spans="2:50" x14ac:dyDescent="0.2">
      <c r="B6012" s="7"/>
      <c r="C6012" s="8">
        <v>16141</v>
      </c>
      <c r="D6012" s="9" t="s">
        <v>523</v>
      </c>
      <c r="E6012" s="10" t="str">
        <f t="shared" si="1046"/>
        <v>Rancho Estanzuela No. 139</v>
      </c>
      <c r="F6012" s="10" t="str">
        <f t="shared" si="1047"/>
        <v xml:space="preserve">Ortiz   </v>
      </c>
      <c r="G6012" s="8">
        <v>1</v>
      </c>
      <c r="H6012" s="11">
        <v>400</v>
      </c>
      <c r="I6012" s="12">
        <v>43170</v>
      </c>
      <c r="J6012" s="35">
        <f t="shared" si="1048"/>
        <v>0</v>
      </c>
      <c r="K6012" s="36"/>
      <c r="L6012" s="36"/>
      <c r="M6012" s="36"/>
      <c r="N6012" s="36"/>
      <c r="O6012" s="36"/>
      <c r="P6012" s="36"/>
      <c r="Q6012" s="36"/>
      <c r="R6012" s="36"/>
      <c r="S6012" s="36"/>
      <c r="T6012" s="36"/>
      <c r="U6012" s="36"/>
      <c r="V6012" s="36"/>
      <c r="W6012" s="15">
        <f t="shared" si="1049"/>
        <v>0</v>
      </c>
      <c r="X6012" s="36"/>
      <c r="Y6012" s="36"/>
      <c r="Z6012" s="36"/>
      <c r="AA6012" s="36"/>
      <c r="AB6012" s="36"/>
      <c r="AC6012" s="36"/>
      <c r="AD6012" s="36"/>
      <c r="AE6012" s="36"/>
      <c r="AF6012" s="36"/>
      <c r="AG6012" s="36"/>
      <c r="AH6012" s="36"/>
      <c r="AI6012" s="36"/>
      <c r="AJ6012" s="15">
        <f t="shared" si="1050"/>
        <v>0</v>
      </c>
      <c r="AK6012" s="14"/>
      <c r="AL6012" s="14"/>
      <c r="AM6012" s="14">
        <v>400</v>
      </c>
      <c r="AN6012" s="14"/>
      <c r="AO6012" s="14"/>
      <c r="AP6012" s="14"/>
      <c r="AQ6012" s="14"/>
      <c r="AR6012" s="14"/>
      <c r="AS6012" s="14"/>
      <c r="AT6012" s="14"/>
      <c r="AU6012" s="14"/>
      <c r="AV6012" s="14"/>
      <c r="AW6012" s="15">
        <f t="shared" si="1051"/>
        <v>400</v>
      </c>
      <c r="AX6012" s="16"/>
    </row>
    <row r="6013" spans="2:50" x14ac:dyDescent="0.2">
      <c r="B6013" s="7"/>
      <c r="C6013" s="8">
        <v>16142</v>
      </c>
      <c r="D6013" s="9" t="s">
        <v>719</v>
      </c>
      <c r="E6013" s="10" t="str">
        <f t="shared" si="1046"/>
        <v>Rancho Estanzuela No. 119, 1</v>
      </c>
      <c r="F6013" s="10" t="str">
        <f t="shared" si="1047"/>
        <v>Crespo</v>
      </c>
      <c r="G6013" s="8">
        <v>1</v>
      </c>
      <c r="H6013" s="11">
        <v>400</v>
      </c>
      <c r="I6013" s="12">
        <v>43170</v>
      </c>
      <c r="J6013" s="35">
        <f t="shared" si="1048"/>
        <v>0</v>
      </c>
      <c r="K6013" s="36"/>
      <c r="L6013" s="36"/>
      <c r="M6013" s="36"/>
      <c r="N6013" s="36"/>
      <c r="O6013" s="36"/>
      <c r="P6013" s="36"/>
      <c r="Q6013" s="36"/>
      <c r="R6013" s="36"/>
      <c r="S6013" s="36"/>
      <c r="T6013" s="36"/>
      <c r="U6013" s="36"/>
      <c r="V6013" s="36"/>
      <c r="W6013" s="15">
        <f t="shared" si="1049"/>
        <v>0</v>
      </c>
      <c r="X6013" s="36"/>
      <c r="Y6013" s="36"/>
      <c r="Z6013" s="36"/>
      <c r="AA6013" s="36"/>
      <c r="AB6013" s="36"/>
      <c r="AC6013" s="36"/>
      <c r="AD6013" s="36"/>
      <c r="AE6013" s="36"/>
      <c r="AF6013" s="36"/>
      <c r="AG6013" s="36"/>
      <c r="AH6013" s="36"/>
      <c r="AI6013" s="36"/>
      <c r="AJ6013" s="15">
        <f t="shared" si="1050"/>
        <v>0</v>
      </c>
      <c r="AK6013" s="14"/>
      <c r="AL6013" s="14">
        <v>200</v>
      </c>
      <c r="AM6013" s="14">
        <v>200</v>
      </c>
      <c r="AN6013" s="14"/>
      <c r="AO6013" s="14"/>
      <c r="AP6013" s="14"/>
      <c r="AQ6013" s="14"/>
      <c r="AR6013" s="14"/>
      <c r="AS6013" s="14"/>
      <c r="AT6013" s="14"/>
      <c r="AU6013" s="14"/>
      <c r="AV6013" s="14"/>
      <c r="AW6013" s="15">
        <f t="shared" si="1051"/>
        <v>400</v>
      </c>
      <c r="AX6013" s="16"/>
    </row>
    <row r="6014" spans="2:50" x14ac:dyDescent="0.2">
      <c r="B6014" s="7"/>
      <c r="C6014" s="8">
        <v>16143</v>
      </c>
      <c r="D6014" s="9" t="s">
        <v>425</v>
      </c>
      <c r="E6014" s="10" t="str">
        <f t="shared" si="1046"/>
        <v>Rancho La Cuchilla No. 120</v>
      </c>
      <c r="F6014" s="10" t="str">
        <f t="shared" si="1047"/>
        <v>Pozos Vilchis</v>
      </c>
      <c r="G6014" s="8">
        <v>1</v>
      </c>
      <c r="H6014" s="11">
        <v>400</v>
      </c>
      <c r="I6014" s="12">
        <v>43170</v>
      </c>
      <c r="J6014" s="35">
        <f t="shared" si="1048"/>
        <v>0</v>
      </c>
      <c r="K6014" s="36"/>
      <c r="L6014" s="36"/>
      <c r="M6014" s="36"/>
      <c r="N6014" s="36"/>
      <c r="O6014" s="36"/>
      <c r="P6014" s="36"/>
      <c r="Q6014" s="36"/>
      <c r="R6014" s="36"/>
      <c r="S6014" s="36"/>
      <c r="T6014" s="36"/>
      <c r="U6014" s="36"/>
      <c r="V6014" s="36"/>
      <c r="W6014" s="15">
        <f t="shared" si="1049"/>
        <v>0</v>
      </c>
      <c r="X6014" s="36"/>
      <c r="Y6014" s="36"/>
      <c r="Z6014" s="36"/>
      <c r="AA6014" s="36"/>
      <c r="AB6014" s="36"/>
      <c r="AC6014" s="36"/>
      <c r="AD6014" s="36"/>
      <c r="AE6014" s="36"/>
      <c r="AF6014" s="36"/>
      <c r="AG6014" s="36"/>
      <c r="AH6014" s="36"/>
      <c r="AI6014" s="36"/>
      <c r="AJ6014" s="15">
        <f t="shared" si="1050"/>
        <v>0</v>
      </c>
      <c r="AK6014" s="14"/>
      <c r="AL6014" s="14"/>
      <c r="AM6014" s="14">
        <v>400</v>
      </c>
      <c r="AN6014" s="14"/>
      <c r="AO6014" s="14"/>
      <c r="AP6014" s="14"/>
      <c r="AQ6014" s="14"/>
      <c r="AR6014" s="14"/>
      <c r="AS6014" s="14"/>
      <c r="AT6014" s="14"/>
      <c r="AU6014" s="14"/>
      <c r="AV6014" s="14"/>
      <c r="AW6014" s="15">
        <f t="shared" si="1051"/>
        <v>400</v>
      </c>
      <c r="AX6014" s="16"/>
    </row>
    <row r="6015" spans="2:50" x14ac:dyDescent="0.2">
      <c r="B6015" s="7"/>
      <c r="C6015" s="8">
        <v>16144</v>
      </c>
      <c r="D6015" s="9" t="s">
        <v>346</v>
      </c>
      <c r="E6015" s="10" t="str">
        <f t="shared" si="1046"/>
        <v>Rancho Upácuaro No. 108</v>
      </c>
      <c r="F6015" s="10" t="str">
        <f t="shared" si="1047"/>
        <v>Mejía</v>
      </c>
      <c r="G6015" s="8">
        <v>1</v>
      </c>
      <c r="H6015" s="11">
        <v>300</v>
      </c>
      <c r="I6015" s="12">
        <v>43170</v>
      </c>
      <c r="J6015" s="35">
        <f t="shared" si="1048"/>
        <v>0</v>
      </c>
      <c r="K6015" s="36"/>
      <c r="L6015" s="36"/>
      <c r="M6015" s="36"/>
      <c r="N6015" s="36"/>
      <c r="O6015" s="36"/>
      <c r="P6015" s="36"/>
      <c r="Q6015" s="36"/>
      <c r="R6015" s="36"/>
      <c r="S6015" s="36"/>
      <c r="T6015" s="36"/>
      <c r="U6015" s="36"/>
      <c r="V6015" s="36"/>
      <c r="W6015" s="15">
        <f t="shared" si="1049"/>
        <v>0</v>
      </c>
      <c r="X6015" s="36"/>
      <c r="Y6015" s="36"/>
      <c r="Z6015" s="36"/>
      <c r="AA6015" s="36"/>
      <c r="AB6015" s="36"/>
      <c r="AC6015" s="36"/>
      <c r="AD6015" s="36"/>
      <c r="AE6015" s="36"/>
      <c r="AF6015" s="36"/>
      <c r="AG6015" s="36"/>
      <c r="AH6015" s="36"/>
      <c r="AI6015" s="36"/>
      <c r="AJ6015" s="15">
        <f t="shared" si="1050"/>
        <v>0</v>
      </c>
      <c r="AK6015" s="14"/>
      <c r="AL6015" s="14"/>
      <c r="AM6015" s="14">
        <v>300</v>
      </c>
      <c r="AN6015" s="14"/>
      <c r="AO6015" s="14"/>
      <c r="AP6015" s="14"/>
      <c r="AQ6015" s="14"/>
      <c r="AR6015" s="14"/>
      <c r="AS6015" s="14"/>
      <c r="AT6015" s="14"/>
      <c r="AU6015" s="14"/>
      <c r="AV6015" s="14"/>
      <c r="AW6015" s="15">
        <f t="shared" si="1051"/>
        <v>300</v>
      </c>
      <c r="AX6015" s="16"/>
    </row>
    <row r="6016" spans="2:50" x14ac:dyDescent="0.2">
      <c r="B6016" s="7"/>
      <c r="C6016" s="8">
        <v>16145</v>
      </c>
      <c r="D6016" s="9" t="s">
        <v>340</v>
      </c>
      <c r="E6016" s="10" t="str">
        <f t="shared" si="1046"/>
        <v>Rancho Romeral No. 17</v>
      </c>
      <c r="F6016" s="10" t="str">
        <f t="shared" si="1047"/>
        <v>Aguilar Lomelí</v>
      </c>
      <c r="G6016" s="8">
        <v>1</v>
      </c>
      <c r="H6016" s="11">
        <v>400</v>
      </c>
      <c r="I6016" s="12">
        <v>43170</v>
      </c>
      <c r="J6016" s="35">
        <f t="shared" si="1048"/>
        <v>0</v>
      </c>
      <c r="K6016" s="36"/>
      <c r="L6016" s="36"/>
      <c r="M6016" s="36"/>
      <c r="N6016" s="36"/>
      <c r="O6016" s="36"/>
      <c r="P6016" s="36"/>
      <c r="Q6016" s="36"/>
      <c r="R6016" s="36"/>
      <c r="S6016" s="36"/>
      <c r="T6016" s="36"/>
      <c r="U6016" s="36"/>
      <c r="V6016" s="36"/>
      <c r="W6016" s="15">
        <f t="shared" si="1049"/>
        <v>0</v>
      </c>
      <c r="X6016" s="36"/>
      <c r="Y6016" s="36"/>
      <c r="Z6016" s="36"/>
      <c r="AA6016" s="36"/>
      <c r="AB6016" s="36"/>
      <c r="AC6016" s="36"/>
      <c r="AD6016" s="36"/>
      <c r="AE6016" s="36"/>
      <c r="AF6016" s="36"/>
      <c r="AG6016" s="36"/>
      <c r="AH6016" s="36"/>
      <c r="AI6016" s="36"/>
      <c r="AJ6016" s="15">
        <f t="shared" si="1050"/>
        <v>0</v>
      </c>
      <c r="AK6016" s="14"/>
      <c r="AL6016" s="14"/>
      <c r="AM6016" s="14">
        <v>400</v>
      </c>
      <c r="AN6016" s="14"/>
      <c r="AO6016" s="14"/>
      <c r="AP6016" s="14"/>
      <c r="AQ6016" s="14"/>
      <c r="AR6016" s="14"/>
      <c r="AS6016" s="14"/>
      <c r="AT6016" s="14"/>
      <c r="AU6016" s="14"/>
      <c r="AV6016" s="14"/>
      <c r="AW6016" s="15">
        <f t="shared" si="1051"/>
        <v>400</v>
      </c>
      <c r="AX6016" s="16"/>
    </row>
    <row r="6017" spans="2:51" x14ac:dyDescent="0.2">
      <c r="B6017" s="7"/>
      <c r="C6017" s="8">
        <v>16146</v>
      </c>
      <c r="D6017" s="9" t="s">
        <v>168</v>
      </c>
      <c r="E6017" s="10" t="str">
        <f t="shared" si="1040"/>
        <v>Rancho Upácuaro No. 73, A</v>
      </c>
      <c r="F6017" s="10" t="str">
        <f t="shared" si="1041"/>
        <v>Ortega</v>
      </c>
      <c r="G6017" s="8">
        <v>1</v>
      </c>
      <c r="H6017" s="11">
        <v>200</v>
      </c>
      <c r="I6017" s="12">
        <v>43170</v>
      </c>
      <c r="J6017" s="35">
        <f t="shared" si="1042"/>
        <v>0</v>
      </c>
      <c r="K6017" s="36"/>
      <c r="L6017" s="36"/>
      <c r="M6017" s="36"/>
      <c r="N6017" s="36"/>
      <c r="O6017" s="36"/>
      <c r="P6017" s="36"/>
      <c r="Q6017" s="36"/>
      <c r="R6017" s="36"/>
      <c r="S6017" s="36"/>
      <c r="T6017" s="36"/>
      <c r="U6017" s="36"/>
      <c r="V6017" s="36"/>
      <c r="W6017" s="15">
        <f t="shared" si="1043"/>
        <v>0</v>
      </c>
      <c r="X6017" s="36"/>
      <c r="Y6017" s="36"/>
      <c r="Z6017" s="36"/>
      <c r="AA6017" s="36"/>
      <c r="AB6017" s="36"/>
      <c r="AC6017" s="36"/>
      <c r="AD6017" s="36"/>
      <c r="AE6017" s="36"/>
      <c r="AF6017" s="36"/>
      <c r="AG6017" s="36"/>
      <c r="AH6017" s="36"/>
      <c r="AI6017" s="36"/>
      <c r="AJ6017" s="15">
        <f t="shared" si="1044"/>
        <v>0</v>
      </c>
      <c r="AK6017" s="14"/>
      <c r="AL6017" s="14">
        <v>200</v>
      </c>
      <c r="AM6017" s="14"/>
      <c r="AN6017" s="14"/>
      <c r="AO6017" s="14"/>
      <c r="AP6017" s="14"/>
      <c r="AQ6017" s="14"/>
      <c r="AR6017" s="14"/>
      <c r="AS6017" s="14"/>
      <c r="AT6017" s="14"/>
      <c r="AU6017" s="14"/>
      <c r="AV6017" s="14"/>
      <c r="AW6017" s="15">
        <f t="shared" si="1045"/>
        <v>200</v>
      </c>
      <c r="AX6017" s="16"/>
    </row>
    <row r="6018" spans="2:51" x14ac:dyDescent="0.2">
      <c r="B6018" s="7"/>
      <c r="C6018" s="8">
        <v>16147</v>
      </c>
      <c r="D6018" s="9"/>
      <c r="E6018" s="10" t="str">
        <f t="shared" si="1040"/>
        <v/>
      </c>
      <c r="F6018" s="10" t="str">
        <f t="shared" si="1041"/>
        <v/>
      </c>
      <c r="G6018" s="8">
        <v>8</v>
      </c>
      <c r="H6018" s="11"/>
      <c r="I6018" s="12"/>
      <c r="J6018" s="35">
        <f t="shared" si="1042"/>
        <v>0</v>
      </c>
      <c r="K6018" s="36"/>
      <c r="L6018" s="36"/>
      <c r="M6018" s="36"/>
      <c r="N6018" s="36"/>
      <c r="O6018" s="36"/>
      <c r="P6018" s="36"/>
      <c r="Q6018" s="36"/>
      <c r="R6018" s="36"/>
      <c r="S6018" s="36"/>
      <c r="T6018" s="36"/>
      <c r="U6018" s="36"/>
      <c r="V6018" s="36"/>
      <c r="W6018" s="15">
        <f t="shared" si="1043"/>
        <v>0</v>
      </c>
      <c r="X6018" s="36"/>
      <c r="Y6018" s="36"/>
      <c r="Z6018" s="36"/>
      <c r="AA6018" s="36"/>
      <c r="AB6018" s="36"/>
      <c r="AC6018" s="36"/>
      <c r="AD6018" s="36"/>
      <c r="AE6018" s="36"/>
      <c r="AF6018" s="36"/>
      <c r="AG6018" s="36"/>
      <c r="AH6018" s="36"/>
      <c r="AI6018" s="36"/>
      <c r="AJ6018" s="15">
        <f t="shared" si="1044"/>
        <v>0</v>
      </c>
      <c r="AK6018" s="14"/>
      <c r="AL6018" s="14"/>
      <c r="AM6018" s="14"/>
      <c r="AN6018" s="14"/>
      <c r="AO6018" s="14"/>
      <c r="AP6018" s="14"/>
      <c r="AQ6018" s="14"/>
      <c r="AR6018" s="14"/>
      <c r="AS6018" s="14"/>
      <c r="AT6018" s="14"/>
      <c r="AU6018" s="14"/>
      <c r="AV6018" s="14"/>
      <c r="AW6018" s="15">
        <f t="shared" si="1045"/>
        <v>0</v>
      </c>
      <c r="AX6018" s="16"/>
    </row>
    <row r="6019" spans="2:51" x14ac:dyDescent="0.2">
      <c r="B6019" s="7"/>
      <c r="C6019" s="8">
        <v>16148</v>
      </c>
      <c r="D6019" s="9" t="s">
        <v>328</v>
      </c>
      <c r="E6019" s="10" t="str">
        <f t="shared" si="1040"/>
        <v>Rancho La Cuchilla No. 130</v>
      </c>
      <c r="F6019" s="10" t="str">
        <f t="shared" si="1041"/>
        <v>Gonzalez</v>
      </c>
      <c r="G6019" s="8">
        <v>1</v>
      </c>
      <c r="H6019" s="11">
        <v>400</v>
      </c>
      <c r="I6019" s="12">
        <v>43170</v>
      </c>
      <c r="J6019" s="35">
        <f t="shared" si="1042"/>
        <v>0</v>
      </c>
      <c r="K6019" s="36"/>
      <c r="L6019" s="36"/>
      <c r="M6019" s="36"/>
      <c r="N6019" s="36"/>
      <c r="O6019" s="36"/>
      <c r="P6019" s="36"/>
      <c r="Q6019" s="36"/>
      <c r="R6019" s="36"/>
      <c r="S6019" s="36"/>
      <c r="T6019" s="36"/>
      <c r="U6019" s="36"/>
      <c r="V6019" s="36"/>
      <c r="W6019" s="15">
        <f t="shared" si="1043"/>
        <v>0</v>
      </c>
      <c r="X6019" s="36"/>
      <c r="Y6019" s="36"/>
      <c r="Z6019" s="36"/>
      <c r="AA6019" s="36"/>
      <c r="AB6019" s="36"/>
      <c r="AC6019" s="36"/>
      <c r="AD6019" s="36"/>
      <c r="AE6019" s="36"/>
      <c r="AF6019" s="36"/>
      <c r="AG6019" s="36"/>
      <c r="AH6019" s="36"/>
      <c r="AI6019" s="36"/>
      <c r="AJ6019" s="15">
        <f t="shared" si="1044"/>
        <v>0</v>
      </c>
      <c r="AK6019" s="14"/>
      <c r="AL6019" s="14"/>
      <c r="AM6019" s="14">
        <v>400</v>
      </c>
      <c r="AN6019" s="14"/>
      <c r="AO6019" s="14"/>
      <c r="AP6019" s="14"/>
      <c r="AQ6019" s="14"/>
      <c r="AR6019" s="14"/>
      <c r="AS6019" s="14"/>
      <c r="AT6019" s="14"/>
      <c r="AU6019" s="14"/>
      <c r="AV6019" s="14"/>
      <c r="AW6019" s="15">
        <f t="shared" si="1045"/>
        <v>400</v>
      </c>
      <c r="AX6019" s="16"/>
    </row>
    <row r="6020" spans="2:51" x14ac:dyDescent="0.2">
      <c r="B6020" s="7"/>
      <c r="C6020" s="8">
        <v>16149</v>
      </c>
      <c r="D6020" s="9" t="s">
        <v>911</v>
      </c>
      <c r="E6020" s="10" t="str">
        <f t="shared" si="1040"/>
        <v>Rancho Estanzuela No. 19</v>
      </c>
      <c r="F6020" s="10" t="str">
        <f t="shared" si="1041"/>
        <v>Robles</v>
      </c>
      <c r="G6020" s="8">
        <v>1</v>
      </c>
      <c r="H6020" s="11">
        <v>400</v>
      </c>
      <c r="I6020" s="12">
        <v>43170</v>
      </c>
      <c r="J6020" s="35">
        <f t="shared" si="1042"/>
        <v>0</v>
      </c>
      <c r="K6020" s="36"/>
      <c r="L6020" s="36"/>
      <c r="M6020" s="36"/>
      <c r="N6020" s="36"/>
      <c r="O6020" s="36"/>
      <c r="P6020" s="36"/>
      <c r="Q6020" s="36"/>
      <c r="R6020" s="36"/>
      <c r="S6020" s="36"/>
      <c r="T6020" s="36"/>
      <c r="U6020" s="36"/>
      <c r="V6020" s="36"/>
      <c r="W6020" s="15">
        <f t="shared" si="1043"/>
        <v>0</v>
      </c>
      <c r="X6020" s="36"/>
      <c r="Y6020" s="36"/>
      <c r="Z6020" s="36"/>
      <c r="AA6020" s="36"/>
      <c r="AB6020" s="36"/>
      <c r="AC6020" s="36"/>
      <c r="AD6020" s="36"/>
      <c r="AE6020" s="36"/>
      <c r="AF6020" s="36"/>
      <c r="AG6020" s="36"/>
      <c r="AH6020" s="36"/>
      <c r="AI6020" s="36"/>
      <c r="AJ6020" s="15">
        <f t="shared" si="1044"/>
        <v>0</v>
      </c>
      <c r="AK6020" s="14"/>
      <c r="AL6020" s="14"/>
      <c r="AM6020" s="14">
        <v>400</v>
      </c>
      <c r="AN6020" s="14"/>
      <c r="AO6020" s="14"/>
      <c r="AP6020" s="14"/>
      <c r="AQ6020" s="14"/>
      <c r="AR6020" s="14"/>
      <c r="AS6020" s="14"/>
      <c r="AT6020" s="14"/>
      <c r="AU6020" s="14"/>
      <c r="AV6020" s="14"/>
      <c r="AW6020" s="15">
        <f t="shared" si="1045"/>
        <v>400</v>
      </c>
      <c r="AX6020" s="16"/>
    </row>
    <row r="6021" spans="2:51" x14ac:dyDescent="0.2">
      <c r="B6021" s="7"/>
      <c r="C6021" s="8">
        <v>16150</v>
      </c>
      <c r="D6021" s="9" t="s">
        <v>373</v>
      </c>
      <c r="E6021" s="10" t="str">
        <f t="shared" si="1040"/>
        <v>Rancho Upácuaro No. 118</v>
      </c>
      <c r="F6021" s="10" t="str">
        <f t="shared" si="1041"/>
        <v>Siegrist</v>
      </c>
      <c r="G6021" s="8">
        <v>5</v>
      </c>
      <c r="H6021" s="11">
        <v>50</v>
      </c>
      <c r="I6021" s="12">
        <v>43170</v>
      </c>
      <c r="J6021" s="35">
        <f t="shared" si="1042"/>
        <v>0</v>
      </c>
      <c r="K6021" s="36"/>
      <c r="L6021" s="36"/>
      <c r="M6021" s="36"/>
      <c r="N6021" s="36"/>
      <c r="O6021" s="36"/>
      <c r="P6021" s="36"/>
      <c r="Q6021" s="36"/>
      <c r="R6021" s="36"/>
      <c r="S6021" s="36"/>
      <c r="T6021" s="36"/>
      <c r="U6021" s="36"/>
      <c r="V6021" s="36"/>
      <c r="W6021" s="15">
        <f t="shared" si="1043"/>
        <v>0</v>
      </c>
      <c r="X6021" s="36"/>
      <c r="Y6021" s="36"/>
      <c r="Z6021" s="36"/>
      <c r="AA6021" s="36"/>
      <c r="AB6021" s="36"/>
      <c r="AC6021" s="36"/>
      <c r="AD6021" s="36"/>
      <c r="AE6021" s="36"/>
      <c r="AF6021" s="36"/>
      <c r="AG6021" s="36"/>
      <c r="AH6021" s="36"/>
      <c r="AI6021" s="36"/>
      <c r="AJ6021" s="15">
        <f t="shared" si="1044"/>
        <v>0</v>
      </c>
      <c r="AK6021" s="14"/>
      <c r="AL6021" s="14"/>
      <c r="AM6021" s="14"/>
      <c r="AN6021" s="14"/>
      <c r="AO6021" s="14"/>
      <c r="AP6021" s="14"/>
      <c r="AQ6021" s="14"/>
      <c r="AR6021" s="14"/>
      <c r="AS6021" s="14"/>
      <c r="AT6021" s="14"/>
      <c r="AU6021" s="14"/>
      <c r="AV6021" s="14"/>
      <c r="AW6021" s="15">
        <f t="shared" si="1045"/>
        <v>0</v>
      </c>
      <c r="AX6021" s="16"/>
    </row>
    <row r="6022" spans="2:51" x14ac:dyDescent="0.2">
      <c r="B6022" s="7"/>
      <c r="C6022" s="8">
        <v>16151</v>
      </c>
      <c r="D6022" s="9" t="s">
        <v>159</v>
      </c>
      <c r="E6022" s="10" t="str">
        <f t="shared" si="1040"/>
        <v>Rancho Zinamba No. 24</v>
      </c>
      <c r="F6022" s="10" t="str">
        <f t="shared" si="1041"/>
        <v>Monroy García</v>
      </c>
      <c r="G6022" s="8">
        <v>1</v>
      </c>
      <c r="H6022" s="11">
        <v>800</v>
      </c>
      <c r="I6022" s="12">
        <v>43170</v>
      </c>
      <c r="J6022" s="35">
        <f t="shared" si="1042"/>
        <v>0</v>
      </c>
      <c r="K6022" s="36"/>
      <c r="L6022" s="36"/>
      <c r="M6022" s="36"/>
      <c r="N6022" s="36"/>
      <c r="O6022" s="36"/>
      <c r="P6022" s="36"/>
      <c r="Q6022" s="36"/>
      <c r="R6022" s="36"/>
      <c r="S6022" s="36"/>
      <c r="T6022" s="36"/>
      <c r="U6022" s="36"/>
      <c r="V6022" s="36"/>
      <c r="W6022" s="15">
        <f t="shared" si="1043"/>
        <v>0</v>
      </c>
      <c r="X6022" s="36"/>
      <c r="Y6022" s="36"/>
      <c r="Z6022" s="36"/>
      <c r="AA6022" s="36"/>
      <c r="AB6022" s="36"/>
      <c r="AC6022" s="36"/>
      <c r="AD6022" s="36"/>
      <c r="AE6022" s="36"/>
      <c r="AF6022" s="36"/>
      <c r="AG6022" s="36"/>
      <c r="AH6022" s="36"/>
      <c r="AI6022" s="36"/>
      <c r="AJ6022" s="15">
        <f t="shared" si="1044"/>
        <v>0</v>
      </c>
      <c r="AK6022" s="14"/>
      <c r="AL6022" s="14">
        <v>400</v>
      </c>
      <c r="AM6022" s="14">
        <v>400</v>
      </c>
      <c r="AN6022" s="14"/>
      <c r="AO6022" s="14"/>
      <c r="AP6022" s="14"/>
      <c r="AQ6022" s="14"/>
      <c r="AR6022" s="14"/>
      <c r="AS6022" s="14"/>
      <c r="AT6022" s="14"/>
      <c r="AU6022" s="14"/>
      <c r="AV6022" s="14"/>
      <c r="AW6022" s="15">
        <f t="shared" si="1045"/>
        <v>800</v>
      </c>
      <c r="AX6022" s="316">
        <f>SUM(H5976:H6022)</f>
        <v>22050</v>
      </c>
      <c r="AY6022" s="112">
        <f>SUM(H5975:H6022)</f>
        <v>22350</v>
      </c>
    </row>
    <row r="6023" spans="2:51" x14ac:dyDescent="0.2">
      <c r="B6023" s="7"/>
      <c r="C6023" s="8">
        <v>16152</v>
      </c>
      <c r="D6023" s="9" t="s">
        <v>195</v>
      </c>
      <c r="E6023" s="10" t="str">
        <f t="shared" si="1040"/>
        <v>Rancho Estanzuela No. 100</v>
      </c>
      <c r="F6023" s="10" t="str">
        <f t="shared" si="1041"/>
        <v>Arias Monter</v>
      </c>
      <c r="G6023" s="8">
        <v>1</v>
      </c>
      <c r="H6023" s="315">
        <v>400</v>
      </c>
      <c r="I6023" s="12">
        <v>43171</v>
      </c>
      <c r="J6023" s="35">
        <f t="shared" si="1042"/>
        <v>0</v>
      </c>
      <c r="K6023" s="36"/>
      <c r="L6023" s="36"/>
      <c r="M6023" s="36"/>
      <c r="N6023" s="36"/>
      <c r="O6023" s="36"/>
      <c r="P6023" s="36"/>
      <c r="Q6023" s="36"/>
      <c r="R6023" s="36"/>
      <c r="S6023" s="36"/>
      <c r="T6023" s="36"/>
      <c r="U6023" s="36"/>
      <c r="V6023" s="36"/>
      <c r="W6023" s="15">
        <f t="shared" si="1043"/>
        <v>0</v>
      </c>
      <c r="X6023" s="36"/>
      <c r="Y6023" s="36"/>
      <c r="Z6023" s="36"/>
      <c r="AA6023" s="36"/>
      <c r="AB6023" s="36"/>
      <c r="AC6023" s="36"/>
      <c r="AD6023" s="36"/>
      <c r="AE6023" s="36"/>
      <c r="AF6023" s="36"/>
      <c r="AG6023" s="36"/>
      <c r="AH6023" s="36"/>
      <c r="AI6023" s="36"/>
      <c r="AJ6023" s="15">
        <f t="shared" si="1044"/>
        <v>0</v>
      </c>
      <c r="AK6023" s="14"/>
      <c r="AL6023" s="14">
        <v>400</v>
      </c>
      <c r="AM6023" s="14"/>
      <c r="AN6023" s="14"/>
      <c r="AO6023" s="14"/>
      <c r="AP6023" s="14"/>
      <c r="AQ6023" s="14"/>
      <c r="AR6023" s="14"/>
      <c r="AS6023" s="14"/>
      <c r="AT6023" s="14"/>
      <c r="AU6023" s="14"/>
      <c r="AV6023" s="14"/>
      <c r="AW6023" s="15">
        <f t="shared" si="1045"/>
        <v>400</v>
      </c>
      <c r="AX6023" s="16"/>
    </row>
    <row r="6024" spans="2:51" x14ac:dyDescent="0.2">
      <c r="B6024" s="7"/>
      <c r="C6024" s="8">
        <v>16153</v>
      </c>
      <c r="D6024" s="9"/>
      <c r="E6024" s="10" t="str">
        <f t="shared" ref="E6024:E6316" si="1052">IF(D6024=0,"",VLOOKUP(D6024,BASE,2,FALSE))</f>
        <v/>
      </c>
      <c r="F6024" s="10" t="str">
        <f t="shared" ref="F6024:F6316" si="1053">IF(D6024=0,"",VLOOKUP(D6024,BASE,3,FALSE))</f>
        <v/>
      </c>
      <c r="G6024" s="8">
        <v>8</v>
      </c>
      <c r="H6024" s="11"/>
      <c r="I6024" s="12"/>
      <c r="J6024" s="35">
        <f t="shared" ref="J6024:J6316" si="1054">IF(G6024=1,SUM(W6024,AJ6024,AW6024,-H6024),0)</f>
        <v>0</v>
      </c>
      <c r="K6024" s="36"/>
      <c r="L6024" s="36"/>
      <c r="M6024" s="36"/>
      <c r="N6024" s="36"/>
      <c r="O6024" s="36"/>
      <c r="P6024" s="36"/>
      <c r="Q6024" s="36"/>
      <c r="R6024" s="36"/>
      <c r="S6024" s="36"/>
      <c r="T6024" s="36"/>
      <c r="U6024" s="36"/>
      <c r="V6024" s="36"/>
      <c r="W6024" s="15">
        <f t="shared" ref="W6024:W6316" si="1055">SUM(K6024:V6024)</f>
        <v>0</v>
      </c>
      <c r="X6024" s="36"/>
      <c r="Y6024" s="36"/>
      <c r="Z6024" s="36"/>
      <c r="AA6024" s="36"/>
      <c r="AB6024" s="36"/>
      <c r="AC6024" s="36"/>
      <c r="AD6024" s="36"/>
      <c r="AE6024" s="36"/>
      <c r="AF6024" s="36"/>
      <c r="AG6024" s="36"/>
      <c r="AH6024" s="36"/>
      <c r="AI6024" s="36"/>
      <c r="AJ6024" s="15">
        <f t="shared" ref="AJ6024:AJ6316" si="1056">SUM(X6024:AI6024)</f>
        <v>0</v>
      </c>
      <c r="AK6024" s="14"/>
      <c r="AL6024" s="14"/>
      <c r="AM6024" s="14"/>
      <c r="AN6024" s="14"/>
      <c r="AO6024" s="14"/>
      <c r="AP6024" s="14"/>
      <c r="AQ6024" s="14"/>
      <c r="AR6024" s="14"/>
      <c r="AS6024" s="14"/>
      <c r="AT6024" s="14"/>
      <c r="AU6024" s="14"/>
      <c r="AV6024" s="14"/>
      <c r="AW6024" s="15">
        <f t="shared" ref="AW6024:AW6316" si="1057">SUM(AK6024:AV6024)</f>
        <v>0</v>
      </c>
      <c r="AX6024" s="16"/>
    </row>
    <row r="6025" spans="2:51" x14ac:dyDescent="0.2">
      <c r="B6025" s="7"/>
      <c r="C6025" s="8">
        <v>16154</v>
      </c>
      <c r="D6025" s="9" t="s">
        <v>112</v>
      </c>
      <c r="E6025" s="10" t="str">
        <f t="shared" si="1052"/>
        <v>Rancho Estanzuela No. 129</v>
      </c>
      <c r="F6025" s="10" t="str">
        <f t="shared" si="1053"/>
        <v>Sta. María Mendoza</v>
      </c>
      <c r="G6025" s="8">
        <v>1</v>
      </c>
      <c r="H6025" s="11">
        <v>250</v>
      </c>
      <c r="I6025" s="12">
        <v>43172</v>
      </c>
      <c r="J6025" s="35">
        <f t="shared" si="1054"/>
        <v>0</v>
      </c>
      <c r="K6025" s="36"/>
      <c r="L6025" s="36"/>
      <c r="M6025" s="36"/>
      <c r="N6025" s="36"/>
      <c r="O6025" s="36"/>
      <c r="P6025" s="36"/>
      <c r="Q6025" s="36"/>
      <c r="R6025" s="36"/>
      <c r="S6025" s="36"/>
      <c r="T6025" s="36"/>
      <c r="U6025" s="36"/>
      <c r="V6025" s="36"/>
      <c r="W6025" s="15">
        <f t="shared" si="1055"/>
        <v>0</v>
      </c>
      <c r="X6025" s="36"/>
      <c r="Y6025" s="36"/>
      <c r="Z6025" s="36"/>
      <c r="AA6025" s="36"/>
      <c r="AB6025" s="36"/>
      <c r="AC6025" s="36"/>
      <c r="AD6025" s="36"/>
      <c r="AE6025" s="36"/>
      <c r="AF6025" s="36"/>
      <c r="AG6025" s="36"/>
      <c r="AH6025" s="36"/>
      <c r="AI6025" s="36"/>
      <c r="AJ6025" s="15">
        <f t="shared" si="1056"/>
        <v>0</v>
      </c>
      <c r="AK6025" s="14"/>
      <c r="AL6025" s="14">
        <v>250</v>
      </c>
      <c r="AM6025" s="14"/>
      <c r="AN6025" s="14"/>
      <c r="AO6025" s="14"/>
      <c r="AP6025" s="14"/>
      <c r="AQ6025" s="14"/>
      <c r="AR6025" s="14"/>
      <c r="AS6025" s="14"/>
      <c r="AT6025" s="14"/>
      <c r="AU6025" s="14"/>
      <c r="AV6025" s="14"/>
      <c r="AW6025" s="15">
        <f t="shared" si="1057"/>
        <v>250</v>
      </c>
      <c r="AX6025" s="16"/>
    </row>
    <row r="6026" spans="2:51" x14ac:dyDescent="0.2">
      <c r="B6026" s="7"/>
      <c r="C6026" s="8">
        <v>16155</v>
      </c>
      <c r="D6026" s="9" t="s">
        <v>526</v>
      </c>
      <c r="E6026" s="10" t="str">
        <f t="shared" si="1052"/>
        <v>Rancho Landero No. 62</v>
      </c>
      <c r="F6026" s="10" t="str">
        <f t="shared" si="1053"/>
        <v>Narvaez Sara</v>
      </c>
      <c r="G6026" s="8">
        <v>1</v>
      </c>
      <c r="H6026" s="11">
        <v>300</v>
      </c>
      <c r="I6026" s="12">
        <v>43172</v>
      </c>
      <c r="J6026" s="35">
        <f t="shared" si="1054"/>
        <v>0</v>
      </c>
      <c r="K6026" s="36"/>
      <c r="L6026" s="36"/>
      <c r="M6026" s="36"/>
      <c r="N6026" s="36"/>
      <c r="O6026" s="36"/>
      <c r="P6026" s="36"/>
      <c r="Q6026" s="36"/>
      <c r="R6026" s="36"/>
      <c r="S6026" s="36"/>
      <c r="T6026" s="36"/>
      <c r="U6026" s="36"/>
      <c r="V6026" s="36"/>
      <c r="W6026" s="15">
        <f t="shared" si="1055"/>
        <v>0</v>
      </c>
      <c r="X6026" s="36"/>
      <c r="Y6026" s="36"/>
      <c r="Z6026" s="36"/>
      <c r="AA6026" s="36"/>
      <c r="AB6026" s="36"/>
      <c r="AC6026" s="36"/>
      <c r="AD6026" s="36"/>
      <c r="AE6026" s="36"/>
      <c r="AF6026" s="36"/>
      <c r="AG6026" s="36"/>
      <c r="AH6026" s="36"/>
      <c r="AI6026" s="36"/>
      <c r="AJ6026" s="15">
        <f t="shared" si="1056"/>
        <v>0</v>
      </c>
      <c r="AK6026" s="14"/>
      <c r="AL6026" s="14">
        <v>300</v>
      </c>
      <c r="AM6026" s="14"/>
      <c r="AN6026" s="14"/>
      <c r="AO6026" s="14"/>
      <c r="AP6026" s="14"/>
      <c r="AQ6026" s="14"/>
      <c r="AR6026" s="14"/>
      <c r="AS6026" s="14"/>
      <c r="AT6026" s="14"/>
      <c r="AU6026" s="14"/>
      <c r="AV6026" s="14"/>
      <c r="AW6026" s="15">
        <f t="shared" si="1057"/>
        <v>300</v>
      </c>
      <c r="AX6026" s="16"/>
    </row>
    <row r="6027" spans="2:51" x14ac:dyDescent="0.2">
      <c r="B6027" s="7"/>
      <c r="C6027" s="8">
        <v>16155</v>
      </c>
      <c r="D6027" s="9" t="s">
        <v>526</v>
      </c>
      <c r="E6027" s="10" t="str">
        <f t="shared" ref="E6027:E6060" si="1058">IF(D6027=0,"",VLOOKUP(D6027,BASE,2,FALSE))</f>
        <v>Rancho Landero No. 62</v>
      </c>
      <c r="F6027" s="10" t="str">
        <f t="shared" ref="F6027:F6060" si="1059">IF(D6027=0,"",VLOOKUP(D6027,BASE,3,FALSE))</f>
        <v>Narvaez Sara</v>
      </c>
      <c r="G6027" s="8">
        <v>5</v>
      </c>
      <c r="H6027" s="11">
        <v>100</v>
      </c>
      <c r="I6027" s="12">
        <v>43172</v>
      </c>
      <c r="J6027" s="35">
        <f t="shared" ref="J6027:J6060" si="1060">IF(G6027=1,SUM(W6027,AJ6027,AW6027,-H6027),0)</f>
        <v>0</v>
      </c>
      <c r="K6027" s="36"/>
      <c r="L6027" s="36"/>
      <c r="M6027" s="36"/>
      <c r="N6027" s="36"/>
      <c r="O6027" s="36"/>
      <c r="P6027" s="36"/>
      <c r="Q6027" s="36"/>
      <c r="R6027" s="36"/>
      <c r="S6027" s="36"/>
      <c r="T6027" s="36"/>
      <c r="U6027" s="36"/>
      <c r="V6027" s="36"/>
      <c r="W6027" s="15">
        <f t="shared" ref="W6027:W6060" si="1061">SUM(K6027:V6027)</f>
        <v>0</v>
      </c>
      <c r="X6027" s="36"/>
      <c r="Y6027" s="36"/>
      <c r="Z6027" s="36"/>
      <c r="AA6027" s="36"/>
      <c r="AB6027" s="36"/>
      <c r="AC6027" s="36"/>
      <c r="AD6027" s="36"/>
      <c r="AE6027" s="36"/>
      <c r="AF6027" s="36"/>
      <c r="AG6027" s="36"/>
      <c r="AH6027" s="36"/>
      <c r="AI6027" s="36"/>
      <c r="AJ6027" s="15">
        <f t="shared" ref="AJ6027:AJ6060" si="1062">SUM(X6027:AI6027)</f>
        <v>0</v>
      </c>
      <c r="AK6027" s="14"/>
      <c r="AL6027" s="14"/>
      <c r="AM6027" s="14"/>
      <c r="AN6027" s="14"/>
      <c r="AO6027" s="14"/>
      <c r="AP6027" s="14"/>
      <c r="AQ6027" s="14"/>
      <c r="AR6027" s="14"/>
      <c r="AS6027" s="14"/>
      <c r="AT6027" s="14"/>
      <c r="AU6027" s="14"/>
      <c r="AV6027" s="14"/>
      <c r="AW6027" s="15">
        <f t="shared" ref="AW6027:AW6060" si="1063">SUM(AK6027:AV6027)</f>
        <v>0</v>
      </c>
      <c r="AX6027" s="16"/>
    </row>
    <row r="6028" spans="2:51" x14ac:dyDescent="0.2">
      <c r="B6028" s="7"/>
      <c r="C6028" s="8">
        <v>16156</v>
      </c>
      <c r="D6028" s="9" t="s">
        <v>598</v>
      </c>
      <c r="E6028" s="10" t="str">
        <f t="shared" si="1058"/>
        <v>Rancho Estanzuela No. 21</v>
      </c>
      <c r="F6028" s="10" t="str">
        <f t="shared" si="1059"/>
        <v>Morales</v>
      </c>
      <c r="G6028" s="8">
        <v>1</v>
      </c>
      <c r="H6028" s="11">
        <v>1200</v>
      </c>
      <c r="I6028" s="12">
        <v>43173</v>
      </c>
      <c r="J6028" s="35">
        <f t="shared" si="1060"/>
        <v>0</v>
      </c>
      <c r="K6028" s="36"/>
      <c r="L6028" s="36"/>
      <c r="M6028" s="36"/>
      <c r="N6028" s="36"/>
      <c r="O6028" s="36"/>
      <c r="P6028" s="36"/>
      <c r="Q6028" s="36"/>
      <c r="R6028" s="36"/>
      <c r="S6028" s="36"/>
      <c r="T6028" s="36"/>
      <c r="U6028" s="36"/>
      <c r="V6028" s="36"/>
      <c r="W6028" s="15">
        <f t="shared" si="1061"/>
        <v>0</v>
      </c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15">
        <f t="shared" si="1062"/>
        <v>0</v>
      </c>
      <c r="AK6028" s="14">
        <v>400</v>
      </c>
      <c r="AL6028" s="14">
        <v>400</v>
      </c>
      <c r="AM6028" s="14">
        <v>400</v>
      </c>
      <c r="AN6028" s="14"/>
      <c r="AO6028" s="14"/>
      <c r="AP6028" s="14"/>
      <c r="AQ6028" s="14"/>
      <c r="AR6028" s="14"/>
      <c r="AS6028" s="14"/>
      <c r="AT6028" s="14"/>
      <c r="AU6028" s="14"/>
      <c r="AV6028" s="14"/>
      <c r="AW6028" s="15">
        <f t="shared" si="1063"/>
        <v>1200</v>
      </c>
      <c r="AX6028" s="16"/>
    </row>
    <row r="6029" spans="2:51" x14ac:dyDescent="0.2">
      <c r="B6029" s="7"/>
      <c r="C6029" s="8">
        <v>16157</v>
      </c>
      <c r="D6029" s="9" t="s">
        <v>500</v>
      </c>
      <c r="E6029" s="10" t="str">
        <f t="shared" si="1058"/>
        <v>Rancho La Cuchilla No. 125</v>
      </c>
      <c r="F6029" s="10" t="str">
        <f t="shared" si="1059"/>
        <v>Nisse</v>
      </c>
      <c r="G6029" s="8">
        <v>1</v>
      </c>
      <c r="H6029" s="11">
        <v>400</v>
      </c>
      <c r="I6029" s="12">
        <v>43173</v>
      </c>
      <c r="J6029" s="35">
        <f t="shared" si="1060"/>
        <v>0</v>
      </c>
      <c r="K6029" s="36"/>
      <c r="L6029" s="36"/>
      <c r="M6029" s="36"/>
      <c r="N6029" s="36"/>
      <c r="O6029" s="36"/>
      <c r="P6029" s="36"/>
      <c r="Q6029" s="36"/>
      <c r="R6029" s="36"/>
      <c r="S6029" s="36"/>
      <c r="T6029" s="36"/>
      <c r="U6029" s="36"/>
      <c r="V6029" s="36"/>
      <c r="W6029" s="15">
        <f t="shared" si="1061"/>
        <v>0</v>
      </c>
      <c r="X6029" s="36"/>
      <c r="Y6029" s="36"/>
      <c r="Z6029" s="36"/>
      <c r="AA6029" s="36"/>
      <c r="AB6029" s="36"/>
      <c r="AC6029" s="36"/>
      <c r="AD6029" s="36"/>
      <c r="AE6029" s="36"/>
      <c r="AF6029" s="36"/>
      <c r="AG6029" s="36"/>
      <c r="AH6029" s="36"/>
      <c r="AI6029" s="36"/>
      <c r="AJ6029" s="15">
        <f t="shared" si="1062"/>
        <v>0</v>
      </c>
      <c r="AK6029" s="14"/>
      <c r="AL6029" s="14"/>
      <c r="AM6029" s="14">
        <v>400</v>
      </c>
      <c r="AN6029" s="14"/>
      <c r="AO6029" s="14"/>
      <c r="AP6029" s="14"/>
      <c r="AQ6029" s="14"/>
      <c r="AR6029" s="14"/>
      <c r="AS6029" s="14"/>
      <c r="AT6029" s="14"/>
      <c r="AU6029" s="14"/>
      <c r="AV6029" s="14"/>
      <c r="AW6029" s="15">
        <f t="shared" si="1063"/>
        <v>400</v>
      </c>
      <c r="AX6029" s="16"/>
    </row>
    <row r="6030" spans="2:51" x14ac:dyDescent="0.2">
      <c r="B6030" s="7"/>
      <c r="C6030" s="8">
        <v>16158</v>
      </c>
      <c r="D6030" s="9" t="s">
        <v>1110</v>
      </c>
      <c r="E6030" s="10" t="str">
        <f t="shared" si="1058"/>
        <v>Rancho Upácuaro No. 103</v>
      </c>
      <c r="F6030" s="10" t="str">
        <f t="shared" si="1059"/>
        <v>Alfaro</v>
      </c>
      <c r="G6030" s="8">
        <v>1</v>
      </c>
      <c r="H6030" s="11">
        <v>400</v>
      </c>
      <c r="I6030" s="12">
        <v>43174</v>
      </c>
      <c r="J6030" s="35">
        <f t="shared" si="1060"/>
        <v>0</v>
      </c>
      <c r="K6030" s="36"/>
      <c r="L6030" s="36"/>
      <c r="M6030" s="36"/>
      <c r="N6030" s="36"/>
      <c r="O6030" s="36"/>
      <c r="P6030" s="36"/>
      <c r="Q6030" s="36"/>
      <c r="R6030" s="36"/>
      <c r="S6030" s="36"/>
      <c r="T6030" s="36"/>
      <c r="U6030" s="36"/>
      <c r="V6030" s="36"/>
      <c r="W6030" s="15">
        <f t="shared" si="1061"/>
        <v>0</v>
      </c>
      <c r="X6030" s="36"/>
      <c r="Y6030" s="36"/>
      <c r="Z6030" s="36"/>
      <c r="AA6030" s="36"/>
      <c r="AB6030" s="36"/>
      <c r="AC6030" s="36"/>
      <c r="AD6030" s="36"/>
      <c r="AE6030" s="36"/>
      <c r="AF6030" s="36"/>
      <c r="AG6030" s="36"/>
      <c r="AH6030" s="36"/>
      <c r="AI6030" s="36"/>
      <c r="AJ6030" s="15">
        <f t="shared" si="1062"/>
        <v>0</v>
      </c>
      <c r="AK6030" s="14"/>
      <c r="AL6030" s="14"/>
      <c r="AM6030" s="14">
        <v>400</v>
      </c>
      <c r="AN6030" s="14"/>
      <c r="AO6030" s="14"/>
      <c r="AP6030" s="14"/>
      <c r="AQ6030" s="14"/>
      <c r="AR6030" s="14"/>
      <c r="AS6030" s="14"/>
      <c r="AT6030" s="14"/>
      <c r="AU6030" s="14"/>
      <c r="AV6030" s="14"/>
      <c r="AW6030" s="15">
        <f t="shared" si="1063"/>
        <v>400</v>
      </c>
      <c r="AX6030" s="16"/>
    </row>
    <row r="6031" spans="2:51" x14ac:dyDescent="0.2">
      <c r="B6031" s="7"/>
      <c r="C6031" s="8">
        <v>16159</v>
      </c>
      <c r="D6031" s="9" t="s">
        <v>874</v>
      </c>
      <c r="E6031" s="10" t="str">
        <f t="shared" si="1058"/>
        <v>Rancho Zinamba No. 46</v>
      </c>
      <c r="F6031" s="10" t="str">
        <f t="shared" si="1059"/>
        <v>Olguín</v>
      </c>
      <c r="G6031" s="8">
        <v>1</v>
      </c>
      <c r="H6031" s="11">
        <v>600</v>
      </c>
      <c r="I6031" s="12">
        <v>43174</v>
      </c>
      <c r="J6031" s="35">
        <f t="shared" si="1060"/>
        <v>0</v>
      </c>
      <c r="K6031" s="36"/>
      <c r="L6031" s="36"/>
      <c r="M6031" s="36"/>
      <c r="N6031" s="36"/>
      <c r="O6031" s="36"/>
      <c r="P6031" s="36"/>
      <c r="Q6031" s="36"/>
      <c r="R6031" s="36"/>
      <c r="S6031" s="36"/>
      <c r="T6031" s="36"/>
      <c r="U6031" s="36"/>
      <c r="V6031" s="36"/>
      <c r="W6031" s="15">
        <f t="shared" si="1061"/>
        <v>0</v>
      </c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>
        <v>200</v>
      </c>
      <c r="AJ6031" s="15">
        <f t="shared" si="1062"/>
        <v>200</v>
      </c>
      <c r="AK6031" s="14">
        <v>200</v>
      </c>
      <c r="AL6031" s="14">
        <v>200</v>
      </c>
      <c r="AM6031" s="14"/>
      <c r="AN6031" s="14"/>
      <c r="AO6031" s="14"/>
      <c r="AP6031" s="14"/>
      <c r="AQ6031" s="14"/>
      <c r="AR6031" s="14"/>
      <c r="AS6031" s="14"/>
      <c r="AT6031" s="14"/>
      <c r="AU6031" s="14"/>
      <c r="AV6031" s="14"/>
      <c r="AW6031" s="15">
        <f t="shared" si="1063"/>
        <v>400</v>
      </c>
      <c r="AX6031" s="16"/>
    </row>
    <row r="6032" spans="2:51" x14ac:dyDescent="0.2">
      <c r="B6032" s="7"/>
      <c r="C6032" s="8">
        <v>16160</v>
      </c>
      <c r="D6032" s="9" t="s">
        <v>380</v>
      </c>
      <c r="E6032" s="10" t="str">
        <f t="shared" si="1058"/>
        <v>Rancho Zinamba No. 10</v>
      </c>
      <c r="F6032" s="10" t="str">
        <f t="shared" si="1059"/>
        <v>Roy Sánchez</v>
      </c>
      <c r="G6032" s="8">
        <v>1</v>
      </c>
      <c r="H6032" s="11">
        <v>1500</v>
      </c>
      <c r="I6032" s="12">
        <v>43175</v>
      </c>
      <c r="J6032" s="35">
        <f t="shared" si="1060"/>
        <v>0</v>
      </c>
      <c r="K6032" s="36"/>
      <c r="L6032" s="36"/>
      <c r="M6032" s="36"/>
      <c r="N6032" s="36"/>
      <c r="O6032" s="36"/>
      <c r="P6032" s="36"/>
      <c r="Q6032" s="36"/>
      <c r="R6032" s="36"/>
      <c r="S6032" s="36"/>
      <c r="T6032" s="36"/>
      <c r="U6032" s="36"/>
      <c r="V6032" s="36"/>
      <c r="W6032" s="15">
        <f t="shared" si="1061"/>
        <v>0</v>
      </c>
      <c r="X6032" s="36"/>
      <c r="Y6032" s="36"/>
      <c r="Z6032" s="36"/>
      <c r="AA6032" s="36"/>
      <c r="AB6032" s="36"/>
      <c r="AC6032" s="36"/>
      <c r="AD6032" s="36"/>
      <c r="AE6032" s="36"/>
      <c r="AF6032" s="36"/>
      <c r="AG6032" s="36"/>
      <c r="AH6032" s="36"/>
      <c r="AI6032" s="36"/>
      <c r="AJ6032" s="15">
        <f t="shared" si="1062"/>
        <v>0</v>
      </c>
      <c r="AK6032" s="14">
        <v>300</v>
      </c>
      <c r="AL6032" s="14">
        <v>300</v>
      </c>
      <c r="AM6032" s="14">
        <v>300</v>
      </c>
      <c r="AN6032" s="14">
        <v>300</v>
      </c>
      <c r="AO6032" s="14">
        <v>300</v>
      </c>
      <c r="AP6032" s="14"/>
      <c r="AQ6032" s="14"/>
      <c r="AR6032" s="14"/>
      <c r="AS6032" s="14"/>
      <c r="AT6032" s="14"/>
      <c r="AU6032" s="14"/>
      <c r="AV6032" s="14"/>
      <c r="AW6032" s="15">
        <f t="shared" si="1063"/>
        <v>1500</v>
      </c>
      <c r="AX6032" s="16"/>
    </row>
    <row r="6033" spans="2:50" x14ac:dyDescent="0.2">
      <c r="B6033" s="7"/>
      <c r="C6033" s="8">
        <v>16161</v>
      </c>
      <c r="D6033" s="9" t="s">
        <v>820</v>
      </c>
      <c r="E6033" s="10" t="str">
        <f t="shared" si="1058"/>
        <v>Rancho Zinamba No. 84</v>
      </c>
      <c r="F6033" s="10" t="str">
        <f t="shared" si="1059"/>
        <v>Lobato</v>
      </c>
      <c r="G6033" s="8">
        <v>1</v>
      </c>
      <c r="H6033" s="11">
        <v>300</v>
      </c>
      <c r="I6033" s="12">
        <v>43177</v>
      </c>
      <c r="J6033" s="35">
        <f t="shared" si="1060"/>
        <v>0</v>
      </c>
      <c r="K6033" s="36"/>
      <c r="L6033" s="36"/>
      <c r="M6033" s="36"/>
      <c r="N6033" s="36"/>
      <c r="O6033" s="36"/>
      <c r="P6033" s="36"/>
      <c r="Q6033" s="36"/>
      <c r="R6033" s="36"/>
      <c r="S6033" s="36"/>
      <c r="T6033" s="36"/>
      <c r="U6033" s="36"/>
      <c r="V6033" s="36"/>
      <c r="W6033" s="15">
        <f t="shared" si="1061"/>
        <v>0</v>
      </c>
      <c r="X6033" s="36"/>
      <c r="Y6033" s="36"/>
      <c r="Z6033" s="36"/>
      <c r="AA6033" s="36"/>
      <c r="AB6033" s="36"/>
      <c r="AC6033" s="36"/>
      <c r="AD6033" s="36"/>
      <c r="AE6033" s="36"/>
      <c r="AF6033" s="36"/>
      <c r="AG6033" s="36"/>
      <c r="AH6033" s="36"/>
      <c r="AI6033" s="36"/>
      <c r="AJ6033" s="15">
        <f t="shared" si="1062"/>
        <v>0</v>
      </c>
      <c r="AK6033" s="14"/>
      <c r="AL6033" s="14"/>
      <c r="AM6033" s="14">
        <v>300</v>
      </c>
      <c r="AN6033" s="14"/>
      <c r="AO6033" s="14"/>
      <c r="AP6033" s="14"/>
      <c r="AQ6033" s="14"/>
      <c r="AR6033" s="14"/>
      <c r="AS6033" s="14"/>
      <c r="AT6033" s="14"/>
      <c r="AU6033" s="14"/>
      <c r="AV6033" s="14"/>
      <c r="AW6033" s="15">
        <f t="shared" si="1063"/>
        <v>300</v>
      </c>
      <c r="AX6033" s="16"/>
    </row>
    <row r="6034" spans="2:50" x14ac:dyDescent="0.2">
      <c r="B6034" s="7"/>
      <c r="C6034" s="8">
        <v>16162</v>
      </c>
      <c r="D6034" s="9" t="s">
        <v>592</v>
      </c>
      <c r="E6034" s="10" t="str">
        <f t="shared" si="1058"/>
        <v>Rancho Landero No. 30</v>
      </c>
      <c r="F6034" s="10" t="str">
        <f t="shared" si="1059"/>
        <v>Torres Guzmán</v>
      </c>
      <c r="G6034" s="8">
        <v>1</v>
      </c>
      <c r="H6034" s="11">
        <v>1500</v>
      </c>
      <c r="I6034" s="12">
        <v>43177</v>
      </c>
      <c r="J6034" s="35">
        <f t="shared" si="1060"/>
        <v>0</v>
      </c>
      <c r="K6034" s="36"/>
      <c r="L6034" s="36"/>
      <c r="M6034" s="36"/>
      <c r="N6034" s="36"/>
      <c r="O6034" s="36"/>
      <c r="P6034" s="36"/>
      <c r="Q6034" s="36"/>
      <c r="R6034" s="36"/>
      <c r="S6034" s="36"/>
      <c r="T6034" s="36"/>
      <c r="U6034" s="36"/>
      <c r="V6034" s="36"/>
      <c r="W6034" s="15">
        <f t="shared" si="1061"/>
        <v>0</v>
      </c>
      <c r="X6034" s="36"/>
      <c r="Y6034" s="36"/>
      <c r="Z6034" s="36"/>
      <c r="AA6034" s="36"/>
      <c r="AB6034" s="36"/>
      <c r="AC6034" s="36"/>
      <c r="AD6034" s="36"/>
      <c r="AE6034" s="36"/>
      <c r="AF6034" s="36"/>
      <c r="AG6034" s="36"/>
      <c r="AH6034" s="36"/>
      <c r="AI6034" s="36">
        <v>300</v>
      </c>
      <c r="AJ6034" s="15">
        <f t="shared" si="1062"/>
        <v>300</v>
      </c>
      <c r="AK6034" s="14">
        <v>300</v>
      </c>
      <c r="AL6034" s="14">
        <v>300</v>
      </c>
      <c r="AM6034" s="14">
        <v>300</v>
      </c>
      <c r="AN6034" s="14">
        <v>300</v>
      </c>
      <c r="AO6034" s="14"/>
      <c r="AP6034" s="14"/>
      <c r="AQ6034" s="14"/>
      <c r="AR6034" s="14"/>
      <c r="AS6034" s="14"/>
      <c r="AT6034" s="14"/>
      <c r="AU6034" s="14"/>
      <c r="AV6034" s="14"/>
      <c r="AW6034" s="15">
        <f t="shared" si="1063"/>
        <v>1200</v>
      </c>
      <c r="AX6034" s="16"/>
    </row>
    <row r="6035" spans="2:50" x14ac:dyDescent="0.2">
      <c r="B6035" s="7"/>
      <c r="C6035" s="8">
        <v>16163</v>
      </c>
      <c r="D6035" s="9" t="s">
        <v>640</v>
      </c>
      <c r="E6035" s="10" t="str">
        <f t="shared" si="1058"/>
        <v>Rancho Estopila No. 22, A</v>
      </c>
      <c r="F6035" s="10" t="str">
        <f t="shared" si="1059"/>
        <v>Ayala Carranza</v>
      </c>
      <c r="G6035" s="8">
        <v>1</v>
      </c>
      <c r="H6035" s="11">
        <v>200</v>
      </c>
      <c r="I6035" s="12">
        <v>43177</v>
      </c>
      <c r="J6035" s="35">
        <f t="shared" si="1060"/>
        <v>0</v>
      </c>
      <c r="K6035" s="36"/>
      <c r="L6035" s="36"/>
      <c r="M6035" s="36"/>
      <c r="N6035" s="36"/>
      <c r="O6035" s="36"/>
      <c r="P6035" s="36"/>
      <c r="Q6035" s="36"/>
      <c r="R6035" s="36"/>
      <c r="S6035" s="36"/>
      <c r="T6035" s="36"/>
      <c r="U6035" s="36"/>
      <c r="V6035" s="36"/>
      <c r="W6035" s="15">
        <f t="shared" si="1061"/>
        <v>0</v>
      </c>
      <c r="X6035" s="36"/>
      <c r="Y6035" s="36"/>
      <c r="Z6035" s="36"/>
      <c r="AA6035" s="36"/>
      <c r="AB6035" s="36"/>
      <c r="AC6035" s="36"/>
      <c r="AD6035" s="36"/>
      <c r="AE6035" s="36"/>
      <c r="AF6035" s="36"/>
      <c r="AG6035" s="36"/>
      <c r="AH6035" s="36"/>
      <c r="AI6035" s="36"/>
      <c r="AJ6035" s="15">
        <f t="shared" si="1062"/>
        <v>0</v>
      </c>
      <c r="AK6035" s="14"/>
      <c r="AL6035" s="14">
        <v>200</v>
      </c>
      <c r="AM6035" s="14"/>
      <c r="AN6035" s="14"/>
      <c r="AO6035" s="14"/>
      <c r="AP6035" s="14"/>
      <c r="AQ6035" s="14"/>
      <c r="AR6035" s="14"/>
      <c r="AS6035" s="14"/>
      <c r="AT6035" s="14"/>
      <c r="AU6035" s="14"/>
      <c r="AV6035" s="14"/>
      <c r="AW6035" s="15">
        <f t="shared" si="1063"/>
        <v>200</v>
      </c>
      <c r="AX6035" s="16"/>
    </row>
    <row r="6036" spans="2:50" x14ac:dyDescent="0.2">
      <c r="B6036" s="7"/>
      <c r="C6036" s="8">
        <v>16164</v>
      </c>
      <c r="D6036" s="9" t="s">
        <v>608</v>
      </c>
      <c r="E6036" s="10" t="str">
        <f t="shared" si="1058"/>
        <v>Rancho Upácuaro No. 146</v>
      </c>
      <c r="F6036" s="10" t="str">
        <f t="shared" si="1059"/>
        <v>Islas</v>
      </c>
      <c r="G6036" s="8">
        <v>1</v>
      </c>
      <c r="H6036" s="11">
        <v>800</v>
      </c>
      <c r="I6036" s="12">
        <v>43177</v>
      </c>
      <c r="J6036" s="35">
        <f t="shared" si="1060"/>
        <v>0</v>
      </c>
      <c r="K6036" s="36"/>
      <c r="L6036" s="36"/>
      <c r="M6036" s="36"/>
      <c r="N6036" s="36"/>
      <c r="O6036" s="36"/>
      <c r="P6036" s="36"/>
      <c r="Q6036" s="36"/>
      <c r="R6036" s="36"/>
      <c r="S6036" s="36"/>
      <c r="T6036" s="36"/>
      <c r="U6036" s="36"/>
      <c r="V6036" s="36"/>
      <c r="W6036" s="15">
        <f t="shared" si="1061"/>
        <v>0</v>
      </c>
      <c r="X6036" s="36"/>
      <c r="Y6036" s="36"/>
      <c r="Z6036" s="36"/>
      <c r="AA6036" s="36"/>
      <c r="AB6036" s="36"/>
      <c r="AC6036" s="36"/>
      <c r="AD6036" s="36"/>
      <c r="AE6036" s="36"/>
      <c r="AF6036" s="36"/>
      <c r="AG6036" s="36"/>
      <c r="AH6036" s="36"/>
      <c r="AI6036" s="36"/>
      <c r="AJ6036" s="15">
        <f t="shared" si="1062"/>
        <v>0</v>
      </c>
      <c r="AK6036" s="14">
        <v>400</v>
      </c>
      <c r="AL6036" s="14">
        <v>400</v>
      </c>
      <c r="AM6036" s="14"/>
      <c r="AN6036" s="14"/>
      <c r="AO6036" s="14"/>
      <c r="AP6036" s="14"/>
      <c r="AQ6036" s="14"/>
      <c r="AR6036" s="14"/>
      <c r="AS6036" s="14"/>
      <c r="AT6036" s="14"/>
      <c r="AU6036" s="14"/>
      <c r="AV6036" s="14"/>
      <c r="AW6036" s="15">
        <f t="shared" si="1063"/>
        <v>800</v>
      </c>
      <c r="AX6036" s="16"/>
    </row>
    <row r="6037" spans="2:50" x14ac:dyDescent="0.2">
      <c r="B6037" s="7"/>
      <c r="C6037" s="8">
        <v>16165</v>
      </c>
      <c r="D6037" s="9" t="s">
        <v>1346</v>
      </c>
      <c r="E6037" s="10" t="str">
        <f t="shared" si="1058"/>
        <v>Rancho Estanzuela No. 123</v>
      </c>
      <c r="F6037" s="10" t="str">
        <f t="shared" si="1059"/>
        <v>Bueno Rendón</v>
      </c>
      <c r="G6037" s="8">
        <v>1</v>
      </c>
      <c r="H6037" s="11">
        <v>800</v>
      </c>
      <c r="I6037" s="12">
        <v>43177</v>
      </c>
      <c r="J6037" s="35">
        <f t="shared" si="1060"/>
        <v>0</v>
      </c>
      <c r="K6037" s="36"/>
      <c r="L6037" s="36"/>
      <c r="M6037" s="36"/>
      <c r="N6037" s="36"/>
      <c r="O6037" s="36"/>
      <c r="P6037" s="36"/>
      <c r="Q6037" s="36"/>
      <c r="R6037" s="36"/>
      <c r="S6037" s="36"/>
      <c r="T6037" s="36"/>
      <c r="U6037" s="36"/>
      <c r="V6037" s="36"/>
      <c r="W6037" s="15">
        <f t="shared" si="1061"/>
        <v>0</v>
      </c>
      <c r="X6037" s="36"/>
      <c r="Y6037" s="36"/>
      <c r="Z6037" s="36"/>
      <c r="AA6037" s="36"/>
      <c r="AB6037" s="36"/>
      <c r="AC6037" s="36"/>
      <c r="AD6037" s="36"/>
      <c r="AE6037" s="36"/>
      <c r="AF6037" s="36"/>
      <c r="AG6037" s="36"/>
      <c r="AH6037" s="36"/>
      <c r="AI6037" s="36">
        <v>200</v>
      </c>
      <c r="AJ6037" s="15">
        <f t="shared" si="1062"/>
        <v>200</v>
      </c>
      <c r="AK6037" s="14">
        <v>200</v>
      </c>
      <c r="AL6037" s="14">
        <v>200</v>
      </c>
      <c r="AM6037" s="14">
        <v>200</v>
      </c>
      <c r="AN6037" s="14"/>
      <c r="AO6037" s="14"/>
      <c r="AP6037" s="14"/>
      <c r="AQ6037" s="14"/>
      <c r="AR6037" s="14"/>
      <c r="AS6037" s="14"/>
      <c r="AT6037" s="14"/>
      <c r="AU6037" s="14"/>
      <c r="AV6037" s="14"/>
      <c r="AW6037" s="15">
        <f t="shared" si="1063"/>
        <v>600</v>
      </c>
      <c r="AX6037" s="16"/>
    </row>
    <row r="6038" spans="2:50" x14ac:dyDescent="0.2">
      <c r="B6038" s="7"/>
      <c r="C6038" s="8">
        <v>16166</v>
      </c>
      <c r="D6038" s="9" t="s">
        <v>996</v>
      </c>
      <c r="E6038" s="10" t="str">
        <f t="shared" si="1058"/>
        <v>Rancho Upácuaro No. 15</v>
      </c>
      <c r="F6038" s="10" t="str">
        <f t="shared" si="1059"/>
        <v>Aguirre</v>
      </c>
      <c r="G6038" s="8">
        <v>1</v>
      </c>
      <c r="H6038" s="11">
        <v>400</v>
      </c>
      <c r="I6038" s="12">
        <v>43177</v>
      </c>
      <c r="J6038" s="35">
        <f t="shared" si="1060"/>
        <v>0</v>
      </c>
      <c r="K6038" s="36"/>
      <c r="L6038" s="36"/>
      <c r="M6038" s="36"/>
      <c r="N6038" s="36"/>
      <c r="O6038" s="36"/>
      <c r="P6038" s="36"/>
      <c r="Q6038" s="36"/>
      <c r="R6038" s="36"/>
      <c r="S6038" s="36"/>
      <c r="T6038" s="36"/>
      <c r="U6038" s="36"/>
      <c r="V6038" s="36"/>
      <c r="W6038" s="15">
        <f t="shared" si="1061"/>
        <v>0</v>
      </c>
      <c r="X6038" s="36"/>
      <c r="Y6038" s="36"/>
      <c r="Z6038" s="36"/>
      <c r="AA6038" s="36"/>
      <c r="AB6038" s="36"/>
      <c r="AC6038" s="36"/>
      <c r="AD6038" s="36"/>
      <c r="AE6038" s="36"/>
      <c r="AF6038" s="36"/>
      <c r="AG6038" s="36"/>
      <c r="AH6038" s="36"/>
      <c r="AI6038" s="36"/>
      <c r="AJ6038" s="15">
        <f t="shared" si="1062"/>
        <v>0</v>
      </c>
      <c r="AK6038" s="14">
        <v>400</v>
      </c>
      <c r="AL6038" s="14"/>
      <c r="AM6038" s="14"/>
      <c r="AN6038" s="14"/>
      <c r="AO6038" s="14"/>
      <c r="AP6038" s="14"/>
      <c r="AQ6038" s="14"/>
      <c r="AR6038" s="14"/>
      <c r="AS6038" s="14"/>
      <c r="AT6038" s="14"/>
      <c r="AU6038" s="14"/>
      <c r="AV6038" s="14"/>
      <c r="AW6038" s="15">
        <f t="shared" si="1063"/>
        <v>400</v>
      </c>
      <c r="AX6038" s="16"/>
    </row>
    <row r="6039" spans="2:50" x14ac:dyDescent="0.2">
      <c r="B6039" s="7"/>
      <c r="C6039" s="8">
        <v>16166</v>
      </c>
      <c r="D6039" s="9" t="s">
        <v>996</v>
      </c>
      <c r="E6039" s="10" t="str">
        <f t="shared" si="1058"/>
        <v>Rancho Upácuaro No. 15</v>
      </c>
      <c r="F6039" s="10" t="str">
        <f t="shared" si="1059"/>
        <v>Aguirre</v>
      </c>
      <c r="G6039" s="8">
        <v>5</v>
      </c>
      <c r="H6039" s="11">
        <v>100</v>
      </c>
      <c r="I6039" s="12">
        <v>43177</v>
      </c>
      <c r="J6039" s="35">
        <f t="shared" si="1060"/>
        <v>0</v>
      </c>
      <c r="K6039" s="36"/>
      <c r="L6039" s="36"/>
      <c r="M6039" s="36"/>
      <c r="N6039" s="36"/>
      <c r="O6039" s="36"/>
      <c r="P6039" s="36"/>
      <c r="Q6039" s="36"/>
      <c r="R6039" s="36"/>
      <c r="S6039" s="36"/>
      <c r="T6039" s="36"/>
      <c r="U6039" s="36"/>
      <c r="V6039" s="36"/>
      <c r="W6039" s="15">
        <f t="shared" si="1061"/>
        <v>0</v>
      </c>
      <c r="X6039" s="36"/>
      <c r="Y6039" s="36"/>
      <c r="Z6039" s="36"/>
      <c r="AA6039" s="36"/>
      <c r="AB6039" s="36"/>
      <c r="AC6039" s="36"/>
      <c r="AD6039" s="36"/>
      <c r="AE6039" s="36"/>
      <c r="AF6039" s="36"/>
      <c r="AG6039" s="36"/>
      <c r="AH6039" s="36"/>
      <c r="AI6039" s="36"/>
      <c r="AJ6039" s="15">
        <f t="shared" si="1062"/>
        <v>0</v>
      </c>
      <c r="AK6039" s="14"/>
      <c r="AL6039" s="14"/>
      <c r="AM6039" s="14"/>
      <c r="AN6039" s="14"/>
      <c r="AO6039" s="14"/>
      <c r="AP6039" s="14"/>
      <c r="AQ6039" s="14"/>
      <c r="AR6039" s="14"/>
      <c r="AS6039" s="14"/>
      <c r="AT6039" s="14"/>
      <c r="AU6039" s="14"/>
      <c r="AV6039" s="14"/>
      <c r="AW6039" s="15">
        <f t="shared" si="1063"/>
        <v>0</v>
      </c>
      <c r="AX6039" s="16"/>
    </row>
    <row r="6040" spans="2:50" x14ac:dyDescent="0.2">
      <c r="B6040" s="7"/>
      <c r="C6040" s="8">
        <v>16167</v>
      </c>
      <c r="D6040" s="9" t="s">
        <v>905</v>
      </c>
      <c r="E6040" s="10" t="str">
        <f t="shared" si="1058"/>
        <v>Rancho Landero No. 81</v>
      </c>
      <c r="F6040" s="10" t="str">
        <f t="shared" si="1059"/>
        <v>Cebrían Saldaña</v>
      </c>
      <c r="G6040" s="8">
        <v>1</v>
      </c>
      <c r="H6040" s="11">
        <v>400</v>
      </c>
      <c r="I6040" s="12">
        <v>43177</v>
      </c>
      <c r="J6040" s="35">
        <f t="shared" si="1060"/>
        <v>0</v>
      </c>
      <c r="K6040" s="36"/>
      <c r="L6040" s="36"/>
      <c r="M6040" s="36"/>
      <c r="N6040" s="36"/>
      <c r="O6040" s="36"/>
      <c r="P6040" s="36"/>
      <c r="Q6040" s="36"/>
      <c r="R6040" s="36"/>
      <c r="S6040" s="36"/>
      <c r="T6040" s="36"/>
      <c r="U6040" s="36"/>
      <c r="V6040" s="36"/>
      <c r="W6040" s="15">
        <f t="shared" si="1061"/>
        <v>0</v>
      </c>
      <c r="X6040" s="36"/>
      <c r="Y6040" s="36"/>
      <c r="Z6040" s="36"/>
      <c r="AA6040" s="36"/>
      <c r="AB6040" s="36"/>
      <c r="AC6040" s="36"/>
      <c r="AD6040" s="36"/>
      <c r="AE6040" s="36"/>
      <c r="AF6040" s="36"/>
      <c r="AG6040" s="36"/>
      <c r="AH6040" s="36">
        <v>200</v>
      </c>
      <c r="AI6040" s="36">
        <v>200</v>
      </c>
      <c r="AJ6040" s="15">
        <f t="shared" si="1062"/>
        <v>400</v>
      </c>
      <c r="AK6040" s="14"/>
      <c r="AL6040" s="14"/>
      <c r="AM6040" s="14"/>
      <c r="AN6040" s="14"/>
      <c r="AO6040" s="14"/>
      <c r="AP6040" s="14"/>
      <c r="AQ6040" s="14"/>
      <c r="AR6040" s="14"/>
      <c r="AS6040" s="14"/>
      <c r="AT6040" s="14"/>
      <c r="AU6040" s="14"/>
      <c r="AV6040" s="14"/>
      <c r="AW6040" s="15">
        <f t="shared" si="1063"/>
        <v>0</v>
      </c>
      <c r="AX6040" s="16"/>
    </row>
    <row r="6041" spans="2:50" x14ac:dyDescent="0.2">
      <c r="B6041" s="7"/>
      <c r="C6041" s="8">
        <v>16168</v>
      </c>
      <c r="D6041" s="9" t="s">
        <v>823</v>
      </c>
      <c r="E6041" s="10" t="str">
        <f t="shared" si="1058"/>
        <v>Rancho La Cuchilla No. 122</v>
      </c>
      <c r="F6041" s="10" t="str">
        <f t="shared" si="1059"/>
        <v>Mendoza</v>
      </c>
      <c r="G6041" s="8">
        <v>1</v>
      </c>
      <c r="H6041" s="11">
        <v>400</v>
      </c>
      <c r="I6041" s="12">
        <v>43177</v>
      </c>
      <c r="J6041" s="35">
        <f t="shared" si="1060"/>
        <v>0</v>
      </c>
      <c r="K6041" s="36"/>
      <c r="L6041" s="36"/>
      <c r="M6041" s="36"/>
      <c r="N6041" s="36"/>
      <c r="O6041" s="36"/>
      <c r="P6041" s="36"/>
      <c r="Q6041" s="36"/>
      <c r="R6041" s="36"/>
      <c r="S6041" s="36"/>
      <c r="T6041" s="36"/>
      <c r="U6041" s="36"/>
      <c r="V6041" s="36"/>
      <c r="W6041" s="15">
        <f t="shared" si="1061"/>
        <v>0</v>
      </c>
      <c r="X6041" s="36"/>
      <c r="Y6041" s="36"/>
      <c r="Z6041" s="36"/>
      <c r="AA6041" s="36"/>
      <c r="AB6041" s="36"/>
      <c r="AC6041" s="36"/>
      <c r="AD6041" s="36"/>
      <c r="AE6041" s="36"/>
      <c r="AF6041" s="36"/>
      <c r="AG6041" s="36"/>
      <c r="AH6041" s="36"/>
      <c r="AI6041" s="36"/>
      <c r="AJ6041" s="15">
        <f t="shared" si="1062"/>
        <v>0</v>
      </c>
      <c r="AK6041" s="14"/>
      <c r="AL6041" s="14">
        <v>200</v>
      </c>
      <c r="AM6041" s="14">
        <v>200</v>
      </c>
      <c r="AN6041" s="14"/>
      <c r="AO6041" s="14"/>
      <c r="AP6041" s="14"/>
      <c r="AQ6041" s="14"/>
      <c r="AR6041" s="14"/>
      <c r="AS6041" s="14"/>
      <c r="AT6041" s="14"/>
      <c r="AU6041" s="14"/>
      <c r="AV6041" s="14"/>
      <c r="AW6041" s="15">
        <f t="shared" si="1063"/>
        <v>400</v>
      </c>
      <c r="AX6041" s="16"/>
    </row>
    <row r="6042" spans="2:50" x14ac:dyDescent="0.2">
      <c r="B6042" s="7"/>
      <c r="C6042" s="8">
        <v>16169</v>
      </c>
      <c r="D6042" s="9" t="s">
        <v>1020</v>
      </c>
      <c r="E6042" s="10" t="str">
        <f t="shared" si="1058"/>
        <v>Rancho Landero No. 52</v>
      </c>
      <c r="F6042" s="10" t="str">
        <f t="shared" si="1059"/>
        <v>Feregrino</v>
      </c>
      <c r="G6042" s="8">
        <v>1</v>
      </c>
      <c r="H6042" s="11">
        <v>400</v>
      </c>
      <c r="I6042" s="12">
        <v>43177</v>
      </c>
      <c r="J6042" s="35">
        <f t="shared" si="1060"/>
        <v>0</v>
      </c>
      <c r="K6042" s="36"/>
      <c r="L6042" s="36"/>
      <c r="M6042" s="36"/>
      <c r="N6042" s="36"/>
      <c r="O6042" s="36"/>
      <c r="P6042" s="36"/>
      <c r="Q6042" s="36"/>
      <c r="R6042" s="36"/>
      <c r="S6042" s="36"/>
      <c r="T6042" s="36"/>
      <c r="U6042" s="36"/>
      <c r="V6042" s="36"/>
      <c r="W6042" s="15">
        <f t="shared" si="1061"/>
        <v>0</v>
      </c>
      <c r="X6042" s="36"/>
      <c r="Y6042" s="36"/>
      <c r="Z6042" s="36"/>
      <c r="AA6042" s="36"/>
      <c r="AB6042" s="36"/>
      <c r="AC6042" s="36"/>
      <c r="AD6042" s="36"/>
      <c r="AE6042" s="36"/>
      <c r="AF6042" s="36"/>
      <c r="AG6042" s="36"/>
      <c r="AH6042" s="36"/>
      <c r="AI6042" s="36"/>
      <c r="AJ6042" s="15">
        <f t="shared" si="1062"/>
        <v>0</v>
      </c>
      <c r="AK6042" s="14"/>
      <c r="AL6042" s="14"/>
      <c r="AM6042" s="14">
        <v>400</v>
      </c>
      <c r="AN6042" s="14"/>
      <c r="AO6042" s="14"/>
      <c r="AP6042" s="14"/>
      <c r="AQ6042" s="14"/>
      <c r="AR6042" s="14"/>
      <c r="AS6042" s="14"/>
      <c r="AT6042" s="14"/>
      <c r="AU6042" s="14"/>
      <c r="AV6042" s="14"/>
      <c r="AW6042" s="15">
        <f t="shared" si="1063"/>
        <v>400</v>
      </c>
      <c r="AX6042" s="16"/>
    </row>
    <row r="6043" spans="2:50" x14ac:dyDescent="0.2">
      <c r="B6043" s="7"/>
      <c r="C6043" s="8">
        <v>16170</v>
      </c>
      <c r="D6043" s="9" t="s">
        <v>94</v>
      </c>
      <c r="E6043" s="10" t="str">
        <f t="shared" si="1058"/>
        <v>Rancho Landero No. 42</v>
      </c>
      <c r="F6043" s="10" t="str">
        <f t="shared" si="1059"/>
        <v>Ávila Fidel</v>
      </c>
      <c r="G6043" s="8">
        <v>1</v>
      </c>
      <c r="H6043" s="11">
        <v>400</v>
      </c>
      <c r="I6043" s="12">
        <v>43177</v>
      </c>
      <c r="J6043" s="35">
        <f t="shared" si="1060"/>
        <v>0</v>
      </c>
      <c r="K6043" s="36"/>
      <c r="L6043" s="36"/>
      <c r="M6043" s="36"/>
      <c r="N6043" s="36"/>
      <c r="O6043" s="36"/>
      <c r="P6043" s="36"/>
      <c r="Q6043" s="36"/>
      <c r="R6043" s="36"/>
      <c r="S6043" s="36"/>
      <c r="T6043" s="36"/>
      <c r="U6043" s="36"/>
      <c r="V6043" s="36"/>
      <c r="W6043" s="15">
        <f t="shared" si="1061"/>
        <v>0</v>
      </c>
      <c r="X6043" s="36"/>
      <c r="Y6043" s="36"/>
      <c r="Z6043" s="36"/>
      <c r="AA6043" s="36"/>
      <c r="AB6043" s="36"/>
      <c r="AC6043" s="36"/>
      <c r="AD6043" s="36"/>
      <c r="AE6043" s="36"/>
      <c r="AF6043" s="36"/>
      <c r="AG6043" s="36"/>
      <c r="AH6043" s="36"/>
      <c r="AI6043" s="36"/>
      <c r="AJ6043" s="15">
        <f t="shared" si="1062"/>
        <v>0</v>
      </c>
      <c r="AK6043" s="14"/>
      <c r="AL6043" s="14"/>
      <c r="AM6043" s="14">
        <v>400</v>
      </c>
      <c r="AN6043" s="14"/>
      <c r="AO6043" s="14"/>
      <c r="AP6043" s="14"/>
      <c r="AQ6043" s="14"/>
      <c r="AR6043" s="14"/>
      <c r="AS6043" s="14"/>
      <c r="AT6043" s="14"/>
      <c r="AU6043" s="14"/>
      <c r="AV6043" s="14"/>
      <c r="AW6043" s="15">
        <f t="shared" si="1063"/>
        <v>400</v>
      </c>
      <c r="AX6043" s="16"/>
    </row>
    <row r="6044" spans="2:50" x14ac:dyDescent="0.2">
      <c r="B6044" s="7"/>
      <c r="C6044" s="8">
        <v>16171</v>
      </c>
      <c r="D6044" s="9" t="s">
        <v>404</v>
      </c>
      <c r="E6044" s="10" t="str">
        <f t="shared" si="1058"/>
        <v>Rancho La Cuchilla No. 89</v>
      </c>
      <c r="F6044" s="10" t="str">
        <f t="shared" si="1059"/>
        <v>Gálvez</v>
      </c>
      <c r="G6044" s="8">
        <v>1</v>
      </c>
      <c r="H6044" s="11">
        <v>400</v>
      </c>
      <c r="I6044" s="12">
        <v>43177</v>
      </c>
      <c r="J6044" s="35">
        <f t="shared" si="1060"/>
        <v>0</v>
      </c>
      <c r="K6044" s="36"/>
      <c r="L6044" s="36"/>
      <c r="M6044" s="36"/>
      <c r="N6044" s="36"/>
      <c r="O6044" s="36"/>
      <c r="P6044" s="36"/>
      <c r="Q6044" s="36"/>
      <c r="R6044" s="36"/>
      <c r="S6044" s="36"/>
      <c r="T6044" s="36"/>
      <c r="U6044" s="36"/>
      <c r="V6044" s="36"/>
      <c r="W6044" s="15">
        <f t="shared" si="1061"/>
        <v>0</v>
      </c>
      <c r="X6044" s="36"/>
      <c r="Y6044" s="36"/>
      <c r="Z6044" s="36"/>
      <c r="AA6044" s="36"/>
      <c r="AB6044" s="36"/>
      <c r="AC6044" s="36"/>
      <c r="AD6044" s="36"/>
      <c r="AE6044" s="36"/>
      <c r="AF6044" s="36"/>
      <c r="AG6044" s="36"/>
      <c r="AH6044" s="36"/>
      <c r="AI6044" s="36"/>
      <c r="AJ6044" s="15">
        <f t="shared" si="1062"/>
        <v>0</v>
      </c>
      <c r="AK6044" s="14"/>
      <c r="AL6044" s="14"/>
      <c r="AM6044" s="14">
        <v>400</v>
      </c>
      <c r="AN6044" s="14"/>
      <c r="AO6044" s="14"/>
      <c r="AP6044" s="14"/>
      <c r="AQ6044" s="14"/>
      <c r="AR6044" s="14"/>
      <c r="AS6044" s="14"/>
      <c r="AT6044" s="14"/>
      <c r="AU6044" s="14"/>
      <c r="AV6044" s="14"/>
      <c r="AW6044" s="15">
        <f t="shared" si="1063"/>
        <v>400</v>
      </c>
      <c r="AX6044" s="16"/>
    </row>
    <row r="6045" spans="2:50" x14ac:dyDescent="0.2">
      <c r="B6045" s="7"/>
      <c r="C6045" s="8">
        <v>16172</v>
      </c>
      <c r="D6045" s="9" t="s">
        <v>387</v>
      </c>
      <c r="E6045" s="10" t="str">
        <f t="shared" si="1058"/>
        <v>Rancho Upácuaro No. 69</v>
      </c>
      <c r="F6045" s="10" t="str">
        <f t="shared" si="1059"/>
        <v>Gómez</v>
      </c>
      <c r="G6045" s="8">
        <v>1</v>
      </c>
      <c r="H6045" s="11">
        <v>400</v>
      </c>
      <c r="I6045" s="12">
        <v>43177</v>
      </c>
      <c r="J6045" s="35">
        <f t="shared" si="1060"/>
        <v>0</v>
      </c>
      <c r="K6045" s="36"/>
      <c r="L6045" s="36"/>
      <c r="M6045" s="36"/>
      <c r="N6045" s="36"/>
      <c r="O6045" s="36"/>
      <c r="P6045" s="36"/>
      <c r="Q6045" s="36"/>
      <c r="R6045" s="36"/>
      <c r="S6045" s="36"/>
      <c r="T6045" s="36"/>
      <c r="U6045" s="36"/>
      <c r="V6045" s="36"/>
      <c r="W6045" s="15">
        <f t="shared" si="1061"/>
        <v>0</v>
      </c>
      <c r="X6045" s="36"/>
      <c r="Y6045" s="36"/>
      <c r="Z6045" s="36"/>
      <c r="AA6045" s="36"/>
      <c r="AB6045" s="36"/>
      <c r="AC6045" s="36"/>
      <c r="AD6045" s="36"/>
      <c r="AE6045" s="36"/>
      <c r="AF6045" s="36"/>
      <c r="AG6045" s="36"/>
      <c r="AH6045" s="36"/>
      <c r="AI6045" s="36"/>
      <c r="AJ6045" s="15">
        <f t="shared" si="1062"/>
        <v>0</v>
      </c>
      <c r="AK6045" s="14"/>
      <c r="AL6045" s="14"/>
      <c r="AM6045" s="14">
        <v>400</v>
      </c>
      <c r="AN6045" s="14"/>
      <c r="AO6045" s="14"/>
      <c r="AP6045" s="14"/>
      <c r="AQ6045" s="14"/>
      <c r="AR6045" s="14"/>
      <c r="AS6045" s="14"/>
      <c r="AT6045" s="14"/>
      <c r="AU6045" s="14"/>
      <c r="AV6045" s="14"/>
      <c r="AW6045" s="15">
        <f t="shared" si="1063"/>
        <v>400</v>
      </c>
      <c r="AX6045" s="16"/>
    </row>
    <row r="6046" spans="2:50" x14ac:dyDescent="0.2">
      <c r="B6046" s="7"/>
      <c r="C6046" s="8">
        <v>16173</v>
      </c>
      <c r="D6046" s="9" t="s">
        <v>983</v>
      </c>
      <c r="E6046" s="10" t="str">
        <f t="shared" si="1058"/>
        <v>Rancho Landero No. 93</v>
      </c>
      <c r="F6046" s="10" t="str">
        <f t="shared" si="1059"/>
        <v>Ortega López</v>
      </c>
      <c r="G6046" s="8">
        <v>1</v>
      </c>
      <c r="H6046" s="11">
        <v>800</v>
      </c>
      <c r="I6046" s="12">
        <v>43177</v>
      </c>
      <c r="J6046" s="35">
        <f t="shared" si="1060"/>
        <v>0</v>
      </c>
      <c r="K6046" s="36"/>
      <c r="L6046" s="36"/>
      <c r="M6046" s="36"/>
      <c r="N6046" s="36"/>
      <c r="O6046" s="36"/>
      <c r="P6046" s="36"/>
      <c r="Q6046" s="36"/>
      <c r="R6046" s="36"/>
      <c r="S6046" s="36"/>
      <c r="T6046" s="36"/>
      <c r="U6046" s="36"/>
      <c r="V6046" s="36"/>
      <c r="W6046" s="15">
        <f t="shared" si="1061"/>
        <v>0</v>
      </c>
      <c r="X6046" s="36"/>
      <c r="Y6046" s="36"/>
      <c r="Z6046" s="36"/>
      <c r="AA6046" s="36"/>
      <c r="AB6046" s="36"/>
      <c r="AC6046" s="36"/>
      <c r="AD6046" s="36"/>
      <c r="AE6046" s="36"/>
      <c r="AF6046" s="36"/>
      <c r="AG6046" s="36"/>
      <c r="AH6046" s="36"/>
      <c r="AI6046" s="36"/>
      <c r="AJ6046" s="15">
        <f t="shared" si="1062"/>
        <v>0</v>
      </c>
      <c r="AK6046" s="14"/>
      <c r="AL6046" s="14"/>
      <c r="AM6046" s="14">
        <v>400</v>
      </c>
      <c r="AN6046" s="14">
        <v>400</v>
      </c>
      <c r="AO6046" s="14"/>
      <c r="AP6046" s="14"/>
      <c r="AQ6046" s="14"/>
      <c r="AR6046" s="14"/>
      <c r="AS6046" s="14"/>
      <c r="AT6046" s="14"/>
      <c r="AU6046" s="14"/>
      <c r="AV6046" s="14"/>
      <c r="AW6046" s="15">
        <f t="shared" si="1063"/>
        <v>800</v>
      </c>
      <c r="AX6046" s="16"/>
    </row>
    <row r="6047" spans="2:50" x14ac:dyDescent="0.2">
      <c r="B6047" s="7"/>
      <c r="C6047" s="8">
        <v>16174</v>
      </c>
      <c r="D6047" s="9" t="s">
        <v>123</v>
      </c>
      <c r="E6047" s="10" t="str">
        <f t="shared" si="1058"/>
        <v>Rancho Recoveco No. 175, B</v>
      </c>
      <c r="F6047" s="10" t="str">
        <f t="shared" si="1059"/>
        <v>García Calderón</v>
      </c>
      <c r="G6047" s="8">
        <v>1</v>
      </c>
      <c r="H6047" s="11">
        <v>250</v>
      </c>
      <c r="I6047" s="12">
        <v>43177</v>
      </c>
      <c r="J6047" s="35">
        <f t="shared" si="1060"/>
        <v>0</v>
      </c>
      <c r="K6047" s="36"/>
      <c r="L6047" s="36"/>
      <c r="M6047" s="36"/>
      <c r="N6047" s="36"/>
      <c r="O6047" s="36"/>
      <c r="P6047" s="36"/>
      <c r="Q6047" s="36"/>
      <c r="R6047" s="36"/>
      <c r="S6047" s="36"/>
      <c r="T6047" s="36"/>
      <c r="U6047" s="36"/>
      <c r="V6047" s="36"/>
      <c r="W6047" s="15">
        <f t="shared" si="1061"/>
        <v>0</v>
      </c>
      <c r="X6047" s="36"/>
      <c r="Y6047" s="36"/>
      <c r="Z6047" s="36"/>
      <c r="AA6047" s="36"/>
      <c r="AB6047" s="36"/>
      <c r="AC6047" s="36"/>
      <c r="AD6047" s="36"/>
      <c r="AE6047" s="36"/>
      <c r="AF6047" s="36"/>
      <c r="AG6047" s="36"/>
      <c r="AH6047" s="36"/>
      <c r="AI6047" s="36"/>
      <c r="AJ6047" s="15">
        <f t="shared" si="1062"/>
        <v>0</v>
      </c>
      <c r="AK6047" s="14"/>
      <c r="AL6047" s="14"/>
      <c r="AM6047" s="14">
        <v>250</v>
      </c>
      <c r="AN6047" s="14"/>
      <c r="AO6047" s="14"/>
      <c r="AP6047" s="14"/>
      <c r="AQ6047" s="14"/>
      <c r="AR6047" s="14"/>
      <c r="AS6047" s="14"/>
      <c r="AT6047" s="14"/>
      <c r="AU6047" s="14"/>
      <c r="AV6047" s="14"/>
      <c r="AW6047" s="15">
        <f t="shared" si="1063"/>
        <v>250</v>
      </c>
      <c r="AX6047" s="16"/>
    </row>
    <row r="6048" spans="2:50" x14ac:dyDescent="0.2">
      <c r="B6048" s="7"/>
      <c r="C6048" s="8">
        <v>16175</v>
      </c>
      <c r="D6048" s="9" t="s">
        <v>54</v>
      </c>
      <c r="E6048" s="10" t="str">
        <f t="shared" si="1058"/>
        <v>Rancho La Cuchilla No. 80</v>
      </c>
      <c r="F6048" s="10" t="str">
        <f t="shared" si="1059"/>
        <v>Aparicio</v>
      </c>
      <c r="G6048" s="8">
        <v>5</v>
      </c>
      <c r="H6048" s="11">
        <v>50</v>
      </c>
      <c r="I6048" s="12">
        <v>43177</v>
      </c>
      <c r="J6048" s="35">
        <f t="shared" si="1060"/>
        <v>0</v>
      </c>
      <c r="K6048" s="36"/>
      <c r="L6048" s="36"/>
      <c r="M6048" s="36"/>
      <c r="N6048" s="36"/>
      <c r="O6048" s="36"/>
      <c r="P6048" s="36"/>
      <c r="Q6048" s="36"/>
      <c r="R6048" s="36"/>
      <c r="S6048" s="36"/>
      <c r="T6048" s="36"/>
      <c r="U6048" s="36"/>
      <c r="V6048" s="36"/>
      <c r="W6048" s="15">
        <f t="shared" si="1061"/>
        <v>0</v>
      </c>
      <c r="X6048" s="36"/>
      <c r="Y6048" s="36"/>
      <c r="Z6048" s="36"/>
      <c r="AA6048" s="36"/>
      <c r="AB6048" s="36"/>
      <c r="AC6048" s="36"/>
      <c r="AD6048" s="36"/>
      <c r="AE6048" s="36"/>
      <c r="AF6048" s="36"/>
      <c r="AG6048" s="36"/>
      <c r="AH6048" s="36"/>
      <c r="AI6048" s="36"/>
      <c r="AJ6048" s="15">
        <f t="shared" si="1062"/>
        <v>0</v>
      </c>
      <c r="AK6048" s="14"/>
      <c r="AL6048" s="14"/>
      <c r="AM6048" s="14"/>
      <c r="AN6048" s="14"/>
      <c r="AO6048" s="14"/>
      <c r="AP6048" s="14"/>
      <c r="AQ6048" s="14"/>
      <c r="AR6048" s="14"/>
      <c r="AS6048" s="14"/>
      <c r="AT6048" s="14"/>
      <c r="AU6048" s="14"/>
      <c r="AV6048" s="14"/>
      <c r="AW6048" s="15">
        <f t="shared" si="1063"/>
        <v>0</v>
      </c>
      <c r="AX6048" s="16"/>
    </row>
    <row r="6049" spans="2:50" x14ac:dyDescent="0.2">
      <c r="B6049" s="7"/>
      <c r="C6049" s="8">
        <v>16176</v>
      </c>
      <c r="D6049" s="9" t="s">
        <v>235</v>
      </c>
      <c r="E6049" s="10" t="str">
        <f t="shared" si="1058"/>
        <v>Rancho La Cuchilla No. 43, A</v>
      </c>
      <c r="F6049" s="10" t="str">
        <f t="shared" si="1059"/>
        <v>De la Rosa</v>
      </c>
      <c r="G6049" s="8">
        <v>1</v>
      </c>
      <c r="H6049" s="11">
        <v>400</v>
      </c>
      <c r="I6049" s="12">
        <v>43177</v>
      </c>
      <c r="J6049" s="35">
        <f t="shared" si="1060"/>
        <v>0</v>
      </c>
      <c r="K6049" s="36"/>
      <c r="L6049" s="36"/>
      <c r="M6049" s="36"/>
      <c r="N6049" s="36"/>
      <c r="O6049" s="36"/>
      <c r="P6049" s="36"/>
      <c r="Q6049" s="36"/>
      <c r="R6049" s="36"/>
      <c r="S6049" s="36"/>
      <c r="T6049" s="36"/>
      <c r="U6049" s="36"/>
      <c r="V6049" s="36"/>
      <c r="W6049" s="15">
        <f t="shared" si="1061"/>
        <v>0</v>
      </c>
      <c r="X6049" s="36"/>
      <c r="Y6049" s="36"/>
      <c r="Z6049" s="36"/>
      <c r="AA6049" s="36"/>
      <c r="AB6049" s="36"/>
      <c r="AC6049" s="36"/>
      <c r="AD6049" s="36"/>
      <c r="AE6049" s="36"/>
      <c r="AF6049" s="36"/>
      <c r="AG6049" s="36"/>
      <c r="AH6049" s="36"/>
      <c r="AI6049" s="36"/>
      <c r="AJ6049" s="15">
        <f t="shared" si="1062"/>
        <v>0</v>
      </c>
      <c r="AK6049" s="14"/>
      <c r="AL6049" s="14"/>
      <c r="AM6049" s="14">
        <v>400</v>
      </c>
      <c r="AN6049" s="14"/>
      <c r="AO6049" s="14"/>
      <c r="AP6049" s="14"/>
      <c r="AQ6049" s="14"/>
      <c r="AR6049" s="14"/>
      <c r="AS6049" s="14"/>
      <c r="AT6049" s="14"/>
      <c r="AU6049" s="14"/>
      <c r="AV6049" s="14"/>
      <c r="AW6049" s="15">
        <f t="shared" si="1063"/>
        <v>400</v>
      </c>
      <c r="AX6049" s="16"/>
    </row>
    <row r="6050" spans="2:50" x14ac:dyDescent="0.2">
      <c r="B6050" s="7"/>
      <c r="C6050" s="8">
        <v>16177</v>
      </c>
      <c r="D6050" s="9" t="s">
        <v>268</v>
      </c>
      <c r="E6050" s="10" t="str">
        <f t="shared" si="1058"/>
        <v>Rancho Landero No. 90</v>
      </c>
      <c r="F6050" s="10" t="str">
        <f t="shared" si="1059"/>
        <v>Córdova Reséndiz</v>
      </c>
      <c r="G6050" s="8">
        <v>1</v>
      </c>
      <c r="H6050" s="11">
        <v>300</v>
      </c>
      <c r="I6050" s="12">
        <v>43177</v>
      </c>
      <c r="J6050" s="35">
        <f t="shared" si="1060"/>
        <v>0</v>
      </c>
      <c r="K6050" s="36"/>
      <c r="L6050" s="36"/>
      <c r="M6050" s="36"/>
      <c r="N6050" s="36"/>
      <c r="O6050" s="36"/>
      <c r="P6050" s="36"/>
      <c r="Q6050" s="36"/>
      <c r="R6050" s="36"/>
      <c r="S6050" s="36"/>
      <c r="T6050" s="36"/>
      <c r="U6050" s="36"/>
      <c r="V6050" s="36"/>
      <c r="W6050" s="15">
        <f t="shared" si="1061"/>
        <v>0</v>
      </c>
      <c r="X6050" s="36"/>
      <c r="Y6050" s="36"/>
      <c r="Z6050" s="36"/>
      <c r="AA6050" s="36"/>
      <c r="AB6050" s="36"/>
      <c r="AC6050" s="36"/>
      <c r="AD6050" s="36"/>
      <c r="AE6050" s="36"/>
      <c r="AF6050" s="36"/>
      <c r="AG6050" s="36"/>
      <c r="AH6050" s="36"/>
      <c r="AI6050" s="36"/>
      <c r="AJ6050" s="15">
        <f t="shared" si="1062"/>
        <v>0</v>
      </c>
      <c r="AK6050" s="14"/>
      <c r="AL6050" s="14"/>
      <c r="AM6050" s="14">
        <v>300</v>
      </c>
      <c r="AN6050" s="14"/>
      <c r="AO6050" s="14"/>
      <c r="AP6050" s="14"/>
      <c r="AQ6050" s="14"/>
      <c r="AR6050" s="14"/>
      <c r="AS6050" s="14"/>
      <c r="AT6050" s="14"/>
      <c r="AU6050" s="14"/>
      <c r="AV6050" s="14"/>
      <c r="AW6050" s="15">
        <f t="shared" si="1063"/>
        <v>300</v>
      </c>
      <c r="AX6050" s="16"/>
    </row>
    <row r="6051" spans="2:50" x14ac:dyDescent="0.2">
      <c r="B6051" s="7"/>
      <c r="C6051" s="8">
        <v>16178</v>
      </c>
      <c r="D6051" s="9" t="s">
        <v>455</v>
      </c>
      <c r="E6051" s="10" t="str">
        <f t="shared" si="1058"/>
        <v>Rancho Zinamba No. 38</v>
      </c>
      <c r="F6051" s="10" t="str">
        <f t="shared" si="1059"/>
        <v>Ramírez Díaz</v>
      </c>
      <c r="G6051" s="8">
        <v>1</v>
      </c>
      <c r="H6051" s="11">
        <v>400</v>
      </c>
      <c r="I6051" s="12">
        <v>43177</v>
      </c>
      <c r="J6051" s="35">
        <f t="shared" si="1060"/>
        <v>0</v>
      </c>
      <c r="K6051" s="36"/>
      <c r="L6051" s="36"/>
      <c r="M6051" s="36"/>
      <c r="N6051" s="36"/>
      <c r="O6051" s="36"/>
      <c r="P6051" s="36"/>
      <c r="Q6051" s="36"/>
      <c r="R6051" s="36"/>
      <c r="S6051" s="36"/>
      <c r="T6051" s="36"/>
      <c r="U6051" s="36"/>
      <c r="V6051" s="36"/>
      <c r="W6051" s="15">
        <f t="shared" si="1061"/>
        <v>0</v>
      </c>
      <c r="X6051" s="36"/>
      <c r="Y6051" s="36"/>
      <c r="Z6051" s="36"/>
      <c r="AA6051" s="36"/>
      <c r="AB6051" s="36"/>
      <c r="AC6051" s="36"/>
      <c r="AD6051" s="36"/>
      <c r="AE6051" s="36"/>
      <c r="AF6051" s="36"/>
      <c r="AG6051" s="36"/>
      <c r="AH6051" s="36"/>
      <c r="AI6051" s="36"/>
      <c r="AJ6051" s="15">
        <f t="shared" si="1062"/>
        <v>0</v>
      </c>
      <c r="AK6051" s="14"/>
      <c r="AL6051" s="14"/>
      <c r="AM6051" s="14">
        <v>400</v>
      </c>
      <c r="AN6051" s="14"/>
      <c r="AO6051" s="14"/>
      <c r="AP6051" s="14"/>
      <c r="AQ6051" s="14"/>
      <c r="AR6051" s="14"/>
      <c r="AS6051" s="14"/>
      <c r="AT6051" s="14"/>
      <c r="AU6051" s="14"/>
      <c r="AV6051" s="14"/>
      <c r="AW6051" s="15">
        <f t="shared" si="1063"/>
        <v>400</v>
      </c>
      <c r="AX6051" s="16"/>
    </row>
    <row r="6052" spans="2:50" x14ac:dyDescent="0.2">
      <c r="B6052" s="7"/>
      <c r="C6052" s="8">
        <v>16179</v>
      </c>
      <c r="D6052" s="9" t="s">
        <v>803</v>
      </c>
      <c r="E6052" s="10" t="str">
        <f t="shared" si="1058"/>
        <v>Rancho La Cuchilla No. 36</v>
      </c>
      <c r="F6052" s="10" t="str">
        <f t="shared" si="1059"/>
        <v>Castillo</v>
      </c>
      <c r="G6052" s="8">
        <v>1</v>
      </c>
      <c r="H6052" s="11">
        <v>800</v>
      </c>
      <c r="I6052" s="12">
        <v>43177</v>
      </c>
      <c r="J6052" s="35">
        <f t="shared" si="1060"/>
        <v>0</v>
      </c>
      <c r="K6052" s="36"/>
      <c r="L6052" s="36"/>
      <c r="M6052" s="36"/>
      <c r="N6052" s="36"/>
      <c r="O6052" s="36"/>
      <c r="P6052" s="36"/>
      <c r="Q6052" s="36"/>
      <c r="R6052" s="36"/>
      <c r="S6052" s="36"/>
      <c r="T6052" s="36"/>
      <c r="U6052" s="36"/>
      <c r="V6052" s="36"/>
      <c r="W6052" s="15">
        <f t="shared" si="1061"/>
        <v>0</v>
      </c>
      <c r="X6052" s="36"/>
      <c r="Y6052" s="36"/>
      <c r="Z6052" s="36"/>
      <c r="AA6052" s="36"/>
      <c r="AB6052" s="36"/>
      <c r="AC6052" s="36"/>
      <c r="AD6052" s="36"/>
      <c r="AE6052" s="36"/>
      <c r="AF6052" s="36"/>
      <c r="AG6052" s="36"/>
      <c r="AH6052" s="36"/>
      <c r="AI6052" s="36"/>
      <c r="AJ6052" s="15">
        <f t="shared" si="1062"/>
        <v>0</v>
      </c>
      <c r="AK6052" s="14"/>
      <c r="AL6052" s="14">
        <v>400</v>
      </c>
      <c r="AM6052" s="14">
        <v>400</v>
      </c>
      <c r="AN6052" s="14"/>
      <c r="AO6052" s="14"/>
      <c r="AP6052" s="14"/>
      <c r="AQ6052" s="14"/>
      <c r="AR6052" s="14"/>
      <c r="AS6052" s="14"/>
      <c r="AT6052" s="14"/>
      <c r="AU6052" s="14"/>
      <c r="AV6052" s="14"/>
      <c r="AW6052" s="15">
        <f t="shared" si="1063"/>
        <v>800</v>
      </c>
      <c r="AX6052" s="16"/>
    </row>
    <row r="6053" spans="2:50" x14ac:dyDescent="0.2">
      <c r="B6053" s="7"/>
      <c r="C6053" s="8">
        <v>16180</v>
      </c>
      <c r="D6053" s="9" t="s">
        <v>238</v>
      </c>
      <c r="E6053" s="10" t="str">
        <f t="shared" si="1058"/>
        <v>Rancho La Cuchilla No. 43, B</v>
      </c>
      <c r="F6053" s="10" t="str">
        <f t="shared" si="1059"/>
        <v>Luna Albertano</v>
      </c>
      <c r="G6053" s="8">
        <v>5</v>
      </c>
      <c r="H6053" s="11">
        <v>50</v>
      </c>
      <c r="I6053" s="12">
        <v>43177</v>
      </c>
      <c r="J6053" s="35">
        <f t="shared" si="1060"/>
        <v>0</v>
      </c>
      <c r="K6053" s="36"/>
      <c r="L6053" s="36"/>
      <c r="M6053" s="36"/>
      <c r="N6053" s="36"/>
      <c r="O6053" s="36"/>
      <c r="P6053" s="36"/>
      <c r="Q6053" s="36"/>
      <c r="R6053" s="36"/>
      <c r="S6053" s="36"/>
      <c r="T6053" s="36"/>
      <c r="U6053" s="36"/>
      <c r="V6053" s="36"/>
      <c r="W6053" s="15">
        <f t="shared" si="1061"/>
        <v>0</v>
      </c>
      <c r="X6053" s="36"/>
      <c r="Y6053" s="36"/>
      <c r="Z6053" s="36"/>
      <c r="AA6053" s="36"/>
      <c r="AB6053" s="36"/>
      <c r="AC6053" s="36"/>
      <c r="AD6053" s="36"/>
      <c r="AE6053" s="36"/>
      <c r="AF6053" s="36"/>
      <c r="AG6053" s="36"/>
      <c r="AH6053" s="36"/>
      <c r="AI6053" s="36"/>
      <c r="AJ6053" s="15">
        <f t="shared" si="1062"/>
        <v>0</v>
      </c>
      <c r="AK6053" s="14"/>
      <c r="AL6053" s="14"/>
      <c r="AM6053" s="14"/>
      <c r="AN6053" s="14"/>
      <c r="AO6053" s="14"/>
      <c r="AP6053" s="14"/>
      <c r="AQ6053" s="14"/>
      <c r="AR6053" s="14"/>
      <c r="AS6053" s="14"/>
      <c r="AT6053" s="14"/>
      <c r="AU6053" s="14"/>
      <c r="AV6053" s="14"/>
      <c r="AW6053" s="15">
        <f t="shared" si="1063"/>
        <v>0</v>
      </c>
      <c r="AX6053" s="16"/>
    </row>
    <row r="6054" spans="2:50" x14ac:dyDescent="0.2">
      <c r="B6054" s="7"/>
      <c r="C6054" s="8">
        <v>16181</v>
      </c>
      <c r="D6054" s="9" t="s">
        <v>126</v>
      </c>
      <c r="E6054" s="10" t="str">
        <f t="shared" si="1058"/>
        <v>Rancho Estanzuela No. 65</v>
      </c>
      <c r="F6054" s="10" t="str">
        <f t="shared" si="1059"/>
        <v>López Becerril</v>
      </c>
      <c r="G6054" s="8">
        <v>1</v>
      </c>
      <c r="H6054" s="11">
        <v>800</v>
      </c>
      <c r="I6054" s="12">
        <v>43177</v>
      </c>
      <c r="J6054" s="35">
        <f t="shared" si="1060"/>
        <v>0</v>
      </c>
      <c r="K6054" s="36"/>
      <c r="L6054" s="36"/>
      <c r="M6054" s="36"/>
      <c r="N6054" s="36"/>
      <c r="O6054" s="36"/>
      <c r="P6054" s="36"/>
      <c r="Q6054" s="36"/>
      <c r="R6054" s="36"/>
      <c r="S6054" s="36"/>
      <c r="T6054" s="36"/>
      <c r="U6054" s="36"/>
      <c r="V6054" s="36"/>
      <c r="W6054" s="15">
        <f t="shared" si="1061"/>
        <v>0</v>
      </c>
      <c r="X6054" s="36"/>
      <c r="Y6054" s="36"/>
      <c r="Z6054" s="36"/>
      <c r="AA6054" s="36"/>
      <c r="AB6054" s="36"/>
      <c r="AC6054" s="36"/>
      <c r="AD6054" s="36"/>
      <c r="AE6054" s="36"/>
      <c r="AF6054" s="36"/>
      <c r="AG6054" s="36"/>
      <c r="AH6054" s="36"/>
      <c r="AI6054" s="36"/>
      <c r="AJ6054" s="15">
        <f t="shared" si="1062"/>
        <v>0</v>
      </c>
      <c r="AK6054" s="14">
        <v>400</v>
      </c>
      <c r="AL6054" s="14">
        <v>400</v>
      </c>
      <c r="AM6054" s="14"/>
      <c r="AN6054" s="14"/>
      <c r="AO6054" s="14"/>
      <c r="AP6054" s="14"/>
      <c r="AQ6054" s="14"/>
      <c r="AR6054" s="14"/>
      <c r="AS6054" s="14"/>
      <c r="AT6054" s="14"/>
      <c r="AU6054" s="14"/>
      <c r="AV6054" s="14"/>
      <c r="AW6054" s="15">
        <f t="shared" si="1063"/>
        <v>800</v>
      </c>
      <c r="AX6054" s="16"/>
    </row>
    <row r="6055" spans="2:50" x14ac:dyDescent="0.2">
      <c r="B6055" s="7"/>
      <c r="C6055" s="8">
        <v>16182</v>
      </c>
      <c r="D6055" s="9" t="s">
        <v>352</v>
      </c>
      <c r="E6055" s="10" t="str">
        <f t="shared" si="1058"/>
        <v>Rancho La Cuchilla No. 21</v>
      </c>
      <c r="F6055" s="10" t="str">
        <f t="shared" si="1059"/>
        <v>Solórzano Calderón</v>
      </c>
      <c r="G6055" s="8">
        <v>1</v>
      </c>
      <c r="H6055" s="11">
        <v>800</v>
      </c>
      <c r="I6055" s="12">
        <v>43177</v>
      </c>
      <c r="J6055" s="35">
        <f t="shared" si="1060"/>
        <v>0</v>
      </c>
      <c r="K6055" s="36"/>
      <c r="L6055" s="36"/>
      <c r="M6055" s="36"/>
      <c r="N6055" s="36"/>
      <c r="O6055" s="36"/>
      <c r="P6055" s="36"/>
      <c r="Q6055" s="36"/>
      <c r="R6055" s="36"/>
      <c r="S6055" s="36"/>
      <c r="T6055" s="36"/>
      <c r="U6055" s="36"/>
      <c r="V6055" s="36"/>
      <c r="W6055" s="15">
        <f t="shared" si="1061"/>
        <v>0</v>
      </c>
      <c r="X6055" s="36"/>
      <c r="Y6055" s="36"/>
      <c r="Z6055" s="36"/>
      <c r="AA6055" s="36"/>
      <c r="AB6055" s="36"/>
      <c r="AC6055" s="36"/>
      <c r="AD6055" s="36"/>
      <c r="AE6055" s="36"/>
      <c r="AF6055" s="36"/>
      <c r="AG6055" s="36"/>
      <c r="AH6055" s="36"/>
      <c r="AI6055" s="36"/>
      <c r="AJ6055" s="15">
        <f t="shared" si="1062"/>
        <v>0</v>
      </c>
      <c r="AK6055" s="14"/>
      <c r="AL6055" s="14"/>
      <c r="AM6055" s="14">
        <v>400</v>
      </c>
      <c r="AN6055" s="14">
        <v>400</v>
      </c>
      <c r="AO6055" s="14"/>
      <c r="AP6055" s="14"/>
      <c r="AQ6055" s="14"/>
      <c r="AR6055" s="14"/>
      <c r="AS6055" s="14"/>
      <c r="AT6055" s="14"/>
      <c r="AU6055" s="14"/>
      <c r="AV6055" s="14"/>
      <c r="AW6055" s="15">
        <f t="shared" si="1063"/>
        <v>800</v>
      </c>
      <c r="AX6055" s="16"/>
    </row>
    <row r="6056" spans="2:50" x14ac:dyDescent="0.2">
      <c r="B6056" s="7"/>
      <c r="C6056" s="8">
        <v>16183</v>
      </c>
      <c r="D6056" s="9" t="s">
        <v>565</v>
      </c>
      <c r="E6056" s="10" t="str">
        <f t="shared" si="1058"/>
        <v>Rancho Zinamba No. 62</v>
      </c>
      <c r="F6056" s="10" t="str">
        <f t="shared" si="1059"/>
        <v>Martínez León</v>
      </c>
      <c r="G6056" s="8">
        <v>1</v>
      </c>
      <c r="H6056" s="11">
        <v>750</v>
      </c>
      <c r="I6056" s="12">
        <v>43177</v>
      </c>
      <c r="J6056" s="35">
        <f t="shared" si="1060"/>
        <v>0</v>
      </c>
      <c r="K6056" s="36"/>
      <c r="L6056" s="36"/>
      <c r="M6056" s="36"/>
      <c r="N6056" s="36"/>
      <c r="O6056" s="36"/>
      <c r="P6056" s="36"/>
      <c r="Q6056" s="36"/>
      <c r="R6056" s="36"/>
      <c r="S6056" s="36"/>
      <c r="T6056" s="36"/>
      <c r="U6056" s="36"/>
      <c r="V6056" s="36"/>
      <c r="W6056" s="15">
        <f t="shared" si="1061"/>
        <v>0</v>
      </c>
      <c r="X6056" s="36"/>
      <c r="Y6056" s="36"/>
      <c r="Z6056" s="36"/>
      <c r="AA6056" s="36"/>
      <c r="AB6056" s="36"/>
      <c r="AC6056" s="36"/>
      <c r="AD6056" s="36"/>
      <c r="AE6056" s="36"/>
      <c r="AF6056" s="36"/>
      <c r="AG6056" s="36"/>
      <c r="AH6056" s="36"/>
      <c r="AI6056" s="36"/>
      <c r="AJ6056" s="15">
        <f t="shared" si="1062"/>
        <v>0</v>
      </c>
      <c r="AK6056" s="14"/>
      <c r="AL6056" s="14">
        <v>250</v>
      </c>
      <c r="AM6056" s="14">
        <v>250</v>
      </c>
      <c r="AN6056" s="14">
        <v>250</v>
      </c>
      <c r="AO6056" s="14"/>
      <c r="AP6056" s="14"/>
      <c r="AQ6056" s="14"/>
      <c r="AR6056" s="14"/>
      <c r="AS6056" s="14"/>
      <c r="AT6056" s="14"/>
      <c r="AU6056" s="14"/>
      <c r="AV6056" s="14"/>
      <c r="AW6056" s="15">
        <f t="shared" si="1063"/>
        <v>750</v>
      </c>
      <c r="AX6056" s="16"/>
    </row>
    <row r="6057" spans="2:50" x14ac:dyDescent="0.2">
      <c r="B6057" s="7"/>
      <c r="C6057" s="8">
        <v>16184</v>
      </c>
      <c r="D6057" s="9" t="s">
        <v>168</v>
      </c>
      <c r="E6057" s="10" t="str">
        <f t="shared" si="1058"/>
        <v>Rancho Upácuaro No. 73, A</v>
      </c>
      <c r="F6057" s="10" t="str">
        <f t="shared" si="1059"/>
        <v>Ortega</v>
      </c>
      <c r="G6057" s="8">
        <v>5</v>
      </c>
      <c r="H6057" s="11">
        <v>50</v>
      </c>
      <c r="I6057" s="12">
        <v>43177</v>
      </c>
      <c r="J6057" s="35">
        <f t="shared" si="1060"/>
        <v>0</v>
      </c>
      <c r="K6057" s="36"/>
      <c r="L6057" s="36"/>
      <c r="M6057" s="36"/>
      <c r="N6057" s="36"/>
      <c r="O6057" s="36"/>
      <c r="P6057" s="36"/>
      <c r="Q6057" s="36"/>
      <c r="R6057" s="36"/>
      <c r="S6057" s="36"/>
      <c r="T6057" s="36"/>
      <c r="U6057" s="36"/>
      <c r="V6057" s="36"/>
      <c r="W6057" s="15">
        <f t="shared" si="1061"/>
        <v>0</v>
      </c>
      <c r="X6057" s="36"/>
      <c r="Y6057" s="36"/>
      <c r="Z6057" s="36"/>
      <c r="AA6057" s="36"/>
      <c r="AB6057" s="36"/>
      <c r="AC6057" s="36"/>
      <c r="AD6057" s="36"/>
      <c r="AE6057" s="36"/>
      <c r="AF6057" s="36"/>
      <c r="AG6057" s="36"/>
      <c r="AH6057" s="36"/>
      <c r="AI6057" s="36"/>
      <c r="AJ6057" s="15">
        <f t="shared" si="1062"/>
        <v>0</v>
      </c>
      <c r="AK6057" s="14"/>
      <c r="AL6057" s="14"/>
      <c r="AM6057" s="14"/>
      <c r="AN6057" s="14"/>
      <c r="AO6057" s="14"/>
      <c r="AP6057" s="14"/>
      <c r="AQ6057" s="14"/>
      <c r="AR6057" s="14"/>
      <c r="AS6057" s="14"/>
      <c r="AT6057" s="14"/>
      <c r="AU6057" s="14"/>
      <c r="AV6057" s="14"/>
      <c r="AW6057" s="15">
        <f t="shared" si="1063"/>
        <v>0</v>
      </c>
      <c r="AX6057" s="16"/>
    </row>
    <row r="6058" spans="2:50" x14ac:dyDescent="0.2">
      <c r="B6058" s="7"/>
      <c r="C6058" s="8">
        <v>16185</v>
      </c>
      <c r="D6058" s="9" t="s">
        <v>589</v>
      </c>
      <c r="E6058" s="10" t="str">
        <f t="shared" si="1058"/>
        <v>Rancho La Cuchilla No. 149</v>
      </c>
      <c r="F6058" s="10" t="str">
        <f t="shared" si="1059"/>
        <v>Montes Irineos</v>
      </c>
      <c r="G6058" s="8">
        <v>1</v>
      </c>
      <c r="H6058" s="11">
        <v>1200</v>
      </c>
      <c r="I6058" s="12">
        <v>43177</v>
      </c>
      <c r="J6058" s="35">
        <f t="shared" si="1060"/>
        <v>0</v>
      </c>
      <c r="K6058" s="36"/>
      <c r="L6058" s="36"/>
      <c r="M6058" s="36"/>
      <c r="N6058" s="36"/>
      <c r="O6058" s="36"/>
      <c r="P6058" s="36"/>
      <c r="Q6058" s="36"/>
      <c r="R6058" s="36"/>
      <c r="S6058" s="36"/>
      <c r="T6058" s="36"/>
      <c r="U6058" s="36"/>
      <c r="V6058" s="36"/>
      <c r="W6058" s="15">
        <f t="shared" si="1061"/>
        <v>0</v>
      </c>
      <c r="X6058" s="36"/>
      <c r="Y6058" s="36"/>
      <c r="Z6058" s="36"/>
      <c r="AA6058" s="36"/>
      <c r="AB6058" s="36"/>
      <c r="AC6058" s="36"/>
      <c r="AD6058" s="36"/>
      <c r="AE6058" s="36"/>
      <c r="AF6058" s="36"/>
      <c r="AG6058" s="36"/>
      <c r="AH6058" s="36"/>
      <c r="AI6058" s="36"/>
      <c r="AJ6058" s="15">
        <f t="shared" si="1062"/>
        <v>0</v>
      </c>
      <c r="AK6058" s="14">
        <v>400</v>
      </c>
      <c r="AL6058" s="14">
        <v>400</v>
      </c>
      <c r="AM6058" s="14">
        <v>400</v>
      </c>
      <c r="AN6058" s="14"/>
      <c r="AO6058" s="14"/>
      <c r="AP6058" s="14"/>
      <c r="AQ6058" s="14"/>
      <c r="AR6058" s="14"/>
      <c r="AS6058" s="14"/>
      <c r="AT6058" s="14"/>
      <c r="AU6058" s="14"/>
      <c r="AV6058" s="14"/>
      <c r="AW6058" s="15">
        <f t="shared" si="1063"/>
        <v>1200</v>
      </c>
      <c r="AX6058" s="16"/>
    </row>
    <row r="6059" spans="2:50" x14ac:dyDescent="0.2">
      <c r="B6059" s="7"/>
      <c r="C6059" s="8">
        <v>16186</v>
      </c>
      <c r="D6059" s="9" t="s">
        <v>440</v>
      </c>
      <c r="E6059" s="10" t="str">
        <f t="shared" si="1058"/>
        <v>Rancho Estanzuela No. 159</v>
      </c>
      <c r="F6059" s="10" t="str">
        <f t="shared" si="1059"/>
        <v>Silva</v>
      </c>
      <c r="G6059" s="8">
        <v>1</v>
      </c>
      <c r="H6059" s="11">
        <v>900</v>
      </c>
      <c r="I6059" s="12">
        <v>43177</v>
      </c>
      <c r="J6059" s="35">
        <f t="shared" si="1060"/>
        <v>0</v>
      </c>
      <c r="K6059" s="36"/>
      <c r="L6059" s="36"/>
      <c r="M6059" s="36"/>
      <c r="N6059" s="36"/>
      <c r="O6059" s="36"/>
      <c r="P6059" s="36"/>
      <c r="Q6059" s="36"/>
      <c r="R6059" s="36"/>
      <c r="S6059" s="36"/>
      <c r="T6059" s="36"/>
      <c r="U6059" s="36"/>
      <c r="V6059" s="36"/>
      <c r="W6059" s="15">
        <f t="shared" si="1061"/>
        <v>0</v>
      </c>
      <c r="X6059" s="36"/>
      <c r="Y6059" s="36"/>
      <c r="Z6059" s="36"/>
      <c r="AA6059" s="36"/>
      <c r="AB6059" s="36"/>
      <c r="AC6059" s="36"/>
      <c r="AD6059" s="36"/>
      <c r="AE6059" s="36"/>
      <c r="AF6059" s="36"/>
      <c r="AG6059" s="36"/>
      <c r="AH6059" s="36"/>
      <c r="AI6059" s="36"/>
      <c r="AJ6059" s="15">
        <f t="shared" si="1062"/>
        <v>0</v>
      </c>
      <c r="AK6059" s="14">
        <v>300</v>
      </c>
      <c r="AL6059" s="14">
        <v>300</v>
      </c>
      <c r="AM6059" s="14">
        <v>300</v>
      </c>
      <c r="AN6059" s="14"/>
      <c r="AO6059" s="14"/>
      <c r="AP6059" s="14"/>
      <c r="AQ6059" s="14"/>
      <c r="AR6059" s="14"/>
      <c r="AS6059" s="14"/>
      <c r="AT6059" s="14"/>
      <c r="AU6059" s="14"/>
      <c r="AV6059" s="14"/>
      <c r="AW6059" s="15">
        <f t="shared" si="1063"/>
        <v>900</v>
      </c>
      <c r="AX6059" s="16"/>
    </row>
    <row r="6060" spans="2:50" x14ac:dyDescent="0.2">
      <c r="B6060" s="7"/>
      <c r="C6060" s="8">
        <v>16187</v>
      </c>
      <c r="D6060" s="9" t="s">
        <v>893</v>
      </c>
      <c r="E6060" s="10" t="str">
        <f t="shared" si="1058"/>
        <v>Rancho Upácuaro No. 136</v>
      </c>
      <c r="F6060" s="10" t="str">
        <f t="shared" si="1059"/>
        <v>López Lena</v>
      </c>
      <c r="G6060" s="8">
        <v>1</v>
      </c>
      <c r="H6060" s="11">
        <v>300</v>
      </c>
      <c r="I6060" s="12">
        <v>43177</v>
      </c>
      <c r="J6060" s="35">
        <f t="shared" si="1060"/>
        <v>0</v>
      </c>
      <c r="K6060" s="36"/>
      <c r="L6060" s="36"/>
      <c r="M6060" s="36"/>
      <c r="N6060" s="36"/>
      <c r="O6060" s="36"/>
      <c r="P6060" s="36"/>
      <c r="Q6060" s="36"/>
      <c r="R6060" s="36"/>
      <c r="S6060" s="36"/>
      <c r="T6060" s="36"/>
      <c r="U6060" s="36"/>
      <c r="V6060" s="36"/>
      <c r="W6060" s="15">
        <f t="shared" si="1061"/>
        <v>0</v>
      </c>
      <c r="X6060" s="36"/>
      <c r="Y6060" s="36"/>
      <c r="Z6060" s="36"/>
      <c r="AA6060" s="36"/>
      <c r="AB6060" s="36"/>
      <c r="AC6060" s="36"/>
      <c r="AD6060" s="36"/>
      <c r="AE6060" s="36"/>
      <c r="AF6060" s="36"/>
      <c r="AG6060" s="36"/>
      <c r="AH6060" s="36"/>
      <c r="AI6060" s="36"/>
      <c r="AJ6060" s="15">
        <f t="shared" si="1062"/>
        <v>0</v>
      </c>
      <c r="AK6060" s="14"/>
      <c r="AL6060" s="14">
        <v>300</v>
      </c>
      <c r="AM6060" s="14"/>
      <c r="AN6060" s="14"/>
      <c r="AO6060" s="14"/>
      <c r="AP6060" s="14"/>
      <c r="AQ6060" s="14"/>
      <c r="AR6060" s="14"/>
      <c r="AS6060" s="14"/>
      <c r="AT6060" s="14"/>
      <c r="AU6060" s="14"/>
      <c r="AV6060" s="14"/>
      <c r="AW6060" s="15">
        <f t="shared" si="1063"/>
        <v>300</v>
      </c>
      <c r="AX6060" s="16"/>
    </row>
    <row r="6061" spans="2:50" x14ac:dyDescent="0.2">
      <c r="B6061" s="7"/>
      <c r="C6061" s="8">
        <v>16188</v>
      </c>
      <c r="D6061" s="9" t="s">
        <v>467</v>
      </c>
      <c r="E6061" s="10" t="str">
        <f t="shared" si="1052"/>
        <v>Rancho Upácuaro No. 138</v>
      </c>
      <c r="F6061" s="10" t="str">
        <f t="shared" si="1053"/>
        <v>Ramírez Valencia</v>
      </c>
      <c r="G6061" s="8">
        <v>1</v>
      </c>
      <c r="H6061" s="11">
        <v>2100</v>
      </c>
      <c r="I6061" s="12">
        <v>43177</v>
      </c>
      <c r="J6061" s="35">
        <f t="shared" si="1054"/>
        <v>0</v>
      </c>
      <c r="K6061" s="36"/>
      <c r="L6061" s="36"/>
      <c r="M6061" s="36"/>
      <c r="N6061" s="36"/>
      <c r="O6061" s="36"/>
      <c r="P6061" s="36"/>
      <c r="Q6061" s="36"/>
      <c r="R6061" s="36"/>
      <c r="S6061" s="36"/>
      <c r="T6061" s="36"/>
      <c r="U6061" s="36"/>
      <c r="V6061" s="36"/>
      <c r="W6061" s="15">
        <f t="shared" si="1055"/>
        <v>0</v>
      </c>
      <c r="X6061" s="36"/>
      <c r="Y6061" s="36"/>
      <c r="Z6061" s="36"/>
      <c r="AA6061" s="36"/>
      <c r="AB6061" s="36"/>
      <c r="AC6061" s="36"/>
      <c r="AD6061" s="36"/>
      <c r="AE6061" s="36"/>
      <c r="AF6061" s="36">
        <v>300</v>
      </c>
      <c r="AG6061" s="36">
        <v>300</v>
      </c>
      <c r="AH6061" s="36">
        <v>300</v>
      </c>
      <c r="AI6061" s="36">
        <v>300</v>
      </c>
      <c r="AJ6061" s="15">
        <f t="shared" si="1056"/>
        <v>1200</v>
      </c>
      <c r="AK6061" s="14">
        <v>300</v>
      </c>
      <c r="AL6061" s="14">
        <v>300</v>
      </c>
      <c r="AM6061" s="14">
        <v>300</v>
      </c>
      <c r="AN6061" s="14"/>
      <c r="AO6061" s="14"/>
      <c r="AP6061" s="14"/>
      <c r="AQ6061" s="14"/>
      <c r="AR6061" s="14"/>
      <c r="AS6061" s="14"/>
      <c r="AT6061" s="14"/>
      <c r="AU6061" s="14"/>
      <c r="AV6061" s="14"/>
      <c r="AW6061" s="15">
        <f t="shared" si="1057"/>
        <v>900</v>
      </c>
      <c r="AX6061" s="16"/>
    </row>
    <row r="6062" spans="2:50" x14ac:dyDescent="0.2">
      <c r="B6062" s="7"/>
      <c r="C6062" s="8">
        <v>16189</v>
      </c>
      <c r="D6062" s="9" t="s">
        <v>828</v>
      </c>
      <c r="E6062" s="10" t="str">
        <f t="shared" si="1052"/>
        <v>Rancho Upácuaro No. 130</v>
      </c>
      <c r="F6062" s="10" t="str">
        <f t="shared" si="1053"/>
        <v>Rodríguez Álvarez</v>
      </c>
      <c r="G6062" s="8">
        <v>1</v>
      </c>
      <c r="H6062" s="11">
        <v>600</v>
      </c>
      <c r="I6062" s="12">
        <v>43177</v>
      </c>
      <c r="J6062" s="35">
        <f t="shared" si="1054"/>
        <v>0</v>
      </c>
      <c r="K6062" s="36"/>
      <c r="L6062" s="36"/>
      <c r="M6062" s="36"/>
      <c r="N6062" s="36"/>
      <c r="O6062" s="36"/>
      <c r="P6062" s="36"/>
      <c r="Q6062" s="36"/>
      <c r="R6062" s="36"/>
      <c r="S6062" s="36"/>
      <c r="T6062" s="36"/>
      <c r="U6062" s="36"/>
      <c r="V6062" s="36"/>
      <c r="W6062" s="15">
        <f t="shared" si="1055"/>
        <v>0</v>
      </c>
      <c r="X6062" s="36"/>
      <c r="Y6062" s="36"/>
      <c r="Z6062" s="36"/>
      <c r="AA6062" s="36"/>
      <c r="AB6062" s="36"/>
      <c r="AC6062" s="36"/>
      <c r="AD6062" s="36"/>
      <c r="AE6062" s="36"/>
      <c r="AF6062" s="36"/>
      <c r="AG6062" s="36"/>
      <c r="AH6062" s="36"/>
      <c r="AI6062" s="36"/>
      <c r="AJ6062" s="15">
        <f t="shared" si="1056"/>
        <v>0</v>
      </c>
      <c r="AK6062" s="14">
        <v>200</v>
      </c>
      <c r="AL6062" s="14">
        <v>200</v>
      </c>
      <c r="AM6062" s="14">
        <v>200</v>
      </c>
      <c r="AN6062" s="14"/>
      <c r="AO6062" s="14"/>
      <c r="AP6062" s="14"/>
      <c r="AQ6062" s="14"/>
      <c r="AR6062" s="14"/>
      <c r="AS6062" s="14"/>
      <c r="AT6062" s="14"/>
      <c r="AU6062" s="14"/>
      <c r="AV6062" s="14"/>
      <c r="AW6062" s="15">
        <f t="shared" si="1057"/>
        <v>600</v>
      </c>
      <c r="AX6062" s="16"/>
    </row>
    <row r="6063" spans="2:50" x14ac:dyDescent="0.2">
      <c r="B6063" s="7"/>
      <c r="C6063" s="8">
        <v>16190</v>
      </c>
      <c r="D6063" s="9" t="s">
        <v>180</v>
      </c>
      <c r="E6063" s="10" t="str">
        <f t="shared" si="1052"/>
        <v>Rancho Landero No. 80</v>
      </c>
      <c r="F6063" s="10" t="str">
        <f t="shared" si="1053"/>
        <v>Caballero</v>
      </c>
      <c r="G6063" s="8">
        <v>5</v>
      </c>
      <c r="H6063" s="11">
        <v>50</v>
      </c>
      <c r="I6063" s="12">
        <v>43177</v>
      </c>
      <c r="J6063" s="35">
        <f t="shared" si="1054"/>
        <v>0</v>
      </c>
      <c r="K6063" s="36"/>
      <c r="L6063" s="36"/>
      <c r="M6063" s="36"/>
      <c r="N6063" s="36"/>
      <c r="O6063" s="36"/>
      <c r="P6063" s="36"/>
      <c r="Q6063" s="36"/>
      <c r="R6063" s="36"/>
      <c r="S6063" s="36"/>
      <c r="T6063" s="36"/>
      <c r="U6063" s="36"/>
      <c r="V6063" s="36"/>
      <c r="W6063" s="15">
        <f t="shared" si="1055"/>
        <v>0</v>
      </c>
      <c r="X6063" s="36"/>
      <c r="Y6063" s="36"/>
      <c r="Z6063" s="36"/>
      <c r="AA6063" s="36"/>
      <c r="AB6063" s="36"/>
      <c r="AC6063" s="36"/>
      <c r="AD6063" s="36"/>
      <c r="AE6063" s="36"/>
      <c r="AF6063" s="36"/>
      <c r="AG6063" s="36"/>
      <c r="AH6063" s="36"/>
      <c r="AI6063" s="36"/>
      <c r="AJ6063" s="15">
        <f t="shared" si="1056"/>
        <v>0</v>
      </c>
      <c r="AK6063" s="14"/>
      <c r="AL6063" s="14"/>
      <c r="AM6063" s="14"/>
      <c r="AN6063" s="14"/>
      <c r="AO6063" s="14"/>
      <c r="AP6063" s="14"/>
      <c r="AQ6063" s="14"/>
      <c r="AR6063" s="14"/>
      <c r="AS6063" s="14"/>
      <c r="AT6063" s="14"/>
      <c r="AU6063" s="14"/>
      <c r="AV6063" s="14"/>
      <c r="AW6063" s="15">
        <f t="shared" si="1057"/>
        <v>0</v>
      </c>
      <c r="AX6063" s="16"/>
    </row>
    <row r="6064" spans="2:50" x14ac:dyDescent="0.2">
      <c r="B6064" s="7"/>
      <c r="C6064" s="8">
        <v>16191</v>
      </c>
      <c r="D6064" s="9" t="s">
        <v>840</v>
      </c>
      <c r="E6064" s="10" t="str">
        <f t="shared" si="1052"/>
        <v>Rancho Landero No. 33</v>
      </c>
      <c r="F6064" s="10" t="str">
        <f t="shared" si="1053"/>
        <v>González Uribe</v>
      </c>
      <c r="G6064" s="8">
        <v>1</v>
      </c>
      <c r="H6064" s="11">
        <v>400</v>
      </c>
      <c r="I6064" s="12">
        <v>43177</v>
      </c>
      <c r="J6064" s="35">
        <f t="shared" si="1054"/>
        <v>0</v>
      </c>
      <c r="K6064" s="36"/>
      <c r="L6064" s="36"/>
      <c r="M6064" s="36"/>
      <c r="N6064" s="36"/>
      <c r="O6064" s="36"/>
      <c r="P6064" s="36"/>
      <c r="Q6064" s="36"/>
      <c r="R6064" s="36"/>
      <c r="S6064" s="36"/>
      <c r="T6064" s="36"/>
      <c r="U6064" s="36"/>
      <c r="V6064" s="36"/>
      <c r="W6064" s="15">
        <f t="shared" si="1055"/>
        <v>0</v>
      </c>
      <c r="X6064" s="36"/>
      <c r="Y6064" s="36"/>
      <c r="Z6064" s="36"/>
      <c r="AA6064" s="36"/>
      <c r="AB6064" s="36"/>
      <c r="AC6064" s="36"/>
      <c r="AD6064" s="36"/>
      <c r="AE6064" s="36"/>
      <c r="AF6064" s="36"/>
      <c r="AG6064" s="36"/>
      <c r="AH6064" s="36"/>
      <c r="AI6064" s="36"/>
      <c r="AJ6064" s="15">
        <f t="shared" si="1056"/>
        <v>0</v>
      </c>
      <c r="AK6064" s="14"/>
      <c r="AL6064" s="14"/>
      <c r="AM6064" s="14">
        <v>400</v>
      </c>
      <c r="AN6064" s="14"/>
      <c r="AO6064" s="14"/>
      <c r="AP6064" s="14"/>
      <c r="AQ6064" s="14"/>
      <c r="AR6064" s="14"/>
      <c r="AS6064" s="14"/>
      <c r="AT6064" s="14"/>
      <c r="AU6064" s="14"/>
      <c r="AV6064" s="14"/>
      <c r="AW6064" s="15">
        <f t="shared" si="1057"/>
        <v>400</v>
      </c>
      <c r="AX6064" s="16"/>
    </row>
    <row r="6065" spans="2:50" x14ac:dyDescent="0.2">
      <c r="B6065" s="7"/>
      <c r="C6065" s="8">
        <v>16192</v>
      </c>
      <c r="D6065" s="9" t="s">
        <v>1326</v>
      </c>
      <c r="E6065" s="10" t="str">
        <f t="shared" si="1052"/>
        <v>Rancho Estanzuela No. 5, B</v>
      </c>
      <c r="F6065" s="10" t="str">
        <f t="shared" si="1053"/>
        <v>Juárez Guerrero</v>
      </c>
      <c r="G6065" s="8">
        <v>1</v>
      </c>
      <c r="H6065" s="11">
        <v>600</v>
      </c>
      <c r="I6065" s="12">
        <v>43177</v>
      </c>
      <c r="J6065" s="35">
        <f t="shared" si="1054"/>
        <v>0</v>
      </c>
      <c r="K6065" s="36"/>
      <c r="L6065" s="36"/>
      <c r="M6065" s="36"/>
      <c r="N6065" s="36"/>
      <c r="O6065" s="36"/>
      <c r="P6065" s="36"/>
      <c r="Q6065" s="36"/>
      <c r="R6065" s="36"/>
      <c r="S6065" s="36"/>
      <c r="T6065" s="36"/>
      <c r="U6065" s="36"/>
      <c r="V6065" s="36"/>
      <c r="W6065" s="15">
        <f t="shared" si="1055"/>
        <v>0</v>
      </c>
      <c r="X6065" s="36"/>
      <c r="Y6065" s="36"/>
      <c r="Z6065" s="36"/>
      <c r="AA6065" s="36"/>
      <c r="AB6065" s="36"/>
      <c r="AC6065" s="36"/>
      <c r="AD6065" s="36"/>
      <c r="AE6065" s="36"/>
      <c r="AF6065" s="36"/>
      <c r="AG6065" s="36"/>
      <c r="AH6065" s="36"/>
      <c r="AI6065" s="36"/>
      <c r="AJ6065" s="15">
        <f t="shared" si="1056"/>
        <v>0</v>
      </c>
      <c r="AK6065" s="14"/>
      <c r="AL6065" s="14">
        <v>200</v>
      </c>
      <c r="AM6065" s="14">
        <v>200</v>
      </c>
      <c r="AN6065" s="14">
        <v>200</v>
      </c>
      <c r="AO6065" s="14"/>
      <c r="AP6065" s="14"/>
      <c r="AQ6065" s="14"/>
      <c r="AR6065" s="14"/>
      <c r="AS6065" s="14"/>
      <c r="AT6065" s="14"/>
      <c r="AU6065" s="14"/>
      <c r="AV6065" s="14"/>
      <c r="AW6065" s="15">
        <f t="shared" si="1057"/>
        <v>600</v>
      </c>
      <c r="AX6065" s="316">
        <f>SUM(H6023:H6065)</f>
        <v>23250</v>
      </c>
    </row>
    <row r="6066" spans="2:50" x14ac:dyDescent="0.2">
      <c r="B6066" s="7"/>
      <c r="C6066" s="8">
        <v>16193</v>
      </c>
      <c r="D6066" s="9" t="s">
        <v>529</v>
      </c>
      <c r="E6066" s="10" t="str">
        <f t="shared" si="1052"/>
        <v>Rancho Estanzuela No. 37</v>
      </c>
      <c r="F6066" s="10" t="str">
        <f t="shared" si="1053"/>
        <v>Cabello Eduardo</v>
      </c>
      <c r="G6066" s="8">
        <v>5</v>
      </c>
      <c r="H6066" s="315">
        <v>50</v>
      </c>
      <c r="I6066" s="12">
        <v>43179</v>
      </c>
      <c r="J6066" s="35">
        <f t="shared" si="1054"/>
        <v>0</v>
      </c>
      <c r="K6066" s="36"/>
      <c r="L6066" s="36"/>
      <c r="M6066" s="36"/>
      <c r="N6066" s="36"/>
      <c r="O6066" s="36"/>
      <c r="P6066" s="36"/>
      <c r="Q6066" s="36"/>
      <c r="R6066" s="36"/>
      <c r="S6066" s="36"/>
      <c r="T6066" s="36"/>
      <c r="U6066" s="36"/>
      <c r="V6066" s="36"/>
      <c r="W6066" s="15">
        <f t="shared" si="1055"/>
        <v>0</v>
      </c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15">
        <f t="shared" si="1056"/>
        <v>0</v>
      </c>
      <c r="AK6066" s="14"/>
      <c r="AL6066" s="14"/>
      <c r="AM6066" s="14"/>
      <c r="AN6066" s="14"/>
      <c r="AO6066" s="14"/>
      <c r="AP6066" s="14"/>
      <c r="AQ6066" s="14"/>
      <c r="AR6066" s="14"/>
      <c r="AS6066" s="14"/>
      <c r="AT6066" s="14"/>
      <c r="AU6066" s="14"/>
      <c r="AV6066" s="14"/>
      <c r="AW6066" s="15">
        <f t="shared" si="1057"/>
        <v>0</v>
      </c>
      <c r="AX6066" s="16"/>
    </row>
    <row r="6067" spans="2:50" x14ac:dyDescent="0.2">
      <c r="B6067" s="7"/>
      <c r="C6067" s="8">
        <v>16194</v>
      </c>
      <c r="D6067" s="9" t="s">
        <v>177</v>
      </c>
      <c r="E6067" s="10" t="str">
        <f t="shared" si="1052"/>
        <v>Rancho Landero No. 71</v>
      </c>
      <c r="F6067" s="10" t="str">
        <f t="shared" si="1053"/>
        <v xml:space="preserve">Luna  </v>
      </c>
      <c r="G6067" s="8">
        <v>1</v>
      </c>
      <c r="H6067" s="11">
        <v>400</v>
      </c>
      <c r="I6067" s="12">
        <v>43182</v>
      </c>
      <c r="J6067" s="35">
        <f t="shared" si="1054"/>
        <v>0</v>
      </c>
      <c r="K6067" s="36"/>
      <c r="L6067" s="36"/>
      <c r="M6067" s="36"/>
      <c r="N6067" s="36"/>
      <c r="O6067" s="36"/>
      <c r="P6067" s="36"/>
      <c r="Q6067" s="36"/>
      <c r="R6067" s="36"/>
      <c r="S6067" s="36"/>
      <c r="T6067" s="36"/>
      <c r="U6067" s="36"/>
      <c r="V6067" s="36"/>
      <c r="W6067" s="15">
        <f t="shared" si="1055"/>
        <v>0</v>
      </c>
      <c r="X6067" s="36"/>
      <c r="Y6067" s="36"/>
      <c r="Z6067" s="36"/>
      <c r="AA6067" s="36"/>
      <c r="AB6067" s="36"/>
      <c r="AC6067" s="36"/>
      <c r="AD6067" s="36"/>
      <c r="AE6067" s="36"/>
      <c r="AF6067" s="36"/>
      <c r="AG6067" s="36"/>
      <c r="AH6067" s="36"/>
      <c r="AI6067" s="36"/>
      <c r="AJ6067" s="15">
        <f t="shared" si="1056"/>
        <v>0</v>
      </c>
      <c r="AK6067" s="14"/>
      <c r="AL6067" s="14"/>
      <c r="AM6067" s="14">
        <v>400</v>
      </c>
      <c r="AN6067" s="14"/>
      <c r="AO6067" s="14"/>
      <c r="AP6067" s="14"/>
      <c r="AQ6067" s="14"/>
      <c r="AR6067" s="14"/>
      <c r="AS6067" s="14"/>
      <c r="AT6067" s="14"/>
      <c r="AU6067" s="14"/>
      <c r="AV6067" s="14"/>
      <c r="AW6067" s="15">
        <f t="shared" si="1057"/>
        <v>400</v>
      </c>
      <c r="AX6067" s="16"/>
    </row>
    <row r="6068" spans="2:50" x14ac:dyDescent="0.2">
      <c r="B6068" s="7"/>
      <c r="C6068" s="8">
        <v>16195</v>
      </c>
      <c r="D6068" s="9" t="s">
        <v>41</v>
      </c>
      <c r="E6068" s="10" t="str">
        <f t="shared" si="1052"/>
        <v>Rancho Landero No. 54, 2</v>
      </c>
      <c r="F6068" s="10" t="str">
        <f t="shared" si="1053"/>
        <v>Montemayor Santana</v>
      </c>
      <c r="G6068" s="8">
        <v>1</v>
      </c>
      <c r="H6068" s="11">
        <v>200</v>
      </c>
      <c r="I6068" s="12">
        <v>43182</v>
      </c>
      <c r="J6068" s="35">
        <f t="shared" si="1054"/>
        <v>0</v>
      </c>
      <c r="K6068" s="36"/>
      <c r="L6068" s="36"/>
      <c r="M6068" s="36"/>
      <c r="N6068" s="36"/>
      <c r="O6068" s="36"/>
      <c r="P6068" s="36"/>
      <c r="Q6068" s="36"/>
      <c r="R6068" s="36"/>
      <c r="S6068" s="36"/>
      <c r="T6068" s="36"/>
      <c r="U6068" s="36"/>
      <c r="V6068" s="36"/>
      <c r="W6068" s="15">
        <f t="shared" si="1055"/>
        <v>0</v>
      </c>
      <c r="X6068" s="36"/>
      <c r="Y6068" s="36"/>
      <c r="Z6068" s="36"/>
      <c r="AA6068" s="36"/>
      <c r="AB6068" s="36"/>
      <c r="AC6068" s="36"/>
      <c r="AD6068" s="36"/>
      <c r="AE6068" s="36"/>
      <c r="AF6068" s="36"/>
      <c r="AG6068" s="36"/>
      <c r="AH6068" s="36"/>
      <c r="AI6068" s="36"/>
      <c r="AJ6068" s="15">
        <f t="shared" si="1056"/>
        <v>0</v>
      </c>
      <c r="AK6068" s="14"/>
      <c r="AL6068" s="14">
        <v>200</v>
      </c>
      <c r="AM6068" s="14"/>
      <c r="AN6068" s="14"/>
      <c r="AO6068" s="14"/>
      <c r="AP6068" s="14"/>
      <c r="AQ6068" s="14"/>
      <c r="AR6068" s="14"/>
      <c r="AS6068" s="14"/>
      <c r="AT6068" s="14"/>
      <c r="AU6068" s="14"/>
      <c r="AV6068" s="14"/>
      <c r="AW6068" s="15">
        <f t="shared" si="1057"/>
        <v>200</v>
      </c>
      <c r="AX6068" s="16"/>
    </row>
    <row r="6069" spans="2:50" x14ac:dyDescent="0.2">
      <c r="B6069" s="7"/>
      <c r="C6069" s="8">
        <v>16196</v>
      </c>
      <c r="D6069" s="9" t="s">
        <v>1174</v>
      </c>
      <c r="E6069" s="10" t="str">
        <f t="shared" si="1052"/>
        <v>Rancho Upácuaro No. 61</v>
      </c>
      <c r="F6069" s="10" t="str">
        <f t="shared" si="1053"/>
        <v>Campos Granados</v>
      </c>
      <c r="G6069" s="8">
        <v>1</v>
      </c>
      <c r="H6069" s="11">
        <v>1200</v>
      </c>
      <c r="I6069" s="12">
        <v>43182</v>
      </c>
      <c r="J6069" s="35">
        <f t="shared" si="1054"/>
        <v>0</v>
      </c>
      <c r="K6069" s="36"/>
      <c r="L6069" s="36"/>
      <c r="M6069" s="36"/>
      <c r="N6069" s="36"/>
      <c r="O6069" s="36"/>
      <c r="P6069" s="36"/>
      <c r="Q6069" s="36"/>
      <c r="R6069" s="36"/>
      <c r="S6069" s="36"/>
      <c r="T6069" s="36"/>
      <c r="U6069" s="36"/>
      <c r="V6069" s="36"/>
      <c r="W6069" s="15">
        <f t="shared" si="1055"/>
        <v>0</v>
      </c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15">
        <f t="shared" si="1056"/>
        <v>0</v>
      </c>
      <c r="AK6069" s="14">
        <v>400</v>
      </c>
      <c r="AL6069" s="14">
        <v>400</v>
      </c>
      <c r="AM6069" s="14">
        <v>400</v>
      </c>
      <c r="AN6069" s="14"/>
      <c r="AO6069" s="14"/>
      <c r="AP6069" s="14"/>
      <c r="AQ6069" s="14"/>
      <c r="AR6069" s="14"/>
      <c r="AS6069" s="14"/>
      <c r="AT6069" s="14"/>
      <c r="AU6069" s="14"/>
      <c r="AV6069" s="14"/>
      <c r="AW6069" s="15">
        <f t="shared" si="1057"/>
        <v>1200</v>
      </c>
      <c r="AX6069" s="16"/>
    </row>
    <row r="6070" spans="2:50" x14ac:dyDescent="0.2">
      <c r="B6070" s="7"/>
      <c r="C6070" s="8">
        <v>16197</v>
      </c>
      <c r="D6070" s="9" t="s">
        <v>1331</v>
      </c>
      <c r="E6070" s="10" t="str">
        <f t="shared" si="1052"/>
        <v>Rancho Estanzuela No. 43</v>
      </c>
      <c r="F6070" s="10" t="str">
        <f t="shared" si="1053"/>
        <v>Granados</v>
      </c>
      <c r="G6070" s="8">
        <v>1</v>
      </c>
      <c r="H6070" s="11">
        <v>400</v>
      </c>
      <c r="I6070" s="12">
        <v>43182</v>
      </c>
      <c r="J6070" s="35">
        <f t="shared" si="1054"/>
        <v>0</v>
      </c>
      <c r="K6070" s="36"/>
      <c r="L6070" s="36"/>
      <c r="M6070" s="36"/>
      <c r="N6070" s="36"/>
      <c r="O6070" s="36"/>
      <c r="P6070" s="36"/>
      <c r="Q6070" s="36"/>
      <c r="R6070" s="36"/>
      <c r="S6070" s="36"/>
      <c r="T6070" s="36"/>
      <c r="U6070" s="36"/>
      <c r="V6070" s="36"/>
      <c r="W6070" s="15">
        <f t="shared" si="1055"/>
        <v>0</v>
      </c>
      <c r="X6070" s="36"/>
      <c r="Y6070" s="36"/>
      <c r="Z6070" s="36"/>
      <c r="AA6070" s="36"/>
      <c r="AB6070" s="36"/>
      <c r="AC6070" s="36"/>
      <c r="AD6070" s="36"/>
      <c r="AE6070" s="36"/>
      <c r="AF6070" s="36"/>
      <c r="AG6070" s="36"/>
      <c r="AH6070" s="36"/>
      <c r="AI6070" s="36"/>
      <c r="AJ6070" s="15">
        <f t="shared" si="1056"/>
        <v>0</v>
      </c>
      <c r="AK6070" s="14"/>
      <c r="AL6070" s="14">
        <v>400</v>
      </c>
      <c r="AM6070" s="14"/>
      <c r="AN6070" s="14"/>
      <c r="AO6070" s="14"/>
      <c r="AP6070" s="14"/>
      <c r="AQ6070" s="14"/>
      <c r="AR6070" s="14"/>
      <c r="AS6070" s="14"/>
      <c r="AT6070" s="14"/>
      <c r="AU6070" s="14"/>
      <c r="AV6070" s="14"/>
      <c r="AW6070" s="15">
        <f t="shared" si="1057"/>
        <v>400</v>
      </c>
      <c r="AX6070" s="16"/>
    </row>
    <row r="6071" spans="2:50" x14ac:dyDescent="0.2">
      <c r="B6071" s="7"/>
      <c r="C6071" s="8">
        <v>16198</v>
      </c>
      <c r="D6071" s="9" t="s">
        <v>586</v>
      </c>
      <c r="E6071" s="10" t="str">
        <f t="shared" si="1052"/>
        <v>Rancho Estanzuela No. 161, 1</v>
      </c>
      <c r="F6071" s="10" t="str">
        <f t="shared" si="1053"/>
        <v>Guevara</v>
      </c>
      <c r="G6071" s="8">
        <v>1</v>
      </c>
      <c r="H6071" s="11">
        <v>400</v>
      </c>
      <c r="I6071" s="12">
        <v>43182</v>
      </c>
      <c r="J6071" s="35">
        <f t="shared" si="1054"/>
        <v>0</v>
      </c>
      <c r="K6071" s="36"/>
      <c r="L6071" s="36"/>
      <c r="M6071" s="36"/>
      <c r="N6071" s="36"/>
      <c r="O6071" s="36"/>
      <c r="P6071" s="36"/>
      <c r="Q6071" s="36"/>
      <c r="R6071" s="36"/>
      <c r="S6071" s="36"/>
      <c r="T6071" s="36"/>
      <c r="U6071" s="36"/>
      <c r="V6071" s="36"/>
      <c r="W6071" s="15">
        <f t="shared" si="1055"/>
        <v>0</v>
      </c>
      <c r="X6071" s="36"/>
      <c r="Y6071" s="36"/>
      <c r="Z6071" s="36"/>
      <c r="AA6071" s="36"/>
      <c r="AB6071" s="36"/>
      <c r="AC6071" s="36"/>
      <c r="AD6071" s="36"/>
      <c r="AE6071" s="36"/>
      <c r="AF6071" s="36"/>
      <c r="AG6071" s="36"/>
      <c r="AH6071" s="36"/>
      <c r="AI6071" s="36"/>
      <c r="AJ6071" s="15">
        <f t="shared" si="1056"/>
        <v>0</v>
      </c>
      <c r="AK6071" s="14"/>
      <c r="AL6071" s="14">
        <v>200</v>
      </c>
      <c r="AM6071" s="14">
        <v>200</v>
      </c>
      <c r="AN6071" s="14"/>
      <c r="AO6071" s="14"/>
      <c r="AP6071" s="14"/>
      <c r="AQ6071" s="14"/>
      <c r="AR6071" s="14"/>
      <c r="AS6071" s="14"/>
      <c r="AT6071" s="14"/>
      <c r="AU6071" s="14"/>
      <c r="AV6071" s="14"/>
      <c r="AW6071" s="15">
        <f t="shared" si="1057"/>
        <v>400</v>
      </c>
      <c r="AX6071" s="16"/>
    </row>
    <row r="6072" spans="2:50" x14ac:dyDescent="0.2">
      <c r="B6072" s="7"/>
      <c r="C6072" s="8">
        <v>16199</v>
      </c>
      <c r="D6072" s="9" t="s">
        <v>763</v>
      </c>
      <c r="E6072" s="10" t="str">
        <f t="shared" si="1052"/>
        <v>Rancho Estanzuela No. 79</v>
      </c>
      <c r="F6072" s="10" t="str">
        <f t="shared" si="1053"/>
        <v>Mendoza</v>
      </c>
      <c r="G6072" s="8">
        <v>1</v>
      </c>
      <c r="H6072" s="11">
        <v>400</v>
      </c>
      <c r="I6072" s="12">
        <v>43182</v>
      </c>
      <c r="J6072" s="35">
        <f t="shared" si="1054"/>
        <v>0</v>
      </c>
      <c r="K6072" s="36"/>
      <c r="L6072" s="36"/>
      <c r="M6072" s="36"/>
      <c r="N6072" s="36"/>
      <c r="O6072" s="36"/>
      <c r="P6072" s="36"/>
      <c r="Q6072" s="36"/>
      <c r="R6072" s="36"/>
      <c r="S6072" s="36"/>
      <c r="T6072" s="36"/>
      <c r="U6072" s="36"/>
      <c r="V6072" s="36"/>
      <c r="W6072" s="15">
        <f t="shared" si="1055"/>
        <v>0</v>
      </c>
      <c r="X6072" s="36"/>
      <c r="Y6072" s="36"/>
      <c r="Z6072" s="36"/>
      <c r="AA6072" s="36"/>
      <c r="AB6072" s="36"/>
      <c r="AC6072" s="36"/>
      <c r="AD6072" s="36"/>
      <c r="AE6072" s="36"/>
      <c r="AF6072" s="36"/>
      <c r="AG6072" s="36"/>
      <c r="AH6072" s="36"/>
      <c r="AI6072" s="36"/>
      <c r="AJ6072" s="15">
        <f t="shared" si="1056"/>
        <v>0</v>
      </c>
      <c r="AK6072" s="14"/>
      <c r="AL6072" s="14">
        <v>400</v>
      </c>
      <c r="AM6072" s="14"/>
      <c r="AN6072" s="14"/>
      <c r="AO6072" s="14"/>
      <c r="AP6072" s="14"/>
      <c r="AQ6072" s="14"/>
      <c r="AR6072" s="14"/>
      <c r="AS6072" s="14"/>
      <c r="AT6072" s="14"/>
      <c r="AU6072" s="14"/>
      <c r="AV6072" s="14"/>
      <c r="AW6072" s="15">
        <f t="shared" si="1057"/>
        <v>400</v>
      </c>
      <c r="AX6072" s="16"/>
    </row>
    <row r="6073" spans="2:50" x14ac:dyDescent="0.2">
      <c r="B6073" s="7"/>
      <c r="C6073" s="8">
        <v>16200</v>
      </c>
      <c r="D6073" s="9" t="s">
        <v>763</v>
      </c>
      <c r="E6073" s="10" t="str">
        <f t="shared" si="1052"/>
        <v>Rancho Estanzuela No. 79</v>
      </c>
      <c r="F6073" s="10" t="str">
        <f t="shared" si="1053"/>
        <v>Mendoza</v>
      </c>
      <c r="G6073" s="8">
        <v>5</v>
      </c>
      <c r="H6073" s="11">
        <v>50</v>
      </c>
      <c r="I6073" s="12">
        <v>43184</v>
      </c>
      <c r="J6073" s="35">
        <f t="shared" si="1054"/>
        <v>0</v>
      </c>
      <c r="K6073" s="36"/>
      <c r="L6073" s="36"/>
      <c r="M6073" s="36"/>
      <c r="N6073" s="36"/>
      <c r="O6073" s="36"/>
      <c r="P6073" s="36"/>
      <c r="Q6073" s="36"/>
      <c r="R6073" s="36"/>
      <c r="S6073" s="36"/>
      <c r="T6073" s="36"/>
      <c r="U6073" s="36"/>
      <c r="V6073" s="36"/>
      <c r="W6073" s="15">
        <f t="shared" si="1055"/>
        <v>0</v>
      </c>
      <c r="X6073" s="36"/>
      <c r="Y6073" s="36"/>
      <c r="Z6073" s="36"/>
      <c r="AA6073" s="36"/>
      <c r="AB6073" s="36"/>
      <c r="AC6073" s="36"/>
      <c r="AD6073" s="36"/>
      <c r="AE6073" s="36"/>
      <c r="AF6073" s="36"/>
      <c r="AG6073" s="36"/>
      <c r="AH6073" s="36"/>
      <c r="AI6073" s="36"/>
      <c r="AJ6073" s="15">
        <f t="shared" si="1056"/>
        <v>0</v>
      </c>
      <c r="AK6073" s="14"/>
      <c r="AL6073" s="14"/>
      <c r="AM6073" s="14"/>
      <c r="AN6073" s="14"/>
      <c r="AO6073" s="14"/>
      <c r="AP6073" s="14"/>
      <c r="AQ6073" s="14"/>
      <c r="AR6073" s="14"/>
      <c r="AS6073" s="14"/>
      <c r="AT6073" s="14"/>
      <c r="AU6073" s="14"/>
      <c r="AV6073" s="14"/>
      <c r="AW6073" s="15">
        <f t="shared" si="1057"/>
        <v>0</v>
      </c>
      <c r="AX6073" s="16"/>
    </row>
    <row r="6074" spans="2:50" x14ac:dyDescent="0.2">
      <c r="B6074" s="7"/>
      <c r="C6074" s="8">
        <v>16201</v>
      </c>
      <c r="D6074" s="9" t="s">
        <v>705</v>
      </c>
      <c r="E6074" s="10" t="str">
        <f t="shared" ref="E6074:E6095" si="1064">IF(D6074=0,"",VLOOKUP(D6074,BASE,2,FALSE))</f>
        <v>Rancho La Cuchilla No. 75</v>
      </c>
      <c r="F6074" s="10" t="str">
        <f t="shared" ref="F6074:F6095" si="1065">IF(D6074=0,"",VLOOKUP(D6074,BASE,3,FALSE))</f>
        <v>Sosa Lucio</v>
      </c>
      <c r="G6074" s="8">
        <v>1</v>
      </c>
      <c r="H6074" s="11">
        <v>900</v>
      </c>
      <c r="I6074" s="12">
        <v>43184</v>
      </c>
      <c r="J6074" s="35">
        <f t="shared" ref="J6074:J6095" si="1066">IF(G6074=1,SUM(W6074,AJ6074,AW6074,-H6074),0)</f>
        <v>0</v>
      </c>
      <c r="K6074" s="36"/>
      <c r="L6074" s="36"/>
      <c r="M6074" s="36"/>
      <c r="N6074" s="36"/>
      <c r="O6074" s="36"/>
      <c r="P6074" s="36"/>
      <c r="Q6074" s="36"/>
      <c r="R6074" s="36"/>
      <c r="S6074" s="36"/>
      <c r="T6074" s="36"/>
      <c r="U6074" s="36"/>
      <c r="V6074" s="36"/>
      <c r="W6074" s="15">
        <f t="shared" ref="W6074:W6095" si="1067">SUM(K6074:V6074)</f>
        <v>0</v>
      </c>
      <c r="X6074" s="36"/>
      <c r="Y6074" s="36"/>
      <c r="Z6074" s="36"/>
      <c r="AA6074" s="36"/>
      <c r="AB6074" s="36"/>
      <c r="AC6074" s="36"/>
      <c r="AD6074" s="36"/>
      <c r="AE6074" s="36"/>
      <c r="AF6074" s="36"/>
      <c r="AG6074" s="36"/>
      <c r="AH6074" s="36"/>
      <c r="AI6074" s="36"/>
      <c r="AJ6074" s="15">
        <f t="shared" ref="AJ6074:AJ6095" si="1068">SUM(X6074:AI6074)</f>
        <v>0</v>
      </c>
      <c r="AK6074" s="14">
        <v>300</v>
      </c>
      <c r="AL6074" s="14">
        <v>300</v>
      </c>
      <c r="AM6074" s="14">
        <v>300</v>
      </c>
      <c r="AN6074" s="14"/>
      <c r="AO6074" s="14"/>
      <c r="AP6074" s="14"/>
      <c r="AQ6074" s="14"/>
      <c r="AR6074" s="14"/>
      <c r="AS6074" s="14"/>
      <c r="AT6074" s="14"/>
      <c r="AU6074" s="14"/>
      <c r="AV6074" s="14"/>
      <c r="AW6074" s="15">
        <f t="shared" ref="AW6074:AW6095" si="1069">SUM(AK6074:AV6074)</f>
        <v>900</v>
      </c>
      <c r="AX6074" s="16"/>
    </row>
    <row r="6075" spans="2:50" x14ac:dyDescent="0.2">
      <c r="B6075" s="7"/>
      <c r="C6075" s="8">
        <v>16202</v>
      </c>
      <c r="D6075" s="9" t="s">
        <v>769</v>
      </c>
      <c r="E6075" s="10" t="str">
        <f t="shared" si="1064"/>
        <v>Rancho La Cuchilla No. 66</v>
      </c>
      <c r="F6075" s="10" t="str">
        <f t="shared" si="1065"/>
        <v>Prieto</v>
      </c>
      <c r="G6075" s="8">
        <v>1</v>
      </c>
      <c r="H6075" s="11">
        <v>400</v>
      </c>
      <c r="I6075" s="12">
        <v>43184</v>
      </c>
      <c r="J6075" s="35">
        <f t="shared" si="1066"/>
        <v>0</v>
      </c>
      <c r="K6075" s="36"/>
      <c r="L6075" s="36"/>
      <c r="M6075" s="36"/>
      <c r="N6075" s="36"/>
      <c r="O6075" s="36"/>
      <c r="P6075" s="36"/>
      <c r="Q6075" s="36"/>
      <c r="R6075" s="36"/>
      <c r="S6075" s="36"/>
      <c r="T6075" s="36"/>
      <c r="U6075" s="36"/>
      <c r="V6075" s="36"/>
      <c r="W6075" s="15">
        <f t="shared" si="1067"/>
        <v>0</v>
      </c>
      <c r="X6075" s="36"/>
      <c r="Y6075" s="36"/>
      <c r="Z6075" s="36"/>
      <c r="AA6075" s="36"/>
      <c r="AB6075" s="36"/>
      <c r="AC6075" s="36"/>
      <c r="AD6075" s="36"/>
      <c r="AE6075" s="36"/>
      <c r="AF6075" s="36"/>
      <c r="AG6075" s="36"/>
      <c r="AH6075" s="36"/>
      <c r="AI6075" s="36"/>
      <c r="AJ6075" s="15">
        <f t="shared" si="1068"/>
        <v>0</v>
      </c>
      <c r="AK6075" s="14"/>
      <c r="AL6075" s="14"/>
      <c r="AM6075" s="14">
        <v>400</v>
      </c>
      <c r="AN6075" s="14"/>
      <c r="AO6075" s="14"/>
      <c r="AP6075" s="14"/>
      <c r="AQ6075" s="14"/>
      <c r="AR6075" s="14"/>
      <c r="AS6075" s="14"/>
      <c r="AT6075" s="14"/>
      <c r="AU6075" s="14"/>
      <c r="AV6075" s="14"/>
      <c r="AW6075" s="15">
        <f t="shared" si="1069"/>
        <v>400</v>
      </c>
      <c r="AX6075" s="16"/>
    </row>
    <row r="6076" spans="2:50" x14ac:dyDescent="0.2">
      <c r="B6076" s="7"/>
      <c r="C6076" s="8">
        <v>16203</v>
      </c>
      <c r="D6076" s="9" t="s">
        <v>109</v>
      </c>
      <c r="E6076" s="10" t="str">
        <f t="shared" si="1064"/>
        <v>Rancho Estanzuela No. 31</v>
      </c>
      <c r="F6076" s="10" t="str">
        <f t="shared" si="1065"/>
        <v>Chávez Valdés</v>
      </c>
      <c r="G6076" s="8">
        <v>1</v>
      </c>
      <c r="H6076" s="11">
        <v>400</v>
      </c>
      <c r="I6076" s="12">
        <v>43184</v>
      </c>
      <c r="J6076" s="35">
        <f t="shared" si="1066"/>
        <v>0</v>
      </c>
      <c r="K6076" s="36"/>
      <c r="L6076" s="36"/>
      <c r="M6076" s="36"/>
      <c r="N6076" s="36"/>
      <c r="O6076" s="36"/>
      <c r="P6076" s="36"/>
      <c r="Q6076" s="36"/>
      <c r="R6076" s="36"/>
      <c r="S6076" s="36"/>
      <c r="T6076" s="36"/>
      <c r="U6076" s="36"/>
      <c r="V6076" s="36"/>
      <c r="W6076" s="15">
        <f t="shared" si="1067"/>
        <v>0</v>
      </c>
      <c r="X6076" s="36"/>
      <c r="Y6076" s="36"/>
      <c r="Z6076" s="36"/>
      <c r="AA6076" s="36"/>
      <c r="AB6076" s="36"/>
      <c r="AC6076" s="36"/>
      <c r="AD6076" s="36"/>
      <c r="AE6076" s="36"/>
      <c r="AF6076" s="36"/>
      <c r="AG6076" s="36"/>
      <c r="AH6076" s="36"/>
      <c r="AI6076" s="36"/>
      <c r="AJ6076" s="15">
        <f t="shared" si="1068"/>
        <v>0</v>
      </c>
      <c r="AK6076" s="14">
        <v>400</v>
      </c>
      <c r="AL6076" s="14"/>
      <c r="AM6076" s="14"/>
      <c r="AN6076" s="14"/>
      <c r="AO6076" s="14"/>
      <c r="AP6076" s="14"/>
      <c r="AQ6076" s="14"/>
      <c r="AR6076" s="14"/>
      <c r="AS6076" s="14"/>
      <c r="AT6076" s="14"/>
      <c r="AU6076" s="14"/>
      <c r="AV6076" s="14"/>
      <c r="AW6076" s="15">
        <f t="shared" si="1069"/>
        <v>400</v>
      </c>
      <c r="AX6076" s="16"/>
    </row>
    <row r="6077" spans="2:50" x14ac:dyDescent="0.2">
      <c r="B6077" s="7"/>
      <c r="C6077" s="8">
        <v>16203</v>
      </c>
      <c r="D6077" s="9" t="s">
        <v>109</v>
      </c>
      <c r="E6077" s="10" t="str">
        <f t="shared" si="1064"/>
        <v>Rancho Estanzuela No. 31</v>
      </c>
      <c r="F6077" s="10" t="str">
        <f t="shared" si="1065"/>
        <v>Chávez Valdés</v>
      </c>
      <c r="G6077" s="8">
        <v>3</v>
      </c>
      <c r="H6077" s="11">
        <v>200</v>
      </c>
      <c r="I6077" s="12">
        <v>43184</v>
      </c>
      <c r="J6077" s="35">
        <f t="shared" si="1066"/>
        <v>0</v>
      </c>
      <c r="K6077" s="36"/>
      <c r="L6077" s="36"/>
      <c r="M6077" s="36"/>
      <c r="N6077" s="36"/>
      <c r="O6077" s="36"/>
      <c r="P6077" s="36"/>
      <c r="Q6077" s="36"/>
      <c r="R6077" s="36"/>
      <c r="S6077" s="36"/>
      <c r="T6077" s="36"/>
      <c r="U6077" s="36"/>
      <c r="V6077" s="36"/>
      <c r="W6077" s="15">
        <f t="shared" si="1067"/>
        <v>0</v>
      </c>
      <c r="X6077" s="36"/>
      <c r="Y6077" s="36"/>
      <c r="Z6077" s="36"/>
      <c r="AA6077" s="36"/>
      <c r="AB6077" s="36"/>
      <c r="AC6077" s="36"/>
      <c r="AD6077" s="36"/>
      <c r="AE6077" s="36"/>
      <c r="AF6077" s="36"/>
      <c r="AG6077" s="36"/>
      <c r="AH6077" s="36"/>
      <c r="AI6077" s="36"/>
      <c r="AJ6077" s="15">
        <f t="shared" si="1068"/>
        <v>0</v>
      </c>
      <c r="AK6077" s="14"/>
      <c r="AL6077" s="14"/>
      <c r="AM6077" s="14"/>
      <c r="AN6077" s="14"/>
      <c r="AO6077" s="14"/>
      <c r="AP6077" s="14"/>
      <c r="AQ6077" s="14"/>
      <c r="AR6077" s="14"/>
      <c r="AS6077" s="14"/>
      <c r="AT6077" s="14"/>
      <c r="AU6077" s="14"/>
      <c r="AV6077" s="14"/>
      <c r="AW6077" s="15">
        <f t="shared" si="1069"/>
        <v>0</v>
      </c>
      <c r="AX6077" s="16"/>
    </row>
    <row r="6078" spans="2:50" x14ac:dyDescent="0.2">
      <c r="B6078" s="7"/>
      <c r="C6078" s="8">
        <v>16204</v>
      </c>
      <c r="D6078" s="9" t="s">
        <v>1029</v>
      </c>
      <c r="E6078" s="10" t="str">
        <f t="shared" si="1064"/>
        <v>Rancho La Cuchilla No. 134</v>
      </c>
      <c r="F6078" s="10" t="str">
        <f t="shared" si="1065"/>
        <v>Moreno Sánchez</v>
      </c>
      <c r="G6078" s="8">
        <v>1</v>
      </c>
      <c r="H6078" s="11">
        <v>1600</v>
      </c>
      <c r="I6078" s="12">
        <v>43184</v>
      </c>
      <c r="J6078" s="35">
        <f t="shared" si="1066"/>
        <v>0</v>
      </c>
      <c r="K6078" s="36"/>
      <c r="L6078" s="36"/>
      <c r="M6078" s="36"/>
      <c r="N6078" s="36"/>
      <c r="O6078" s="36"/>
      <c r="P6078" s="36"/>
      <c r="Q6078" s="36"/>
      <c r="R6078" s="36"/>
      <c r="S6078" s="36"/>
      <c r="T6078" s="36"/>
      <c r="U6078" s="36"/>
      <c r="V6078" s="36"/>
      <c r="W6078" s="15">
        <f t="shared" si="1067"/>
        <v>0</v>
      </c>
      <c r="X6078" s="36"/>
      <c r="Y6078" s="36"/>
      <c r="Z6078" s="36"/>
      <c r="AA6078" s="36"/>
      <c r="AB6078" s="36"/>
      <c r="AC6078" s="36"/>
      <c r="AD6078" s="36"/>
      <c r="AE6078" s="36"/>
      <c r="AF6078" s="36"/>
      <c r="AG6078" s="36"/>
      <c r="AH6078" s="36"/>
      <c r="AI6078" s="36"/>
      <c r="AJ6078" s="15">
        <f t="shared" si="1068"/>
        <v>0</v>
      </c>
      <c r="AK6078" s="14">
        <v>400</v>
      </c>
      <c r="AL6078" s="14">
        <v>400</v>
      </c>
      <c r="AM6078" s="14">
        <v>400</v>
      </c>
      <c r="AN6078" s="14">
        <v>400</v>
      </c>
      <c r="AO6078" s="14"/>
      <c r="AP6078" s="14"/>
      <c r="AQ6078" s="14"/>
      <c r="AR6078" s="14"/>
      <c r="AS6078" s="14"/>
      <c r="AT6078" s="14"/>
      <c r="AU6078" s="14"/>
      <c r="AV6078" s="14"/>
      <c r="AW6078" s="15">
        <f t="shared" si="1069"/>
        <v>1600</v>
      </c>
      <c r="AX6078" s="16"/>
    </row>
    <row r="6079" spans="2:50" x14ac:dyDescent="0.2">
      <c r="B6079" s="7"/>
      <c r="C6079" s="8">
        <v>16205</v>
      </c>
      <c r="D6079" s="9" t="s">
        <v>963</v>
      </c>
      <c r="E6079" s="10" t="str">
        <f t="shared" si="1064"/>
        <v>Rancho La Cuchilla No. 47</v>
      </c>
      <c r="F6079" s="10" t="str">
        <f t="shared" si="1065"/>
        <v>López</v>
      </c>
      <c r="G6079" s="8">
        <v>1</v>
      </c>
      <c r="H6079" s="11">
        <v>600</v>
      </c>
      <c r="I6079" s="12">
        <v>43184</v>
      </c>
      <c r="J6079" s="35">
        <f t="shared" si="1066"/>
        <v>0</v>
      </c>
      <c r="K6079" s="36"/>
      <c r="L6079" s="36"/>
      <c r="M6079" s="36"/>
      <c r="N6079" s="36"/>
      <c r="O6079" s="36"/>
      <c r="P6079" s="36"/>
      <c r="Q6079" s="36"/>
      <c r="R6079" s="36"/>
      <c r="S6079" s="36"/>
      <c r="T6079" s="36"/>
      <c r="U6079" s="36"/>
      <c r="V6079" s="36"/>
      <c r="W6079" s="15">
        <f t="shared" si="1067"/>
        <v>0</v>
      </c>
      <c r="X6079" s="36"/>
      <c r="Y6079" s="36"/>
      <c r="Z6079" s="36"/>
      <c r="AA6079" s="36"/>
      <c r="AB6079" s="36"/>
      <c r="AC6079" s="36"/>
      <c r="AD6079" s="36"/>
      <c r="AE6079" s="36"/>
      <c r="AF6079" s="36"/>
      <c r="AG6079" s="36"/>
      <c r="AH6079" s="36"/>
      <c r="AI6079" s="36"/>
      <c r="AJ6079" s="15">
        <f t="shared" si="1068"/>
        <v>0</v>
      </c>
      <c r="AK6079" s="14"/>
      <c r="AL6079" s="14">
        <v>300</v>
      </c>
      <c r="AM6079" s="14">
        <v>300</v>
      </c>
      <c r="AN6079" s="14"/>
      <c r="AO6079" s="14"/>
      <c r="AP6079" s="14"/>
      <c r="AQ6079" s="14"/>
      <c r="AR6079" s="14"/>
      <c r="AS6079" s="14"/>
      <c r="AT6079" s="14"/>
      <c r="AU6079" s="14"/>
      <c r="AV6079" s="14"/>
      <c r="AW6079" s="15">
        <f t="shared" si="1069"/>
        <v>600</v>
      </c>
      <c r="AX6079" s="16"/>
    </row>
    <row r="6080" spans="2:50" x14ac:dyDescent="0.2">
      <c r="B6080" s="7"/>
      <c r="C6080" s="8">
        <v>16206</v>
      </c>
      <c r="D6080" s="9" t="s">
        <v>189</v>
      </c>
      <c r="E6080" s="10" t="str">
        <f t="shared" si="1064"/>
        <v>Rancho La Cuchilla No. 42</v>
      </c>
      <c r="F6080" s="10" t="str">
        <f t="shared" si="1065"/>
        <v>Mac Kinney</v>
      </c>
      <c r="G6080" s="8">
        <v>1</v>
      </c>
      <c r="H6080" s="11">
        <v>400</v>
      </c>
      <c r="I6080" s="12">
        <v>43184</v>
      </c>
      <c r="J6080" s="35">
        <f t="shared" si="1066"/>
        <v>0</v>
      </c>
      <c r="K6080" s="36"/>
      <c r="L6080" s="36"/>
      <c r="M6080" s="36"/>
      <c r="N6080" s="36"/>
      <c r="O6080" s="36"/>
      <c r="P6080" s="36"/>
      <c r="Q6080" s="36"/>
      <c r="R6080" s="36"/>
      <c r="S6080" s="36"/>
      <c r="T6080" s="36"/>
      <c r="U6080" s="36"/>
      <c r="V6080" s="36"/>
      <c r="W6080" s="15">
        <f t="shared" si="1067"/>
        <v>0</v>
      </c>
      <c r="X6080" s="36"/>
      <c r="Y6080" s="36"/>
      <c r="Z6080" s="36"/>
      <c r="AA6080" s="36"/>
      <c r="AB6080" s="36"/>
      <c r="AC6080" s="36"/>
      <c r="AD6080" s="36"/>
      <c r="AE6080" s="36"/>
      <c r="AF6080" s="36"/>
      <c r="AG6080" s="36"/>
      <c r="AH6080" s="36"/>
      <c r="AI6080" s="36"/>
      <c r="AJ6080" s="15">
        <f t="shared" si="1068"/>
        <v>0</v>
      </c>
      <c r="AK6080" s="14"/>
      <c r="AL6080" s="14">
        <v>400</v>
      </c>
      <c r="AM6080" s="14"/>
      <c r="AN6080" s="14"/>
      <c r="AO6080" s="14"/>
      <c r="AP6080" s="14"/>
      <c r="AQ6080" s="14"/>
      <c r="AR6080" s="14"/>
      <c r="AS6080" s="14"/>
      <c r="AT6080" s="14"/>
      <c r="AU6080" s="14"/>
      <c r="AV6080" s="14"/>
      <c r="AW6080" s="15">
        <f t="shared" si="1069"/>
        <v>400</v>
      </c>
      <c r="AX6080" s="16"/>
    </row>
    <row r="6081" spans="2:50" x14ac:dyDescent="0.2">
      <c r="B6081" s="7"/>
      <c r="C6081" s="8">
        <v>16207</v>
      </c>
      <c r="D6081" s="9" t="s">
        <v>785</v>
      </c>
      <c r="E6081" s="10" t="str">
        <f t="shared" si="1064"/>
        <v>Rancho Estanzuela No. 61</v>
      </c>
      <c r="F6081" s="10" t="str">
        <f t="shared" si="1065"/>
        <v>González Almazán</v>
      </c>
      <c r="G6081" s="8">
        <v>1</v>
      </c>
      <c r="H6081" s="11">
        <v>200</v>
      </c>
      <c r="I6081" s="12">
        <v>43184</v>
      </c>
      <c r="J6081" s="35">
        <f t="shared" si="1066"/>
        <v>0</v>
      </c>
      <c r="K6081" s="36"/>
      <c r="L6081" s="36"/>
      <c r="M6081" s="36"/>
      <c r="N6081" s="36"/>
      <c r="O6081" s="36"/>
      <c r="P6081" s="36"/>
      <c r="Q6081" s="36"/>
      <c r="R6081" s="36"/>
      <c r="S6081" s="36"/>
      <c r="T6081" s="36"/>
      <c r="U6081" s="36"/>
      <c r="V6081" s="36"/>
      <c r="W6081" s="15">
        <f t="shared" si="1067"/>
        <v>0</v>
      </c>
      <c r="X6081" s="36"/>
      <c r="Y6081" s="36"/>
      <c r="Z6081" s="36"/>
      <c r="AA6081" s="36"/>
      <c r="AB6081" s="36"/>
      <c r="AC6081" s="36"/>
      <c r="AD6081" s="36"/>
      <c r="AE6081" s="36"/>
      <c r="AF6081" s="36"/>
      <c r="AG6081" s="36"/>
      <c r="AH6081" s="36"/>
      <c r="AI6081" s="36"/>
      <c r="AJ6081" s="15">
        <f t="shared" si="1068"/>
        <v>0</v>
      </c>
      <c r="AK6081" s="14"/>
      <c r="AL6081" s="14"/>
      <c r="AM6081" s="14">
        <v>200</v>
      </c>
      <c r="AN6081" s="14"/>
      <c r="AO6081" s="14"/>
      <c r="AP6081" s="14"/>
      <c r="AQ6081" s="14"/>
      <c r="AR6081" s="14"/>
      <c r="AS6081" s="14"/>
      <c r="AT6081" s="14"/>
      <c r="AU6081" s="14"/>
      <c r="AV6081" s="14"/>
      <c r="AW6081" s="15">
        <f t="shared" si="1069"/>
        <v>200</v>
      </c>
      <c r="AX6081" s="16"/>
    </row>
    <row r="6082" spans="2:50" x14ac:dyDescent="0.2">
      <c r="B6082" s="7"/>
      <c r="C6082" s="8">
        <v>16208</v>
      </c>
      <c r="D6082" s="9" t="s">
        <v>295</v>
      </c>
      <c r="E6082" s="10" t="str">
        <f t="shared" si="1064"/>
        <v>Rancho Landero No. 99</v>
      </c>
      <c r="F6082" s="10" t="str">
        <f t="shared" si="1065"/>
        <v>Rangel</v>
      </c>
      <c r="G6082" s="8">
        <v>1</v>
      </c>
      <c r="H6082" s="11">
        <v>300</v>
      </c>
      <c r="I6082" s="12">
        <v>43184</v>
      </c>
      <c r="J6082" s="35">
        <f t="shared" si="1066"/>
        <v>0</v>
      </c>
      <c r="K6082" s="36"/>
      <c r="L6082" s="36"/>
      <c r="M6082" s="36"/>
      <c r="N6082" s="36"/>
      <c r="O6082" s="36"/>
      <c r="P6082" s="36"/>
      <c r="Q6082" s="36"/>
      <c r="R6082" s="36"/>
      <c r="S6082" s="36"/>
      <c r="T6082" s="36"/>
      <c r="U6082" s="36"/>
      <c r="V6082" s="36"/>
      <c r="W6082" s="15">
        <f t="shared" si="1067"/>
        <v>0</v>
      </c>
      <c r="X6082" s="36"/>
      <c r="Y6082" s="36"/>
      <c r="Z6082" s="36"/>
      <c r="AA6082" s="36"/>
      <c r="AB6082" s="36"/>
      <c r="AC6082" s="36"/>
      <c r="AD6082" s="36"/>
      <c r="AE6082" s="36"/>
      <c r="AF6082" s="36"/>
      <c r="AG6082" s="36"/>
      <c r="AH6082" s="36"/>
      <c r="AI6082" s="36"/>
      <c r="AJ6082" s="15">
        <f t="shared" si="1068"/>
        <v>0</v>
      </c>
      <c r="AK6082" s="14">
        <v>300</v>
      </c>
      <c r="AL6082" s="14"/>
      <c r="AM6082" s="14"/>
      <c r="AN6082" s="14"/>
      <c r="AO6082" s="14"/>
      <c r="AP6082" s="14"/>
      <c r="AQ6082" s="14"/>
      <c r="AR6082" s="14"/>
      <c r="AS6082" s="14"/>
      <c r="AT6082" s="14"/>
      <c r="AU6082" s="14"/>
      <c r="AV6082" s="14"/>
      <c r="AW6082" s="15">
        <f t="shared" si="1069"/>
        <v>300</v>
      </c>
      <c r="AX6082" s="16"/>
    </row>
    <row r="6083" spans="2:50" x14ac:dyDescent="0.2">
      <c r="B6083" s="7"/>
      <c r="C6083" s="8">
        <v>16209</v>
      </c>
      <c r="D6083" s="9" t="s">
        <v>259</v>
      </c>
      <c r="E6083" s="10" t="str">
        <f t="shared" ref="E6083:E6092" si="1070">IF(D6083=0,"",VLOOKUP(D6083,BASE,2,FALSE))</f>
        <v>Rancho Estanzuela No. 55</v>
      </c>
      <c r="F6083" s="10" t="str">
        <f t="shared" ref="F6083:F6092" si="1071">IF(D6083=0,"",VLOOKUP(D6083,BASE,3,FALSE))</f>
        <v>Rodríguez Acevedo</v>
      </c>
      <c r="G6083" s="8">
        <v>1</v>
      </c>
      <c r="H6083" s="11">
        <v>400</v>
      </c>
      <c r="I6083" s="12">
        <v>43184</v>
      </c>
      <c r="J6083" s="35">
        <f t="shared" ref="J6083:J6092" si="1072">IF(G6083=1,SUM(W6083,AJ6083,AW6083,-H6083),0)</f>
        <v>0</v>
      </c>
      <c r="K6083" s="36"/>
      <c r="L6083" s="36"/>
      <c r="M6083" s="36"/>
      <c r="N6083" s="36"/>
      <c r="O6083" s="36"/>
      <c r="P6083" s="36"/>
      <c r="Q6083" s="36"/>
      <c r="R6083" s="36"/>
      <c r="S6083" s="36"/>
      <c r="T6083" s="36"/>
      <c r="U6083" s="36"/>
      <c r="V6083" s="36"/>
      <c r="W6083" s="15">
        <f t="shared" ref="W6083:W6092" si="1073">SUM(K6083:V6083)</f>
        <v>0</v>
      </c>
      <c r="X6083" s="36"/>
      <c r="Y6083" s="36"/>
      <c r="Z6083" s="36"/>
      <c r="AA6083" s="36"/>
      <c r="AB6083" s="36"/>
      <c r="AC6083" s="36"/>
      <c r="AD6083" s="36"/>
      <c r="AE6083" s="36"/>
      <c r="AF6083" s="36"/>
      <c r="AG6083" s="36"/>
      <c r="AH6083" s="36"/>
      <c r="AI6083" s="36"/>
      <c r="AJ6083" s="15">
        <f t="shared" ref="AJ6083:AJ6092" si="1074">SUM(X6083:AI6083)</f>
        <v>0</v>
      </c>
      <c r="AK6083" s="14"/>
      <c r="AL6083" s="14"/>
      <c r="AM6083" s="14">
        <v>400</v>
      </c>
      <c r="AN6083" s="14"/>
      <c r="AO6083" s="14"/>
      <c r="AP6083" s="14"/>
      <c r="AQ6083" s="14"/>
      <c r="AR6083" s="14"/>
      <c r="AS6083" s="14"/>
      <c r="AT6083" s="14"/>
      <c r="AU6083" s="14"/>
      <c r="AV6083" s="14"/>
      <c r="AW6083" s="15">
        <f t="shared" ref="AW6083:AW6092" si="1075">SUM(AK6083:AV6083)</f>
        <v>400</v>
      </c>
      <c r="AX6083" s="16"/>
    </row>
    <row r="6084" spans="2:50" x14ac:dyDescent="0.2">
      <c r="B6084" s="7"/>
      <c r="C6084" s="8">
        <v>16210</v>
      </c>
      <c r="D6084" s="9" t="s">
        <v>1364</v>
      </c>
      <c r="E6084" s="10" t="str">
        <f t="shared" si="1070"/>
        <v>Calzada del Hueso No. 828</v>
      </c>
      <c r="F6084" s="10" t="str">
        <f t="shared" si="1071"/>
        <v>Cervantes, Miguel</v>
      </c>
      <c r="G6084" s="8">
        <v>5</v>
      </c>
      <c r="H6084" s="11">
        <v>50</v>
      </c>
      <c r="I6084" s="12">
        <v>43184</v>
      </c>
      <c r="J6084" s="35">
        <f t="shared" si="1072"/>
        <v>0</v>
      </c>
      <c r="K6084" s="36"/>
      <c r="L6084" s="36"/>
      <c r="M6084" s="36"/>
      <c r="N6084" s="36"/>
      <c r="O6084" s="36"/>
      <c r="P6084" s="36"/>
      <c r="Q6084" s="36"/>
      <c r="R6084" s="36"/>
      <c r="S6084" s="36"/>
      <c r="T6084" s="36"/>
      <c r="U6084" s="36"/>
      <c r="V6084" s="36"/>
      <c r="W6084" s="15">
        <f t="shared" si="1073"/>
        <v>0</v>
      </c>
      <c r="X6084" s="36"/>
      <c r="Y6084" s="36"/>
      <c r="Z6084" s="36"/>
      <c r="AA6084" s="36"/>
      <c r="AB6084" s="36"/>
      <c r="AC6084" s="36"/>
      <c r="AD6084" s="36"/>
      <c r="AE6084" s="36"/>
      <c r="AF6084" s="36"/>
      <c r="AG6084" s="36"/>
      <c r="AH6084" s="36"/>
      <c r="AI6084" s="36"/>
      <c r="AJ6084" s="15">
        <f t="shared" si="1074"/>
        <v>0</v>
      </c>
      <c r="AK6084" s="14"/>
      <c r="AL6084" s="14"/>
      <c r="AM6084" s="14"/>
      <c r="AN6084" s="14"/>
      <c r="AO6084" s="14"/>
      <c r="AP6084" s="14"/>
      <c r="AQ6084" s="14"/>
      <c r="AR6084" s="14"/>
      <c r="AS6084" s="14"/>
      <c r="AT6084" s="14"/>
      <c r="AU6084" s="14"/>
      <c r="AV6084" s="14"/>
      <c r="AW6084" s="15">
        <f t="shared" si="1075"/>
        <v>0</v>
      </c>
      <c r="AX6084" s="16"/>
    </row>
    <row r="6085" spans="2:50" x14ac:dyDescent="0.2">
      <c r="B6085" s="7"/>
      <c r="C6085" s="8">
        <v>16211</v>
      </c>
      <c r="D6085" s="9" t="s">
        <v>728</v>
      </c>
      <c r="E6085" s="10" t="str">
        <f t="shared" si="1070"/>
        <v>Rancho Estanzuela No. 77</v>
      </c>
      <c r="F6085" s="10" t="str">
        <f t="shared" si="1071"/>
        <v>De la Rosa Rico</v>
      </c>
      <c r="G6085" s="8">
        <v>1</v>
      </c>
      <c r="H6085" s="11">
        <v>400</v>
      </c>
      <c r="I6085" s="12">
        <v>43184</v>
      </c>
      <c r="J6085" s="35">
        <f t="shared" si="1072"/>
        <v>0</v>
      </c>
      <c r="K6085" s="36"/>
      <c r="L6085" s="36"/>
      <c r="M6085" s="36"/>
      <c r="N6085" s="36"/>
      <c r="O6085" s="36"/>
      <c r="P6085" s="36"/>
      <c r="Q6085" s="36"/>
      <c r="R6085" s="36"/>
      <c r="S6085" s="36"/>
      <c r="T6085" s="36"/>
      <c r="U6085" s="36"/>
      <c r="V6085" s="36"/>
      <c r="W6085" s="15">
        <f t="shared" si="1073"/>
        <v>0</v>
      </c>
      <c r="X6085" s="36"/>
      <c r="Y6085" s="36"/>
      <c r="Z6085" s="36"/>
      <c r="AA6085" s="36"/>
      <c r="AB6085" s="36"/>
      <c r="AC6085" s="36"/>
      <c r="AD6085" s="36"/>
      <c r="AE6085" s="36"/>
      <c r="AF6085" s="36"/>
      <c r="AG6085" s="36"/>
      <c r="AH6085" s="36"/>
      <c r="AI6085" s="36"/>
      <c r="AJ6085" s="15">
        <f t="shared" si="1074"/>
        <v>0</v>
      </c>
      <c r="AK6085" s="14"/>
      <c r="AL6085" s="14">
        <v>400</v>
      </c>
      <c r="AM6085" s="14"/>
      <c r="AN6085" s="14"/>
      <c r="AO6085" s="14"/>
      <c r="AP6085" s="14"/>
      <c r="AQ6085" s="14"/>
      <c r="AR6085" s="14"/>
      <c r="AS6085" s="14"/>
      <c r="AT6085" s="14"/>
      <c r="AU6085" s="14"/>
      <c r="AV6085" s="14"/>
      <c r="AW6085" s="15">
        <f t="shared" si="1075"/>
        <v>400</v>
      </c>
      <c r="AX6085" s="16"/>
    </row>
    <row r="6086" spans="2:50" x14ac:dyDescent="0.2">
      <c r="B6086" s="7" t="s">
        <v>4983</v>
      </c>
      <c r="C6086" s="8">
        <v>16212</v>
      </c>
      <c r="D6086" s="9" t="s">
        <v>571</v>
      </c>
      <c r="E6086" s="10" t="str">
        <f t="shared" si="1070"/>
        <v>Rancho Estanzuela No. 15, A</v>
      </c>
      <c r="F6086" s="10" t="str">
        <f t="shared" si="1071"/>
        <v>González</v>
      </c>
      <c r="G6086" s="8">
        <v>1</v>
      </c>
      <c r="H6086" s="11">
        <v>400</v>
      </c>
      <c r="I6086" s="12">
        <v>43184</v>
      </c>
      <c r="J6086" s="35">
        <f t="shared" si="1072"/>
        <v>0</v>
      </c>
      <c r="K6086" s="36"/>
      <c r="L6086" s="36"/>
      <c r="M6086" s="36"/>
      <c r="N6086" s="36"/>
      <c r="O6086" s="36"/>
      <c r="P6086" s="36"/>
      <c r="Q6086" s="36"/>
      <c r="R6086" s="36"/>
      <c r="S6086" s="36"/>
      <c r="T6086" s="36"/>
      <c r="U6086" s="36"/>
      <c r="V6086" s="36"/>
      <c r="W6086" s="15">
        <f t="shared" si="1073"/>
        <v>0</v>
      </c>
      <c r="X6086" s="36"/>
      <c r="Y6086" s="36"/>
      <c r="Z6086" s="36"/>
      <c r="AA6086" s="36"/>
      <c r="AB6086" s="36"/>
      <c r="AC6086" s="36"/>
      <c r="AD6086" s="36"/>
      <c r="AE6086" s="36"/>
      <c r="AF6086" s="36"/>
      <c r="AG6086" s="36"/>
      <c r="AH6086" s="36"/>
      <c r="AI6086" s="36"/>
      <c r="AJ6086" s="15">
        <f t="shared" si="1074"/>
        <v>0</v>
      </c>
      <c r="AK6086" s="14"/>
      <c r="AL6086" s="14">
        <v>200</v>
      </c>
      <c r="AM6086" s="14">
        <v>200</v>
      </c>
      <c r="AN6086" s="14"/>
      <c r="AO6086" s="14"/>
      <c r="AP6086" s="14"/>
      <c r="AQ6086" s="14"/>
      <c r="AR6086" s="14"/>
      <c r="AS6086" s="14"/>
      <c r="AT6086" s="14"/>
      <c r="AU6086" s="14"/>
      <c r="AV6086" s="14"/>
      <c r="AW6086" s="15">
        <f t="shared" si="1075"/>
        <v>400</v>
      </c>
      <c r="AX6086" s="16"/>
    </row>
    <row r="6087" spans="2:50" x14ac:dyDescent="0.2">
      <c r="B6087" s="7"/>
      <c r="C6087" s="8">
        <v>16213</v>
      </c>
      <c r="D6087" s="9"/>
      <c r="E6087" s="10" t="str">
        <f t="shared" si="1070"/>
        <v/>
      </c>
      <c r="F6087" s="10" t="str">
        <f t="shared" si="1071"/>
        <v/>
      </c>
      <c r="G6087" s="8">
        <v>8</v>
      </c>
      <c r="H6087" s="11"/>
      <c r="I6087" s="12"/>
      <c r="J6087" s="35">
        <f t="shared" si="1072"/>
        <v>0</v>
      </c>
      <c r="K6087" s="36"/>
      <c r="L6087" s="36"/>
      <c r="M6087" s="36"/>
      <c r="N6087" s="36"/>
      <c r="O6087" s="36"/>
      <c r="P6087" s="36"/>
      <c r="Q6087" s="36"/>
      <c r="R6087" s="36"/>
      <c r="S6087" s="36"/>
      <c r="T6087" s="36"/>
      <c r="U6087" s="36"/>
      <c r="V6087" s="36"/>
      <c r="W6087" s="15">
        <f t="shared" si="1073"/>
        <v>0</v>
      </c>
      <c r="X6087" s="36"/>
      <c r="Y6087" s="36"/>
      <c r="Z6087" s="36"/>
      <c r="AA6087" s="36"/>
      <c r="AB6087" s="36"/>
      <c r="AC6087" s="36"/>
      <c r="AD6087" s="36"/>
      <c r="AE6087" s="36"/>
      <c r="AF6087" s="36"/>
      <c r="AG6087" s="36"/>
      <c r="AH6087" s="36"/>
      <c r="AI6087" s="36"/>
      <c r="AJ6087" s="15">
        <f t="shared" si="1074"/>
        <v>0</v>
      </c>
      <c r="AK6087" s="14"/>
      <c r="AL6087" s="14"/>
      <c r="AM6087" s="14"/>
      <c r="AN6087" s="14"/>
      <c r="AO6087" s="14"/>
      <c r="AP6087" s="14"/>
      <c r="AQ6087" s="14"/>
      <c r="AR6087" s="14"/>
      <c r="AS6087" s="14"/>
      <c r="AT6087" s="14"/>
      <c r="AU6087" s="14"/>
      <c r="AV6087" s="14"/>
      <c r="AW6087" s="15">
        <f t="shared" si="1075"/>
        <v>0</v>
      </c>
      <c r="AX6087" s="16"/>
    </row>
    <row r="6088" spans="2:50" x14ac:dyDescent="0.2">
      <c r="B6088" s="7"/>
      <c r="C6088" s="8">
        <v>16214</v>
      </c>
      <c r="D6088" s="9" t="s">
        <v>364</v>
      </c>
      <c r="E6088" s="10" t="str">
        <f t="shared" si="1070"/>
        <v>Rancho Landero No. 37</v>
      </c>
      <c r="F6088" s="10" t="str">
        <f t="shared" si="1071"/>
        <v>Hernández</v>
      </c>
      <c r="G6088" s="8">
        <v>1</v>
      </c>
      <c r="H6088" s="11">
        <v>900</v>
      </c>
      <c r="I6088" s="12">
        <v>43184</v>
      </c>
      <c r="J6088" s="35">
        <f t="shared" si="1072"/>
        <v>0</v>
      </c>
      <c r="K6088" s="36"/>
      <c r="L6088" s="36"/>
      <c r="M6088" s="36"/>
      <c r="N6088" s="36"/>
      <c r="O6088" s="36"/>
      <c r="P6088" s="36"/>
      <c r="Q6088" s="36"/>
      <c r="R6088" s="36"/>
      <c r="S6088" s="36"/>
      <c r="T6088" s="36"/>
      <c r="U6088" s="36"/>
      <c r="V6088" s="36"/>
      <c r="W6088" s="15">
        <f t="shared" si="1073"/>
        <v>0</v>
      </c>
      <c r="X6088" s="36"/>
      <c r="Y6088" s="36"/>
      <c r="Z6088" s="36"/>
      <c r="AA6088" s="36"/>
      <c r="AB6088" s="36"/>
      <c r="AC6088" s="36"/>
      <c r="AD6088" s="36"/>
      <c r="AE6088" s="36"/>
      <c r="AF6088" s="36"/>
      <c r="AG6088" s="36"/>
      <c r="AH6088" s="36"/>
      <c r="AI6088" s="36"/>
      <c r="AJ6088" s="15">
        <f t="shared" si="1074"/>
        <v>0</v>
      </c>
      <c r="AK6088" s="14">
        <v>300</v>
      </c>
      <c r="AL6088" s="14">
        <v>300</v>
      </c>
      <c r="AM6088" s="14">
        <v>300</v>
      </c>
      <c r="AN6088" s="14"/>
      <c r="AO6088" s="14"/>
      <c r="AP6088" s="14"/>
      <c r="AQ6088" s="14"/>
      <c r="AR6088" s="14"/>
      <c r="AS6088" s="14"/>
      <c r="AT6088" s="14"/>
      <c r="AU6088" s="14"/>
      <c r="AV6088" s="14"/>
      <c r="AW6088" s="15">
        <f t="shared" si="1075"/>
        <v>900</v>
      </c>
      <c r="AX6088" s="16"/>
    </row>
    <row r="6089" spans="2:50" x14ac:dyDescent="0.2">
      <c r="B6089" s="7"/>
      <c r="C6089" s="8">
        <v>16215</v>
      </c>
      <c r="D6089" s="9" t="s">
        <v>725</v>
      </c>
      <c r="E6089" s="10" t="str">
        <f t="shared" si="1070"/>
        <v>Rancho Zinamba No. 34</v>
      </c>
      <c r="F6089" s="10" t="str">
        <f t="shared" si="1071"/>
        <v>Torres Zavala</v>
      </c>
      <c r="G6089" s="8">
        <v>1</v>
      </c>
      <c r="H6089" s="11">
        <v>800</v>
      </c>
      <c r="I6089" s="12">
        <v>43184</v>
      </c>
      <c r="J6089" s="35">
        <f t="shared" si="1072"/>
        <v>0</v>
      </c>
      <c r="K6089" s="36"/>
      <c r="L6089" s="36"/>
      <c r="M6089" s="36"/>
      <c r="N6089" s="36"/>
      <c r="O6089" s="36"/>
      <c r="P6089" s="36"/>
      <c r="Q6089" s="36"/>
      <c r="R6089" s="36"/>
      <c r="S6089" s="36"/>
      <c r="T6089" s="36"/>
      <c r="U6089" s="36"/>
      <c r="V6089" s="36"/>
      <c r="W6089" s="15">
        <f t="shared" si="1073"/>
        <v>0</v>
      </c>
      <c r="X6089" s="36"/>
      <c r="Y6089" s="36"/>
      <c r="Z6089" s="36"/>
      <c r="AA6089" s="36"/>
      <c r="AB6089" s="36"/>
      <c r="AC6089" s="36"/>
      <c r="AD6089" s="36"/>
      <c r="AE6089" s="36"/>
      <c r="AF6089" s="36"/>
      <c r="AG6089" s="36"/>
      <c r="AH6089" s="36"/>
      <c r="AI6089" s="36"/>
      <c r="AJ6089" s="15">
        <f t="shared" si="1074"/>
        <v>0</v>
      </c>
      <c r="AK6089" s="14"/>
      <c r="AL6089" s="14">
        <v>400</v>
      </c>
      <c r="AM6089" s="14">
        <v>400</v>
      </c>
      <c r="AN6089" s="14"/>
      <c r="AO6089" s="14"/>
      <c r="AP6089" s="14"/>
      <c r="AQ6089" s="14"/>
      <c r="AR6089" s="14"/>
      <c r="AS6089" s="14"/>
      <c r="AT6089" s="14"/>
      <c r="AU6089" s="14"/>
      <c r="AV6089" s="14"/>
      <c r="AW6089" s="15">
        <f t="shared" si="1075"/>
        <v>800</v>
      </c>
      <c r="AX6089" s="16"/>
    </row>
    <row r="6090" spans="2:50" x14ac:dyDescent="0.2">
      <c r="B6090" s="7"/>
      <c r="C6090" s="8">
        <v>16216</v>
      </c>
      <c r="D6090" s="9" t="s">
        <v>935</v>
      </c>
      <c r="E6090" s="10" t="str">
        <f t="shared" si="1070"/>
        <v>Rancho Landero No. 39</v>
      </c>
      <c r="F6090" s="10" t="str">
        <f t="shared" si="1071"/>
        <v>Soto del Cueto</v>
      </c>
      <c r="G6090" s="8">
        <v>1</v>
      </c>
      <c r="H6090" s="11">
        <v>1500</v>
      </c>
      <c r="I6090" s="12">
        <v>43184</v>
      </c>
      <c r="J6090" s="35">
        <f t="shared" si="1072"/>
        <v>0</v>
      </c>
      <c r="K6090" s="36"/>
      <c r="L6090" s="36"/>
      <c r="M6090" s="36"/>
      <c r="N6090" s="36"/>
      <c r="O6090" s="36"/>
      <c r="P6090" s="36"/>
      <c r="Q6090" s="36"/>
      <c r="R6090" s="36"/>
      <c r="S6090" s="36"/>
      <c r="T6090" s="36"/>
      <c r="U6090" s="36"/>
      <c r="V6090" s="36"/>
      <c r="W6090" s="15">
        <f t="shared" si="1073"/>
        <v>0</v>
      </c>
      <c r="X6090" s="36"/>
      <c r="Y6090" s="36"/>
      <c r="Z6090" s="36"/>
      <c r="AA6090" s="36"/>
      <c r="AB6090" s="36"/>
      <c r="AC6090" s="36"/>
      <c r="AD6090" s="36"/>
      <c r="AE6090" s="36"/>
      <c r="AF6090" s="36"/>
      <c r="AG6090" s="36"/>
      <c r="AH6090" s="36"/>
      <c r="AI6090" s="36"/>
      <c r="AJ6090" s="15">
        <f t="shared" si="1074"/>
        <v>0</v>
      </c>
      <c r="AK6090" s="14">
        <v>250</v>
      </c>
      <c r="AL6090" s="14">
        <v>250</v>
      </c>
      <c r="AM6090" s="14">
        <v>250</v>
      </c>
      <c r="AN6090" s="14">
        <v>250</v>
      </c>
      <c r="AO6090" s="14">
        <v>250</v>
      </c>
      <c r="AP6090" s="14">
        <v>250</v>
      </c>
      <c r="AQ6090" s="14"/>
      <c r="AR6090" s="14"/>
      <c r="AS6090" s="14"/>
      <c r="AT6090" s="14"/>
      <c r="AU6090" s="14"/>
      <c r="AV6090" s="14"/>
      <c r="AW6090" s="15">
        <f t="shared" si="1075"/>
        <v>1500</v>
      </c>
      <c r="AX6090" s="16"/>
    </row>
    <row r="6091" spans="2:50" x14ac:dyDescent="0.2">
      <c r="B6091" s="7"/>
      <c r="C6091" s="8">
        <v>16217</v>
      </c>
      <c r="D6091" s="9" t="s">
        <v>1154</v>
      </c>
      <c r="E6091" s="10" t="str">
        <f t="shared" si="1070"/>
        <v>Rancho La Cuchilla No. 112, PA</v>
      </c>
      <c r="F6091" s="10" t="str">
        <f t="shared" si="1071"/>
        <v>Villalpando Pineda</v>
      </c>
      <c r="G6091" s="8">
        <v>1</v>
      </c>
      <c r="H6091" s="11">
        <v>600</v>
      </c>
      <c r="I6091" s="12">
        <v>43184</v>
      </c>
      <c r="J6091" s="35">
        <f t="shared" si="1072"/>
        <v>0</v>
      </c>
      <c r="K6091" s="36"/>
      <c r="L6091" s="36"/>
      <c r="M6091" s="36"/>
      <c r="N6091" s="36"/>
      <c r="O6091" s="36"/>
      <c r="P6091" s="36"/>
      <c r="Q6091" s="36"/>
      <c r="R6091" s="36"/>
      <c r="S6091" s="36"/>
      <c r="T6091" s="36"/>
      <c r="U6091" s="36"/>
      <c r="V6091" s="36"/>
      <c r="W6091" s="15">
        <f t="shared" si="1073"/>
        <v>0</v>
      </c>
      <c r="X6091" s="36"/>
      <c r="Y6091" s="36"/>
      <c r="Z6091" s="36"/>
      <c r="AA6091" s="36"/>
      <c r="AB6091" s="36"/>
      <c r="AC6091" s="36"/>
      <c r="AD6091" s="36"/>
      <c r="AE6091" s="36"/>
      <c r="AF6091" s="36"/>
      <c r="AG6091" s="36"/>
      <c r="AH6091" s="36"/>
      <c r="AI6091" s="36"/>
      <c r="AJ6091" s="15">
        <f t="shared" si="1074"/>
        <v>0</v>
      </c>
      <c r="AK6091" s="14">
        <v>200</v>
      </c>
      <c r="AL6091" s="14">
        <v>200</v>
      </c>
      <c r="AM6091" s="14">
        <v>200</v>
      </c>
      <c r="AN6091" s="14"/>
      <c r="AO6091" s="14"/>
      <c r="AP6091" s="14"/>
      <c r="AQ6091" s="14"/>
      <c r="AR6091" s="14"/>
      <c r="AS6091" s="14"/>
      <c r="AT6091" s="14"/>
      <c r="AU6091" s="14"/>
      <c r="AV6091" s="14"/>
      <c r="AW6091" s="15">
        <f t="shared" si="1075"/>
        <v>600</v>
      </c>
      <c r="AX6091" s="16"/>
    </row>
    <row r="6092" spans="2:50" x14ac:dyDescent="0.2">
      <c r="B6092" s="7"/>
      <c r="C6092" s="8">
        <v>16218</v>
      </c>
      <c r="D6092" s="9" t="s">
        <v>458</v>
      </c>
      <c r="E6092" s="10" t="str">
        <f t="shared" si="1070"/>
        <v>Rancho Estanzuela No. 143, B</v>
      </c>
      <c r="F6092" s="10" t="str">
        <f t="shared" si="1071"/>
        <v>López</v>
      </c>
      <c r="G6092" s="8">
        <v>1</v>
      </c>
      <c r="H6092" s="11">
        <v>400</v>
      </c>
      <c r="I6092" s="12">
        <v>43184</v>
      </c>
      <c r="J6092" s="35">
        <f t="shared" si="1072"/>
        <v>0</v>
      </c>
      <c r="K6092" s="36"/>
      <c r="L6092" s="36"/>
      <c r="M6092" s="36"/>
      <c r="N6092" s="36"/>
      <c r="O6092" s="36"/>
      <c r="P6092" s="36"/>
      <c r="Q6092" s="36"/>
      <c r="R6092" s="36"/>
      <c r="S6092" s="36"/>
      <c r="T6092" s="36"/>
      <c r="U6092" s="36"/>
      <c r="V6092" s="36"/>
      <c r="W6092" s="15">
        <f t="shared" si="1073"/>
        <v>0</v>
      </c>
      <c r="X6092" s="36"/>
      <c r="Y6092" s="36"/>
      <c r="Z6092" s="36"/>
      <c r="AA6092" s="36"/>
      <c r="AB6092" s="36"/>
      <c r="AC6092" s="36"/>
      <c r="AD6092" s="36"/>
      <c r="AE6092" s="36"/>
      <c r="AF6092" s="36"/>
      <c r="AG6092" s="36"/>
      <c r="AH6092" s="36"/>
      <c r="AI6092" s="36"/>
      <c r="AJ6092" s="15">
        <f t="shared" si="1074"/>
        <v>0</v>
      </c>
      <c r="AK6092" s="14"/>
      <c r="AL6092" s="14"/>
      <c r="AM6092" s="14">
        <v>400</v>
      </c>
      <c r="AN6092" s="14"/>
      <c r="AO6092" s="14"/>
      <c r="AP6092" s="14"/>
      <c r="AQ6092" s="14"/>
      <c r="AR6092" s="14"/>
      <c r="AS6092" s="14"/>
      <c r="AT6092" s="14"/>
      <c r="AU6092" s="14"/>
      <c r="AV6092" s="14"/>
      <c r="AW6092" s="15">
        <f t="shared" si="1075"/>
        <v>400</v>
      </c>
      <c r="AX6092" s="16"/>
    </row>
    <row r="6093" spans="2:50" x14ac:dyDescent="0.2">
      <c r="B6093" s="7"/>
      <c r="C6093" s="8">
        <v>16219</v>
      </c>
      <c r="D6093" s="9" t="s">
        <v>628</v>
      </c>
      <c r="E6093" s="10" t="str">
        <f t="shared" si="1064"/>
        <v>Rancho Landero No. 51</v>
      </c>
      <c r="F6093" s="10" t="str">
        <f t="shared" si="1065"/>
        <v>H. Robles Tamayo</v>
      </c>
      <c r="G6093" s="8">
        <v>1</v>
      </c>
      <c r="H6093" s="11">
        <v>400</v>
      </c>
      <c r="I6093" s="12">
        <v>43184</v>
      </c>
      <c r="J6093" s="35">
        <f t="shared" si="1066"/>
        <v>0</v>
      </c>
      <c r="K6093" s="36"/>
      <c r="L6093" s="36"/>
      <c r="M6093" s="36"/>
      <c r="N6093" s="36"/>
      <c r="O6093" s="36"/>
      <c r="P6093" s="36"/>
      <c r="Q6093" s="36"/>
      <c r="R6093" s="36"/>
      <c r="S6093" s="36"/>
      <c r="T6093" s="36"/>
      <c r="U6093" s="36"/>
      <c r="V6093" s="36"/>
      <c r="W6093" s="15">
        <f t="shared" si="1067"/>
        <v>0</v>
      </c>
      <c r="X6093" s="36"/>
      <c r="Y6093" s="36"/>
      <c r="Z6093" s="36"/>
      <c r="AA6093" s="36"/>
      <c r="AB6093" s="36"/>
      <c r="AC6093" s="36"/>
      <c r="AD6093" s="36"/>
      <c r="AE6093" s="36"/>
      <c r="AF6093" s="36"/>
      <c r="AG6093" s="36"/>
      <c r="AH6093" s="36"/>
      <c r="AI6093" s="36"/>
      <c r="AJ6093" s="15">
        <f t="shared" si="1068"/>
        <v>0</v>
      </c>
      <c r="AK6093" s="14"/>
      <c r="AL6093" s="14"/>
      <c r="AM6093" s="14">
        <v>400</v>
      </c>
      <c r="AN6093" s="14"/>
      <c r="AO6093" s="14"/>
      <c r="AP6093" s="14"/>
      <c r="AQ6093" s="14"/>
      <c r="AR6093" s="14"/>
      <c r="AS6093" s="14"/>
      <c r="AT6093" s="14"/>
      <c r="AU6093" s="14"/>
      <c r="AV6093" s="14"/>
      <c r="AW6093" s="15">
        <f t="shared" si="1069"/>
        <v>400</v>
      </c>
      <c r="AX6093" s="16"/>
    </row>
    <row r="6094" spans="2:50" x14ac:dyDescent="0.2">
      <c r="B6094" s="7"/>
      <c r="C6094" s="8">
        <v>16220</v>
      </c>
      <c r="D6094" s="9" t="s">
        <v>1170</v>
      </c>
      <c r="E6094" s="10" t="str">
        <f t="shared" si="1064"/>
        <v>Rancho La Cuchilla No. 117</v>
      </c>
      <c r="F6094" s="10" t="str">
        <f t="shared" si="1065"/>
        <v>Gómez</v>
      </c>
      <c r="G6094" s="8">
        <v>1</v>
      </c>
      <c r="H6094" s="11">
        <v>800</v>
      </c>
      <c r="I6094" s="12">
        <v>43184</v>
      </c>
      <c r="J6094" s="35">
        <f t="shared" si="1066"/>
        <v>0</v>
      </c>
      <c r="K6094" s="36"/>
      <c r="L6094" s="36"/>
      <c r="M6094" s="36"/>
      <c r="N6094" s="36"/>
      <c r="O6094" s="36"/>
      <c r="P6094" s="36"/>
      <c r="Q6094" s="36"/>
      <c r="R6094" s="36"/>
      <c r="S6094" s="36"/>
      <c r="T6094" s="36"/>
      <c r="U6094" s="36"/>
      <c r="V6094" s="36"/>
      <c r="W6094" s="15">
        <f t="shared" si="1067"/>
        <v>0</v>
      </c>
      <c r="X6094" s="36"/>
      <c r="Y6094" s="36"/>
      <c r="Z6094" s="36">
        <v>400</v>
      </c>
      <c r="AA6094" s="36">
        <v>400</v>
      </c>
      <c r="AB6094" s="36"/>
      <c r="AC6094" s="36"/>
      <c r="AD6094" s="36"/>
      <c r="AE6094" s="36"/>
      <c r="AF6094" s="36"/>
      <c r="AG6094" s="36"/>
      <c r="AH6094" s="36"/>
      <c r="AI6094" s="36"/>
      <c r="AJ6094" s="15">
        <f t="shared" si="1068"/>
        <v>800</v>
      </c>
      <c r="AK6094" s="14"/>
      <c r="AL6094" s="14"/>
      <c r="AM6094" s="14"/>
      <c r="AN6094" s="14"/>
      <c r="AO6094" s="14"/>
      <c r="AP6094" s="14"/>
      <c r="AQ6094" s="14"/>
      <c r="AR6094" s="14"/>
      <c r="AS6094" s="14"/>
      <c r="AT6094" s="14"/>
      <c r="AU6094" s="14"/>
      <c r="AV6094" s="14"/>
      <c r="AW6094" s="15">
        <f t="shared" si="1069"/>
        <v>0</v>
      </c>
      <c r="AX6094" s="16"/>
    </row>
    <row r="6095" spans="2:50" x14ac:dyDescent="0.2">
      <c r="B6095" s="7"/>
      <c r="C6095" s="8">
        <v>16221</v>
      </c>
      <c r="D6095" s="9" t="s">
        <v>746</v>
      </c>
      <c r="E6095" s="10" t="str">
        <f t="shared" si="1064"/>
        <v>Rancho La Cuchilla No. 12</v>
      </c>
      <c r="F6095" s="10" t="str">
        <f t="shared" si="1065"/>
        <v>Rivera Flores</v>
      </c>
      <c r="G6095" s="8">
        <v>1</v>
      </c>
      <c r="H6095" s="11">
        <v>1400</v>
      </c>
      <c r="I6095" s="12">
        <v>43184</v>
      </c>
      <c r="J6095" s="35">
        <f t="shared" si="1066"/>
        <v>0</v>
      </c>
      <c r="K6095" s="36"/>
      <c r="L6095" s="36"/>
      <c r="M6095" s="36"/>
      <c r="N6095" s="36"/>
      <c r="O6095" s="36"/>
      <c r="P6095" s="36"/>
      <c r="Q6095" s="36"/>
      <c r="R6095" s="36"/>
      <c r="S6095" s="36"/>
      <c r="T6095" s="36"/>
      <c r="U6095" s="36"/>
      <c r="V6095" s="36"/>
      <c r="W6095" s="15">
        <f t="shared" si="1067"/>
        <v>0</v>
      </c>
      <c r="X6095" s="36"/>
      <c r="Y6095" s="36"/>
      <c r="Z6095" s="36"/>
      <c r="AA6095" s="36"/>
      <c r="AB6095" s="36"/>
      <c r="AC6095" s="36"/>
      <c r="AD6095" s="36"/>
      <c r="AE6095" s="36"/>
      <c r="AF6095" s="36"/>
      <c r="AG6095" s="36"/>
      <c r="AH6095" s="36"/>
      <c r="AI6095" s="36"/>
      <c r="AJ6095" s="15">
        <f t="shared" si="1068"/>
        <v>0</v>
      </c>
      <c r="AK6095" s="14">
        <v>350</v>
      </c>
      <c r="AL6095" s="14">
        <v>350</v>
      </c>
      <c r="AM6095" s="14">
        <v>350</v>
      </c>
      <c r="AN6095" s="14">
        <v>350</v>
      </c>
      <c r="AO6095" s="14"/>
      <c r="AP6095" s="14"/>
      <c r="AQ6095" s="14"/>
      <c r="AR6095" s="14"/>
      <c r="AS6095" s="14"/>
      <c r="AT6095" s="14"/>
      <c r="AU6095" s="14"/>
      <c r="AV6095" s="14"/>
      <c r="AW6095" s="15">
        <f t="shared" si="1069"/>
        <v>1400</v>
      </c>
      <c r="AX6095" s="16"/>
    </row>
    <row r="6096" spans="2:50" x14ac:dyDescent="0.2">
      <c r="B6096" s="7"/>
      <c r="C6096" s="8">
        <v>16222</v>
      </c>
      <c r="D6096" s="9" t="s">
        <v>87</v>
      </c>
      <c r="E6096" s="10" t="str">
        <f t="shared" si="1052"/>
        <v>Rancho Zinamba No. 36</v>
      </c>
      <c r="F6096" s="10" t="str">
        <f t="shared" si="1053"/>
        <v>Rodríguez Ortiz</v>
      </c>
      <c r="G6096" s="8">
        <v>1</v>
      </c>
      <c r="H6096" s="11">
        <v>400</v>
      </c>
      <c r="I6096" s="12">
        <v>43184</v>
      </c>
      <c r="J6096" s="35">
        <f t="shared" si="1054"/>
        <v>0</v>
      </c>
      <c r="K6096" s="36"/>
      <c r="L6096" s="36"/>
      <c r="M6096" s="36"/>
      <c r="N6096" s="36"/>
      <c r="O6096" s="36"/>
      <c r="P6096" s="36"/>
      <c r="Q6096" s="36"/>
      <c r="R6096" s="36"/>
      <c r="S6096" s="36"/>
      <c r="T6096" s="36"/>
      <c r="U6096" s="36"/>
      <c r="V6096" s="36"/>
      <c r="W6096" s="15">
        <f t="shared" si="1055"/>
        <v>0</v>
      </c>
      <c r="X6096" s="36"/>
      <c r="Y6096" s="36"/>
      <c r="Z6096" s="36"/>
      <c r="AA6096" s="36"/>
      <c r="AB6096" s="36"/>
      <c r="AC6096" s="36"/>
      <c r="AD6096" s="36"/>
      <c r="AE6096" s="36"/>
      <c r="AF6096" s="36"/>
      <c r="AG6096" s="36"/>
      <c r="AH6096" s="36"/>
      <c r="AI6096" s="36"/>
      <c r="AJ6096" s="15">
        <f t="shared" si="1056"/>
        <v>0</v>
      </c>
      <c r="AK6096" s="14"/>
      <c r="AL6096" s="14"/>
      <c r="AM6096" s="14"/>
      <c r="AN6096" s="14">
        <v>400</v>
      </c>
      <c r="AO6096" s="14"/>
      <c r="AP6096" s="14"/>
      <c r="AQ6096" s="14"/>
      <c r="AR6096" s="14"/>
      <c r="AS6096" s="14"/>
      <c r="AT6096" s="14"/>
      <c r="AU6096" s="14"/>
      <c r="AV6096" s="14"/>
      <c r="AW6096" s="15">
        <f t="shared" si="1057"/>
        <v>400</v>
      </c>
      <c r="AX6096" s="16"/>
    </row>
    <row r="6097" spans="1:55" x14ac:dyDescent="0.2">
      <c r="B6097" s="7"/>
      <c r="C6097" s="8">
        <v>16223</v>
      </c>
      <c r="D6097" s="9" t="s">
        <v>800</v>
      </c>
      <c r="E6097" s="10" t="str">
        <f t="shared" ref="E6097:E6104" si="1076">IF(D6097=0,"",VLOOKUP(D6097,BASE,2,FALSE))</f>
        <v>Rancho Upácuaro No. 14</v>
      </c>
      <c r="F6097" s="10" t="str">
        <f t="shared" ref="F6097:F6104" si="1077">IF(D6097=0,"",VLOOKUP(D6097,BASE,3,FALSE))</f>
        <v>Castillo Hernández</v>
      </c>
      <c r="G6097" s="8">
        <v>1</v>
      </c>
      <c r="H6097" s="11">
        <v>1200</v>
      </c>
      <c r="I6097" s="12">
        <v>43184</v>
      </c>
      <c r="J6097" s="35">
        <f t="shared" ref="J6097:J6104" si="1078">IF(G6097=1,SUM(W6097,AJ6097,AW6097,-H6097),0)</f>
        <v>0</v>
      </c>
      <c r="K6097" s="36"/>
      <c r="L6097" s="36"/>
      <c r="M6097" s="36"/>
      <c r="N6097" s="36"/>
      <c r="O6097" s="36"/>
      <c r="P6097" s="36"/>
      <c r="Q6097" s="36"/>
      <c r="R6097" s="36"/>
      <c r="S6097" s="36"/>
      <c r="T6097" s="36"/>
      <c r="U6097" s="36"/>
      <c r="V6097" s="36"/>
      <c r="W6097" s="15">
        <f t="shared" ref="W6097:W6104" si="1079">SUM(K6097:V6097)</f>
        <v>0</v>
      </c>
      <c r="X6097" s="36"/>
      <c r="Y6097" s="36"/>
      <c r="Z6097" s="36"/>
      <c r="AA6097" s="36"/>
      <c r="AB6097" s="36"/>
      <c r="AC6097" s="36"/>
      <c r="AD6097" s="36"/>
      <c r="AE6097" s="36"/>
      <c r="AF6097" s="36"/>
      <c r="AG6097" s="36"/>
      <c r="AH6097" s="36"/>
      <c r="AI6097" s="36"/>
      <c r="AJ6097" s="15">
        <f t="shared" ref="AJ6097:AJ6104" si="1080">SUM(X6097:AI6097)</f>
        <v>0</v>
      </c>
      <c r="AK6097" s="14">
        <v>400</v>
      </c>
      <c r="AL6097" s="14">
        <v>400</v>
      </c>
      <c r="AM6097" s="14">
        <v>400</v>
      </c>
      <c r="AN6097" s="14"/>
      <c r="AO6097" s="14"/>
      <c r="AP6097" s="14"/>
      <c r="AQ6097" s="14"/>
      <c r="AR6097" s="14"/>
      <c r="AS6097" s="14"/>
      <c r="AT6097" s="14"/>
      <c r="AU6097" s="14"/>
      <c r="AV6097" s="14"/>
      <c r="AW6097" s="15">
        <f t="shared" ref="AW6097:AW6104" si="1081">SUM(AK6097:AV6097)</f>
        <v>1200</v>
      </c>
      <c r="AX6097" s="16"/>
    </row>
    <row r="6098" spans="1:55" x14ac:dyDescent="0.2">
      <c r="B6098" s="7"/>
      <c r="C6098" s="8">
        <v>16224</v>
      </c>
      <c r="D6098" s="9" t="s">
        <v>103</v>
      </c>
      <c r="E6098" s="10" t="str">
        <f t="shared" si="1076"/>
        <v>Rancho La Cuchilla No. 41</v>
      </c>
      <c r="F6098" s="10" t="str">
        <f t="shared" si="1077"/>
        <v>Arriaga Lemus</v>
      </c>
      <c r="G6098" s="8">
        <v>1</v>
      </c>
      <c r="H6098" s="11">
        <v>400</v>
      </c>
      <c r="I6098" s="12">
        <v>43184</v>
      </c>
      <c r="J6098" s="35">
        <f t="shared" si="1078"/>
        <v>0</v>
      </c>
      <c r="K6098" s="36"/>
      <c r="L6098" s="36"/>
      <c r="M6098" s="36"/>
      <c r="N6098" s="36"/>
      <c r="O6098" s="36"/>
      <c r="P6098" s="36"/>
      <c r="Q6098" s="36"/>
      <c r="R6098" s="36"/>
      <c r="S6098" s="36"/>
      <c r="T6098" s="36"/>
      <c r="U6098" s="36"/>
      <c r="V6098" s="36"/>
      <c r="W6098" s="15">
        <f t="shared" si="1079"/>
        <v>0</v>
      </c>
      <c r="X6098" s="36"/>
      <c r="Y6098" s="36"/>
      <c r="Z6098" s="36"/>
      <c r="AA6098" s="36"/>
      <c r="AB6098" s="36"/>
      <c r="AC6098" s="36"/>
      <c r="AD6098" s="36"/>
      <c r="AE6098" s="36"/>
      <c r="AF6098" s="36"/>
      <c r="AG6098" s="36"/>
      <c r="AH6098" s="36"/>
      <c r="AI6098" s="36"/>
      <c r="AJ6098" s="15">
        <f t="shared" si="1080"/>
        <v>0</v>
      </c>
      <c r="AK6098" s="14"/>
      <c r="AL6098" s="14"/>
      <c r="AM6098" s="14">
        <v>400</v>
      </c>
      <c r="AN6098" s="14"/>
      <c r="AO6098" s="14"/>
      <c r="AP6098" s="14"/>
      <c r="AQ6098" s="14"/>
      <c r="AR6098" s="14"/>
      <c r="AS6098" s="14"/>
      <c r="AT6098" s="14"/>
      <c r="AU6098" s="14"/>
      <c r="AV6098" s="14"/>
      <c r="AW6098" s="15">
        <f t="shared" si="1081"/>
        <v>400</v>
      </c>
      <c r="AX6098" s="16"/>
    </row>
    <row r="6099" spans="1:55" x14ac:dyDescent="0.2">
      <c r="B6099" s="7"/>
      <c r="C6099" s="8">
        <v>16225</v>
      </c>
      <c r="D6099" s="9" t="s">
        <v>874</v>
      </c>
      <c r="E6099" s="10" t="str">
        <f t="shared" si="1076"/>
        <v>Rancho Zinamba No. 46</v>
      </c>
      <c r="F6099" s="10" t="str">
        <f t="shared" si="1077"/>
        <v>Olguín</v>
      </c>
      <c r="G6099" s="8">
        <v>1</v>
      </c>
      <c r="H6099" s="11">
        <v>200</v>
      </c>
      <c r="I6099" s="12">
        <v>43184</v>
      </c>
      <c r="J6099" s="35">
        <f t="shared" si="1078"/>
        <v>0</v>
      </c>
      <c r="K6099" s="36"/>
      <c r="L6099" s="36"/>
      <c r="M6099" s="36"/>
      <c r="N6099" s="36"/>
      <c r="O6099" s="36"/>
      <c r="P6099" s="36"/>
      <c r="Q6099" s="36"/>
      <c r="R6099" s="36"/>
      <c r="S6099" s="36"/>
      <c r="T6099" s="36"/>
      <c r="U6099" s="36"/>
      <c r="V6099" s="36"/>
      <c r="W6099" s="15">
        <f t="shared" si="1079"/>
        <v>0</v>
      </c>
      <c r="X6099" s="36"/>
      <c r="Y6099" s="36"/>
      <c r="Z6099" s="36"/>
      <c r="AA6099" s="36"/>
      <c r="AB6099" s="36"/>
      <c r="AC6099" s="36"/>
      <c r="AD6099" s="36"/>
      <c r="AE6099" s="36"/>
      <c r="AF6099" s="36"/>
      <c r="AG6099" s="36"/>
      <c r="AH6099" s="36"/>
      <c r="AI6099" s="36"/>
      <c r="AJ6099" s="15">
        <f t="shared" si="1080"/>
        <v>0</v>
      </c>
      <c r="AK6099" s="14"/>
      <c r="AL6099" s="14"/>
      <c r="AM6099" s="14">
        <v>200</v>
      </c>
      <c r="AN6099" s="14"/>
      <c r="AO6099" s="14"/>
      <c r="AP6099" s="14"/>
      <c r="AQ6099" s="14"/>
      <c r="AR6099" s="14"/>
      <c r="AS6099" s="14"/>
      <c r="AT6099" s="14"/>
      <c r="AU6099" s="14"/>
      <c r="AV6099" s="14"/>
      <c r="AW6099" s="15">
        <f t="shared" si="1081"/>
        <v>200</v>
      </c>
      <c r="AX6099" s="16"/>
    </row>
    <row r="6100" spans="1:55" x14ac:dyDescent="0.2">
      <c r="B6100" s="7"/>
      <c r="C6100" s="8">
        <v>16226</v>
      </c>
      <c r="D6100" s="9" t="s">
        <v>849</v>
      </c>
      <c r="E6100" s="10" t="str">
        <f t="shared" si="1076"/>
        <v>Rancho La Cuchilla No. 127</v>
      </c>
      <c r="F6100" s="10" t="str">
        <f t="shared" si="1077"/>
        <v>Quiñones</v>
      </c>
      <c r="G6100" s="8">
        <v>1</v>
      </c>
      <c r="H6100" s="11">
        <v>1500</v>
      </c>
      <c r="I6100" s="12">
        <v>43184</v>
      </c>
      <c r="J6100" s="35">
        <f t="shared" si="1078"/>
        <v>0</v>
      </c>
      <c r="K6100" s="36"/>
      <c r="L6100" s="36"/>
      <c r="M6100" s="36"/>
      <c r="N6100" s="36"/>
      <c r="O6100" s="36"/>
      <c r="P6100" s="36"/>
      <c r="Q6100" s="36"/>
      <c r="R6100" s="36"/>
      <c r="S6100" s="36"/>
      <c r="T6100" s="36"/>
      <c r="U6100" s="36"/>
      <c r="V6100" s="36"/>
      <c r="W6100" s="15">
        <f t="shared" si="1079"/>
        <v>0</v>
      </c>
      <c r="X6100" s="36"/>
      <c r="Y6100" s="36"/>
      <c r="Z6100" s="36"/>
      <c r="AA6100" s="36"/>
      <c r="AB6100" s="36"/>
      <c r="AC6100" s="36"/>
      <c r="AD6100" s="36"/>
      <c r="AE6100" s="36"/>
      <c r="AF6100" s="36"/>
      <c r="AG6100" s="36"/>
      <c r="AH6100" s="36"/>
      <c r="AI6100" s="36"/>
      <c r="AJ6100" s="15">
        <f t="shared" si="1080"/>
        <v>0</v>
      </c>
      <c r="AK6100" s="14">
        <v>300</v>
      </c>
      <c r="AL6100" s="14">
        <v>300</v>
      </c>
      <c r="AM6100" s="14">
        <v>300</v>
      </c>
      <c r="AN6100" s="14">
        <v>300</v>
      </c>
      <c r="AO6100" s="14">
        <v>300</v>
      </c>
      <c r="AP6100" s="14"/>
      <c r="AQ6100" s="14"/>
      <c r="AR6100" s="14"/>
      <c r="AS6100" s="14"/>
      <c r="AT6100" s="14"/>
      <c r="AU6100" s="14"/>
      <c r="AV6100" s="14"/>
      <c r="AW6100" s="15">
        <f t="shared" si="1081"/>
        <v>1500</v>
      </c>
      <c r="AX6100" s="316">
        <f>SUM(H6066:H6100)</f>
        <v>19850</v>
      </c>
    </row>
    <row r="6101" spans="1:55" x14ac:dyDescent="0.2">
      <c r="B6101" s="7"/>
      <c r="C6101" s="8">
        <v>16227</v>
      </c>
      <c r="D6101" s="9"/>
      <c r="E6101" s="10" t="str">
        <f t="shared" si="1076"/>
        <v/>
      </c>
      <c r="F6101" s="10" t="str">
        <f t="shared" si="1077"/>
        <v/>
      </c>
      <c r="G6101" s="8">
        <v>8</v>
      </c>
      <c r="H6101" s="315"/>
      <c r="I6101" s="12"/>
      <c r="J6101" s="35">
        <f t="shared" si="1078"/>
        <v>0</v>
      </c>
      <c r="K6101" s="36"/>
      <c r="L6101" s="36"/>
      <c r="M6101" s="36"/>
      <c r="N6101" s="36"/>
      <c r="O6101" s="36"/>
      <c r="P6101" s="36"/>
      <c r="Q6101" s="36"/>
      <c r="R6101" s="36"/>
      <c r="S6101" s="36"/>
      <c r="T6101" s="36"/>
      <c r="U6101" s="36"/>
      <c r="V6101" s="36"/>
      <c r="W6101" s="15">
        <f t="shared" si="1079"/>
        <v>0</v>
      </c>
      <c r="X6101" s="36"/>
      <c r="Y6101" s="36"/>
      <c r="Z6101" s="36"/>
      <c r="AA6101" s="36"/>
      <c r="AB6101" s="36"/>
      <c r="AC6101" s="36"/>
      <c r="AD6101" s="36"/>
      <c r="AE6101" s="36"/>
      <c r="AF6101" s="36"/>
      <c r="AG6101" s="36"/>
      <c r="AH6101" s="36"/>
      <c r="AI6101" s="36"/>
      <c r="AJ6101" s="15">
        <f t="shared" si="1080"/>
        <v>0</v>
      </c>
      <c r="AK6101" s="14"/>
      <c r="AL6101" s="14"/>
      <c r="AM6101" s="14"/>
      <c r="AN6101" s="14"/>
      <c r="AO6101" s="14"/>
      <c r="AP6101" s="14"/>
      <c r="AQ6101" s="14"/>
      <c r="AR6101" s="14"/>
      <c r="AS6101" s="14"/>
      <c r="AT6101" s="14"/>
      <c r="AU6101" s="14"/>
      <c r="AV6101" s="14"/>
      <c r="AW6101" s="15">
        <f t="shared" si="1081"/>
        <v>0</v>
      </c>
      <c r="AX6101" s="16"/>
    </row>
    <row r="6102" spans="1:55" x14ac:dyDescent="0.2">
      <c r="B6102" s="7" t="s">
        <v>4983</v>
      </c>
      <c r="C6102" s="8">
        <v>16228</v>
      </c>
      <c r="D6102" s="9" t="s">
        <v>211</v>
      </c>
      <c r="E6102" s="10" t="str">
        <f t="shared" si="1076"/>
        <v>Rancho Upácuaro No. 46</v>
      </c>
      <c r="F6102" s="10" t="str">
        <f t="shared" si="1077"/>
        <v>Fuentes</v>
      </c>
      <c r="G6102" s="8">
        <v>1</v>
      </c>
      <c r="H6102" s="11">
        <v>300</v>
      </c>
      <c r="I6102" s="12">
        <v>43185</v>
      </c>
      <c r="J6102" s="35">
        <f t="shared" si="1078"/>
        <v>0</v>
      </c>
      <c r="K6102" s="36"/>
      <c r="L6102" s="36"/>
      <c r="M6102" s="36"/>
      <c r="N6102" s="36"/>
      <c r="O6102" s="36"/>
      <c r="P6102" s="36"/>
      <c r="Q6102" s="36"/>
      <c r="R6102" s="36"/>
      <c r="S6102" s="36"/>
      <c r="T6102" s="36"/>
      <c r="U6102" s="36"/>
      <c r="V6102" s="36"/>
      <c r="W6102" s="15">
        <f t="shared" si="1079"/>
        <v>0</v>
      </c>
      <c r="X6102" s="36"/>
      <c r="Y6102" s="36"/>
      <c r="Z6102" s="36"/>
      <c r="AA6102" s="36"/>
      <c r="AB6102" s="36"/>
      <c r="AC6102" s="36"/>
      <c r="AD6102" s="36"/>
      <c r="AE6102" s="36"/>
      <c r="AF6102" s="36"/>
      <c r="AG6102" s="36"/>
      <c r="AH6102" s="36"/>
      <c r="AI6102" s="36"/>
      <c r="AJ6102" s="15">
        <f t="shared" si="1080"/>
        <v>0</v>
      </c>
      <c r="AK6102" s="14"/>
      <c r="AL6102" s="14"/>
      <c r="AM6102" s="14">
        <v>300</v>
      </c>
      <c r="AN6102" s="14"/>
      <c r="AO6102" s="14"/>
      <c r="AP6102" s="14"/>
      <c r="AQ6102" s="14"/>
      <c r="AR6102" s="14"/>
      <c r="AS6102" s="14"/>
      <c r="AT6102" s="14"/>
      <c r="AU6102" s="14"/>
      <c r="AV6102" s="14"/>
      <c r="AW6102" s="15">
        <f t="shared" si="1081"/>
        <v>300</v>
      </c>
      <c r="AX6102" s="16"/>
    </row>
    <row r="6103" spans="1:55" x14ac:dyDescent="0.2">
      <c r="B6103" s="7" t="s">
        <v>4983</v>
      </c>
      <c r="C6103" s="8">
        <v>16229</v>
      </c>
      <c r="D6103" s="9" t="s">
        <v>119</v>
      </c>
      <c r="E6103" s="10" t="str">
        <f t="shared" si="1076"/>
        <v>Rancho Landero No. 25</v>
      </c>
      <c r="F6103" s="10" t="str">
        <f t="shared" si="1077"/>
        <v>Escamilla Martínez</v>
      </c>
      <c r="G6103" s="8">
        <v>1</v>
      </c>
      <c r="H6103" s="11">
        <v>1200</v>
      </c>
      <c r="I6103" s="12">
        <v>43185</v>
      </c>
      <c r="J6103" s="35">
        <f t="shared" si="1078"/>
        <v>0</v>
      </c>
      <c r="K6103" s="36"/>
      <c r="L6103" s="36"/>
      <c r="M6103" s="36"/>
      <c r="N6103" s="36"/>
      <c r="O6103" s="36"/>
      <c r="P6103" s="36"/>
      <c r="Q6103" s="36"/>
      <c r="R6103" s="36"/>
      <c r="S6103" s="36"/>
      <c r="T6103" s="36"/>
      <c r="U6103" s="36"/>
      <c r="V6103" s="36"/>
      <c r="W6103" s="15">
        <f t="shared" si="1079"/>
        <v>0</v>
      </c>
      <c r="X6103" s="36"/>
      <c r="Y6103" s="36"/>
      <c r="Z6103" s="36"/>
      <c r="AA6103" s="36"/>
      <c r="AB6103" s="36"/>
      <c r="AC6103" s="36"/>
      <c r="AD6103" s="36"/>
      <c r="AE6103" s="36"/>
      <c r="AF6103" s="36">
        <v>400</v>
      </c>
      <c r="AG6103" s="36">
        <v>400</v>
      </c>
      <c r="AH6103" s="36">
        <v>400</v>
      </c>
      <c r="AI6103" s="36"/>
      <c r="AJ6103" s="15">
        <f t="shared" si="1080"/>
        <v>1200</v>
      </c>
      <c r="AK6103" s="14"/>
      <c r="AL6103" s="14"/>
      <c r="AM6103" s="14"/>
      <c r="AN6103" s="14"/>
      <c r="AO6103" s="14"/>
      <c r="AP6103" s="14"/>
      <c r="AQ6103" s="14"/>
      <c r="AR6103" s="14"/>
      <c r="AS6103" s="14"/>
      <c r="AT6103" s="14"/>
      <c r="AU6103" s="14"/>
      <c r="AV6103" s="14"/>
      <c r="AW6103" s="15">
        <f t="shared" si="1081"/>
        <v>0</v>
      </c>
      <c r="AX6103" s="16"/>
    </row>
    <row r="6104" spans="1:55" x14ac:dyDescent="0.2">
      <c r="B6104" s="7"/>
      <c r="C6104" s="8">
        <v>16230</v>
      </c>
      <c r="D6104" s="9" t="s">
        <v>559</v>
      </c>
      <c r="E6104" s="10" t="str">
        <f t="shared" si="1076"/>
        <v>Rancho Estanzuela No. 149</v>
      </c>
      <c r="F6104" s="10" t="str">
        <f t="shared" si="1077"/>
        <v>Sala</v>
      </c>
      <c r="G6104" s="8">
        <v>4</v>
      </c>
      <c r="H6104" s="11">
        <v>200</v>
      </c>
      <c r="I6104" s="12">
        <v>43185</v>
      </c>
      <c r="J6104" s="35">
        <f t="shared" si="1078"/>
        <v>0</v>
      </c>
      <c r="K6104" s="36"/>
      <c r="L6104" s="36"/>
      <c r="M6104" s="36"/>
      <c r="N6104" s="36"/>
      <c r="O6104" s="36"/>
      <c r="P6104" s="36"/>
      <c r="Q6104" s="36"/>
      <c r="R6104" s="36"/>
      <c r="S6104" s="36"/>
      <c r="T6104" s="36"/>
      <c r="U6104" s="36"/>
      <c r="V6104" s="36"/>
      <c r="W6104" s="15">
        <f t="shared" si="1079"/>
        <v>0</v>
      </c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15">
        <f t="shared" si="1080"/>
        <v>0</v>
      </c>
      <c r="AK6104" s="14"/>
      <c r="AL6104" s="14"/>
      <c r="AM6104" s="14"/>
      <c r="AN6104" s="14"/>
      <c r="AO6104" s="14"/>
      <c r="AP6104" s="14"/>
      <c r="AQ6104" s="14"/>
      <c r="AR6104" s="14"/>
      <c r="AS6104" s="14"/>
      <c r="AT6104" s="14"/>
      <c r="AU6104" s="14"/>
      <c r="AV6104" s="14"/>
      <c r="AW6104" s="15">
        <f t="shared" si="1081"/>
        <v>0</v>
      </c>
      <c r="AX6104" s="16"/>
    </row>
    <row r="6105" spans="1:55" x14ac:dyDescent="0.2">
      <c r="B6105" s="7"/>
      <c r="C6105" s="8">
        <v>16231</v>
      </c>
      <c r="D6105" s="9" t="s">
        <v>464</v>
      </c>
      <c r="E6105" s="10" t="str">
        <f t="shared" ref="E6105:E6169" si="1082">IF(D6105=0,"",VLOOKUP(D6105,BASE,2,FALSE))</f>
        <v>Rancho La Cuchilla No. 68</v>
      </c>
      <c r="F6105" s="10" t="str">
        <f t="shared" ref="F6105:F6169" si="1083">IF(D6105=0,"",VLOOKUP(D6105,BASE,3,FALSE))</f>
        <v>Montesinos</v>
      </c>
      <c r="G6105" s="8">
        <v>1</v>
      </c>
      <c r="H6105" s="11">
        <v>800</v>
      </c>
      <c r="I6105" s="12">
        <v>43187</v>
      </c>
      <c r="J6105" s="35">
        <f t="shared" ref="J6105:J6169" si="1084">IF(G6105=1,SUM(W6105,AJ6105,AW6105,-H6105),0)</f>
        <v>0</v>
      </c>
      <c r="K6105" s="36"/>
      <c r="L6105" s="36"/>
      <c r="M6105" s="36"/>
      <c r="N6105" s="36"/>
      <c r="O6105" s="36"/>
      <c r="P6105" s="36"/>
      <c r="Q6105" s="36"/>
      <c r="R6105" s="36"/>
      <c r="S6105" s="36"/>
      <c r="T6105" s="36"/>
      <c r="U6105" s="36"/>
      <c r="V6105" s="36"/>
      <c r="W6105" s="15">
        <f t="shared" ref="W6105:W6169" si="1085">SUM(K6105:V6105)</f>
        <v>0</v>
      </c>
      <c r="X6105" s="36"/>
      <c r="Y6105" s="36"/>
      <c r="Z6105" s="36"/>
      <c r="AA6105" s="36"/>
      <c r="AB6105" s="36"/>
      <c r="AC6105" s="36"/>
      <c r="AD6105" s="36"/>
      <c r="AE6105" s="36"/>
      <c r="AF6105" s="36"/>
      <c r="AG6105" s="36"/>
      <c r="AH6105" s="36"/>
      <c r="AI6105" s="36"/>
      <c r="AJ6105" s="15">
        <f t="shared" ref="AJ6105:AJ6169" si="1086">SUM(X6105:AI6105)</f>
        <v>0</v>
      </c>
      <c r="AK6105" s="14">
        <v>200</v>
      </c>
      <c r="AL6105" s="14">
        <v>200</v>
      </c>
      <c r="AM6105" s="14">
        <v>200</v>
      </c>
      <c r="AN6105" s="14">
        <v>200</v>
      </c>
      <c r="AO6105" s="14"/>
      <c r="AP6105" s="14"/>
      <c r="AQ6105" s="14"/>
      <c r="AR6105" s="14"/>
      <c r="AS6105" s="14"/>
      <c r="AT6105" s="14"/>
      <c r="AU6105" s="14"/>
      <c r="AV6105" s="14"/>
      <c r="AW6105" s="15">
        <f t="shared" ref="AW6105:AW6169" si="1087">SUM(AK6105:AV6105)</f>
        <v>800</v>
      </c>
      <c r="AX6105" s="16"/>
    </row>
    <row r="6106" spans="1:55" x14ac:dyDescent="0.2">
      <c r="B6106" s="7"/>
      <c r="C6106" s="8">
        <v>16232</v>
      </c>
      <c r="D6106" s="9" t="s">
        <v>217</v>
      </c>
      <c r="E6106" s="10" t="str">
        <f t="shared" si="1082"/>
        <v>Rancho Recoveco No. 173</v>
      </c>
      <c r="F6106" s="10" t="str">
        <f t="shared" si="1083"/>
        <v>Velarde</v>
      </c>
      <c r="G6106" s="8">
        <v>5</v>
      </c>
      <c r="H6106" s="11">
        <v>50</v>
      </c>
      <c r="I6106" s="12">
        <v>43188</v>
      </c>
      <c r="J6106" s="35">
        <f t="shared" si="1084"/>
        <v>0</v>
      </c>
      <c r="K6106" s="36"/>
      <c r="L6106" s="36"/>
      <c r="M6106" s="36"/>
      <c r="N6106" s="36"/>
      <c r="O6106" s="36"/>
      <c r="P6106" s="36"/>
      <c r="Q6106" s="36"/>
      <c r="R6106" s="36"/>
      <c r="S6106" s="36"/>
      <c r="T6106" s="36"/>
      <c r="U6106" s="36"/>
      <c r="V6106" s="36"/>
      <c r="W6106" s="15">
        <f t="shared" si="1085"/>
        <v>0</v>
      </c>
      <c r="X6106" s="36"/>
      <c r="Y6106" s="36"/>
      <c r="Z6106" s="36"/>
      <c r="AA6106" s="36"/>
      <c r="AB6106" s="36"/>
      <c r="AC6106" s="36"/>
      <c r="AD6106" s="36"/>
      <c r="AE6106" s="36"/>
      <c r="AF6106" s="36"/>
      <c r="AG6106" s="36"/>
      <c r="AH6106" s="36"/>
      <c r="AI6106" s="36"/>
      <c r="AJ6106" s="15">
        <f t="shared" si="1086"/>
        <v>0</v>
      </c>
      <c r="AK6106" s="14"/>
      <c r="AL6106" s="14"/>
      <c r="AM6106" s="14"/>
      <c r="AN6106" s="14"/>
      <c r="AO6106" s="14"/>
      <c r="AP6106" s="14"/>
      <c r="AQ6106" s="14"/>
      <c r="AR6106" s="14"/>
      <c r="AS6106" s="14"/>
      <c r="AT6106" s="14"/>
      <c r="AU6106" s="14"/>
      <c r="AV6106" s="14"/>
      <c r="AW6106" s="15">
        <f t="shared" si="1087"/>
        <v>0</v>
      </c>
      <c r="AX6106" s="316">
        <f>SUM(H6101:H6106)</f>
        <v>2550</v>
      </c>
    </row>
    <row r="6107" spans="1:55" x14ac:dyDescent="0.2">
      <c r="B6107" s="7" t="s">
        <v>4983</v>
      </c>
      <c r="C6107" s="8">
        <v>16298</v>
      </c>
      <c r="D6107" s="9" t="s">
        <v>119</v>
      </c>
      <c r="E6107" s="10" t="str">
        <f t="shared" si="1082"/>
        <v>Rancho Landero No. 25</v>
      </c>
      <c r="F6107" s="10" t="str">
        <f t="shared" si="1083"/>
        <v>Escamilla Martínez</v>
      </c>
      <c r="G6107" s="8">
        <v>1</v>
      </c>
      <c r="H6107" s="11">
        <v>800</v>
      </c>
      <c r="I6107" s="12">
        <v>43169</v>
      </c>
      <c r="J6107" s="35">
        <f t="shared" si="1084"/>
        <v>0</v>
      </c>
      <c r="K6107" s="36"/>
      <c r="L6107" s="36"/>
      <c r="M6107" s="36"/>
      <c r="N6107" s="36"/>
      <c r="O6107" s="36"/>
      <c r="P6107" s="36"/>
      <c r="Q6107" s="36"/>
      <c r="R6107" s="36"/>
      <c r="S6107" s="36"/>
      <c r="T6107" s="36"/>
      <c r="U6107" s="36"/>
      <c r="V6107" s="36"/>
      <c r="W6107" s="15">
        <f t="shared" si="1085"/>
        <v>0</v>
      </c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>
        <v>400</v>
      </c>
      <c r="AJ6107" s="15">
        <f t="shared" si="1086"/>
        <v>400</v>
      </c>
      <c r="AK6107" s="14">
        <v>400</v>
      </c>
      <c r="AL6107" s="14"/>
      <c r="AM6107" s="14"/>
      <c r="AN6107" s="14"/>
      <c r="AO6107" s="14"/>
      <c r="AP6107" s="14"/>
      <c r="AQ6107" s="14"/>
      <c r="AR6107" s="14"/>
      <c r="AS6107" s="14"/>
      <c r="AT6107" s="14"/>
      <c r="AU6107" s="14"/>
      <c r="AV6107" s="14"/>
      <c r="AW6107" s="15">
        <f t="shared" si="1087"/>
        <v>400</v>
      </c>
      <c r="AX6107" s="316">
        <f>SUM(H6102:H6107)</f>
        <v>3350</v>
      </c>
    </row>
    <row r="6108" spans="1:55" x14ac:dyDescent="0.2">
      <c r="B6108" s="7" t="s">
        <v>5161</v>
      </c>
      <c r="C6108" s="8"/>
      <c r="D6108" s="9" t="s">
        <v>806</v>
      </c>
      <c r="E6108" s="10" t="str">
        <f t="shared" si="1082"/>
        <v>Rancho Estanzuela No. 130, A</v>
      </c>
      <c r="F6108" s="10" t="str">
        <f t="shared" si="1083"/>
        <v>Colegio Carmel</v>
      </c>
      <c r="G6108" s="8">
        <v>1</v>
      </c>
      <c r="H6108" s="11">
        <v>11000</v>
      </c>
      <c r="I6108" s="12">
        <v>43181</v>
      </c>
      <c r="J6108" s="35">
        <f t="shared" si="1084"/>
        <v>0</v>
      </c>
      <c r="K6108" s="36"/>
      <c r="L6108" s="36"/>
      <c r="M6108" s="36"/>
      <c r="N6108" s="36"/>
      <c r="O6108" s="36"/>
      <c r="P6108" s="36"/>
      <c r="Q6108" s="36"/>
      <c r="R6108" s="36"/>
      <c r="S6108" s="36"/>
      <c r="T6108" s="36"/>
      <c r="U6108" s="36"/>
      <c r="V6108" s="36"/>
      <c r="W6108" s="15">
        <f t="shared" si="1085"/>
        <v>0</v>
      </c>
      <c r="X6108" s="36"/>
      <c r="Y6108" s="36"/>
      <c r="Z6108" s="36"/>
      <c r="AA6108" s="36"/>
      <c r="AB6108" s="36"/>
      <c r="AC6108" s="36"/>
      <c r="AD6108" s="36"/>
      <c r="AE6108" s="36"/>
      <c r="AF6108" s="36"/>
      <c r="AG6108" s="36"/>
      <c r="AH6108" s="36"/>
      <c r="AI6108" s="36"/>
      <c r="AJ6108" s="15">
        <f t="shared" si="1086"/>
        <v>0</v>
      </c>
      <c r="AK6108" s="14"/>
      <c r="AL6108" s="14"/>
      <c r="AM6108" s="14">
        <v>11000</v>
      </c>
      <c r="AN6108" s="14"/>
      <c r="AO6108" s="14"/>
      <c r="AP6108" s="14"/>
      <c r="AQ6108" s="14"/>
      <c r="AR6108" s="14"/>
      <c r="AS6108" s="14"/>
      <c r="AT6108" s="14"/>
      <c r="AU6108" s="14"/>
      <c r="AV6108" s="14"/>
      <c r="AW6108" s="15">
        <f t="shared" si="1087"/>
        <v>11000</v>
      </c>
      <c r="AX6108" s="16"/>
      <c r="AY6108" s="112">
        <f>SUM(H5903:H6108)</f>
        <v>117775</v>
      </c>
      <c r="AZ6108" s="112">
        <f>-H6108</f>
        <v>-11000</v>
      </c>
      <c r="BA6108" s="112">
        <f>-H6103</f>
        <v>-1200</v>
      </c>
      <c r="BB6108" s="112">
        <f>-H6102</f>
        <v>-300</v>
      </c>
      <c r="BC6108" s="112">
        <f>-H6086</f>
        <v>-400</v>
      </c>
    </row>
    <row r="6109" spans="1:55" x14ac:dyDescent="0.2">
      <c r="B6109" s="7"/>
      <c r="C6109" s="8"/>
      <c r="D6109" s="9"/>
      <c r="E6109" s="10" t="str">
        <f t="shared" si="1082"/>
        <v/>
      </c>
      <c r="F6109" s="10" t="str">
        <f t="shared" si="1083"/>
        <v/>
      </c>
      <c r="G6109" s="8"/>
      <c r="H6109" s="11"/>
      <c r="I6109" s="12"/>
      <c r="J6109" s="35">
        <f t="shared" si="1084"/>
        <v>0</v>
      </c>
      <c r="K6109" s="36"/>
      <c r="L6109" s="36"/>
      <c r="M6109" s="36"/>
      <c r="N6109" s="36"/>
      <c r="O6109" s="36"/>
      <c r="P6109" s="36"/>
      <c r="Q6109" s="36"/>
      <c r="R6109" s="36"/>
      <c r="S6109" s="36"/>
      <c r="T6109" s="36"/>
      <c r="U6109" s="36"/>
      <c r="V6109" s="36"/>
      <c r="W6109" s="15">
        <f t="shared" si="1085"/>
        <v>0</v>
      </c>
      <c r="X6109" s="36"/>
      <c r="Y6109" s="36"/>
      <c r="Z6109" s="36"/>
      <c r="AA6109" s="36"/>
      <c r="AB6109" s="36"/>
      <c r="AC6109" s="36"/>
      <c r="AD6109" s="36"/>
      <c r="AE6109" s="36"/>
      <c r="AF6109" s="36"/>
      <c r="AG6109" s="36"/>
      <c r="AH6109" s="36"/>
      <c r="AI6109" s="36"/>
      <c r="AJ6109" s="15">
        <f t="shared" si="1086"/>
        <v>0</v>
      </c>
      <c r="AK6109" s="14"/>
      <c r="AL6109" s="14"/>
      <c r="AM6109" s="14"/>
      <c r="AN6109" s="14"/>
      <c r="AO6109" s="14"/>
      <c r="AP6109" s="14"/>
      <c r="AQ6109" s="14"/>
      <c r="AR6109" s="14"/>
      <c r="AS6109" s="14"/>
      <c r="AT6109" s="14"/>
      <c r="AU6109" s="14"/>
      <c r="AV6109" s="14"/>
      <c r="AW6109" s="15">
        <f t="shared" si="1087"/>
        <v>0</v>
      </c>
      <c r="AX6109" s="16"/>
    </row>
    <row r="6110" spans="1:55" x14ac:dyDescent="0.2">
      <c r="B6110" s="7"/>
      <c r="C6110" s="8"/>
      <c r="D6110" s="9"/>
      <c r="E6110" s="10" t="str">
        <f t="shared" si="1082"/>
        <v/>
      </c>
      <c r="F6110" s="10" t="str">
        <f t="shared" si="1083"/>
        <v/>
      </c>
      <c r="G6110" s="8"/>
      <c r="H6110" s="11"/>
      <c r="I6110" s="12"/>
      <c r="J6110" s="35">
        <f t="shared" si="1084"/>
        <v>0</v>
      </c>
      <c r="K6110" s="36"/>
      <c r="L6110" s="36"/>
      <c r="M6110" s="36"/>
      <c r="N6110" s="36"/>
      <c r="O6110" s="36"/>
      <c r="P6110" s="36"/>
      <c r="Q6110" s="36"/>
      <c r="R6110" s="36"/>
      <c r="S6110" s="36"/>
      <c r="T6110" s="36"/>
      <c r="U6110" s="36"/>
      <c r="V6110" s="36"/>
      <c r="W6110" s="15">
        <f t="shared" si="1085"/>
        <v>0</v>
      </c>
      <c r="X6110" s="36"/>
      <c r="Y6110" s="36"/>
      <c r="Z6110" s="36"/>
      <c r="AA6110" s="36"/>
      <c r="AB6110" s="36"/>
      <c r="AC6110" s="36"/>
      <c r="AD6110" s="36"/>
      <c r="AE6110" s="36"/>
      <c r="AF6110" s="36"/>
      <c r="AG6110" s="36"/>
      <c r="AH6110" s="36"/>
      <c r="AI6110" s="36"/>
      <c r="AJ6110" s="15">
        <f t="shared" si="1086"/>
        <v>0</v>
      </c>
      <c r="AK6110" s="14"/>
      <c r="AL6110" s="14"/>
      <c r="AM6110" s="14"/>
      <c r="AN6110" s="14"/>
      <c r="AO6110" s="14"/>
      <c r="AP6110" s="14"/>
      <c r="AQ6110" s="14"/>
      <c r="AR6110" s="14"/>
      <c r="AS6110" s="14"/>
      <c r="AT6110" s="14"/>
      <c r="AU6110" s="14"/>
      <c r="AV6110" s="14"/>
      <c r="AW6110" s="15">
        <f t="shared" si="1087"/>
        <v>0</v>
      </c>
      <c r="AX6110" s="316">
        <f>SUM(H5903:H6110)</f>
        <v>117775</v>
      </c>
    </row>
    <row r="6111" spans="1:55" ht="22.5" x14ac:dyDescent="0.2">
      <c r="A6111" s="2"/>
      <c r="B6111" s="3" t="s">
        <v>1</v>
      </c>
      <c r="C6111" s="3" t="s">
        <v>2</v>
      </c>
      <c r="D6111" s="3" t="s">
        <v>3</v>
      </c>
      <c r="E6111" s="337" t="s">
        <v>4</v>
      </c>
      <c r="F6111" s="337" t="s">
        <v>5</v>
      </c>
      <c r="G6111" s="3" t="s">
        <v>6</v>
      </c>
      <c r="H6111" s="3" t="s">
        <v>7</v>
      </c>
      <c r="I6111" s="3" t="s">
        <v>8</v>
      </c>
      <c r="J6111" s="337" t="s">
        <v>9</v>
      </c>
      <c r="K6111" s="4" t="s">
        <v>10</v>
      </c>
      <c r="L6111" s="4" t="s">
        <v>11</v>
      </c>
      <c r="M6111" s="4" t="s">
        <v>12</v>
      </c>
      <c r="N6111" s="4" t="s">
        <v>13</v>
      </c>
      <c r="O6111" s="4" t="s">
        <v>14</v>
      </c>
      <c r="P6111" s="4" t="s">
        <v>15</v>
      </c>
      <c r="Q6111" s="4" t="s">
        <v>16</v>
      </c>
      <c r="R6111" s="4" t="s">
        <v>17</v>
      </c>
      <c r="S6111" s="4" t="s">
        <v>18</v>
      </c>
      <c r="T6111" s="4" t="s">
        <v>19</v>
      </c>
      <c r="U6111" s="4" t="s">
        <v>20</v>
      </c>
      <c r="V6111" s="4" t="s">
        <v>21</v>
      </c>
      <c r="W6111" s="338" t="s">
        <v>22</v>
      </c>
      <c r="X6111" s="4" t="s">
        <v>23</v>
      </c>
      <c r="Y6111" s="4" t="s">
        <v>24</v>
      </c>
      <c r="Z6111" s="4" t="s">
        <v>25</v>
      </c>
      <c r="AA6111" s="4" t="s">
        <v>26</v>
      </c>
      <c r="AB6111" s="4" t="s">
        <v>27</v>
      </c>
      <c r="AC6111" s="4" t="s">
        <v>28</v>
      </c>
      <c r="AD6111" s="4" t="s">
        <v>29</v>
      </c>
      <c r="AE6111" s="4" t="s">
        <v>30</v>
      </c>
      <c r="AF6111" s="4" t="s">
        <v>31</v>
      </c>
      <c r="AG6111" s="4" t="s">
        <v>32</v>
      </c>
      <c r="AH6111" s="4" t="s">
        <v>33</v>
      </c>
      <c r="AI6111" s="4" t="s">
        <v>34</v>
      </c>
      <c r="AJ6111" s="338" t="s">
        <v>35</v>
      </c>
      <c r="AK6111" s="4" t="s">
        <v>4607</v>
      </c>
      <c r="AL6111" s="4" t="s">
        <v>4608</v>
      </c>
      <c r="AM6111" s="4" t="s">
        <v>4609</v>
      </c>
      <c r="AN6111" s="4" t="s">
        <v>4610</v>
      </c>
      <c r="AO6111" s="4" t="s">
        <v>4611</v>
      </c>
      <c r="AP6111" s="4" t="s">
        <v>4612</v>
      </c>
      <c r="AQ6111" s="4" t="s">
        <v>4613</v>
      </c>
      <c r="AR6111" s="4" t="s">
        <v>4614</v>
      </c>
      <c r="AS6111" s="4" t="s">
        <v>4615</v>
      </c>
      <c r="AT6111" s="4" t="s">
        <v>4616</v>
      </c>
      <c r="AU6111" s="4" t="s">
        <v>4617</v>
      </c>
      <c r="AV6111" s="4" t="s">
        <v>4618</v>
      </c>
      <c r="AW6111" s="338" t="s">
        <v>4619</v>
      </c>
      <c r="AX6111" s="6" t="s">
        <v>36</v>
      </c>
    </row>
    <row r="6112" spans="1:55" x14ac:dyDescent="0.2">
      <c r="B6112" s="7"/>
      <c r="C6112" s="8">
        <v>16233</v>
      </c>
      <c r="D6112" s="9" t="s">
        <v>1335</v>
      </c>
      <c r="E6112" s="10" t="str">
        <f t="shared" si="1082"/>
        <v>Rancho Estanzuela No. 49</v>
      </c>
      <c r="F6112" s="10" t="str">
        <f t="shared" si="1083"/>
        <v>Sánchez Zamora</v>
      </c>
      <c r="G6112" s="8">
        <v>1</v>
      </c>
      <c r="H6112" s="11">
        <v>200</v>
      </c>
      <c r="I6112" s="12">
        <v>43191</v>
      </c>
      <c r="J6112" s="35">
        <f t="shared" si="1084"/>
        <v>0</v>
      </c>
      <c r="K6112" s="36"/>
      <c r="L6112" s="36"/>
      <c r="M6112" s="36"/>
      <c r="N6112" s="36"/>
      <c r="O6112" s="36"/>
      <c r="P6112" s="36"/>
      <c r="Q6112" s="36"/>
      <c r="R6112" s="36"/>
      <c r="S6112" s="36"/>
      <c r="T6112" s="36"/>
      <c r="U6112" s="36"/>
      <c r="V6112" s="36"/>
      <c r="W6112" s="15">
        <f t="shared" si="1085"/>
        <v>0</v>
      </c>
      <c r="X6112" s="36"/>
      <c r="Y6112" s="36"/>
      <c r="Z6112" s="36"/>
      <c r="AA6112" s="36"/>
      <c r="AB6112" s="36"/>
      <c r="AC6112" s="36"/>
      <c r="AD6112" s="36"/>
      <c r="AE6112" s="36"/>
      <c r="AF6112" s="36"/>
      <c r="AG6112" s="36"/>
      <c r="AH6112" s="36"/>
      <c r="AI6112" s="36"/>
      <c r="AJ6112" s="15">
        <f t="shared" si="1086"/>
        <v>0</v>
      </c>
      <c r="AK6112" s="14"/>
      <c r="AL6112" s="14"/>
      <c r="AM6112" s="14">
        <v>200</v>
      </c>
      <c r="AN6112" s="14"/>
      <c r="AO6112" s="14"/>
      <c r="AP6112" s="14"/>
      <c r="AQ6112" s="14"/>
      <c r="AR6112" s="14"/>
      <c r="AS6112" s="14"/>
      <c r="AT6112" s="14"/>
      <c r="AU6112" s="14"/>
      <c r="AV6112" s="14"/>
      <c r="AW6112" s="15">
        <f t="shared" si="1087"/>
        <v>200</v>
      </c>
      <c r="AX6112" s="16"/>
    </row>
    <row r="6113" spans="2:50" x14ac:dyDescent="0.2">
      <c r="B6113" s="7"/>
      <c r="C6113" s="8">
        <v>16234</v>
      </c>
      <c r="D6113" s="9" t="s">
        <v>214</v>
      </c>
      <c r="E6113" s="10" t="str">
        <f t="shared" si="1082"/>
        <v>Rancho Romeral No. 30</v>
      </c>
      <c r="F6113" s="10" t="str">
        <f t="shared" si="1083"/>
        <v>Osorio</v>
      </c>
      <c r="G6113" s="8">
        <v>1</v>
      </c>
      <c r="H6113" s="11">
        <v>400</v>
      </c>
      <c r="I6113" s="12">
        <v>43191</v>
      </c>
      <c r="J6113" s="35">
        <f t="shared" si="1084"/>
        <v>0</v>
      </c>
      <c r="K6113" s="36"/>
      <c r="L6113" s="36"/>
      <c r="M6113" s="36"/>
      <c r="N6113" s="36"/>
      <c r="O6113" s="36"/>
      <c r="P6113" s="36"/>
      <c r="Q6113" s="36"/>
      <c r="R6113" s="36"/>
      <c r="S6113" s="36"/>
      <c r="T6113" s="36"/>
      <c r="U6113" s="36"/>
      <c r="V6113" s="36"/>
      <c r="W6113" s="15">
        <f t="shared" si="1085"/>
        <v>0</v>
      </c>
      <c r="X6113" s="36"/>
      <c r="Y6113" s="36"/>
      <c r="Z6113" s="36"/>
      <c r="AA6113" s="36"/>
      <c r="AB6113" s="36"/>
      <c r="AC6113" s="36"/>
      <c r="AD6113" s="36"/>
      <c r="AE6113" s="36"/>
      <c r="AF6113" s="36"/>
      <c r="AG6113" s="36"/>
      <c r="AH6113" s="36">
        <v>200</v>
      </c>
      <c r="AI6113" s="36">
        <v>200</v>
      </c>
      <c r="AJ6113" s="15">
        <f t="shared" si="1086"/>
        <v>400</v>
      </c>
      <c r="AK6113" s="14"/>
      <c r="AL6113" s="14"/>
      <c r="AM6113" s="14"/>
      <c r="AN6113" s="14"/>
      <c r="AO6113" s="14"/>
      <c r="AP6113" s="14"/>
      <c r="AQ6113" s="14"/>
      <c r="AR6113" s="14"/>
      <c r="AS6113" s="14"/>
      <c r="AT6113" s="14"/>
      <c r="AU6113" s="14"/>
      <c r="AV6113" s="14"/>
      <c r="AW6113" s="15">
        <f t="shared" si="1087"/>
        <v>0</v>
      </c>
      <c r="AX6113" s="16"/>
    </row>
    <row r="6114" spans="2:50" x14ac:dyDescent="0.2">
      <c r="B6114" s="7"/>
      <c r="C6114" s="8">
        <v>16235</v>
      </c>
      <c r="D6114" s="9" t="s">
        <v>186</v>
      </c>
      <c r="E6114" s="10" t="str">
        <f t="shared" si="1082"/>
        <v>Rancho Upácuaro No. 100</v>
      </c>
      <c r="F6114" s="10" t="str">
        <f t="shared" si="1083"/>
        <v>Valdez</v>
      </c>
      <c r="G6114" s="8">
        <v>1</v>
      </c>
      <c r="H6114" s="11">
        <v>400</v>
      </c>
      <c r="I6114" s="12">
        <v>43191</v>
      </c>
      <c r="J6114" s="35">
        <f t="shared" si="1084"/>
        <v>0</v>
      </c>
      <c r="K6114" s="36"/>
      <c r="L6114" s="36"/>
      <c r="M6114" s="36"/>
      <c r="N6114" s="36"/>
      <c r="O6114" s="36"/>
      <c r="P6114" s="36"/>
      <c r="Q6114" s="36"/>
      <c r="R6114" s="36"/>
      <c r="S6114" s="36"/>
      <c r="T6114" s="36"/>
      <c r="U6114" s="36"/>
      <c r="V6114" s="36"/>
      <c r="W6114" s="15">
        <f t="shared" si="1085"/>
        <v>0</v>
      </c>
      <c r="X6114" s="36"/>
      <c r="Y6114" s="36"/>
      <c r="Z6114" s="36"/>
      <c r="AA6114" s="36"/>
      <c r="AB6114" s="36"/>
      <c r="AC6114" s="36"/>
      <c r="AD6114" s="36"/>
      <c r="AE6114" s="36"/>
      <c r="AF6114" s="36"/>
      <c r="AG6114" s="36"/>
      <c r="AH6114" s="36"/>
      <c r="AI6114" s="36"/>
      <c r="AJ6114" s="15">
        <f t="shared" si="1086"/>
        <v>0</v>
      </c>
      <c r="AK6114" s="14"/>
      <c r="AL6114" s="14"/>
      <c r="AM6114" s="14"/>
      <c r="AN6114" s="14">
        <v>400</v>
      </c>
      <c r="AO6114" s="14"/>
      <c r="AP6114" s="14"/>
      <c r="AQ6114" s="14"/>
      <c r="AR6114" s="14"/>
      <c r="AS6114" s="14"/>
      <c r="AT6114" s="14"/>
      <c r="AU6114" s="14"/>
      <c r="AV6114" s="14"/>
      <c r="AW6114" s="15">
        <f t="shared" si="1087"/>
        <v>400</v>
      </c>
      <c r="AX6114" s="16"/>
    </row>
    <row r="6115" spans="2:50" x14ac:dyDescent="0.2">
      <c r="B6115" s="7"/>
      <c r="C6115" s="8">
        <v>16236</v>
      </c>
      <c r="D6115" s="9" t="s">
        <v>1170</v>
      </c>
      <c r="E6115" s="10" t="str">
        <f t="shared" si="1082"/>
        <v>Rancho La Cuchilla No. 117</v>
      </c>
      <c r="F6115" s="10" t="str">
        <f t="shared" si="1083"/>
        <v>Gómez</v>
      </c>
      <c r="G6115" s="8">
        <v>1</v>
      </c>
      <c r="H6115" s="11">
        <v>800</v>
      </c>
      <c r="I6115" s="12">
        <v>43191</v>
      </c>
      <c r="J6115" s="35">
        <f t="shared" si="1084"/>
        <v>0</v>
      </c>
      <c r="K6115" s="36"/>
      <c r="L6115" s="36"/>
      <c r="M6115" s="36"/>
      <c r="N6115" s="36"/>
      <c r="O6115" s="36"/>
      <c r="P6115" s="36"/>
      <c r="Q6115" s="36"/>
      <c r="R6115" s="36"/>
      <c r="S6115" s="36"/>
      <c r="T6115" s="36"/>
      <c r="U6115" s="36"/>
      <c r="V6115" s="36"/>
      <c r="W6115" s="15">
        <f t="shared" si="1085"/>
        <v>0</v>
      </c>
      <c r="X6115" s="36"/>
      <c r="Y6115" s="36"/>
      <c r="Z6115" s="36"/>
      <c r="AA6115" s="36"/>
      <c r="AB6115" s="36">
        <v>400</v>
      </c>
      <c r="AC6115" s="36">
        <v>400</v>
      </c>
      <c r="AD6115" s="36"/>
      <c r="AE6115" s="36"/>
      <c r="AF6115" s="36"/>
      <c r="AG6115" s="36"/>
      <c r="AH6115" s="36"/>
      <c r="AI6115" s="36"/>
      <c r="AJ6115" s="15">
        <f t="shared" si="1086"/>
        <v>800</v>
      </c>
      <c r="AK6115" s="14"/>
      <c r="AL6115" s="14"/>
      <c r="AM6115" s="14"/>
      <c r="AN6115" s="14"/>
      <c r="AO6115" s="14"/>
      <c r="AP6115" s="14"/>
      <c r="AQ6115" s="14"/>
      <c r="AR6115" s="14"/>
      <c r="AS6115" s="14"/>
      <c r="AT6115" s="14"/>
      <c r="AU6115" s="14"/>
      <c r="AV6115" s="14"/>
      <c r="AW6115" s="15">
        <f t="shared" si="1087"/>
        <v>0</v>
      </c>
      <c r="AX6115" s="16"/>
    </row>
    <row r="6116" spans="2:50" x14ac:dyDescent="0.2">
      <c r="B6116" s="7"/>
      <c r="C6116" s="8">
        <v>16237</v>
      </c>
      <c r="D6116" s="9" t="s">
        <v>574</v>
      </c>
      <c r="E6116" s="10" t="str">
        <f t="shared" si="1082"/>
        <v xml:space="preserve">Rancho Upácuaro No. 94 </v>
      </c>
      <c r="F6116" s="10" t="str">
        <f t="shared" si="1083"/>
        <v>Juárez Patiño</v>
      </c>
      <c r="G6116" s="8">
        <v>1</v>
      </c>
      <c r="H6116" s="11">
        <v>300</v>
      </c>
      <c r="I6116" s="12">
        <v>43191</v>
      </c>
      <c r="J6116" s="35">
        <f t="shared" si="1084"/>
        <v>0</v>
      </c>
      <c r="K6116" s="36"/>
      <c r="L6116" s="36"/>
      <c r="M6116" s="36"/>
      <c r="N6116" s="36"/>
      <c r="O6116" s="36"/>
      <c r="P6116" s="36"/>
      <c r="Q6116" s="36"/>
      <c r="R6116" s="36"/>
      <c r="S6116" s="36"/>
      <c r="T6116" s="36"/>
      <c r="U6116" s="36"/>
      <c r="V6116" s="36"/>
      <c r="W6116" s="15">
        <f t="shared" si="1085"/>
        <v>0</v>
      </c>
      <c r="X6116" s="36"/>
      <c r="Y6116" s="36"/>
      <c r="Z6116" s="36"/>
      <c r="AA6116" s="36"/>
      <c r="AB6116" s="36"/>
      <c r="AC6116" s="36"/>
      <c r="AD6116" s="36"/>
      <c r="AE6116" s="36"/>
      <c r="AF6116" s="36"/>
      <c r="AG6116" s="36"/>
      <c r="AH6116" s="36"/>
      <c r="AI6116" s="36"/>
      <c r="AJ6116" s="15">
        <f t="shared" si="1086"/>
        <v>0</v>
      </c>
      <c r="AK6116" s="14"/>
      <c r="AL6116" s="14"/>
      <c r="AM6116" s="14"/>
      <c r="AN6116" s="14">
        <v>300</v>
      </c>
      <c r="AO6116" s="14"/>
      <c r="AP6116" s="14"/>
      <c r="AQ6116" s="14"/>
      <c r="AR6116" s="14"/>
      <c r="AS6116" s="14"/>
      <c r="AT6116" s="14"/>
      <c r="AU6116" s="14"/>
      <c r="AV6116" s="14"/>
      <c r="AW6116" s="15">
        <f t="shared" si="1087"/>
        <v>300</v>
      </c>
      <c r="AX6116" s="16"/>
    </row>
    <row r="6117" spans="2:50" x14ac:dyDescent="0.2">
      <c r="B6117" s="7"/>
      <c r="C6117" s="8">
        <v>16238</v>
      </c>
      <c r="D6117" s="9" t="s">
        <v>265</v>
      </c>
      <c r="E6117" s="10" t="str">
        <f t="shared" si="1082"/>
        <v>Rancho Upácuaro No. 85</v>
      </c>
      <c r="F6117" s="10" t="str">
        <f t="shared" si="1083"/>
        <v>Del Toro Huerta</v>
      </c>
      <c r="G6117" s="8">
        <v>1</v>
      </c>
      <c r="H6117" s="11">
        <v>400</v>
      </c>
      <c r="I6117" s="12">
        <v>43191</v>
      </c>
      <c r="J6117" s="35">
        <f t="shared" si="1084"/>
        <v>0</v>
      </c>
      <c r="K6117" s="36"/>
      <c r="L6117" s="36"/>
      <c r="M6117" s="36"/>
      <c r="N6117" s="36"/>
      <c r="O6117" s="36"/>
      <c r="P6117" s="36"/>
      <c r="Q6117" s="36"/>
      <c r="R6117" s="36"/>
      <c r="S6117" s="36"/>
      <c r="T6117" s="36"/>
      <c r="U6117" s="36"/>
      <c r="V6117" s="36"/>
      <c r="W6117" s="15">
        <f t="shared" si="1085"/>
        <v>0</v>
      </c>
      <c r="X6117" s="36"/>
      <c r="Y6117" s="36"/>
      <c r="Z6117" s="36"/>
      <c r="AA6117" s="36"/>
      <c r="AB6117" s="36"/>
      <c r="AC6117" s="36"/>
      <c r="AD6117" s="36"/>
      <c r="AE6117" s="36"/>
      <c r="AF6117" s="36"/>
      <c r="AG6117" s="36"/>
      <c r="AH6117" s="36"/>
      <c r="AI6117" s="36"/>
      <c r="AJ6117" s="15">
        <f t="shared" si="1086"/>
        <v>0</v>
      </c>
      <c r="AK6117" s="14"/>
      <c r="AL6117" s="14"/>
      <c r="AM6117" s="14"/>
      <c r="AN6117" s="14">
        <v>400</v>
      </c>
      <c r="AO6117" s="14"/>
      <c r="AP6117" s="14"/>
      <c r="AQ6117" s="14"/>
      <c r="AR6117" s="14"/>
      <c r="AS6117" s="14"/>
      <c r="AT6117" s="14"/>
      <c r="AU6117" s="14"/>
      <c r="AV6117" s="14"/>
      <c r="AW6117" s="15">
        <f t="shared" si="1087"/>
        <v>400</v>
      </c>
      <c r="AX6117" s="16"/>
    </row>
    <row r="6118" spans="2:50" x14ac:dyDescent="0.2">
      <c r="B6118" s="7"/>
      <c r="C6118" s="8">
        <v>16239</v>
      </c>
      <c r="D6118" s="9" t="s">
        <v>550</v>
      </c>
      <c r="E6118" s="10" t="str">
        <f t="shared" si="1082"/>
        <v>Rancho Landero No. 89</v>
      </c>
      <c r="F6118" s="10" t="str">
        <f t="shared" si="1083"/>
        <v>Del Pozo Solís</v>
      </c>
      <c r="G6118" s="8">
        <v>1</v>
      </c>
      <c r="H6118" s="11">
        <v>500</v>
      </c>
      <c r="I6118" s="12">
        <v>43191</v>
      </c>
      <c r="J6118" s="35">
        <f t="shared" si="1084"/>
        <v>0</v>
      </c>
      <c r="K6118" s="36"/>
      <c r="L6118" s="36"/>
      <c r="M6118" s="36"/>
      <c r="N6118" s="36"/>
      <c r="O6118" s="36"/>
      <c r="P6118" s="36"/>
      <c r="Q6118" s="36"/>
      <c r="R6118" s="36"/>
      <c r="S6118" s="36"/>
      <c r="T6118" s="36"/>
      <c r="U6118" s="36"/>
      <c r="V6118" s="36"/>
      <c r="W6118" s="15">
        <f t="shared" si="1085"/>
        <v>0</v>
      </c>
      <c r="X6118" s="36"/>
      <c r="Y6118" s="36"/>
      <c r="Z6118" s="36"/>
      <c r="AA6118" s="36"/>
      <c r="AB6118" s="36"/>
      <c r="AC6118" s="36"/>
      <c r="AD6118" s="36"/>
      <c r="AE6118" s="36"/>
      <c r="AF6118" s="36"/>
      <c r="AG6118" s="36"/>
      <c r="AH6118" s="36"/>
      <c r="AI6118" s="36"/>
      <c r="AJ6118" s="15">
        <f t="shared" si="1086"/>
        <v>0</v>
      </c>
      <c r="AK6118" s="14"/>
      <c r="AL6118" s="14">
        <v>250</v>
      </c>
      <c r="AM6118" s="14">
        <v>250</v>
      </c>
      <c r="AN6118" s="14"/>
      <c r="AO6118" s="14"/>
      <c r="AP6118" s="14"/>
      <c r="AQ6118" s="14"/>
      <c r="AR6118" s="14"/>
      <c r="AS6118" s="14"/>
      <c r="AT6118" s="14"/>
      <c r="AU6118" s="14"/>
      <c r="AV6118" s="14"/>
      <c r="AW6118" s="15">
        <f t="shared" si="1087"/>
        <v>500</v>
      </c>
      <c r="AX6118" s="16"/>
    </row>
    <row r="6119" spans="2:50" x14ac:dyDescent="0.2">
      <c r="B6119" s="7"/>
      <c r="C6119" s="8">
        <v>16240</v>
      </c>
      <c r="D6119" s="9" t="s">
        <v>678</v>
      </c>
      <c r="E6119" s="10" t="str">
        <f t="shared" si="1082"/>
        <v>Rancho Upácuaro No. 76</v>
      </c>
      <c r="F6119" s="10" t="str">
        <f t="shared" si="1083"/>
        <v>Ruiz de San Pedro</v>
      </c>
      <c r="G6119" s="8">
        <v>1</v>
      </c>
      <c r="H6119" s="11">
        <v>400</v>
      </c>
      <c r="I6119" s="12">
        <v>43191</v>
      </c>
      <c r="J6119" s="35">
        <f t="shared" si="1084"/>
        <v>0</v>
      </c>
      <c r="K6119" s="36"/>
      <c r="L6119" s="36"/>
      <c r="M6119" s="36"/>
      <c r="N6119" s="36"/>
      <c r="O6119" s="36"/>
      <c r="P6119" s="36"/>
      <c r="Q6119" s="36"/>
      <c r="R6119" s="36"/>
      <c r="S6119" s="36"/>
      <c r="T6119" s="36"/>
      <c r="U6119" s="36"/>
      <c r="V6119" s="36"/>
      <c r="W6119" s="15">
        <f t="shared" si="1085"/>
        <v>0</v>
      </c>
      <c r="X6119" s="36"/>
      <c r="Y6119" s="36"/>
      <c r="Z6119" s="36"/>
      <c r="AA6119" s="36"/>
      <c r="AB6119" s="36"/>
      <c r="AC6119" s="36"/>
      <c r="AD6119" s="36"/>
      <c r="AE6119" s="36"/>
      <c r="AF6119" s="36"/>
      <c r="AG6119" s="36"/>
      <c r="AH6119" s="36"/>
      <c r="AI6119" s="36"/>
      <c r="AJ6119" s="15">
        <f t="shared" si="1086"/>
        <v>0</v>
      </c>
      <c r="AK6119" s="14"/>
      <c r="AL6119" s="14"/>
      <c r="AM6119" s="14"/>
      <c r="AN6119" s="14">
        <v>400</v>
      </c>
      <c r="AO6119" s="14"/>
      <c r="AP6119" s="14"/>
      <c r="AQ6119" s="14"/>
      <c r="AR6119" s="14"/>
      <c r="AS6119" s="14"/>
      <c r="AT6119" s="14"/>
      <c r="AU6119" s="14"/>
      <c r="AV6119" s="14"/>
      <c r="AW6119" s="15">
        <f t="shared" si="1087"/>
        <v>400</v>
      </c>
      <c r="AX6119" s="16"/>
    </row>
    <row r="6120" spans="2:50" x14ac:dyDescent="0.2">
      <c r="B6120" s="7"/>
      <c r="C6120" s="8">
        <v>16241</v>
      </c>
      <c r="D6120" s="9" t="s">
        <v>538</v>
      </c>
      <c r="E6120" s="10" t="str">
        <f t="shared" si="1082"/>
        <v>Rancho Landero No. 73</v>
      </c>
      <c r="F6120" s="10" t="str">
        <f t="shared" si="1083"/>
        <v>Islas Palacios</v>
      </c>
      <c r="G6120" s="8">
        <v>1</v>
      </c>
      <c r="H6120" s="11">
        <v>400</v>
      </c>
      <c r="I6120" s="12">
        <v>43191</v>
      </c>
      <c r="J6120" s="35">
        <f t="shared" si="1084"/>
        <v>0</v>
      </c>
      <c r="K6120" s="36"/>
      <c r="L6120" s="36"/>
      <c r="M6120" s="36"/>
      <c r="N6120" s="36"/>
      <c r="O6120" s="36"/>
      <c r="P6120" s="36"/>
      <c r="Q6120" s="36"/>
      <c r="R6120" s="36"/>
      <c r="S6120" s="36"/>
      <c r="T6120" s="36"/>
      <c r="U6120" s="36"/>
      <c r="V6120" s="36"/>
      <c r="W6120" s="15">
        <f t="shared" si="1085"/>
        <v>0</v>
      </c>
      <c r="X6120" s="36"/>
      <c r="Y6120" s="36"/>
      <c r="Z6120" s="36"/>
      <c r="AA6120" s="36"/>
      <c r="AB6120" s="36"/>
      <c r="AC6120" s="36"/>
      <c r="AD6120" s="36"/>
      <c r="AE6120" s="36"/>
      <c r="AF6120" s="36"/>
      <c r="AG6120" s="36"/>
      <c r="AH6120" s="36"/>
      <c r="AI6120" s="36"/>
      <c r="AJ6120" s="15">
        <f t="shared" si="1086"/>
        <v>0</v>
      </c>
      <c r="AK6120" s="14"/>
      <c r="AL6120" s="14"/>
      <c r="AM6120" s="14">
        <v>400</v>
      </c>
      <c r="AN6120" s="14"/>
      <c r="AO6120" s="14"/>
      <c r="AP6120" s="14"/>
      <c r="AQ6120" s="14"/>
      <c r="AR6120" s="14"/>
      <c r="AS6120" s="14"/>
      <c r="AT6120" s="14"/>
      <c r="AU6120" s="14"/>
      <c r="AV6120" s="14"/>
      <c r="AW6120" s="15">
        <f t="shared" si="1087"/>
        <v>400</v>
      </c>
      <c r="AX6120" s="16"/>
    </row>
    <row r="6121" spans="2:50" x14ac:dyDescent="0.2">
      <c r="B6121" s="7"/>
      <c r="C6121" s="8">
        <v>16242</v>
      </c>
      <c r="D6121" s="9" t="s">
        <v>84</v>
      </c>
      <c r="E6121" s="10" t="str">
        <f t="shared" si="1082"/>
        <v>Rancho La Cuchilla No. 139</v>
      </c>
      <c r="F6121" s="10" t="str">
        <f t="shared" si="1083"/>
        <v>Garcia</v>
      </c>
      <c r="G6121" s="8">
        <v>1</v>
      </c>
      <c r="H6121" s="11">
        <v>200</v>
      </c>
      <c r="I6121" s="12">
        <v>43191</v>
      </c>
      <c r="J6121" s="35">
        <f t="shared" si="1084"/>
        <v>0</v>
      </c>
      <c r="K6121" s="36"/>
      <c r="L6121" s="36"/>
      <c r="M6121" s="36"/>
      <c r="N6121" s="36"/>
      <c r="O6121" s="36"/>
      <c r="P6121" s="36"/>
      <c r="Q6121" s="36"/>
      <c r="R6121" s="36"/>
      <c r="S6121" s="36"/>
      <c r="T6121" s="36"/>
      <c r="U6121" s="36"/>
      <c r="V6121" s="36"/>
      <c r="W6121" s="15">
        <f t="shared" si="1085"/>
        <v>0</v>
      </c>
      <c r="X6121" s="36"/>
      <c r="Y6121" s="36"/>
      <c r="Z6121" s="36"/>
      <c r="AA6121" s="36"/>
      <c r="AB6121" s="36"/>
      <c r="AC6121" s="36"/>
      <c r="AD6121" s="36"/>
      <c r="AE6121" s="36"/>
      <c r="AF6121" s="36"/>
      <c r="AG6121" s="36"/>
      <c r="AH6121" s="36"/>
      <c r="AI6121" s="36"/>
      <c r="AJ6121" s="15">
        <f t="shared" si="1086"/>
        <v>0</v>
      </c>
      <c r="AK6121" s="14"/>
      <c r="AL6121" s="14"/>
      <c r="AM6121" s="14"/>
      <c r="AN6121" s="14">
        <v>200</v>
      </c>
      <c r="AO6121" s="14"/>
      <c r="AP6121" s="14"/>
      <c r="AQ6121" s="14"/>
      <c r="AR6121" s="14"/>
      <c r="AS6121" s="14"/>
      <c r="AT6121" s="14"/>
      <c r="AU6121" s="14"/>
      <c r="AV6121" s="14"/>
      <c r="AW6121" s="15">
        <f t="shared" si="1087"/>
        <v>200</v>
      </c>
      <c r="AX6121" s="16"/>
    </row>
    <row r="6122" spans="2:50" x14ac:dyDescent="0.2">
      <c r="B6122" s="7"/>
      <c r="C6122" s="8">
        <v>16243</v>
      </c>
      <c r="D6122" s="9" t="s">
        <v>325</v>
      </c>
      <c r="E6122" s="10" t="str">
        <f t="shared" si="1082"/>
        <v>Rancho Upácuaro No. 120</v>
      </c>
      <c r="F6122" s="10" t="str">
        <f t="shared" si="1083"/>
        <v>Rayas Rivera</v>
      </c>
      <c r="G6122" s="8">
        <v>1</v>
      </c>
      <c r="H6122" s="11">
        <v>400</v>
      </c>
      <c r="I6122" s="12">
        <v>43191</v>
      </c>
      <c r="J6122" s="35">
        <f t="shared" si="1084"/>
        <v>0</v>
      </c>
      <c r="K6122" s="36"/>
      <c r="L6122" s="36"/>
      <c r="M6122" s="36"/>
      <c r="N6122" s="36"/>
      <c r="O6122" s="36"/>
      <c r="P6122" s="36"/>
      <c r="Q6122" s="36"/>
      <c r="R6122" s="36"/>
      <c r="S6122" s="36"/>
      <c r="T6122" s="36"/>
      <c r="U6122" s="36"/>
      <c r="V6122" s="36"/>
      <c r="W6122" s="15">
        <f t="shared" si="1085"/>
        <v>0</v>
      </c>
      <c r="X6122" s="36"/>
      <c r="Y6122" s="36"/>
      <c r="Z6122" s="36"/>
      <c r="AA6122" s="36"/>
      <c r="AB6122" s="36"/>
      <c r="AC6122" s="36"/>
      <c r="AD6122" s="36"/>
      <c r="AE6122" s="36"/>
      <c r="AF6122" s="36"/>
      <c r="AG6122" s="36"/>
      <c r="AH6122" s="36"/>
      <c r="AI6122" s="36"/>
      <c r="AJ6122" s="15">
        <f t="shared" si="1086"/>
        <v>0</v>
      </c>
      <c r="AK6122" s="14"/>
      <c r="AL6122" s="14"/>
      <c r="AM6122" s="14"/>
      <c r="AN6122" s="14">
        <v>400</v>
      </c>
      <c r="AO6122" s="14"/>
      <c r="AP6122" s="14"/>
      <c r="AQ6122" s="14"/>
      <c r="AR6122" s="14"/>
      <c r="AS6122" s="14"/>
      <c r="AT6122" s="14"/>
      <c r="AU6122" s="14"/>
      <c r="AV6122" s="14"/>
      <c r="AW6122" s="15">
        <f t="shared" si="1087"/>
        <v>400</v>
      </c>
      <c r="AX6122" s="16"/>
    </row>
    <row r="6123" spans="2:50" x14ac:dyDescent="0.2">
      <c r="B6123" s="7"/>
      <c r="C6123" s="8">
        <v>16244</v>
      </c>
      <c r="D6123" s="9" t="s">
        <v>520</v>
      </c>
      <c r="E6123" s="10" t="str">
        <f t="shared" si="1082"/>
        <v>Rancho Landero No. 38</v>
      </c>
      <c r="F6123" s="10" t="str">
        <f t="shared" si="1083"/>
        <v>Sánchez Peña</v>
      </c>
      <c r="G6123" s="8">
        <v>1</v>
      </c>
      <c r="H6123" s="11">
        <v>800</v>
      </c>
      <c r="I6123" s="12">
        <v>43191</v>
      </c>
      <c r="J6123" s="35">
        <f t="shared" si="1084"/>
        <v>0</v>
      </c>
      <c r="K6123" s="36"/>
      <c r="L6123" s="36"/>
      <c r="M6123" s="36"/>
      <c r="N6123" s="36"/>
      <c r="O6123" s="36"/>
      <c r="P6123" s="36"/>
      <c r="Q6123" s="36"/>
      <c r="R6123" s="36"/>
      <c r="S6123" s="36"/>
      <c r="T6123" s="36"/>
      <c r="U6123" s="36"/>
      <c r="V6123" s="36"/>
      <c r="W6123" s="15">
        <f t="shared" si="1085"/>
        <v>0</v>
      </c>
      <c r="X6123" s="36"/>
      <c r="Y6123" s="36"/>
      <c r="Z6123" s="36"/>
      <c r="AA6123" s="36"/>
      <c r="AB6123" s="36"/>
      <c r="AC6123" s="36"/>
      <c r="AD6123" s="36"/>
      <c r="AE6123" s="36"/>
      <c r="AF6123" s="36"/>
      <c r="AG6123" s="36"/>
      <c r="AH6123" s="36"/>
      <c r="AI6123" s="36"/>
      <c r="AJ6123" s="15">
        <f t="shared" si="1086"/>
        <v>0</v>
      </c>
      <c r="AK6123" s="14"/>
      <c r="AL6123" s="14"/>
      <c r="AM6123" s="14">
        <v>400</v>
      </c>
      <c r="AN6123" s="14">
        <v>400</v>
      </c>
      <c r="AO6123" s="14"/>
      <c r="AP6123" s="14"/>
      <c r="AQ6123" s="14"/>
      <c r="AR6123" s="14"/>
      <c r="AS6123" s="14"/>
      <c r="AT6123" s="14"/>
      <c r="AU6123" s="14"/>
      <c r="AV6123" s="14"/>
      <c r="AW6123" s="15">
        <f t="shared" si="1087"/>
        <v>800</v>
      </c>
      <c r="AX6123" s="16"/>
    </row>
    <row r="6124" spans="2:50" x14ac:dyDescent="0.2">
      <c r="B6124" s="7"/>
      <c r="C6124" s="8">
        <v>16245</v>
      </c>
      <c r="D6124" s="9" t="s">
        <v>109</v>
      </c>
      <c r="E6124" s="10" t="str">
        <f t="shared" si="1082"/>
        <v>Rancho Estanzuela No. 31</v>
      </c>
      <c r="F6124" s="10" t="str">
        <f t="shared" si="1083"/>
        <v>Chávez Valdés</v>
      </c>
      <c r="G6124" s="8">
        <v>1</v>
      </c>
      <c r="H6124" s="11">
        <v>400</v>
      </c>
      <c r="I6124" s="12">
        <v>43191</v>
      </c>
      <c r="J6124" s="35">
        <f t="shared" si="1084"/>
        <v>0</v>
      </c>
      <c r="K6124" s="36"/>
      <c r="L6124" s="36"/>
      <c r="M6124" s="36"/>
      <c r="N6124" s="36"/>
      <c r="O6124" s="36"/>
      <c r="P6124" s="36"/>
      <c r="Q6124" s="36"/>
      <c r="R6124" s="36"/>
      <c r="S6124" s="36"/>
      <c r="T6124" s="36"/>
      <c r="U6124" s="36"/>
      <c r="V6124" s="36"/>
      <c r="W6124" s="15">
        <f t="shared" si="1085"/>
        <v>0</v>
      </c>
      <c r="X6124" s="36"/>
      <c r="Y6124" s="36"/>
      <c r="Z6124" s="36"/>
      <c r="AA6124" s="36"/>
      <c r="AB6124" s="36"/>
      <c r="AC6124" s="36"/>
      <c r="AD6124" s="36"/>
      <c r="AE6124" s="36"/>
      <c r="AF6124" s="36"/>
      <c r="AG6124" s="36"/>
      <c r="AH6124" s="36"/>
      <c r="AI6124" s="36"/>
      <c r="AJ6124" s="15">
        <f t="shared" si="1086"/>
        <v>0</v>
      </c>
      <c r="AK6124" s="14"/>
      <c r="AL6124" s="14">
        <v>400</v>
      </c>
      <c r="AM6124" s="14"/>
      <c r="AN6124" s="14"/>
      <c r="AO6124" s="14"/>
      <c r="AP6124" s="14"/>
      <c r="AQ6124" s="14"/>
      <c r="AR6124" s="14"/>
      <c r="AS6124" s="14"/>
      <c r="AT6124" s="14"/>
      <c r="AU6124" s="14"/>
      <c r="AV6124" s="14"/>
      <c r="AW6124" s="15">
        <f t="shared" si="1087"/>
        <v>400</v>
      </c>
      <c r="AX6124" s="16"/>
    </row>
    <row r="6125" spans="2:50" x14ac:dyDescent="0.2">
      <c r="B6125" s="7"/>
      <c r="C6125" s="8">
        <v>16246</v>
      </c>
      <c r="D6125" s="9" t="s">
        <v>58</v>
      </c>
      <c r="E6125" s="10" t="str">
        <f t="shared" si="1082"/>
        <v>Rancho Landero No. 19</v>
      </c>
      <c r="F6125" s="10" t="str">
        <f t="shared" si="1083"/>
        <v>Becerril Amaya</v>
      </c>
      <c r="G6125" s="8">
        <v>5</v>
      </c>
      <c r="H6125" s="11">
        <v>50</v>
      </c>
      <c r="I6125" s="12">
        <v>43191</v>
      </c>
      <c r="J6125" s="35">
        <f t="shared" si="1084"/>
        <v>0</v>
      </c>
      <c r="K6125" s="36"/>
      <c r="L6125" s="36"/>
      <c r="M6125" s="36"/>
      <c r="N6125" s="36"/>
      <c r="O6125" s="36"/>
      <c r="P6125" s="36"/>
      <c r="Q6125" s="36"/>
      <c r="R6125" s="36"/>
      <c r="S6125" s="36"/>
      <c r="T6125" s="36"/>
      <c r="U6125" s="36"/>
      <c r="V6125" s="36"/>
      <c r="W6125" s="15">
        <f t="shared" si="1085"/>
        <v>0</v>
      </c>
      <c r="X6125" s="36"/>
      <c r="Y6125" s="36"/>
      <c r="Z6125" s="36"/>
      <c r="AA6125" s="36"/>
      <c r="AB6125" s="36"/>
      <c r="AC6125" s="36"/>
      <c r="AD6125" s="36"/>
      <c r="AE6125" s="36"/>
      <c r="AF6125" s="36"/>
      <c r="AG6125" s="36"/>
      <c r="AH6125" s="36"/>
      <c r="AI6125" s="36"/>
      <c r="AJ6125" s="15">
        <f t="shared" si="1086"/>
        <v>0</v>
      </c>
      <c r="AK6125" s="14"/>
      <c r="AL6125" s="14"/>
      <c r="AM6125" s="14"/>
      <c r="AN6125" s="14"/>
      <c r="AO6125" s="14"/>
      <c r="AP6125" s="14"/>
      <c r="AQ6125" s="14"/>
      <c r="AR6125" s="14"/>
      <c r="AS6125" s="14"/>
      <c r="AT6125" s="14"/>
      <c r="AU6125" s="14"/>
      <c r="AV6125" s="14"/>
      <c r="AW6125" s="15">
        <f t="shared" si="1087"/>
        <v>0</v>
      </c>
      <c r="AX6125" s="16"/>
    </row>
    <row r="6126" spans="2:50" x14ac:dyDescent="0.2">
      <c r="B6126" s="7"/>
      <c r="C6126" s="8">
        <v>16247</v>
      </c>
      <c r="D6126" s="9" t="s">
        <v>556</v>
      </c>
      <c r="E6126" s="10" t="str">
        <f t="shared" si="1082"/>
        <v>Rancho Zinamba No. 26</v>
      </c>
      <c r="F6126" s="10" t="str">
        <f t="shared" si="1083"/>
        <v>Ayala</v>
      </c>
      <c r="G6126" s="8">
        <v>1</v>
      </c>
      <c r="H6126" s="11">
        <v>800</v>
      </c>
      <c r="I6126" s="12">
        <v>43191</v>
      </c>
      <c r="J6126" s="35">
        <f t="shared" si="1084"/>
        <v>0</v>
      </c>
      <c r="K6126" s="36"/>
      <c r="L6126" s="36"/>
      <c r="M6126" s="36"/>
      <c r="N6126" s="36"/>
      <c r="O6126" s="36"/>
      <c r="P6126" s="36"/>
      <c r="Q6126" s="36"/>
      <c r="R6126" s="36"/>
      <c r="S6126" s="36"/>
      <c r="T6126" s="36"/>
      <c r="U6126" s="36"/>
      <c r="V6126" s="36"/>
      <c r="W6126" s="15">
        <f t="shared" si="1085"/>
        <v>0</v>
      </c>
      <c r="X6126" s="36"/>
      <c r="Y6126" s="36"/>
      <c r="Z6126" s="36"/>
      <c r="AA6126" s="36"/>
      <c r="AB6126" s="36"/>
      <c r="AC6126" s="36"/>
      <c r="AD6126" s="36"/>
      <c r="AE6126" s="36"/>
      <c r="AF6126" s="36"/>
      <c r="AG6126" s="36"/>
      <c r="AH6126" s="36"/>
      <c r="AI6126" s="36"/>
      <c r="AJ6126" s="15">
        <f t="shared" si="1086"/>
        <v>0</v>
      </c>
      <c r="AK6126" s="14">
        <v>400</v>
      </c>
      <c r="AL6126" s="14">
        <v>400</v>
      </c>
      <c r="AM6126" s="14"/>
      <c r="AN6126" s="14"/>
      <c r="AO6126" s="14"/>
      <c r="AP6126" s="14"/>
      <c r="AQ6126" s="14"/>
      <c r="AR6126" s="14"/>
      <c r="AS6126" s="14"/>
      <c r="AT6126" s="14"/>
      <c r="AU6126" s="14"/>
      <c r="AV6126" s="14"/>
      <c r="AW6126" s="15">
        <f t="shared" si="1087"/>
        <v>800</v>
      </c>
      <c r="AX6126" s="16"/>
    </row>
    <row r="6127" spans="2:50" x14ac:dyDescent="0.2">
      <c r="B6127" s="7"/>
      <c r="C6127" s="8">
        <v>16248</v>
      </c>
      <c r="D6127" s="9" t="s">
        <v>749</v>
      </c>
      <c r="E6127" s="10" t="str">
        <f t="shared" si="1082"/>
        <v>Rancho Landero No. 96</v>
      </c>
      <c r="F6127" s="10" t="str">
        <f t="shared" si="1083"/>
        <v>Espinoza Aguirre</v>
      </c>
      <c r="G6127" s="8">
        <v>1</v>
      </c>
      <c r="H6127" s="11">
        <v>800</v>
      </c>
      <c r="I6127" s="12">
        <v>43191</v>
      </c>
      <c r="J6127" s="35">
        <f t="shared" si="1084"/>
        <v>0</v>
      </c>
      <c r="K6127" s="36"/>
      <c r="L6127" s="36"/>
      <c r="M6127" s="36"/>
      <c r="N6127" s="36"/>
      <c r="O6127" s="36"/>
      <c r="P6127" s="36"/>
      <c r="Q6127" s="36"/>
      <c r="R6127" s="36"/>
      <c r="S6127" s="36"/>
      <c r="T6127" s="36"/>
      <c r="U6127" s="36"/>
      <c r="V6127" s="36"/>
      <c r="W6127" s="15">
        <f t="shared" si="1085"/>
        <v>0</v>
      </c>
      <c r="X6127" s="36"/>
      <c r="Y6127" s="36"/>
      <c r="Z6127" s="36"/>
      <c r="AA6127" s="36"/>
      <c r="AB6127" s="36"/>
      <c r="AC6127" s="36"/>
      <c r="AD6127" s="36"/>
      <c r="AE6127" s="36"/>
      <c r="AF6127" s="36"/>
      <c r="AG6127" s="36"/>
      <c r="AH6127" s="36"/>
      <c r="AI6127" s="36"/>
      <c r="AJ6127" s="15">
        <f t="shared" si="1086"/>
        <v>0</v>
      </c>
      <c r="AK6127" s="14"/>
      <c r="AL6127" s="14"/>
      <c r="AM6127" s="14">
        <v>400</v>
      </c>
      <c r="AN6127" s="14">
        <v>400</v>
      </c>
      <c r="AO6127" s="14"/>
      <c r="AP6127" s="14"/>
      <c r="AQ6127" s="14"/>
      <c r="AR6127" s="14"/>
      <c r="AS6127" s="14"/>
      <c r="AT6127" s="14"/>
      <c r="AU6127" s="14"/>
      <c r="AV6127" s="14"/>
      <c r="AW6127" s="15">
        <f t="shared" si="1087"/>
        <v>800</v>
      </c>
      <c r="AX6127" s="16"/>
    </row>
    <row r="6128" spans="2:50" x14ac:dyDescent="0.2">
      <c r="B6128" s="7"/>
      <c r="C6128" s="8">
        <v>16249</v>
      </c>
      <c r="D6128" s="9" t="s">
        <v>271</v>
      </c>
      <c r="E6128" s="10" t="str">
        <f t="shared" si="1082"/>
        <v>Rancho Landero No. 76</v>
      </c>
      <c r="F6128" s="10" t="str">
        <f t="shared" si="1083"/>
        <v>Ugarte</v>
      </c>
      <c r="G6128" s="8">
        <v>1</v>
      </c>
      <c r="H6128" s="11">
        <v>400</v>
      </c>
      <c r="I6128" s="12">
        <v>43191</v>
      </c>
      <c r="J6128" s="35">
        <f t="shared" si="1084"/>
        <v>0</v>
      </c>
      <c r="K6128" s="36"/>
      <c r="L6128" s="36"/>
      <c r="M6128" s="36"/>
      <c r="N6128" s="36"/>
      <c r="O6128" s="36"/>
      <c r="P6128" s="36"/>
      <c r="Q6128" s="36"/>
      <c r="R6128" s="36"/>
      <c r="S6128" s="36"/>
      <c r="T6128" s="36"/>
      <c r="U6128" s="36"/>
      <c r="V6128" s="36"/>
      <c r="W6128" s="15">
        <f t="shared" si="1085"/>
        <v>0</v>
      </c>
      <c r="X6128" s="36"/>
      <c r="Y6128" s="36"/>
      <c r="Z6128" s="36"/>
      <c r="AA6128" s="36"/>
      <c r="AB6128" s="36"/>
      <c r="AC6128" s="36"/>
      <c r="AD6128" s="36"/>
      <c r="AE6128" s="36"/>
      <c r="AF6128" s="36"/>
      <c r="AG6128" s="36"/>
      <c r="AH6128" s="36"/>
      <c r="AI6128" s="36"/>
      <c r="AJ6128" s="15">
        <f t="shared" si="1086"/>
        <v>0</v>
      </c>
      <c r="AK6128" s="14"/>
      <c r="AL6128" s="14"/>
      <c r="AM6128" s="14"/>
      <c r="AN6128" s="14">
        <v>400</v>
      </c>
      <c r="AO6128" s="14"/>
      <c r="AP6128" s="14"/>
      <c r="AQ6128" s="14"/>
      <c r="AR6128" s="14"/>
      <c r="AS6128" s="14"/>
      <c r="AT6128" s="14"/>
      <c r="AU6128" s="14"/>
      <c r="AV6128" s="14"/>
      <c r="AW6128" s="15">
        <f t="shared" si="1087"/>
        <v>400</v>
      </c>
      <c r="AX6128" s="16"/>
    </row>
    <row r="6129" spans="2:50" x14ac:dyDescent="0.2">
      <c r="B6129" s="7"/>
      <c r="C6129" s="8">
        <v>16250</v>
      </c>
      <c r="D6129" s="9" t="s">
        <v>740</v>
      </c>
      <c r="E6129" s="10" t="str">
        <f t="shared" si="1082"/>
        <v>Rancho Upácuaro No. 65</v>
      </c>
      <c r="F6129" s="10" t="str">
        <f t="shared" si="1083"/>
        <v>Cruz González</v>
      </c>
      <c r="G6129" s="8">
        <v>1</v>
      </c>
      <c r="H6129" s="11">
        <v>400</v>
      </c>
      <c r="I6129" s="12">
        <v>43191</v>
      </c>
      <c r="J6129" s="35">
        <f t="shared" si="1084"/>
        <v>0</v>
      </c>
      <c r="K6129" s="36"/>
      <c r="L6129" s="36"/>
      <c r="M6129" s="36"/>
      <c r="N6129" s="36"/>
      <c r="O6129" s="36"/>
      <c r="P6129" s="36"/>
      <c r="Q6129" s="36"/>
      <c r="R6129" s="36"/>
      <c r="S6129" s="36"/>
      <c r="T6129" s="36"/>
      <c r="U6129" s="36"/>
      <c r="V6129" s="36"/>
      <c r="W6129" s="15">
        <f t="shared" si="1085"/>
        <v>0</v>
      </c>
      <c r="X6129" s="36"/>
      <c r="Y6129" s="36"/>
      <c r="Z6129" s="36"/>
      <c r="AA6129" s="36"/>
      <c r="AB6129" s="36"/>
      <c r="AC6129" s="36"/>
      <c r="AD6129" s="36"/>
      <c r="AE6129" s="36"/>
      <c r="AF6129" s="36"/>
      <c r="AG6129" s="36"/>
      <c r="AH6129" s="36"/>
      <c r="AI6129" s="36"/>
      <c r="AJ6129" s="15">
        <f t="shared" si="1086"/>
        <v>0</v>
      </c>
      <c r="AK6129" s="14"/>
      <c r="AL6129" s="14"/>
      <c r="AM6129" s="14">
        <v>400</v>
      </c>
      <c r="AN6129" s="14"/>
      <c r="AO6129" s="14"/>
      <c r="AP6129" s="14"/>
      <c r="AQ6129" s="14"/>
      <c r="AR6129" s="14"/>
      <c r="AS6129" s="14"/>
      <c r="AT6129" s="14"/>
      <c r="AU6129" s="14"/>
      <c r="AV6129" s="14"/>
      <c r="AW6129" s="15">
        <f t="shared" si="1087"/>
        <v>400</v>
      </c>
      <c r="AX6129" s="16"/>
    </row>
    <row r="6130" spans="2:50" x14ac:dyDescent="0.2">
      <c r="B6130" s="7"/>
      <c r="C6130" s="8">
        <v>16251</v>
      </c>
      <c r="D6130" s="9" t="s">
        <v>631</v>
      </c>
      <c r="E6130" s="10" t="str">
        <f t="shared" si="1082"/>
        <v>Rancho Romeral No. 10, B</v>
      </c>
      <c r="F6130" s="10" t="str">
        <f t="shared" si="1083"/>
        <v>López Castellano</v>
      </c>
      <c r="G6130" s="8">
        <v>1</v>
      </c>
      <c r="H6130" s="11">
        <v>600</v>
      </c>
      <c r="I6130" s="12">
        <v>43191</v>
      </c>
      <c r="J6130" s="35">
        <f t="shared" si="1084"/>
        <v>0</v>
      </c>
      <c r="K6130" s="36"/>
      <c r="L6130" s="36"/>
      <c r="M6130" s="36"/>
      <c r="N6130" s="36"/>
      <c r="O6130" s="36"/>
      <c r="P6130" s="36"/>
      <c r="Q6130" s="36"/>
      <c r="R6130" s="36"/>
      <c r="S6130" s="36"/>
      <c r="T6130" s="36"/>
      <c r="U6130" s="36"/>
      <c r="V6130" s="36"/>
      <c r="W6130" s="15">
        <f t="shared" si="1085"/>
        <v>0</v>
      </c>
      <c r="X6130" s="36"/>
      <c r="Y6130" s="36"/>
      <c r="Z6130" s="36"/>
      <c r="AA6130" s="36"/>
      <c r="AB6130" s="36"/>
      <c r="AC6130" s="36"/>
      <c r="AD6130" s="36"/>
      <c r="AE6130" s="36"/>
      <c r="AF6130" s="36"/>
      <c r="AG6130" s="36"/>
      <c r="AH6130" s="36"/>
      <c r="AI6130" s="36"/>
      <c r="AJ6130" s="15">
        <f t="shared" si="1086"/>
        <v>0</v>
      </c>
      <c r="AK6130" s="14"/>
      <c r="AL6130" s="14">
        <v>300</v>
      </c>
      <c r="AM6130" s="14">
        <v>300</v>
      </c>
      <c r="AN6130" s="14"/>
      <c r="AO6130" s="14"/>
      <c r="AP6130" s="14"/>
      <c r="AQ6130" s="14"/>
      <c r="AR6130" s="14"/>
      <c r="AS6130" s="14"/>
      <c r="AT6130" s="14"/>
      <c r="AU6130" s="14"/>
      <c r="AV6130" s="14"/>
      <c r="AW6130" s="15">
        <f t="shared" si="1087"/>
        <v>600</v>
      </c>
      <c r="AX6130" s="16"/>
    </row>
    <row r="6131" spans="2:50" x14ac:dyDescent="0.2">
      <c r="B6131" s="7"/>
      <c r="C6131" s="8">
        <v>16252</v>
      </c>
      <c r="D6131" s="9" t="s">
        <v>328</v>
      </c>
      <c r="E6131" s="10" t="str">
        <f t="shared" si="1082"/>
        <v>Rancho La Cuchilla No. 130</v>
      </c>
      <c r="F6131" s="10" t="str">
        <f t="shared" si="1083"/>
        <v>Gonzalez</v>
      </c>
      <c r="G6131" s="8">
        <v>1</v>
      </c>
      <c r="H6131" s="11">
        <v>400</v>
      </c>
      <c r="I6131" s="12">
        <v>43191</v>
      </c>
      <c r="J6131" s="35">
        <f t="shared" si="1084"/>
        <v>0</v>
      </c>
      <c r="K6131" s="36"/>
      <c r="L6131" s="36"/>
      <c r="M6131" s="36"/>
      <c r="N6131" s="36"/>
      <c r="O6131" s="36"/>
      <c r="P6131" s="36"/>
      <c r="Q6131" s="36"/>
      <c r="R6131" s="36"/>
      <c r="S6131" s="36"/>
      <c r="T6131" s="36"/>
      <c r="U6131" s="36"/>
      <c r="V6131" s="36"/>
      <c r="W6131" s="15">
        <f t="shared" si="1085"/>
        <v>0</v>
      </c>
      <c r="X6131" s="36"/>
      <c r="Y6131" s="36"/>
      <c r="Z6131" s="36"/>
      <c r="AA6131" s="36"/>
      <c r="AB6131" s="36"/>
      <c r="AC6131" s="36"/>
      <c r="AD6131" s="36"/>
      <c r="AE6131" s="36"/>
      <c r="AF6131" s="36"/>
      <c r="AG6131" s="36"/>
      <c r="AH6131" s="36"/>
      <c r="AI6131" s="36"/>
      <c r="AJ6131" s="15">
        <f t="shared" si="1086"/>
        <v>0</v>
      </c>
      <c r="AK6131" s="14"/>
      <c r="AL6131" s="14"/>
      <c r="AM6131" s="14"/>
      <c r="AN6131" s="14">
        <v>400</v>
      </c>
      <c r="AO6131" s="14"/>
      <c r="AP6131" s="14"/>
      <c r="AQ6131" s="14"/>
      <c r="AR6131" s="14"/>
      <c r="AS6131" s="14"/>
      <c r="AT6131" s="14"/>
      <c r="AU6131" s="14"/>
      <c r="AV6131" s="14"/>
      <c r="AW6131" s="15">
        <f t="shared" si="1087"/>
        <v>400</v>
      </c>
      <c r="AX6131" s="16"/>
    </row>
    <row r="6132" spans="2:50" x14ac:dyDescent="0.2">
      <c r="B6132" s="7"/>
      <c r="C6132" s="8">
        <v>16253</v>
      </c>
      <c r="D6132" s="9" t="s">
        <v>413</v>
      </c>
      <c r="E6132" s="10" t="str">
        <f t="shared" si="1082"/>
        <v>Rancho Upácuaro No. 79</v>
      </c>
      <c r="F6132" s="10" t="str">
        <f t="shared" si="1083"/>
        <v>Macías</v>
      </c>
      <c r="G6132" s="8">
        <v>1</v>
      </c>
      <c r="H6132" s="11">
        <v>400</v>
      </c>
      <c r="I6132" s="12">
        <v>43191</v>
      </c>
      <c r="J6132" s="35">
        <f t="shared" si="1084"/>
        <v>0</v>
      </c>
      <c r="K6132" s="36"/>
      <c r="L6132" s="36"/>
      <c r="M6132" s="36"/>
      <c r="N6132" s="36"/>
      <c r="O6132" s="36"/>
      <c r="P6132" s="36"/>
      <c r="Q6132" s="36"/>
      <c r="R6132" s="36"/>
      <c r="S6132" s="36"/>
      <c r="T6132" s="36"/>
      <c r="U6132" s="36"/>
      <c r="V6132" s="36"/>
      <c r="W6132" s="15">
        <f t="shared" si="1085"/>
        <v>0</v>
      </c>
      <c r="X6132" s="36"/>
      <c r="Y6132" s="36"/>
      <c r="Z6132" s="36"/>
      <c r="AA6132" s="36"/>
      <c r="AB6132" s="36"/>
      <c r="AC6132" s="36"/>
      <c r="AD6132" s="36"/>
      <c r="AE6132" s="36"/>
      <c r="AF6132" s="36"/>
      <c r="AG6132" s="36"/>
      <c r="AH6132" s="36"/>
      <c r="AI6132" s="36"/>
      <c r="AJ6132" s="15">
        <f t="shared" si="1086"/>
        <v>0</v>
      </c>
      <c r="AK6132" s="14"/>
      <c r="AL6132" s="14"/>
      <c r="AM6132" s="14"/>
      <c r="AN6132" s="14">
        <v>400</v>
      </c>
      <c r="AO6132" s="14"/>
      <c r="AP6132" s="14"/>
      <c r="AQ6132" s="14"/>
      <c r="AR6132" s="14"/>
      <c r="AS6132" s="14"/>
      <c r="AT6132" s="14"/>
      <c r="AU6132" s="14"/>
      <c r="AV6132" s="14"/>
      <c r="AW6132" s="15">
        <f t="shared" si="1087"/>
        <v>400</v>
      </c>
      <c r="AX6132" s="16"/>
    </row>
    <row r="6133" spans="2:50" x14ac:dyDescent="0.2">
      <c r="B6133" s="7"/>
      <c r="C6133" s="8">
        <v>16254</v>
      </c>
      <c r="D6133" s="9" t="s">
        <v>794</v>
      </c>
      <c r="E6133" s="10" t="str">
        <f t="shared" si="1082"/>
        <v>Rancho Landero No. 18</v>
      </c>
      <c r="F6133" s="10" t="str">
        <f t="shared" si="1083"/>
        <v>Rosado</v>
      </c>
      <c r="G6133" s="8">
        <v>1</v>
      </c>
      <c r="H6133" s="11">
        <v>300</v>
      </c>
      <c r="I6133" s="12">
        <v>43191</v>
      </c>
      <c r="J6133" s="35">
        <f t="shared" si="1084"/>
        <v>0</v>
      </c>
      <c r="K6133" s="36"/>
      <c r="L6133" s="36"/>
      <c r="M6133" s="36"/>
      <c r="N6133" s="36"/>
      <c r="O6133" s="36"/>
      <c r="P6133" s="36"/>
      <c r="Q6133" s="36"/>
      <c r="R6133" s="36"/>
      <c r="S6133" s="36"/>
      <c r="T6133" s="36"/>
      <c r="U6133" s="36"/>
      <c r="V6133" s="36"/>
      <c r="W6133" s="15">
        <f t="shared" si="1085"/>
        <v>0</v>
      </c>
      <c r="X6133" s="36"/>
      <c r="Y6133" s="36"/>
      <c r="Z6133" s="36"/>
      <c r="AA6133" s="36"/>
      <c r="AB6133" s="36"/>
      <c r="AC6133" s="36"/>
      <c r="AD6133" s="36"/>
      <c r="AE6133" s="36"/>
      <c r="AF6133" s="36"/>
      <c r="AG6133" s="36"/>
      <c r="AH6133" s="36"/>
      <c r="AI6133" s="36"/>
      <c r="AJ6133" s="15">
        <f t="shared" si="1086"/>
        <v>0</v>
      </c>
      <c r="AK6133" s="14"/>
      <c r="AL6133" s="14"/>
      <c r="AM6133" s="14">
        <v>300</v>
      </c>
      <c r="AN6133" s="14"/>
      <c r="AO6133" s="14"/>
      <c r="AP6133" s="14"/>
      <c r="AQ6133" s="14"/>
      <c r="AR6133" s="14"/>
      <c r="AS6133" s="14"/>
      <c r="AT6133" s="14"/>
      <c r="AU6133" s="14"/>
      <c r="AV6133" s="14"/>
      <c r="AW6133" s="15">
        <f t="shared" si="1087"/>
        <v>300</v>
      </c>
      <c r="AX6133" s="16"/>
    </row>
    <row r="6134" spans="2:50" x14ac:dyDescent="0.2">
      <c r="B6134" s="7"/>
      <c r="C6134" s="8">
        <v>16255</v>
      </c>
      <c r="D6134" s="9" t="s">
        <v>241</v>
      </c>
      <c r="E6134" s="10" t="str">
        <f t="shared" si="1082"/>
        <v>Rancho La Cuchilla No. 81, A</v>
      </c>
      <c r="F6134" s="10" t="str">
        <f t="shared" si="1083"/>
        <v>Barrientos López</v>
      </c>
      <c r="G6134" s="8">
        <v>1</v>
      </c>
      <c r="H6134" s="11">
        <v>400</v>
      </c>
      <c r="I6134" s="12">
        <v>43191</v>
      </c>
      <c r="J6134" s="35">
        <f t="shared" si="1084"/>
        <v>0</v>
      </c>
      <c r="K6134" s="36"/>
      <c r="L6134" s="36"/>
      <c r="M6134" s="36"/>
      <c r="N6134" s="36"/>
      <c r="O6134" s="36"/>
      <c r="P6134" s="36"/>
      <c r="Q6134" s="36"/>
      <c r="R6134" s="36"/>
      <c r="S6134" s="36"/>
      <c r="T6134" s="36"/>
      <c r="U6134" s="36"/>
      <c r="V6134" s="36"/>
      <c r="W6134" s="15">
        <f t="shared" si="1085"/>
        <v>0</v>
      </c>
      <c r="X6134" s="36"/>
      <c r="Y6134" s="36"/>
      <c r="Z6134" s="36"/>
      <c r="AA6134" s="36"/>
      <c r="AB6134" s="36"/>
      <c r="AC6134" s="36"/>
      <c r="AD6134" s="36"/>
      <c r="AE6134" s="36"/>
      <c r="AF6134" s="36"/>
      <c r="AG6134" s="36"/>
      <c r="AH6134" s="36"/>
      <c r="AI6134" s="36"/>
      <c r="AJ6134" s="15">
        <f t="shared" si="1086"/>
        <v>0</v>
      </c>
      <c r="AK6134" s="14"/>
      <c r="AL6134" s="14"/>
      <c r="AM6134" s="14"/>
      <c r="AN6134" s="14">
        <v>400</v>
      </c>
      <c r="AO6134" s="14"/>
      <c r="AP6134" s="14"/>
      <c r="AQ6134" s="14"/>
      <c r="AR6134" s="14"/>
      <c r="AS6134" s="14"/>
      <c r="AT6134" s="14"/>
      <c r="AU6134" s="14"/>
      <c r="AV6134" s="14"/>
      <c r="AW6134" s="15">
        <f t="shared" si="1087"/>
        <v>400</v>
      </c>
      <c r="AX6134" s="16"/>
    </row>
    <row r="6135" spans="2:50" x14ac:dyDescent="0.2">
      <c r="B6135" s="7"/>
      <c r="C6135" s="8">
        <v>16256</v>
      </c>
      <c r="D6135" s="9" t="s">
        <v>62</v>
      </c>
      <c r="E6135" s="10" t="str">
        <f t="shared" si="1082"/>
        <v>Rancho Romeral No. 10, A</v>
      </c>
      <c r="F6135" s="10" t="str">
        <f t="shared" si="1083"/>
        <v>Casillas Álvarez</v>
      </c>
      <c r="G6135" s="8">
        <v>1</v>
      </c>
      <c r="H6135" s="11">
        <v>200</v>
      </c>
      <c r="I6135" s="12">
        <v>43191</v>
      </c>
      <c r="J6135" s="35">
        <f t="shared" si="1084"/>
        <v>0</v>
      </c>
      <c r="K6135" s="36"/>
      <c r="L6135" s="36"/>
      <c r="M6135" s="36"/>
      <c r="N6135" s="36"/>
      <c r="O6135" s="36"/>
      <c r="P6135" s="36"/>
      <c r="Q6135" s="36"/>
      <c r="R6135" s="36"/>
      <c r="S6135" s="36"/>
      <c r="T6135" s="36"/>
      <c r="U6135" s="36"/>
      <c r="V6135" s="36"/>
      <c r="W6135" s="15">
        <f t="shared" si="1085"/>
        <v>0</v>
      </c>
      <c r="X6135" s="36"/>
      <c r="Y6135" s="36"/>
      <c r="Z6135" s="36"/>
      <c r="AA6135" s="36"/>
      <c r="AB6135" s="36"/>
      <c r="AC6135" s="36"/>
      <c r="AD6135" s="36"/>
      <c r="AE6135" s="36"/>
      <c r="AF6135" s="36"/>
      <c r="AG6135" s="36"/>
      <c r="AH6135" s="36"/>
      <c r="AI6135" s="36"/>
      <c r="AJ6135" s="15">
        <f t="shared" si="1086"/>
        <v>0</v>
      </c>
      <c r="AK6135" s="14"/>
      <c r="AL6135" s="14"/>
      <c r="AM6135" s="14"/>
      <c r="AN6135" s="14"/>
      <c r="AO6135" s="14">
        <v>200</v>
      </c>
      <c r="AP6135" s="14"/>
      <c r="AQ6135" s="14"/>
      <c r="AR6135" s="14"/>
      <c r="AS6135" s="14"/>
      <c r="AT6135" s="14"/>
      <c r="AU6135" s="14"/>
      <c r="AV6135" s="14"/>
      <c r="AW6135" s="15">
        <f t="shared" si="1087"/>
        <v>200</v>
      </c>
      <c r="AX6135" s="16"/>
    </row>
    <row r="6136" spans="2:50" x14ac:dyDescent="0.2">
      <c r="B6136" s="7"/>
      <c r="C6136" s="8">
        <v>16257</v>
      </c>
      <c r="D6136" s="9" t="s">
        <v>268</v>
      </c>
      <c r="E6136" s="10" t="str">
        <f t="shared" si="1082"/>
        <v>Rancho Landero No. 90</v>
      </c>
      <c r="F6136" s="10" t="str">
        <f t="shared" si="1083"/>
        <v>Córdova Reséndiz</v>
      </c>
      <c r="G6136" s="8">
        <v>1</v>
      </c>
      <c r="H6136" s="11">
        <v>300</v>
      </c>
      <c r="I6136" s="12">
        <v>43191</v>
      </c>
      <c r="J6136" s="35">
        <f t="shared" si="1084"/>
        <v>0</v>
      </c>
      <c r="K6136" s="36"/>
      <c r="L6136" s="36"/>
      <c r="M6136" s="36"/>
      <c r="N6136" s="36"/>
      <c r="O6136" s="36"/>
      <c r="P6136" s="36"/>
      <c r="Q6136" s="36"/>
      <c r="R6136" s="36"/>
      <c r="S6136" s="36"/>
      <c r="T6136" s="36"/>
      <c r="U6136" s="36"/>
      <c r="V6136" s="36"/>
      <c r="W6136" s="15">
        <f t="shared" si="1085"/>
        <v>0</v>
      </c>
      <c r="X6136" s="36"/>
      <c r="Y6136" s="36"/>
      <c r="Z6136" s="36"/>
      <c r="AA6136" s="36"/>
      <c r="AB6136" s="36"/>
      <c r="AC6136" s="36"/>
      <c r="AD6136" s="36"/>
      <c r="AE6136" s="36"/>
      <c r="AF6136" s="36"/>
      <c r="AG6136" s="36"/>
      <c r="AH6136" s="36"/>
      <c r="AI6136" s="36"/>
      <c r="AJ6136" s="15">
        <f t="shared" si="1086"/>
        <v>0</v>
      </c>
      <c r="AK6136" s="14"/>
      <c r="AL6136" s="14"/>
      <c r="AM6136" s="14"/>
      <c r="AN6136" s="14">
        <v>300</v>
      </c>
      <c r="AO6136" s="14"/>
      <c r="AP6136" s="14"/>
      <c r="AQ6136" s="14"/>
      <c r="AR6136" s="14"/>
      <c r="AS6136" s="14"/>
      <c r="AT6136" s="14"/>
      <c r="AU6136" s="14"/>
      <c r="AV6136" s="14"/>
      <c r="AW6136" s="15">
        <f t="shared" si="1087"/>
        <v>300</v>
      </c>
      <c r="AX6136" s="16"/>
    </row>
    <row r="6137" spans="2:50" x14ac:dyDescent="0.2">
      <c r="B6137" s="7"/>
      <c r="C6137" s="8">
        <v>16258</v>
      </c>
      <c r="D6137" s="9" t="s">
        <v>274</v>
      </c>
      <c r="E6137" s="10" t="str">
        <f t="shared" si="1082"/>
        <v>Rancho Zinamba No. 82</v>
      </c>
      <c r="F6137" s="10" t="str">
        <f t="shared" si="1083"/>
        <v>Morán Carmona</v>
      </c>
      <c r="G6137" s="8">
        <v>1</v>
      </c>
      <c r="H6137" s="11">
        <v>1200</v>
      </c>
      <c r="I6137" s="12">
        <v>43191</v>
      </c>
      <c r="J6137" s="35">
        <f t="shared" si="1084"/>
        <v>0</v>
      </c>
      <c r="K6137" s="36"/>
      <c r="L6137" s="36"/>
      <c r="M6137" s="36"/>
      <c r="N6137" s="36"/>
      <c r="O6137" s="36"/>
      <c r="P6137" s="36"/>
      <c r="Q6137" s="36"/>
      <c r="R6137" s="36"/>
      <c r="S6137" s="36"/>
      <c r="T6137" s="36"/>
      <c r="U6137" s="36"/>
      <c r="V6137" s="36"/>
      <c r="W6137" s="15">
        <f t="shared" si="1085"/>
        <v>0</v>
      </c>
      <c r="X6137" s="36"/>
      <c r="Y6137" s="36"/>
      <c r="Z6137" s="36"/>
      <c r="AA6137" s="36"/>
      <c r="AB6137" s="36"/>
      <c r="AC6137" s="36"/>
      <c r="AD6137" s="36"/>
      <c r="AE6137" s="36"/>
      <c r="AF6137" s="36"/>
      <c r="AG6137" s="36"/>
      <c r="AH6137" s="36"/>
      <c r="AI6137" s="36"/>
      <c r="AJ6137" s="15">
        <f t="shared" si="1086"/>
        <v>0</v>
      </c>
      <c r="AK6137" s="14">
        <v>200</v>
      </c>
      <c r="AL6137" s="14">
        <v>200</v>
      </c>
      <c r="AM6137" s="14">
        <v>200</v>
      </c>
      <c r="AN6137" s="14">
        <v>200</v>
      </c>
      <c r="AO6137" s="14">
        <v>200</v>
      </c>
      <c r="AP6137" s="14">
        <v>200</v>
      </c>
      <c r="AQ6137" s="14"/>
      <c r="AR6137" s="14"/>
      <c r="AS6137" s="14"/>
      <c r="AT6137" s="14"/>
      <c r="AU6137" s="14"/>
      <c r="AV6137" s="14"/>
      <c r="AW6137" s="15">
        <f t="shared" si="1087"/>
        <v>1200</v>
      </c>
      <c r="AX6137" s="16"/>
    </row>
    <row r="6138" spans="2:50" x14ac:dyDescent="0.2">
      <c r="B6138" s="7"/>
      <c r="C6138" s="8">
        <v>16259</v>
      </c>
      <c r="D6138" s="9" t="s">
        <v>944</v>
      </c>
      <c r="E6138" s="10" t="str">
        <f t="shared" si="1082"/>
        <v>Rancho Upácuaro No. 104</v>
      </c>
      <c r="F6138" s="10" t="str">
        <f t="shared" si="1083"/>
        <v>Jiménez Almazo</v>
      </c>
      <c r="G6138" s="8">
        <v>1</v>
      </c>
      <c r="H6138" s="11">
        <v>400</v>
      </c>
      <c r="I6138" s="12">
        <v>43191</v>
      </c>
      <c r="J6138" s="35">
        <f t="shared" si="1084"/>
        <v>0</v>
      </c>
      <c r="K6138" s="36"/>
      <c r="L6138" s="36"/>
      <c r="M6138" s="36"/>
      <c r="N6138" s="36"/>
      <c r="O6138" s="36"/>
      <c r="P6138" s="36"/>
      <c r="Q6138" s="36"/>
      <c r="R6138" s="36"/>
      <c r="S6138" s="36"/>
      <c r="T6138" s="36"/>
      <c r="U6138" s="36"/>
      <c r="V6138" s="36"/>
      <c r="W6138" s="15">
        <f t="shared" si="1085"/>
        <v>0</v>
      </c>
      <c r="X6138" s="36"/>
      <c r="Y6138" s="36"/>
      <c r="Z6138" s="36"/>
      <c r="AA6138" s="36"/>
      <c r="AB6138" s="36"/>
      <c r="AC6138" s="36"/>
      <c r="AD6138" s="36"/>
      <c r="AE6138" s="36"/>
      <c r="AF6138" s="36"/>
      <c r="AG6138" s="36"/>
      <c r="AH6138" s="36"/>
      <c r="AI6138" s="36"/>
      <c r="AJ6138" s="15">
        <f t="shared" si="1086"/>
        <v>0</v>
      </c>
      <c r="AK6138" s="14"/>
      <c r="AL6138" s="14"/>
      <c r="AM6138" s="14">
        <v>400</v>
      </c>
      <c r="AN6138" s="14"/>
      <c r="AO6138" s="14"/>
      <c r="AP6138" s="14"/>
      <c r="AQ6138" s="14"/>
      <c r="AR6138" s="14"/>
      <c r="AS6138" s="14"/>
      <c r="AT6138" s="14"/>
      <c r="AU6138" s="14"/>
      <c r="AV6138" s="14"/>
      <c r="AW6138" s="15">
        <f t="shared" si="1087"/>
        <v>400</v>
      </c>
      <c r="AX6138" s="16"/>
    </row>
    <row r="6139" spans="2:50" x14ac:dyDescent="0.2">
      <c r="B6139" s="7"/>
      <c r="C6139" s="8">
        <v>16260</v>
      </c>
      <c r="D6139" s="9" t="s">
        <v>1157</v>
      </c>
      <c r="E6139" s="10" t="str">
        <f t="shared" si="1082"/>
        <v>Rancho Upácuaro No. 43</v>
      </c>
      <c r="F6139" s="10" t="str">
        <f t="shared" si="1083"/>
        <v>Yolanda</v>
      </c>
      <c r="G6139" s="8">
        <v>1</v>
      </c>
      <c r="H6139" s="11">
        <v>400</v>
      </c>
      <c r="I6139" s="12">
        <v>43191</v>
      </c>
      <c r="J6139" s="35">
        <f t="shared" si="1084"/>
        <v>0</v>
      </c>
      <c r="K6139" s="36"/>
      <c r="L6139" s="36"/>
      <c r="M6139" s="36"/>
      <c r="N6139" s="36"/>
      <c r="O6139" s="36"/>
      <c r="P6139" s="36"/>
      <c r="Q6139" s="36"/>
      <c r="R6139" s="36"/>
      <c r="S6139" s="36"/>
      <c r="T6139" s="36"/>
      <c r="U6139" s="36"/>
      <c r="V6139" s="36"/>
      <c r="W6139" s="15">
        <f t="shared" si="1085"/>
        <v>0</v>
      </c>
      <c r="X6139" s="36"/>
      <c r="Y6139" s="36"/>
      <c r="Z6139" s="36"/>
      <c r="AA6139" s="36"/>
      <c r="AB6139" s="36"/>
      <c r="AC6139" s="36"/>
      <c r="AD6139" s="36"/>
      <c r="AE6139" s="36"/>
      <c r="AF6139" s="36"/>
      <c r="AG6139" s="36">
        <v>200</v>
      </c>
      <c r="AH6139" s="36">
        <v>200</v>
      </c>
      <c r="AI6139" s="36"/>
      <c r="AJ6139" s="15">
        <f t="shared" si="1086"/>
        <v>400</v>
      </c>
      <c r="AK6139" s="14"/>
      <c r="AL6139" s="14"/>
      <c r="AM6139" s="14"/>
      <c r="AN6139" s="14"/>
      <c r="AO6139" s="14"/>
      <c r="AP6139" s="14"/>
      <c r="AQ6139" s="14"/>
      <c r="AR6139" s="14"/>
      <c r="AS6139" s="14"/>
      <c r="AT6139" s="14"/>
      <c r="AU6139" s="14"/>
      <c r="AV6139" s="14"/>
      <c r="AW6139" s="15">
        <f t="shared" si="1087"/>
        <v>0</v>
      </c>
      <c r="AX6139" s="16"/>
    </row>
    <row r="6140" spans="2:50" x14ac:dyDescent="0.2">
      <c r="B6140" s="7"/>
      <c r="C6140" s="8">
        <v>16261</v>
      </c>
      <c r="D6140" s="9" t="s">
        <v>129</v>
      </c>
      <c r="E6140" s="10" t="str">
        <f t="shared" si="1082"/>
        <v>Rancho Zinamba No. 44</v>
      </c>
      <c r="F6140" s="10" t="str">
        <f t="shared" si="1083"/>
        <v>Canales</v>
      </c>
      <c r="G6140" s="8">
        <v>1</v>
      </c>
      <c r="H6140" s="11">
        <v>400</v>
      </c>
      <c r="I6140" s="12">
        <v>43191</v>
      </c>
      <c r="J6140" s="35">
        <f t="shared" si="1084"/>
        <v>0</v>
      </c>
      <c r="K6140" s="36"/>
      <c r="L6140" s="36"/>
      <c r="M6140" s="36"/>
      <c r="N6140" s="36"/>
      <c r="O6140" s="36"/>
      <c r="P6140" s="36"/>
      <c r="Q6140" s="36"/>
      <c r="R6140" s="36"/>
      <c r="S6140" s="36"/>
      <c r="T6140" s="36"/>
      <c r="U6140" s="36"/>
      <c r="V6140" s="36"/>
      <c r="W6140" s="15">
        <f t="shared" si="1085"/>
        <v>0</v>
      </c>
      <c r="X6140" s="36"/>
      <c r="Y6140" s="36"/>
      <c r="Z6140" s="36"/>
      <c r="AA6140" s="36"/>
      <c r="AB6140" s="36"/>
      <c r="AC6140" s="36"/>
      <c r="AD6140" s="36"/>
      <c r="AE6140" s="36"/>
      <c r="AF6140" s="36"/>
      <c r="AG6140" s="36"/>
      <c r="AH6140" s="36"/>
      <c r="AI6140" s="36"/>
      <c r="AJ6140" s="15">
        <f t="shared" si="1086"/>
        <v>0</v>
      </c>
      <c r="AK6140" s="14"/>
      <c r="AL6140" s="14"/>
      <c r="AM6140" s="14"/>
      <c r="AN6140" s="14">
        <v>400</v>
      </c>
      <c r="AO6140" s="14"/>
      <c r="AP6140" s="14"/>
      <c r="AQ6140" s="14"/>
      <c r="AR6140" s="14"/>
      <c r="AS6140" s="14"/>
      <c r="AT6140" s="14"/>
      <c r="AU6140" s="14"/>
      <c r="AV6140" s="14"/>
      <c r="AW6140" s="15">
        <f t="shared" si="1087"/>
        <v>400</v>
      </c>
      <c r="AX6140" s="16"/>
    </row>
    <row r="6141" spans="2:50" x14ac:dyDescent="0.2">
      <c r="B6141" s="7"/>
      <c r="C6141" s="8">
        <v>16262</v>
      </c>
      <c r="D6141" s="9" t="s">
        <v>280</v>
      </c>
      <c r="E6141" s="10" t="str">
        <f t="shared" si="1082"/>
        <v>Rancho La Cuchilla No. 40</v>
      </c>
      <c r="F6141" s="10" t="str">
        <f t="shared" si="1083"/>
        <v>López Pico</v>
      </c>
      <c r="G6141" s="8">
        <v>1</v>
      </c>
      <c r="H6141" s="11">
        <v>400</v>
      </c>
      <c r="I6141" s="12">
        <v>43191</v>
      </c>
      <c r="J6141" s="35">
        <f t="shared" si="1084"/>
        <v>0</v>
      </c>
      <c r="K6141" s="36"/>
      <c r="L6141" s="36"/>
      <c r="M6141" s="36"/>
      <c r="N6141" s="36"/>
      <c r="O6141" s="36"/>
      <c r="P6141" s="36"/>
      <c r="Q6141" s="36"/>
      <c r="R6141" s="36"/>
      <c r="S6141" s="36"/>
      <c r="T6141" s="36"/>
      <c r="U6141" s="36"/>
      <c r="V6141" s="36"/>
      <c r="W6141" s="15">
        <f t="shared" si="1085"/>
        <v>0</v>
      </c>
      <c r="X6141" s="36"/>
      <c r="Y6141" s="36"/>
      <c r="Z6141" s="36"/>
      <c r="AA6141" s="36"/>
      <c r="AB6141" s="36"/>
      <c r="AC6141" s="36"/>
      <c r="AD6141" s="36"/>
      <c r="AE6141" s="36"/>
      <c r="AF6141" s="36"/>
      <c r="AG6141" s="36"/>
      <c r="AH6141" s="36"/>
      <c r="AI6141" s="36"/>
      <c r="AJ6141" s="15">
        <f t="shared" si="1086"/>
        <v>0</v>
      </c>
      <c r="AK6141" s="14"/>
      <c r="AL6141" s="14"/>
      <c r="AM6141" s="14"/>
      <c r="AN6141" s="14">
        <v>400</v>
      </c>
      <c r="AO6141" s="14"/>
      <c r="AP6141" s="14"/>
      <c r="AQ6141" s="14"/>
      <c r="AR6141" s="14"/>
      <c r="AS6141" s="14"/>
      <c r="AT6141" s="14"/>
      <c r="AU6141" s="14"/>
      <c r="AV6141" s="14"/>
      <c r="AW6141" s="15">
        <f t="shared" si="1087"/>
        <v>400</v>
      </c>
      <c r="AX6141" s="16"/>
    </row>
    <row r="6142" spans="2:50" x14ac:dyDescent="0.2">
      <c r="B6142" s="7"/>
      <c r="C6142" s="8">
        <v>16263</v>
      </c>
      <c r="D6142" s="9" t="s">
        <v>238</v>
      </c>
      <c r="E6142" s="10" t="str">
        <f t="shared" si="1082"/>
        <v>Rancho La Cuchilla No. 43, B</v>
      </c>
      <c r="F6142" s="10" t="str">
        <f t="shared" si="1083"/>
        <v>Luna Albertano</v>
      </c>
      <c r="G6142" s="8">
        <v>1</v>
      </c>
      <c r="H6142" s="11">
        <v>125</v>
      </c>
      <c r="I6142" s="12">
        <v>43191</v>
      </c>
      <c r="J6142" s="35">
        <f t="shared" si="1084"/>
        <v>0</v>
      </c>
      <c r="K6142" s="36"/>
      <c r="L6142" s="36"/>
      <c r="M6142" s="36"/>
      <c r="N6142" s="36"/>
      <c r="O6142" s="36"/>
      <c r="P6142" s="36"/>
      <c r="Q6142" s="36"/>
      <c r="R6142" s="36"/>
      <c r="S6142" s="36"/>
      <c r="T6142" s="36"/>
      <c r="U6142" s="36"/>
      <c r="V6142" s="36"/>
      <c r="W6142" s="15">
        <f t="shared" si="1085"/>
        <v>0</v>
      </c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15">
        <f t="shared" si="1086"/>
        <v>0</v>
      </c>
      <c r="AK6142" s="14"/>
      <c r="AL6142" s="14"/>
      <c r="AM6142" s="14"/>
      <c r="AN6142" s="14">
        <v>125</v>
      </c>
      <c r="AO6142" s="14"/>
      <c r="AP6142" s="14"/>
      <c r="AQ6142" s="14"/>
      <c r="AR6142" s="14"/>
      <c r="AS6142" s="14"/>
      <c r="AT6142" s="14"/>
      <c r="AU6142" s="14"/>
      <c r="AV6142" s="14"/>
      <c r="AW6142" s="15">
        <f t="shared" si="1087"/>
        <v>125</v>
      </c>
      <c r="AX6142" s="16"/>
    </row>
    <row r="6143" spans="2:50" x14ac:dyDescent="0.2">
      <c r="B6143" s="7"/>
      <c r="C6143" s="8">
        <v>16264</v>
      </c>
      <c r="D6143" s="9" t="s">
        <v>322</v>
      </c>
      <c r="E6143" s="10" t="str">
        <f t="shared" si="1082"/>
        <v>Rancho Zinamba No. 8</v>
      </c>
      <c r="F6143" s="10" t="str">
        <f t="shared" si="1083"/>
        <v>Florido</v>
      </c>
      <c r="G6143" s="8">
        <v>1</v>
      </c>
      <c r="H6143" s="11">
        <v>800</v>
      </c>
      <c r="I6143" s="12">
        <v>43191</v>
      </c>
      <c r="J6143" s="35">
        <f t="shared" si="1084"/>
        <v>0</v>
      </c>
      <c r="K6143" s="36"/>
      <c r="L6143" s="36"/>
      <c r="M6143" s="36"/>
      <c r="N6143" s="36"/>
      <c r="O6143" s="36"/>
      <c r="P6143" s="36"/>
      <c r="Q6143" s="36"/>
      <c r="R6143" s="36"/>
      <c r="S6143" s="36"/>
      <c r="T6143" s="36"/>
      <c r="U6143" s="36"/>
      <c r="V6143" s="36"/>
      <c r="W6143" s="15">
        <f t="shared" si="1085"/>
        <v>0</v>
      </c>
      <c r="X6143" s="36"/>
      <c r="Y6143" s="36"/>
      <c r="Z6143" s="36"/>
      <c r="AA6143" s="36"/>
      <c r="AB6143" s="36"/>
      <c r="AC6143" s="36"/>
      <c r="AD6143" s="36"/>
      <c r="AE6143" s="36"/>
      <c r="AF6143" s="36"/>
      <c r="AG6143" s="36"/>
      <c r="AH6143" s="36"/>
      <c r="AI6143" s="36"/>
      <c r="AJ6143" s="15">
        <f t="shared" si="1086"/>
        <v>0</v>
      </c>
      <c r="AK6143" s="14"/>
      <c r="AL6143" s="14"/>
      <c r="AM6143" s="14">
        <v>400</v>
      </c>
      <c r="AN6143" s="14">
        <v>400</v>
      </c>
      <c r="AO6143" s="14"/>
      <c r="AP6143" s="14"/>
      <c r="AQ6143" s="14"/>
      <c r="AR6143" s="14"/>
      <c r="AS6143" s="14"/>
      <c r="AT6143" s="14"/>
      <c r="AU6143" s="14"/>
      <c r="AV6143" s="14"/>
      <c r="AW6143" s="15">
        <f t="shared" si="1087"/>
        <v>800</v>
      </c>
      <c r="AX6143" s="16"/>
    </row>
    <row r="6144" spans="2:50" x14ac:dyDescent="0.2">
      <c r="B6144" s="7"/>
      <c r="C6144" s="8">
        <v>16265</v>
      </c>
      <c r="D6144" s="9" t="s">
        <v>1070</v>
      </c>
      <c r="E6144" s="10" t="str">
        <f t="shared" si="1082"/>
        <v>Rancho La Cuchilla No. 58</v>
      </c>
      <c r="F6144" s="10" t="str">
        <f t="shared" si="1083"/>
        <v>Serdán</v>
      </c>
      <c r="G6144" s="8">
        <v>1</v>
      </c>
      <c r="H6144" s="11">
        <v>2400</v>
      </c>
      <c r="I6144" s="12">
        <v>43191</v>
      </c>
      <c r="J6144" s="35">
        <f t="shared" si="1084"/>
        <v>0</v>
      </c>
      <c r="K6144" s="36"/>
      <c r="L6144" s="36"/>
      <c r="M6144" s="36"/>
      <c r="N6144" s="36"/>
      <c r="O6144" s="36"/>
      <c r="P6144" s="36"/>
      <c r="Q6144" s="36"/>
      <c r="R6144" s="36"/>
      <c r="S6144" s="36"/>
      <c r="T6144" s="36"/>
      <c r="U6144" s="36"/>
      <c r="V6144" s="36"/>
      <c r="W6144" s="15">
        <f t="shared" si="1085"/>
        <v>0</v>
      </c>
      <c r="X6144" s="36"/>
      <c r="Y6144" s="36"/>
      <c r="Z6144" s="36"/>
      <c r="AA6144" s="36"/>
      <c r="AB6144" s="36"/>
      <c r="AC6144" s="36"/>
      <c r="AD6144" s="36"/>
      <c r="AE6144" s="36"/>
      <c r="AF6144" s="36"/>
      <c r="AG6144" s="36"/>
      <c r="AH6144" s="36"/>
      <c r="AI6144" s="36"/>
      <c r="AJ6144" s="15">
        <f t="shared" si="1086"/>
        <v>0</v>
      </c>
      <c r="AK6144" s="14">
        <v>200</v>
      </c>
      <c r="AL6144" s="14">
        <v>200</v>
      </c>
      <c r="AM6144" s="14">
        <v>200</v>
      </c>
      <c r="AN6144" s="14">
        <v>200</v>
      </c>
      <c r="AO6144" s="14">
        <v>200</v>
      </c>
      <c r="AP6144" s="14">
        <v>200</v>
      </c>
      <c r="AQ6144" s="14">
        <v>200</v>
      </c>
      <c r="AR6144" s="14">
        <v>200</v>
      </c>
      <c r="AS6144" s="14">
        <v>200</v>
      </c>
      <c r="AT6144" s="14">
        <v>200</v>
      </c>
      <c r="AU6144" s="14">
        <v>200</v>
      </c>
      <c r="AV6144" s="14">
        <v>200</v>
      </c>
      <c r="AW6144" s="15">
        <f t="shared" si="1087"/>
        <v>2400</v>
      </c>
      <c r="AX6144" s="16"/>
    </row>
    <row r="6145" spans="2:50" x14ac:dyDescent="0.2">
      <c r="B6145" s="7"/>
      <c r="C6145" s="8">
        <v>16266</v>
      </c>
      <c r="D6145" s="9" t="s">
        <v>123</v>
      </c>
      <c r="E6145" s="10" t="str">
        <f t="shared" si="1082"/>
        <v>Rancho Recoveco No. 175, B</v>
      </c>
      <c r="F6145" s="10" t="str">
        <f t="shared" si="1083"/>
        <v>García Calderón</v>
      </c>
      <c r="G6145" s="8">
        <v>1</v>
      </c>
      <c r="H6145" s="11">
        <v>250</v>
      </c>
      <c r="I6145" s="12">
        <v>43191</v>
      </c>
      <c r="J6145" s="35">
        <f t="shared" si="1084"/>
        <v>0</v>
      </c>
      <c r="K6145" s="36"/>
      <c r="L6145" s="36"/>
      <c r="M6145" s="36"/>
      <c r="N6145" s="36"/>
      <c r="O6145" s="36"/>
      <c r="P6145" s="36"/>
      <c r="Q6145" s="36"/>
      <c r="R6145" s="36"/>
      <c r="S6145" s="36"/>
      <c r="T6145" s="36"/>
      <c r="U6145" s="36"/>
      <c r="V6145" s="36"/>
      <c r="W6145" s="15">
        <f t="shared" si="1085"/>
        <v>0</v>
      </c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15">
        <f t="shared" si="1086"/>
        <v>0</v>
      </c>
      <c r="AK6145" s="14"/>
      <c r="AL6145" s="14"/>
      <c r="AM6145" s="14"/>
      <c r="AN6145" s="14">
        <v>250</v>
      </c>
      <c r="AO6145" s="14"/>
      <c r="AP6145" s="14"/>
      <c r="AQ6145" s="14"/>
      <c r="AR6145" s="14"/>
      <c r="AS6145" s="14"/>
      <c r="AT6145" s="14"/>
      <c r="AU6145" s="14"/>
      <c r="AV6145" s="14"/>
      <c r="AW6145" s="15">
        <f t="shared" si="1087"/>
        <v>250</v>
      </c>
      <c r="AX6145" s="16"/>
    </row>
    <row r="6146" spans="2:50" x14ac:dyDescent="0.2">
      <c r="B6146" s="7"/>
      <c r="C6146" s="8">
        <v>16267</v>
      </c>
      <c r="D6146" s="9" t="s">
        <v>699</v>
      </c>
      <c r="E6146" s="10" t="str">
        <f t="shared" si="1082"/>
        <v>Rancho La Cuchilla No. 18</v>
      </c>
      <c r="F6146" s="10" t="str">
        <f t="shared" si="1083"/>
        <v>Aldana Sánchez</v>
      </c>
      <c r="G6146" s="8">
        <v>1</v>
      </c>
      <c r="H6146" s="11">
        <v>800</v>
      </c>
      <c r="I6146" s="12">
        <v>43191</v>
      </c>
      <c r="J6146" s="35">
        <f t="shared" si="1084"/>
        <v>0</v>
      </c>
      <c r="K6146" s="36"/>
      <c r="L6146" s="36"/>
      <c r="M6146" s="36"/>
      <c r="N6146" s="36"/>
      <c r="O6146" s="36"/>
      <c r="P6146" s="36"/>
      <c r="Q6146" s="36"/>
      <c r="R6146" s="36"/>
      <c r="S6146" s="36"/>
      <c r="T6146" s="36"/>
      <c r="U6146" s="36"/>
      <c r="V6146" s="36"/>
      <c r="W6146" s="15">
        <f t="shared" si="1085"/>
        <v>0</v>
      </c>
      <c r="X6146" s="36"/>
      <c r="Y6146" s="36"/>
      <c r="Z6146" s="36"/>
      <c r="AA6146" s="36"/>
      <c r="AB6146" s="36"/>
      <c r="AC6146" s="36"/>
      <c r="AD6146" s="36"/>
      <c r="AE6146" s="36"/>
      <c r="AF6146" s="36"/>
      <c r="AG6146" s="36"/>
      <c r="AH6146" s="36"/>
      <c r="AI6146" s="36"/>
      <c r="AJ6146" s="15">
        <f t="shared" si="1086"/>
        <v>0</v>
      </c>
      <c r="AK6146" s="14"/>
      <c r="AL6146" s="14"/>
      <c r="AM6146" s="14">
        <v>400</v>
      </c>
      <c r="AN6146" s="14">
        <v>400</v>
      </c>
      <c r="AO6146" s="14"/>
      <c r="AP6146" s="14"/>
      <c r="AQ6146" s="14"/>
      <c r="AR6146" s="14"/>
      <c r="AS6146" s="14"/>
      <c r="AT6146" s="14"/>
      <c r="AU6146" s="14"/>
      <c r="AV6146" s="14"/>
      <c r="AW6146" s="15">
        <f t="shared" si="1087"/>
        <v>800</v>
      </c>
      <c r="AX6146" s="16"/>
    </row>
    <row r="6147" spans="2:50" x14ac:dyDescent="0.2">
      <c r="B6147" s="7"/>
      <c r="C6147" s="8">
        <v>16268</v>
      </c>
      <c r="D6147" s="9" t="s">
        <v>135</v>
      </c>
      <c r="E6147" s="10" t="str">
        <f t="shared" si="1082"/>
        <v>Rancho Upácuaro No. 70</v>
      </c>
      <c r="F6147" s="10" t="str">
        <f t="shared" si="1083"/>
        <v>Ramírez Tejeda</v>
      </c>
      <c r="G6147" s="8">
        <v>1</v>
      </c>
      <c r="H6147" s="11">
        <v>300</v>
      </c>
      <c r="I6147" s="12">
        <v>43191</v>
      </c>
      <c r="J6147" s="35">
        <f t="shared" si="1084"/>
        <v>0</v>
      </c>
      <c r="K6147" s="36"/>
      <c r="L6147" s="36"/>
      <c r="M6147" s="36"/>
      <c r="N6147" s="36"/>
      <c r="O6147" s="36"/>
      <c r="P6147" s="36"/>
      <c r="Q6147" s="36"/>
      <c r="R6147" s="36"/>
      <c r="S6147" s="36"/>
      <c r="T6147" s="36"/>
      <c r="U6147" s="36"/>
      <c r="V6147" s="36"/>
      <c r="W6147" s="15">
        <f t="shared" si="1085"/>
        <v>0</v>
      </c>
      <c r="X6147" s="36"/>
      <c r="Y6147" s="36"/>
      <c r="Z6147" s="36"/>
      <c r="AA6147" s="36"/>
      <c r="AB6147" s="36"/>
      <c r="AC6147" s="36"/>
      <c r="AD6147" s="36"/>
      <c r="AE6147" s="36"/>
      <c r="AF6147" s="36"/>
      <c r="AG6147" s="36"/>
      <c r="AH6147" s="36"/>
      <c r="AI6147" s="36"/>
      <c r="AJ6147" s="15">
        <f t="shared" si="1086"/>
        <v>0</v>
      </c>
      <c r="AK6147" s="14"/>
      <c r="AL6147" s="14"/>
      <c r="AM6147" s="14"/>
      <c r="AN6147" s="14">
        <v>300</v>
      </c>
      <c r="AO6147" s="14"/>
      <c r="AP6147" s="14"/>
      <c r="AQ6147" s="14"/>
      <c r="AR6147" s="14"/>
      <c r="AS6147" s="14"/>
      <c r="AT6147" s="14"/>
      <c r="AU6147" s="14"/>
      <c r="AV6147" s="14"/>
      <c r="AW6147" s="15">
        <f t="shared" si="1087"/>
        <v>300</v>
      </c>
      <c r="AX6147" s="16"/>
    </row>
    <row r="6148" spans="2:50" x14ac:dyDescent="0.2">
      <c r="B6148" s="7"/>
      <c r="C6148" s="8">
        <v>16269</v>
      </c>
      <c r="D6148" s="9" t="s">
        <v>97</v>
      </c>
      <c r="E6148" s="10" t="str">
        <f t="shared" si="1082"/>
        <v>Rancho La Cuchilla No. 78</v>
      </c>
      <c r="F6148" s="10" t="str">
        <f t="shared" si="1083"/>
        <v>García</v>
      </c>
      <c r="G6148" s="8">
        <v>1</v>
      </c>
      <c r="H6148" s="11">
        <v>400</v>
      </c>
      <c r="I6148" s="12">
        <v>43191</v>
      </c>
      <c r="J6148" s="35">
        <f t="shared" si="1084"/>
        <v>0</v>
      </c>
      <c r="K6148" s="36"/>
      <c r="L6148" s="36"/>
      <c r="M6148" s="36"/>
      <c r="N6148" s="36"/>
      <c r="O6148" s="36"/>
      <c r="P6148" s="36"/>
      <c r="Q6148" s="36"/>
      <c r="R6148" s="36"/>
      <c r="S6148" s="36"/>
      <c r="T6148" s="36"/>
      <c r="U6148" s="36"/>
      <c r="V6148" s="36"/>
      <c r="W6148" s="15">
        <f t="shared" si="1085"/>
        <v>0</v>
      </c>
      <c r="X6148" s="36"/>
      <c r="Y6148" s="36"/>
      <c r="Z6148" s="36"/>
      <c r="AA6148" s="36"/>
      <c r="AB6148" s="36"/>
      <c r="AC6148" s="36"/>
      <c r="AD6148" s="36"/>
      <c r="AE6148" s="36"/>
      <c r="AF6148" s="36"/>
      <c r="AG6148" s="36"/>
      <c r="AH6148" s="36"/>
      <c r="AI6148" s="36"/>
      <c r="AJ6148" s="15">
        <f t="shared" si="1086"/>
        <v>0</v>
      </c>
      <c r="AK6148" s="14"/>
      <c r="AL6148" s="14"/>
      <c r="AM6148" s="14"/>
      <c r="AN6148" s="14">
        <v>400</v>
      </c>
      <c r="AO6148" s="14"/>
      <c r="AP6148" s="14"/>
      <c r="AQ6148" s="14"/>
      <c r="AR6148" s="14"/>
      <c r="AS6148" s="14"/>
      <c r="AT6148" s="14"/>
      <c r="AU6148" s="14"/>
      <c r="AV6148" s="14"/>
      <c r="AW6148" s="15">
        <f t="shared" si="1087"/>
        <v>400</v>
      </c>
      <c r="AX6148" s="16"/>
    </row>
    <row r="6149" spans="2:50" x14ac:dyDescent="0.2">
      <c r="B6149" s="7"/>
      <c r="C6149" s="8">
        <v>16270</v>
      </c>
      <c r="D6149" s="9" t="s">
        <v>310</v>
      </c>
      <c r="E6149" s="10" t="str">
        <f t="shared" si="1082"/>
        <v>Rancho Recoveco No. 181</v>
      </c>
      <c r="F6149" s="10" t="str">
        <f t="shared" si="1083"/>
        <v>Castillo</v>
      </c>
      <c r="G6149" s="8">
        <v>1</v>
      </c>
      <c r="H6149" s="11">
        <v>400</v>
      </c>
      <c r="I6149" s="12">
        <v>43191</v>
      </c>
      <c r="J6149" s="35">
        <f t="shared" si="1084"/>
        <v>0</v>
      </c>
      <c r="K6149" s="36"/>
      <c r="L6149" s="36"/>
      <c r="M6149" s="36"/>
      <c r="N6149" s="36"/>
      <c r="O6149" s="36"/>
      <c r="P6149" s="36"/>
      <c r="Q6149" s="36"/>
      <c r="R6149" s="36"/>
      <c r="S6149" s="36"/>
      <c r="T6149" s="36"/>
      <c r="U6149" s="36"/>
      <c r="V6149" s="36"/>
      <c r="W6149" s="15">
        <f t="shared" si="1085"/>
        <v>0</v>
      </c>
      <c r="X6149" s="36"/>
      <c r="Y6149" s="36"/>
      <c r="Z6149" s="36"/>
      <c r="AA6149" s="36"/>
      <c r="AB6149" s="36"/>
      <c r="AC6149" s="36"/>
      <c r="AD6149" s="36"/>
      <c r="AE6149" s="36"/>
      <c r="AF6149" s="36"/>
      <c r="AG6149" s="36"/>
      <c r="AH6149" s="36"/>
      <c r="AI6149" s="36"/>
      <c r="AJ6149" s="15">
        <f t="shared" si="1086"/>
        <v>0</v>
      </c>
      <c r="AK6149" s="14"/>
      <c r="AL6149" s="14"/>
      <c r="AM6149" s="14">
        <v>400</v>
      </c>
      <c r="AN6149" s="14"/>
      <c r="AO6149" s="14"/>
      <c r="AP6149" s="14"/>
      <c r="AQ6149" s="14"/>
      <c r="AR6149" s="14"/>
      <c r="AS6149" s="14"/>
      <c r="AT6149" s="14"/>
      <c r="AU6149" s="14"/>
      <c r="AV6149" s="14"/>
      <c r="AW6149" s="15">
        <f t="shared" si="1087"/>
        <v>400</v>
      </c>
      <c r="AX6149" s="16"/>
    </row>
    <row r="6150" spans="2:50" x14ac:dyDescent="0.2">
      <c r="B6150" s="7"/>
      <c r="C6150" s="8">
        <v>16271</v>
      </c>
      <c r="D6150" s="9" t="s">
        <v>544</v>
      </c>
      <c r="E6150" s="10" t="str">
        <f t="shared" si="1082"/>
        <v>Rancho Estanzuela No. 89</v>
      </c>
      <c r="F6150" s="10" t="str">
        <f t="shared" si="1083"/>
        <v>Romero Ortiz</v>
      </c>
      <c r="G6150" s="8">
        <v>1</v>
      </c>
      <c r="H6150" s="11">
        <v>400</v>
      </c>
      <c r="I6150" s="12">
        <v>43191</v>
      </c>
      <c r="J6150" s="35">
        <f t="shared" si="1084"/>
        <v>0</v>
      </c>
      <c r="K6150" s="36"/>
      <c r="L6150" s="36"/>
      <c r="M6150" s="36"/>
      <c r="N6150" s="36"/>
      <c r="O6150" s="36"/>
      <c r="P6150" s="36"/>
      <c r="Q6150" s="36"/>
      <c r="R6150" s="36"/>
      <c r="S6150" s="36"/>
      <c r="T6150" s="36"/>
      <c r="U6150" s="36"/>
      <c r="V6150" s="36"/>
      <c r="W6150" s="15">
        <f t="shared" si="1085"/>
        <v>0</v>
      </c>
      <c r="X6150" s="36"/>
      <c r="Y6150" s="36"/>
      <c r="Z6150" s="36"/>
      <c r="AA6150" s="36"/>
      <c r="AB6150" s="36"/>
      <c r="AC6150" s="36"/>
      <c r="AD6150" s="36"/>
      <c r="AE6150" s="36"/>
      <c r="AF6150" s="36"/>
      <c r="AG6150" s="36"/>
      <c r="AH6150" s="36"/>
      <c r="AI6150" s="36"/>
      <c r="AJ6150" s="15">
        <f t="shared" si="1086"/>
        <v>0</v>
      </c>
      <c r="AK6150" s="14"/>
      <c r="AL6150" s="14"/>
      <c r="AM6150" s="14"/>
      <c r="AN6150" s="14">
        <v>400</v>
      </c>
      <c r="AO6150" s="14"/>
      <c r="AP6150" s="14"/>
      <c r="AQ6150" s="14"/>
      <c r="AR6150" s="14"/>
      <c r="AS6150" s="14"/>
      <c r="AT6150" s="14"/>
      <c r="AU6150" s="14"/>
      <c r="AV6150" s="14"/>
      <c r="AW6150" s="15">
        <f t="shared" si="1087"/>
        <v>400</v>
      </c>
      <c r="AX6150" s="16"/>
    </row>
    <row r="6151" spans="2:50" x14ac:dyDescent="0.2">
      <c r="B6151" s="7"/>
      <c r="C6151" s="8">
        <v>16272</v>
      </c>
      <c r="D6151" s="9" t="s">
        <v>431</v>
      </c>
      <c r="E6151" s="10" t="str">
        <f t="shared" si="1082"/>
        <v>Rancho Landero No. 63</v>
      </c>
      <c r="F6151" s="10" t="str">
        <f t="shared" si="1083"/>
        <v>Hernández Chávez</v>
      </c>
      <c r="G6151" s="8">
        <v>1</v>
      </c>
      <c r="H6151" s="11">
        <v>400</v>
      </c>
      <c r="I6151" s="12">
        <v>43191</v>
      </c>
      <c r="J6151" s="35">
        <f t="shared" si="1084"/>
        <v>0</v>
      </c>
      <c r="K6151" s="36"/>
      <c r="L6151" s="36"/>
      <c r="M6151" s="36"/>
      <c r="N6151" s="36"/>
      <c r="O6151" s="36"/>
      <c r="P6151" s="36"/>
      <c r="Q6151" s="36"/>
      <c r="R6151" s="36"/>
      <c r="S6151" s="36"/>
      <c r="T6151" s="36"/>
      <c r="U6151" s="36"/>
      <c r="V6151" s="36"/>
      <c r="W6151" s="15">
        <f t="shared" si="1085"/>
        <v>0</v>
      </c>
      <c r="X6151" s="36"/>
      <c r="Y6151" s="36"/>
      <c r="Z6151" s="36"/>
      <c r="AA6151" s="36"/>
      <c r="AB6151" s="36"/>
      <c r="AC6151" s="36"/>
      <c r="AD6151" s="36"/>
      <c r="AE6151" s="36"/>
      <c r="AF6151" s="36"/>
      <c r="AG6151" s="36"/>
      <c r="AH6151" s="36"/>
      <c r="AI6151" s="36"/>
      <c r="AJ6151" s="15">
        <f t="shared" si="1086"/>
        <v>0</v>
      </c>
      <c r="AK6151" s="14"/>
      <c r="AL6151" s="14"/>
      <c r="AM6151" s="14">
        <v>400</v>
      </c>
      <c r="AN6151" s="14"/>
      <c r="AO6151" s="14"/>
      <c r="AP6151" s="14"/>
      <c r="AQ6151" s="14"/>
      <c r="AR6151" s="14"/>
      <c r="AS6151" s="14"/>
      <c r="AT6151" s="14"/>
      <c r="AU6151" s="14"/>
      <c r="AV6151" s="14"/>
      <c r="AW6151" s="15">
        <f t="shared" si="1087"/>
        <v>400</v>
      </c>
      <c r="AX6151" s="16"/>
    </row>
    <row r="6152" spans="2:50" x14ac:dyDescent="0.2">
      <c r="B6152" s="7"/>
      <c r="C6152" s="8">
        <v>16273</v>
      </c>
      <c r="D6152" s="9" t="s">
        <v>614</v>
      </c>
      <c r="E6152" s="10" t="str">
        <f t="shared" si="1082"/>
        <v>Rancho La Cuchilla No. 82</v>
      </c>
      <c r="F6152" s="10" t="str">
        <f t="shared" si="1083"/>
        <v>Cruz</v>
      </c>
      <c r="G6152" s="8">
        <v>1</v>
      </c>
      <c r="H6152" s="11">
        <v>800</v>
      </c>
      <c r="I6152" s="12">
        <v>43191</v>
      </c>
      <c r="J6152" s="35">
        <f t="shared" si="1084"/>
        <v>0</v>
      </c>
      <c r="K6152" s="36"/>
      <c r="L6152" s="36"/>
      <c r="M6152" s="36"/>
      <c r="N6152" s="36"/>
      <c r="O6152" s="36"/>
      <c r="P6152" s="36"/>
      <c r="Q6152" s="36"/>
      <c r="R6152" s="36"/>
      <c r="S6152" s="36"/>
      <c r="T6152" s="36"/>
      <c r="U6152" s="36"/>
      <c r="V6152" s="36"/>
      <c r="W6152" s="15">
        <f t="shared" si="1085"/>
        <v>0</v>
      </c>
      <c r="X6152" s="36"/>
      <c r="Y6152" s="36"/>
      <c r="Z6152" s="36"/>
      <c r="AA6152" s="36"/>
      <c r="AB6152" s="36"/>
      <c r="AC6152" s="36"/>
      <c r="AD6152" s="36"/>
      <c r="AE6152" s="36"/>
      <c r="AF6152" s="36"/>
      <c r="AG6152" s="36"/>
      <c r="AH6152" s="36"/>
      <c r="AI6152" s="36"/>
      <c r="AJ6152" s="15">
        <f t="shared" si="1086"/>
        <v>0</v>
      </c>
      <c r="AK6152" s="14">
        <v>400</v>
      </c>
      <c r="AL6152" s="14">
        <v>400</v>
      </c>
      <c r="AM6152" s="14"/>
      <c r="AN6152" s="14"/>
      <c r="AO6152" s="14"/>
      <c r="AP6152" s="14"/>
      <c r="AQ6152" s="14"/>
      <c r="AR6152" s="14"/>
      <c r="AS6152" s="14"/>
      <c r="AT6152" s="14"/>
      <c r="AU6152" s="14"/>
      <c r="AV6152" s="14"/>
      <c r="AW6152" s="15">
        <f t="shared" si="1087"/>
        <v>800</v>
      </c>
      <c r="AX6152" s="16"/>
    </row>
    <row r="6153" spans="2:50" x14ac:dyDescent="0.2">
      <c r="B6153" s="7"/>
      <c r="C6153" s="8">
        <v>16274</v>
      </c>
      <c r="D6153" s="9" t="s">
        <v>262</v>
      </c>
      <c r="E6153" s="10" t="str">
        <f t="shared" si="1082"/>
        <v>Rancho Recoveco No. 1</v>
      </c>
      <c r="F6153" s="10" t="str">
        <f t="shared" si="1083"/>
        <v>Díaz</v>
      </c>
      <c r="G6153" s="8">
        <v>1</v>
      </c>
      <c r="H6153" s="11">
        <v>300</v>
      </c>
      <c r="I6153" s="12">
        <v>43191</v>
      </c>
      <c r="J6153" s="35">
        <f t="shared" si="1084"/>
        <v>0</v>
      </c>
      <c r="K6153" s="36"/>
      <c r="L6153" s="36"/>
      <c r="M6153" s="36"/>
      <c r="N6153" s="36"/>
      <c r="O6153" s="36"/>
      <c r="P6153" s="36"/>
      <c r="Q6153" s="36"/>
      <c r="R6153" s="36"/>
      <c r="S6153" s="36"/>
      <c r="T6153" s="36"/>
      <c r="U6153" s="36"/>
      <c r="V6153" s="36"/>
      <c r="W6153" s="15">
        <f t="shared" si="1085"/>
        <v>0</v>
      </c>
      <c r="X6153" s="36"/>
      <c r="Y6153" s="36"/>
      <c r="Z6153" s="36"/>
      <c r="AA6153" s="36"/>
      <c r="AB6153" s="36"/>
      <c r="AC6153" s="36"/>
      <c r="AD6153" s="36"/>
      <c r="AE6153" s="36"/>
      <c r="AF6153" s="36"/>
      <c r="AG6153" s="36"/>
      <c r="AH6153" s="36"/>
      <c r="AI6153" s="36"/>
      <c r="AJ6153" s="15">
        <f t="shared" si="1086"/>
        <v>0</v>
      </c>
      <c r="AK6153" s="14"/>
      <c r="AL6153" s="14"/>
      <c r="AM6153" s="14"/>
      <c r="AN6153" s="14">
        <v>300</v>
      </c>
      <c r="AO6153" s="14"/>
      <c r="AP6153" s="14"/>
      <c r="AQ6153" s="14"/>
      <c r="AR6153" s="14"/>
      <c r="AS6153" s="14"/>
      <c r="AT6153" s="14"/>
      <c r="AU6153" s="14"/>
      <c r="AV6153" s="14"/>
      <c r="AW6153" s="15">
        <f t="shared" si="1087"/>
        <v>300</v>
      </c>
      <c r="AX6153" s="16"/>
    </row>
    <row r="6154" spans="2:50" x14ac:dyDescent="0.2">
      <c r="B6154" s="7"/>
      <c r="C6154" s="8">
        <v>16275</v>
      </c>
      <c r="D6154" s="9" t="s">
        <v>159</v>
      </c>
      <c r="E6154" s="10" t="str">
        <f t="shared" si="1082"/>
        <v>Rancho Zinamba No. 24</v>
      </c>
      <c r="F6154" s="10" t="str">
        <f t="shared" si="1083"/>
        <v>Monroy García</v>
      </c>
      <c r="G6154" s="8">
        <v>1</v>
      </c>
      <c r="H6154" s="11">
        <v>400</v>
      </c>
      <c r="I6154" s="12">
        <v>43191</v>
      </c>
      <c r="J6154" s="35">
        <f t="shared" si="1084"/>
        <v>0</v>
      </c>
      <c r="K6154" s="36"/>
      <c r="L6154" s="36"/>
      <c r="M6154" s="36"/>
      <c r="N6154" s="36"/>
      <c r="O6154" s="36"/>
      <c r="P6154" s="36"/>
      <c r="Q6154" s="36"/>
      <c r="R6154" s="36"/>
      <c r="S6154" s="36"/>
      <c r="T6154" s="36"/>
      <c r="U6154" s="36"/>
      <c r="V6154" s="36"/>
      <c r="W6154" s="15">
        <f t="shared" si="1085"/>
        <v>0</v>
      </c>
      <c r="X6154" s="36"/>
      <c r="Y6154" s="36"/>
      <c r="Z6154" s="36"/>
      <c r="AA6154" s="36"/>
      <c r="AB6154" s="36"/>
      <c r="AC6154" s="36"/>
      <c r="AD6154" s="36"/>
      <c r="AE6154" s="36"/>
      <c r="AF6154" s="36"/>
      <c r="AG6154" s="36"/>
      <c r="AH6154" s="36"/>
      <c r="AI6154" s="36"/>
      <c r="AJ6154" s="15">
        <f t="shared" si="1086"/>
        <v>0</v>
      </c>
      <c r="AK6154" s="14"/>
      <c r="AL6154" s="14"/>
      <c r="AM6154" s="14"/>
      <c r="AN6154" s="14">
        <v>400</v>
      </c>
      <c r="AO6154" s="14"/>
      <c r="AP6154" s="14"/>
      <c r="AQ6154" s="14"/>
      <c r="AR6154" s="14"/>
      <c r="AS6154" s="14"/>
      <c r="AT6154" s="14"/>
      <c r="AU6154" s="14"/>
      <c r="AV6154" s="14"/>
      <c r="AW6154" s="15">
        <f t="shared" si="1087"/>
        <v>400</v>
      </c>
      <c r="AX6154" s="16"/>
    </row>
    <row r="6155" spans="2:50" x14ac:dyDescent="0.2">
      <c r="B6155" s="7"/>
      <c r="C6155" s="8">
        <v>16276</v>
      </c>
      <c r="D6155" s="9" t="s">
        <v>100</v>
      </c>
      <c r="E6155" s="10" t="str">
        <f t="shared" si="1082"/>
        <v>Rancho Upácuaro No. 32</v>
      </c>
      <c r="F6155" s="10" t="str">
        <f t="shared" si="1083"/>
        <v>Sairafi Carmen</v>
      </c>
      <c r="G6155" s="8">
        <v>1</v>
      </c>
      <c r="H6155" s="11">
        <v>400</v>
      </c>
      <c r="I6155" s="12">
        <v>43191</v>
      </c>
      <c r="J6155" s="35">
        <f t="shared" si="1084"/>
        <v>0</v>
      </c>
      <c r="K6155" s="36"/>
      <c r="L6155" s="36"/>
      <c r="M6155" s="36"/>
      <c r="N6155" s="36"/>
      <c r="O6155" s="36"/>
      <c r="P6155" s="36"/>
      <c r="Q6155" s="36"/>
      <c r="R6155" s="36"/>
      <c r="S6155" s="36"/>
      <c r="T6155" s="36"/>
      <c r="U6155" s="36"/>
      <c r="V6155" s="36"/>
      <c r="W6155" s="15">
        <f t="shared" si="1085"/>
        <v>0</v>
      </c>
      <c r="X6155" s="36"/>
      <c r="Y6155" s="36"/>
      <c r="Z6155" s="36"/>
      <c r="AA6155" s="36"/>
      <c r="AB6155" s="36"/>
      <c r="AC6155" s="36"/>
      <c r="AD6155" s="36"/>
      <c r="AE6155" s="36"/>
      <c r="AF6155" s="36"/>
      <c r="AG6155" s="36"/>
      <c r="AH6155" s="36"/>
      <c r="AI6155" s="36"/>
      <c r="AJ6155" s="15">
        <f t="shared" si="1086"/>
        <v>0</v>
      </c>
      <c r="AK6155" s="14"/>
      <c r="AL6155" s="14"/>
      <c r="AM6155" s="14"/>
      <c r="AN6155" s="14">
        <v>400</v>
      </c>
      <c r="AO6155" s="14"/>
      <c r="AP6155" s="14"/>
      <c r="AQ6155" s="14"/>
      <c r="AR6155" s="14"/>
      <c r="AS6155" s="14"/>
      <c r="AT6155" s="14"/>
      <c r="AU6155" s="14"/>
      <c r="AV6155" s="14"/>
      <c r="AW6155" s="15">
        <f t="shared" si="1087"/>
        <v>400</v>
      </c>
      <c r="AX6155" s="16"/>
    </row>
    <row r="6156" spans="2:50" x14ac:dyDescent="0.2">
      <c r="B6156" s="7"/>
      <c r="C6156" s="8">
        <v>16277</v>
      </c>
      <c r="D6156" s="9" t="s">
        <v>831</v>
      </c>
      <c r="E6156" s="10" t="str">
        <f t="shared" si="1082"/>
        <v>Rancho Upácuaro No. 80</v>
      </c>
      <c r="F6156" s="10" t="str">
        <f t="shared" si="1083"/>
        <v>De los Ríos</v>
      </c>
      <c r="G6156" s="8">
        <v>1</v>
      </c>
      <c r="H6156" s="11">
        <v>400</v>
      </c>
      <c r="I6156" s="12">
        <v>43191</v>
      </c>
      <c r="J6156" s="35">
        <f t="shared" si="1084"/>
        <v>0</v>
      </c>
      <c r="K6156" s="36"/>
      <c r="L6156" s="36"/>
      <c r="M6156" s="36"/>
      <c r="N6156" s="36"/>
      <c r="O6156" s="36"/>
      <c r="P6156" s="36"/>
      <c r="Q6156" s="36"/>
      <c r="R6156" s="36"/>
      <c r="S6156" s="36"/>
      <c r="T6156" s="36"/>
      <c r="U6156" s="36"/>
      <c r="V6156" s="36"/>
      <c r="W6156" s="15">
        <f t="shared" si="1085"/>
        <v>0</v>
      </c>
      <c r="X6156" s="36"/>
      <c r="Y6156" s="36"/>
      <c r="Z6156" s="36"/>
      <c r="AA6156" s="36"/>
      <c r="AB6156" s="36"/>
      <c r="AC6156" s="36"/>
      <c r="AD6156" s="36"/>
      <c r="AE6156" s="36"/>
      <c r="AF6156" s="36"/>
      <c r="AG6156" s="36"/>
      <c r="AH6156" s="36"/>
      <c r="AI6156" s="36"/>
      <c r="AJ6156" s="15">
        <f t="shared" si="1086"/>
        <v>0</v>
      </c>
      <c r="AK6156" s="14"/>
      <c r="AL6156" s="14"/>
      <c r="AM6156" s="14">
        <v>400</v>
      </c>
      <c r="AN6156" s="14"/>
      <c r="AO6156" s="14"/>
      <c r="AP6156" s="14"/>
      <c r="AQ6156" s="14"/>
      <c r="AR6156" s="14"/>
      <c r="AS6156" s="14"/>
      <c r="AT6156" s="14"/>
      <c r="AU6156" s="14"/>
      <c r="AV6156" s="14"/>
      <c r="AW6156" s="15">
        <f t="shared" si="1087"/>
        <v>400</v>
      </c>
      <c r="AX6156" s="16"/>
    </row>
    <row r="6157" spans="2:50" x14ac:dyDescent="0.2">
      <c r="B6157" s="7"/>
      <c r="C6157" s="8">
        <v>16278</v>
      </c>
      <c r="D6157" s="9" t="s">
        <v>810</v>
      </c>
      <c r="E6157" s="10" t="str">
        <f t="shared" si="1082"/>
        <v>Rancho La Cuchilla No. 90</v>
      </c>
      <c r="F6157" s="10" t="str">
        <f t="shared" si="1083"/>
        <v>Porras Fuentes</v>
      </c>
      <c r="G6157" s="8">
        <v>1</v>
      </c>
      <c r="H6157" s="11">
        <v>200</v>
      </c>
      <c r="I6157" s="12">
        <v>43191</v>
      </c>
      <c r="J6157" s="35">
        <f t="shared" si="1084"/>
        <v>0</v>
      </c>
      <c r="K6157" s="36"/>
      <c r="L6157" s="36"/>
      <c r="M6157" s="36"/>
      <c r="N6157" s="36"/>
      <c r="O6157" s="36"/>
      <c r="P6157" s="36"/>
      <c r="Q6157" s="36"/>
      <c r="R6157" s="36"/>
      <c r="S6157" s="36"/>
      <c r="T6157" s="36"/>
      <c r="U6157" s="36"/>
      <c r="V6157" s="36"/>
      <c r="W6157" s="15">
        <f t="shared" si="1085"/>
        <v>0</v>
      </c>
      <c r="X6157" s="36"/>
      <c r="Y6157" s="36"/>
      <c r="Z6157" s="36"/>
      <c r="AA6157" s="36"/>
      <c r="AB6157" s="36"/>
      <c r="AC6157" s="36"/>
      <c r="AD6157" s="36"/>
      <c r="AE6157" s="36"/>
      <c r="AF6157" s="36"/>
      <c r="AG6157" s="36"/>
      <c r="AH6157" s="36"/>
      <c r="AI6157" s="36"/>
      <c r="AJ6157" s="15">
        <f t="shared" si="1086"/>
        <v>0</v>
      </c>
      <c r="AK6157" s="14"/>
      <c r="AL6157" s="14"/>
      <c r="AM6157" s="14"/>
      <c r="AN6157" s="14">
        <v>200</v>
      </c>
      <c r="AO6157" s="14"/>
      <c r="AP6157" s="14"/>
      <c r="AQ6157" s="14"/>
      <c r="AR6157" s="14"/>
      <c r="AS6157" s="14"/>
      <c r="AT6157" s="14"/>
      <c r="AU6157" s="14"/>
      <c r="AV6157" s="14"/>
      <c r="AW6157" s="15">
        <f t="shared" si="1087"/>
        <v>200</v>
      </c>
      <c r="AX6157" s="16"/>
    </row>
    <row r="6158" spans="2:50" x14ac:dyDescent="0.2">
      <c r="B6158" s="7"/>
      <c r="C6158" s="8">
        <v>16279</v>
      </c>
      <c r="D6158" s="9" t="s">
        <v>643</v>
      </c>
      <c r="E6158" s="10" t="str">
        <f t="shared" si="1082"/>
        <v>Rancho Upácuaro No. 90</v>
      </c>
      <c r="F6158" s="10" t="str">
        <f t="shared" si="1083"/>
        <v>Moreno Calderón</v>
      </c>
      <c r="G6158" s="8">
        <v>5</v>
      </c>
      <c r="H6158" s="11">
        <v>100</v>
      </c>
      <c r="I6158" s="12">
        <v>43191</v>
      </c>
      <c r="J6158" s="35">
        <f t="shared" si="1084"/>
        <v>0</v>
      </c>
      <c r="K6158" s="36"/>
      <c r="L6158" s="36"/>
      <c r="M6158" s="36"/>
      <c r="N6158" s="36"/>
      <c r="O6158" s="36"/>
      <c r="P6158" s="36"/>
      <c r="Q6158" s="36"/>
      <c r="R6158" s="36"/>
      <c r="S6158" s="36"/>
      <c r="T6158" s="36"/>
      <c r="U6158" s="36"/>
      <c r="V6158" s="36"/>
      <c r="W6158" s="15">
        <f t="shared" si="1085"/>
        <v>0</v>
      </c>
      <c r="X6158" s="36"/>
      <c r="Y6158" s="36"/>
      <c r="Z6158" s="36"/>
      <c r="AA6158" s="36"/>
      <c r="AB6158" s="36"/>
      <c r="AC6158" s="36"/>
      <c r="AD6158" s="36"/>
      <c r="AE6158" s="36"/>
      <c r="AF6158" s="36"/>
      <c r="AG6158" s="36"/>
      <c r="AH6158" s="36"/>
      <c r="AI6158" s="36"/>
      <c r="AJ6158" s="15">
        <f t="shared" si="1086"/>
        <v>0</v>
      </c>
      <c r="AK6158" s="14"/>
      <c r="AL6158" s="14"/>
      <c r="AM6158" s="14"/>
      <c r="AN6158" s="14"/>
      <c r="AO6158" s="14"/>
      <c r="AP6158" s="14"/>
      <c r="AQ6158" s="14"/>
      <c r="AR6158" s="14"/>
      <c r="AS6158" s="14"/>
      <c r="AT6158" s="14"/>
      <c r="AU6158" s="14"/>
      <c r="AV6158" s="14"/>
      <c r="AW6158" s="15">
        <f t="shared" si="1087"/>
        <v>0</v>
      </c>
      <c r="AX6158" s="16"/>
    </row>
    <row r="6159" spans="2:50" x14ac:dyDescent="0.2">
      <c r="B6159" s="7"/>
      <c r="C6159" s="8">
        <v>16280</v>
      </c>
      <c r="D6159" s="9" t="s">
        <v>416</v>
      </c>
      <c r="E6159" s="10" t="str">
        <f t="shared" si="1082"/>
        <v>Rancho La Cuchilla No. 112, PB</v>
      </c>
      <c r="F6159" s="10" t="str">
        <f t="shared" si="1083"/>
        <v>Soreque</v>
      </c>
      <c r="G6159" s="8">
        <v>1</v>
      </c>
      <c r="H6159" s="11">
        <v>200</v>
      </c>
      <c r="I6159" s="12">
        <v>43191</v>
      </c>
      <c r="J6159" s="35">
        <f t="shared" si="1084"/>
        <v>0</v>
      </c>
      <c r="K6159" s="36"/>
      <c r="L6159" s="36"/>
      <c r="M6159" s="36"/>
      <c r="N6159" s="36"/>
      <c r="O6159" s="36"/>
      <c r="P6159" s="36"/>
      <c r="Q6159" s="36"/>
      <c r="R6159" s="36"/>
      <c r="S6159" s="36"/>
      <c r="T6159" s="36"/>
      <c r="U6159" s="36"/>
      <c r="V6159" s="36"/>
      <c r="W6159" s="15">
        <f t="shared" si="1085"/>
        <v>0</v>
      </c>
      <c r="X6159" s="36"/>
      <c r="Y6159" s="36"/>
      <c r="Z6159" s="36"/>
      <c r="AA6159" s="36"/>
      <c r="AB6159" s="36"/>
      <c r="AC6159" s="36"/>
      <c r="AD6159" s="36"/>
      <c r="AE6159" s="36"/>
      <c r="AF6159" s="36"/>
      <c r="AG6159" s="36"/>
      <c r="AH6159" s="36"/>
      <c r="AI6159" s="36"/>
      <c r="AJ6159" s="15">
        <f t="shared" si="1086"/>
        <v>0</v>
      </c>
      <c r="AK6159" s="14"/>
      <c r="AL6159" s="14"/>
      <c r="AM6159" s="14"/>
      <c r="AN6159" s="14">
        <v>200</v>
      </c>
      <c r="AO6159" s="14"/>
      <c r="AP6159" s="14"/>
      <c r="AQ6159" s="14"/>
      <c r="AR6159" s="14"/>
      <c r="AS6159" s="14"/>
      <c r="AT6159" s="14"/>
      <c r="AU6159" s="14"/>
      <c r="AV6159" s="14"/>
      <c r="AW6159" s="15">
        <f t="shared" si="1087"/>
        <v>200</v>
      </c>
      <c r="AX6159" s="16"/>
    </row>
    <row r="6160" spans="2:50" x14ac:dyDescent="0.2">
      <c r="B6160" s="7"/>
      <c r="C6160" s="8">
        <v>16281</v>
      </c>
      <c r="D6160" s="9" t="s">
        <v>331</v>
      </c>
      <c r="E6160" s="10" t="str">
        <f t="shared" si="1082"/>
        <v>Rancho Recoveco No. 197</v>
      </c>
      <c r="F6160" s="10" t="str">
        <f t="shared" si="1083"/>
        <v>Colín González</v>
      </c>
      <c r="G6160" s="8">
        <v>1</v>
      </c>
      <c r="H6160" s="11">
        <v>400</v>
      </c>
      <c r="I6160" s="12">
        <v>43191</v>
      </c>
      <c r="J6160" s="35">
        <f t="shared" si="1084"/>
        <v>0</v>
      </c>
      <c r="K6160" s="36"/>
      <c r="L6160" s="36"/>
      <c r="M6160" s="36"/>
      <c r="N6160" s="36"/>
      <c r="O6160" s="36"/>
      <c r="P6160" s="36"/>
      <c r="Q6160" s="36"/>
      <c r="R6160" s="36"/>
      <c r="S6160" s="36"/>
      <c r="T6160" s="36"/>
      <c r="U6160" s="36"/>
      <c r="V6160" s="36"/>
      <c r="W6160" s="15">
        <f t="shared" si="1085"/>
        <v>0</v>
      </c>
      <c r="X6160" s="36"/>
      <c r="Y6160" s="36"/>
      <c r="Z6160" s="36"/>
      <c r="AA6160" s="36"/>
      <c r="AB6160" s="36"/>
      <c r="AC6160" s="36"/>
      <c r="AD6160" s="36"/>
      <c r="AE6160" s="36"/>
      <c r="AF6160" s="36"/>
      <c r="AG6160" s="36"/>
      <c r="AH6160" s="36"/>
      <c r="AI6160" s="36"/>
      <c r="AJ6160" s="15">
        <f t="shared" si="1086"/>
        <v>0</v>
      </c>
      <c r="AK6160" s="14"/>
      <c r="AL6160" s="14"/>
      <c r="AM6160" s="14"/>
      <c r="AN6160" s="14">
        <v>400</v>
      </c>
      <c r="AO6160" s="14"/>
      <c r="AP6160" s="14"/>
      <c r="AQ6160" s="14"/>
      <c r="AR6160" s="14"/>
      <c r="AS6160" s="14"/>
      <c r="AT6160" s="14"/>
      <c r="AU6160" s="14"/>
      <c r="AV6160" s="14"/>
      <c r="AW6160" s="15">
        <f t="shared" si="1087"/>
        <v>400</v>
      </c>
      <c r="AX6160" s="16"/>
    </row>
    <row r="6161" spans="2:50" x14ac:dyDescent="0.2">
      <c r="B6161" s="7"/>
      <c r="C6161" s="8">
        <v>16282</v>
      </c>
      <c r="D6161" s="9" t="s">
        <v>479</v>
      </c>
      <c r="E6161" s="10" t="str">
        <f t="shared" si="1082"/>
        <v>Rancho Zinamba No. 68</v>
      </c>
      <c r="F6161" s="10" t="str">
        <f t="shared" si="1083"/>
        <v>Rivera Villicaña</v>
      </c>
      <c r="G6161" s="8">
        <v>1</v>
      </c>
      <c r="H6161" s="11">
        <v>600</v>
      </c>
      <c r="I6161" s="12">
        <v>43191</v>
      </c>
      <c r="J6161" s="35">
        <f t="shared" si="1084"/>
        <v>0</v>
      </c>
      <c r="K6161" s="36"/>
      <c r="L6161" s="36"/>
      <c r="M6161" s="36"/>
      <c r="N6161" s="36"/>
      <c r="O6161" s="36"/>
      <c r="P6161" s="36"/>
      <c r="Q6161" s="36"/>
      <c r="R6161" s="36"/>
      <c r="S6161" s="36"/>
      <c r="T6161" s="36"/>
      <c r="U6161" s="36"/>
      <c r="V6161" s="36"/>
      <c r="W6161" s="15">
        <f t="shared" si="1085"/>
        <v>0</v>
      </c>
      <c r="X6161" s="36"/>
      <c r="Y6161" s="36"/>
      <c r="Z6161" s="36"/>
      <c r="AA6161" s="36"/>
      <c r="AB6161" s="36"/>
      <c r="AC6161" s="36"/>
      <c r="AD6161" s="36"/>
      <c r="AE6161" s="36"/>
      <c r="AF6161" s="36"/>
      <c r="AG6161" s="36"/>
      <c r="AH6161" s="36"/>
      <c r="AI6161" s="36"/>
      <c r="AJ6161" s="15">
        <f t="shared" si="1086"/>
        <v>0</v>
      </c>
      <c r="AK6161" s="14"/>
      <c r="AL6161" s="14"/>
      <c r="AM6161" s="14"/>
      <c r="AN6161" s="14">
        <v>300</v>
      </c>
      <c r="AO6161" s="14">
        <v>300</v>
      </c>
      <c r="AP6161" s="14"/>
      <c r="AQ6161" s="14"/>
      <c r="AR6161" s="14"/>
      <c r="AS6161" s="14"/>
      <c r="AT6161" s="14"/>
      <c r="AU6161" s="14"/>
      <c r="AV6161" s="14"/>
      <c r="AW6161" s="15">
        <f t="shared" si="1087"/>
        <v>600</v>
      </c>
      <c r="AX6161" s="16"/>
    </row>
    <row r="6162" spans="2:50" x14ac:dyDescent="0.2">
      <c r="B6162" s="7"/>
      <c r="C6162" s="8">
        <v>16283</v>
      </c>
      <c r="D6162" s="9" t="s">
        <v>171</v>
      </c>
      <c r="E6162" s="10" t="str">
        <f t="shared" si="1082"/>
        <v>Rancho La Cuchilla No. 72</v>
      </c>
      <c r="F6162" s="10" t="str">
        <f t="shared" si="1083"/>
        <v>Ortiz González</v>
      </c>
      <c r="G6162" s="8">
        <v>1</v>
      </c>
      <c r="H6162" s="11">
        <v>400</v>
      </c>
      <c r="I6162" s="12">
        <v>43191</v>
      </c>
      <c r="J6162" s="35">
        <f t="shared" si="1084"/>
        <v>0</v>
      </c>
      <c r="K6162" s="36"/>
      <c r="L6162" s="36"/>
      <c r="M6162" s="36"/>
      <c r="N6162" s="36"/>
      <c r="O6162" s="36"/>
      <c r="P6162" s="36"/>
      <c r="Q6162" s="36"/>
      <c r="R6162" s="36"/>
      <c r="S6162" s="36"/>
      <c r="T6162" s="36"/>
      <c r="U6162" s="36"/>
      <c r="V6162" s="36"/>
      <c r="W6162" s="15">
        <f t="shared" si="1085"/>
        <v>0</v>
      </c>
      <c r="X6162" s="36"/>
      <c r="Y6162" s="36"/>
      <c r="Z6162" s="36"/>
      <c r="AA6162" s="36"/>
      <c r="AB6162" s="36"/>
      <c r="AC6162" s="36"/>
      <c r="AD6162" s="36"/>
      <c r="AE6162" s="36"/>
      <c r="AF6162" s="36"/>
      <c r="AG6162" s="36"/>
      <c r="AH6162" s="36"/>
      <c r="AI6162" s="36"/>
      <c r="AJ6162" s="15">
        <f t="shared" si="1086"/>
        <v>0</v>
      </c>
      <c r="AK6162" s="14"/>
      <c r="AL6162" s="14"/>
      <c r="AM6162" s="14"/>
      <c r="AN6162" s="14">
        <v>400</v>
      </c>
      <c r="AO6162" s="14"/>
      <c r="AP6162" s="14"/>
      <c r="AQ6162" s="14"/>
      <c r="AR6162" s="14"/>
      <c r="AS6162" s="14"/>
      <c r="AT6162" s="14"/>
      <c r="AU6162" s="14"/>
      <c r="AV6162" s="14"/>
      <c r="AW6162" s="15">
        <f t="shared" si="1087"/>
        <v>400</v>
      </c>
      <c r="AX6162" s="16"/>
    </row>
    <row r="6163" spans="2:50" x14ac:dyDescent="0.2">
      <c r="B6163" s="7"/>
      <c r="C6163" s="8">
        <v>16284</v>
      </c>
      <c r="D6163" s="9" t="s">
        <v>476</v>
      </c>
      <c r="E6163" s="10" t="str">
        <f t="shared" si="1082"/>
        <v>Rancho Upácuaro No. 33</v>
      </c>
      <c r="F6163" s="10" t="str">
        <f t="shared" si="1083"/>
        <v>Ulloa Miranda</v>
      </c>
      <c r="G6163" s="8">
        <v>1</v>
      </c>
      <c r="H6163" s="11">
        <v>400</v>
      </c>
      <c r="I6163" s="12">
        <v>43191</v>
      </c>
      <c r="J6163" s="35">
        <f t="shared" si="1084"/>
        <v>0</v>
      </c>
      <c r="K6163" s="36"/>
      <c r="L6163" s="36"/>
      <c r="M6163" s="36"/>
      <c r="N6163" s="36"/>
      <c r="O6163" s="36"/>
      <c r="P6163" s="36"/>
      <c r="Q6163" s="36"/>
      <c r="R6163" s="36"/>
      <c r="S6163" s="36"/>
      <c r="T6163" s="36"/>
      <c r="U6163" s="36"/>
      <c r="V6163" s="36"/>
      <c r="W6163" s="15">
        <f t="shared" si="1085"/>
        <v>0</v>
      </c>
      <c r="X6163" s="36"/>
      <c r="Y6163" s="36"/>
      <c r="Z6163" s="36"/>
      <c r="AA6163" s="36"/>
      <c r="AB6163" s="36"/>
      <c r="AC6163" s="36"/>
      <c r="AD6163" s="36"/>
      <c r="AE6163" s="36"/>
      <c r="AF6163" s="36"/>
      <c r="AG6163" s="36"/>
      <c r="AH6163" s="36"/>
      <c r="AI6163" s="36"/>
      <c r="AJ6163" s="15">
        <f t="shared" si="1086"/>
        <v>0</v>
      </c>
      <c r="AK6163" s="14"/>
      <c r="AL6163" s="14"/>
      <c r="AM6163" s="14"/>
      <c r="AN6163" s="14">
        <v>400</v>
      </c>
      <c r="AO6163" s="14"/>
      <c r="AP6163" s="14"/>
      <c r="AQ6163" s="14"/>
      <c r="AR6163" s="14"/>
      <c r="AS6163" s="14"/>
      <c r="AT6163" s="14"/>
      <c r="AU6163" s="14"/>
      <c r="AV6163" s="14"/>
      <c r="AW6163" s="15">
        <f t="shared" si="1087"/>
        <v>400</v>
      </c>
      <c r="AX6163" s="16"/>
    </row>
    <row r="6164" spans="2:50" x14ac:dyDescent="0.2">
      <c r="B6164" s="7"/>
      <c r="C6164" s="8">
        <v>16285</v>
      </c>
      <c r="D6164" s="9" t="s">
        <v>313</v>
      </c>
      <c r="E6164" s="10" t="str">
        <f t="shared" si="1082"/>
        <v>Rancho La Cuchilla No. 87</v>
      </c>
      <c r="F6164" s="10" t="str">
        <f t="shared" si="1083"/>
        <v>Villanueva S.</v>
      </c>
      <c r="G6164" s="8">
        <v>1</v>
      </c>
      <c r="H6164" s="11">
        <v>400</v>
      </c>
      <c r="I6164" s="12">
        <v>43191</v>
      </c>
      <c r="J6164" s="35">
        <f t="shared" si="1084"/>
        <v>0</v>
      </c>
      <c r="K6164" s="36"/>
      <c r="L6164" s="36"/>
      <c r="M6164" s="36"/>
      <c r="N6164" s="36"/>
      <c r="O6164" s="36"/>
      <c r="P6164" s="36"/>
      <c r="Q6164" s="36"/>
      <c r="R6164" s="36"/>
      <c r="S6164" s="36"/>
      <c r="T6164" s="36"/>
      <c r="U6164" s="36"/>
      <c r="V6164" s="36"/>
      <c r="W6164" s="15">
        <f t="shared" si="1085"/>
        <v>0</v>
      </c>
      <c r="X6164" s="36"/>
      <c r="Y6164" s="36"/>
      <c r="Z6164" s="36"/>
      <c r="AA6164" s="36"/>
      <c r="AB6164" s="36"/>
      <c r="AC6164" s="36"/>
      <c r="AD6164" s="36"/>
      <c r="AE6164" s="36"/>
      <c r="AF6164" s="36"/>
      <c r="AG6164" s="36"/>
      <c r="AH6164" s="36"/>
      <c r="AI6164" s="36"/>
      <c r="AJ6164" s="15">
        <f t="shared" si="1086"/>
        <v>0</v>
      </c>
      <c r="AK6164" s="14"/>
      <c r="AL6164" s="14"/>
      <c r="AM6164" s="14"/>
      <c r="AN6164" s="14">
        <v>400</v>
      </c>
      <c r="AO6164" s="14"/>
      <c r="AP6164" s="14"/>
      <c r="AQ6164" s="14"/>
      <c r="AR6164" s="14"/>
      <c r="AS6164" s="14"/>
      <c r="AT6164" s="14"/>
      <c r="AU6164" s="14"/>
      <c r="AV6164" s="14"/>
      <c r="AW6164" s="15">
        <f t="shared" si="1087"/>
        <v>400</v>
      </c>
      <c r="AX6164" s="16"/>
    </row>
    <row r="6165" spans="2:50" x14ac:dyDescent="0.2">
      <c r="B6165" s="7"/>
      <c r="C6165" s="8">
        <v>16286</v>
      </c>
      <c r="D6165" s="9" t="s">
        <v>1267</v>
      </c>
      <c r="E6165" s="10" t="str">
        <f t="shared" si="1082"/>
        <v>Rancho La Cuchilla No. 31</v>
      </c>
      <c r="F6165" s="10" t="str">
        <f t="shared" si="1083"/>
        <v>Lince</v>
      </c>
      <c r="G6165" s="8">
        <v>5</v>
      </c>
      <c r="H6165" s="11">
        <v>50</v>
      </c>
      <c r="I6165" s="12">
        <v>43191</v>
      </c>
      <c r="J6165" s="35">
        <f t="shared" si="1084"/>
        <v>0</v>
      </c>
      <c r="K6165" s="36"/>
      <c r="L6165" s="36"/>
      <c r="M6165" s="36"/>
      <c r="N6165" s="36"/>
      <c r="O6165" s="36"/>
      <c r="P6165" s="36"/>
      <c r="Q6165" s="36"/>
      <c r="R6165" s="36"/>
      <c r="S6165" s="36"/>
      <c r="T6165" s="36"/>
      <c r="U6165" s="36"/>
      <c r="V6165" s="36"/>
      <c r="W6165" s="15">
        <f t="shared" si="1085"/>
        <v>0</v>
      </c>
      <c r="X6165" s="36"/>
      <c r="Y6165" s="36"/>
      <c r="Z6165" s="36"/>
      <c r="AA6165" s="36"/>
      <c r="AB6165" s="36"/>
      <c r="AC6165" s="36"/>
      <c r="AD6165" s="36"/>
      <c r="AE6165" s="36"/>
      <c r="AF6165" s="36"/>
      <c r="AG6165" s="36"/>
      <c r="AH6165" s="36"/>
      <c r="AI6165" s="36"/>
      <c r="AJ6165" s="15">
        <f t="shared" si="1086"/>
        <v>0</v>
      </c>
      <c r="AK6165" s="14"/>
      <c r="AL6165" s="14"/>
      <c r="AM6165" s="14"/>
      <c r="AN6165" s="14"/>
      <c r="AO6165" s="14"/>
      <c r="AP6165" s="14"/>
      <c r="AQ6165" s="14"/>
      <c r="AR6165" s="14"/>
      <c r="AS6165" s="14"/>
      <c r="AT6165" s="14"/>
      <c r="AU6165" s="14"/>
      <c r="AV6165" s="14"/>
      <c r="AW6165" s="15">
        <f t="shared" si="1087"/>
        <v>0</v>
      </c>
      <c r="AX6165" s="16"/>
    </row>
    <row r="6166" spans="2:50" x14ac:dyDescent="0.2">
      <c r="B6166" s="7"/>
      <c r="C6166" s="8">
        <v>16287</v>
      </c>
      <c r="D6166" s="9" t="s">
        <v>126</v>
      </c>
      <c r="E6166" s="10" t="str">
        <f t="shared" si="1082"/>
        <v>Rancho Estanzuela No. 65</v>
      </c>
      <c r="F6166" s="10" t="str">
        <f t="shared" si="1083"/>
        <v>López Becerril</v>
      </c>
      <c r="G6166" s="8">
        <v>1</v>
      </c>
      <c r="H6166" s="11">
        <v>400</v>
      </c>
      <c r="I6166" s="12">
        <v>43191</v>
      </c>
      <c r="J6166" s="35">
        <f t="shared" si="1084"/>
        <v>0</v>
      </c>
      <c r="K6166" s="36"/>
      <c r="L6166" s="36"/>
      <c r="M6166" s="36"/>
      <c r="N6166" s="36"/>
      <c r="O6166" s="36"/>
      <c r="P6166" s="36"/>
      <c r="Q6166" s="36"/>
      <c r="R6166" s="36"/>
      <c r="S6166" s="36"/>
      <c r="T6166" s="36"/>
      <c r="U6166" s="36"/>
      <c r="V6166" s="36"/>
      <c r="W6166" s="15">
        <f t="shared" si="1085"/>
        <v>0</v>
      </c>
      <c r="X6166" s="36"/>
      <c r="Y6166" s="36"/>
      <c r="Z6166" s="36"/>
      <c r="AA6166" s="36"/>
      <c r="AB6166" s="36"/>
      <c r="AC6166" s="36"/>
      <c r="AD6166" s="36"/>
      <c r="AE6166" s="36"/>
      <c r="AF6166" s="36"/>
      <c r="AG6166" s="36"/>
      <c r="AH6166" s="36"/>
      <c r="AI6166" s="36"/>
      <c r="AJ6166" s="15">
        <f t="shared" si="1086"/>
        <v>0</v>
      </c>
      <c r="AK6166" s="14"/>
      <c r="AL6166" s="14"/>
      <c r="AM6166" s="14">
        <v>400</v>
      </c>
      <c r="AN6166" s="14"/>
      <c r="AO6166" s="14"/>
      <c r="AP6166" s="14"/>
      <c r="AQ6166" s="14"/>
      <c r="AR6166" s="14"/>
      <c r="AS6166" s="14"/>
      <c r="AT6166" s="14"/>
      <c r="AU6166" s="14"/>
      <c r="AV6166" s="14"/>
      <c r="AW6166" s="15">
        <f t="shared" si="1087"/>
        <v>400</v>
      </c>
      <c r="AX6166" s="16"/>
    </row>
    <row r="6167" spans="2:50" x14ac:dyDescent="0.2">
      <c r="B6167" s="7"/>
      <c r="C6167" s="8">
        <v>16288</v>
      </c>
      <c r="D6167" s="9" t="s">
        <v>580</v>
      </c>
      <c r="E6167" s="10" t="str">
        <f t="shared" si="1082"/>
        <v>Rancho La Cuchilla No. 59</v>
      </c>
      <c r="F6167" s="10" t="str">
        <f t="shared" si="1083"/>
        <v>Ortega Vega</v>
      </c>
      <c r="G6167" s="8">
        <v>1</v>
      </c>
      <c r="H6167" s="11">
        <v>450</v>
      </c>
      <c r="I6167" s="12">
        <v>43191</v>
      </c>
      <c r="J6167" s="35">
        <f t="shared" si="1084"/>
        <v>0</v>
      </c>
      <c r="K6167" s="36"/>
      <c r="L6167" s="36"/>
      <c r="M6167" s="36"/>
      <c r="N6167" s="36"/>
      <c r="O6167" s="36"/>
      <c r="P6167" s="36"/>
      <c r="Q6167" s="36"/>
      <c r="R6167" s="36"/>
      <c r="S6167" s="36"/>
      <c r="T6167" s="36"/>
      <c r="U6167" s="36"/>
      <c r="V6167" s="36"/>
      <c r="W6167" s="15">
        <f t="shared" si="1085"/>
        <v>0</v>
      </c>
      <c r="X6167" s="36"/>
      <c r="Y6167" s="36"/>
      <c r="Z6167" s="36"/>
      <c r="AA6167" s="36"/>
      <c r="AB6167" s="36"/>
      <c r="AC6167" s="36"/>
      <c r="AD6167" s="36"/>
      <c r="AE6167" s="36"/>
      <c r="AF6167" s="36"/>
      <c r="AG6167" s="36"/>
      <c r="AH6167" s="36"/>
      <c r="AI6167" s="36"/>
      <c r="AJ6167" s="15">
        <f t="shared" si="1086"/>
        <v>0</v>
      </c>
      <c r="AK6167" s="14"/>
      <c r="AL6167" s="14"/>
      <c r="AM6167" s="14"/>
      <c r="AN6167" s="14">
        <v>150</v>
      </c>
      <c r="AO6167" s="14">
        <v>150</v>
      </c>
      <c r="AP6167" s="14">
        <v>150</v>
      </c>
      <c r="AQ6167" s="14"/>
      <c r="AR6167" s="14"/>
      <c r="AS6167" s="14"/>
      <c r="AT6167" s="14"/>
      <c r="AU6167" s="14"/>
      <c r="AV6167" s="14"/>
      <c r="AW6167" s="15">
        <f t="shared" si="1087"/>
        <v>450</v>
      </c>
      <c r="AX6167" s="16"/>
    </row>
    <row r="6168" spans="2:50" x14ac:dyDescent="0.2">
      <c r="B6168" s="7"/>
      <c r="C6168" s="8">
        <v>16289</v>
      </c>
      <c r="D6168" s="9" t="s">
        <v>834</v>
      </c>
      <c r="E6168" s="10" t="str">
        <f t="shared" si="1082"/>
        <v>Rancho Upácuaro No. 110</v>
      </c>
      <c r="F6168" s="10" t="str">
        <f t="shared" si="1083"/>
        <v>Ruiz Mijangos</v>
      </c>
      <c r="G6168" s="8">
        <v>1</v>
      </c>
      <c r="H6168" s="11">
        <v>900</v>
      </c>
      <c r="I6168" s="12">
        <v>43191</v>
      </c>
      <c r="J6168" s="35">
        <f t="shared" si="1084"/>
        <v>0</v>
      </c>
      <c r="K6168" s="36"/>
      <c r="L6168" s="36"/>
      <c r="M6168" s="36"/>
      <c r="N6168" s="36"/>
      <c r="O6168" s="36"/>
      <c r="P6168" s="36"/>
      <c r="Q6168" s="36"/>
      <c r="R6168" s="36"/>
      <c r="S6168" s="36"/>
      <c r="T6168" s="36"/>
      <c r="U6168" s="36"/>
      <c r="V6168" s="36"/>
      <c r="W6168" s="15">
        <f t="shared" si="1085"/>
        <v>0</v>
      </c>
      <c r="X6168" s="36"/>
      <c r="Y6168" s="36"/>
      <c r="Z6168" s="36"/>
      <c r="AA6168" s="36"/>
      <c r="AB6168" s="36"/>
      <c r="AC6168" s="36"/>
      <c r="AD6168" s="36"/>
      <c r="AE6168" s="36"/>
      <c r="AF6168" s="36"/>
      <c r="AG6168" s="36"/>
      <c r="AH6168" s="36"/>
      <c r="AI6168" s="36"/>
      <c r="AJ6168" s="15">
        <f t="shared" si="1086"/>
        <v>0</v>
      </c>
      <c r="AK6168" s="14"/>
      <c r="AL6168" s="14"/>
      <c r="AM6168" s="14">
        <v>300</v>
      </c>
      <c r="AN6168" s="14">
        <v>300</v>
      </c>
      <c r="AO6168" s="14">
        <v>300</v>
      </c>
      <c r="AP6168" s="14"/>
      <c r="AQ6168" s="14"/>
      <c r="AR6168" s="14"/>
      <c r="AS6168" s="14"/>
      <c r="AT6168" s="14"/>
      <c r="AU6168" s="14"/>
      <c r="AV6168" s="14"/>
      <c r="AW6168" s="15">
        <f t="shared" si="1087"/>
        <v>900</v>
      </c>
      <c r="AX6168" s="316">
        <f>SUM(H6112:H6168)</f>
        <v>26525</v>
      </c>
    </row>
    <row r="6169" spans="2:50" x14ac:dyDescent="0.2">
      <c r="B6169" s="7"/>
      <c r="C6169" s="8">
        <v>16290</v>
      </c>
      <c r="D6169" s="9" t="s">
        <v>1039</v>
      </c>
      <c r="E6169" s="10" t="str">
        <f t="shared" si="1082"/>
        <v>Rancho Upácuaro No. 77</v>
      </c>
      <c r="F6169" s="10" t="str">
        <f t="shared" si="1083"/>
        <v>Alvarado</v>
      </c>
      <c r="G6169" s="8">
        <v>1</v>
      </c>
      <c r="H6169" s="315">
        <v>800</v>
      </c>
      <c r="I6169" s="12">
        <v>43192</v>
      </c>
      <c r="J6169" s="35">
        <f t="shared" si="1084"/>
        <v>0</v>
      </c>
      <c r="K6169" s="36"/>
      <c r="L6169" s="36"/>
      <c r="M6169" s="36"/>
      <c r="N6169" s="36"/>
      <c r="O6169" s="36"/>
      <c r="P6169" s="36"/>
      <c r="Q6169" s="36"/>
      <c r="R6169" s="36"/>
      <c r="S6169" s="36"/>
      <c r="T6169" s="36"/>
      <c r="U6169" s="36"/>
      <c r="V6169" s="36"/>
      <c r="W6169" s="15">
        <f t="shared" si="1085"/>
        <v>0</v>
      </c>
      <c r="X6169" s="36"/>
      <c r="Y6169" s="36"/>
      <c r="Z6169" s="36"/>
      <c r="AA6169" s="36"/>
      <c r="AB6169" s="36"/>
      <c r="AC6169" s="36"/>
      <c r="AD6169" s="36"/>
      <c r="AE6169" s="36"/>
      <c r="AF6169" s="36"/>
      <c r="AG6169" s="36"/>
      <c r="AH6169" s="36"/>
      <c r="AI6169" s="36"/>
      <c r="AJ6169" s="15">
        <f t="shared" si="1086"/>
        <v>0</v>
      </c>
      <c r="AK6169" s="14"/>
      <c r="AL6169" s="14">
        <v>400</v>
      </c>
      <c r="AM6169" s="14">
        <v>400</v>
      </c>
      <c r="AN6169" s="14"/>
      <c r="AO6169" s="14"/>
      <c r="AP6169" s="14"/>
      <c r="AQ6169" s="14"/>
      <c r="AR6169" s="14"/>
      <c r="AS6169" s="14"/>
      <c r="AT6169" s="14"/>
      <c r="AU6169" s="14"/>
      <c r="AV6169" s="14"/>
      <c r="AW6169" s="15">
        <f t="shared" si="1087"/>
        <v>800</v>
      </c>
      <c r="AX6169" s="16"/>
    </row>
    <row r="6170" spans="2:50" x14ac:dyDescent="0.2">
      <c r="B6170" s="7"/>
      <c r="C6170" s="8">
        <v>16291</v>
      </c>
      <c r="D6170" s="9" t="s">
        <v>922</v>
      </c>
      <c r="E6170" s="10" t="str">
        <f t="shared" ref="E6170" si="1088">IF(D6170=0,"",VLOOKUP(D6170,BASE,2,FALSE))</f>
        <v>Rancho Estanzuela No. 75</v>
      </c>
      <c r="F6170" s="10" t="str">
        <f t="shared" ref="F6170" si="1089">IF(D6170=0,"",VLOOKUP(D6170,BASE,3,FALSE))</f>
        <v>Candela Pons</v>
      </c>
      <c r="G6170" s="8">
        <v>1</v>
      </c>
      <c r="H6170" s="11">
        <v>1000</v>
      </c>
      <c r="I6170" s="12">
        <v>43192</v>
      </c>
      <c r="J6170" s="35">
        <f t="shared" ref="J6170" si="1090">IF(G6170=1,SUM(W6170,AJ6170,AW6170,-H6170),0)</f>
        <v>0</v>
      </c>
      <c r="K6170" s="36"/>
      <c r="L6170" s="36"/>
      <c r="M6170" s="36"/>
      <c r="N6170" s="36"/>
      <c r="O6170" s="36"/>
      <c r="P6170" s="36"/>
      <c r="Q6170" s="36"/>
      <c r="R6170" s="36"/>
      <c r="S6170" s="36"/>
      <c r="T6170" s="36"/>
      <c r="U6170" s="36"/>
      <c r="V6170" s="36"/>
      <c r="W6170" s="15">
        <f t="shared" ref="W6170" si="1091">SUM(K6170:V6170)</f>
        <v>0</v>
      </c>
      <c r="X6170" s="36"/>
      <c r="Y6170" s="36"/>
      <c r="Z6170" s="36"/>
      <c r="AA6170" s="36"/>
      <c r="AB6170" s="36"/>
      <c r="AC6170" s="36"/>
      <c r="AD6170" s="36"/>
      <c r="AE6170" s="36"/>
      <c r="AF6170" s="36"/>
      <c r="AG6170" s="36"/>
      <c r="AH6170" s="36"/>
      <c r="AI6170" s="36"/>
      <c r="AJ6170" s="15">
        <f t="shared" ref="AJ6170" si="1092">SUM(X6170:AI6170)</f>
        <v>0</v>
      </c>
      <c r="AK6170" s="14">
        <v>250</v>
      </c>
      <c r="AL6170" s="14">
        <v>250</v>
      </c>
      <c r="AM6170" s="14">
        <v>250</v>
      </c>
      <c r="AN6170" s="14">
        <v>250</v>
      </c>
      <c r="AO6170" s="14"/>
      <c r="AP6170" s="14"/>
      <c r="AQ6170" s="14"/>
      <c r="AR6170" s="14"/>
      <c r="AS6170" s="14"/>
      <c r="AT6170" s="14"/>
      <c r="AU6170" s="14"/>
      <c r="AV6170" s="14"/>
      <c r="AW6170" s="15">
        <f t="shared" ref="AW6170" si="1093">SUM(AK6170:AV6170)</f>
        <v>1000</v>
      </c>
      <c r="AX6170" s="16"/>
    </row>
    <row r="6171" spans="2:50" x14ac:dyDescent="0.2">
      <c r="B6171" s="7"/>
      <c r="C6171" s="8">
        <v>16292</v>
      </c>
      <c r="D6171" s="9" t="s">
        <v>1181</v>
      </c>
      <c r="E6171" s="10" t="str">
        <f t="shared" ref="E6171:E6234" si="1094">IF(D6171=0,"",VLOOKUP(D6171,BASE,2,FALSE))</f>
        <v>Rancho Upácuaro No. 31</v>
      </c>
      <c r="F6171" s="10" t="str">
        <f t="shared" ref="F6171:F6234" si="1095">IF(D6171=0,"",VLOOKUP(D6171,BASE,3,FALSE))</f>
        <v>Gallardo Ávila</v>
      </c>
      <c r="G6171" s="8">
        <v>1</v>
      </c>
      <c r="H6171" s="11">
        <v>600</v>
      </c>
      <c r="I6171" s="12">
        <v>43192</v>
      </c>
      <c r="J6171" s="35">
        <f t="shared" ref="J6171:J6234" si="1096">IF(G6171=1,SUM(W6171,AJ6171,AW6171,-H6171),0)</f>
        <v>0</v>
      </c>
      <c r="K6171" s="36"/>
      <c r="L6171" s="36"/>
      <c r="M6171" s="36"/>
      <c r="N6171" s="36"/>
      <c r="O6171" s="36"/>
      <c r="P6171" s="36"/>
      <c r="Q6171" s="36"/>
      <c r="R6171" s="36"/>
      <c r="S6171" s="36"/>
      <c r="T6171" s="36"/>
      <c r="U6171" s="36"/>
      <c r="V6171" s="36"/>
      <c r="W6171" s="15">
        <f t="shared" ref="W6171:W6234" si="1097">SUM(K6171:V6171)</f>
        <v>0</v>
      </c>
      <c r="X6171" s="36"/>
      <c r="Y6171" s="36"/>
      <c r="Z6171" s="36"/>
      <c r="AA6171" s="36"/>
      <c r="AB6171" s="36"/>
      <c r="AC6171" s="36"/>
      <c r="AD6171" s="36"/>
      <c r="AE6171" s="36"/>
      <c r="AF6171" s="36"/>
      <c r="AG6171" s="36"/>
      <c r="AH6171" s="36"/>
      <c r="AI6171" s="36"/>
      <c r="AJ6171" s="15">
        <f t="shared" ref="AJ6171:AJ6234" si="1098">SUM(X6171:AI6171)</f>
        <v>0</v>
      </c>
      <c r="AK6171" s="14">
        <v>200</v>
      </c>
      <c r="AL6171" s="14">
        <v>200</v>
      </c>
      <c r="AM6171" s="14">
        <v>200</v>
      </c>
      <c r="AN6171" s="14"/>
      <c r="AO6171" s="14"/>
      <c r="AP6171" s="14"/>
      <c r="AQ6171" s="14"/>
      <c r="AR6171" s="14"/>
      <c r="AS6171" s="14"/>
      <c r="AT6171" s="14"/>
      <c r="AU6171" s="14"/>
      <c r="AV6171" s="14"/>
      <c r="AW6171" s="15">
        <f t="shared" ref="AW6171:AW6234" si="1099">SUM(AK6171:AV6171)</f>
        <v>600</v>
      </c>
      <c r="AX6171" s="16"/>
    </row>
    <row r="6172" spans="2:50" x14ac:dyDescent="0.2">
      <c r="B6172" s="7"/>
      <c r="C6172" s="8">
        <v>16293</v>
      </c>
      <c r="D6172" s="9" t="s">
        <v>852</v>
      </c>
      <c r="E6172" s="10" t="str">
        <f t="shared" si="1094"/>
        <v>Rancho La Cuchilla No. 97</v>
      </c>
      <c r="F6172" s="10" t="str">
        <f t="shared" si="1095"/>
        <v>López Ruiz</v>
      </c>
      <c r="G6172" s="8">
        <v>1</v>
      </c>
      <c r="H6172" s="11">
        <v>900</v>
      </c>
      <c r="I6172" s="12">
        <v>43193</v>
      </c>
      <c r="J6172" s="35">
        <f t="shared" si="1096"/>
        <v>0</v>
      </c>
      <c r="K6172" s="36"/>
      <c r="L6172" s="36"/>
      <c r="M6172" s="36"/>
      <c r="N6172" s="36"/>
      <c r="O6172" s="36"/>
      <c r="P6172" s="36"/>
      <c r="Q6172" s="36"/>
      <c r="R6172" s="36"/>
      <c r="S6172" s="36"/>
      <c r="T6172" s="36"/>
      <c r="U6172" s="36"/>
      <c r="V6172" s="36"/>
      <c r="W6172" s="15">
        <f t="shared" si="1097"/>
        <v>0</v>
      </c>
      <c r="X6172" s="36"/>
      <c r="Y6172" s="36"/>
      <c r="Z6172" s="36"/>
      <c r="AA6172" s="36"/>
      <c r="AB6172" s="36"/>
      <c r="AC6172" s="36"/>
      <c r="AD6172" s="36"/>
      <c r="AE6172" s="36"/>
      <c r="AF6172" s="36"/>
      <c r="AG6172" s="36"/>
      <c r="AH6172" s="36"/>
      <c r="AI6172" s="36"/>
      <c r="AJ6172" s="15">
        <f t="shared" si="1098"/>
        <v>0</v>
      </c>
      <c r="AK6172" s="14">
        <v>300</v>
      </c>
      <c r="AL6172" s="14">
        <v>300</v>
      </c>
      <c r="AM6172" s="14">
        <v>300</v>
      </c>
      <c r="AN6172" s="14"/>
      <c r="AO6172" s="14"/>
      <c r="AP6172" s="14"/>
      <c r="AQ6172" s="14"/>
      <c r="AR6172" s="14"/>
      <c r="AS6172" s="14"/>
      <c r="AT6172" s="14"/>
      <c r="AU6172" s="14"/>
      <c r="AV6172" s="14"/>
      <c r="AW6172" s="15">
        <f t="shared" si="1099"/>
        <v>900</v>
      </c>
      <c r="AX6172" s="16"/>
    </row>
    <row r="6173" spans="2:50" x14ac:dyDescent="0.2">
      <c r="B6173" s="7"/>
      <c r="C6173" s="8">
        <v>16294</v>
      </c>
      <c r="D6173" s="9" t="s">
        <v>1064</v>
      </c>
      <c r="E6173" s="10" t="str">
        <f t="shared" si="1094"/>
        <v>Rancho Estanzuela No. 105</v>
      </c>
      <c r="F6173" s="10" t="str">
        <f t="shared" si="1095"/>
        <v>Ochoa</v>
      </c>
      <c r="G6173" s="8">
        <v>1</v>
      </c>
      <c r="H6173" s="11">
        <v>100</v>
      </c>
      <c r="I6173" s="12">
        <v>43193</v>
      </c>
      <c r="J6173" s="35">
        <f t="shared" si="1096"/>
        <v>0</v>
      </c>
      <c r="K6173" s="36"/>
      <c r="L6173" s="36"/>
      <c r="M6173" s="36"/>
      <c r="N6173" s="36"/>
      <c r="O6173" s="36"/>
      <c r="P6173" s="36"/>
      <c r="Q6173" s="36"/>
      <c r="R6173" s="36"/>
      <c r="S6173" s="36"/>
      <c r="T6173" s="36"/>
      <c r="U6173" s="36"/>
      <c r="V6173" s="36"/>
      <c r="W6173" s="15">
        <f t="shared" si="1097"/>
        <v>0</v>
      </c>
      <c r="X6173" s="36"/>
      <c r="Y6173" s="36"/>
      <c r="Z6173" s="36"/>
      <c r="AA6173" s="36"/>
      <c r="AB6173" s="36"/>
      <c r="AC6173" s="36"/>
      <c r="AD6173" s="36"/>
      <c r="AE6173" s="36"/>
      <c r="AF6173" s="36"/>
      <c r="AG6173" s="36"/>
      <c r="AH6173" s="36"/>
      <c r="AI6173" s="36"/>
      <c r="AJ6173" s="15">
        <f t="shared" si="1098"/>
        <v>0</v>
      </c>
      <c r="AK6173" s="14"/>
      <c r="AL6173" s="14"/>
      <c r="AM6173" s="14"/>
      <c r="AN6173" s="14">
        <v>100</v>
      </c>
      <c r="AO6173" s="14"/>
      <c r="AP6173" s="14"/>
      <c r="AQ6173" s="14"/>
      <c r="AR6173" s="14"/>
      <c r="AS6173" s="14"/>
      <c r="AT6173" s="14"/>
      <c r="AU6173" s="14"/>
      <c r="AV6173" s="14"/>
      <c r="AW6173" s="15">
        <f t="shared" si="1099"/>
        <v>100</v>
      </c>
      <c r="AX6173" s="16"/>
    </row>
    <row r="6174" spans="2:50" x14ac:dyDescent="0.2">
      <c r="B6174" s="7" t="s">
        <v>4983</v>
      </c>
      <c r="C6174" s="8">
        <v>16295</v>
      </c>
      <c r="D6174" s="9" t="s">
        <v>211</v>
      </c>
      <c r="E6174" s="10" t="str">
        <f t="shared" si="1094"/>
        <v>Rancho Upácuaro No. 46</v>
      </c>
      <c r="F6174" s="10" t="str">
        <f t="shared" si="1095"/>
        <v>Fuentes</v>
      </c>
      <c r="G6174" s="8">
        <v>1</v>
      </c>
      <c r="H6174" s="11">
        <v>300</v>
      </c>
      <c r="I6174" s="12">
        <v>43193</v>
      </c>
      <c r="J6174" s="35">
        <f t="shared" si="1096"/>
        <v>0</v>
      </c>
      <c r="K6174" s="36"/>
      <c r="L6174" s="36"/>
      <c r="M6174" s="36"/>
      <c r="N6174" s="36"/>
      <c r="O6174" s="36"/>
      <c r="P6174" s="36"/>
      <c r="Q6174" s="36"/>
      <c r="R6174" s="36"/>
      <c r="S6174" s="36"/>
      <c r="T6174" s="36"/>
      <c r="U6174" s="36"/>
      <c r="V6174" s="36"/>
      <c r="W6174" s="15">
        <f t="shared" si="1097"/>
        <v>0</v>
      </c>
      <c r="X6174" s="36"/>
      <c r="Y6174" s="36"/>
      <c r="Z6174" s="36"/>
      <c r="AA6174" s="36"/>
      <c r="AB6174" s="36"/>
      <c r="AC6174" s="36"/>
      <c r="AD6174" s="36"/>
      <c r="AE6174" s="36"/>
      <c r="AF6174" s="36"/>
      <c r="AG6174" s="36"/>
      <c r="AH6174" s="36"/>
      <c r="AI6174" s="36"/>
      <c r="AJ6174" s="15">
        <f t="shared" si="1098"/>
        <v>0</v>
      </c>
      <c r="AK6174" s="14"/>
      <c r="AL6174" s="14"/>
      <c r="AM6174" s="14"/>
      <c r="AN6174" s="14">
        <v>300</v>
      </c>
      <c r="AO6174" s="14"/>
      <c r="AP6174" s="14"/>
      <c r="AQ6174" s="14"/>
      <c r="AR6174" s="14"/>
      <c r="AS6174" s="14"/>
      <c r="AT6174" s="14"/>
      <c r="AU6174" s="14"/>
      <c r="AV6174" s="14"/>
      <c r="AW6174" s="15">
        <f t="shared" si="1099"/>
        <v>300</v>
      </c>
      <c r="AX6174" s="16"/>
    </row>
    <row r="6175" spans="2:50" x14ac:dyDescent="0.2">
      <c r="B6175" s="7"/>
      <c r="C6175" s="8">
        <v>16296</v>
      </c>
      <c r="D6175" s="9" t="s">
        <v>734</v>
      </c>
      <c r="E6175" s="10" t="str">
        <f t="shared" si="1094"/>
        <v>Rancho La Cuchilla No. 73</v>
      </c>
      <c r="F6175" s="10" t="str">
        <f t="shared" si="1095"/>
        <v>Cooper</v>
      </c>
      <c r="G6175" s="8">
        <v>1</v>
      </c>
      <c r="H6175" s="11">
        <v>4000</v>
      </c>
      <c r="I6175" s="12">
        <v>43163</v>
      </c>
      <c r="J6175" s="35">
        <f t="shared" si="1096"/>
        <v>0</v>
      </c>
      <c r="K6175" s="36"/>
      <c r="L6175" s="36"/>
      <c r="M6175" s="36"/>
      <c r="N6175" s="36"/>
      <c r="O6175" s="36"/>
      <c r="P6175" s="36"/>
      <c r="Q6175" s="36"/>
      <c r="R6175" s="36"/>
      <c r="S6175" s="36"/>
      <c r="T6175" s="36"/>
      <c r="U6175" s="36"/>
      <c r="V6175" s="36"/>
      <c r="W6175" s="15">
        <f t="shared" si="1097"/>
        <v>0</v>
      </c>
      <c r="X6175" s="36"/>
      <c r="Y6175" s="36"/>
      <c r="Z6175" s="36"/>
      <c r="AA6175" s="36"/>
      <c r="AB6175" s="36"/>
      <c r="AC6175" s="36"/>
      <c r="AD6175" s="36">
        <v>400</v>
      </c>
      <c r="AE6175" s="36">
        <v>400</v>
      </c>
      <c r="AF6175" s="36">
        <v>400</v>
      </c>
      <c r="AG6175" s="36">
        <v>400</v>
      </c>
      <c r="AH6175" s="36">
        <v>400</v>
      </c>
      <c r="AI6175" s="36">
        <v>400</v>
      </c>
      <c r="AJ6175" s="15">
        <f t="shared" si="1098"/>
        <v>2400</v>
      </c>
      <c r="AK6175" s="14">
        <v>400</v>
      </c>
      <c r="AL6175" s="14">
        <v>400</v>
      </c>
      <c r="AM6175" s="14">
        <v>400</v>
      </c>
      <c r="AN6175" s="14">
        <v>400</v>
      </c>
      <c r="AO6175" s="14"/>
      <c r="AP6175" s="14"/>
      <c r="AQ6175" s="14"/>
      <c r="AR6175" s="14"/>
      <c r="AS6175" s="14"/>
      <c r="AT6175" s="14"/>
      <c r="AU6175" s="14"/>
      <c r="AV6175" s="14"/>
      <c r="AW6175" s="15">
        <f t="shared" si="1099"/>
        <v>1600</v>
      </c>
      <c r="AX6175" s="16"/>
    </row>
    <row r="6176" spans="2:50" x14ac:dyDescent="0.2">
      <c r="B6176" s="7"/>
      <c r="C6176" s="8">
        <v>16297</v>
      </c>
      <c r="D6176" s="9" t="s">
        <v>217</v>
      </c>
      <c r="E6176" s="10" t="str">
        <f t="shared" si="1094"/>
        <v>Rancho Recoveco No. 173</v>
      </c>
      <c r="F6176" s="10" t="str">
        <f t="shared" si="1095"/>
        <v>Velarde</v>
      </c>
      <c r="G6176" s="8">
        <v>1</v>
      </c>
      <c r="H6176" s="11">
        <v>600</v>
      </c>
      <c r="I6176" s="12">
        <v>43194</v>
      </c>
      <c r="J6176" s="35">
        <f t="shared" si="1096"/>
        <v>0</v>
      </c>
      <c r="K6176" s="36"/>
      <c r="L6176" s="36"/>
      <c r="M6176" s="36"/>
      <c r="N6176" s="36"/>
      <c r="O6176" s="36"/>
      <c r="P6176" s="36"/>
      <c r="Q6176" s="36"/>
      <c r="R6176" s="36"/>
      <c r="S6176" s="36"/>
      <c r="T6176" s="36"/>
      <c r="U6176" s="36"/>
      <c r="V6176" s="36"/>
      <c r="W6176" s="15">
        <f t="shared" si="1097"/>
        <v>0</v>
      </c>
      <c r="X6176" s="36"/>
      <c r="Y6176" s="36"/>
      <c r="Z6176" s="36"/>
      <c r="AA6176" s="36"/>
      <c r="AB6176" s="36"/>
      <c r="AC6176" s="36"/>
      <c r="AD6176" s="36"/>
      <c r="AE6176" s="36"/>
      <c r="AF6176" s="36"/>
      <c r="AG6176" s="36"/>
      <c r="AH6176" s="36"/>
      <c r="AI6176" s="36"/>
      <c r="AJ6176" s="15">
        <f t="shared" si="1098"/>
        <v>0</v>
      </c>
      <c r="AK6176" s="14"/>
      <c r="AL6176" s="14"/>
      <c r="AM6176" s="14"/>
      <c r="AN6176" s="14">
        <v>300</v>
      </c>
      <c r="AO6176" s="14">
        <v>300</v>
      </c>
      <c r="AP6176" s="14"/>
      <c r="AQ6176" s="14"/>
      <c r="AR6176" s="14"/>
      <c r="AS6176" s="14"/>
      <c r="AT6176" s="14"/>
      <c r="AU6176" s="14"/>
      <c r="AV6176" s="14"/>
      <c r="AW6176" s="15">
        <f t="shared" si="1099"/>
        <v>600</v>
      </c>
      <c r="AX6176" s="16"/>
    </row>
    <row r="6177" spans="2:50" x14ac:dyDescent="0.2">
      <c r="B6177" s="7" t="s">
        <v>5164</v>
      </c>
      <c r="C6177" s="8">
        <v>16298</v>
      </c>
      <c r="D6177" s="9" t="s">
        <v>119</v>
      </c>
      <c r="E6177" s="10" t="str">
        <f t="shared" si="1094"/>
        <v>Rancho Landero No. 25</v>
      </c>
      <c r="F6177" s="10" t="str">
        <f t="shared" si="1095"/>
        <v>Escamilla Martínez</v>
      </c>
      <c r="G6177" s="8"/>
      <c r="H6177" s="11"/>
      <c r="I6177" s="12"/>
      <c r="J6177" s="35">
        <f t="shared" si="1096"/>
        <v>0</v>
      </c>
      <c r="K6177" s="36"/>
      <c r="L6177" s="36"/>
      <c r="M6177" s="36"/>
      <c r="N6177" s="36"/>
      <c r="O6177" s="36"/>
      <c r="P6177" s="36"/>
      <c r="Q6177" s="36"/>
      <c r="R6177" s="36"/>
      <c r="S6177" s="36"/>
      <c r="T6177" s="36"/>
      <c r="U6177" s="36"/>
      <c r="V6177" s="36"/>
      <c r="W6177" s="15">
        <f t="shared" si="1097"/>
        <v>0</v>
      </c>
      <c r="X6177" s="36"/>
      <c r="Y6177" s="36"/>
      <c r="Z6177" s="36"/>
      <c r="AA6177" s="36"/>
      <c r="AB6177" s="36"/>
      <c r="AC6177" s="36"/>
      <c r="AD6177" s="36"/>
      <c r="AE6177" s="36"/>
      <c r="AF6177" s="36"/>
      <c r="AG6177" s="36"/>
      <c r="AH6177" s="36"/>
      <c r="AI6177" s="36"/>
      <c r="AJ6177" s="15">
        <f t="shared" si="1098"/>
        <v>0</v>
      </c>
      <c r="AK6177" s="14"/>
      <c r="AL6177" s="14"/>
      <c r="AM6177" s="14"/>
      <c r="AN6177" s="14"/>
      <c r="AO6177" s="14"/>
      <c r="AP6177" s="14"/>
      <c r="AQ6177" s="14"/>
      <c r="AR6177" s="14"/>
      <c r="AS6177" s="14"/>
      <c r="AT6177" s="14"/>
      <c r="AU6177" s="14"/>
      <c r="AV6177" s="14"/>
      <c r="AW6177" s="15">
        <f t="shared" si="1099"/>
        <v>0</v>
      </c>
      <c r="AX6177" s="16"/>
    </row>
    <row r="6178" spans="2:50" x14ac:dyDescent="0.2">
      <c r="B6178" s="7"/>
      <c r="C6178" s="8">
        <v>16299</v>
      </c>
      <c r="D6178" s="9" t="s">
        <v>112</v>
      </c>
      <c r="E6178" s="10" t="str">
        <f t="shared" si="1094"/>
        <v>Rancho Estanzuela No. 129</v>
      </c>
      <c r="F6178" s="10" t="str">
        <f t="shared" si="1095"/>
        <v>Sta. María Mendoza</v>
      </c>
      <c r="G6178" s="8">
        <v>1</v>
      </c>
      <c r="H6178" s="11">
        <v>250</v>
      </c>
      <c r="I6178" s="12">
        <v>43196</v>
      </c>
      <c r="J6178" s="35">
        <f t="shared" si="1096"/>
        <v>0</v>
      </c>
      <c r="K6178" s="36"/>
      <c r="L6178" s="36"/>
      <c r="M6178" s="36"/>
      <c r="N6178" s="36"/>
      <c r="O6178" s="36"/>
      <c r="P6178" s="36"/>
      <c r="Q6178" s="36"/>
      <c r="R6178" s="36"/>
      <c r="S6178" s="36"/>
      <c r="T6178" s="36"/>
      <c r="U6178" s="36"/>
      <c r="V6178" s="36"/>
      <c r="W6178" s="15">
        <f t="shared" si="1097"/>
        <v>0</v>
      </c>
      <c r="X6178" s="36"/>
      <c r="Y6178" s="36"/>
      <c r="Z6178" s="36"/>
      <c r="AA6178" s="36"/>
      <c r="AB6178" s="36"/>
      <c r="AC6178" s="36"/>
      <c r="AD6178" s="36"/>
      <c r="AE6178" s="36"/>
      <c r="AF6178" s="36"/>
      <c r="AG6178" s="36"/>
      <c r="AH6178" s="36"/>
      <c r="AI6178" s="36"/>
      <c r="AJ6178" s="15">
        <f t="shared" si="1098"/>
        <v>0</v>
      </c>
      <c r="AK6178" s="14"/>
      <c r="AL6178" s="14"/>
      <c r="AM6178" s="14">
        <v>250</v>
      </c>
      <c r="AN6178" s="14"/>
      <c r="AO6178" s="14"/>
      <c r="AP6178" s="14"/>
      <c r="AQ6178" s="14"/>
      <c r="AR6178" s="14"/>
      <c r="AS6178" s="14"/>
      <c r="AT6178" s="14"/>
      <c r="AU6178" s="14"/>
      <c r="AV6178" s="14"/>
      <c r="AW6178" s="15">
        <f t="shared" si="1099"/>
        <v>250</v>
      </c>
      <c r="AX6178" s="16"/>
    </row>
    <row r="6179" spans="2:50" x14ac:dyDescent="0.2">
      <c r="B6179" s="7" t="s">
        <v>5165</v>
      </c>
      <c r="C6179" s="8">
        <v>16300</v>
      </c>
      <c r="D6179" s="9" t="s">
        <v>119</v>
      </c>
      <c r="E6179" s="10" t="str">
        <f t="shared" si="1094"/>
        <v>Rancho Landero No. 25</v>
      </c>
      <c r="F6179" s="10" t="str">
        <f t="shared" si="1095"/>
        <v>Escamilla Martínez</v>
      </c>
      <c r="G6179" s="8">
        <v>1</v>
      </c>
      <c r="H6179" s="11">
        <v>800</v>
      </c>
      <c r="I6179" s="12">
        <v>43166</v>
      </c>
      <c r="J6179" s="35">
        <f t="shared" si="1096"/>
        <v>0</v>
      </c>
      <c r="K6179" s="36"/>
      <c r="L6179" s="36"/>
      <c r="M6179" s="36"/>
      <c r="N6179" s="36"/>
      <c r="O6179" s="36"/>
      <c r="P6179" s="36"/>
      <c r="Q6179" s="36"/>
      <c r="R6179" s="36"/>
      <c r="S6179" s="36"/>
      <c r="T6179" s="36"/>
      <c r="U6179" s="36"/>
      <c r="V6179" s="36"/>
      <c r="W6179" s="15">
        <f t="shared" si="1097"/>
        <v>0</v>
      </c>
      <c r="X6179" s="36"/>
      <c r="Y6179" s="36"/>
      <c r="Z6179" s="36"/>
      <c r="AA6179" s="36"/>
      <c r="AB6179" s="36"/>
      <c r="AC6179" s="36"/>
      <c r="AD6179" s="36"/>
      <c r="AE6179" s="36"/>
      <c r="AF6179" s="36"/>
      <c r="AG6179" s="36"/>
      <c r="AH6179" s="36"/>
      <c r="AI6179" s="36"/>
      <c r="AJ6179" s="15">
        <f t="shared" si="1098"/>
        <v>0</v>
      </c>
      <c r="AK6179" s="14"/>
      <c r="AL6179" s="14">
        <v>400</v>
      </c>
      <c r="AM6179" s="14">
        <v>400</v>
      </c>
      <c r="AN6179" s="14"/>
      <c r="AO6179" s="14"/>
      <c r="AP6179" s="14"/>
      <c r="AQ6179" s="14"/>
      <c r="AR6179" s="14"/>
      <c r="AS6179" s="14"/>
      <c r="AT6179" s="14"/>
      <c r="AU6179" s="14"/>
      <c r="AV6179" s="14"/>
      <c r="AW6179" s="15">
        <f t="shared" si="1099"/>
        <v>800</v>
      </c>
      <c r="AX6179" s="16"/>
    </row>
    <row r="6180" spans="2:50" x14ac:dyDescent="0.2">
      <c r="B6180" s="7"/>
      <c r="C6180" s="8">
        <v>16301</v>
      </c>
      <c r="D6180" s="9" t="s">
        <v>879</v>
      </c>
      <c r="E6180" s="10" t="str">
        <f t="shared" si="1094"/>
        <v>Rancho Estopila No. 44_5</v>
      </c>
      <c r="F6180" s="10" t="str">
        <f t="shared" si="1095"/>
        <v>Maya</v>
      </c>
      <c r="G6180" s="8">
        <v>1</v>
      </c>
      <c r="H6180" s="11">
        <v>800</v>
      </c>
      <c r="I6180" s="12">
        <v>43198</v>
      </c>
      <c r="J6180" s="35">
        <f t="shared" si="1096"/>
        <v>0</v>
      </c>
      <c r="K6180" s="36"/>
      <c r="L6180" s="36"/>
      <c r="M6180" s="36"/>
      <c r="N6180" s="36"/>
      <c r="O6180" s="36"/>
      <c r="P6180" s="36"/>
      <c r="Q6180" s="36"/>
      <c r="R6180" s="36"/>
      <c r="S6180" s="36"/>
      <c r="T6180" s="36"/>
      <c r="U6180" s="36"/>
      <c r="V6180" s="36"/>
      <c r="W6180" s="15">
        <f t="shared" si="1097"/>
        <v>0</v>
      </c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>
        <v>200</v>
      </c>
      <c r="AJ6180" s="15">
        <f t="shared" si="1098"/>
        <v>200</v>
      </c>
      <c r="AK6180" s="14">
        <v>200</v>
      </c>
      <c r="AL6180" s="14">
        <v>200</v>
      </c>
      <c r="AM6180" s="14">
        <v>200</v>
      </c>
      <c r="AN6180" s="14"/>
      <c r="AO6180" s="14"/>
      <c r="AP6180" s="14"/>
      <c r="AQ6180" s="14"/>
      <c r="AR6180" s="14"/>
      <c r="AS6180" s="14"/>
      <c r="AT6180" s="14"/>
      <c r="AU6180" s="14"/>
      <c r="AV6180" s="14"/>
      <c r="AW6180" s="15">
        <f t="shared" si="1099"/>
        <v>600</v>
      </c>
      <c r="AX6180" s="16"/>
    </row>
    <row r="6181" spans="2:50" x14ac:dyDescent="0.2">
      <c r="B6181" s="7"/>
      <c r="C6181" s="8">
        <v>16302</v>
      </c>
      <c r="D6181" s="9" t="s">
        <v>1017</v>
      </c>
      <c r="E6181" s="10" t="str">
        <f t="shared" si="1094"/>
        <v>Rancho Estanzuela No. 119, 3</v>
      </c>
      <c r="F6181" s="10" t="str">
        <f t="shared" si="1095"/>
        <v>Montecillo</v>
      </c>
      <c r="G6181" s="8">
        <v>1</v>
      </c>
      <c r="H6181" s="11">
        <v>250</v>
      </c>
      <c r="I6181" s="12">
        <v>43198</v>
      </c>
      <c r="J6181" s="35">
        <f t="shared" si="1096"/>
        <v>0</v>
      </c>
      <c r="K6181" s="36"/>
      <c r="L6181" s="36"/>
      <c r="M6181" s="36"/>
      <c r="N6181" s="36"/>
      <c r="O6181" s="36"/>
      <c r="P6181" s="36"/>
      <c r="Q6181" s="36"/>
      <c r="R6181" s="36"/>
      <c r="S6181" s="36"/>
      <c r="T6181" s="36"/>
      <c r="U6181" s="36"/>
      <c r="V6181" s="36"/>
      <c r="W6181" s="15">
        <f t="shared" si="1097"/>
        <v>0</v>
      </c>
      <c r="X6181" s="36"/>
      <c r="Y6181" s="36"/>
      <c r="Z6181" s="36"/>
      <c r="AA6181" s="36"/>
      <c r="AB6181" s="36"/>
      <c r="AC6181" s="36"/>
      <c r="AD6181" s="36"/>
      <c r="AE6181" s="36"/>
      <c r="AF6181" s="36"/>
      <c r="AG6181" s="36"/>
      <c r="AH6181" s="36"/>
      <c r="AI6181" s="36"/>
      <c r="AJ6181" s="15">
        <f t="shared" si="1098"/>
        <v>0</v>
      </c>
      <c r="AK6181" s="14"/>
      <c r="AL6181" s="14"/>
      <c r="AM6181" s="14"/>
      <c r="AN6181" s="14">
        <v>250</v>
      </c>
      <c r="AO6181" s="14"/>
      <c r="AP6181" s="14"/>
      <c r="AQ6181" s="14"/>
      <c r="AR6181" s="14"/>
      <c r="AS6181" s="14"/>
      <c r="AT6181" s="14"/>
      <c r="AU6181" s="14"/>
      <c r="AV6181" s="14"/>
      <c r="AW6181" s="15">
        <f t="shared" si="1099"/>
        <v>250</v>
      </c>
      <c r="AX6181" s="16"/>
    </row>
    <row r="6182" spans="2:50" x14ac:dyDescent="0.2">
      <c r="B6182" s="7"/>
      <c r="C6182" s="8">
        <v>16303</v>
      </c>
      <c r="D6182" s="9" t="s">
        <v>678</v>
      </c>
      <c r="E6182" s="10" t="str">
        <f t="shared" si="1094"/>
        <v>Rancho Upácuaro No. 76</v>
      </c>
      <c r="F6182" s="10" t="str">
        <f t="shared" si="1095"/>
        <v>Ruiz de San Pedro</v>
      </c>
      <c r="G6182" s="8">
        <v>5</v>
      </c>
      <c r="H6182" s="11">
        <v>50</v>
      </c>
      <c r="I6182" s="12">
        <v>43167</v>
      </c>
      <c r="J6182" s="35">
        <f t="shared" si="1096"/>
        <v>0</v>
      </c>
      <c r="K6182" s="36"/>
      <c r="L6182" s="36"/>
      <c r="M6182" s="36"/>
      <c r="N6182" s="36"/>
      <c r="O6182" s="36"/>
      <c r="P6182" s="36"/>
      <c r="Q6182" s="36"/>
      <c r="R6182" s="36"/>
      <c r="S6182" s="36"/>
      <c r="T6182" s="36"/>
      <c r="U6182" s="36"/>
      <c r="V6182" s="36"/>
      <c r="W6182" s="15">
        <f t="shared" si="1097"/>
        <v>0</v>
      </c>
      <c r="X6182" s="36"/>
      <c r="Y6182" s="36"/>
      <c r="Z6182" s="36"/>
      <c r="AA6182" s="36"/>
      <c r="AB6182" s="36"/>
      <c r="AC6182" s="36"/>
      <c r="AD6182" s="36"/>
      <c r="AE6182" s="36"/>
      <c r="AF6182" s="36"/>
      <c r="AG6182" s="36"/>
      <c r="AH6182" s="36"/>
      <c r="AI6182" s="36"/>
      <c r="AJ6182" s="15">
        <f t="shared" si="1098"/>
        <v>0</v>
      </c>
      <c r="AK6182" s="14"/>
      <c r="AL6182" s="14"/>
      <c r="AM6182" s="14"/>
      <c r="AN6182" s="14"/>
      <c r="AO6182" s="14"/>
      <c r="AP6182" s="14"/>
      <c r="AQ6182" s="14"/>
      <c r="AR6182" s="14"/>
      <c r="AS6182" s="14"/>
      <c r="AT6182" s="14"/>
      <c r="AU6182" s="14"/>
      <c r="AV6182" s="14"/>
      <c r="AW6182" s="15">
        <f t="shared" si="1099"/>
        <v>0</v>
      </c>
      <c r="AX6182" s="16"/>
    </row>
    <row r="6183" spans="2:50" x14ac:dyDescent="0.2">
      <c r="B6183" s="7"/>
      <c r="C6183" s="8">
        <v>16304</v>
      </c>
      <c r="D6183" s="9" t="s">
        <v>562</v>
      </c>
      <c r="E6183" s="10" t="str">
        <f t="shared" si="1094"/>
        <v>Rancho Upácuaro No. 87</v>
      </c>
      <c r="F6183" s="10" t="str">
        <f t="shared" si="1095"/>
        <v>Rodríguez Parés</v>
      </c>
      <c r="G6183" s="8">
        <v>1</v>
      </c>
      <c r="H6183" s="11">
        <v>400</v>
      </c>
      <c r="I6183" s="12">
        <v>43198</v>
      </c>
      <c r="J6183" s="35">
        <f t="shared" si="1096"/>
        <v>0</v>
      </c>
      <c r="K6183" s="36"/>
      <c r="L6183" s="36"/>
      <c r="M6183" s="36"/>
      <c r="N6183" s="36"/>
      <c r="O6183" s="36"/>
      <c r="P6183" s="36"/>
      <c r="Q6183" s="36"/>
      <c r="R6183" s="36"/>
      <c r="S6183" s="36"/>
      <c r="T6183" s="36"/>
      <c r="U6183" s="36"/>
      <c r="V6183" s="36"/>
      <c r="W6183" s="15">
        <f t="shared" si="1097"/>
        <v>0</v>
      </c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15">
        <f t="shared" si="1098"/>
        <v>0</v>
      </c>
      <c r="AK6183" s="14"/>
      <c r="AL6183" s="14"/>
      <c r="AM6183" s="14"/>
      <c r="AN6183" s="14">
        <v>400</v>
      </c>
      <c r="AO6183" s="14"/>
      <c r="AP6183" s="14"/>
      <c r="AQ6183" s="14"/>
      <c r="AR6183" s="14"/>
      <c r="AS6183" s="14"/>
      <c r="AT6183" s="14"/>
      <c r="AU6183" s="14"/>
      <c r="AV6183" s="14"/>
      <c r="AW6183" s="15">
        <f t="shared" si="1099"/>
        <v>400</v>
      </c>
      <c r="AX6183" s="16"/>
    </row>
    <row r="6184" spans="2:50" x14ac:dyDescent="0.2">
      <c r="B6184" s="7"/>
      <c r="C6184" s="8">
        <v>16305</v>
      </c>
      <c r="D6184" s="9" t="s">
        <v>814</v>
      </c>
      <c r="E6184" s="10" t="str">
        <f t="shared" si="1094"/>
        <v>Rancho Landero No. 47</v>
      </c>
      <c r="F6184" s="10" t="str">
        <f t="shared" si="1095"/>
        <v>García González</v>
      </c>
      <c r="G6184" s="8">
        <v>1</v>
      </c>
      <c r="H6184" s="11">
        <v>1600</v>
      </c>
      <c r="I6184" s="12">
        <v>43198</v>
      </c>
      <c r="J6184" s="35">
        <f t="shared" si="1096"/>
        <v>0</v>
      </c>
      <c r="K6184" s="36"/>
      <c r="L6184" s="36"/>
      <c r="M6184" s="36"/>
      <c r="N6184" s="36"/>
      <c r="O6184" s="36"/>
      <c r="P6184" s="36"/>
      <c r="Q6184" s="36"/>
      <c r="R6184" s="36"/>
      <c r="S6184" s="36"/>
      <c r="T6184" s="36"/>
      <c r="U6184" s="36"/>
      <c r="V6184" s="36"/>
      <c r="W6184" s="15">
        <f t="shared" si="1097"/>
        <v>0</v>
      </c>
      <c r="X6184" s="36"/>
      <c r="Y6184" s="36"/>
      <c r="Z6184" s="36"/>
      <c r="AA6184" s="36"/>
      <c r="AB6184" s="36"/>
      <c r="AC6184" s="36"/>
      <c r="AD6184" s="36"/>
      <c r="AE6184" s="36"/>
      <c r="AF6184" s="36"/>
      <c r="AG6184" s="36"/>
      <c r="AH6184" s="36"/>
      <c r="AI6184" s="36"/>
      <c r="AJ6184" s="15">
        <f t="shared" si="1098"/>
        <v>0</v>
      </c>
      <c r="AK6184" s="14">
        <v>400</v>
      </c>
      <c r="AL6184" s="14">
        <v>400</v>
      </c>
      <c r="AM6184" s="14">
        <v>400</v>
      </c>
      <c r="AN6184" s="14">
        <v>400</v>
      </c>
      <c r="AO6184" s="14"/>
      <c r="AP6184" s="14"/>
      <c r="AQ6184" s="14"/>
      <c r="AR6184" s="14"/>
      <c r="AS6184" s="14"/>
      <c r="AT6184" s="14"/>
      <c r="AU6184" s="14"/>
      <c r="AV6184" s="14"/>
      <c r="AW6184" s="15">
        <f t="shared" si="1099"/>
        <v>1600</v>
      </c>
      <c r="AX6184" s="16"/>
    </row>
    <row r="6185" spans="2:50" x14ac:dyDescent="0.2">
      <c r="B6185" s="7"/>
      <c r="C6185" s="8">
        <v>16306</v>
      </c>
      <c r="D6185" s="9" t="s">
        <v>568</v>
      </c>
      <c r="E6185" s="10" t="str">
        <f t="shared" si="1094"/>
        <v>Rancho Landero No. 95</v>
      </c>
      <c r="F6185" s="10" t="str">
        <f t="shared" si="1095"/>
        <v>Rivas Rangel</v>
      </c>
      <c r="G6185" s="8">
        <v>1</v>
      </c>
      <c r="H6185" s="11">
        <v>400</v>
      </c>
      <c r="I6185" s="12">
        <v>43198</v>
      </c>
      <c r="J6185" s="35">
        <f t="shared" si="1096"/>
        <v>0</v>
      </c>
      <c r="K6185" s="36"/>
      <c r="L6185" s="36"/>
      <c r="M6185" s="36"/>
      <c r="N6185" s="36"/>
      <c r="O6185" s="36"/>
      <c r="P6185" s="36"/>
      <c r="Q6185" s="36"/>
      <c r="R6185" s="36"/>
      <c r="S6185" s="36"/>
      <c r="T6185" s="36"/>
      <c r="U6185" s="36"/>
      <c r="V6185" s="36"/>
      <c r="W6185" s="15">
        <f t="shared" si="1097"/>
        <v>0</v>
      </c>
      <c r="X6185" s="36"/>
      <c r="Y6185" s="36"/>
      <c r="Z6185" s="36"/>
      <c r="AA6185" s="36"/>
      <c r="AB6185" s="36"/>
      <c r="AC6185" s="36"/>
      <c r="AD6185" s="36"/>
      <c r="AE6185" s="36"/>
      <c r="AF6185" s="36"/>
      <c r="AG6185" s="36"/>
      <c r="AH6185" s="36"/>
      <c r="AI6185" s="36"/>
      <c r="AJ6185" s="15">
        <f t="shared" si="1098"/>
        <v>0</v>
      </c>
      <c r="AK6185" s="14"/>
      <c r="AL6185" s="14"/>
      <c r="AM6185" s="14"/>
      <c r="AN6185" s="14">
        <v>400</v>
      </c>
      <c r="AO6185" s="14"/>
      <c r="AP6185" s="14"/>
      <c r="AQ6185" s="14"/>
      <c r="AR6185" s="14"/>
      <c r="AS6185" s="14"/>
      <c r="AT6185" s="14"/>
      <c r="AU6185" s="14"/>
      <c r="AV6185" s="14"/>
      <c r="AW6185" s="15">
        <f t="shared" si="1099"/>
        <v>400</v>
      </c>
      <c r="AX6185" s="16"/>
    </row>
    <row r="6186" spans="2:50" x14ac:dyDescent="0.2">
      <c r="B6186" s="7"/>
      <c r="C6186" s="8">
        <v>16307</v>
      </c>
      <c r="D6186" s="9" t="s">
        <v>905</v>
      </c>
      <c r="E6186" s="10" t="str">
        <f t="shared" si="1094"/>
        <v>Rancho Landero No. 81</v>
      </c>
      <c r="F6186" s="10" t="str">
        <f t="shared" si="1095"/>
        <v>Cebrían Saldaña</v>
      </c>
      <c r="G6186" s="8">
        <v>1</v>
      </c>
      <c r="H6186" s="11">
        <v>400</v>
      </c>
      <c r="I6186" s="12">
        <v>43198</v>
      </c>
      <c r="J6186" s="35">
        <f t="shared" si="1096"/>
        <v>0</v>
      </c>
      <c r="K6186" s="36"/>
      <c r="L6186" s="36"/>
      <c r="M6186" s="36"/>
      <c r="N6186" s="36"/>
      <c r="O6186" s="36"/>
      <c r="P6186" s="36"/>
      <c r="Q6186" s="36"/>
      <c r="R6186" s="36"/>
      <c r="S6186" s="36"/>
      <c r="T6186" s="36"/>
      <c r="U6186" s="36"/>
      <c r="V6186" s="36"/>
      <c r="W6186" s="15">
        <f t="shared" si="1097"/>
        <v>0</v>
      </c>
      <c r="X6186" s="36"/>
      <c r="Y6186" s="36"/>
      <c r="Z6186" s="36"/>
      <c r="AA6186" s="36"/>
      <c r="AB6186" s="36"/>
      <c r="AC6186" s="36"/>
      <c r="AD6186" s="36"/>
      <c r="AE6186" s="36"/>
      <c r="AF6186" s="36"/>
      <c r="AG6186" s="36"/>
      <c r="AH6186" s="36"/>
      <c r="AI6186" s="36"/>
      <c r="AJ6186" s="15">
        <f t="shared" si="1098"/>
        <v>0</v>
      </c>
      <c r="AK6186" s="14">
        <v>200</v>
      </c>
      <c r="AL6186" s="14">
        <v>200</v>
      </c>
      <c r="AM6186" s="14"/>
      <c r="AN6186" s="14"/>
      <c r="AO6186" s="14"/>
      <c r="AP6186" s="14"/>
      <c r="AQ6186" s="14"/>
      <c r="AR6186" s="14"/>
      <c r="AS6186" s="14"/>
      <c r="AT6186" s="14"/>
      <c r="AU6186" s="14"/>
      <c r="AV6186" s="14"/>
      <c r="AW6186" s="15">
        <f t="shared" si="1099"/>
        <v>400</v>
      </c>
      <c r="AX6186" s="16"/>
    </row>
    <row r="6187" spans="2:50" x14ac:dyDescent="0.2">
      <c r="B6187" s="7"/>
      <c r="C6187" s="8">
        <v>16308</v>
      </c>
      <c r="D6187" s="9" t="s">
        <v>696</v>
      </c>
      <c r="E6187" s="10" t="str">
        <f t="shared" si="1094"/>
        <v>Rancho Upácuaro No. 64</v>
      </c>
      <c r="F6187" s="10" t="str">
        <f t="shared" si="1095"/>
        <v>Méndez Oliva</v>
      </c>
      <c r="G6187" s="8">
        <v>1</v>
      </c>
      <c r="H6187" s="11">
        <v>300</v>
      </c>
      <c r="I6187" s="12">
        <v>43198</v>
      </c>
      <c r="J6187" s="35">
        <f t="shared" si="1096"/>
        <v>0</v>
      </c>
      <c r="K6187" s="36"/>
      <c r="L6187" s="36"/>
      <c r="M6187" s="36"/>
      <c r="N6187" s="36"/>
      <c r="O6187" s="36"/>
      <c r="P6187" s="36"/>
      <c r="Q6187" s="36"/>
      <c r="R6187" s="36"/>
      <c r="S6187" s="36"/>
      <c r="T6187" s="36"/>
      <c r="U6187" s="36"/>
      <c r="V6187" s="36"/>
      <c r="W6187" s="15">
        <f t="shared" si="1097"/>
        <v>0</v>
      </c>
      <c r="X6187" s="36"/>
      <c r="Y6187" s="36"/>
      <c r="Z6187" s="36"/>
      <c r="AA6187" s="36"/>
      <c r="AB6187" s="36"/>
      <c r="AC6187" s="36"/>
      <c r="AD6187" s="36"/>
      <c r="AE6187" s="36"/>
      <c r="AF6187" s="36"/>
      <c r="AG6187" s="36"/>
      <c r="AH6187" s="36"/>
      <c r="AI6187" s="36"/>
      <c r="AJ6187" s="15">
        <f t="shared" si="1098"/>
        <v>0</v>
      </c>
      <c r="AK6187" s="14"/>
      <c r="AL6187" s="14"/>
      <c r="AM6187" s="14"/>
      <c r="AN6187" s="14">
        <v>300</v>
      </c>
      <c r="AO6187" s="14"/>
      <c r="AP6187" s="14"/>
      <c r="AQ6187" s="14"/>
      <c r="AR6187" s="14"/>
      <c r="AS6187" s="14"/>
      <c r="AT6187" s="14"/>
      <c r="AU6187" s="14"/>
      <c r="AV6187" s="14"/>
      <c r="AW6187" s="15">
        <f t="shared" si="1099"/>
        <v>300</v>
      </c>
      <c r="AX6187" s="16"/>
    </row>
    <row r="6188" spans="2:50" x14ac:dyDescent="0.2">
      <c r="B6188" s="7"/>
      <c r="C6188" s="8">
        <v>16309</v>
      </c>
      <c r="D6188" s="9" t="s">
        <v>758</v>
      </c>
      <c r="E6188" s="10" t="str">
        <f t="shared" si="1094"/>
        <v>Rancho Upácuaro No. 52</v>
      </c>
      <c r="F6188" s="10" t="str">
        <f t="shared" si="1095"/>
        <v>Velázquez V.</v>
      </c>
      <c r="G6188" s="8">
        <v>1</v>
      </c>
      <c r="H6188" s="11">
        <v>600</v>
      </c>
      <c r="I6188" s="12">
        <v>43198</v>
      </c>
      <c r="J6188" s="35">
        <f t="shared" si="1096"/>
        <v>0</v>
      </c>
      <c r="K6188" s="36"/>
      <c r="L6188" s="36"/>
      <c r="M6188" s="36"/>
      <c r="N6188" s="36"/>
      <c r="O6188" s="36"/>
      <c r="P6188" s="36"/>
      <c r="Q6188" s="36"/>
      <c r="R6188" s="36"/>
      <c r="S6188" s="36"/>
      <c r="T6188" s="36"/>
      <c r="U6188" s="36"/>
      <c r="V6188" s="36"/>
      <c r="W6188" s="15">
        <f t="shared" si="1097"/>
        <v>0</v>
      </c>
      <c r="X6188" s="36"/>
      <c r="Y6188" s="36"/>
      <c r="Z6188" s="36"/>
      <c r="AA6188" s="36"/>
      <c r="AB6188" s="36"/>
      <c r="AC6188" s="36"/>
      <c r="AD6188" s="36"/>
      <c r="AE6188" s="36"/>
      <c r="AF6188" s="36"/>
      <c r="AG6188" s="36"/>
      <c r="AH6188" s="36"/>
      <c r="AI6188" s="36"/>
      <c r="AJ6188" s="15">
        <f t="shared" si="1098"/>
        <v>0</v>
      </c>
      <c r="AK6188" s="14">
        <v>150</v>
      </c>
      <c r="AL6188" s="14">
        <v>150</v>
      </c>
      <c r="AM6188" s="14">
        <v>150</v>
      </c>
      <c r="AN6188" s="14">
        <v>150</v>
      </c>
      <c r="AO6188" s="14"/>
      <c r="AP6188" s="14"/>
      <c r="AQ6188" s="14"/>
      <c r="AR6188" s="14"/>
      <c r="AS6188" s="14"/>
      <c r="AT6188" s="14"/>
      <c r="AU6188" s="14"/>
      <c r="AV6188" s="14"/>
      <c r="AW6188" s="15">
        <f t="shared" si="1099"/>
        <v>600</v>
      </c>
      <c r="AX6188" s="16"/>
    </row>
    <row r="6189" spans="2:50" x14ac:dyDescent="0.2">
      <c r="B6189" s="7"/>
      <c r="C6189" s="8">
        <v>16310</v>
      </c>
      <c r="D6189" s="9" t="s">
        <v>292</v>
      </c>
      <c r="E6189" s="10" t="str">
        <f t="shared" si="1094"/>
        <v>Rancho Upácuaro No. 140</v>
      </c>
      <c r="F6189" s="10" t="str">
        <f t="shared" si="1095"/>
        <v>Gozain</v>
      </c>
      <c r="G6189" s="8">
        <v>1</v>
      </c>
      <c r="H6189" s="11">
        <v>400</v>
      </c>
      <c r="I6189" s="12">
        <v>43198</v>
      </c>
      <c r="J6189" s="35">
        <f t="shared" si="1096"/>
        <v>0</v>
      </c>
      <c r="K6189" s="36"/>
      <c r="L6189" s="36"/>
      <c r="M6189" s="36"/>
      <c r="N6189" s="36"/>
      <c r="O6189" s="36"/>
      <c r="P6189" s="36"/>
      <c r="Q6189" s="36"/>
      <c r="R6189" s="36"/>
      <c r="S6189" s="36"/>
      <c r="T6189" s="36"/>
      <c r="U6189" s="36"/>
      <c r="V6189" s="36"/>
      <c r="W6189" s="15">
        <f t="shared" si="1097"/>
        <v>0</v>
      </c>
      <c r="X6189" s="36"/>
      <c r="Y6189" s="36"/>
      <c r="Z6189" s="36"/>
      <c r="AA6189" s="36"/>
      <c r="AB6189" s="36"/>
      <c r="AC6189" s="36"/>
      <c r="AD6189" s="36"/>
      <c r="AE6189" s="36"/>
      <c r="AF6189" s="36"/>
      <c r="AG6189" s="36"/>
      <c r="AH6189" s="36"/>
      <c r="AI6189" s="36"/>
      <c r="AJ6189" s="15">
        <f t="shared" si="1098"/>
        <v>0</v>
      </c>
      <c r="AK6189" s="14"/>
      <c r="AL6189" s="14"/>
      <c r="AM6189" s="14"/>
      <c r="AN6189" s="14">
        <v>400</v>
      </c>
      <c r="AO6189" s="14"/>
      <c r="AP6189" s="14"/>
      <c r="AQ6189" s="14"/>
      <c r="AR6189" s="14"/>
      <c r="AS6189" s="14"/>
      <c r="AT6189" s="14"/>
      <c r="AU6189" s="14"/>
      <c r="AV6189" s="14"/>
      <c r="AW6189" s="15">
        <f t="shared" si="1099"/>
        <v>400</v>
      </c>
      <c r="AX6189" s="16"/>
    </row>
    <row r="6190" spans="2:50" x14ac:dyDescent="0.2">
      <c r="B6190" s="7"/>
      <c r="C6190" s="8">
        <v>16311</v>
      </c>
      <c r="D6190" s="9" t="s">
        <v>602</v>
      </c>
      <c r="E6190" s="10" t="str">
        <f t="shared" si="1094"/>
        <v>Rancho Upácuaro No. 30</v>
      </c>
      <c r="F6190" s="10" t="str">
        <f t="shared" si="1095"/>
        <v>Dorantes</v>
      </c>
      <c r="G6190" s="8">
        <v>1</v>
      </c>
      <c r="H6190" s="11">
        <v>400</v>
      </c>
      <c r="I6190" s="12">
        <v>43198</v>
      </c>
      <c r="J6190" s="35">
        <f t="shared" si="1096"/>
        <v>0</v>
      </c>
      <c r="K6190" s="36"/>
      <c r="L6190" s="36"/>
      <c r="M6190" s="36"/>
      <c r="N6190" s="36"/>
      <c r="O6190" s="36"/>
      <c r="P6190" s="36"/>
      <c r="Q6190" s="36"/>
      <c r="R6190" s="36"/>
      <c r="S6190" s="36"/>
      <c r="T6190" s="36"/>
      <c r="U6190" s="36"/>
      <c r="V6190" s="36"/>
      <c r="W6190" s="15">
        <f t="shared" si="1097"/>
        <v>0</v>
      </c>
      <c r="X6190" s="36"/>
      <c r="Y6190" s="36"/>
      <c r="Z6190" s="36"/>
      <c r="AA6190" s="36"/>
      <c r="AB6190" s="36"/>
      <c r="AC6190" s="36"/>
      <c r="AD6190" s="36"/>
      <c r="AE6190" s="36"/>
      <c r="AF6190" s="36"/>
      <c r="AG6190" s="36"/>
      <c r="AH6190" s="36"/>
      <c r="AI6190" s="36"/>
      <c r="AJ6190" s="15">
        <f t="shared" si="1098"/>
        <v>0</v>
      </c>
      <c r="AK6190" s="14"/>
      <c r="AL6190" s="14"/>
      <c r="AM6190" s="14">
        <v>200</v>
      </c>
      <c r="AN6190" s="14">
        <v>200</v>
      </c>
      <c r="AO6190" s="14"/>
      <c r="AP6190" s="14"/>
      <c r="AQ6190" s="14"/>
      <c r="AR6190" s="14"/>
      <c r="AS6190" s="14"/>
      <c r="AT6190" s="14"/>
      <c r="AU6190" s="14"/>
      <c r="AV6190" s="14"/>
      <c r="AW6190" s="15">
        <f t="shared" si="1099"/>
        <v>400</v>
      </c>
      <c r="AX6190" s="16"/>
    </row>
    <row r="6191" spans="2:50" x14ac:dyDescent="0.2">
      <c r="B6191" s="7"/>
      <c r="C6191" s="8">
        <v>16312</v>
      </c>
      <c r="D6191" s="9" t="s">
        <v>150</v>
      </c>
      <c r="E6191" s="10" t="str">
        <f t="shared" si="1094"/>
        <v>Rancho La Cuchilla No. 33</v>
      </c>
      <c r="F6191" s="10" t="str">
        <f t="shared" si="1095"/>
        <v>Tanús</v>
      </c>
      <c r="G6191" s="8">
        <v>1</v>
      </c>
      <c r="H6191" s="11">
        <v>400</v>
      </c>
      <c r="I6191" s="12">
        <v>43198</v>
      </c>
      <c r="J6191" s="35">
        <f t="shared" si="1096"/>
        <v>0</v>
      </c>
      <c r="K6191" s="36"/>
      <c r="L6191" s="36"/>
      <c r="M6191" s="36"/>
      <c r="N6191" s="36"/>
      <c r="O6191" s="36"/>
      <c r="P6191" s="36"/>
      <c r="Q6191" s="36"/>
      <c r="R6191" s="36"/>
      <c r="S6191" s="36"/>
      <c r="T6191" s="36"/>
      <c r="U6191" s="36"/>
      <c r="V6191" s="36"/>
      <c r="W6191" s="15">
        <f t="shared" si="1097"/>
        <v>0</v>
      </c>
      <c r="X6191" s="36"/>
      <c r="Y6191" s="36"/>
      <c r="Z6191" s="36"/>
      <c r="AA6191" s="36"/>
      <c r="AB6191" s="36"/>
      <c r="AC6191" s="36"/>
      <c r="AD6191" s="36"/>
      <c r="AE6191" s="36"/>
      <c r="AF6191" s="36"/>
      <c r="AG6191" s="36"/>
      <c r="AH6191" s="36"/>
      <c r="AI6191" s="36"/>
      <c r="AJ6191" s="15">
        <f t="shared" si="1098"/>
        <v>0</v>
      </c>
      <c r="AK6191" s="14"/>
      <c r="AL6191" s="14"/>
      <c r="AM6191" s="14"/>
      <c r="AN6191" s="14">
        <v>400</v>
      </c>
      <c r="AO6191" s="14"/>
      <c r="AP6191" s="14"/>
      <c r="AQ6191" s="14"/>
      <c r="AR6191" s="14"/>
      <c r="AS6191" s="14"/>
      <c r="AT6191" s="14"/>
      <c r="AU6191" s="14"/>
      <c r="AV6191" s="14"/>
      <c r="AW6191" s="15">
        <f t="shared" si="1099"/>
        <v>400</v>
      </c>
      <c r="AX6191" s="16"/>
    </row>
    <row r="6192" spans="2:50" x14ac:dyDescent="0.2">
      <c r="B6192" s="7"/>
      <c r="C6192" s="8">
        <v>16313</v>
      </c>
      <c r="D6192" s="9" t="s">
        <v>307</v>
      </c>
      <c r="E6192" s="10" t="str">
        <f t="shared" si="1094"/>
        <v>Rancho Landero No. 83</v>
      </c>
      <c r="F6192" s="10" t="str">
        <f t="shared" si="1095"/>
        <v>Aguilar</v>
      </c>
      <c r="G6192" s="8">
        <v>1</v>
      </c>
      <c r="H6192" s="11">
        <v>350</v>
      </c>
      <c r="I6192" s="12">
        <v>43198</v>
      </c>
      <c r="J6192" s="35">
        <f t="shared" si="1096"/>
        <v>0</v>
      </c>
      <c r="K6192" s="36"/>
      <c r="L6192" s="36"/>
      <c r="M6192" s="36"/>
      <c r="N6192" s="36"/>
      <c r="O6192" s="36"/>
      <c r="P6192" s="36"/>
      <c r="Q6192" s="36"/>
      <c r="R6192" s="36"/>
      <c r="S6192" s="36"/>
      <c r="T6192" s="36"/>
      <c r="U6192" s="36"/>
      <c r="V6192" s="36"/>
      <c r="W6192" s="15">
        <f t="shared" si="1097"/>
        <v>0</v>
      </c>
      <c r="X6192" s="36"/>
      <c r="Y6192" s="36"/>
      <c r="Z6192" s="36"/>
      <c r="AA6192" s="36"/>
      <c r="AB6192" s="36"/>
      <c r="AC6192" s="36"/>
      <c r="AD6192" s="36"/>
      <c r="AE6192" s="36"/>
      <c r="AF6192" s="36"/>
      <c r="AG6192" s="36"/>
      <c r="AH6192" s="36"/>
      <c r="AI6192" s="36"/>
      <c r="AJ6192" s="15">
        <f t="shared" si="1098"/>
        <v>0</v>
      </c>
      <c r="AK6192" s="14"/>
      <c r="AL6192" s="14"/>
      <c r="AM6192" s="14"/>
      <c r="AN6192" s="14">
        <v>350</v>
      </c>
      <c r="AO6192" s="14"/>
      <c r="AP6192" s="14"/>
      <c r="AQ6192" s="14"/>
      <c r="AR6192" s="14"/>
      <c r="AS6192" s="14"/>
      <c r="AT6192" s="14"/>
      <c r="AU6192" s="14"/>
      <c r="AV6192" s="14"/>
      <c r="AW6192" s="15">
        <f t="shared" si="1099"/>
        <v>350</v>
      </c>
      <c r="AX6192" s="16"/>
    </row>
    <row r="6193" spans="2:50" x14ac:dyDescent="0.2">
      <c r="B6193" s="7"/>
      <c r="C6193" s="8">
        <v>16314</v>
      </c>
      <c r="D6193" s="9" t="s">
        <v>512</v>
      </c>
      <c r="E6193" s="10" t="str">
        <f t="shared" si="1094"/>
        <v>Rancho Landero No. 35</v>
      </c>
      <c r="F6193" s="10" t="str">
        <f t="shared" si="1095"/>
        <v>Loperena</v>
      </c>
      <c r="G6193" s="8">
        <v>1</v>
      </c>
      <c r="H6193" s="11">
        <v>1200</v>
      </c>
      <c r="I6193" s="12">
        <v>43198</v>
      </c>
      <c r="J6193" s="35">
        <f t="shared" si="1096"/>
        <v>0</v>
      </c>
      <c r="K6193" s="36"/>
      <c r="L6193" s="36"/>
      <c r="M6193" s="36"/>
      <c r="N6193" s="36"/>
      <c r="O6193" s="36"/>
      <c r="P6193" s="36"/>
      <c r="Q6193" s="36"/>
      <c r="R6193" s="36"/>
      <c r="S6193" s="36"/>
      <c r="T6193" s="36"/>
      <c r="U6193" s="36"/>
      <c r="V6193" s="36"/>
      <c r="W6193" s="15">
        <f t="shared" si="1097"/>
        <v>0</v>
      </c>
      <c r="X6193" s="36"/>
      <c r="Y6193" s="36"/>
      <c r="Z6193" s="36"/>
      <c r="AA6193" s="36"/>
      <c r="AB6193" s="36"/>
      <c r="AC6193" s="36"/>
      <c r="AD6193" s="36"/>
      <c r="AE6193" s="36"/>
      <c r="AF6193" s="36"/>
      <c r="AG6193" s="36"/>
      <c r="AH6193" s="36">
        <v>400</v>
      </c>
      <c r="AI6193" s="36">
        <v>400</v>
      </c>
      <c r="AJ6193" s="15">
        <f t="shared" si="1098"/>
        <v>800</v>
      </c>
      <c r="AK6193" s="14">
        <v>400</v>
      </c>
      <c r="AL6193" s="14"/>
      <c r="AM6193" s="14"/>
      <c r="AN6193" s="14"/>
      <c r="AO6193" s="14"/>
      <c r="AP6193" s="14"/>
      <c r="AQ6193" s="14"/>
      <c r="AR6193" s="14"/>
      <c r="AS6193" s="14"/>
      <c r="AT6193" s="14"/>
      <c r="AU6193" s="14"/>
      <c r="AV6193" s="14"/>
      <c r="AW6193" s="15">
        <f t="shared" si="1099"/>
        <v>400</v>
      </c>
      <c r="AX6193" s="16"/>
    </row>
    <row r="6194" spans="2:50" x14ac:dyDescent="0.2">
      <c r="B6194" s="7"/>
      <c r="C6194" s="8">
        <v>16315</v>
      </c>
      <c r="D6194" s="9" t="s">
        <v>512</v>
      </c>
      <c r="E6194" s="10" t="str">
        <f t="shared" si="1094"/>
        <v>Rancho Landero No. 35</v>
      </c>
      <c r="F6194" s="10" t="str">
        <f t="shared" si="1095"/>
        <v>Loperena</v>
      </c>
      <c r="G6194" s="8">
        <v>4</v>
      </c>
      <c r="H6194" s="11">
        <v>400</v>
      </c>
      <c r="I6194" s="12">
        <v>43198</v>
      </c>
      <c r="J6194" s="35">
        <f t="shared" si="1096"/>
        <v>0</v>
      </c>
      <c r="K6194" s="36"/>
      <c r="L6194" s="36"/>
      <c r="M6194" s="36"/>
      <c r="N6194" s="36"/>
      <c r="O6194" s="36"/>
      <c r="P6194" s="36"/>
      <c r="Q6194" s="36"/>
      <c r="R6194" s="36"/>
      <c r="S6194" s="36"/>
      <c r="T6194" s="36"/>
      <c r="U6194" s="36"/>
      <c r="V6194" s="36"/>
      <c r="W6194" s="15">
        <f t="shared" si="1097"/>
        <v>0</v>
      </c>
      <c r="X6194" s="36"/>
      <c r="Y6194" s="36"/>
      <c r="Z6194" s="36"/>
      <c r="AA6194" s="36"/>
      <c r="AB6194" s="36"/>
      <c r="AC6194" s="36"/>
      <c r="AD6194" s="36"/>
      <c r="AE6194" s="36"/>
      <c r="AF6194" s="36"/>
      <c r="AG6194" s="36"/>
      <c r="AH6194" s="36"/>
      <c r="AI6194" s="36"/>
      <c r="AJ6194" s="15">
        <f t="shared" si="1098"/>
        <v>0</v>
      </c>
      <c r="AK6194" s="14"/>
      <c r="AL6194" s="14"/>
      <c r="AM6194" s="14"/>
      <c r="AN6194" s="14"/>
      <c r="AO6194" s="14"/>
      <c r="AP6194" s="14"/>
      <c r="AQ6194" s="14"/>
      <c r="AR6194" s="14"/>
      <c r="AS6194" s="14"/>
      <c r="AT6194" s="14"/>
      <c r="AU6194" s="14"/>
      <c r="AV6194" s="14"/>
      <c r="AW6194" s="15">
        <f t="shared" si="1099"/>
        <v>0</v>
      </c>
      <c r="AX6194" s="16" t="s">
        <v>5166</v>
      </c>
    </row>
    <row r="6195" spans="2:50" x14ac:dyDescent="0.2">
      <c r="B6195" s="7"/>
      <c r="C6195" s="8">
        <v>16316</v>
      </c>
      <c r="D6195" s="9" t="s">
        <v>461</v>
      </c>
      <c r="E6195" s="10" t="str">
        <f t="shared" si="1094"/>
        <v>Rancho Upácuaro No. 93</v>
      </c>
      <c r="F6195" s="10" t="str">
        <f t="shared" si="1095"/>
        <v>Elizalde</v>
      </c>
      <c r="G6195" s="8">
        <v>1</v>
      </c>
      <c r="H6195" s="11">
        <v>2400</v>
      </c>
      <c r="I6195" s="12">
        <v>43198</v>
      </c>
      <c r="J6195" s="35">
        <f t="shared" si="1096"/>
        <v>0</v>
      </c>
      <c r="K6195" s="36"/>
      <c r="L6195" s="36"/>
      <c r="M6195" s="36"/>
      <c r="N6195" s="36"/>
      <c r="O6195" s="36"/>
      <c r="P6195" s="36"/>
      <c r="Q6195" s="36"/>
      <c r="R6195" s="36"/>
      <c r="S6195" s="36"/>
      <c r="T6195" s="36"/>
      <c r="U6195" s="36"/>
      <c r="V6195" s="36"/>
      <c r="W6195" s="15">
        <f t="shared" si="1097"/>
        <v>0</v>
      </c>
      <c r="X6195" s="36"/>
      <c r="Y6195" s="36"/>
      <c r="Z6195" s="36"/>
      <c r="AA6195" s="36">
        <v>400</v>
      </c>
      <c r="AB6195" s="36">
        <v>400</v>
      </c>
      <c r="AC6195" s="36">
        <v>400</v>
      </c>
      <c r="AD6195" s="36">
        <v>400</v>
      </c>
      <c r="AE6195" s="36">
        <v>400</v>
      </c>
      <c r="AF6195" s="36">
        <v>400</v>
      </c>
      <c r="AG6195" s="36"/>
      <c r="AH6195" s="36"/>
      <c r="AI6195" s="36"/>
      <c r="AJ6195" s="15">
        <f t="shared" si="1098"/>
        <v>2400</v>
      </c>
      <c r="AK6195" s="14"/>
      <c r="AL6195" s="14"/>
      <c r="AM6195" s="14"/>
      <c r="AN6195" s="14"/>
      <c r="AO6195" s="14"/>
      <c r="AP6195" s="14"/>
      <c r="AQ6195" s="14"/>
      <c r="AR6195" s="14"/>
      <c r="AS6195" s="14"/>
      <c r="AT6195" s="14"/>
      <c r="AU6195" s="14"/>
      <c r="AV6195" s="14"/>
      <c r="AW6195" s="15">
        <f t="shared" si="1099"/>
        <v>0</v>
      </c>
      <c r="AX6195" s="16"/>
    </row>
    <row r="6196" spans="2:50" x14ac:dyDescent="0.2">
      <c r="B6196" s="7"/>
      <c r="C6196" s="8">
        <v>16317</v>
      </c>
      <c r="D6196" s="9" t="s">
        <v>461</v>
      </c>
      <c r="E6196" s="10" t="str">
        <f t="shared" si="1094"/>
        <v>Rancho Upácuaro No. 93</v>
      </c>
      <c r="F6196" s="10" t="str">
        <f t="shared" si="1095"/>
        <v>Elizalde</v>
      </c>
      <c r="G6196" s="8">
        <v>3</v>
      </c>
      <c r="H6196" s="11">
        <v>200</v>
      </c>
      <c r="I6196" s="12">
        <v>43198</v>
      </c>
      <c r="J6196" s="35">
        <f t="shared" si="1096"/>
        <v>0</v>
      </c>
      <c r="K6196" s="36"/>
      <c r="L6196" s="36"/>
      <c r="M6196" s="36"/>
      <c r="N6196" s="36"/>
      <c r="O6196" s="36"/>
      <c r="P6196" s="36"/>
      <c r="Q6196" s="36"/>
      <c r="R6196" s="36"/>
      <c r="S6196" s="36"/>
      <c r="T6196" s="36"/>
      <c r="U6196" s="36"/>
      <c r="V6196" s="36"/>
      <c r="W6196" s="15">
        <f t="shared" si="1097"/>
        <v>0</v>
      </c>
      <c r="X6196" s="36"/>
      <c r="Y6196" s="36"/>
      <c r="Z6196" s="36"/>
      <c r="AA6196" s="36"/>
      <c r="AB6196" s="36"/>
      <c r="AC6196" s="36"/>
      <c r="AD6196" s="36"/>
      <c r="AE6196" s="36"/>
      <c r="AF6196" s="36"/>
      <c r="AG6196" s="36"/>
      <c r="AH6196" s="36"/>
      <c r="AI6196" s="36"/>
      <c r="AJ6196" s="15">
        <f t="shared" si="1098"/>
        <v>0</v>
      </c>
      <c r="AK6196" s="14"/>
      <c r="AL6196" s="14"/>
      <c r="AM6196" s="14"/>
      <c r="AN6196" s="14"/>
      <c r="AO6196" s="14"/>
      <c r="AP6196" s="14"/>
      <c r="AQ6196" s="14"/>
      <c r="AR6196" s="14"/>
      <c r="AS6196" s="14"/>
      <c r="AT6196" s="14"/>
      <c r="AU6196" s="14"/>
      <c r="AV6196" s="14"/>
      <c r="AW6196" s="15">
        <f t="shared" si="1099"/>
        <v>0</v>
      </c>
      <c r="AX6196" s="16"/>
    </row>
    <row r="6197" spans="2:50" x14ac:dyDescent="0.2">
      <c r="B6197" s="7"/>
      <c r="C6197" s="8">
        <v>16318</v>
      </c>
      <c r="D6197" s="9" t="s">
        <v>226</v>
      </c>
      <c r="E6197" s="10" t="str">
        <f t="shared" si="1094"/>
        <v>Rancho Landero No. 31</v>
      </c>
      <c r="F6197" s="10" t="str">
        <f t="shared" si="1095"/>
        <v>Díaz Hernández</v>
      </c>
      <c r="G6197" s="8">
        <v>1</v>
      </c>
      <c r="H6197" s="11">
        <v>200</v>
      </c>
      <c r="I6197" s="12">
        <v>43198</v>
      </c>
      <c r="J6197" s="35">
        <f t="shared" si="1096"/>
        <v>0</v>
      </c>
      <c r="K6197" s="36"/>
      <c r="L6197" s="36"/>
      <c r="M6197" s="36"/>
      <c r="N6197" s="36"/>
      <c r="O6197" s="36"/>
      <c r="P6197" s="36"/>
      <c r="Q6197" s="36"/>
      <c r="R6197" s="36"/>
      <c r="S6197" s="36"/>
      <c r="T6197" s="36"/>
      <c r="U6197" s="36"/>
      <c r="V6197" s="36"/>
      <c r="W6197" s="15">
        <f t="shared" si="1097"/>
        <v>0</v>
      </c>
      <c r="X6197" s="36"/>
      <c r="Y6197" s="36"/>
      <c r="Z6197" s="36"/>
      <c r="AA6197" s="36"/>
      <c r="AB6197" s="36"/>
      <c r="AC6197" s="36"/>
      <c r="AD6197" s="36"/>
      <c r="AE6197" s="36"/>
      <c r="AF6197" s="36"/>
      <c r="AG6197" s="36"/>
      <c r="AH6197" s="36"/>
      <c r="AI6197" s="36"/>
      <c r="AJ6197" s="15">
        <f t="shared" si="1098"/>
        <v>0</v>
      </c>
      <c r="AK6197" s="14"/>
      <c r="AL6197" s="14"/>
      <c r="AM6197" s="14"/>
      <c r="AN6197" s="14">
        <v>200</v>
      </c>
      <c r="AO6197" s="14"/>
      <c r="AP6197" s="14"/>
      <c r="AQ6197" s="14"/>
      <c r="AR6197" s="14"/>
      <c r="AS6197" s="14"/>
      <c r="AT6197" s="14"/>
      <c r="AU6197" s="14"/>
      <c r="AV6197" s="14"/>
      <c r="AW6197" s="15">
        <f t="shared" si="1099"/>
        <v>200</v>
      </c>
      <c r="AX6197" s="16"/>
    </row>
    <row r="6198" spans="2:50" x14ac:dyDescent="0.2">
      <c r="B6198" s="7"/>
      <c r="C6198" s="8">
        <v>16319</v>
      </c>
      <c r="D6198" s="9" t="s">
        <v>620</v>
      </c>
      <c r="E6198" s="10" t="str">
        <f t="shared" si="1094"/>
        <v>Rancho La Cuchilla No. 32</v>
      </c>
      <c r="F6198" s="10" t="str">
        <f t="shared" si="1095"/>
        <v>Hernández</v>
      </c>
      <c r="G6198" s="8">
        <v>1</v>
      </c>
      <c r="H6198" s="11">
        <v>400</v>
      </c>
      <c r="I6198" s="12">
        <v>43198</v>
      </c>
      <c r="J6198" s="35">
        <f t="shared" si="1096"/>
        <v>0</v>
      </c>
      <c r="K6198" s="36"/>
      <c r="L6198" s="36"/>
      <c r="M6198" s="36"/>
      <c r="N6198" s="36"/>
      <c r="O6198" s="36"/>
      <c r="P6198" s="36"/>
      <c r="Q6198" s="36"/>
      <c r="R6198" s="36"/>
      <c r="S6198" s="36"/>
      <c r="T6198" s="36"/>
      <c r="U6198" s="36"/>
      <c r="V6198" s="36"/>
      <c r="W6198" s="15">
        <f t="shared" si="1097"/>
        <v>0</v>
      </c>
      <c r="X6198" s="36"/>
      <c r="Y6198" s="36"/>
      <c r="Z6198" s="36"/>
      <c r="AA6198" s="36"/>
      <c r="AB6198" s="36"/>
      <c r="AC6198" s="36"/>
      <c r="AD6198" s="36"/>
      <c r="AE6198" s="36"/>
      <c r="AF6198" s="36"/>
      <c r="AG6198" s="36"/>
      <c r="AH6198" s="36"/>
      <c r="AI6198" s="36"/>
      <c r="AJ6198" s="15">
        <f t="shared" si="1098"/>
        <v>0</v>
      </c>
      <c r="AK6198" s="14"/>
      <c r="AL6198" s="14">
        <v>400</v>
      </c>
      <c r="AM6198" s="14"/>
      <c r="AN6198" s="14"/>
      <c r="AO6198" s="14"/>
      <c r="AP6198" s="14"/>
      <c r="AQ6198" s="14"/>
      <c r="AR6198" s="14"/>
      <c r="AS6198" s="14"/>
      <c r="AT6198" s="14"/>
      <c r="AU6198" s="14"/>
      <c r="AV6198" s="14"/>
      <c r="AW6198" s="15">
        <f t="shared" si="1099"/>
        <v>400</v>
      </c>
      <c r="AX6198" s="16"/>
    </row>
    <row r="6199" spans="2:50" x14ac:dyDescent="0.2">
      <c r="B6199" s="7"/>
      <c r="C6199" s="8">
        <v>16320</v>
      </c>
      <c r="D6199" s="9" t="s">
        <v>437</v>
      </c>
      <c r="E6199" s="10" t="str">
        <f t="shared" si="1094"/>
        <v>Rancho Upácuaro No. 47</v>
      </c>
      <c r="F6199" s="10" t="str">
        <f t="shared" si="1095"/>
        <v>Flores Muñoz</v>
      </c>
      <c r="G6199" s="8">
        <v>1</v>
      </c>
      <c r="H6199" s="11">
        <v>400</v>
      </c>
      <c r="I6199" s="12">
        <v>43198</v>
      </c>
      <c r="J6199" s="35">
        <f t="shared" si="1096"/>
        <v>0</v>
      </c>
      <c r="K6199" s="36"/>
      <c r="L6199" s="36"/>
      <c r="M6199" s="36"/>
      <c r="N6199" s="36"/>
      <c r="O6199" s="36"/>
      <c r="P6199" s="36"/>
      <c r="Q6199" s="36"/>
      <c r="R6199" s="36"/>
      <c r="S6199" s="36"/>
      <c r="T6199" s="36"/>
      <c r="U6199" s="36"/>
      <c r="V6199" s="36"/>
      <c r="W6199" s="15">
        <f t="shared" si="1097"/>
        <v>0</v>
      </c>
      <c r="X6199" s="36"/>
      <c r="Y6199" s="36"/>
      <c r="Z6199" s="36"/>
      <c r="AA6199" s="36"/>
      <c r="AB6199" s="36"/>
      <c r="AC6199" s="36"/>
      <c r="AD6199" s="36"/>
      <c r="AE6199" s="36"/>
      <c r="AF6199" s="36"/>
      <c r="AG6199" s="36"/>
      <c r="AH6199" s="36"/>
      <c r="AI6199" s="36"/>
      <c r="AJ6199" s="15">
        <f t="shared" si="1098"/>
        <v>0</v>
      </c>
      <c r="AK6199" s="14"/>
      <c r="AL6199" s="14"/>
      <c r="AM6199" s="14"/>
      <c r="AN6199" s="14">
        <v>400</v>
      </c>
      <c r="AO6199" s="14"/>
      <c r="AP6199" s="14"/>
      <c r="AQ6199" s="14"/>
      <c r="AR6199" s="14"/>
      <c r="AS6199" s="14"/>
      <c r="AT6199" s="14"/>
      <c r="AU6199" s="14"/>
      <c r="AV6199" s="14"/>
      <c r="AW6199" s="15">
        <f t="shared" si="1099"/>
        <v>400</v>
      </c>
      <c r="AX6199" s="16"/>
    </row>
    <row r="6200" spans="2:50" x14ac:dyDescent="0.2">
      <c r="B6200" s="7"/>
      <c r="C6200" s="8">
        <v>16321</v>
      </c>
      <c r="D6200" s="9"/>
      <c r="E6200" s="10" t="str">
        <f t="shared" si="1094"/>
        <v/>
      </c>
      <c r="F6200" s="10" t="str">
        <f t="shared" si="1095"/>
        <v/>
      </c>
      <c r="G6200" s="8">
        <v>8</v>
      </c>
      <c r="H6200" s="11"/>
      <c r="I6200" s="12"/>
      <c r="J6200" s="35">
        <f t="shared" si="1096"/>
        <v>0</v>
      </c>
      <c r="K6200" s="36"/>
      <c r="L6200" s="36"/>
      <c r="M6200" s="36"/>
      <c r="N6200" s="36"/>
      <c r="O6200" s="36"/>
      <c r="P6200" s="36"/>
      <c r="Q6200" s="36"/>
      <c r="R6200" s="36"/>
      <c r="S6200" s="36"/>
      <c r="T6200" s="36"/>
      <c r="U6200" s="36"/>
      <c r="V6200" s="36"/>
      <c r="W6200" s="15">
        <f t="shared" si="1097"/>
        <v>0</v>
      </c>
      <c r="X6200" s="36"/>
      <c r="Y6200" s="36"/>
      <c r="Z6200" s="36"/>
      <c r="AA6200" s="36"/>
      <c r="AB6200" s="36"/>
      <c r="AC6200" s="36"/>
      <c r="AD6200" s="36"/>
      <c r="AE6200" s="36"/>
      <c r="AF6200" s="36"/>
      <c r="AG6200" s="36"/>
      <c r="AH6200" s="36"/>
      <c r="AI6200" s="36"/>
      <c r="AJ6200" s="15">
        <f t="shared" si="1098"/>
        <v>0</v>
      </c>
      <c r="AK6200" s="14"/>
      <c r="AL6200" s="14"/>
      <c r="AM6200" s="14"/>
      <c r="AN6200" s="14"/>
      <c r="AO6200" s="14"/>
      <c r="AP6200" s="14"/>
      <c r="AQ6200" s="14"/>
      <c r="AR6200" s="14"/>
      <c r="AS6200" s="14"/>
      <c r="AT6200" s="14"/>
      <c r="AU6200" s="14"/>
      <c r="AV6200" s="14"/>
      <c r="AW6200" s="15">
        <f t="shared" si="1099"/>
        <v>0</v>
      </c>
      <c r="AX6200" s="16"/>
    </row>
    <row r="6201" spans="2:50" x14ac:dyDescent="0.2">
      <c r="B6201" s="7"/>
      <c r="C6201" s="8">
        <v>16322</v>
      </c>
      <c r="D6201" s="9" t="s">
        <v>547</v>
      </c>
      <c r="E6201" s="10" t="str">
        <f t="shared" si="1094"/>
        <v>Rancho Zinamba No. 72</v>
      </c>
      <c r="F6201" s="10" t="str">
        <f t="shared" si="1095"/>
        <v>Romo de Vivar</v>
      </c>
      <c r="G6201" s="8">
        <v>1</v>
      </c>
      <c r="H6201" s="11">
        <v>400</v>
      </c>
      <c r="I6201" s="12">
        <v>43198</v>
      </c>
      <c r="J6201" s="35">
        <f t="shared" si="1096"/>
        <v>0</v>
      </c>
      <c r="K6201" s="36"/>
      <c r="L6201" s="36"/>
      <c r="M6201" s="36"/>
      <c r="N6201" s="36"/>
      <c r="O6201" s="36"/>
      <c r="P6201" s="36"/>
      <c r="Q6201" s="36"/>
      <c r="R6201" s="36"/>
      <c r="S6201" s="36"/>
      <c r="T6201" s="36"/>
      <c r="U6201" s="36"/>
      <c r="V6201" s="36"/>
      <c r="W6201" s="15">
        <f t="shared" si="1097"/>
        <v>0</v>
      </c>
      <c r="X6201" s="36"/>
      <c r="Y6201" s="36"/>
      <c r="Z6201" s="36"/>
      <c r="AA6201" s="36"/>
      <c r="AB6201" s="36"/>
      <c r="AC6201" s="36"/>
      <c r="AD6201" s="36"/>
      <c r="AE6201" s="36"/>
      <c r="AF6201" s="36"/>
      <c r="AG6201" s="36"/>
      <c r="AH6201" s="36"/>
      <c r="AI6201" s="36"/>
      <c r="AJ6201" s="15">
        <f t="shared" si="1098"/>
        <v>0</v>
      </c>
      <c r="AK6201" s="14"/>
      <c r="AL6201" s="14">
        <v>200</v>
      </c>
      <c r="AM6201" s="14">
        <v>200</v>
      </c>
      <c r="AN6201" s="14"/>
      <c r="AO6201" s="14"/>
      <c r="AP6201" s="14"/>
      <c r="AQ6201" s="14"/>
      <c r="AR6201" s="14"/>
      <c r="AS6201" s="14"/>
      <c r="AT6201" s="14"/>
      <c r="AU6201" s="14"/>
      <c r="AV6201" s="14"/>
      <c r="AW6201" s="15">
        <f t="shared" si="1099"/>
        <v>400</v>
      </c>
      <c r="AX6201" s="16"/>
    </row>
    <row r="6202" spans="2:50" x14ac:dyDescent="0.2">
      <c r="B6202" s="7"/>
      <c r="C6202" s="8">
        <v>16323</v>
      </c>
      <c r="D6202" s="9" t="s">
        <v>846</v>
      </c>
      <c r="E6202" s="10" t="str">
        <f t="shared" si="1094"/>
        <v>Rancho Estanzuela No. 95</v>
      </c>
      <c r="F6202" s="10" t="str">
        <f t="shared" si="1095"/>
        <v>Castro Puente</v>
      </c>
      <c r="G6202" s="8">
        <v>1</v>
      </c>
      <c r="H6202" s="11">
        <v>1200</v>
      </c>
      <c r="I6202" s="12">
        <v>43198</v>
      </c>
      <c r="J6202" s="35">
        <f t="shared" si="1096"/>
        <v>0</v>
      </c>
      <c r="K6202" s="36"/>
      <c r="L6202" s="36"/>
      <c r="M6202" s="36"/>
      <c r="N6202" s="36"/>
      <c r="O6202" s="36"/>
      <c r="P6202" s="36"/>
      <c r="Q6202" s="36"/>
      <c r="R6202" s="36"/>
      <c r="S6202" s="36"/>
      <c r="T6202" s="36"/>
      <c r="U6202" s="36"/>
      <c r="V6202" s="36"/>
      <c r="W6202" s="15">
        <f t="shared" si="1097"/>
        <v>0</v>
      </c>
      <c r="X6202" s="36"/>
      <c r="Y6202" s="36"/>
      <c r="Z6202" s="36"/>
      <c r="AA6202" s="36"/>
      <c r="AB6202" s="36"/>
      <c r="AC6202" s="36"/>
      <c r="AD6202" s="36"/>
      <c r="AE6202" s="36"/>
      <c r="AF6202" s="36"/>
      <c r="AG6202" s="36"/>
      <c r="AH6202" s="36"/>
      <c r="AI6202" s="36"/>
      <c r="AJ6202" s="15">
        <f t="shared" si="1098"/>
        <v>0</v>
      </c>
      <c r="AK6202" s="14"/>
      <c r="AL6202" s="14"/>
      <c r="AM6202" s="14">
        <v>400</v>
      </c>
      <c r="AN6202" s="14">
        <v>400</v>
      </c>
      <c r="AO6202" s="14">
        <v>400</v>
      </c>
      <c r="AP6202" s="14"/>
      <c r="AQ6202" s="14"/>
      <c r="AR6202" s="14"/>
      <c r="AS6202" s="14"/>
      <c r="AT6202" s="14"/>
      <c r="AU6202" s="14"/>
      <c r="AV6202" s="14"/>
      <c r="AW6202" s="15">
        <f t="shared" si="1099"/>
        <v>1200</v>
      </c>
      <c r="AX6202" s="16"/>
    </row>
    <row r="6203" spans="2:50" x14ac:dyDescent="0.2">
      <c r="B6203" s="7"/>
      <c r="C6203" s="8">
        <v>16324</v>
      </c>
      <c r="D6203" s="9" t="s">
        <v>407</v>
      </c>
      <c r="E6203" s="10" t="str">
        <f t="shared" si="1094"/>
        <v>Rancho Estanzuela No. 99</v>
      </c>
      <c r="F6203" s="10" t="str">
        <f t="shared" si="1095"/>
        <v>García López</v>
      </c>
      <c r="G6203" s="8">
        <v>1</v>
      </c>
      <c r="H6203" s="11">
        <v>400</v>
      </c>
      <c r="I6203" s="12">
        <v>43198</v>
      </c>
      <c r="J6203" s="35">
        <f t="shared" si="1096"/>
        <v>0</v>
      </c>
      <c r="K6203" s="36"/>
      <c r="L6203" s="36"/>
      <c r="M6203" s="36"/>
      <c r="N6203" s="36"/>
      <c r="O6203" s="36"/>
      <c r="P6203" s="36"/>
      <c r="Q6203" s="36"/>
      <c r="R6203" s="36"/>
      <c r="S6203" s="36"/>
      <c r="T6203" s="36"/>
      <c r="U6203" s="36"/>
      <c r="V6203" s="36"/>
      <c r="W6203" s="15">
        <f t="shared" si="1097"/>
        <v>0</v>
      </c>
      <c r="X6203" s="36"/>
      <c r="Y6203" s="36"/>
      <c r="Z6203" s="36"/>
      <c r="AA6203" s="36"/>
      <c r="AB6203" s="36"/>
      <c r="AC6203" s="36"/>
      <c r="AD6203" s="36"/>
      <c r="AE6203" s="36"/>
      <c r="AF6203" s="36"/>
      <c r="AG6203" s="36"/>
      <c r="AH6203" s="36"/>
      <c r="AI6203" s="36"/>
      <c r="AJ6203" s="15">
        <f t="shared" si="1098"/>
        <v>0</v>
      </c>
      <c r="AK6203" s="14"/>
      <c r="AL6203" s="14"/>
      <c r="AM6203" s="14"/>
      <c r="AN6203" s="14">
        <v>400</v>
      </c>
      <c r="AO6203" s="14"/>
      <c r="AP6203" s="14"/>
      <c r="AQ6203" s="14"/>
      <c r="AR6203" s="14"/>
      <c r="AS6203" s="14"/>
      <c r="AT6203" s="14"/>
      <c r="AU6203" s="14"/>
      <c r="AV6203" s="14"/>
      <c r="AW6203" s="15">
        <f t="shared" si="1099"/>
        <v>400</v>
      </c>
      <c r="AX6203" s="16"/>
    </row>
    <row r="6204" spans="2:50" x14ac:dyDescent="0.2">
      <c r="B6204" s="7"/>
      <c r="C6204" s="8">
        <v>16325</v>
      </c>
      <c r="D6204" s="9" t="s">
        <v>226</v>
      </c>
      <c r="E6204" s="10" t="str">
        <f t="shared" si="1094"/>
        <v>Rancho Landero No. 31</v>
      </c>
      <c r="F6204" s="10" t="str">
        <f t="shared" si="1095"/>
        <v>Díaz Hernández</v>
      </c>
      <c r="G6204" s="8">
        <v>1</v>
      </c>
      <c r="H6204" s="11">
        <v>200</v>
      </c>
      <c r="I6204" s="12">
        <v>43198</v>
      </c>
      <c r="J6204" s="35">
        <f t="shared" si="1096"/>
        <v>0</v>
      </c>
      <c r="K6204" s="36"/>
      <c r="L6204" s="36"/>
      <c r="M6204" s="36"/>
      <c r="N6204" s="36"/>
      <c r="O6204" s="36"/>
      <c r="P6204" s="36"/>
      <c r="Q6204" s="36"/>
      <c r="R6204" s="36"/>
      <c r="S6204" s="36"/>
      <c r="T6204" s="36"/>
      <c r="U6204" s="36"/>
      <c r="V6204" s="36"/>
      <c r="W6204" s="15">
        <f t="shared" si="1097"/>
        <v>0</v>
      </c>
      <c r="X6204" s="36"/>
      <c r="Y6204" s="36"/>
      <c r="Z6204" s="36"/>
      <c r="AA6204" s="36"/>
      <c r="AB6204" s="36"/>
      <c r="AC6204" s="36"/>
      <c r="AD6204" s="36"/>
      <c r="AE6204" s="36"/>
      <c r="AF6204" s="36"/>
      <c r="AG6204" s="36"/>
      <c r="AH6204" s="36"/>
      <c r="AI6204" s="36"/>
      <c r="AJ6204" s="15">
        <f t="shared" si="1098"/>
        <v>0</v>
      </c>
      <c r="AK6204" s="14"/>
      <c r="AL6204" s="14"/>
      <c r="AM6204" s="14">
        <v>200</v>
      </c>
      <c r="AN6204" s="14"/>
      <c r="AO6204" s="14"/>
      <c r="AP6204" s="14"/>
      <c r="AQ6204" s="14"/>
      <c r="AR6204" s="14"/>
      <c r="AS6204" s="14"/>
      <c r="AT6204" s="14"/>
      <c r="AU6204" s="14"/>
      <c r="AV6204" s="14"/>
      <c r="AW6204" s="15">
        <f t="shared" si="1099"/>
        <v>200</v>
      </c>
      <c r="AX6204" s="16"/>
    </row>
    <row r="6205" spans="2:50" x14ac:dyDescent="0.2">
      <c r="B6205" s="7"/>
      <c r="C6205" s="8">
        <v>16326</v>
      </c>
      <c r="D6205" s="9" t="s">
        <v>202</v>
      </c>
      <c r="E6205" s="10" t="str">
        <f t="shared" si="1094"/>
        <v>Rancho Estanzuela No. 25</v>
      </c>
      <c r="F6205" s="10" t="str">
        <f t="shared" si="1095"/>
        <v>Contreras Figueroa</v>
      </c>
      <c r="G6205" s="8">
        <v>1</v>
      </c>
      <c r="H6205" s="11">
        <v>400</v>
      </c>
      <c r="I6205" s="12">
        <v>43198</v>
      </c>
      <c r="J6205" s="35">
        <f t="shared" si="1096"/>
        <v>0</v>
      </c>
      <c r="K6205" s="36"/>
      <c r="L6205" s="36"/>
      <c r="M6205" s="36"/>
      <c r="N6205" s="36"/>
      <c r="O6205" s="36"/>
      <c r="P6205" s="36"/>
      <c r="Q6205" s="36"/>
      <c r="R6205" s="36"/>
      <c r="S6205" s="36"/>
      <c r="T6205" s="36"/>
      <c r="U6205" s="36"/>
      <c r="V6205" s="36"/>
      <c r="W6205" s="15">
        <f t="shared" si="1097"/>
        <v>0</v>
      </c>
      <c r="X6205" s="36"/>
      <c r="Y6205" s="36"/>
      <c r="Z6205" s="36"/>
      <c r="AA6205" s="36"/>
      <c r="AB6205" s="36"/>
      <c r="AC6205" s="36"/>
      <c r="AD6205" s="36"/>
      <c r="AE6205" s="36"/>
      <c r="AF6205" s="36"/>
      <c r="AG6205" s="36"/>
      <c r="AH6205" s="36"/>
      <c r="AI6205" s="36"/>
      <c r="AJ6205" s="15">
        <f t="shared" si="1098"/>
        <v>0</v>
      </c>
      <c r="AK6205" s="14"/>
      <c r="AL6205" s="14"/>
      <c r="AM6205" s="14"/>
      <c r="AN6205" s="14">
        <v>400</v>
      </c>
      <c r="AO6205" s="14"/>
      <c r="AP6205" s="14"/>
      <c r="AQ6205" s="14"/>
      <c r="AR6205" s="14"/>
      <c r="AS6205" s="14"/>
      <c r="AT6205" s="14"/>
      <c r="AU6205" s="14"/>
      <c r="AV6205" s="14"/>
      <c r="AW6205" s="15">
        <f t="shared" si="1099"/>
        <v>400</v>
      </c>
      <c r="AX6205" s="16"/>
    </row>
    <row r="6206" spans="2:50" x14ac:dyDescent="0.2">
      <c r="B6206" s="7"/>
      <c r="C6206" s="8">
        <v>16327</v>
      </c>
      <c r="D6206" s="9" t="s">
        <v>259</v>
      </c>
      <c r="E6206" s="10" t="str">
        <f t="shared" si="1094"/>
        <v>Rancho Estanzuela No. 55</v>
      </c>
      <c r="F6206" s="10" t="str">
        <f t="shared" si="1095"/>
        <v>Rodríguez Acevedo</v>
      </c>
      <c r="G6206" s="8">
        <v>1</v>
      </c>
      <c r="H6206" s="11">
        <v>400</v>
      </c>
      <c r="I6206" s="12">
        <v>43198</v>
      </c>
      <c r="J6206" s="35">
        <f t="shared" si="1096"/>
        <v>0</v>
      </c>
      <c r="K6206" s="36"/>
      <c r="L6206" s="36"/>
      <c r="M6206" s="36"/>
      <c r="N6206" s="36"/>
      <c r="O6206" s="36"/>
      <c r="P6206" s="36"/>
      <c r="Q6206" s="36"/>
      <c r="R6206" s="36"/>
      <c r="S6206" s="36"/>
      <c r="T6206" s="36"/>
      <c r="U6206" s="36"/>
      <c r="V6206" s="36"/>
      <c r="W6206" s="15">
        <f t="shared" si="1097"/>
        <v>0</v>
      </c>
      <c r="X6206" s="36"/>
      <c r="Y6206" s="36"/>
      <c r="Z6206" s="36"/>
      <c r="AA6206" s="36"/>
      <c r="AB6206" s="36"/>
      <c r="AC6206" s="36"/>
      <c r="AD6206" s="36"/>
      <c r="AE6206" s="36"/>
      <c r="AF6206" s="36"/>
      <c r="AG6206" s="36"/>
      <c r="AH6206" s="36"/>
      <c r="AI6206" s="36"/>
      <c r="AJ6206" s="15">
        <f t="shared" si="1098"/>
        <v>0</v>
      </c>
      <c r="AK6206" s="14"/>
      <c r="AL6206" s="14"/>
      <c r="AM6206" s="14"/>
      <c r="AN6206" s="14">
        <v>400</v>
      </c>
      <c r="AO6206" s="14"/>
      <c r="AP6206" s="14"/>
      <c r="AQ6206" s="14"/>
      <c r="AR6206" s="14"/>
      <c r="AS6206" s="14"/>
      <c r="AT6206" s="14"/>
      <c r="AU6206" s="14"/>
      <c r="AV6206" s="14"/>
      <c r="AW6206" s="15">
        <f t="shared" si="1099"/>
        <v>400</v>
      </c>
      <c r="AX6206" s="16"/>
    </row>
    <row r="6207" spans="2:50" x14ac:dyDescent="0.2">
      <c r="B6207" s="7"/>
      <c r="C6207" s="8">
        <v>16328</v>
      </c>
      <c r="D6207" s="9" t="s">
        <v>831</v>
      </c>
      <c r="E6207" s="10" t="str">
        <f t="shared" si="1094"/>
        <v>Rancho Upácuaro No. 80</v>
      </c>
      <c r="F6207" s="10" t="str">
        <f t="shared" si="1095"/>
        <v>De los Ríos</v>
      </c>
      <c r="G6207" s="8">
        <v>1</v>
      </c>
      <c r="H6207" s="11">
        <v>400</v>
      </c>
      <c r="I6207" s="12">
        <v>43198</v>
      </c>
      <c r="J6207" s="35">
        <f t="shared" si="1096"/>
        <v>0</v>
      </c>
      <c r="K6207" s="36"/>
      <c r="L6207" s="36"/>
      <c r="M6207" s="36"/>
      <c r="N6207" s="36"/>
      <c r="O6207" s="36"/>
      <c r="P6207" s="36"/>
      <c r="Q6207" s="36"/>
      <c r="R6207" s="36"/>
      <c r="S6207" s="36"/>
      <c r="T6207" s="36"/>
      <c r="U6207" s="36"/>
      <c r="V6207" s="36"/>
      <c r="W6207" s="15">
        <f t="shared" si="1097"/>
        <v>0</v>
      </c>
      <c r="X6207" s="36"/>
      <c r="Y6207" s="36"/>
      <c r="Z6207" s="36"/>
      <c r="AA6207" s="36"/>
      <c r="AB6207" s="36"/>
      <c r="AC6207" s="36"/>
      <c r="AD6207" s="36"/>
      <c r="AE6207" s="36"/>
      <c r="AF6207" s="36"/>
      <c r="AG6207" s="36"/>
      <c r="AH6207" s="36"/>
      <c r="AI6207" s="36"/>
      <c r="AJ6207" s="15">
        <f t="shared" si="1098"/>
        <v>0</v>
      </c>
      <c r="AK6207" s="14"/>
      <c r="AL6207" s="14"/>
      <c r="AM6207" s="14"/>
      <c r="AN6207" s="14">
        <v>400</v>
      </c>
      <c r="AO6207" s="14"/>
      <c r="AP6207" s="14"/>
      <c r="AQ6207" s="14"/>
      <c r="AR6207" s="14"/>
      <c r="AS6207" s="14"/>
      <c r="AT6207" s="14"/>
      <c r="AU6207" s="14"/>
      <c r="AV6207" s="14"/>
      <c r="AW6207" s="15">
        <f t="shared" si="1099"/>
        <v>400</v>
      </c>
      <c r="AX6207" s="16"/>
    </row>
    <row r="6208" spans="2:50" x14ac:dyDescent="0.2">
      <c r="B6208" s="7"/>
      <c r="C6208" s="8">
        <v>16329</v>
      </c>
      <c r="D6208" s="9" t="s">
        <v>1340</v>
      </c>
      <c r="E6208" s="10" t="str">
        <f t="shared" si="1094"/>
        <v>Rancho Estanzuela No. 73</v>
      </c>
      <c r="F6208" s="10" t="str">
        <f t="shared" si="1095"/>
        <v>Salcedo García</v>
      </c>
      <c r="G6208" s="8">
        <v>1</v>
      </c>
      <c r="H6208" s="11">
        <v>1200</v>
      </c>
      <c r="I6208" s="12">
        <v>43198</v>
      </c>
      <c r="J6208" s="35">
        <f t="shared" si="1096"/>
        <v>0</v>
      </c>
      <c r="K6208" s="36"/>
      <c r="L6208" s="36"/>
      <c r="M6208" s="36"/>
      <c r="N6208" s="36"/>
      <c r="O6208" s="36"/>
      <c r="P6208" s="36"/>
      <c r="Q6208" s="36"/>
      <c r="R6208" s="36"/>
      <c r="S6208" s="36"/>
      <c r="T6208" s="36"/>
      <c r="U6208" s="36"/>
      <c r="V6208" s="36"/>
      <c r="W6208" s="15">
        <f t="shared" si="1097"/>
        <v>0</v>
      </c>
      <c r="X6208" s="36"/>
      <c r="Y6208" s="36"/>
      <c r="Z6208" s="36"/>
      <c r="AA6208" s="36"/>
      <c r="AB6208" s="36"/>
      <c r="AC6208" s="36"/>
      <c r="AD6208" s="36"/>
      <c r="AE6208" s="36"/>
      <c r="AF6208" s="36"/>
      <c r="AG6208" s="36"/>
      <c r="AH6208" s="36"/>
      <c r="AI6208" s="36"/>
      <c r="AJ6208" s="15">
        <f t="shared" si="1098"/>
        <v>0</v>
      </c>
      <c r="AK6208" s="14">
        <v>400</v>
      </c>
      <c r="AL6208" s="14">
        <v>400</v>
      </c>
      <c r="AM6208" s="14">
        <v>400</v>
      </c>
      <c r="AN6208" s="14"/>
      <c r="AO6208" s="14"/>
      <c r="AP6208" s="14"/>
      <c r="AQ6208" s="14"/>
      <c r="AR6208" s="14"/>
      <c r="AS6208" s="14"/>
      <c r="AT6208" s="14"/>
      <c r="AU6208" s="14"/>
      <c r="AV6208" s="14"/>
      <c r="AW6208" s="15">
        <f t="shared" si="1099"/>
        <v>1200</v>
      </c>
      <c r="AX6208" s="16"/>
    </row>
    <row r="6209" spans="2:50" x14ac:dyDescent="0.2">
      <c r="B6209" s="7"/>
      <c r="C6209" s="8">
        <v>16330</v>
      </c>
      <c r="D6209" s="9" t="s">
        <v>355</v>
      </c>
      <c r="E6209" s="10" t="str">
        <f t="shared" si="1094"/>
        <v>Rancho Estanzuela No. 11, A</v>
      </c>
      <c r="F6209" s="10" t="str">
        <f t="shared" si="1095"/>
        <v>Evans González</v>
      </c>
      <c r="G6209" s="8">
        <v>1</v>
      </c>
      <c r="H6209" s="11">
        <v>600</v>
      </c>
      <c r="I6209" s="12">
        <v>43198</v>
      </c>
      <c r="J6209" s="35">
        <f t="shared" si="1096"/>
        <v>0</v>
      </c>
      <c r="K6209" s="36"/>
      <c r="L6209" s="36"/>
      <c r="M6209" s="36"/>
      <c r="N6209" s="36"/>
      <c r="O6209" s="36"/>
      <c r="P6209" s="36"/>
      <c r="Q6209" s="36"/>
      <c r="R6209" s="36"/>
      <c r="S6209" s="36"/>
      <c r="T6209" s="36"/>
      <c r="U6209" s="36"/>
      <c r="V6209" s="36"/>
      <c r="W6209" s="15">
        <f t="shared" si="1097"/>
        <v>0</v>
      </c>
      <c r="X6209" s="36"/>
      <c r="Y6209" s="36"/>
      <c r="Z6209" s="36"/>
      <c r="AA6209" s="36"/>
      <c r="AB6209" s="36"/>
      <c r="AC6209" s="36"/>
      <c r="AD6209" s="36"/>
      <c r="AE6209" s="36"/>
      <c r="AF6209" s="36"/>
      <c r="AG6209" s="36"/>
      <c r="AH6209" s="36"/>
      <c r="AI6209" s="36"/>
      <c r="AJ6209" s="15">
        <f t="shared" si="1098"/>
        <v>0</v>
      </c>
      <c r="AK6209" s="14"/>
      <c r="AL6209" s="14"/>
      <c r="AM6209" s="14"/>
      <c r="AN6209" s="14">
        <v>300</v>
      </c>
      <c r="AO6209" s="14">
        <v>300</v>
      </c>
      <c r="AP6209" s="14"/>
      <c r="AQ6209" s="14"/>
      <c r="AR6209" s="14"/>
      <c r="AS6209" s="14"/>
      <c r="AT6209" s="14"/>
      <c r="AU6209" s="14"/>
      <c r="AV6209" s="14"/>
      <c r="AW6209" s="15">
        <f t="shared" si="1099"/>
        <v>600</v>
      </c>
      <c r="AX6209" s="16"/>
    </row>
    <row r="6210" spans="2:50" x14ac:dyDescent="0.2">
      <c r="B6210" s="7"/>
      <c r="C6210" s="8">
        <v>16331</v>
      </c>
      <c r="D6210" s="9" t="s">
        <v>355</v>
      </c>
      <c r="E6210" s="10" t="str">
        <f t="shared" si="1094"/>
        <v>Rancho Estanzuela No. 11, A</v>
      </c>
      <c r="F6210" s="10" t="str">
        <f t="shared" si="1095"/>
        <v>Evans González</v>
      </c>
      <c r="G6210" s="8">
        <v>5</v>
      </c>
      <c r="H6210" s="11">
        <v>50</v>
      </c>
      <c r="I6210" s="12">
        <v>43198</v>
      </c>
      <c r="J6210" s="35">
        <f t="shared" si="1096"/>
        <v>0</v>
      </c>
      <c r="K6210" s="36"/>
      <c r="L6210" s="36"/>
      <c r="M6210" s="36"/>
      <c r="N6210" s="36"/>
      <c r="O6210" s="36"/>
      <c r="P6210" s="36"/>
      <c r="Q6210" s="36"/>
      <c r="R6210" s="36"/>
      <c r="S6210" s="36"/>
      <c r="T6210" s="36"/>
      <c r="U6210" s="36"/>
      <c r="V6210" s="36"/>
      <c r="W6210" s="15">
        <f t="shared" si="1097"/>
        <v>0</v>
      </c>
      <c r="X6210" s="36"/>
      <c r="Y6210" s="36"/>
      <c r="Z6210" s="36"/>
      <c r="AA6210" s="36"/>
      <c r="AB6210" s="36"/>
      <c r="AC6210" s="36"/>
      <c r="AD6210" s="36"/>
      <c r="AE6210" s="36"/>
      <c r="AF6210" s="36"/>
      <c r="AG6210" s="36"/>
      <c r="AH6210" s="36"/>
      <c r="AI6210" s="36"/>
      <c r="AJ6210" s="15">
        <f t="shared" si="1098"/>
        <v>0</v>
      </c>
      <c r="AK6210" s="14"/>
      <c r="AL6210" s="14"/>
      <c r="AM6210" s="14"/>
      <c r="AN6210" s="14"/>
      <c r="AO6210" s="14"/>
      <c r="AP6210" s="14"/>
      <c r="AQ6210" s="14"/>
      <c r="AR6210" s="14"/>
      <c r="AS6210" s="14"/>
      <c r="AT6210" s="14"/>
      <c r="AU6210" s="14"/>
      <c r="AV6210" s="14"/>
      <c r="AW6210" s="15">
        <f t="shared" si="1099"/>
        <v>0</v>
      </c>
      <c r="AX6210" s="16"/>
    </row>
    <row r="6211" spans="2:50" x14ac:dyDescent="0.2">
      <c r="B6211" s="7"/>
      <c r="C6211" s="8">
        <v>16331</v>
      </c>
      <c r="D6211" s="9" t="s">
        <v>3527</v>
      </c>
      <c r="E6211" s="10" t="str">
        <f t="shared" si="1094"/>
        <v>Rancho Estopila No. 44_6</v>
      </c>
      <c r="F6211" s="10" t="str">
        <f t="shared" si="1095"/>
        <v>González Ramos</v>
      </c>
      <c r="G6211" s="8">
        <v>1</v>
      </c>
      <c r="H6211" s="11">
        <v>800</v>
      </c>
      <c r="I6211" s="12">
        <v>43198</v>
      </c>
      <c r="J6211" s="35">
        <f t="shared" si="1096"/>
        <v>0</v>
      </c>
      <c r="K6211" s="36"/>
      <c r="L6211" s="36"/>
      <c r="M6211" s="36"/>
      <c r="N6211" s="36"/>
      <c r="O6211" s="36"/>
      <c r="P6211" s="36"/>
      <c r="Q6211" s="36"/>
      <c r="R6211" s="36"/>
      <c r="S6211" s="36"/>
      <c r="T6211" s="36"/>
      <c r="U6211" s="36"/>
      <c r="V6211" s="36"/>
      <c r="W6211" s="15">
        <f t="shared" si="1097"/>
        <v>0</v>
      </c>
      <c r="X6211" s="36"/>
      <c r="Y6211" s="36"/>
      <c r="Z6211" s="36"/>
      <c r="AA6211" s="36"/>
      <c r="AB6211" s="36"/>
      <c r="AC6211" s="36"/>
      <c r="AD6211" s="36"/>
      <c r="AE6211" s="36"/>
      <c r="AF6211" s="36"/>
      <c r="AG6211" s="36"/>
      <c r="AH6211" s="36"/>
      <c r="AI6211" s="36"/>
      <c r="AJ6211" s="15">
        <f t="shared" si="1098"/>
        <v>0</v>
      </c>
      <c r="AK6211" s="14">
        <v>200</v>
      </c>
      <c r="AL6211" s="14">
        <v>200</v>
      </c>
      <c r="AM6211" s="14">
        <v>200</v>
      </c>
      <c r="AN6211" s="14">
        <v>200</v>
      </c>
      <c r="AO6211" s="14"/>
      <c r="AP6211" s="14"/>
      <c r="AQ6211" s="14"/>
      <c r="AR6211" s="14"/>
      <c r="AS6211" s="14"/>
      <c r="AT6211" s="14"/>
      <c r="AU6211" s="14"/>
      <c r="AV6211" s="14"/>
      <c r="AW6211" s="15">
        <f t="shared" si="1099"/>
        <v>800</v>
      </c>
      <c r="AX6211" s="16"/>
    </row>
    <row r="6212" spans="2:50" x14ac:dyDescent="0.2">
      <c r="B6212" s="7"/>
      <c r="C6212" s="8">
        <v>16332</v>
      </c>
      <c r="D6212" s="9" t="s">
        <v>395</v>
      </c>
      <c r="E6212" s="10" t="str">
        <f t="shared" si="1094"/>
        <v>Rancho Landero No. 7</v>
      </c>
      <c r="F6212" s="10" t="str">
        <f t="shared" si="1095"/>
        <v>Robles</v>
      </c>
      <c r="G6212" s="8">
        <v>1</v>
      </c>
      <c r="H6212" s="11">
        <v>200</v>
      </c>
      <c r="I6212" s="12">
        <v>43167</v>
      </c>
      <c r="J6212" s="35">
        <f t="shared" si="1096"/>
        <v>0</v>
      </c>
      <c r="K6212" s="36"/>
      <c r="L6212" s="36"/>
      <c r="M6212" s="36"/>
      <c r="N6212" s="36"/>
      <c r="O6212" s="36"/>
      <c r="P6212" s="36"/>
      <c r="Q6212" s="36"/>
      <c r="R6212" s="36"/>
      <c r="S6212" s="36"/>
      <c r="T6212" s="36"/>
      <c r="U6212" s="36"/>
      <c r="V6212" s="36"/>
      <c r="W6212" s="15">
        <f t="shared" si="1097"/>
        <v>0</v>
      </c>
      <c r="X6212" s="36"/>
      <c r="Y6212" s="36"/>
      <c r="Z6212" s="36"/>
      <c r="AA6212" s="36"/>
      <c r="AB6212" s="36"/>
      <c r="AC6212" s="36"/>
      <c r="AD6212" s="36"/>
      <c r="AE6212" s="36"/>
      <c r="AF6212" s="36"/>
      <c r="AG6212" s="36"/>
      <c r="AH6212" s="36"/>
      <c r="AI6212" s="36"/>
      <c r="AJ6212" s="15">
        <f t="shared" si="1098"/>
        <v>0</v>
      </c>
      <c r="AK6212" s="14"/>
      <c r="AL6212" s="14"/>
      <c r="AM6212" s="14"/>
      <c r="AN6212" s="14">
        <v>200</v>
      </c>
      <c r="AO6212" s="14"/>
      <c r="AP6212" s="14"/>
      <c r="AQ6212" s="14"/>
      <c r="AR6212" s="14"/>
      <c r="AS6212" s="14"/>
      <c r="AT6212" s="14"/>
      <c r="AU6212" s="14"/>
      <c r="AV6212" s="14"/>
      <c r="AW6212" s="15">
        <f t="shared" si="1099"/>
        <v>200</v>
      </c>
      <c r="AX6212" s="16"/>
    </row>
    <row r="6213" spans="2:50" x14ac:dyDescent="0.2">
      <c r="B6213" s="7"/>
      <c r="C6213" s="8">
        <v>16333</v>
      </c>
      <c r="D6213" s="9" t="s">
        <v>384</v>
      </c>
      <c r="E6213" s="10" t="str">
        <f t="shared" si="1094"/>
        <v>Rancho Zinamba No. 88</v>
      </c>
      <c r="F6213" s="10" t="str">
        <f t="shared" si="1095"/>
        <v>Martínez</v>
      </c>
      <c r="G6213" s="8">
        <v>1</v>
      </c>
      <c r="H6213" s="11">
        <v>300</v>
      </c>
      <c r="I6213" s="12">
        <v>43198</v>
      </c>
      <c r="J6213" s="35">
        <f t="shared" si="1096"/>
        <v>0</v>
      </c>
      <c r="K6213" s="36"/>
      <c r="L6213" s="36"/>
      <c r="M6213" s="36"/>
      <c r="N6213" s="36"/>
      <c r="O6213" s="36"/>
      <c r="P6213" s="36"/>
      <c r="Q6213" s="36"/>
      <c r="R6213" s="36"/>
      <c r="S6213" s="36"/>
      <c r="T6213" s="36"/>
      <c r="U6213" s="36"/>
      <c r="V6213" s="36"/>
      <c r="W6213" s="15">
        <f t="shared" si="1097"/>
        <v>0</v>
      </c>
      <c r="X6213" s="36"/>
      <c r="Y6213" s="36"/>
      <c r="Z6213" s="36"/>
      <c r="AA6213" s="36"/>
      <c r="AB6213" s="36"/>
      <c r="AC6213" s="36"/>
      <c r="AD6213" s="36"/>
      <c r="AE6213" s="36"/>
      <c r="AF6213" s="36"/>
      <c r="AG6213" s="36"/>
      <c r="AH6213" s="36"/>
      <c r="AI6213" s="36"/>
      <c r="AJ6213" s="15">
        <f t="shared" si="1098"/>
        <v>0</v>
      </c>
      <c r="AK6213" s="14"/>
      <c r="AL6213" s="14"/>
      <c r="AM6213" s="14"/>
      <c r="AN6213" s="14">
        <v>300</v>
      </c>
      <c r="AO6213" s="14"/>
      <c r="AP6213" s="14"/>
      <c r="AQ6213" s="14"/>
      <c r="AR6213" s="14"/>
      <c r="AS6213" s="14"/>
      <c r="AT6213" s="14"/>
      <c r="AU6213" s="14"/>
      <c r="AV6213" s="14"/>
      <c r="AW6213" s="15">
        <f t="shared" si="1099"/>
        <v>300</v>
      </c>
      <c r="AX6213" s="16"/>
    </row>
    <row r="6214" spans="2:50" x14ac:dyDescent="0.2">
      <c r="B6214" s="7"/>
      <c r="C6214" s="8">
        <v>16334</v>
      </c>
      <c r="D6214" s="9" t="s">
        <v>286</v>
      </c>
      <c r="E6214" s="10" t="str">
        <f t="shared" si="1094"/>
        <v>Rancho Zinamba No. 20</v>
      </c>
      <c r="F6214" s="10" t="str">
        <f t="shared" si="1095"/>
        <v>Cruz Vallejo</v>
      </c>
      <c r="G6214" s="8">
        <v>1</v>
      </c>
      <c r="H6214" s="11">
        <v>1200</v>
      </c>
      <c r="I6214" s="12">
        <v>43198</v>
      </c>
      <c r="J6214" s="35">
        <f t="shared" si="1096"/>
        <v>0</v>
      </c>
      <c r="K6214" s="36"/>
      <c r="L6214" s="36"/>
      <c r="M6214" s="36"/>
      <c r="N6214" s="36"/>
      <c r="O6214" s="36"/>
      <c r="P6214" s="36"/>
      <c r="Q6214" s="36"/>
      <c r="R6214" s="36"/>
      <c r="S6214" s="36"/>
      <c r="T6214" s="36"/>
      <c r="U6214" s="36"/>
      <c r="V6214" s="36"/>
      <c r="W6214" s="15">
        <f t="shared" si="1097"/>
        <v>0</v>
      </c>
      <c r="X6214" s="36"/>
      <c r="Y6214" s="36"/>
      <c r="Z6214" s="36"/>
      <c r="AA6214" s="36"/>
      <c r="AB6214" s="36"/>
      <c r="AC6214" s="36"/>
      <c r="AD6214" s="36"/>
      <c r="AE6214" s="36"/>
      <c r="AF6214" s="36"/>
      <c r="AG6214" s="36"/>
      <c r="AH6214" s="36"/>
      <c r="AI6214" s="36"/>
      <c r="AJ6214" s="15">
        <f t="shared" si="1098"/>
        <v>0</v>
      </c>
      <c r="AK6214" s="14"/>
      <c r="AL6214" s="14">
        <v>400</v>
      </c>
      <c r="AM6214" s="14">
        <v>400</v>
      </c>
      <c r="AN6214" s="14">
        <v>400</v>
      </c>
      <c r="AO6214" s="14"/>
      <c r="AP6214" s="14"/>
      <c r="AQ6214" s="14"/>
      <c r="AR6214" s="14"/>
      <c r="AS6214" s="14"/>
      <c r="AT6214" s="14"/>
      <c r="AU6214" s="14"/>
      <c r="AV6214" s="14"/>
      <c r="AW6214" s="15">
        <f t="shared" si="1099"/>
        <v>1200</v>
      </c>
      <c r="AX6214" s="16"/>
    </row>
    <row r="6215" spans="2:50" x14ac:dyDescent="0.2">
      <c r="B6215" s="7"/>
      <c r="C6215" s="8">
        <v>16335</v>
      </c>
      <c r="D6215" s="9" t="s">
        <v>119</v>
      </c>
      <c r="E6215" s="10" t="str">
        <f t="shared" si="1094"/>
        <v>Rancho Landero No. 25</v>
      </c>
      <c r="F6215" s="10" t="str">
        <f t="shared" si="1095"/>
        <v>Escamilla Martínez</v>
      </c>
      <c r="G6215" s="8">
        <v>5</v>
      </c>
      <c r="H6215" s="11">
        <v>50</v>
      </c>
      <c r="I6215" s="12">
        <v>43198</v>
      </c>
      <c r="J6215" s="35">
        <f t="shared" si="1096"/>
        <v>0</v>
      </c>
      <c r="K6215" s="36"/>
      <c r="L6215" s="36"/>
      <c r="M6215" s="36"/>
      <c r="N6215" s="36"/>
      <c r="O6215" s="36"/>
      <c r="P6215" s="36"/>
      <c r="Q6215" s="36"/>
      <c r="R6215" s="36"/>
      <c r="S6215" s="36"/>
      <c r="T6215" s="36"/>
      <c r="U6215" s="36"/>
      <c r="V6215" s="36"/>
      <c r="W6215" s="15">
        <f t="shared" si="1097"/>
        <v>0</v>
      </c>
      <c r="X6215" s="36"/>
      <c r="Y6215" s="36"/>
      <c r="Z6215" s="36"/>
      <c r="AA6215" s="36"/>
      <c r="AB6215" s="36"/>
      <c r="AC6215" s="36"/>
      <c r="AD6215" s="36"/>
      <c r="AE6215" s="36"/>
      <c r="AF6215" s="36"/>
      <c r="AG6215" s="36"/>
      <c r="AH6215" s="36"/>
      <c r="AI6215" s="36"/>
      <c r="AJ6215" s="15">
        <f t="shared" si="1098"/>
        <v>0</v>
      </c>
      <c r="AK6215" s="14"/>
      <c r="AL6215" s="14"/>
      <c r="AM6215" s="14"/>
      <c r="AN6215" s="14"/>
      <c r="AO6215" s="14"/>
      <c r="AP6215" s="14"/>
      <c r="AQ6215" s="14"/>
      <c r="AR6215" s="14"/>
      <c r="AS6215" s="14"/>
      <c r="AT6215" s="14"/>
      <c r="AU6215" s="14"/>
      <c r="AV6215" s="14"/>
      <c r="AW6215" s="15">
        <f t="shared" si="1099"/>
        <v>0</v>
      </c>
      <c r="AX6215" s="16"/>
    </row>
    <row r="6216" spans="2:50" x14ac:dyDescent="0.2">
      <c r="B6216" s="7"/>
      <c r="C6216" s="8">
        <v>16336</v>
      </c>
      <c r="D6216" s="9" t="s">
        <v>652</v>
      </c>
      <c r="E6216" s="10" t="str">
        <f t="shared" si="1094"/>
        <v>Rancho Zinamba No. 74</v>
      </c>
      <c r="F6216" s="10" t="str">
        <f t="shared" si="1095"/>
        <v>García Castellanos</v>
      </c>
      <c r="G6216" s="8">
        <v>1</v>
      </c>
      <c r="H6216" s="11">
        <v>400</v>
      </c>
      <c r="I6216" s="12">
        <v>43198</v>
      </c>
      <c r="J6216" s="35">
        <f t="shared" si="1096"/>
        <v>0</v>
      </c>
      <c r="K6216" s="36"/>
      <c r="L6216" s="36"/>
      <c r="M6216" s="36"/>
      <c r="N6216" s="36"/>
      <c r="O6216" s="36"/>
      <c r="P6216" s="36"/>
      <c r="Q6216" s="36"/>
      <c r="R6216" s="36"/>
      <c r="S6216" s="36"/>
      <c r="T6216" s="36"/>
      <c r="U6216" s="36"/>
      <c r="V6216" s="36"/>
      <c r="W6216" s="15">
        <f t="shared" si="1097"/>
        <v>0</v>
      </c>
      <c r="X6216" s="36"/>
      <c r="Y6216" s="36"/>
      <c r="Z6216" s="36"/>
      <c r="AA6216" s="36"/>
      <c r="AB6216" s="36"/>
      <c r="AC6216" s="36"/>
      <c r="AD6216" s="36"/>
      <c r="AE6216" s="36"/>
      <c r="AF6216" s="36"/>
      <c r="AG6216" s="36"/>
      <c r="AH6216" s="36"/>
      <c r="AI6216" s="36"/>
      <c r="AJ6216" s="15">
        <f t="shared" si="1098"/>
        <v>0</v>
      </c>
      <c r="AK6216" s="14"/>
      <c r="AL6216" s="14"/>
      <c r="AM6216" s="14">
        <v>400</v>
      </c>
      <c r="AN6216" s="14"/>
      <c r="AO6216" s="14"/>
      <c r="AP6216" s="14"/>
      <c r="AQ6216" s="14"/>
      <c r="AR6216" s="14"/>
      <c r="AS6216" s="14"/>
      <c r="AT6216" s="14"/>
      <c r="AU6216" s="14"/>
      <c r="AV6216" s="14"/>
      <c r="AW6216" s="15">
        <f t="shared" si="1099"/>
        <v>400</v>
      </c>
      <c r="AX6216" s="16"/>
    </row>
    <row r="6217" spans="2:50" x14ac:dyDescent="0.2">
      <c r="B6217" s="7"/>
      <c r="C6217" s="8">
        <v>16337</v>
      </c>
      <c r="D6217" s="9" t="s">
        <v>791</v>
      </c>
      <c r="E6217" s="10" t="str">
        <f t="shared" si="1094"/>
        <v>Rancho Upácuaro No. 116</v>
      </c>
      <c r="F6217" s="10" t="str">
        <f t="shared" si="1095"/>
        <v>Zenteno</v>
      </c>
      <c r="G6217" s="8">
        <v>1</v>
      </c>
      <c r="H6217" s="11">
        <v>400</v>
      </c>
      <c r="I6217" s="12">
        <v>43198</v>
      </c>
      <c r="J6217" s="35">
        <f t="shared" si="1096"/>
        <v>0</v>
      </c>
      <c r="K6217" s="36"/>
      <c r="L6217" s="36"/>
      <c r="M6217" s="36"/>
      <c r="N6217" s="36"/>
      <c r="O6217" s="36"/>
      <c r="P6217" s="36"/>
      <c r="Q6217" s="36"/>
      <c r="R6217" s="36"/>
      <c r="S6217" s="36"/>
      <c r="T6217" s="36"/>
      <c r="U6217" s="36"/>
      <c r="V6217" s="36"/>
      <c r="W6217" s="15">
        <f t="shared" si="1097"/>
        <v>0</v>
      </c>
      <c r="X6217" s="36"/>
      <c r="Y6217" s="36"/>
      <c r="Z6217" s="36"/>
      <c r="AA6217" s="36"/>
      <c r="AB6217" s="36"/>
      <c r="AC6217" s="36"/>
      <c r="AD6217" s="36"/>
      <c r="AE6217" s="36"/>
      <c r="AF6217" s="36"/>
      <c r="AG6217" s="36"/>
      <c r="AH6217" s="36"/>
      <c r="AI6217" s="36"/>
      <c r="AJ6217" s="15">
        <f t="shared" si="1098"/>
        <v>0</v>
      </c>
      <c r="AK6217" s="14"/>
      <c r="AL6217" s="14"/>
      <c r="AM6217" s="14">
        <v>400</v>
      </c>
      <c r="AN6217" s="14"/>
      <c r="AO6217" s="14"/>
      <c r="AP6217" s="14"/>
      <c r="AQ6217" s="14"/>
      <c r="AR6217" s="14"/>
      <c r="AS6217" s="14"/>
      <c r="AT6217" s="14"/>
      <c r="AU6217" s="14"/>
      <c r="AV6217" s="14"/>
      <c r="AW6217" s="15">
        <f t="shared" si="1099"/>
        <v>400</v>
      </c>
      <c r="AX6217" s="16"/>
    </row>
    <row r="6218" spans="2:50" x14ac:dyDescent="0.2">
      <c r="B6218" s="7"/>
      <c r="C6218" s="8">
        <v>16338</v>
      </c>
      <c r="D6218" s="9" t="s">
        <v>911</v>
      </c>
      <c r="E6218" s="10" t="str">
        <f t="shared" si="1094"/>
        <v>Rancho Estanzuela No. 19</v>
      </c>
      <c r="F6218" s="10" t="str">
        <f t="shared" si="1095"/>
        <v>Robles</v>
      </c>
      <c r="G6218" s="8">
        <v>1</v>
      </c>
      <c r="H6218" s="11">
        <v>400</v>
      </c>
      <c r="I6218" s="12">
        <v>43198</v>
      </c>
      <c r="J6218" s="35">
        <f t="shared" si="1096"/>
        <v>0</v>
      </c>
      <c r="K6218" s="36"/>
      <c r="L6218" s="36"/>
      <c r="M6218" s="36"/>
      <c r="N6218" s="36"/>
      <c r="O6218" s="36"/>
      <c r="P6218" s="36"/>
      <c r="Q6218" s="36"/>
      <c r="R6218" s="36"/>
      <c r="S6218" s="36"/>
      <c r="T6218" s="36"/>
      <c r="U6218" s="36"/>
      <c r="V6218" s="36"/>
      <c r="W6218" s="15">
        <f t="shared" si="1097"/>
        <v>0</v>
      </c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15">
        <f t="shared" si="1098"/>
        <v>0</v>
      </c>
      <c r="AK6218" s="14"/>
      <c r="AL6218" s="14"/>
      <c r="AM6218" s="14"/>
      <c r="AN6218" s="14">
        <v>400</v>
      </c>
      <c r="AO6218" s="14"/>
      <c r="AP6218" s="14"/>
      <c r="AQ6218" s="14"/>
      <c r="AR6218" s="14"/>
      <c r="AS6218" s="14"/>
      <c r="AT6218" s="14"/>
      <c r="AU6218" s="14"/>
      <c r="AV6218" s="14"/>
      <c r="AW6218" s="15">
        <f t="shared" si="1099"/>
        <v>400</v>
      </c>
      <c r="AX6218" s="16"/>
    </row>
    <row r="6219" spans="2:50" x14ac:dyDescent="0.2">
      <c r="B6219" s="7"/>
      <c r="C6219" s="8">
        <v>16339</v>
      </c>
      <c r="D6219" s="9" t="s">
        <v>628</v>
      </c>
      <c r="E6219" s="10" t="str">
        <f t="shared" si="1094"/>
        <v>Rancho Landero No. 51</v>
      </c>
      <c r="F6219" s="10" t="str">
        <f t="shared" si="1095"/>
        <v>H. Robles Tamayo</v>
      </c>
      <c r="G6219" s="8">
        <v>1</v>
      </c>
      <c r="H6219" s="11">
        <v>400</v>
      </c>
      <c r="I6219" s="12">
        <v>43198</v>
      </c>
      <c r="J6219" s="35">
        <f t="shared" si="1096"/>
        <v>0</v>
      </c>
      <c r="K6219" s="36"/>
      <c r="L6219" s="36"/>
      <c r="M6219" s="36"/>
      <c r="N6219" s="36"/>
      <c r="O6219" s="36"/>
      <c r="P6219" s="36"/>
      <c r="Q6219" s="36"/>
      <c r="R6219" s="36"/>
      <c r="S6219" s="36"/>
      <c r="T6219" s="36"/>
      <c r="U6219" s="36"/>
      <c r="V6219" s="36"/>
      <c r="W6219" s="15">
        <f t="shared" si="1097"/>
        <v>0</v>
      </c>
      <c r="X6219" s="36"/>
      <c r="Y6219" s="36"/>
      <c r="Z6219" s="36"/>
      <c r="AA6219" s="36"/>
      <c r="AB6219" s="36"/>
      <c r="AC6219" s="36"/>
      <c r="AD6219" s="36"/>
      <c r="AE6219" s="36"/>
      <c r="AF6219" s="36"/>
      <c r="AG6219" s="36"/>
      <c r="AH6219" s="36"/>
      <c r="AI6219" s="36"/>
      <c r="AJ6219" s="15">
        <f t="shared" si="1098"/>
        <v>0</v>
      </c>
      <c r="AK6219" s="14"/>
      <c r="AL6219" s="14"/>
      <c r="AM6219" s="14"/>
      <c r="AN6219" s="14">
        <v>400</v>
      </c>
      <c r="AO6219" s="14"/>
      <c r="AP6219" s="14"/>
      <c r="AQ6219" s="14"/>
      <c r="AR6219" s="14"/>
      <c r="AS6219" s="14"/>
      <c r="AT6219" s="14"/>
      <c r="AU6219" s="14"/>
      <c r="AV6219" s="14"/>
      <c r="AW6219" s="15">
        <f t="shared" si="1099"/>
        <v>400</v>
      </c>
      <c r="AX6219" s="16"/>
    </row>
    <row r="6220" spans="2:50" x14ac:dyDescent="0.2">
      <c r="B6220" s="7"/>
      <c r="C6220" s="8">
        <v>16340</v>
      </c>
      <c r="D6220" s="9" t="s">
        <v>192</v>
      </c>
      <c r="E6220" s="10" t="str">
        <f t="shared" si="1094"/>
        <v>Rancho Landero No. 77</v>
      </c>
      <c r="F6220" s="10" t="str">
        <f t="shared" si="1095"/>
        <v>Muñoz</v>
      </c>
      <c r="G6220" s="8">
        <v>1</v>
      </c>
      <c r="H6220" s="11">
        <v>800</v>
      </c>
      <c r="I6220" s="12">
        <v>43198</v>
      </c>
      <c r="J6220" s="35">
        <f t="shared" si="1096"/>
        <v>0</v>
      </c>
      <c r="K6220" s="36"/>
      <c r="L6220" s="36"/>
      <c r="M6220" s="36"/>
      <c r="N6220" s="36"/>
      <c r="O6220" s="36"/>
      <c r="P6220" s="36"/>
      <c r="Q6220" s="36"/>
      <c r="R6220" s="36"/>
      <c r="S6220" s="36"/>
      <c r="T6220" s="36"/>
      <c r="U6220" s="36"/>
      <c r="V6220" s="36"/>
      <c r="W6220" s="15">
        <f t="shared" si="1097"/>
        <v>0</v>
      </c>
      <c r="X6220" s="36"/>
      <c r="Y6220" s="36"/>
      <c r="Z6220" s="36"/>
      <c r="AA6220" s="36"/>
      <c r="AB6220" s="36"/>
      <c r="AC6220" s="36"/>
      <c r="AD6220" s="36"/>
      <c r="AE6220" s="36"/>
      <c r="AF6220" s="36"/>
      <c r="AG6220" s="36"/>
      <c r="AH6220" s="36"/>
      <c r="AI6220" s="36"/>
      <c r="AJ6220" s="15">
        <f t="shared" si="1098"/>
        <v>0</v>
      </c>
      <c r="AK6220" s="14"/>
      <c r="AL6220" s="14"/>
      <c r="AM6220" s="14">
        <v>400</v>
      </c>
      <c r="AN6220" s="14">
        <v>400</v>
      </c>
      <c r="AO6220" s="14"/>
      <c r="AP6220" s="14"/>
      <c r="AQ6220" s="14"/>
      <c r="AR6220" s="14"/>
      <c r="AS6220" s="14"/>
      <c r="AT6220" s="14"/>
      <c r="AU6220" s="14"/>
      <c r="AV6220" s="14"/>
      <c r="AW6220" s="15">
        <f t="shared" si="1099"/>
        <v>800</v>
      </c>
      <c r="AX6220" s="16"/>
    </row>
    <row r="6221" spans="2:50" x14ac:dyDescent="0.2">
      <c r="B6221" s="7"/>
      <c r="C6221" s="8">
        <v>16341</v>
      </c>
      <c r="D6221" s="9" t="s">
        <v>1103</v>
      </c>
      <c r="E6221" s="10" t="str">
        <f t="shared" si="1094"/>
        <v>Rancho Landero No. 86</v>
      </c>
      <c r="F6221" s="10" t="str">
        <f t="shared" si="1095"/>
        <v>Cuervo</v>
      </c>
      <c r="G6221" s="8">
        <v>1</v>
      </c>
      <c r="H6221" s="11">
        <v>200</v>
      </c>
      <c r="I6221" s="12">
        <v>43198</v>
      </c>
      <c r="J6221" s="35">
        <f t="shared" si="1096"/>
        <v>0</v>
      </c>
      <c r="K6221" s="36"/>
      <c r="L6221" s="36"/>
      <c r="M6221" s="36"/>
      <c r="N6221" s="36"/>
      <c r="O6221" s="36"/>
      <c r="P6221" s="36"/>
      <c r="Q6221" s="36"/>
      <c r="R6221" s="36"/>
      <c r="S6221" s="36"/>
      <c r="T6221" s="36"/>
      <c r="U6221" s="36"/>
      <c r="V6221" s="36"/>
      <c r="W6221" s="15">
        <f t="shared" si="1097"/>
        <v>0</v>
      </c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15">
        <f t="shared" si="1098"/>
        <v>0</v>
      </c>
      <c r="AK6221" s="14">
        <v>200</v>
      </c>
      <c r="AL6221" s="14"/>
      <c r="AM6221" s="14"/>
      <c r="AN6221" s="14"/>
      <c r="AO6221" s="14"/>
      <c r="AP6221" s="14"/>
      <c r="AQ6221" s="14"/>
      <c r="AR6221" s="14"/>
      <c r="AS6221" s="14"/>
      <c r="AT6221" s="14"/>
      <c r="AU6221" s="14"/>
      <c r="AV6221" s="14"/>
      <c r="AW6221" s="15">
        <f t="shared" si="1099"/>
        <v>200</v>
      </c>
      <c r="AX6221" s="16"/>
    </row>
    <row r="6222" spans="2:50" x14ac:dyDescent="0.2">
      <c r="B6222" s="7"/>
      <c r="C6222" s="8">
        <v>16342</v>
      </c>
      <c r="D6222" s="9" t="s">
        <v>911</v>
      </c>
      <c r="E6222" s="10" t="str">
        <f t="shared" si="1094"/>
        <v>Rancho Estanzuela No. 19</v>
      </c>
      <c r="F6222" s="10" t="str">
        <f t="shared" si="1095"/>
        <v>Robles</v>
      </c>
      <c r="G6222" s="8">
        <v>5</v>
      </c>
      <c r="H6222" s="11">
        <v>50</v>
      </c>
      <c r="I6222" s="12">
        <v>43198</v>
      </c>
      <c r="J6222" s="35">
        <f t="shared" si="1096"/>
        <v>0</v>
      </c>
      <c r="K6222" s="36"/>
      <c r="L6222" s="36"/>
      <c r="M6222" s="36"/>
      <c r="N6222" s="36"/>
      <c r="O6222" s="36"/>
      <c r="P6222" s="36"/>
      <c r="Q6222" s="36"/>
      <c r="R6222" s="36"/>
      <c r="S6222" s="36"/>
      <c r="T6222" s="36"/>
      <c r="U6222" s="36"/>
      <c r="V6222" s="36"/>
      <c r="W6222" s="15">
        <f t="shared" si="1097"/>
        <v>0</v>
      </c>
      <c r="X6222" s="36"/>
      <c r="Y6222" s="36"/>
      <c r="Z6222" s="36"/>
      <c r="AA6222" s="36"/>
      <c r="AB6222" s="36"/>
      <c r="AC6222" s="36"/>
      <c r="AD6222" s="36"/>
      <c r="AE6222" s="36"/>
      <c r="AF6222" s="36"/>
      <c r="AG6222" s="36"/>
      <c r="AH6222" s="36"/>
      <c r="AI6222" s="36"/>
      <c r="AJ6222" s="15">
        <f t="shared" si="1098"/>
        <v>0</v>
      </c>
      <c r="AK6222" s="14"/>
      <c r="AL6222" s="14"/>
      <c r="AM6222" s="14"/>
      <c r="AN6222" s="14"/>
      <c r="AO6222" s="14"/>
      <c r="AP6222" s="14"/>
      <c r="AQ6222" s="14"/>
      <c r="AR6222" s="14"/>
      <c r="AS6222" s="14"/>
      <c r="AT6222" s="14"/>
      <c r="AU6222" s="14"/>
      <c r="AV6222" s="14"/>
      <c r="AW6222" s="15">
        <f t="shared" si="1099"/>
        <v>0</v>
      </c>
      <c r="AX6222" s="16"/>
    </row>
    <row r="6223" spans="2:50" x14ac:dyDescent="0.2">
      <c r="B6223" s="7"/>
      <c r="C6223" s="8">
        <v>16343</v>
      </c>
      <c r="D6223" s="9" t="s">
        <v>298</v>
      </c>
      <c r="E6223" s="10" t="str">
        <f t="shared" si="1094"/>
        <v>Rancho Landero No. 94</v>
      </c>
      <c r="F6223" s="10" t="str">
        <f t="shared" si="1095"/>
        <v>Medina</v>
      </c>
      <c r="G6223" s="8">
        <v>1</v>
      </c>
      <c r="H6223" s="11">
        <v>600</v>
      </c>
      <c r="I6223" s="12">
        <v>43198</v>
      </c>
      <c r="J6223" s="35">
        <f t="shared" si="1096"/>
        <v>0</v>
      </c>
      <c r="K6223" s="36"/>
      <c r="L6223" s="36"/>
      <c r="M6223" s="36"/>
      <c r="N6223" s="36"/>
      <c r="O6223" s="36"/>
      <c r="P6223" s="36"/>
      <c r="Q6223" s="36"/>
      <c r="R6223" s="36"/>
      <c r="S6223" s="36"/>
      <c r="T6223" s="36"/>
      <c r="U6223" s="36"/>
      <c r="V6223" s="36"/>
      <c r="W6223" s="15">
        <f t="shared" si="1097"/>
        <v>0</v>
      </c>
      <c r="X6223" s="36"/>
      <c r="Y6223" s="36"/>
      <c r="Z6223" s="36"/>
      <c r="AA6223" s="36"/>
      <c r="AB6223" s="36"/>
      <c r="AC6223" s="36"/>
      <c r="AD6223" s="36"/>
      <c r="AE6223" s="36"/>
      <c r="AF6223" s="36"/>
      <c r="AG6223" s="36"/>
      <c r="AH6223" s="36"/>
      <c r="AI6223" s="36"/>
      <c r="AJ6223" s="15">
        <f t="shared" si="1098"/>
        <v>0</v>
      </c>
      <c r="AK6223" s="14">
        <v>200</v>
      </c>
      <c r="AL6223" s="14">
        <v>200</v>
      </c>
      <c r="AM6223" s="14">
        <v>200</v>
      </c>
      <c r="AN6223" s="14"/>
      <c r="AO6223" s="14"/>
      <c r="AP6223" s="14"/>
      <c r="AQ6223" s="14"/>
      <c r="AR6223" s="14"/>
      <c r="AS6223" s="14"/>
      <c r="AT6223" s="14"/>
      <c r="AU6223" s="14"/>
      <c r="AV6223" s="14"/>
      <c r="AW6223" s="15">
        <f t="shared" si="1099"/>
        <v>600</v>
      </c>
      <c r="AX6223" s="16"/>
    </row>
    <row r="6224" spans="2:50" x14ac:dyDescent="0.2">
      <c r="B6224" s="7"/>
      <c r="C6224" s="8">
        <v>16344</v>
      </c>
      <c r="D6224" s="9" t="s">
        <v>1195</v>
      </c>
      <c r="E6224" s="10" t="str">
        <f t="shared" si="1094"/>
        <v>Rancho Recoveco No. 189</v>
      </c>
      <c r="F6224" s="10" t="str">
        <f t="shared" si="1095"/>
        <v>Vidal García</v>
      </c>
      <c r="G6224" s="8">
        <v>1</v>
      </c>
      <c r="H6224" s="11">
        <v>400</v>
      </c>
      <c r="I6224" s="12">
        <v>43198</v>
      </c>
      <c r="J6224" s="35">
        <f t="shared" si="1096"/>
        <v>0</v>
      </c>
      <c r="K6224" s="36"/>
      <c r="L6224" s="36"/>
      <c r="M6224" s="36"/>
      <c r="N6224" s="36"/>
      <c r="O6224" s="36"/>
      <c r="P6224" s="36"/>
      <c r="Q6224" s="36"/>
      <c r="R6224" s="36"/>
      <c r="S6224" s="36"/>
      <c r="T6224" s="36"/>
      <c r="U6224" s="36"/>
      <c r="V6224" s="36"/>
      <c r="W6224" s="15">
        <f t="shared" si="1097"/>
        <v>0</v>
      </c>
      <c r="X6224" s="36"/>
      <c r="Y6224" s="36"/>
      <c r="Z6224" s="36"/>
      <c r="AA6224" s="36"/>
      <c r="AB6224" s="36"/>
      <c r="AC6224" s="36"/>
      <c r="AD6224" s="36"/>
      <c r="AE6224" s="36"/>
      <c r="AF6224" s="36"/>
      <c r="AG6224" s="36"/>
      <c r="AH6224" s="36"/>
      <c r="AI6224" s="36"/>
      <c r="AJ6224" s="15">
        <f t="shared" si="1098"/>
        <v>0</v>
      </c>
      <c r="AK6224" s="14"/>
      <c r="AL6224" s="14"/>
      <c r="AM6224" s="14"/>
      <c r="AN6224" s="14">
        <v>400</v>
      </c>
      <c r="AO6224" s="14"/>
      <c r="AP6224" s="14"/>
      <c r="AQ6224" s="14"/>
      <c r="AR6224" s="14"/>
      <c r="AS6224" s="14"/>
      <c r="AT6224" s="14"/>
      <c r="AU6224" s="14"/>
      <c r="AV6224" s="14"/>
      <c r="AW6224" s="15">
        <f t="shared" si="1099"/>
        <v>400</v>
      </c>
      <c r="AX6224" s="16"/>
    </row>
    <row r="6225" spans="2:50" x14ac:dyDescent="0.2">
      <c r="B6225" s="7"/>
      <c r="C6225" s="8">
        <v>16345</v>
      </c>
      <c r="D6225" s="9" t="s">
        <v>1195</v>
      </c>
      <c r="E6225" s="10" t="str">
        <f t="shared" si="1094"/>
        <v>Rancho Recoveco No. 189</v>
      </c>
      <c r="F6225" s="10" t="str">
        <f t="shared" si="1095"/>
        <v>Vidal García</v>
      </c>
      <c r="G6225" s="8">
        <v>5</v>
      </c>
      <c r="H6225" s="11">
        <v>100</v>
      </c>
      <c r="I6225" s="12">
        <v>43198</v>
      </c>
      <c r="J6225" s="35">
        <f t="shared" si="1096"/>
        <v>0</v>
      </c>
      <c r="K6225" s="36"/>
      <c r="L6225" s="36"/>
      <c r="M6225" s="36"/>
      <c r="N6225" s="36"/>
      <c r="O6225" s="36"/>
      <c r="P6225" s="36"/>
      <c r="Q6225" s="36"/>
      <c r="R6225" s="36"/>
      <c r="S6225" s="36"/>
      <c r="T6225" s="36"/>
      <c r="U6225" s="36"/>
      <c r="V6225" s="36"/>
      <c r="W6225" s="15">
        <f t="shared" si="1097"/>
        <v>0</v>
      </c>
      <c r="X6225" s="36"/>
      <c r="Y6225" s="36"/>
      <c r="Z6225" s="36"/>
      <c r="AA6225" s="36"/>
      <c r="AB6225" s="36"/>
      <c r="AC6225" s="36"/>
      <c r="AD6225" s="36"/>
      <c r="AE6225" s="36"/>
      <c r="AF6225" s="36"/>
      <c r="AG6225" s="36"/>
      <c r="AH6225" s="36"/>
      <c r="AI6225" s="36"/>
      <c r="AJ6225" s="15">
        <f t="shared" si="1098"/>
        <v>0</v>
      </c>
      <c r="AK6225" s="14"/>
      <c r="AL6225" s="14"/>
      <c r="AM6225" s="14"/>
      <c r="AN6225" s="14"/>
      <c r="AO6225" s="14"/>
      <c r="AP6225" s="14"/>
      <c r="AQ6225" s="14"/>
      <c r="AR6225" s="14"/>
      <c r="AS6225" s="14"/>
      <c r="AT6225" s="14"/>
      <c r="AU6225" s="14"/>
      <c r="AV6225" s="14"/>
      <c r="AW6225" s="15">
        <f t="shared" si="1099"/>
        <v>0</v>
      </c>
      <c r="AX6225" s="16"/>
    </row>
    <row r="6226" spans="2:50" x14ac:dyDescent="0.2">
      <c r="B6226" s="7"/>
      <c r="C6226" s="8">
        <v>16346</v>
      </c>
      <c r="D6226" s="9" t="s">
        <v>425</v>
      </c>
      <c r="E6226" s="10" t="str">
        <f t="shared" si="1094"/>
        <v>Rancho La Cuchilla No. 120</v>
      </c>
      <c r="F6226" s="10" t="str">
        <f t="shared" si="1095"/>
        <v>Pozos Vilchis</v>
      </c>
      <c r="G6226" s="8">
        <v>1</v>
      </c>
      <c r="H6226" s="11">
        <v>400</v>
      </c>
      <c r="I6226" s="12">
        <v>43198</v>
      </c>
      <c r="J6226" s="35">
        <f t="shared" si="1096"/>
        <v>0</v>
      </c>
      <c r="K6226" s="36"/>
      <c r="L6226" s="36"/>
      <c r="M6226" s="36"/>
      <c r="N6226" s="36"/>
      <c r="O6226" s="36"/>
      <c r="P6226" s="36"/>
      <c r="Q6226" s="36"/>
      <c r="R6226" s="36"/>
      <c r="S6226" s="36"/>
      <c r="T6226" s="36"/>
      <c r="U6226" s="36"/>
      <c r="V6226" s="36"/>
      <c r="W6226" s="15">
        <f t="shared" si="1097"/>
        <v>0</v>
      </c>
      <c r="X6226" s="36"/>
      <c r="Y6226" s="36"/>
      <c r="Z6226" s="36"/>
      <c r="AA6226" s="36"/>
      <c r="AB6226" s="36"/>
      <c r="AC6226" s="36"/>
      <c r="AD6226" s="36"/>
      <c r="AE6226" s="36"/>
      <c r="AF6226" s="36"/>
      <c r="AG6226" s="36"/>
      <c r="AH6226" s="36"/>
      <c r="AI6226" s="36"/>
      <c r="AJ6226" s="15">
        <f t="shared" si="1098"/>
        <v>0</v>
      </c>
      <c r="AK6226" s="14"/>
      <c r="AL6226" s="14"/>
      <c r="AM6226" s="14"/>
      <c r="AN6226" s="14">
        <v>400</v>
      </c>
      <c r="AO6226" s="14"/>
      <c r="AP6226" s="14"/>
      <c r="AQ6226" s="14"/>
      <c r="AR6226" s="14"/>
      <c r="AS6226" s="14"/>
      <c r="AT6226" s="14"/>
      <c r="AU6226" s="14"/>
      <c r="AV6226" s="14"/>
      <c r="AW6226" s="15">
        <f t="shared" si="1099"/>
        <v>400</v>
      </c>
      <c r="AX6226" s="16"/>
    </row>
    <row r="6227" spans="2:50" x14ac:dyDescent="0.2">
      <c r="B6227" s="7"/>
      <c r="C6227" s="8">
        <v>16347</v>
      </c>
      <c r="D6227" s="9" t="s">
        <v>743</v>
      </c>
      <c r="E6227" s="10" t="str">
        <f t="shared" si="1094"/>
        <v>Rancho Upácuaro No. 106</v>
      </c>
      <c r="F6227" s="10" t="str">
        <f t="shared" si="1095"/>
        <v>Hernández Sánchez</v>
      </c>
      <c r="G6227" s="8">
        <v>1</v>
      </c>
      <c r="H6227" s="11">
        <v>800</v>
      </c>
      <c r="I6227" s="12">
        <v>43198</v>
      </c>
      <c r="J6227" s="35">
        <f t="shared" si="1096"/>
        <v>0</v>
      </c>
      <c r="K6227" s="36"/>
      <c r="L6227" s="36"/>
      <c r="M6227" s="36"/>
      <c r="N6227" s="36"/>
      <c r="O6227" s="36"/>
      <c r="P6227" s="36"/>
      <c r="Q6227" s="36"/>
      <c r="R6227" s="36"/>
      <c r="S6227" s="36"/>
      <c r="T6227" s="36"/>
      <c r="U6227" s="36"/>
      <c r="V6227" s="36"/>
      <c r="W6227" s="15">
        <f t="shared" si="1097"/>
        <v>0</v>
      </c>
      <c r="X6227" s="36"/>
      <c r="Y6227" s="36"/>
      <c r="Z6227" s="36"/>
      <c r="AA6227" s="36"/>
      <c r="AB6227" s="36"/>
      <c r="AC6227" s="36"/>
      <c r="AD6227" s="36"/>
      <c r="AE6227" s="36"/>
      <c r="AF6227" s="36"/>
      <c r="AG6227" s="36"/>
      <c r="AH6227" s="36"/>
      <c r="AI6227" s="36">
        <v>400</v>
      </c>
      <c r="AJ6227" s="15">
        <f t="shared" si="1098"/>
        <v>400</v>
      </c>
      <c r="AK6227" s="14">
        <v>400</v>
      </c>
      <c r="AL6227" s="14"/>
      <c r="AM6227" s="14"/>
      <c r="AN6227" s="14"/>
      <c r="AO6227" s="14"/>
      <c r="AP6227" s="14"/>
      <c r="AQ6227" s="14"/>
      <c r="AR6227" s="14"/>
      <c r="AS6227" s="14"/>
      <c r="AT6227" s="14"/>
      <c r="AU6227" s="14"/>
      <c r="AV6227" s="14"/>
      <c r="AW6227" s="15">
        <f t="shared" si="1099"/>
        <v>400</v>
      </c>
      <c r="AX6227" s="16"/>
    </row>
    <row r="6228" spans="2:50" x14ac:dyDescent="0.2">
      <c r="B6228" s="7"/>
      <c r="C6228" s="8">
        <v>16348</v>
      </c>
      <c r="D6228" s="9" t="s">
        <v>491</v>
      </c>
      <c r="E6228" s="10" t="str">
        <f t="shared" si="1094"/>
        <v>Rancho Landero No. 70</v>
      </c>
      <c r="F6228" s="10" t="str">
        <f t="shared" si="1095"/>
        <v>Olguín</v>
      </c>
      <c r="G6228" s="8">
        <v>5</v>
      </c>
      <c r="H6228" s="11">
        <v>50</v>
      </c>
      <c r="I6228" s="12">
        <v>43198</v>
      </c>
      <c r="J6228" s="35">
        <f t="shared" si="1096"/>
        <v>0</v>
      </c>
      <c r="K6228" s="36"/>
      <c r="L6228" s="36"/>
      <c r="M6228" s="36"/>
      <c r="N6228" s="36"/>
      <c r="O6228" s="36"/>
      <c r="P6228" s="36"/>
      <c r="Q6228" s="36"/>
      <c r="R6228" s="36"/>
      <c r="S6228" s="36"/>
      <c r="T6228" s="36"/>
      <c r="U6228" s="36"/>
      <c r="V6228" s="36"/>
      <c r="W6228" s="15">
        <f t="shared" si="1097"/>
        <v>0</v>
      </c>
      <c r="X6228" s="36"/>
      <c r="Y6228" s="36"/>
      <c r="Z6228" s="36"/>
      <c r="AA6228" s="36"/>
      <c r="AB6228" s="36"/>
      <c r="AC6228" s="36"/>
      <c r="AD6228" s="36"/>
      <c r="AE6228" s="36"/>
      <c r="AF6228" s="36"/>
      <c r="AG6228" s="36"/>
      <c r="AH6228" s="36"/>
      <c r="AI6228" s="36"/>
      <c r="AJ6228" s="15">
        <f t="shared" si="1098"/>
        <v>0</v>
      </c>
      <c r="AK6228" s="14"/>
      <c r="AL6228" s="14"/>
      <c r="AM6228" s="14"/>
      <c r="AN6228" s="14"/>
      <c r="AO6228" s="14"/>
      <c r="AP6228" s="14"/>
      <c r="AQ6228" s="14"/>
      <c r="AR6228" s="14"/>
      <c r="AS6228" s="14"/>
      <c r="AT6228" s="14"/>
      <c r="AU6228" s="14"/>
      <c r="AV6228" s="14"/>
      <c r="AW6228" s="15">
        <f t="shared" si="1099"/>
        <v>0</v>
      </c>
      <c r="AX6228" s="16"/>
    </row>
    <row r="6229" spans="2:50" x14ac:dyDescent="0.2">
      <c r="B6229" s="7"/>
      <c r="C6229" s="8">
        <v>16349</v>
      </c>
      <c r="D6229" s="9" t="s">
        <v>954</v>
      </c>
      <c r="E6229" s="10" t="str">
        <f t="shared" si="1094"/>
        <v>Rancho Landero No. 36</v>
      </c>
      <c r="F6229" s="10" t="str">
        <f t="shared" si="1095"/>
        <v>Jaime</v>
      </c>
      <c r="G6229" s="8">
        <v>1</v>
      </c>
      <c r="H6229" s="11">
        <v>2000</v>
      </c>
      <c r="I6229" s="12">
        <v>43198</v>
      </c>
      <c r="J6229" s="35">
        <f t="shared" si="1096"/>
        <v>0</v>
      </c>
      <c r="K6229" s="36"/>
      <c r="L6229" s="36"/>
      <c r="M6229" s="36"/>
      <c r="N6229" s="36"/>
      <c r="O6229" s="36"/>
      <c r="P6229" s="36"/>
      <c r="Q6229" s="36"/>
      <c r="R6229" s="36"/>
      <c r="S6229" s="36"/>
      <c r="T6229" s="36"/>
      <c r="U6229" s="36"/>
      <c r="V6229" s="36"/>
      <c r="W6229" s="15">
        <f t="shared" si="1097"/>
        <v>0</v>
      </c>
      <c r="X6229" s="36"/>
      <c r="Y6229" s="36"/>
      <c r="Z6229" s="36"/>
      <c r="AA6229" s="36"/>
      <c r="AB6229" s="36"/>
      <c r="AC6229" s="36"/>
      <c r="AD6229" s="36"/>
      <c r="AE6229" s="36"/>
      <c r="AF6229" s="36"/>
      <c r="AG6229" s="36"/>
      <c r="AH6229" s="36"/>
      <c r="AI6229" s="36">
        <v>400</v>
      </c>
      <c r="AJ6229" s="15">
        <f t="shared" si="1098"/>
        <v>400</v>
      </c>
      <c r="AK6229" s="14">
        <v>400</v>
      </c>
      <c r="AL6229" s="14">
        <v>400</v>
      </c>
      <c r="AM6229" s="14">
        <v>400</v>
      </c>
      <c r="AN6229" s="14">
        <v>400</v>
      </c>
      <c r="AO6229" s="14"/>
      <c r="AP6229" s="14"/>
      <c r="AQ6229" s="14"/>
      <c r="AR6229" s="14"/>
      <c r="AS6229" s="14"/>
      <c r="AT6229" s="14"/>
      <c r="AU6229" s="14"/>
      <c r="AV6229" s="14"/>
      <c r="AW6229" s="15">
        <f t="shared" si="1099"/>
        <v>1600</v>
      </c>
      <c r="AX6229" s="16"/>
    </row>
    <row r="6230" spans="2:50" x14ac:dyDescent="0.2">
      <c r="B6230" s="7"/>
      <c r="C6230" s="8">
        <v>16350</v>
      </c>
      <c r="D6230" s="9" t="s">
        <v>165</v>
      </c>
      <c r="E6230" s="10" t="str">
        <f t="shared" si="1094"/>
        <v>Rancho Upácuaro No. 23</v>
      </c>
      <c r="F6230" s="10" t="str">
        <f t="shared" si="1095"/>
        <v>Gutièrrez Muñòz</v>
      </c>
      <c r="G6230" s="8">
        <v>1</v>
      </c>
      <c r="H6230" s="11">
        <v>1050</v>
      </c>
      <c r="I6230" s="12">
        <v>43198</v>
      </c>
      <c r="J6230" s="35">
        <f t="shared" si="1096"/>
        <v>0</v>
      </c>
      <c r="K6230" s="36"/>
      <c r="L6230" s="36"/>
      <c r="M6230" s="36"/>
      <c r="N6230" s="36"/>
      <c r="O6230" s="36"/>
      <c r="P6230" s="36"/>
      <c r="Q6230" s="36"/>
      <c r="R6230" s="36"/>
      <c r="S6230" s="36"/>
      <c r="T6230" s="36"/>
      <c r="U6230" s="36"/>
      <c r="V6230" s="36"/>
      <c r="W6230" s="15">
        <f t="shared" si="1097"/>
        <v>0</v>
      </c>
      <c r="X6230" s="36"/>
      <c r="Y6230" s="36"/>
      <c r="Z6230" s="36"/>
      <c r="AA6230" s="36"/>
      <c r="AB6230" s="36"/>
      <c r="AC6230" s="36"/>
      <c r="AD6230" s="36"/>
      <c r="AE6230" s="36"/>
      <c r="AF6230" s="36"/>
      <c r="AG6230" s="36"/>
      <c r="AH6230" s="36"/>
      <c r="AI6230" s="36"/>
      <c r="AJ6230" s="15">
        <f t="shared" si="1098"/>
        <v>0</v>
      </c>
      <c r="AK6230" s="14"/>
      <c r="AL6230" s="14"/>
      <c r="AM6230" s="14">
        <v>350</v>
      </c>
      <c r="AN6230" s="14">
        <v>350</v>
      </c>
      <c r="AO6230" s="14">
        <v>350</v>
      </c>
      <c r="AP6230" s="14"/>
      <c r="AQ6230" s="14"/>
      <c r="AR6230" s="14"/>
      <c r="AS6230" s="14"/>
      <c r="AT6230" s="14"/>
      <c r="AU6230" s="14"/>
      <c r="AV6230" s="14"/>
      <c r="AW6230" s="15">
        <f t="shared" si="1099"/>
        <v>1050</v>
      </c>
      <c r="AX6230" s="16"/>
    </row>
    <row r="6231" spans="2:50" x14ac:dyDescent="0.2">
      <c r="B6231" s="7"/>
      <c r="C6231" s="8">
        <v>16351</v>
      </c>
      <c r="D6231" s="9" t="s">
        <v>980</v>
      </c>
      <c r="E6231" s="10" t="str">
        <f t="shared" si="1094"/>
        <v>Rancho Estanzuela No. 141</v>
      </c>
      <c r="F6231" s="10" t="str">
        <f t="shared" si="1095"/>
        <v>Castillo Toledano</v>
      </c>
      <c r="G6231" s="8">
        <v>1</v>
      </c>
      <c r="H6231" s="11">
        <v>400</v>
      </c>
      <c r="I6231" s="12">
        <v>43198</v>
      </c>
      <c r="J6231" s="35">
        <f t="shared" si="1096"/>
        <v>0</v>
      </c>
      <c r="K6231" s="36"/>
      <c r="L6231" s="36"/>
      <c r="M6231" s="36"/>
      <c r="N6231" s="36"/>
      <c r="O6231" s="36"/>
      <c r="P6231" s="36"/>
      <c r="Q6231" s="36"/>
      <c r="R6231" s="36"/>
      <c r="S6231" s="36"/>
      <c r="T6231" s="36"/>
      <c r="U6231" s="36"/>
      <c r="V6231" s="36"/>
      <c r="W6231" s="15">
        <f t="shared" si="1097"/>
        <v>0</v>
      </c>
      <c r="X6231" s="36"/>
      <c r="Y6231" s="36"/>
      <c r="Z6231" s="36"/>
      <c r="AA6231" s="36"/>
      <c r="AB6231" s="36"/>
      <c r="AC6231" s="36"/>
      <c r="AD6231" s="36"/>
      <c r="AE6231" s="36"/>
      <c r="AF6231" s="36"/>
      <c r="AG6231" s="36"/>
      <c r="AH6231" s="36"/>
      <c r="AI6231" s="36"/>
      <c r="AJ6231" s="15">
        <f t="shared" si="1098"/>
        <v>0</v>
      </c>
      <c r="AK6231" s="14">
        <v>400</v>
      </c>
      <c r="AL6231" s="14"/>
      <c r="AM6231" s="14"/>
      <c r="AN6231" s="14"/>
      <c r="AO6231" s="14"/>
      <c r="AP6231" s="14"/>
      <c r="AQ6231" s="14"/>
      <c r="AR6231" s="14"/>
      <c r="AS6231" s="14"/>
      <c r="AT6231" s="14"/>
      <c r="AU6231" s="14"/>
      <c r="AV6231" s="14"/>
      <c r="AW6231" s="15">
        <f t="shared" si="1099"/>
        <v>400</v>
      </c>
      <c r="AX6231" s="16"/>
    </row>
    <row r="6232" spans="2:50" x14ac:dyDescent="0.2">
      <c r="B6232" s="7"/>
      <c r="C6232" s="8">
        <v>16352</v>
      </c>
      <c r="D6232" s="9" t="s">
        <v>716</v>
      </c>
      <c r="E6232" s="10" t="str">
        <f t="shared" si="1094"/>
        <v>Rancho Landero No. 20</v>
      </c>
      <c r="F6232" s="10" t="str">
        <f t="shared" si="1095"/>
        <v>Velasco</v>
      </c>
      <c r="G6232" s="8">
        <v>1</v>
      </c>
      <c r="H6232" s="11">
        <v>1200</v>
      </c>
      <c r="I6232" s="12">
        <v>43198</v>
      </c>
      <c r="J6232" s="35">
        <f t="shared" si="1096"/>
        <v>0</v>
      </c>
      <c r="K6232" s="36"/>
      <c r="L6232" s="36"/>
      <c r="M6232" s="36"/>
      <c r="N6232" s="36"/>
      <c r="O6232" s="36"/>
      <c r="P6232" s="36"/>
      <c r="Q6232" s="36"/>
      <c r="R6232" s="36"/>
      <c r="S6232" s="36"/>
      <c r="T6232" s="36"/>
      <c r="U6232" s="36"/>
      <c r="V6232" s="36"/>
      <c r="W6232" s="15">
        <f t="shared" si="1097"/>
        <v>0</v>
      </c>
      <c r="X6232" s="36"/>
      <c r="Y6232" s="36"/>
      <c r="Z6232" s="36"/>
      <c r="AA6232" s="36"/>
      <c r="AB6232" s="36"/>
      <c r="AC6232" s="36"/>
      <c r="AD6232" s="36"/>
      <c r="AE6232" s="36"/>
      <c r="AF6232" s="36"/>
      <c r="AG6232" s="36"/>
      <c r="AH6232" s="36"/>
      <c r="AI6232" s="36"/>
      <c r="AJ6232" s="15">
        <f t="shared" si="1098"/>
        <v>0</v>
      </c>
      <c r="AK6232" s="14">
        <v>300</v>
      </c>
      <c r="AL6232" s="14">
        <v>300</v>
      </c>
      <c r="AM6232" s="14">
        <v>300</v>
      </c>
      <c r="AN6232" s="14">
        <v>300</v>
      </c>
      <c r="AO6232" s="14"/>
      <c r="AP6232" s="14"/>
      <c r="AQ6232" s="14"/>
      <c r="AR6232" s="14"/>
      <c r="AS6232" s="14"/>
      <c r="AT6232" s="14"/>
      <c r="AU6232" s="14"/>
      <c r="AV6232" s="14"/>
      <c r="AW6232" s="15">
        <f t="shared" si="1099"/>
        <v>1200</v>
      </c>
      <c r="AX6232" s="16"/>
    </row>
    <row r="6233" spans="2:50" x14ac:dyDescent="0.2">
      <c r="B6233" s="7"/>
      <c r="C6233" s="8">
        <v>16353</v>
      </c>
      <c r="D6233" s="9" t="s">
        <v>714</v>
      </c>
      <c r="E6233" s="10" t="str">
        <f t="shared" si="1094"/>
        <v>Rancho Upácuaro No. 134</v>
      </c>
      <c r="F6233" s="10" t="str">
        <f t="shared" si="1095"/>
        <v>Flores Pérez</v>
      </c>
      <c r="G6233" s="8">
        <v>1</v>
      </c>
      <c r="H6233" s="11">
        <v>800</v>
      </c>
      <c r="I6233" s="12">
        <v>43198</v>
      </c>
      <c r="J6233" s="35">
        <f t="shared" si="1096"/>
        <v>0</v>
      </c>
      <c r="K6233" s="36"/>
      <c r="L6233" s="36"/>
      <c r="M6233" s="36"/>
      <c r="N6233" s="36"/>
      <c r="O6233" s="36"/>
      <c r="P6233" s="36"/>
      <c r="Q6233" s="36"/>
      <c r="R6233" s="36"/>
      <c r="S6233" s="36"/>
      <c r="T6233" s="36"/>
      <c r="U6233" s="36"/>
      <c r="V6233" s="36"/>
      <c r="W6233" s="15">
        <f t="shared" si="1097"/>
        <v>0</v>
      </c>
      <c r="X6233" s="36"/>
      <c r="Y6233" s="36"/>
      <c r="Z6233" s="36"/>
      <c r="AA6233" s="36"/>
      <c r="AB6233" s="36"/>
      <c r="AC6233" s="36"/>
      <c r="AD6233" s="36"/>
      <c r="AE6233" s="36"/>
      <c r="AF6233" s="36"/>
      <c r="AG6233" s="36"/>
      <c r="AH6233" s="36"/>
      <c r="AI6233" s="36"/>
      <c r="AJ6233" s="15">
        <f t="shared" si="1098"/>
        <v>0</v>
      </c>
      <c r="AK6233" s="14">
        <v>400</v>
      </c>
      <c r="AL6233" s="14">
        <v>400</v>
      </c>
      <c r="AM6233" s="14"/>
      <c r="AN6233" s="14"/>
      <c r="AO6233" s="14"/>
      <c r="AP6233" s="14"/>
      <c r="AQ6233" s="14"/>
      <c r="AR6233" s="14"/>
      <c r="AS6233" s="14"/>
      <c r="AT6233" s="14"/>
      <c r="AU6233" s="14"/>
      <c r="AV6233" s="14"/>
      <c r="AW6233" s="15">
        <f t="shared" si="1099"/>
        <v>800</v>
      </c>
      <c r="AX6233" s="16"/>
    </row>
    <row r="6234" spans="2:50" x14ac:dyDescent="0.2">
      <c r="B6234" s="7"/>
      <c r="C6234" s="8">
        <v>16354</v>
      </c>
      <c r="D6234" s="9" t="s">
        <v>174</v>
      </c>
      <c r="E6234" s="10" t="str">
        <f t="shared" si="1094"/>
        <v>Rancho Upácuaro No. 18</v>
      </c>
      <c r="F6234" s="10" t="str">
        <f t="shared" si="1095"/>
        <v>Guzmán</v>
      </c>
      <c r="G6234" s="8">
        <v>1</v>
      </c>
      <c r="H6234" s="11">
        <v>300</v>
      </c>
      <c r="I6234" s="12">
        <v>43198</v>
      </c>
      <c r="J6234" s="35">
        <f t="shared" si="1096"/>
        <v>0</v>
      </c>
      <c r="K6234" s="36"/>
      <c r="L6234" s="36"/>
      <c r="M6234" s="36"/>
      <c r="N6234" s="36"/>
      <c r="O6234" s="36"/>
      <c r="P6234" s="36"/>
      <c r="Q6234" s="36"/>
      <c r="R6234" s="36"/>
      <c r="S6234" s="36"/>
      <c r="T6234" s="36"/>
      <c r="U6234" s="36"/>
      <c r="V6234" s="36"/>
      <c r="W6234" s="15">
        <f t="shared" si="1097"/>
        <v>0</v>
      </c>
      <c r="X6234" s="36"/>
      <c r="Y6234" s="36"/>
      <c r="Z6234" s="36"/>
      <c r="AA6234" s="36"/>
      <c r="AB6234" s="36"/>
      <c r="AC6234" s="36"/>
      <c r="AD6234" s="36"/>
      <c r="AE6234" s="36"/>
      <c r="AF6234" s="36"/>
      <c r="AG6234" s="36"/>
      <c r="AH6234" s="36"/>
      <c r="AI6234" s="36"/>
      <c r="AJ6234" s="15">
        <f t="shared" si="1098"/>
        <v>0</v>
      </c>
      <c r="AK6234" s="14"/>
      <c r="AL6234" s="14"/>
      <c r="AM6234" s="14"/>
      <c r="AN6234" s="14">
        <v>300</v>
      </c>
      <c r="AO6234" s="14"/>
      <c r="AP6234" s="14"/>
      <c r="AQ6234" s="14"/>
      <c r="AR6234" s="14"/>
      <c r="AS6234" s="14"/>
      <c r="AT6234" s="14"/>
      <c r="AU6234" s="14"/>
      <c r="AV6234" s="14"/>
      <c r="AW6234" s="15">
        <f t="shared" si="1099"/>
        <v>300</v>
      </c>
      <c r="AX6234" s="16"/>
    </row>
    <row r="6235" spans="2:50" x14ac:dyDescent="0.2">
      <c r="B6235" s="7"/>
      <c r="C6235" s="8">
        <v>16355</v>
      </c>
      <c r="D6235" s="9" t="s">
        <v>1154</v>
      </c>
      <c r="E6235" s="10" t="str">
        <f t="shared" ref="E6235:E6286" si="1100">IF(D6235=0,"",VLOOKUP(D6235,BASE,2,FALSE))</f>
        <v>Rancho La Cuchilla No. 112, PA</v>
      </c>
      <c r="F6235" s="10" t="str">
        <f t="shared" ref="F6235:F6286" si="1101">IF(D6235=0,"",VLOOKUP(D6235,BASE,3,FALSE))</f>
        <v>Villalpando Pineda</v>
      </c>
      <c r="G6235" s="8">
        <v>1</v>
      </c>
      <c r="H6235" s="11">
        <v>400</v>
      </c>
      <c r="I6235" s="12">
        <v>43198</v>
      </c>
      <c r="J6235" s="35">
        <f t="shared" ref="J6235:J6286" si="1102">IF(G6235=1,SUM(W6235,AJ6235,AW6235,-H6235),0)</f>
        <v>0</v>
      </c>
      <c r="K6235" s="36"/>
      <c r="L6235" s="36"/>
      <c r="M6235" s="36"/>
      <c r="N6235" s="36"/>
      <c r="O6235" s="36"/>
      <c r="P6235" s="36"/>
      <c r="Q6235" s="36"/>
      <c r="R6235" s="36"/>
      <c r="S6235" s="36"/>
      <c r="T6235" s="36"/>
      <c r="U6235" s="36"/>
      <c r="V6235" s="36"/>
      <c r="W6235" s="15">
        <f t="shared" ref="W6235:W6286" si="1103">SUM(K6235:V6235)</f>
        <v>0</v>
      </c>
      <c r="X6235" s="36">
        <v>200</v>
      </c>
      <c r="Y6235" s="36">
        <v>200</v>
      </c>
      <c r="Z6235" s="36"/>
      <c r="AA6235" s="36"/>
      <c r="AB6235" s="36"/>
      <c r="AC6235" s="36"/>
      <c r="AD6235" s="36"/>
      <c r="AE6235" s="36"/>
      <c r="AF6235" s="36"/>
      <c r="AG6235" s="36"/>
      <c r="AH6235" s="36"/>
      <c r="AI6235" s="36"/>
      <c r="AJ6235" s="15">
        <f t="shared" ref="AJ6235:AJ6286" si="1104">SUM(X6235:AI6235)</f>
        <v>400</v>
      </c>
      <c r="AK6235" s="14"/>
      <c r="AL6235" s="14"/>
      <c r="AM6235" s="14"/>
      <c r="AN6235" s="14"/>
      <c r="AO6235" s="14"/>
      <c r="AP6235" s="14"/>
      <c r="AQ6235" s="14"/>
      <c r="AR6235" s="14"/>
      <c r="AS6235" s="14"/>
      <c r="AT6235" s="14"/>
      <c r="AU6235" s="14"/>
      <c r="AV6235" s="14"/>
      <c r="AW6235" s="15">
        <f t="shared" ref="AW6235:AW6286" si="1105">SUM(AK6235:AV6235)</f>
        <v>0</v>
      </c>
      <c r="AX6235" s="16"/>
    </row>
    <row r="6236" spans="2:50" x14ac:dyDescent="0.2">
      <c r="B6236" s="7"/>
      <c r="C6236" s="8">
        <v>16356</v>
      </c>
      <c r="D6236" s="9" t="s">
        <v>681</v>
      </c>
      <c r="E6236" s="10" t="str">
        <f t="shared" si="1100"/>
        <v>Rancho Landero No. 87</v>
      </c>
      <c r="F6236" s="10" t="str">
        <f t="shared" si="1101"/>
        <v>Fey Lafferla</v>
      </c>
      <c r="G6236" s="8">
        <v>1</v>
      </c>
      <c r="H6236" s="11">
        <v>300</v>
      </c>
      <c r="I6236" s="12">
        <v>43198</v>
      </c>
      <c r="J6236" s="35">
        <f t="shared" si="1102"/>
        <v>0</v>
      </c>
      <c r="K6236" s="36"/>
      <c r="L6236" s="36"/>
      <c r="M6236" s="36"/>
      <c r="N6236" s="36"/>
      <c r="O6236" s="36"/>
      <c r="P6236" s="36"/>
      <c r="Q6236" s="36"/>
      <c r="R6236" s="36"/>
      <c r="S6236" s="36"/>
      <c r="T6236" s="36"/>
      <c r="U6236" s="36"/>
      <c r="V6236" s="36"/>
      <c r="W6236" s="15">
        <f t="shared" si="1103"/>
        <v>0</v>
      </c>
      <c r="X6236" s="36"/>
      <c r="Y6236" s="36"/>
      <c r="Z6236" s="36"/>
      <c r="AA6236" s="36"/>
      <c r="AB6236" s="36"/>
      <c r="AC6236" s="36"/>
      <c r="AD6236" s="36"/>
      <c r="AE6236" s="36"/>
      <c r="AF6236" s="36"/>
      <c r="AG6236" s="36"/>
      <c r="AH6236" s="36"/>
      <c r="AI6236" s="36"/>
      <c r="AJ6236" s="15">
        <f t="shared" si="1104"/>
        <v>0</v>
      </c>
      <c r="AK6236" s="14"/>
      <c r="AL6236" s="14"/>
      <c r="AM6236" s="14"/>
      <c r="AN6236" s="14">
        <v>300</v>
      </c>
      <c r="AO6236" s="14"/>
      <c r="AP6236" s="14"/>
      <c r="AQ6236" s="14"/>
      <c r="AR6236" s="14"/>
      <c r="AS6236" s="14"/>
      <c r="AT6236" s="14"/>
      <c r="AU6236" s="14"/>
      <c r="AV6236" s="14"/>
      <c r="AW6236" s="15">
        <f t="shared" si="1105"/>
        <v>300</v>
      </c>
      <c r="AX6236" s="16"/>
    </row>
    <row r="6237" spans="2:50" x14ac:dyDescent="0.2">
      <c r="B6237" s="7"/>
      <c r="C6237" s="8">
        <v>16357</v>
      </c>
      <c r="D6237" s="9" t="s">
        <v>94</v>
      </c>
      <c r="E6237" s="10" t="str">
        <f t="shared" si="1100"/>
        <v>Rancho Landero No. 42</v>
      </c>
      <c r="F6237" s="10" t="str">
        <f t="shared" si="1101"/>
        <v>Ávila Fidel</v>
      </c>
      <c r="G6237" s="8">
        <v>1</v>
      </c>
      <c r="H6237" s="11">
        <v>400</v>
      </c>
      <c r="I6237" s="12">
        <v>43198</v>
      </c>
      <c r="J6237" s="35">
        <f t="shared" si="1102"/>
        <v>0</v>
      </c>
      <c r="K6237" s="36"/>
      <c r="L6237" s="36"/>
      <c r="M6237" s="36"/>
      <c r="N6237" s="36"/>
      <c r="O6237" s="36"/>
      <c r="P6237" s="36"/>
      <c r="Q6237" s="36"/>
      <c r="R6237" s="36"/>
      <c r="S6237" s="36"/>
      <c r="T6237" s="36"/>
      <c r="U6237" s="36"/>
      <c r="V6237" s="36"/>
      <c r="W6237" s="15">
        <f t="shared" si="1103"/>
        <v>0</v>
      </c>
      <c r="X6237" s="36"/>
      <c r="Y6237" s="36"/>
      <c r="Z6237" s="36"/>
      <c r="AA6237" s="36"/>
      <c r="AB6237" s="36"/>
      <c r="AC6237" s="36"/>
      <c r="AD6237" s="36"/>
      <c r="AE6237" s="36"/>
      <c r="AF6237" s="36"/>
      <c r="AG6237" s="36"/>
      <c r="AH6237" s="36"/>
      <c r="AI6237" s="36"/>
      <c r="AJ6237" s="15">
        <f t="shared" si="1104"/>
        <v>0</v>
      </c>
      <c r="AK6237" s="14"/>
      <c r="AL6237" s="14"/>
      <c r="AM6237" s="14"/>
      <c r="AN6237" s="14">
        <v>400</v>
      </c>
      <c r="AO6237" s="14"/>
      <c r="AP6237" s="14"/>
      <c r="AQ6237" s="14"/>
      <c r="AR6237" s="14"/>
      <c r="AS6237" s="14"/>
      <c r="AT6237" s="14"/>
      <c r="AU6237" s="14"/>
      <c r="AV6237" s="14"/>
      <c r="AW6237" s="15">
        <f t="shared" si="1105"/>
        <v>400</v>
      </c>
      <c r="AX6237" s="316">
        <f>SUM(H6169:H6237)</f>
        <v>40550</v>
      </c>
    </row>
    <row r="6238" spans="2:50" x14ac:dyDescent="0.2">
      <c r="B6238" s="7"/>
      <c r="C6238" s="8">
        <v>16358</v>
      </c>
      <c r="D6238" s="9" t="s">
        <v>1055</v>
      </c>
      <c r="E6238" s="10" t="str">
        <f t="shared" si="1100"/>
        <v>Rancho Estanzuela No. 119, 4</v>
      </c>
      <c r="F6238" s="10" t="str">
        <f t="shared" si="1101"/>
        <v>Pérez Martínez</v>
      </c>
      <c r="G6238" s="8">
        <v>1</v>
      </c>
      <c r="H6238" s="315">
        <v>400</v>
      </c>
      <c r="I6238" s="12">
        <v>43199</v>
      </c>
      <c r="J6238" s="35">
        <f t="shared" si="1102"/>
        <v>0</v>
      </c>
      <c r="K6238" s="36"/>
      <c r="L6238" s="36"/>
      <c r="M6238" s="36"/>
      <c r="N6238" s="36"/>
      <c r="O6238" s="36"/>
      <c r="P6238" s="36"/>
      <c r="Q6238" s="36"/>
      <c r="R6238" s="36"/>
      <c r="S6238" s="36"/>
      <c r="T6238" s="36"/>
      <c r="U6238" s="36"/>
      <c r="V6238" s="36"/>
      <c r="W6238" s="15">
        <f t="shared" si="1103"/>
        <v>0</v>
      </c>
      <c r="X6238" s="36"/>
      <c r="Y6238" s="36"/>
      <c r="Z6238" s="36"/>
      <c r="AA6238" s="36"/>
      <c r="AB6238" s="36"/>
      <c r="AC6238" s="36"/>
      <c r="AD6238" s="36"/>
      <c r="AE6238" s="36"/>
      <c r="AF6238" s="36"/>
      <c r="AG6238" s="36"/>
      <c r="AH6238" s="36"/>
      <c r="AI6238" s="36"/>
      <c r="AJ6238" s="15">
        <f t="shared" si="1104"/>
        <v>0</v>
      </c>
      <c r="AK6238" s="14"/>
      <c r="AL6238" s="14">
        <v>200</v>
      </c>
      <c r="AM6238" s="14">
        <v>200</v>
      </c>
      <c r="AN6238" s="14"/>
      <c r="AO6238" s="14"/>
      <c r="AP6238" s="14"/>
      <c r="AQ6238" s="14"/>
      <c r="AR6238" s="14"/>
      <c r="AS6238" s="14"/>
      <c r="AT6238" s="14"/>
      <c r="AU6238" s="14"/>
      <c r="AV6238" s="14"/>
      <c r="AW6238" s="15">
        <f t="shared" si="1105"/>
        <v>400</v>
      </c>
      <c r="AX6238" s="16"/>
    </row>
    <row r="6239" spans="2:50" x14ac:dyDescent="0.2">
      <c r="B6239" s="7"/>
      <c r="C6239" s="8">
        <v>16359</v>
      </c>
      <c r="D6239" s="9" t="s">
        <v>205</v>
      </c>
      <c r="E6239" s="10" t="str">
        <f t="shared" si="1100"/>
        <v>Rancho Landero No. 1, A</v>
      </c>
      <c r="F6239" s="10" t="str">
        <f t="shared" si="1101"/>
        <v>Ebysos</v>
      </c>
      <c r="G6239" s="8">
        <v>1</v>
      </c>
      <c r="H6239" s="11">
        <v>600</v>
      </c>
      <c r="I6239" s="12">
        <v>43199</v>
      </c>
      <c r="J6239" s="35">
        <f t="shared" si="1102"/>
        <v>0</v>
      </c>
      <c r="K6239" s="36"/>
      <c r="L6239" s="36"/>
      <c r="M6239" s="36"/>
      <c r="N6239" s="36"/>
      <c r="O6239" s="36"/>
      <c r="P6239" s="36"/>
      <c r="Q6239" s="36"/>
      <c r="R6239" s="36"/>
      <c r="S6239" s="36"/>
      <c r="T6239" s="36"/>
      <c r="U6239" s="36"/>
      <c r="V6239" s="36"/>
      <c r="W6239" s="15">
        <f t="shared" si="1103"/>
        <v>0</v>
      </c>
      <c r="X6239" s="36"/>
      <c r="Y6239" s="36"/>
      <c r="Z6239" s="36"/>
      <c r="AA6239" s="36"/>
      <c r="AB6239" s="36"/>
      <c r="AC6239" s="36"/>
      <c r="AD6239" s="36"/>
      <c r="AE6239" s="36"/>
      <c r="AF6239" s="36"/>
      <c r="AG6239" s="36"/>
      <c r="AH6239" s="36"/>
      <c r="AI6239" s="36"/>
      <c r="AJ6239" s="15">
        <f t="shared" si="1104"/>
        <v>0</v>
      </c>
      <c r="AK6239" s="14"/>
      <c r="AL6239" s="14"/>
      <c r="AM6239" s="14">
        <v>600</v>
      </c>
      <c r="AN6239" s="14"/>
      <c r="AO6239" s="14"/>
      <c r="AP6239" s="14"/>
      <c r="AQ6239" s="14"/>
      <c r="AR6239" s="14"/>
      <c r="AS6239" s="14"/>
      <c r="AT6239" s="14"/>
      <c r="AU6239" s="14"/>
      <c r="AV6239" s="14"/>
      <c r="AW6239" s="15">
        <f t="shared" si="1105"/>
        <v>600</v>
      </c>
      <c r="AX6239" s="16"/>
    </row>
    <row r="6240" spans="2:50" x14ac:dyDescent="0.2">
      <c r="B6240" s="7"/>
      <c r="C6240" s="8">
        <v>16360</v>
      </c>
      <c r="D6240" s="9" t="s">
        <v>1391</v>
      </c>
      <c r="E6240" s="10" t="str">
        <f t="shared" si="1100"/>
        <v>Rancho Landero No. 54, 1</v>
      </c>
      <c r="F6240" s="10" t="str">
        <f t="shared" si="1101"/>
        <v>Montes de Oca</v>
      </c>
      <c r="G6240" s="8">
        <v>1</v>
      </c>
      <c r="H6240" s="11">
        <v>200</v>
      </c>
      <c r="I6240" s="12">
        <v>43199</v>
      </c>
      <c r="J6240" s="35">
        <f t="shared" si="1102"/>
        <v>0</v>
      </c>
      <c r="K6240" s="36"/>
      <c r="L6240" s="36"/>
      <c r="M6240" s="36"/>
      <c r="N6240" s="36"/>
      <c r="O6240" s="36"/>
      <c r="P6240" s="36"/>
      <c r="Q6240" s="36"/>
      <c r="R6240" s="36"/>
      <c r="S6240" s="36"/>
      <c r="T6240" s="36"/>
      <c r="U6240" s="36"/>
      <c r="V6240" s="36"/>
      <c r="W6240" s="15">
        <f t="shared" si="1103"/>
        <v>0</v>
      </c>
      <c r="X6240" s="36"/>
      <c r="Y6240" s="36"/>
      <c r="Z6240" s="36"/>
      <c r="AA6240" s="36"/>
      <c r="AB6240" s="36"/>
      <c r="AC6240" s="36"/>
      <c r="AD6240" s="36"/>
      <c r="AE6240" s="36"/>
      <c r="AF6240" s="36"/>
      <c r="AG6240" s="36"/>
      <c r="AH6240" s="36"/>
      <c r="AI6240" s="36"/>
      <c r="AJ6240" s="15">
        <f t="shared" si="1104"/>
        <v>0</v>
      </c>
      <c r="AK6240" s="14"/>
      <c r="AL6240" s="14"/>
      <c r="AM6240" s="14">
        <v>200</v>
      </c>
      <c r="AN6240" s="14"/>
      <c r="AO6240" s="14"/>
      <c r="AP6240" s="14"/>
      <c r="AQ6240" s="14"/>
      <c r="AR6240" s="14"/>
      <c r="AS6240" s="14"/>
      <c r="AT6240" s="14"/>
      <c r="AU6240" s="14"/>
      <c r="AV6240" s="14"/>
      <c r="AW6240" s="15">
        <f t="shared" si="1105"/>
        <v>200</v>
      </c>
      <c r="AX6240" s="16"/>
    </row>
    <row r="6241" spans="2:50" x14ac:dyDescent="0.2">
      <c r="B6241" s="7"/>
      <c r="C6241" s="8">
        <v>16361</v>
      </c>
      <c r="D6241" s="9" t="s">
        <v>346</v>
      </c>
      <c r="E6241" s="10" t="str">
        <f t="shared" si="1100"/>
        <v>Rancho Upácuaro No. 108</v>
      </c>
      <c r="F6241" s="10" t="str">
        <f t="shared" si="1101"/>
        <v>Mejía</v>
      </c>
      <c r="G6241" s="8">
        <v>1</v>
      </c>
      <c r="H6241" s="11">
        <v>300</v>
      </c>
      <c r="I6241" s="12">
        <v>43199</v>
      </c>
      <c r="J6241" s="35">
        <f t="shared" si="1102"/>
        <v>0</v>
      </c>
      <c r="K6241" s="36"/>
      <c r="L6241" s="36"/>
      <c r="M6241" s="36"/>
      <c r="N6241" s="36"/>
      <c r="O6241" s="36"/>
      <c r="P6241" s="36"/>
      <c r="Q6241" s="36"/>
      <c r="R6241" s="36"/>
      <c r="S6241" s="36"/>
      <c r="T6241" s="36"/>
      <c r="U6241" s="36"/>
      <c r="V6241" s="36"/>
      <c r="W6241" s="15">
        <f t="shared" si="1103"/>
        <v>0</v>
      </c>
      <c r="X6241" s="36"/>
      <c r="Y6241" s="36"/>
      <c r="Z6241" s="36"/>
      <c r="AA6241" s="36"/>
      <c r="AB6241" s="36"/>
      <c r="AC6241" s="36"/>
      <c r="AD6241" s="36"/>
      <c r="AE6241" s="36"/>
      <c r="AF6241" s="36"/>
      <c r="AG6241" s="36"/>
      <c r="AH6241" s="36"/>
      <c r="AI6241" s="36"/>
      <c r="AJ6241" s="15">
        <f t="shared" si="1104"/>
        <v>0</v>
      </c>
      <c r="AK6241" s="14"/>
      <c r="AL6241" s="14"/>
      <c r="AM6241" s="14"/>
      <c r="AN6241" s="14">
        <v>300</v>
      </c>
      <c r="AO6241" s="14"/>
      <c r="AP6241" s="14"/>
      <c r="AQ6241" s="14"/>
      <c r="AR6241" s="14"/>
      <c r="AS6241" s="14"/>
      <c r="AT6241" s="14"/>
      <c r="AU6241" s="14"/>
      <c r="AV6241" s="14"/>
      <c r="AW6241" s="15">
        <f t="shared" si="1105"/>
        <v>300</v>
      </c>
      <c r="AX6241" s="16"/>
    </row>
    <row r="6242" spans="2:50" x14ac:dyDescent="0.2">
      <c r="B6242" s="7"/>
      <c r="C6242" s="8">
        <v>16362</v>
      </c>
      <c r="D6242" s="9" t="s">
        <v>772</v>
      </c>
      <c r="E6242" s="10" t="str">
        <f t="shared" si="1100"/>
        <v>Rancho La Cuchilla No. 79</v>
      </c>
      <c r="F6242" s="10" t="str">
        <f t="shared" si="1101"/>
        <v>De la Rosa</v>
      </c>
      <c r="G6242" s="8">
        <v>1</v>
      </c>
      <c r="H6242" s="11">
        <v>400</v>
      </c>
      <c r="I6242" s="12">
        <v>43199</v>
      </c>
      <c r="J6242" s="35">
        <f t="shared" si="1102"/>
        <v>0</v>
      </c>
      <c r="K6242" s="36"/>
      <c r="L6242" s="36"/>
      <c r="M6242" s="36"/>
      <c r="N6242" s="36"/>
      <c r="O6242" s="36"/>
      <c r="P6242" s="36"/>
      <c r="Q6242" s="36"/>
      <c r="R6242" s="36"/>
      <c r="S6242" s="36"/>
      <c r="T6242" s="36"/>
      <c r="U6242" s="36"/>
      <c r="V6242" s="36"/>
      <c r="W6242" s="15">
        <f t="shared" si="1103"/>
        <v>0</v>
      </c>
      <c r="X6242" s="36"/>
      <c r="Y6242" s="36"/>
      <c r="Z6242" s="36"/>
      <c r="AA6242" s="36"/>
      <c r="AB6242" s="36"/>
      <c r="AC6242" s="36"/>
      <c r="AD6242" s="36"/>
      <c r="AE6242" s="36"/>
      <c r="AF6242" s="36"/>
      <c r="AG6242" s="36"/>
      <c r="AH6242" s="36"/>
      <c r="AI6242" s="36"/>
      <c r="AJ6242" s="15">
        <f t="shared" si="1104"/>
        <v>0</v>
      </c>
      <c r="AK6242" s="14"/>
      <c r="AL6242" s="14"/>
      <c r="AM6242" s="14">
        <v>200</v>
      </c>
      <c r="AN6242" s="14">
        <v>200</v>
      </c>
      <c r="AO6242" s="14"/>
      <c r="AP6242" s="14"/>
      <c r="AQ6242" s="14"/>
      <c r="AR6242" s="14"/>
      <c r="AS6242" s="14"/>
      <c r="AT6242" s="14"/>
      <c r="AU6242" s="14"/>
      <c r="AV6242" s="14"/>
      <c r="AW6242" s="15">
        <f t="shared" si="1105"/>
        <v>400</v>
      </c>
      <c r="AX6242" s="16"/>
    </row>
    <row r="6243" spans="2:50" x14ac:dyDescent="0.2">
      <c r="B6243" s="7"/>
      <c r="C6243" s="8">
        <v>16363</v>
      </c>
      <c r="D6243" s="9" t="s">
        <v>1276</v>
      </c>
      <c r="E6243" s="10" t="str">
        <f t="shared" si="1100"/>
        <v>Rancho La Cuchilla No. 63</v>
      </c>
      <c r="F6243" s="10" t="str">
        <f t="shared" si="1101"/>
        <v>Díaz de la Rosa</v>
      </c>
      <c r="G6243" s="8">
        <v>1</v>
      </c>
      <c r="H6243" s="11">
        <v>400</v>
      </c>
      <c r="I6243" s="12">
        <v>43199</v>
      </c>
      <c r="J6243" s="35">
        <f t="shared" si="1102"/>
        <v>0</v>
      </c>
      <c r="K6243" s="36"/>
      <c r="L6243" s="36"/>
      <c r="M6243" s="36"/>
      <c r="N6243" s="36"/>
      <c r="O6243" s="36"/>
      <c r="P6243" s="36"/>
      <c r="Q6243" s="36"/>
      <c r="R6243" s="36"/>
      <c r="S6243" s="36"/>
      <c r="T6243" s="36"/>
      <c r="U6243" s="36"/>
      <c r="V6243" s="36"/>
      <c r="W6243" s="15">
        <f t="shared" si="1103"/>
        <v>0</v>
      </c>
      <c r="X6243" s="36"/>
      <c r="Y6243" s="36"/>
      <c r="Z6243" s="36"/>
      <c r="AA6243" s="36"/>
      <c r="AB6243" s="36"/>
      <c r="AC6243" s="36"/>
      <c r="AD6243" s="36"/>
      <c r="AE6243" s="36"/>
      <c r="AF6243" s="36"/>
      <c r="AG6243" s="36"/>
      <c r="AH6243" s="36"/>
      <c r="AI6243" s="36"/>
      <c r="AJ6243" s="15">
        <f t="shared" si="1104"/>
        <v>0</v>
      </c>
      <c r="AK6243" s="14"/>
      <c r="AL6243" s="14"/>
      <c r="AM6243" s="14">
        <v>200</v>
      </c>
      <c r="AN6243" s="14">
        <v>200</v>
      </c>
      <c r="AO6243" s="14"/>
      <c r="AP6243" s="14"/>
      <c r="AQ6243" s="14"/>
      <c r="AR6243" s="14"/>
      <c r="AS6243" s="14"/>
      <c r="AT6243" s="14"/>
      <c r="AU6243" s="14"/>
      <c r="AV6243" s="14"/>
      <c r="AW6243" s="15">
        <f t="shared" si="1105"/>
        <v>400</v>
      </c>
      <c r="AX6243" s="316"/>
    </row>
    <row r="6244" spans="2:50" x14ac:dyDescent="0.2">
      <c r="B6244" s="7"/>
      <c r="C6244" s="8">
        <v>16364</v>
      </c>
      <c r="D6244" s="9" t="s">
        <v>1128</v>
      </c>
      <c r="E6244" s="10" t="str">
        <f t="shared" ref="E6244:E6285" si="1106">IF(D6244=0,"",VLOOKUP(D6244,BASE,2,FALSE))</f>
        <v>Rancho Upácuaro No. 26</v>
      </c>
      <c r="F6244" s="10" t="str">
        <f t="shared" ref="F6244:F6285" si="1107">IF(D6244=0,"",VLOOKUP(D6244,BASE,3,FALSE))</f>
        <v>Salazar</v>
      </c>
      <c r="G6244" s="8">
        <v>5</v>
      </c>
      <c r="H6244" s="11">
        <v>200</v>
      </c>
      <c r="I6244" s="12">
        <v>43200</v>
      </c>
      <c r="J6244" s="35">
        <f t="shared" ref="J6244:J6285" si="1108">IF(G6244=1,SUM(W6244,AJ6244,AW6244,-H6244),0)</f>
        <v>0</v>
      </c>
      <c r="K6244" s="36"/>
      <c r="L6244" s="36"/>
      <c r="M6244" s="36"/>
      <c r="N6244" s="36"/>
      <c r="O6244" s="36"/>
      <c r="P6244" s="36"/>
      <c r="Q6244" s="36"/>
      <c r="R6244" s="36"/>
      <c r="S6244" s="36"/>
      <c r="T6244" s="36"/>
      <c r="U6244" s="36"/>
      <c r="V6244" s="36"/>
      <c r="W6244" s="15">
        <f t="shared" ref="W6244:W6285" si="1109">SUM(K6244:V6244)</f>
        <v>0</v>
      </c>
      <c r="X6244" s="36"/>
      <c r="Y6244" s="36"/>
      <c r="Z6244" s="36"/>
      <c r="AA6244" s="36"/>
      <c r="AB6244" s="36"/>
      <c r="AC6244" s="36"/>
      <c r="AD6244" s="36"/>
      <c r="AE6244" s="36"/>
      <c r="AF6244" s="36"/>
      <c r="AG6244" s="36"/>
      <c r="AH6244" s="36"/>
      <c r="AI6244" s="36"/>
      <c r="AJ6244" s="15">
        <f t="shared" ref="AJ6244:AJ6285" si="1110">SUM(X6244:AI6244)</f>
        <v>0</v>
      </c>
      <c r="AK6244" s="14"/>
      <c r="AL6244" s="14"/>
      <c r="AM6244" s="14"/>
      <c r="AN6244" s="14"/>
      <c r="AO6244" s="14"/>
      <c r="AP6244" s="14"/>
      <c r="AQ6244" s="14"/>
      <c r="AR6244" s="14"/>
      <c r="AS6244" s="14"/>
      <c r="AT6244" s="14"/>
      <c r="AU6244" s="14"/>
      <c r="AV6244" s="14"/>
      <c r="AW6244" s="15">
        <f t="shared" ref="AW6244:AW6285" si="1111">SUM(AK6244:AV6244)</f>
        <v>0</v>
      </c>
      <c r="AX6244" s="16"/>
    </row>
    <row r="6245" spans="2:50" x14ac:dyDescent="0.2">
      <c r="B6245" s="7"/>
      <c r="C6245" s="8">
        <v>16365</v>
      </c>
      <c r="D6245" s="9"/>
      <c r="E6245" s="10" t="str">
        <f t="shared" si="1106"/>
        <v/>
      </c>
      <c r="F6245" s="10" t="str">
        <f t="shared" si="1107"/>
        <v/>
      </c>
      <c r="G6245" s="8">
        <v>8</v>
      </c>
      <c r="H6245" s="11"/>
      <c r="I6245" s="12"/>
      <c r="J6245" s="35">
        <f t="shared" si="1108"/>
        <v>0</v>
      </c>
      <c r="K6245" s="36"/>
      <c r="L6245" s="36"/>
      <c r="M6245" s="36"/>
      <c r="N6245" s="36"/>
      <c r="O6245" s="36"/>
      <c r="P6245" s="36"/>
      <c r="Q6245" s="36"/>
      <c r="R6245" s="36"/>
      <c r="S6245" s="36"/>
      <c r="T6245" s="36"/>
      <c r="U6245" s="36"/>
      <c r="V6245" s="36"/>
      <c r="W6245" s="15">
        <f t="shared" si="1109"/>
        <v>0</v>
      </c>
      <c r="X6245" s="36"/>
      <c r="Y6245" s="36"/>
      <c r="Z6245" s="36"/>
      <c r="AA6245" s="36"/>
      <c r="AB6245" s="36"/>
      <c r="AC6245" s="36"/>
      <c r="AD6245" s="36"/>
      <c r="AE6245" s="36"/>
      <c r="AF6245" s="36"/>
      <c r="AG6245" s="36"/>
      <c r="AH6245" s="36"/>
      <c r="AI6245" s="36"/>
      <c r="AJ6245" s="15">
        <f t="shared" si="1110"/>
        <v>0</v>
      </c>
      <c r="AK6245" s="14"/>
      <c r="AL6245" s="14"/>
      <c r="AM6245" s="14"/>
      <c r="AN6245" s="14"/>
      <c r="AO6245" s="14"/>
      <c r="AP6245" s="14"/>
      <c r="AQ6245" s="14"/>
      <c r="AR6245" s="14"/>
      <c r="AS6245" s="14"/>
      <c r="AT6245" s="14"/>
      <c r="AU6245" s="14"/>
      <c r="AV6245" s="14"/>
      <c r="AW6245" s="15">
        <f t="shared" si="1111"/>
        <v>0</v>
      </c>
      <c r="AX6245" s="16"/>
    </row>
    <row r="6246" spans="2:50" x14ac:dyDescent="0.2">
      <c r="B6246" s="7"/>
      <c r="C6246" s="8">
        <v>16366</v>
      </c>
      <c r="D6246" s="9" t="s">
        <v>199</v>
      </c>
      <c r="E6246" s="10" t="str">
        <f t="shared" si="1106"/>
        <v>Rancho Estanzuela No. 135</v>
      </c>
      <c r="F6246" s="10" t="str">
        <f t="shared" si="1107"/>
        <v>Iglesias</v>
      </c>
      <c r="G6246" s="8">
        <v>1</v>
      </c>
      <c r="H6246" s="11">
        <v>1600</v>
      </c>
      <c r="I6246" s="12">
        <v>43201</v>
      </c>
      <c r="J6246" s="35">
        <f t="shared" si="1108"/>
        <v>0</v>
      </c>
      <c r="K6246" s="36"/>
      <c r="L6246" s="36"/>
      <c r="M6246" s="36"/>
      <c r="N6246" s="36"/>
      <c r="O6246" s="36"/>
      <c r="P6246" s="36"/>
      <c r="Q6246" s="36"/>
      <c r="R6246" s="36"/>
      <c r="S6246" s="36"/>
      <c r="T6246" s="36"/>
      <c r="U6246" s="36"/>
      <c r="V6246" s="36"/>
      <c r="W6246" s="15">
        <f t="shared" si="1109"/>
        <v>0</v>
      </c>
      <c r="X6246" s="36"/>
      <c r="Y6246" s="36"/>
      <c r="Z6246" s="36"/>
      <c r="AA6246" s="36"/>
      <c r="AB6246" s="36"/>
      <c r="AC6246" s="36"/>
      <c r="AD6246" s="36"/>
      <c r="AE6246" s="36"/>
      <c r="AF6246" s="36"/>
      <c r="AG6246" s="36"/>
      <c r="AH6246" s="36"/>
      <c r="AI6246" s="36"/>
      <c r="AJ6246" s="15">
        <f t="shared" si="1110"/>
        <v>0</v>
      </c>
      <c r="AK6246" s="14">
        <v>400</v>
      </c>
      <c r="AL6246" s="14">
        <v>400</v>
      </c>
      <c r="AM6246" s="14">
        <v>400</v>
      </c>
      <c r="AN6246" s="14">
        <v>400</v>
      </c>
      <c r="AO6246" s="14"/>
      <c r="AP6246" s="14"/>
      <c r="AQ6246" s="14"/>
      <c r="AR6246" s="14"/>
      <c r="AS6246" s="14"/>
      <c r="AT6246" s="14"/>
      <c r="AU6246" s="14"/>
      <c r="AV6246" s="14"/>
      <c r="AW6246" s="15">
        <f t="shared" si="1111"/>
        <v>1600</v>
      </c>
      <c r="AX6246" s="16"/>
    </row>
    <row r="6247" spans="2:50" x14ac:dyDescent="0.2">
      <c r="B6247" s="7"/>
      <c r="C6247" s="8">
        <v>16367</v>
      </c>
      <c r="D6247" s="9" t="s">
        <v>915</v>
      </c>
      <c r="E6247" s="10" t="str">
        <f t="shared" si="1106"/>
        <v>Rancho Upácuaro No. 73, B</v>
      </c>
      <c r="F6247" s="10" t="str">
        <f t="shared" si="1107"/>
        <v>Chávez</v>
      </c>
      <c r="G6247" s="8">
        <v>1</v>
      </c>
      <c r="H6247" s="11">
        <v>2200</v>
      </c>
      <c r="I6247" s="12">
        <v>43201</v>
      </c>
      <c r="J6247" s="35">
        <f t="shared" si="1108"/>
        <v>0</v>
      </c>
      <c r="K6247" s="36"/>
      <c r="L6247" s="36"/>
      <c r="M6247" s="36"/>
      <c r="N6247" s="36"/>
      <c r="O6247" s="36"/>
      <c r="P6247" s="36"/>
      <c r="Q6247" s="36"/>
      <c r="R6247" s="36"/>
      <c r="S6247" s="36"/>
      <c r="T6247" s="36"/>
      <c r="U6247" s="36"/>
      <c r="V6247" s="36"/>
      <c r="W6247" s="15">
        <f t="shared" si="1109"/>
        <v>0</v>
      </c>
      <c r="X6247" s="36"/>
      <c r="Y6247" s="36"/>
      <c r="Z6247" s="36"/>
      <c r="AA6247" s="36"/>
      <c r="AB6247" s="36"/>
      <c r="AC6247" s="36"/>
      <c r="AD6247" s="36"/>
      <c r="AE6247" s="36"/>
      <c r="AF6247" s="36"/>
      <c r="AG6247" s="36"/>
      <c r="AH6247" s="36"/>
      <c r="AI6247" s="36"/>
      <c r="AJ6247" s="15">
        <f t="shared" si="1110"/>
        <v>0</v>
      </c>
      <c r="AK6247" s="14">
        <v>200</v>
      </c>
      <c r="AL6247" s="14">
        <v>200</v>
      </c>
      <c r="AM6247" s="14">
        <v>200</v>
      </c>
      <c r="AN6247" s="14">
        <v>200</v>
      </c>
      <c r="AO6247" s="14">
        <v>200</v>
      </c>
      <c r="AP6247" s="14">
        <v>200</v>
      </c>
      <c r="AQ6247" s="14">
        <v>200</v>
      </c>
      <c r="AR6247" s="14">
        <v>200</v>
      </c>
      <c r="AS6247" s="14">
        <v>200</v>
      </c>
      <c r="AT6247" s="14">
        <v>200</v>
      </c>
      <c r="AU6247" s="14">
        <v>200</v>
      </c>
      <c r="AV6247" s="14"/>
      <c r="AW6247" s="15">
        <f t="shared" si="1111"/>
        <v>2200</v>
      </c>
      <c r="AX6247" s="16" t="s">
        <v>5167</v>
      </c>
    </row>
    <row r="6248" spans="2:50" x14ac:dyDescent="0.2">
      <c r="B6248" s="7"/>
      <c r="C6248" s="8">
        <v>16368</v>
      </c>
      <c r="D6248" s="9" t="s">
        <v>256</v>
      </c>
      <c r="E6248" s="10" t="str">
        <f t="shared" si="1106"/>
        <v>Rancho Recoveco No. 179</v>
      </c>
      <c r="F6248" s="10" t="str">
        <f t="shared" si="1107"/>
        <v>Flores Delgado</v>
      </c>
      <c r="G6248" s="8">
        <v>1</v>
      </c>
      <c r="H6248" s="11">
        <v>300</v>
      </c>
      <c r="I6248" s="12">
        <v>43202</v>
      </c>
      <c r="J6248" s="35">
        <f t="shared" si="1108"/>
        <v>0</v>
      </c>
      <c r="K6248" s="36"/>
      <c r="L6248" s="36"/>
      <c r="M6248" s="36"/>
      <c r="N6248" s="36"/>
      <c r="O6248" s="36"/>
      <c r="P6248" s="36"/>
      <c r="Q6248" s="36"/>
      <c r="R6248" s="36"/>
      <c r="S6248" s="36"/>
      <c r="T6248" s="36"/>
      <c r="U6248" s="36"/>
      <c r="V6248" s="36"/>
      <c r="W6248" s="15">
        <f t="shared" si="1109"/>
        <v>0</v>
      </c>
      <c r="X6248" s="36"/>
      <c r="Y6248" s="36"/>
      <c r="Z6248" s="36"/>
      <c r="AA6248" s="36"/>
      <c r="AB6248" s="36"/>
      <c r="AC6248" s="36"/>
      <c r="AD6248" s="36"/>
      <c r="AE6248" s="36"/>
      <c r="AF6248" s="36"/>
      <c r="AG6248" s="36"/>
      <c r="AH6248" s="36"/>
      <c r="AI6248" s="36"/>
      <c r="AJ6248" s="15">
        <f t="shared" si="1110"/>
        <v>0</v>
      </c>
      <c r="AK6248" s="14"/>
      <c r="AL6248" s="14"/>
      <c r="AM6248" s="14"/>
      <c r="AN6248" s="14">
        <v>300</v>
      </c>
      <c r="AO6248" s="14"/>
      <c r="AP6248" s="14"/>
      <c r="AQ6248" s="14"/>
      <c r="AR6248" s="14"/>
      <c r="AS6248" s="14"/>
      <c r="AT6248" s="14"/>
      <c r="AU6248" s="14"/>
      <c r="AV6248" s="14"/>
      <c r="AW6248" s="15">
        <f t="shared" si="1111"/>
        <v>300</v>
      </c>
      <c r="AX6248" s="16"/>
    </row>
    <row r="6249" spans="2:50" x14ac:dyDescent="0.2">
      <c r="B6249" s="7"/>
      <c r="C6249" s="8">
        <v>16369</v>
      </c>
      <c r="D6249" s="9" t="s">
        <v>1100</v>
      </c>
      <c r="E6249" s="10" t="str">
        <f t="shared" si="1106"/>
        <v>Rancho Upácuaro No. 45</v>
      </c>
      <c r="F6249" s="10" t="str">
        <f t="shared" si="1107"/>
        <v>Enrique Vázquez</v>
      </c>
      <c r="G6249" s="8">
        <v>1</v>
      </c>
      <c r="H6249" s="11">
        <v>600</v>
      </c>
      <c r="I6249" s="12">
        <v>43204</v>
      </c>
      <c r="J6249" s="35">
        <f t="shared" si="1108"/>
        <v>0</v>
      </c>
      <c r="K6249" s="36"/>
      <c r="L6249" s="36"/>
      <c r="M6249" s="36"/>
      <c r="N6249" s="36"/>
      <c r="O6249" s="36"/>
      <c r="P6249" s="36"/>
      <c r="Q6249" s="36"/>
      <c r="R6249" s="36"/>
      <c r="S6249" s="36"/>
      <c r="T6249" s="36"/>
      <c r="U6249" s="36"/>
      <c r="V6249" s="36"/>
      <c r="W6249" s="15">
        <f t="shared" si="1109"/>
        <v>0</v>
      </c>
      <c r="X6249" s="36"/>
      <c r="Y6249" s="36"/>
      <c r="Z6249" s="36"/>
      <c r="AA6249" s="36"/>
      <c r="AB6249" s="36"/>
      <c r="AC6249" s="36"/>
      <c r="AD6249" s="36"/>
      <c r="AE6249" s="36"/>
      <c r="AF6249" s="36"/>
      <c r="AG6249" s="36">
        <v>100</v>
      </c>
      <c r="AH6249" s="36">
        <v>100</v>
      </c>
      <c r="AI6249" s="36">
        <v>100</v>
      </c>
      <c r="AJ6249" s="15">
        <f t="shared" si="1110"/>
        <v>300</v>
      </c>
      <c r="AK6249" s="14">
        <v>100</v>
      </c>
      <c r="AL6249" s="14">
        <v>100</v>
      </c>
      <c r="AM6249" s="14">
        <v>100</v>
      </c>
      <c r="AN6249" s="14"/>
      <c r="AO6249" s="14"/>
      <c r="AP6249" s="14"/>
      <c r="AQ6249" s="14"/>
      <c r="AR6249" s="14"/>
      <c r="AS6249" s="14"/>
      <c r="AT6249" s="14"/>
      <c r="AU6249" s="14"/>
      <c r="AV6249" s="14"/>
      <c r="AW6249" s="15">
        <f t="shared" si="1111"/>
        <v>300</v>
      </c>
      <c r="AX6249" s="316">
        <f>SUM(H6238:H6249)</f>
        <v>7200</v>
      </c>
    </row>
    <row r="6250" spans="2:50" x14ac:dyDescent="0.2">
      <c r="B6250" s="7"/>
      <c r="C6250" s="8">
        <v>16370</v>
      </c>
      <c r="D6250" s="9" t="s">
        <v>586</v>
      </c>
      <c r="E6250" s="10" t="str">
        <f t="shared" si="1106"/>
        <v>Rancho Estanzuela No. 161, 1</v>
      </c>
      <c r="F6250" s="10" t="str">
        <f t="shared" si="1107"/>
        <v>Guevara</v>
      </c>
      <c r="G6250" s="8">
        <v>1</v>
      </c>
      <c r="H6250" s="11">
        <v>200</v>
      </c>
      <c r="I6250" s="12">
        <v>43205</v>
      </c>
      <c r="J6250" s="35">
        <f t="shared" si="1108"/>
        <v>0</v>
      </c>
      <c r="K6250" s="36"/>
      <c r="L6250" s="36"/>
      <c r="M6250" s="36"/>
      <c r="N6250" s="36"/>
      <c r="O6250" s="36"/>
      <c r="P6250" s="36"/>
      <c r="Q6250" s="36"/>
      <c r="R6250" s="36"/>
      <c r="S6250" s="36"/>
      <c r="T6250" s="36"/>
      <c r="U6250" s="36"/>
      <c r="V6250" s="36"/>
      <c r="W6250" s="15">
        <f t="shared" si="1109"/>
        <v>0</v>
      </c>
      <c r="X6250" s="36"/>
      <c r="Y6250" s="36"/>
      <c r="Z6250" s="36"/>
      <c r="AA6250" s="36"/>
      <c r="AB6250" s="36"/>
      <c r="AC6250" s="36"/>
      <c r="AD6250" s="36"/>
      <c r="AE6250" s="36"/>
      <c r="AF6250" s="36"/>
      <c r="AG6250" s="36"/>
      <c r="AH6250" s="36"/>
      <c r="AI6250" s="36"/>
      <c r="AJ6250" s="15">
        <f t="shared" si="1110"/>
        <v>0</v>
      </c>
      <c r="AK6250" s="14"/>
      <c r="AL6250" s="14"/>
      <c r="AM6250" s="14"/>
      <c r="AN6250" s="14">
        <v>200</v>
      </c>
      <c r="AO6250" s="14"/>
      <c r="AP6250" s="14"/>
      <c r="AQ6250" s="14"/>
      <c r="AR6250" s="14"/>
      <c r="AS6250" s="14"/>
      <c r="AT6250" s="14"/>
      <c r="AU6250" s="14"/>
      <c r="AV6250" s="14"/>
      <c r="AW6250" s="15">
        <f t="shared" si="1111"/>
        <v>200</v>
      </c>
      <c r="AX6250" s="16"/>
    </row>
    <row r="6251" spans="2:50" x14ac:dyDescent="0.2">
      <c r="B6251" s="7"/>
      <c r="C6251" s="8">
        <v>16371</v>
      </c>
      <c r="D6251" s="9" t="s">
        <v>855</v>
      </c>
      <c r="E6251" s="10" t="str">
        <f t="shared" si="1106"/>
        <v>Rancho Upácuaro No. 99</v>
      </c>
      <c r="F6251" s="10" t="str">
        <f t="shared" si="1107"/>
        <v>Frías</v>
      </c>
      <c r="G6251" s="8">
        <v>5</v>
      </c>
      <c r="H6251" s="11">
        <v>50</v>
      </c>
      <c r="I6251" s="12">
        <v>43205</v>
      </c>
      <c r="J6251" s="35">
        <f t="shared" si="1108"/>
        <v>0</v>
      </c>
      <c r="K6251" s="36"/>
      <c r="L6251" s="36"/>
      <c r="M6251" s="36"/>
      <c r="N6251" s="36"/>
      <c r="O6251" s="36"/>
      <c r="P6251" s="36"/>
      <c r="Q6251" s="36"/>
      <c r="R6251" s="36"/>
      <c r="S6251" s="36"/>
      <c r="T6251" s="36"/>
      <c r="U6251" s="36"/>
      <c r="V6251" s="36"/>
      <c r="W6251" s="15">
        <f t="shared" si="1109"/>
        <v>0</v>
      </c>
      <c r="X6251" s="36"/>
      <c r="Y6251" s="36"/>
      <c r="Z6251" s="36"/>
      <c r="AA6251" s="36"/>
      <c r="AB6251" s="36"/>
      <c r="AC6251" s="36"/>
      <c r="AD6251" s="36"/>
      <c r="AE6251" s="36"/>
      <c r="AF6251" s="36"/>
      <c r="AG6251" s="36"/>
      <c r="AH6251" s="36"/>
      <c r="AI6251" s="36"/>
      <c r="AJ6251" s="15">
        <f t="shared" si="1110"/>
        <v>0</v>
      </c>
      <c r="AK6251" s="14"/>
      <c r="AL6251" s="14"/>
      <c r="AM6251" s="14"/>
      <c r="AN6251" s="14"/>
      <c r="AO6251" s="14"/>
      <c r="AP6251" s="14"/>
      <c r="AQ6251" s="14"/>
      <c r="AR6251" s="14"/>
      <c r="AS6251" s="14"/>
      <c r="AT6251" s="14"/>
      <c r="AU6251" s="14"/>
      <c r="AV6251" s="14"/>
      <c r="AW6251" s="15">
        <f t="shared" si="1111"/>
        <v>0</v>
      </c>
      <c r="AX6251" s="16"/>
    </row>
    <row r="6252" spans="2:50" x14ac:dyDescent="0.2">
      <c r="B6252" s="7"/>
      <c r="C6252" s="8">
        <v>16372</v>
      </c>
      <c r="D6252" s="9" t="s">
        <v>640</v>
      </c>
      <c r="E6252" s="10" t="str">
        <f t="shared" si="1106"/>
        <v>Rancho Estopila No. 22, A</v>
      </c>
      <c r="F6252" s="10" t="str">
        <f t="shared" si="1107"/>
        <v>Ayala Carranza</v>
      </c>
      <c r="G6252" s="8">
        <v>1</v>
      </c>
      <c r="H6252" s="11">
        <v>200</v>
      </c>
      <c r="I6252" s="12">
        <v>43205</v>
      </c>
      <c r="J6252" s="35">
        <f t="shared" si="1108"/>
        <v>0</v>
      </c>
      <c r="K6252" s="36"/>
      <c r="L6252" s="36"/>
      <c r="M6252" s="36"/>
      <c r="N6252" s="36"/>
      <c r="O6252" s="36"/>
      <c r="P6252" s="36"/>
      <c r="Q6252" s="36"/>
      <c r="R6252" s="36"/>
      <c r="S6252" s="36"/>
      <c r="T6252" s="36"/>
      <c r="U6252" s="36"/>
      <c r="V6252" s="36"/>
      <c r="W6252" s="15">
        <f t="shared" si="1109"/>
        <v>0</v>
      </c>
      <c r="X6252" s="36"/>
      <c r="Y6252" s="36"/>
      <c r="Z6252" s="36"/>
      <c r="AA6252" s="36"/>
      <c r="AB6252" s="36"/>
      <c r="AC6252" s="36"/>
      <c r="AD6252" s="36"/>
      <c r="AE6252" s="36"/>
      <c r="AF6252" s="36"/>
      <c r="AG6252" s="36"/>
      <c r="AH6252" s="36"/>
      <c r="AI6252" s="36"/>
      <c r="AJ6252" s="15">
        <f t="shared" si="1110"/>
        <v>0</v>
      </c>
      <c r="AK6252" s="14"/>
      <c r="AL6252" s="14"/>
      <c r="AM6252" s="14">
        <v>200</v>
      </c>
      <c r="AN6252" s="14"/>
      <c r="AO6252" s="14"/>
      <c r="AP6252" s="14"/>
      <c r="AQ6252" s="14"/>
      <c r="AR6252" s="14"/>
      <c r="AS6252" s="14"/>
      <c r="AT6252" s="14"/>
      <c r="AU6252" s="14"/>
      <c r="AV6252" s="14"/>
      <c r="AW6252" s="15">
        <f t="shared" si="1111"/>
        <v>200</v>
      </c>
      <c r="AX6252" s="16"/>
    </row>
    <row r="6253" spans="2:50" x14ac:dyDescent="0.2">
      <c r="B6253" s="7"/>
      <c r="C6253" s="8">
        <v>16373</v>
      </c>
      <c r="D6253" s="9" t="s">
        <v>855</v>
      </c>
      <c r="E6253" s="10" t="str">
        <f t="shared" si="1106"/>
        <v>Rancho Upácuaro No. 99</v>
      </c>
      <c r="F6253" s="10" t="str">
        <f t="shared" si="1107"/>
        <v>Frías</v>
      </c>
      <c r="G6253" s="8">
        <v>1</v>
      </c>
      <c r="H6253" s="11">
        <v>400</v>
      </c>
      <c r="I6253" s="12">
        <v>43205</v>
      </c>
      <c r="J6253" s="35">
        <f t="shared" si="1108"/>
        <v>0</v>
      </c>
      <c r="K6253" s="36"/>
      <c r="L6253" s="36"/>
      <c r="M6253" s="36"/>
      <c r="N6253" s="36"/>
      <c r="O6253" s="36"/>
      <c r="P6253" s="36"/>
      <c r="Q6253" s="36"/>
      <c r="R6253" s="36"/>
      <c r="S6253" s="36"/>
      <c r="T6253" s="36"/>
      <c r="U6253" s="36"/>
      <c r="V6253" s="36"/>
      <c r="W6253" s="15">
        <f t="shared" si="1109"/>
        <v>0</v>
      </c>
      <c r="X6253" s="36"/>
      <c r="Y6253" s="36"/>
      <c r="Z6253" s="36"/>
      <c r="AA6253" s="36"/>
      <c r="AB6253" s="36"/>
      <c r="AC6253" s="36"/>
      <c r="AD6253" s="36"/>
      <c r="AE6253" s="36"/>
      <c r="AF6253" s="36"/>
      <c r="AG6253" s="36"/>
      <c r="AH6253" s="36"/>
      <c r="AI6253" s="36"/>
      <c r="AJ6253" s="15">
        <f t="shared" si="1110"/>
        <v>0</v>
      </c>
      <c r="AK6253" s="14"/>
      <c r="AL6253" s="14"/>
      <c r="AM6253" s="14"/>
      <c r="AN6253" s="14"/>
      <c r="AO6253" s="14"/>
      <c r="AP6253" s="14">
        <v>200</v>
      </c>
      <c r="AQ6253" s="14">
        <v>200</v>
      </c>
      <c r="AR6253" s="14"/>
      <c r="AS6253" s="14"/>
      <c r="AT6253" s="14"/>
      <c r="AU6253" s="14"/>
      <c r="AV6253" s="14"/>
      <c r="AW6253" s="15">
        <f t="shared" si="1111"/>
        <v>400</v>
      </c>
      <c r="AX6253" s="16"/>
    </row>
    <row r="6254" spans="2:50" x14ac:dyDescent="0.2">
      <c r="B6254" s="7"/>
      <c r="C6254" s="8">
        <v>16374</v>
      </c>
      <c r="D6254" s="9" t="s">
        <v>625</v>
      </c>
      <c r="E6254" s="10" t="str">
        <f t="shared" si="1106"/>
        <v>Rancho Upácuaro No. 60</v>
      </c>
      <c r="F6254" s="10" t="str">
        <f t="shared" si="1107"/>
        <v>Zavala</v>
      </c>
      <c r="G6254" s="8">
        <v>1</v>
      </c>
      <c r="H6254" s="11">
        <v>400</v>
      </c>
      <c r="I6254" s="12">
        <v>43205</v>
      </c>
      <c r="J6254" s="35">
        <f t="shared" si="1108"/>
        <v>0</v>
      </c>
      <c r="K6254" s="36"/>
      <c r="L6254" s="36"/>
      <c r="M6254" s="36"/>
      <c r="N6254" s="36"/>
      <c r="O6254" s="36"/>
      <c r="P6254" s="36"/>
      <c r="Q6254" s="36"/>
      <c r="R6254" s="36"/>
      <c r="S6254" s="36"/>
      <c r="T6254" s="36"/>
      <c r="U6254" s="36"/>
      <c r="V6254" s="36"/>
      <c r="W6254" s="15">
        <f t="shared" si="1109"/>
        <v>0</v>
      </c>
      <c r="X6254" s="36"/>
      <c r="Y6254" s="36"/>
      <c r="Z6254" s="36"/>
      <c r="AA6254" s="36"/>
      <c r="AB6254" s="36"/>
      <c r="AC6254" s="36"/>
      <c r="AD6254" s="36"/>
      <c r="AE6254" s="36"/>
      <c r="AF6254" s="36"/>
      <c r="AG6254" s="36"/>
      <c r="AH6254" s="36"/>
      <c r="AI6254" s="36"/>
      <c r="AJ6254" s="15">
        <f t="shared" si="1110"/>
        <v>0</v>
      </c>
      <c r="AK6254" s="14"/>
      <c r="AL6254" s="14"/>
      <c r="AM6254" s="14"/>
      <c r="AN6254" s="14">
        <v>400</v>
      </c>
      <c r="AO6254" s="14"/>
      <c r="AP6254" s="14"/>
      <c r="AQ6254" s="14"/>
      <c r="AR6254" s="14"/>
      <c r="AS6254" s="14"/>
      <c r="AT6254" s="14"/>
      <c r="AU6254" s="14"/>
      <c r="AV6254" s="14"/>
      <c r="AW6254" s="15">
        <f t="shared" si="1111"/>
        <v>400</v>
      </c>
      <c r="AX6254" s="16"/>
    </row>
    <row r="6255" spans="2:50" x14ac:dyDescent="0.2">
      <c r="B6255" s="7"/>
      <c r="C6255" s="8">
        <v>16375</v>
      </c>
      <c r="D6255" s="9" t="s">
        <v>277</v>
      </c>
      <c r="E6255" s="10" t="str">
        <f t="shared" si="1106"/>
        <v>Rancho Estanzuela No. 7, A</v>
      </c>
      <c r="F6255" s="10" t="str">
        <f t="shared" si="1107"/>
        <v>Herrera Izquierdo</v>
      </c>
      <c r="G6255" s="8">
        <v>1</v>
      </c>
      <c r="H6255" s="11">
        <v>200</v>
      </c>
      <c r="I6255" s="12">
        <v>43205</v>
      </c>
      <c r="J6255" s="35">
        <f t="shared" si="1108"/>
        <v>0</v>
      </c>
      <c r="K6255" s="36"/>
      <c r="L6255" s="36"/>
      <c r="M6255" s="36"/>
      <c r="N6255" s="36"/>
      <c r="O6255" s="36"/>
      <c r="P6255" s="36"/>
      <c r="Q6255" s="36"/>
      <c r="R6255" s="36"/>
      <c r="S6255" s="36"/>
      <c r="T6255" s="36"/>
      <c r="U6255" s="36"/>
      <c r="V6255" s="36"/>
      <c r="W6255" s="15">
        <f t="shared" si="1109"/>
        <v>0</v>
      </c>
      <c r="X6255" s="36"/>
      <c r="Y6255" s="36"/>
      <c r="Z6255" s="36"/>
      <c r="AA6255" s="36"/>
      <c r="AB6255" s="36"/>
      <c r="AC6255" s="36"/>
      <c r="AD6255" s="36"/>
      <c r="AE6255" s="36"/>
      <c r="AF6255" s="36"/>
      <c r="AG6255" s="36"/>
      <c r="AH6255" s="36"/>
      <c r="AI6255" s="36"/>
      <c r="AJ6255" s="15">
        <f t="shared" si="1110"/>
        <v>0</v>
      </c>
      <c r="AK6255" s="14"/>
      <c r="AL6255" s="14"/>
      <c r="AM6255" s="14"/>
      <c r="AN6255" s="14">
        <v>200</v>
      </c>
      <c r="AO6255" s="14"/>
      <c r="AP6255" s="14"/>
      <c r="AQ6255" s="14"/>
      <c r="AR6255" s="14"/>
      <c r="AS6255" s="14"/>
      <c r="AT6255" s="14"/>
      <c r="AU6255" s="14"/>
      <c r="AV6255" s="14"/>
      <c r="AW6255" s="15">
        <f t="shared" si="1111"/>
        <v>200</v>
      </c>
      <c r="AX6255" s="16"/>
    </row>
    <row r="6256" spans="2:50" x14ac:dyDescent="0.2">
      <c r="B6256" s="7"/>
      <c r="C6256" s="8">
        <v>16376</v>
      </c>
      <c r="D6256" s="9" t="s">
        <v>488</v>
      </c>
      <c r="E6256" s="10" t="str">
        <f t="shared" si="1106"/>
        <v>Rancho Landero No. 85</v>
      </c>
      <c r="F6256" s="10" t="str">
        <f t="shared" si="1107"/>
        <v>Martínez Olague</v>
      </c>
      <c r="G6256" s="8">
        <v>1</v>
      </c>
      <c r="H6256" s="11">
        <v>400</v>
      </c>
      <c r="I6256" s="12">
        <v>43205</v>
      </c>
      <c r="J6256" s="35">
        <f t="shared" si="1108"/>
        <v>0</v>
      </c>
      <c r="K6256" s="36"/>
      <c r="L6256" s="36"/>
      <c r="M6256" s="36"/>
      <c r="N6256" s="36"/>
      <c r="O6256" s="36"/>
      <c r="P6256" s="36"/>
      <c r="Q6256" s="36"/>
      <c r="R6256" s="36"/>
      <c r="S6256" s="36"/>
      <c r="T6256" s="36"/>
      <c r="U6256" s="36"/>
      <c r="V6256" s="36"/>
      <c r="W6256" s="15">
        <f t="shared" si="1109"/>
        <v>0</v>
      </c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15">
        <f t="shared" si="1110"/>
        <v>0</v>
      </c>
      <c r="AK6256" s="14"/>
      <c r="AL6256" s="14"/>
      <c r="AM6256" s="14"/>
      <c r="AN6256" s="14">
        <v>400</v>
      </c>
      <c r="AO6256" s="14"/>
      <c r="AP6256" s="14"/>
      <c r="AQ6256" s="14"/>
      <c r="AR6256" s="14"/>
      <c r="AS6256" s="14"/>
      <c r="AT6256" s="14"/>
      <c r="AU6256" s="14"/>
      <c r="AV6256" s="14"/>
      <c r="AW6256" s="15">
        <f t="shared" si="1111"/>
        <v>400</v>
      </c>
      <c r="AX6256" s="16"/>
    </row>
    <row r="6257" spans="2:50" x14ac:dyDescent="0.2">
      <c r="B6257" s="7"/>
      <c r="C6257" s="8">
        <v>16377</v>
      </c>
      <c r="D6257" s="9" t="s">
        <v>553</v>
      </c>
      <c r="E6257" s="10" t="str">
        <f t="shared" si="1106"/>
        <v>Rancho Landero No. 100</v>
      </c>
      <c r="F6257" s="10" t="str">
        <f t="shared" si="1107"/>
        <v>Meingüer Gómez</v>
      </c>
      <c r="G6257" s="8">
        <v>1</v>
      </c>
      <c r="H6257" s="11">
        <v>2000</v>
      </c>
      <c r="I6257" s="12">
        <v>43205</v>
      </c>
      <c r="J6257" s="35">
        <f t="shared" si="1108"/>
        <v>0</v>
      </c>
      <c r="K6257" s="36"/>
      <c r="L6257" s="36"/>
      <c r="M6257" s="36"/>
      <c r="N6257" s="36"/>
      <c r="O6257" s="36"/>
      <c r="P6257" s="36"/>
      <c r="Q6257" s="36"/>
      <c r="R6257" s="36"/>
      <c r="S6257" s="36"/>
      <c r="T6257" s="36"/>
      <c r="U6257" s="36"/>
      <c r="V6257" s="36"/>
      <c r="W6257" s="15">
        <f t="shared" si="1109"/>
        <v>0</v>
      </c>
      <c r="X6257" s="36"/>
      <c r="Y6257" s="36"/>
      <c r="Z6257" s="36"/>
      <c r="AA6257" s="36"/>
      <c r="AB6257" s="36"/>
      <c r="AC6257" s="36"/>
      <c r="AD6257" s="36"/>
      <c r="AE6257" s="36"/>
      <c r="AF6257" s="36"/>
      <c r="AG6257" s="36"/>
      <c r="AH6257" s="36"/>
      <c r="AI6257" s="36"/>
      <c r="AJ6257" s="15">
        <f t="shared" si="1110"/>
        <v>0</v>
      </c>
      <c r="AK6257" s="14">
        <v>400</v>
      </c>
      <c r="AL6257" s="14">
        <v>400</v>
      </c>
      <c r="AM6257" s="14">
        <v>400</v>
      </c>
      <c r="AN6257" s="14">
        <v>400</v>
      </c>
      <c r="AO6257" s="14">
        <v>400</v>
      </c>
      <c r="AP6257" s="14"/>
      <c r="AQ6257" s="14"/>
      <c r="AR6257" s="14"/>
      <c r="AS6257" s="14"/>
      <c r="AT6257" s="14"/>
      <c r="AU6257" s="14"/>
      <c r="AV6257" s="14"/>
      <c r="AW6257" s="15">
        <f t="shared" si="1111"/>
        <v>2000</v>
      </c>
      <c r="AX6257" s="16"/>
    </row>
    <row r="6258" spans="2:50" x14ac:dyDescent="0.2">
      <c r="B6258" s="7"/>
      <c r="C6258" s="8">
        <v>16378</v>
      </c>
      <c r="D6258" s="9" t="s">
        <v>583</v>
      </c>
      <c r="E6258" s="10" t="str">
        <f t="shared" si="1106"/>
        <v>Rancho La Cuchilla No. 111</v>
      </c>
      <c r="F6258" s="10" t="str">
        <f t="shared" si="1107"/>
        <v>García Santos Ofelia</v>
      </c>
      <c r="G6258" s="8">
        <v>1</v>
      </c>
      <c r="H6258" s="11">
        <v>200</v>
      </c>
      <c r="I6258" s="12">
        <v>43205</v>
      </c>
      <c r="J6258" s="35">
        <f t="shared" si="1108"/>
        <v>0</v>
      </c>
      <c r="K6258" s="36"/>
      <c r="L6258" s="36"/>
      <c r="M6258" s="36"/>
      <c r="N6258" s="36"/>
      <c r="O6258" s="36"/>
      <c r="P6258" s="36"/>
      <c r="Q6258" s="36"/>
      <c r="R6258" s="36"/>
      <c r="S6258" s="36"/>
      <c r="T6258" s="36"/>
      <c r="U6258" s="36"/>
      <c r="V6258" s="36"/>
      <c r="W6258" s="15">
        <f t="shared" si="1109"/>
        <v>0</v>
      </c>
      <c r="X6258" s="36"/>
      <c r="Y6258" s="36"/>
      <c r="Z6258" s="36"/>
      <c r="AA6258" s="36"/>
      <c r="AB6258" s="36"/>
      <c r="AC6258" s="36"/>
      <c r="AD6258" s="36"/>
      <c r="AE6258" s="36"/>
      <c r="AF6258" s="36"/>
      <c r="AG6258" s="36"/>
      <c r="AH6258" s="36"/>
      <c r="AI6258" s="36"/>
      <c r="AJ6258" s="15">
        <f t="shared" si="1110"/>
        <v>0</v>
      </c>
      <c r="AK6258" s="14"/>
      <c r="AL6258" s="14"/>
      <c r="AM6258" s="14"/>
      <c r="AN6258" s="14">
        <v>200</v>
      </c>
      <c r="AO6258" s="14"/>
      <c r="AP6258" s="14"/>
      <c r="AQ6258" s="14"/>
      <c r="AR6258" s="14"/>
      <c r="AS6258" s="14"/>
      <c r="AT6258" s="14"/>
      <c r="AU6258" s="14"/>
      <c r="AV6258" s="14"/>
      <c r="AW6258" s="15">
        <f t="shared" si="1111"/>
        <v>200</v>
      </c>
      <c r="AX6258" s="16"/>
    </row>
    <row r="6259" spans="2:50" x14ac:dyDescent="0.2">
      <c r="B6259" s="7"/>
      <c r="C6259" s="8">
        <v>16379</v>
      </c>
      <c r="D6259" s="9" t="s">
        <v>728</v>
      </c>
      <c r="E6259" s="10" t="str">
        <f t="shared" si="1106"/>
        <v>Rancho Estanzuela No. 77</v>
      </c>
      <c r="F6259" s="10" t="str">
        <f t="shared" si="1107"/>
        <v>De la Rosa Rico</v>
      </c>
      <c r="G6259" s="8">
        <v>1</v>
      </c>
      <c r="H6259" s="11">
        <v>400</v>
      </c>
      <c r="I6259" s="12">
        <v>43205</v>
      </c>
      <c r="J6259" s="35">
        <f t="shared" si="1108"/>
        <v>0</v>
      </c>
      <c r="K6259" s="36"/>
      <c r="L6259" s="36"/>
      <c r="M6259" s="36"/>
      <c r="N6259" s="36"/>
      <c r="O6259" s="36"/>
      <c r="P6259" s="36"/>
      <c r="Q6259" s="36"/>
      <c r="R6259" s="36"/>
      <c r="S6259" s="36"/>
      <c r="T6259" s="36"/>
      <c r="U6259" s="36"/>
      <c r="V6259" s="36"/>
      <c r="W6259" s="15">
        <f t="shared" si="1109"/>
        <v>0</v>
      </c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15">
        <f t="shared" si="1110"/>
        <v>0</v>
      </c>
      <c r="AK6259" s="14"/>
      <c r="AL6259" s="14"/>
      <c r="AM6259" s="14">
        <v>400</v>
      </c>
      <c r="AN6259" s="14"/>
      <c r="AO6259" s="14"/>
      <c r="AP6259" s="14"/>
      <c r="AQ6259" s="14"/>
      <c r="AR6259" s="14"/>
      <c r="AS6259" s="14"/>
      <c r="AT6259" s="14"/>
      <c r="AU6259" s="14"/>
      <c r="AV6259" s="14"/>
      <c r="AW6259" s="15">
        <f t="shared" si="1111"/>
        <v>400</v>
      </c>
      <c r="AX6259" s="16"/>
    </row>
    <row r="6260" spans="2:50" x14ac:dyDescent="0.2">
      <c r="B6260" s="7"/>
      <c r="C6260" s="8">
        <v>16380</v>
      </c>
      <c r="D6260" s="9" t="s">
        <v>387</v>
      </c>
      <c r="E6260" s="10" t="str">
        <f t="shared" si="1106"/>
        <v>Rancho Upácuaro No. 69</v>
      </c>
      <c r="F6260" s="10" t="str">
        <f t="shared" si="1107"/>
        <v>Gómez</v>
      </c>
      <c r="G6260" s="8">
        <v>1</v>
      </c>
      <c r="H6260" s="11">
        <v>400</v>
      </c>
      <c r="I6260" s="12">
        <v>43205</v>
      </c>
      <c r="J6260" s="35">
        <f t="shared" si="1108"/>
        <v>0</v>
      </c>
      <c r="K6260" s="36"/>
      <c r="L6260" s="36"/>
      <c r="M6260" s="36"/>
      <c r="N6260" s="36"/>
      <c r="O6260" s="36"/>
      <c r="P6260" s="36"/>
      <c r="Q6260" s="36"/>
      <c r="R6260" s="36"/>
      <c r="S6260" s="36"/>
      <c r="T6260" s="36"/>
      <c r="U6260" s="36"/>
      <c r="V6260" s="36"/>
      <c r="W6260" s="15">
        <f t="shared" si="1109"/>
        <v>0</v>
      </c>
      <c r="X6260" s="36"/>
      <c r="Y6260" s="36"/>
      <c r="Z6260" s="36"/>
      <c r="AA6260" s="36"/>
      <c r="AB6260" s="36"/>
      <c r="AC6260" s="36"/>
      <c r="AD6260" s="36"/>
      <c r="AE6260" s="36"/>
      <c r="AF6260" s="36"/>
      <c r="AG6260" s="36"/>
      <c r="AH6260" s="36"/>
      <c r="AI6260" s="36"/>
      <c r="AJ6260" s="15">
        <f t="shared" si="1110"/>
        <v>0</v>
      </c>
      <c r="AK6260" s="14"/>
      <c r="AL6260" s="14"/>
      <c r="AM6260" s="14"/>
      <c r="AN6260" s="14">
        <v>400</v>
      </c>
      <c r="AO6260" s="14"/>
      <c r="AP6260" s="14"/>
      <c r="AQ6260" s="14"/>
      <c r="AR6260" s="14"/>
      <c r="AS6260" s="14"/>
      <c r="AT6260" s="14"/>
      <c r="AU6260" s="14"/>
      <c r="AV6260" s="14"/>
      <c r="AW6260" s="15">
        <f t="shared" si="1111"/>
        <v>400</v>
      </c>
      <c r="AX6260" s="16"/>
    </row>
    <row r="6261" spans="2:50" x14ac:dyDescent="0.2">
      <c r="B6261" s="7"/>
      <c r="C6261" s="8">
        <v>16381</v>
      </c>
      <c r="D6261" s="9" t="s">
        <v>3178</v>
      </c>
      <c r="E6261" s="10" t="str">
        <f t="shared" si="1106"/>
        <v>Rancho La Cuchilla No. 103</v>
      </c>
      <c r="F6261" s="10" t="str">
        <f t="shared" si="1107"/>
        <v>Bernal</v>
      </c>
      <c r="G6261" s="8">
        <v>1</v>
      </c>
      <c r="H6261" s="11">
        <v>500</v>
      </c>
      <c r="I6261" s="12">
        <v>43205</v>
      </c>
      <c r="J6261" s="35">
        <f t="shared" si="1108"/>
        <v>0</v>
      </c>
      <c r="K6261" s="36"/>
      <c r="L6261" s="36"/>
      <c r="M6261" s="36"/>
      <c r="N6261" s="36"/>
      <c r="O6261" s="36"/>
      <c r="P6261" s="36"/>
      <c r="Q6261" s="36"/>
      <c r="R6261" s="36"/>
      <c r="S6261" s="36"/>
      <c r="T6261" s="36"/>
      <c r="U6261" s="36"/>
      <c r="V6261" s="36"/>
      <c r="W6261" s="15">
        <f t="shared" si="1109"/>
        <v>0</v>
      </c>
      <c r="X6261" s="36"/>
      <c r="Y6261" s="36"/>
      <c r="Z6261" s="36"/>
      <c r="AA6261" s="36"/>
      <c r="AB6261" s="36"/>
      <c r="AC6261" s="36"/>
      <c r="AD6261" s="36"/>
      <c r="AE6261" s="36"/>
      <c r="AF6261" s="36"/>
      <c r="AG6261" s="36"/>
      <c r="AH6261" s="36"/>
      <c r="AI6261" s="36"/>
      <c r="AJ6261" s="15">
        <f t="shared" si="1110"/>
        <v>0</v>
      </c>
      <c r="AK6261" s="14"/>
      <c r="AL6261" s="14"/>
      <c r="AM6261" s="14"/>
      <c r="AN6261" s="14">
        <v>500</v>
      </c>
      <c r="AO6261" s="14"/>
      <c r="AP6261" s="14"/>
      <c r="AQ6261" s="14"/>
      <c r="AR6261" s="14"/>
      <c r="AS6261" s="14"/>
      <c r="AT6261" s="14"/>
      <c r="AU6261" s="14"/>
      <c r="AV6261" s="14"/>
      <c r="AW6261" s="15">
        <f t="shared" si="1111"/>
        <v>500</v>
      </c>
      <c r="AX6261" s="16"/>
    </row>
    <row r="6262" spans="2:50" x14ac:dyDescent="0.2">
      <c r="B6262" s="7"/>
      <c r="C6262" s="8">
        <v>16382</v>
      </c>
      <c r="D6262" s="9" t="s">
        <v>769</v>
      </c>
      <c r="E6262" s="10" t="str">
        <f t="shared" si="1106"/>
        <v>Rancho La Cuchilla No. 66</v>
      </c>
      <c r="F6262" s="10" t="str">
        <f t="shared" si="1107"/>
        <v>Prieto</v>
      </c>
      <c r="G6262" s="8">
        <v>1</v>
      </c>
      <c r="H6262" s="11">
        <v>400</v>
      </c>
      <c r="I6262" s="12">
        <v>43205</v>
      </c>
      <c r="J6262" s="35">
        <f t="shared" si="1108"/>
        <v>0</v>
      </c>
      <c r="K6262" s="36"/>
      <c r="L6262" s="36"/>
      <c r="M6262" s="36"/>
      <c r="N6262" s="36"/>
      <c r="O6262" s="36"/>
      <c r="P6262" s="36"/>
      <c r="Q6262" s="36"/>
      <c r="R6262" s="36"/>
      <c r="S6262" s="36"/>
      <c r="T6262" s="36"/>
      <c r="U6262" s="36"/>
      <c r="V6262" s="36"/>
      <c r="W6262" s="15">
        <f t="shared" si="1109"/>
        <v>0</v>
      </c>
      <c r="X6262" s="36"/>
      <c r="Y6262" s="36"/>
      <c r="Z6262" s="36"/>
      <c r="AA6262" s="36"/>
      <c r="AB6262" s="36"/>
      <c r="AC6262" s="36"/>
      <c r="AD6262" s="36"/>
      <c r="AE6262" s="36"/>
      <c r="AF6262" s="36"/>
      <c r="AG6262" s="36"/>
      <c r="AH6262" s="36"/>
      <c r="AI6262" s="36"/>
      <c r="AJ6262" s="15">
        <f t="shared" si="1110"/>
        <v>0</v>
      </c>
      <c r="AK6262" s="14"/>
      <c r="AL6262" s="14"/>
      <c r="AM6262" s="14"/>
      <c r="AN6262" s="14">
        <v>400</v>
      </c>
      <c r="AO6262" s="14"/>
      <c r="AP6262" s="14"/>
      <c r="AQ6262" s="14"/>
      <c r="AR6262" s="14"/>
      <c r="AS6262" s="14"/>
      <c r="AT6262" s="14"/>
      <c r="AU6262" s="14"/>
      <c r="AV6262" s="14"/>
      <c r="AW6262" s="15">
        <f t="shared" si="1111"/>
        <v>400</v>
      </c>
      <c r="AX6262" s="16"/>
    </row>
    <row r="6263" spans="2:50" x14ac:dyDescent="0.2">
      <c r="B6263" s="7"/>
      <c r="C6263" s="8">
        <v>16383</v>
      </c>
      <c r="D6263" s="9" t="s">
        <v>541</v>
      </c>
      <c r="E6263" s="10" t="str">
        <f t="shared" si="1106"/>
        <v>Rancho Estanzuela No. 103, B</v>
      </c>
      <c r="F6263" s="10" t="str">
        <f t="shared" si="1107"/>
        <v>Olivares Flores</v>
      </c>
      <c r="G6263" s="8">
        <v>1</v>
      </c>
      <c r="H6263" s="11">
        <v>400</v>
      </c>
      <c r="I6263" s="12">
        <v>43205</v>
      </c>
      <c r="J6263" s="35">
        <f t="shared" si="1108"/>
        <v>0</v>
      </c>
      <c r="K6263" s="36"/>
      <c r="L6263" s="36"/>
      <c r="M6263" s="36"/>
      <c r="N6263" s="36"/>
      <c r="O6263" s="36"/>
      <c r="P6263" s="36"/>
      <c r="Q6263" s="36"/>
      <c r="R6263" s="36"/>
      <c r="S6263" s="36"/>
      <c r="T6263" s="36"/>
      <c r="U6263" s="36"/>
      <c r="V6263" s="36"/>
      <c r="W6263" s="15">
        <f t="shared" si="1109"/>
        <v>0</v>
      </c>
      <c r="X6263" s="36"/>
      <c r="Y6263" s="36"/>
      <c r="Z6263" s="36"/>
      <c r="AA6263" s="36"/>
      <c r="AB6263" s="36"/>
      <c r="AC6263" s="36"/>
      <c r="AD6263" s="36"/>
      <c r="AE6263" s="36"/>
      <c r="AF6263" s="36"/>
      <c r="AG6263" s="36"/>
      <c r="AH6263" s="36"/>
      <c r="AI6263" s="36"/>
      <c r="AJ6263" s="15">
        <f t="shared" si="1110"/>
        <v>0</v>
      </c>
      <c r="AK6263" s="14"/>
      <c r="AL6263" s="14"/>
      <c r="AM6263" s="14"/>
      <c r="AN6263" s="14">
        <v>400</v>
      </c>
      <c r="AO6263" s="14"/>
      <c r="AP6263" s="14"/>
      <c r="AQ6263" s="14"/>
      <c r="AR6263" s="14"/>
      <c r="AS6263" s="14"/>
      <c r="AT6263" s="14"/>
      <c r="AU6263" s="14"/>
      <c r="AV6263" s="14"/>
      <c r="AW6263" s="15">
        <f t="shared" si="1111"/>
        <v>400</v>
      </c>
      <c r="AX6263" s="16"/>
    </row>
    <row r="6264" spans="2:50" x14ac:dyDescent="0.2">
      <c r="B6264" s="7"/>
      <c r="C6264" s="8">
        <v>16384</v>
      </c>
      <c r="D6264" s="9" t="s">
        <v>156</v>
      </c>
      <c r="E6264" s="10" t="str">
        <f t="shared" si="1106"/>
        <v>Rancho Zinamba No. 80</v>
      </c>
      <c r="F6264" s="10" t="str">
        <f t="shared" si="1107"/>
        <v>Vázquez</v>
      </c>
      <c r="G6264" s="8">
        <v>1</v>
      </c>
      <c r="H6264" s="11">
        <v>300</v>
      </c>
      <c r="I6264" s="12">
        <v>43205</v>
      </c>
      <c r="J6264" s="35">
        <f t="shared" si="1108"/>
        <v>0</v>
      </c>
      <c r="K6264" s="36"/>
      <c r="L6264" s="36"/>
      <c r="M6264" s="36"/>
      <c r="N6264" s="36"/>
      <c r="O6264" s="36"/>
      <c r="P6264" s="36"/>
      <c r="Q6264" s="36"/>
      <c r="R6264" s="36"/>
      <c r="S6264" s="36"/>
      <c r="T6264" s="36"/>
      <c r="U6264" s="36"/>
      <c r="V6264" s="36"/>
      <c r="W6264" s="15">
        <f t="shared" si="1109"/>
        <v>0</v>
      </c>
      <c r="X6264" s="36"/>
      <c r="Y6264" s="36"/>
      <c r="Z6264" s="36"/>
      <c r="AA6264" s="36"/>
      <c r="AB6264" s="36"/>
      <c r="AC6264" s="36"/>
      <c r="AD6264" s="36"/>
      <c r="AE6264" s="36"/>
      <c r="AF6264" s="36"/>
      <c r="AG6264" s="36"/>
      <c r="AH6264" s="36"/>
      <c r="AI6264" s="36"/>
      <c r="AJ6264" s="15">
        <f t="shared" si="1110"/>
        <v>0</v>
      </c>
      <c r="AK6264" s="14"/>
      <c r="AL6264" s="14"/>
      <c r="AM6264" s="14"/>
      <c r="AN6264" s="14">
        <v>300</v>
      </c>
      <c r="AO6264" s="14"/>
      <c r="AP6264" s="14"/>
      <c r="AQ6264" s="14"/>
      <c r="AR6264" s="14"/>
      <c r="AS6264" s="14"/>
      <c r="AT6264" s="14"/>
      <c r="AU6264" s="14"/>
      <c r="AV6264" s="14"/>
      <c r="AW6264" s="15">
        <f t="shared" si="1111"/>
        <v>300</v>
      </c>
      <c r="AX6264" s="16"/>
    </row>
    <row r="6265" spans="2:50" x14ac:dyDescent="0.2">
      <c r="B6265" s="7"/>
      <c r="C6265" s="8">
        <v>16385</v>
      </c>
      <c r="D6265" s="9" t="s">
        <v>295</v>
      </c>
      <c r="E6265" s="10" t="str">
        <f t="shared" si="1106"/>
        <v>Rancho Landero No. 99</v>
      </c>
      <c r="F6265" s="10" t="str">
        <f t="shared" si="1107"/>
        <v>Rangel</v>
      </c>
      <c r="G6265" s="8">
        <v>1</v>
      </c>
      <c r="H6265" s="11">
        <v>300</v>
      </c>
      <c r="I6265" s="12">
        <v>43205</v>
      </c>
      <c r="J6265" s="35">
        <f t="shared" si="1108"/>
        <v>0</v>
      </c>
      <c r="K6265" s="36"/>
      <c r="L6265" s="36"/>
      <c r="M6265" s="36"/>
      <c r="N6265" s="36"/>
      <c r="O6265" s="36"/>
      <c r="P6265" s="36"/>
      <c r="Q6265" s="36"/>
      <c r="R6265" s="36"/>
      <c r="S6265" s="36"/>
      <c r="T6265" s="36"/>
      <c r="U6265" s="36"/>
      <c r="V6265" s="36"/>
      <c r="W6265" s="15">
        <f t="shared" si="1109"/>
        <v>0</v>
      </c>
      <c r="X6265" s="36"/>
      <c r="Y6265" s="36"/>
      <c r="Z6265" s="36"/>
      <c r="AA6265" s="36"/>
      <c r="AB6265" s="36"/>
      <c r="AC6265" s="36"/>
      <c r="AD6265" s="36"/>
      <c r="AE6265" s="36"/>
      <c r="AF6265" s="36"/>
      <c r="AG6265" s="36"/>
      <c r="AH6265" s="36"/>
      <c r="AI6265" s="36"/>
      <c r="AJ6265" s="15">
        <f t="shared" si="1110"/>
        <v>0</v>
      </c>
      <c r="AK6265" s="14"/>
      <c r="AL6265" s="14">
        <v>300</v>
      </c>
      <c r="AM6265" s="14"/>
      <c r="AN6265" s="14"/>
      <c r="AO6265" s="14"/>
      <c r="AP6265" s="14"/>
      <c r="AQ6265" s="14"/>
      <c r="AR6265" s="14"/>
      <c r="AS6265" s="14"/>
      <c r="AT6265" s="14"/>
      <c r="AU6265" s="14"/>
      <c r="AV6265" s="14"/>
      <c r="AW6265" s="15">
        <f t="shared" si="1111"/>
        <v>300</v>
      </c>
      <c r="AX6265" s="16"/>
    </row>
    <row r="6266" spans="2:50" x14ac:dyDescent="0.2">
      <c r="B6266" s="7"/>
      <c r="C6266" s="8">
        <v>16386</v>
      </c>
      <c r="D6266" s="9" t="s">
        <v>965</v>
      </c>
      <c r="E6266" s="10" t="str">
        <f t="shared" si="1106"/>
        <v>Rancho La Cuchilla No. 52</v>
      </c>
      <c r="F6266" s="10" t="str">
        <f t="shared" si="1107"/>
        <v>Velázquez</v>
      </c>
      <c r="G6266" s="8">
        <v>1</v>
      </c>
      <c r="H6266" s="11">
        <v>800</v>
      </c>
      <c r="I6266" s="12">
        <v>43205</v>
      </c>
      <c r="J6266" s="35">
        <f t="shared" si="1108"/>
        <v>0</v>
      </c>
      <c r="K6266" s="36"/>
      <c r="L6266" s="36"/>
      <c r="M6266" s="36"/>
      <c r="N6266" s="36"/>
      <c r="O6266" s="36"/>
      <c r="P6266" s="36"/>
      <c r="Q6266" s="36"/>
      <c r="R6266" s="36"/>
      <c r="S6266" s="36"/>
      <c r="T6266" s="36"/>
      <c r="U6266" s="36"/>
      <c r="V6266" s="36"/>
      <c r="W6266" s="15">
        <f t="shared" si="1109"/>
        <v>0</v>
      </c>
      <c r="X6266" s="36"/>
      <c r="Y6266" s="36"/>
      <c r="Z6266" s="36"/>
      <c r="AA6266" s="36"/>
      <c r="AB6266" s="36"/>
      <c r="AC6266" s="36"/>
      <c r="AD6266" s="36"/>
      <c r="AE6266" s="36"/>
      <c r="AF6266" s="36"/>
      <c r="AG6266" s="36"/>
      <c r="AH6266" s="36">
        <v>400</v>
      </c>
      <c r="AI6266" s="36">
        <v>400</v>
      </c>
      <c r="AJ6266" s="15">
        <f t="shared" si="1110"/>
        <v>800</v>
      </c>
      <c r="AK6266" s="14"/>
      <c r="AL6266" s="14"/>
      <c r="AM6266" s="14"/>
      <c r="AN6266" s="14"/>
      <c r="AO6266" s="14"/>
      <c r="AP6266" s="14"/>
      <c r="AQ6266" s="14"/>
      <c r="AR6266" s="14"/>
      <c r="AS6266" s="14"/>
      <c r="AT6266" s="14"/>
      <c r="AU6266" s="14"/>
      <c r="AV6266" s="14"/>
      <c r="AW6266" s="15">
        <f t="shared" si="1111"/>
        <v>0</v>
      </c>
      <c r="AX6266" s="16"/>
    </row>
    <row r="6267" spans="2:50" x14ac:dyDescent="0.2">
      <c r="B6267" s="7"/>
      <c r="C6267" s="8">
        <v>16387</v>
      </c>
      <c r="D6267" s="9" t="s">
        <v>455</v>
      </c>
      <c r="E6267" s="10" t="str">
        <f t="shared" si="1106"/>
        <v>Rancho Zinamba No. 38</v>
      </c>
      <c r="F6267" s="10" t="str">
        <f t="shared" si="1107"/>
        <v>Ramírez Díaz</v>
      </c>
      <c r="G6267" s="8">
        <v>1</v>
      </c>
      <c r="H6267" s="11">
        <v>400</v>
      </c>
      <c r="I6267" s="12">
        <v>43205</v>
      </c>
      <c r="J6267" s="35">
        <f t="shared" si="1108"/>
        <v>0</v>
      </c>
      <c r="K6267" s="36"/>
      <c r="L6267" s="36"/>
      <c r="M6267" s="36"/>
      <c r="N6267" s="36"/>
      <c r="O6267" s="36"/>
      <c r="P6267" s="36"/>
      <c r="Q6267" s="36"/>
      <c r="R6267" s="36"/>
      <c r="S6267" s="36"/>
      <c r="T6267" s="36"/>
      <c r="U6267" s="36"/>
      <c r="V6267" s="36"/>
      <c r="W6267" s="15">
        <f t="shared" si="1109"/>
        <v>0</v>
      </c>
      <c r="X6267" s="36"/>
      <c r="Y6267" s="36"/>
      <c r="Z6267" s="36"/>
      <c r="AA6267" s="36"/>
      <c r="AB6267" s="36"/>
      <c r="AC6267" s="36"/>
      <c r="AD6267" s="36"/>
      <c r="AE6267" s="36"/>
      <c r="AF6267" s="36"/>
      <c r="AG6267" s="36"/>
      <c r="AH6267" s="36"/>
      <c r="AI6267" s="36"/>
      <c r="AJ6267" s="15">
        <f t="shared" si="1110"/>
        <v>0</v>
      </c>
      <c r="AK6267" s="14"/>
      <c r="AL6267" s="14"/>
      <c r="AM6267" s="14"/>
      <c r="AN6267" s="14">
        <v>400</v>
      </c>
      <c r="AO6267" s="14"/>
      <c r="AP6267" s="14"/>
      <c r="AQ6267" s="14"/>
      <c r="AR6267" s="14"/>
      <c r="AS6267" s="14"/>
      <c r="AT6267" s="14"/>
      <c r="AU6267" s="14"/>
      <c r="AV6267" s="14"/>
      <c r="AW6267" s="15">
        <f t="shared" si="1111"/>
        <v>400</v>
      </c>
      <c r="AX6267" s="16"/>
    </row>
    <row r="6268" spans="2:50" x14ac:dyDescent="0.2">
      <c r="B6268" s="7"/>
      <c r="C6268" s="8">
        <v>16388</v>
      </c>
      <c r="D6268" s="9" t="s">
        <v>909</v>
      </c>
      <c r="E6268" s="10" t="str">
        <f t="shared" si="1106"/>
        <v>Rancho La Cuchilla No. 44</v>
      </c>
      <c r="F6268" s="10" t="str">
        <f t="shared" si="1107"/>
        <v>García Osorio</v>
      </c>
      <c r="G6268" s="8">
        <v>1</v>
      </c>
      <c r="H6268" s="11">
        <v>350</v>
      </c>
      <c r="I6268" s="12">
        <v>43205</v>
      </c>
      <c r="J6268" s="35">
        <f t="shared" si="1108"/>
        <v>0</v>
      </c>
      <c r="K6268" s="36"/>
      <c r="L6268" s="36"/>
      <c r="M6268" s="36"/>
      <c r="N6268" s="36"/>
      <c r="O6268" s="36"/>
      <c r="P6268" s="36"/>
      <c r="Q6268" s="36"/>
      <c r="R6268" s="36"/>
      <c r="S6268" s="36"/>
      <c r="T6268" s="36"/>
      <c r="U6268" s="36"/>
      <c r="V6268" s="36"/>
      <c r="W6268" s="15">
        <f t="shared" si="1109"/>
        <v>0</v>
      </c>
      <c r="X6268" s="36"/>
      <c r="Y6268" s="36"/>
      <c r="Z6268" s="36"/>
      <c r="AA6268" s="36"/>
      <c r="AB6268" s="36"/>
      <c r="AC6268" s="36"/>
      <c r="AD6268" s="36"/>
      <c r="AE6268" s="36"/>
      <c r="AF6268" s="36"/>
      <c r="AG6268" s="36"/>
      <c r="AH6268" s="36"/>
      <c r="AI6268" s="36"/>
      <c r="AJ6268" s="15">
        <f t="shared" si="1110"/>
        <v>0</v>
      </c>
      <c r="AK6268" s="14"/>
      <c r="AL6268" s="14"/>
      <c r="AM6268" s="14"/>
      <c r="AN6268" s="14">
        <v>350</v>
      </c>
      <c r="AO6268" s="14"/>
      <c r="AP6268" s="14"/>
      <c r="AQ6268" s="14"/>
      <c r="AR6268" s="14"/>
      <c r="AS6268" s="14"/>
      <c r="AT6268" s="14"/>
      <c r="AU6268" s="14"/>
      <c r="AV6268" s="14"/>
      <c r="AW6268" s="15">
        <f t="shared" si="1111"/>
        <v>350</v>
      </c>
      <c r="AX6268" s="16"/>
    </row>
    <row r="6269" spans="2:50" x14ac:dyDescent="0.2">
      <c r="B6269" s="7"/>
      <c r="C6269" s="8">
        <v>16389</v>
      </c>
      <c r="D6269" s="9" t="s">
        <v>605</v>
      </c>
      <c r="E6269" s="10" t="str">
        <f t="shared" si="1106"/>
        <v>Rancho Upácuaro No. 50</v>
      </c>
      <c r="F6269" s="10" t="str">
        <f t="shared" si="1107"/>
        <v>Rivera Rodríguez</v>
      </c>
      <c r="G6269" s="8">
        <v>1</v>
      </c>
      <c r="H6269" s="11">
        <v>600</v>
      </c>
      <c r="I6269" s="12">
        <v>43205</v>
      </c>
      <c r="J6269" s="35">
        <f t="shared" si="1108"/>
        <v>0</v>
      </c>
      <c r="K6269" s="36"/>
      <c r="L6269" s="36"/>
      <c r="M6269" s="36"/>
      <c r="N6269" s="36"/>
      <c r="O6269" s="36"/>
      <c r="P6269" s="36"/>
      <c r="Q6269" s="36"/>
      <c r="R6269" s="36"/>
      <c r="S6269" s="36"/>
      <c r="T6269" s="36"/>
      <c r="U6269" s="36"/>
      <c r="V6269" s="36"/>
      <c r="W6269" s="15">
        <f t="shared" si="1109"/>
        <v>0</v>
      </c>
      <c r="X6269" s="36"/>
      <c r="Y6269" s="36"/>
      <c r="Z6269" s="36"/>
      <c r="AA6269" s="36"/>
      <c r="AB6269" s="36"/>
      <c r="AC6269" s="36"/>
      <c r="AD6269" s="36"/>
      <c r="AE6269" s="36"/>
      <c r="AF6269" s="36"/>
      <c r="AG6269" s="36"/>
      <c r="AH6269" s="36"/>
      <c r="AI6269" s="36"/>
      <c r="AJ6269" s="15">
        <f t="shared" si="1110"/>
        <v>0</v>
      </c>
      <c r="AK6269" s="14"/>
      <c r="AL6269" s="14"/>
      <c r="AM6269" s="14">
        <v>300</v>
      </c>
      <c r="AN6269" s="14">
        <v>300</v>
      </c>
      <c r="AO6269" s="14"/>
      <c r="AP6269" s="14"/>
      <c r="AQ6269" s="14"/>
      <c r="AR6269" s="14"/>
      <c r="AS6269" s="14"/>
      <c r="AT6269" s="14"/>
      <c r="AU6269" s="14"/>
      <c r="AV6269" s="14"/>
      <c r="AW6269" s="15">
        <f t="shared" si="1111"/>
        <v>600</v>
      </c>
      <c r="AX6269" s="16"/>
    </row>
    <row r="6270" spans="2:50" x14ac:dyDescent="0.2">
      <c r="B6270" s="7"/>
      <c r="C6270" s="8">
        <v>16390</v>
      </c>
      <c r="D6270" s="9" t="s">
        <v>731</v>
      </c>
      <c r="E6270" s="10" t="str">
        <f t="shared" si="1106"/>
        <v>Rancho Estanzuela No. 133</v>
      </c>
      <c r="F6270" s="10" t="str">
        <f t="shared" si="1107"/>
        <v>Hernández Salazar</v>
      </c>
      <c r="G6270" s="8">
        <v>1</v>
      </c>
      <c r="H6270" s="11">
        <v>300</v>
      </c>
      <c r="I6270" s="12">
        <v>43205</v>
      </c>
      <c r="J6270" s="35">
        <f t="shared" si="1108"/>
        <v>0</v>
      </c>
      <c r="K6270" s="36"/>
      <c r="L6270" s="36"/>
      <c r="M6270" s="36"/>
      <c r="N6270" s="36"/>
      <c r="O6270" s="36"/>
      <c r="P6270" s="36"/>
      <c r="Q6270" s="36"/>
      <c r="R6270" s="36"/>
      <c r="S6270" s="36"/>
      <c r="T6270" s="36"/>
      <c r="U6270" s="36"/>
      <c r="V6270" s="36"/>
      <c r="W6270" s="15">
        <f t="shared" si="1109"/>
        <v>0</v>
      </c>
      <c r="X6270" s="36"/>
      <c r="Y6270" s="36"/>
      <c r="Z6270" s="36"/>
      <c r="AA6270" s="36"/>
      <c r="AB6270" s="36"/>
      <c r="AC6270" s="36"/>
      <c r="AD6270" s="36"/>
      <c r="AE6270" s="36"/>
      <c r="AF6270" s="36"/>
      <c r="AG6270" s="36"/>
      <c r="AH6270" s="36"/>
      <c r="AI6270" s="36"/>
      <c r="AJ6270" s="15">
        <f t="shared" si="1110"/>
        <v>0</v>
      </c>
      <c r="AK6270" s="14"/>
      <c r="AL6270" s="14"/>
      <c r="AM6270" s="14"/>
      <c r="AN6270" s="14">
        <v>300</v>
      </c>
      <c r="AO6270" s="14"/>
      <c r="AP6270" s="14"/>
      <c r="AQ6270" s="14"/>
      <c r="AR6270" s="14"/>
      <c r="AS6270" s="14"/>
      <c r="AT6270" s="14"/>
      <c r="AU6270" s="14"/>
      <c r="AV6270" s="14"/>
      <c r="AW6270" s="15">
        <f t="shared" si="1111"/>
        <v>300</v>
      </c>
      <c r="AX6270" s="16"/>
    </row>
    <row r="6271" spans="2:50" x14ac:dyDescent="0.2">
      <c r="B6271" s="7"/>
      <c r="C6271" s="8">
        <v>16391</v>
      </c>
      <c r="D6271" s="9" t="s">
        <v>3852</v>
      </c>
      <c r="E6271" s="10" t="str">
        <f t="shared" si="1106"/>
        <v>Rancho Estopila No. 44_2</v>
      </c>
      <c r="F6271" s="10" t="str">
        <f t="shared" si="1107"/>
        <v>Blanca Herrera</v>
      </c>
      <c r="G6271" s="8">
        <v>1</v>
      </c>
      <c r="H6271" s="11">
        <v>800</v>
      </c>
      <c r="I6271" s="12">
        <v>43205</v>
      </c>
      <c r="J6271" s="35">
        <f t="shared" si="1108"/>
        <v>0</v>
      </c>
      <c r="K6271" s="36"/>
      <c r="L6271" s="36"/>
      <c r="M6271" s="36"/>
      <c r="N6271" s="36"/>
      <c r="O6271" s="36"/>
      <c r="P6271" s="36"/>
      <c r="Q6271" s="36"/>
      <c r="R6271" s="36"/>
      <c r="S6271" s="36"/>
      <c r="T6271" s="36"/>
      <c r="U6271" s="36"/>
      <c r="V6271" s="36"/>
      <c r="W6271" s="15">
        <f t="shared" si="1109"/>
        <v>0</v>
      </c>
      <c r="X6271" s="36"/>
      <c r="Y6271" s="36"/>
      <c r="Z6271" s="36"/>
      <c r="AA6271" s="36"/>
      <c r="AB6271" s="36"/>
      <c r="AC6271" s="36"/>
      <c r="AD6271" s="36"/>
      <c r="AE6271" s="36"/>
      <c r="AF6271" s="36"/>
      <c r="AG6271" s="36"/>
      <c r="AH6271" s="36"/>
      <c r="AI6271" s="36"/>
      <c r="AJ6271" s="15">
        <f t="shared" si="1110"/>
        <v>0</v>
      </c>
      <c r="AK6271" s="14">
        <v>200</v>
      </c>
      <c r="AL6271" s="14">
        <v>200</v>
      </c>
      <c r="AM6271" s="14">
        <v>200</v>
      </c>
      <c r="AN6271" s="14">
        <v>200</v>
      </c>
      <c r="AO6271" s="14"/>
      <c r="AP6271" s="14"/>
      <c r="AQ6271" s="14"/>
      <c r="AR6271" s="14"/>
      <c r="AS6271" s="14"/>
      <c r="AT6271" s="14"/>
      <c r="AU6271" s="14"/>
      <c r="AV6271" s="14"/>
      <c r="AW6271" s="15">
        <f t="shared" si="1111"/>
        <v>800</v>
      </c>
      <c r="AX6271" s="16"/>
    </row>
    <row r="6272" spans="2:50" x14ac:dyDescent="0.2">
      <c r="B6272" s="7"/>
      <c r="C6272" s="8">
        <v>16392</v>
      </c>
      <c r="D6272" s="9" t="s">
        <v>843</v>
      </c>
      <c r="E6272" s="10" t="str">
        <f t="shared" si="1106"/>
        <v>Rancho Landero No. 12</v>
      </c>
      <c r="F6272" s="10" t="str">
        <f t="shared" si="1107"/>
        <v>Guzmán Silva</v>
      </c>
      <c r="G6272" s="8">
        <v>1</v>
      </c>
      <c r="H6272" s="11">
        <v>600</v>
      </c>
      <c r="I6272" s="12">
        <v>43205</v>
      </c>
      <c r="J6272" s="35">
        <f t="shared" si="1108"/>
        <v>0</v>
      </c>
      <c r="K6272" s="36"/>
      <c r="L6272" s="36"/>
      <c r="M6272" s="36"/>
      <c r="N6272" s="36"/>
      <c r="O6272" s="36"/>
      <c r="P6272" s="36"/>
      <c r="Q6272" s="36"/>
      <c r="R6272" s="36"/>
      <c r="S6272" s="36"/>
      <c r="T6272" s="36"/>
      <c r="U6272" s="36"/>
      <c r="V6272" s="36"/>
      <c r="W6272" s="15">
        <f t="shared" si="1109"/>
        <v>0</v>
      </c>
      <c r="X6272" s="36"/>
      <c r="Y6272" s="36"/>
      <c r="Z6272" s="36"/>
      <c r="AA6272" s="36"/>
      <c r="AB6272" s="36"/>
      <c r="AC6272" s="36"/>
      <c r="AD6272" s="36"/>
      <c r="AE6272" s="36"/>
      <c r="AF6272" s="36"/>
      <c r="AG6272" s="36"/>
      <c r="AH6272" s="36"/>
      <c r="AI6272" s="36"/>
      <c r="AJ6272" s="15">
        <f t="shared" si="1110"/>
        <v>0</v>
      </c>
      <c r="AK6272" s="14"/>
      <c r="AL6272" s="14">
        <v>200</v>
      </c>
      <c r="AM6272" s="14">
        <v>200</v>
      </c>
      <c r="AN6272" s="14">
        <v>200</v>
      </c>
      <c r="AO6272" s="14"/>
      <c r="AP6272" s="14"/>
      <c r="AQ6272" s="14"/>
      <c r="AR6272" s="14"/>
      <c r="AS6272" s="14"/>
      <c r="AT6272" s="14"/>
      <c r="AU6272" s="14"/>
      <c r="AV6272" s="14"/>
      <c r="AW6272" s="15">
        <f t="shared" si="1111"/>
        <v>600</v>
      </c>
      <c r="AX6272" s="16"/>
    </row>
    <row r="6273" spans="2:50" x14ac:dyDescent="0.2">
      <c r="B6273" s="7"/>
      <c r="C6273" s="8">
        <v>16392</v>
      </c>
      <c r="D6273" s="9" t="s">
        <v>843</v>
      </c>
      <c r="E6273" s="10" t="str">
        <f t="shared" si="1106"/>
        <v>Rancho Landero No. 12</v>
      </c>
      <c r="F6273" s="10" t="str">
        <f t="shared" si="1107"/>
        <v>Guzmán Silva</v>
      </c>
      <c r="G6273" s="8">
        <v>3</v>
      </c>
      <c r="H6273" s="11">
        <v>200</v>
      </c>
      <c r="I6273" s="12">
        <v>43205</v>
      </c>
      <c r="J6273" s="35">
        <f t="shared" si="1108"/>
        <v>0</v>
      </c>
      <c r="K6273" s="36"/>
      <c r="L6273" s="36"/>
      <c r="M6273" s="36"/>
      <c r="N6273" s="36"/>
      <c r="O6273" s="36"/>
      <c r="P6273" s="36"/>
      <c r="Q6273" s="36"/>
      <c r="R6273" s="36"/>
      <c r="S6273" s="36"/>
      <c r="T6273" s="36"/>
      <c r="U6273" s="36"/>
      <c r="V6273" s="36"/>
      <c r="W6273" s="15">
        <f t="shared" si="1109"/>
        <v>0</v>
      </c>
      <c r="X6273" s="36"/>
      <c r="Y6273" s="36"/>
      <c r="Z6273" s="36"/>
      <c r="AA6273" s="36"/>
      <c r="AB6273" s="36"/>
      <c r="AC6273" s="36"/>
      <c r="AD6273" s="36"/>
      <c r="AE6273" s="36"/>
      <c r="AF6273" s="36"/>
      <c r="AG6273" s="36"/>
      <c r="AH6273" s="36"/>
      <c r="AI6273" s="36"/>
      <c r="AJ6273" s="15">
        <f t="shared" si="1110"/>
        <v>0</v>
      </c>
      <c r="AK6273" s="14"/>
      <c r="AL6273" s="14"/>
      <c r="AM6273" s="14"/>
      <c r="AN6273" s="14"/>
      <c r="AO6273" s="14"/>
      <c r="AP6273" s="14"/>
      <c r="AQ6273" s="14"/>
      <c r="AR6273" s="14"/>
      <c r="AS6273" s="14"/>
      <c r="AT6273" s="14"/>
      <c r="AU6273" s="14"/>
      <c r="AV6273" s="14"/>
      <c r="AW6273" s="15">
        <f t="shared" si="1111"/>
        <v>0</v>
      </c>
      <c r="AX6273" s="16"/>
    </row>
    <row r="6274" spans="2:50" x14ac:dyDescent="0.2">
      <c r="B6274" s="7"/>
      <c r="C6274" s="8">
        <v>16393</v>
      </c>
      <c r="D6274" s="9" t="s">
        <v>434</v>
      </c>
      <c r="E6274" s="10" t="str">
        <f t="shared" si="1106"/>
        <v>Rancho La Cuchilla No. 55</v>
      </c>
      <c r="F6274" s="10" t="str">
        <f t="shared" si="1107"/>
        <v>López Velázquez</v>
      </c>
      <c r="G6274" s="8">
        <v>1</v>
      </c>
      <c r="H6274" s="11">
        <v>1200</v>
      </c>
      <c r="I6274" s="12">
        <v>43205</v>
      </c>
      <c r="J6274" s="35">
        <f t="shared" si="1108"/>
        <v>0</v>
      </c>
      <c r="K6274" s="36"/>
      <c r="L6274" s="36"/>
      <c r="M6274" s="36"/>
      <c r="N6274" s="36"/>
      <c r="O6274" s="36"/>
      <c r="P6274" s="36"/>
      <c r="Q6274" s="36"/>
      <c r="R6274" s="36"/>
      <c r="S6274" s="36"/>
      <c r="T6274" s="36"/>
      <c r="U6274" s="36"/>
      <c r="V6274" s="36"/>
      <c r="W6274" s="15">
        <f t="shared" si="1109"/>
        <v>0</v>
      </c>
      <c r="X6274" s="36"/>
      <c r="Y6274" s="36"/>
      <c r="Z6274" s="36"/>
      <c r="AA6274" s="36"/>
      <c r="AB6274" s="36"/>
      <c r="AC6274" s="36"/>
      <c r="AD6274" s="36"/>
      <c r="AE6274" s="36"/>
      <c r="AF6274" s="36"/>
      <c r="AG6274" s="36"/>
      <c r="AH6274" s="36"/>
      <c r="AI6274" s="36"/>
      <c r="AJ6274" s="15">
        <f t="shared" si="1110"/>
        <v>0</v>
      </c>
      <c r="AK6274" s="14"/>
      <c r="AL6274" s="14"/>
      <c r="AM6274" s="14"/>
      <c r="AN6274" s="14">
        <v>400</v>
      </c>
      <c r="AO6274" s="14">
        <v>400</v>
      </c>
      <c r="AP6274" s="14">
        <v>400</v>
      </c>
      <c r="AQ6274" s="14"/>
      <c r="AR6274" s="14"/>
      <c r="AS6274" s="14"/>
      <c r="AT6274" s="14"/>
      <c r="AU6274" s="14"/>
      <c r="AV6274" s="14"/>
      <c r="AW6274" s="15">
        <f t="shared" si="1111"/>
        <v>1200</v>
      </c>
      <c r="AX6274" s="16"/>
    </row>
    <row r="6275" spans="2:50" x14ac:dyDescent="0.2">
      <c r="B6275" s="7"/>
      <c r="C6275" s="8">
        <v>16394</v>
      </c>
      <c r="D6275" s="9" t="s">
        <v>791</v>
      </c>
      <c r="E6275" s="10" t="str">
        <f t="shared" si="1106"/>
        <v>Rancho Upácuaro No. 116</v>
      </c>
      <c r="F6275" s="10" t="str">
        <f t="shared" si="1107"/>
        <v>Zenteno</v>
      </c>
      <c r="G6275" s="8">
        <v>1</v>
      </c>
      <c r="H6275" s="11">
        <v>400</v>
      </c>
      <c r="I6275" s="12">
        <v>43205</v>
      </c>
      <c r="J6275" s="35">
        <f t="shared" si="1108"/>
        <v>0</v>
      </c>
      <c r="K6275" s="36"/>
      <c r="L6275" s="36"/>
      <c r="M6275" s="36"/>
      <c r="N6275" s="36"/>
      <c r="O6275" s="36"/>
      <c r="P6275" s="36"/>
      <c r="Q6275" s="36"/>
      <c r="R6275" s="36"/>
      <c r="S6275" s="36"/>
      <c r="T6275" s="36"/>
      <c r="U6275" s="36"/>
      <c r="V6275" s="36"/>
      <c r="W6275" s="15">
        <f t="shared" si="1109"/>
        <v>0</v>
      </c>
      <c r="X6275" s="36"/>
      <c r="Y6275" s="36"/>
      <c r="Z6275" s="36"/>
      <c r="AA6275" s="36"/>
      <c r="AB6275" s="36"/>
      <c r="AC6275" s="36"/>
      <c r="AD6275" s="36"/>
      <c r="AE6275" s="36"/>
      <c r="AF6275" s="36"/>
      <c r="AG6275" s="36"/>
      <c r="AH6275" s="36"/>
      <c r="AI6275" s="36"/>
      <c r="AJ6275" s="15">
        <f t="shared" si="1110"/>
        <v>0</v>
      </c>
      <c r="AK6275" s="14"/>
      <c r="AL6275" s="14"/>
      <c r="AM6275" s="14"/>
      <c r="AN6275" s="14">
        <v>400</v>
      </c>
      <c r="AO6275" s="14"/>
      <c r="AP6275" s="14"/>
      <c r="AQ6275" s="14"/>
      <c r="AR6275" s="14"/>
      <c r="AS6275" s="14"/>
      <c r="AT6275" s="14"/>
      <c r="AU6275" s="14"/>
      <c r="AV6275" s="14"/>
      <c r="AW6275" s="15">
        <f t="shared" si="1111"/>
        <v>400</v>
      </c>
      <c r="AX6275" s="16"/>
    </row>
    <row r="6276" spans="2:50" x14ac:dyDescent="0.2">
      <c r="B6276" s="7"/>
      <c r="C6276" s="8">
        <v>16395</v>
      </c>
      <c r="D6276" s="9" t="s">
        <v>899</v>
      </c>
      <c r="E6276" s="10" t="str">
        <f t="shared" si="1106"/>
        <v>Rancho Landero No. 8</v>
      </c>
      <c r="F6276" s="10" t="str">
        <f t="shared" si="1107"/>
        <v>Garces Suarez</v>
      </c>
      <c r="G6276" s="8">
        <v>1</v>
      </c>
      <c r="H6276" s="11">
        <v>400</v>
      </c>
      <c r="I6276" s="12">
        <v>43205</v>
      </c>
      <c r="J6276" s="35">
        <f t="shared" si="1108"/>
        <v>0</v>
      </c>
      <c r="K6276" s="36"/>
      <c r="L6276" s="36"/>
      <c r="M6276" s="36"/>
      <c r="N6276" s="36"/>
      <c r="O6276" s="36"/>
      <c r="P6276" s="36"/>
      <c r="Q6276" s="36"/>
      <c r="R6276" s="36"/>
      <c r="S6276" s="36"/>
      <c r="T6276" s="36"/>
      <c r="U6276" s="36"/>
      <c r="V6276" s="36"/>
      <c r="W6276" s="15">
        <f t="shared" si="1109"/>
        <v>0</v>
      </c>
      <c r="X6276" s="36"/>
      <c r="Y6276" s="36"/>
      <c r="Z6276" s="36"/>
      <c r="AA6276" s="36"/>
      <c r="AB6276" s="36"/>
      <c r="AC6276" s="36"/>
      <c r="AD6276" s="36"/>
      <c r="AE6276" s="36"/>
      <c r="AF6276" s="36"/>
      <c r="AG6276" s="36"/>
      <c r="AH6276" s="36"/>
      <c r="AI6276" s="36"/>
      <c r="AJ6276" s="15">
        <f t="shared" si="1110"/>
        <v>0</v>
      </c>
      <c r="AK6276" s="14"/>
      <c r="AL6276" s="14"/>
      <c r="AM6276" s="14"/>
      <c r="AN6276" s="14">
        <v>400</v>
      </c>
      <c r="AO6276" s="14"/>
      <c r="AP6276" s="14"/>
      <c r="AQ6276" s="14"/>
      <c r="AR6276" s="14"/>
      <c r="AS6276" s="14"/>
      <c r="AT6276" s="14"/>
      <c r="AU6276" s="14"/>
      <c r="AV6276" s="14"/>
      <c r="AW6276" s="15">
        <f t="shared" si="1111"/>
        <v>400</v>
      </c>
      <c r="AX6276" s="16"/>
    </row>
    <row r="6277" spans="2:50" x14ac:dyDescent="0.2">
      <c r="B6277" s="7"/>
      <c r="C6277" s="8">
        <v>16396</v>
      </c>
      <c r="D6277" s="9" t="s">
        <v>672</v>
      </c>
      <c r="E6277" s="10" t="str">
        <f t="shared" si="1106"/>
        <v>Rancho Estanzuela No. 11, B</v>
      </c>
      <c r="F6277" s="10" t="str">
        <f t="shared" si="1107"/>
        <v>Gómez Miguel</v>
      </c>
      <c r="G6277" s="8">
        <v>1</v>
      </c>
      <c r="H6277" s="11">
        <v>200</v>
      </c>
      <c r="I6277" s="12">
        <v>43205</v>
      </c>
      <c r="J6277" s="35">
        <f t="shared" si="1108"/>
        <v>0</v>
      </c>
      <c r="K6277" s="36"/>
      <c r="L6277" s="36"/>
      <c r="M6277" s="36"/>
      <c r="N6277" s="36"/>
      <c r="O6277" s="36"/>
      <c r="P6277" s="36"/>
      <c r="Q6277" s="36"/>
      <c r="R6277" s="36"/>
      <c r="S6277" s="36"/>
      <c r="T6277" s="36"/>
      <c r="U6277" s="36"/>
      <c r="V6277" s="36"/>
      <c r="W6277" s="15">
        <f t="shared" si="1109"/>
        <v>0</v>
      </c>
      <c r="X6277" s="36"/>
      <c r="Y6277" s="36"/>
      <c r="Z6277" s="36"/>
      <c r="AA6277" s="36"/>
      <c r="AB6277" s="36"/>
      <c r="AC6277" s="36"/>
      <c r="AD6277" s="36"/>
      <c r="AE6277" s="36"/>
      <c r="AF6277" s="36"/>
      <c r="AG6277" s="36"/>
      <c r="AH6277" s="36"/>
      <c r="AI6277" s="36"/>
      <c r="AJ6277" s="15">
        <f t="shared" si="1110"/>
        <v>0</v>
      </c>
      <c r="AK6277" s="14"/>
      <c r="AL6277" s="14"/>
      <c r="AM6277" s="14"/>
      <c r="AN6277" s="14">
        <v>200</v>
      </c>
      <c r="AO6277" s="14"/>
      <c r="AP6277" s="14"/>
      <c r="AQ6277" s="14"/>
      <c r="AR6277" s="14"/>
      <c r="AS6277" s="14"/>
      <c r="AT6277" s="14"/>
      <c r="AU6277" s="14"/>
      <c r="AV6277" s="14"/>
      <c r="AW6277" s="15">
        <f t="shared" si="1111"/>
        <v>200</v>
      </c>
      <c r="AX6277" s="16"/>
    </row>
    <row r="6278" spans="2:50" x14ac:dyDescent="0.2">
      <c r="B6278" s="7"/>
      <c r="C6278" s="8">
        <v>16397</v>
      </c>
      <c r="D6278" s="9" t="s">
        <v>797</v>
      </c>
      <c r="E6278" s="10" t="str">
        <f t="shared" si="1106"/>
        <v>Rancho Recoveco No. 195</v>
      </c>
      <c r="F6278" s="10" t="str">
        <f t="shared" si="1107"/>
        <v>Sandoval</v>
      </c>
      <c r="G6278" s="8">
        <v>1</v>
      </c>
      <c r="H6278" s="11">
        <v>250</v>
      </c>
      <c r="I6278" s="12">
        <v>43205</v>
      </c>
      <c r="J6278" s="35">
        <f t="shared" si="1108"/>
        <v>0</v>
      </c>
      <c r="K6278" s="36"/>
      <c r="L6278" s="36"/>
      <c r="M6278" s="36"/>
      <c r="N6278" s="36"/>
      <c r="O6278" s="36"/>
      <c r="P6278" s="36"/>
      <c r="Q6278" s="36"/>
      <c r="R6278" s="36"/>
      <c r="S6278" s="36"/>
      <c r="T6278" s="36"/>
      <c r="U6278" s="36"/>
      <c r="V6278" s="36"/>
      <c r="W6278" s="15">
        <f t="shared" si="1109"/>
        <v>0</v>
      </c>
      <c r="X6278" s="36"/>
      <c r="Y6278" s="36"/>
      <c r="Z6278" s="36"/>
      <c r="AA6278" s="36"/>
      <c r="AB6278" s="36"/>
      <c r="AC6278" s="36"/>
      <c r="AD6278" s="36"/>
      <c r="AE6278" s="36"/>
      <c r="AF6278" s="36"/>
      <c r="AG6278" s="36"/>
      <c r="AH6278" s="36"/>
      <c r="AI6278" s="36"/>
      <c r="AJ6278" s="15">
        <f t="shared" si="1110"/>
        <v>0</v>
      </c>
      <c r="AK6278" s="14"/>
      <c r="AL6278" s="14"/>
      <c r="AM6278" s="14"/>
      <c r="AN6278" s="14">
        <v>250</v>
      </c>
      <c r="AO6278" s="14"/>
      <c r="AP6278" s="14"/>
      <c r="AQ6278" s="14"/>
      <c r="AR6278" s="14"/>
      <c r="AS6278" s="14"/>
      <c r="AT6278" s="14"/>
      <c r="AU6278" s="14"/>
      <c r="AV6278" s="14"/>
      <c r="AW6278" s="15">
        <f t="shared" si="1111"/>
        <v>250</v>
      </c>
      <c r="AX6278" s="16"/>
    </row>
    <row r="6279" spans="2:50" x14ac:dyDescent="0.2">
      <c r="B6279" s="7"/>
      <c r="C6279" s="8">
        <v>16398</v>
      </c>
      <c r="D6279" s="9" t="s">
        <v>652</v>
      </c>
      <c r="E6279" s="10" t="str">
        <f t="shared" si="1106"/>
        <v>Rancho Zinamba No. 74</v>
      </c>
      <c r="F6279" s="10" t="str">
        <f t="shared" si="1107"/>
        <v>García Castellanos</v>
      </c>
      <c r="G6279" s="8">
        <v>5</v>
      </c>
      <c r="H6279" s="11">
        <v>50</v>
      </c>
      <c r="I6279" s="12">
        <v>43205</v>
      </c>
      <c r="J6279" s="35">
        <f t="shared" si="1108"/>
        <v>0</v>
      </c>
      <c r="K6279" s="36"/>
      <c r="L6279" s="36"/>
      <c r="M6279" s="36"/>
      <c r="N6279" s="36"/>
      <c r="O6279" s="36"/>
      <c r="P6279" s="36"/>
      <c r="Q6279" s="36"/>
      <c r="R6279" s="36"/>
      <c r="S6279" s="36"/>
      <c r="T6279" s="36"/>
      <c r="U6279" s="36"/>
      <c r="V6279" s="36"/>
      <c r="W6279" s="15">
        <f t="shared" si="1109"/>
        <v>0</v>
      </c>
      <c r="X6279" s="36"/>
      <c r="Y6279" s="36"/>
      <c r="Z6279" s="36"/>
      <c r="AA6279" s="36"/>
      <c r="AB6279" s="36"/>
      <c r="AC6279" s="36"/>
      <c r="AD6279" s="36"/>
      <c r="AE6279" s="36"/>
      <c r="AF6279" s="36"/>
      <c r="AG6279" s="36"/>
      <c r="AH6279" s="36"/>
      <c r="AI6279" s="36"/>
      <c r="AJ6279" s="15">
        <f t="shared" si="1110"/>
        <v>0</v>
      </c>
      <c r="AK6279" s="14"/>
      <c r="AL6279" s="14"/>
      <c r="AM6279" s="14"/>
      <c r="AN6279" s="14"/>
      <c r="AO6279" s="14"/>
      <c r="AP6279" s="14"/>
      <c r="AQ6279" s="14"/>
      <c r="AR6279" s="14"/>
      <c r="AS6279" s="14"/>
      <c r="AT6279" s="14"/>
      <c r="AU6279" s="14"/>
      <c r="AV6279" s="14"/>
      <c r="AW6279" s="15">
        <f t="shared" si="1111"/>
        <v>0</v>
      </c>
      <c r="AX6279" s="16"/>
    </row>
    <row r="6280" spans="2:50" x14ac:dyDescent="0.2">
      <c r="B6280" s="7"/>
      <c r="C6280" s="8">
        <v>16399</v>
      </c>
      <c r="D6280" s="9" t="s">
        <v>803</v>
      </c>
      <c r="E6280" s="10" t="str">
        <f t="shared" si="1106"/>
        <v>Rancho La Cuchilla No. 36</v>
      </c>
      <c r="F6280" s="10" t="str">
        <f t="shared" si="1107"/>
        <v>Castillo</v>
      </c>
      <c r="G6280" s="8">
        <v>1</v>
      </c>
      <c r="H6280" s="11">
        <v>400</v>
      </c>
      <c r="I6280" s="12">
        <v>43205</v>
      </c>
      <c r="J6280" s="35">
        <f t="shared" si="1108"/>
        <v>0</v>
      </c>
      <c r="K6280" s="36"/>
      <c r="L6280" s="36"/>
      <c r="M6280" s="36"/>
      <c r="N6280" s="36"/>
      <c r="O6280" s="36"/>
      <c r="P6280" s="36"/>
      <c r="Q6280" s="36"/>
      <c r="R6280" s="36"/>
      <c r="S6280" s="36"/>
      <c r="T6280" s="36"/>
      <c r="U6280" s="36"/>
      <c r="V6280" s="36"/>
      <c r="W6280" s="15">
        <f t="shared" si="1109"/>
        <v>0</v>
      </c>
      <c r="X6280" s="36"/>
      <c r="Y6280" s="36"/>
      <c r="Z6280" s="36"/>
      <c r="AA6280" s="36"/>
      <c r="AB6280" s="36"/>
      <c r="AC6280" s="36"/>
      <c r="AD6280" s="36"/>
      <c r="AE6280" s="36"/>
      <c r="AF6280" s="36"/>
      <c r="AG6280" s="36"/>
      <c r="AH6280" s="36"/>
      <c r="AI6280" s="36"/>
      <c r="AJ6280" s="15">
        <f t="shared" si="1110"/>
        <v>0</v>
      </c>
      <c r="AK6280" s="14"/>
      <c r="AL6280" s="14"/>
      <c r="AM6280" s="14"/>
      <c r="AN6280" s="14">
        <v>400</v>
      </c>
      <c r="AO6280" s="14"/>
      <c r="AP6280" s="14"/>
      <c r="AQ6280" s="14"/>
      <c r="AR6280" s="14"/>
      <c r="AS6280" s="14"/>
      <c r="AT6280" s="14"/>
      <c r="AU6280" s="14"/>
      <c r="AV6280" s="14"/>
      <c r="AW6280" s="15">
        <f t="shared" si="1111"/>
        <v>400</v>
      </c>
      <c r="AX6280" s="16"/>
    </row>
    <row r="6281" spans="2:50" x14ac:dyDescent="0.2">
      <c r="B6281" s="7"/>
      <c r="C6281" s="8">
        <v>16400</v>
      </c>
      <c r="D6281" s="9" t="s">
        <v>343</v>
      </c>
      <c r="E6281" s="10" t="str">
        <f t="shared" si="1106"/>
        <v>Rancho Upácuaro No. 88</v>
      </c>
      <c r="F6281" s="10" t="str">
        <f t="shared" si="1107"/>
        <v>Millán Núñez</v>
      </c>
      <c r="G6281" s="8">
        <v>1</v>
      </c>
      <c r="H6281" s="11">
        <v>400</v>
      </c>
      <c r="I6281" s="12">
        <v>43205</v>
      </c>
      <c r="J6281" s="35">
        <f t="shared" si="1108"/>
        <v>0</v>
      </c>
      <c r="K6281" s="36"/>
      <c r="L6281" s="36"/>
      <c r="M6281" s="36"/>
      <c r="N6281" s="36"/>
      <c r="O6281" s="36"/>
      <c r="P6281" s="36"/>
      <c r="Q6281" s="36"/>
      <c r="R6281" s="36"/>
      <c r="S6281" s="36"/>
      <c r="T6281" s="36"/>
      <c r="U6281" s="36"/>
      <c r="V6281" s="36"/>
      <c r="W6281" s="15">
        <f t="shared" si="1109"/>
        <v>0</v>
      </c>
      <c r="X6281" s="36"/>
      <c r="Y6281" s="36"/>
      <c r="Z6281" s="36"/>
      <c r="AA6281" s="36"/>
      <c r="AB6281" s="36"/>
      <c r="AC6281" s="36"/>
      <c r="AD6281" s="36"/>
      <c r="AE6281" s="36"/>
      <c r="AF6281" s="36"/>
      <c r="AG6281" s="36"/>
      <c r="AH6281" s="36"/>
      <c r="AI6281" s="36"/>
      <c r="AJ6281" s="15">
        <f t="shared" si="1110"/>
        <v>0</v>
      </c>
      <c r="AK6281" s="14"/>
      <c r="AL6281" s="14"/>
      <c r="AM6281" s="14"/>
      <c r="AN6281" s="14">
        <v>400</v>
      </c>
      <c r="AO6281" s="14"/>
      <c r="AP6281" s="14"/>
      <c r="AQ6281" s="14"/>
      <c r="AR6281" s="14"/>
      <c r="AS6281" s="14"/>
      <c r="AT6281" s="14"/>
      <c r="AU6281" s="14"/>
      <c r="AV6281" s="14"/>
      <c r="AW6281" s="15">
        <f t="shared" si="1111"/>
        <v>400</v>
      </c>
      <c r="AX6281" s="16"/>
    </row>
    <row r="6282" spans="2:50" x14ac:dyDescent="0.2">
      <c r="B6282" s="7"/>
      <c r="C6282" s="8">
        <v>16401</v>
      </c>
      <c r="D6282" s="9" t="s">
        <v>637</v>
      </c>
      <c r="E6282" s="10" t="str">
        <f t="shared" si="1106"/>
        <v>Rancho Recoveco No. 193</v>
      </c>
      <c r="F6282" s="10" t="str">
        <f t="shared" si="1107"/>
        <v>Salazar Pérez</v>
      </c>
      <c r="G6282" s="8">
        <v>5</v>
      </c>
      <c r="H6282" s="11">
        <v>50</v>
      </c>
      <c r="I6282" s="12">
        <v>43205</v>
      </c>
      <c r="J6282" s="35">
        <f t="shared" si="1108"/>
        <v>0</v>
      </c>
      <c r="K6282" s="36"/>
      <c r="L6282" s="36"/>
      <c r="M6282" s="36"/>
      <c r="N6282" s="36"/>
      <c r="O6282" s="36"/>
      <c r="P6282" s="36"/>
      <c r="Q6282" s="36"/>
      <c r="R6282" s="36"/>
      <c r="S6282" s="36"/>
      <c r="T6282" s="36"/>
      <c r="U6282" s="36"/>
      <c r="V6282" s="36"/>
      <c r="W6282" s="15">
        <f t="shared" si="1109"/>
        <v>0</v>
      </c>
      <c r="X6282" s="36"/>
      <c r="Y6282" s="36"/>
      <c r="Z6282" s="36"/>
      <c r="AA6282" s="36"/>
      <c r="AB6282" s="36"/>
      <c r="AC6282" s="36"/>
      <c r="AD6282" s="36"/>
      <c r="AE6282" s="36"/>
      <c r="AF6282" s="36"/>
      <c r="AG6282" s="36"/>
      <c r="AH6282" s="36"/>
      <c r="AI6282" s="36"/>
      <c r="AJ6282" s="15">
        <f t="shared" si="1110"/>
        <v>0</v>
      </c>
      <c r="AK6282" s="14"/>
      <c r="AL6282" s="14"/>
      <c r="AM6282" s="14"/>
      <c r="AN6282" s="14"/>
      <c r="AO6282" s="14"/>
      <c r="AP6282" s="14"/>
      <c r="AQ6282" s="14"/>
      <c r="AR6282" s="14"/>
      <c r="AS6282" s="14"/>
      <c r="AT6282" s="14"/>
      <c r="AU6282" s="14"/>
      <c r="AV6282" s="14"/>
      <c r="AW6282" s="15">
        <f t="shared" si="1111"/>
        <v>0</v>
      </c>
      <c r="AX6282" s="316">
        <f>SUM(H6238:H6282)</f>
        <v>21350</v>
      </c>
    </row>
    <row r="6283" spans="2:50" x14ac:dyDescent="0.2">
      <c r="B6283" s="7"/>
      <c r="C6283" s="8">
        <v>16402</v>
      </c>
      <c r="D6283" s="9" t="s">
        <v>1026</v>
      </c>
      <c r="E6283" s="10" t="str">
        <f t="shared" si="1106"/>
        <v>Rancho Estanzuela No. 119, 2</v>
      </c>
      <c r="F6283" s="10" t="str">
        <f t="shared" si="1107"/>
        <v>Lòpez Tovar</v>
      </c>
      <c r="G6283" s="8">
        <v>1</v>
      </c>
      <c r="H6283" s="315">
        <v>400</v>
      </c>
      <c r="I6283" s="12">
        <v>43206</v>
      </c>
      <c r="J6283" s="35">
        <f t="shared" si="1108"/>
        <v>0</v>
      </c>
      <c r="K6283" s="36"/>
      <c r="L6283" s="36"/>
      <c r="M6283" s="36"/>
      <c r="N6283" s="36"/>
      <c r="O6283" s="36"/>
      <c r="P6283" s="36"/>
      <c r="Q6283" s="36"/>
      <c r="R6283" s="36"/>
      <c r="S6283" s="36"/>
      <c r="T6283" s="36"/>
      <c r="U6283" s="36"/>
      <c r="V6283" s="36"/>
      <c r="W6283" s="15">
        <f t="shared" si="1109"/>
        <v>0</v>
      </c>
      <c r="X6283" s="36"/>
      <c r="Y6283" s="36"/>
      <c r="Z6283" s="36"/>
      <c r="AA6283" s="36"/>
      <c r="AB6283" s="36"/>
      <c r="AC6283" s="36"/>
      <c r="AD6283" s="36"/>
      <c r="AE6283" s="36"/>
      <c r="AF6283" s="36"/>
      <c r="AG6283" s="36"/>
      <c r="AH6283" s="36"/>
      <c r="AI6283" s="36"/>
      <c r="AJ6283" s="15">
        <f t="shared" si="1110"/>
        <v>0</v>
      </c>
      <c r="AK6283" s="14"/>
      <c r="AL6283" s="14"/>
      <c r="AM6283" s="14">
        <v>200</v>
      </c>
      <c r="AN6283" s="14">
        <v>200</v>
      </c>
      <c r="AO6283" s="14"/>
      <c r="AP6283" s="14"/>
      <c r="AQ6283" s="14"/>
      <c r="AR6283" s="14"/>
      <c r="AS6283" s="14"/>
      <c r="AT6283" s="14"/>
      <c r="AU6283" s="14"/>
      <c r="AV6283" s="14"/>
      <c r="AW6283" s="15">
        <f t="shared" si="1111"/>
        <v>400</v>
      </c>
      <c r="AX6283" s="16"/>
    </row>
    <row r="6284" spans="2:50" x14ac:dyDescent="0.2">
      <c r="B6284" s="7"/>
      <c r="C6284" s="8">
        <v>16403</v>
      </c>
      <c r="D6284" s="9" t="s">
        <v>310</v>
      </c>
      <c r="E6284" s="10" t="str">
        <f t="shared" si="1106"/>
        <v>Rancho Recoveco No. 181</v>
      </c>
      <c r="F6284" s="10" t="str">
        <f t="shared" si="1107"/>
        <v>Castillo</v>
      </c>
      <c r="G6284" s="8">
        <v>1</v>
      </c>
      <c r="H6284" s="11">
        <v>400</v>
      </c>
      <c r="I6284" s="12">
        <v>43206</v>
      </c>
      <c r="J6284" s="35">
        <f t="shared" si="1108"/>
        <v>0</v>
      </c>
      <c r="K6284" s="36"/>
      <c r="L6284" s="36"/>
      <c r="M6284" s="36"/>
      <c r="N6284" s="36"/>
      <c r="O6284" s="36"/>
      <c r="P6284" s="36"/>
      <c r="Q6284" s="36"/>
      <c r="R6284" s="36"/>
      <c r="S6284" s="36"/>
      <c r="T6284" s="36"/>
      <c r="U6284" s="36"/>
      <c r="V6284" s="36"/>
      <c r="W6284" s="15">
        <f t="shared" si="1109"/>
        <v>0</v>
      </c>
      <c r="X6284" s="36"/>
      <c r="Y6284" s="36"/>
      <c r="Z6284" s="36"/>
      <c r="AA6284" s="36"/>
      <c r="AB6284" s="36"/>
      <c r="AC6284" s="36"/>
      <c r="AD6284" s="36"/>
      <c r="AE6284" s="36"/>
      <c r="AF6284" s="36"/>
      <c r="AG6284" s="36"/>
      <c r="AH6284" s="36"/>
      <c r="AI6284" s="36"/>
      <c r="AJ6284" s="15">
        <f t="shared" si="1110"/>
        <v>0</v>
      </c>
      <c r="AK6284" s="14"/>
      <c r="AL6284" s="14"/>
      <c r="AM6284" s="14"/>
      <c r="AN6284" s="14">
        <v>400</v>
      </c>
      <c r="AO6284" s="14"/>
      <c r="AP6284" s="14"/>
      <c r="AQ6284" s="14"/>
      <c r="AR6284" s="14"/>
      <c r="AS6284" s="14"/>
      <c r="AT6284" s="14"/>
      <c r="AU6284" s="14"/>
      <c r="AV6284" s="14"/>
      <c r="AW6284" s="15">
        <f t="shared" si="1111"/>
        <v>400</v>
      </c>
      <c r="AX6284" s="16"/>
    </row>
    <row r="6285" spans="2:50" x14ac:dyDescent="0.2">
      <c r="B6285" s="7"/>
      <c r="C6285" s="8">
        <v>16404</v>
      </c>
      <c r="D6285" s="9" t="s">
        <v>1154</v>
      </c>
      <c r="E6285" s="10" t="str">
        <f t="shared" si="1106"/>
        <v>Rancho La Cuchilla No. 112, PA</v>
      </c>
      <c r="F6285" s="10" t="str">
        <f t="shared" si="1107"/>
        <v>Villalpando Pineda</v>
      </c>
      <c r="G6285" s="8">
        <v>1</v>
      </c>
      <c r="H6285" s="11">
        <v>200</v>
      </c>
      <c r="I6285" s="12">
        <v>43207</v>
      </c>
      <c r="J6285" s="35">
        <f t="shared" si="1108"/>
        <v>0</v>
      </c>
      <c r="K6285" s="36"/>
      <c r="L6285" s="36"/>
      <c r="M6285" s="36"/>
      <c r="N6285" s="36"/>
      <c r="O6285" s="36"/>
      <c r="P6285" s="36"/>
      <c r="Q6285" s="36"/>
      <c r="R6285" s="36"/>
      <c r="S6285" s="36"/>
      <c r="T6285" s="36"/>
      <c r="U6285" s="36"/>
      <c r="V6285" s="36"/>
      <c r="W6285" s="15">
        <f t="shared" si="1109"/>
        <v>0</v>
      </c>
      <c r="X6285" s="36"/>
      <c r="Y6285" s="36"/>
      <c r="Z6285" s="36"/>
      <c r="AA6285" s="36"/>
      <c r="AB6285" s="36"/>
      <c r="AC6285" s="36"/>
      <c r="AD6285" s="36"/>
      <c r="AE6285" s="36"/>
      <c r="AF6285" s="36"/>
      <c r="AG6285" s="36"/>
      <c r="AH6285" s="36"/>
      <c r="AI6285" s="36"/>
      <c r="AJ6285" s="15">
        <f t="shared" si="1110"/>
        <v>0</v>
      </c>
      <c r="AK6285" s="14"/>
      <c r="AL6285" s="14"/>
      <c r="AM6285" s="14"/>
      <c r="AN6285" s="14">
        <v>200</v>
      </c>
      <c r="AO6285" s="14"/>
      <c r="AP6285" s="14"/>
      <c r="AQ6285" s="14"/>
      <c r="AR6285" s="14"/>
      <c r="AS6285" s="14"/>
      <c r="AT6285" s="14"/>
      <c r="AU6285" s="14"/>
      <c r="AV6285" s="14"/>
      <c r="AW6285" s="15">
        <f t="shared" si="1111"/>
        <v>200</v>
      </c>
      <c r="AX6285" s="16"/>
    </row>
    <row r="6286" spans="2:50" x14ac:dyDescent="0.2">
      <c r="B6286" s="7"/>
      <c r="C6286" s="8">
        <v>16405</v>
      </c>
      <c r="D6286" s="9" t="s">
        <v>902</v>
      </c>
      <c r="E6286" s="10" t="str">
        <f t="shared" si="1100"/>
        <v>Rancho Romeral No. 33</v>
      </c>
      <c r="F6286" s="10" t="str">
        <f t="shared" si="1101"/>
        <v>Juárez Alva</v>
      </c>
      <c r="G6286" s="8">
        <v>1</v>
      </c>
      <c r="H6286" s="11">
        <v>4400</v>
      </c>
      <c r="I6286" s="12">
        <v>43210</v>
      </c>
      <c r="J6286" s="35">
        <f t="shared" si="1102"/>
        <v>0</v>
      </c>
      <c r="K6286" s="36"/>
      <c r="L6286" s="36"/>
      <c r="M6286" s="36"/>
      <c r="N6286" s="36"/>
      <c r="O6286" s="36"/>
      <c r="P6286" s="36"/>
      <c r="Q6286" s="36"/>
      <c r="R6286" s="36"/>
      <c r="S6286" s="36"/>
      <c r="T6286" s="36"/>
      <c r="U6286" s="36"/>
      <c r="V6286" s="36"/>
      <c r="W6286" s="15">
        <f t="shared" si="1103"/>
        <v>0</v>
      </c>
      <c r="X6286" s="36"/>
      <c r="Y6286" s="36"/>
      <c r="Z6286" s="36"/>
      <c r="AA6286" s="36"/>
      <c r="AB6286" s="36"/>
      <c r="AC6286" s="36"/>
      <c r="AD6286" s="36"/>
      <c r="AE6286" s="36"/>
      <c r="AF6286" s="36"/>
      <c r="AG6286" s="36"/>
      <c r="AH6286" s="36"/>
      <c r="AI6286" s="36"/>
      <c r="AJ6286" s="15">
        <f t="shared" si="1104"/>
        <v>0</v>
      </c>
      <c r="AK6286" s="14">
        <v>400</v>
      </c>
      <c r="AL6286" s="14">
        <v>400</v>
      </c>
      <c r="AM6286" s="14">
        <v>400</v>
      </c>
      <c r="AN6286" s="14">
        <v>400</v>
      </c>
      <c r="AO6286" s="14">
        <v>400</v>
      </c>
      <c r="AP6286" s="14">
        <v>400</v>
      </c>
      <c r="AQ6286" s="14">
        <v>400</v>
      </c>
      <c r="AR6286" s="14">
        <v>400</v>
      </c>
      <c r="AS6286" s="14">
        <v>400</v>
      </c>
      <c r="AT6286" s="14">
        <v>400</v>
      </c>
      <c r="AU6286" s="14">
        <v>400</v>
      </c>
      <c r="AV6286" s="14"/>
      <c r="AW6286" s="15">
        <f t="shared" si="1105"/>
        <v>4400</v>
      </c>
      <c r="AX6286" s="16" t="s">
        <v>5167</v>
      </c>
    </row>
    <row r="6287" spans="2:50" x14ac:dyDescent="0.2">
      <c r="B6287" s="7"/>
      <c r="C6287" s="8">
        <v>16406</v>
      </c>
      <c r="D6287" s="9" t="s">
        <v>719</v>
      </c>
      <c r="E6287" s="10" t="str">
        <f t="shared" ref="E6287:E6305" si="1112">IF(D6287=0,"",VLOOKUP(D6287,BASE,2,FALSE))</f>
        <v>Rancho Estanzuela No. 119, 1</v>
      </c>
      <c r="F6287" s="10" t="str">
        <f t="shared" ref="F6287:F6305" si="1113">IF(D6287=0,"",VLOOKUP(D6287,BASE,3,FALSE))</f>
        <v>Crespo</v>
      </c>
      <c r="G6287" s="8">
        <v>4</v>
      </c>
      <c r="H6287" s="11">
        <v>400</v>
      </c>
      <c r="I6287" s="12">
        <v>43210</v>
      </c>
      <c r="J6287" s="35">
        <f t="shared" ref="J6287:J6305" si="1114">IF(G6287=1,SUM(W6287,AJ6287,AW6287,-H6287),0)</f>
        <v>0</v>
      </c>
      <c r="K6287" s="36"/>
      <c r="L6287" s="36"/>
      <c r="M6287" s="36"/>
      <c r="N6287" s="36"/>
      <c r="O6287" s="36"/>
      <c r="P6287" s="36"/>
      <c r="Q6287" s="36"/>
      <c r="R6287" s="36"/>
      <c r="S6287" s="36"/>
      <c r="T6287" s="36"/>
      <c r="U6287" s="36"/>
      <c r="V6287" s="36"/>
      <c r="W6287" s="15">
        <f t="shared" ref="W6287:W6305" si="1115">SUM(K6287:V6287)</f>
        <v>0</v>
      </c>
      <c r="X6287" s="36"/>
      <c r="Y6287" s="36"/>
      <c r="Z6287" s="36"/>
      <c r="AA6287" s="36"/>
      <c r="AB6287" s="36"/>
      <c r="AC6287" s="36"/>
      <c r="AD6287" s="36"/>
      <c r="AE6287" s="36"/>
      <c r="AF6287" s="36"/>
      <c r="AG6287" s="36"/>
      <c r="AH6287" s="36"/>
      <c r="AI6287" s="36"/>
      <c r="AJ6287" s="15">
        <f t="shared" ref="AJ6287:AJ6305" si="1116">SUM(X6287:AI6287)</f>
        <v>0</v>
      </c>
      <c r="AK6287" s="14"/>
      <c r="AL6287" s="14"/>
      <c r="AM6287" s="14"/>
      <c r="AN6287" s="14"/>
      <c r="AO6287" s="14"/>
      <c r="AP6287" s="14"/>
      <c r="AQ6287" s="14"/>
      <c r="AR6287" s="14"/>
      <c r="AS6287" s="14"/>
      <c r="AT6287" s="14"/>
      <c r="AU6287" s="14"/>
      <c r="AV6287" s="14"/>
      <c r="AW6287" s="15">
        <f t="shared" ref="AW6287:AW6305" si="1117">SUM(AK6287:AV6287)</f>
        <v>0</v>
      </c>
      <c r="AX6287" s="316">
        <f>SUM(H6283:H6287)</f>
        <v>5800</v>
      </c>
    </row>
    <row r="6288" spans="2:50" x14ac:dyDescent="0.2">
      <c r="B6288" s="7"/>
      <c r="C6288" s="8">
        <v>16407</v>
      </c>
      <c r="D6288" s="9" t="s">
        <v>640</v>
      </c>
      <c r="E6288" s="10" t="str">
        <f t="shared" si="1112"/>
        <v>Rancho Estopila No. 22, A</v>
      </c>
      <c r="F6288" s="10" t="str">
        <f t="shared" si="1113"/>
        <v>Ayala Carranza</v>
      </c>
      <c r="G6288" s="8">
        <v>1</v>
      </c>
      <c r="H6288" s="315">
        <v>200</v>
      </c>
      <c r="I6288" s="12">
        <v>43212</v>
      </c>
      <c r="J6288" s="35">
        <f t="shared" si="1114"/>
        <v>0</v>
      </c>
      <c r="K6288" s="36"/>
      <c r="L6288" s="36"/>
      <c r="M6288" s="36"/>
      <c r="N6288" s="36"/>
      <c r="O6288" s="36"/>
      <c r="P6288" s="36"/>
      <c r="Q6288" s="36"/>
      <c r="R6288" s="36"/>
      <c r="S6288" s="36"/>
      <c r="T6288" s="36"/>
      <c r="U6288" s="36"/>
      <c r="V6288" s="36"/>
      <c r="W6288" s="15">
        <f t="shared" si="1115"/>
        <v>0</v>
      </c>
      <c r="X6288" s="36"/>
      <c r="Y6288" s="36"/>
      <c r="Z6288" s="36"/>
      <c r="AA6288" s="36"/>
      <c r="AB6288" s="36"/>
      <c r="AC6288" s="36"/>
      <c r="AD6288" s="36"/>
      <c r="AE6288" s="36"/>
      <c r="AF6288" s="36"/>
      <c r="AG6288" s="36"/>
      <c r="AH6288" s="36"/>
      <c r="AI6288" s="36"/>
      <c r="AJ6288" s="15">
        <f t="shared" si="1116"/>
        <v>0</v>
      </c>
      <c r="AK6288" s="14"/>
      <c r="AL6288" s="14"/>
      <c r="AM6288" s="14"/>
      <c r="AN6288" s="14">
        <v>200</v>
      </c>
      <c r="AO6288" s="14"/>
      <c r="AP6288" s="14"/>
      <c r="AQ6288" s="14"/>
      <c r="AR6288" s="14"/>
      <c r="AS6288" s="14"/>
      <c r="AT6288" s="14"/>
      <c r="AU6288" s="14"/>
      <c r="AV6288" s="14"/>
      <c r="AW6288" s="15">
        <f t="shared" si="1117"/>
        <v>200</v>
      </c>
      <c r="AX6288" s="16"/>
    </row>
    <row r="6289" spans="2:50" x14ac:dyDescent="0.2">
      <c r="B6289" s="7"/>
      <c r="C6289" s="8">
        <v>16408</v>
      </c>
      <c r="D6289" s="9" t="s">
        <v>631</v>
      </c>
      <c r="E6289" s="10" t="str">
        <f t="shared" si="1112"/>
        <v>Rancho Romeral No. 10, B</v>
      </c>
      <c r="F6289" s="10" t="str">
        <f t="shared" si="1113"/>
        <v>López Castellano</v>
      </c>
      <c r="G6289" s="8">
        <v>1</v>
      </c>
      <c r="H6289" s="11">
        <v>300</v>
      </c>
      <c r="I6289" s="12">
        <v>43212</v>
      </c>
      <c r="J6289" s="35">
        <f t="shared" si="1114"/>
        <v>0</v>
      </c>
      <c r="K6289" s="36"/>
      <c r="L6289" s="36"/>
      <c r="M6289" s="36"/>
      <c r="N6289" s="36"/>
      <c r="O6289" s="36"/>
      <c r="P6289" s="36"/>
      <c r="Q6289" s="36"/>
      <c r="R6289" s="36"/>
      <c r="S6289" s="36"/>
      <c r="T6289" s="36"/>
      <c r="U6289" s="36"/>
      <c r="V6289" s="36"/>
      <c r="W6289" s="15">
        <f t="shared" si="1115"/>
        <v>0</v>
      </c>
      <c r="X6289" s="36"/>
      <c r="Y6289" s="36"/>
      <c r="Z6289" s="36"/>
      <c r="AA6289" s="36"/>
      <c r="AB6289" s="36"/>
      <c r="AC6289" s="36"/>
      <c r="AD6289" s="36"/>
      <c r="AE6289" s="36"/>
      <c r="AF6289" s="36"/>
      <c r="AG6289" s="36"/>
      <c r="AH6289" s="36"/>
      <c r="AI6289" s="36"/>
      <c r="AJ6289" s="15">
        <f t="shared" si="1116"/>
        <v>0</v>
      </c>
      <c r="AK6289" s="14"/>
      <c r="AL6289" s="14"/>
      <c r="AM6289" s="14"/>
      <c r="AN6289" s="14">
        <v>300</v>
      </c>
      <c r="AO6289" s="14"/>
      <c r="AP6289" s="14"/>
      <c r="AQ6289" s="14"/>
      <c r="AR6289" s="14"/>
      <c r="AS6289" s="14"/>
      <c r="AT6289" s="14"/>
      <c r="AU6289" s="14"/>
      <c r="AV6289" s="14"/>
      <c r="AW6289" s="15">
        <f t="shared" si="1117"/>
        <v>300</v>
      </c>
      <c r="AX6289" s="16"/>
    </row>
    <row r="6290" spans="2:50" x14ac:dyDescent="0.2">
      <c r="B6290" s="7"/>
      <c r="C6290" s="8">
        <v>16409</v>
      </c>
      <c r="D6290" s="9" t="s">
        <v>177</v>
      </c>
      <c r="E6290" s="10" t="str">
        <f t="shared" si="1112"/>
        <v>Rancho Landero No. 71</v>
      </c>
      <c r="F6290" s="10" t="str">
        <f t="shared" si="1113"/>
        <v xml:space="preserve">Luna  </v>
      </c>
      <c r="G6290" s="8">
        <v>1</v>
      </c>
      <c r="H6290" s="11">
        <v>400</v>
      </c>
      <c r="I6290" s="12">
        <v>43212</v>
      </c>
      <c r="J6290" s="35">
        <f t="shared" si="1114"/>
        <v>0</v>
      </c>
      <c r="K6290" s="36"/>
      <c r="L6290" s="36"/>
      <c r="M6290" s="36"/>
      <c r="N6290" s="36"/>
      <c r="O6290" s="36"/>
      <c r="P6290" s="36"/>
      <c r="Q6290" s="36"/>
      <c r="R6290" s="36"/>
      <c r="S6290" s="36"/>
      <c r="T6290" s="36"/>
      <c r="U6290" s="36"/>
      <c r="V6290" s="36"/>
      <c r="W6290" s="15">
        <f t="shared" si="1115"/>
        <v>0</v>
      </c>
      <c r="X6290" s="36"/>
      <c r="Y6290" s="36"/>
      <c r="Z6290" s="36"/>
      <c r="AA6290" s="36"/>
      <c r="AB6290" s="36"/>
      <c r="AC6290" s="36"/>
      <c r="AD6290" s="36"/>
      <c r="AE6290" s="36"/>
      <c r="AF6290" s="36"/>
      <c r="AG6290" s="36"/>
      <c r="AH6290" s="36"/>
      <c r="AI6290" s="36"/>
      <c r="AJ6290" s="15">
        <f t="shared" si="1116"/>
        <v>0</v>
      </c>
      <c r="AK6290" s="14"/>
      <c r="AL6290" s="14"/>
      <c r="AM6290" s="14"/>
      <c r="AN6290" s="14">
        <v>400</v>
      </c>
      <c r="AO6290" s="14"/>
      <c r="AP6290" s="14"/>
      <c r="AQ6290" s="14"/>
      <c r="AR6290" s="14"/>
      <c r="AS6290" s="14"/>
      <c r="AT6290" s="14"/>
      <c r="AU6290" s="14"/>
      <c r="AV6290" s="14"/>
      <c r="AW6290" s="15">
        <f t="shared" si="1117"/>
        <v>400</v>
      </c>
      <c r="AX6290" s="16"/>
    </row>
    <row r="6291" spans="2:50" x14ac:dyDescent="0.2">
      <c r="B6291" s="7"/>
      <c r="C6291" s="8">
        <v>16410</v>
      </c>
      <c r="D6291" s="9" t="s">
        <v>514</v>
      </c>
      <c r="E6291" s="10" t="str">
        <f t="shared" si="1112"/>
        <v>Rancho Upácuaro No. 114</v>
      </c>
      <c r="F6291" s="10" t="str">
        <f t="shared" si="1113"/>
        <v>Hernández Cornejo</v>
      </c>
      <c r="G6291" s="8">
        <v>1</v>
      </c>
      <c r="H6291" s="11">
        <v>400</v>
      </c>
      <c r="I6291" s="12">
        <v>43212</v>
      </c>
      <c r="J6291" s="35">
        <f t="shared" si="1114"/>
        <v>0</v>
      </c>
      <c r="K6291" s="36"/>
      <c r="L6291" s="36"/>
      <c r="M6291" s="36"/>
      <c r="N6291" s="36"/>
      <c r="O6291" s="36"/>
      <c r="P6291" s="36"/>
      <c r="Q6291" s="36"/>
      <c r="R6291" s="36"/>
      <c r="S6291" s="36"/>
      <c r="T6291" s="36"/>
      <c r="U6291" s="36"/>
      <c r="V6291" s="36"/>
      <c r="W6291" s="15">
        <f t="shared" si="1115"/>
        <v>0</v>
      </c>
      <c r="X6291" s="36"/>
      <c r="Y6291" s="36"/>
      <c r="Z6291" s="36"/>
      <c r="AA6291" s="36"/>
      <c r="AB6291" s="36"/>
      <c r="AC6291" s="36"/>
      <c r="AD6291" s="36"/>
      <c r="AE6291" s="36"/>
      <c r="AF6291" s="36"/>
      <c r="AG6291" s="36"/>
      <c r="AH6291" s="36"/>
      <c r="AI6291" s="36"/>
      <c r="AJ6291" s="15">
        <f t="shared" si="1116"/>
        <v>0</v>
      </c>
      <c r="AK6291" s="14"/>
      <c r="AL6291" s="14"/>
      <c r="AM6291" s="14"/>
      <c r="AN6291" s="14">
        <v>400</v>
      </c>
      <c r="AO6291" s="14"/>
      <c r="AP6291" s="14"/>
      <c r="AQ6291" s="14"/>
      <c r="AR6291" s="14"/>
      <c r="AS6291" s="14"/>
      <c r="AT6291" s="14"/>
      <c r="AU6291" s="14"/>
      <c r="AV6291" s="14"/>
      <c r="AW6291" s="15">
        <f t="shared" si="1117"/>
        <v>400</v>
      </c>
      <c r="AX6291" s="16"/>
    </row>
    <row r="6292" spans="2:50" x14ac:dyDescent="0.2">
      <c r="B6292" s="7"/>
      <c r="C6292" s="8">
        <v>16411</v>
      </c>
      <c r="D6292" s="9" t="s">
        <v>413</v>
      </c>
      <c r="E6292" s="10" t="str">
        <f t="shared" si="1112"/>
        <v>Rancho Upácuaro No. 79</v>
      </c>
      <c r="F6292" s="10" t="str">
        <f t="shared" si="1113"/>
        <v>Macías</v>
      </c>
      <c r="G6292" s="8">
        <v>1</v>
      </c>
      <c r="H6292" s="11">
        <v>400</v>
      </c>
      <c r="I6292" s="12">
        <v>43212</v>
      </c>
      <c r="J6292" s="35">
        <f t="shared" si="1114"/>
        <v>0</v>
      </c>
      <c r="K6292" s="36"/>
      <c r="L6292" s="36"/>
      <c r="M6292" s="36"/>
      <c r="N6292" s="36"/>
      <c r="O6292" s="36"/>
      <c r="P6292" s="36"/>
      <c r="Q6292" s="36"/>
      <c r="R6292" s="36"/>
      <c r="S6292" s="36"/>
      <c r="T6292" s="36"/>
      <c r="U6292" s="36"/>
      <c r="V6292" s="36"/>
      <c r="W6292" s="15">
        <f t="shared" si="1115"/>
        <v>0</v>
      </c>
      <c r="X6292" s="36"/>
      <c r="Y6292" s="36"/>
      <c r="Z6292" s="36"/>
      <c r="AA6292" s="36"/>
      <c r="AB6292" s="36"/>
      <c r="AC6292" s="36"/>
      <c r="AD6292" s="36"/>
      <c r="AE6292" s="36"/>
      <c r="AF6292" s="36"/>
      <c r="AG6292" s="36"/>
      <c r="AH6292" s="36"/>
      <c r="AI6292" s="36"/>
      <c r="AJ6292" s="15">
        <f t="shared" si="1116"/>
        <v>0</v>
      </c>
      <c r="AK6292" s="14"/>
      <c r="AL6292" s="14"/>
      <c r="AM6292" s="14"/>
      <c r="AN6292" s="14"/>
      <c r="AO6292" s="14">
        <v>400</v>
      </c>
      <c r="AP6292" s="14"/>
      <c r="AQ6292" s="14"/>
      <c r="AR6292" s="14"/>
      <c r="AS6292" s="14"/>
      <c r="AT6292" s="14"/>
      <c r="AU6292" s="14"/>
      <c r="AV6292" s="14"/>
      <c r="AW6292" s="15">
        <f t="shared" si="1117"/>
        <v>400</v>
      </c>
      <c r="AX6292" s="16"/>
    </row>
    <row r="6293" spans="2:50" x14ac:dyDescent="0.2">
      <c r="B6293" s="7"/>
      <c r="C6293" s="8">
        <v>16412</v>
      </c>
      <c r="D6293" s="9"/>
      <c r="E6293" s="10" t="str">
        <f t="shared" si="1112"/>
        <v/>
      </c>
      <c r="F6293" s="10" t="str">
        <f t="shared" si="1113"/>
        <v/>
      </c>
      <c r="G6293" s="8">
        <v>8</v>
      </c>
      <c r="H6293" s="11"/>
      <c r="I6293" s="12"/>
      <c r="J6293" s="35">
        <f t="shared" si="1114"/>
        <v>0</v>
      </c>
      <c r="K6293" s="36"/>
      <c r="L6293" s="36"/>
      <c r="M6293" s="36"/>
      <c r="N6293" s="36"/>
      <c r="O6293" s="36"/>
      <c r="P6293" s="36"/>
      <c r="Q6293" s="36"/>
      <c r="R6293" s="36"/>
      <c r="S6293" s="36"/>
      <c r="T6293" s="36"/>
      <c r="U6293" s="36"/>
      <c r="V6293" s="36"/>
      <c r="W6293" s="15">
        <f t="shared" si="1115"/>
        <v>0</v>
      </c>
      <c r="X6293" s="36"/>
      <c r="Y6293" s="36"/>
      <c r="Z6293" s="36"/>
      <c r="AA6293" s="36"/>
      <c r="AB6293" s="36"/>
      <c r="AC6293" s="36"/>
      <c r="AD6293" s="36"/>
      <c r="AE6293" s="36"/>
      <c r="AF6293" s="36"/>
      <c r="AG6293" s="36"/>
      <c r="AH6293" s="36"/>
      <c r="AI6293" s="36"/>
      <c r="AJ6293" s="15">
        <f t="shared" si="1116"/>
        <v>0</v>
      </c>
      <c r="AK6293" s="14"/>
      <c r="AL6293" s="14"/>
      <c r="AM6293" s="14"/>
      <c r="AN6293" s="14"/>
      <c r="AO6293" s="14"/>
      <c r="AP6293" s="14"/>
      <c r="AQ6293" s="14"/>
      <c r="AR6293" s="14"/>
      <c r="AS6293" s="14"/>
      <c r="AT6293" s="14"/>
      <c r="AU6293" s="14"/>
      <c r="AV6293" s="14"/>
      <c r="AW6293" s="15">
        <f t="shared" si="1117"/>
        <v>0</v>
      </c>
      <c r="AX6293" s="16"/>
    </row>
    <row r="6294" spans="2:50" x14ac:dyDescent="0.2">
      <c r="B6294" s="7"/>
      <c r="C6294" s="8">
        <v>16413</v>
      </c>
      <c r="D6294" s="9" t="s">
        <v>244</v>
      </c>
      <c r="E6294" s="10" t="str">
        <f t="shared" si="1112"/>
        <v>Rancho La Cuchilla No. 28</v>
      </c>
      <c r="F6294" s="10" t="str">
        <f t="shared" si="1113"/>
        <v>Prado de los S.</v>
      </c>
      <c r="G6294" s="8">
        <v>3</v>
      </c>
      <c r="H6294" s="11">
        <v>400</v>
      </c>
      <c r="I6294" s="12">
        <v>43212</v>
      </c>
      <c r="J6294" s="35">
        <f t="shared" si="1114"/>
        <v>0</v>
      </c>
      <c r="K6294" s="36"/>
      <c r="L6294" s="36"/>
      <c r="M6294" s="36"/>
      <c r="N6294" s="36"/>
      <c r="O6294" s="36"/>
      <c r="P6294" s="36"/>
      <c r="Q6294" s="36"/>
      <c r="R6294" s="36"/>
      <c r="S6294" s="36"/>
      <c r="T6294" s="36"/>
      <c r="U6294" s="36"/>
      <c r="V6294" s="36"/>
      <c r="W6294" s="15">
        <f t="shared" si="1115"/>
        <v>0</v>
      </c>
      <c r="X6294" s="36"/>
      <c r="Y6294" s="36"/>
      <c r="Z6294" s="36"/>
      <c r="AA6294" s="36"/>
      <c r="AB6294" s="36"/>
      <c r="AC6294" s="36"/>
      <c r="AD6294" s="36"/>
      <c r="AE6294" s="36"/>
      <c r="AF6294" s="36"/>
      <c r="AG6294" s="36"/>
      <c r="AH6294" s="36"/>
      <c r="AI6294" s="36"/>
      <c r="AJ6294" s="15">
        <f t="shared" si="1116"/>
        <v>0</v>
      </c>
      <c r="AK6294" s="14"/>
      <c r="AL6294" s="14"/>
      <c r="AM6294" s="14"/>
      <c r="AN6294" s="14"/>
      <c r="AO6294" s="14"/>
      <c r="AP6294" s="14"/>
      <c r="AQ6294" s="14"/>
      <c r="AR6294" s="14"/>
      <c r="AS6294" s="14"/>
      <c r="AT6294" s="14"/>
      <c r="AU6294" s="14"/>
      <c r="AV6294" s="14"/>
      <c r="AW6294" s="15">
        <f t="shared" si="1117"/>
        <v>0</v>
      </c>
      <c r="AX6294" s="16"/>
    </row>
    <row r="6295" spans="2:50" x14ac:dyDescent="0.2">
      <c r="B6295" s="7"/>
      <c r="C6295" s="8">
        <v>16413</v>
      </c>
      <c r="D6295" s="9" t="s">
        <v>244</v>
      </c>
      <c r="E6295" s="10" t="str">
        <f t="shared" si="1112"/>
        <v>Rancho La Cuchilla No. 28</v>
      </c>
      <c r="F6295" s="10" t="str">
        <f t="shared" si="1113"/>
        <v>Prado de los S.</v>
      </c>
      <c r="G6295" s="8">
        <v>5</v>
      </c>
      <c r="H6295" s="11">
        <v>50</v>
      </c>
      <c r="I6295" s="12">
        <v>43212</v>
      </c>
      <c r="J6295" s="35">
        <f t="shared" si="1114"/>
        <v>0</v>
      </c>
      <c r="K6295" s="36"/>
      <c r="L6295" s="36"/>
      <c r="M6295" s="36"/>
      <c r="N6295" s="36"/>
      <c r="O6295" s="36"/>
      <c r="P6295" s="36"/>
      <c r="Q6295" s="36"/>
      <c r="R6295" s="36"/>
      <c r="S6295" s="36"/>
      <c r="T6295" s="36"/>
      <c r="U6295" s="36"/>
      <c r="V6295" s="36"/>
      <c r="W6295" s="15">
        <f t="shared" si="1115"/>
        <v>0</v>
      </c>
      <c r="X6295" s="36"/>
      <c r="Y6295" s="36"/>
      <c r="Z6295" s="36"/>
      <c r="AA6295" s="36"/>
      <c r="AB6295" s="36"/>
      <c r="AC6295" s="36"/>
      <c r="AD6295" s="36"/>
      <c r="AE6295" s="36"/>
      <c r="AF6295" s="36"/>
      <c r="AG6295" s="36"/>
      <c r="AH6295" s="36"/>
      <c r="AI6295" s="36"/>
      <c r="AJ6295" s="15">
        <f t="shared" si="1116"/>
        <v>0</v>
      </c>
      <c r="AK6295" s="14"/>
      <c r="AL6295" s="14"/>
      <c r="AM6295" s="14"/>
      <c r="AN6295" s="14"/>
      <c r="AO6295" s="14"/>
      <c r="AP6295" s="14"/>
      <c r="AQ6295" s="14"/>
      <c r="AR6295" s="14"/>
      <c r="AS6295" s="14"/>
      <c r="AT6295" s="14"/>
      <c r="AU6295" s="14"/>
      <c r="AV6295" s="14"/>
      <c r="AW6295" s="15">
        <f t="shared" si="1117"/>
        <v>0</v>
      </c>
      <c r="AX6295" s="16"/>
    </row>
    <row r="6296" spans="2:50" x14ac:dyDescent="0.2">
      <c r="B6296" s="7"/>
      <c r="C6296" s="8">
        <v>16414</v>
      </c>
      <c r="D6296" s="9" t="s">
        <v>1420</v>
      </c>
      <c r="E6296" s="10" t="str">
        <f t="shared" si="1112"/>
        <v>Rancho Upácuaro No. 35</v>
      </c>
      <c r="F6296" s="10" t="str">
        <f t="shared" si="1113"/>
        <v>García</v>
      </c>
      <c r="G6296" s="8">
        <v>1</v>
      </c>
      <c r="H6296" s="11">
        <v>1000</v>
      </c>
      <c r="I6296" s="12">
        <v>43212</v>
      </c>
      <c r="J6296" s="35">
        <f t="shared" si="1114"/>
        <v>0</v>
      </c>
      <c r="K6296" s="36"/>
      <c r="L6296" s="36"/>
      <c r="M6296" s="36"/>
      <c r="N6296" s="36"/>
      <c r="O6296" s="36"/>
      <c r="P6296" s="36"/>
      <c r="Q6296" s="36"/>
      <c r="R6296" s="36"/>
      <c r="S6296" s="36"/>
      <c r="T6296" s="36"/>
      <c r="U6296" s="36"/>
      <c r="V6296" s="36"/>
      <c r="W6296" s="15">
        <f t="shared" si="1115"/>
        <v>0</v>
      </c>
      <c r="X6296" s="36"/>
      <c r="Y6296" s="36"/>
      <c r="Z6296" s="36"/>
      <c r="AA6296" s="36"/>
      <c r="AB6296" s="36"/>
      <c r="AC6296" s="36"/>
      <c r="AD6296" s="36"/>
      <c r="AE6296" s="36"/>
      <c r="AF6296" s="36"/>
      <c r="AG6296" s="36"/>
      <c r="AH6296" s="36"/>
      <c r="AI6296" s="36"/>
      <c r="AJ6296" s="15">
        <f t="shared" si="1116"/>
        <v>0</v>
      </c>
      <c r="AK6296" s="14"/>
      <c r="AL6296" s="14"/>
      <c r="AM6296" s="14">
        <v>400</v>
      </c>
      <c r="AN6296" s="14">
        <v>400</v>
      </c>
      <c r="AO6296" s="14">
        <v>200</v>
      </c>
      <c r="AP6296" s="14"/>
      <c r="AQ6296" s="14"/>
      <c r="AR6296" s="14"/>
      <c r="AS6296" s="14"/>
      <c r="AT6296" s="14"/>
      <c r="AU6296" s="14"/>
      <c r="AV6296" s="14"/>
      <c r="AW6296" s="15">
        <f t="shared" si="1117"/>
        <v>1000</v>
      </c>
      <c r="AX6296" s="16"/>
    </row>
    <row r="6297" spans="2:50" x14ac:dyDescent="0.2">
      <c r="B6297" s="7"/>
      <c r="C6297" s="8">
        <v>16415</v>
      </c>
      <c r="D6297" s="9" t="s">
        <v>428</v>
      </c>
      <c r="E6297" s="10" t="str">
        <f t="shared" si="1112"/>
        <v>Rancho Upácuaro No. 86</v>
      </c>
      <c r="F6297" s="10" t="str">
        <f t="shared" si="1113"/>
        <v>López Canseco</v>
      </c>
      <c r="G6297" s="8">
        <v>5</v>
      </c>
      <c r="H6297" s="11">
        <v>100</v>
      </c>
      <c r="I6297" s="12">
        <v>43212</v>
      </c>
      <c r="J6297" s="35">
        <f t="shared" si="1114"/>
        <v>0</v>
      </c>
      <c r="K6297" s="36"/>
      <c r="L6297" s="36"/>
      <c r="M6297" s="36"/>
      <c r="N6297" s="36"/>
      <c r="O6297" s="36"/>
      <c r="P6297" s="36"/>
      <c r="Q6297" s="36"/>
      <c r="R6297" s="36"/>
      <c r="S6297" s="36"/>
      <c r="T6297" s="36"/>
      <c r="U6297" s="36"/>
      <c r="V6297" s="36"/>
      <c r="W6297" s="15">
        <f t="shared" si="1115"/>
        <v>0</v>
      </c>
      <c r="X6297" s="36"/>
      <c r="Y6297" s="36"/>
      <c r="Z6297" s="36"/>
      <c r="AA6297" s="36"/>
      <c r="AB6297" s="36"/>
      <c r="AC6297" s="36"/>
      <c r="AD6297" s="36"/>
      <c r="AE6297" s="36"/>
      <c r="AF6297" s="36"/>
      <c r="AG6297" s="36"/>
      <c r="AH6297" s="36"/>
      <c r="AI6297" s="36"/>
      <c r="AJ6297" s="15">
        <f t="shared" si="1116"/>
        <v>0</v>
      </c>
      <c r="AK6297" s="14"/>
      <c r="AL6297" s="14"/>
      <c r="AM6297" s="14"/>
      <c r="AN6297" s="14"/>
      <c r="AO6297" s="14"/>
      <c r="AP6297" s="14"/>
      <c r="AQ6297" s="14"/>
      <c r="AR6297" s="14"/>
      <c r="AS6297" s="14"/>
      <c r="AT6297" s="14"/>
      <c r="AU6297" s="14"/>
      <c r="AV6297" s="14"/>
      <c r="AW6297" s="15">
        <f t="shared" si="1117"/>
        <v>0</v>
      </c>
      <c r="AX6297" s="16"/>
    </row>
    <row r="6298" spans="2:50" x14ac:dyDescent="0.2">
      <c r="B6298" s="7"/>
      <c r="C6298" s="8">
        <v>16416</v>
      </c>
      <c r="D6298" s="9" t="s">
        <v>1073</v>
      </c>
      <c r="E6298" s="10" t="str">
        <f t="shared" si="1112"/>
        <v>Rancho Upácuaro No. 96</v>
      </c>
      <c r="F6298" s="10" t="str">
        <f t="shared" si="1113"/>
        <v>Daza Gutiérrez</v>
      </c>
      <c r="G6298" s="8">
        <v>1</v>
      </c>
      <c r="H6298" s="11">
        <v>800</v>
      </c>
      <c r="I6298" s="12">
        <v>43212</v>
      </c>
      <c r="J6298" s="35">
        <f t="shared" si="1114"/>
        <v>0</v>
      </c>
      <c r="K6298" s="36"/>
      <c r="L6298" s="36"/>
      <c r="M6298" s="36"/>
      <c r="N6298" s="36"/>
      <c r="O6298" s="36"/>
      <c r="P6298" s="36"/>
      <c r="Q6298" s="36"/>
      <c r="R6298" s="36"/>
      <c r="S6298" s="36"/>
      <c r="T6298" s="36"/>
      <c r="U6298" s="36"/>
      <c r="V6298" s="36"/>
      <c r="W6298" s="15">
        <f t="shared" si="1115"/>
        <v>0</v>
      </c>
      <c r="X6298" s="36"/>
      <c r="Y6298" s="36"/>
      <c r="Z6298" s="36"/>
      <c r="AA6298" s="36"/>
      <c r="AB6298" s="36"/>
      <c r="AC6298" s="36"/>
      <c r="AD6298" s="36"/>
      <c r="AE6298" s="36"/>
      <c r="AF6298" s="36"/>
      <c r="AG6298" s="36"/>
      <c r="AH6298" s="36"/>
      <c r="AI6298" s="36"/>
      <c r="AJ6298" s="15">
        <f t="shared" si="1116"/>
        <v>0</v>
      </c>
      <c r="AK6298" s="14"/>
      <c r="AL6298" s="14"/>
      <c r="AM6298" s="14">
        <v>400</v>
      </c>
      <c r="AN6298" s="14">
        <v>400</v>
      </c>
      <c r="AO6298" s="14"/>
      <c r="AP6298" s="14"/>
      <c r="AQ6298" s="14"/>
      <c r="AR6298" s="14"/>
      <c r="AS6298" s="14"/>
      <c r="AT6298" s="14"/>
      <c r="AU6298" s="14"/>
      <c r="AV6298" s="14"/>
      <c r="AW6298" s="15">
        <f t="shared" si="1117"/>
        <v>800</v>
      </c>
      <c r="AX6298" s="16"/>
    </row>
    <row r="6299" spans="2:50" x14ac:dyDescent="0.2">
      <c r="B6299" s="7"/>
      <c r="C6299" s="8">
        <v>16417</v>
      </c>
      <c r="D6299" s="9" t="s">
        <v>1020</v>
      </c>
      <c r="E6299" s="10" t="str">
        <f t="shared" si="1112"/>
        <v>Rancho Landero No. 52</v>
      </c>
      <c r="F6299" s="10" t="str">
        <f t="shared" si="1113"/>
        <v>Feregrino</v>
      </c>
      <c r="G6299" s="8">
        <v>1</v>
      </c>
      <c r="H6299" s="11">
        <v>400</v>
      </c>
      <c r="I6299" s="12">
        <v>43212</v>
      </c>
      <c r="J6299" s="35">
        <f t="shared" si="1114"/>
        <v>0</v>
      </c>
      <c r="K6299" s="36"/>
      <c r="L6299" s="36"/>
      <c r="M6299" s="36"/>
      <c r="N6299" s="36"/>
      <c r="O6299" s="36"/>
      <c r="P6299" s="36"/>
      <c r="Q6299" s="36"/>
      <c r="R6299" s="36"/>
      <c r="S6299" s="36"/>
      <c r="T6299" s="36"/>
      <c r="U6299" s="36"/>
      <c r="V6299" s="36"/>
      <c r="W6299" s="15">
        <f t="shared" si="1115"/>
        <v>0</v>
      </c>
      <c r="X6299" s="36"/>
      <c r="Y6299" s="36"/>
      <c r="Z6299" s="36"/>
      <c r="AA6299" s="36"/>
      <c r="AB6299" s="36"/>
      <c r="AC6299" s="36"/>
      <c r="AD6299" s="36"/>
      <c r="AE6299" s="36"/>
      <c r="AF6299" s="36"/>
      <c r="AG6299" s="36"/>
      <c r="AH6299" s="36"/>
      <c r="AI6299" s="36"/>
      <c r="AJ6299" s="15">
        <f t="shared" si="1116"/>
        <v>0</v>
      </c>
      <c r="AK6299" s="14"/>
      <c r="AL6299" s="14"/>
      <c r="AM6299" s="14"/>
      <c r="AN6299" s="14">
        <v>400</v>
      </c>
      <c r="AO6299" s="14"/>
      <c r="AP6299" s="14"/>
      <c r="AQ6299" s="14"/>
      <c r="AR6299" s="14"/>
      <c r="AS6299" s="14"/>
      <c r="AT6299" s="14"/>
      <c r="AU6299" s="14"/>
      <c r="AV6299" s="14"/>
      <c r="AW6299" s="15">
        <f t="shared" si="1117"/>
        <v>400</v>
      </c>
      <c r="AX6299" s="16"/>
    </row>
    <row r="6300" spans="2:50" x14ac:dyDescent="0.2">
      <c r="B6300" s="7"/>
      <c r="C6300" s="8">
        <v>16418</v>
      </c>
      <c r="D6300" s="9" t="s">
        <v>119</v>
      </c>
      <c r="E6300" s="10" t="str">
        <f t="shared" si="1112"/>
        <v>Rancho Landero No. 25</v>
      </c>
      <c r="F6300" s="10" t="str">
        <f t="shared" si="1113"/>
        <v>Escamilla Martínez</v>
      </c>
      <c r="G6300" s="8">
        <v>1</v>
      </c>
      <c r="H6300" s="11">
        <v>400</v>
      </c>
      <c r="I6300" s="12">
        <v>43212</v>
      </c>
      <c r="J6300" s="35">
        <f t="shared" si="1114"/>
        <v>0</v>
      </c>
      <c r="K6300" s="36"/>
      <c r="L6300" s="36"/>
      <c r="M6300" s="36"/>
      <c r="N6300" s="36"/>
      <c r="O6300" s="36"/>
      <c r="P6300" s="36"/>
      <c r="Q6300" s="36"/>
      <c r="R6300" s="36"/>
      <c r="S6300" s="36"/>
      <c r="T6300" s="36"/>
      <c r="U6300" s="36"/>
      <c r="V6300" s="36"/>
      <c r="W6300" s="15">
        <f t="shared" si="1115"/>
        <v>0</v>
      </c>
      <c r="X6300" s="36"/>
      <c r="Y6300" s="36"/>
      <c r="Z6300" s="36"/>
      <c r="AA6300" s="36"/>
      <c r="AB6300" s="36"/>
      <c r="AC6300" s="36"/>
      <c r="AD6300" s="36"/>
      <c r="AE6300" s="36"/>
      <c r="AF6300" s="36"/>
      <c r="AG6300" s="36"/>
      <c r="AH6300" s="36"/>
      <c r="AI6300" s="36"/>
      <c r="AJ6300" s="15">
        <f t="shared" si="1116"/>
        <v>0</v>
      </c>
      <c r="AK6300" s="14"/>
      <c r="AL6300" s="14"/>
      <c r="AM6300" s="14"/>
      <c r="AN6300" s="14">
        <v>400</v>
      </c>
      <c r="AO6300" s="14"/>
      <c r="AP6300" s="14"/>
      <c r="AQ6300" s="14"/>
      <c r="AR6300" s="14"/>
      <c r="AS6300" s="14"/>
      <c r="AT6300" s="14"/>
      <c r="AU6300" s="14"/>
      <c r="AV6300" s="14"/>
      <c r="AW6300" s="15">
        <f t="shared" si="1117"/>
        <v>400</v>
      </c>
      <c r="AX6300" s="16"/>
    </row>
    <row r="6301" spans="2:50" x14ac:dyDescent="0.2">
      <c r="B6301" s="7"/>
      <c r="C6301" s="8">
        <v>16419</v>
      </c>
      <c r="D6301" s="9" t="s">
        <v>614</v>
      </c>
      <c r="E6301" s="10" t="str">
        <f t="shared" si="1112"/>
        <v>Rancho La Cuchilla No. 82</v>
      </c>
      <c r="F6301" s="10" t="str">
        <f t="shared" si="1113"/>
        <v>Cruz</v>
      </c>
      <c r="G6301" s="8">
        <v>1</v>
      </c>
      <c r="H6301" s="11">
        <v>800</v>
      </c>
      <c r="I6301" s="12">
        <v>43212</v>
      </c>
      <c r="J6301" s="35">
        <f t="shared" si="1114"/>
        <v>0</v>
      </c>
      <c r="K6301" s="36"/>
      <c r="L6301" s="36"/>
      <c r="M6301" s="36"/>
      <c r="N6301" s="36"/>
      <c r="O6301" s="36"/>
      <c r="P6301" s="36"/>
      <c r="Q6301" s="36"/>
      <c r="R6301" s="36"/>
      <c r="S6301" s="36"/>
      <c r="T6301" s="36"/>
      <c r="U6301" s="36"/>
      <c r="V6301" s="36"/>
      <c r="W6301" s="15">
        <f t="shared" si="1115"/>
        <v>0</v>
      </c>
      <c r="X6301" s="36"/>
      <c r="Y6301" s="36"/>
      <c r="Z6301" s="36"/>
      <c r="AA6301" s="36"/>
      <c r="AB6301" s="36"/>
      <c r="AC6301" s="36"/>
      <c r="AD6301" s="36"/>
      <c r="AE6301" s="36"/>
      <c r="AF6301" s="36"/>
      <c r="AG6301" s="36"/>
      <c r="AH6301" s="36"/>
      <c r="AI6301" s="36"/>
      <c r="AJ6301" s="15">
        <f t="shared" si="1116"/>
        <v>0</v>
      </c>
      <c r="AK6301" s="14"/>
      <c r="AL6301" s="14"/>
      <c r="AM6301" s="14">
        <v>400</v>
      </c>
      <c r="AN6301" s="14">
        <v>400</v>
      </c>
      <c r="AO6301" s="14"/>
      <c r="AP6301" s="14"/>
      <c r="AQ6301" s="14"/>
      <c r="AR6301" s="14"/>
      <c r="AS6301" s="14"/>
      <c r="AT6301" s="14"/>
      <c r="AU6301" s="14"/>
      <c r="AV6301" s="14"/>
      <c r="AW6301" s="15">
        <f t="shared" si="1117"/>
        <v>800</v>
      </c>
      <c r="AX6301" s="16"/>
    </row>
    <row r="6302" spans="2:50" x14ac:dyDescent="0.2">
      <c r="B6302" s="7"/>
      <c r="C6302" s="8">
        <v>16420</v>
      </c>
      <c r="D6302" s="9" t="s">
        <v>556</v>
      </c>
      <c r="E6302" s="10" t="str">
        <f t="shared" si="1112"/>
        <v>Rancho Zinamba No. 26</v>
      </c>
      <c r="F6302" s="10" t="str">
        <f t="shared" si="1113"/>
        <v>Ayala</v>
      </c>
      <c r="G6302" s="8">
        <v>1</v>
      </c>
      <c r="H6302" s="11">
        <v>400</v>
      </c>
      <c r="I6302" s="12">
        <v>43212</v>
      </c>
      <c r="J6302" s="35">
        <f t="shared" si="1114"/>
        <v>0</v>
      </c>
      <c r="K6302" s="36"/>
      <c r="L6302" s="36"/>
      <c r="M6302" s="36"/>
      <c r="N6302" s="36"/>
      <c r="O6302" s="36"/>
      <c r="P6302" s="36"/>
      <c r="Q6302" s="36"/>
      <c r="R6302" s="36"/>
      <c r="S6302" s="36"/>
      <c r="T6302" s="36"/>
      <c r="U6302" s="36"/>
      <c r="V6302" s="36"/>
      <c r="W6302" s="15">
        <f t="shared" si="1115"/>
        <v>0</v>
      </c>
      <c r="X6302" s="36"/>
      <c r="Y6302" s="36"/>
      <c r="Z6302" s="36"/>
      <c r="AA6302" s="36"/>
      <c r="AB6302" s="36"/>
      <c r="AC6302" s="36"/>
      <c r="AD6302" s="36"/>
      <c r="AE6302" s="36"/>
      <c r="AF6302" s="36"/>
      <c r="AG6302" s="36"/>
      <c r="AH6302" s="36"/>
      <c r="AI6302" s="36"/>
      <c r="AJ6302" s="15">
        <f t="shared" si="1116"/>
        <v>0</v>
      </c>
      <c r="AK6302" s="14"/>
      <c r="AL6302" s="14"/>
      <c r="AM6302" s="14">
        <v>400</v>
      </c>
      <c r="AN6302" s="14"/>
      <c r="AO6302" s="14"/>
      <c r="AP6302" s="14"/>
      <c r="AQ6302" s="14"/>
      <c r="AR6302" s="14"/>
      <c r="AS6302" s="14"/>
      <c r="AT6302" s="14"/>
      <c r="AU6302" s="14"/>
      <c r="AV6302" s="14"/>
      <c r="AW6302" s="15">
        <f t="shared" si="1117"/>
        <v>400</v>
      </c>
      <c r="AX6302" s="16"/>
    </row>
    <row r="6303" spans="2:50" x14ac:dyDescent="0.2">
      <c r="B6303" s="7"/>
      <c r="C6303" s="8">
        <v>16421</v>
      </c>
      <c r="D6303" s="9" t="s">
        <v>1260</v>
      </c>
      <c r="E6303" s="10" t="str">
        <f t="shared" si="1112"/>
        <v>Rancho La Cuchilla No. 11</v>
      </c>
      <c r="F6303" s="10" t="str">
        <f t="shared" si="1113"/>
        <v>Santiago</v>
      </c>
      <c r="G6303" s="8">
        <v>1</v>
      </c>
      <c r="H6303" s="11">
        <v>400</v>
      </c>
      <c r="I6303" s="12">
        <v>43212</v>
      </c>
      <c r="J6303" s="35">
        <f t="shared" si="1114"/>
        <v>0</v>
      </c>
      <c r="K6303" s="36"/>
      <c r="L6303" s="36"/>
      <c r="M6303" s="36"/>
      <c r="N6303" s="36"/>
      <c r="O6303" s="36"/>
      <c r="P6303" s="36"/>
      <c r="Q6303" s="36"/>
      <c r="R6303" s="36"/>
      <c r="S6303" s="36"/>
      <c r="T6303" s="36"/>
      <c r="U6303" s="36"/>
      <c r="V6303" s="36"/>
      <c r="W6303" s="15">
        <f t="shared" si="1115"/>
        <v>0</v>
      </c>
      <c r="X6303" s="36"/>
      <c r="Y6303" s="36"/>
      <c r="Z6303" s="36"/>
      <c r="AA6303" s="36"/>
      <c r="AB6303" s="36"/>
      <c r="AC6303" s="36"/>
      <c r="AD6303" s="36"/>
      <c r="AE6303" s="36"/>
      <c r="AF6303" s="36"/>
      <c r="AG6303" s="36"/>
      <c r="AH6303" s="36"/>
      <c r="AI6303" s="36"/>
      <c r="AJ6303" s="15">
        <f t="shared" si="1116"/>
        <v>0</v>
      </c>
      <c r="AK6303" s="14"/>
      <c r="AL6303" s="14"/>
      <c r="AM6303" s="14"/>
      <c r="AN6303" s="14">
        <v>400</v>
      </c>
      <c r="AO6303" s="14"/>
      <c r="AP6303" s="14"/>
      <c r="AQ6303" s="14"/>
      <c r="AR6303" s="14"/>
      <c r="AS6303" s="14"/>
      <c r="AT6303" s="14"/>
      <c r="AU6303" s="14"/>
      <c r="AV6303" s="14"/>
      <c r="AW6303" s="15">
        <f t="shared" si="1117"/>
        <v>400</v>
      </c>
      <c r="AX6303" s="16"/>
    </row>
    <row r="6304" spans="2:50" x14ac:dyDescent="0.2">
      <c r="B6304" s="7"/>
      <c r="C6304" s="8">
        <v>16421</v>
      </c>
      <c r="D6304" s="9" t="s">
        <v>1260</v>
      </c>
      <c r="E6304" s="10" t="str">
        <f t="shared" si="1112"/>
        <v>Rancho La Cuchilla No. 11</v>
      </c>
      <c r="F6304" s="10" t="str">
        <f t="shared" si="1113"/>
        <v>Santiago</v>
      </c>
      <c r="G6304" s="8">
        <v>5</v>
      </c>
      <c r="H6304" s="11">
        <v>100</v>
      </c>
      <c r="I6304" s="12">
        <v>43212</v>
      </c>
      <c r="J6304" s="35">
        <f t="shared" si="1114"/>
        <v>0</v>
      </c>
      <c r="K6304" s="36"/>
      <c r="L6304" s="36"/>
      <c r="M6304" s="36"/>
      <c r="N6304" s="36"/>
      <c r="O6304" s="36"/>
      <c r="P6304" s="36"/>
      <c r="Q6304" s="36"/>
      <c r="R6304" s="36"/>
      <c r="S6304" s="36"/>
      <c r="T6304" s="36"/>
      <c r="U6304" s="36"/>
      <c r="V6304" s="36"/>
      <c r="W6304" s="15">
        <f t="shared" si="1115"/>
        <v>0</v>
      </c>
      <c r="X6304" s="36"/>
      <c r="Y6304" s="36"/>
      <c r="Z6304" s="36"/>
      <c r="AA6304" s="36"/>
      <c r="AB6304" s="36"/>
      <c r="AC6304" s="36"/>
      <c r="AD6304" s="36"/>
      <c r="AE6304" s="36"/>
      <c r="AF6304" s="36"/>
      <c r="AG6304" s="36"/>
      <c r="AH6304" s="36"/>
      <c r="AI6304" s="36"/>
      <c r="AJ6304" s="15">
        <f t="shared" si="1116"/>
        <v>0</v>
      </c>
      <c r="AK6304" s="14"/>
      <c r="AL6304" s="14"/>
      <c r="AM6304" s="14"/>
      <c r="AN6304" s="14"/>
      <c r="AO6304" s="14"/>
      <c r="AP6304" s="14"/>
      <c r="AQ6304" s="14"/>
      <c r="AR6304" s="14"/>
      <c r="AS6304" s="14"/>
      <c r="AT6304" s="14"/>
      <c r="AU6304" s="14"/>
      <c r="AV6304" s="14"/>
      <c r="AW6304" s="15">
        <f t="shared" si="1117"/>
        <v>0</v>
      </c>
      <c r="AX6304" s="16"/>
    </row>
    <row r="6305" spans="2:51" x14ac:dyDescent="0.2">
      <c r="B6305" s="7"/>
      <c r="C6305" s="8">
        <v>16422</v>
      </c>
      <c r="D6305" s="9" t="s">
        <v>817</v>
      </c>
      <c r="E6305" s="10" t="str">
        <f t="shared" si="1112"/>
        <v>Rancho Estanzuela No. 7, B</v>
      </c>
      <c r="F6305" s="10" t="str">
        <f t="shared" si="1113"/>
        <v>Camargo Romero</v>
      </c>
      <c r="G6305" s="8">
        <v>1</v>
      </c>
      <c r="H6305" s="11">
        <v>400</v>
      </c>
      <c r="I6305" s="12">
        <v>43212</v>
      </c>
      <c r="J6305" s="35">
        <f t="shared" si="1114"/>
        <v>0</v>
      </c>
      <c r="K6305" s="36"/>
      <c r="L6305" s="36"/>
      <c r="M6305" s="36"/>
      <c r="N6305" s="36"/>
      <c r="O6305" s="36"/>
      <c r="P6305" s="36"/>
      <c r="Q6305" s="36"/>
      <c r="R6305" s="36"/>
      <c r="S6305" s="36"/>
      <c r="T6305" s="36"/>
      <c r="U6305" s="36"/>
      <c r="V6305" s="36"/>
      <c r="W6305" s="15">
        <f t="shared" si="1115"/>
        <v>0</v>
      </c>
      <c r="X6305" s="36"/>
      <c r="Y6305" s="36"/>
      <c r="Z6305" s="36"/>
      <c r="AA6305" s="36"/>
      <c r="AB6305" s="36"/>
      <c r="AC6305" s="36"/>
      <c r="AD6305" s="36"/>
      <c r="AE6305" s="36"/>
      <c r="AF6305" s="36"/>
      <c r="AG6305" s="36"/>
      <c r="AH6305" s="36"/>
      <c r="AI6305" s="36"/>
      <c r="AJ6305" s="15">
        <f t="shared" si="1116"/>
        <v>0</v>
      </c>
      <c r="AK6305" s="14"/>
      <c r="AL6305" s="14"/>
      <c r="AM6305" s="14"/>
      <c r="AN6305" s="14">
        <v>200</v>
      </c>
      <c r="AO6305" s="14">
        <v>200</v>
      </c>
      <c r="AP6305" s="14"/>
      <c r="AQ6305" s="14"/>
      <c r="AR6305" s="14"/>
      <c r="AS6305" s="14"/>
      <c r="AT6305" s="14"/>
      <c r="AU6305" s="14"/>
      <c r="AV6305" s="14"/>
      <c r="AW6305" s="15">
        <f t="shared" si="1117"/>
        <v>400</v>
      </c>
      <c r="AX6305" s="16"/>
    </row>
    <row r="6306" spans="2:51" x14ac:dyDescent="0.2">
      <c r="B6306" s="7"/>
      <c r="C6306" s="8">
        <v>16423</v>
      </c>
      <c r="D6306" s="9" t="s">
        <v>529</v>
      </c>
      <c r="E6306" s="10" t="str">
        <f t="shared" ref="E6306:E6315" si="1118">IF(D6306=0,"",VLOOKUP(D6306,BASE,2,FALSE))</f>
        <v>Rancho Estanzuela No. 37</v>
      </c>
      <c r="F6306" s="10" t="str">
        <f t="shared" ref="F6306:F6315" si="1119">IF(D6306=0,"",VLOOKUP(D6306,BASE,3,FALSE))</f>
        <v>Cabello Eduardo</v>
      </c>
      <c r="G6306" s="8">
        <v>1</v>
      </c>
      <c r="H6306" s="11">
        <v>1200</v>
      </c>
      <c r="I6306" s="12">
        <v>43212</v>
      </c>
      <c r="J6306" s="35">
        <f t="shared" ref="J6306:J6315" si="1120">IF(G6306=1,SUM(W6306,AJ6306,AW6306,-H6306),0)</f>
        <v>0</v>
      </c>
      <c r="K6306" s="36"/>
      <c r="L6306" s="36"/>
      <c r="M6306" s="36"/>
      <c r="N6306" s="36"/>
      <c r="O6306" s="36"/>
      <c r="P6306" s="36"/>
      <c r="Q6306" s="36"/>
      <c r="R6306" s="36"/>
      <c r="S6306" s="36"/>
      <c r="T6306" s="36"/>
      <c r="U6306" s="36"/>
      <c r="V6306" s="36"/>
      <c r="W6306" s="15">
        <f t="shared" ref="W6306:W6315" si="1121">SUM(K6306:V6306)</f>
        <v>0</v>
      </c>
      <c r="X6306" s="36"/>
      <c r="Y6306" s="36"/>
      <c r="Z6306" s="36"/>
      <c r="AA6306" s="36"/>
      <c r="AB6306" s="36"/>
      <c r="AC6306" s="36"/>
      <c r="AD6306" s="36"/>
      <c r="AE6306" s="36"/>
      <c r="AF6306" s="36"/>
      <c r="AG6306" s="36"/>
      <c r="AH6306" s="36"/>
      <c r="AI6306" s="36"/>
      <c r="AJ6306" s="15">
        <f t="shared" ref="AJ6306:AJ6315" si="1122">SUM(X6306:AI6306)</f>
        <v>0</v>
      </c>
      <c r="AK6306" s="14">
        <v>400</v>
      </c>
      <c r="AL6306" s="14">
        <v>400</v>
      </c>
      <c r="AM6306" s="14">
        <v>400</v>
      </c>
      <c r="AN6306" s="14"/>
      <c r="AO6306" s="14"/>
      <c r="AP6306" s="14"/>
      <c r="AQ6306" s="14"/>
      <c r="AR6306" s="14"/>
      <c r="AS6306" s="14"/>
      <c r="AT6306" s="14"/>
      <c r="AU6306" s="14"/>
      <c r="AV6306" s="14"/>
      <c r="AW6306" s="15">
        <f t="shared" ref="AW6306:AW6315" si="1123">SUM(AK6306:AV6306)</f>
        <v>1200</v>
      </c>
      <c r="AX6306" s="16"/>
    </row>
    <row r="6307" spans="2:51" x14ac:dyDescent="0.2">
      <c r="B6307" s="7"/>
      <c r="C6307" s="8">
        <v>16424</v>
      </c>
      <c r="D6307" s="9" t="s">
        <v>617</v>
      </c>
      <c r="E6307" s="10" t="str">
        <f t="shared" si="1118"/>
        <v>Rancho Zinamba No. 50</v>
      </c>
      <c r="F6307" s="10" t="str">
        <f t="shared" si="1119"/>
        <v>Del Castillo</v>
      </c>
      <c r="G6307" s="8">
        <v>1</v>
      </c>
      <c r="H6307" s="11">
        <v>400</v>
      </c>
      <c r="I6307" s="12">
        <v>43212</v>
      </c>
      <c r="J6307" s="35">
        <f t="shared" si="1120"/>
        <v>0</v>
      </c>
      <c r="K6307" s="36"/>
      <c r="L6307" s="36"/>
      <c r="M6307" s="36"/>
      <c r="N6307" s="36"/>
      <c r="O6307" s="36"/>
      <c r="P6307" s="36"/>
      <c r="Q6307" s="36"/>
      <c r="R6307" s="36"/>
      <c r="S6307" s="36"/>
      <c r="T6307" s="36"/>
      <c r="U6307" s="36"/>
      <c r="V6307" s="36"/>
      <c r="W6307" s="15">
        <f t="shared" si="1121"/>
        <v>0</v>
      </c>
      <c r="X6307" s="36"/>
      <c r="Y6307" s="36"/>
      <c r="Z6307" s="36"/>
      <c r="AA6307" s="36"/>
      <c r="AB6307" s="36"/>
      <c r="AC6307" s="36"/>
      <c r="AD6307" s="36"/>
      <c r="AE6307" s="36"/>
      <c r="AF6307" s="36"/>
      <c r="AG6307" s="36"/>
      <c r="AH6307" s="36"/>
      <c r="AI6307" s="36"/>
      <c r="AJ6307" s="15">
        <f t="shared" si="1122"/>
        <v>0</v>
      </c>
      <c r="AK6307" s="14"/>
      <c r="AL6307" s="14"/>
      <c r="AM6307" s="14">
        <v>400</v>
      </c>
      <c r="AN6307" s="14"/>
      <c r="AO6307" s="14"/>
      <c r="AP6307" s="14"/>
      <c r="AQ6307" s="14"/>
      <c r="AR6307" s="14"/>
      <c r="AS6307" s="14"/>
      <c r="AT6307" s="14"/>
      <c r="AU6307" s="14"/>
      <c r="AV6307" s="14"/>
      <c r="AW6307" s="15">
        <f t="shared" si="1123"/>
        <v>400</v>
      </c>
      <c r="AX6307" s="16"/>
    </row>
    <row r="6308" spans="2:51" x14ac:dyDescent="0.2">
      <c r="B6308" s="7"/>
      <c r="C6308" s="8">
        <v>16425</v>
      </c>
      <c r="D6308" s="9" t="s">
        <v>968</v>
      </c>
      <c r="E6308" s="10" t="str">
        <f t="shared" si="1118"/>
        <v>Rancho La Cuchilla No. 121</v>
      </c>
      <c r="F6308" s="10" t="str">
        <f t="shared" si="1119"/>
        <v>Ramírez Márquez</v>
      </c>
      <c r="G6308" s="8">
        <v>1</v>
      </c>
      <c r="H6308" s="11">
        <v>4400</v>
      </c>
      <c r="I6308" s="12">
        <v>43212</v>
      </c>
      <c r="J6308" s="35">
        <f t="shared" si="1120"/>
        <v>0</v>
      </c>
      <c r="K6308" s="36"/>
      <c r="L6308" s="36"/>
      <c r="M6308" s="36"/>
      <c r="N6308" s="36"/>
      <c r="O6308" s="36"/>
      <c r="P6308" s="36"/>
      <c r="Q6308" s="36"/>
      <c r="R6308" s="36"/>
      <c r="S6308" s="36"/>
      <c r="T6308" s="36"/>
      <c r="U6308" s="36"/>
      <c r="V6308" s="36"/>
      <c r="W6308" s="15">
        <f t="shared" si="1121"/>
        <v>0</v>
      </c>
      <c r="X6308" s="36"/>
      <c r="Y6308" s="36"/>
      <c r="Z6308" s="36"/>
      <c r="AA6308" s="36"/>
      <c r="AB6308" s="36"/>
      <c r="AC6308" s="36"/>
      <c r="AD6308" s="36"/>
      <c r="AE6308" s="36"/>
      <c r="AF6308" s="36"/>
      <c r="AG6308" s="36"/>
      <c r="AH6308" s="36"/>
      <c r="AI6308" s="36"/>
      <c r="AJ6308" s="15">
        <f t="shared" si="1122"/>
        <v>0</v>
      </c>
      <c r="AK6308" s="14">
        <v>400</v>
      </c>
      <c r="AL6308" s="14">
        <v>400</v>
      </c>
      <c r="AM6308" s="14">
        <v>400</v>
      </c>
      <c r="AN6308" s="14">
        <v>400</v>
      </c>
      <c r="AO6308" s="14">
        <v>400</v>
      </c>
      <c r="AP6308" s="14">
        <v>400</v>
      </c>
      <c r="AQ6308" s="14">
        <v>400</v>
      </c>
      <c r="AR6308" s="14">
        <v>400</v>
      </c>
      <c r="AS6308" s="14">
        <v>400</v>
      </c>
      <c r="AT6308" s="14">
        <v>400</v>
      </c>
      <c r="AU6308" s="14">
        <v>400</v>
      </c>
      <c r="AV6308" s="14"/>
      <c r="AW6308" s="15">
        <f t="shared" si="1123"/>
        <v>4400</v>
      </c>
      <c r="AX6308" s="16" t="s">
        <v>5167</v>
      </c>
    </row>
    <row r="6309" spans="2:51" x14ac:dyDescent="0.2">
      <c r="B6309" s="7"/>
      <c r="C6309" s="8">
        <v>16426</v>
      </c>
      <c r="D6309" s="9" t="s">
        <v>183</v>
      </c>
      <c r="E6309" s="10" t="str">
        <f t="shared" si="1118"/>
        <v>Rancho La Cuchilla No. 54</v>
      </c>
      <c r="F6309" s="10" t="str">
        <f t="shared" si="1119"/>
        <v>Mendoza León</v>
      </c>
      <c r="G6309" s="8">
        <v>1</v>
      </c>
      <c r="H6309" s="11">
        <v>400</v>
      </c>
      <c r="I6309" s="12">
        <v>43212</v>
      </c>
      <c r="J6309" s="35">
        <f t="shared" si="1120"/>
        <v>0</v>
      </c>
      <c r="K6309" s="36"/>
      <c r="L6309" s="36"/>
      <c r="M6309" s="36"/>
      <c r="N6309" s="36"/>
      <c r="O6309" s="36"/>
      <c r="P6309" s="36"/>
      <c r="Q6309" s="36"/>
      <c r="R6309" s="36"/>
      <c r="S6309" s="36"/>
      <c r="T6309" s="36"/>
      <c r="U6309" s="36"/>
      <c r="V6309" s="36"/>
      <c r="W6309" s="15">
        <f t="shared" si="1121"/>
        <v>0</v>
      </c>
      <c r="X6309" s="36"/>
      <c r="Y6309" s="36"/>
      <c r="Z6309" s="36"/>
      <c r="AA6309" s="36"/>
      <c r="AB6309" s="36"/>
      <c r="AC6309" s="36"/>
      <c r="AD6309" s="36"/>
      <c r="AE6309" s="36"/>
      <c r="AF6309" s="36"/>
      <c r="AG6309" s="36"/>
      <c r="AH6309" s="36"/>
      <c r="AI6309" s="36"/>
      <c r="AJ6309" s="15">
        <f t="shared" si="1122"/>
        <v>0</v>
      </c>
      <c r="AK6309" s="14"/>
      <c r="AL6309" s="14"/>
      <c r="AM6309" s="14">
        <v>400</v>
      </c>
      <c r="AN6309" s="14"/>
      <c r="AO6309" s="14"/>
      <c r="AP6309" s="14"/>
      <c r="AQ6309" s="14"/>
      <c r="AR6309" s="14"/>
      <c r="AS6309" s="14"/>
      <c r="AT6309" s="14"/>
      <c r="AU6309" s="14"/>
      <c r="AV6309" s="14"/>
      <c r="AW6309" s="15">
        <f t="shared" si="1123"/>
        <v>400</v>
      </c>
      <c r="AX6309" s="16"/>
    </row>
    <row r="6310" spans="2:51" x14ac:dyDescent="0.2">
      <c r="B6310" s="7"/>
      <c r="C6310" s="8">
        <v>16427</v>
      </c>
      <c r="D6310" s="9" t="s">
        <v>977</v>
      </c>
      <c r="E6310" s="10" t="str">
        <f t="shared" si="1118"/>
        <v>Rancho Landero No. 34</v>
      </c>
      <c r="F6310" s="10" t="str">
        <f t="shared" si="1119"/>
        <v>Barro</v>
      </c>
      <c r="G6310" s="8">
        <v>1</v>
      </c>
      <c r="H6310" s="11">
        <v>800</v>
      </c>
      <c r="I6310" s="12">
        <v>43212</v>
      </c>
      <c r="J6310" s="35">
        <f t="shared" si="1120"/>
        <v>0</v>
      </c>
      <c r="K6310" s="36"/>
      <c r="L6310" s="36"/>
      <c r="M6310" s="36"/>
      <c r="N6310" s="36"/>
      <c r="O6310" s="36"/>
      <c r="P6310" s="36"/>
      <c r="Q6310" s="36"/>
      <c r="R6310" s="36"/>
      <c r="S6310" s="36"/>
      <c r="T6310" s="36"/>
      <c r="U6310" s="36"/>
      <c r="V6310" s="36"/>
      <c r="W6310" s="15">
        <f t="shared" si="1121"/>
        <v>0</v>
      </c>
      <c r="X6310" s="36"/>
      <c r="Y6310" s="36"/>
      <c r="Z6310" s="36"/>
      <c r="AA6310" s="36"/>
      <c r="AB6310" s="36"/>
      <c r="AC6310" s="36"/>
      <c r="AD6310" s="36"/>
      <c r="AE6310" s="36"/>
      <c r="AF6310" s="36"/>
      <c r="AG6310" s="36"/>
      <c r="AH6310" s="36"/>
      <c r="AI6310" s="36"/>
      <c r="AJ6310" s="15">
        <f t="shared" si="1122"/>
        <v>0</v>
      </c>
      <c r="AK6310" s="14">
        <v>400</v>
      </c>
      <c r="AL6310" s="14">
        <v>400</v>
      </c>
      <c r="AM6310" s="14"/>
      <c r="AN6310" s="14"/>
      <c r="AO6310" s="14"/>
      <c r="AP6310" s="14"/>
      <c r="AQ6310" s="14"/>
      <c r="AR6310" s="14"/>
      <c r="AS6310" s="14"/>
      <c r="AT6310" s="14"/>
      <c r="AU6310" s="14"/>
      <c r="AV6310" s="14"/>
      <c r="AW6310" s="15">
        <f t="shared" si="1123"/>
        <v>800</v>
      </c>
      <c r="AX6310" s="16"/>
    </row>
    <row r="6311" spans="2:51" x14ac:dyDescent="0.2">
      <c r="B6311" s="7"/>
      <c r="C6311" s="8">
        <v>16428</v>
      </c>
      <c r="D6311" s="9" t="s">
        <v>497</v>
      </c>
      <c r="E6311" s="10" t="str">
        <f t="shared" si="1118"/>
        <v>Rancho La Cuchilla No. 94</v>
      </c>
      <c r="F6311" s="10" t="str">
        <f t="shared" si="1119"/>
        <v>Sánchez Márquez</v>
      </c>
      <c r="G6311" s="8">
        <v>1</v>
      </c>
      <c r="H6311" s="11">
        <v>800</v>
      </c>
      <c r="I6311" s="12">
        <v>43212</v>
      </c>
      <c r="J6311" s="35">
        <f t="shared" si="1120"/>
        <v>0</v>
      </c>
      <c r="K6311" s="36"/>
      <c r="L6311" s="36"/>
      <c r="M6311" s="36"/>
      <c r="N6311" s="36"/>
      <c r="O6311" s="36"/>
      <c r="P6311" s="36"/>
      <c r="Q6311" s="36"/>
      <c r="R6311" s="36"/>
      <c r="S6311" s="36"/>
      <c r="T6311" s="36"/>
      <c r="U6311" s="36"/>
      <c r="V6311" s="36"/>
      <c r="W6311" s="15">
        <f t="shared" si="1121"/>
        <v>0</v>
      </c>
      <c r="X6311" s="36"/>
      <c r="Y6311" s="36"/>
      <c r="Z6311" s="36"/>
      <c r="AA6311" s="36"/>
      <c r="AB6311" s="36"/>
      <c r="AC6311" s="36"/>
      <c r="AD6311" s="36"/>
      <c r="AE6311" s="36"/>
      <c r="AF6311" s="36"/>
      <c r="AG6311" s="36"/>
      <c r="AH6311" s="36"/>
      <c r="AI6311" s="36"/>
      <c r="AJ6311" s="15">
        <f t="shared" si="1122"/>
        <v>0</v>
      </c>
      <c r="AK6311" s="14"/>
      <c r="AL6311" s="14"/>
      <c r="AM6311" s="14"/>
      <c r="AN6311" s="14">
        <v>400</v>
      </c>
      <c r="AO6311" s="14">
        <v>400</v>
      </c>
      <c r="AP6311" s="14"/>
      <c r="AQ6311" s="14"/>
      <c r="AR6311" s="14"/>
      <c r="AS6311" s="14"/>
      <c r="AT6311" s="14"/>
      <c r="AU6311" s="14"/>
      <c r="AV6311" s="14"/>
      <c r="AW6311" s="15">
        <f t="shared" si="1123"/>
        <v>800</v>
      </c>
      <c r="AX6311" s="16"/>
    </row>
    <row r="6312" spans="2:51" x14ac:dyDescent="0.2">
      <c r="B6312" s="7"/>
      <c r="C6312" s="8">
        <v>16429</v>
      </c>
      <c r="D6312" s="9" t="s">
        <v>316</v>
      </c>
      <c r="E6312" s="10" t="str">
        <f t="shared" si="1118"/>
        <v>Rancho Estanzuela No. 147, 1</v>
      </c>
      <c r="F6312" s="10" t="str">
        <f t="shared" si="1119"/>
        <v>De la Rosa Enrique</v>
      </c>
      <c r="G6312" s="8">
        <v>1</v>
      </c>
      <c r="H6312" s="11">
        <v>200</v>
      </c>
      <c r="I6312" s="12">
        <v>43212</v>
      </c>
      <c r="J6312" s="35">
        <f t="shared" si="1120"/>
        <v>0</v>
      </c>
      <c r="K6312" s="36"/>
      <c r="L6312" s="36"/>
      <c r="M6312" s="36"/>
      <c r="N6312" s="36"/>
      <c r="O6312" s="36"/>
      <c r="P6312" s="36"/>
      <c r="Q6312" s="36"/>
      <c r="R6312" s="36"/>
      <c r="S6312" s="36"/>
      <c r="T6312" s="36"/>
      <c r="U6312" s="36"/>
      <c r="V6312" s="36"/>
      <c r="W6312" s="15">
        <f t="shared" si="1121"/>
        <v>0</v>
      </c>
      <c r="X6312" s="36"/>
      <c r="Y6312" s="36"/>
      <c r="Z6312" s="36"/>
      <c r="AA6312" s="36"/>
      <c r="AB6312" s="36"/>
      <c r="AC6312" s="36"/>
      <c r="AD6312" s="36"/>
      <c r="AE6312" s="36"/>
      <c r="AF6312" s="36"/>
      <c r="AG6312" s="36"/>
      <c r="AH6312" s="36"/>
      <c r="AI6312" s="36"/>
      <c r="AJ6312" s="15">
        <f t="shared" si="1122"/>
        <v>0</v>
      </c>
      <c r="AK6312" s="14"/>
      <c r="AL6312" s="14">
        <v>100</v>
      </c>
      <c r="AM6312" s="14">
        <v>100</v>
      </c>
      <c r="AN6312" s="14"/>
      <c r="AO6312" s="14"/>
      <c r="AP6312" s="14"/>
      <c r="AQ6312" s="14"/>
      <c r="AR6312" s="14"/>
      <c r="AS6312" s="14"/>
      <c r="AT6312" s="14"/>
      <c r="AU6312" s="14"/>
      <c r="AV6312" s="14"/>
      <c r="AW6312" s="15">
        <f t="shared" si="1123"/>
        <v>200</v>
      </c>
      <c r="AX6312" s="16"/>
    </row>
    <row r="6313" spans="2:51" x14ac:dyDescent="0.2">
      <c r="B6313" s="7"/>
      <c r="C6313" s="8">
        <v>16430</v>
      </c>
      <c r="D6313" s="9" t="s">
        <v>319</v>
      </c>
      <c r="E6313" s="10" t="str">
        <f t="shared" si="1118"/>
        <v>Rancho Estanzuela No. 147, 2</v>
      </c>
      <c r="F6313" s="10" t="str">
        <f t="shared" si="1119"/>
        <v>Figueroa</v>
      </c>
      <c r="G6313" s="8">
        <v>1</v>
      </c>
      <c r="H6313" s="11">
        <v>200</v>
      </c>
      <c r="I6313" s="12">
        <v>43212</v>
      </c>
      <c r="J6313" s="35">
        <f t="shared" si="1120"/>
        <v>0</v>
      </c>
      <c r="K6313" s="36"/>
      <c r="L6313" s="36"/>
      <c r="M6313" s="36"/>
      <c r="N6313" s="36"/>
      <c r="O6313" s="36"/>
      <c r="P6313" s="36"/>
      <c r="Q6313" s="36"/>
      <c r="R6313" s="36"/>
      <c r="S6313" s="36"/>
      <c r="T6313" s="36"/>
      <c r="U6313" s="36"/>
      <c r="V6313" s="36"/>
      <c r="W6313" s="15">
        <f t="shared" si="1121"/>
        <v>0</v>
      </c>
      <c r="X6313" s="36"/>
      <c r="Y6313" s="36"/>
      <c r="Z6313" s="36"/>
      <c r="AA6313" s="36"/>
      <c r="AB6313" s="36"/>
      <c r="AC6313" s="36"/>
      <c r="AD6313" s="36"/>
      <c r="AE6313" s="36"/>
      <c r="AF6313" s="36"/>
      <c r="AG6313" s="36"/>
      <c r="AH6313" s="36"/>
      <c r="AI6313" s="36"/>
      <c r="AJ6313" s="15">
        <f t="shared" si="1122"/>
        <v>0</v>
      </c>
      <c r="AK6313" s="14"/>
      <c r="AL6313" s="14">
        <v>100</v>
      </c>
      <c r="AM6313" s="14">
        <v>100</v>
      </c>
      <c r="AN6313" s="14"/>
      <c r="AO6313" s="14"/>
      <c r="AP6313" s="14"/>
      <c r="AQ6313" s="14"/>
      <c r="AR6313" s="14"/>
      <c r="AS6313" s="14"/>
      <c r="AT6313" s="14"/>
      <c r="AU6313" s="14"/>
      <c r="AV6313" s="14"/>
      <c r="AW6313" s="15">
        <f t="shared" si="1123"/>
        <v>200</v>
      </c>
      <c r="AX6313" s="16"/>
    </row>
    <row r="6314" spans="2:51" x14ac:dyDescent="0.2">
      <c r="B6314" s="7"/>
      <c r="C6314" s="8">
        <v>16430</v>
      </c>
      <c r="D6314" s="9" t="s">
        <v>319</v>
      </c>
      <c r="E6314" s="10" t="str">
        <f t="shared" si="1118"/>
        <v>Rancho Estanzuela No. 147, 2</v>
      </c>
      <c r="F6314" s="10" t="str">
        <f t="shared" si="1119"/>
        <v>Figueroa</v>
      </c>
      <c r="G6314" s="8">
        <v>5</v>
      </c>
      <c r="H6314" s="11">
        <v>50</v>
      </c>
      <c r="I6314" s="12">
        <v>43212</v>
      </c>
      <c r="J6314" s="35">
        <f t="shared" si="1120"/>
        <v>0</v>
      </c>
      <c r="K6314" s="36"/>
      <c r="L6314" s="36"/>
      <c r="M6314" s="36"/>
      <c r="N6314" s="36"/>
      <c r="O6314" s="36"/>
      <c r="P6314" s="36"/>
      <c r="Q6314" s="36"/>
      <c r="R6314" s="36"/>
      <c r="S6314" s="36"/>
      <c r="T6314" s="36"/>
      <c r="U6314" s="36"/>
      <c r="V6314" s="36"/>
      <c r="W6314" s="15">
        <f t="shared" si="1121"/>
        <v>0</v>
      </c>
      <c r="X6314" s="36"/>
      <c r="Y6314" s="36"/>
      <c r="Z6314" s="36"/>
      <c r="AA6314" s="36"/>
      <c r="AB6314" s="36"/>
      <c r="AC6314" s="36"/>
      <c r="AD6314" s="36"/>
      <c r="AE6314" s="36"/>
      <c r="AF6314" s="36"/>
      <c r="AG6314" s="36"/>
      <c r="AH6314" s="36"/>
      <c r="AI6314" s="36"/>
      <c r="AJ6314" s="15">
        <f t="shared" si="1122"/>
        <v>0</v>
      </c>
      <c r="AK6314" s="14"/>
      <c r="AL6314" s="14"/>
      <c r="AM6314" s="14"/>
      <c r="AN6314" s="14"/>
      <c r="AO6314" s="14"/>
      <c r="AP6314" s="14"/>
      <c r="AQ6314" s="14"/>
      <c r="AR6314" s="14"/>
      <c r="AS6314" s="14"/>
      <c r="AT6314" s="14"/>
      <c r="AU6314" s="14"/>
      <c r="AV6314" s="14"/>
      <c r="AW6314" s="15">
        <f t="shared" si="1123"/>
        <v>0</v>
      </c>
      <c r="AX6314" s="16"/>
    </row>
    <row r="6315" spans="2:51" x14ac:dyDescent="0.2">
      <c r="B6315" s="7"/>
      <c r="C6315" s="8">
        <v>16431</v>
      </c>
      <c r="D6315" s="9" t="s">
        <v>87</v>
      </c>
      <c r="E6315" s="10" t="str">
        <f t="shared" si="1118"/>
        <v>Rancho Zinamba No. 36</v>
      </c>
      <c r="F6315" s="10" t="str">
        <f t="shared" si="1119"/>
        <v>Rodríguez Ortiz</v>
      </c>
      <c r="G6315" s="8">
        <v>1</v>
      </c>
      <c r="H6315" s="11">
        <v>400</v>
      </c>
      <c r="I6315" s="12">
        <v>43212</v>
      </c>
      <c r="J6315" s="35">
        <f t="shared" si="1120"/>
        <v>0</v>
      </c>
      <c r="K6315" s="36"/>
      <c r="L6315" s="36"/>
      <c r="M6315" s="36"/>
      <c r="N6315" s="36"/>
      <c r="O6315" s="36"/>
      <c r="P6315" s="36"/>
      <c r="Q6315" s="36"/>
      <c r="R6315" s="36"/>
      <c r="S6315" s="36"/>
      <c r="T6315" s="36"/>
      <c r="U6315" s="36"/>
      <c r="V6315" s="36"/>
      <c r="W6315" s="15">
        <f t="shared" si="1121"/>
        <v>0</v>
      </c>
      <c r="X6315" s="36"/>
      <c r="Y6315" s="36"/>
      <c r="Z6315" s="36"/>
      <c r="AA6315" s="36"/>
      <c r="AB6315" s="36"/>
      <c r="AC6315" s="36"/>
      <c r="AD6315" s="36"/>
      <c r="AE6315" s="36"/>
      <c r="AF6315" s="36"/>
      <c r="AG6315" s="36"/>
      <c r="AH6315" s="36"/>
      <c r="AI6315" s="36"/>
      <c r="AJ6315" s="15">
        <f t="shared" si="1122"/>
        <v>0</v>
      </c>
      <c r="AK6315" s="14"/>
      <c r="AL6315" s="14"/>
      <c r="AM6315" s="14"/>
      <c r="AN6315" s="14"/>
      <c r="AO6315" s="14">
        <v>400</v>
      </c>
      <c r="AP6315" s="14"/>
      <c r="AQ6315" s="14"/>
      <c r="AR6315" s="14"/>
      <c r="AS6315" s="14"/>
      <c r="AT6315" s="14"/>
      <c r="AU6315" s="14"/>
      <c r="AV6315" s="14"/>
      <c r="AW6315" s="15">
        <f t="shared" si="1123"/>
        <v>400</v>
      </c>
      <c r="AX6315" s="16"/>
    </row>
    <row r="6316" spans="2:51" x14ac:dyDescent="0.2">
      <c r="B6316" s="7"/>
      <c r="C6316" s="8">
        <v>16432</v>
      </c>
      <c r="D6316" s="9" t="s">
        <v>740</v>
      </c>
      <c r="E6316" s="10" t="str">
        <f t="shared" si="1052"/>
        <v>Rancho Upácuaro No. 65</v>
      </c>
      <c r="F6316" s="10" t="str">
        <f t="shared" si="1053"/>
        <v>Cruz González</v>
      </c>
      <c r="G6316" s="8">
        <v>5</v>
      </c>
      <c r="H6316" s="11">
        <v>50</v>
      </c>
      <c r="I6316" s="12">
        <v>43212</v>
      </c>
      <c r="J6316" s="35">
        <f t="shared" si="1054"/>
        <v>0</v>
      </c>
      <c r="K6316" s="36"/>
      <c r="L6316" s="36"/>
      <c r="M6316" s="36"/>
      <c r="N6316" s="36"/>
      <c r="O6316" s="36"/>
      <c r="P6316" s="36"/>
      <c r="Q6316" s="36"/>
      <c r="R6316" s="36"/>
      <c r="S6316" s="36"/>
      <c r="T6316" s="36"/>
      <c r="U6316" s="36"/>
      <c r="V6316" s="36"/>
      <c r="W6316" s="15">
        <f t="shared" si="1055"/>
        <v>0</v>
      </c>
      <c r="X6316" s="36"/>
      <c r="Y6316" s="36"/>
      <c r="Z6316" s="36"/>
      <c r="AA6316" s="36"/>
      <c r="AB6316" s="36"/>
      <c r="AC6316" s="36"/>
      <c r="AD6316" s="36"/>
      <c r="AE6316" s="36"/>
      <c r="AF6316" s="36"/>
      <c r="AG6316" s="36"/>
      <c r="AH6316" s="36"/>
      <c r="AI6316" s="36"/>
      <c r="AJ6316" s="15">
        <f t="shared" si="1056"/>
        <v>0</v>
      </c>
      <c r="AK6316" s="14"/>
      <c r="AL6316" s="14"/>
      <c r="AM6316" s="14"/>
      <c r="AN6316" s="14"/>
      <c r="AO6316" s="14"/>
      <c r="AP6316" s="14"/>
      <c r="AQ6316" s="14"/>
      <c r="AR6316" s="14"/>
      <c r="AS6316" s="14"/>
      <c r="AT6316" s="14"/>
      <c r="AU6316" s="14"/>
      <c r="AV6316" s="14"/>
      <c r="AW6316" s="15">
        <f t="shared" si="1057"/>
        <v>0</v>
      </c>
      <c r="AX6316" s="316">
        <f>SUM(H6288:H6316)</f>
        <v>15850</v>
      </c>
      <c r="AY6316" s="112">
        <f>SUM(H6283:H6316)</f>
        <v>21650</v>
      </c>
    </row>
    <row r="6317" spans="2:51" x14ac:dyDescent="0.2">
      <c r="B6317" s="7"/>
      <c r="C6317" s="8">
        <v>16433</v>
      </c>
      <c r="D6317" s="9" t="s">
        <v>1110</v>
      </c>
      <c r="E6317" s="10" t="str">
        <f t="shared" si="1022"/>
        <v>Rancho Upácuaro No. 103</v>
      </c>
      <c r="F6317" s="10" t="str">
        <f t="shared" si="1023"/>
        <v>Alfaro</v>
      </c>
      <c r="G6317" s="8">
        <v>1</v>
      </c>
      <c r="H6317" s="315">
        <v>400</v>
      </c>
      <c r="I6317" s="12">
        <v>43213</v>
      </c>
      <c r="J6317" s="35">
        <f t="shared" si="1024"/>
        <v>0</v>
      </c>
      <c r="K6317" s="36"/>
      <c r="L6317" s="36"/>
      <c r="M6317" s="36"/>
      <c r="N6317" s="36"/>
      <c r="O6317" s="36"/>
      <c r="P6317" s="36"/>
      <c r="Q6317" s="36"/>
      <c r="R6317" s="36"/>
      <c r="S6317" s="36"/>
      <c r="T6317" s="36"/>
      <c r="U6317" s="36"/>
      <c r="V6317" s="36"/>
      <c r="W6317" s="15">
        <f t="shared" si="1025"/>
        <v>0</v>
      </c>
      <c r="X6317" s="36"/>
      <c r="Y6317" s="36"/>
      <c r="Z6317" s="36"/>
      <c r="AA6317" s="36"/>
      <c r="AB6317" s="36"/>
      <c r="AC6317" s="36"/>
      <c r="AD6317" s="36"/>
      <c r="AE6317" s="36"/>
      <c r="AF6317" s="36"/>
      <c r="AG6317" s="36"/>
      <c r="AH6317" s="36"/>
      <c r="AI6317" s="36"/>
      <c r="AJ6317" s="15">
        <f t="shared" si="1026"/>
        <v>0</v>
      </c>
      <c r="AK6317" s="14"/>
      <c r="AL6317" s="14"/>
      <c r="AM6317" s="14"/>
      <c r="AN6317" s="14">
        <v>400</v>
      </c>
      <c r="AO6317" s="14"/>
      <c r="AP6317" s="14"/>
      <c r="AQ6317" s="14"/>
      <c r="AR6317" s="14"/>
      <c r="AS6317" s="14"/>
      <c r="AT6317" s="14"/>
      <c r="AU6317" s="14"/>
      <c r="AV6317" s="14"/>
      <c r="AW6317" s="15">
        <f t="shared" si="1027"/>
        <v>400</v>
      </c>
      <c r="AX6317" s="16"/>
    </row>
    <row r="6318" spans="2:51" x14ac:dyDescent="0.2">
      <c r="B6318" s="7"/>
      <c r="C6318" s="8">
        <v>16434</v>
      </c>
      <c r="D6318" s="9" t="s">
        <v>874</v>
      </c>
      <c r="E6318" s="10" t="str">
        <f t="shared" ref="E6318:E6409" si="1124">IF(D6318=0,"",VLOOKUP(D6318,BASE,2,FALSE))</f>
        <v>Rancho Zinamba No. 46</v>
      </c>
      <c r="F6318" s="10" t="str">
        <f t="shared" ref="F6318:F6409" si="1125">IF(D6318=0,"",VLOOKUP(D6318,BASE,3,FALSE))</f>
        <v>Olguín</v>
      </c>
      <c r="G6318" s="8">
        <v>1</v>
      </c>
      <c r="H6318" s="11">
        <v>200</v>
      </c>
      <c r="I6318" s="12">
        <v>43212</v>
      </c>
      <c r="J6318" s="35">
        <f t="shared" ref="J6318:J6409" si="1126">IF(G6318=1,SUM(W6318,AJ6318,AW6318,-H6318),0)</f>
        <v>0</v>
      </c>
      <c r="K6318" s="36"/>
      <c r="L6318" s="36"/>
      <c r="M6318" s="36"/>
      <c r="N6318" s="36"/>
      <c r="O6318" s="36"/>
      <c r="P6318" s="36"/>
      <c r="Q6318" s="36"/>
      <c r="R6318" s="36"/>
      <c r="S6318" s="36"/>
      <c r="T6318" s="36"/>
      <c r="U6318" s="36"/>
      <c r="V6318" s="36"/>
      <c r="W6318" s="15">
        <f t="shared" ref="W6318:W6409" si="1127">SUM(K6318:V6318)</f>
        <v>0</v>
      </c>
      <c r="X6318" s="36"/>
      <c r="Y6318" s="36"/>
      <c r="Z6318" s="36"/>
      <c r="AA6318" s="36"/>
      <c r="AB6318" s="36"/>
      <c r="AC6318" s="36"/>
      <c r="AD6318" s="36"/>
      <c r="AE6318" s="36"/>
      <c r="AF6318" s="36"/>
      <c r="AG6318" s="36"/>
      <c r="AH6318" s="36"/>
      <c r="AI6318" s="36"/>
      <c r="AJ6318" s="15">
        <f t="shared" ref="AJ6318:AJ6409" si="1128">SUM(X6318:AI6318)</f>
        <v>0</v>
      </c>
      <c r="AK6318" s="14"/>
      <c r="AL6318" s="14"/>
      <c r="AM6318" s="14"/>
      <c r="AN6318" s="14">
        <v>200</v>
      </c>
      <c r="AO6318" s="14"/>
      <c r="AP6318" s="14"/>
      <c r="AQ6318" s="14"/>
      <c r="AR6318" s="14"/>
      <c r="AS6318" s="14"/>
      <c r="AT6318" s="14"/>
      <c r="AU6318" s="14"/>
      <c r="AV6318" s="14"/>
      <c r="AW6318" s="15">
        <f t="shared" ref="AW6318:AW6409" si="1129">SUM(AK6318:AV6318)</f>
        <v>200</v>
      </c>
      <c r="AX6318" s="16"/>
    </row>
    <row r="6319" spans="2:51" x14ac:dyDescent="0.2">
      <c r="B6319" s="7"/>
      <c r="C6319" s="8">
        <v>16435</v>
      </c>
      <c r="D6319" s="9" t="s">
        <v>373</v>
      </c>
      <c r="E6319" s="10" t="str">
        <f t="shared" si="1124"/>
        <v>Rancho Upácuaro No. 118</v>
      </c>
      <c r="F6319" s="10" t="str">
        <f t="shared" si="1125"/>
        <v>Siegrist</v>
      </c>
      <c r="G6319" s="8">
        <v>1</v>
      </c>
      <c r="H6319" s="11">
        <v>1600</v>
      </c>
      <c r="I6319" s="12">
        <v>43215</v>
      </c>
      <c r="J6319" s="35">
        <f t="shared" si="1126"/>
        <v>0</v>
      </c>
      <c r="K6319" s="36"/>
      <c r="L6319" s="36"/>
      <c r="M6319" s="36"/>
      <c r="N6319" s="36"/>
      <c r="O6319" s="36"/>
      <c r="P6319" s="36"/>
      <c r="Q6319" s="36"/>
      <c r="R6319" s="36"/>
      <c r="S6319" s="36"/>
      <c r="T6319" s="36"/>
      <c r="U6319" s="36"/>
      <c r="V6319" s="36"/>
      <c r="W6319" s="15">
        <f t="shared" si="1127"/>
        <v>0</v>
      </c>
      <c r="X6319" s="36"/>
      <c r="Y6319" s="36"/>
      <c r="Z6319" s="36"/>
      <c r="AA6319" s="36"/>
      <c r="AB6319" s="36"/>
      <c r="AC6319" s="36"/>
      <c r="AD6319" s="36"/>
      <c r="AE6319" s="36"/>
      <c r="AF6319" s="36"/>
      <c r="AG6319" s="36"/>
      <c r="AH6319" s="36"/>
      <c r="AI6319" s="36"/>
      <c r="AJ6319" s="15">
        <f t="shared" si="1128"/>
        <v>0</v>
      </c>
      <c r="AK6319" s="14">
        <v>400</v>
      </c>
      <c r="AL6319" s="14">
        <v>400</v>
      </c>
      <c r="AM6319" s="14">
        <v>400</v>
      </c>
      <c r="AN6319" s="14">
        <v>400</v>
      </c>
      <c r="AO6319" s="14"/>
      <c r="AP6319" s="14"/>
      <c r="AQ6319" s="14"/>
      <c r="AR6319" s="14"/>
      <c r="AS6319" s="14"/>
      <c r="AT6319" s="14"/>
      <c r="AU6319" s="14"/>
      <c r="AV6319" s="14"/>
      <c r="AW6319" s="15">
        <f t="shared" si="1129"/>
        <v>1600</v>
      </c>
      <c r="AX6319" s="16"/>
    </row>
    <row r="6320" spans="2:51" x14ac:dyDescent="0.2">
      <c r="B6320" s="7"/>
      <c r="C6320" s="8">
        <v>16436</v>
      </c>
      <c r="D6320" s="9" t="s">
        <v>722</v>
      </c>
      <c r="E6320" s="10" t="str">
        <f t="shared" si="1124"/>
        <v>Rancho Estanzuela No. 71</v>
      </c>
      <c r="F6320" s="10" t="str">
        <f t="shared" si="1125"/>
        <v>Soriano</v>
      </c>
      <c r="G6320" s="8">
        <v>4</v>
      </c>
      <c r="H6320" s="11">
        <v>400</v>
      </c>
      <c r="I6320" s="12">
        <v>43215</v>
      </c>
      <c r="J6320" s="35">
        <f t="shared" si="1126"/>
        <v>0</v>
      </c>
      <c r="K6320" s="36"/>
      <c r="L6320" s="36"/>
      <c r="M6320" s="36"/>
      <c r="N6320" s="36"/>
      <c r="O6320" s="36"/>
      <c r="P6320" s="36"/>
      <c r="Q6320" s="36"/>
      <c r="R6320" s="36"/>
      <c r="S6320" s="36"/>
      <c r="T6320" s="36"/>
      <c r="U6320" s="36"/>
      <c r="V6320" s="36"/>
      <c r="W6320" s="15">
        <f t="shared" si="1127"/>
        <v>0</v>
      </c>
      <c r="X6320" s="36"/>
      <c r="Y6320" s="36"/>
      <c r="Z6320" s="36"/>
      <c r="AA6320" s="36"/>
      <c r="AB6320" s="36"/>
      <c r="AC6320" s="36"/>
      <c r="AD6320" s="36"/>
      <c r="AE6320" s="36"/>
      <c r="AF6320" s="36"/>
      <c r="AG6320" s="36"/>
      <c r="AH6320" s="36"/>
      <c r="AI6320" s="36"/>
      <c r="AJ6320" s="15">
        <f t="shared" si="1128"/>
        <v>0</v>
      </c>
      <c r="AK6320" s="14"/>
      <c r="AL6320" s="14"/>
      <c r="AM6320" s="14"/>
      <c r="AN6320" s="14"/>
      <c r="AO6320" s="14"/>
      <c r="AP6320" s="14"/>
      <c r="AQ6320" s="14"/>
      <c r="AR6320" s="14"/>
      <c r="AS6320" s="14"/>
      <c r="AT6320" s="14"/>
      <c r="AU6320" s="14"/>
      <c r="AV6320" s="14"/>
      <c r="AW6320" s="15">
        <f t="shared" si="1129"/>
        <v>0</v>
      </c>
      <c r="AX6320" s="16"/>
    </row>
    <row r="6321" spans="2:50" x14ac:dyDescent="0.2">
      <c r="B6321" s="7"/>
      <c r="C6321" s="8">
        <v>16437</v>
      </c>
      <c r="D6321" s="9" t="s">
        <v>1095</v>
      </c>
      <c r="E6321" s="10" t="str">
        <f t="shared" si="1124"/>
        <v>Rancho La Cuchilla No. 35</v>
      </c>
      <c r="F6321" s="10" t="str">
        <f t="shared" si="1125"/>
        <v>Mendoza</v>
      </c>
      <c r="G6321" s="8">
        <v>1</v>
      </c>
      <c r="H6321" s="11">
        <v>1000</v>
      </c>
      <c r="I6321" s="12">
        <v>43215</v>
      </c>
      <c r="J6321" s="35">
        <f t="shared" si="1126"/>
        <v>0</v>
      </c>
      <c r="K6321" s="36"/>
      <c r="L6321" s="36"/>
      <c r="M6321" s="36"/>
      <c r="N6321" s="36"/>
      <c r="O6321" s="36"/>
      <c r="P6321" s="36"/>
      <c r="Q6321" s="36"/>
      <c r="R6321" s="36"/>
      <c r="S6321" s="36"/>
      <c r="T6321" s="36"/>
      <c r="U6321" s="36"/>
      <c r="V6321" s="36"/>
      <c r="W6321" s="15">
        <f t="shared" si="1127"/>
        <v>0</v>
      </c>
      <c r="X6321" s="36"/>
      <c r="Y6321" s="36"/>
      <c r="Z6321" s="36"/>
      <c r="AA6321" s="36"/>
      <c r="AB6321" s="36"/>
      <c r="AC6321" s="36"/>
      <c r="AD6321" s="36"/>
      <c r="AE6321" s="36"/>
      <c r="AF6321" s="36"/>
      <c r="AG6321" s="36">
        <v>250</v>
      </c>
      <c r="AH6321" s="36">
        <v>250</v>
      </c>
      <c r="AI6321" s="36">
        <v>250</v>
      </c>
      <c r="AJ6321" s="15">
        <f t="shared" si="1128"/>
        <v>750</v>
      </c>
      <c r="AK6321" s="14">
        <v>250</v>
      </c>
      <c r="AL6321" s="14"/>
      <c r="AM6321" s="14"/>
      <c r="AN6321" s="14"/>
      <c r="AO6321" s="14"/>
      <c r="AP6321" s="14"/>
      <c r="AQ6321" s="14"/>
      <c r="AR6321" s="14"/>
      <c r="AS6321" s="14"/>
      <c r="AT6321" s="14"/>
      <c r="AU6321" s="14"/>
      <c r="AV6321" s="14"/>
      <c r="AW6321" s="15">
        <f t="shared" si="1129"/>
        <v>250</v>
      </c>
      <c r="AX6321" s="16"/>
    </row>
    <row r="6322" spans="2:50" x14ac:dyDescent="0.2">
      <c r="B6322" s="7"/>
      <c r="C6322" s="8">
        <v>16437</v>
      </c>
      <c r="D6322" s="9" t="s">
        <v>1095</v>
      </c>
      <c r="E6322" s="10" t="str">
        <f t="shared" si="1124"/>
        <v>Rancho La Cuchilla No. 35</v>
      </c>
      <c r="F6322" s="10" t="str">
        <f t="shared" si="1125"/>
        <v>Mendoza</v>
      </c>
      <c r="G6322" s="8">
        <v>4</v>
      </c>
      <c r="H6322" s="11">
        <v>400</v>
      </c>
      <c r="I6322" s="12">
        <v>43215</v>
      </c>
      <c r="J6322" s="35">
        <f t="shared" si="1126"/>
        <v>0</v>
      </c>
      <c r="K6322" s="36"/>
      <c r="L6322" s="36"/>
      <c r="M6322" s="36"/>
      <c r="N6322" s="36"/>
      <c r="O6322" s="36"/>
      <c r="P6322" s="36"/>
      <c r="Q6322" s="36"/>
      <c r="R6322" s="36"/>
      <c r="S6322" s="36"/>
      <c r="T6322" s="36"/>
      <c r="U6322" s="36"/>
      <c r="V6322" s="36"/>
      <c r="W6322" s="15">
        <f t="shared" si="1127"/>
        <v>0</v>
      </c>
      <c r="X6322" s="36"/>
      <c r="Y6322" s="36"/>
      <c r="Z6322" s="36"/>
      <c r="AA6322" s="36"/>
      <c r="AB6322" s="36"/>
      <c r="AC6322" s="36"/>
      <c r="AD6322" s="36"/>
      <c r="AE6322" s="36"/>
      <c r="AF6322" s="36"/>
      <c r="AG6322" s="36"/>
      <c r="AH6322" s="36"/>
      <c r="AI6322" s="36"/>
      <c r="AJ6322" s="15">
        <f t="shared" si="1128"/>
        <v>0</v>
      </c>
      <c r="AK6322" s="14"/>
      <c r="AL6322" s="14"/>
      <c r="AM6322" s="14"/>
      <c r="AN6322" s="14"/>
      <c r="AO6322" s="14"/>
      <c r="AP6322" s="14"/>
      <c r="AQ6322" s="14"/>
      <c r="AR6322" s="14"/>
      <c r="AS6322" s="14"/>
      <c r="AT6322" s="14"/>
      <c r="AU6322" s="14"/>
      <c r="AV6322" s="14"/>
      <c r="AW6322" s="15">
        <f t="shared" si="1129"/>
        <v>0</v>
      </c>
      <c r="AX6322" s="16"/>
    </row>
    <row r="6323" spans="2:50" x14ac:dyDescent="0.2">
      <c r="B6323" s="7"/>
      <c r="C6323" s="8">
        <v>16438</v>
      </c>
      <c r="D6323" s="9" t="s">
        <v>220</v>
      </c>
      <c r="E6323" s="10" t="str">
        <f t="shared" si="1124"/>
        <v>Rancho Recoveco No. 3</v>
      </c>
      <c r="F6323" s="10" t="str">
        <f t="shared" si="1125"/>
        <v>Garduño</v>
      </c>
      <c r="G6323" s="8">
        <v>1</v>
      </c>
      <c r="H6323" s="11">
        <v>600</v>
      </c>
      <c r="I6323" s="12">
        <v>43216</v>
      </c>
      <c r="J6323" s="35">
        <f t="shared" si="1126"/>
        <v>0</v>
      </c>
      <c r="K6323" s="36"/>
      <c r="L6323" s="36"/>
      <c r="M6323" s="36"/>
      <c r="N6323" s="36"/>
      <c r="O6323" s="36"/>
      <c r="P6323" s="36"/>
      <c r="Q6323" s="36"/>
      <c r="R6323" s="36"/>
      <c r="S6323" s="36"/>
      <c r="T6323" s="36"/>
      <c r="U6323" s="36"/>
      <c r="V6323" s="36"/>
      <c r="W6323" s="15">
        <f t="shared" si="1127"/>
        <v>0</v>
      </c>
      <c r="X6323" s="36"/>
      <c r="Y6323" s="36"/>
      <c r="Z6323" s="36"/>
      <c r="AA6323" s="36"/>
      <c r="AB6323" s="36"/>
      <c r="AC6323" s="36"/>
      <c r="AD6323" s="36"/>
      <c r="AE6323" s="36"/>
      <c r="AF6323" s="36"/>
      <c r="AG6323" s="36"/>
      <c r="AH6323" s="36"/>
      <c r="AI6323" s="36"/>
      <c r="AJ6323" s="15">
        <f t="shared" si="1128"/>
        <v>0</v>
      </c>
      <c r="AK6323" s="14"/>
      <c r="AL6323" s="14"/>
      <c r="AM6323" s="14">
        <v>300</v>
      </c>
      <c r="AN6323" s="14">
        <v>300</v>
      </c>
      <c r="AO6323" s="14"/>
      <c r="AP6323" s="14"/>
      <c r="AQ6323" s="14"/>
      <c r="AR6323" s="14"/>
      <c r="AS6323" s="14"/>
      <c r="AT6323" s="14"/>
      <c r="AU6323" s="14"/>
      <c r="AV6323" s="14"/>
      <c r="AW6323" s="15">
        <f t="shared" si="1129"/>
        <v>600</v>
      </c>
      <c r="AX6323" s="16"/>
    </row>
    <row r="6324" spans="2:50" x14ac:dyDescent="0.2">
      <c r="B6324" s="7"/>
      <c r="C6324" s="8">
        <v>16439</v>
      </c>
      <c r="D6324" s="9" t="s">
        <v>1085</v>
      </c>
      <c r="E6324" s="10" t="str">
        <f t="shared" si="1124"/>
        <v>Rancho Landero No. 75</v>
      </c>
      <c r="F6324" s="10" t="str">
        <f t="shared" si="1125"/>
        <v>López Fara</v>
      </c>
      <c r="G6324" s="8">
        <v>5</v>
      </c>
      <c r="H6324" s="11">
        <v>50</v>
      </c>
      <c r="I6324" s="12">
        <v>43216</v>
      </c>
      <c r="J6324" s="35">
        <f t="shared" si="1126"/>
        <v>0</v>
      </c>
      <c r="K6324" s="36"/>
      <c r="L6324" s="36"/>
      <c r="M6324" s="36"/>
      <c r="N6324" s="36"/>
      <c r="O6324" s="36"/>
      <c r="P6324" s="36"/>
      <c r="Q6324" s="36"/>
      <c r="R6324" s="36"/>
      <c r="S6324" s="36"/>
      <c r="T6324" s="36"/>
      <c r="U6324" s="36"/>
      <c r="V6324" s="36"/>
      <c r="W6324" s="15">
        <f t="shared" si="1127"/>
        <v>0</v>
      </c>
      <c r="X6324" s="36"/>
      <c r="Y6324" s="36"/>
      <c r="Z6324" s="36"/>
      <c r="AA6324" s="36"/>
      <c r="AB6324" s="36"/>
      <c r="AC6324" s="36"/>
      <c r="AD6324" s="36"/>
      <c r="AE6324" s="36"/>
      <c r="AF6324" s="36"/>
      <c r="AG6324" s="36"/>
      <c r="AH6324" s="36"/>
      <c r="AI6324" s="36"/>
      <c r="AJ6324" s="15">
        <f t="shared" si="1128"/>
        <v>0</v>
      </c>
      <c r="AK6324" s="14"/>
      <c r="AL6324" s="14"/>
      <c r="AM6324" s="14"/>
      <c r="AN6324" s="14"/>
      <c r="AO6324" s="14"/>
      <c r="AP6324" s="14"/>
      <c r="AQ6324" s="14"/>
      <c r="AR6324" s="14"/>
      <c r="AS6324" s="14"/>
      <c r="AT6324" s="14"/>
      <c r="AU6324" s="14"/>
      <c r="AV6324" s="14"/>
      <c r="AW6324" s="15">
        <f t="shared" si="1129"/>
        <v>0</v>
      </c>
      <c r="AX6324" s="316">
        <f>SUM(H6317:H6324)</f>
        <v>4650</v>
      </c>
    </row>
    <row r="6325" spans="2:50" x14ac:dyDescent="0.2">
      <c r="B6325" s="7"/>
      <c r="C6325" s="8">
        <v>16440</v>
      </c>
      <c r="D6325" s="9" t="s">
        <v>482</v>
      </c>
      <c r="E6325" s="10" t="str">
        <f t="shared" ref="E6325:E6331" si="1130">IF(D6325=0,"",VLOOKUP(D6325,BASE,2,FALSE))</f>
        <v>Rancho Estopila No. 22, B</v>
      </c>
      <c r="F6325" s="10" t="str">
        <f t="shared" ref="F6325:F6331" si="1131">IF(D6325=0,"",VLOOKUP(D6325,BASE,3,FALSE))</f>
        <v xml:space="preserve">Carranza Díaz </v>
      </c>
      <c r="G6325" s="8">
        <v>5</v>
      </c>
      <c r="H6325" s="315">
        <v>50</v>
      </c>
      <c r="I6325" s="12">
        <v>43219</v>
      </c>
      <c r="J6325" s="35">
        <f t="shared" ref="J6325:J6331" si="1132">IF(G6325=1,SUM(W6325,AJ6325,AW6325,-H6325),0)</f>
        <v>0</v>
      </c>
      <c r="K6325" s="36"/>
      <c r="L6325" s="36"/>
      <c r="M6325" s="36"/>
      <c r="N6325" s="36"/>
      <c r="O6325" s="36"/>
      <c r="P6325" s="36"/>
      <c r="Q6325" s="36"/>
      <c r="R6325" s="36"/>
      <c r="S6325" s="36"/>
      <c r="T6325" s="36"/>
      <c r="U6325" s="36"/>
      <c r="V6325" s="36"/>
      <c r="W6325" s="15">
        <f t="shared" ref="W6325:W6331" si="1133">SUM(K6325:V6325)</f>
        <v>0</v>
      </c>
      <c r="X6325" s="36"/>
      <c r="Y6325" s="36"/>
      <c r="Z6325" s="36"/>
      <c r="AA6325" s="36"/>
      <c r="AB6325" s="36"/>
      <c r="AC6325" s="36"/>
      <c r="AD6325" s="36"/>
      <c r="AE6325" s="36"/>
      <c r="AF6325" s="36"/>
      <c r="AG6325" s="36"/>
      <c r="AH6325" s="36"/>
      <c r="AI6325" s="36"/>
      <c r="AJ6325" s="15">
        <f t="shared" ref="AJ6325:AJ6331" si="1134">SUM(X6325:AI6325)</f>
        <v>0</v>
      </c>
      <c r="AK6325" s="14"/>
      <c r="AL6325" s="14"/>
      <c r="AM6325" s="14"/>
      <c r="AN6325" s="14"/>
      <c r="AO6325" s="14"/>
      <c r="AP6325" s="14"/>
      <c r="AQ6325" s="14"/>
      <c r="AR6325" s="14"/>
      <c r="AS6325" s="14"/>
      <c r="AT6325" s="14"/>
      <c r="AU6325" s="14"/>
      <c r="AV6325" s="14"/>
      <c r="AW6325" s="15">
        <f t="shared" ref="AW6325:AW6331" si="1135">SUM(AK6325:AV6325)</f>
        <v>0</v>
      </c>
      <c r="AX6325" s="16"/>
    </row>
    <row r="6326" spans="2:50" x14ac:dyDescent="0.2">
      <c r="B6326" s="7"/>
      <c r="C6326" s="8">
        <v>16441</v>
      </c>
      <c r="D6326" s="9" t="s">
        <v>482</v>
      </c>
      <c r="E6326" s="10" t="str">
        <f t="shared" si="1130"/>
        <v>Rancho Estopila No. 22, B</v>
      </c>
      <c r="F6326" s="10" t="str">
        <f t="shared" si="1131"/>
        <v xml:space="preserve">Carranza Díaz </v>
      </c>
      <c r="G6326" s="8">
        <v>1</v>
      </c>
      <c r="H6326" s="11">
        <v>1000</v>
      </c>
      <c r="I6326" s="12">
        <v>43219</v>
      </c>
      <c r="J6326" s="35">
        <f t="shared" si="1132"/>
        <v>0</v>
      </c>
      <c r="K6326" s="36"/>
      <c r="L6326" s="36"/>
      <c r="M6326" s="36"/>
      <c r="N6326" s="36"/>
      <c r="O6326" s="36"/>
      <c r="P6326" s="36"/>
      <c r="Q6326" s="36"/>
      <c r="R6326" s="36"/>
      <c r="S6326" s="36"/>
      <c r="T6326" s="36"/>
      <c r="U6326" s="36"/>
      <c r="V6326" s="36"/>
      <c r="W6326" s="15">
        <f t="shared" si="1133"/>
        <v>0</v>
      </c>
      <c r="X6326" s="36"/>
      <c r="Y6326" s="36"/>
      <c r="Z6326" s="36"/>
      <c r="AA6326" s="36"/>
      <c r="AB6326" s="36"/>
      <c r="AC6326" s="36"/>
      <c r="AD6326" s="36"/>
      <c r="AE6326" s="36"/>
      <c r="AF6326" s="36"/>
      <c r="AG6326" s="36"/>
      <c r="AH6326" s="36"/>
      <c r="AI6326" s="36"/>
      <c r="AJ6326" s="15">
        <f t="shared" si="1134"/>
        <v>0</v>
      </c>
      <c r="AK6326" s="14">
        <v>200</v>
      </c>
      <c r="AL6326" s="14">
        <v>200</v>
      </c>
      <c r="AM6326" s="14">
        <v>200</v>
      </c>
      <c r="AN6326" s="14">
        <v>200</v>
      </c>
      <c r="AO6326" s="14">
        <v>200</v>
      </c>
      <c r="AP6326" s="14"/>
      <c r="AQ6326" s="14"/>
      <c r="AR6326" s="14"/>
      <c r="AS6326" s="14"/>
      <c r="AT6326" s="14"/>
      <c r="AU6326" s="14"/>
      <c r="AV6326" s="14"/>
      <c r="AW6326" s="15">
        <f t="shared" si="1135"/>
        <v>1000</v>
      </c>
      <c r="AX6326" s="16"/>
    </row>
    <row r="6327" spans="2:50" x14ac:dyDescent="0.2">
      <c r="B6327" s="7"/>
      <c r="C6327" s="8">
        <v>16442</v>
      </c>
      <c r="D6327" s="9" t="s">
        <v>882</v>
      </c>
      <c r="E6327" s="10" t="str">
        <f t="shared" si="1130"/>
        <v>Rancho Upácuaro No. 54</v>
      </c>
      <c r="F6327" s="10" t="str">
        <f t="shared" si="1131"/>
        <v>García Rueda</v>
      </c>
      <c r="G6327" s="8">
        <v>1</v>
      </c>
      <c r="H6327" s="11">
        <v>600</v>
      </c>
      <c r="I6327" s="12">
        <v>43219</v>
      </c>
      <c r="J6327" s="35">
        <f t="shared" si="1132"/>
        <v>0</v>
      </c>
      <c r="K6327" s="36"/>
      <c r="L6327" s="36"/>
      <c r="M6327" s="36"/>
      <c r="N6327" s="36"/>
      <c r="O6327" s="36"/>
      <c r="P6327" s="36"/>
      <c r="Q6327" s="36"/>
      <c r="R6327" s="36"/>
      <c r="S6327" s="36"/>
      <c r="T6327" s="36"/>
      <c r="U6327" s="36"/>
      <c r="V6327" s="36"/>
      <c r="W6327" s="15">
        <f t="shared" si="1133"/>
        <v>0</v>
      </c>
      <c r="X6327" s="36"/>
      <c r="Y6327" s="36"/>
      <c r="Z6327" s="36"/>
      <c r="AA6327" s="36"/>
      <c r="AB6327" s="36"/>
      <c r="AC6327" s="36"/>
      <c r="AD6327" s="36"/>
      <c r="AE6327" s="36"/>
      <c r="AF6327" s="36"/>
      <c r="AG6327" s="36"/>
      <c r="AH6327" s="36"/>
      <c r="AI6327" s="36"/>
      <c r="AJ6327" s="15">
        <f t="shared" si="1134"/>
        <v>0</v>
      </c>
      <c r="AK6327" s="14"/>
      <c r="AL6327" s="14"/>
      <c r="AM6327" s="14">
        <v>200</v>
      </c>
      <c r="AN6327" s="14">
        <v>200</v>
      </c>
      <c r="AO6327" s="14">
        <v>200</v>
      </c>
      <c r="AP6327" s="14"/>
      <c r="AQ6327" s="14"/>
      <c r="AR6327" s="14"/>
      <c r="AS6327" s="14"/>
      <c r="AT6327" s="14"/>
      <c r="AU6327" s="14"/>
      <c r="AV6327" s="14"/>
      <c r="AW6327" s="15">
        <f t="shared" si="1135"/>
        <v>600</v>
      </c>
      <c r="AX6327" s="16"/>
    </row>
    <row r="6328" spans="2:50" x14ac:dyDescent="0.2">
      <c r="B6328" s="7"/>
      <c r="C6328" s="8">
        <v>16443</v>
      </c>
      <c r="D6328" s="9" t="s">
        <v>135</v>
      </c>
      <c r="E6328" s="10" t="str">
        <f t="shared" si="1130"/>
        <v>Rancho Upácuaro No. 70</v>
      </c>
      <c r="F6328" s="10" t="str">
        <f t="shared" si="1131"/>
        <v>Ramírez Tejeda</v>
      </c>
      <c r="G6328" s="8">
        <v>1</v>
      </c>
      <c r="H6328" s="11">
        <v>300</v>
      </c>
      <c r="I6328" s="12">
        <v>43219</v>
      </c>
      <c r="J6328" s="35">
        <f t="shared" si="1132"/>
        <v>0</v>
      </c>
      <c r="K6328" s="36"/>
      <c r="L6328" s="36"/>
      <c r="M6328" s="36"/>
      <c r="N6328" s="36"/>
      <c r="O6328" s="36"/>
      <c r="P6328" s="36"/>
      <c r="Q6328" s="36"/>
      <c r="R6328" s="36"/>
      <c r="S6328" s="36"/>
      <c r="T6328" s="36"/>
      <c r="U6328" s="36"/>
      <c r="V6328" s="36"/>
      <c r="W6328" s="15">
        <f t="shared" si="1133"/>
        <v>0</v>
      </c>
      <c r="X6328" s="36"/>
      <c r="Y6328" s="36"/>
      <c r="Z6328" s="36"/>
      <c r="AA6328" s="36"/>
      <c r="AB6328" s="36"/>
      <c r="AC6328" s="36"/>
      <c r="AD6328" s="36"/>
      <c r="AE6328" s="36"/>
      <c r="AF6328" s="36"/>
      <c r="AG6328" s="36"/>
      <c r="AH6328" s="36"/>
      <c r="AI6328" s="36"/>
      <c r="AJ6328" s="15">
        <f t="shared" si="1134"/>
        <v>0</v>
      </c>
      <c r="AK6328" s="14"/>
      <c r="AL6328" s="14"/>
      <c r="AM6328" s="14"/>
      <c r="AN6328" s="14"/>
      <c r="AO6328" s="14">
        <v>300</v>
      </c>
      <c r="AP6328" s="14"/>
      <c r="AQ6328" s="14"/>
      <c r="AR6328" s="14"/>
      <c r="AS6328" s="14"/>
      <c r="AT6328" s="14"/>
      <c r="AU6328" s="14"/>
      <c r="AV6328" s="14"/>
      <c r="AW6328" s="15">
        <f t="shared" si="1135"/>
        <v>300</v>
      </c>
      <c r="AX6328" s="16"/>
    </row>
    <row r="6329" spans="2:50" x14ac:dyDescent="0.2">
      <c r="B6329" s="7"/>
      <c r="C6329" s="8">
        <v>16444</v>
      </c>
      <c r="D6329" s="9" t="s">
        <v>404</v>
      </c>
      <c r="E6329" s="10" t="str">
        <f t="shared" si="1130"/>
        <v>Rancho La Cuchilla No. 89</v>
      </c>
      <c r="F6329" s="10" t="str">
        <f t="shared" si="1131"/>
        <v>Gálvez</v>
      </c>
      <c r="G6329" s="8">
        <v>1</v>
      </c>
      <c r="H6329" s="11">
        <v>400</v>
      </c>
      <c r="I6329" s="12">
        <v>43219</v>
      </c>
      <c r="J6329" s="35">
        <f t="shared" si="1132"/>
        <v>0</v>
      </c>
      <c r="K6329" s="36"/>
      <c r="L6329" s="36"/>
      <c r="M6329" s="36"/>
      <c r="N6329" s="36"/>
      <c r="O6329" s="36"/>
      <c r="P6329" s="36"/>
      <c r="Q6329" s="36"/>
      <c r="R6329" s="36"/>
      <c r="S6329" s="36"/>
      <c r="T6329" s="36"/>
      <c r="U6329" s="36"/>
      <c r="V6329" s="36"/>
      <c r="W6329" s="15">
        <f t="shared" si="1133"/>
        <v>0</v>
      </c>
      <c r="X6329" s="36"/>
      <c r="Y6329" s="36"/>
      <c r="Z6329" s="36"/>
      <c r="AA6329" s="36"/>
      <c r="AB6329" s="36"/>
      <c r="AC6329" s="36"/>
      <c r="AD6329" s="36"/>
      <c r="AE6329" s="36"/>
      <c r="AF6329" s="36"/>
      <c r="AG6329" s="36"/>
      <c r="AH6329" s="36"/>
      <c r="AI6329" s="36"/>
      <c r="AJ6329" s="15">
        <f t="shared" si="1134"/>
        <v>0</v>
      </c>
      <c r="AK6329" s="14"/>
      <c r="AL6329" s="14"/>
      <c r="AM6329" s="14"/>
      <c r="AN6329" s="14">
        <v>400</v>
      </c>
      <c r="AO6329" s="14"/>
      <c r="AP6329" s="14"/>
      <c r="AQ6329" s="14"/>
      <c r="AR6329" s="14"/>
      <c r="AS6329" s="14"/>
      <c r="AT6329" s="14"/>
      <c r="AU6329" s="14"/>
      <c r="AV6329" s="14"/>
      <c r="AW6329" s="15">
        <f t="shared" si="1135"/>
        <v>400</v>
      </c>
      <c r="AX6329" s="16"/>
    </row>
    <row r="6330" spans="2:50" x14ac:dyDescent="0.2">
      <c r="B6330" s="7"/>
      <c r="C6330" s="8">
        <v>16445</v>
      </c>
      <c r="D6330" s="9" t="s">
        <v>766</v>
      </c>
      <c r="E6330" s="10" t="str">
        <f t="shared" si="1130"/>
        <v>Rancho Landero No. 88</v>
      </c>
      <c r="F6330" s="10" t="str">
        <f t="shared" si="1131"/>
        <v>Torres Raúl</v>
      </c>
      <c r="G6330" s="8">
        <v>1</v>
      </c>
      <c r="H6330" s="11">
        <v>1200</v>
      </c>
      <c r="I6330" s="12">
        <v>43219</v>
      </c>
      <c r="J6330" s="35">
        <f t="shared" si="1132"/>
        <v>0</v>
      </c>
      <c r="K6330" s="36"/>
      <c r="L6330" s="36"/>
      <c r="M6330" s="36"/>
      <c r="N6330" s="36"/>
      <c r="O6330" s="36"/>
      <c r="P6330" s="36"/>
      <c r="Q6330" s="36"/>
      <c r="R6330" s="36"/>
      <c r="S6330" s="36"/>
      <c r="T6330" s="36"/>
      <c r="U6330" s="36"/>
      <c r="V6330" s="36"/>
      <c r="W6330" s="15">
        <f t="shared" si="1133"/>
        <v>0</v>
      </c>
      <c r="X6330" s="36"/>
      <c r="Y6330" s="36"/>
      <c r="Z6330" s="36"/>
      <c r="AA6330" s="36"/>
      <c r="AB6330" s="36"/>
      <c r="AC6330" s="36"/>
      <c r="AD6330" s="36"/>
      <c r="AE6330" s="36"/>
      <c r="AF6330" s="36"/>
      <c r="AG6330" s="36"/>
      <c r="AH6330" s="36"/>
      <c r="AI6330" s="36"/>
      <c r="AJ6330" s="15">
        <f t="shared" si="1134"/>
        <v>0</v>
      </c>
      <c r="AK6330" s="14">
        <v>400</v>
      </c>
      <c r="AL6330" s="14">
        <v>400</v>
      </c>
      <c r="AM6330" s="14">
        <v>400</v>
      </c>
      <c r="AN6330" s="14"/>
      <c r="AO6330" s="14"/>
      <c r="AP6330" s="14"/>
      <c r="AQ6330" s="14"/>
      <c r="AR6330" s="14"/>
      <c r="AS6330" s="14"/>
      <c r="AT6330" s="14"/>
      <c r="AU6330" s="14"/>
      <c r="AV6330" s="14"/>
      <c r="AW6330" s="15">
        <f t="shared" si="1135"/>
        <v>1200</v>
      </c>
      <c r="AX6330" s="16"/>
    </row>
    <row r="6331" spans="2:50" x14ac:dyDescent="0.2">
      <c r="B6331" s="7"/>
      <c r="C6331" s="8">
        <v>16446</v>
      </c>
      <c r="D6331" s="9" t="s">
        <v>349</v>
      </c>
      <c r="E6331" s="10" t="str">
        <f t="shared" si="1130"/>
        <v>Rancho La Cuchilla No. 15</v>
      </c>
      <c r="F6331" s="10" t="str">
        <f t="shared" si="1131"/>
        <v>Guerrero Ponce</v>
      </c>
      <c r="G6331" s="8">
        <v>1</v>
      </c>
      <c r="H6331" s="11">
        <v>300</v>
      </c>
      <c r="I6331" s="12">
        <v>43219</v>
      </c>
      <c r="J6331" s="35">
        <f t="shared" si="1132"/>
        <v>0</v>
      </c>
      <c r="K6331" s="36"/>
      <c r="L6331" s="36"/>
      <c r="M6331" s="36"/>
      <c r="N6331" s="36"/>
      <c r="O6331" s="36"/>
      <c r="P6331" s="36"/>
      <c r="Q6331" s="36"/>
      <c r="R6331" s="36"/>
      <c r="S6331" s="36"/>
      <c r="T6331" s="36"/>
      <c r="U6331" s="36"/>
      <c r="V6331" s="36"/>
      <c r="W6331" s="15">
        <f t="shared" si="1133"/>
        <v>0</v>
      </c>
      <c r="X6331" s="36"/>
      <c r="Y6331" s="36"/>
      <c r="Z6331" s="36"/>
      <c r="AA6331" s="36"/>
      <c r="AB6331" s="36"/>
      <c r="AC6331" s="36"/>
      <c r="AD6331" s="36"/>
      <c r="AE6331" s="36"/>
      <c r="AF6331" s="36"/>
      <c r="AG6331" s="36"/>
      <c r="AH6331" s="36"/>
      <c r="AI6331" s="36"/>
      <c r="AJ6331" s="15">
        <f t="shared" si="1134"/>
        <v>0</v>
      </c>
      <c r="AK6331" s="14"/>
      <c r="AL6331" s="14"/>
      <c r="AM6331" s="14">
        <v>300</v>
      </c>
      <c r="AN6331" s="14"/>
      <c r="AO6331" s="14"/>
      <c r="AP6331" s="14"/>
      <c r="AQ6331" s="14"/>
      <c r="AR6331" s="14"/>
      <c r="AS6331" s="14"/>
      <c r="AT6331" s="14"/>
      <c r="AU6331" s="14"/>
      <c r="AV6331" s="14"/>
      <c r="AW6331" s="15">
        <f t="shared" si="1135"/>
        <v>300</v>
      </c>
      <c r="AX6331" s="16"/>
    </row>
    <row r="6332" spans="2:50" x14ac:dyDescent="0.2">
      <c r="B6332" s="7"/>
      <c r="C6332" s="8">
        <v>16447</v>
      </c>
      <c r="D6332" s="9" t="s">
        <v>340</v>
      </c>
      <c r="E6332" s="10" t="str">
        <f t="shared" si="1124"/>
        <v>Rancho Romeral No. 17</v>
      </c>
      <c r="F6332" s="10" t="str">
        <f t="shared" si="1125"/>
        <v>Aguilar Lomelí</v>
      </c>
      <c r="G6332" s="8">
        <v>1</v>
      </c>
      <c r="H6332" s="11">
        <v>400</v>
      </c>
      <c r="I6332" s="12">
        <v>43219</v>
      </c>
      <c r="J6332" s="35">
        <f t="shared" si="1126"/>
        <v>0</v>
      </c>
      <c r="K6332" s="36"/>
      <c r="L6332" s="36"/>
      <c r="M6332" s="36"/>
      <c r="N6332" s="36"/>
      <c r="O6332" s="36"/>
      <c r="P6332" s="36"/>
      <c r="Q6332" s="36"/>
      <c r="R6332" s="36"/>
      <c r="S6332" s="36"/>
      <c r="T6332" s="36"/>
      <c r="U6332" s="36"/>
      <c r="V6332" s="36"/>
      <c r="W6332" s="15">
        <f t="shared" si="1127"/>
        <v>0</v>
      </c>
      <c r="X6332" s="36"/>
      <c r="Y6332" s="36"/>
      <c r="Z6332" s="36"/>
      <c r="AA6332" s="36"/>
      <c r="AB6332" s="36"/>
      <c r="AC6332" s="36"/>
      <c r="AD6332" s="36"/>
      <c r="AE6332" s="36"/>
      <c r="AF6332" s="36"/>
      <c r="AG6332" s="36"/>
      <c r="AH6332" s="36"/>
      <c r="AI6332" s="36"/>
      <c r="AJ6332" s="15">
        <f t="shared" si="1128"/>
        <v>0</v>
      </c>
      <c r="AK6332" s="14"/>
      <c r="AL6332" s="14"/>
      <c r="AM6332" s="14"/>
      <c r="AN6332" s="14">
        <v>400</v>
      </c>
      <c r="AO6332" s="14"/>
      <c r="AP6332" s="14"/>
      <c r="AQ6332" s="14"/>
      <c r="AR6332" s="14"/>
      <c r="AS6332" s="14"/>
      <c r="AT6332" s="14"/>
      <c r="AU6332" s="14"/>
      <c r="AV6332" s="14"/>
      <c r="AW6332" s="15">
        <f t="shared" si="1129"/>
        <v>400</v>
      </c>
      <c r="AX6332" s="16"/>
    </row>
    <row r="6333" spans="2:50" x14ac:dyDescent="0.2">
      <c r="B6333" s="7"/>
      <c r="C6333" s="8">
        <v>16447</v>
      </c>
      <c r="D6333" s="9" t="s">
        <v>340</v>
      </c>
      <c r="E6333" s="10" t="str">
        <f t="shared" si="1124"/>
        <v>Rancho Romeral No. 17</v>
      </c>
      <c r="F6333" s="10" t="str">
        <f t="shared" si="1125"/>
        <v>Aguilar Lomelí</v>
      </c>
      <c r="G6333" s="8">
        <v>5</v>
      </c>
      <c r="H6333" s="11">
        <v>200</v>
      </c>
      <c r="I6333" s="12">
        <v>43219</v>
      </c>
      <c r="J6333" s="35">
        <f t="shared" si="1126"/>
        <v>0</v>
      </c>
      <c r="K6333" s="36"/>
      <c r="L6333" s="36"/>
      <c r="M6333" s="36"/>
      <c r="N6333" s="36"/>
      <c r="O6333" s="36"/>
      <c r="P6333" s="36"/>
      <c r="Q6333" s="36"/>
      <c r="R6333" s="36"/>
      <c r="S6333" s="36"/>
      <c r="T6333" s="36"/>
      <c r="U6333" s="36"/>
      <c r="V6333" s="36"/>
      <c r="W6333" s="15">
        <f t="shared" si="1127"/>
        <v>0</v>
      </c>
      <c r="X6333" s="36"/>
      <c r="Y6333" s="36"/>
      <c r="Z6333" s="36"/>
      <c r="AA6333" s="36"/>
      <c r="AB6333" s="36"/>
      <c r="AC6333" s="36"/>
      <c r="AD6333" s="36"/>
      <c r="AE6333" s="36"/>
      <c r="AF6333" s="36"/>
      <c r="AG6333" s="36"/>
      <c r="AH6333" s="36"/>
      <c r="AI6333" s="36"/>
      <c r="AJ6333" s="15">
        <f t="shared" si="1128"/>
        <v>0</v>
      </c>
      <c r="AK6333" s="14"/>
      <c r="AL6333" s="14"/>
      <c r="AM6333" s="14"/>
      <c r="AN6333" s="14"/>
      <c r="AO6333" s="14"/>
      <c r="AP6333" s="14"/>
      <c r="AQ6333" s="14"/>
      <c r="AR6333" s="14"/>
      <c r="AS6333" s="14"/>
      <c r="AT6333" s="14"/>
      <c r="AU6333" s="14"/>
      <c r="AV6333" s="14"/>
      <c r="AW6333" s="15">
        <f t="shared" si="1129"/>
        <v>0</v>
      </c>
      <c r="AX6333" s="16"/>
    </row>
    <row r="6334" spans="2:50" x14ac:dyDescent="0.2">
      <c r="B6334" s="7"/>
      <c r="C6334" s="8">
        <v>16448</v>
      </c>
      <c r="D6334" s="9" t="s">
        <v>678</v>
      </c>
      <c r="E6334" s="10" t="str">
        <f t="shared" si="1124"/>
        <v>Rancho Upácuaro No. 76</v>
      </c>
      <c r="F6334" s="10" t="str">
        <f t="shared" si="1125"/>
        <v>Ruiz de San Pedro</v>
      </c>
      <c r="G6334" s="8">
        <v>1</v>
      </c>
      <c r="H6334" s="11">
        <v>400</v>
      </c>
      <c r="I6334" s="12">
        <v>43219</v>
      </c>
      <c r="J6334" s="35">
        <f t="shared" si="1126"/>
        <v>0</v>
      </c>
      <c r="K6334" s="36"/>
      <c r="L6334" s="36"/>
      <c r="M6334" s="36"/>
      <c r="N6334" s="36"/>
      <c r="O6334" s="36"/>
      <c r="P6334" s="36"/>
      <c r="Q6334" s="36"/>
      <c r="R6334" s="36"/>
      <c r="S6334" s="36"/>
      <c r="T6334" s="36"/>
      <c r="U6334" s="36"/>
      <c r="V6334" s="36"/>
      <c r="W6334" s="15">
        <f t="shared" si="1127"/>
        <v>0</v>
      </c>
      <c r="X6334" s="36"/>
      <c r="Y6334" s="36"/>
      <c r="Z6334" s="36"/>
      <c r="AA6334" s="36"/>
      <c r="AB6334" s="36"/>
      <c r="AC6334" s="36"/>
      <c r="AD6334" s="36"/>
      <c r="AE6334" s="36"/>
      <c r="AF6334" s="36"/>
      <c r="AG6334" s="36"/>
      <c r="AH6334" s="36"/>
      <c r="AI6334" s="36"/>
      <c r="AJ6334" s="15">
        <f t="shared" si="1128"/>
        <v>0</v>
      </c>
      <c r="AK6334" s="14"/>
      <c r="AL6334" s="14"/>
      <c r="AM6334" s="14"/>
      <c r="AN6334" s="14"/>
      <c r="AO6334" s="14">
        <v>400</v>
      </c>
      <c r="AP6334" s="14"/>
      <c r="AQ6334" s="14"/>
      <c r="AR6334" s="14"/>
      <c r="AS6334" s="14"/>
      <c r="AT6334" s="14"/>
      <c r="AU6334" s="14"/>
      <c r="AV6334" s="14"/>
      <c r="AW6334" s="15">
        <f t="shared" si="1129"/>
        <v>400</v>
      </c>
      <c r="AX6334" s="16"/>
    </row>
    <row r="6335" spans="2:50" x14ac:dyDescent="0.2">
      <c r="B6335" s="7"/>
      <c r="C6335" s="8">
        <v>16449</v>
      </c>
      <c r="D6335" s="9" t="s">
        <v>162</v>
      </c>
      <c r="E6335" s="10" t="str">
        <f t="shared" si="1124"/>
        <v>Rancho La Cuchilla No. 20</v>
      </c>
      <c r="F6335" s="10" t="str">
        <f t="shared" si="1125"/>
        <v>Sánchez López</v>
      </c>
      <c r="G6335" s="8">
        <v>1</v>
      </c>
      <c r="H6335" s="11">
        <v>800</v>
      </c>
      <c r="I6335" s="12">
        <v>43219</v>
      </c>
      <c r="J6335" s="35">
        <f t="shared" si="1126"/>
        <v>0</v>
      </c>
      <c r="K6335" s="36"/>
      <c r="L6335" s="36"/>
      <c r="M6335" s="36"/>
      <c r="N6335" s="36"/>
      <c r="O6335" s="36"/>
      <c r="P6335" s="36"/>
      <c r="Q6335" s="36"/>
      <c r="R6335" s="36"/>
      <c r="S6335" s="36"/>
      <c r="T6335" s="36"/>
      <c r="U6335" s="36"/>
      <c r="V6335" s="36"/>
      <c r="W6335" s="15">
        <f t="shared" si="1127"/>
        <v>0</v>
      </c>
      <c r="X6335" s="36"/>
      <c r="Y6335" s="36"/>
      <c r="Z6335" s="36"/>
      <c r="AA6335" s="36"/>
      <c r="AB6335" s="36"/>
      <c r="AC6335" s="36"/>
      <c r="AD6335" s="36"/>
      <c r="AE6335" s="36"/>
      <c r="AF6335" s="36"/>
      <c r="AG6335" s="36"/>
      <c r="AH6335" s="36"/>
      <c r="AI6335" s="36"/>
      <c r="AJ6335" s="15">
        <f t="shared" si="1128"/>
        <v>0</v>
      </c>
      <c r="AK6335" s="14"/>
      <c r="AL6335" s="14"/>
      <c r="AM6335" s="14"/>
      <c r="AN6335" s="14"/>
      <c r="AO6335" s="14">
        <v>400</v>
      </c>
      <c r="AP6335" s="14">
        <v>400</v>
      </c>
      <c r="AQ6335" s="14"/>
      <c r="AR6335" s="14"/>
      <c r="AS6335" s="14"/>
      <c r="AT6335" s="14"/>
      <c r="AU6335" s="14"/>
      <c r="AV6335" s="14"/>
      <c r="AW6335" s="15">
        <f t="shared" si="1129"/>
        <v>800</v>
      </c>
      <c r="AX6335" s="16"/>
    </row>
    <row r="6336" spans="2:50" x14ac:dyDescent="0.2">
      <c r="B6336" s="7"/>
      <c r="C6336" s="8">
        <v>16450</v>
      </c>
      <c r="D6336" s="9" t="s">
        <v>794</v>
      </c>
      <c r="E6336" s="10" t="str">
        <f t="shared" si="1124"/>
        <v>Rancho Landero No. 18</v>
      </c>
      <c r="F6336" s="10" t="str">
        <f t="shared" si="1125"/>
        <v>Rosado</v>
      </c>
      <c r="G6336" s="8">
        <v>1</v>
      </c>
      <c r="H6336" s="11">
        <v>300</v>
      </c>
      <c r="I6336" s="12">
        <v>43219</v>
      </c>
      <c r="J6336" s="35">
        <f t="shared" si="1126"/>
        <v>0</v>
      </c>
      <c r="K6336" s="36"/>
      <c r="L6336" s="36"/>
      <c r="M6336" s="36"/>
      <c r="N6336" s="36"/>
      <c r="O6336" s="36"/>
      <c r="P6336" s="36"/>
      <c r="Q6336" s="36"/>
      <c r="R6336" s="36"/>
      <c r="S6336" s="36"/>
      <c r="T6336" s="36"/>
      <c r="U6336" s="36"/>
      <c r="V6336" s="36"/>
      <c r="W6336" s="15">
        <f t="shared" si="1127"/>
        <v>0</v>
      </c>
      <c r="X6336" s="36"/>
      <c r="Y6336" s="36"/>
      <c r="Z6336" s="36"/>
      <c r="AA6336" s="36"/>
      <c r="AB6336" s="36"/>
      <c r="AC6336" s="36"/>
      <c r="AD6336" s="36"/>
      <c r="AE6336" s="36"/>
      <c r="AF6336" s="36"/>
      <c r="AG6336" s="36"/>
      <c r="AH6336" s="36"/>
      <c r="AI6336" s="36"/>
      <c r="AJ6336" s="15">
        <f t="shared" si="1128"/>
        <v>0</v>
      </c>
      <c r="AK6336" s="14"/>
      <c r="AL6336" s="14"/>
      <c r="AM6336" s="14"/>
      <c r="AN6336" s="14">
        <v>300</v>
      </c>
      <c r="AO6336" s="14"/>
      <c r="AP6336" s="14"/>
      <c r="AQ6336" s="14"/>
      <c r="AR6336" s="14"/>
      <c r="AS6336" s="14"/>
      <c r="AT6336" s="14"/>
      <c r="AU6336" s="14"/>
      <c r="AV6336" s="14"/>
      <c r="AW6336" s="15">
        <f t="shared" si="1129"/>
        <v>300</v>
      </c>
      <c r="AX6336" s="16"/>
    </row>
    <row r="6337" spans="2:50" x14ac:dyDescent="0.2">
      <c r="B6337" s="7"/>
      <c r="C6337" s="8">
        <v>16451</v>
      </c>
      <c r="D6337" s="9" t="s">
        <v>932</v>
      </c>
      <c r="E6337" s="10" t="str">
        <f t="shared" si="1124"/>
        <v>Rancho Landero No. 58</v>
      </c>
      <c r="F6337" s="10" t="str">
        <f t="shared" si="1125"/>
        <v>Valero</v>
      </c>
      <c r="G6337" s="8">
        <v>1</v>
      </c>
      <c r="H6337" s="11">
        <v>1900</v>
      </c>
      <c r="I6337" s="12">
        <v>43219</v>
      </c>
      <c r="J6337" s="35">
        <f t="shared" si="1126"/>
        <v>0</v>
      </c>
      <c r="K6337" s="36"/>
      <c r="L6337" s="36"/>
      <c r="M6337" s="36"/>
      <c r="N6337" s="36"/>
      <c r="O6337" s="36"/>
      <c r="P6337" s="36"/>
      <c r="Q6337" s="36"/>
      <c r="R6337" s="36"/>
      <c r="S6337" s="36"/>
      <c r="T6337" s="36"/>
      <c r="U6337" s="36"/>
      <c r="V6337" s="36"/>
      <c r="W6337" s="15">
        <f t="shared" si="1127"/>
        <v>0</v>
      </c>
      <c r="X6337" s="36"/>
      <c r="Y6337" s="36"/>
      <c r="Z6337" s="36"/>
      <c r="AA6337" s="36"/>
      <c r="AB6337" s="36"/>
      <c r="AC6337" s="36"/>
      <c r="AD6337" s="36"/>
      <c r="AE6337" s="36"/>
      <c r="AF6337" s="36"/>
      <c r="AG6337" s="36"/>
      <c r="AH6337" s="36"/>
      <c r="AI6337" s="36">
        <v>100</v>
      </c>
      <c r="AJ6337" s="15">
        <f t="shared" si="1128"/>
        <v>100</v>
      </c>
      <c r="AK6337" s="14">
        <v>400</v>
      </c>
      <c r="AL6337" s="14">
        <v>400</v>
      </c>
      <c r="AM6337" s="14">
        <v>400</v>
      </c>
      <c r="AN6337" s="14">
        <v>400</v>
      </c>
      <c r="AO6337" s="14">
        <v>200</v>
      </c>
      <c r="AP6337" s="14"/>
      <c r="AQ6337" s="14"/>
      <c r="AR6337" s="14"/>
      <c r="AS6337" s="14"/>
      <c r="AT6337" s="14"/>
      <c r="AU6337" s="14"/>
      <c r="AV6337" s="14"/>
      <c r="AW6337" s="15">
        <f t="shared" si="1129"/>
        <v>1800</v>
      </c>
      <c r="AX6337" s="16"/>
    </row>
    <row r="6338" spans="2:50" x14ac:dyDescent="0.2">
      <c r="B6338" s="7"/>
      <c r="C6338" s="8">
        <v>16452</v>
      </c>
      <c r="D6338" s="9" t="s">
        <v>837</v>
      </c>
      <c r="E6338" s="10" t="str">
        <f t="shared" si="1124"/>
        <v>Rancho Estanzuela No. 67</v>
      </c>
      <c r="F6338" s="10" t="str">
        <f t="shared" si="1125"/>
        <v>Carmona Galarza</v>
      </c>
      <c r="G6338" s="8">
        <v>1</v>
      </c>
      <c r="H6338" s="11">
        <v>1200</v>
      </c>
      <c r="I6338" s="12">
        <v>43219</v>
      </c>
      <c r="J6338" s="35">
        <f t="shared" si="1126"/>
        <v>0</v>
      </c>
      <c r="K6338" s="36"/>
      <c r="L6338" s="36"/>
      <c r="M6338" s="36"/>
      <c r="N6338" s="36"/>
      <c r="O6338" s="36"/>
      <c r="P6338" s="36"/>
      <c r="Q6338" s="36"/>
      <c r="R6338" s="36"/>
      <c r="S6338" s="36"/>
      <c r="T6338" s="36"/>
      <c r="U6338" s="36"/>
      <c r="V6338" s="36"/>
      <c r="W6338" s="15">
        <f t="shared" si="1127"/>
        <v>0</v>
      </c>
      <c r="X6338" s="36"/>
      <c r="Y6338" s="36"/>
      <c r="Z6338" s="36"/>
      <c r="AA6338" s="36"/>
      <c r="AB6338" s="36"/>
      <c r="AC6338" s="36"/>
      <c r="AD6338" s="36"/>
      <c r="AE6338" s="36"/>
      <c r="AF6338" s="36"/>
      <c r="AG6338" s="36"/>
      <c r="AH6338" s="36"/>
      <c r="AI6338" s="36"/>
      <c r="AJ6338" s="15">
        <f t="shared" si="1128"/>
        <v>0</v>
      </c>
      <c r="AK6338" s="14"/>
      <c r="AL6338" s="14"/>
      <c r="AM6338" s="14"/>
      <c r="AN6338" s="14">
        <v>400</v>
      </c>
      <c r="AO6338" s="14">
        <v>400</v>
      </c>
      <c r="AP6338" s="14">
        <v>400</v>
      </c>
      <c r="AQ6338" s="14"/>
      <c r="AR6338" s="14"/>
      <c r="AS6338" s="14"/>
      <c r="AT6338" s="14"/>
      <c r="AU6338" s="14"/>
      <c r="AV6338" s="14"/>
      <c r="AW6338" s="15">
        <f t="shared" si="1129"/>
        <v>1200</v>
      </c>
      <c r="AX6338" s="16"/>
    </row>
    <row r="6339" spans="2:50" x14ac:dyDescent="0.2">
      <c r="B6339" s="7"/>
      <c r="C6339" s="8">
        <v>16453</v>
      </c>
      <c r="D6339" s="9" t="s">
        <v>1095</v>
      </c>
      <c r="E6339" s="10" t="str">
        <f t="shared" si="1124"/>
        <v>Rancho La Cuchilla No. 35</v>
      </c>
      <c r="F6339" s="10" t="str">
        <f t="shared" si="1125"/>
        <v>Mendoza</v>
      </c>
      <c r="G6339" s="8">
        <v>1</v>
      </c>
      <c r="H6339" s="11">
        <v>750</v>
      </c>
      <c r="I6339" s="12">
        <v>43219</v>
      </c>
      <c r="J6339" s="35">
        <f t="shared" si="1126"/>
        <v>0</v>
      </c>
      <c r="K6339" s="36"/>
      <c r="L6339" s="36"/>
      <c r="M6339" s="36"/>
      <c r="N6339" s="36"/>
      <c r="O6339" s="36"/>
      <c r="P6339" s="36"/>
      <c r="Q6339" s="36"/>
      <c r="R6339" s="36"/>
      <c r="S6339" s="36"/>
      <c r="T6339" s="36"/>
      <c r="U6339" s="36"/>
      <c r="V6339" s="36"/>
      <c r="W6339" s="15">
        <f t="shared" si="1127"/>
        <v>0</v>
      </c>
      <c r="X6339" s="36"/>
      <c r="Y6339" s="36"/>
      <c r="Z6339" s="36"/>
      <c r="AA6339" s="36"/>
      <c r="AB6339" s="36"/>
      <c r="AC6339" s="36"/>
      <c r="AD6339" s="36"/>
      <c r="AE6339" s="36"/>
      <c r="AF6339" s="36"/>
      <c r="AG6339" s="36"/>
      <c r="AH6339" s="36"/>
      <c r="AI6339" s="36"/>
      <c r="AJ6339" s="15">
        <f t="shared" si="1128"/>
        <v>0</v>
      </c>
      <c r="AK6339" s="14"/>
      <c r="AL6339" s="14">
        <v>250</v>
      </c>
      <c r="AM6339" s="14">
        <v>250</v>
      </c>
      <c r="AN6339" s="14">
        <v>250</v>
      </c>
      <c r="AO6339" s="14"/>
      <c r="AP6339" s="14"/>
      <c r="AQ6339" s="14"/>
      <c r="AR6339" s="14"/>
      <c r="AS6339" s="14"/>
      <c r="AT6339" s="14"/>
      <c r="AU6339" s="14"/>
      <c r="AV6339" s="14"/>
      <c r="AW6339" s="15">
        <f t="shared" si="1129"/>
        <v>750</v>
      </c>
      <c r="AX6339" s="16"/>
    </row>
    <row r="6340" spans="2:50" x14ac:dyDescent="0.2">
      <c r="B6340" s="7"/>
      <c r="C6340" s="8">
        <v>16453</v>
      </c>
      <c r="D6340" s="9" t="s">
        <v>1095</v>
      </c>
      <c r="E6340" s="10" t="str">
        <f t="shared" si="1124"/>
        <v>Rancho La Cuchilla No. 35</v>
      </c>
      <c r="F6340" s="10" t="str">
        <f t="shared" si="1125"/>
        <v>Mendoza</v>
      </c>
      <c r="G6340" s="8">
        <v>5</v>
      </c>
      <c r="H6340" s="11">
        <v>50</v>
      </c>
      <c r="I6340" s="12">
        <v>43219</v>
      </c>
      <c r="J6340" s="35">
        <f t="shared" si="1126"/>
        <v>0</v>
      </c>
      <c r="K6340" s="36"/>
      <c r="L6340" s="36"/>
      <c r="M6340" s="36"/>
      <c r="N6340" s="36"/>
      <c r="O6340" s="36"/>
      <c r="P6340" s="36"/>
      <c r="Q6340" s="36"/>
      <c r="R6340" s="36"/>
      <c r="S6340" s="36"/>
      <c r="T6340" s="36"/>
      <c r="U6340" s="36"/>
      <c r="V6340" s="36"/>
      <c r="W6340" s="15">
        <f t="shared" si="1127"/>
        <v>0</v>
      </c>
      <c r="X6340" s="36"/>
      <c r="Y6340" s="36"/>
      <c r="Z6340" s="36"/>
      <c r="AA6340" s="36"/>
      <c r="AB6340" s="36"/>
      <c r="AC6340" s="36"/>
      <c r="AD6340" s="36"/>
      <c r="AE6340" s="36"/>
      <c r="AF6340" s="36"/>
      <c r="AG6340" s="36"/>
      <c r="AH6340" s="36"/>
      <c r="AI6340" s="36"/>
      <c r="AJ6340" s="15">
        <f t="shared" si="1128"/>
        <v>0</v>
      </c>
      <c r="AK6340" s="14"/>
      <c r="AL6340" s="14"/>
      <c r="AM6340" s="14"/>
      <c r="AN6340" s="14"/>
      <c r="AO6340" s="14"/>
      <c r="AP6340" s="14"/>
      <c r="AQ6340" s="14"/>
      <c r="AR6340" s="14"/>
      <c r="AS6340" s="14"/>
      <c r="AT6340" s="14"/>
      <c r="AU6340" s="14"/>
      <c r="AV6340" s="14"/>
      <c r="AW6340" s="15">
        <f t="shared" si="1129"/>
        <v>0</v>
      </c>
      <c r="AX6340" s="16"/>
    </row>
    <row r="6341" spans="2:50" x14ac:dyDescent="0.2">
      <c r="B6341" s="7"/>
      <c r="C6341" s="8">
        <v>16454</v>
      </c>
      <c r="D6341" s="9" t="s">
        <v>1095</v>
      </c>
      <c r="E6341" s="10" t="str">
        <f t="shared" si="1124"/>
        <v>Rancho La Cuchilla No. 35</v>
      </c>
      <c r="F6341" s="10" t="str">
        <f t="shared" si="1125"/>
        <v>Mendoza</v>
      </c>
      <c r="G6341" s="8">
        <v>4</v>
      </c>
      <c r="H6341" s="11">
        <v>200</v>
      </c>
      <c r="I6341" s="12">
        <v>43219</v>
      </c>
      <c r="J6341" s="35">
        <f t="shared" si="1126"/>
        <v>0</v>
      </c>
      <c r="K6341" s="36"/>
      <c r="L6341" s="36"/>
      <c r="M6341" s="36"/>
      <c r="N6341" s="36"/>
      <c r="O6341" s="36"/>
      <c r="P6341" s="36"/>
      <c r="Q6341" s="36"/>
      <c r="R6341" s="36"/>
      <c r="S6341" s="36"/>
      <c r="T6341" s="36"/>
      <c r="U6341" s="36"/>
      <c r="V6341" s="36"/>
      <c r="W6341" s="15">
        <f t="shared" si="1127"/>
        <v>0</v>
      </c>
      <c r="X6341" s="36"/>
      <c r="Y6341" s="36"/>
      <c r="Z6341" s="36"/>
      <c r="AA6341" s="36"/>
      <c r="AB6341" s="36"/>
      <c r="AC6341" s="36"/>
      <c r="AD6341" s="36"/>
      <c r="AE6341" s="36"/>
      <c r="AF6341" s="36"/>
      <c r="AG6341" s="36"/>
      <c r="AH6341" s="36"/>
      <c r="AI6341" s="36"/>
      <c r="AJ6341" s="15">
        <f t="shared" si="1128"/>
        <v>0</v>
      </c>
      <c r="AK6341" s="14"/>
      <c r="AL6341" s="14"/>
      <c r="AM6341" s="14"/>
      <c r="AN6341" s="14"/>
      <c r="AO6341" s="14"/>
      <c r="AP6341" s="14"/>
      <c r="AQ6341" s="14"/>
      <c r="AR6341" s="14"/>
      <c r="AS6341" s="14"/>
      <c r="AT6341" s="14"/>
      <c r="AU6341" s="14"/>
      <c r="AV6341" s="14"/>
      <c r="AW6341" s="15">
        <f t="shared" si="1129"/>
        <v>0</v>
      </c>
      <c r="AX6341" s="16"/>
    </row>
    <row r="6342" spans="2:50" x14ac:dyDescent="0.2">
      <c r="B6342" s="7"/>
      <c r="C6342" s="8">
        <v>16455</v>
      </c>
      <c r="D6342" s="9" t="s">
        <v>646</v>
      </c>
      <c r="E6342" s="10" t="str">
        <f t="shared" si="1124"/>
        <v>Rancho Landero No. 84</v>
      </c>
      <c r="F6342" s="10" t="str">
        <f t="shared" si="1125"/>
        <v>Alcántara</v>
      </c>
      <c r="G6342" s="8">
        <v>1</v>
      </c>
      <c r="H6342" s="11">
        <v>600</v>
      </c>
      <c r="I6342" s="12">
        <v>43219</v>
      </c>
      <c r="J6342" s="35">
        <f t="shared" si="1126"/>
        <v>0</v>
      </c>
      <c r="K6342" s="36"/>
      <c r="L6342" s="36"/>
      <c r="M6342" s="36"/>
      <c r="N6342" s="36"/>
      <c r="O6342" s="36"/>
      <c r="P6342" s="36"/>
      <c r="Q6342" s="36"/>
      <c r="R6342" s="36"/>
      <c r="S6342" s="36"/>
      <c r="T6342" s="36"/>
      <c r="U6342" s="36"/>
      <c r="V6342" s="36"/>
      <c r="W6342" s="15">
        <f t="shared" si="1127"/>
        <v>0</v>
      </c>
      <c r="X6342" s="36"/>
      <c r="Y6342" s="36"/>
      <c r="Z6342" s="36"/>
      <c r="AA6342" s="36"/>
      <c r="AB6342" s="36"/>
      <c r="AC6342" s="36"/>
      <c r="AD6342" s="36"/>
      <c r="AE6342" s="36"/>
      <c r="AF6342" s="36"/>
      <c r="AG6342" s="36"/>
      <c r="AH6342" s="36"/>
      <c r="AI6342" s="36"/>
      <c r="AJ6342" s="15">
        <f t="shared" si="1128"/>
        <v>0</v>
      </c>
      <c r="AK6342" s="14"/>
      <c r="AL6342" s="14"/>
      <c r="AM6342" s="14"/>
      <c r="AN6342" s="14">
        <v>300</v>
      </c>
      <c r="AO6342" s="14">
        <v>300</v>
      </c>
      <c r="AP6342" s="14"/>
      <c r="AQ6342" s="14"/>
      <c r="AR6342" s="14"/>
      <c r="AS6342" s="14"/>
      <c r="AT6342" s="14"/>
      <c r="AU6342" s="14"/>
      <c r="AV6342" s="14"/>
      <c r="AW6342" s="15">
        <f t="shared" si="1129"/>
        <v>600</v>
      </c>
      <c r="AX6342" s="16"/>
    </row>
    <row r="6343" spans="2:50" x14ac:dyDescent="0.2">
      <c r="B6343" s="7"/>
      <c r="C6343" s="8">
        <v>16456</v>
      </c>
      <c r="D6343" s="9" t="s">
        <v>126</v>
      </c>
      <c r="E6343" s="10" t="str">
        <f t="shared" si="1124"/>
        <v>Rancho Estanzuela No. 65</v>
      </c>
      <c r="F6343" s="10" t="str">
        <f t="shared" si="1125"/>
        <v>López Becerril</v>
      </c>
      <c r="G6343" s="8">
        <v>1</v>
      </c>
      <c r="H6343" s="11">
        <v>400</v>
      </c>
      <c r="I6343" s="12">
        <v>43219</v>
      </c>
      <c r="J6343" s="35">
        <f t="shared" si="1126"/>
        <v>0</v>
      </c>
      <c r="K6343" s="36"/>
      <c r="L6343" s="36"/>
      <c r="M6343" s="36"/>
      <c r="N6343" s="36"/>
      <c r="O6343" s="36"/>
      <c r="P6343" s="36"/>
      <c r="Q6343" s="36"/>
      <c r="R6343" s="36"/>
      <c r="S6343" s="36"/>
      <c r="T6343" s="36"/>
      <c r="U6343" s="36"/>
      <c r="V6343" s="36"/>
      <c r="W6343" s="15">
        <f t="shared" si="1127"/>
        <v>0</v>
      </c>
      <c r="X6343" s="36"/>
      <c r="Y6343" s="36"/>
      <c r="Z6343" s="36"/>
      <c r="AA6343" s="36"/>
      <c r="AB6343" s="36"/>
      <c r="AC6343" s="36"/>
      <c r="AD6343" s="36"/>
      <c r="AE6343" s="36"/>
      <c r="AF6343" s="36"/>
      <c r="AG6343" s="36"/>
      <c r="AH6343" s="36"/>
      <c r="AI6343" s="36"/>
      <c r="AJ6343" s="15">
        <f t="shared" si="1128"/>
        <v>0</v>
      </c>
      <c r="AK6343" s="14"/>
      <c r="AL6343" s="14"/>
      <c r="AM6343" s="14"/>
      <c r="AN6343" s="14">
        <v>400</v>
      </c>
      <c r="AO6343" s="14"/>
      <c r="AP6343" s="14"/>
      <c r="AQ6343" s="14"/>
      <c r="AR6343" s="14"/>
      <c r="AS6343" s="14"/>
      <c r="AT6343" s="14"/>
      <c r="AU6343" s="14"/>
      <c r="AV6343" s="14"/>
      <c r="AW6343" s="15">
        <f t="shared" si="1129"/>
        <v>400</v>
      </c>
      <c r="AX6343" s="16"/>
    </row>
    <row r="6344" spans="2:50" x14ac:dyDescent="0.2">
      <c r="B6344" s="7"/>
      <c r="C6344" s="8">
        <v>16457</v>
      </c>
      <c r="D6344" s="9" t="s">
        <v>823</v>
      </c>
      <c r="E6344" s="10" t="str">
        <f t="shared" si="1124"/>
        <v>Rancho La Cuchilla No. 122</v>
      </c>
      <c r="F6344" s="10" t="str">
        <f t="shared" si="1125"/>
        <v>Mendoza</v>
      </c>
      <c r="G6344" s="8">
        <v>1</v>
      </c>
      <c r="H6344" s="11">
        <v>200</v>
      </c>
      <c r="I6344" s="12">
        <v>43219</v>
      </c>
      <c r="J6344" s="35">
        <f t="shared" si="1126"/>
        <v>0</v>
      </c>
      <c r="K6344" s="36"/>
      <c r="L6344" s="36"/>
      <c r="M6344" s="36"/>
      <c r="N6344" s="36"/>
      <c r="O6344" s="36"/>
      <c r="P6344" s="36"/>
      <c r="Q6344" s="36"/>
      <c r="R6344" s="36"/>
      <c r="S6344" s="36"/>
      <c r="T6344" s="36"/>
      <c r="U6344" s="36"/>
      <c r="V6344" s="36"/>
      <c r="W6344" s="15">
        <f t="shared" si="1127"/>
        <v>0</v>
      </c>
      <c r="X6344" s="36"/>
      <c r="Y6344" s="36"/>
      <c r="Z6344" s="36"/>
      <c r="AA6344" s="36"/>
      <c r="AB6344" s="36"/>
      <c r="AC6344" s="36"/>
      <c r="AD6344" s="36"/>
      <c r="AE6344" s="36"/>
      <c r="AF6344" s="36"/>
      <c r="AG6344" s="36"/>
      <c r="AH6344" s="36"/>
      <c r="AI6344" s="36"/>
      <c r="AJ6344" s="15">
        <f t="shared" si="1128"/>
        <v>0</v>
      </c>
      <c r="AK6344" s="14"/>
      <c r="AL6344" s="14"/>
      <c r="AM6344" s="14"/>
      <c r="AN6344" s="14">
        <v>200</v>
      </c>
      <c r="AO6344" s="14"/>
      <c r="AP6344" s="14"/>
      <c r="AQ6344" s="14"/>
      <c r="AR6344" s="14"/>
      <c r="AS6344" s="14"/>
      <c r="AT6344" s="14"/>
      <c r="AU6344" s="14"/>
      <c r="AV6344" s="14"/>
      <c r="AW6344" s="15">
        <f t="shared" si="1129"/>
        <v>200</v>
      </c>
      <c r="AX6344" s="16"/>
    </row>
    <row r="6345" spans="2:50" x14ac:dyDescent="0.2">
      <c r="B6345" s="7"/>
      <c r="C6345" s="8">
        <v>16458</v>
      </c>
      <c r="D6345" s="9" t="s">
        <v>586</v>
      </c>
      <c r="E6345" s="10" t="str">
        <f t="shared" si="1124"/>
        <v>Rancho Estanzuela No. 161, 1</v>
      </c>
      <c r="F6345" s="10" t="str">
        <f t="shared" si="1125"/>
        <v>Guevara</v>
      </c>
      <c r="G6345" s="8">
        <v>1</v>
      </c>
      <c r="H6345" s="11">
        <v>200</v>
      </c>
      <c r="I6345" s="12">
        <v>43219</v>
      </c>
      <c r="J6345" s="35">
        <f t="shared" si="1126"/>
        <v>0</v>
      </c>
      <c r="K6345" s="36"/>
      <c r="L6345" s="36"/>
      <c r="M6345" s="36"/>
      <c r="N6345" s="36"/>
      <c r="O6345" s="36"/>
      <c r="P6345" s="36"/>
      <c r="Q6345" s="36"/>
      <c r="R6345" s="36"/>
      <c r="S6345" s="36"/>
      <c r="T6345" s="36"/>
      <c r="U6345" s="36"/>
      <c r="V6345" s="36"/>
      <c r="W6345" s="15">
        <f t="shared" si="1127"/>
        <v>0</v>
      </c>
      <c r="X6345" s="36"/>
      <c r="Y6345" s="36"/>
      <c r="Z6345" s="36"/>
      <c r="AA6345" s="36"/>
      <c r="AB6345" s="36"/>
      <c r="AC6345" s="36"/>
      <c r="AD6345" s="36"/>
      <c r="AE6345" s="36"/>
      <c r="AF6345" s="36"/>
      <c r="AG6345" s="36"/>
      <c r="AH6345" s="36"/>
      <c r="AI6345" s="36"/>
      <c r="AJ6345" s="15">
        <f t="shared" si="1128"/>
        <v>0</v>
      </c>
      <c r="AK6345" s="14"/>
      <c r="AL6345" s="14"/>
      <c r="AM6345" s="14"/>
      <c r="AN6345" s="14"/>
      <c r="AO6345" s="14">
        <v>200</v>
      </c>
      <c r="AP6345" s="14"/>
      <c r="AQ6345" s="14"/>
      <c r="AR6345" s="14"/>
      <c r="AS6345" s="14"/>
      <c r="AT6345" s="14"/>
      <c r="AU6345" s="14"/>
      <c r="AV6345" s="14"/>
      <c r="AW6345" s="15">
        <f t="shared" si="1129"/>
        <v>200</v>
      </c>
      <c r="AX6345" s="16"/>
    </row>
    <row r="6346" spans="2:50" x14ac:dyDescent="0.2">
      <c r="B6346" s="7"/>
      <c r="C6346" s="8">
        <v>16459</v>
      </c>
      <c r="D6346" s="9" t="s">
        <v>168</v>
      </c>
      <c r="E6346" s="10" t="str">
        <f t="shared" si="1124"/>
        <v>Rancho Upácuaro No. 73, A</v>
      </c>
      <c r="F6346" s="10" t="str">
        <f t="shared" si="1125"/>
        <v>Ortega</v>
      </c>
      <c r="G6346" s="8">
        <v>1</v>
      </c>
      <c r="H6346" s="11">
        <v>200</v>
      </c>
      <c r="I6346" s="12">
        <v>43219</v>
      </c>
      <c r="J6346" s="35">
        <f t="shared" si="1126"/>
        <v>0</v>
      </c>
      <c r="K6346" s="36"/>
      <c r="L6346" s="36"/>
      <c r="M6346" s="36"/>
      <c r="N6346" s="36"/>
      <c r="O6346" s="36"/>
      <c r="P6346" s="36"/>
      <c r="Q6346" s="36"/>
      <c r="R6346" s="36"/>
      <c r="S6346" s="36"/>
      <c r="T6346" s="36"/>
      <c r="U6346" s="36"/>
      <c r="V6346" s="36"/>
      <c r="W6346" s="15">
        <f t="shared" si="1127"/>
        <v>0</v>
      </c>
      <c r="X6346" s="36"/>
      <c r="Y6346" s="36"/>
      <c r="Z6346" s="36"/>
      <c r="AA6346" s="36"/>
      <c r="AB6346" s="36"/>
      <c r="AC6346" s="36"/>
      <c r="AD6346" s="36"/>
      <c r="AE6346" s="36"/>
      <c r="AF6346" s="36"/>
      <c r="AG6346" s="36"/>
      <c r="AH6346" s="36"/>
      <c r="AI6346" s="36"/>
      <c r="AJ6346" s="15">
        <f t="shared" si="1128"/>
        <v>0</v>
      </c>
      <c r="AK6346" s="14"/>
      <c r="AL6346" s="14"/>
      <c r="AM6346" s="14">
        <v>200</v>
      </c>
      <c r="AN6346" s="14"/>
      <c r="AO6346" s="14"/>
      <c r="AP6346" s="14"/>
      <c r="AQ6346" s="14"/>
      <c r="AR6346" s="14"/>
      <c r="AS6346" s="14"/>
      <c r="AT6346" s="14"/>
      <c r="AU6346" s="14"/>
      <c r="AV6346" s="14"/>
      <c r="AW6346" s="15">
        <f t="shared" si="1129"/>
        <v>200</v>
      </c>
      <c r="AX6346" s="16"/>
    </row>
    <row r="6347" spans="2:50" x14ac:dyDescent="0.2">
      <c r="B6347" s="7"/>
      <c r="C6347" s="8">
        <v>16460</v>
      </c>
      <c r="D6347" s="9" t="s">
        <v>538</v>
      </c>
      <c r="E6347" s="10" t="str">
        <f t="shared" si="1124"/>
        <v>Rancho Landero No. 73</v>
      </c>
      <c r="F6347" s="10" t="str">
        <f t="shared" si="1125"/>
        <v>Islas Palacios</v>
      </c>
      <c r="G6347" s="8">
        <v>1</v>
      </c>
      <c r="H6347" s="11">
        <v>400</v>
      </c>
      <c r="I6347" s="12">
        <v>43219</v>
      </c>
      <c r="J6347" s="35">
        <f t="shared" si="1126"/>
        <v>0</v>
      </c>
      <c r="K6347" s="36"/>
      <c r="L6347" s="36"/>
      <c r="M6347" s="36"/>
      <c r="N6347" s="36"/>
      <c r="O6347" s="36"/>
      <c r="P6347" s="36"/>
      <c r="Q6347" s="36"/>
      <c r="R6347" s="36"/>
      <c r="S6347" s="36"/>
      <c r="T6347" s="36"/>
      <c r="U6347" s="36"/>
      <c r="V6347" s="36"/>
      <c r="W6347" s="15">
        <f t="shared" si="1127"/>
        <v>0</v>
      </c>
      <c r="X6347" s="36"/>
      <c r="Y6347" s="36"/>
      <c r="Z6347" s="36"/>
      <c r="AA6347" s="36"/>
      <c r="AB6347" s="36"/>
      <c r="AC6347" s="36"/>
      <c r="AD6347" s="36"/>
      <c r="AE6347" s="36"/>
      <c r="AF6347" s="36"/>
      <c r="AG6347" s="36"/>
      <c r="AH6347" s="36"/>
      <c r="AI6347" s="36"/>
      <c r="AJ6347" s="15">
        <f t="shared" si="1128"/>
        <v>0</v>
      </c>
      <c r="AK6347" s="14"/>
      <c r="AL6347" s="14"/>
      <c r="AM6347" s="14"/>
      <c r="AN6347" s="14">
        <v>400</v>
      </c>
      <c r="AO6347" s="14"/>
      <c r="AP6347" s="14"/>
      <c r="AQ6347" s="14"/>
      <c r="AR6347" s="14"/>
      <c r="AS6347" s="14"/>
      <c r="AT6347" s="14"/>
      <c r="AU6347" s="14"/>
      <c r="AV6347" s="14"/>
      <c r="AW6347" s="15">
        <f t="shared" si="1129"/>
        <v>400</v>
      </c>
      <c r="AX6347" s="16"/>
    </row>
    <row r="6348" spans="2:50" x14ac:dyDescent="0.2">
      <c r="B6348" s="7"/>
      <c r="C6348" s="8">
        <v>16461</v>
      </c>
      <c r="D6348" s="9" t="s">
        <v>902</v>
      </c>
      <c r="E6348" s="10" t="str">
        <f t="shared" si="1124"/>
        <v>Rancho Romeral No. 33</v>
      </c>
      <c r="F6348" s="10" t="str">
        <f t="shared" si="1125"/>
        <v>Juárez Alva</v>
      </c>
      <c r="G6348" s="8">
        <v>3</v>
      </c>
      <c r="H6348" s="11">
        <v>200</v>
      </c>
      <c r="I6348" s="12">
        <v>43219</v>
      </c>
      <c r="J6348" s="35">
        <f t="shared" si="1126"/>
        <v>0</v>
      </c>
      <c r="K6348" s="36"/>
      <c r="L6348" s="36"/>
      <c r="M6348" s="36"/>
      <c r="N6348" s="36"/>
      <c r="O6348" s="36"/>
      <c r="P6348" s="36"/>
      <c r="Q6348" s="36"/>
      <c r="R6348" s="36"/>
      <c r="S6348" s="36"/>
      <c r="T6348" s="36"/>
      <c r="U6348" s="36"/>
      <c r="V6348" s="36"/>
      <c r="W6348" s="15">
        <f t="shared" si="1127"/>
        <v>0</v>
      </c>
      <c r="X6348" s="36"/>
      <c r="Y6348" s="36"/>
      <c r="Z6348" s="36"/>
      <c r="AA6348" s="36"/>
      <c r="AB6348" s="36"/>
      <c r="AC6348" s="36"/>
      <c r="AD6348" s="36"/>
      <c r="AE6348" s="36"/>
      <c r="AF6348" s="36"/>
      <c r="AG6348" s="36"/>
      <c r="AH6348" s="36"/>
      <c r="AI6348" s="36"/>
      <c r="AJ6348" s="15">
        <f t="shared" si="1128"/>
        <v>0</v>
      </c>
      <c r="AK6348" s="14"/>
      <c r="AL6348" s="14"/>
      <c r="AM6348" s="14"/>
      <c r="AN6348" s="14"/>
      <c r="AO6348" s="14"/>
      <c r="AP6348" s="14"/>
      <c r="AQ6348" s="14"/>
      <c r="AR6348" s="14"/>
      <c r="AS6348" s="14"/>
      <c r="AT6348" s="14"/>
      <c r="AU6348" s="14"/>
      <c r="AV6348" s="14"/>
      <c r="AW6348" s="15">
        <f t="shared" si="1129"/>
        <v>0</v>
      </c>
      <c r="AX6348" s="16"/>
    </row>
    <row r="6349" spans="2:50" x14ac:dyDescent="0.2">
      <c r="B6349" s="7"/>
      <c r="C6349" s="8">
        <v>16462</v>
      </c>
      <c r="D6349" s="9" t="s">
        <v>358</v>
      </c>
      <c r="E6349" s="10" t="str">
        <f t="shared" si="1124"/>
        <v>Rancho Landero No. 2, 4</v>
      </c>
      <c r="F6349" s="10" t="str">
        <f t="shared" si="1125"/>
        <v>Astudillo Ramírez</v>
      </c>
      <c r="G6349" s="8">
        <v>1</v>
      </c>
      <c r="H6349" s="11">
        <v>200</v>
      </c>
      <c r="I6349" s="12">
        <v>43219</v>
      </c>
      <c r="J6349" s="35">
        <f t="shared" si="1126"/>
        <v>0</v>
      </c>
      <c r="K6349" s="36"/>
      <c r="L6349" s="36"/>
      <c r="M6349" s="36"/>
      <c r="N6349" s="36"/>
      <c r="O6349" s="36"/>
      <c r="P6349" s="36"/>
      <c r="Q6349" s="36"/>
      <c r="R6349" s="36"/>
      <c r="S6349" s="36"/>
      <c r="T6349" s="36"/>
      <c r="U6349" s="36"/>
      <c r="V6349" s="36"/>
      <c r="W6349" s="15">
        <f t="shared" si="1127"/>
        <v>0</v>
      </c>
      <c r="X6349" s="36"/>
      <c r="Y6349" s="36"/>
      <c r="Z6349" s="36"/>
      <c r="AA6349" s="36"/>
      <c r="AB6349" s="36"/>
      <c r="AC6349" s="36"/>
      <c r="AD6349" s="36"/>
      <c r="AE6349" s="36"/>
      <c r="AF6349" s="36"/>
      <c r="AG6349" s="36"/>
      <c r="AH6349" s="36"/>
      <c r="AI6349" s="36"/>
      <c r="AJ6349" s="15">
        <f t="shared" si="1128"/>
        <v>0</v>
      </c>
      <c r="AK6349" s="14"/>
      <c r="AL6349" s="14"/>
      <c r="AM6349" s="14"/>
      <c r="AN6349" s="14"/>
      <c r="AO6349" s="14">
        <v>200</v>
      </c>
      <c r="AP6349" s="14"/>
      <c r="AQ6349" s="14"/>
      <c r="AR6349" s="14"/>
      <c r="AS6349" s="14"/>
      <c r="AT6349" s="14"/>
      <c r="AU6349" s="14"/>
      <c r="AV6349" s="14"/>
      <c r="AW6349" s="15">
        <f t="shared" si="1129"/>
        <v>200</v>
      </c>
      <c r="AX6349" s="16"/>
    </row>
    <row r="6350" spans="2:50" x14ac:dyDescent="0.2">
      <c r="B6350" s="7"/>
      <c r="C6350" s="8">
        <v>16462</v>
      </c>
      <c r="D6350" s="9" t="s">
        <v>358</v>
      </c>
      <c r="E6350" s="10" t="str">
        <f t="shared" si="1124"/>
        <v>Rancho Landero No. 2, 4</v>
      </c>
      <c r="F6350" s="10" t="str">
        <f t="shared" si="1125"/>
        <v>Astudillo Ramírez</v>
      </c>
      <c r="G6350" s="8">
        <v>3</v>
      </c>
      <c r="H6350" s="11">
        <v>200</v>
      </c>
      <c r="I6350" s="12">
        <v>43219</v>
      </c>
      <c r="J6350" s="35">
        <f t="shared" si="1126"/>
        <v>0</v>
      </c>
      <c r="K6350" s="36"/>
      <c r="L6350" s="36"/>
      <c r="M6350" s="36"/>
      <c r="N6350" s="36"/>
      <c r="O6350" s="36"/>
      <c r="P6350" s="36"/>
      <c r="Q6350" s="36"/>
      <c r="R6350" s="36"/>
      <c r="S6350" s="36"/>
      <c r="T6350" s="36"/>
      <c r="U6350" s="36"/>
      <c r="V6350" s="36"/>
      <c r="W6350" s="15">
        <f t="shared" si="1127"/>
        <v>0</v>
      </c>
      <c r="X6350" s="36"/>
      <c r="Y6350" s="36"/>
      <c r="Z6350" s="36"/>
      <c r="AA6350" s="36"/>
      <c r="AB6350" s="36"/>
      <c r="AC6350" s="36"/>
      <c r="AD6350" s="36"/>
      <c r="AE6350" s="36"/>
      <c r="AF6350" s="36"/>
      <c r="AG6350" s="36"/>
      <c r="AH6350" s="36"/>
      <c r="AI6350" s="36"/>
      <c r="AJ6350" s="15">
        <f t="shared" si="1128"/>
        <v>0</v>
      </c>
      <c r="AK6350" s="14"/>
      <c r="AL6350" s="14"/>
      <c r="AM6350" s="14"/>
      <c r="AN6350" s="14"/>
      <c r="AO6350" s="14"/>
      <c r="AP6350" s="14"/>
      <c r="AQ6350" s="14"/>
      <c r="AR6350" s="14"/>
      <c r="AS6350" s="14"/>
      <c r="AT6350" s="14"/>
      <c r="AU6350" s="14"/>
      <c r="AV6350" s="14"/>
      <c r="AW6350" s="15">
        <f t="shared" si="1129"/>
        <v>0</v>
      </c>
      <c r="AX6350" s="16"/>
    </row>
    <row r="6351" spans="2:50" x14ac:dyDescent="0.2">
      <c r="B6351" s="7"/>
      <c r="C6351" s="8">
        <v>16462</v>
      </c>
      <c r="D6351" s="9" t="s">
        <v>358</v>
      </c>
      <c r="E6351" s="10" t="str">
        <f t="shared" si="1124"/>
        <v>Rancho Landero No. 2, 4</v>
      </c>
      <c r="F6351" s="10" t="str">
        <f t="shared" si="1125"/>
        <v>Astudillo Ramírez</v>
      </c>
      <c r="G6351" s="8">
        <v>5</v>
      </c>
      <c r="H6351" s="11">
        <v>50</v>
      </c>
      <c r="I6351" s="12">
        <v>43219</v>
      </c>
      <c r="J6351" s="35">
        <f t="shared" si="1126"/>
        <v>0</v>
      </c>
      <c r="K6351" s="36"/>
      <c r="L6351" s="36"/>
      <c r="M6351" s="36"/>
      <c r="N6351" s="36"/>
      <c r="O6351" s="36"/>
      <c r="P6351" s="36"/>
      <c r="Q6351" s="36"/>
      <c r="R6351" s="36"/>
      <c r="S6351" s="36"/>
      <c r="T6351" s="36"/>
      <c r="U6351" s="36"/>
      <c r="V6351" s="36"/>
      <c r="W6351" s="15">
        <f t="shared" si="1127"/>
        <v>0</v>
      </c>
      <c r="X6351" s="36"/>
      <c r="Y6351" s="36"/>
      <c r="Z6351" s="36"/>
      <c r="AA6351" s="36"/>
      <c r="AB6351" s="36"/>
      <c r="AC6351" s="36"/>
      <c r="AD6351" s="36"/>
      <c r="AE6351" s="36"/>
      <c r="AF6351" s="36"/>
      <c r="AG6351" s="36"/>
      <c r="AH6351" s="36"/>
      <c r="AI6351" s="36"/>
      <c r="AJ6351" s="15">
        <f t="shared" si="1128"/>
        <v>0</v>
      </c>
      <c r="AK6351" s="14"/>
      <c r="AL6351" s="14"/>
      <c r="AM6351" s="14"/>
      <c r="AN6351" s="14"/>
      <c r="AO6351" s="14"/>
      <c r="AP6351" s="14"/>
      <c r="AQ6351" s="14"/>
      <c r="AR6351" s="14"/>
      <c r="AS6351" s="14"/>
      <c r="AT6351" s="14"/>
      <c r="AU6351" s="14"/>
      <c r="AV6351" s="14"/>
      <c r="AW6351" s="15">
        <f t="shared" si="1129"/>
        <v>0</v>
      </c>
      <c r="AX6351" s="16"/>
    </row>
    <row r="6352" spans="2:50" x14ac:dyDescent="0.2">
      <c r="B6352" s="7"/>
      <c r="C6352" s="8">
        <v>16463</v>
      </c>
      <c r="D6352" s="9" t="s">
        <v>708</v>
      </c>
      <c r="E6352" s="10" t="str">
        <f t="shared" si="1124"/>
        <v>Rancho Landero No. 21</v>
      </c>
      <c r="F6352" s="10" t="str">
        <f t="shared" si="1125"/>
        <v>Meza</v>
      </c>
      <c r="G6352" s="8">
        <v>1</v>
      </c>
      <c r="H6352" s="11">
        <v>1200</v>
      </c>
      <c r="I6352" s="12">
        <v>43219</v>
      </c>
      <c r="J6352" s="35">
        <f t="shared" si="1126"/>
        <v>0</v>
      </c>
      <c r="K6352" s="36"/>
      <c r="L6352" s="36"/>
      <c r="M6352" s="36"/>
      <c r="N6352" s="36"/>
      <c r="O6352" s="36"/>
      <c r="P6352" s="36"/>
      <c r="Q6352" s="36"/>
      <c r="R6352" s="36"/>
      <c r="S6352" s="36"/>
      <c r="T6352" s="36"/>
      <c r="U6352" s="36"/>
      <c r="V6352" s="36"/>
      <c r="W6352" s="15">
        <f t="shared" si="1127"/>
        <v>0</v>
      </c>
      <c r="X6352" s="36"/>
      <c r="Y6352" s="36"/>
      <c r="Z6352" s="36"/>
      <c r="AA6352" s="36"/>
      <c r="AB6352" s="36"/>
      <c r="AC6352" s="36"/>
      <c r="AD6352" s="36"/>
      <c r="AE6352" s="36"/>
      <c r="AF6352" s="36"/>
      <c r="AG6352" s="36"/>
      <c r="AH6352" s="36"/>
      <c r="AI6352" s="36"/>
      <c r="AJ6352" s="15">
        <f t="shared" si="1128"/>
        <v>0</v>
      </c>
      <c r="AK6352" s="14"/>
      <c r="AL6352" s="14"/>
      <c r="AM6352" s="14">
        <v>400</v>
      </c>
      <c r="AN6352" s="14">
        <v>400</v>
      </c>
      <c r="AO6352" s="14">
        <v>400</v>
      </c>
      <c r="AP6352" s="14"/>
      <c r="AQ6352" s="14"/>
      <c r="AR6352" s="14"/>
      <c r="AS6352" s="14"/>
      <c r="AT6352" s="14"/>
      <c r="AU6352" s="14"/>
      <c r="AV6352" s="14"/>
      <c r="AW6352" s="15">
        <f t="shared" si="1129"/>
        <v>1200</v>
      </c>
      <c r="AX6352" s="16"/>
    </row>
    <row r="6353" spans="1:51" x14ac:dyDescent="0.2">
      <c r="B6353" s="7"/>
      <c r="C6353" s="8">
        <v>16464</v>
      </c>
      <c r="D6353" s="9" t="s">
        <v>1260</v>
      </c>
      <c r="E6353" s="10" t="str">
        <f t="shared" si="1124"/>
        <v>Rancho La Cuchilla No. 11</v>
      </c>
      <c r="F6353" s="10" t="str">
        <f t="shared" si="1125"/>
        <v>Santiago</v>
      </c>
      <c r="G6353" s="8">
        <v>4</v>
      </c>
      <c r="H6353" s="11">
        <v>400</v>
      </c>
      <c r="I6353" s="12">
        <v>43219</v>
      </c>
      <c r="J6353" s="35">
        <f t="shared" si="1126"/>
        <v>0</v>
      </c>
      <c r="K6353" s="36"/>
      <c r="L6353" s="36"/>
      <c r="M6353" s="36"/>
      <c r="N6353" s="36"/>
      <c r="O6353" s="36"/>
      <c r="P6353" s="36"/>
      <c r="Q6353" s="36"/>
      <c r="R6353" s="36"/>
      <c r="S6353" s="36"/>
      <c r="T6353" s="36"/>
      <c r="U6353" s="36"/>
      <c r="V6353" s="36"/>
      <c r="W6353" s="15">
        <f t="shared" si="1127"/>
        <v>0</v>
      </c>
      <c r="X6353" s="36"/>
      <c r="Y6353" s="36"/>
      <c r="Z6353" s="36"/>
      <c r="AA6353" s="36"/>
      <c r="AB6353" s="36"/>
      <c r="AC6353" s="36"/>
      <c r="AD6353" s="36"/>
      <c r="AE6353" s="36"/>
      <c r="AF6353" s="36"/>
      <c r="AG6353" s="36"/>
      <c r="AH6353" s="36"/>
      <c r="AI6353" s="36"/>
      <c r="AJ6353" s="15">
        <f t="shared" si="1128"/>
        <v>0</v>
      </c>
      <c r="AK6353" s="14"/>
      <c r="AL6353" s="14"/>
      <c r="AM6353" s="14"/>
      <c r="AN6353" s="14"/>
      <c r="AO6353" s="14"/>
      <c r="AP6353" s="14"/>
      <c r="AQ6353" s="14"/>
      <c r="AR6353" s="14"/>
      <c r="AS6353" s="14"/>
      <c r="AT6353" s="14"/>
      <c r="AU6353" s="14"/>
      <c r="AV6353" s="14"/>
      <c r="AW6353" s="15">
        <f t="shared" si="1129"/>
        <v>0</v>
      </c>
      <c r="AX6353" s="16"/>
    </row>
    <row r="6354" spans="1:51" x14ac:dyDescent="0.2">
      <c r="B6354" s="7"/>
      <c r="C6354" s="8">
        <v>16465</v>
      </c>
      <c r="D6354" s="9" t="s">
        <v>663</v>
      </c>
      <c r="E6354" s="10" t="str">
        <f t="shared" si="1124"/>
        <v>Rancho Romeral No. 23, B</v>
      </c>
      <c r="F6354" s="10" t="str">
        <f t="shared" si="1125"/>
        <v>Castillo Avila</v>
      </c>
      <c r="G6354" s="8">
        <v>5</v>
      </c>
      <c r="H6354" s="11">
        <v>50</v>
      </c>
      <c r="I6354" s="12">
        <v>43219</v>
      </c>
      <c r="J6354" s="35">
        <f t="shared" si="1126"/>
        <v>0</v>
      </c>
      <c r="K6354" s="36"/>
      <c r="L6354" s="36"/>
      <c r="M6354" s="36"/>
      <c r="N6354" s="36"/>
      <c r="O6354" s="36"/>
      <c r="P6354" s="36"/>
      <c r="Q6354" s="36"/>
      <c r="R6354" s="36"/>
      <c r="S6354" s="36"/>
      <c r="T6354" s="36"/>
      <c r="U6354" s="36"/>
      <c r="V6354" s="36"/>
      <c r="W6354" s="15">
        <f t="shared" si="1127"/>
        <v>0</v>
      </c>
      <c r="X6354" s="36"/>
      <c r="Y6354" s="36"/>
      <c r="Z6354" s="36"/>
      <c r="AA6354" s="36"/>
      <c r="AB6354" s="36"/>
      <c r="AC6354" s="36"/>
      <c r="AD6354" s="36"/>
      <c r="AE6354" s="36"/>
      <c r="AF6354" s="36"/>
      <c r="AG6354" s="36"/>
      <c r="AH6354" s="36"/>
      <c r="AI6354" s="36"/>
      <c r="AJ6354" s="15">
        <f t="shared" si="1128"/>
        <v>0</v>
      </c>
      <c r="AK6354" s="14"/>
      <c r="AL6354" s="14"/>
      <c r="AM6354" s="14"/>
      <c r="AN6354" s="14"/>
      <c r="AO6354" s="14"/>
      <c r="AP6354" s="14"/>
      <c r="AQ6354" s="14"/>
      <c r="AR6354" s="14"/>
      <c r="AS6354" s="14"/>
      <c r="AT6354" s="14"/>
      <c r="AU6354" s="14"/>
      <c r="AV6354" s="14"/>
      <c r="AW6354" s="15">
        <f t="shared" si="1129"/>
        <v>0</v>
      </c>
      <c r="AX6354" s="16"/>
    </row>
    <row r="6355" spans="1:51" x14ac:dyDescent="0.2">
      <c r="B6355" s="7"/>
      <c r="C6355" s="8">
        <v>16466</v>
      </c>
      <c r="D6355" s="9" t="s">
        <v>858</v>
      </c>
      <c r="E6355" s="10" t="str">
        <f t="shared" si="1124"/>
        <v>Rancho Landero No. 45</v>
      </c>
      <c r="F6355" s="10" t="str">
        <f t="shared" si="1125"/>
        <v>Solano</v>
      </c>
      <c r="G6355" s="8">
        <v>1</v>
      </c>
      <c r="H6355" s="11">
        <v>800</v>
      </c>
      <c r="I6355" s="12">
        <v>43219</v>
      </c>
      <c r="J6355" s="35">
        <f t="shared" si="1126"/>
        <v>0</v>
      </c>
      <c r="K6355" s="36"/>
      <c r="L6355" s="36"/>
      <c r="M6355" s="36"/>
      <c r="N6355" s="36"/>
      <c r="O6355" s="36"/>
      <c r="P6355" s="36"/>
      <c r="Q6355" s="36"/>
      <c r="R6355" s="36"/>
      <c r="S6355" s="36"/>
      <c r="T6355" s="36"/>
      <c r="U6355" s="36"/>
      <c r="V6355" s="36"/>
      <c r="W6355" s="15">
        <f t="shared" si="1127"/>
        <v>0</v>
      </c>
      <c r="X6355" s="36"/>
      <c r="Y6355" s="36"/>
      <c r="Z6355" s="36"/>
      <c r="AA6355" s="36"/>
      <c r="AB6355" s="36"/>
      <c r="AC6355" s="36"/>
      <c r="AD6355" s="36"/>
      <c r="AE6355" s="36"/>
      <c r="AF6355" s="36"/>
      <c r="AG6355" s="36"/>
      <c r="AH6355" s="36"/>
      <c r="AI6355" s="36"/>
      <c r="AJ6355" s="15">
        <f t="shared" si="1128"/>
        <v>0</v>
      </c>
      <c r="AK6355" s="14"/>
      <c r="AL6355" s="14"/>
      <c r="AM6355" s="14"/>
      <c r="AN6355" s="14"/>
      <c r="AO6355" s="14">
        <v>400</v>
      </c>
      <c r="AP6355" s="14">
        <v>400</v>
      </c>
      <c r="AQ6355" s="14"/>
      <c r="AR6355" s="14"/>
      <c r="AS6355" s="14"/>
      <c r="AT6355" s="14"/>
      <c r="AU6355" s="14"/>
      <c r="AV6355" s="14"/>
      <c r="AW6355" s="15">
        <f t="shared" si="1129"/>
        <v>800</v>
      </c>
      <c r="AX6355" s="16"/>
    </row>
    <row r="6356" spans="1:51" x14ac:dyDescent="0.2">
      <c r="B6356" s="7"/>
      <c r="C6356" s="8">
        <v>16467</v>
      </c>
      <c r="D6356" s="9" t="s">
        <v>112</v>
      </c>
      <c r="E6356" s="10" t="str">
        <f t="shared" si="1124"/>
        <v>Rancho Estanzuela No. 129</v>
      </c>
      <c r="F6356" s="10" t="str">
        <f t="shared" si="1125"/>
        <v>Sta. María Mendoza</v>
      </c>
      <c r="G6356" s="8">
        <v>1</v>
      </c>
      <c r="H6356" s="11">
        <v>250</v>
      </c>
      <c r="I6356" s="12">
        <v>43219</v>
      </c>
      <c r="J6356" s="35">
        <f t="shared" si="1126"/>
        <v>0</v>
      </c>
      <c r="K6356" s="36"/>
      <c r="L6356" s="36"/>
      <c r="M6356" s="36"/>
      <c r="N6356" s="36"/>
      <c r="O6356" s="36"/>
      <c r="P6356" s="36"/>
      <c r="Q6356" s="36"/>
      <c r="R6356" s="36"/>
      <c r="S6356" s="36"/>
      <c r="T6356" s="36"/>
      <c r="U6356" s="36"/>
      <c r="V6356" s="36"/>
      <c r="W6356" s="15">
        <f t="shared" si="1127"/>
        <v>0</v>
      </c>
      <c r="X6356" s="36"/>
      <c r="Y6356" s="36"/>
      <c r="Z6356" s="36"/>
      <c r="AA6356" s="36"/>
      <c r="AB6356" s="36"/>
      <c r="AC6356" s="36"/>
      <c r="AD6356" s="36"/>
      <c r="AE6356" s="36"/>
      <c r="AF6356" s="36"/>
      <c r="AG6356" s="36"/>
      <c r="AH6356" s="36"/>
      <c r="AI6356" s="36"/>
      <c r="AJ6356" s="15">
        <f t="shared" si="1128"/>
        <v>0</v>
      </c>
      <c r="AK6356" s="14"/>
      <c r="AL6356" s="14"/>
      <c r="AM6356" s="14"/>
      <c r="AN6356" s="14">
        <v>250</v>
      </c>
      <c r="AO6356" s="14"/>
      <c r="AP6356" s="14"/>
      <c r="AQ6356" s="14"/>
      <c r="AR6356" s="14"/>
      <c r="AS6356" s="14"/>
      <c r="AT6356" s="14"/>
      <c r="AU6356" s="14"/>
      <c r="AV6356" s="14"/>
      <c r="AW6356" s="15">
        <f t="shared" si="1129"/>
        <v>250</v>
      </c>
      <c r="AX6356" s="16"/>
    </row>
    <row r="6357" spans="1:51" x14ac:dyDescent="0.2">
      <c r="B6357" s="7"/>
      <c r="C6357" s="8">
        <v>16468</v>
      </c>
      <c r="D6357" s="9" t="s">
        <v>129</v>
      </c>
      <c r="E6357" s="10" t="str">
        <f t="shared" si="1124"/>
        <v>Rancho Zinamba No. 44</v>
      </c>
      <c r="F6357" s="10" t="str">
        <f t="shared" si="1125"/>
        <v>Canales</v>
      </c>
      <c r="G6357" s="8">
        <v>1</v>
      </c>
      <c r="H6357" s="11">
        <v>400</v>
      </c>
      <c r="I6357" s="12">
        <v>43219</v>
      </c>
      <c r="J6357" s="35">
        <f t="shared" si="1126"/>
        <v>0</v>
      </c>
      <c r="K6357" s="36"/>
      <c r="L6357" s="36"/>
      <c r="M6357" s="36"/>
      <c r="N6357" s="36"/>
      <c r="O6357" s="36"/>
      <c r="P6357" s="36"/>
      <c r="Q6357" s="36"/>
      <c r="R6357" s="36"/>
      <c r="S6357" s="36"/>
      <c r="T6357" s="36"/>
      <c r="U6357" s="36"/>
      <c r="V6357" s="36"/>
      <c r="W6357" s="15">
        <f t="shared" si="1127"/>
        <v>0</v>
      </c>
      <c r="X6357" s="36"/>
      <c r="Y6357" s="36"/>
      <c r="Z6357" s="36"/>
      <c r="AA6357" s="36"/>
      <c r="AB6357" s="36"/>
      <c r="AC6357" s="36"/>
      <c r="AD6357" s="36"/>
      <c r="AE6357" s="36"/>
      <c r="AF6357" s="36"/>
      <c r="AG6357" s="36"/>
      <c r="AH6357" s="36"/>
      <c r="AI6357" s="36"/>
      <c r="AJ6357" s="15">
        <f t="shared" si="1128"/>
        <v>0</v>
      </c>
      <c r="AK6357" s="14"/>
      <c r="AL6357" s="14"/>
      <c r="AM6357" s="14"/>
      <c r="AN6357" s="14"/>
      <c r="AO6357" s="14">
        <v>400</v>
      </c>
      <c r="AP6357" s="14"/>
      <c r="AQ6357" s="14"/>
      <c r="AR6357" s="14"/>
      <c r="AS6357" s="14"/>
      <c r="AT6357" s="14"/>
      <c r="AU6357" s="14"/>
      <c r="AV6357" s="14"/>
      <c r="AW6357" s="15">
        <f t="shared" si="1129"/>
        <v>400</v>
      </c>
      <c r="AX6357" s="316">
        <f>SUM(H6325:H6357)</f>
        <v>15800</v>
      </c>
      <c r="AY6357" s="112">
        <f>SUM(H6317:H6357)</f>
        <v>20450</v>
      </c>
    </row>
    <row r="6358" spans="1:51" x14ac:dyDescent="0.2">
      <c r="B6358" s="7"/>
      <c r="C6358" s="8"/>
      <c r="D6358" s="9" t="s">
        <v>806</v>
      </c>
      <c r="E6358" s="10" t="str">
        <f t="shared" si="1124"/>
        <v>Rancho Estanzuela No. 130, A</v>
      </c>
      <c r="F6358" s="10" t="str">
        <f t="shared" si="1125"/>
        <v>Colegio Carmel</v>
      </c>
      <c r="G6358" s="8">
        <v>1</v>
      </c>
      <c r="H6358" s="11">
        <v>11000</v>
      </c>
      <c r="I6358" s="12">
        <v>43210</v>
      </c>
      <c r="J6358" s="35">
        <f t="shared" si="1126"/>
        <v>0</v>
      </c>
      <c r="K6358" s="36"/>
      <c r="L6358" s="36"/>
      <c r="M6358" s="36"/>
      <c r="N6358" s="36"/>
      <c r="O6358" s="36"/>
      <c r="P6358" s="36"/>
      <c r="Q6358" s="36"/>
      <c r="R6358" s="36"/>
      <c r="S6358" s="36"/>
      <c r="T6358" s="36"/>
      <c r="U6358" s="36"/>
      <c r="V6358" s="36"/>
      <c r="W6358" s="15">
        <f t="shared" si="1127"/>
        <v>0</v>
      </c>
      <c r="X6358" s="36"/>
      <c r="Y6358" s="36"/>
      <c r="Z6358" s="36"/>
      <c r="AA6358" s="36"/>
      <c r="AB6358" s="36"/>
      <c r="AC6358" s="36"/>
      <c r="AD6358" s="36"/>
      <c r="AE6358" s="36"/>
      <c r="AF6358" s="36"/>
      <c r="AG6358" s="36"/>
      <c r="AH6358" s="36"/>
      <c r="AI6358" s="36"/>
      <c r="AJ6358" s="15">
        <f t="shared" si="1128"/>
        <v>0</v>
      </c>
      <c r="AK6358" s="14"/>
      <c r="AL6358" s="14"/>
      <c r="AM6358" s="14"/>
      <c r="AN6358" s="14">
        <v>11000</v>
      </c>
      <c r="AO6358" s="14"/>
      <c r="AP6358" s="14"/>
      <c r="AQ6358" s="14"/>
      <c r="AR6358" s="14"/>
      <c r="AS6358" s="14"/>
      <c r="AT6358" s="14"/>
      <c r="AU6358" s="14"/>
      <c r="AV6358" s="14"/>
      <c r="AW6358" s="15">
        <f t="shared" si="1129"/>
        <v>11000</v>
      </c>
      <c r="AX6358" s="16"/>
    </row>
    <row r="6359" spans="1:51" x14ac:dyDescent="0.2">
      <c r="B6359" s="7"/>
      <c r="C6359" s="8"/>
      <c r="D6359" s="9"/>
      <c r="E6359" s="10"/>
      <c r="F6359" s="10" t="str">
        <f t="shared" si="1125"/>
        <v/>
      </c>
      <c r="G6359" s="8"/>
      <c r="H6359" s="11"/>
      <c r="I6359" s="12"/>
      <c r="J6359" s="35">
        <f t="shared" si="1126"/>
        <v>0</v>
      </c>
      <c r="K6359" s="36"/>
      <c r="L6359" s="36"/>
      <c r="M6359" s="36"/>
      <c r="N6359" s="36"/>
      <c r="O6359" s="36"/>
      <c r="P6359" s="36"/>
      <c r="Q6359" s="36"/>
      <c r="R6359" s="36"/>
      <c r="S6359" s="36"/>
      <c r="T6359" s="36"/>
      <c r="U6359" s="36"/>
      <c r="V6359" s="36"/>
      <c r="W6359" s="15">
        <f t="shared" si="1127"/>
        <v>0</v>
      </c>
      <c r="X6359" s="36"/>
      <c r="Y6359" s="36"/>
      <c r="Z6359" s="36"/>
      <c r="AA6359" s="36"/>
      <c r="AB6359" s="36"/>
      <c r="AC6359" s="36"/>
      <c r="AD6359" s="36"/>
      <c r="AE6359" s="36"/>
      <c r="AF6359" s="36"/>
      <c r="AG6359" s="36"/>
      <c r="AH6359" s="36"/>
      <c r="AI6359" s="36"/>
      <c r="AJ6359" s="15">
        <f t="shared" si="1128"/>
        <v>0</v>
      </c>
      <c r="AK6359" s="14"/>
      <c r="AL6359" s="14"/>
      <c r="AM6359" s="14"/>
      <c r="AN6359" s="14"/>
      <c r="AO6359" s="14"/>
      <c r="AP6359" s="14"/>
      <c r="AQ6359" s="14"/>
      <c r="AR6359" s="14"/>
      <c r="AS6359" s="14"/>
      <c r="AT6359" s="14"/>
      <c r="AU6359" s="14"/>
      <c r="AV6359" s="14"/>
      <c r="AW6359" s="15">
        <f t="shared" si="1129"/>
        <v>0</v>
      </c>
      <c r="AX6359" s="16"/>
    </row>
    <row r="6360" spans="1:51" x14ac:dyDescent="0.2">
      <c r="B6360" s="7"/>
      <c r="C6360" s="8"/>
      <c r="D6360" s="9"/>
      <c r="E6360" s="10" t="str">
        <f t="shared" si="1124"/>
        <v/>
      </c>
      <c r="F6360" s="10" t="str">
        <f t="shared" si="1125"/>
        <v/>
      </c>
      <c r="G6360" s="8"/>
      <c r="H6360" s="11"/>
      <c r="I6360" s="12"/>
      <c r="J6360" s="35">
        <f t="shared" si="1126"/>
        <v>0</v>
      </c>
      <c r="K6360" s="36"/>
      <c r="L6360" s="36"/>
      <c r="M6360" s="36"/>
      <c r="N6360" s="36"/>
      <c r="O6360" s="36"/>
      <c r="P6360" s="36"/>
      <c r="Q6360" s="36"/>
      <c r="R6360" s="36"/>
      <c r="S6360" s="36"/>
      <c r="T6360" s="36"/>
      <c r="U6360" s="36"/>
      <c r="V6360" s="36"/>
      <c r="W6360" s="15">
        <f t="shared" si="1127"/>
        <v>0</v>
      </c>
      <c r="X6360" s="36"/>
      <c r="Y6360" s="36"/>
      <c r="Z6360" s="36"/>
      <c r="AA6360" s="36"/>
      <c r="AB6360" s="36"/>
      <c r="AC6360" s="36"/>
      <c r="AD6360" s="36"/>
      <c r="AE6360" s="36"/>
      <c r="AF6360" s="36"/>
      <c r="AG6360" s="36"/>
      <c r="AH6360" s="36"/>
      <c r="AI6360" s="36"/>
      <c r="AJ6360" s="15">
        <f t="shared" si="1128"/>
        <v>0</v>
      </c>
      <c r="AK6360" s="14"/>
      <c r="AL6360" s="14"/>
      <c r="AM6360" s="14"/>
      <c r="AN6360" s="14"/>
      <c r="AO6360" s="14"/>
      <c r="AP6360" s="14"/>
      <c r="AQ6360" s="14"/>
      <c r="AR6360" s="14"/>
      <c r="AS6360" s="14"/>
      <c r="AT6360" s="14"/>
      <c r="AU6360" s="14"/>
      <c r="AV6360" s="14"/>
      <c r="AW6360" s="15">
        <f t="shared" si="1129"/>
        <v>0</v>
      </c>
      <c r="AX6360" s="16"/>
    </row>
    <row r="6361" spans="1:51" x14ac:dyDescent="0.2">
      <c r="B6361" s="7"/>
      <c r="C6361" s="8"/>
      <c r="D6361" s="9"/>
      <c r="E6361" s="10" t="str">
        <f t="shared" si="1124"/>
        <v/>
      </c>
      <c r="F6361" s="10" t="str">
        <f t="shared" si="1125"/>
        <v/>
      </c>
      <c r="G6361" s="8"/>
      <c r="H6361" s="11"/>
      <c r="I6361" s="12"/>
      <c r="J6361" s="35">
        <f t="shared" si="1126"/>
        <v>0</v>
      </c>
      <c r="K6361" s="36"/>
      <c r="L6361" s="36"/>
      <c r="M6361" s="36"/>
      <c r="N6361" s="36"/>
      <c r="O6361" s="36"/>
      <c r="P6361" s="36"/>
      <c r="Q6361" s="36"/>
      <c r="R6361" s="36"/>
      <c r="S6361" s="36"/>
      <c r="T6361" s="36"/>
      <c r="U6361" s="36"/>
      <c r="V6361" s="36"/>
      <c r="W6361" s="15">
        <f t="shared" si="1127"/>
        <v>0</v>
      </c>
      <c r="X6361" s="36"/>
      <c r="Y6361" s="36"/>
      <c r="Z6361" s="36"/>
      <c r="AA6361" s="36"/>
      <c r="AB6361" s="36"/>
      <c r="AC6361" s="36"/>
      <c r="AD6361" s="36"/>
      <c r="AE6361" s="36"/>
      <c r="AF6361" s="36"/>
      <c r="AG6361" s="36"/>
      <c r="AH6361" s="36"/>
      <c r="AI6361" s="36"/>
      <c r="AJ6361" s="15">
        <f t="shared" si="1128"/>
        <v>0</v>
      </c>
      <c r="AK6361" s="14"/>
      <c r="AL6361" s="14"/>
      <c r="AM6361" s="14"/>
      <c r="AN6361" s="14"/>
      <c r="AO6361" s="14"/>
      <c r="AP6361" s="14"/>
      <c r="AQ6361" s="14"/>
      <c r="AR6361" s="14"/>
      <c r="AS6361" s="14"/>
      <c r="AT6361" s="14"/>
      <c r="AU6361" s="14"/>
      <c r="AV6361" s="14"/>
      <c r="AW6361" s="15">
        <f t="shared" si="1129"/>
        <v>0</v>
      </c>
      <c r="AX6361" s="16"/>
    </row>
    <row r="6362" spans="1:51" ht="22.5" x14ac:dyDescent="0.2">
      <c r="A6362" s="2"/>
      <c r="B6362" s="3" t="s">
        <v>1</v>
      </c>
      <c r="C6362" s="3" t="s">
        <v>2</v>
      </c>
      <c r="D6362" s="3" t="s">
        <v>3</v>
      </c>
      <c r="E6362" s="337" t="s">
        <v>4</v>
      </c>
      <c r="F6362" s="337" t="s">
        <v>5</v>
      </c>
      <c r="G6362" s="3" t="s">
        <v>6</v>
      </c>
      <c r="H6362" s="3" t="s">
        <v>7</v>
      </c>
      <c r="I6362" s="3" t="s">
        <v>8</v>
      </c>
      <c r="J6362" s="337" t="s">
        <v>9</v>
      </c>
      <c r="K6362" s="4" t="s">
        <v>10</v>
      </c>
      <c r="L6362" s="4" t="s">
        <v>11</v>
      </c>
      <c r="M6362" s="4" t="s">
        <v>12</v>
      </c>
      <c r="N6362" s="4" t="s">
        <v>13</v>
      </c>
      <c r="O6362" s="4" t="s">
        <v>14</v>
      </c>
      <c r="P6362" s="4" t="s">
        <v>15</v>
      </c>
      <c r="Q6362" s="4" t="s">
        <v>16</v>
      </c>
      <c r="R6362" s="4" t="s">
        <v>17</v>
      </c>
      <c r="S6362" s="4" t="s">
        <v>18</v>
      </c>
      <c r="T6362" s="4" t="s">
        <v>19</v>
      </c>
      <c r="U6362" s="4" t="s">
        <v>20</v>
      </c>
      <c r="V6362" s="4" t="s">
        <v>21</v>
      </c>
      <c r="W6362" s="338" t="s">
        <v>22</v>
      </c>
      <c r="X6362" s="4" t="s">
        <v>23</v>
      </c>
      <c r="Y6362" s="4" t="s">
        <v>24</v>
      </c>
      <c r="Z6362" s="4" t="s">
        <v>25</v>
      </c>
      <c r="AA6362" s="4" t="s">
        <v>26</v>
      </c>
      <c r="AB6362" s="4" t="s">
        <v>27</v>
      </c>
      <c r="AC6362" s="4" t="s">
        <v>28</v>
      </c>
      <c r="AD6362" s="4" t="s">
        <v>29</v>
      </c>
      <c r="AE6362" s="4" t="s">
        <v>30</v>
      </c>
      <c r="AF6362" s="4" t="s">
        <v>31</v>
      </c>
      <c r="AG6362" s="4" t="s">
        <v>32</v>
      </c>
      <c r="AH6362" s="4" t="s">
        <v>33</v>
      </c>
      <c r="AI6362" s="4" t="s">
        <v>34</v>
      </c>
      <c r="AJ6362" s="338" t="s">
        <v>35</v>
      </c>
      <c r="AK6362" s="4" t="s">
        <v>4607</v>
      </c>
      <c r="AL6362" s="4" t="s">
        <v>4608</v>
      </c>
      <c r="AM6362" s="4" t="s">
        <v>4609</v>
      </c>
      <c r="AN6362" s="4" t="s">
        <v>4610</v>
      </c>
      <c r="AO6362" s="4" t="s">
        <v>4611</v>
      </c>
      <c r="AP6362" s="4" t="s">
        <v>4612</v>
      </c>
      <c r="AQ6362" s="4" t="s">
        <v>4613</v>
      </c>
      <c r="AR6362" s="4" t="s">
        <v>4614</v>
      </c>
      <c r="AS6362" s="4" t="s">
        <v>4615</v>
      </c>
      <c r="AT6362" s="4" t="s">
        <v>4616</v>
      </c>
      <c r="AU6362" s="4" t="s">
        <v>4617</v>
      </c>
      <c r="AV6362" s="4" t="s">
        <v>4618</v>
      </c>
      <c r="AW6362" s="338" t="s">
        <v>4619</v>
      </c>
      <c r="AX6362" s="6" t="s">
        <v>36</v>
      </c>
    </row>
    <row r="6363" spans="1:51" x14ac:dyDescent="0.2">
      <c r="B6363" s="7"/>
      <c r="C6363" s="8">
        <v>16469</v>
      </c>
      <c r="D6363" s="9" t="s">
        <v>837</v>
      </c>
      <c r="E6363" s="10" t="str">
        <f t="shared" si="1124"/>
        <v>Rancho Estanzuela No. 67</v>
      </c>
      <c r="F6363" s="10" t="str">
        <f t="shared" si="1125"/>
        <v>Carmona Galarza</v>
      </c>
      <c r="G6363" s="8">
        <v>5</v>
      </c>
      <c r="H6363" s="11">
        <v>50</v>
      </c>
      <c r="I6363" s="12">
        <v>43221</v>
      </c>
      <c r="J6363" s="35">
        <f t="shared" si="1126"/>
        <v>0</v>
      </c>
      <c r="K6363" s="36"/>
      <c r="L6363" s="36"/>
      <c r="M6363" s="36"/>
      <c r="N6363" s="36"/>
      <c r="O6363" s="36"/>
      <c r="P6363" s="36"/>
      <c r="Q6363" s="36"/>
      <c r="R6363" s="36"/>
      <c r="S6363" s="36"/>
      <c r="T6363" s="36"/>
      <c r="U6363" s="36"/>
      <c r="V6363" s="36"/>
      <c r="W6363" s="15">
        <f t="shared" si="1127"/>
        <v>0</v>
      </c>
      <c r="X6363" s="36"/>
      <c r="Y6363" s="36"/>
      <c r="Z6363" s="36"/>
      <c r="AA6363" s="36"/>
      <c r="AB6363" s="36"/>
      <c r="AC6363" s="36"/>
      <c r="AD6363" s="36"/>
      <c r="AE6363" s="36"/>
      <c r="AF6363" s="36"/>
      <c r="AG6363" s="36"/>
      <c r="AH6363" s="36"/>
      <c r="AI6363" s="36"/>
      <c r="AJ6363" s="15">
        <f t="shared" si="1128"/>
        <v>0</v>
      </c>
      <c r="AK6363" s="14"/>
      <c r="AL6363" s="14"/>
      <c r="AM6363" s="14"/>
      <c r="AN6363" s="14"/>
      <c r="AO6363" s="14"/>
      <c r="AP6363" s="14"/>
      <c r="AQ6363" s="14"/>
      <c r="AR6363" s="14"/>
      <c r="AS6363" s="14"/>
      <c r="AT6363" s="14"/>
      <c r="AU6363" s="14"/>
      <c r="AV6363" s="14"/>
      <c r="AW6363" s="15">
        <f t="shared" si="1129"/>
        <v>0</v>
      </c>
      <c r="AX6363" s="16"/>
    </row>
    <row r="6364" spans="1:51" x14ac:dyDescent="0.2">
      <c r="B6364" s="7"/>
      <c r="C6364" s="8">
        <v>16470</v>
      </c>
      <c r="D6364" s="9" t="s">
        <v>174</v>
      </c>
      <c r="E6364" s="10" t="str">
        <f t="shared" si="1124"/>
        <v>Rancho Upácuaro No. 18</v>
      </c>
      <c r="F6364" s="10" t="str">
        <f t="shared" si="1125"/>
        <v>Guzmán</v>
      </c>
      <c r="G6364" s="8">
        <v>1</v>
      </c>
      <c r="H6364" s="11">
        <v>300</v>
      </c>
      <c r="I6364" s="12">
        <v>43222</v>
      </c>
      <c r="J6364" s="35">
        <f t="shared" si="1126"/>
        <v>0</v>
      </c>
      <c r="K6364" s="36"/>
      <c r="L6364" s="36"/>
      <c r="M6364" s="36"/>
      <c r="N6364" s="36"/>
      <c r="O6364" s="36"/>
      <c r="P6364" s="36"/>
      <c r="Q6364" s="36"/>
      <c r="R6364" s="36"/>
      <c r="S6364" s="36"/>
      <c r="T6364" s="36"/>
      <c r="U6364" s="36"/>
      <c r="V6364" s="36"/>
      <c r="W6364" s="15">
        <f t="shared" si="1127"/>
        <v>0</v>
      </c>
      <c r="X6364" s="36"/>
      <c r="Y6364" s="36"/>
      <c r="Z6364" s="36"/>
      <c r="AA6364" s="36"/>
      <c r="AB6364" s="36"/>
      <c r="AC6364" s="36"/>
      <c r="AD6364" s="36"/>
      <c r="AE6364" s="36"/>
      <c r="AF6364" s="36"/>
      <c r="AG6364" s="36"/>
      <c r="AH6364" s="36"/>
      <c r="AI6364" s="36"/>
      <c r="AJ6364" s="15">
        <f t="shared" si="1128"/>
        <v>0</v>
      </c>
      <c r="AK6364" s="14"/>
      <c r="AL6364" s="14"/>
      <c r="AM6364" s="14"/>
      <c r="AN6364" s="14"/>
      <c r="AO6364" s="14">
        <v>300</v>
      </c>
      <c r="AP6364" s="14"/>
      <c r="AQ6364" s="14"/>
      <c r="AR6364" s="14"/>
      <c r="AS6364" s="14"/>
      <c r="AT6364" s="14"/>
      <c r="AU6364" s="14"/>
      <c r="AV6364" s="14"/>
      <c r="AW6364" s="15">
        <f t="shared" si="1129"/>
        <v>300</v>
      </c>
      <c r="AX6364" s="16"/>
    </row>
    <row r="6365" spans="1:51" x14ac:dyDescent="0.2">
      <c r="B6365" s="7" t="s">
        <v>4983</v>
      </c>
      <c r="C6365" s="8">
        <v>16471</v>
      </c>
      <c r="D6365" s="9" t="s">
        <v>211</v>
      </c>
      <c r="E6365" s="10" t="str">
        <f t="shared" si="1124"/>
        <v>Rancho Upácuaro No. 46</v>
      </c>
      <c r="F6365" s="10" t="str">
        <f t="shared" si="1125"/>
        <v>Fuentes</v>
      </c>
      <c r="G6365" s="8">
        <v>1</v>
      </c>
      <c r="H6365" s="11">
        <v>300</v>
      </c>
      <c r="I6365" s="12">
        <v>43222</v>
      </c>
      <c r="J6365" s="35">
        <f t="shared" si="1126"/>
        <v>0</v>
      </c>
      <c r="K6365" s="36"/>
      <c r="L6365" s="36"/>
      <c r="M6365" s="36"/>
      <c r="N6365" s="36"/>
      <c r="O6365" s="36"/>
      <c r="P6365" s="36"/>
      <c r="Q6365" s="36"/>
      <c r="R6365" s="36"/>
      <c r="S6365" s="36"/>
      <c r="T6365" s="36"/>
      <c r="U6365" s="36"/>
      <c r="V6365" s="36"/>
      <c r="W6365" s="15">
        <f t="shared" si="1127"/>
        <v>0</v>
      </c>
      <c r="X6365" s="36"/>
      <c r="Y6365" s="36"/>
      <c r="Z6365" s="36"/>
      <c r="AA6365" s="36"/>
      <c r="AB6365" s="36"/>
      <c r="AC6365" s="36"/>
      <c r="AD6365" s="36"/>
      <c r="AE6365" s="36"/>
      <c r="AF6365" s="36"/>
      <c r="AG6365" s="36"/>
      <c r="AH6365" s="36"/>
      <c r="AI6365" s="36"/>
      <c r="AJ6365" s="15">
        <f t="shared" si="1128"/>
        <v>0</v>
      </c>
      <c r="AK6365" s="14"/>
      <c r="AL6365" s="14"/>
      <c r="AM6365" s="14"/>
      <c r="AN6365" s="14"/>
      <c r="AO6365" s="14">
        <v>300</v>
      </c>
      <c r="AP6365" s="14"/>
      <c r="AQ6365" s="14"/>
      <c r="AR6365" s="14"/>
      <c r="AS6365" s="14"/>
      <c r="AT6365" s="14"/>
      <c r="AU6365" s="14"/>
      <c r="AV6365" s="14"/>
      <c r="AW6365" s="15">
        <f t="shared" si="1129"/>
        <v>300</v>
      </c>
      <c r="AX6365" s="16"/>
    </row>
    <row r="6366" spans="1:51" x14ac:dyDescent="0.2">
      <c r="B6366" s="7"/>
      <c r="C6366" s="8">
        <v>16472</v>
      </c>
      <c r="D6366" s="9"/>
      <c r="E6366" s="10" t="str">
        <f t="shared" si="1124"/>
        <v/>
      </c>
      <c r="F6366" s="10" t="str">
        <f t="shared" si="1125"/>
        <v/>
      </c>
      <c r="G6366" s="8">
        <v>8</v>
      </c>
      <c r="H6366" s="11"/>
      <c r="I6366" s="12"/>
      <c r="J6366" s="35">
        <f t="shared" si="1126"/>
        <v>0</v>
      </c>
      <c r="K6366" s="36"/>
      <c r="L6366" s="36"/>
      <c r="M6366" s="36"/>
      <c r="N6366" s="36"/>
      <c r="O6366" s="36"/>
      <c r="P6366" s="36"/>
      <c r="Q6366" s="36"/>
      <c r="R6366" s="36"/>
      <c r="S6366" s="36"/>
      <c r="T6366" s="36"/>
      <c r="U6366" s="36"/>
      <c r="V6366" s="36"/>
      <c r="W6366" s="15">
        <f t="shared" si="1127"/>
        <v>0</v>
      </c>
      <c r="X6366" s="36"/>
      <c r="Y6366" s="36"/>
      <c r="Z6366" s="36"/>
      <c r="AA6366" s="36"/>
      <c r="AB6366" s="36"/>
      <c r="AC6366" s="36"/>
      <c r="AD6366" s="36"/>
      <c r="AE6366" s="36"/>
      <c r="AF6366" s="36"/>
      <c r="AG6366" s="36"/>
      <c r="AH6366" s="36"/>
      <c r="AI6366" s="36"/>
      <c r="AJ6366" s="15">
        <f t="shared" si="1128"/>
        <v>0</v>
      </c>
      <c r="AK6366" s="14"/>
      <c r="AL6366" s="14"/>
      <c r="AM6366" s="14"/>
      <c r="AN6366" s="14"/>
      <c r="AO6366" s="14"/>
      <c r="AP6366" s="14"/>
      <c r="AQ6366" s="14"/>
      <c r="AR6366" s="14"/>
      <c r="AS6366" s="14"/>
      <c r="AT6366" s="14"/>
      <c r="AU6366" s="14"/>
      <c r="AV6366" s="14"/>
      <c r="AW6366" s="15">
        <f t="shared" si="1129"/>
        <v>0</v>
      </c>
      <c r="AX6366" s="16"/>
    </row>
    <row r="6367" spans="1:51" x14ac:dyDescent="0.2">
      <c r="B6367" s="7"/>
      <c r="C6367" s="8">
        <v>16473</v>
      </c>
      <c r="D6367" s="9" t="s">
        <v>652</v>
      </c>
      <c r="E6367" s="10" t="str">
        <f t="shared" si="1124"/>
        <v>Rancho Zinamba No. 74</v>
      </c>
      <c r="F6367" s="10" t="str">
        <f t="shared" si="1125"/>
        <v>García Castellanos</v>
      </c>
      <c r="G6367" s="8">
        <v>4</v>
      </c>
      <c r="H6367" s="11">
        <v>200</v>
      </c>
      <c r="I6367" s="12">
        <v>43224</v>
      </c>
      <c r="J6367" s="35">
        <f t="shared" si="1126"/>
        <v>0</v>
      </c>
      <c r="K6367" s="36"/>
      <c r="L6367" s="36"/>
      <c r="M6367" s="36"/>
      <c r="N6367" s="36"/>
      <c r="O6367" s="36"/>
      <c r="P6367" s="36"/>
      <c r="Q6367" s="36"/>
      <c r="R6367" s="36"/>
      <c r="S6367" s="36"/>
      <c r="T6367" s="36"/>
      <c r="U6367" s="36"/>
      <c r="V6367" s="36"/>
      <c r="W6367" s="15">
        <f t="shared" si="1127"/>
        <v>0</v>
      </c>
      <c r="X6367" s="36"/>
      <c r="Y6367" s="36"/>
      <c r="Z6367" s="36"/>
      <c r="AA6367" s="36"/>
      <c r="AB6367" s="36"/>
      <c r="AC6367" s="36"/>
      <c r="AD6367" s="36"/>
      <c r="AE6367" s="36"/>
      <c r="AF6367" s="36"/>
      <c r="AG6367" s="36"/>
      <c r="AH6367" s="36"/>
      <c r="AI6367" s="36"/>
      <c r="AJ6367" s="15">
        <f t="shared" si="1128"/>
        <v>0</v>
      </c>
      <c r="AK6367" s="14"/>
      <c r="AL6367" s="14"/>
      <c r="AM6367" s="14"/>
      <c r="AN6367" s="14"/>
      <c r="AO6367" s="14"/>
      <c r="AP6367" s="14"/>
      <c r="AQ6367" s="14"/>
      <c r="AR6367" s="14"/>
      <c r="AS6367" s="14"/>
      <c r="AT6367" s="14"/>
      <c r="AU6367" s="14"/>
      <c r="AV6367" s="14"/>
      <c r="AW6367" s="15">
        <f t="shared" si="1129"/>
        <v>0</v>
      </c>
      <c r="AX6367" s="16" t="s">
        <v>5253</v>
      </c>
    </row>
    <row r="6368" spans="1:51" x14ac:dyDescent="0.2">
      <c r="B6368" s="7"/>
      <c r="C6368" s="8">
        <v>16474</v>
      </c>
      <c r="D6368" s="9" t="s">
        <v>202</v>
      </c>
      <c r="E6368" s="10" t="str">
        <f t="shared" si="1124"/>
        <v>Rancho Estanzuela No. 25</v>
      </c>
      <c r="F6368" s="10" t="str">
        <f t="shared" si="1125"/>
        <v>Contreras Figueroa</v>
      </c>
      <c r="G6368" s="8">
        <v>1</v>
      </c>
      <c r="H6368" s="11">
        <v>400</v>
      </c>
      <c r="I6368" s="12">
        <v>43224</v>
      </c>
      <c r="J6368" s="35">
        <f t="shared" si="1126"/>
        <v>0</v>
      </c>
      <c r="K6368" s="36"/>
      <c r="L6368" s="36"/>
      <c r="M6368" s="36"/>
      <c r="N6368" s="36"/>
      <c r="O6368" s="36"/>
      <c r="P6368" s="36"/>
      <c r="Q6368" s="36"/>
      <c r="R6368" s="36"/>
      <c r="S6368" s="36"/>
      <c r="T6368" s="36"/>
      <c r="U6368" s="36"/>
      <c r="V6368" s="36"/>
      <c r="W6368" s="15">
        <f t="shared" si="1127"/>
        <v>0</v>
      </c>
      <c r="X6368" s="36"/>
      <c r="Y6368" s="36"/>
      <c r="Z6368" s="36"/>
      <c r="AA6368" s="36"/>
      <c r="AB6368" s="36"/>
      <c r="AC6368" s="36"/>
      <c r="AD6368" s="36"/>
      <c r="AE6368" s="36"/>
      <c r="AF6368" s="36"/>
      <c r="AG6368" s="36"/>
      <c r="AH6368" s="36"/>
      <c r="AI6368" s="36"/>
      <c r="AJ6368" s="15">
        <f t="shared" si="1128"/>
        <v>0</v>
      </c>
      <c r="AK6368" s="14"/>
      <c r="AL6368" s="14"/>
      <c r="AM6368" s="14"/>
      <c r="AN6368" s="14"/>
      <c r="AO6368" s="14">
        <v>400</v>
      </c>
      <c r="AP6368" s="14"/>
      <c r="AQ6368" s="14"/>
      <c r="AR6368" s="14"/>
      <c r="AS6368" s="14"/>
      <c r="AT6368" s="14"/>
      <c r="AU6368" s="14"/>
      <c r="AV6368" s="14"/>
      <c r="AW6368" s="15">
        <f t="shared" si="1129"/>
        <v>400</v>
      </c>
      <c r="AX6368" s="16"/>
    </row>
    <row r="6369" spans="2:50" x14ac:dyDescent="0.2">
      <c r="B6369" s="7"/>
      <c r="C6369" s="8">
        <v>16475</v>
      </c>
      <c r="D6369" s="9" t="s">
        <v>205</v>
      </c>
      <c r="E6369" s="10" t="str">
        <f t="shared" ref="E6369:E6408" si="1136">IF(D6369=0,"",VLOOKUP(D6369,BASE,2,FALSE))</f>
        <v>Rancho Landero No. 1, A</v>
      </c>
      <c r="F6369" s="10" t="str">
        <f t="shared" ref="F6369:F6408" si="1137">IF(D6369=0,"",VLOOKUP(D6369,BASE,3,FALSE))</f>
        <v>Ebysos</v>
      </c>
      <c r="G6369" s="8">
        <v>1</v>
      </c>
      <c r="H6369" s="11">
        <v>600</v>
      </c>
      <c r="I6369" s="12">
        <v>43226</v>
      </c>
      <c r="J6369" s="35">
        <f t="shared" ref="J6369:J6408" si="1138">IF(G6369=1,SUM(W6369,AJ6369,AW6369,-H6369),0)</f>
        <v>0</v>
      </c>
      <c r="K6369" s="36"/>
      <c r="L6369" s="36"/>
      <c r="M6369" s="36"/>
      <c r="N6369" s="36"/>
      <c r="O6369" s="36"/>
      <c r="P6369" s="36"/>
      <c r="Q6369" s="36"/>
      <c r="R6369" s="36"/>
      <c r="S6369" s="36"/>
      <c r="T6369" s="36"/>
      <c r="U6369" s="36"/>
      <c r="V6369" s="36"/>
      <c r="W6369" s="15">
        <f t="shared" ref="W6369:W6408" si="1139">SUM(K6369:V6369)</f>
        <v>0</v>
      </c>
      <c r="X6369" s="36"/>
      <c r="Y6369" s="36"/>
      <c r="Z6369" s="36"/>
      <c r="AA6369" s="36"/>
      <c r="AB6369" s="36"/>
      <c r="AC6369" s="36"/>
      <c r="AD6369" s="36"/>
      <c r="AE6369" s="36"/>
      <c r="AF6369" s="36"/>
      <c r="AG6369" s="36"/>
      <c r="AH6369" s="36"/>
      <c r="AI6369" s="36"/>
      <c r="AJ6369" s="15">
        <f t="shared" ref="AJ6369:AJ6408" si="1140">SUM(X6369:AI6369)</f>
        <v>0</v>
      </c>
      <c r="AK6369" s="14"/>
      <c r="AL6369" s="14"/>
      <c r="AM6369" s="14"/>
      <c r="AN6369" s="14">
        <v>600</v>
      </c>
      <c r="AO6369" s="14"/>
      <c r="AP6369" s="14"/>
      <c r="AQ6369" s="14"/>
      <c r="AR6369" s="14"/>
      <c r="AS6369" s="14"/>
      <c r="AT6369" s="14"/>
      <c r="AU6369" s="14"/>
      <c r="AV6369" s="14"/>
      <c r="AW6369" s="15">
        <f t="shared" ref="AW6369:AW6408" si="1141">SUM(AK6369:AV6369)</f>
        <v>600</v>
      </c>
      <c r="AX6369" s="16"/>
    </row>
    <row r="6370" spans="2:50" x14ac:dyDescent="0.2">
      <c r="B6370" s="7"/>
      <c r="C6370" s="8">
        <v>16476</v>
      </c>
      <c r="D6370" s="9" t="s">
        <v>684</v>
      </c>
      <c r="E6370" s="10" t="str">
        <f t="shared" si="1136"/>
        <v>Rancho Landero No. 65</v>
      </c>
      <c r="F6370" s="10" t="str">
        <f t="shared" si="1137"/>
        <v>Alpizar</v>
      </c>
      <c r="G6370" s="8">
        <v>1</v>
      </c>
      <c r="H6370" s="11">
        <v>800</v>
      </c>
      <c r="I6370" s="12">
        <v>43226</v>
      </c>
      <c r="J6370" s="35">
        <f t="shared" si="1138"/>
        <v>0</v>
      </c>
      <c r="K6370" s="36"/>
      <c r="L6370" s="36"/>
      <c r="M6370" s="36"/>
      <c r="N6370" s="36"/>
      <c r="O6370" s="36"/>
      <c r="P6370" s="36"/>
      <c r="Q6370" s="36"/>
      <c r="R6370" s="36"/>
      <c r="S6370" s="36"/>
      <c r="T6370" s="36"/>
      <c r="U6370" s="36"/>
      <c r="V6370" s="36"/>
      <c r="W6370" s="15">
        <f t="shared" si="1139"/>
        <v>0</v>
      </c>
      <c r="X6370" s="36"/>
      <c r="Y6370" s="36"/>
      <c r="Z6370" s="36"/>
      <c r="AA6370" s="36"/>
      <c r="AB6370" s="36"/>
      <c r="AC6370" s="36"/>
      <c r="AD6370" s="36"/>
      <c r="AE6370" s="36"/>
      <c r="AF6370" s="36"/>
      <c r="AG6370" s="36"/>
      <c r="AH6370" s="36"/>
      <c r="AI6370" s="36"/>
      <c r="AJ6370" s="15">
        <f t="shared" si="1140"/>
        <v>0</v>
      </c>
      <c r="AK6370" s="14"/>
      <c r="AL6370" s="14"/>
      <c r="AM6370" s="14"/>
      <c r="AN6370" s="14">
        <v>400</v>
      </c>
      <c r="AO6370" s="14">
        <v>400</v>
      </c>
      <c r="AP6370" s="14"/>
      <c r="AQ6370" s="14"/>
      <c r="AR6370" s="14"/>
      <c r="AS6370" s="14"/>
      <c r="AT6370" s="14"/>
      <c r="AU6370" s="14"/>
      <c r="AV6370" s="14"/>
      <c r="AW6370" s="15">
        <f t="shared" si="1141"/>
        <v>800</v>
      </c>
      <c r="AX6370" s="16"/>
    </row>
    <row r="6371" spans="2:50" x14ac:dyDescent="0.2">
      <c r="B6371" s="7"/>
      <c r="C6371" s="8">
        <v>16477</v>
      </c>
      <c r="D6371" s="9" t="s">
        <v>387</v>
      </c>
      <c r="E6371" s="10" t="str">
        <f t="shared" si="1136"/>
        <v>Rancho Upácuaro No. 69</v>
      </c>
      <c r="F6371" s="10" t="str">
        <f t="shared" si="1137"/>
        <v>Gómez</v>
      </c>
      <c r="G6371" s="8">
        <v>1</v>
      </c>
      <c r="H6371" s="11">
        <v>400</v>
      </c>
      <c r="I6371" s="12">
        <v>43226</v>
      </c>
      <c r="J6371" s="35">
        <f t="shared" si="1138"/>
        <v>0</v>
      </c>
      <c r="K6371" s="36"/>
      <c r="L6371" s="36"/>
      <c r="M6371" s="36"/>
      <c r="N6371" s="36"/>
      <c r="O6371" s="36"/>
      <c r="P6371" s="36"/>
      <c r="Q6371" s="36"/>
      <c r="R6371" s="36"/>
      <c r="S6371" s="36"/>
      <c r="T6371" s="36"/>
      <c r="U6371" s="36"/>
      <c r="V6371" s="36"/>
      <c r="W6371" s="15">
        <f t="shared" si="1139"/>
        <v>0</v>
      </c>
      <c r="X6371" s="36"/>
      <c r="Y6371" s="36"/>
      <c r="Z6371" s="36"/>
      <c r="AA6371" s="36"/>
      <c r="AB6371" s="36"/>
      <c r="AC6371" s="36"/>
      <c r="AD6371" s="36"/>
      <c r="AE6371" s="36"/>
      <c r="AF6371" s="36"/>
      <c r="AG6371" s="36"/>
      <c r="AH6371" s="36"/>
      <c r="AI6371" s="36"/>
      <c r="AJ6371" s="15">
        <f t="shared" si="1140"/>
        <v>0</v>
      </c>
      <c r="AK6371" s="14"/>
      <c r="AL6371" s="14"/>
      <c r="AM6371" s="14"/>
      <c r="AN6371" s="14"/>
      <c r="AO6371" s="14">
        <v>400</v>
      </c>
      <c r="AP6371" s="14"/>
      <c r="AQ6371" s="14"/>
      <c r="AR6371" s="14"/>
      <c r="AS6371" s="14"/>
      <c r="AT6371" s="14"/>
      <c r="AU6371" s="14"/>
      <c r="AV6371" s="14"/>
      <c r="AW6371" s="15">
        <f t="shared" si="1141"/>
        <v>400</v>
      </c>
      <c r="AX6371" s="16"/>
    </row>
    <row r="6372" spans="2:50" x14ac:dyDescent="0.2">
      <c r="B6372" s="7"/>
      <c r="C6372" s="8">
        <v>16478</v>
      </c>
      <c r="D6372" s="9" t="s">
        <v>562</v>
      </c>
      <c r="E6372" s="10" t="str">
        <f t="shared" si="1136"/>
        <v>Rancho Upácuaro No. 87</v>
      </c>
      <c r="F6372" s="10" t="str">
        <f t="shared" si="1137"/>
        <v>Rodríguez Parés</v>
      </c>
      <c r="G6372" s="8">
        <v>1</v>
      </c>
      <c r="H6372" s="11">
        <v>400</v>
      </c>
      <c r="I6372" s="12">
        <v>43226</v>
      </c>
      <c r="J6372" s="35">
        <f t="shared" si="1138"/>
        <v>0</v>
      </c>
      <c r="K6372" s="36"/>
      <c r="L6372" s="36"/>
      <c r="M6372" s="36"/>
      <c r="N6372" s="36"/>
      <c r="O6372" s="36"/>
      <c r="P6372" s="36"/>
      <c r="Q6372" s="36"/>
      <c r="R6372" s="36"/>
      <c r="S6372" s="36"/>
      <c r="T6372" s="36"/>
      <c r="U6372" s="36"/>
      <c r="V6372" s="36"/>
      <c r="W6372" s="15">
        <f t="shared" si="1139"/>
        <v>0</v>
      </c>
      <c r="X6372" s="36"/>
      <c r="Y6372" s="36"/>
      <c r="Z6372" s="36"/>
      <c r="AA6372" s="36"/>
      <c r="AB6372" s="36"/>
      <c r="AC6372" s="36"/>
      <c r="AD6372" s="36"/>
      <c r="AE6372" s="36"/>
      <c r="AF6372" s="36"/>
      <c r="AG6372" s="36"/>
      <c r="AH6372" s="36"/>
      <c r="AI6372" s="36"/>
      <c r="AJ6372" s="15">
        <f t="shared" si="1140"/>
        <v>0</v>
      </c>
      <c r="AK6372" s="14"/>
      <c r="AL6372" s="14"/>
      <c r="AM6372" s="14"/>
      <c r="AN6372" s="14"/>
      <c r="AO6372" s="14">
        <v>400</v>
      </c>
      <c r="AP6372" s="14"/>
      <c r="AQ6372" s="14"/>
      <c r="AR6372" s="14"/>
      <c r="AS6372" s="14"/>
      <c r="AT6372" s="14"/>
      <c r="AU6372" s="14"/>
      <c r="AV6372" s="14"/>
      <c r="AW6372" s="15">
        <f t="shared" si="1141"/>
        <v>400</v>
      </c>
      <c r="AX6372" s="16"/>
    </row>
    <row r="6373" spans="2:50" x14ac:dyDescent="0.2">
      <c r="B6373" s="7"/>
      <c r="C6373" s="8">
        <v>16479</v>
      </c>
      <c r="D6373" s="9" t="s">
        <v>608</v>
      </c>
      <c r="E6373" s="10" t="str">
        <f t="shared" si="1136"/>
        <v>Rancho Upácuaro No. 146</v>
      </c>
      <c r="F6373" s="10" t="str">
        <f t="shared" si="1137"/>
        <v>Islas</v>
      </c>
      <c r="G6373" s="8">
        <v>1</v>
      </c>
      <c r="H6373" s="11">
        <v>800</v>
      </c>
      <c r="I6373" s="12">
        <v>43226</v>
      </c>
      <c r="J6373" s="35">
        <f t="shared" si="1138"/>
        <v>0</v>
      </c>
      <c r="K6373" s="36"/>
      <c r="L6373" s="36"/>
      <c r="M6373" s="36"/>
      <c r="N6373" s="36"/>
      <c r="O6373" s="36"/>
      <c r="P6373" s="36"/>
      <c r="Q6373" s="36"/>
      <c r="R6373" s="36"/>
      <c r="S6373" s="36"/>
      <c r="T6373" s="36"/>
      <c r="U6373" s="36"/>
      <c r="V6373" s="36"/>
      <c r="W6373" s="15">
        <f t="shared" si="1139"/>
        <v>0</v>
      </c>
      <c r="X6373" s="36"/>
      <c r="Y6373" s="36"/>
      <c r="Z6373" s="36"/>
      <c r="AA6373" s="36"/>
      <c r="AB6373" s="36"/>
      <c r="AC6373" s="36"/>
      <c r="AD6373" s="36"/>
      <c r="AE6373" s="36"/>
      <c r="AF6373" s="36"/>
      <c r="AG6373" s="36"/>
      <c r="AH6373" s="36"/>
      <c r="AI6373" s="36"/>
      <c r="AJ6373" s="15">
        <f t="shared" si="1140"/>
        <v>0</v>
      </c>
      <c r="AK6373" s="14"/>
      <c r="AL6373" s="14"/>
      <c r="AM6373" s="14">
        <v>400</v>
      </c>
      <c r="AN6373" s="14">
        <v>400</v>
      </c>
      <c r="AO6373" s="14"/>
      <c r="AP6373" s="14"/>
      <c r="AQ6373" s="14"/>
      <c r="AR6373" s="14"/>
      <c r="AS6373" s="14"/>
      <c r="AT6373" s="14"/>
      <c r="AU6373" s="14"/>
      <c r="AV6373" s="14"/>
      <c r="AW6373" s="15">
        <f t="shared" si="1141"/>
        <v>800</v>
      </c>
      <c r="AX6373" s="16"/>
    </row>
    <row r="6374" spans="2:50" x14ac:dyDescent="0.2">
      <c r="B6374" s="7"/>
      <c r="C6374" s="8">
        <v>16480</v>
      </c>
      <c r="D6374" s="9" t="s">
        <v>681</v>
      </c>
      <c r="E6374" s="10" t="str">
        <f t="shared" ref="E6374:E6386" si="1142">IF(D6374=0,"",VLOOKUP(D6374,BASE,2,FALSE))</f>
        <v>Rancho Landero No. 87</v>
      </c>
      <c r="F6374" s="10" t="str">
        <f t="shared" ref="F6374:F6386" si="1143">IF(D6374=0,"",VLOOKUP(D6374,BASE,3,FALSE))</f>
        <v>Fey Lafferla</v>
      </c>
      <c r="G6374" s="8">
        <v>1</v>
      </c>
      <c r="H6374" s="11">
        <v>300</v>
      </c>
      <c r="I6374" s="12">
        <v>43226</v>
      </c>
      <c r="J6374" s="35">
        <f t="shared" ref="J6374:J6386" si="1144">IF(G6374=1,SUM(W6374,AJ6374,AW6374,-H6374),0)</f>
        <v>0</v>
      </c>
      <c r="K6374" s="36"/>
      <c r="L6374" s="36"/>
      <c r="M6374" s="36"/>
      <c r="N6374" s="36"/>
      <c r="O6374" s="36"/>
      <c r="P6374" s="36"/>
      <c r="Q6374" s="36"/>
      <c r="R6374" s="36"/>
      <c r="S6374" s="36"/>
      <c r="T6374" s="36"/>
      <c r="U6374" s="36"/>
      <c r="V6374" s="36"/>
      <c r="W6374" s="15">
        <f t="shared" ref="W6374:W6386" si="1145">SUM(K6374:V6374)</f>
        <v>0</v>
      </c>
      <c r="X6374" s="36"/>
      <c r="Y6374" s="36"/>
      <c r="Z6374" s="36"/>
      <c r="AA6374" s="36"/>
      <c r="AB6374" s="36"/>
      <c r="AC6374" s="36"/>
      <c r="AD6374" s="36"/>
      <c r="AE6374" s="36"/>
      <c r="AF6374" s="36"/>
      <c r="AG6374" s="36"/>
      <c r="AH6374" s="36"/>
      <c r="AI6374" s="36"/>
      <c r="AJ6374" s="15">
        <f t="shared" ref="AJ6374:AJ6386" si="1146">SUM(X6374:AI6374)</f>
        <v>0</v>
      </c>
      <c r="AK6374" s="14"/>
      <c r="AL6374" s="14"/>
      <c r="AM6374" s="14"/>
      <c r="AN6374" s="14"/>
      <c r="AO6374" s="14">
        <v>300</v>
      </c>
      <c r="AP6374" s="14"/>
      <c r="AQ6374" s="14"/>
      <c r="AR6374" s="14"/>
      <c r="AS6374" s="14"/>
      <c r="AT6374" s="14"/>
      <c r="AU6374" s="14"/>
      <c r="AV6374" s="14"/>
      <c r="AW6374" s="15">
        <f t="shared" ref="AW6374:AW6386" si="1147">SUM(AK6374:AV6374)</f>
        <v>300</v>
      </c>
      <c r="AX6374" s="16"/>
    </row>
    <row r="6375" spans="2:50" x14ac:dyDescent="0.2">
      <c r="B6375" s="7"/>
      <c r="C6375" s="8">
        <v>16481</v>
      </c>
      <c r="D6375" s="9" t="s">
        <v>141</v>
      </c>
      <c r="E6375" s="10" t="str">
        <f t="shared" si="1142"/>
        <v>Rancho Estanzuela No. 91</v>
      </c>
      <c r="F6375" s="10" t="str">
        <f t="shared" si="1143"/>
        <v>Lobato Hernàndez</v>
      </c>
      <c r="G6375" s="8">
        <v>1</v>
      </c>
      <c r="H6375" s="11">
        <v>1200</v>
      </c>
      <c r="I6375" s="12">
        <v>43226</v>
      </c>
      <c r="J6375" s="35">
        <f t="shared" si="1144"/>
        <v>0</v>
      </c>
      <c r="K6375" s="36"/>
      <c r="L6375" s="36"/>
      <c r="M6375" s="36"/>
      <c r="N6375" s="36"/>
      <c r="O6375" s="36"/>
      <c r="P6375" s="36"/>
      <c r="Q6375" s="36"/>
      <c r="R6375" s="36"/>
      <c r="S6375" s="36"/>
      <c r="T6375" s="36"/>
      <c r="U6375" s="36"/>
      <c r="V6375" s="36"/>
      <c r="W6375" s="15">
        <f t="shared" si="1145"/>
        <v>0</v>
      </c>
      <c r="X6375" s="36"/>
      <c r="Y6375" s="36"/>
      <c r="Z6375" s="36"/>
      <c r="AA6375" s="36"/>
      <c r="AB6375" s="36"/>
      <c r="AC6375" s="36"/>
      <c r="AD6375" s="36"/>
      <c r="AE6375" s="36"/>
      <c r="AF6375" s="36"/>
      <c r="AG6375" s="36"/>
      <c r="AH6375" s="36"/>
      <c r="AI6375" s="36"/>
      <c r="AJ6375" s="15">
        <f t="shared" si="1146"/>
        <v>0</v>
      </c>
      <c r="AK6375" s="14"/>
      <c r="AL6375" s="14"/>
      <c r="AM6375" s="14"/>
      <c r="AN6375" s="14">
        <v>400</v>
      </c>
      <c r="AO6375" s="14">
        <v>400</v>
      </c>
      <c r="AP6375" s="14">
        <v>400</v>
      </c>
      <c r="AQ6375" s="14"/>
      <c r="AR6375" s="14"/>
      <c r="AS6375" s="14"/>
      <c r="AT6375" s="14"/>
      <c r="AU6375" s="14"/>
      <c r="AV6375" s="14"/>
      <c r="AW6375" s="15">
        <f t="shared" si="1147"/>
        <v>1200</v>
      </c>
      <c r="AX6375" s="16"/>
    </row>
    <row r="6376" spans="2:50" x14ac:dyDescent="0.2">
      <c r="B6376" s="7"/>
      <c r="C6376" s="8">
        <v>16482</v>
      </c>
      <c r="D6376" s="9" t="s">
        <v>97</v>
      </c>
      <c r="E6376" s="10" t="str">
        <f t="shared" si="1142"/>
        <v>Rancho La Cuchilla No. 78</v>
      </c>
      <c r="F6376" s="10" t="str">
        <f t="shared" si="1143"/>
        <v>García</v>
      </c>
      <c r="G6376" s="8">
        <v>1</v>
      </c>
      <c r="H6376" s="11">
        <v>400</v>
      </c>
      <c r="I6376" s="12">
        <v>43226</v>
      </c>
      <c r="J6376" s="35">
        <f t="shared" si="1144"/>
        <v>0</v>
      </c>
      <c r="K6376" s="36"/>
      <c r="L6376" s="36"/>
      <c r="M6376" s="36"/>
      <c r="N6376" s="36"/>
      <c r="O6376" s="36"/>
      <c r="P6376" s="36"/>
      <c r="Q6376" s="36"/>
      <c r="R6376" s="36"/>
      <c r="S6376" s="36"/>
      <c r="T6376" s="36"/>
      <c r="U6376" s="36"/>
      <c r="V6376" s="36"/>
      <c r="W6376" s="15">
        <f t="shared" si="1145"/>
        <v>0</v>
      </c>
      <c r="X6376" s="36"/>
      <c r="Y6376" s="36"/>
      <c r="Z6376" s="36"/>
      <c r="AA6376" s="36"/>
      <c r="AB6376" s="36"/>
      <c r="AC6376" s="36"/>
      <c r="AD6376" s="36"/>
      <c r="AE6376" s="36"/>
      <c r="AF6376" s="36"/>
      <c r="AG6376" s="36"/>
      <c r="AH6376" s="36"/>
      <c r="AI6376" s="36"/>
      <c r="AJ6376" s="15">
        <f t="shared" si="1146"/>
        <v>0</v>
      </c>
      <c r="AK6376" s="14"/>
      <c r="AL6376" s="14"/>
      <c r="AM6376" s="14"/>
      <c r="AN6376" s="14"/>
      <c r="AO6376" s="14">
        <v>400</v>
      </c>
      <c r="AP6376" s="14"/>
      <c r="AQ6376" s="14"/>
      <c r="AR6376" s="14"/>
      <c r="AS6376" s="14"/>
      <c r="AT6376" s="14"/>
      <c r="AU6376" s="14"/>
      <c r="AV6376" s="14"/>
      <c r="AW6376" s="15">
        <f t="shared" si="1147"/>
        <v>400</v>
      </c>
      <c r="AX6376" s="16"/>
    </row>
    <row r="6377" spans="2:50" x14ac:dyDescent="0.2">
      <c r="B6377" s="7"/>
      <c r="C6377" s="8">
        <v>16483</v>
      </c>
      <c r="D6377" s="9" t="s">
        <v>325</v>
      </c>
      <c r="E6377" s="10" t="str">
        <f t="shared" si="1142"/>
        <v>Rancho Upácuaro No. 120</v>
      </c>
      <c r="F6377" s="10" t="str">
        <f t="shared" si="1143"/>
        <v>Rayas Rivera</v>
      </c>
      <c r="G6377" s="8">
        <v>1</v>
      </c>
      <c r="H6377" s="11">
        <v>400</v>
      </c>
      <c r="I6377" s="12">
        <v>43226</v>
      </c>
      <c r="J6377" s="35">
        <f t="shared" si="1144"/>
        <v>0</v>
      </c>
      <c r="K6377" s="36"/>
      <c r="L6377" s="36"/>
      <c r="M6377" s="36"/>
      <c r="N6377" s="36"/>
      <c r="O6377" s="36"/>
      <c r="P6377" s="36"/>
      <c r="Q6377" s="36"/>
      <c r="R6377" s="36"/>
      <c r="S6377" s="36"/>
      <c r="T6377" s="36"/>
      <c r="U6377" s="36"/>
      <c r="V6377" s="36"/>
      <c r="W6377" s="15">
        <f t="shared" si="1145"/>
        <v>0</v>
      </c>
      <c r="X6377" s="36"/>
      <c r="Y6377" s="36"/>
      <c r="Z6377" s="36"/>
      <c r="AA6377" s="36"/>
      <c r="AB6377" s="36"/>
      <c r="AC6377" s="36"/>
      <c r="AD6377" s="36"/>
      <c r="AE6377" s="36"/>
      <c r="AF6377" s="36"/>
      <c r="AG6377" s="36"/>
      <c r="AH6377" s="36"/>
      <c r="AI6377" s="36"/>
      <c r="AJ6377" s="15">
        <f t="shared" si="1146"/>
        <v>0</v>
      </c>
      <c r="AK6377" s="14"/>
      <c r="AL6377" s="14"/>
      <c r="AM6377" s="14"/>
      <c r="AN6377" s="14"/>
      <c r="AO6377" s="14">
        <v>400</v>
      </c>
      <c r="AP6377" s="14"/>
      <c r="AQ6377" s="14"/>
      <c r="AR6377" s="14"/>
      <c r="AS6377" s="14"/>
      <c r="AT6377" s="14"/>
      <c r="AU6377" s="14"/>
      <c r="AV6377" s="14"/>
      <c r="AW6377" s="15">
        <f t="shared" si="1147"/>
        <v>400</v>
      </c>
      <c r="AX6377" s="16"/>
    </row>
    <row r="6378" spans="2:50" x14ac:dyDescent="0.2">
      <c r="B6378" s="7"/>
      <c r="C6378" s="8">
        <v>16484</v>
      </c>
      <c r="D6378" s="9" t="s">
        <v>84</v>
      </c>
      <c r="E6378" s="10" t="str">
        <f t="shared" si="1142"/>
        <v>Rancho La Cuchilla No. 139</v>
      </c>
      <c r="F6378" s="10" t="str">
        <f t="shared" si="1143"/>
        <v>Garcia</v>
      </c>
      <c r="G6378" s="8">
        <v>1</v>
      </c>
      <c r="H6378" s="11">
        <v>200</v>
      </c>
      <c r="I6378" s="12">
        <v>43226</v>
      </c>
      <c r="J6378" s="35">
        <f t="shared" si="1144"/>
        <v>0</v>
      </c>
      <c r="K6378" s="36"/>
      <c r="L6378" s="36"/>
      <c r="M6378" s="36"/>
      <c r="N6378" s="36"/>
      <c r="O6378" s="36"/>
      <c r="P6378" s="36"/>
      <c r="Q6378" s="36"/>
      <c r="R6378" s="36"/>
      <c r="S6378" s="36"/>
      <c r="T6378" s="36"/>
      <c r="U6378" s="36"/>
      <c r="V6378" s="36"/>
      <c r="W6378" s="15">
        <f t="shared" si="1145"/>
        <v>0</v>
      </c>
      <c r="X6378" s="36"/>
      <c r="Y6378" s="36"/>
      <c r="Z6378" s="36"/>
      <c r="AA6378" s="36"/>
      <c r="AB6378" s="36"/>
      <c r="AC6378" s="36"/>
      <c r="AD6378" s="36"/>
      <c r="AE6378" s="36"/>
      <c r="AF6378" s="36"/>
      <c r="AG6378" s="36"/>
      <c r="AH6378" s="36"/>
      <c r="AI6378" s="36"/>
      <c r="AJ6378" s="15">
        <f t="shared" si="1146"/>
        <v>0</v>
      </c>
      <c r="AK6378" s="14"/>
      <c r="AL6378" s="14"/>
      <c r="AM6378" s="14"/>
      <c r="AN6378" s="14"/>
      <c r="AO6378" s="14">
        <v>200</v>
      </c>
      <c r="AP6378" s="14"/>
      <c r="AQ6378" s="14"/>
      <c r="AR6378" s="14"/>
      <c r="AS6378" s="14"/>
      <c r="AT6378" s="14"/>
      <c r="AU6378" s="14"/>
      <c r="AV6378" s="14"/>
      <c r="AW6378" s="15">
        <f t="shared" si="1147"/>
        <v>200</v>
      </c>
      <c r="AX6378" s="16"/>
    </row>
    <row r="6379" spans="2:50" x14ac:dyDescent="0.2">
      <c r="B6379" s="7"/>
      <c r="C6379" s="8">
        <v>16485</v>
      </c>
      <c r="D6379" s="9" t="s">
        <v>807</v>
      </c>
      <c r="E6379" s="10" t="str">
        <f t="shared" si="1142"/>
        <v>Rancho La Cuchilla No. 61</v>
      </c>
      <c r="F6379" s="10" t="str">
        <f t="shared" si="1143"/>
        <v>Rivera</v>
      </c>
      <c r="G6379" s="8">
        <v>1</v>
      </c>
      <c r="H6379" s="11">
        <v>400</v>
      </c>
      <c r="I6379" s="12">
        <v>43226</v>
      </c>
      <c r="J6379" s="35">
        <f t="shared" si="1144"/>
        <v>0</v>
      </c>
      <c r="K6379" s="36"/>
      <c r="L6379" s="36"/>
      <c r="M6379" s="36"/>
      <c r="N6379" s="36"/>
      <c r="O6379" s="36"/>
      <c r="P6379" s="36"/>
      <c r="Q6379" s="36"/>
      <c r="R6379" s="36"/>
      <c r="S6379" s="36"/>
      <c r="T6379" s="36"/>
      <c r="U6379" s="36"/>
      <c r="V6379" s="36"/>
      <c r="W6379" s="15">
        <f t="shared" si="1145"/>
        <v>0</v>
      </c>
      <c r="X6379" s="36"/>
      <c r="Y6379" s="36"/>
      <c r="Z6379" s="36"/>
      <c r="AA6379" s="36"/>
      <c r="AB6379" s="36"/>
      <c r="AC6379" s="36"/>
      <c r="AD6379" s="36"/>
      <c r="AE6379" s="36"/>
      <c r="AF6379" s="36"/>
      <c r="AG6379" s="36"/>
      <c r="AH6379" s="36"/>
      <c r="AI6379" s="36"/>
      <c r="AJ6379" s="15">
        <f t="shared" si="1146"/>
        <v>0</v>
      </c>
      <c r="AK6379" s="14"/>
      <c r="AL6379" s="14"/>
      <c r="AM6379" s="14">
        <v>200</v>
      </c>
      <c r="AN6379" s="14">
        <v>200</v>
      </c>
      <c r="AO6379" s="14"/>
      <c r="AP6379" s="14"/>
      <c r="AQ6379" s="14"/>
      <c r="AR6379" s="14"/>
      <c r="AS6379" s="14"/>
      <c r="AT6379" s="14"/>
      <c r="AU6379" s="14"/>
      <c r="AV6379" s="14"/>
      <c r="AW6379" s="15">
        <f t="shared" si="1147"/>
        <v>400</v>
      </c>
      <c r="AX6379" s="16"/>
    </row>
    <row r="6380" spans="2:50" x14ac:dyDescent="0.2">
      <c r="B6380" s="7"/>
      <c r="C6380" s="8">
        <v>16486</v>
      </c>
      <c r="D6380" s="9" t="s">
        <v>262</v>
      </c>
      <c r="E6380" s="10" t="str">
        <f t="shared" si="1142"/>
        <v>Rancho Recoveco No. 1</v>
      </c>
      <c r="F6380" s="10" t="str">
        <f t="shared" si="1143"/>
        <v>Díaz</v>
      </c>
      <c r="G6380" s="8">
        <v>1</v>
      </c>
      <c r="H6380" s="11">
        <v>300</v>
      </c>
      <c r="I6380" s="12">
        <v>43226</v>
      </c>
      <c r="J6380" s="35">
        <f t="shared" si="1144"/>
        <v>0</v>
      </c>
      <c r="K6380" s="36"/>
      <c r="L6380" s="36"/>
      <c r="M6380" s="36"/>
      <c r="N6380" s="36"/>
      <c r="O6380" s="36"/>
      <c r="P6380" s="36"/>
      <c r="Q6380" s="36"/>
      <c r="R6380" s="36"/>
      <c r="S6380" s="36"/>
      <c r="T6380" s="36"/>
      <c r="U6380" s="36"/>
      <c r="V6380" s="36"/>
      <c r="W6380" s="15">
        <f t="shared" si="1145"/>
        <v>0</v>
      </c>
      <c r="X6380" s="36"/>
      <c r="Y6380" s="36"/>
      <c r="Z6380" s="36"/>
      <c r="AA6380" s="36"/>
      <c r="AB6380" s="36"/>
      <c r="AC6380" s="36"/>
      <c r="AD6380" s="36"/>
      <c r="AE6380" s="36"/>
      <c r="AF6380" s="36"/>
      <c r="AG6380" s="36"/>
      <c r="AH6380" s="36"/>
      <c r="AI6380" s="36"/>
      <c r="AJ6380" s="15">
        <f t="shared" si="1146"/>
        <v>0</v>
      </c>
      <c r="AK6380" s="14"/>
      <c r="AL6380" s="14"/>
      <c r="AM6380" s="14"/>
      <c r="AN6380" s="14"/>
      <c r="AO6380" s="14">
        <v>300</v>
      </c>
      <c r="AP6380" s="14"/>
      <c r="AQ6380" s="14"/>
      <c r="AR6380" s="14"/>
      <c r="AS6380" s="14"/>
      <c r="AT6380" s="14"/>
      <c r="AU6380" s="14"/>
      <c r="AV6380" s="14"/>
      <c r="AW6380" s="15">
        <f t="shared" si="1147"/>
        <v>300</v>
      </c>
      <c r="AX6380" s="16"/>
    </row>
    <row r="6381" spans="2:50" x14ac:dyDescent="0.2">
      <c r="B6381" s="7"/>
      <c r="C6381" s="8">
        <v>16487</v>
      </c>
      <c r="D6381" s="9" t="s">
        <v>455</v>
      </c>
      <c r="E6381" s="10" t="str">
        <f t="shared" si="1142"/>
        <v>Rancho Zinamba No. 38</v>
      </c>
      <c r="F6381" s="10" t="str">
        <f t="shared" si="1143"/>
        <v>Ramírez Díaz</v>
      </c>
      <c r="G6381" s="8">
        <v>1</v>
      </c>
      <c r="H6381" s="11">
        <v>400</v>
      </c>
      <c r="I6381" s="12">
        <v>43226</v>
      </c>
      <c r="J6381" s="35">
        <f t="shared" si="1144"/>
        <v>0</v>
      </c>
      <c r="K6381" s="36"/>
      <c r="L6381" s="36"/>
      <c r="M6381" s="36"/>
      <c r="N6381" s="36"/>
      <c r="O6381" s="36"/>
      <c r="P6381" s="36"/>
      <c r="Q6381" s="36"/>
      <c r="R6381" s="36"/>
      <c r="S6381" s="36"/>
      <c r="T6381" s="36"/>
      <c r="U6381" s="36"/>
      <c r="V6381" s="36"/>
      <c r="W6381" s="15">
        <f t="shared" si="1145"/>
        <v>0</v>
      </c>
      <c r="X6381" s="36"/>
      <c r="Y6381" s="36"/>
      <c r="Z6381" s="36"/>
      <c r="AA6381" s="36"/>
      <c r="AB6381" s="36"/>
      <c r="AC6381" s="36"/>
      <c r="AD6381" s="36"/>
      <c r="AE6381" s="36"/>
      <c r="AF6381" s="36"/>
      <c r="AG6381" s="36"/>
      <c r="AH6381" s="36"/>
      <c r="AI6381" s="36"/>
      <c r="AJ6381" s="15">
        <f t="shared" si="1146"/>
        <v>0</v>
      </c>
      <c r="AK6381" s="14"/>
      <c r="AL6381" s="14"/>
      <c r="AM6381" s="14"/>
      <c r="AN6381" s="14"/>
      <c r="AO6381" s="14">
        <v>400</v>
      </c>
      <c r="AP6381" s="14"/>
      <c r="AQ6381" s="14"/>
      <c r="AR6381" s="14"/>
      <c r="AS6381" s="14"/>
      <c r="AT6381" s="14"/>
      <c r="AU6381" s="14"/>
      <c r="AV6381" s="14"/>
      <c r="AW6381" s="15">
        <f t="shared" si="1147"/>
        <v>400</v>
      </c>
      <c r="AX6381" s="16"/>
    </row>
    <row r="6382" spans="2:50" x14ac:dyDescent="0.2">
      <c r="B6382" s="7"/>
      <c r="C6382" s="8">
        <v>16488</v>
      </c>
      <c r="D6382" s="9" t="s">
        <v>100</v>
      </c>
      <c r="E6382" s="10" t="str">
        <f t="shared" si="1142"/>
        <v>Rancho Upácuaro No. 32</v>
      </c>
      <c r="F6382" s="10" t="str">
        <f t="shared" si="1143"/>
        <v>Sairafi Carmen</v>
      </c>
      <c r="G6382" s="8">
        <v>1</v>
      </c>
      <c r="H6382" s="11">
        <v>400</v>
      </c>
      <c r="I6382" s="12">
        <v>43226</v>
      </c>
      <c r="J6382" s="35">
        <f t="shared" si="1144"/>
        <v>0</v>
      </c>
      <c r="K6382" s="36"/>
      <c r="L6382" s="36"/>
      <c r="M6382" s="36"/>
      <c r="N6382" s="36"/>
      <c r="O6382" s="36"/>
      <c r="P6382" s="36"/>
      <c r="Q6382" s="36"/>
      <c r="R6382" s="36"/>
      <c r="S6382" s="36"/>
      <c r="T6382" s="36"/>
      <c r="U6382" s="36"/>
      <c r="V6382" s="36"/>
      <c r="W6382" s="15">
        <f t="shared" si="1145"/>
        <v>0</v>
      </c>
      <c r="X6382" s="36"/>
      <c r="Y6382" s="36"/>
      <c r="Z6382" s="36"/>
      <c r="AA6382" s="36"/>
      <c r="AB6382" s="36"/>
      <c r="AC6382" s="36"/>
      <c r="AD6382" s="36"/>
      <c r="AE6382" s="36"/>
      <c r="AF6382" s="36"/>
      <c r="AG6382" s="36"/>
      <c r="AH6382" s="36"/>
      <c r="AI6382" s="36"/>
      <c r="AJ6382" s="15">
        <f t="shared" si="1146"/>
        <v>0</v>
      </c>
      <c r="AK6382" s="14"/>
      <c r="AL6382" s="14"/>
      <c r="AM6382" s="14"/>
      <c r="AN6382" s="14"/>
      <c r="AO6382" s="14">
        <v>400</v>
      </c>
      <c r="AP6382" s="14"/>
      <c r="AQ6382" s="14"/>
      <c r="AR6382" s="14"/>
      <c r="AS6382" s="14"/>
      <c r="AT6382" s="14"/>
      <c r="AU6382" s="14"/>
      <c r="AV6382" s="14"/>
      <c r="AW6382" s="15">
        <f t="shared" si="1147"/>
        <v>400</v>
      </c>
      <c r="AX6382" s="16"/>
    </row>
    <row r="6383" spans="2:50" x14ac:dyDescent="0.2">
      <c r="B6383" s="7"/>
      <c r="C6383" s="8">
        <v>16489</v>
      </c>
      <c r="D6383" s="9" t="s">
        <v>238</v>
      </c>
      <c r="E6383" s="10" t="str">
        <f t="shared" si="1142"/>
        <v>Rancho La Cuchilla No. 43, B</v>
      </c>
      <c r="F6383" s="10" t="str">
        <f t="shared" si="1143"/>
        <v>Luna Albertano</v>
      </c>
      <c r="G6383" s="8">
        <v>1</v>
      </c>
      <c r="H6383" s="11">
        <v>125</v>
      </c>
      <c r="I6383" s="12">
        <v>43226</v>
      </c>
      <c r="J6383" s="35">
        <f t="shared" si="1144"/>
        <v>0</v>
      </c>
      <c r="K6383" s="36"/>
      <c r="L6383" s="36"/>
      <c r="M6383" s="36"/>
      <c r="N6383" s="36"/>
      <c r="O6383" s="36"/>
      <c r="P6383" s="36"/>
      <c r="Q6383" s="36"/>
      <c r="R6383" s="36"/>
      <c r="S6383" s="36"/>
      <c r="T6383" s="36"/>
      <c r="U6383" s="36"/>
      <c r="V6383" s="36"/>
      <c r="W6383" s="15">
        <f t="shared" si="1145"/>
        <v>0</v>
      </c>
      <c r="X6383" s="36"/>
      <c r="Y6383" s="36"/>
      <c r="Z6383" s="36"/>
      <c r="AA6383" s="36"/>
      <c r="AB6383" s="36"/>
      <c r="AC6383" s="36"/>
      <c r="AD6383" s="36"/>
      <c r="AE6383" s="36"/>
      <c r="AF6383" s="36"/>
      <c r="AG6383" s="36"/>
      <c r="AH6383" s="36"/>
      <c r="AI6383" s="36"/>
      <c r="AJ6383" s="15">
        <f t="shared" si="1146"/>
        <v>0</v>
      </c>
      <c r="AK6383" s="14"/>
      <c r="AL6383" s="14"/>
      <c r="AM6383" s="14"/>
      <c r="AN6383" s="14"/>
      <c r="AO6383" s="14">
        <v>125</v>
      </c>
      <c r="AP6383" s="14"/>
      <c r="AQ6383" s="14"/>
      <c r="AR6383" s="14"/>
      <c r="AS6383" s="14"/>
      <c r="AT6383" s="14"/>
      <c r="AU6383" s="14"/>
      <c r="AV6383" s="14"/>
      <c r="AW6383" s="15">
        <f t="shared" si="1147"/>
        <v>125</v>
      </c>
      <c r="AX6383" s="16"/>
    </row>
    <row r="6384" spans="2:50" x14ac:dyDescent="0.2">
      <c r="B6384" s="7"/>
      <c r="C6384" s="8">
        <v>16490</v>
      </c>
      <c r="D6384" s="9" t="s">
        <v>343</v>
      </c>
      <c r="E6384" s="10" t="str">
        <f t="shared" si="1142"/>
        <v>Rancho Upácuaro No. 88</v>
      </c>
      <c r="F6384" s="10" t="str">
        <f t="shared" si="1143"/>
        <v>Millán Núñez</v>
      </c>
      <c r="G6384" s="8">
        <v>1</v>
      </c>
      <c r="H6384" s="11">
        <v>400</v>
      </c>
      <c r="I6384" s="12">
        <v>43226</v>
      </c>
      <c r="J6384" s="35">
        <f t="shared" si="1144"/>
        <v>0</v>
      </c>
      <c r="K6384" s="36"/>
      <c r="L6384" s="36"/>
      <c r="M6384" s="36"/>
      <c r="N6384" s="36"/>
      <c r="O6384" s="36"/>
      <c r="P6384" s="36"/>
      <c r="Q6384" s="36"/>
      <c r="R6384" s="36"/>
      <c r="S6384" s="36"/>
      <c r="T6384" s="36"/>
      <c r="U6384" s="36"/>
      <c r="V6384" s="36"/>
      <c r="W6384" s="15">
        <f t="shared" si="1145"/>
        <v>0</v>
      </c>
      <c r="X6384" s="36"/>
      <c r="Y6384" s="36"/>
      <c r="Z6384" s="36"/>
      <c r="AA6384" s="36"/>
      <c r="AB6384" s="36"/>
      <c r="AC6384" s="36"/>
      <c r="AD6384" s="36"/>
      <c r="AE6384" s="36"/>
      <c r="AF6384" s="36"/>
      <c r="AG6384" s="36"/>
      <c r="AH6384" s="36"/>
      <c r="AI6384" s="36"/>
      <c r="AJ6384" s="15">
        <f t="shared" si="1146"/>
        <v>0</v>
      </c>
      <c r="AK6384" s="14"/>
      <c r="AL6384" s="14"/>
      <c r="AM6384" s="14"/>
      <c r="AN6384" s="14"/>
      <c r="AO6384" s="14">
        <v>400</v>
      </c>
      <c r="AP6384" s="14"/>
      <c r="AQ6384" s="14"/>
      <c r="AR6384" s="14"/>
      <c r="AS6384" s="14"/>
      <c r="AT6384" s="14"/>
      <c r="AU6384" s="14"/>
      <c r="AV6384" s="14"/>
      <c r="AW6384" s="15">
        <f t="shared" si="1147"/>
        <v>400</v>
      </c>
      <c r="AX6384" s="16"/>
    </row>
    <row r="6385" spans="2:50" x14ac:dyDescent="0.2">
      <c r="B6385" s="7"/>
      <c r="C6385" s="8">
        <v>16491</v>
      </c>
      <c r="D6385" s="9" t="s">
        <v>395</v>
      </c>
      <c r="E6385" s="10" t="str">
        <f t="shared" si="1142"/>
        <v>Rancho Landero No. 7</v>
      </c>
      <c r="F6385" s="10" t="str">
        <f t="shared" si="1143"/>
        <v>Robles</v>
      </c>
      <c r="G6385" s="8">
        <v>1</v>
      </c>
      <c r="H6385" s="11">
        <v>200</v>
      </c>
      <c r="I6385" s="12">
        <v>43226</v>
      </c>
      <c r="J6385" s="35">
        <f t="shared" si="1144"/>
        <v>0</v>
      </c>
      <c r="K6385" s="36"/>
      <c r="L6385" s="36"/>
      <c r="M6385" s="36"/>
      <c r="N6385" s="36"/>
      <c r="O6385" s="36"/>
      <c r="P6385" s="36"/>
      <c r="Q6385" s="36"/>
      <c r="R6385" s="36"/>
      <c r="S6385" s="36"/>
      <c r="T6385" s="36"/>
      <c r="U6385" s="36"/>
      <c r="V6385" s="36"/>
      <c r="W6385" s="15">
        <f t="shared" si="1145"/>
        <v>0</v>
      </c>
      <c r="X6385" s="36"/>
      <c r="Y6385" s="36"/>
      <c r="Z6385" s="36"/>
      <c r="AA6385" s="36"/>
      <c r="AB6385" s="36"/>
      <c r="AC6385" s="36"/>
      <c r="AD6385" s="36"/>
      <c r="AE6385" s="36"/>
      <c r="AF6385" s="36"/>
      <c r="AG6385" s="36"/>
      <c r="AH6385" s="36"/>
      <c r="AI6385" s="36"/>
      <c r="AJ6385" s="15">
        <f t="shared" si="1146"/>
        <v>0</v>
      </c>
      <c r="AK6385" s="14"/>
      <c r="AL6385" s="14"/>
      <c r="AM6385" s="14"/>
      <c r="AN6385" s="14"/>
      <c r="AO6385" s="14">
        <v>200</v>
      </c>
      <c r="AP6385" s="14"/>
      <c r="AQ6385" s="14"/>
      <c r="AR6385" s="14"/>
      <c r="AS6385" s="14"/>
      <c r="AT6385" s="14"/>
      <c r="AU6385" s="14"/>
      <c r="AV6385" s="14"/>
      <c r="AW6385" s="15">
        <f t="shared" si="1147"/>
        <v>200</v>
      </c>
      <c r="AX6385" s="16"/>
    </row>
    <row r="6386" spans="2:50" x14ac:dyDescent="0.2">
      <c r="B6386" s="7"/>
      <c r="C6386" s="8">
        <v>16492</v>
      </c>
      <c r="D6386" s="9" t="s">
        <v>307</v>
      </c>
      <c r="E6386" s="10" t="str">
        <f t="shared" si="1142"/>
        <v>Rancho Landero No. 83</v>
      </c>
      <c r="F6386" s="10" t="str">
        <f t="shared" si="1143"/>
        <v>Aguilar</v>
      </c>
      <c r="G6386" s="8">
        <v>1</v>
      </c>
      <c r="H6386" s="11">
        <v>350</v>
      </c>
      <c r="I6386" s="12">
        <v>43226</v>
      </c>
      <c r="J6386" s="35">
        <f t="shared" si="1144"/>
        <v>0</v>
      </c>
      <c r="K6386" s="36"/>
      <c r="L6386" s="36"/>
      <c r="M6386" s="36"/>
      <c r="N6386" s="36"/>
      <c r="O6386" s="36"/>
      <c r="P6386" s="36"/>
      <c r="Q6386" s="36"/>
      <c r="R6386" s="36"/>
      <c r="S6386" s="36"/>
      <c r="T6386" s="36"/>
      <c r="U6386" s="36"/>
      <c r="V6386" s="36"/>
      <c r="W6386" s="15">
        <f t="shared" si="1145"/>
        <v>0</v>
      </c>
      <c r="X6386" s="36"/>
      <c r="Y6386" s="36"/>
      <c r="Z6386" s="36"/>
      <c r="AA6386" s="36"/>
      <c r="AB6386" s="36"/>
      <c r="AC6386" s="36"/>
      <c r="AD6386" s="36"/>
      <c r="AE6386" s="36"/>
      <c r="AF6386" s="36"/>
      <c r="AG6386" s="36"/>
      <c r="AH6386" s="36"/>
      <c r="AI6386" s="36"/>
      <c r="AJ6386" s="15">
        <f t="shared" si="1146"/>
        <v>0</v>
      </c>
      <c r="AK6386" s="14"/>
      <c r="AL6386" s="14"/>
      <c r="AM6386" s="14"/>
      <c r="AN6386" s="14"/>
      <c r="AO6386" s="14">
        <v>350</v>
      </c>
      <c r="AP6386" s="14"/>
      <c r="AQ6386" s="14"/>
      <c r="AR6386" s="14"/>
      <c r="AS6386" s="14"/>
      <c r="AT6386" s="14"/>
      <c r="AU6386" s="14"/>
      <c r="AV6386" s="14"/>
      <c r="AW6386" s="15">
        <f t="shared" si="1147"/>
        <v>350</v>
      </c>
      <c r="AX6386" s="16"/>
    </row>
    <row r="6387" spans="2:50" x14ac:dyDescent="0.2">
      <c r="B6387" s="7"/>
      <c r="C6387" s="8">
        <v>16493</v>
      </c>
      <c r="D6387" s="9" t="s">
        <v>331</v>
      </c>
      <c r="E6387" s="10" t="str">
        <f t="shared" si="1136"/>
        <v>Rancho Recoveco No. 197</v>
      </c>
      <c r="F6387" s="10" t="str">
        <f t="shared" si="1137"/>
        <v>Colín González</v>
      </c>
      <c r="G6387" s="8">
        <v>1</v>
      </c>
      <c r="H6387" s="11">
        <v>400</v>
      </c>
      <c r="I6387" s="12">
        <v>43226</v>
      </c>
      <c r="J6387" s="35">
        <f t="shared" si="1138"/>
        <v>0</v>
      </c>
      <c r="K6387" s="36"/>
      <c r="L6387" s="36"/>
      <c r="M6387" s="36"/>
      <c r="N6387" s="36"/>
      <c r="O6387" s="36"/>
      <c r="P6387" s="36"/>
      <c r="Q6387" s="36"/>
      <c r="R6387" s="36"/>
      <c r="S6387" s="36"/>
      <c r="T6387" s="36"/>
      <c r="U6387" s="36"/>
      <c r="V6387" s="36"/>
      <c r="W6387" s="15">
        <f t="shared" si="1139"/>
        <v>0</v>
      </c>
      <c r="X6387" s="36"/>
      <c r="Y6387" s="36"/>
      <c r="Z6387" s="36"/>
      <c r="AA6387" s="36"/>
      <c r="AB6387" s="36"/>
      <c r="AC6387" s="36"/>
      <c r="AD6387" s="36"/>
      <c r="AE6387" s="36"/>
      <c r="AF6387" s="36"/>
      <c r="AG6387" s="36"/>
      <c r="AH6387" s="36"/>
      <c r="AI6387" s="36"/>
      <c r="AJ6387" s="15">
        <f t="shared" si="1140"/>
        <v>0</v>
      </c>
      <c r="AK6387" s="14"/>
      <c r="AL6387" s="14"/>
      <c r="AM6387" s="14"/>
      <c r="AN6387" s="14"/>
      <c r="AO6387" s="14">
        <v>400</v>
      </c>
      <c r="AP6387" s="14"/>
      <c r="AQ6387" s="14"/>
      <c r="AR6387" s="14"/>
      <c r="AS6387" s="14"/>
      <c r="AT6387" s="14"/>
      <c r="AU6387" s="14"/>
      <c r="AV6387" s="14"/>
      <c r="AW6387" s="15">
        <f t="shared" si="1141"/>
        <v>400</v>
      </c>
      <c r="AX6387" s="16"/>
    </row>
    <row r="6388" spans="2:50" x14ac:dyDescent="0.2">
      <c r="B6388" s="7"/>
      <c r="C6388" s="8">
        <v>16494</v>
      </c>
      <c r="D6388" s="9" t="s">
        <v>810</v>
      </c>
      <c r="E6388" s="10" t="str">
        <f t="shared" si="1136"/>
        <v>Rancho La Cuchilla No. 90</v>
      </c>
      <c r="F6388" s="10" t="str">
        <f t="shared" si="1137"/>
        <v>Porras Fuentes</v>
      </c>
      <c r="G6388" s="8">
        <v>1</v>
      </c>
      <c r="H6388" s="11">
        <v>200</v>
      </c>
      <c r="I6388" s="12">
        <v>43226</v>
      </c>
      <c r="J6388" s="35">
        <f t="shared" si="1138"/>
        <v>0</v>
      </c>
      <c r="K6388" s="36"/>
      <c r="L6388" s="36"/>
      <c r="M6388" s="36"/>
      <c r="N6388" s="36"/>
      <c r="O6388" s="36"/>
      <c r="P6388" s="36"/>
      <c r="Q6388" s="36"/>
      <c r="R6388" s="36"/>
      <c r="S6388" s="36"/>
      <c r="T6388" s="36"/>
      <c r="U6388" s="36"/>
      <c r="V6388" s="36"/>
      <c r="W6388" s="15">
        <f t="shared" si="1139"/>
        <v>0</v>
      </c>
      <c r="X6388" s="36"/>
      <c r="Y6388" s="36"/>
      <c r="Z6388" s="36"/>
      <c r="AA6388" s="36"/>
      <c r="AB6388" s="36"/>
      <c r="AC6388" s="36"/>
      <c r="AD6388" s="36"/>
      <c r="AE6388" s="36"/>
      <c r="AF6388" s="36"/>
      <c r="AG6388" s="36"/>
      <c r="AH6388" s="36"/>
      <c r="AI6388" s="36"/>
      <c r="AJ6388" s="15">
        <f t="shared" si="1140"/>
        <v>0</v>
      </c>
      <c r="AK6388" s="14"/>
      <c r="AL6388" s="14"/>
      <c r="AM6388" s="14"/>
      <c r="AN6388" s="14"/>
      <c r="AO6388" s="14">
        <v>200</v>
      </c>
      <c r="AP6388" s="14"/>
      <c r="AQ6388" s="14"/>
      <c r="AR6388" s="14"/>
      <c r="AS6388" s="14"/>
      <c r="AT6388" s="14"/>
      <c r="AU6388" s="14"/>
      <c r="AV6388" s="14"/>
      <c r="AW6388" s="15">
        <f t="shared" si="1141"/>
        <v>200</v>
      </c>
      <c r="AX6388" s="16"/>
    </row>
    <row r="6389" spans="2:50" x14ac:dyDescent="0.2">
      <c r="B6389" s="7"/>
      <c r="C6389" s="8">
        <v>16495</v>
      </c>
      <c r="D6389" s="9" t="s">
        <v>268</v>
      </c>
      <c r="E6389" s="10" t="str">
        <f t="shared" si="1136"/>
        <v>Rancho Landero No. 90</v>
      </c>
      <c r="F6389" s="10" t="str">
        <f t="shared" si="1137"/>
        <v>Córdova Reséndiz</v>
      </c>
      <c r="G6389" s="8">
        <v>1</v>
      </c>
      <c r="H6389" s="11">
        <v>300</v>
      </c>
      <c r="I6389" s="12">
        <v>43226</v>
      </c>
      <c r="J6389" s="35">
        <f t="shared" si="1138"/>
        <v>0</v>
      </c>
      <c r="K6389" s="36"/>
      <c r="L6389" s="36"/>
      <c r="M6389" s="36"/>
      <c r="N6389" s="36"/>
      <c r="O6389" s="36"/>
      <c r="P6389" s="36"/>
      <c r="Q6389" s="36"/>
      <c r="R6389" s="36"/>
      <c r="S6389" s="36"/>
      <c r="T6389" s="36"/>
      <c r="U6389" s="36"/>
      <c r="V6389" s="36"/>
      <c r="W6389" s="15">
        <f t="shared" si="1139"/>
        <v>0</v>
      </c>
      <c r="X6389" s="36"/>
      <c r="Y6389" s="36"/>
      <c r="Z6389" s="36"/>
      <c r="AA6389" s="36"/>
      <c r="AB6389" s="36"/>
      <c r="AC6389" s="36"/>
      <c r="AD6389" s="36"/>
      <c r="AE6389" s="36"/>
      <c r="AF6389" s="36"/>
      <c r="AG6389" s="36"/>
      <c r="AH6389" s="36"/>
      <c r="AI6389" s="36"/>
      <c r="AJ6389" s="15">
        <f t="shared" si="1140"/>
        <v>0</v>
      </c>
      <c r="AK6389" s="14"/>
      <c r="AL6389" s="14"/>
      <c r="AM6389" s="14"/>
      <c r="AN6389" s="14"/>
      <c r="AO6389" s="14">
        <v>300</v>
      </c>
      <c r="AP6389" s="14"/>
      <c r="AQ6389" s="14"/>
      <c r="AR6389" s="14"/>
      <c r="AS6389" s="14"/>
      <c r="AT6389" s="14"/>
      <c r="AU6389" s="14"/>
      <c r="AV6389" s="14"/>
      <c r="AW6389" s="15">
        <f t="shared" si="1141"/>
        <v>300</v>
      </c>
      <c r="AX6389" s="16"/>
    </row>
    <row r="6390" spans="2:50" x14ac:dyDescent="0.2">
      <c r="B6390" s="7"/>
      <c r="C6390" s="8">
        <v>16495</v>
      </c>
      <c r="D6390" s="9" t="s">
        <v>268</v>
      </c>
      <c r="E6390" s="10" t="str">
        <f t="shared" si="1136"/>
        <v>Rancho Landero No. 90</v>
      </c>
      <c r="F6390" s="10" t="str">
        <f t="shared" si="1137"/>
        <v>Córdova Reséndiz</v>
      </c>
      <c r="G6390" s="8">
        <v>4</v>
      </c>
      <c r="H6390" s="11">
        <v>200</v>
      </c>
      <c r="I6390" s="12">
        <v>43226</v>
      </c>
      <c r="J6390" s="35">
        <f t="shared" si="1138"/>
        <v>0</v>
      </c>
      <c r="K6390" s="36"/>
      <c r="L6390" s="36"/>
      <c r="M6390" s="36"/>
      <c r="N6390" s="36"/>
      <c r="O6390" s="36"/>
      <c r="P6390" s="36"/>
      <c r="Q6390" s="36"/>
      <c r="R6390" s="36"/>
      <c r="S6390" s="36"/>
      <c r="T6390" s="36"/>
      <c r="U6390" s="36"/>
      <c r="V6390" s="36"/>
      <c r="W6390" s="15">
        <f t="shared" si="1139"/>
        <v>0</v>
      </c>
      <c r="X6390" s="36"/>
      <c r="Y6390" s="36"/>
      <c r="Z6390" s="36"/>
      <c r="AA6390" s="36"/>
      <c r="AB6390" s="36"/>
      <c r="AC6390" s="36"/>
      <c r="AD6390" s="36"/>
      <c r="AE6390" s="36"/>
      <c r="AF6390" s="36"/>
      <c r="AG6390" s="36"/>
      <c r="AH6390" s="36"/>
      <c r="AI6390" s="36"/>
      <c r="AJ6390" s="15">
        <f t="shared" si="1140"/>
        <v>0</v>
      </c>
      <c r="AK6390" s="14"/>
      <c r="AL6390" s="14"/>
      <c r="AM6390" s="14"/>
      <c r="AN6390" s="14"/>
      <c r="AO6390" s="14"/>
      <c r="AP6390" s="14"/>
      <c r="AQ6390" s="14"/>
      <c r="AR6390" s="14"/>
      <c r="AS6390" s="14"/>
      <c r="AT6390" s="14"/>
      <c r="AU6390" s="14"/>
      <c r="AV6390" s="14"/>
      <c r="AW6390" s="15">
        <f t="shared" si="1141"/>
        <v>0</v>
      </c>
      <c r="AX6390" s="16" t="s">
        <v>5254</v>
      </c>
    </row>
    <row r="6391" spans="2:50" x14ac:dyDescent="0.2">
      <c r="B6391" s="7"/>
      <c r="C6391" s="8">
        <v>16496</v>
      </c>
      <c r="D6391" s="9" t="s">
        <v>171</v>
      </c>
      <c r="E6391" s="10" t="str">
        <f t="shared" si="1136"/>
        <v>Rancho La Cuchilla No. 72</v>
      </c>
      <c r="F6391" s="10" t="str">
        <f t="shared" si="1137"/>
        <v>Ortiz González</v>
      </c>
      <c r="G6391" s="8">
        <v>1</v>
      </c>
      <c r="H6391" s="11">
        <v>400</v>
      </c>
      <c r="I6391" s="12">
        <v>43226</v>
      </c>
      <c r="J6391" s="35">
        <f t="shared" si="1138"/>
        <v>0</v>
      </c>
      <c r="K6391" s="36"/>
      <c r="L6391" s="36"/>
      <c r="M6391" s="36"/>
      <c r="N6391" s="36"/>
      <c r="O6391" s="36"/>
      <c r="P6391" s="36"/>
      <c r="Q6391" s="36"/>
      <c r="R6391" s="36"/>
      <c r="S6391" s="36"/>
      <c r="T6391" s="36"/>
      <c r="U6391" s="36"/>
      <c r="V6391" s="36"/>
      <c r="W6391" s="15">
        <f t="shared" si="1139"/>
        <v>0</v>
      </c>
      <c r="X6391" s="36"/>
      <c r="Y6391" s="36"/>
      <c r="Z6391" s="36"/>
      <c r="AA6391" s="36"/>
      <c r="AB6391" s="36"/>
      <c r="AC6391" s="36"/>
      <c r="AD6391" s="36"/>
      <c r="AE6391" s="36"/>
      <c r="AF6391" s="36"/>
      <c r="AG6391" s="36"/>
      <c r="AH6391" s="36"/>
      <c r="AI6391" s="36"/>
      <c r="AJ6391" s="15">
        <f t="shared" si="1140"/>
        <v>0</v>
      </c>
      <c r="AK6391" s="14"/>
      <c r="AL6391" s="14"/>
      <c r="AM6391" s="14"/>
      <c r="AN6391" s="14"/>
      <c r="AO6391" s="14">
        <v>400</v>
      </c>
      <c r="AP6391" s="14"/>
      <c r="AQ6391" s="14"/>
      <c r="AR6391" s="14"/>
      <c r="AS6391" s="14"/>
      <c r="AT6391" s="14"/>
      <c r="AU6391" s="14"/>
      <c r="AV6391" s="14"/>
      <c r="AW6391" s="15">
        <f t="shared" si="1141"/>
        <v>400</v>
      </c>
      <c r="AX6391" s="16"/>
    </row>
    <row r="6392" spans="2:50" x14ac:dyDescent="0.2">
      <c r="B6392" s="7"/>
      <c r="C6392" s="8">
        <v>16497</v>
      </c>
      <c r="D6392" s="9" t="s">
        <v>407</v>
      </c>
      <c r="E6392" s="10" t="str">
        <f t="shared" si="1136"/>
        <v>Rancho Estanzuela No. 99</v>
      </c>
      <c r="F6392" s="10" t="str">
        <f t="shared" si="1137"/>
        <v>García López</v>
      </c>
      <c r="G6392" s="8">
        <v>1</v>
      </c>
      <c r="H6392" s="11">
        <v>400</v>
      </c>
      <c r="I6392" s="12">
        <v>43226</v>
      </c>
      <c r="J6392" s="35">
        <f t="shared" si="1138"/>
        <v>0</v>
      </c>
      <c r="K6392" s="36"/>
      <c r="L6392" s="36"/>
      <c r="M6392" s="36"/>
      <c r="N6392" s="36"/>
      <c r="O6392" s="36"/>
      <c r="P6392" s="36"/>
      <c r="Q6392" s="36"/>
      <c r="R6392" s="36"/>
      <c r="S6392" s="36"/>
      <c r="T6392" s="36"/>
      <c r="U6392" s="36"/>
      <c r="V6392" s="36"/>
      <c r="W6392" s="15">
        <f t="shared" si="1139"/>
        <v>0</v>
      </c>
      <c r="X6392" s="36"/>
      <c r="Y6392" s="36"/>
      <c r="Z6392" s="36"/>
      <c r="AA6392" s="36"/>
      <c r="AB6392" s="36"/>
      <c r="AC6392" s="36"/>
      <c r="AD6392" s="36"/>
      <c r="AE6392" s="36"/>
      <c r="AF6392" s="36"/>
      <c r="AG6392" s="36"/>
      <c r="AH6392" s="36"/>
      <c r="AI6392" s="36"/>
      <c r="AJ6392" s="15">
        <f t="shared" si="1140"/>
        <v>0</v>
      </c>
      <c r="AK6392" s="14"/>
      <c r="AL6392" s="14"/>
      <c r="AM6392" s="14"/>
      <c r="AN6392" s="14"/>
      <c r="AO6392" s="14">
        <v>400</v>
      </c>
      <c r="AP6392" s="14"/>
      <c r="AQ6392" s="14"/>
      <c r="AR6392" s="14"/>
      <c r="AS6392" s="14"/>
      <c r="AT6392" s="14"/>
      <c r="AU6392" s="14"/>
      <c r="AV6392" s="14"/>
      <c r="AW6392" s="15">
        <f t="shared" si="1141"/>
        <v>400</v>
      </c>
      <c r="AX6392" s="16"/>
    </row>
    <row r="6393" spans="2:50" x14ac:dyDescent="0.2">
      <c r="B6393" s="7"/>
      <c r="C6393" s="8">
        <v>16498</v>
      </c>
      <c r="D6393" s="9" t="s">
        <v>126</v>
      </c>
      <c r="E6393" s="10" t="str">
        <f t="shared" si="1136"/>
        <v>Rancho Estanzuela No. 65</v>
      </c>
      <c r="F6393" s="10" t="str">
        <f t="shared" si="1137"/>
        <v>López Becerril</v>
      </c>
      <c r="G6393" s="8">
        <v>1</v>
      </c>
      <c r="H6393" s="11">
        <v>400</v>
      </c>
      <c r="I6393" s="12">
        <v>43226</v>
      </c>
      <c r="J6393" s="35">
        <f t="shared" si="1138"/>
        <v>0</v>
      </c>
      <c r="K6393" s="36"/>
      <c r="L6393" s="36"/>
      <c r="M6393" s="36"/>
      <c r="N6393" s="36"/>
      <c r="O6393" s="36"/>
      <c r="P6393" s="36"/>
      <c r="Q6393" s="36"/>
      <c r="R6393" s="36"/>
      <c r="S6393" s="36"/>
      <c r="T6393" s="36"/>
      <c r="U6393" s="36"/>
      <c r="V6393" s="36"/>
      <c r="W6393" s="15">
        <f t="shared" si="1139"/>
        <v>0</v>
      </c>
      <c r="X6393" s="36"/>
      <c r="Y6393" s="36"/>
      <c r="Z6393" s="36"/>
      <c r="AA6393" s="36"/>
      <c r="AB6393" s="36"/>
      <c r="AC6393" s="36"/>
      <c r="AD6393" s="36"/>
      <c r="AE6393" s="36"/>
      <c r="AF6393" s="36"/>
      <c r="AG6393" s="36"/>
      <c r="AH6393" s="36"/>
      <c r="AI6393" s="36"/>
      <c r="AJ6393" s="15">
        <f t="shared" si="1140"/>
        <v>0</v>
      </c>
      <c r="AK6393" s="14"/>
      <c r="AL6393" s="14"/>
      <c r="AM6393" s="14"/>
      <c r="AN6393" s="14"/>
      <c r="AO6393" s="14">
        <v>400</v>
      </c>
      <c r="AP6393" s="14"/>
      <c r="AQ6393" s="14"/>
      <c r="AR6393" s="14"/>
      <c r="AS6393" s="14"/>
      <c r="AT6393" s="14"/>
      <c r="AU6393" s="14"/>
      <c r="AV6393" s="14"/>
      <c r="AW6393" s="15">
        <f t="shared" si="1141"/>
        <v>400</v>
      </c>
      <c r="AX6393" s="16"/>
    </row>
    <row r="6394" spans="2:50" x14ac:dyDescent="0.2">
      <c r="B6394" s="7"/>
      <c r="C6394" s="8">
        <v>16499</v>
      </c>
      <c r="D6394" s="9" t="s">
        <v>568</v>
      </c>
      <c r="E6394" s="10" t="str">
        <f t="shared" si="1136"/>
        <v>Rancho Landero No. 95</v>
      </c>
      <c r="F6394" s="10" t="str">
        <f t="shared" si="1137"/>
        <v>Rivas Rangel</v>
      </c>
      <c r="G6394" s="8">
        <v>1</v>
      </c>
      <c r="H6394" s="11">
        <v>400</v>
      </c>
      <c r="I6394" s="12">
        <v>43226</v>
      </c>
      <c r="J6394" s="35">
        <f t="shared" si="1138"/>
        <v>0</v>
      </c>
      <c r="K6394" s="36"/>
      <c r="L6394" s="36"/>
      <c r="M6394" s="36"/>
      <c r="N6394" s="36"/>
      <c r="O6394" s="36"/>
      <c r="P6394" s="36"/>
      <c r="Q6394" s="36"/>
      <c r="R6394" s="36"/>
      <c r="S6394" s="36"/>
      <c r="T6394" s="36"/>
      <c r="U6394" s="36"/>
      <c r="V6394" s="36"/>
      <c r="W6394" s="15">
        <f t="shared" si="1139"/>
        <v>0</v>
      </c>
      <c r="X6394" s="36"/>
      <c r="Y6394" s="36"/>
      <c r="Z6394" s="36"/>
      <c r="AA6394" s="36"/>
      <c r="AB6394" s="36"/>
      <c r="AC6394" s="36"/>
      <c r="AD6394" s="36"/>
      <c r="AE6394" s="36"/>
      <c r="AF6394" s="36"/>
      <c r="AG6394" s="36"/>
      <c r="AH6394" s="36"/>
      <c r="AI6394" s="36"/>
      <c r="AJ6394" s="15">
        <f t="shared" si="1140"/>
        <v>0</v>
      </c>
      <c r="AK6394" s="14"/>
      <c r="AL6394" s="14"/>
      <c r="AM6394" s="14"/>
      <c r="AN6394" s="14"/>
      <c r="AO6394" s="14">
        <v>400</v>
      </c>
      <c r="AP6394" s="14"/>
      <c r="AQ6394" s="14"/>
      <c r="AR6394" s="14"/>
      <c r="AS6394" s="14"/>
      <c r="AT6394" s="14"/>
      <c r="AU6394" s="14"/>
      <c r="AV6394" s="14"/>
      <c r="AW6394" s="15">
        <f t="shared" si="1141"/>
        <v>400</v>
      </c>
      <c r="AX6394" s="16"/>
    </row>
    <row r="6395" spans="2:50" x14ac:dyDescent="0.2">
      <c r="B6395" s="7"/>
      <c r="C6395" s="8">
        <v>16500</v>
      </c>
      <c r="D6395" s="9" t="s">
        <v>280</v>
      </c>
      <c r="E6395" s="10" t="str">
        <f t="shared" si="1136"/>
        <v>Rancho La Cuchilla No. 40</v>
      </c>
      <c r="F6395" s="10" t="str">
        <f t="shared" si="1137"/>
        <v>López Pico</v>
      </c>
      <c r="G6395" s="8">
        <v>1</v>
      </c>
      <c r="H6395" s="11">
        <v>400</v>
      </c>
      <c r="I6395" s="12">
        <v>43226</v>
      </c>
      <c r="J6395" s="35">
        <f t="shared" si="1138"/>
        <v>0</v>
      </c>
      <c r="K6395" s="36"/>
      <c r="L6395" s="36"/>
      <c r="M6395" s="36"/>
      <c r="N6395" s="36"/>
      <c r="O6395" s="36"/>
      <c r="P6395" s="36"/>
      <c r="Q6395" s="36"/>
      <c r="R6395" s="36"/>
      <c r="S6395" s="36"/>
      <c r="T6395" s="36"/>
      <c r="U6395" s="36"/>
      <c r="V6395" s="36"/>
      <c r="W6395" s="15">
        <f t="shared" si="1139"/>
        <v>0</v>
      </c>
      <c r="X6395" s="36"/>
      <c r="Y6395" s="36"/>
      <c r="Z6395" s="36"/>
      <c r="AA6395" s="36"/>
      <c r="AB6395" s="36"/>
      <c r="AC6395" s="36"/>
      <c r="AD6395" s="36"/>
      <c r="AE6395" s="36"/>
      <c r="AF6395" s="36"/>
      <c r="AG6395" s="36"/>
      <c r="AH6395" s="36"/>
      <c r="AI6395" s="36"/>
      <c r="AJ6395" s="15">
        <f t="shared" si="1140"/>
        <v>0</v>
      </c>
      <c r="AK6395" s="14"/>
      <c r="AL6395" s="14"/>
      <c r="AM6395" s="14"/>
      <c r="AN6395" s="14"/>
      <c r="AO6395" s="14">
        <v>400</v>
      </c>
      <c r="AP6395" s="14"/>
      <c r="AQ6395" s="14"/>
      <c r="AR6395" s="14"/>
      <c r="AS6395" s="14"/>
      <c r="AT6395" s="14"/>
      <c r="AU6395" s="14"/>
      <c r="AV6395" s="14"/>
      <c r="AW6395" s="15">
        <f t="shared" si="1141"/>
        <v>400</v>
      </c>
      <c r="AX6395" s="16"/>
    </row>
    <row r="6396" spans="2:50" x14ac:dyDescent="0.2">
      <c r="B6396" s="7"/>
      <c r="C6396" s="8">
        <v>16501</v>
      </c>
      <c r="D6396" s="9" t="s">
        <v>265</v>
      </c>
      <c r="E6396" s="10" t="str">
        <f t="shared" ref="E6396:E6406" si="1148">IF(D6396=0,"",VLOOKUP(D6396,BASE,2,FALSE))</f>
        <v>Rancho Upácuaro No. 85</v>
      </c>
      <c r="F6396" s="10" t="str">
        <f t="shared" ref="F6396:F6406" si="1149">IF(D6396=0,"",VLOOKUP(D6396,BASE,3,FALSE))</f>
        <v>Del Toro Huerta</v>
      </c>
      <c r="G6396" s="8">
        <v>1</v>
      </c>
      <c r="H6396" s="11">
        <v>400</v>
      </c>
      <c r="I6396" s="12">
        <v>43226</v>
      </c>
      <c r="J6396" s="35">
        <f t="shared" ref="J6396:J6406" si="1150">IF(G6396=1,SUM(W6396,AJ6396,AW6396,-H6396),0)</f>
        <v>0</v>
      </c>
      <c r="K6396" s="36"/>
      <c r="L6396" s="36"/>
      <c r="M6396" s="36"/>
      <c r="N6396" s="36"/>
      <c r="O6396" s="36"/>
      <c r="P6396" s="36"/>
      <c r="Q6396" s="36"/>
      <c r="R6396" s="36"/>
      <c r="S6396" s="36"/>
      <c r="T6396" s="36"/>
      <c r="U6396" s="36"/>
      <c r="V6396" s="36"/>
      <c r="W6396" s="15">
        <f t="shared" ref="W6396:W6406" si="1151">SUM(K6396:V6396)</f>
        <v>0</v>
      </c>
      <c r="X6396" s="36"/>
      <c r="Y6396" s="36"/>
      <c r="Z6396" s="36"/>
      <c r="AA6396" s="36"/>
      <c r="AB6396" s="36"/>
      <c r="AC6396" s="36"/>
      <c r="AD6396" s="36"/>
      <c r="AE6396" s="36"/>
      <c r="AF6396" s="36"/>
      <c r="AG6396" s="36"/>
      <c r="AH6396" s="36"/>
      <c r="AI6396" s="36"/>
      <c r="AJ6396" s="15">
        <f t="shared" ref="AJ6396:AJ6406" si="1152">SUM(X6396:AI6396)</f>
        <v>0</v>
      </c>
      <c r="AK6396" s="14"/>
      <c r="AL6396" s="14"/>
      <c r="AM6396" s="14"/>
      <c r="AN6396" s="14"/>
      <c r="AO6396" s="14">
        <v>400</v>
      </c>
      <c r="AP6396" s="14"/>
      <c r="AQ6396" s="14"/>
      <c r="AR6396" s="14"/>
      <c r="AS6396" s="14"/>
      <c r="AT6396" s="14"/>
      <c r="AU6396" s="14"/>
      <c r="AV6396" s="14"/>
      <c r="AW6396" s="15">
        <f t="shared" ref="AW6396:AW6406" si="1153">SUM(AK6396:AV6396)</f>
        <v>400</v>
      </c>
      <c r="AX6396" s="16"/>
    </row>
    <row r="6397" spans="2:50" x14ac:dyDescent="0.2">
      <c r="B6397" s="7"/>
      <c r="C6397" s="8">
        <v>16502</v>
      </c>
      <c r="D6397" s="9" t="s">
        <v>476</v>
      </c>
      <c r="E6397" s="10" t="str">
        <f t="shared" si="1148"/>
        <v>Rancho Upácuaro No. 33</v>
      </c>
      <c r="F6397" s="10" t="str">
        <f t="shared" si="1149"/>
        <v>Ulloa Miranda</v>
      </c>
      <c r="G6397" s="8">
        <v>1</v>
      </c>
      <c r="H6397" s="11">
        <v>400</v>
      </c>
      <c r="I6397" s="12">
        <v>43226</v>
      </c>
      <c r="J6397" s="35">
        <f t="shared" si="1150"/>
        <v>0</v>
      </c>
      <c r="K6397" s="36"/>
      <c r="L6397" s="36"/>
      <c r="M6397" s="36"/>
      <c r="N6397" s="36"/>
      <c r="O6397" s="36"/>
      <c r="P6397" s="36"/>
      <c r="Q6397" s="36"/>
      <c r="R6397" s="36"/>
      <c r="S6397" s="36"/>
      <c r="T6397" s="36"/>
      <c r="U6397" s="36"/>
      <c r="V6397" s="36"/>
      <c r="W6397" s="15">
        <f t="shared" si="1151"/>
        <v>0</v>
      </c>
      <c r="X6397" s="36"/>
      <c r="Y6397" s="36"/>
      <c r="Z6397" s="36"/>
      <c r="AA6397" s="36"/>
      <c r="AB6397" s="36"/>
      <c r="AC6397" s="36"/>
      <c r="AD6397" s="36"/>
      <c r="AE6397" s="36"/>
      <c r="AF6397" s="36"/>
      <c r="AG6397" s="36"/>
      <c r="AH6397" s="36"/>
      <c r="AI6397" s="36"/>
      <c r="AJ6397" s="15">
        <f t="shared" si="1152"/>
        <v>0</v>
      </c>
      <c r="AK6397" s="14"/>
      <c r="AL6397" s="14"/>
      <c r="AM6397" s="14"/>
      <c r="AN6397" s="14"/>
      <c r="AO6397" s="14">
        <v>400</v>
      </c>
      <c r="AP6397" s="14"/>
      <c r="AQ6397" s="14"/>
      <c r="AR6397" s="14"/>
      <c r="AS6397" s="14"/>
      <c r="AT6397" s="14"/>
      <c r="AU6397" s="14"/>
      <c r="AV6397" s="14"/>
      <c r="AW6397" s="15">
        <f t="shared" si="1153"/>
        <v>400</v>
      </c>
      <c r="AX6397" s="16"/>
    </row>
    <row r="6398" spans="2:50" x14ac:dyDescent="0.2">
      <c r="B6398" s="7"/>
      <c r="C6398" s="8">
        <v>16503</v>
      </c>
      <c r="D6398" s="9" t="s">
        <v>532</v>
      </c>
      <c r="E6398" s="10" t="str">
        <f t="shared" ref="E6398:E6404" si="1154">IF(D6398=0,"",VLOOKUP(D6398,BASE,2,FALSE))</f>
        <v>Rancho Estanzuela No. 101</v>
      </c>
      <c r="F6398" s="10" t="str">
        <f t="shared" ref="F6398:F6404" si="1155">IF(D6398=0,"",VLOOKUP(D6398,BASE,3,FALSE))</f>
        <v>Calderón Celis</v>
      </c>
      <c r="G6398" s="8">
        <v>1</v>
      </c>
      <c r="H6398" s="11">
        <v>400</v>
      </c>
      <c r="I6398" s="12">
        <v>43226</v>
      </c>
      <c r="J6398" s="35">
        <f t="shared" ref="J6398:J6404" si="1156">IF(G6398=1,SUM(W6398,AJ6398,AW6398,-H6398),0)</f>
        <v>0</v>
      </c>
      <c r="K6398" s="36"/>
      <c r="L6398" s="36"/>
      <c r="M6398" s="36"/>
      <c r="N6398" s="36"/>
      <c r="O6398" s="36"/>
      <c r="P6398" s="36"/>
      <c r="Q6398" s="36"/>
      <c r="R6398" s="36"/>
      <c r="S6398" s="36"/>
      <c r="T6398" s="36"/>
      <c r="U6398" s="36"/>
      <c r="V6398" s="36"/>
      <c r="W6398" s="15">
        <f t="shared" ref="W6398:W6404" si="1157">SUM(K6398:V6398)</f>
        <v>0</v>
      </c>
      <c r="X6398" s="36"/>
      <c r="Y6398" s="36"/>
      <c r="Z6398" s="36"/>
      <c r="AA6398" s="36"/>
      <c r="AB6398" s="36"/>
      <c r="AC6398" s="36"/>
      <c r="AD6398" s="36"/>
      <c r="AE6398" s="36"/>
      <c r="AF6398" s="36"/>
      <c r="AG6398" s="36"/>
      <c r="AH6398" s="36"/>
      <c r="AI6398" s="36"/>
      <c r="AJ6398" s="15">
        <f t="shared" ref="AJ6398:AJ6404" si="1158">SUM(X6398:AI6398)</f>
        <v>0</v>
      </c>
      <c r="AK6398" s="14"/>
      <c r="AL6398" s="14"/>
      <c r="AM6398" s="14">
        <v>200</v>
      </c>
      <c r="AN6398" s="14">
        <v>200</v>
      </c>
      <c r="AO6398" s="14"/>
      <c r="AP6398" s="14"/>
      <c r="AQ6398" s="14"/>
      <c r="AR6398" s="14"/>
      <c r="AS6398" s="14"/>
      <c r="AT6398" s="14"/>
      <c r="AU6398" s="14"/>
      <c r="AV6398" s="14"/>
      <c r="AW6398" s="15">
        <f t="shared" ref="AW6398:AW6404" si="1159">SUM(AK6398:AV6398)</f>
        <v>400</v>
      </c>
      <c r="AX6398" s="16"/>
    </row>
    <row r="6399" spans="2:50" x14ac:dyDescent="0.2">
      <c r="B6399" s="7"/>
      <c r="C6399" s="8">
        <v>16504</v>
      </c>
      <c r="D6399" s="9" t="s">
        <v>292</v>
      </c>
      <c r="E6399" s="10" t="str">
        <f t="shared" si="1154"/>
        <v>Rancho Upácuaro No. 140</v>
      </c>
      <c r="F6399" s="10" t="str">
        <f t="shared" si="1155"/>
        <v>Gozain</v>
      </c>
      <c r="G6399" s="8">
        <v>1</v>
      </c>
      <c r="H6399" s="11">
        <v>400</v>
      </c>
      <c r="I6399" s="12">
        <v>43226</v>
      </c>
      <c r="J6399" s="35">
        <f t="shared" si="1156"/>
        <v>0</v>
      </c>
      <c r="K6399" s="36"/>
      <c r="L6399" s="36"/>
      <c r="M6399" s="36"/>
      <c r="N6399" s="36"/>
      <c r="O6399" s="36"/>
      <c r="P6399" s="36"/>
      <c r="Q6399" s="36"/>
      <c r="R6399" s="36"/>
      <c r="S6399" s="36"/>
      <c r="T6399" s="36"/>
      <c r="U6399" s="36"/>
      <c r="V6399" s="36"/>
      <c r="W6399" s="15">
        <f t="shared" si="1157"/>
        <v>0</v>
      </c>
      <c r="X6399" s="36"/>
      <c r="Y6399" s="36"/>
      <c r="Z6399" s="36"/>
      <c r="AA6399" s="36"/>
      <c r="AB6399" s="36"/>
      <c r="AC6399" s="36"/>
      <c r="AD6399" s="36"/>
      <c r="AE6399" s="36"/>
      <c r="AF6399" s="36"/>
      <c r="AG6399" s="36"/>
      <c r="AH6399" s="36"/>
      <c r="AI6399" s="36"/>
      <c r="AJ6399" s="15">
        <f t="shared" si="1158"/>
        <v>0</v>
      </c>
      <c r="AK6399" s="14"/>
      <c r="AL6399" s="14"/>
      <c r="AM6399" s="14"/>
      <c r="AN6399" s="14"/>
      <c r="AO6399" s="14">
        <v>400</v>
      </c>
      <c r="AP6399" s="14"/>
      <c r="AQ6399" s="14"/>
      <c r="AR6399" s="14"/>
      <c r="AS6399" s="14"/>
      <c r="AT6399" s="14"/>
      <c r="AU6399" s="14"/>
      <c r="AV6399" s="14"/>
      <c r="AW6399" s="15">
        <f t="shared" si="1159"/>
        <v>400</v>
      </c>
      <c r="AX6399" s="16"/>
    </row>
    <row r="6400" spans="2:50" x14ac:dyDescent="0.2">
      <c r="B6400" s="7"/>
      <c r="C6400" s="8">
        <v>16505</v>
      </c>
      <c r="D6400" s="9" t="s">
        <v>731</v>
      </c>
      <c r="E6400" s="10" t="str">
        <f t="shared" si="1154"/>
        <v>Rancho Estanzuela No. 133</v>
      </c>
      <c r="F6400" s="10" t="str">
        <f t="shared" si="1155"/>
        <v>Hernández Salazar</v>
      </c>
      <c r="G6400" s="8">
        <v>1</v>
      </c>
      <c r="H6400" s="11">
        <v>300</v>
      </c>
      <c r="I6400" s="12">
        <v>43226</v>
      </c>
      <c r="J6400" s="35">
        <f t="shared" si="1156"/>
        <v>0</v>
      </c>
      <c r="K6400" s="36"/>
      <c r="L6400" s="36"/>
      <c r="M6400" s="36"/>
      <c r="N6400" s="36"/>
      <c r="O6400" s="36"/>
      <c r="P6400" s="36"/>
      <c r="Q6400" s="36"/>
      <c r="R6400" s="36"/>
      <c r="S6400" s="36"/>
      <c r="T6400" s="36"/>
      <c r="U6400" s="36"/>
      <c r="V6400" s="36"/>
      <c r="W6400" s="15">
        <f t="shared" si="1157"/>
        <v>0</v>
      </c>
      <c r="X6400" s="36"/>
      <c r="Y6400" s="36"/>
      <c r="Z6400" s="36"/>
      <c r="AA6400" s="36"/>
      <c r="AB6400" s="36"/>
      <c r="AC6400" s="36"/>
      <c r="AD6400" s="36"/>
      <c r="AE6400" s="36"/>
      <c r="AF6400" s="36"/>
      <c r="AG6400" s="36"/>
      <c r="AH6400" s="36"/>
      <c r="AI6400" s="36"/>
      <c r="AJ6400" s="15">
        <f t="shared" si="1158"/>
        <v>0</v>
      </c>
      <c r="AK6400" s="14"/>
      <c r="AL6400" s="14"/>
      <c r="AM6400" s="14"/>
      <c r="AN6400" s="14"/>
      <c r="AO6400" s="14">
        <v>300</v>
      </c>
      <c r="AP6400" s="14"/>
      <c r="AQ6400" s="14"/>
      <c r="AR6400" s="14"/>
      <c r="AS6400" s="14"/>
      <c r="AT6400" s="14"/>
      <c r="AU6400" s="14"/>
      <c r="AV6400" s="14"/>
      <c r="AW6400" s="15">
        <f t="shared" si="1159"/>
        <v>300</v>
      </c>
      <c r="AX6400" s="16"/>
    </row>
    <row r="6401" spans="2:50" x14ac:dyDescent="0.2">
      <c r="B6401" s="7"/>
      <c r="C6401" s="8">
        <v>16506</v>
      </c>
      <c r="D6401" s="9" t="s">
        <v>340</v>
      </c>
      <c r="E6401" s="10" t="str">
        <f t="shared" si="1154"/>
        <v>Rancho Romeral No. 17</v>
      </c>
      <c r="F6401" s="10" t="str">
        <f t="shared" si="1155"/>
        <v>Aguilar Lomelí</v>
      </c>
      <c r="G6401" s="8">
        <v>1</v>
      </c>
      <c r="H6401" s="11">
        <v>400</v>
      </c>
      <c r="I6401" s="12">
        <v>43226</v>
      </c>
      <c r="J6401" s="35">
        <f t="shared" si="1156"/>
        <v>0</v>
      </c>
      <c r="K6401" s="36"/>
      <c r="L6401" s="36"/>
      <c r="M6401" s="36"/>
      <c r="N6401" s="36"/>
      <c r="O6401" s="36"/>
      <c r="P6401" s="36"/>
      <c r="Q6401" s="36"/>
      <c r="R6401" s="36"/>
      <c r="S6401" s="36"/>
      <c r="T6401" s="36"/>
      <c r="U6401" s="36"/>
      <c r="V6401" s="36"/>
      <c r="W6401" s="15">
        <f t="shared" si="1157"/>
        <v>0</v>
      </c>
      <c r="X6401" s="36"/>
      <c r="Y6401" s="36"/>
      <c r="Z6401" s="36"/>
      <c r="AA6401" s="36"/>
      <c r="AB6401" s="36"/>
      <c r="AC6401" s="36"/>
      <c r="AD6401" s="36"/>
      <c r="AE6401" s="36"/>
      <c r="AF6401" s="36"/>
      <c r="AG6401" s="36"/>
      <c r="AH6401" s="36"/>
      <c r="AI6401" s="36"/>
      <c r="AJ6401" s="15">
        <f t="shared" si="1158"/>
        <v>0</v>
      </c>
      <c r="AK6401" s="14"/>
      <c r="AL6401" s="14"/>
      <c r="AM6401" s="14"/>
      <c r="AN6401" s="14"/>
      <c r="AO6401" s="14">
        <v>400</v>
      </c>
      <c r="AP6401" s="14"/>
      <c r="AQ6401" s="14"/>
      <c r="AR6401" s="14"/>
      <c r="AS6401" s="14"/>
      <c r="AT6401" s="14"/>
      <c r="AU6401" s="14"/>
      <c r="AV6401" s="14"/>
      <c r="AW6401" s="15">
        <f t="shared" si="1159"/>
        <v>400</v>
      </c>
      <c r="AX6401" s="16"/>
    </row>
    <row r="6402" spans="2:50" x14ac:dyDescent="0.2">
      <c r="B6402" s="7"/>
      <c r="C6402" s="8">
        <v>16507</v>
      </c>
      <c r="D6402" s="9" t="s">
        <v>94</v>
      </c>
      <c r="E6402" s="10" t="str">
        <f t="shared" si="1154"/>
        <v>Rancho Landero No. 42</v>
      </c>
      <c r="F6402" s="10" t="str">
        <f t="shared" si="1155"/>
        <v>Ávila Fidel</v>
      </c>
      <c r="G6402" s="8">
        <v>1</v>
      </c>
      <c r="H6402" s="11">
        <v>400</v>
      </c>
      <c r="I6402" s="12">
        <v>43226</v>
      </c>
      <c r="J6402" s="35">
        <f t="shared" si="1156"/>
        <v>0</v>
      </c>
      <c r="K6402" s="36"/>
      <c r="L6402" s="36"/>
      <c r="M6402" s="36"/>
      <c r="N6402" s="36"/>
      <c r="O6402" s="36"/>
      <c r="P6402" s="36"/>
      <c r="Q6402" s="36"/>
      <c r="R6402" s="36"/>
      <c r="S6402" s="36"/>
      <c r="T6402" s="36"/>
      <c r="U6402" s="36"/>
      <c r="V6402" s="36"/>
      <c r="W6402" s="15">
        <f t="shared" si="1157"/>
        <v>0</v>
      </c>
      <c r="X6402" s="36"/>
      <c r="Y6402" s="36"/>
      <c r="Z6402" s="36"/>
      <c r="AA6402" s="36"/>
      <c r="AB6402" s="36"/>
      <c r="AC6402" s="36"/>
      <c r="AD6402" s="36"/>
      <c r="AE6402" s="36"/>
      <c r="AF6402" s="36"/>
      <c r="AG6402" s="36"/>
      <c r="AH6402" s="36"/>
      <c r="AI6402" s="36"/>
      <c r="AJ6402" s="15">
        <f t="shared" si="1158"/>
        <v>0</v>
      </c>
      <c r="AK6402" s="14"/>
      <c r="AL6402" s="14"/>
      <c r="AM6402" s="14"/>
      <c r="AN6402" s="14"/>
      <c r="AO6402" s="14">
        <v>400</v>
      </c>
      <c r="AP6402" s="14"/>
      <c r="AQ6402" s="14"/>
      <c r="AR6402" s="14"/>
      <c r="AS6402" s="14"/>
      <c r="AT6402" s="14"/>
      <c r="AU6402" s="14"/>
      <c r="AV6402" s="14"/>
      <c r="AW6402" s="15">
        <f t="shared" si="1159"/>
        <v>400</v>
      </c>
      <c r="AX6402" s="16"/>
    </row>
    <row r="6403" spans="2:50" x14ac:dyDescent="0.2">
      <c r="B6403" s="7"/>
      <c r="C6403" s="8">
        <v>16508</v>
      </c>
      <c r="D6403" s="9" t="s">
        <v>963</v>
      </c>
      <c r="E6403" s="10" t="str">
        <f t="shared" si="1154"/>
        <v>Rancho La Cuchilla No. 47</v>
      </c>
      <c r="F6403" s="10" t="str">
        <f t="shared" si="1155"/>
        <v>López</v>
      </c>
      <c r="G6403" s="8">
        <v>1</v>
      </c>
      <c r="H6403" s="11">
        <v>300</v>
      </c>
      <c r="I6403" s="12">
        <v>43226</v>
      </c>
      <c r="J6403" s="35">
        <f t="shared" si="1156"/>
        <v>0</v>
      </c>
      <c r="K6403" s="36"/>
      <c r="L6403" s="36"/>
      <c r="M6403" s="36"/>
      <c r="N6403" s="36"/>
      <c r="O6403" s="36"/>
      <c r="P6403" s="36"/>
      <c r="Q6403" s="36"/>
      <c r="R6403" s="36"/>
      <c r="S6403" s="36"/>
      <c r="T6403" s="36"/>
      <c r="U6403" s="36"/>
      <c r="V6403" s="36"/>
      <c r="W6403" s="15">
        <f t="shared" si="1157"/>
        <v>0</v>
      </c>
      <c r="X6403" s="36"/>
      <c r="Y6403" s="36"/>
      <c r="Z6403" s="36"/>
      <c r="AA6403" s="36"/>
      <c r="AB6403" s="36"/>
      <c r="AC6403" s="36"/>
      <c r="AD6403" s="36"/>
      <c r="AE6403" s="36"/>
      <c r="AF6403" s="36"/>
      <c r="AG6403" s="36"/>
      <c r="AH6403" s="36"/>
      <c r="AI6403" s="36"/>
      <c r="AJ6403" s="15">
        <f t="shared" si="1158"/>
        <v>0</v>
      </c>
      <c r="AK6403" s="14"/>
      <c r="AL6403" s="14"/>
      <c r="AM6403" s="14"/>
      <c r="AN6403" s="14">
        <v>300</v>
      </c>
      <c r="AO6403" s="14"/>
      <c r="AP6403" s="14"/>
      <c r="AQ6403" s="14"/>
      <c r="AR6403" s="14"/>
      <c r="AS6403" s="14"/>
      <c r="AT6403" s="14"/>
      <c r="AU6403" s="14"/>
      <c r="AV6403" s="14"/>
      <c r="AW6403" s="15">
        <f t="shared" si="1159"/>
        <v>300</v>
      </c>
      <c r="AX6403" s="16"/>
    </row>
    <row r="6404" spans="2:50" x14ac:dyDescent="0.2">
      <c r="B6404" s="7"/>
      <c r="C6404" s="8">
        <v>16509</v>
      </c>
      <c r="D6404" s="9" t="s">
        <v>620</v>
      </c>
      <c r="E6404" s="10" t="str">
        <f t="shared" si="1154"/>
        <v>Rancho La Cuchilla No. 32</v>
      </c>
      <c r="F6404" s="10" t="str">
        <f t="shared" si="1155"/>
        <v>Hernández</v>
      </c>
      <c r="G6404" s="8">
        <v>1</v>
      </c>
      <c r="H6404" s="11">
        <v>400</v>
      </c>
      <c r="I6404" s="12">
        <v>43226</v>
      </c>
      <c r="J6404" s="35">
        <f t="shared" si="1156"/>
        <v>0</v>
      </c>
      <c r="K6404" s="36"/>
      <c r="L6404" s="36"/>
      <c r="M6404" s="36"/>
      <c r="N6404" s="36"/>
      <c r="O6404" s="36"/>
      <c r="P6404" s="36"/>
      <c r="Q6404" s="36"/>
      <c r="R6404" s="36"/>
      <c r="S6404" s="36"/>
      <c r="T6404" s="36"/>
      <c r="U6404" s="36"/>
      <c r="V6404" s="36"/>
      <c r="W6404" s="15">
        <f t="shared" si="1157"/>
        <v>0</v>
      </c>
      <c r="X6404" s="36"/>
      <c r="Y6404" s="36"/>
      <c r="Z6404" s="36"/>
      <c r="AA6404" s="36"/>
      <c r="AB6404" s="36"/>
      <c r="AC6404" s="36"/>
      <c r="AD6404" s="36"/>
      <c r="AE6404" s="36"/>
      <c r="AF6404" s="36"/>
      <c r="AG6404" s="36"/>
      <c r="AH6404" s="36"/>
      <c r="AI6404" s="36"/>
      <c r="AJ6404" s="15">
        <f t="shared" si="1158"/>
        <v>0</v>
      </c>
      <c r="AK6404" s="14"/>
      <c r="AL6404" s="14"/>
      <c r="AM6404" s="14"/>
      <c r="AN6404" s="14">
        <v>400</v>
      </c>
      <c r="AO6404" s="14"/>
      <c r="AP6404" s="14"/>
      <c r="AQ6404" s="14"/>
      <c r="AR6404" s="14"/>
      <c r="AS6404" s="14"/>
      <c r="AT6404" s="14"/>
      <c r="AU6404" s="14"/>
      <c r="AV6404" s="14"/>
      <c r="AW6404" s="15">
        <f t="shared" si="1159"/>
        <v>400</v>
      </c>
      <c r="AX6404" s="16"/>
    </row>
    <row r="6405" spans="2:50" x14ac:dyDescent="0.2">
      <c r="B6405" s="7"/>
      <c r="C6405" s="8">
        <v>16510</v>
      </c>
      <c r="D6405" s="9" t="s">
        <v>226</v>
      </c>
      <c r="E6405" s="10" t="str">
        <f t="shared" si="1148"/>
        <v>Rancho Landero No. 31</v>
      </c>
      <c r="F6405" s="10" t="str">
        <f t="shared" si="1149"/>
        <v>Díaz Hernández</v>
      </c>
      <c r="G6405" s="8">
        <v>1</v>
      </c>
      <c r="H6405" s="11">
        <v>200</v>
      </c>
      <c r="I6405" s="12">
        <v>43226</v>
      </c>
      <c r="J6405" s="35">
        <f t="shared" si="1150"/>
        <v>0</v>
      </c>
      <c r="K6405" s="36"/>
      <c r="L6405" s="36"/>
      <c r="M6405" s="36"/>
      <c r="N6405" s="36"/>
      <c r="O6405" s="36"/>
      <c r="P6405" s="36"/>
      <c r="Q6405" s="36"/>
      <c r="R6405" s="36"/>
      <c r="S6405" s="36"/>
      <c r="T6405" s="36"/>
      <c r="U6405" s="36"/>
      <c r="V6405" s="36"/>
      <c r="W6405" s="15">
        <f t="shared" si="1151"/>
        <v>0</v>
      </c>
      <c r="X6405" s="36"/>
      <c r="Y6405" s="36"/>
      <c r="Z6405" s="36"/>
      <c r="AA6405" s="36"/>
      <c r="AB6405" s="36"/>
      <c r="AC6405" s="36"/>
      <c r="AD6405" s="36"/>
      <c r="AE6405" s="36"/>
      <c r="AF6405" s="36"/>
      <c r="AG6405" s="36"/>
      <c r="AH6405" s="36"/>
      <c r="AI6405" s="36"/>
      <c r="AJ6405" s="15">
        <f t="shared" si="1152"/>
        <v>0</v>
      </c>
      <c r="AK6405" s="14"/>
      <c r="AL6405" s="14"/>
      <c r="AM6405" s="14"/>
      <c r="AN6405" s="14"/>
      <c r="AO6405" s="14">
        <v>200</v>
      </c>
      <c r="AP6405" s="14"/>
      <c r="AQ6405" s="14"/>
      <c r="AR6405" s="14"/>
      <c r="AS6405" s="14"/>
      <c r="AT6405" s="14"/>
      <c r="AU6405" s="14"/>
      <c r="AV6405" s="14"/>
      <c r="AW6405" s="15">
        <f t="shared" si="1153"/>
        <v>200</v>
      </c>
      <c r="AX6405" s="16"/>
    </row>
    <row r="6406" spans="2:50" x14ac:dyDescent="0.2">
      <c r="B6406" s="7"/>
      <c r="C6406" s="8">
        <v>16511</v>
      </c>
      <c r="D6406" s="9" t="s">
        <v>620</v>
      </c>
      <c r="E6406" s="10" t="str">
        <f t="shared" si="1148"/>
        <v>Rancho La Cuchilla No. 32</v>
      </c>
      <c r="F6406" s="10" t="str">
        <f t="shared" si="1149"/>
        <v>Hernández</v>
      </c>
      <c r="G6406" s="8">
        <v>1</v>
      </c>
      <c r="H6406" s="11">
        <v>400</v>
      </c>
      <c r="I6406" s="12">
        <v>43226</v>
      </c>
      <c r="J6406" s="35">
        <f t="shared" si="1150"/>
        <v>0</v>
      </c>
      <c r="K6406" s="36"/>
      <c r="L6406" s="36"/>
      <c r="M6406" s="36"/>
      <c r="N6406" s="36"/>
      <c r="O6406" s="36"/>
      <c r="P6406" s="36"/>
      <c r="Q6406" s="36"/>
      <c r="R6406" s="36"/>
      <c r="S6406" s="36"/>
      <c r="T6406" s="36"/>
      <c r="U6406" s="36"/>
      <c r="V6406" s="36"/>
      <c r="W6406" s="15">
        <f t="shared" si="1151"/>
        <v>0</v>
      </c>
      <c r="X6406" s="36"/>
      <c r="Y6406" s="36"/>
      <c r="Z6406" s="36"/>
      <c r="AA6406" s="36"/>
      <c r="AB6406" s="36"/>
      <c r="AC6406" s="36"/>
      <c r="AD6406" s="36"/>
      <c r="AE6406" s="36"/>
      <c r="AF6406" s="36"/>
      <c r="AG6406" s="36"/>
      <c r="AH6406" s="36"/>
      <c r="AI6406" s="36"/>
      <c r="AJ6406" s="15">
        <f t="shared" si="1152"/>
        <v>0</v>
      </c>
      <c r="AK6406" s="14"/>
      <c r="AL6406" s="14"/>
      <c r="AM6406" s="14">
        <v>400</v>
      </c>
      <c r="AN6406" s="14"/>
      <c r="AO6406" s="14"/>
      <c r="AP6406" s="14"/>
      <c r="AQ6406" s="14"/>
      <c r="AR6406" s="14"/>
      <c r="AS6406" s="14"/>
      <c r="AT6406" s="14"/>
      <c r="AU6406" s="14"/>
      <c r="AV6406" s="14"/>
      <c r="AW6406" s="15">
        <f t="shared" si="1153"/>
        <v>400</v>
      </c>
      <c r="AX6406" s="16"/>
    </row>
    <row r="6407" spans="2:50" x14ac:dyDescent="0.2">
      <c r="B6407" s="7"/>
      <c r="C6407" s="8">
        <v>16512</v>
      </c>
      <c r="D6407" s="9" t="s">
        <v>103</v>
      </c>
      <c r="E6407" s="10" t="str">
        <f t="shared" si="1136"/>
        <v>Rancho La Cuchilla No. 41</v>
      </c>
      <c r="F6407" s="10" t="str">
        <f t="shared" si="1137"/>
        <v>Arriaga Lemus</v>
      </c>
      <c r="G6407" s="8">
        <v>1</v>
      </c>
      <c r="H6407" s="11">
        <v>400</v>
      </c>
      <c r="I6407" s="12">
        <v>43226</v>
      </c>
      <c r="J6407" s="35">
        <f t="shared" si="1138"/>
        <v>0</v>
      </c>
      <c r="K6407" s="36"/>
      <c r="L6407" s="36"/>
      <c r="M6407" s="36"/>
      <c r="N6407" s="36"/>
      <c r="O6407" s="36"/>
      <c r="P6407" s="36"/>
      <c r="Q6407" s="36"/>
      <c r="R6407" s="36"/>
      <c r="S6407" s="36"/>
      <c r="T6407" s="36"/>
      <c r="U6407" s="36"/>
      <c r="V6407" s="36"/>
      <c r="W6407" s="15">
        <f t="shared" si="1139"/>
        <v>0</v>
      </c>
      <c r="X6407" s="36"/>
      <c r="Y6407" s="36"/>
      <c r="Z6407" s="36"/>
      <c r="AA6407" s="36"/>
      <c r="AB6407" s="36"/>
      <c r="AC6407" s="36"/>
      <c r="AD6407" s="36"/>
      <c r="AE6407" s="36"/>
      <c r="AF6407" s="36"/>
      <c r="AG6407" s="36"/>
      <c r="AH6407" s="36"/>
      <c r="AI6407" s="36"/>
      <c r="AJ6407" s="15">
        <f t="shared" si="1140"/>
        <v>0</v>
      </c>
      <c r="AK6407" s="14"/>
      <c r="AL6407" s="14"/>
      <c r="AM6407" s="14"/>
      <c r="AN6407" s="14">
        <v>400</v>
      </c>
      <c r="AO6407" s="14"/>
      <c r="AP6407" s="14"/>
      <c r="AQ6407" s="14"/>
      <c r="AR6407" s="14"/>
      <c r="AS6407" s="14"/>
      <c r="AT6407" s="14"/>
      <c r="AU6407" s="14"/>
      <c r="AV6407" s="14"/>
      <c r="AW6407" s="15">
        <f t="shared" si="1141"/>
        <v>400</v>
      </c>
      <c r="AX6407" s="16"/>
    </row>
    <row r="6408" spans="2:50" x14ac:dyDescent="0.2">
      <c r="B6408" s="7"/>
      <c r="C6408" s="8">
        <v>16513</v>
      </c>
      <c r="D6408" s="9" t="s">
        <v>189</v>
      </c>
      <c r="E6408" s="10" t="str">
        <f t="shared" si="1136"/>
        <v>Rancho La Cuchilla No. 42</v>
      </c>
      <c r="F6408" s="10" t="str">
        <f t="shared" si="1137"/>
        <v>Mac Kinney</v>
      </c>
      <c r="G6408" s="8">
        <v>1</v>
      </c>
      <c r="H6408" s="11">
        <v>400</v>
      </c>
      <c r="I6408" s="12">
        <v>43226</v>
      </c>
      <c r="J6408" s="35">
        <f t="shared" si="1138"/>
        <v>0</v>
      </c>
      <c r="K6408" s="36"/>
      <c r="L6408" s="36"/>
      <c r="M6408" s="36"/>
      <c r="N6408" s="36"/>
      <c r="O6408" s="36"/>
      <c r="P6408" s="36"/>
      <c r="Q6408" s="36"/>
      <c r="R6408" s="36"/>
      <c r="S6408" s="36"/>
      <c r="T6408" s="36"/>
      <c r="U6408" s="36"/>
      <c r="V6408" s="36"/>
      <c r="W6408" s="15">
        <f t="shared" si="1139"/>
        <v>0</v>
      </c>
      <c r="X6408" s="36"/>
      <c r="Y6408" s="36"/>
      <c r="Z6408" s="36"/>
      <c r="AA6408" s="36"/>
      <c r="AB6408" s="36"/>
      <c r="AC6408" s="36"/>
      <c r="AD6408" s="36"/>
      <c r="AE6408" s="36"/>
      <c r="AF6408" s="36"/>
      <c r="AG6408" s="36"/>
      <c r="AH6408" s="36"/>
      <c r="AI6408" s="36">
        <f>SUM(AU6337)</f>
        <v>0</v>
      </c>
      <c r="AJ6408" s="15">
        <f t="shared" si="1140"/>
        <v>0</v>
      </c>
      <c r="AK6408" s="14"/>
      <c r="AL6408" s="14"/>
      <c r="AM6408" s="14">
        <v>400</v>
      </c>
      <c r="AN6408" s="14"/>
      <c r="AO6408" s="14"/>
      <c r="AP6408" s="14"/>
      <c r="AQ6408" s="14"/>
      <c r="AR6408" s="14"/>
      <c r="AS6408" s="14"/>
      <c r="AT6408" s="14"/>
      <c r="AU6408" s="14"/>
      <c r="AV6408" s="14"/>
      <c r="AW6408" s="15">
        <f t="shared" si="1141"/>
        <v>400</v>
      </c>
      <c r="AX6408" s="316">
        <f>SUM(H6363:H6408)</f>
        <v>17225</v>
      </c>
    </row>
    <row r="6409" spans="2:50" x14ac:dyDescent="0.2">
      <c r="B6409" s="7"/>
      <c r="C6409" s="8">
        <v>16514</v>
      </c>
      <c r="D6409" s="9" t="s">
        <v>598</v>
      </c>
      <c r="E6409" s="10" t="str">
        <f t="shared" si="1124"/>
        <v>Rancho Estanzuela No. 21</v>
      </c>
      <c r="F6409" s="10" t="str">
        <f t="shared" si="1125"/>
        <v>Morales</v>
      </c>
      <c r="G6409" s="8">
        <v>4</v>
      </c>
      <c r="H6409" s="315">
        <v>200</v>
      </c>
      <c r="I6409" s="12">
        <v>43229</v>
      </c>
      <c r="J6409" s="35">
        <f t="shared" si="1126"/>
        <v>0</v>
      </c>
      <c r="K6409" s="36"/>
      <c r="L6409" s="36"/>
      <c r="M6409" s="36"/>
      <c r="N6409" s="36"/>
      <c r="O6409" s="36"/>
      <c r="P6409" s="36"/>
      <c r="Q6409" s="36"/>
      <c r="R6409" s="36"/>
      <c r="S6409" s="36"/>
      <c r="T6409" s="36"/>
      <c r="U6409" s="36"/>
      <c r="V6409" s="36"/>
      <c r="W6409" s="15">
        <f t="shared" si="1127"/>
        <v>0</v>
      </c>
      <c r="X6409" s="36"/>
      <c r="Y6409" s="36"/>
      <c r="Z6409" s="36"/>
      <c r="AA6409" s="36"/>
      <c r="AB6409" s="36"/>
      <c r="AC6409" s="36"/>
      <c r="AD6409" s="36"/>
      <c r="AE6409" s="36"/>
      <c r="AF6409" s="36"/>
      <c r="AG6409" s="36"/>
      <c r="AH6409" s="36"/>
      <c r="AI6409" s="36"/>
      <c r="AJ6409" s="15">
        <f t="shared" si="1128"/>
        <v>0</v>
      </c>
      <c r="AK6409" s="14"/>
      <c r="AL6409" s="14"/>
      <c r="AM6409" s="14"/>
      <c r="AN6409" s="14"/>
      <c r="AO6409" s="14"/>
      <c r="AP6409" s="14"/>
      <c r="AQ6409" s="14"/>
      <c r="AR6409" s="14"/>
      <c r="AS6409" s="14"/>
      <c r="AT6409" s="14"/>
      <c r="AU6409" s="14"/>
      <c r="AV6409" s="14"/>
      <c r="AW6409" s="15">
        <f t="shared" si="1129"/>
        <v>0</v>
      </c>
      <c r="AX6409" s="16" t="s">
        <v>5255</v>
      </c>
    </row>
    <row r="6410" spans="2:50" x14ac:dyDescent="0.2">
      <c r="B6410" s="7"/>
      <c r="C6410" s="8">
        <v>16515</v>
      </c>
      <c r="D6410" s="9" t="s">
        <v>598</v>
      </c>
      <c r="E6410" s="10" t="str">
        <f t="shared" ref="E6410:E6458" si="1160">IF(D6410=0,"",VLOOKUP(D6410,BASE,2,FALSE))</f>
        <v>Rancho Estanzuela No. 21</v>
      </c>
      <c r="F6410" s="10" t="str">
        <f t="shared" ref="F6410:F6458" si="1161">IF(D6410=0,"",VLOOKUP(D6410,BASE,3,FALSE))</f>
        <v>Morales</v>
      </c>
      <c r="G6410" s="8">
        <v>1</v>
      </c>
      <c r="H6410" s="11">
        <v>800</v>
      </c>
      <c r="I6410" s="12">
        <v>43229</v>
      </c>
      <c r="J6410" s="35">
        <f t="shared" ref="J6410:J6458" si="1162">IF(G6410=1,SUM(W6410,AJ6410,AW6410,-H6410),0)</f>
        <v>0</v>
      </c>
      <c r="K6410" s="36"/>
      <c r="L6410" s="36"/>
      <c r="M6410" s="36"/>
      <c r="N6410" s="36"/>
      <c r="O6410" s="36"/>
      <c r="P6410" s="36"/>
      <c r="Q6410" s="36"/>
      <c r="R6410" s="36"/>
      <c r="S6410" s="36"/>
      <c r="T6410" s="36"/>
      <c r="U6410" s="36"/>
      <c r="V6410" s="36"/>
      <c r="W6410" s="15">
        <f t="shared" ref="W6410:W6458" si="1163">SUM(K6410:V6410)</f>
        <v>0</v>
      </c>
      <c r="X6410" s="36"/>
      <c r="Y6410" s="36"/>
      <c r="Z6410" s="36"/>
      <c r="AA6410" s="36"/>
      <c r="AB6410" s="36"/>
      <c r="AC6410" s="36"/>
      <c r="AD6410" s="36"/>
      <c r="AE6410" s="36"/>
      <c r="AF6410" s="36"/>
      <c r="AG6410" s="36"/>
      <c r="AH6410" s="36"/>
      <c r="AI6410" s="36"/>
      <c r="AJ6410" s="15">
        <f t="shared" ref="AJ6410:AJ6458" si="1164">SUM(X6410:AI6410)</f>
        <v>0</v>
      </c>
      <c r="AK6410" s="14"/>
      <c r="AL6410" s="14"/>
      <c r="AM6410" s="14"/>
      <c r="AN6410" s="14">
        <v>400</v>
      </c>
      <c r="AO6410" s="14">
        <v>400</v>
      </c>
      <c r="AP6410" s="14"/>
      <c r="AQ6410" s="14"/>
      <c r="AR6410" s="14"/>
      <c r="AS6410" s="14"/>
      <c r="AT6410" s="14"/>
      <c r="AU6410" s="14"/>
      <c r="AV6410" s="14"/>
      <c r="AW6410" s="15">
        <f t="shared" ref="AW6410:AW6458" si="1165">SUM(AK6410:AV6410)</f>
        <v>800</v>
      </c>
      <c r="AX6410" s="16"/>
    </row>
    <row r="6411" spans="2:50" x14ac:dyDescent="0.2">
      <c r="B6411" s="7"/>
      <c r="C6411" s="8">
        <v>16516</v>
      </c>
      <c r="D6411" s="9" t="s">
        <v>346</v>
      </c>
      <c r="E6411" s="10" t="str">
        <f t="shared" si="1160"/>
        <v>Rancho Upácuaro No. 108</v>
      </c>
      <c r="F6411" s="10" t="str">
        <f t="shared" si="1161"/>
        <v>Mejía</v>
      </c>
      <c r="G6411" s="8">
        <v>1</v>
      </c>
      <c r="H6411" s="11">
        <v>300</v>
      </c>
      <c r="I6411" s="12">
        <v>43230</v>
      </c>
      <c r="J6411" s="35">
        <f t="shared" si="1162"/>
        <v>0</v>
      </c>
      <c r="K6411" s="36"/>
      <c r="L6411" s="36"/>
      <c r="M6411" s="36"/>
      <c r="N6411" s="36"/>
      <c r="O6411" s="36"/>
      <c r="P6411" s="36"/>
      <c r="Q6411" s="36"/>
      <c r="R6411" s="36"/>
      <c r="S6411" s="36"/>
      <c r="T6411" s="36"/>
      <c r="U6411" s="36"/>
      <c r="V6411" s="36"/>
      <c r="W6411" s="15">
        <f t="shared" si="1163"/>
        <v>0</v>
      </c>
      <c r="X6411" s="36"/>
      <c r="Y6411" s="36"/>
      <c r="Z6411" s="36"/>
      <c r="AA6411" s="36"/>
      <c r="AB6411" s="36"/>
      <c r="AC6411" s="36"/>
      <c r="AD6411" s="36"/>
      <c r="AE6411" s="36"/>
      <c r="AF6411" s="36"/>
      <c r="AG6411" s="36"/>
      <c r="AH6411" s="36"/>
      <c r="AI6411" s="36"/>
      <c r="AJ6411" s="15">
        <f t="shared" si="1164"/>
        <v>0</v>
      </c>
      <c r="AK6411" s="14"/>
      <c r="AL6411" s="14"/>
      <c r="AM6411" s="14"/>
      <c r="AN6411" s="14"/>
      <c r="AO6411" s="14">
        <v>300</v>
      </c>
      <c r="AP6411" s="14"/>
      <c r="AQ6411" s="14"/>
      <c r="AR6411" s="14"/>
      <c r="AS6411" s="14"/>
      <c r="AT6411" s="14"/>
      <c r="AU6411" s="14"/>
      <c r="AV6411" s="14"/>
      <c r="AW6411" s="15">
        <f t="shared" si="1165"/>
        <v>300</v>
      </c>
      <c r="AX6411" s="16"/>
    </row>
    <row r="6412" spans="2:50" x14ac:dyDescent="0.2">
      <c r="B6412" s="7"/>
      <c r="C6412" s="8">
        <v>16517</v>
      </c>
      <c r="D6412" s="9" t="s">
        <v>687</v>
      </c>
      <c r="E6412" s="10" t="str">
        <f t="shared" si="1160"/>
        <v>Rancho Upácuaro No. 21</v>
      </c>
      <c r="F6412" s="10" t="str">
        <f t="shared" si="1161"/>
        <v>Fierro Betancourt</v>
      </c>
      <c r="G6412" s="8">
        <v>4</v>
      </c>
      <c r="H6412" s="11">
        <v>200</v>
      </c>
      <c r="I6412" s="12">
        <v>43230</v>
      </c>
      <c r="J6412" s="35">
        <f t="shared" si="1162"/>
        <v>0</v>
      </c>
      <c r="K6412" s="36"/>
      <c r="L6412" s="36"/>
      <c r="M6412" s="36"/>
      <c r="N6412" s="36"/>
      <c r="O6412" s="36"/>
      <c r="P6412" s="36"/>
      <c r="Q6412" s="36"/>
      <c r="R6412" s="36"/>
      <c r="S6412" s="36"/>
      <c r="T6412" s="36"/>
      <c r="U6412" s="36"/>
      <c r="V6412" s="36"/>
      <c r="W6412" s="15">
        <f t="shared" si="1163"/>
        <v>0</v>
      </c>
      <c r="X6412" s="36"/>
      <c r="Y6412" s="36"/>
      <c r="Z6412" s="36"/>
      <c r="AA6412" s="36"/>
      <c r="AB6412" s="36"/>
      <c r="AC6412" s="36"/>
      <c r="AD6412" s="36"/>
      <c r="AE6412" s="36"/>
      <c r="AF6412" s="36"/>
      <c r="AG6412" s="36"/>
      <c r="AH6412" s="36"/>
      <c r="AI6412" s="36"/>
      <c r="AJ6412" s="15">
        <f t="shared" si="1164"/>
        <v>0</v>
      </c>
      <c r="AK6412" s="14"/>
      <c r="AL6412" s="14"/>
      <c r="AM6412" s="14"/>
      <c r="AN6412" s="14"/>
      <c r="AO6412" s="14"/>
      <c r="AP6412" s="14"/>
      <c r="AQ6412" s="14"/>
      <c r="AR6412" s="14"/>
      <c r="AS6412" s="14"/>
      <c r="AT6412" s="14"/>
      <c r="AU6412" s="14"/>
      <c r="AV6412" s="14"/>
      <c r="AW6412" s="15">
        <f t="shared" si="1165"/>
        <v>0</v>
      </c>
      <c r="AX6412" s="16" t="s">
        <v>5256</v>
      </c>
    </row>
    <row r="6413" spans="2:50" x14ac:dyDescent="0.2">
      <c r="B6413" s="7"/>
      <c r="C6413" s="8">
        <v>16518</v>
      </c>
      <c r="D6413" s="9" t="s">
        <v>494</v>
      </c>
      <c r="E6413" s="10" t="str">
        <f t="shared" si="1160"/>
        <v>Rancho Landero No. 2, B</v>
      </c>
      <c r="F6413" s="10" t="str">
        <f t="shared" si="1161"/>
        <v>Pack Mail</v>
      </c>
      <c r="G6413" s="8">
        <v>1</v>
      </c>
      <c r="H6413" s="11">
        <v>450</v>
      </c>
      <c r="I6413" s="12">
        <v>43231</v>
      </c>
      <c r="J6413" s="35">
        <f t="shared" si="1162"/>
        <v>0</v>
      </c>
      <c r="K6413" s="36"/>
      <c r="L6413" s="36"/>
      <c r="M6413" s="36"/>
      <c r="N6413" s="36"/>
      <c r="O6413" s="36"/>
      <c r="P6413" s="36"/>
      <c r="Q6413" s="36"/>
      <c r="R6413" s="36"/>
      <c r="S6413" s="36"/>
      <c r="T6413" s="36"/>
      <c r="U6413" s="36"/>
      <c r="V6413" s="36"/>
      <c r="W6413" s="15">
        <f t="shared" si="1163"/>
        <v>0</v>
      </c>
      <c r="X6413" s="36"/>
      <c r="Y6413" s="36"/>
      <c r="Z6413" s="36"/>
      <c r="AA6413" s="36"/>
      <c r="AB6413" s="36"/>
      <c r="AC6413" s="36"/>
      <c r="AD6413" s="36"/>
      <c r="AE6413" s="36"/>
      <c r="AF6413" s="36"/>
      <c r="AG6413" s="36"/>
      <c r="AH6413" s="36"/>
      <c r="AI6413" s="36"/>
      <c r="AJ6413" s="15">
        <f t="shared" si="1164"/>
        <v>0</v>
      </c>
      <c r="AK6413" s="14"/>
      <c r="AL6413" s="14">
        <v>150</v>
      </c>
      <c r="AM6413" s="14">
        <v>150</v>
      </c>
      <c r="AN6413" s="14">
        <v>150</v>
      </c>
      <c r="AO6413" s="14"/>
      <c r="AP6413" s="14"/>
      <c r="AQ6413" s="14"/>
      <c r="AR6413" s="14"/>
      <c r="AS6413" s="14"/>
      <c r="AT6413" s="14"/>
      <c r="AU6413" s="14"/>
      <c r="AV6413" s="14"/>
      <c r="AW6413" s="15">
        <f t="shared" si="1165"/>
        <v>450</v>
      </c>
      <c r="AX6413" s="16"/>
    </row>
    <row r="6414" spans="2:50" x14ac:dyDescent="0.2">
      <c r="B6414" s="7"/>
      <c r="C6414" s="8">
        <v>16519</v>
      </c>
      <c r="D6414" s="9" t="s">
        <v>488</v>
      </c>
      <c r="E6414" s="10" t="str">
        <f t="shared" si="1160"/>
        <v>Rancho Landero No. 85</v>
      </c>
      <c r="F6414" s="10" t="str">
        <f t="shared" si="1161"/>
        <v>Martínez Olague</v>
      </c>
      <c r="G6414" s="8">
        <v>1</v>
      </c>
      <c r="H6414" s="11">
        <v>400</v>
      </c>
      <c r="I6414" s="12">
        <v>43233</v>
      </c>
      <c r="J6414" s="35">
        <f t="shared" si="1162"/>
        <v>0</v>
      </c>
      <c r="K6414" s="36"/>
      <c r="L6414" s="36"/>
      <c r="M6414" s="36"/>
      <c r="N6414" s="36"/>
      <c r="O6414" s="36"/>
      <c r="P6414" s="36"/>
      <c r="Q6414" s="36"/>
      <c r="R6414" s="36"/>
      <c r="S6414" s="36"/>
      <c r="T6414" s="36"/>
      <c r="U6414" s="36"/>
      <c r="V6414" s="36"/>
      <c r="W6414" s="15">
        <f t="shared" si="1163"/>
        <v>0</v>
      </c>
      <c r="X6414" s="36"/>
      <c r="Y6414" s="36"/>
      <c r="Z6414" s="36"/>
      <c r="AA6414" s="36"/>
      <c r="AB6414" s="36"/>
      <c r="AC6414" s="36"/>
      <c r="AD6414" s="36"/>
      <c r="AE6414" s="36"/>
      <c r="AF6414" s="36"/>
      <c r="AG6414" s="36"/>
      <c r="AH6414" s="36"/>
      <c r="AI6414" s="36"/>
      <c r="AJ6414" s="15">
        <f t="shared" si="1164"/>
        <v>0</v>
      </c>
      <c r="AK6414" s="14"/>
      <c r="AL6414" s="14"/>
      <c r="AM6414" s="14"/>
      <c r="AN6414" s="14"/>
      <c r="AO6414" s="14">
        <v>400</v>
      </c>
      <c r="AP6414" s="14"/>
      <c r="AQ6414" s="14"/>
      <c r="AR6414" s="14"/>
      <c r="AS6414" s="14"/>
      <c r="AT6414" s="14"/>
      <c r="AU6414" s="14"/>
      <c r="AV6414" s="14"/>
      <c r="AW6414" s="15">
        <f t="shared" si="1165"/>
        <v>400</v>
      </c>
      <c r="AX6414" s="16"/>
    </row>
    <row r="6415" spans="2:50" x14ac:dyDescent="0.2">
      <c r="B6415" s="7"/>
      <c r="C6415" s="8">
        <v>16520</v>
      </c>
      <c r="D6415" s="9" t="s">
        <v>384</v>
      </c>
      <c r="E6415" s="10" t="str">
        <f t="shared" si="1160"/>
        <v>Rancho Zinamba No. 88</v>
      </c>
      <c r="F6415" s="10" t="str">
        <f t="shared" si="1161"/>
        <v>Martínez</v>
      </c>
      <c r="G6415" s="8">
        <v>1</v>
      </c>
      <c r="H6415" s="11">
        <v>300</v>
      </c>
      <c r="I6415" s="12">
        <v>43233</v>
      </c>
      <c r="J6415" s="35">
        <f t="shared" si="1162"/>
        <v>0</v>
      </c>
      <c r="K6415" s="36"/>
      <c r="L6415" s="36"/>
      <c r="M6415" s="36"/>
      <c r="N6415" s="36"/>
      <c r="O6415" s="36"/>
      <c r="P6415" s="36"/>
      <c r="Q6415" s="36"/>
      <c r="R6415" s="36"/>
      <c r="S6415" s="36"/>
      <c r="T6415" s="36"/>
      <c r="U6415" s="36"/>
      <c r="V6415" s="36"/>
      <c r="W6415" s="15">
        <f t="shared" si="1163"/>
        <v>0</v>
      </c>
      <c r="X6415" s="36"/>
      <c r="Y6415" s="36"/>
      <c r="Z6415" s="36"/>
      <c r="AA6415" s="36"/>
      <c r="AB6415" s="36"/>
      <c r="AC6415" s="36"/>
      <c r="AD6415" s="36"/>
      <c r="AE6415" s="36"/>
      <c r="AF6415" s="36"/>
      <c r="AG6415" s="36"/>
      <c r="AH6415" s="36"/>
      <c r="AI6415" s="36"/>
      <c r="AJ6415" s="15">
        <f t="shared" si="1164"/>
        <v>0</v>
      </c>
      <c r="AK6415" s="14"/>
      <c r="AL6415" s="14"/>
      <c r="AM6415" s="14"/>
      <c r="AN6415" s="14"/>
      <c r="AO6415" s="14">
        <v>300</v>
      </c>
      <c r="AP6415" s="14"/>
      <c r="AQ6415" s="14"/>
      <c r="AR6415" s="14"/>
      <c r="AS6415" s="14"/>
      <c r="AT6415" s="14"/>
      <c r="AU6415" s="14"/>
      <c r="AV6415" s="14"/>
      <c r="AW6415" s="15">
        <f t="shared" si="1165"/>
        <v>300</v>
      </c>
      <c r="AX6415" s="16"/>
    </row>
    <row r="6416" spans="2:50" x14ac:dyDescent="0.2">
      <c r="B6416" s="7"/>
      <c r="C6416" s="8">
        <v>16521</v>
      </c>
      <c r="D6416" s="9" t="s">
        <v>298</v>
      </c>
      <c r="E6416" s="10" t="str">
        <f t="shared" si="1160"/>
        <v>Rancho Landero No. 94</v>
      </c>
      <c r="F6416" s="10" t="str">
        <f t="shared" si="1161"/>
        <v>Medina</v>
      </c>
      <c r="G6416" s="8">
        <v>1</v>
      </c>
      <c r="H6416" s="11">
        <v>400</v>
      </c>
      <c r="I6416" s="12">
        <v>43233</v>
      </c>
      <c r="J6416" s="35">
        <f t="shared" si="1162"/>
        <v>0</v>
      </c>
      <c r="K6416" s="36"/>
      <c r="L6416" s="36"/>
      <c r="M6416" s="36"/>
      <c r="N6416" s="36"/>
      <c r="O6416" s="36"/>
      <c r="P6416" s="36"/>
      <c r="Q6416" s="36"/>
      <c r="R6416" s="36"/>
      <c r="S6416" s="36"/>
      <c r="T6416" s="36"/>
      <c r="U6416" s="36"/>
      <c r="V6416" s="36"/>
      <c r="W6416" s="15">
        <f t="shared" si="1163"/>
        <v>0</v>
      </c>
      <c r="X6416" s="36"/>
      <c r="Y6416" s="36"/>
      <c r="Z6416" s="36"/>
      <c r="AA6416" s="36"/>
      <c r="AB6416" s="36"/>
      <c r="AC6416" s="36"/>
      <c r="AD6416" s="36"/>
      <c r="AE6416" s="36"/>
      <c r="AF6416" s="36"/>
      <c r="AG6416" s="36"/>
      <c r="AH6416" s="36"/>
      <c r="AI6416" s="36"/>
      <c r="AJ6416" s="15">
        <f t="shared" si="1164"/>
        <v>0</v>
      </c>
      <c r="AK6416" s="14"/>
      <c r="AL6416" s="14"/>
      <c r="AM6416" s="14"/>
      <c r="AN6416" s="14">
        <v>200</v>
      </c>
      <c r="AO6416" s="14">
        <v>200</v>
      </c>
      <c r="AP6416" s="14"/>
      <c r="AQ6416" s="14"/>
      <c r="AR6416" s="14"/>
      <c r="AS6416" s="14"/>
      <c r="AT6416" s="14"/>
      <c r="AU6416" s="14"/>
      <c r="AV6416" s="14"/>
      <c r="AW6416" s="15">
        <f t="shared" si="1165"/>
        <v>400</v>
      </c>
      <c r="AX6416" s="16"/>
    </row>
    <row r="6417" spans="2:50" x14ac:dyDescent="0.2">
      <c r="B6417" s="7"/>
      <c r="C6417" s="8">
        <v>16522</v>
      </c>
      <c r="D6417" s="9" t="s">
        <v>458</v>
      </c>
      <c r="E6417" s="10" t="str">
        <f t="shared" si="1160"/>
        <v>Rancho Estanzuela No. 143, B</v>
      </c>
      <c r="F6417" s="10" t="str">
        <f t="shared" si="1161"/>
        <v>López</v>
      </c>
      <c r="G6417" s="8">
        <v>1</v>
      </c>
      <c r="H6417" s="11">
        <v>400</v>
      </c>
      <c r="I6417" s="12">
        <v>43233</v>
      </c>
      <c r="J6417" s="35">
        <f t="shared" si="1162"/>
        <v>0</v>
      </c>
      <c r="K6417" s="36"/>
      <c r="L6417" s="36"/>
      <c r="M6417" s="36"/>
      <c r="N6417" s="36"/>
      <c r="O6417" s="36"/>
      <c r="P6417" s="36"/>
      <c r="Q6417" s="36"/>
      <c r="R6417" s="36"/>
      <c r="S6417" s="36"/>
      <c r="T6417" s="36"/>
      <c r="U6417" s="36"/>
      <c r="V6417" s="36"/>
      <c r="W6417" s="15">
        <f t="shared" si="1163"/>
        <v>0</v>
      </c>
      <c r="X6417" s="36"/>
      <c r="Y6417" s="36"/>
      <c r="Z6417" s="36"/>
      <c r="AA6417" s="36"/>
      <c r="AB6417" s="36"/>
      <c r="AC6417" s="36"/>
      <c r="AD6417" s="36"/>
      <c r="AE6417" s="36"/>
      <c r="AF6417" s="36"/>
      <c r="AG6417" s="36"/>
      <c r="AH6417" s="36"/>
      <c r="AI6417" s="36"/>
      <c r="AJ6417" s="15">
        <f t="shared" si="1164"/>
        <v>0</v>
      </c>
      <c r="AK6417" s="14"/>
      <c r="AL6417" s="14"/>
      <c r="AM6417" s="14"/>
      <c r="AN6417" s="14">
        <v>400</v>
      </c>
      <c r="AO6417" s="14"/>
      <c r="AP6417" s="14"/>
      <c r="AQ6417" s="14"/>
      <c r="AR6417" s="14"/>
      <c r="AS6417" s="14"/>
      <c r="AT6417" s="14"/>
      <c r="AU6417" s="14"/>
      <c r="AV6417" s="14"/>
      <c r="AW6417" s="15">
        <f t="shared" si="1165"/>
        <v>400</v>
      </c>
      <c r="AX6417" s="16"/>
    </row>
    <row r="6418" spans="2:50" x14ac:dyDescent="0.2">
      <c r="B6418" s="7"/>
      <c r="C6418" s="8">
        <v>16523</v>
      </c>
      <c r="D6418" s="9" t="s">
        <v>214</v>
      </c>
      <c r="E6418" s="10" t="str">
        <f t="shared" si="1160"/>
        <v>Rancho Romeral No. 30</v>
      </c>
      <c r="F6418" s="10" t="str">
        <f t="shared" si="1161"/>
        <v>Osorio</v>
      </c>
      <c r="G6418" s="8">
        <v>1</v>
      </c>
      <c r="H6418" s="11">
        <v>400</v>
      </c>
      <c r="I6418" s="12">
        <v>43233</v>
      </c>
      <c r="J6418" s="35">
        <f t="shared" si="1162"/>
        <v>0</v>
      </c>
      <c r="K6418" s="36"/>
      <c r="L6418" s="36"/>
      <c r="M6418" s="36"/>
      <c r="N6418" s="36"/>
      <c r="O6418" s="36"/>
      <c r="P6418" s="36"/>
      <c r="Q6418" s="36"/>
      <c r="R6418" s="36"/>
      <c r="S6418" s="36"/>
      <c r="T6418" s="36"/>
      <c r="U6418" s="36"/>
      <c r="V6418" s="36"/>
      <c r="W6418" s="15">
        <f t="shared" si="1163"/>
        <v>0</v>
      </c>
      <c r="X6418" s="36"/>
      <c r="Y6418" s="36"/>
      <c r="Z6418" s="36"/>
      <c r="AA6418" s="36"/>
      <c r="AB6418" s="36">
        <v>200</v>
      </c>
      <c r="AC6418" s="36"/>
      <c r="AD6418" s="36"/>
      <c r="AE6418" s="36"/>
      <c r="AF6418" s="36"/>
      <c r="AG6418" s="36"/>
      <c r="AH6418" s="36"/>
      <c r="AI6418" s="36"/>
      <c r="AJ6418" s="15">
        <f t="shared" si="1164"/>
        <v>200</v>
      </c>
      <c r="AK6418" s="14">
        <v>200</v>
      </c>
      <c r="AL6418" s="14"/>
      <c r="AM6418" s="14"/>
      <c r="AN6418" s="14"/>
      <c r="AO6418" s="14"/>
      <c r="AP6418" s="14"/>
      <c r="AQ6418" s="14"/>
      <c r="AR6418" s="14"/>
      <c r="AS6418" s="14"/>
      <c r="AT6418" s="14"/>
      <c r="AU6418" s="14"/>
      <c r="AV6418" s="14"/>
      <c r="AW6418" s="15">
        <f t="shared" si="1165"/>
        <v>200</v>
      </c>
      <c r="AX6418" s="16"/>
    </row>
    <row r="6419" spans="2:50" x14ac:dyDescent="0.2">
      <c r="B6419" s="7"/>
      <c r="C6419" s="8">
        <v>16524</v>
      </c>
      <c r="D6419" s="9" t="s">
        <v>874</v>
      </c>
      <c r="E6419" s="10" t="str">
        <f t="shared" si="1160"/>
        <v>Rancho Zinamba No. 46</v>
      </c>
      <c r="F6419" s="10" t="str">
        <f t="shared" si="1161"/>
        <v>Olguín</v>
      </c>
      <c r="G6419" s="8">
        <v>1</v>
      </c>
      <c r="H6419" s="11">
        <v>200</v>
      </c>
      <c r="I6419" s="12">
        <v>43233</v>
      </c>
      <c r="J6419" s="35">
        <f t="shared" si="1162"/>
        <v>0</v>
      </c>
      <c r="K6419" s="36"/>
      <c r="L6419" s="36"/>
      <c r="M6419" s="36"/>
      <c r="N6419" s="36"/>
      <c r="O6419" s="36"/>
      <c r="P6419" s="36"/>
      <c r="Q6419" s="36"/>
      <c r="R6419" s="36"/>
      <c r="S6419" s="36"/>
      <c r="T6419" s="36"/>
      <c r="U6419" s="36"/>
      <c r="V6419" s="36"/>
      <c r="W6419" s="15">
        <f t="shared" si="1163"/>
        <v>0</v>
      </c>
      <c r="X6419" s="36"/>
      <c r="Y6419" s="36"/>
      <c r="Z6419" s="36"/>
      <c r="AA6419" s="36"/>
      <c r="AB6419" s="36"/>
      <c r="AC6419" s="36"/>
      <c r="AD6419" s="36"/>
      <c r="AE6419" s="36"/>
      <c r="AF6419" s="36"/>
      <c r="AG6419" s="36"/>
      <c r="AH6419" s="36"/>
      <c r="AI6419" s="36"/>
      <c r="AJ6419" s="15">
        <f t="shared" si="1164"/>
        <v>0</v>
      </c>
      <c r="AK6419" s="14"/>
      <c r="AL6419" s="14"/>
      <c r="AM6419" s="14"/>
      <c r="AN6419" s="14"/>
      <c r="AO6419" s="14">
        <v>200</v>
      </c>
      <c r="AP6419" s="14"/>
      <c r="AQ6419" s="14"/>
      <c r="AR6419" s="14"/>
      <c r="AS6419" s="14"/>
      <c r="AT6419" s="14"/>
      <c r="AU6419" s="14"/>
      <c r="AV6419" s="14"/>
      <c r="AW6419" s="15">
        <f t="shared" si="1165"/>
        <v>200</v>
      </c>
      <c r="AX6419" s="16"/>
    </row>
    <row r="6420" spans="2:50" x14ac:dyDescent="0.2">
      <c r="B6420" s="7"/>
      <c r="C6420" s="8">
        <v>16525</v>
      </c>
      <c r="D6420" s="9" t="s">
        <v>156</v>
      </c>
      <c r="E6420" s="10" t="str">
        <f t="shared" si="1160"/>
        <v>Rancho Zinamba No. 80</v>
      </c>
      <c r="F6420" s="10" t="str">
        <f t="shared" si="1161"/>
        <v>Vázquez</v>
      </c>
      <c r="G6420" s="8">
        <v>1</v>
      </c>
      <c r="H6420" s="11">
        <v>300</v>
      </c>
      <c r="I6420" s="12">
        <v>43233</v>
      </c>
      <c r="J6420" s="35">
        <f t="shared" si="1162"/>
        <v>0</v>
      </c>
      <c r="K6420" s="36"/>
      <c r="L6420" s="36"/>
      <c r="M6420" s="36"/>
      <c r="N6420" s="36"/>
      <c r="O6420" s="36"/>
      <c r="P6420" s="36"/>
      <c r="Q6420" s="36"/>
      <c r="R6420" s="36"/>
      <c r="S6420" s="36"/>
      <c r="T6420" s="36"/>
      <c r="U6420" s="36"/>
      <c r="V6420" s="36"/>
      <c r="W6420" s="15">
        <f t="shared" si="1163"/>
        <v>0</v>
      </c>
      <c r="X6420" s="36"/>
      <c r="Y6420" s="36"/>
      <c r="Z6420" s="36"/>
      <c r="AA6420" s="36"/>
      <c r="AB6420" s="36"/>
      <c r="AC6420" s="36"/>
      <c r="AD6420" s="36"/>
      <c r="AE6420" s="36"/>
      <c r="AF6420" s="36"/>
      <c r="AG6420" s="36"/>
      <c r="AH6420" s="36"/>
      <c r="AI6420" s="36"/>
      <c r="AJ6420" s="15">
        <f t="shared" si="1164"/>
        <v>0</v>
      </c>
      <c r="AK6420" s="14"/>
      <c r="AL6420" s="14"/>
      <c r="AM6420" s="14"/>
      <c r="AN6420" s="14"/>
      <c r="AO6420" s="14">
        <v>300</v>
      </c>
      <c r="AP6420" s="14"/>
      <c r="AQ6420" s="14"/>
      <c r="AR6420" s="14"/>
      <c r="AS6420" s="14"/>
      <c r="AT6420" s="14"/>
      <c r="AU6420" s="14"/>
      <c r="AV6420" s="14"/>
      <c r="AW6420" s="15">
        <f t="shared" si="1165"/>
        <v>300</v>
      </c>
      <c r="AX6420" s="16"/>
    </row>
    <row r="6421" spans="2:50" x14ac:dyDescent="0.2">
      <c r="B6421" s="7"/>
      <c r="C6421" s="8">
        <v>16526</v>
      </c>
      <c r="D6421" s="9" t="s">
        <v>544</v>
      </c>
      <c r="E6421" s="10" t="str">
        <f t="shared" si="1160"/>
        <v>Rancho Estanzuela No. 89</v>
      </c>
      <c r="F6421" s="10" t="str">
        <f t="shared" si="1161"/>
        <v>Romero Ortiz</v>
      </c>
      <c r="G6421" s="8">
        <v>1</v>
      </c>
      <c r="H6421" s="11">
        <v>400</v>
      </c>
      <c r="I6421" s="12">
        <v>43233</v>
      </c>
      <c r="J6421" s="35">
        <f t="shared" si="1162"/>
        <v>0</v>
      </c>
      <c r="K6421" s="36"/>
      <c r="L6421" s="36"/>
      <c r="M6421" s="36"/>
      <c r="N6421" s="36"/>
      <c r="O6421" s="36"/>
      <c r="P6421" s="36"/>
      <c r="Q6421" s="36"/>
      <c r="R6421" s="36"/>
      <c r="S6421" s="36"/>
      <c r="T6421" s="36"/>
      <c r="U6421" s="36"/>
      <c r="V6421" s="36"/>
      <c r="W6421" s="15">
        <f t="shared" si="1163"/>
        <v>0</v>
      </c>
      <c r="X6421" s="36"/>
      <c r="Y6421" s="36"/>
      <c r="Z6421" s="36"/>
      <c r="AA6421" s="36"/>
      <c r="AB6421" s="36"/>
      <c r="AC6421" s="36"/>
      <c r="AD6421" s="36"/>
      <c r="AE6421" s="36"/>
      <c r="AF6421" s="36"/>
      <c r="AG6421" s="36"/>
      <c r="AH6421" s="36"/>
      <c r="AI6421" s="36"/>
      <c r="AJ6421" s="15">
        <f t="shared" si="1164"/>
        <v>0</v>
      </c>
      <c r="AK6421" s="14"/>
      <c r="AL6421" s="14"/>
      <c r="AM6421" s="14"/>
      <c r="AN6421" s="14"/>
      <c r="AO6421" s="14">
        <v>400</v>
      </c>
      <c r="AP6421" s="14"/>
      <c r="AQ6421" s="14"/>
      <c r="AR6421" s="14"/>
      <c r="AS6421" s="14"/>
      <c r="AT6421" s="14"/>
      <c r="AU6421" s="14"/>
      <c r="AV6421" s="14"/>
      <c r="AW6421" s="15">
        <f t="shared" si="1165"/>
        <v>400</v>
      </c>
      <c r="AX6421" s="16"/>
    </row>
    <row r="6422" spans="2:50" x14ac:dyDescent="0.2">
      <c r="B6422" s="7"/>
      <c r="C6422" s="8">
        <v>16527</v>
      </c>
      <c r="D6422" s="9" t="s">
        <v>823</v>
      </c>
      <c r="E6422" s="10" t="str">
        <f t="shared" si="1160"/>
        <v>Rancho La Cuchilla No. 122</v>
      </c>
      <c r="F6422" s="10" t="str">
        <f t="shared" si="1161"/>
        <v>Mendoza</v>
      </c>
      <c r="G6422" s="8">
        <v>1</v>
      </c>
      <c r="H6422" s="11">
        <v>200</v>
      </c>
      <c r="I6422" s="12">
        <v>43233</v>
      </c>
      <c r="J6422" s="35">
        <f t="shared" si="1162"/>
        <v>0</v>
      </c>
      <c r="K6422" s="36"/>
      <c r="L6422" s="36"/>
      <c r="M6422" s="36"/>
      <c r="N6422" s="36"/>
      <c r="O6422" s="36"/>
      <c r="P6422" s="36"/>
      <c r="Q6422" s="36"/>
      <c r="R6422" s="36"/>
      <c r="S6422" s="36"/>
      <c r="T6422" s="36"/>
      <c r="U6422" s="36"/>
      <c r="V6422" s="36"/>
      <c r="W6422" s="15">
        <f t="shared" si="1163"/>
        <v>0</v>
      </c>
      <c r="X6422" s="36"/>
      <c r="Y6422" s="36"/>
      <c r="Z6422" s="36"/>
      <c r="AA6422" s="36"/>
      <c r="AB6422" s="36"/>
      <c r="AC6422" s="36"/>
      <c r="AD6422" s="36"/>
      <c r="AE6422" s="36"/>
      <c r="AF6422" s="36"/>
      <c r="AG6422" s="36"/>
      <c r="AH6422" s="36"/>
      <c r="AI6422" s="36"/>
      <c r="AJ6422" s="15">
        <f t="shared" si="1164"/>
        <v>0</v>
      </c>
      <c r="AK6422" s="14"/>
      <c r="AL6422" s="14"/>
      <c r="AM6422" s="14"/>
      <c r="AN6422" s="14"/>
      <c r="AO6422" s="14">
        <v>200</v>
      </c>
      <c r="AP6422" s="14"/>
      <c r="AQ6422" s="14"/>
      <c r="AR6422" s="14"/>
      <c r="AS6422" s="14"/>
      <c r="AT6422" s="14"/>
      <c r="AU6422" s="14"/>
      <c r="AV6422" s="14"/>
      <c r="AW6422" s="15">
        <f t="shared" si="1165"/>
        <v>200</v>
      </c>
      <c r="AX6422" s="16"/>
    </row>
    <row r="6423" spans="2:50" x14ac:dyDescent="0.2">
      <c r="B6423" s="7"/>
      <c r="C6423" s="8">
        <v>16528</v>
      </c>
      <c r="D6423" s="9" t="s">
        <v>241</v>
      </c>
      <c r="E6423" s="10" t="str">
        <f t="shared" si="1160"/>
        <v>Rancho La Cuchilla No. 81, A</v>
      </c>
      <c r="F6423" s="10" t="str">
        <f t="shared" si="1161"/>
        <v>Barrientos López</v>
      </c>
      <c r="G6423" s="8">
        <v>1</v>
      </c>
      <c r="H6423" s="11">
        <v>400</v>
      </c>
      <c r="I6423" s="12">
        <v>43233</v>
      </c>
      <c r="J6423" s="35">
        <f t="shared" si="1162"/>
        <v>0</v>
      </c>
      <c r="K6423" s="36"/>
      <c r="L6423" s="36"/>
      <c r="M6423" s="36"/>
      <c r="N6423" s="36"/>
      <c r="O6423" s="36"/>
      <c r="P6423" s="36"/>
      <c r="Q6423" s="36"/>
      <c r="R6423" s="36"/>
      <c r="S6423" s="36"/>
      <c r="T6423" s="36"/>
      <c r="U6423" s="36"/>
      <c r="V6423" s="36"/>
      <c r="W6423" s="15">
        <f t="shared" si="1163"/>
        <v>0</v>
      </c>
      <c r="X6423" s="36"/>
      <c r="Y6423" s="36"/>
      <c r="Z6423" s="36"/>
      <c r="AA6423" s="36"/>
      <c r="AB6423" s="36"/>
      <c r="AC6423" s="36"/>
      <c r="AD6423" s="36"/>
      <c r="AE6423" s="36"/>
      <c r="AF6423" s="36"/>
      <c r="AG6423" s="36"/>
      <c r="AH6423" s="36"/>
      <c r="AI6423" s="36"/>
      <c r="AJ6423" s="15">
        <f t="shared" si="1164"/>
        <v>0</v>
      </c>
      <c r="AK6423" s="14"/>
      <c r="AL6423" s="14"/>
      <c r="AM6423" s="14"/>
      <c r="AN6423" s="14"/>
      <c r="AO6423" s="14">
        <v>400</v>
      </c>
      <c r="AP6423" s="14"/>
      <c r="AQ6423" s="14"/>
      <c r="AR6423" s="14"/>
      <c r="AS6423" s="14"/>
      <c r="AT6423" s="14"/>
      <c r="AU6423" s="14"/>
      <c r="AV6423" s="14"/>
      <c r="AW6423" s="15">
        <f t="shared" si="1165"/>
        <v>400</v>
      </c>
      <c r="AX6423" s="16"/>
    </row>
    <row r="6424" spans="2:50" x14ac:dyDescent="0.2">
      <c r="B6424" s="7"/>
      <c r="C6424" s="8">
        <v>16529</v>
      </c>
      <c r="D6424" s="9" t="s">
        <v>425</v>
      </c>
      <c r="E6424" s="10" t="str">
        <f t="shared" si="1160"/>
        <v>Rancho La Cuchilla No. 120</v>
      </c>
      <c r="F6424" s="10" t="str">
        <f t="shared" si="1161"/>
        <v>Pozos Vilchis</v>
      </c>
      <c r="G6424" s="8">
        <v>1</v>
      </c>
      <c r="H6424" s="11">
        <v>400</v>
      </c>
      <c r="I6424" s="12">
        <v>43233</v>
      </c>
      <c r="J6424" s="35">
        <f t="shared" si="1162"/>
        <v>0</v>
      </c>
      <c r="K6424" s="36"/>
      <c r="L6424" s="36"/>
      <c r="M6424" s="36"/>
      <c r="N6424" s="36"/>
      <c r="O6424" s="36"/>
      <c r="P6424" s="36"/>
      <c r="Q6424" s="36"/>
      <c r="R6424" s="36"/>
      <c r="S6424" s="36"/>
      <c r="T6424" s="36"/>
      <c r="U6424" s="36"/>
      <c r="V6424" s="36"/>
      <c r="W6424" s="15">
        <f t="shared" si="1163"/>
        <v>0</v>
      </c>
      <c r="X6424" s="36"/>
      <c r="Y6424" s="36"/>
      <c r="Z6424" s="36"/>
      <c r="AA6424" s="36"/>
      <c r="AB6424" s="36"/>
      <c r="AC6424" s="36"/>
      <c r="AD6424" s="36"/>
      <c r="AE6424" s="36"/>
      <c r="AF6424" s="36"/>
      <c r="AG6424" s="36"/>
      <c r="AH6424" s="36"/>
      <c r="AI6424" s="36"/>
      <c r="AJ6424" s="15">
        <f t="shared" si="1164"/>
        <v>0</v>
      </c>
      <c r="AK6424" s="14"/>
      <c r="AL6424" s="14"/>
      <c r="AM6424" s="14"/>
      <c r="AN6424" s="14"/>
      <c r="AO6424" s="14">
        <v>400</v>
      </c>
      <c r="AP6424" s="14"/>
      <c r="AQ6424" s="14"/>
      <c r="AR6424" s="14"/>
      <c r="AS6424" s="14"/>
      <c r="AT6424" s="14"/>
      <c r="AU6424" s="14"/>
      <c r="AV6424" s="14"/>
      <c r="AW6424" s="15">
        <f t="shared" si="1165"/>
        <v>400</v>
      </c>
      <c r="AX6424" s="16"/>
    </row>
    <row r="6425" spans="2:50" x14ac:dyDescent="0.2">
      <c r="B6425" s="7"/>
      <c r="C6425" s="8">
        <v>16530</v>
      </c>
      <c r="D6425" s="9" t="s">
        <v>352</v>
      </c>
      <c r="E6425" s="10" t="str">
        <f t="shared" si="1160"/>
        <v>Rancho La Cuchilla No. 21</v>
      </c>
      <c r="F6425" s="10" t="str">
        <f t="shared" si="1161"/>
        <v>Solórzano Calderón</v>
      </c>
      <c r="G6425" s="8">
        <v>1</v>
      </c>
      <c r="H6425" s="11">
        <v>800</v>
      </c>
      <c r="I6425" s="12">
        <v>43233</v>
      </c>
      <c r="J6425" s="35">
        <f t="shared" si="1162"/>
        <v>0</v>
      </c>
      <c r="K6425" s="36"/>
      <c r="L6425" s="36"/>
      <c r="M6425" s="36"/>
      <c r="N6425" s="36"/>
      <c r="O6425" s="36"/>
      <c r="P6425" s="36"/>
      <c r="Q6425" s="36"/>
      <c r="R6425" s="36"/>
      <c r="S6425" s="36"/>
      <c r="T6425" s="36"/>
      <c r="U6425" s="36"/>
      <c r="V6425" s="36"/>
      <c r="W6425" s="15">
        <f t="shared" si="1163"/>
        <v>0</v>
      </c>
      <c r="X6425" s="36"/>
      <c r="Y6425" s="36"/>
      <c r="Z6425" s="36"/>
      <c r="AA6425" s="36"/>
      <c r="AB6425" s="36"/>
      <c r="AC6425" s="36"/>
      <c r="AD6425" s="36"/>
      <c r="AE6425" s="36"/>
      <c r="AF6425" s="36"/>
      <c r="AG6425" s="36"/>
      <c r="AH6425" s="36"/>
      <c r="AI6425" s="36"/>
      <c r="AJ6425" s="15">
        <f t="shared" si="1164"/>
        <v>0</v>
      </c>
      <c r="AK6425" s="14"/>
      <c r="AL6425" s="14"/>
      <c r="AM6425" s="14"/>
      <c r="AN6425" s="14"/>
      <c r="AO6425" s="14">
        <v>400</v>
      </c>
      <c r="AP6425" s="14">
        <v>400</v>
      </c>
      <c r="AQ6425" s="14"/>
      <c r="AR6425" s="14"/>
      <c r="AS6425" s="14"/>
      <c r="AT6425" s="14"/>
      <c r="AU6425" s="14"/>
      <c r="AV6425" s="14"/>
      <c r="AW6425" s="15">
        <f t="shared" si="1165"/>
        <v>800</v>
      </c>
      <c r="AX6425" s="16"/>
    </row>
    <row r="6426" spans="2:50" x14ac:dyDescent="0.2">
      <c r="B6426" s="7"/>
      <c r="C6426" s="8">
        <v>16531</v>
      </c>
      <c r="D6426" s="9" t="s">
        <v>352</v>
      </c>
      <c r="E6426" s="10" t="str">
        <f t="shared" si="1160"/>
        <v>Rancho La Cuchilla No. 21</v>
      </c>
      <c r="F6426" s="10" t="str">
        <f t="shared" si="1161"/>
        <v>Solórzano Calderón</v>
      </c>
      <c r="G6426" s="8">
        <v>4</v>
      </c>
      <c r="H6426" s="11">
        <v>200</v>
      </c>
      <c r="I6426" s="12">
        <v>43233</v>
      </c>
      <c r="J6426" s="35">
        <f t="shared" si="1162"/>
        <v>0</v>
      </c>
      <c r="K6426" s="36"/>
      <c r="L6426" s="36"/>
      <c r="M6426" s="36"/>
      <c r="N6426" s="36"/>
      <c r="O6426" s="36"/>
      <c r="P6426" s="36"/>
      <c r="Q6426" s="36"/>
      <c r="R6426" s="36"/>
      <c r="S6426" s="36"/>
      <c r="T6426" s="36"/>
      <c r="U6426" s="36"/>
      <c r="V6426" s="36"/>
      <c r="W6426" s="15">
        <f t="shared" si="1163"/>
        <v>0</v>
      </c>
      <c r="X6426" s="36"/>
      <c r="Y6426" s="36"/>
      <c r="Z6426" s="36"/>
      <c r="AA6426" s="36"/>
      <c r="AB6426" s="36"/>
      <c r="AC6426" s="36"/>
      <c r="AD6426" s="36"/>
      <c r="AE6426" s="36"/>
      <c r="AF6426" s="36"/>
      <c r="AG6426" s="36"/>
      <c r="AH6426" s="36"/>
      <c r="AI6426" s="36"/>
      <c r="AJ6426" s="15">
        <f t="shared" si="1164"/>
        <v>0</v>
      </c>
      <c r="AK6426" s="14"/>
      <c r="AL6426" s="14"/>
      <c r="AM6426" s="14"/>
      <c r="AN6426" s="14"/>
      <c r="AO6426" s="14"/>
      <c r="AP6426" s="14"/>
      <c r="AQ6426" s="14"/>
      <c r="AR6426" s="14"/>
      <c r="AS6426" s="14"/>
      <c r="AT6426" s="14"/>
      <c r="AU6426" s="14"/>
      <c r="AV6426" s="14"/>
      <c r="AW6426" s="15">
        <f t="shared" si="1165"/>
        <v>0</v>
      </c>
      <c r="AX6426" s="16" t="s">
        <v>5257</v>
      </c>
    </row>
    <row r="6427" spans="2:50" x14ac:dyDescent="0.2">
      <c r="B6427" s="7"/>
      <c r="C6427" s="8">
        <v>16532</v>
      </c>
      <c r="D6427" s="9" t="s">
        <v>322</v>
      </c>
      <c r="E6427" s="10" t="str">
        <f t="shared" si="1160"/>
        <v>Rancho Zinamba No. 8</v>
      </c>
      <c r="F6427" s="10" t="str">
        <f t="shared" si="1161"/>
        <v>Florido</v>
      </c>
      <c r="G6427" s="8">
        <v>1</v>
      </c>
      <c r="H6427" s="11">
        <v>400</v>
      </c>
      <c r="I6427" s="12">
        <v>43233</v>
      </c>
      <c r="J6427" s="35">
        <f t="shared" si="1162"/>
        <v>0</v>
      </c>
      <c r="K6427" s="36"/>
      <c r="L6427" s="36"/>
      <c r="M6427" s="36"/>
      <c r="N6427" s="36"/>
      <c r="O6427" s="36"/>
      <c r="P6427" s="36"/>
      <c r="Q6427" s="36"/>
      <c r="R6427" s="36"/>
      <c r="S6427" s="36"/>
      <c r="T6427" s="36"/>
      <c r="U6427" s="36"/>
      <c r="V6427" s="36"/>
      <c r="W6427" s="15">
        <f t="shared" si="1163"/>
        <v>0</v>
      </c>
      <c r="X6427" s="36"/>
      <c r="Y6427" s="36"/>
      <c r="Z6427" s="36"/>
      <c r="AA6427" s="36"/>
      <c r="AB6427" s="36"/>
      <c r="AC6427" s="36"/>
      <c r="AD6427" s="36"/>
      <c r="AE6427" s="36"/>
      <c r="AF6427" s="36"/>
      <c r="AG6427" s="36"/>
      <c r="AH6427" s="36"/>
      <c r="AI6427" s="36"/>
      <c r="AJ6427" s="15">
        <f t="shared" si="1164"/>
        <v>0</v>
      </c>
      <c r="AK6427" s="14"/>
      <c r="AL6427" s="14"/>
      <c r="AM6427" s="14"/>
      <c r="AN6427" s="14"/>
      <c r="AO6427" s="14">
        <v>400</v>
      </c>
      <c r="AP6427" s="14"/>
      <c r="AQ6427" s="14"/>
      <c r="AR6427" s="14"/>
      <c r="AS6427" s="14"/>
      <c r="AT6427" s="14"/>
      <c r="AU6427" s="14"/>
      <c r="AV6427" s="14"/>
      <c r="AW6427" s="15">
        <f t="shared" si="1165"/>
        <v>400</v>
      </c>
      <c r="AX6427" s="16"/>
    </row>
    <row r="6428" spans="2:50" x14ac:dyDescent="0.2">
      <c r="B6428" s="7"/>
      <c r="C6428" s="8">
        <v>16533</v>
      </c>
      <c r="D6428" s="9" t="s">
        <v>944</v>
      </c>
      <c r="E6428" s="10" t="str">
        <f t="shared" si="1160"/>
        <v>Rancho Upácuaro No. 104</v>
      </c>
      <c r="F6428" s="10" t="str">
        <f t="shared" si="1161"/>
        <v>Jiménez Almazo</v>
      </c>
      <c r="G6428" s="8">
        <v>1</v>
      </c>
      <c r="H6428" s="11">
        <v>400</v>
      </c>
      <c r="I6428" s="12">
        <v>43233</v>
      </c>
      <c r="J6428" s="35">
        <f t="shared" si="1162"/>
        <v>0</v>
      </c>
      <c r="K6428" s="36"/>
      <c r="L6428" s="36"/>
      <c r="M6428" s="36"/>
      <c r="N6428" s="36"/>
      <c r="O6428" s="36"/>
      <c r="P6428" s="36"/>
      <c r="Q6428" s="36"/>
      <c r="R6428" s="36"/>
      <c r="S6428" s="36"/>
      <c r="T6428" s="36"/>
      <c r="U6428" s="36"/>
      <c r="V6428" s="36"/>
      <c r="W6428" s="15">
        <f t="shared" si="1163"/>
        <v>0</v>
      </c>
      <c r="X6428" s="36"/>
      <c r="Y6428" s="36"/>
      <c r="Z6428" s="36"/>
      <c r="AA6428" s="36"/>
      <c r="AB6428" s="36"/>
      <c r="AC6428" s="36"/>
      <c r="AD6428" s="36"/>
      <c r="AE6428" s="36"/>
      <c r="AF6428" s="36"/>
      <c r="AG6428" s="36"/>
      <c r="AH6428" s="36"/>
      <c r="AI6428" s="36"/>
      <c r="AJ6428" s="15">
        <f t="shared" si="1164"/>
        <v>0</v>
      </c>
      <c r="AK6428" s="14"/>
      <c r="AL6428" s="14"/>
      <c r="AM6428" s="14"/>
      <c r="AN6428" s="14">
        <v>400</v>
      </c>
      <c r="AO6428" s="14"/>
      <c r="AP6428" s="14"/>
      <c r="AQ6428" s="14"/>
      <c r="AR6428" s="14"/>
      <c r="AS6428" s="14"/>
      <c r="AT6428" s="14"/>
      <c r="AU6428" s="14"/>
      <c r="AV6428" s="14"/>
      <c r="AW6428" s="15">
        <f t="shared" si="1165"/>
        <v>400</v>
      </c>
      <c r="AX6428" s="16"/>
    </row>
    <row r="6429" spans="2:50" x14ac:dyDescent="0.2">
      <c r="B6429" s="7"/>
      <c r="C6429" s="8">
        <v>16534</v>
      </c>
      <c r="D6429" s="9" t="s">
        <v>277</v>
      </c>
      <c r="E6429" s="10" t="str">
        <f t="shared" si="1160"/>
        <v>Rancho Estanzuela No. 7, A</v>
      </c>
      <c r="F6429" s="10" t="str">
        <f t="shared" si="1161"/>
        <v>Herrera Izquierdo</v>
      </c>
      <c r="G6429" s="8">
        <v>1</v>
      </c>
      <c r="H6429" s="11">
        <v>400</v>
      </c>
      <c r="I6429" s="12">
        <v>43233</v>
      </c>
      <c r="J6429" s="35">
        <f t="shared" si="1162"/>
        <v>0</v>
      </c>
      <c r="K6429" s="36"/>
      <c r="L6429" s="36"/>
      <c r="M6429" s="36"/>
      <c r="N6429" s="36"/>
      <c r="O6429" s="36"/>
      <c r="P6429" s="36"/>
      <c r="Q6429" s="36"/>
      <c r="R6429" s="36"/>
      <c r="S6429" s="36"/>
      <c r="T6429" s="36"/>
      <c r="U6429" s="36"/>
      <c r="V6429" s="36"/>
      <c r="W6429" s="15">
        <f t="shared" si="1163"/>
        <v>0</v>
      </c>
      <c r="X6429" s="36"/>
      <c r="Y6429" s="36"/>
      <c r="Z6429" s="36"/>
      <c r="AA6429" s="36"/>
      <c r="AB6429" s="36"/>
      <c r="AC6429" s="36"/>
      <c r="AD6429" s="36"/>
      <c r="AE6429" s="36"/>
      <c r="AF6429" s="36"/>
      <c r="AG6429" s="36"/>
      <c r="AH6429" s="36"/>
      <c r="AI6429" s="36"/>
      <c r="AJ6429" s="15">
        <f t="shared" si="1164"/>
        <v>0</v>
      </c>
      <c r="AK6429" s="14"/>
      <c r="AL6429" s="14"/>
      <c r="AM6429" s="14"/>
      <c r="AN6429" s="14"/>
      <c r="AO6429" s="14">
        <v>200</v>
      </c>
      <c r="AP6429" s="14">
        <v>200</v>
      </c>
      <c r="AQ6429" s="14"/>
      <c r="AR6429" s="14"/>
      <c r="AS6429" s="14"/>
      <c r="AT6429" s="14"/>
      <c r="AU6429" s="14"/>
      <c r="AV6429" s="14"/>
      <c r="AW6429" s="15">
        <f t="shared" si="1165"/>
        <v>400</v>
      </c>
      <c r="AX6429" s="16"/>
    </row>
    <row r="6430" spans="2:50" x14ac:dyDescent="0.2">
      <c r="B6430" s="7"/>
      <c r="C6430" s="8">
        <v>16535</v>
      </c>
      <c r="D6430" s="9" t="s">
        <v>271</v>
      </c>
      <c r="E6430" s="10" t="str">
        <f t="shared" si="1160"/>
        <v>Rancho Landero No. 76</v>
      </c>
      <c r="F6430" s="10" t="str">
        <f t="shared" si="1161"/>
        <v>Ugarte</v>
      </c>
      <c r="G6430" s="8">
        <v>1</v>
      </c>
      <c r="H6430" s="11">
        <v>400</v>
      </c>
      <c r="I6430" s="12">
        <v>43233</v>
      </c>
      <c r="J6430" s="35">
        <f t="shared" si="1162"/>
        <v>0</v>
      </c>
      <c r="K6430" s="36"/>
      <c r="L6430" s="36"/>
      <c r="M6430" s="36"/>
      <c r="N6430" s="36"/>
      <c r="O6430" s="36"/>
      <c r="P6430" s="36"/>
      <c r="Q6430" s="36"/>
      <c r="R6430" s="36"/>
      <c r="S6430" s="36"/>
      <c r="T6430" s="36"/>
      <c r="U6430" s="36"/>
      <c r="V6430" s="36"/>
      <c r="W6430" s="15">
        <f t="shared" si="1163"/>
        <v>0</v>
      </c>
      <c r="X6430" s="36"/>
      <c r="Y6430" s="36"/>
      <c r="Z6430" s="36"/>
      <c r="AA6430" s="36"/>
      <c r="AB6430" s="36"/>
      <c r="AC6430" s="36"/>
      <c r="AD6430" s="36"/>
      <c r="AE6430" s="36"/>
      <c r="AF6430" s="36"/>
      <c r="AG6430" s="36"/>
      <c r="AH6430" s="36"/>
      <c r="AI6430" s="36"/>
      <c r="AJ6430" s="15">
        <f t="shared" si="1164"/>
        <v>0</v>
      </c>
      <c r="AK6430" s="14"/>
      <c r="AL6430" s="14"/>
      <c r="AM6430" s="14"/>
      <c r="AN6430" s="14"/>
      <c r="AO6430" s="14">
        <v>400</v>
      </c>
      <c r="AP6430" s="14"/>
      <c r="AQ6430" s="14"/>
      <c r="AR6430" s="14"/>
      <c r="AS6430" s="14"/>
      <c r="AT6430" s="14"/>
      <c r="AU6430" s="14"/>
      <c r="AV6430" s="14"/>
      <c r="AW6430" s="15">
        <f t="shared" si="1165"/>
        <v>400</v>
      </c>
      <c r="AX6430" s="16"/>
    </row>
    <row r="6431" spans="2:50" x14ac:dyDescent="0.2">
      <c r="B6431" s="7"/>
      <c r="C6431" s="8">
        <v>16536</v>
      </c>
      <c r="D6431" s="9" t="s">
        <v>404</v>
      </c>
      <c r="E6431" s="10" t="str">
        <f t="shared" si="1160"/>
        <v>Rancho La Cuchilla No. 89</v>
      </c>
      <c r="F6431" s="10" t="str">
        <f t="shared" si="1161"/>
        <v>Gálvez</v>
      </c>
      <c r="G6431" s="8">
        <v>1</v>
      </c>
      <c r="H6431" s="11">
        <v>400</v>
      </c>
      <c r="I6431" s="12">
        <v>43233</v>
      </c>
      <c r="J6431" s="35">
        <f t="shared" si="1162"/>
        <v>0</v>
      </c>
      <c r="K6431" s="36"/>
      <c r="L6431" s="36"/>
      <c r="M6431" s="36"/>
      <c r="N6431" s="36"/>
      <c r="O6431" s="36"/>
      <c r="P6431" s="36"/>
      <c r="Q6431" s="36"/>
      <c r="R6431" s="36"/>
      <c r="S6431" s="36"/>
      <c r="T6431" s="36"/>
      <c r="U6431" s="36"/>
      <c r="V6431" s="36"/>
      <c r="W6431" s="15">
        <f t="shared" si="1163"/>
        <v>0</v>
      </c>
      <c r="X6431" s="36"/>
      <c r="Y6431" s="36"/>
      <c r="Z6431" s="36"/>
      <c r="AA6431" s="36"/>
      <c r="AB6431" s="36"/>
      <c r="AC6431" s="36"/>
      <c r="AD6431" s="36"/>
      <c r="AE6431" s="36"/>
      <c r="AF6431" s="36"/>
      <c r="AG6431" s="36"/>
      <c r="AH6431" s="36"/>
      <c r="AI6431" s="36"/>
      <c r="AJ6431" s="15">
        <f t="shared" si="1164"/>
        <v>0</v>
      </c>
      <c r="AK6431" s="14"/>
      <c r="AL6431" s="14"/>
      <c r="AM6431" s="14"/>
      <c r="AN6431" s="14"/>
      <c r="AO6431" s="14">
        <v>400</v>
      </c>
      <c r="AP6431" s="14"/>
      <c r="AQ6431" s="14"/>
      <c r="AR6431" s="14"/>
      <c r="AS6431" s="14"/>
      <c r="AT6431" s="14"/>
      <c r="AU6431" s="14"/>
      <c r="AV6431" s="14"/>
      <c r="AW6431" s="15">
        <f t="shared" si="1165"/>
        <v>400</v>
      </c>
      <c r="AX6431" s="16"/>
    </row>
    <row r="6432" spans="2:50" x14ac:dyDescent="0.2">
      <c r="B6432" s="7"/>
      <c r="C6432" s="8">
        <v>16537</v>
      </c>
      <c r="D6432" s="9" t="s">
        <v>725</v>
      </c>
      <c r="E6432" s="10" t="str">
        <f t="shared" si="1160"/>
        <v>Rancho Zinamba No. 34</v>
      </c>
      <c r="F6432" s="10" t="str">
        <f t="shared" si="1161"/>
        <v>Torres Zavala</v>
      </c>
      <c r="G6432" s="8">
        <v>1</v>
      </c>
      <c r="H6432" s="11">
        <v>400</v>
      </c>
      <c r="I6432" s="12">
        <v>43233</v>
      </c>
      <c r="J6432" s="35">
        <f t="shared" si="1162"/>
        <v>0</v>
      </c>
      <c r="K6432" s="36"/>
      <c r="L6432" s="36"/>
      <c r="M6432" s="36"/>
      <c r="N6432" s="36"/>
      <c r="O6432" s="36"/>
      <c r="P6432" s="36"/>
      <c r="Q6432" s="36"/>
      <c r="R6432" s="36"/>
      <c r="S6432" s="36"/>
      <c r="T6432" s="36"/>
      <c r="U6432" s="36"/>
      <c r="V6432" s="36"/>
      <c r="W6432" s="15">
        <f t="shared" si="1163"/>
        <v>0</v>
      </c>
      <c r="X6432" s="36"/>
      <c r="Y6432" s="36"/>
      <c r="Z6432" s="36"/>
      <c r="AA6432" s="36"/>
      <c r="AB6432" s="36"/>
      <c r="AC6432" s="36"/>
      <c r="AD6432" s="36"/>
      <c r="AE6432" s="36"/>
      <c r="AF6432" s="36"/>
      <c r="AG6432" s="36"/>
      <c r="AH6432" s="36"/>
      <c r="AI6432" s="36"/>
      <c r="AJ6432" s="15">
        <f t="shared" si="1164"/>
        <v>0</v>
      </c>
      <c r="AK6432" s="14"/>
      <c r="AL6432" s="14"/>
      <c r="AM6432" s="14"/>
      <c r="AN6432" s="14">
        <v>400</v>
      </c>
      <c r="AO6432" s="14"/>
      <c r="AP6432" s="14"/>
      <c r="AQ6432" s="14"/>
      <c r="AR6432" s="14"/>
      <c r="AS6432" s="14"/>
      <c r="AT6432" s="14"/>
      <c r="AU6432" s="14"/>
      <c r="AV6432" s="14"/>
      <c r="AW6432" s="15">
        <f t="shared" si="1165"/>
        <v>400</v>
      </c>
      <c r="AX6432" s="16"/>
    </row>
    <row r="6433" spans="2:50" x14ac:dyDescent="0.2">
      <c r="B6433" s="7"/>
      <c r="C6433" s="8">
        <v>16538</v>
      </c>
      <c r="D6433" s="9" t="s">
        <v>123</v>
      </c>
      <c r="E6433" s="10" t="str">
        <f t="shared" si="1160"/>
        <v>Rancho Recoveco No. 175, B</v>
      </c>
      <c r="F6433" s="10" t="str">
        <f t="shared" si="1161"/>
        <v>García Calderón</v>
      </c>
      <c r="G6433" s="8">
        <v>1</v>
      </c>
      <c r="H6433" s="11">
        <v>250</v>
      </c>
      <c r="I6433" s="12">
        <v>43233</v>
      </c>
      <c r="J6433" s="35">
        <f t="shared" si="1162"/>
        <v>0</v>
      </c>
      <c r="K6433" s="36"/>
      <c r="L6433" s="36"/>
      <c r="M6433" s="36"/>
      <c r="N6433" s="36"/>
      <c r="O6433" s="36"/>
      <c r="P6433" s="36"/>
      <c r="Q6433" s="36"/>
      <c r="R6433" s="36"/>
      <c r="S6433" s="36"/>
      <c r="T6433" s="36"/>
      <c r="U6433" s="36"/>
      <c r="V6433" s="36"/>
      <c r="W6433" s="15">
        <f t="shared" si="1163"/>
        <v>0</v>
      </c>
      <c r="X6433" s="36"/>
      <c r="Y6433" s="36"/>
      <c r="Z6433" s="36"/>
      <c r="AA6433" s="36"/>
      <c r="AB6433" s="36"/>
      <c r="AC6433" s="36"/>
      <c r="AD6433" s="36"/>
      <c r="AE6433" s="36"/>
      <c r="AF6433" s="36"/>
      <c r="AG6433" s="36"/>
      <c r="AH6433" s="36"/>
      <c r="AI6433" s="36"/>
      <c r="AJ6433" s="15">
        <f t="shared" si="1164"/>
        <v>0</v>
      </c>
      <c r="AK6433" s="14"/>
      <c r="AL6433" s="14"/>
      <c r="AM6433" s="14"/>
      <c r="AN6433" s="14"/>
      <c r="AO6433" s="14">
        <v>250</v>
      </c>
      <c r="AP6433" s="14"/>
      <c r="AQ6433" s="14"/>
      <c r="AR6433" s="14"/>
      <c r="AS6433" s="14"/>
      <c r="AT6433" s="14"/>
      <c r="AU6433" s="14"/>
      <c r="AV6433" s="14"/>
      <c r="AW6433" s="15">
        <f t="shared" si="1165"/>
        <v>250</v>
      </c>
      <c r="AX6433" s="16"/>
    </row>
    <row r="6434" spans="2:50" x14ac:dyDescent="0.2">
      <c r="B6434" s="7"/>
      <c r="C6434" s="8">
        <v>16539</v>
      </c>
      <c r="D6434" s="9" t="s">
        <v>112</v>
      </c>
      <c r="E6434" s="10" t="str">
        <f t="shared" si="1160"/>
        <v>Rancho Estanzuela No. 129</v>
      </c>
      <c r="F6434" s="10" t="str">
        <f t="shared" si="1161"/>
        <v>Sta. María Mendoza</v>
      </c>
      <c r="G6434" s="8">
        <v>1</v>
      </c>
      <c r="H6434" s="11">
        <v>250</v>
      </c>
      <c r="I6434" s="12">
        <v>43233</v>
      </c>
      <c r="J6434" s="35">
        <f t="shared" si="1162"/>
        <v>0</v>
      </c>
      <c r="K6434" s="36"/>
      <c r="L6434" s="36"/>
      <c r="M6434" s="36"/>
      <c r="N6434" s="36"/>
      <c r="O6434" s="36"/>
      <c r="P6434" s="36"/>
      <c r="Q6434" s="36"/>
      <c r="R6434" s="36"/>
      <c r="S6434" s="36"/>
      <c r="T6434" s="36"/>
      <c r="U6434" s="36"/>
      <c r="V6434" s="36"/>
      <c r="W6434" s="15">
        <f t="shared" si="1163"/>
        <v>0</v>
      </c>
      <c r="X6434" s="36"/>
      <c r="Y6434" s="36"/>
      <c r="Z6434" s="36"/>
      <c r="AA6434" s="36"/>
      <c r="AB6434" s="36"/>
      <c r="AC6434" s="36"/>
      <c r="AD6434" s="36"/>
      <c r="AE6434" s="36"/>
      <c r="AF6434" s="36"/>
      <c r="AG6434" s="36"/>
      <c r="AH6434" s="36"/>
      <c r="AI6434" s="36"/>
      <c r="AJ6434" s="15">
        <f t="shared" si="1164"/>
        <v>0</v>
      </c>
      <c r="AK6434" s="14"/>
      <c r="AL6434" s="14"/>
      <c r="AM6434" s="14"/>
      <c r="AN6434" s="14"/>
      <c r="AO6434" s="14">
        <v>250</v>
      </c>
      <c r="AP6434" s="14"/>
      <c r="AQ6434" s="14"/>
      <c r="AR6434" s="14"/>
      <c r="AS6434" s="14"/>
      <c r="AT6434" s="14"/>
      <c r="AU6434" s="14"/>
      <c r="AV6434" s="14"/>
      <c r="AW6434" s="15">
        <f t="shared" si="1165"/>
        <v>250</v>
      </c>
      <c r="AX6434" s="16"/>
    </row>
    <row r="6435" spans="2:50" x14ac:dyDescent="0.2">
      <c r="B6435" s="7"/>
      <c r="C6435" s="8">
        <v>16540</v>
      </c>
      <c r="D6435" s="9" t="s">
        <v>183</v>
      </c>
      <c r="E6435" s="10" t="str">
        <f t="shared" si="1160"/>
        <v>Rancho La Cuchilla No. 54</v>
      </c>
      <c r="F6435" s="10" t="str">
        <f t="shared" si="1161"/>
        <v>Mendoza León</v>
      </c>
      <c r="G6435" s="8">
        <v>1</v>
      </c>
      <c r="H6435" s="11">
        <v>400</v>
      </c>
      <c r="I6435" s="12">
        <v>43233</v>
      </c>
      <c r="J6435" s="35">
        <f t="shared" si="1162"/>
        <v>0</v>
      </c>
      <c r="K6435" s="36"/>
      <c r="L6435" s="36"/>
      <c r="M6435" s="36"/>
      <c r="N6435" s="36"/>
      <c r="O6435" s="36"/>
      <c r="P6435" s="36"/>
      <c r="Q6435" s="36"/>
      <c r="R6435" s="36"/>
      <c r="S6435" s="36"/>
      <c r="T6435" s="36"/>
      <c r="U6435" s="36"/>
      <c r="V6435" s="36"/>
      <c r="W6435" s="15">
        <f t="shared" si="1163"/>
        <v>0</v>
      </c>
      <c r="X6435" s="36"/>
      <c r="Y6435" s="36"/>
      <c r="Z6435" s="36"/>
      <c r="AA6435" s="36"/>
      <c r="AB6435" s="36"/>
      <c r="AC6435" s="36"/>
      <c r="AD6435" s="36"/>
      <c r="AE6435" s="36"/>
      <c r="AF6435" s="36"/>
      <c r="AG6435" s="36"/>
      <c r="AH6435" s="36"/>
      <c r="AI6435" s="36"/>
      <c r="AJ6435" s="15">
        <f t="shared" si="1164"/>
        <v>0</v>
      </c>
      <c r="AK6435" s="14"/>
      <c r="AL6435" s="14"/>
      <c r="AM6435" s="14"/>
      <c r="AN6435" s="14">
        <v>400</v>
      </c>
      <c r="AO6435" s="14"/>
      <c r="AP6435" s="14"/>
      <c r="AQ6435" s="14"/>
      <c r="AR6435" s="14"/>
      <c r="AS6435" s="14"/>
      <c r="AT6435" s="14"/>
      <c r="AU6435" s="14"/>
      <c r="AV6435" s="14"/>
      <c r="AW6435" s="15">
        <f t="shared" si="1165"/>
        <v>400</v>
      </c>
      <c r="AX6435" s="16"/>
    </row>
    <row r="6436" spans="2:50" x14ac:dyDescent="0.2">
      <c r="B6436" s="7"/>
      <c r="C6436" s="8">
        <v>16541</v>
      </c>
      <c r="D6436" s="9" t="s">
        <v>652</v>
      </c>
      <c r="E6436" s="10" t="str">
        <f t="shared" si="1160"/>
        <v>Rancho Zinamba No. 74</v>
      </c>
      <c r="F6436" s="10" t="str">
        <f t="shared" si="1161"/>
        <v>García Castellanos</v>
      </c>
      <c r="G6436" s="8">
        <v>1</v>
      </c>
      <c r="H6436" s="11">
        <v>400</v>
      </c>
      <c r="I6436" s="12">
        <v>43233</v>
      </c>
      <c r="J6436" s="35">
        <f t="shared" si="1162"/>
        <v>0</v>
      </c>
      <c r="K6436" s="36"/>
      <c r="L6436" s="36"/>
      <c r="M6436" s="36"/>
      <c r="N6436" s="36"/>
      <c r="O6436" s="36"/>
      <c r="P6436" s="36"/>
      <c r="Q6436" s="36"/>
      <c r="R6436" s="36"/>
      <c r="S6436" s="36"/>
      <c r="T6436" s="36"/>
      <c r="U6436" s="36"/>
      <c r="V6436" s="36"/>
      <c r="W6436" s="15">
        <f t="shared" si="1163"/>
        <v>0</v>
      </c>
      <c r="X6436" s="36"/>
      <c r="Y6436" s="36"/>
      <c r="Z6436" s="36"/>
      <c r="AA6436" s="36"/>
      <c r="AB6436" s="36"/>
      <c r="AC6436" s="36"/>
      <c r="AD6436" s="36"/>
      <c r="AE6436" s="36"/>
      <c r="AF6436" s="36"/>
      <c r="AG6436" s="36"/>
      <c r="AH6436" s="36"/>
      <c r="AI6436" s="36"/>
      <c r="AJ6436" s="15">
        <f t="shared" si="1164"/>
        <v>0</v>
      </c>
      <c r="AK6436" s="14"/>
      <c r="AL6436" s="14"/>
      <c r="AM6436" s="14"/>
      <c r="AN6436" s="14">
        <v>400</v>
      </c>
      <c r="AO6436" s="14"/>
      <c r="AP6436" s="14"/>
      <c r="AQ6436" s="14"/>
      <c r="AR6436" s="14"/>
      <c r="AS6436" s="14"/>
      <c r="AT6436" s="14"/>
      <c r="AU6436" s="14"/>
      <c r="AV6436" s="14"/>
      <c r="AW6436" s="15">
        <f t="shared" si="1165"/>
        <v>400</v>
      </c>
      <c r="AX6436" s="16"/>
    </row>
    <row r="6437" spans="2:50" x14ac:dyDescent="0.2">
      <c r="B6437" s="7"/>
      <c r="C6437" s="8">
        <v>16542</v>
      </c>
      <c r="D6437" s="9" t="s">
        <v>473</v>
      </c>
      <c r="E6437" s="10" t="str">
        <f t="shared" si="1160"/>
        <v>Rancho Zinamba No. 14</v>
      </c>
      <c r="F6437" s="10" t="str">
        <f t="shared" si="1161"/>
        <v>Gutiérrez García</v>
      </c>
      <c r="G6437" s="8">
        <v>1</v>
      </c>
      <c r="H6437" s="11">
        <v>800</v>
      </c>
      <c r="I6437" s="12">
        <v>43233</v>
      </c>
      <c r="J6437" s="35">
        <f t="shared" si="1162"/>
        <v>0</v>
      </c>
      <c r="K6437" s="36"/>
      <c r="L6437" s="36"/>
      <c r="M6437" s="36"/>
      <c r="N6437" s="36"/>
      <c r="O6437" s="36"/>
      <c r="P6437" s="36"/>
      <c r="Q6437" s="36"/>
      <c r="R6437" s="36"/>
      <c r="S6437" s="36"/>
      <c r="T6437" s="36"/>
      <c r="U6437" s="36"/>
      <c r="V6437" s="36"/>
      <c r="W6437" s="15">
        <f t="shared" si="1163"/>
        <v>0</v>
      </c>
      <c r="X6437" s="36"/>
      <c r="Y6437" s="36"/>
      <c r="Z6437" s="36"/>
      <c r="AA6437" s="36"/>
      <c r="AB6437" s="36"/>
      <c r="AC6437" s="36"/>
      <c r="AD6437" s="36"/>
      <c r="AE6437" s="36"/>
      <c r="AF6437" s="36"/>
      <c r="AG6437" s="36"/>
      <c r="AH6437" s="36"/>
      <c r="AI6437" s="36"/>
      <c r="AJ6437" s="15">
        <f t="shared" si="1164"/>
        <v>0</v>
      </c>
      <c r="AK6437" s="14"/>
      <c r="AL6437" s="14"/>
      <c r="AM6437" s="14"/>
      <c r="AN6437" s="14">
        <v>400</v>
      </c>
      <c r="AO6437" s="14">
        <v>400</v>
      </c>
      <c r="AP6437" s="14"/>
      <c r="AQ6437" s="14"/>
      <c r="AR6437" s="14"/>
      <c r="AS6437" s="14"/>
      <c r="AT6437" s="14"/>
      <c r="AU6437" s="14"/>
      <c r="AV6437" s="14"/>
      <c r="AW6437" s="15">
        <f t="shared" si="1165"/>
        <v>800</v>
      </c>
      <c r="AX6437" s="16"/>
    </row>
    <row r="6438" spans="2:50" x14ac:dyDescent="0.2">
      <c r="B6438" s="7"/>
      <c r="C6438" s="8">
        <v>16543</v>
      </c>
      <c r="D6438" s="9" t="s">
        <v>62</v>
      </c>
      <c r="E6438" s="10" t="str">
        <f t="shared" si="1160"/>
        <v>Rancho Romeral No. 10, A</v>
      </c>
      <c r="F6438" s="10" t="str">
        <f t="shared" si="1161"/>
        <v>Casillas Álvarez</v>
      </c>
      <c r="G6438" s="8">
        <v>1</v>
      </c>
      <c r="H6438" s="11">
        <v>200</v>
      </c>
      <c r="I6438" s="12">
        <v>43233</v>
      </c>
      <c r="J6438" s="35">
        <f t="shared" si="1162"/>
        <v>0</v>
      </c>
      <c r="K6438" s="36"/>
      <c r="L6438" s="36"/>
      <c r="M6438" s="36"/>
      <c r="N6438" s="36"/>
      <c r="O6438" s="36"/>
      <c r="P6438" s="36"/>
      <c r="Q6438" s="36"/>
      <c r="R6438" s="36"/>
      <c r="S6438" s="36"/>
      <c r="T6438" s="36"/>
      <c r="U6438" s="36"/>
      <c r="V6438" s="36"/>
      <c r="W6438" s="15">
        <f t="shared" si="1163"/>
        <v>0</v>
      </c>
      <c r="X6438" s="36"/>
      <c r="Y6438" s="36"/>
      <c r="Z6438" s="36"/>
      <c r="AA6438" s="36"/>
      <c r="AB6438" s="36"/>
      <c r="AC6438" s="36"/>
      <c r="AD6438" s="36"/>
      <c r="AE6438" s="36"/>
      <c r="AF6438" s="36"/>
      <c r="AG6438" s="36"/>
      <c r="AH6438" s="36"/>
      <c r="AI6438" s="36"/>
      <c r="AJ6438" s="15">
        <f t="shared" si="1164"/>
        <v>0</v>
      </c>
      <c r="AK6438" s="14"/>
      <c r="AL6438" s="14"/>
      <c r="AM6438" s="14"/>
      <c r="AN6438" s="14"/>
      <c r="AO6438" s="14"/>
      <c r="AP6438" s="14">
        <v>200</v>
      </c>
      <c r="AQ6438" s="14"/>
      <c r="AR6438" s="14"/>
      <c r="AS6438" s="14"/>
      <c r="AT6438" s="14"/>
      <c r="AU6438" s="14"/>
      <c r="AV6438" s="14"/>
      <c r="AW6438" s="15">
        <f t="shared" si="1165"/>
        <v>200</v>
      </c>
      <c r="AX6438" s="16"/>
    </row>
    <row r="6439" spans="2:50" x14ac:dyDescent="0.2">
      <c r="B6439" s="7"/>
      <c r="C6439" s="8">
        <v>16543</v>
      </c>
      <c r="D6439" s="9" t="s">
        <v>62</v>
      </c>
      <c r="E6439" s="10" t="str">
        <f t="shared" si="1160"/>
        <v>Rancho Romeral No. 10, A</v>
      </c>
      <c r="F6439" s="10" t="str">
        <f t="shared" si="1161"/>
        <v>Casillas Álvarez</v>
      </c>
      <c r="G6439" s="8">
        <v>3</v>
      </c>
      <c r="H6439" s="11">
        <v>200</v>
      </c>
      <c r="I6439" s="12">
        <v>43233</v>
      </c>
      <c r="J6439" s="35">
        <f t="shared" si="1162"/>
        <v>0</v>
      </c>
      <c r="K6439" s="36"/>
      <c r="L6439" s="36"/>
      <c r="M6439" s="36"/>
      <c r="N6439" s="36"/>
      <c r="O6439" s="36"/>
      <c r="P6439" s="36"/>
      <c r="Q6439" s="36"/>
      <c r="R6439" s="36"/>
      <c r="S6439" s="36"/>
      <c r="T6439" s="36"/>
      <c r="U6439" s="36"/>
      <c r="V6439" s="36"/>
      <c r="W6439" s="15">
        <f t="shared" si="1163"/>
        <v>0</v>
      </c>
      <c r="X6439" s="36"/>
      <c r="Y6439" s="36"/>
      <c r="Z6439" s="36"/>
      <c r="AA6439" s="36"/>
      <c r="AB6439" s="36"/>
      <c r="AC6439" s="36"/>
      <c r="AD6439" s="36"/>
      <c r="AE6439" s="36"/>
      <c r="AF6439" s="36"/>
      <c r="AG6439" s="36"/>
      <c r="AH6439" s="36"/>
      <c r="AI6439" s="36"/>
      <c r="AJ6439" s="15">
        <f t="shared" si="1164"/>
        <v>0</v>
      </c>
      <c r="AK6439" s="14"/>
      <c r="AL6439" s="14"/>
      <c r="AM6439" s="14"/>
      <c r="AN6439" s="14"/>
      <c r="AO6439" s="14"/>
      <c r="AP6439" s="14"/>
      <c r="AQ6439" s="14"/>
      <c r="AR6439" s="14"/>
      <c r="AS6439" s="14"/>
      <c r="AT6439" s="14"/>
      <c r="AU6439" s="14"/>
      <c r="AV6439" s="14"/>
      <c r="AW6439" s="15">
        <f t="shared" si="1165"/>
        <v>0</v>
      </c>
      <c r="AX6439" s="16"/>
    </row>
    <row r="6440" spans="2:50" x14ac:dyDescent="0.2">
      <c r="B6440" s="7"/>
      <c r="C6440" s="8">
        <v>16544</v>
      </c>
      <c r="D6440" s="9" t="s">
        <v>3178</v>
      </c>
      <c r="E6440" s="10" t="str">
        <f t="shared" si="1160"/>
        <v>Rancho La Cuchilla No. 103</v>
      </c>
      <c r="F6440" s="10" t="str">
        <f t="shared" si="1161"/>
        <v>Bernal</v>
      </c>
      <c r="G6440" s="8">
        <v>1</v>
      </c>
      <c r="H6440" s="11">
        <v>1000</v>
      </c>
      <c r="I6440" s="12">
        <v>43233</v>
      </c>
      <c r="J6440" s="35">
        <f t="shared" si="1162"/>
        <v>0</v>
      </c>
      <c r="K6440" s="36"/>
      <c r="L6440" s="36"/>
      <c r="M6440" s="36"/>
      <c r="N6440" s="36"/>
      <c r="O6440" s="36"/>
      <c r="P6440" s="36"/>
      <c r="Q6440" s="36"/>
      <c r="R6440" s="36"/>
      <c r="S6440" s="36"/>
      <c r="T6440" s="36"/>
      <c r="U6440" s="36"/>
      <c r="V6440" s="36"/>
      <c r="W6440" s="15">
        <f t="shared" si="1163"/>
        <v>0</v>
      </c>
      <c r="X6440" s="36"/>
      <c r="Y6440" s="36"/>
      <c r="Z6440" s="36"/>
      <c r="AA6440" s="36"/>
      <c r="AB6440" s="36"/>
      <c r="AC6440" s="36"/>
      <c r="AD6440" s="36"/>
      <c r="AE6440" s="36"/>
      <c r="AF6440" s="36"/>
      <c r="AG6440" s="36"/>
      <c r="AH6440" s="36"/>
      <c r="AI6440" s="36"/>
      <c r="AJ6440" s="15">
        <f t="shared" si="1164"/>
        <v>0</v>
      </c>
      <c r="AK6440" s="14"/>
      <c r="AL6440" s="14"/>
      <c r="AM6440" s="14"/>
      <c r="AN6440" s="14"/>
      <c r="AO6440" s="14">
        <v>500</v>
      </c>
      <c r="AP6440" s="14">
        <v>500</v>
      </c>
      <c r="AQ6440" s="14"/>
      <c r="AR6440" s="14"/>
      <c r="AS6440" s="14"/>
      <c r="AT6440" s="14"/>
      <c r="AU6440" s="14"/>
      <c r="AV6440" s="14"/>
      <c r="AW6440" s="15">
        <f t="shared" si="1165"/>
        <v>1000</v>
      </c>
      <c r="AX6440" s="16"/>
    </row>
    <row r="6441" spans="2:50" x14ac:dyDescent="0.2">
      <c r="B6441" s="7"/>
      <c r="C6441" s="8">
        <v>16545</v>
      </c>
      <c r="D6441" s="9" t="s">
        <v>1020</v>
      </c>
      <c r="E6441" s="10" t="str">
        <f t="shared" si="1160"/>
        <v>Rancho Landero No. 52</v>
      </c>
      <c r="F6441" s="10" t="str">
        <f t="shared" si="1161"/>
        <v>Feregrino</v>
      </c>
      <c r="G6441" s="8">
        <v>1</v>
      </c>
      <c r="H6441" s="11">
        <v>400</v>
      </c>
      <c r="I6441" s="12">
        <v>43233</v>
      </c>
      <c r="J6441" s="35">
        <f t="shared" si="1162"/>
        <v>0</v>
      </c>
      <c r="K6441" s="36"/>
      <c r="L6441" s="36"/>
      <c r="M6441" s="36"/>
      <c r="N6441" s="36"/>
      <c r="O6441" s="36"/>
      <c r="P6441" s="36"/>
      <c r="Q6441" s="36"/>
      <c r="R6441" s="36"/>
      <c r="S6441" s="36"/>
      <c r="T6441" s="36"/>
      <c r="U6441" s="36"/>
      <c r="V6441" s="36"/>
      <c r="W6441" s="15">
        <f t="shared" si="1163"/>
        <v>0</v>
      </c>
      <c r="X6441" s="36"/>
      <c r="Y6441" s="36"/>
      <c r="Z6441" s="36"/>
      <c r="AA6441" s="36"/>
      <c r="AB6441" s="36"/>
      <c r="AC6441" s="36"/>
      <c r="AD6441" s="36"/>
      <c r="AE6441" s="36"/>
      <c r="AF6441" s="36"/>
      <c r="AG6441" s="36"/>
      <c r="AH6441" s="36"/>
      <c r="AI6441" s="36"/>
      <c r="AJ6441" s="15">
        <f t="shared" si="1164"/>
        <v>0</v>
      </c>
      <c r="AK6441" s="14"/>
      <c r="AL6441" s="14"/>
      <c r="AM6441" s="14"/>
      <c r="AN6441" s="14"/>
      <c r="AO6441" s="14">
        <v>400</v>
      </c>
      <c r="AP6441" s="14"/>
      <c r="AQ6441" s="14"/>
      <c r="AR6441" s="14"/>
      <c r="AS6441" s="14"/>
      <c r="AT6441" s="14"/>
      <c r="AU6441" s="14"/>
      <c r="AV6441" s="14"/>
      <c r="AW6441" s="15">
        <f t="shared" si="1165"/>
        <v>400</v>
      </c>
      <c r="AX6441" s="16"/>
    </row>
    <row r="6442" spans="2:50" x14ac:dyDescent="0.2">
      <c r="B6442" s="7"/>
      <c r="C6442" s="8">
        <v>16546</v>
      </c>
      <c r="D6442" s="9" t="s">
        <v>168</v>
      </c>
      <c r="E6442" s="10" t="str">
        <f t="shared" si="1160"/>
        <v>Rancho Upácuaro No. 73, A</v>
      </c>
      <c r="F6442" s="10" t="str">
        <f t="shared" si="1161"/>
        <v>Ortega</v>
      </c>
      <c r="G6442" s="8">
        <v>1</v>
      </c>
      <c r="H6442" s="11">
        <v>200</v>
      </c>
      <c r="I6442" s="12">
        <v>43233</v>
      </c>
      <c r="J6442" s="35">
        <f t="shared" si="1162"/>
        <v>0</v>
      </c>
      <c r="K6442" s="36"/>
      <c r="L6442" s="36"/>
      <c r="M6442" s="36"/>
      <c r="N6442" s="36"/>
      <c r="O6442" s="36"/>
      <c r="P6442" s="36"/>
      <c r="Q6442" s="36"/>
      <c r="R6442" s="36"/>
      <c r="S6442" s="36"/>
      <c r="T6442" s="36"/>
      <c r="U6442" s="36"/>
      <c r="V6442" s="36"/>
      <c r="W6442" s="15">
        <f t="shared" si="1163"/>
        <v>0</v>
      </c>
      <c r="X6442" s="36"/>
      <c r="Y6442" s="36"/>
      <c r="Z6442" s="36"/>
      <c r="AA6442" s="36"/>
      <c r="AB6442" s="36"/>
      <c r="AC6442" s="36"/>
      <c r="AD6442" s="36"/>
      <c r="AE6442" s="36"/>
      <c r="AF6442" s="36"/>
      <c r="AG6442" s="36"/>
      <c r="AH6442" s="36"/>
      <c r="AI6442" s="36"/>
      <c r="AJ6442" s="15">
        <f t="shared" si="1164"/>
        <v>0</v>
      </c>
      <c r="AK6442" s="14"/>
      <c r="AL6442" s="14"/>
      <c r="AM6442" s="14"/>
      <c r="AN6442" s="14">
        <v>200</v>
      </c>
      <c r="AO6442" s="14"/>
      <c r="AP6442" s="14"/>
      <c r="AQ6442" s="14"/>
      <c r="AR6442" s="14"/>
      <c r="AS6442" s="14"/>
      <c r="AT6442" s="14"/>
      <c r="AU6442" s="14"/>
      <c r="AV6442" s="14"/>
      <c r="AW6442" s="15">
        <f t="shared" si="1165"/>
        <v>200</v>
      </c>
      <c r="AX6442" s="16"/>
    </row>
    <row r="6443" spans="2:50" x14ac:dyDescent="0.2">
      <c r="B6443" s="7"/>
      <c r="C6443" s="8">
        <v>16547</v>
      </c>
      <c r="D6443" s="9" t="s">
        <v>740</v>
      </c>
      <c r="E6443" s="10" t="str">
        <f t="shared" si="1160"/>
        <v>Rancho Upácuaro No. 65</v>
      </c>
      <c r="F6443" s="10" t="str">
        <f t="shared" si="1161"/>
        <v>Cruz González</v>
      </c>
      <c r="G6443" s="8">
        <v>1</v>
      </c>
      <c r="H6443" s="11">
        <v>800</v>
      </c>
      <c r="I6443" s="12">
        <v>43233</v>
      </c>
      <c r="J6443" s="35">
        <f t="shared" si="1162"/>
        <v>0</v>
      </c>
      <c r="K6443" s="36"/>
      <c r="L6443" s="36"/>
      <c r="M6443" s="36"/>
      <c r="N6443" s="36"/>
      <c r="O6443" s="36"/>
      <c r="P6443" s="36"/>
      <c r="Q6443" s="36"/>
      <c r="R6443" s="36"/>
      <c r="S6443" s="36"/>
      <c r="T6443" s="36"/>
      <c r="U6443" s="36"/>
      <c r="V6443" s="36"/>
      <c r="W6443" s="15">
        <f t="shared" si="1163"/>
        <v>0</v>
      </c>
      <c r="X6443" s="36"/>
      <c r="Y6443" s="36"/>
      <c r="Z6443" s="36"/>
      <c r="AA6443" s="36"/>
      <c r="AB6443" s="36"/>
      <c r="AC6443" s="36"/>
      <c r="AD6443" s="36"/>
      <c r="AE6443" s="36"/>
      <c r="AF6443" s="36"/>
      <c r="AG6443" s="36"/>
      <c r="AH6443" s="36"/>
      <c r="AI6443" s="36"/>
      <c r="AJ6443" s="15">
        <f t="shared" si="1164"/>
        <v>0</v>
      </c>
      <c r="AK6443" s="14"/>
      <c r="AL6443" s="14"/>
      <c r="AM6443" s="14"/>
      <c r="AN6443" s="14">
        <v>400</v>
      </c>
      <c r="AO6443" s="14">
        <v>400</v>
      </c>
      <c r="AP6443" s="14"/>
      <c r="AQ6443" s="14"/>
      <c r="AR6443" s="14"/>
      <c r="AS6443" s="14"/>
      <c r="AT6443" s="14"/>
      <c r="AU6443" s="14"/>
      <c r="AV6443" s="14"/>
      <c r="AW6443" s="15">
        <f t="shared" si="1165"/>
        <v>800</v>
      </c>
      <c r="AX6443" s="16"/>
    </row>
    <row r="6444" spans="2:50" x14ac:dyDescent="0.2">
      <c r="B6444" s="7"/>
      <c r="C6444" s="8">
        <v>16548</v>
      </c>
      <c r="D6444" s="9" t="s">
        <v>416</v>
      </c>
      <c r="E6444" s="10" t="str">
        <f t="shared" si="1160"/>
        <v>Rancho La Cuchilla No. 112, PB</v>
      </c>
      <c r="F6444" s="10" t="str">
        <f t="shared" si="1161"/>
        <v>Soreque</v>
      </c>
      <c r="G6444" s="8">
        <v>1</v>
      </c>
      <c r="H6444" s="11">
        <v>200</v>
      </c>
      <c r="I6444" s="12">
        <v>43233</v>
      </c>
      <c r="J6444" s="35">
        <f t="shared" si="1162"/>
        <v>0</v>
      </c>
      <c r="K6444" s="36"/>
      <c r="L6444" s="36"/>
      <c r="M6444" s="36"/>
      <c r="N6444" s="36"/>
      <c r="O6444" s="36"/>
      <c r="P6444" s="36"/>
      <c r="Q6444" s="36"/>
      <c r="R6444" s="36"/>
      <c r="S6444" s="36"/>
      <c r="T6444" s="36"/>
      <c r="U6444" s="36"/>
      <c r="V6444" s="36"/>
      <c r="W6444" s="15">
        <f t="shared" si="1163"/>
        <v>0</v>
      </c>
      <c r="X6444" s="36"/>
      <c r="Y6444" s="36"/>
      <c r="Z6444" s="36"/>
      <c r="AA6444" s="36"/>
      <c r="AB6444" s="36"/>
      <c r="AC6444" s="36"/>
      <c r="AD6444" s="36"/>
      <c r="AE6444" s="36"/>
      <c r="AF6444" s="36"/>
      <c r="AG6444" s="36"/>
      <c r="AH6444" s="36"/>
      <c r="AI6444" s="36"/>
      <c r="AJ6444" s="15">
        <f t="shared" si="1164"/>
        <v>0</v>
      </c>
      <c r="AK6444" s="14"/>
      <c r="AL6444" s="14"/>
      <c r="AM6444" s="14"/>
      <c r="AN6444" s="14"/>
      <c r="AO6444" s="14">
        <v>200</v>
      </c>
      <c r="AP6444" s="14"/>
      <c r="AQ6444" s="14"/>
      <c r="AR6444" s="14"/>
      <c r="AS6444" s="14"/>
      <c r="AT6444" s="14"/>
      <c r="AU6444" s="14"/>
      <c r="AV6444" s="14"/>
      <c r="AW6444" s="15">
        <f t="shared" si="1165"/>
        <v>200</v>
      </c>
      <c r="AX6444" s="16"/>
    </row>
    <row r="6445" spans="2:50" x14ac:dyDescent="0.2">
      <c r="B6445" s="7"/>
      <c r="C6445" s="8">
        <v>16549</v>
      </c>
      <c r="D6445" s="9" t="s">
        <v>150</v>
      </c>
      <c r="E6445" s="10" t="str">
        <f t="shared" si="1160"/>
        <v>Rancho La Cuchilla No. 33</v>
      </c>
      <c r="F6445" s="10" t="str">
        <f t="shared" si="1161"/>
        <v>Tanús</v>
      </c>
      <c r="G6445" s="8">
        <v>1</v>
      </c>
      <c r="H6445" s="11">
        <v>400</v>
      </c>
      <c r="I6445" s="12">
        <v>43233</v>
      </c>
      <c r="J6445" s="35">
        <f t="shared" si="1162"/>
        <v>0</v>
      </c>
      <c r="K6445" s="36"/>
      <c r="L6445" s="36"/>
      <c r="M6445" s="36"/>
      <c r="N6445" s="36"/>
      <c r="O6445" s="36"/>
      <c r="P6445" s="36"/>
      <c r="Q6445" s="36"/>
      <c r="R6445" s="36"/>
      <c r="S6445" s="36"/>
      <c r="T6445" s="36"/>
      <c r="U6445" s="36"/>
      <c r="V6445" s="36"/>
      <c r="W6445" s="15">
        <f t="shared" si="1163"/>
        <v>0</v>
      </c>
      <c r="X6445" s="36"/>
      <c r="Y6445" s="36"/>
      <c r="Z6445" s="36"/>
      <c r="AA6445" s="36"/>
      <c r="AB6445" s="36"/>
      <c r="AC6445" s="36"/>
      <c r="AD6445" s="36"/>
      <c r="AE6445" s="36"/>
      <c r="AF6445" s="36"/>
      <c r="AG6445" s="36"/>
      <c r="AH6445" s="36"/>
      <c r="AI6445" s="36"/>
      <c r="AJ6445" s="15">
        <f t="shared" si="1164"/>
        <v>0</v>
      </c>
      <c r="AK6445" s="14"/>
      <c r="AL6445" s="14"/>
      <c r="AM6445" s="14"/>
      <c r="AN6445" s="14"/>
      <c r="AO6445" s="14">
        <v>400</v>
      </c>
      <c r="AP6445" s="14"/>
      <c r="AQ6445" s="14"/>
      <c r="AR6445" s="14"/>
      <c r="AS6445" s="14"/>
      <c r="AT6445" s="14"/>
      <c r="AU6445" s="14"/>
      <c r="AV6445" s="14"/>
      <c r="AW6445" s="15">
        <f t="shared" si="1165"/>
        <v>400</v>
      </c>
      <c r="AX6445" s="16"/>
    </row>
    <row r="6446" spans="2:50" x14ac:dyDescent="0.2">
      <c r="B6446" s="7"/>
      <c r="C6446" s="8">
        <v>16550</v>
      </c>
      <c r="D6446" s="9" t="s">
        <v>159</v>
      </c>
      <c r="E6446" s="10" t="str">
        <f t="shared" si="1160"/>
        <v>Rancho Zinamba No. 24</v>
      </c>
      <c r="F6446" s="10" t="str">
        <f t="shared" si="1161"/>
        <v>Monroy García</v>
      </c>
      <c r="G6446" s="8">
        <v>1</v>
      </c>
      <c r="H6446" s="11">
        <v>400</v>
      </c>
      <c r="I6446" s="12">
        <v>43233</v>
      </c>
      <c r="J6446" s="35">
        <f t="shared" si="1162"/>
        <v>0</v>
      </c>
      <c r="K6446" s="36"/>
      <c r="L6446" s="36"/>
      <c r="M6446" s="36"/>
      <c r="N6446" s="36"/>
      <c r="O6446" s="36"/>
      <c r="P6446" s="36"/>
      <c r="Q6446" s="36"/>
      <c r="R6446" s="36"/>
      <c r="S6446" s="36"/>
      <c r="T6446" s="36"/>
      <c r="U6446" s="36"/>
      <c r="V6446" s="36"/>
      <c r="W6446" s="15">
        <f t="shared" si="1163"/>
        <v>0</v>
      </c>
      <c r="X6446" s="36"/>
      <c r="Y6446" s="36"/>
      <c r="Z6446" s="36"/>
      <c r="AA6446" s="36"/>
      <c r="AB6446" s="36"/>
      <c r="AC6446" s="36"/>
      <c r="AD6446" s="36"/>
      <c r="AE6446" s="36"/>
      <c r="AF6446" s="36"/>
      <c r="AG6446" s="36"/>
      <c r="AH6446" s="36"/>
      <c r="AI6446" s="36"/>
      <c r="AJ6446" s="15">
        <f t="shared" si="1164"/>
        <v>0</v>
      </c>
      <c r="AK6446" s="14"/>
      <c r="AL6446" s="14"/>
      <c r="AM6446" s="14"/>
      <c r="AN6446" s="14"/>
      <c r="AO6446" s="14">
        <v>400</v>
      </c>
      <c r="AP6446" s="14"/>
      <c r="AQ6446" s="14"/>
      <c r="AR6446" s="14"/>
      <c r="AS6446" s="14"/>
      <c r="AT6446" s="14"/>
      <c r="AU6446" s="14"/>
      <c r="AV6446" s="14"/>
      <c r="AW6446" s="15">
        <f t="shared" si="1165"/>
        <v>400</v>
      </c>
      <c r="AX6446" s="16"/>
    </row>
    <row r="6447" spans="2:50" x14ac:dyDescent="0.2">
      <c r="B6447" s="7"/>
      <c r="C6447" s="8">
        <v>16551</v>
      </c>
      <c r="D6447" s="9" t="s">
        <v>328</v>
      </c>
      <c r="E6447" s="10" t="str">
        <f t="shared" si="1160"/>
        <v>Rancho La Cuchilla No. 130</v>
      </c>
      <c r="F6447" s="10" t="str">
        <f t="shared" si="1161"/>
        <v>Gonzalez</v>
      </c>
      <c r="G6447" s="8">
        <v>1</v>
      </c>
      <c r="H6447" s="11">
        <v>400</v>
      </c>
      <c r="I6447" s="12">
        <v>43233</v>
      </c>
      <c r="J6447" s="35">
        <f t="shared" si="1162"/>
        <v>0</v>
      </c>
      <c r="K6447" s="36"/>
      <c r="L6447" s="36"/>
      <c r="M6447" s="36"/>
      <c r="N6447" s="36"/>
      <c r="O6447" s="36"/>
      <c r="P6447" s="36"/>
      <c r="Q6447" s="36"/>
      <c r="R6447" s="36"/>
      <c r="S6447" s="36"/>
      <c r="T6447" s="36"/>
      <c r="U6447" s="36"/>
      <c r="V6447" s="36"/>
      <c r="W6447" s="15">
        <f t="shared" si="1163"/>
        <v>0</v>
      </c>
      <c r="X6447" s="36"/>
      <c r="Y6447" s="36"/>
      <c r="Z6447" s="36"/>
      <c r="AA6447" s="36"/>
      <c r="AB6447" s="36"/>
      <c r="AC6447" s="36"/>
      <c r="AD6447" s="36"/>
      <c r="AE6447" s="36"/>
      <c r="AF6447" s="36"/>
      <c r="AG6447" s="36"/>
      <c r="AH6447" s="36"/>
      <c r="AI6447" s="36"/>
      <c r="AJ6447" s="15">
        <f t="shared" si="1164"/>
        <v>0</v>
      </c>
      <c r="AK6447" s="14"/>
      <c r="AL6447" s="14"/>
      <c r="AM6447" s="14"/>
      <c r="AN6447" s="14"/>
      <c r="AO6447" s="14">
        <v>400</v>
      </c>
      <c r="AP6447" s="14"/>
      <c r="AQ6447" s="14"/>
      <c r="AR6447" s="14"/>
      <c r="AS6447" s="14"/>
      <c r="AT6447" s="14"/>
      <c r="AU6447" s="14"/>
      <c r="AV6447" s="14"/>
      <c r="AW6447" s="15">
        <f t="shared" si="1165"/>
        <v>400</v>
      </c>
      <c r="AX6447" s="16"/>
    </row>
    <row r="6448" spans="2:50" x14ac:dyDescent="0.2">
      <c r="B6448" s="7"/>
      <c r="C6448" s="8">
        <v>16552</v>
      </c>
      <c r="D6448" s="9" t="s">
        <v>556</v>
      </c>
      <c r="E6448" s="10" t="str">
        <f t="shared" si="1160"/>
        <v>Rancho Zinamba No. 26</v>
      </c>
      <c r="F6448" s="10" t="str">
        <f t="shared" si="1161"/>
        <v>Ayala</v>
      </c>
      <c r="G6448" s="8">
        <v>1</v>
      </c>
      <c r="H6448" s="11">
        <v>400</v>
      </c>
      <c r="I6448" s="12">
        <v>43233</v>
      </c>
      <c r="J6448" s="35">
        <f t="shared" si="1162"/>
        <v>0</v>
      </c>
      <c r="K6448" s="36"/>
      <c r="L6448" s="36"/>
      <c r="M6448" s="36"/>
      <c r="N6448" s="36"/>
      <c r="O6448" s="36"/>
      <c r="P6448" s="36"/>
      <c r="Q6448" s="36"/>
      <c r="R6448" s="36"/>
      <c r="S6448" s="36"/>
      <c r="T6448" s="36"/>
      <c r="U6448" s="36"/>
      <c r="V6448" s="36"/>
      <c r="W6448" s="15">
        <f t="shared" si="1163"/>
        <v>0</v>
      </c>
      <c r="X6448" s="36"/>
      <c r="Y6448" s="36"/>
      <c r="Z6448" s="36"/>
      <c r="AA6448" s="36"/>
      <c r="AB6448" s="36"/>
      <c r="AC6448" s="36"/>
      <c r="AD6448" s="36"/>
      <c r="AE6448" s="36"/>
      <c r="AF6448" s="36"/>
      <c r="AG6448" s="36"/>
      <c r="AH6448" s="36"/>
      <c r="AI6448" s="36"/>
      <c r="AJ6448" s="15">
        <f t="shared" si="1164"/>
        <v>0</v>
      </c>
      <c r="AK6448" s="14"/>
      <c r="AL6448" s="14"/>
      <c r="AM6448" s="14"/>
      <c r="AN6448" s="14">
        <v>400</v>
      </c>
      <c r="AO6448" s="14"/>
      <c r="AP6448" s="14"/>
      <c r="AQ6448" s="14"/>
      <c r="AR6448" s="14"/>
      <c r="AS6448" s="14"/>
      <c r="AT6448" s="14"/>
      <c r="AU6448" s="14"/>
      <c r="AV6448" s="14"/>
      <c r="AW6448" s="15">
        <f t="shared" si="1165"/>
        <v>400</v>
      </c>
      <c r="AX6448" s="16"/>
    </row>
    <row r="6449" spans="2:50" x14ac:dyDescent="0.2">
      <c r="B6449" s="7"/>
      <c r="C6449" s="8">
        <v>16553</v>
      </c>
      <c r="D6449" s="9" t="s">
        <v>785</v>
      </c>
      <c r="E6449" s="10" t="str">
        <f t="shared" si="1160"/>
        <v>Rancho Estanzuela No. 61</v>
      </c>
      <c r="F6449" s="10" t="str">
        <f t="shared" si="1161"/>
        <v>González Almazán</v>
      </c>
      <c r="G6449" s="8">
        <v>1</v>
      </c>
      <c r="H6449" s="11">
        <v>400</v>
      </c>
      <c r="I6449" s="12">
        <v>43233</v>
      </c>
      <c r="J6449" s="35">
        <f t="shared" si="1162"/>
        <v>0</v>
      </c>
      <c r="K6449" s="36"/>
      <c r="L6449" s="36"/>
      <c r="M6449" s="36"/>
      <c r="N6449" s="36"/>
      <c r="O6449" s="36"/>
      <c r="P6449" s="36"/>
      <c r="Q6449" s="36"/>
      <c r="R6449" s="36"/>
      <c r="S6449" s="36"/>
      <c r="T6449" s="36"/>
      <c r="U6449" s="36"/>
      <c r="V6449" s="36"/>
      <c r="W6449" s="15">
        <f t="shared" si="1163"/>
        <v>0</v>
      </c>
      <c r="X6449" s="36"/>
      <c r="Y6449" s="36"/>
      <c r="Z6449" s="36"/>
      <c r="AA6449" s="36"/>
      <c r="AB6449" s="36"/>
      <c r="AC6449" s="36"/>
      <c r="AD6449" s="36"/>
      <c r="AE6449" s="36"/>
      <c r="AF6449" s="36"/>
      <c r="AG6449" s="36"/>
      <c r="AH6449" s="36"/>
      <c r="AI6449" s="36"/>
      <c r="AJ6449" s="15">
        <f t="shared" si="1164"/>
        <v>0</v>
      </c>
      <c r="AK6449" s="14"/>
      <c r="AL6449" s="14"/>
      <c r="AM6449" s="14"/>
      <c r="AN6449" s="14">
        <v>200</v>
      </c>
      <c r="AO6449" s="14">
        <v>200</v>
      </c>
      <c r="AP6449" s="14"/>
      <c r="AQ6449" s="14"/>
      <c r="AR6449" s="14"/>
      <c r="AS6449" s="14"/>
      <c r="AT6449" s="14"/>
      <c r="AU6449" s="14"/>
      <c r="AV6449" s="14"/>
      <c r="AW6449" s="15">
        <f t="shared" si="1165"/>
        <v>400</v>
      </c>
      <c r="AX6449" s="16"/>
    </row>
    <row r="6450" spans="2:50" x14ac:dyDescent="0.2">
      <c r="B6450" s="7"/>
      <c r="C6450" s="8">
        <v>16554</v>
      </c>
      <c r="D6450" s="9" t="s">
        <v>696</v>
      </c>
      <c r="E6450" s="10" t="str">
        <f t="shared" si="1160"/>
        <v>Rancho Upácuaro No. 64</v>
      </c>
      <c r="F6450" s="10" t="str">
        <f t="shared" si="1161"/>
        <v>Méndez Oliva</v>
      </c>
      <c r="G6450" s="8">
        <v>1</v>
      </c>
      <c r="H6450" s="11">
        <v>300</v>
      </c>
      <c r="I6450" s="12">
        <v>43233</v>
      </c>
      <c r="J6450" s="35">
        <f t="shared" si="1162"/>
        <v>0</v>
      </c>
      <c r="K6450" s="36"/>
      <c r="L6450" s="36"/>
      <c r="M6450" s="36"/>
      <c r="N6450" s="36"/>
      <c r="O6450" s="36"/>
      <c r="P6450" s="36"/>
      <c r="Q6450" s="36"/>
      <c r="R6450" s="36"/>
      <c r="S6450" s="36"/>
      <c r="T6450" s="36"/>
      <c r="U6450" s="36"/>
      <c r="V6450" s="36"/>
      <c r="W6450" s="15">
        <f t="shared" si="1163"/>
        <v>0</v>
      </c>
      <c r="X6450" s="36"/>
      <c r="Y6450" s="36"/>
      <c r="Z6450" s="36"/>
      <c r="AA6450" s="36"/>
      <c r="AB6450" s="36"/>
      <c r="AC6450" s="36"/>
      <c r="AD6450" s="36"/>
      <c r="AE6450" s="36"/>
      <c r="AF6450" s="36"/>
      <c r="AG6450" s="36"/>
      <c r="AH6450" s="36"/>
      <c r="AI6450" s="36"/>
      <c r="AJ6450" s="15">
        <f t="shared" si="1164"/>
        <v>0</v>
      </c>
      <c r="AK6450" s="14"/>
      <c r="AL6450" s="14"/>
      <c r="AM6450" s="14"/>
      <c r="AN6450" s="14"/>
      <c r="AO6450" s="14">
        <v>300</v>
      </c>
      <c r="AP6450" s="14"/>
      <c r="AQ6450" s="14"/>
      <c r="AR6450" s="14"/>
      <c r="AS6450" s="14"/>
      <c r="AT6450" s="14"/>
      <c r="AU6450" s="14"/>
      <c r="AV6450" s="14"/>
      <c r="AW6450" s="15">
        <f t="shared" si="1165"/>
        <v>300</v>
      </c>
      <c r="AX6450" s="16"/>
    </row>
    <row r="6451" spans="2:50" x14ac:dyDescent="0.2">
      <c r="B6451" s="7"/>
      <c r="C6451" s="8">
        <v>16555</v>
      </c>
      <c r="D6451" s="9" t="s">
        <v>864</v>
      </c>
      <c r="E6451" s="10" t="str">
        <f t="shared" si="1160"/>
        <v>Rancho Upácuaro No. 40</v>
      </c>
      <c r="F6451" s="10" t="str">
        <f t="shared" si="1161"/>
        <v>López Ramírez</v>
      </c>
      <c r="G6451" s="8">
        <v>1</v>
      </c>
      <c r="H6451" s="11">
        <v>900</v>
      </c>
      <c r="I6451" s="12">
        <v>43233</v>
      </c>
      <c r="J6451" s="35">
        <f t="shared" si="1162"/>
        <v>0</v>
      </c>
      <c r="K6451" s="36"/>
      <c r="L6451" s="36"/>
      <c r="M6451" s="36"/>
      <c r="N6451" s="36"/>
      <c r="O6451" s="36"/>
      <c r="P6451" s="36"/>
      <c r="Q6451" s="36"/>
      <c r="R6451" s="36"/>
      <c r="S6451" s="36"/>
      <c r="T6451" s="36"/>
      <c r="U6451" s="36"/>
      <c r="V6451" s="36"/>
      <c r="W6451" s="15">
        <f t="shared" si="1163"/>
        <v>0</v>
      </c>
      <c r="X6451" s="36"/>
      <c r="Y6451" s="36"/>
      <c r="Z6451" s="36"/>
      <c r="AA6451" s="36"/>
      <c r="AB6451" s="36"/>
      <c r="AC6451" s="36"/>
      <c r="AD6451" s="36"/>
      <c r="AE6451" s="36"/>
      <c r="AF6451" s="36"/>
      <c r="AG6451" s="36"/>
      <c r="AH6451" s="36"/>
      <c r="AI6451" s="36"/>
      <c r="AJ6451" s="15">
        <f t="shared" si="1164"/>
        <v>0</v>
      </c>
      <c r="AK6451" s="14"/>
      <c r="AL6451" s="14">
        <v>300</v>
      </c>
      <c r="AM6451" s="14">
        <v>300</v>
      </c>
      <c r="AN6451" s="14">
        <v>300</v>
      </c>
      <c r="AO6451" s="14"/>
      <c r="AP6451" s="14"/>
      <c r="AQ6451" s="14"/>
      <c r="AR6451" s="14"/>
      <c r="AS6451" s="14"/>
      <c r="AT6451" s="14"/>
      <c r="AU6451" s="14"/>
      <c r="AV6451" s="14"/>
      <c r="AW6451" s="15">
        <f t="shared" si="1165"/>
        <v>900</v>
      </c>
      <c r="AX6451" s="16"/>
    </row>
    <row r="6452" spans="2:50" x14ac:dyDescent="0.2">
      <c r="B6452" s="7"/>
      <c r="C6452" s="8">
        <v>16555</v>
      </c>
      <c r="D6452" s="9" t="s">
        <v>864</v>
      </c>
      <c r="E6452" s="10" t="str">
        <f t="shared" si="1160"/>
        <v>Rancho Upácuaro No. 40</v>
      </c>
      <c r="F6452" s="10" t="str">
        <f t="shared" si="1161"/>
        <v>López Ramírez</v>
      </c>
      <c r="G6452" s="8">
        <v>5</v>
      </c>
      <c r="H6452" s="11">
        <v>50</v>
      </c>
      <c r="I6452" s="12">
        <v>43233</v>
      </c>
      <c r="J6452" s="35">
        <f t="shared" si="1162"/>
        <v>0</v>
      </c>
      <c r="K6452" s="36"/>
      <c r="L6452" s="36"/>
      <c r="M6452" s="36"/>
      <c r="N6452" s="36"/>
      <c r="O6452" s="36"/>
      <c r="P6452" s="36"/>
      <c r="Q6452" s="36"/>
      <c r="R6452" s="36"/>
      <c r="S6452" s="36"/>
      <c r="T6452" s="36"/>
      <c r="U6452" s="36"/>
      <c r="V6452" s="36"/>
      <c r="W6452" s="15">
        <f t="shared" si="1163"/>
        <v>0</v>
      </c>
      <c r="X6452" s="36"/>
      <c r="Y6452" s="36"/>
      <c r="Z6452" s="36"/>
      <c r="AA6452" s="36"/>
      <c r="AB6452" s="36"/>
      <c r="AC6452" s="36"/>
      <c r="AD6452" s="36"/>
      <c r="AE6452" s="36"/>
      <c r="AF6452" s="36"/>
      <c r="AG6452" s="36"/>
      <c r="AH6452" s="36"/>
      <c r="AI6452" s="36"/>
      <c r="AJ6452" s="15">
        <f t="shared" si="1164"/>
        <v>0</v>
      </c>
      <c r="AK6452" s="14"/>
      <c r="AL6452" s="14"/>
      <c r="AM6452" s="14"/>
      <c r="AN6452" s="14"/>
      <c r="AO6452" s="14"/>
      <c r="AP6452" s="14"/>
      <c r="AQ6452" s="14"/>
      <c r="AR6452" s="14"/>
      <c r="AS6452" s="14"/>
      <c r="AT6452" s="14"/>
      <c r="AU6452" s="14"/>
      <c r="AV6452" s="14"/>
      <c r="AW6452" s="15">
        <f t="shared" si="1165"/>
        <v>0</v>
      </c>
      <c r="AX6452" s="16"/>
    </row>
    <row r="6453" spans="2:50" x14ac:dyDescent="0.2">
      <c r="B6453" s="7"/>
      <c r="C6453" s="8">
        <v>16556</v>
      </c>
      <c r="D6453" s="9" t="s">
        <v>628</v>
      </c>
      <c r="E6453" s="10" t="str">
        <f t="shared" si="1160"/>
        <v>Rancho Landero No. 51</v>
      </c>
      <c r="F6453" s="10" t="str">
        <f t="shared" si="1161"/>
        <v>H. Robles Tamayo</v>
      </c>
      <c r="G6453" s="8">
        <v>1</v>
      </c>
      <c r="H6453" s="11">
        <v>400</v>
      </c>
      <c r="I6453" s="12">
        <v>43233</v>
      </c>
      <c r="J6453" s="35">
        <f t="shared" si="1162"/>
        <v>0</v>
      </c>
      <c r="K6453" s="36"/>
      <c r="L6453" s="36"/>
      <c r="M6453" s="36"/>
      <c r="N6453" s="36"/>
      <c r="O6453" s="36"/>
      <c r="P6453" s="36"/>
      <c r="Q6453" s="36"/>
      <c r="R6453" s="36"/>
      <c r="S6453" s="36"/>
      <c r="T6453" s="36"/>
      <c r="U6453" s="36"/>
      <c r="V6453" s="36"/>
      <c r="W6453" s="15">
        <f t="shared" si="1163"/>
        <v>0</v>
      </c>
      <c r="X6453" s="36"/>
      <c r="Y6453" s="36"/>
      <c r="Z6453" s="36"/>
      <c r="AA6453" s="36"/>
      <c r="AB6453" s="36"/>
      <c r="AC6453" s="36"/>
      <c r="AD6453" s="36"/>
      <c r="AE6453" s="36"/>
      <c r="AF6453" s="36"/>
      <c r="AG6453" s="36"/>
      <c r="AH6453" s="36"/>
      <c r="AI6453" s="36"/>
      <c r="AJ6453" s="15">
        <f t="shared" si="1164"/>
        <v>0</v>
      </c>
      <c r="AK6453" s="14"/>
      <c r="AL6453" s="14"/>
      <c r="AM6453" s="14"/>
      <c r="AN6453" s="14"/>
      <c r="AO6453" s="14">
        <v>400</v>
      </c>
      <c r="AP6453" s="14"/>
      <c r="AQ6453" s="14"/>
      <c r="AR6453" s="14"/>
      <c r="AS6453" s="14"/>
      <c r="AT6453" s="14"/>
      <c r="AU6453" s="14"/>
      <c r="AV6453" s="14"/>
      <c r="AW6453" s="15">
        <f t="shared" si="1165"/>
        <v>400</v>
      </c>
      <c r="AX6453" s="16"/>
    </row>
    <row r="6454" spans="2:50" x14ac:dyDescent="0.2">
      <c r="B6454" s="7"/>
      <c r="C6454" s="8">
        <v>16557</v>
      </c>
      <c r="D6454" s="9" t="s">
        <v>1103</v>
      </c>
      <c r="E6454" s="10" t="str">
        <f t="shared" si="1160"/>
        <v>Rancho Landero No. 86</v>
      </c>
      <c r="F6454" s="10" t="str">
        <f t="shared" si="1161"/>
        <v>Cuervo</v>
      </c>
      <c r="G6454" s="8">
        <v>1</v>
      </c>
      <c r="H6454" s="11">
        <v>200</v>
      </c>
      <c r="I6454" s="12">
        <v>43233</v>
      </c>
      <c r="J6454" s="35">
        <f t="shared" si="1162"/>
        <v>0</v>
      </c>
      <c r="K6454" s="36"/>
      <c r="L6454" s="36"/>
      <c r="M6454" s="36"/>
      <c r="N6454" s="36"/>
      <c r="O6454" s="36"/>
      <c r="P6454" s="36"/>
      <c r="Q6454" s="36"/>
      <c r="R6454" s="36"/>
      <c r="S6454" s="36"/>
      <c r="T6454" s="36"/>
      <c r="U6454" s="36"/>
      <c r="V6454" s="36"/>
      <c r="W6454" s="15">
        <f t="shared" si="1163"/>
        <v>0</v>
      </c>
      <c r="X6454" s="36"/>
      <c r="Y6454" s="36"/>
      <c r="Z6454" s="36"/>
      <c r="AA6454" s="36"/>
      <c r="AB6454" s="36"/>
      <c r="AC6454" s="36"/>
      <c r="AD6454" s="36"/>
      <c r="AE6454" s="36"/>
      <c r="AF6454" s="36"/>
      <c r="AG6454" s="36"/>
      <c r="AH6454" s="36"/>
      <c r="AI6454" s="36"/>
      <c r="AJ6454" s="15">
        <f t="shared" si="1164"/>
        <v>0</v>
      </c>
      <c r="AK6454" s="14"/>
      <c r="AL6454" s="14">
        <v>200</v>
      </c>
      <c r="AM6454" s="14"/>
      <c r="AN6454" s="14"/>
      <c r="AO6454" s="14"/>
      <c r="AP6454" s="14"/>
      <c r="AQ6454" s="14"/>
      <c r="AR6454" s="14"/>
      <c r="AS6454" s="14"/>
      <c r="AT6454" s="14"/>
      <c r="AU6454" s="14"/>
      <c r="AV6454" s="14"/>
      <c r="AW6454" s="15">
        <f t="shared" si="1165"/>
        <v>200</v>
      </c>
      <c r="AX6454" s="16"/>
    </row>
    <row r="6455" spans="2:50" x14ac:dyDescent="0.2">
      <c r="B6455" s="7"/>
      <c r="C6455" s="8">
        <v>16558</v>
      </c>
      <c r="D6455" s="9" t="s">
        <v>512</v>
      </c>
      <c r="E6455" s="10" t="str">
        <f t="shared" si="1160"/>
        <v>Rancho Landero No. 35</v>
      </c>
      <c r="F6455" s="10" t="str">
        <f t="shared" si="1161"/>
        <v>Loperena</v>
      </c>
      <c r="G6455" s="8">
        <v>1</v>
      </c>
      <c r="H6455" s="11">
        <v>800</v>
      </c>
      <c r="I6455" s="12">
        <v>43233</v>
      </c>
      <c r="J6455" s="35">
        <f t="shared" si="1162"/>
        <v>0</v>
      </c>
      <c r="K6455" s="36"/>
      <c r="L6455" s="36"/>
      <c r="M6455" s="36"/>
      <c r="N6455" s="36"/>
      <c r="O6455" s="36"/>
      <c r="P6455" s="36"/>
      <c r="Q6455" s="36"/>
      <c r="R6455" s="36"/>
      <c r="S6455" s="36"/>
      <c r="T6455" s="36"/>
      <c r="U6455" s="36"/>
      <c r="V6455" s="36"/>
      <c r="W6455" s="15">
        <f t="shared" si="1163"/>
        <v>0</v>
      </c>
      <c r="X6455" s="36"/>
      <c r="Y6455" s="36"/>
      <c r="Z6455" s="36"/>
      <c r="AA6455" s="36"/>
      <c r="AB6455" s="36"/>
      <c r="AC6455" s="36"/>
      <c r="AD6455" s="36"/>
      <c r="AE6455" s="36"/>
      <c r="AF6455" s="36"/>
      <c r="AG6455" s="36"/>
      <c r="AH6455" s="36"/>
      <c r="AI6455" s="36"/>
      <c r="AJ6455" s="15">
        <f t="shared" si="1164"/>
        <v>0</v>
      </c>
      <c r="AK6455" s="14"/>
      <c r="AL6455" s="14">
        <v>400</v>
      </c>
      <c r="AM6455" s="14">
        <v>400</v>
      </c>
      <c r="AN6455" s="14"/>
      <c r="AO6455" s="14"/>
      <c r="AP6455" s="14"/>
      <c r="AQ6455" s="14"/>
      <c r="AR6455" s="14"/>
      <c r="AS6455" s="14"/>
      <c r="AT6455" s="14"/>
      <c r="AU6455" s="14"/>
      <c r="AV6455" s="14"/>
      <c r="AW6455" s="15">
        <f t="shared" si="1165"/>
        <v>800</v>
      </c>
      <c r="AX6455" s="16"/>
    </row>
    <row r="6456" spans="2:50" x14ac:dyDescent="0.2">
      <c r="B6456" s="7"/>
      <c r="C6456" s="8">
        <v>16559</v>
      </c>
      <c r="D6456" s="9" t="s">
        <v>470</v>
      </c>
      <c r="E6456" s="10" t="str">
        <f t="shared" si="1160"/>
        <v>Rancho Zinamba No. 42</v>
      </c>
      <c r="F6456" s="10" t="str">
        <f t="shared" si="1161"/>
        <v>López Aldave</v>
      </c>
      <c r="G6456" s="8">
        <v>1</v>
      </c>
      <c r="H6456" s="11">
        <v>1050</v>
      </c>
      <c r="I6456" s="12">
        <v>43233</v>
      </c>
      <c r="J6456" s="35">
        <f t="shared" si="1162"/>
        <v>0</v>
      </c>
      <c r="K6456" s="36"/>
      <c r="L6456" s="36"/>
      <c r="M6456" s="36"/>
      <c r="N6456" s="36"/>
      <c r="O6456" s="36"/>
      <c r="P6456" s="36"/>
      <c r="Q6456" s="36"/>
      <c r="R6456" s="36"/>
      <c r="S6456" s="36"/>
      <c r="T6456" s="36"/>
      <c r="U6456" s="36"/>
      <c r="V6456" s="36"/>
      <c r="W6456" s="15">
        <f t="shared" si="1163"/>
        <v>0</v>
      </c>
      <c r="X6456" s="36"/>
      <c r="Y6456" s="36"/>
      <c r="Z6456" s="36"/>
      <c r="AA6456" s="36"/>
      <c r="AB6456" s="36"/>
      <c r="AC6456" s="36"/>
      <c r="AD6456" s="36"/>
      <c r="AE6456" s="36"/>
      <c r="AF6456" s="36"/>
      <c r="AG6456" s="36"/>
      <c r="AH6456" s="36"/>
      <c r="AI6456" s="36"/>
      <c r="AJ6456" s="15">
        <f t="shared" si="1164"/>
        <v>0</v>
      </c>
      <c r="AK6456" s="14"/>
      <c r="AL6456" s="14"/>
      <c r="AM6456" s="14">
        <v>350</v>
      </c>
      <c r="AN6456" s="14">
        <v>350</v>
      </c>
      <c r="AO6456" s="14">
        <v>350</v>
      </c>
      <c r="AP6456" s="14"/>
      <c r="AQ6456" s="14"/>
      <c r="AR6456" s="14"/>
      <c r="AS6456" s="14"/>
      <c r="AT6456" s="14"/>
      <c r="AU6456" s="14"/>
      <c r="AV6456" s="14"/>
      <c r="AW6456" s="15">
        <f t="shared" si="1165"/>
        <v>1050</v>
      </c>
      <c r="AX6456" s="16"/>
    </row>
    <row r="6457" spans="2:50" x14ac:dyDescent="0.2">
      <c r="B6457" s="7"/>
      <c r="C6457" s="8">
        <v>16560</v>
      </c>
      <c r="D6457" s="9" t="s">
        <v>911</v>
      </c>
      <c r="E6457" s="10" t="str">
        <f t="shared" si="1160"/>
        <v>Rancho Estanzuela No. 19</v>
      </c>
      <c r="F6457" s="10" t="str">
        <f t="shared" si="1161"/>
        <v>Robles</v>
      </c>
      <c r="G6457" s="8">
        <v>1</v>
      </c>
      <c r="H6457" s="11">
        <v>400</v>
      </c>
      <c r="I6457" s="12">
        <v>43233</v>
      </c>
      <c r="J6457" s="35">
        <f t="shared" si="1162"/>
        <v>0</v>
      </c>
      <c r="K6457" s="36"/>
      <c r="L6457" s="36"/>
      <c r="M6457" s="36"/>
      <c r="N6457" s="36"/>
      <c r="O6457" s="36"/>
      <c r="P6457" s="36"/>
      <c r="Q6457" s="36"/>
      <c r="R6457" s="36"/>
      <c r="S6457" s="36"/>
      <c r="T6457" s="36"/>
      <c r="U6457" s="36"/>
      <c r="V6457" s="36"/>
      <c r="W6457" s="15">
        <f t="shared" si="1163"/>
        <v>0</v>
      </c>
      <c r="X6457" s="36"/>
      <c r="Y6457" s="36"/>
      <c r="Z6457" s="36"/>
      <c r="AA6457" s="36"/>
      <c r="AB6457" s="36"/>
      <c r="AC6457" s="36"/>
      <c r="AD6457" s="36"/>
      <c r="AE6457" s="36"/>
      <c r="AF6457" s="36"/>
      <c r="AG6457" s="36"/>
      <c r="AH6457" s="36"/>
      <c r="AI6457" s="36"/>
      <c r="AJ6457" s="15">
        <f t="shared" si="1164"/>
        <v>0</v>
      </c>
      <c r="AK6457" s="14"/>
      <c r="AL6457" s="14"/>
      <c r="AM6457" s="14"/>
      <c r="AN6457" s="14"/>
      <c r="AO6457" s="14">
        <v>400</v>
      </c>
      <c r="AP6457" s="14"/>
      <c r="AQ6457" s="14"/>
      <c r="AR6457" s="14"/>
      <c r="AS6457" s="14"/>
      <c r="AT6457" s="14"/>
      <c r="AU6457" s="14"/>
      <c r="AV6457" s="14"/>
      <c r="AW6457" s="15">
        <f t="shared" si="1165"/>
        <v>400</v>
      </c>
      <c r="AX6457" s="316">
        <f>SUM(H6409:H6457)</f>
        <v>20350</v>
      </c>
    </row>
    <row r="6458" spans="2:50" x14ac:dyDescent="0.2">
      <c r="B6458" s="7"/>
      <c r="C6458" s="8">
        <v>16561</v>
      </c>
      <c r="D6458" s="9" t="s">
        <v>1076</v>
      </c>
      <c r="E6458" s="10" t="str">
        <f t="shared" si="1160"/>
        <v>Rancho La Cuchilla No. 67</v>
      </c>
      <c r="F6458" s="10" t="str">
        <f t="shared" si="1161"/>
        <v>Quezada Viruega</v>
      </c>
      <c r="G6458" s="8">
        <v>1</v>
      </c>
      <c r="H6458" s="315">
        <v>400</v>
      </c>
      <c r="I6458" s="12">
        <v>43234</v>
      </c>
      <c r="J6458" s="35">
        <f t="shared" si="1162"/>
        <v>0</v>
      </c>
      <c r="K6458" s="36"/>
      <c r="L6458" s="36"/>
      <c r="M6458" s="36"/>
      <c r="N6458" s="36"/>
      <c r="O6458" s="36"/>
      <c r="P6458" s="36"/>
      <c r="Q6458" s="36"/>
      <c r="R6458" s="36"/>
      <c r="S6458" s="36"/>
      <c r="T6458" s="36"/>
      <c r="U6458" s="36"/>
      <c r="V6458" s="36"/>
      <c r="W6458" s="15">
        <f t="shared" si="1163"/>
        <v>0</v>
      </c>
      <c r="X6458" s="36"/>
      <c r="Y6458" s="36"/>
      <c r="Z6458" s="36"/>
      <c r="AA6458" s="36"/>
      <c r="AB6458" s="36"/>
      <c r="AC6458" s="36"/>
      <c r="AD6458" s="36"/>
      <c r="AE6458" s="36"/>
      <c r="AF6458" s="36"/>
      <c r="AG6458" s="36"/>
      <c r="AH6458" s="36"/>
      <c r="AI6458" s="36"/>
      <c r="AJ6458" s="15">
        <f t="shared" si="1164"/>
        <v>0</v>
      </c>
      <c r="AK6458" s="14"/>
      <c r="AL6458" s="14"/>
      <c r="AM6458" s="14"/>
      <c r="AN6458" s="14"/>
      <c r="AO6458" s="14">
        <v>400</v>
      </c>
      <c r="AP6458" s="14"/>
      <c r="AQ6458" s="14"/>
      <c r="AR6458" s="14"/>
      <c r="AS6458" s="14"/>
      <c r="AT6458" s="14"/>
      <c r="AU6458" s="14"/>
      <c r="AV6458" s="14"/>
      <c r="AW6458" s="15">
        <f t="shared" si="1165"/>
        <v>400</v>
      </c>
      <c r="AX6458" s="16"/>
    </row>
    <row r="6459" spans="2:50" x14ac:dyDescent="0.2">
      <c r="B6459" s="7"/>
      <c r="C6459" s="8">
        <v>16562</v>
      </c>
      <c r="D6459" s="9" t="s">
        <v>199</v>
      </c>
      <c r="E6459" s="10" t="str">
        <f t="shared" ref="E6459:E6481" si="1166">IF(D6459=0,"",VLOOKUP(D6459,BASE,2,FALSE))</f>
        <v>Rancho Estanzuela No. 135</v>
      </c>
      <c r="F6459" s="10" t="str">
        <f t="shared" ref="F6459:F6481" si="1167">IF(D6459=0,"",VLOOKUP(D6459,BASE,3,FALSE))</f>
        <v>Iglesias</v>
      </c>
      <c r="G6459" s="8">
        <v>1</v>
      </c>
      <c r="H6459" s="11">
        <v>400</v>
      </c>
      <c r="I6459" s="12">
        <v>43235</v>
      </c>
      <c r="J6459" s="35">
        <f t="shared" ref="J6459:J6481" si="1168">IF(G6459=1,SUM(W6459,AJ6459,AW6459,-H6459),0)</f>
        <v>0</v>
      </c>
      <c r="K6459" s="36"/>
      <c r="L6459" s="36"/>
      <c r="M6459" s="36"/>
      <c r="N6459" s="36"/>
      <c r="O6459" s="36"/>
      <c r="P6459" s="36"/>
      <c r="Q6459" s="36"/>
      <c r="R6459" s="36"/>
      <c r="S6459" s="36"/>
      <c r="T6459" s="36"/>
      <c r="U6459" s="36"/>
      <c r="V6459" s="36"/>
      <c r="W6459" s="15">
        <f t="shared" ref="W6459:W6481" si="1169">SUM(K6459:V6459)</f>
        <v>0</v>
      </c>
      <c r="X6459" s="36"/>
      <c r="Y6459" s="36"/>
      <c r="Z6459" s="36"/>
      <c r="AA6459" s="36"/>
      <c r="AB6459" s="36"/>
      <c r="AC6459" s="36"/>
      <c r="AD6459" s="36"/>
      <c r="AE6459" s="36"/>
      <c r="AF6459" s="36"/>
      <c r="AG6459" s="36"/>
      <c r="AH6459" s="36"/>
      <c r="AI6459" s="36"/>
      <c r="AJ6459" s="15">
        <f t="shared" ref="AJ6459:AJ6481" si="1170">SUM(X6459:AI6459)</f>
        <v>0</v>
      </c>
      <c r="AK6459" s="14"/>
      <c r="AL6459" s="14"/>
      <c r="AM6459" s="14"/>
      <c r="AN6459" s="14"/>
      <c r="AO6459" s="14">
        <v>400</v>
      </c>
      <c r="AP6459" s="14"/>
      <c r="AQ6459" s="14"/>
      <c r="AR6459" s="14"/>
      <c r="AS6459" s="14"/>
      <c r="AT6459" s="14"/>
      <c r="AU6459" s="14"/>
      <c r="AV6459" s="14"/>
      <c r="AW6459" s="15">
        <f t="shared" ref="AW6459:AW6481" si="1171">SUM(AK6459:AV6459)</f>
        <v>400</v>
      </c>
      <c r="AX6459" s="16"/>
    </row>
    <row r="6460" spans="2:50" x14ac:dyDescent="0.2">
      <c r="B6460" s="7"/>
      <c r="C6460" s="8">
        <v>16563</v>
      </c>
      <c r="D6460" s="9" t="s">
        <v>1026</v>
      </c>
      <c r="E6460" s="10" t="str">
        <f t="shared" si="1166"/>
        <v>Rancho Estanzuela No. 119, 2</v>
      </c>
      <c r="F6460" s="10" t="str">
        <f t="shared" si="1167"/>
        <v>Lòpez Tovar</v>
      </c>
      <c r="G6460" s="8">
        <v>4</v>
      </c>
      <c r="H6460" s="11">
        <v>200</v>
      </c>
      <c r="I6460" s="12">
        <v>43235</v>
      </c>
      <c r="J6460" s="35">
        <f t="shared" si="1168"/>
        <v>0</v>
      </c>
      <c r="K6460" s="36"/>
      <c r="L6460" s="36"/>
      <c r="M6460" s="36"/>
      <c r="N6460" s="36"/>
      <c r="O6460" s="36"/>
      <c r="P6460" s="36"/>
      <c r="Q6460" s="36"/>
      <c r="R6460" s="36"/>
      <c r="S6460" s="36"/>
      <c r="T6460" s="36"/>
      <c r="U6460" s="36"/>
      <c r="V6460" s="36"/>
      <c r="W6460" s="15">
        <f t="shared" si="1169"/>
        <v>0</v>
      </c>
      <c r="X6460" s="36"/>
      <c r="Y6460" s="36"/>
      <c r="Z6460" s="36"/>
      <c r="AA6460" s="36"/>
      <c r="AB6460" s="36"/>
      <c r="AC6460" s="36"/>
      <c r="AD6460" s="36"/>
      <c r="AE6460" s="36"/>
      <c r="AF6460" s="36"/>
      <c r="AG6460" s="36"/>
      <c r="AH6460" s="36"/>
      <c r="AI6460" s="36"/>
      <c r="AJ6460" s="15">
        <f t="shared" si="1170"/>
        <v>0</v>
      </c>
      <c r="AK6460" s="14"/>
      <c r="AL6460" s="14"/>
      <c r="AM6460" s="14"/>
      <c r="AN6460" s="14"/>
      <c r="AO6460" s="14"/>
      <c r="AP6460" s="14"/>
      <c r="AQ6460" s="14"/>
      <c r="AR6460" s="14"/>
      <c r="AS6460" s="14"/>
      <c r="AT6460" s="14"/>
      <c r="AU6460" s="14"/>
      <c r="AV6460" s="14"/>
      <c r="AW6460" s="15">
        <f t="shared" si="1171"/>
        <v>0</v>
      </c>
      <c r="AX6460" s="16" t="s">
        <v>5258</v>
      </c>
    </row>
    <row r="6461" spans="2:50" x14ac:dyDescent="0.2">
      <c r="B6461" s="7"/>
      <c r="C6461" s="8">
        <v>16564</v>
      </c>
      <c r="D6461" s="9" t="s">
        <v>422</v>
      </c>
      <c r="E6461" s="10" t="str">
        <f t="shared" si="1166"/>
        <v>Rancho Recoveco No. 183</v>
      </c>
      <c r="F6461" s="10" t="str">
        <f t="shared" si="1167"/>
        <v>Atilano Limón</v>
      </c>
      <c r="G6461" s="8">
        <v>3</v>
      </c>
      <c r="H6461" s="11">
        <v>200</v>
      </c>
      <c r="I6461" s="12">
        <v>43237</v>
      </c>
      <c r="J6461" s="35">
        <f t="shared" si="1168"/>
        <v>0</v>
      </c>
      <c r="K6461" s="36"/>
      <c r="L6461" s="36"/>
      <c r="M6461" s="36"/>
      <c r="N6461" s="36"/>
      <c r="O6461" s="36"/>
      <c r="P6461" s="36"/>
      <c r="Q6461" s="36"/>
      <c r="R6461" s="36"/>
      <c r="S6461" s="36"/>
      <c r="T6461" s="36"/>
      <c r="U6461" s="36"/>
      <c r="V6461" s="36"/>
      <c r="W6461" s="15">
        <f t="shared" si="1169"/>
        <v>0</v>
      </c>
      <c r="X6461" s="36"/>
      <c r="Y6461" s="36"/>
      <c r="Z6461" s="36"/>
      <c r="AA6461" s="36"/>
      <c r="AB6461" s="36"/>
      <c r="AC6461" s="36"/>
      <c r="AD6461" s="36"/>
      <c r="AE6461" s="36"/>
      <c r="AF6461" s="36"/>
      <c r="AG6461" s="36"/>
      <c r="AH6461" s="36"/>
      <c r="AI6461" s="36"/>
      <c r="AJ6461" s="15">
        <f t="shared" si="1170"/>
        <v>0</v>
      </c>
      <c r="AK6461" s="14"/>
      <c r="AL6461" s="14"/>
      <c r="AM6461" s="14"/>
      <c r="AN6461" s="14"/>
      <c r="AO6461" s="14"/>
      <c r="AP6461" s="14"/>
      <c r="AQ6461" s="14"/>
      <c r="AR6461" s="14"/>
      <c r="AS6461" s="14"/>
      <c r="AT6461" s="14"/>
      <c r="AU6461" s="14"/>
      <c r="AV6461" s="14"/>
      <c r="AW6461" s="15">
        <f t="shared" si="1171"/>
        <v>0</v>
      </c>
      <c r="AX6461" s="16"/>
    </row>
    <row r="6462" spans="2:50" x14ac:dyDescent="0.2">
      <c r="B6462" s="7"/>
      <c r="C6462" s="8">
        <v>16565</v>
      </c>
      <c r="D6462" s="9" t="s">
        <v>340</v>
      </c>
      <c r="E6462" s="10" t="str">
        <f t="shared" si="1166"/>
        <v>Rancho Romeral No. 17</v>
      </c>
      <c r="F6462" s="10" t="str">
        <f t="shared" si="1167"/>
        <v>Aguilar Lomelí</v>
      </c>
      <c r="G6462" s="8">
        <v>1</v>
      </c>
      <c r="H6462" s="11">
        <v>400</v>
      </c>
      <c r="I6462" s="12">
        <v>43240</v>
      </c>
      <c r="J6462" s="35">
        <f t="shared" si="1168"/>
        <v>0</v>
      </c>
      <c r="K6462" s="36"/>
      <c r="L6462" s="36"/>
      <c r="M6462" s="36"/>
      <c r="N6462" s="36"/>
      <c r="O6462" s="36"/>
      <c r="P6462" s="36"/>
      <c r="Q6462" s="36"/>
      <c r="R6462" s="36"/>
      <c r="S6462" s="36"/>
      <c r="T6462" s="36"/>
      <c r="U6462" s="36"/>
      <c r="V6462" s="36"/>
      <c r="W6462" s="15">
        <f t="shared" si="1169"/>
        <v>0</v>
      </c>
      <c r="X6462" s="36"/>
      <c r="Y6462" s="36"/>
      <c r="Z6462" s="36"/>
      <c r="AA6462" s="36"/>
      <c r="AB6462" s="36"/>
      <c r="AC6462" s="36"/>
      <c r="AD6462" s="36"/>
      <c r="AE6462" s="36"/>
      <c r="AF6462" s="36"/>
      <c r="AG6462" s="36"/>
      <c r="AH6462" s="36"/>
      <c r="AI6462" s="36"/>
      <c r="AJ6462" s="15">
        <f t="shared" si="1170"/>
        <v>0</v>
      </c>
      <c r="AK6462" s="14"/>
      <c r="AL6462" s="14"/>
      <c r="AM6462" s="14"/>
      <c r="AN6462" s="14"/>
      <c r="AO6462" s="14"/>
      <c r="AP6462" s="14">
        <v>400</v>
      </c>
      <c r="AQ6462" s="14"/>
      <c r="AR6462" s="14"/>
      <c r="AS6462" s="14"/>
      <c r="AT6462" s="14"/>
      <c r="AU6462" s="14"/>
      <c r="AV6462" s="14"/>
      <c r="AW6462" s="15">
        <f t="shared" si="1171"/>
        <v>400</v>
      </c>
      <c r="AX6462" s="16"/>
    </row>
    <row r="6463" spans="2:50" x14ac:dyDescent="0.2">
      <c r="B6463" s="7"/>
      <c r="C6463" s="8">
        <v>16566</v>
      </c>
      <c r="D6463" s="9" t="s">
        <v>485</v>
      </c>
      <c r="E6463" s="10" t="str">
        <f t="shared" si="1166"/>
        <v>Rancho Estanzuela No. 111</v>
      </c>
      <c r="F6463" s="10" t="str">
        <f t="shared" si="1167"/>
        <v>Flores Pérez</v>
      </c>
      <c r="G6463" s="8">
        <v>1</v>
      </c>
      <c r="H6463" s="11">
        <v>800</v>
      </c>
      <c r="I6463" s="12">
        <v>43240</v>
      </c>
      <c r="J6463" s="35">
        <f t="shared" si="1168"/>
        <v>0</v>
      </c>
      <c r="K6463" s="36"/>
      <c r="L6463" s="36"/>
      <c r="M6463" s="36"/>
      <c r="N6463" s="36"/>
      <c r="O6463" s="36"/>
      <c r="P6463" s="36"/>
      <c r="Q6463" s="36"/>
      <c r="R6463" s="36"/>
      <c r="S6463" s="36"/>
      <c r="T6463" s="36"/>
      <c r="U6463" s="36"/>
      <c r="V6463" s="36"/>
      <c r="W6463" s="15">
        <f t="shared" si="1169"/>
        <v>0</v>
      </c>
      <c r="X6463" s="36"/>
      <c r="Y6463" s="36"/>
      <c r="Z6463" s="36"/>
      <c r="AA6463" s="36"/>
      <c r="AB6463" s="36"/>
      <c r="AC6463" s="36"/>
      <c r="AD6463" s="36"/>
      <c r="AE6463" s="36"/>
      <c r="AF6463" s="36"/>
      <c r="AG6463" s="36"/>
      <c r="AH6463" s="36"/>
      <c r="AI6463" s="36"/>
      <c r="AJ6463" s="15">
        <f t="shared" si="1170"/>
        <v>0</v>
      </c>
      <c r="AK6463" s="14"/>
      <c r="AL6463" s="14">
        <v>400</v>
      </c>
      <c r="AM6463" s="14">
        <v>400</v>
      </c>
      <c r="AN6463" s="14"/>
      <c r="AO6463" s="14"/>
      <c r="AP6463" s="14"/>
      <c r="AQ6463" s="14"/>
      <c r="AR6463" s="14"/>
      <c r="AS6463" s="14"/>
      <c r="AT6463" s="14"/>
      <c r="AU6463" s="14"/>
      <c r="AV6463" s="14"/>
      <c r="AW6463" s="15">
        <f t="shared" si="1171"/>
        <v>800</v>
      </c>
      <c r="AX6463" s="16"/>
    </row>
    <row r="6464" spans="2:50" x14ac:dyDescent="0.2">
      <c r="B6464" s="7"/>
      <c r="C6464" s="8">
        <v>16567</v>
      </c>
      <c r="D6464" s="9" t="s">
        <v>485</v>
      </c>
      <c r="E6464" s="10" t="str">
        <f t="shared" si="1166"/>
        <v>Rancho Estanzuela No. 111</v>
      </c>
      <c r="F6464" s="10" t="str">
        <f t="shared" si="1167"/>
        <v>Flores Pérez</v>
      </c>
      <c r="G6464" s="8">
        <v>5</v>
      </c>
      <c r="H6464" s="11">
        <v>50</v>
      </c>
      <c r="I6464" s="12">
        <v>43240</v>
      </c>
      <c r="J6464" s="35">
        <f t="shared" si="1168"/>
        <v>0</v>
      </c>
      <c r="K6464" s="36"/>
      <c r="L6464" s="36"/>
      <c r="M6464" s="36"/>
      <c r="N6464" s="36"/>
      <c r="O6464" s="36"/>
      <c r="P6464" s="36"/>
      <c r="Q6464" s="36"/>
      <c r="R6464" s="36"/>
      <c r="S6464" s="36"/>
      <c r="T6464" s="36"/>
      <c r="U6464" s="36"/>
      <c r="V6464" s="36"/>
      <c r="W6464" s="15">
        <f t="shared" si="1169"/>
        <v>0</v>
      </c>
      <c r="X6464" s="36"/>
      <c r="Y6464" s="36"/>
      <c r="Z6464" s="36"/>
      <c r="AA6464" s="36"/>
      <c r="AB6464" s="36"/>
      <c r="AC6464" s="36"/>
      <c r="AD6464" s="36"/>
      <c r="AE6464" s="36"/>
      <c r="AF6464" s="36"/>
      <c r="AG6464" s="36"/>
      <c r="AH6464" s="36"/>
      <c r="AI6464" s="36"/>
      <c r="AJ6464" s="15">
        <f t="shared" si="1170"/>
        <v>0</v>
      </c>
      <c r="AK6464" s="14"/>
      <c r="AL6464" s="14"/>
      <c r="AM6464" s="14"/>
      <c r="AN6464" s="14"/>
      <c r="AO6464" s="14"/>
      <c r="AP6464" s="14"/>
      <c r="AQ6464" s="14"/>
      <c r="AR6464" s="14"/>
      <c r="AS6464" s="14"/>
      <c r="AT6464" s="14"/>
      <c r="AU6464" s="14"/>
      <c r="AV6464" s="14"/>
      <c r="AW6464" s="15">
        <f t="shared" si="1171"/>
        <v>0</v>
      </c>
      <c r="AX6464" s="16"/>
    </row>
    <row r="6465" spans="2:50" x14ac:dyDescent="0.2">
      <c r="B6465" s="7"/>
      <c r="C6465" s="8">
        <v>16568</v>
      </c>
      <c r="D6465" s="9" t="s">
        <v>1260</v>
      </c>
      <c r="E6465" s="10" t="str">
        <f t="shared" si="1166"/>
        <v>Rancho La Cuchilla No. 11</v>
      </c>
      <c r="F6465" s="10" t="str">
        <f t="shared" si="1167"/>
        <v>Santiago</v>
      </c>
      <c r="G6465" s="8">
        <v>1</v>
      </c>
      <c r="H6465" s="11">
        <v>400</v>
      </c>
      <c r="I6465" s="12">
        <v>43240</v>
      </c>
      <c r="J6465" s="35">
        <f t="shared" si="1168"/>
        <v>0</v>
      </c>
      <c r="K6465" s="36"/>
      <c r="L6465" s="36"/>
      <c r="M6465" s="36"/>
      <c r="N6465" s="36"/>
      <c r="O6465" s="36"/>
      <c r="P6465" s="36"/>
      <c r="Q6465" s="36"/>
      <c r="R6465" s="36"/>
      <c r="S6465" s="36"/>
      <c r="T6465" s="36"/>
      <c r="U6465" s="36"/>
      <c r="V6465" s="36"/>
      <c r="W6465" s="15">
        <f t="shared" si="1169"/>
        <v>0</v>
      </c>
      <c r="X6465" s="36"/>
      <c r="Y6465" s="36"/>
      <c r="Z6465" s="36"/>
      <c r="AA6465" s="36"/>
      <c r="AB6465" s="36"/>
      <c r="AC6465" s="36"/>
      <c r="AD6465" s="36"/>
      <c r="AE6465" s="36"/>
      <c r="AF6465" s="36"/>
      <c r="AG6465" s="36"/>
      <c r="AH6465" s="36"/>
      <c r="AI6465" s="36"/>
      <c r="AJ6465" s="15">
        <f t="shared" si="1170"/>
        <v>0</v>
      </c>
      <c r="AK6465" s="14"/>
      <c r="AL6465" s="14"/>
      <c r="AM6465" s="14"/>
      <c r="AN6465" s="14"/>
      <c r="AO6465" s="14">
        <v>400</v>
      </c>
      <c r="AP6465" s="14"/>
      <c r="AQ6465" s="14"/>
      <c r="AR6465" s="14"/>
      <c r="AS6465" s="14"/>
      <c r="AT6465" s="14"/>
      <c r="AU6465" s="14"/>
      <c r="AV6465" s="14"/>
      <c r="AW6465" s="15">
        <f t="shared" si="1171"/>
        <v>400</v>
      </c>
      <c r="AX6465" s="16"/>
    </row>
    <row r="6466" spans="2:50" x14ac:dyDescent="0.2">
      <c r="B6466" s="7"/>
      <c r="C6466" s="8">
        <v>16568</v>
      </c>
      <c r="D6466" s="9" t="s">
        <v>1260</v>
      </c>
      <c r="E6466" s="10" t="str">
        <f t="shared" si="1166"/>
        <v>Rancho La Cuchilla No. 11</v>
      </c>
      <c r="F6466" s="10" t="str">
        <f t="shared" si="1167"/>
        <v>Santiago</v>
      </c>
      <c r="G6466" s="8">
        <v>5</v>
      </c>
      <c r="H6466" s="11">
        <v>50</v>
      </c>
      <c r="I6466" s="12">
        <v>43240</v>
      </c>
      <c r="J6466" s="35">
        <f t="shared" si="1168"/>
        <v>0</v>
      </c>
      <c r="K6466" s="36"/>
      <c r="L6466" s="36"/>
      <c r="M6466" s="36"/>
      <c r="N6466" s="36"/>
      <c r="O6466" s="36"/>
      <c r="P6466" s="36"/>
      <c r="Q6466" s="36"/>
      <c r="R6466" s="36"/>
      <c r="S6466" s="36"/>
      <c r="T6466" s="36"/>
      <c r="U6466" s="36"/>
      <c r="V6466" s="36"/>
      <c r="W6466" s="15">
        <f t="shared" si="1169"/>
        <v>0</v>
      </c>
      <c r="X6466" s="36"/>
      <c r="Y6466" s="36"/>
      <c r="Z6466" s="36"/>
      <c r="AA6466" s="36"/>
      <c r="AB6466" s="36"/>
      <c r="AC6466" s="36"/>
      <c r="AD6466" s="36"/>
      <c r="AE6466" s="36"/>
      <c r="AF6466" s="36"/>
      <c r="AG6466" s="36"/>
      <c r="AH6466" s="36"/>
      <c r="AI6466" s="36"/>
      <c r="AJ6466" s="15">
        <f t="shared" si="1170"/>
        <v>0</v>
      </c>
      <c r="AK6466" s="14"/>
      <c r="AL6466" s="14"/>
      <c r="AM6466" s="14"/>
      <c r="AN6466" s="14"/>
      <c r="AO6466" s="14"/>
      <c r="AP6466" s="14"/>
      <c r="AQ6466" s="14"/>
      <c r="AR6466" s="14"/>
      <c r="AS6466" s="14"/>
      <c r="AT6466" s="14"/>
      <c r="AU6466" s="14"/>
      <c r="AV6466" s="14"/>
      <c r="AW6466" s="15">
        <f t="shared" si="1171"/>
        <v>0</v>
      </c>
      <c r="AX6466" s="16"/>
    </row>
    <row r="6467" spans="2:50" x14ac:dyDescent="0.2">
      <c r="B6467" s="7"/>
      <c r="C6467" s="8">
        <v>16569</v>
      </c>
      <c r="D6467" s="9" t="s">
        <v>574</v>
      </c>
      <c r="E6467" s="10" t="str">
        <f t="shared" si="1166"/>
        <v xml:space="preserve">Rancho Upácuaro No. 94 </v>
      </c>
      <c r="F6467" s="10" t="str">
        <f t="shared" si="1167"/>
        <v>Juárez Patiño</v>
      </c>
      <c r="G6467" s="8">
        <v>1</v>
      </c>
      <c r="H6467" s="11">
        <v>300</v>
      </c>
      <c r="I6467" s="12">
        <v>43240</v>
      </c>
      <c r="J6467" s="35">
        <f t="shared" si="1168"/>
        <v>0</v>
      </c>
      <c r="K6467" s="36"/>
      <c r="L6467" s="36"/>
      <c r="M6467" s="36"/>
      <c r="N6467" s="36"/>
      <c r="O6467" s="36"/>
      <c r="P6467" s="36"/>
      <c r="Q6467" s="36"/>
      <c r="R6467" s="36"/>
      <c r="S6467" s="36"/>
      <c r="T6467" s="36"/>
      <c r="U6467" s="36"/>
      <c r="V6467" s="36"/>
      <c r="W6467" s="15">
        <f t="shared" si="1169"/>
        <v>0</v>
      </c>
      <c r="X6467" s="36"/>
      <c r="Y6467" s="36"/>
      <c r="Z6467" s="36"/>
      <c r="AA6467" s="36"/>
      <c r="AB6467" s="36"/>
      <c r="AC6467" s="36"/>
      <c r="AD6467" s="36"/>
      <c r="AE6467" s="36"/>
      <c r="AF6467" s="36"/>
      <c r="AG6467" s="36"/>
      <c r="AH6467" s="36"/>
      <c r="AI6467" s="36"/>
      <c r="AJ6467" s="15">
        <f t="shared" si="1170"/>
        <v>0</v>
      </c>
      <c r="AK6467" s="14"/>
      <c r="AL6467" s="14"/>
      <c r="AM6467" s="14"/>
      <c r="AN6467" s="14"/>
      <c r="AO6467" s="14">
        <v>300</v>
      </c>
      <c r="AP6467" s="14"/>
      <c r="AQ6467" s="14"/>
      <c r="AR6467" s="14"/>
      <c r="AS6467" s="14"/>
      <c r="AT6467" s="14"/>
      <c r="AU6467" s="14"/>
      <c r="AV6467" s="14"/>
      <c r="AW6467" s="15">
        <f t="shared" si="1171"/>
        <v>300</v>
      </c>
      <c r="AX6467" s="16"/>
    </row>
    <row r="6468" spans="2:50" x14ac:dyDescent="0.2">
      <c r="B6468" s="7"/>
      <c r="C6468" s="8">
        <v>16570</v>
      </c>
      <c r="D6468" s="9" t="s">
        <v>983</v>
      </c>
      <c r="E6468" s="10" t="str">
        <f t="shared" si="1166"/>
        <v>Rancho Landero No. 93</v>
      </c>
      <c r="F6468" s="10" t="str">
        <f t="shared" si="1167"/>
        <v>Ortega López</v>
      </c>
      <c r="G6468" s="8">
        <v>1</v>
      </c>
      <c r="H6468" s="11">
        <v>400</v>
      </c>
      <c r="I6468" s="12">
        <v>43240</v>
      </c>
      <c r="J6468" s="35">
        <f t="shared" si="1168"/>
        <v>0</v>
      </c>
      <c r="K6468" s="36"/>
      <c r="L6468" s="36"/>
      <c r="M6468" s="36"/>
      <c r="N6468" s="36"/>
      <c r="O6468" s="36"/>
      <c r="P6468" s="36"/>
      <c r="Q6468" s="36"/>
      <c r="R6468" s="36"/>
      <c r="S6468" s="36"/>
      <c r="T6468" s="36"/>
      <c r="U6468" s="36"/>
      <c r="V6468" s="36"/>
      <c r="W6468" s="15">
        <f t="shared" si="1169"/>
        <v>0</v>
      </c>
      <c r="X6468" s="36"/>
      <c r="Y6468" s="36"/>
      <c r="Z6468" s="36"/>
      <c r="AA6468" s="36"/>
      <c r="AB6468" s="36"/>
      <c r="AC6468" s="36"/>
      <c r="AD6468" s="36"/>
      <c r="AE6468" s="36"/>
      <c r="AF6468" s="36"/>
      <c r="AG6468" s="36"/>
      <c r="AH6468" s="36"/>
      <c r="AI6468" s="36"/>
      <c r="AJ6468" s="15">
        <f t="shared" si="1170"/>
        <v>0</v>
      </c>
      <c r="AK6468" s="14"/>
      <c r="AL6468" s="14"/>
      <c r="AM6468" s="14"/>
      <c r="AN6468" s="14"/>
      <c r="AO6468" s="14">
        <v>400</v>
      </c>
      <c r="AP6468" s="14"/>
      <c r="AQ6468" s="14"/>
      <c r="AR6468" s="14"/>
      <c r="AS6468" s="14"/>
      <c r="AT6468" s="14"/>
      <c r="AU6468" s="14"/>
      <c r="AV6468" s="14"/>
      <c r="AW6468" s="15">
        <f t="shared" si="1171"/>
        <v>400</v>
      </c>
      <c r="AX6468" s="16"/>
    </row>
    <row r="6469" spans="2:50" x14ac:dyDescent="0.2">
      <c r="B6469" s="7"/>
      <c r="C6469" s="8">
        <v>16571</v>
      </c>
      <c r="D6469" s="9" t="s">
        <v>831</v>
      </c>
      <c r="E6469" s="10" t="str">
        <f t="shared" si="1166"/>
        <v>Rancho Upácuaro No. 80</v>
      </c>
      <c r="F6469" s="10" t="str">
        <f t="shared" si="1167"/>
        <v>De los Ríos</v>
      </c>
      <c r="G6469" s="8">
        <v>1</v>
      </c>
      <c r="H6469" s="11">
        <v>800</v>
      </c>
      <c r="I6469" s="12">
        <v>43240</v>
      </c>
      <c r="J6469" s="35">
        <f t="shared" si="1168"/>
        <v>0</v>
      </c>
      <c r="K6469" s="36"/>
      <c r="L6469" s="36"/>
      <c r="M6469" s="36"/>
      <c r="N6469" s="36"/>
      <c r="O6469" s="36"/>
      <c r="P6469" s="36"/>
      <c r="Q6469" s="36"/>
      <c r="R6469" s="36"/>
      <c r="S6469" s="36"/>
      <c r="T6469" s="36"/>
      <c r="U6469" s="36"/>
      <c r="V6469" s="36"/>
      <c r="W6469" s="15">
        <f t="shared" si="1169"/>
        <v>0</v>
      </c>
      <c r="X6469" s="36"/>
      <c r="Y6469" s="36"/>
      <c r="Z6469" s="36"/>
      <c r="AA6469" s="36"/>
      <c r="AB6469" s="36"/>
      <c r="AC6469" s="36"/>
      <c r="AD6469" s="36"/>
      <c r="AE6469" s="36"/>
      <c r="AF6469" s="36"/>
      <c r="AG6469" s="36"/>
      <c r="AH6469" s="36"/>
      <c r="AI6469" s="36"/>
      <c r="AJ6469" s="15">
        <f t="shared" si="1170"/>
        <v>0</v>
      </c>
      <c r="AK6469" s="14"/>
      <c r="AL6469" s="14"/>
      <c r="AM6469" s="14"/>
      <c r="AN6469" s="14"/>
      <c r="AO6469" s="14">
        <v>400</v>
      </c>
      <c r="AP6469" s="14">
        <v>400</v>
      </c>
      <c r="AQ6469" s="14"/>
      <c r="AR6469" s="14"/>
      <c r="AS6469" s="14"/>
      <c r="AT6469" s="14"/>
      <c r="AU6469" s="14"/>
      <c r="AV6469" s="14"/>
      <c r="AW6469" s="15">
        <f t="shared" si="1171"/>
        <v>800</v>
      </c>
      <c r="AX6469" s="16"/>
    </row>
    <row r="6470" spans="2:50" x14ac:dyDescent="0.2">
      <c r="B6470" s="7"/>
      <c r="C6470" s="8">
        <v>16572</v>
      </c>
      <c r="D6470" s="9" t="s">
        <v>746</v>
      </c>
      <c r="E6470" s="10" t="str">
        <f t="shared" si="1166"/>
        <v>Rancho La Cuchilla No. 12</v>
      </c>
      <c r="F6470" s="10" t="str">
        <f t="shared" si="1167"/>
        <v>Rivera Flores</v>
      </c>
      <c r="G6470" s="8">
        <v>1</v>
      </c>
      <c r="H6470" s="11">
        <v>350</v>
      </c>
      <c r="I6470" s="12">
        <v>43240</v>
      </c>
      <c r="J6470" s="35">
        <f t="shared" si="1168"/>
        <v>0</v>
      </c>
      <c r="K6470" s="36"/>
      <c r="L6470" s="36"/>
      <c r="M6470" s="36"/>
      <c r="N6470" s="36"/>
      <c r="O6470" s="36"/>
      <c r="P6470" s="36"/>
      <c r="Q6470" s="36"/>
      <c r="R6470" s="36"/>
      <c r="S6470" s="36"/>
      <c r="T6470" s="36"/>
      <c r="U6470" s="36"/>
      <c r="V6470" s="36"/>
      <c r="W6470" s="15">
        <f t="shared" si="1169"/>
        <v>0</v>
      </c>
      <c r="X6470" s="36"/>
      <c r="Y6470" s="36"/>
      <c r="Z6470" s="36"/>
      <c r="AA6470" s="36"/>
      <c r="AB6470" s="36"/>
      <c r="AC6470" s="36"/>
      <c r="AD6470" s="36"/>
      <c r="AE6470" s="36"/>
      <c r="AF6470" s="36"/>
      <c r="AG6470" s="36"/>
      <c r="AH6470" s="36"/>
      <c r="AI6470" s="36"/>
      <c r="AJ6470" s="15">
        <f t="shared" si="1170"/>
        <v>0</v>
      </c>
      <c r="AK6470" s="14"/>
      <c r="AL6470" s="14"/>
      <c r="AM6470" s="14"/>
      <c r="AN6470" s="14"/>
      <c r="AO6470" s="14">
        <v>350</v>
      </c>
      <c r="AP6470" s="14"/>
      <c r="AQ6470" s="14"/>
      <c r="AR6470" s="14"/>
      <c r="AS6470" s="14"/>
      <c r="AT6470" s="14"/>
      <c r="AU6470" s="14"/>
      <c r="AV6470" s="14"/>
      <c r="AW6470" s="15">
        <f t="shared" si="1171"/>
        <v>350</v>
      </c>
      <c r="AX6470" s="16"/>
    </row>
    <row r="6471" spans="2:50" x14ac:dyDescent="0.2">
      <c r="B6471" s="7"/>
      <c r="C6471" s="8">
        <v>16573</v>
      </c>
      <c r="D6471" s="9" t="s">
        <v>44</v>
      </c>
      <c r="E6471" s="10" t="str">
        <f t="shared" si="1166"/>
        <v>Rancho Landero No. 14</v>
      </c>
      <c r="F6471" s="10" t="str">
        <f t="shared" si="1167"/>
        <v xml:space="preserve">Castrejón  </v>
      </c>
      <c r="G6471" s="8">
        <v>1</v>
      </c>
      <c r="H6471" s="11">
        <v>1600</v>
      </c>
      <c r="I6471" s="12">
        <v>43240</v>
      </c>
      <c r="J6471" s="35">
        <f t="shared" si="1168"/>
        <v>0</v>
      </c>
      <c r="K6471" s="36"/>
      <c r="L6471" s="36"/>
      <c r="M6471" s="36"/>
      <c r="N6471" s="36"/>
      <c r="O6471" s="36"/>
      <c r="P6471" s="36"/>
      <c r="Q6471" s="36"/>
      <c r="R6471" s="36"/>
      <c r="S6471" s="36"/>
      <c r="T6471" s="36"/>
      <c r="U6471" s="36"/>
      <c r="V6471" s="36"/>
      <c r="W6471" s="15">
        <f t="shared" si="1169"/>
        <v>0</v>
      </c>
      <c r="X6471" s="36"/>
      <c r="Y6471" s="36"/>
      <c r="Z6471" s="36"/>
      <c r="AA6471" s="36"/>
      <c r="AB6471" s="36"/>
      <c r="AC6471" s="36"/>
      <c r="AD6471" s="36"/>
      <c r="AE6471" s="36"/>
      <c r="AF6471" s="36"/>
      <c r="AG6471" s="36"/>
      <c r="AH6471" s="36"/>
      <c r="AI6471" s="36"/>
      <c r="AJ6471" s="15">
        <f t="shared" si="1170"/>
        <v>0</v>
      </c>
      <c r="AK6471" s="14"/>
      <c r="AL6471" s="14"/>
      <c r="AM6471" s="14"/>
      <c r="AN6471" s="14"/>
      <c r="AO6471" s="14">
        <v>400</v>
      </c>
      <c r="AP6471" s="14">
        <v>400</v>
      </c>
      <c r="AQ6471" s="14">
        <v>400</v>
      </c>
      <c r="AR6471" s="14">
        <v>400</v>
      </c>
      <c r="AS6471" s="14"/>
      <c r="AT6471" s="14"/>
      <c r="AU6471" s="14"/>
      <c r="AV6471" s="14"/>
      <c r="AW6471" s="15">
        <f t="shared" si="1171"/>
        <v>1600</v>
      </c>
      <c r="AX6471" s="16"/>
    </row>
    <row r="6472" spans="2:50" x14ac:dyDescent="0.2">
      <c r="B6472" s="7"/>
      <c r="C6472" s="8">
        <v>16574</v>
      </c>
      <c r="D6472" s="9" t="s">
        <v>259</v>
      </c>
      <c r="E6472" s="10" t="str">
        <f t="shared" ref="E6472:E6479" si="1172">IF(D6472=0,"",VLOOKUP(D6472,BASE,2,FALSE))</f>
        <v>Rancho Estanzuela No. 55</v>
      </c>
      <c r="F6472" s="10" t="str">
        <f t="shared" ref="F6472:F6479" si="1173">IF(D6472=0,"",VLOOKUP(D6472,BASE,3,FALSE))</f>
        <v>Rodríguez Acevedo</v>
      </c>
      <c r="G6472" s="8">
        <v>1</v>
      </c>
      <c r="H6472" s="11">
        <v>400</v>
      </c>
      <c r="I6472" s="12">
        <v>43240</v>
      </c>
      <c r="J6472" s="35">
        <f t="shared" ref="J6472:J6479" si="1174">IF(G6472=1,SUM(W6472,AJ6472,AW6472,-H6472),0)</f>
        <v>0</v>
      </c>
      <c r="K6472" s="36"/>
      <c r="L6472" s="36"/>
      <c r="M6472" s="36"/>
      <c r="N6472" s="36"/>
      <c r="O6472" s="36"/>
      <c r="P6472" s="36"/>
      <c r="Q6472" s="36"/>
      <c r="R6472" s="36"/>
      <c r="S6472" s="36"/>
      <c r="T6472" s="36"/>
      <c r="U6472" s="36"/>
      <c r="V6472" s="36"/>
      <c r="W6472" s="15">
        <f t="shared" ref="W6472:W6479" si="1175">SUM(K6472:V6472)</f>
        <v>0</v>
      </c>
      <c r="X6472" s="36"/>
      <c r="Y6472" s="36"/>
      <c r="Z6472" s="36"/>
      <c r="AA6472" s="36"/>
      <c r="AB6472" s="36"/>
      <c r="AC6472" s="36"/>
      <c r="AD6472" s="36"/>
      <c r="AE6472" s="36"/>
      <c r="AF6472" s="36"/>
      <c r="AG6472" s="36"/>
      <c r="AH6472" s="36"/>
      <c r="AI6472" s="36"/>
      <c r="AJ6472" s="15">
        <f t="shared" ref="AJ6472:AJ6479" si="1176">SUM(X6472:AI6472)</f>
        <v>0</v>
      </c>
      <c r="AK6472" s="14"/>
      <c r="AL6472" s="14"/>
      <c r="AM6472" s="14"/>
      <c r="AN6472" s="14"/>
      <c r="AO6472" s="14">
        <v>400</v>
      </c>
      <c r="AP6472" s="14"/>
      <c r="AQ6472" s="14"/>
      <c r="AR6472" s="14"/>
      <c r="AS6472" s="14"/>
      <c r="AT6472" s="14"/>
      <c r="AU6472" s="14"/>
      <c r="AV6472" s="14"/>
      <c r="AW6472" s="15">
        <f t="shared" ref="AW6472:AW6479" si="1177">SUM(AK6472:AV6472)</f>
        <v>400</v>
      </c>
      <c r="AX6472" s="16"/>
    </row>
    <row r="6473" spans="2:50" x14ac:dyDescent="0.2">
      <c r="B6473" s="7"/>
      <c r="C6473" s="8">
        <v>16575</v>
      </c>
      <c r="D6473" s="9" t="s">
        <v>971</v>
      </c>
      <c r="E6473" s="10" t="str">
        <f t="shared" si="1172"/>
        <v>Rancho La Cuchilla No. 53</v>
      </c>
      <c r="F6473" s="10" t="str">
        <f t="shared" si="1173"/>
        <v>Rivera Hernández</v>
      </c>
      <c r="G6473" s="8">
        <v>5</v>
      </c>
      <c r="H6473" s="11">
        <v>50</v>
      </c>
      <c r="I6473" s="12">
        <v>43240</v>
      </c>
      <c r="J6473" s="35">
        <f t="shared" si="1174"/>
        <v>0</v>
      </c>
      <c r="K6473" s="36"/>
      <c r="L6473" s="36"/>
      <c r="M6473" s="36"/>
      <c r="N6473" s="36"/>
      <c r="O6473" s="36"/>
      <c r="P6473" s="36"/>
      <c r="Q6473" s="36"/>
      <c r="R6473" s="36"/>
      <c r="S6473" s="36"/>
      <c r="T6473" s="36"/>
      <c r="U6473" s="36"/>
      <c r="V6473" s="36"/>
      <c r="W6473" s="15">
        <f t="shared" si="1175"/>
        <v>0</v>
      </c>
      <c r="X6473" s="36"/>
      <c r="Y6473" s="36"/>
      <c r="Z6473" s="36"/>
      <c r="AA6473" s="36"/>
      <c r="AB6473" s="36"/>
      <c r="AC6473" s="36"/>
      <c r="AD6473" s="36"/>
      <c r="AE6473" s="36"/>
      <c r="AF6473" s="36"/>
      <c r="AG6473" s="36"/>
      <c r="AH6473" s="36"/>
      <c r="AI6473" s="36"/>
      <c r="AJ6473" s="15">
        <f t="shared" si="1176"/>
        <v>0</v>
      </c>
      <c r="AK6473" s="14"/>
      <c r="AL6473" s="14"/>
      <c r="AM6473" s="14"/>
      <c r="AN6473" s="14"/>
      <c r="AO6473" s="14"/>
      <c r="AP6473" s="14"/>
      <c r="AQ6473" s="14"/>
      <c r="AR6473" s="14"/>
      <c r="AS6473" s="14"/>
      <c r="AT6473" s="14"/>
      <c r="AU6473" s="14"/>
      <c r="AV6473" s="14"/>
      <c r="AW6473" s="15">
        <f t="shared" si="1177"/>
        <v>0</v>
      </c>
      <c r="AX6473" s="16"/>
    </row>
    <row r="6474" spans="2:50" x14ac:dyDescent="0.2">
      <c r="B6474" s="7"/>
      <c r="C6474" s="8">
        <v>16576</v>
      </c>
      <c r="D6474" s="9" t="s">
        <v>509</v>
      </c>
      <c r="E6474" s="10" t="str">
        <f t="shared" si="1172"/>
        <v>Rancho La Cuchilla No. 77</v>
      </c>
      <c r="F6474" s="10" t="str">
        <f t="shared" si="1173"/>
        <v>Loperena</v>
      </c>
      <c r="G6474" s="8">
        <v>1</v>
      </c>
      <c r="H6474" s="11">
        <v>900</v>
      </c>
      <c r="I6474" s="12">
        <v>43240</v>
      </c>
      <c r="J6474" s="35">
        <f t="shared" si="1174"/>
        <v>0</v>
      </c>
      <c r="K6474" s="36"/>
      <c r="L6474" s="36"/>
      <c r="M6474" s="36"/>
      <c r="N6474" s="36"/>
      <c r="O6474" s="36"/>
      <c r="P6474" s="36"/>
      <c r="Q6474" s="36"/>
      <c r="R6474" s="36"/>
      <c r="S6474" s="36"/>
      <c r="T6474" s="36"/>
      <c r="U6474" s="36"/>
      <c r="V6474" s="36"/>
      <c r="W6474" s="15">
        <f t="shared" si="1175"/>
        <v>0</v>
      </c>
      <c r="X6474" s="36"/>
      <c r="Y6474" s="36"/>
      <c r="Z6474" s="36"/>
      <c r="AA6474" s="36"/>
      <c r="AB6474" s="36"/>
      <c r="AC6474" s="36"/>
      <c r="AD6474" s="36"/>
      <c r="AE6474" s="36"/>
      <c r="AF6474" s="36"/>
      <c r="AG6474" s="36"/>
      <c r="AH6474" s="36"/>
      <c r="AI6474" s="36"/>
      <c r="AJ6474" s="15">
        <f t="shared" si="1176"/>
        <v>0</v>
      </c>
      <c r="AK6474" s="14"/>
      <c r="AL6474" s="14"/>
      <c r="AM6474" s="14">
        <v>300</v>
      </c>
      <c r="AN6474" s="14">
        <v>300</v>
      </c>
      <c r="AO6474" s="14">
        <v>300</v>
      </c>
      <c r="AP6474" s="14"/>
      <c r="AQ6474" s="14"/>
      <c r="AR6474" s="14"/>
      <c r="AS6474" s="14"/>
      <c r="AT6474" s="14"/>
      <c r="AU6474" s="14"/>
      <c r="AV6474" s="14"/>
      <c r="AW6474" s="15">
        <f t="shared" si="1177"/>
        <v>900</v>
      </c>
      <c r="AX6474" s="16"/>
    </row>
    <row r="6475" spans="2:50" x14ac:dyDescent="0.2">
      <c r="B6475" s="7"/>
      <c r="C6475" s="8">
        <v>16577</v>
      </c>
      <c r="D6475" s="9" t="s">
        <v>1267</v>
      </c>
      <c r="E6475" s="10" t="str">
        <f t="shared" si="1172"/>
        <v>Rancho La Cuchilla No. 31</v>
      </c>
      <c r="F6475" s="10" t="str">
        <f t="shared" si="1173"/>
        <v>Lince</v>
      </c>
      <c r="G6475" s="8">
        <v>1</v>
      </c>
      <c r="H6475" s="11">
        <v>1500</v>
      </c>
      <c r="I6475" s="12">
        <v>43240</v>
      </c>
      <c r="J6475" s="35">
        <f t="shared" si="1174"/>
        <v>0</v>
      </c>
      <c r="K6475" s="36"/>
      <c r="L6475" s="36"/>
      <c r="M6475" s="36"/>
      <c r="N6475" s="36"/>
      <c r="O6475" s="36"/>
      <c r="P6475" s="36"/>
      <c r="Q6475" s="36"/>
      <c r="R6475" s="36"/>
      <c r="S6475" s="36"/>
      <c r="T6475" s="36"/>
      <c r="U6475" s="36"/>
      <c r="V6475" s="36"/>
      <c r="W6475" s="15">
        <f t="shared" si="1175"/>
        <v>0</v>
      </c>
      <c r="X6475" s="36"/>
      <c r="Y6475" s="36"/>
      <c r="Z6475" s="36"/>
      <c r="AA6475" s="36"/>
      <c r="AB6475" s="36"/>
      <c r="AC6475" s="36"/>
      <c r="AD6475" s="36"/>
      <c r="AE6475" s="36"/>
      <c r="AF6475" s="36"/>
      <c r="AG6475" s="36">
        <v>300</v>
      </c>
      <c r="AH6475" s="36">
        <v>300</v>
      </c>
      <c r="AI6475" s="36">
        <v>300</v>
      </c>
      <c r="AJ6475" s="15">
        <f t="shared" si="1176"/>
        <v>900</v>
      </c>
      <c r="AK6475" s="14">
        <v>300</v>
      </c>
      <c r="AL6475" s="14">
        <v>300</v>
      </c>
      <c r="AM6475" s="14"/>
      <c r="AN6475" s="14"/>
      <c r="AO6475" s="14"/>
      <c r="AP6475" s="14"/>
      <c r="AQ6475" s="14"/>
      <c r="AR6475" s="14"/>
      <c r="AS6475" s="14"/>
      <c r="AT6475" s="14"/>
      <c r="AU6475" s="14"/>
      <c r="AV6475" s="14"/>
      <c r="AW6475" s="15">
        <f t="shared" si="1177"/>
        <v>600</v>
      </c>
      <c r="AX6475" s="16"/>
    </row>
    <row r="6476" spans="2:50" x14ac:dyDescent="0.2">
      <c r="B6476" s="7"/>
      <c r="C6476" s="8">
        <v>16578</v>
      </c>
      <c r="D6476" s="9" t="s">
        <v>358</v>
      </c>
      <c r="E6476" s="10" t="str">
        <f t="shared" si="1172"/>
        <v>Rancho Landero No. 2, 4</v>
      </c>
      <c r="F6476" s="10" t="str">
        <f t="shared" si="1173"/>
        <v>Astudillo Ramírez</v>
      </c>
      <c r="G6476" s="8">
        <v>3</v>
      </c>
      <c r="H6476" s="11">
        <v>400</v>
      </c>
      <c r="I6476" s="12">
        <v>43240</v>
      </c>
      <c r="J6476" s="35">
        <f t="shared" si="1174"/>
        <v>0</v>
      </c>
      <c r="K6476" s="36"/>
      <c r="L6476" s="36"/>
      <c r="M6476" s="36"/>
      <c r="N6476" s="36"/>
      <c r="O6476" s="36"/>
      <c r="P6476" s="36"/>
      <c r="Q6476" s="36"/>
      <c r="R6476" s="36"/>
      <c r="S6476" s="36"/>
      <c r="T6476" s="36"/>
      <c r="U6476" s="36"/>
      <c r="V6476" s="36"/>
      <c r="W6476" s="15">
        <f t="shared" si="1175"/>
        <v>0</v>
      </c>
      <c r="X6476" s="36"/>
      <c r="Y6476" s="36"/>
      <c r="Z6476" s="36"/>
      <c r="AA6476" s="36"/>
      <c r="AB6476" s="36"/>
      <c r="AC6476" s="36"/>
      <c r="AD6476" s="36"/>
      <c r="AE6476" s="36"/>
      <c r="AF6476" s="36"/>
      <c r="AG6476" s="36"/>
      <c r="AH6476" s="36"/>
      <c r="AI6476" s="36"/>
      <c r="AJ6476" s="15">
        <f t="shared" si="1176"/>
        <v>0</v>
      </c>
      <c r="AK6476" s="14"/>
      <c r="AL6476" s="14"/>
      <c r="AM6476" s="14"/>
      <c r="AN6476" s="14"/>
      <c r="AO6476" s="14"/>
      <c r="AP6476" s="14"/>
      <c r="AQ6476" s="14"/>
      <c r="AR6476" s="14"/>
      <c r="AS6476" s="14"/>
      <c r="AT6476" s="14"/>
      <c r="AU6476" s="14"/>
      <c r="AV6476" s="14"/>
      <c r="AW6476" s="15">
        <f t="shared" si="1177"/>
        <v>0</v>
      </c>
      <c r="AX6476" s="16"/>
    </row>
    <row r="6477" spans="2:50" x14ac:dyDescent="0.2">
      <c r="B6477" s="7"/>
      <c r="C6477" s="8">
        <v>16579</v>
      </c>
      <c r="D6477" s="9" t="s">
        <v>769</v>
      </c>
      <c r="E6477" s="10" t="str">
        <f t="shared" si="1172"/>
        <v>Rancho La Cuchilla No. 66</v>
      </c>
      <c r="F6477" s="10" t="str">
        <f t="shared" si="1173"/>
        <v>Prieto</v>
      </c>
      <c r="G6477" s="8">
        <v>1</v>
      </c>
      <c r="H6477" s="11">
        <v>400</v>
      </c>
      <c r="I6477" s="12">
        <v>43240</v>
      </c>
      <c r="J6477" s="35">
        <f t="shared" si="1174"/>
        <v>0</v>
      </c>
      <c r="K6477" s="36"/>
      <c r="L6477" s="36"/>
      <c r="M6477" s="36"/>
      <c r="N6477" s="36"/>
      <c r="O6477" s="36"/>
      <c r="P6477" s="36"/>
      <c r="Q6477" s="36"/>
      <c r="R6477" s="36"/>
      <c r="S6477" s="36"/>
      <c r="T6477" s="36"/>
      <c r="U6477" s="36"/>
      <c r="V6477" s="36"/>
      <c r="W6477" s="15">
        <f t="shared" si="1175"/>
        <v>0</v>
      </c>
      <c r="X6477" s="36"/>
      <c r="Y6477" s="36"/>
      <c r="Z6477" s="36"/>
      <c r="AA6477" s="36"/>
      <c r="AB6477" s="36"/>
      <c r="AC6477" s="36"/>
      <c r="AD6477" s="36"/>
      <c r="AE6477" s="36"/>
      <c r="AF6477" s="36"/>
      <c r="AG6477" s="36"/>
      <c r="AH6477" s="36"/>
      <c r="AI6477" s="36"/>
      <c r="AJ6477" s="15">
        <f t="shared" si="1176"/>
        <v>0</v>
      </c>
      <c r="AK6477" s="14"/>
      <c r="AL6477" s="14"/>
      <c r="AM6477" s="14"/>
      <c r="AN6477" s="14"/>
      <c r="AO6477" s="14">
        <v>400</v>
      </c>
      <c r="AP6477" s="14"/>
      <c r="AQ6477" s="14"/>
      <c r="AR6477" s="14"/>
      <c r="AS6477" s="14"/>
      <c r="AT6477" s="14"/>
      <c r="AU6477" s="14"/>
      <c r="AV6477" s="14"/>
      <c r="AW6477" s="15">
        <f t="shared" si="1177"/>
        <v>400</v>
      </c>
      <c r="AX6477" s="16"/>
    </row>
    <row r="6478" spans="2:50" x14ac:dyDescent="0.2">
      <c r="B6478" s="7"/>
      <c r="C6478" s="8">
        <v>16580</v>
      </c>
      <c r="D6478" s="9" t="s">
        <v>313</v>
      </c>
      <c r="E6478" s="10" t="str">
        <f t="shared" si="1172"/>
        <v>Rancho La Cuchilla No. 87</v>
      </c>
      <c r="F6478" s="10" t="str">
        <f t="shared" si="1173"/>
        <v>Villanueva S.</v>
      </c>
      <c r="G6478" s="8">
        <v>1</v>
      </c>
      <c r="H6478" s="11">
        <v>400</v>
      </c>
      <c r="I6478" s="12">
        <v>43240</v>
      </c>
      <c r="J6478" s="35">
        <f t="shared" si="1174"/>
        <v>0</v>
      </c>
      <c r="K6478" s="36"/>
      <c r="L6478" s="36"/>
      <c r="M6478" s="36"/>
      <c r="N6478" s="36"/>
      <c r="O6478" s="36"/>
      <c r="P6478" s="36"/>
      <c r="Q6478" s="36"/>
      <c r="R6478" s="36"/>
      <c r="S6478" s="36"/>
      <c r="T6478" s="36"/>
      <c r="U6478" s="36"/>
      <c r="V6478" s="36"/>
      <c r="W6478" s="15">
        <f t="shared" si="1175"/>
        <v>0</v>
      </c>
      <c r="X6478" s="36"/>
      <c r="Y6478" s="36"/>
      <c r="Z6478" s="36"/>
      <c r="AA6478" s="36"/>
      <c r="AB6478" s="36"/>
      <c r="AC6478" s="36"/>
      <c r="AD6478" s="36"/>
      <c r="AE6478" s="36"/>
      <c r="AF6478" s="36"/>
      <c r="AG6478" s="36"/>
      <c r="AH6478" s="36"/>
      <c r="AI6478" s="36"/>
      <c r="AJ6478" s="15">
        <f t="shared" si="1176"/>
        <v>0</v>
      </c>
      <c r="AK6478" s="14"/>
      <c r="AL6478" s="14"/>
      <c r="AM6478" s="14"/>
      <c r="AN6478" s="14"/>
      <c r="AO6478" s="14">
        <v>400</v>
      </c>
      <c r="AP6478" s="14"/>
      <c r="AQ6478" s="14"/>
      <c r="AR6478" s="14"/>
      <c r="AS6478" s="14"/>
      <c r="AT6478" s="14"/>
      <c r="AU6478" s="14"/>
      <c r="AV6478" s="14"/>
      <c r="AW6478" s="15">
        <f t="shared" si="1177"/>
        <v>400</v>
      </c>
      <c r="AX6478" s="16"/>
    </row>
    <row r="6479" spans="2:50" x14ac:dyDescent="0.2">
      <c r="B6479" s="7"/>
      <c r="C6479" s="8">
        <v>16580</v>
      </c>
      <c r="D6479" s="9" t="s">
        <v>313</v>
      </c>
      <c r="E6479" s="10" t="str">
        <f t="shared" si="1172"/>
        <v>Rancho La Cuchilla No. 87</v>
      </c>
      <c r="F6479" s="10" t="str">
        <f t="shared" si="1173"/>
        <v>Villanueva S.</v>
      </c>
      <c r="G6479" s="8">
        <v>3</v>
      </c>
      <c r="H6479" s="11">
        <v>200</v>
      </c>
      <c r="I6479" s="12">
        <v>43240</v>
      </c>
      <c r="J6479" s="35">
        <f t="shared" si="1174"/>
        <v>0</v>
      </c>
      <c r="K6479" s="36"/>
      <c r="L6479" s="36"/>
      <c r="M6479" s="36"/>
      <c r="N6479" s="36"/>
      <c r="O6479" s="36"/>
      <c r="P6479" s="36"/>
      <c r="Q6479" s="36"/>
      <c r="R6479" s="36"/>
      <c r="S6479" s="36"/>
      <c r="T6479" s="36"/>
      <c r="U6479" s="36"/>
      <c r="V6479" s="36"/>
      <c r="W6479" s="15">
        <f t="shared" si="1175"/>
        <v>0</v>
      </c>
      <c r="X6479" s="36"/>
      <c r="Y6479" s="36"/>
      <c r="Z6479" s="36"/>
      <c r="AA6479" s="36"/>
      <c r="AB6479" s="36"/>
      <c r="AC6479" s="36"/>
      <c r="AD6479" s="36"/>
      <c r="AE6479" s="36"/>
      <c r="AF6479" s="36"/>
      <c r="AG6479" s="36"/>
      <c r="AH6479" s="36"/>
      <c r="AI6479" s="36"/>
      <c r="AJ6479" s="15">
        <f t="shared" si="1176"/>
        <v>0</v>
      </c>
      <c r="AK6479" s="14"/>
      <c r="AL6479" s="14"/>
      <c r="AM6479" s="14"/>
      <c r="AN6479" s="14"/>
      <c r="AO6479" s="14">
        <v>400</v>
      </c>
      <c r="AP6479" s="14"/>
      <c r="AQ6479" s="14"/>
      <c r="AR6479" s="14"/>
      <c r="AS6479" s="14"/>
      <c r="AT6479" s="14"/>
      <c r="AU6479" s="14"/>
      <c r="AV6479" s="14"/>
      <c r="AW6479" s="15">
        <f t="shared" si="1177"/>
        <v>400</v>
      </c>
      <c r="AX6479" s="316">
        <f>SUM(H6458:H6479)</f>
        <v>10600</v>
      </c>
    </row>
    <row r="6480" spans="2:50" x14ac:dyDescent="0.2">
      <c r="B6480" s="7"/>
      <c r="C6480" s="8">
        <v>16581</v>
      </c>
      <c r="D6480" s="9" t="s">
        <v>1157</v>
      </c>
      <c r="E6480" s="10" t="str">
        <f t="shared" si="1166"/>
        <v>Rancho Upácuaro No. 43</v>
      </c>
      <c r="F6480" s="10" t="str">
        <f t="shared" si="1167"/>
        <v>Yolanda</v>
      </c>
      <c r="G6480" s="8">
        <v>1</v>
      </c>
      <c r="H6480" s="315">
        <v>200</v>
      </c>
      <c r="I6480" s="12">
        <v>43240</v>
      </c>
      <c r="J6480" s="35">
        <f t="shared" si="1168"/>
        <v>0</v>
      </c>
      <c r="K6480" s="36"/>
      <c r="L6480" s="36"/>
      <c r="M6480" s="36"/>
      <c r="N6480" s="36"/>
      <c r="O6480" s="36"/>
      <c r="P6480" s="36"/>
      <c r="Q6480" s="36"/>
      <c r="R6480" s="36"/>
      <c r="S6480" s="36"/>
      <c r="T6480" s="36"/>
      <c r="U6480" s="36"/>
      <c r="V6480" s="36"/>
      <c r="W6480" s="15">
        <f t="shared" si="1169"/>
        <v>0</v>
      </c>
      <c r="X6480" s="36"/>
      <c r="Y6480" s="36"/>
      <c r="Z6480" s="36"/>
      <c r="AA6480" s="36"/>
      <c r="AB6480" s="36"/>
      <c r="AC6480" s="36"/>
      <c r="AD6480" s="36"/>
      <c r="AE6480" s="36"/>
      <c r="AF6480" s="36"/>
      <c r="AG6480" s="36"/>
      <c r="AH6480" s="36"/>
      <c r="AI6480" s="36">
        <v>200</v>
      </c>
      <c r="AJ6480" s="15">
        <f t="shared" si="1170"/>
        <v>200</v>
      </c>
      <c r="AK6480" s="14"/>
      <c r="AL6480" s="14"/>
      <c r="AM6480" s="14"/>
      <c r="AN6480" s="14"/>
      <c r="AO6480" s="14"/>
      <c r="AP6480" s="14"/>
      <c r="AQ6480" s="14"/>
      <c r="AR6480" s="14"/>
      <c r="AS6480" s="14"/>
      <c r="AT6480" s="14"/>
      <c r="AU6480" s="14"/>
      <c r="AV6480" s="14"/>
      <c r="AW6480" s="15">
        <f t="shared" si="1171"/>
        <v>0</v>
      </c>
      <c r="AX6480" s="16"/>
    </row>
    <row r="6481" spans="2:50" x14ac:dyDescent="0.2">
      <c r="B6481" s="7"/>
      <c r="C6481" s="8">
        <v>16582</v>
      </c>
      <c r="D6481" s="9" t="s">
        <v>960</v>
      </c>
      <c r="E6481" s="10" t="str">
        <f t="shared" si="1166"/>
        <v>Rancho Landero No. 28</v>
      </c>
      <c r="F6481" s="10" t="str">
        <f t="shared" si="1167"/>
        <v>Hernàndez Orteales</v>
      </c>
      <c r="G6481" s="8">
        <v>4</v>
      </c>
      <c r="H6481" s="11">
        <v>200</v>
      </c>
      <c r="I6481" s="12">
        <v>43241</v>
      </c>
      <c r="J6481" s="35">
        <f t="shared" si="1168"/>
        <v>0</v>
      </c>
      <c r="K6481" s="36"/>
      <c r="L6481" s="36"/>
      <c r="M6481" s="36"/>
      <c r="N6481" s="36"/>
      <c r="O6481" s="36"/>
      <c r="P6481" s="36"/>
      <c r="Q6481" s="36"/>
      <c r="R6481" s="36"/>
      <c r="S6481" s="36"/>
      <c r="T6481" s="36"/>
      <c r="U6481" s="36"/>
      <c r="V6481" s="36"/>
      <c r="W6481" s="15">
        <f t="shared" si="1169"/>
        <v>0</v>
      </c>
      <c r="X6481" s="36"/>
      <c r="Y6481" s="36"/>
      <c r="Z6481" s="36"/>
      <c r="AA6481" s="36"/>
      <c r="AB6481" s="36"/>
      <c r="AC6481" s="36"/>
      <c r="AD6481" s="36"/>
      <c r="AE6481" s="36"/>
      <c r="AF6481" s="36"/>
      <c r="AG6481" s="36"/>
      <c r="AH6481" s="36"/>
      <c r="AI6481" s="36"/>
      <c r="AJ6481" s="15">
        <f t="shared" si="1170"/>
        <v>0</v>
      </c>
      <c r="AK6481" s="14"/>
      <c r="AL6481" s="14"/>
      <c r="AM6481" s="14"/>
      <c r="AN6481" s="14"/>
      <c r="AO6481" s="14"/>
      <c r="AP6481" s="14"/>
      <c r="AQ6481" s="14"/>
      <c r="AR6481" s="14"/>
      <c r="AS6481" s="14"/>
      <c r="AT6481" s="14"/>
      <c r="AU6481" s="14"/>
      <c r="AV6481" s="14"/>
      <c r="AW6481" s="15">
        <f t="shared" si="1171"/>
        <v>0</v>
      </c>
      <c r="AX6481" s="16" t="s">
        <v>5259</v>
      </c>
    </row>
    <row r="6482" spans="2:50" x14ac:dyDescent="0.2">
      <c r="B6482" s="7"/>
      <c r="C6482" s="8">
        <v>16583</v>
      </c>
      <c r="D6482" s="9" t="s">
        <v>205</v>
      </c>
      <c r="E6482" s="10" t="str">
        <f t="shared" ref="E6482:E6525" si="1178">IF(D6482=0,"",VLOOKUP(D6482,BASE,2,FALSE))</f>
        <v>Rancho Landero No. 1, A</v>
      </c>
      <c r="F6482" s="10" t="str">
        <f t="shared" ref="F6482:F6525" si="1179">IF(D6482=0,"",VLOOKUP(D6482,BASE,3,FALSE))</f>
        <v>Ebysos</v>
      </c>
      <c r="G6482" s="8">
        <v>5</v>
      </c>
      <c r="H6482" s="11">
        <v>50</v>
      </c>
      <c r="I6482" s="12">
        <v>43243</v>
      </c>
      <c r="J6482" s="35">
        <f t="shared" ref="J6482:J6525" si="1180">IF(G6482=1,SUM(W6482,AJ6482,AW6482,-H6482),0)</f>
        <v>0</v>
      </c>
      <c r="K6482" s="36"/>
      <c r="L6482" s="36"/>
      <c r="M6482" s="36"/>
      <c r="N6482" s="36"/>
      <c r="O6482" s="36"/>
      <c r="P6482" s="36"/>
      <c r="Q6482" s="36"/>
      <c r="R6482" s="36"/>
      <c r="S6482" s="36"/>
      <c r="T6482" s="36"/>
      <c r="U6482" s="36"/>
      <c r="V6482" s="36"/>
      <c r="W6482" s="15">
        <f t="shared" ref="W6482:W6525" si="1181">SUM(K6482:V6482)</f>
        <v>0</v>
      </c>
      <c r="X6482" s="36"/>
      <c r="Y6482" s="36"/>
      <c r="Z6482" s="36"/>
      <c r="AA6482" s="36"/>
      <c r="AB6482" s="36"/>
      <c r="AC6482" s="36"/>
      <c r="AD6482" s="36"/>
      <c r="AE6482" s="36"/>
      <c r="AF6482" s="36"/>
      <c r="AG6482" s="36"/>
      <c r="AH6482" s="36"/>
      <c r="AI6482" s="36"/>
      <c r="AJ6482" s="15">
        <f t="shared" ref="AJ6482:AJ6525" si="1182">SUM(X6482:AI6482)</f>
        <v>0</v>
      </c>
      <c r="AK6482" s="14"/>
      <c r="AL6482" s="14"/>
      <c r="AM6482" s="14"/>
      <c r="AN6482" s="14"/>
      <c r="AO6482" s="14"/>
      <c r="AP6482" s="14"/>
      <c r="AQ6482" s="14"/>
      <c r="AR6482" s="14"/>
      <c r="AS6482" s="14"/>
      <c r="AT6482" s="14"/>
      <c r="AU6482" s="14"/>
      <c r="AV6482" s="14"/>
      <c r="AW6482" s="15">
        <f t="shared" ref="AW6482:AW6525" si="1183">SUM(AK6482:AV6482)</f>
        <v>0</v>
      </c>
      <c r="AX6482" s="16"/>
    </row>
    <row r="6483" spans="2:50" x14ac:dyDescent="0.2">
      <c r="B6483" s="7"/>
      <c r="C6483" s="8">
        <v>16584</v>
      </c>
      <c r="D6483" s="9"/>
      <c r="E6483" s="10" t="str">
        <f t="shared" si="1178"/>
        <v/>
      </c>
      <c r="F6483" s="10" t="str">
        <f t="shared" si="1179"/>
        <v/>
      </c>
      <c r="G6483" s="8">
        <v>8</v>
      </c>
      <c r="H6483" s="11"/>
      <c r="I6483" s="12"/>
      <c r="J6483" s="35">
        <f t="shared" si="1180"/>
        <v>0</v>
      </c>
      <c r="K6483" s="36"/>
      <c r="L6483" s="36"/>
      <c r="M6483" s="36"/>
      <c r="N6483" s="36"/>
      <c r="O6483" s="36"/>
      <c r="P6483" s="36"/>
      <c r="Q6483" s="36"/>
      <c r="R6483" s="36"/>
      <c r="S6483" s="36"/>
      <c r="T6483" s="36"/>
      <c r="U6483" s="36"/>
      <c r="V6483" s="36"/>
      <c r="W6483" s="15">
        <f t="shared" si="1181"/>
        <v>0</v>
      </c>
      <c r="X6483" s="36"/>
      <c r="Y6483" s="36"/>
      <c r="Z6483" s="36"/>
      <c r="AA6483" s="36"/>
      <c r="AB6483" s="36"/>
      <c r="AC6483" s="36"/>
      <c r="AD6483" s="36"/>
      <c r="AE6483" s="36"/>
      <c r="AF6483" s="36"/>
      <c r="AG6483" s="36"/>
      <c r="AH6483" s="36"/>
      <c r="AI6483" s="36"/>
      <c r="AJ6483" s="15">
        <f t="shared" si="1182"/>
        <v>0</v>
      </c>
      <c r="AK6483" s="14"/>
      <c r="AL6483" s="14"/>
      <c r="AM6483" s="14"/>
      <c r="AN6483" s="14"/>
      <c r="AO6483" s="14"/>
      <c r="AP6483" s="14"/>
      <c r="AQ6483" s="14"/>
      <c r="AR6483" s="14"/>
      <c r="AS6483" s="14"/>
      <c r="AT6483" s="14"/>
      <c r="AU6483" s="14"/>
      <c r="AV6483" s="14"/>
      <c r="AW6483" s="15">
        <f t="shared" si="1183"/>
        <v>0</v>
      </c>
      <c r="AX6483" s="16"/>
    </row>
    <row r="6484" spans="2:50" x14ac:dyDescent="0.2">
      <c r="B6484" s="7"/>
      <c r="C6484" s="8">
        <v>16585</v>
      </c>
      <c r="D6484" s="9" t="s">
        <v>1014</v>
      </c>
      <c r="E6484" s="10" t="str">
        <f t="shared" si="1178"/>
        <v>Rancho La Cuchilla No. 86</v>
      </c>
      <c r="F6484" s="10" t="str">
        <f t="shared" si="1179"/>
        <v>Del Villar</v>
      </c>
      <c r="G6484" s="8">
        <v>1</v>
      </c>
      <c r="H6484" s="11">
        <v>2400</v>
      </c>
      <c r="I6484" s="12">
        <v>43243</v>
      </c>
      <c r="J6484" s="35">
        <f t="shared" si="1180"/>
        <v>0</v>
      </c>
      <c r="K6484" s="36"/>
      <c r="L6484" s="36"/>
      <c r="M6484" s="36"/>
      <c r="N6484" s="36"/>
      <c r="O6484" s="36"/>
      <c r="P6484" s="36"/>
      <c r="Q6484" s="36"/>
      <c r="R6484" s="36"/>
      <c r="S6484" s="36"/>
      <c r="T6484" s="36"/>
      <c r="U6484" s="36"/>
      <c r="V6484" s="36"/>
      <c r="W6484" s="15">
        <f t="shared" si="1181"/>
        <v>0</v>
      </c>
      <c r="X6484" s="36"/>
      <c r="Y6484" s="36"/>
      <c r="Z6484" s="36"/>
      <c r="AA6484" s="36"/>
      <c r="AB6484" s="36"/>
      <c r="AC6484" s="36"/>
      <c r="AD6484" s="36"/>
      <c r="AE6484" s="36"/>
      <c r="AF6484" s="36"/>
      <c r="AG6484" s="36"/>
      <c r="AH6484" s="36"/>
      <c r="AI6484" s="36"/>
      <c r="AJ6484" s="15">
        <f t="shared" si="1182"/>
        <v>0</v>
      </c>
      <c r="AK6484" s="14"/>
      <c r="AL6484" s="14"/>
      <c r="AM6484" s="14"/>
      <c r="AN6484" s="14"/>
      <c r="AO6484" s="14"/>
      <c r="AP6484" s="14">
        <v>400</v>
      </c>
      <c r="AQ6484" s="14">
        <v>400</v>
      </c>
      <c r="AR6484" s="14">
        <v>400</v>
      </c>
      <c r="AS6484" s="14">
        <v>400</v>
      </c>
      <c r="AT6484" s="14">
        <v>400</v>
      </c>
      <c r="AU6484" s="14">
        <v>400</v>
      </c>
      <c r="AV6484" s="14"/>
      <c r="AW6484" s="15">
        <f t="shared" si="1183"/>
        <v>2400</v>
      </c>
      <c r="AX6484" s="16" t="s">
        <v>4905</v>
      </c>
    </row>
    <row r="6485" spans="2:50" x14ac:dyDescent="0.2">
      <c r="B6485" s="7"/>
      <c r="C6485" s="8">
        <v>16586</v>
      </c>
      <c r="D6485" s="9" t="s">
        <v>1131</v>
      </c>
      <c r="E6485" s="10" t="str">
        <f t="shared" si="1178"/>
        <v>Rancho Estanzuela No. 93</v>
      </c>
      <c r="F6485" s="10" t="str">
        <f t="shared" si="1179"/>
        <v>Alcocer</v>
      </c>
      <c r="G6485" s="8">
        <v>3</v>
      </c>
      <c r="H6485" s="11">
        <v>400</v>
      </c>
      <c r="I6485" s="12">
        <v>43245</v>
      </c>
      <c r="J6485" s="35">
        <f t="shared" si="1180"/>
        <v>0</v>
      </c>
      <c r="K6485" s="36"/>
      <c r="L6485" s="36"/>
      <c r="M6485" s="36"/>
      <c r="N6485" s="36"/>
      <c r="O6485" s="36"/>
      <c r="P6485" s="36"/>
      <c r="Q6485" s="36"/>
      <c r="R6485" s="36"/>
      <c r="S6485" s="36"/>
      <c r="T6485" s="36"/>
      <c r="U6485" s="36"/>
      <c r="V6485" s="36"/>
      <c r="W6485" s="15">
        <f t="shared" si="1181"/>
        <v>0</v>
      </c>
      <c r="X6485" s="36"/>
      <c r="Y6485" s="36"/>
      <c r="Z6485" s="36"/>
      <c r="AA6485" s="36"/>
      <c r="AB6485" s="36"/>
      <c r="AC6485" s="36"/>
      <c r="AD6485" s="36"/>
      <c r="AE6485" s="36"/>
      <c r="AF6485" s="36"/>
      <c r="AG6485" s="36"/>
      <c r="AH6485" s="36"/>
      <c r="AI6485" s="36"/>
      <c r="AJ6485" s="15">
        <f t="shared" si="1182"/>
        <v>0</v>
      </c>
      <c r="AK6485" s="14"/>
      <c r="AL6485" s="14"/>
      <c r="AM6485" s="14"/>
      <c r="AN6485" s="14"/>
      <c r="AO6485" s="14"/>
      <c r="AP6485" s="14"/>
      <c r="AQ6485" s="14"/>
      <c r="AR6485" s="14"/>
      <c r="AS6485" s="14"/>
      <c r="AT6485" s="14"/>
      <c r="AU6485" s="14"/>
      <c r="AV6485" s="14"/>
      <c r="AW6485" s="15">
        <f t="shared" si="1183"/>
        <v>0</v>
      </c>
      <c r="AX6485" s="16"/>
    </row>
    <row r="6486" spans="2:50" x14ac:dyDescent="0.2">
      <c r="B6486" s="7"/>
      <c r="C6486" s="8">
        <v>16587</v>
      </c>
      <c r="D6486" s="9" t="s">
        <v>954</v>
      </c>
      <c r="E6486" s="10" t="str">
        <f t="shared" si="1178"/>
        <v>Rancho Landero No. 36</v>
      </c>
      <c r="F6486" s="10" t="str">
        <f t="shared" si="1179"/>
        <v>Jaime</v>
      </c>
      <c r="G6486" s="8">
        <v>1</v>
      </c>
      <c r="H6486" s="11">
        <v>400</v>
      </c>
      <c r="I6486" s="12">
        <v>43247</v>
      </c>
      <c r="J6486" s="35">
        <f t="shared" si="1180"/>
        <v>0</v>
      </c>
      <c r="K6486" s="36"/>
      <c r="L6486" s="36"/>
      <c r="M6486" s="36"/>
      <c r="N6486" s="36"/>
      <c r="O6486" s="36"/>
      <c r="P6486" s="36"/>
      <c r="Q6486" s="36"/>
      <c r="R6486" s="36"/>
      <c r="S6486" s="36"/>
      <c r="T6486" s="36"/>
      <c r="U6486" s="36"/>
      <c r="V6486" s="36"/>
      <c r="W6486" s="15">
        <f t="shared" si="1181"/>
        <v>0</v>
      </c>
      <c r="X6486" s="36"/>
      <c r="Y6486" s="36"/>
      <c r="Z6486" s="36"/>
      <c r="AA6486" s="36"/>
      <c r="AB6486" s="36"/>
      <c r="AC6486" s="36"/>
      <c r="AD6486" s="36"/>
      <c r="AE6486" s="36"/>
      <c r="AF6486" s="36"/>
      <c r="AG6486" s="36"/>
      <c r="AH6486" s="36"/>
      <c r="AI6486" s="36"/>
      <c r="AJ6486" s="15">
        <f t="shared" si="1182"/>
        <v>0</v>
      </c>
      <c r="AK6486" s="14"/>
      <c r="AL6486" s="14"/>
      <c r="AM6486" s="14"/>
      <c r="AN6486" s="14"/>
      <c r="AO6486" s="14">
        <v>400</v>
      </c>
      <c r="AP6486" s="14"/>
      <c r="AQ6486" s="14"/>
      <c r="AR6486" s="14"/>
      <c r="AS6486" s="14"/>
      <c r="AT6486" s="14"/>
      <c r="AU6486" s="14"/>
      <c r="AV6486" s="14"/>
      <c r="AW6486" s="15">
        <f t="shared" si="1183"/>
        <v>400</v>
      </c>
      <c r="AX6486" s="16"/>
    </row>
    <row r="6487" spans="2:50" x14ac:dyDescent="0.2">
      <c r="B6487" s="7"/>
      <c r="C6487" s="8">
        <v>16587</v>
      </c>
      <c r="D6487" s="9" t="s">
        <v>954</v>
      </c>
      <c r="E6487" s="10" t="str">
        <f t="shared" si="1178"/>
        <v>Rancho Landero No. 36</v>
      </c>
      <c r="F6487" s="10" t="str">
        <f t="shared" si="1179"/>
        <v>Jaime</v>
      </c>
      <c r="G6487" s="8">
        <v>3</v>
      </c>
      <c r="H6487" s="11">
        <v>200</v>
      </c>
      <c r="I6487" s="12">
        <v>43247</v>
      </c>
      <c r="J6487" s="35">
        <f t="shared" si="1180"/>
        <v>0</v>
      </c>
      <c r="K6487" s="36"/>
      <c r="L6487" s="36"/>
      <c r="M6487" s="36"/>
      <c r="N6487" s="36"/>
      <c r="O6487" s="36"/>
      <c r="P6487" s="36"/>
      <c r="Q6487" s="36"/>
      <c r="R6487" s="36"/>
      <c r="S6487" s="36"/>
      <c r="T6487" s="36"/>
      <c r="U6487" s="36"/>
      <c r="V6487" s="36"/>
      <c r="W6487" s="15">
        <f t="shared" si="1181"/>
        <v>0</v>
      </c>
      <c r="X6487" s="36"/>
      <c r="Y6487" s="36"/>
      <c r="Z6487" s="36"/>
      <c r="AA6487" s="36"/>
      <c r="AB6487" s="36"/>
      <c r="AC6487" s="36"/>
      <c r="AD6487" s="36"/>
      <c r="AE6487" s="36"/>
      <c r="AF6487" s="36"/>
      <c r="AG6487" s="36"/>
      <c r="AH6487" s="36"/>
      <c r="AI6487" s="36"/>
      <c r="AJ6487" s="15">
        <f t="shared" si="1182"/>
        <v>0</v>
      </c>
      <c r="AK6487" s="14"/>
      <c r="AL6487" s="14"/>
      <c r="AM6487" s="14"/>
      <c r="AN6487" s="14"/>
      <c r="AO6487" s="14"/>
      <c r="AP6487" s="14"/>
      <c r="AQ6487" s="14"/>
      <c r="AR6487" s="14"/>
      <c r="AS6487" s="14"/>
      <c r="AT6487" s="14"/>
      <c r="AU6487" s="14"/>
      <c r="AV6487" s="14"/>
      <c r="AW6487" s="15">
        <f t="shared" si="1183"/>
        <v>0</v>
      </c>
      <c r="AX6487" s="16"/>
    </row>
    <row r="6488" spans="2:50" x14ac:dyDescent="0.2">
      <c r="B6488" s="7"/>
      <c r="C6488" s="8">
        <v>16588</v>
      </c>
      <c r="D6488" s="9" t="s">
        <v>523</v>
      </c>
      <c r="E6488" s="10" t="str">
        <f t="shared" si="1178"/>
        <v>Rancho Estanzuela No. 139</v>
      </c>
      <c r="F6488" s="10" t="str">
        <f t="shared" si="1179"/>
        <v xml:space="preserve">Ortiz   </v>
      </c>
      <c r="G6488" s="8">
        <v>3</v>
      </c>
      <c r="H6488" s="11">
        <v>200</v>
      </c>
      <c r="I6488" s="12">
        <v>43247</v>
      </c>
      <c r="J6488" s="35">
        <f t="shared" si="1180"/>
        <v>0</v>
      </c>
      <c r="K6488" s="36"/>
      <c r="L6488" s="36"/>
      <c r="M6488" s="36"/>
      <c r="N6488" s="36"/>
      <c r="O6488" s="36"/>
      <c r="P6488" s="36"/>
      <c r="Q6488" s="36"/>
      <c r="R6488" s="36"/>
      <c r="S6488" s="36"/>
      <c r="T6488" s="36"/>
      <c r="U6488" s="36"/>
      <c r="V6488" s="36"/>
      <c r="W6488" s="15">
        <f t="shared" si="1181"/>
        <v>0</v>
      </c>
      <c r="X6488" s="36"/>
      <c r="Y6488" s="36"/>
      <c r="Z6488" s="36"/>
      <c r="AA6488" s="36"/>
      <c r="AB6488" s="36"/>
      <c r="AC6488" s="36"/>
      <c r="AD6488" s="36"/>
      <c r="AE6488" s="36"/>
      <c r="AF6488" s="36"/>
      <c r="AG6488" s="36"/>
      <c r="AH6488" s="36"/>
      <c r="AI6488" s="36"/>
      <c r="AJ6488" s="15">
        <f t="shared" si="1182"/>
        <v>0</v>
      </c>
      <c r="AK6488" s="14"/>
      <c r="AL6488" s="14"/>
      <c r="AM6488" s="14"/>
      <c r="AN6488" s="14"/>
      <c r="AO6488" s="14"/>
      <c r="AP6488" s="14"/>
      <c r="AQ6488" s="14"/>
      <c r="AR6488" s="14"/>
      <c r="AS6488" s="14"/>
      <c r="AT6488" s="14"/>
      <c r="AU6488" s="14"/>
      <c r="AV6488" s="14"/>
      <c r="AW6488" s="15">
        <f t="shared" si="1183"/>
        <v>0</v>
      </c>
      <c r="AX6488" s="16" t="s">
        <v>5260</v>
      </c>
    </row>
    <row r="6489" spans="2:50" x14ac:dyDescent="0.2">
      <c r="B6489" s="7"/>
      <c r="C6489" s="8">
        <v>16589</v>
      </c>
      <c r="D6489" s="9" t="s">
        <v>1017</v>
      </c>
      <c r="E6489" s="10" t="str">
        <f t="shared" si="1178"/>
        <v>Rancho Estanzuela No. 119, 3</v>
      </c>
      <c r="F6489" s="10" t="str">
        <f t="shared" si="1179"/>
        <v>Montecillo</v>
      </c>
      <c r="G6489" s="8">
        <v>1</v>
      </c>
      <c r="H6489" s="11">
        <v>500</v>
      </c>
      <c r="I6489" s="12">
        <v>43247</v>
      </c>
      <c r="J6489" s="35">
        <f t="shared" si="1180"/>
        <v>0</v>
      </c>
      <c r="K6489" s="36"/>
      <c r="L6489" s="36"/>
      <c r="M6489" s="36"/>
      <c r="N6489" s="36"/>
      <c r="O6489" s="36"/>
      <c r="P6489" s="36"/>
      <c r="Q6489" s="36"/>
      <c r="R6489" s="36"/>
      <c r="S6489" s="36"/>
      <c r="T6489" s="36"/>
      <c r="U6489" s="36"/>
      <c r="V6489" s="36"/>
      <c r="W6489" s="15">
        <f t="shared" si="1181"/>
        <v>0</v>
      </c>
      <c r="X6489" s="36"/>
      <c r="Y6489" s="36"/>
      <c r="Z6489" s="36"/>
      <c r="AA6489" s="36"/>
      <c r="AB6489" s="36"/>
      <c r="AC6489" s="36"/>
      <c r="AD6489" s="36"/>
      <c r="AE6489" s="36"/>
      <c r="AF6489" s="36"/>
      <c r="AG6489" s="36"/>
      <c r="AH6489" s="36"/>
      <c r="AI6489" s="36"/>
      <c r="AJ6489" s="15">
        <f t="shared" si="1182"/>
        <v>0</v>
      </c>
      <c r="AK6489" s="14"/>
      <c r="AL6489" s="14"/>
      <c r="AM6489" s="14"/>
      <c r="AN6489" s="14"/>
      <c r="AO6489" s="14">
        <v>250</v>
      </c>
      <c r="AP6489" s="14">
        <v>250</v>
      </c>
      <c r="AQ6489" s="14"/>
      <c r="AR6489" s="14"/>
      <c r="AS6489" s="14"/>
      <c r="AT6489" s="14"/>
      <c r="AU6489" s="14"/>
      <c r="AV6489" s="14"/>
      <c r="AW6489" s="15">
        <f t="shared" si="1183"/>
        <v>500</v>
      </c>
      <c r="AX6489" s="16"/>
    </row>
    <row r="6490" spans="2:50" x14ac:dyDescent="0.2">
      <c r="B6490" s="7"/>
      <c r="C6490" s="8">
        <v>16590</v>
      </c>
      <c r="D6490" s="9" t="s">
        <v>514</v>
      </c>
      <c r="E6490" s="10" t="str">
        <f t="shared" si="1178"/>
        <v>Rancho Upácuaro No. 114</v>
      </c>
      <c r="F6490" s="10" t="str">
        <f t="shared" si="1179"/>
        <v>Hernández Cornejo</v>
      </c>
      <c r="G6490" s="8">
        <v>1</v>
      </c>
      <c r="H6490" s="11">
        <v>400</v>
      </c>
      <c r="I6490" s="12">
        <v>43247</v>
      </c>
      <c r="J6490" s="35">
        <f t="shared" si="1180"/>
        <v>0</v>
      </c>
      <c r="K6490" s="36"/>
      <c r="L6490" s="36"/>
      <c r="M6490" s="36"/>
      <c r="N6490" s="36"/>
      <c r="O6490" s="36"/>
      <c r="P6490" s="36"/>
      <c r="Q6490" s="36"/>
      <c r="R6490" s="36"/>
      <c r="S6490" s="36"/>
      <c r="T6490" s="36"/>
      <c r="U6490" s="36"/>
      <c r="V6490" s="36"/>
      <c r="W6490" s="15">
        <f t="shared" si="1181"/>
        <v>0</v>
      </c>
      <c r="X6490" s="36"/>
      <c r="Y6490" s="36"/>
      <c r="Z6490" s="36"/>
      <c r="AA6490" s="36"/>
      <c r="AB6490" s="36"/>
      <c r="AC6490" s="36"/>
      <c r="AD6490" s="36"/>
      <c r="AE6490" s="36"/>
      <c r="AF6490" s="36"/>
      <c r="AG6490" s="36"/>
      <c r="AH6490" s="36"/>
      <c r="AI6490" s="36"/>
      <c r="AJ6490" s="15">
        <f t="shared" si="1182"/>
        <v>0</v>
      </c>
      <c r="AK6490" s="14"/>
      <c r="AL6490" s="14"/>
      <c r="AM6490" s="14"/>
      <c r="AN6490" s="14"/>
      <c r="AO6490" s="14">
        <v>400</v>
      </c>
      <c r="AP6490" s="14"/>
      <c r="AQ6490" s="14"/>
      <c r="AR6490" s="14"/>
      <c r="AS6490" s="14"/>
      <c r="AT6490" s="14"/>
      <c r="AU6490" s="14"/>
      <c r="AV6490" s="14"/>
      <c r="AW6490" s="15">
        <f t="shared" si="1183"/>
        <v>400</v>
      </c>
      <c r="AX6490" s="16"/>
    </row>
    <row r="6491" spans="2:50" x14ac:dyDescent="0.2">
      <c r="B6491" s="7"/>
      <c r="C6491" s="8">
        <v>16591</v>
      </c>
      <c r="D6491" s="9" t="s">
        <v>520</v>
      </c>
      <c r="E6491" s="10" t="str">
        <f t="shared" si="1178"/>
        <v>Rancho Landero No. 38</v>
      </c>
      <c r="F6491" s="10" t="str">
        <f t="shared" si="1179"/>
        <v>Sánchez Peña</v>
      </c>
      <c r="G6491" s="8">
        <v>4</v>
      </c>
      <c r="H6491" s="11">
        <v>200</v>
      </c>
      <c r="I6491" s="12">
        <v>43247</v>
      </c>
      <c r="J6491" s="35">
        <f t="shared" si="1180"/>
        <v>0</v>
      </c>
      <c r="K6491" s="36"/>
      <c r="L6491" s="36"/>
      <c r="M6491" s="36"/>
      <c r="N6491" s="36"/>
      <c r="O6491" s="36"/>
      <c r="P6491" s="36"/>
      <c r="Q6491" s="36"/>
      <c r="R6491" s="36"/>
      <c r="S6491" s="36"/>
      <c r="T6491" s="36"/>
      <c r="U6491" s="36"/>
      <c r="V6491" s="36"/>
      <c r="W6491" s="15">
        <f t="shared" si="1181"/>
        <v>0</v>
      </c>
      <c r="X6491" s="36"/>
      <c r="Y6491" s="36"/>
      <c r="Z6491" s="36"/>
      <c r="AA6491" s="36"/>
      <c r="AB6491" s="36"/>
      <c r="AC6491" s="36"/>
      <c r="AD6491" s="36"/>
      <c r="AE6491" s="36"/>
      <c r="AF6491" s="36"/>
      <c r="AG6491" s="36"/>
      <c r="AH6491" s="36"/>
      <c r="AI6491" s="36"/>
      <c r="AJ6491" s="15">
        <f t="shared" si="1182"/>
        <v>0</v>
      </c>
      <c r="AK6491" s="14"/>
      <c r="AL6491" s="14"/>
      <c r="AM6491" s="14"/>
      <c r="AN6491" s="14"/>
      <c r="AO6491" s="14"/>
      <c r="AP6491" s="14"/>
      <c r="AQ6491" s="14"/>
      <c r="AR6491" s="14"/>
      <c r="AS6491" s="14"/>
      <c r="AT6491" s="14"/>
      <c r="AU6491" s="14"/>
      <c r="AV6491" s="14"/>
      <c r="AW6491" s="15">
        <f t="shared" si="1183"/>
        <v>0</v>
      </c>
      <c r="AX6491" s="16" t="s">
        <v>5261</v>
      </c>
    </row>
    <row r="6492" spans="2:50" x14ac:dyDescent="0.2">
      <c r="B6492" s="7"/>
      <c r="C6492" s="8">
        <v>16592</v>
      </c>
      <c r="D6492" s="9" t="s">
        <v>1032</v>
      </c>
      <c r="E6492" s="10" t="str">
        <f t="shared" si="1178"/>
        <v>Rancho Estanzuela No. 157, 1</v>
      </c>
      <c r="F6492" s="10" t="str">
        <f t="shared" si="1179"/>
        <v>Anzures</v>
      </c>
      <c r="G6492" s="8">
        <v>1</v>
      </c>
      <c r="H6492" s="11">
        <v>450</v>
      </c>
      <c r="I6492" s="12">
        <v>43247</v>
      </c>
      <c r="J6492" s="35">
        <f t="shared" si="1180"/>
        <v>0</v>
      </c>
      <c r="K6492" s="36"/>
      <c r="L6492" s="36"/>
      <c r="M6492" s="36"/>
      <c r="N6492" s="36"/>
      <c r="O6492" s="36"/>
      <c r="P6492" s="36"/>
      <c r="Q6492" s="36"/>
      <c r="R6492" s="36"/>
      <c r="S6492" s="36"/>
      <c r="T6492" s="36"/>
      <c r="U6492" s="36"/>
      <c r="V6492" s="36"/>
      <c r="W6492" s="15">
        <f t="shared" si="1181"/>
        <v>0</v>
      </c>
      <c r="X6492" s="36"/>
      <c r="Y6492" s="36"/>
      <c r="Z6492" s="36"/>
      <c r="AA6492" s="36"/>
      <c r="AB6492" s="36"/>
      <c r="AC6492" s="36"/>
      <c r="AD6492" s="36"/>
      <c r="AE6492" s="36"/>
      <c r="AF6492" s="36"/>
      <c r="AG6492" s="36"/>
      <c r="AH6492" s="36"/>
      <c r="AI6492" s="36"/>
      <c r="AJ6492" s="15">
        <f t="shared" si="1182"/>
        <v>0</v>
      </c>
      <c r="AK6492" s="14">
        <v>150</v>
      </c>
      <c r="AL6492" s="14">
        <v>150</v>
      </c>
      <c r="AM6492" s="14">
        <v>150</v>
      </c>
      <c r="AN6492" s="14"/>
      <c r="AO6492" s="14"/>
      <c r="AP6492" s="14"/>
      <c r="AQ6492" s="14"/>
      <c r="AR6492" s="14"/>
      <c r="AS6492" s="14"/>
      <c r="AT6492" s="14"/>
      <c r="AU6492" s="14"/>
      <c r="AV6492" s="14"/>
      <c r="AW6492" s="15">
        <f t="shared" si="1183"/>
        <v>450</v>
      </c>
      <c r="AX6492" s="16"/>
    </row>
    <row r="6493" spans="2:50" x14ac:dyDescent="0.2">
      <c r="B6493" s="7"/>
      <c r="C6493" s="8">
        <v>16592</v>
      </c>
      <c r="D6493" s="9" t="s">
        <v>926</v>
      </c>
      <c r="E6493" s="10" t="str">
        <f t="shared" si="1178"/>
        <v>Rancho Estanzuela No. 157, 2</v>
      </c>
      <c r="F6493" s="10" t="str">
        <f t="shared" si="1179"/>
        <v>Arias</v>
      </c>
      <c r="G6493" s="8">
        <v>1</v>
      </c>
      <c r="H6493" s="11">
        <v>450</v>
      </c>
      <c r="I6493" s="12">
        <v>43247</v>
      </c>
      <c r="J6493" s="35">
        <f t="shared" si="1180"/>
        <v>0</v>
      </c>
      <c r="K6493" s="36"/>
      <c r="L6493" s="36"/>
      <c r="M6493" s="36"/>
      <c r="N6493" s="36"/>
      <c r="O6493" s="36"/>
      <c r="P6493" s="36"/>
      <c r="Q6493" s="36"/>
      <c r="R6493" s="36"/>
      <c r="S6493" s="36"/>
      <c r="T6493" s="36"/>
      <c r="U6493" s="36"/>
      <c r="V6493" s="36"/>
      <c r="W6493" s="15">
        <f t="shared" si="1181"/>
        <v>0</v>
      </c>
      <c r="X6493" s="36"/>
      <c r="Y6493" s="36"/>
      <c r="Z6493" s="36"/>
      <c r="AA6493" s="36"/>
      <c r="AB6493" s="36"/>
      <c r="AC6493" s="36"/>
      <c r="AD6493" s="36"/>
      <c r="AE6493" s="36"/>
      <c r="AF6493" s="36"/>
      <c r="AG6493" s="36"/>
      <c r="AH6493" s="36"/>
      <c r="AI6493" s="36"/>
      <c r="AJ6493" s="15">
        <f t="shared" si="1182"/>
        <v>0</v>
      </c>
      <c r="AK6493" s="14">
        <v>150</v>
      </c>
      <c r="AL6493" s="14">
        <v>150</v>
      </c>
      <c r="AM6493" s="14">
        <v>150</v>
      </c>
      <c r="AN6493" s="14"/>
      <c r="AO6493" s="14"/>
      <c r="AP6493" s="14"/>
      <c r="AQ6493" s="14"/>
      <c r="AR6493" s="14"/>
      <c r="AS6493" s="14"/>
      <c r="AT6493" s="14"/>
      <c r="AU6493" s="14"/>
      <c r="AV6493" s="14"/>
      <c r="AW6493" s="15">
        <f t="shared" si="1183"/>
        <v>450</v>
      </c>
      <c r="AX6493" s="16"/>
    </row>
    <row r="6494" spans="2:50" x14ac:dyDescent="0.2">
      <c r="B6494" s="7"/>
      <c r="C6494" s="8">
        <v>16592</v>
      </c>
      <c r="D6494" s="9" t="s">
        <v>929</v>
      </c>
      <c r="E6494" s="10" t="str">
        <f t="shared" si="1178"/>
        <v>Rancho Estanzuela No. 157, 3</v>
      </c>
      <c r="F6494" s="10" t="str">
        <f t="shared" si="1179"/>
        <v>Valdez</v>
      </c>
      <c r="G6494" s="8">
        <v>1</v>
      </c>
      <c r="H6494" s="11">
        <v>450</v>
      </c>
      <c r="I6494" s="12">
        <v>43247</v>
      </c>
      <c r="J6494" s="35">
        <f t="shared" si="1180"/>
        <v>0</v>
      </c>
      <c r="K6494" s="36"/>
      <c r="L6494" s="36"/>
      <c r="M6494" s="36"/>
      <c r="N6494" s="36"/>
      <c r="O6494" s="36"/>
      <c r="P6494" s="36"/>
      <c r="Q6494" s="36"/>
      <c r="R6494" s="36"/>
      <c r="S6494" s="36"/>
      <c r="T6494" s="36"/>
      <c r="U6494" s="36"/>
      <c r="V6494" s="36"/>
      <c r="W6494" s="15">
        <f t="shared" si="1181"/>
        <v>0</v>
      </c>
      <c r="X6494" s="36"/>
      <c r="Y6494" s="36"/>
      <c r="Z6494" s="36"/>
      <c r="AA6494" s="36"/>
      <c r="AB6494" s="36"/>
      <c r="AC6494" s="36"/>
      <c r="AD6494" s="36"/>
      <c r="AE6494" s="36"/>
      <c r="AF6494" s="36"/>
      <c r="AG6494" s="36"/>
      <c r="AH6494" s="36"/>
      <c r="AI6494" s="36"/>
      <c r="AJ6494" s="15">
        <f t="shared" si="1182"/>
        <v>0</v>
      </c>
      <c r="AK6494" s="14">
        <v>150</v>
      </c>
      <c r="AL6494" s="14">
        <v>150</v>
      </c>
      <c r="AM6494" s="14">
        <v>150</v>
      </c>
      <c r="AN6494" s="14"/>
      <c r="AO6494" s="14"/>
      <c r="AP6494" s="14"/>
      <c r="AQ6494" s="14"/>
      <c r="AR6494" s="14"/>
      <c r="AS6494" s="14"/>
      <c r="AT6494" s="14"/>
      <c r="AU6494" s="14"/>
      <c r="AV6494" s="14"/>
      <c r="AW6494" s="15">
        <f t="shared" si="1183"/>
        <v>450</v>
      </c>
      <c r="AX6494" s="16"/>
    </row>
    <row r="6495" spans="2:50" x14ac:dyDescent="0.2">
      <c r="B6495" s="7"/>
      <c r="C6495" s="8">
        <v>16593</v>
      </c>
      <c r="D6495" s="9" t="s">
        <v>678</v>
      </c>
      <c r="E6495" s="10" t="str">
        <f t="shared" si="1178"/>
        <v>Rancho Upácuaro No. 76</v>
      </c>
      <c r="F6495" s="10" t="str">
        <f t="shared" si="1179"/>
        <v>Ruiz de San Pedro</v>
      </c>
      <c r="G6495" s="8">
        <v>1</v>
      </c>
      <c r="H6495" s="11">
        <v>400</v>
      </c>
      <c r="I6495" s="12">
        <v>43247</v>
      </c>
      <c r="J6495" s="35">
        <f t="shared" si="1180"/>
        <v>0</v>
      </c>
      <c r="K6495" s="36"/>
      <c r="L6495" s="36"/>
      <c r="M6495" s="36"/>
      <c r="N6495" s="36"/>
      <c r="O6495" s="36"/>
      <c r="P6495" s="36"/>
      <c r="Q6495" s="36"/>
      <c r="R6495" s="36"/>
      <c r="S6495" s="36"/>
      <c r="T6495" s="36"/>
      <c r="U6495" s="36"/>
      <c r="V6495" s="36"/>
      <c r="W6495" s="15">
        <f t="shared" si="1181"/>
        <v>0</v>
      </c>
      <c r="X6495" s="36"/>
      <c r="Y6495" s="36"/>
      <c r="Z6495" s="36"/>
      <c r="AA6495" s="36"/>
      <c r="AB6495" s="36"/>
      <c r="AC6495" s="36"/>
      <c r="AD6495" s="36"/>
      <c r="AE6495" s="36"/>
      <c r="AF6495" s="36"/>
      <c r="AG6495" s="36"/>
      <c r="AH6495" s="36"/>
      <c r="AI6495" s="36"/>
      <c r="AJ6495" s="15">
        <f t="shared" si="1182"/>
        <v>0</v>
      </c>
      <c r="AK6495" s="14"/>
      <c r="AL6495" s="14"/>
      <c r="AM6495" s="14"/>
      <c r="AN6495" s="14"/>
      <c r="AO6495" s="14"/>
      <c r="AP6495" s="14">
        <v>400</v>
      </c>
      <c r="AQ6495" s="14"/>
      <c r="AR6495" s="14"/>
      <c r="AS6495" s="14"/>
      <c r="AT6495" s="14"/>
      <c r="AU6495" s="14"/>
      <c r="AV6495" s="14"/>
      <c r="AW6495" s="15">
        <f t="shared" si="1183"/>
        <v>400</v>
      </c>
      <c r="AX6495" s="16"/>
    </row>
    <row r="6496" spans="2:50" x14ac:dyDescent="0.2">
      <c r="B6496" s="7"/>
      <c r="C6496" s="8">
        <v>16594</v>
      </c>
      <c r="D6496" s="9" t="s">
        <v>271</v>
      </c>
      <c r="E6496" s="10" t="str">
        <f t="shared" si="1178"/>
        <v>Rancho Landero No. 76</v>
      </c>
      <c r="F6496" s="10" t="str">
        <f t="shared" si="1179"/>
        <v>Ugarte</v>
      </c>
      <c r="G6496" s="8">
        <v>1</v>
      </c>
      <c r="H6496" s="11">
        <v>400</v>
      </c>
      <c r="I6496" s="12">
        <v>43247</v>
      </c>
      <c r="J6496" s="35">
        <f t="shared" si="1180"/>
        <v>0</v>
      </c>
      <c r="K6496" s="36"/>
      <c r="L6496" s="36"/>
      <c r="M6496" s="36"/>
      <c r="N6496" s="36"/>
      <c r="O6496" s="36"/>
      <c r="P6496" s="36"/>
      <c r="Q6496" s="36"/>
      <c r="R6496" s="36"/>
      <c r="S6496" s="36"/>
      <c r="T6496" s="36"/>
      <c r="U6496" s="36"/>
      <c r="V6496" s="36"/>
      <c r="W6496" s="15">
        <f t="shared" si="1181"/>
        <v>0</v>
      </c>
      <c r="X6496" s="36"/>
      <c r="Y6496" s="36"/>
      <c r="Z6496" s="36"/>
      <c r="AA6496" s="36"/>
      <c r="AB6496" s="36"/>
      <c r="AC6496" s="36"/>
      <c r="AD6496" s="36"/>
      <c r="AE6496" s="36"/>
      <c r="AF6496" s="36"/>
      <c r="AG6496" s="36"/>
      <c r="AH6496" s="36"/>
      <c r="AI6496" s="36"/>
      <c r="AJ6496" s="15">
        <f t="shared" si="1182"/>
        <v>0</v>
      </c>
      <c r="AK6496" s="14"/>
      <c r="AL6496" s="14"/>
      <c r="AM6496" s="14"/>
      <c r="AN6496" s="14"/>
      <c r="AO6496" s="14"/>
      <c r="AP6496" s="14">
        <v>400</v>
      </c>
      <c r="AQ6496" s="14"/>
      <c r="AR6496" s="14"/>
      <c r="AS6496" s="14"/>
      <c r="AT6496" s="14"/>
      <c r="AU6496" s="14"/>
      <c r="AV6496" s="14"/>
      <c r="AW6496" s="15">
        <f t="shared" si="1183"/>
        <v>400</v>
      </c>
      <c r="AX6496" s="16"/>
    </row>
    <row r="6497" spans="2:50" x14ac:dyDescent="0.2">
      <c r="B6497" s="7"/>
      <c r="C6497" s="8">
        <v>16595</v>
      </c>
      <c r="D6497" s="9" t="s">
        <v>416</v>
      </c>
      <c r="E6497" s="10" t="str">
        <f t="shared" si="1178"/>
        <v>Rancho La Cuchilla No. 112, PB</v>
      </c>
      <c r="F6497" s="10" t="str">
        <f t="shared" si="1179"/>
        <v>Soreque</v>
      </c>
      <c r="G6497" s="8">
        <v>1</v>
      </c>
      <c r="H6497" s="11">
        <v>200</v>
      </c>
      <c r="I6497" s="12">
        <v>43247</v>
      </c>
      <c r="J6497" s="35">
        <f t="shared" si="1180"/>
        <v>0</v>
      </c>
      <c r="K6497" s="36"/>
      <c r="L6497" s="36"/>
      <c r="M6497" s="36"/>
      <c r="N6497" s="36"/>
      <c r="O6497" s="36"/>
      <c r="P6497" s="36"/>
      <c r="Q6497" s="36"/>
      <c r="R6497" s="36"/>
      <c r="S6497" s="36"/>
      <c r="T6497" s="36"/>
      <c r="U6497" s="36"/>
      <c r="V6497" s="36"/>
      <c r="W6497" s="15">
        <f t="shared" si="1181"/>
        <v>0</v>
      </c>
      <c r="X6497" s="36"/>
      <c r="Y6497" s="36"/>
      <c r="Z6497" s="36"/>
      <c r="AA6497" s="36"/>
      <c r="AB6497" s="36"/>
      <c r="AC6497" s="36"/>
      <c r="AD6497" s="36"/>
      <c r="AE6497" s="36"/>
      <c r="AF6497" s="36"/>
      <c r="AG6497" s="36"/>
      <c r="AH6497" s="36"/>
      <c r="AI6497" s="36"/>
      <c r="AJ6497" s="15">
        <f t="shared" si="1182"/>
        <v>0</v>
      </c>
      <c r="AK6497" s="14"/>
      <c r="AL6497" s="14"/>
      <c r="AM6497" s="14"/>
      <c r="AN6497" s="14"/>
      <c r="AO6497" s="14"/>
      <c r="AP6497" s="14">
        <v>200</v>
      </c>
      <c r="AQ6497" s="14"/>
      <c r="AR6497" s="14"/>
      <c r="AS6497" s="14"/>
      <c r="AT6497" s="14"/>
      <c r="AU6497" s="14"/>
      <c r="AV6497" s="14"/>
      <c r="AW6497" s="15">
        <f t="shared" si="1183"/>
        <v>200</v>
      </c>
      <c r="AX6497" s="16"/>
    </row>
    <row r="6498" spans="2:50" x14ac:dyDescent="0.2">
      <c r="B6498" s="7"/>
      <c r="C6498" s="8">
        <v>16596</v>
      </c>
      <c r="D6498" s="9" t="s">
        <v>893</v>
      </c>
      <c r="E6498" s="10" t="str">
        <f t="shared" si="1178"/>
        <v>Rancho Upácuaro No. 136</v>
      </c>
      <c r="F6498" s="10" t="str">
        <f t="shared" si="1179"/>
        <v>López Lena</v>
      </c>
      <c r="G6498" s="8">
        <v>1</v>
      </c>
      <c r="H6498" s="11">
        <v>600</v>
      </c>
      <c r="I6498" s="12">
        <v>43247</v>
      </c>
      <c r="J6498" s="35">
        <f t="shared" si="1180"/>
        <v>0</v>
      </c>
      <c r="K6498" s="36"/>
      <c r="L6498" s="36"/>
      <c r="M6498" s="36"/>
      <c r="N6498" s="36"/>
      <c r="O6498" s="36"/>
      <c r="P6498" s="36"/>
      <c r="Q6498" s="36"/>
      <c r="R6498" s="36"/>
      <c r="S6498" s="36"/>
      <c r="T6498" s="36"/>
      <c r="U6498" s="36"/>
      <c r="V6498" s="36"/>
      <c r="W6498" s="15">
        <f t="shared" si="1181"/>
        <v>0</v>
      </c>
      <c r="X6498" s="36"/>
      <c r="Y6498" s="36"/>
      <c r="Z6498" s="36"/>
      <c r="AA6498" s="36"/>
      <c r="AB6498" s="36"/>
      <c r="AC6498" s="36"/>
      <c r="AD6498" s="36"/>
      <c r="AE6498" s="36"/>
      <c r="AF6498" s="36"/>
      <c r="AG6498" s="36"/>
      <c r="AH6498" s="36"/>
      <c r="AI6498" s="36"/>
      <c r="AJ6498" s="15">
        <f t="shared" si="1182"/>
        <v>0</v>
      </c>
      <c r="AK6498" s="14"/>
      <c r="AL6498" s="14"/>
      <c r="AM6498" s="14">
        <v>300</v>
      </c>
      <c r="AN6498" s="14">
        <v>300</v>
      </c>
      <c r="AO6498" s="14"/>
      <c r="AP6498" s="14"/>
      <c r="AQ6498" s="14"/>
      <c r="AR6498" s="14"/>
      <c r="AS6498" s="14"/>
      <c r="AT6498" s="14"/>
      <c r="AU6498" s="14"/>
      <c r="AV6498" s="14"/>
      <c r="AW6498" s="15">
        <f t="shared" si="1183"/>
        <v>600</v>
      </c>
      <c r="AX6498" s="16"/>
    </row>
    <row r="6499" spans="2:50" x14ac:dyDescent="0.2">
      <c r="B6499" s="7"/>
      <c r="C6499" s="8">
        <v>16597</v>
      </c>
      <c r="D6499" s="9" t="s">
        <v>310</v>
      </c>
      <c r="E6499" s="10" t="str">
        <f t="shared" si="1178"/>
        <v>Rancho Recoveco No. 181</v>
      </c>
      <c r="F6499" s="10" t="str">
        <f t="shared" si="1179"/>
        <v>Castillo</v>
      </c>
      <c r="G6499" s="8">
        <v>1</v>
      </c>
      <c r="H6499" s="11">
        <v>400</v>
      </c>
      <c r="I6499" s="12">
        <v>43247</v>
      </c>
      <c r="J6499" s="35">
        <f t="shared" si="1180"/>
        <v>0</v>
      </c>
      <c r="K6499" s="36"/>
      <c r="L6499" s="36"/>
      <c r="M6499" s="36"/>
      <c r="N6499" s="36"/>
      <c r="O6499" s="36"/>
      <c r="P6499" s="36"/>
      <c r="Q6499" s="36"/>
      <c r="R6499" s="36"/>
      <c r="S6499" s="36"/>
      <c r="T6499" s="36"/>
      <c r="U6499" s="36"/>
      <c r="V6499" s="36"/>
      <c r="W6499" s="15">
        <f t="shared" si="1181"/>
        <v>0</v>
      </c>
      <c r="X6499" s="36"/>
      <c r="Y6499" s="36"/>
      <c r="Z6499" s="36"/>
      <c r="AA6499" s="36"/>
      <c r="AB6499" s="36"/>
      <c r="AC6499" s="36"/>
      <c r="AD6499" s="36"/>
      <c r="AE6499" s="36"/>
      <c r="AF6499" s="36"/>
      <c r="AG6499" s="36"/>
      <c r="AH6499" s="36"/>
      <c r="AI6499" s="36"/>
      <c r="AJ6499" s="15">
        <f t="shared" si="1182"/>
        <v>0</v>
      </c>
      <c r="AK6499" s="14"/>
      <c r="AL6499" s="14"/>
      <c r="AM6499" s="14"/>
      <c r="AN6499" s="14"/>
      <c r="AO6499" s="14">
        <v>400</v>
      </c>
      <c r="AP6499" s="14"/>
      <c r="AQ6499" s="14"/>
      <c r="AR6499" s="14"/>
      <c r="AS6499" s="14"/>
      <c r="AT6499" s="14"/>
      <c r="AU6499" s="14"/>
      <c r="AV6499" s="14"/>
      <c r="AW6499" s="15">
        <f t="shared" si="1183"/>
        <v>400</v>
      </c>
      <c r="AX6499" s="16"/>
    </row>
    <row r="6500" spans="2:50" x14ac:dyDescent="0.2">
      <c r="B6500" s="7"/>
      <c r="C6500" s="8">
        <v>16598</v>
      </c>
      <c r="D6500" s="9" t="s">
        <v>431</v>
      </c>
      <c r="E6500" s="10" t="str">
        <f t="shared" si="1178"/>
        <v>Rancho Landero No. 63</v>
      </c>
      <c r="F6500" s="10" t="str">
        <f t="shared" si="1179"/>
        <v>Hernández Chávez</v>
      </c>
      <c r="G6500" s="8">
        <v>1</v>
      </c>
      <c r="H6500" s="11">
        <v>400</v>
      </c>
      <c r="I6500" s="12">
        <v>43247</v>
      </c>
      <c r="J6500" s="35">
        <f t="shared" si="1180"/>
        <v>0</v>
      </c>
      <c r="K6500" s="36"/>
      <c r="L6500" s="36"/>
      <c r="M6500" s="36"/>
      <c r="N6500" s="36"/>
      <c r="O6500" s="36"/>
      <c r="P6500" s="36"/>
      <c r="Q6500" s="36"/>
      <c r="R6500" s="36"/>
      <c r="S6500" s="36"/>
      <c r="T6500" s="36"/>
      <c r="U6500" s="36"/>
      <c r="V6500" s="36"/>
      <c r="W6500" s="15">
        <f t="shared" si="1181"/>
        <v>0</v>
      </c>
      <c r="X6500" s="36"/>
      <c r="Y6500" s="36"/>
      <c r="Z6500" s="36"/>
      <c r="AA6500" s="36"/>
      <c r="AB6500" s="36"/>
      <c r="AC6500" s="36"/>
      <c r="AD6500" s="36"/>
      <c r="AE6500" s="36"/>
      <c r="AF6500" s="36"/>
      <c r="AG6500" s="36"/>
      <c r="AH6500" s="36"/>
      <c r="AI6500" s="36"/>
      <c r="AJ6500" s="15">
        <f t="shared" si="1182"/>
        <v>0</v>
      </c>
      <c r="AK6500" s="14"/>
      <c r="AL6500" s="14"/>
      <c r="AM6500" s="14"/>
      <c r="AN6500" s="14">
        <v>400</v>
      </c>
      <c r="AO6500" s="14"/>
      <c r="AP6500" s="14"/>
      <c r="AQ6500" s="14"/>
      <c r="AR6500" s="14"/>
      <c r="AS6500" s="14"/>
      <c r="AT6500" s="14"/>
      <c r="AU6500" s="14"/>
      <c r="AV6500" s="14"/>
      <c r="AW6500" s="15">
        <f t="shared" si="1183"/>
        <v>400</v>
      </c>
      <c r="AX6500" s="16"/>
    </row>
    <row r="6501" spans="2:50" x14ac:dyDescent="0.2">
      <c r="B6501" s="7"/>
      <c r="C6501" s="8">
        <v>16599</v>
      </c>
      <c r="D6501" s="9" t="s">
        <v>617</v>
      </c>
      <c r="E6501" s="10" t="str">
        <f t="shared" si="1178"/>
        <v>Rancho Zinamba No. 50</v>
      </c>
      <c r="F6501" s="10" t="str">
        <f t="shared" si="1179"/>
        <v>Del Castillo</v>
      </c>
      <c r="G6501" s="8">
        <v>1</v>
      </c>
      <c r="H6501" s="11">
        <v>400</v>
      </c>
      <c r="I6501" s="12">
        <v>43247</v>
      </c>
      <c r="J6501" s="35">
        <f t="shared" si="1180"/>
        <v>0</v>
      </c>
      <c r="K6501" s="36"/>
      <c r="L6501" s="36"/>
      <c r="M6501" s="36"/>
      <c r="N6501" s="36"/>
      <c r="O6501" s="36"/>
      <c r="P6501" s="36"/>
      <c r="Q6501" s="36"/>
      <c r="R6501" s="36"/>
      <c r="S6501" s="36"/>
      <c r="T6501" s="36"/>
      <c r="U6501" s="36"/>
      <c r="V6501" s="36"/>
      <c r="W6501" s="15">
        <f t="shared" si="1181"/>
        <v>0</v>
      </c>
      <c r="X6501" s="36"/>
      <c r="Y6501" s="36"/>
      <c r="Z6501" s="36"/>
      <c r="AA6501" s="36"/>
      <c r="AB6501" s="36"/>
      <c r="AC6501" s="36"/>
      <c r="AD6501" s="36"/>
      <c r="AE6501" s="36"/>
      <c r="AF6501" s="36"/>
      <c r="AG6501" s="36"/>
      <c r="AH6501" s="36"/>
      <c r="AI6501" s="36"/>
      <c r="AJ6501" s="15">
        <f t="shared" si="1182"/>
        <v>0</v>
      </c>
      <c r="AK6501" s="14"/>
      <c r="AL6501" s="14"/>
      <c r="AM6501" s="14"/>
      <c r="AN6501" s="14">
        <v>400</v>
      </c>
      <c r="AO6501" s="14"/>
      <c r="AP6501" s="14"/>
      <c r="AQ6501" s="14"/>
      <c r="AR6501" s="14"/>
      <c r="AS6501" s="14"/>
      <c r="AT6501" s="14"/>
      <c r="AU6501" s="14"/>
      <c r="AV6501" s="14"/>
      <c r="AW6501" s="15">
        <f t="shared" si="1183"/>
        <v>400</v>
      </c>
      <c r="AX6501" s="16"/>
    </row>
    <row r="6502" spans="2:50" x14ac:dyDescent="0.2">
      <c r="B6502" s="7"/>
      <c r="C6502" s="8">
        <v>16600</v>
      </c>
      <c r="D6502" s="9" t="s">
        <v>922</v>
      </c>
      <c r="E6502" s="10" t="str">
        <f t="shared" si="1178"/>
        <v>Rancho Estanzuela No. 75</v>
      </c>
      <c r="F6502" s="10" t="str">
        <f t="shared" si="1179"/>
        <v>Candela Pons</v>
      </c>
      <c r="G6502" s="8">
        <v>1</v>
      </c>
      <c r="H6502" s="11">
        <v>500</v>
      </c>
      <c r="I6502" s="12">
        <v>43247</v>
      </c>
      <c r="J6502" s="35">
        <f t="shared" si="1180"/>
        <v>0</v>
      </c>
      <c r="K6502" s="36"/>
      <c r="L6502" s="36"/>
      <c r="M6502" s="36"/>
      <c r="N6502" s="36"/>
      <c r="O6502" s="36"/>
      <c r="P6502" s="36"/>
      <c r="Q6502" s="36"/>
      <c r="R6502" s="36"/>
      <c r="S6502" s="36"/>
      <c r="T6502" s="36"/>
      <c r="U6502" s="36"/>
      <c r="V6502" s="36"/>
      <c r="W6502" s="15">
        <f t="shared" si="1181"/>
        <v>0</v>
      </c>
      <c r="X6502" s="36"/>
      <c r="Y6502" s="36"/>
      <c r="Z6502" s="36"/>
      <c r="AA6502" s="36"/>
      <c r="AB6502" s="36"/>
      <c r="AC6502" s="36"/>
      <c r="AD6502" s="36"/>
      <c r="AE6502" s="36"/>
      <c r="AF6502" s="36"/>
      <c r="AG6502" s="36"/>
      <c r="AH6502" s="36"/>
      <c r="AI6502" s="36"/>
      <c r="AJ6502" s="15">
        <f t="shared" si="1182"/>
        <v>0</v>
      </c>
      <c r="AK6502" s="14"/>
      <c r="AL6502" s="14"/>
      <c r="AM6502" s="14"/>
      <c r="AN6502" s="14"/>
      <c r="AO6502" s="14">
        <v>250</v>
      </c>
      <c r="AP6502" s="14">
        <v>250</v>
      </c>
      <c r="AQ6502" s="14"/>
      <c r="AR6502" s="14"/>
      <c r="AS6502" s="14"/>
      <c r="AT6502" s="14"/>
      <c r="AU6502" s="14"/>
      <c r="AV6502" s="14"/>
      <c r="AW6502" s="15">
        <f t="shared" si="1183"/>
        <v>500</v>
      </c>
      <c r="AX6502" s="16"/>
    </row>
    <row r="6503" spans="2:50" x14ac:dyDescent="0.2">
      <c r="B6503" s="7"/>
      <c r="C6503" s="8">
        <v>16601</v>
      </c>
      <c r="D6503" s="9" t="s">
        <v>87</v>
      </c>
      <c r="E6503" s="10" t="str">
        <f t="shared" si="1178"/>
        <v>Rancho Zinamba No. 36</v>
      </c>
      <c r="F6503" s="10" t="str">
        <f t="shared" si="1179"/>
        <v>Rodríguez Ortiz</v>
      </c>
      <c r="G6503" s="8">
        <v>1</v>
      </c>
      <c r="H6503" s="11">
        <v>400</v>
      </c>
      <c r="I6503" s="12">
        <v>43247</v>
      </c>
      <c r="J6503" s="35">
        <f t="shared" si="1180"/>
        <v>0</v>
      </c>
      <c r="K6503" s="36"/>
      <c r="L6503" s="36"/>
      <c r="M6503" s="36"/>
      <c r="N6503" s="36"/>
      <c r="O6503" s="36"/>
      <c r="P6503" s="36"/>
      <c r="Q6503" s="36"/>
      <c r="R6503" s="36"/>
      <c r="S6503" s="36"/>
      <c r="T6503" s="36"/>
      <c r="U6503" s="36"/>
      <c r="V6503" s="36"/>
      <c r="W6503" s="15">
        <f t="shared" si="1181"/>
        <v>0</v>
      </c>
      <c r="X6503" s="36"/>
      <c r="Y6503" s="36"/>
      <c r="Z6503" s="36"/>
      <c r="AA6503" s="36"/>
      <c r="AB6503" s="36"/>
      <c r="AC6503" s="36"/>
      <c r="AD6503" s="36"/>
      <c r="AE6503" s="36"/>
      <c r="AF6503" s="36"/>
      <c r="AG6503" s="36"/>
      <c r="AH6503" s="36"/>
      <c r="AI6503" s="36"/>
      <c r="AJ6503" s="15">
        <f t="shared" si="1182"/>
        <v>0</v>
      </c>
      <c r="AK6503" s="14"/>
      <c r="AL6503" s="14"/>
      <c r="AM6503" s="14"/>
      <c r="AN6503" s="14"/>
      <c r="AO6503" s="14"/>
      <c r="AP6503" s="14">
        <v>400</v>
      </c>
      <c r="AQ6503" s="14"/>
      <c r="AR6503" s="14"/>
      <c r="AS6503" s="14"/>
      <c r="AT6503" s="14"/>
      <c r="AU6503" s="14"/>
      <c r="AV6503" s="14"/>
      <c r="AW6503" s="15">
        <f t="shared" si="1183"/>
        <v>400</v>
      </c>
      <c r="AX6503" s="16"/>
    </row>
    <row r="6504" spans="2:50" x14ac:dyDescent="0.2">
      <c r="B6504" s="7"/>
      <c r="C6504" s="8">
        <v>16602</v>
      </c>
      <c r="D6504" s="9" t="s">
        <v>295</v>
      </c>
      <c r="E6504" s="10" t="str">
        <f t="shared" ref="E6504:E6509" si="1184">IF(D6504=0,"",VLOOKUP(D6504,BASE,2,FALSE))</f>
        <v>Rancho Landero No. 99</v>
      </c>
      <c r="F6504" s="10" t="str">
        <f t="shared" ref="F6504:F6509" si="1185">IF(D6504=0,"",VLOOKUP(D6504,BASE,3,FALSE))</f>
        <v>Rangel</v>
      </c>
      <c r="G6504" s="8">
        <v>1</v>
      </c>
      <c r="H6504" s="11">
        <v>300</v>
      </c>
      <c r="I6504" s="12">
        <v>43247</v>
      </c>
      <c r="J6504" s="35">
        <f t="shared" ref="J6504:J6509" si="1186">IF(G6504=1,SUM(W6504,AJ6504,AW6504,-H6504),0)</f>
        <v>0</v>
      </c>
      <c r="K6504" s="36"/>
      <c r="L6504" s="36"/>
      <c r="M6504" s="36"/>
      <c r="N6504" s="36"/>
      <c r="O6504" s="36"/>
      <c r="P6504" s="36"/>
      <c r="Q6504" s="36"/>
      <c r="R6504" s="36"/>
      <c r="S6504" s="36"/>
      <c r="T6504" s="36"/>
      <c r="U6504" s="36"/>
      <c r="V6504" s="36"/>
      <c r="W6504" s="15">
        <f t="shared" ref="W6504:W6509" si="1187">SUM(K6504:V6504)</f>
        <v>0</v>
      </c>
      <c r="X6504" s="36"/>
      <c r="Y6504" s="36"/>
      <c r="Z6504" s="36"/>
      <c r="AA6504" s="36"/>
      <c r="AB6504" s="36"/>
      <c r="AC6504" s="36"/>
      <c r="AD6504" s="36"/>
      <c r="AE6504" s="36"/>
      <c r="AF6504" s="36"/>
      <c r="AG6504" s="36"/>
      <c r="AH6504" s="36"/>
      <c r="AI6504" s="36"/>
      <c r="AJ6504" s="15">
        <f t="shared" ref="AJ6504:AJ6509" si="1188">SUM(X6504:AI6504)</f>
        <v>0</v>
      </c>
      <c r="AK6504" s="14"/>
      <c r="AL6504" s="14"/>
      <c r="AM6504" s="14">
        <v>300</v>
      </c>
      <c r="AN6504" s="14"/>
      <c r="AO6504" s="14"/>
      <c r="AP6504" s="14"/>
      <c r="AQ6504" s="14"/>
      <c r="AR6504" s="14"/>
      <c r="AS6504" s="14"/>
      <c r="AT6504" s="14"/>
      <c r="AU6504" s="14"/>
      <c r="AV6504" s="14"/>
      <c r="AW6504" s="15">
        <f t="shared" ref="AW6504:AW6509" si="1189">SUM(AK6504:AV6504)</f>
        <v>300</v>
      </c>
      <c r="AX6504" s="16"/>
    </row>
    <row r="6505" spans="2:50" x14ac:dyDescent="0.2">
      <c r="B6505" s="7"/>
      <c r="C6505" s="8">
        <v>16603</v>
      </c>
      <c r="D6505" s="9" t="s">
        <v>355</v>
      </c>
      <c r="E6505" s="10" t="str">
        <f t="shared" si="1184"/>
        <v>Rancho Estanzuela No. 11, A</v>
      </c>
      <c r="F6505" s="10" t="str">
        <f t="shared" si="1185"/>
        <v>Evans González</v>
      </c>
      <c r="G6505" s="8">
        <v>1</v>
      </c>
      <c r="H6505" s="11">
        <v>300</v>
      </c>
      <c r="I6505" s="12">
        <v>43247</v>
      </c>
      <c r="J6505" s="35">
        <f t="shared" si="1186"/>
        <v>0</v>
      </c>
      <c r="K6505" s="36"/>
      <c r="L6505" s="36"/>
      <c r="M6505" s="36"/>
      <c r="N6505" s="36"/>
      <c r="O6505" s="36"/>
      <c r="P6505" s="36"/>
      <c r="Q6505" s="36"/>
      <c r="R6505" s="36"/>
      <c r="S6505" s="36"/>
      <c r="T6505" s="36"/>
      <c r="U6505" s="36"/>
      <c r="V6505" s="36"/>
      <c r="W6505" s="15">
        <f t="shared" si="1187"/>
        <v>0</v>
      </c>
      <c r="X6505" s="36"/>
      <c r="Y6505" s="36"/>
      <c r="Z6505" s="36"/>
      <c r="AA6505" s="36"/>
      <c r="AB6505" s="36"/>
      <c r="AC6505" s="36"/>
      <c r="AD6505" s="36"/>
      <c r="AE6505" s="36"/>
      <c r="AF6505" s="36"/>
      <c r="AG6505" s="36"/>
      <c r="AH6505" s="36"/>
      <c r="AI6505" s="36"/>
      <c r="AJ6505" s="15">
        <f t="shared" si="1188"/>
        <v>0</v>
      </c>
      <c r="AK6505" s="14"/>
      <c r="AL6505" s="14"/>
      <c r="AM6505" s="14"/>
      <c r="AN6505" s="14"/>
      <c r="AO6505" s="14"/>
      <c r="AP6505" s="14">
        <v>300</v>
      </c>
      <c r="AQ6505" s="14"/>
      <c r="AR6505" s="14"/>
      <c r="AS6505" s="14"/>
      <c r="AT6505" s="14"/>
      <c r="AU6505" s="14"/>
      <c r="AV6505" s="14"/>
      <c r="AW6505" s="15">
        <f t="shared" si="1189"/>
        <v>300</v>
      </c>
      <c r="AX6505" s="16"/>
    </row>
    <row r="6506" spans="2:50" x14ac:dyDescent="0.2">
      <c r="B6506" s="7"/>
      <c r="C6506" s="8">
        <v>16604</v>
      </c>
      <c r="D6506" s="9" t="s">
        <v>129</v>
      </c>
      <c r="E6506" s="10" t="str">
        <f t="shared" si="1184"/>
        <v>Rancho Zinamba No. 44</v>
      </c>
      <c r="F6506" s="10" t="str">
        <f t="shared" si="1185"/>
        <v>Canales</v>
      </c>
      <c r="G6506" s="8">
        <v>1</v>
      </c>
      <c r="H6506" s="11">
        <v>400</v>
      </c>
      <c r="I6506" s="12">
        <v>43247</v>
      </c>
      <c r="J6506" s="35">
        <f t="shared" si="1186"/>
        <v>0</v>
      </c>
      <c r="K6506" s="36"/>
      <c r="L6506" s="36"/>
      <c r="M6506" s="36"/>
      <c r="N6506" s="36"/>
      <c r="O6506" s="36"/>
      <c r="P6506" s="36"/>
      <c r="Q6506" s="36"/>
      <c r="R6506" s="36"/>
      <c r="S6506" s="36"/>
      <c r="T6506" s="36"/>
      <c r="U6506" s="36"/>
      <c r="V6506" s="36"/>
      <c r="W6506" s="15">
        <f t="shared" si="1187"/>
        <v>0</v>
      </c>
      <c r="X6506" s="36"/>
      <c r="Y6506" s="36"/>
      <c r="Z6506" s="36"/>
      <c r="AA6506" s="36"/>
      <c r="AB6506" s="36"/>
      <c r="AC6506" s="36"/>
      <c r="AD6506" s="36"/>
      <c r="AE6506" s="36"/>
      <c r="AF6506" s="36"/>
      <c r="AG6506" s="36"/>
      <c r="AH6506" s="36"/>
      <c r="AI6506" s="36"/>
      <c r="AJ6506" s="15">
        <f t="shared" si="1188"/>
        <v>0</v>
      </c>
      <c r="AK6506" s="14"/>
      <c r="AL6506" s="14"/>
      <c r="AM6506" s="14"/>
      <c r="AN6506" s="14"/>
      <c r="AO6506" s="14"/>
      <c r="AP6506" s="14">
        <v>400</v>
      </c>
      <c r="AQ6506" s="14"/>
      <c r="AR6506" s="14"/>
      <c r="AS6506" s="14"/>
      <c r="AT6506" s="14"/>
      <c r="AU6506" s="14"/>
      <c r="AV6506" s="14"/>
      <c r="AW6506" s="15">
        <f t="shared" si="1189"/>
        <v>400</v>
      </c>
      <c r="AX6506" s="16"/>
    </row>
    <row r="6507" spans="2:50" x14ac:dyDescent="0.2">
      <c r="B6507" s="7"/>
      <c r="C6507" s="8">
        <v>16605</v>
      </c>
      <c r="D6507" s="9" t="s">
        <v>583</v>
      </c>
      <c r="E6507" s="10" t="str">
        <f t="shared" si="1184"/>
        <v>Rancho La Cuchilla No. 111</v>
      </c>
      <c r="F6507" s="10" t="str">
        <f t="shared" si="1185"/>
        <v>García Santos Ofelia</v>
      </c>
      <c r="G6507" s="8">
        <v>1</v>
      </c>
      <c r="H6507" s="11">
        <v>400</v>
      </c>
      <c r="I6507" s="12">
        <v>43247</v>
      </c>
      <c r="J6507" s="35">
        <f t="shared" si="1186"/>
        <v>0</v>
      </c>
      <c r="K6507" s="36"/>
      <c r="L6507" s="36"/>
      <c r="M6507" s="36"/>
      <c r="N6507" s="36"/>
      <c r="O6507" s="36"/>
      <c r="P6507" s="36"/>
      <c r="Q6507" s="36"/>
      <c r="R6507" s="36"/>
      <c r="S6507" s="36"/>
      <c r="T6507" s="36"/>
      <c r="U6507" s="36"/>
      <c r="V6507" s="36"/>
      <c r="W6507" s="15">
        <f t="shared" si="1187"/>
        <v>0</v>
      </c>
      <c r="X6507" s="36"/>
      <c r="Y6507" s="36"/>
      <c r="Z6507" s="36"/>
      <c r="AA6507" s="36"/>
      <c r="AB6507" s="36"/>
      <c r="AC6507" s="36"/>
      <c r="AD6507" s="36"/>
      <c r="AE6507" s="36"/>
      <c r="AF6507" s="36"/>
      <c r="AG6507" s="36"/>
      <c r="AH6507" s="36"/>
      <c r="AI6507" s="36"/>
      <c r="AJ6507" s="15">
        <f t="shared" si="1188"/>
        <v>0</v>
      </c>
      <c r="AK6507" s="14"/>
      <c r="AL6507" s="14"/>
      <c r="AM6507" s="14"/>
      <c r="AN6507" s="14"/>
      <c r="AO6507" s="14">
        <v>200</v>
      </c>
      <c r="AP6507" s="14">
        <v>200</v>
      </c>
      <c r="AQ6507" s="14"/>
      <c r="AR6507" s="14"/>
      <c r="AS6507" s="14"/>
      <c r="AT6507" s="14"/>
      <c r="AU6507" s="14"/>
      <c r="AV6507" s="14"/>
      <c r="AW6507" s="15">
        <f t="shared" si="1189"/>
        <v>400</v>
      </c>
      <c r="AX6507" s="16"/>
    </row>
    <row r="6508" spans="2:50" x14ac:dyDescent="0.2">
      <c r="B6508" s="7"/>
      <c r="C6508" s="8">
        <v>16606</v>
      </c>
      <c r="D6508" s="9" t="s">
        <v>132</v>
      </c>
      <c r="E6508" s="10" t="str">
        <f t="shared" si="1184"/>
        <v>Rancho La Cuchilla No. 129</v>
      </c>
      <c r="F6508" s="10" t="str">
        <f t="shared" si="1185"/>
        <v>Gamboa Rueda</v>
      </c>
      <c r="G6508" s="8">
        <v>1</v>
      </c>
      <c r="H6508" s="11">
        <v>400</v>
      </c>
      <c r="I6508" s="12">
        <v>43247</v>
      </c>
      <c r="J6508" s="35">
        <f t="shared" si="1186"/>
        <v>0</v>
      </c>
      <c r="K6508" s="36"/>
      <c r="L6508" s="36"/>
      <c r="M6508" s="36"/>
      <c r="N6508" s="36"/>
      <c r="O6508" s="36"/>
      <c r="P6508" s="36"/>
      <c r="Q6508" s="36"/>
      <c r="R6508" s="36"/>
      <c r="S6508" s="36"/>
      <c r="T6508" s="36"/>
      <c r="U6508" s="36"/>
      <c r="V6508" s="36"/>
      <c r="W6508" s="15">
        <f t="shared" si="1187"/>
        <v>0</v>
      </c>
      <c r="X6508" s="36"/>
      <c r="Y6508" s="36"/>
      <c r="Z6508" s="36"/>
      <c r="AA6508" s="36"/>
      <c r="AB6508" s="36"/>
      <c r="AC6508" s="36"/>
      <c r="AD6508" s="36"/>
      <c r="AE6508" s="36"/>
      <c r="AF6508" s="36"/>
      <c r="AG6508" s="36"/>
      <c r="AH6508" s="36"/>
      <c r="AI6508" s="36"/>
      <c r="AJ6508" s="15">
        <f t="shared" si="1188"/>
        <v>0</v>
      </c>
      <c r="AK6508" s="14"/>
      <c r="AL6508" s="14"/>
      <c r="AM6508" s="14">
        <v>200</v>
      </c>
      <c r="AN6508" s="14">
        <v>200</v>
      </c>
      <c r="AO6508" s="14"/>
      <c r="AP6508" s="14"/>
      <c r="AQ6508" s="14"/>
      <c r="AR6508" s="14"/>
      <c r="AS6508" s="14"/>
      <c r="AT6508" s="14"/>
      <c r="AU6508" s="14"/>
      <c r="AV6508" s="14"/>
      <c r="AW6508" s="15">
        <f t="shared" si="1189"/>
        <v>400</v>
      </c>
      <c r="AX6508" s="16"/>
    </row>
    <row r="6509" spans="2:50" x14ac:dyDescent="0.2">
      <c r="B6509" s="7"/>
      <c r="C6509" s="8">
        <v>16607</v>
      </c>
      <c r="D6509" s="9" t="s">
        <v>944</v>
      </c>
      <c r="E6509" s="10" t="str">
        <f t="shared" si="1184"/>
        <v>Rancho Upácuaro No. 104</v>
      </c>
      <c r="F6509" s="10" t="str">
        <f t="shared" si="1185"/>
        <v>Jiménez Almazo</v>
      </c>
      <c r="G6509" s="8">
        <v>1</v>
      </c>
      <c r="H6509" s="11">
        <v>400</v>
      </c>
      <c r="I6509" s="12">
        <v>43247</v>
      </c>
      <c r="J6509" s="35">
        <f t="shared" si="1186"/>
        <v>0</v>
      </c>
      <c r="K6509" s="36"/>
      <c r="L6509" s="36"/>
      <c r="M6509" s="36"/>
      <c r="N6509" s="36"/>
      <c r="O6509" s="36"/>
      <c r="P6509" s="36"/>
      <c r="Q6509" s="36"/>
      <c r="R6509" s="36"/>
      <c r="S6509" s="36"/>
      <c r="T6509" s="36"/>
      <c r="U6509" s="36"/>
      <c r="V6509" s="36"/>
      <c r="W6509" s="15">
        <f t="shared" si="1187"/>
        <v>0</v>
      </c>
      <c r="X6509" s="36"/>
      <c r="Y6509" s="36"/>
      <c r="Z6509" s="36"/>
      <c r="AA6509" s="36"/>
      <c r="AB6509" s="36"/>
      <c r="AC6509" s="36"/>
      <c r="AD6509" s="36"/>
      <c r="AE6509" s="36"/>
      <c r="AF6509" s="36"/>
      <c r="AG6509" s="36"/>
      <c r="AH6509" s="36"/>
      <c r="AI6509" s="36"/>
      <c r="AJ6509" s="15">
        <f t="shared" si="1188"/>
        <v>0</v>
      </c>
      <c r="AK6509" s="14"/>
      <c r="AL6509" s="14"/>
      <c r="AM6509" s="14"/>
      <c r="AN6509" s="14"/>
      <c r="AO6509" s="14">
        <v>400</v>
      </c>
      <c r="AP6509" s="14"/>
      <c r="AQ6509" s="14"/>
      <c r="AR6509" s="14"/>
      <c r="AS6509" s="14"/>
      <c r="AT6509" s="14"/>
      <c r="AU6509" s="14"/>
      <c r="AV6509" s="14"/>
      <c r="AW6509" s="15">
        <f t="shared" si="1189"/>
        <v>400</v>
      </c>
      <c r="AX6509" s="16"/>
    </row>
    <row r="6510" spans="2:50" x14ac:dyDescent="0.2">
      <c r="B6510" s="7"/>
      <c r="C6510" s="8">
        <v>16607</v>
      </c>
      <c r="D6510" s="9" t="s">
        <v>944</v>
      </c>
      <c r="E6510" s="10" t="str">
        <f t="shared" si="1178"/>
        <v>Rancho Upácuaro No. 104</v>
      </c>
      <c r="F6510" s="10" t="str">
        <f t="shared" si="1179"/>
        <v>Jiménez Almazo</v>
      </c>
      <c r="G6510" s="8">
        <v>3</v>
      </c>
      <c r="H6510" s="11">
        <v>200</v>
      </c>
      <c r="I6510" s="12">
        <v>43247</v>
      </c>
      <c r="J6510" s="35">
        <f t="shared" si="1180"/>
        <v>0</v>
      </c>
      <c r="K6510" s="36"/>
      <c r="L6510" s="36"/>
      <c r="M6510" s="36"/>
      <c r="N6510" s="36"/>
      <c r="O6510" s="36"/>
      <c r="P6510" s="36"/>
      <c r="Q6510" s="36"/>
      <c r="R6510" s="36"/>
      <c r="S6510" s="36"/>
      <c r="T6510" s="36"/>
      <c r="U6510" s="36"/>
      <c r="V6510" s="36"/>
      <c r="W6510" s="15">
        <f t="shared" si="1181"/>
        <v>0</v>
      </c>
      <c r="X6510" s="36"/>
      <c r="Y6510" s="36"/>
      <c r="Z6510" s="36"/>
      <c r="AA6510" s="36"/>
      <c r="AB6510" s="36"/>
      <c r="AC6510" s="36"/>
      <c r="AD6510" s="36"/>
      <c r="AE6510" s="36"/>
      <c r="AF6510" s="36"/>
      <c r="AG6510" s="36"/>
      <c r="AH6510" s="36"/>
      <c r="AI6510" s="36"/>
      <c r="AJ6510" s="15">
        <f t="shared" si="1182"/>
        <v>0</v>
      </c>
      <c r="AK6510" s="14"/>
      <c r="AL6510" s="14"/>
      <c r="AM6510" s="14"/>
      <c r="AN6510" s="14"/>
      <c r="AO6510" s="14"/>
      <c r="AP6510" s="14"/>
      <c r="AQ6510" s="14"/>
      <c r="AR6510" s="14"/>
      <c r="AS6510" s="14"/>
      <c r="AT6510" s="14"/>
      <c r="AU6510" s="14"/>
      <c r="AV6510" s="14"/>
      <c r="AW6510" s="15">
        <f t="shared" si="1183"/>
        <v>0</v>
      </c>
      <c r="AX6510" s="316">
        <f>SUM(H6480:H6512)</f>
        <v>13200</v>
      </c>
    </row>
    <row r="6511" spans="2:50" x14ac:dyDescent="0.2">
      <c r="B6511" s="7"/>
      <c r="C6511" s="8">
        <v>16608</v>
      </c>
      <c r="D6511" s="9" t="s">
        <v>1391</v>
      </c>
      <c r="E6511" s="10" t="str">
        <f t="shared" si="1178"/>
        <v>Rancho Landero No. 54, 1</v>
      </c>
      <c r="F6511" s="10" t="str">
        <f t="shared" si="1179"/>
        <v>Montes de Oca</v>
      </c>
      <c r="G6511" s="8">
        <v>1</v>
      </c>
      <c r="H6511" s="11">
        <v>200</v>
      </c>
      <c r="I6511" s="12">
        <v>43247</v>
      </c>
      <c r="J6511" s="35">
        <f t="shared" si="1180"/>
        <v>0</v>
      </c>
      <c r="K6511" s="36"/>
      <c r="L6511" s="36"/>
      <c r="M6511" s="36"/>
      <c r="N6511" s="36"/>
      <c r="O6511" s="36"/>
      <c r="P6511" s="36"/>
      <c r="Q6511" s="36"/>
      <c r="R6511" s="36"/>
      <c r="S6511" s="36"/>
      <c r="T6511" s="36"/>
      <c r="U6511" s="36"/>
      <c r="V6511" s="36"/>
      <c r="W6511" s="15">
        <f t="shared" si="1181"/>
        <v>0</v>
      </c>
      <c r="X6511" s="36"/>
      <c r="Y6511" s="36"/>
      <c r="Z6511" s="36"/>
      <c r="AA6511" s="36"/>
      <c r="AB6511" s="36"/>
      <c r="AC6511" s="36"/>
      <c r="AD6511" s="36"/>
      <c r="AE6511" s="36"/>
      <c r="AF6511" s="36"/>
      <c r="AG6511" s="36"/>
      <c r="AH6511" s="36"/>
      <c r="AI6511" s="36"/>
      <c r="AJ6511" s="15">
        <f t="shared" si="1182"/>
        <v>0</v>
      </c>
      <c r="AK6511" s="14"/>
      <c r="AL6511" s="14"/>
      <c r="AM6511" s="14"/>
      <c r="AN6511" s="14">
        <v>200</v>
      </c>
      <c r="AO6511" s="14"/>
      <c r="AP6511" s="14"/>
      <c r="AQ6511" s="14"/>
      <c r="AR6511" s="14"/>
      <c r="AS6511" s="14"/>
      <c r="AT6511" s="14"/>
      <c r="AU6511" s="14"/>
      <c r="AV6511" s="14"/>
      <c r="AW6511" s="15">
        <f t="shared" si="1183"/>
        <v>200</v>
      </c>
      <c r="AX6511" s="16"/>
    </row>
    <row r="6512" spans="2:50" x14ac:dyDescent="0.2">
      <c r="B6512" s="7"/>
      <c r="C6512" s="8">
        <v>16609</v>
      </c>
      <c r="D6512" s="9" t="s">
        <v>1110</v>
      </c>
      <c r="E6512" s="10" t="str">
        <f t="shared" si="1178"/>
        <v>Rancho Upácuaro No. 103</v>
      </c>
      <c r="F6512" s="10" t="str">
        <f t="shared" si="1179"/>
        <v>Alfaro</v>
      </c>
      <c r="G6512" s="8">
        <v>1</v>
      </c>
      <c r="H6512" s="11">
        <v>400</v>
      </c>
      <c r="I6512" s="12">
        <v>43247</v>
      </c>
      <c r="J6512" s="35">
        <f t="shared" si="1180"/>
        <v>0</v>
      </c>
      <c r="K6512" s="36"/>
      <c r="L6512" s="36"/>
      <c r="M6512" s="36"/>
      <c r="N6512" s="36"/>
      <c r="O6512" s="36"/>
      <c r="P6512" s="36"/>
      <c r="Q6512" s="36"/>
      <c r="R6512" s="36"/>
      <c r="S6512" s="36"/>
      <c r="T6512" s="36"/>
      <c r="U6512" s="36"/>
      <c r="V6512" s="36"/>
      <c r="W6512" s="15">
        <f t="shared" si="1181"/>
        <v>0</v>
      </c>
      <c r="X6512" s="36"/>
      <c r="Y6512" s="36"/>
      <c r="Z6512" s="36"/>
      <c r="AA6512" s="36"/>
      <c r="AB6512" s="36"/>
      <c r="AC6512" s="36"/>
      <c r="AD6512" s="36"/>
      <c r="AE6512" s="36"/>
      <c r="AF6512" s="36"/>
      <c r="AG6512" s="36"/>
      <c r="AH6512" s="36"/>
      <c r="AI6512" s="36"/>
      <c r="AJ6512" s="15">
        <f t="shared" si="1182"/>
        <v>0</v>
      </c>
      <c r="AK6512" s="14"/>
      <c r="AL6512" s="14"/>
      <c r="AM6512" s="14"/>
      <c r="AN6512" s="14"/>
      <c r="AO6512" s="14">
        <v>400</v>
      </c>
      <c r="AP6512" s="14"/>
      <c r="AQ6512" s="14"/>
      <c r="AR6512" s="14"/>
      <c r="AS6512" s="14"/>
      <c r="AT6512" s="14"/>
      <c r="AU6512" s="14"/>
      <c r="AV6512" s="14"/>
      <c r="AW6512" s="15">
        <f t="shared" si="1183"/>
        <v>400</v>
      </c>
      <c r="AX6512" s="16"/>
    </row>
    <row r="6513" spans="1:50" x14ac:dyDescent="0.2">
      <c r="B6513" s="7"/>
      <c r="C6513" s="8">
        <v>16610</v>
      </c>
      <c r="D6513" s="9" t="s">
        <v>571</v>
      </c>
      <c r="E6513" s="10" t="str">
        <f t="shared" si="1178"/>
        <v>Rancho Estanzuela No. 15, A</v>
      </c>
      <c r="F6513" s="10" t="str">
        <f t="shared" si="1179"/>
        <v>González</v>
      </c>
      <c r="G6513" s="8">
        <v>1</v>
      </c>
      <c r="H6513" s="315">
        <v>200</v>
      </c>
      <c r="I6513" s="12">
        <v>43251</v>
      </c>
      <c r="J6513" s="35">
        <f t="shared" si="1180"/>
        <v>0</v>
      </c>
      <c r="K6513" s="36"/>
      <c r="L6513" s="36"/>
      <c r="M6513" s="36"/>
      <c r="N6513" s="36"/>
      <c r="O6513" s="36"/>
      <c r="P6513" s="36"/>
      <c r="Q6513" s="36"/>
      <c r="R6513" s="36"/>
      <c r="S6513" s="36"/>
      <c r="T6513" s="36"/>
      <c r="U6513" s="36"/>
      <c r="V6513" s="36"/>
      <c r="W6513" s="15">
        <f t="shared" si="1181"/>
        <v>0</v>
      </c>
      <c r="X6513" s="36"/>
      <c r="Y6513" s="36"/>
      <c r="Z6513" s="36"/>
      <c r="AA6513" s="36"/>
      <c r="AB6513" s="36"/>
      <c r="AC6513" s="36"/>
      <c r="AD6513" s="36"/>
      <c r="AE6513" s="36"/>
      <c r="AF6513" s="36"/>
      <c r="AG6513" s="36"/>
      <c r="AH6513" s="36"/>
      <c r="AI6513" s="36"/>
      <c r="AJ6513" s="15">
        <f t="shared" si="1182"/>
        <v>0</v>
      </c>
      <c r="AK6513" s="14"/>
      <c r="AL6513" s="14"/>
      <c r="AM6513" s="14"/>
      <c r="AN6513" s="14">
        <v>200</v>
      </c>
      <c r="AO6513" s="14"/>
      <c r="AP6513" s="14"/>
      <c r="AQ6513" s="14"/>
      <c r="AR6513" s="14"/>
      <c r="AS6513" s="14"/>
      <c r="AT6513" s="14"/>
      <c r="AU6513" s="14"/>
      <c r="AV6513" s="14"/>
      <c r="AW6513" s="15">
        <f t="shared" si="1183"/>
        <v>200</v>
      </c>
      <c r="AX6513" s="16"/>
    </row>
    <row r="6514" spans="1:50" x14ac:dyDescent="0.2">
      <c r="B6514" s="7"/>
      <c r="C6514" s="8">
        <v>16611</v>
      </c>
      <c r="D6514" s="9" t="s">
        <v>208</v>
      </c>
      <c r="E6514" s="10" t="str">
        <f t="shared" si="1178"/>
        <v>Rancho La Cuchilla No. 29</v>
      </c>
      <c r="F6514" s="10" t="str">
        <f t="shared" si="1179"/>
        <v>Vega Sánchez C.</v>
      </c>
      <c r="G6514" s="8">
        <v>1</v>
      </c>
      <c r="H6514" s="11">
        <v>1200</v>
      </c>
      <c r="I6514" s="12">
        <v>43251</v>
      </c>
      <c r="J6514" s="35">
        <f t="shared" si="1180"/>
        <v>0</v>
      </c>
      <c r="K6514" s="36"/>
      <c r="L6514" s="36"/>
      <c r="M6514" s="36"/>
      <c r="N6514" s="36"/>
      <c r="O6514" s="36"/>
      <c r="P6514" s="36"/>
      <c r="Q6514" s="36"/>
      <c r="R6514" s="36"/>
      <c r="S6514" s="36"/>
      <c r="T6514" s="36"/>
      <c r="U6514" s="36"/>
      <c r="V6514" s="36"/>
      <c r="W6514" s="15">
        <f t="shared" si="1181"/>
        <v>0</v>
      </c>
      <c r="X6514" s="36"/>
      <c r="Y6514" s="36"/>
      <c r="Z6514" s="36"/>
      <c r="AA6514" s="36"/>
      <c r="AB6514" s="36"/>
      <c r="AC6514" s="36"/>
      <c r="AD6514" s="36"/>
      <c r="AE6514" s="36"/>
      <c r="AF6514" s="36"/>
      <c r="AG6514" s="36">
        <v>400</v>
      </c>
      <c r="AH6514" s="36">
        <v>400</v>
      </c>
      <c r="AI6514" s="36">
        <v>400</v>
      </c>
      <c r="AJ6514" s="15">
        <f t="shared" si="1182"/>
        <v>1200</v>
      </c>
      <c r="AK6514" s="14"/>
      <c r="AL6514" s="14"/>
      <c r="AM6514" s="14"/>
      <c r="AN6514" s="14"/>
      <c r="AO6514" s="14"/>
      <c r="AP6514" s="14"/>
      <c r="AQ6514" s="14"/>
      <c r="AR6514" s="14"/>
      <c r="AS6514" s="14"/>
      <c r="AT6514" s="14"/>
      <c r="AU6514" s="14"/>
      <c r="AV6514" s="14"/>
      <c r="AW6514" s="15">
        <f t="shared" si="1183"/>
        <v>0</v>
      </c>
      <c r="AX6514" s="16"/>
    </row>
    <row r="6515" spans="1:50" x14ac:dyDescent="0.2">
      <c r="B6515" s="7"/>
      <c r="C6515" s="8">
        <v>16612</v>
      </c>
      <c r="D6515" s="9" t="s">
        <v>1335</v>
      </c>
      <c r="E6515" s="10" t="str">
        <f t="shared" ref="E6515:E6523" si="1190">IF(D6515=0,"",VLOOKUP(D6515,BASE,2,FALSE))</f>
        <v>Rancho Estanzuela No. 49</v>
      </c>
      <c r="F6515" s="10" t="str">
        <f t="shared" ref="F6515:F6523" si="1191">IF(D6515=0,"",VLOOKUP(D6515,BASE,3,FALSE))</f>
        <v>Sánchez Zamora</v>
      </c>
      <c r="G6515" s="8">
        <v>1</v>
      </c>
      <c r="H6515" s="11">
        <v>200</v>
      </c>
      <c r="I6515" s="12">
        <v>43251</v>
      </c>
      <c r="J6515" s="35">
        <f t="shared" ref="J6515:J6523" si="1192">IF(G6515=1,SUM(W6515,AJ6515,AW6515,-H6515),0)</f>
        <v>0</v>
      </c>
      <c r="K6515" s="36"/>
      <c r="L6515" s="36"/>
      <c r="M6515" s="36"/>
      <c r="N6515" s="36"/>
      <c r="O6515" s="36"/>
      <c r="P6515" s="36"/>
      <c r="Q6515" s="36"/>
      <c r="R6515" s="36"/>
      <c r="S6515" s="36"/>
      <c r="T6515" s="36"/>
      <c r="U6515" s="36"/>
      <c r="V6515" s="36"/>
      <c r="W6515" s="15">
        <f t="shared" ref="W6515:W6523" si="1193">SUM(K6515:V6515)</f>
        <v>0</v>
      </c>
      <c r="X6515" s="36"/>
      <c r="Y6515" s="36"/>
      <c r="Z6515" s="36"/>
      <c r="AA6515" s="36"/>
      <c r="AB6515" s="36"/>
      <c r="AC6515" s="36"/>
      <c r="AD6515" s="36"/>
      <c r="AE6515" s="36"/>
      <c r="AF6515" s="36"/>
      <c r="AG6515" s="36"/>
      <c r="AH6515" s="36"/>
      <c r="AI6515" s="36"/>
      <c r="AJ6515" s="15">
        <f t="shared" ref="AJ6515:AJ6523" si="1194">SUM(X6515:AI6515)</f>
        <v>0</v>
      </c>
      <c r="AK6515" s="14"/>
      <c r="AL6515" s="14"/>
      <c r="AM6515" s="14"/>
      <c r="AN6515" s="14">
        <v>200</v>
      </c>
      <c r="AO6515" s="14"/>
      <c r="AP6515" s="14"/>
      <c r="AQ6515" s="14"/>
      <c r="AR6515" s="14"/>
      <c r="AS6515" s="14"/>
      <c r="AT6515" s="14"/>
      <c r="AU6515" s="14"/>
      <c r="AV6515" s="14"/>
      <c r="AW6515" s="15">
        <f t="shared" ref="AW6515:AW6523" si="1195">SUM(AK6515:AV6515)</f>
        <v>200</v>
      </c>
      <c r="AX6515" s="16"/>
    </row>
    <row r="6516" spans="1:50" x14ac:dyDescent="0.2">
      <c r="B6516" s="7"/>
      <c r="C6516" s="8">
        <v>16613</v>
      </c>
      <c r="D6516" s="9" t="s">
        <v>957</v>
      </c>
      <c r="E6516" s="10" t="str">
        <f t="shared" si="1190"/>
        <v>Rancho La Cuchilla No. 148</v>
      </c>
      <c r="F6516" s="10" t="str">
        <f t="shared" si="1191"/>
        <v>Vázquez Vázquez</v>
      </c>
      <c r="G6516" s="8">
        <v>1</v>
      </c>
      <c r="H6516" s="11">
        <v>4800</v>
      </c>
      <c r="I6516" s="12">
        <v>43251</v>
      </c>
      <c r="J6516" s="35">
        <f t="shared" si="1192"/>
        <v>0</v>
      </c>
      <c r="K6516" s="36"/>
      <c r="L6516" s="36"/>
      <c r="M6516" s="36"/>
      <c r="N6516" s="36"/>
      <c r="O6516" s="36"/>
      <c r="P6516" s="36"/>
      <c r="Q6516" s="36"/>
      <c r="R6516" s="36"/>
      <c r="S6516" s="36"/>
      <c r="T6516" s="36"/>
      <c r="U6516" s="36"/>
      <c r="V6516" s="36"/>
      <c r="W6516" s="15">
        <f t="shared" si="1193"/>
        <v>0</v>
      </c>
      <c r="X6516" s="36"/>
      <c r="Y6516" s="36"/>
      <c r="Z6516" s="36"/>
      <c r="AA6516" s="36">
        <v>400</v>
      </c>
      <c r="AB6516" s="36">
        <v>400</v>
      </c>
      <c r="AC6516" s="36">
        <v>400</v>
      </c>
      <c r="AD6516" s="36">
        <v>400</v>
      </c>
      <c r="AE6516" s="36">
        <v>400</v>
      </c>
      <c r="AF6516" s="36">
        <v>400</v>
      </c>
      <c r="AG6516" s="36">
        <v>400</v>
      </c>
      <c r="AH6516" s="36"/>
      <c r="AI6516" s="36"/>
      <c r="AJ6516" s="15">
        <f t="shared" si="1194"/>
        <v>2800</v>
      </c>
      <c r="AK6516" s="14"/>
      <c r="AL6516" s="14">
        <v>400</v>
      </c>
      <c r="AM6516" s="14">
        <v>400</v>
      </c>
      <c r="AN6516" s="14">
        <v>400</v>
      </c>
      <c r="AO6516" s="14">
        <v>400</v>
      </c>
      <c r="AP6516" s="14">
        <v>400</v>
      </c>
      <c r="AQ6516" s="14"/>
      <c r="AR6516" s="14"/>
      <c r="AS6516" s="14"/>
      <c r="AT6516" s="14"/>
      <c r="AU6516" s="14"/>
      <c r="AV6516" s="14"/>
      <c r="AW6516" s="15">
        <f t="shared" si="1195"/>
        <v>2000</v>
      </c>
      <c r="AX6516" s="16"/>
    </row>
    <row r="6517" spans="1:50" x14ac:dyDescent="0.2">
      <c r="B6517" s="7"/>
      <c r="C6517" s="8">
        <v>16614</v>
      </c>
      <c r="D6517" s="9" t="s">
        <v>550</v>
      </c>
      <c r="E6517" s="10" t="str">
        <f t="shared" si="1190"/>
        <v>Rancho Landero No. 89</v>
      </c>
      <c r="F6517" s="10" t="str">
        <f t="shared" si="1191"/>
        <v>Del Pozo Solís</v>
      </c>
      <c r="G6517" s="8">
        <v>1</v>
      </c>
      <c r="H6517" s="11">
        <v>500</v>
      </c>
      <c r="I6517" s="12">
        <v>43251</v>
      </c>
      <c r="J6517" s="35">
        <f t="shared" si="1192"/>
        <v>0</v>
      </c>
      <c r="K6517" s="36"/>
      <c r="L6517" s="36"/>
      <c r="M6517" s="36"/>
      <c r="N6517" s="36"/>
      <c r="O6517" s="36"/>
      <c r="P6517" s="36"/>
      <c r="Q6517" s="36"/>
      <c r="R6517" s="36"/>
      <c r="S6517" s="36"/>
      <c r="T6517" s="36"/>
      <c r="U6517" s="36"/>
      <c r="V6517" s="36"/>
      <c r="W6517" s="15">
        <f t="shared" si="1193"/>
        <v>0</v>
      </c>
      <c r="X6517" s="36"/>
      <c r="Y6517" s="36"/>
      <c r="Z6517" s="36"/>
      <c r="AA6517" s="36"/>
      <c r="AB6517" s="36"/>
      <c r="AC6517" s="36"/>
      <c r="AD6517" s="36"/>
      <c r="AE6517" s="36"/>
      <c r="AF6517" s="36"/>
      <c r="AG6517" s="36"/>
      <c r="AH6517" s="36"/>
      <c r="AI6517" s="36"/>
      <c r="AJ6517" s="15">
        <f t="shared" si="1194"/>
        <v>0</v>
      </c>
      <c r="AK6517" s="14"/>
      <c r="AL6517" s="14"/>
      <c r="AM6517" s="14"/>
      <c r="AN6517" s="14">
        <v>250</v>
      </c>
      <c r="AO6517" s="14">
        <v>250</v>
      </c>
      <c r="AP6517" s="14"/>
      <c r="AQ6517" s="14"/>
      <c r="AR6517" s="14"/>
      <c r="AS6517" s="14"/>
      <c r="AT6517" s="14"/>
      <c r="AU6517" s="14"/>
      <c r="AV6517" s="14"/>
      <c r="AW6517" s="15">
        <f t="shared" si="1195"/>
        <v>500</v>
      </c>
      <c r="AX6517" s="16"/>
    </row>
    <row r="6518" spans="1:50" x14ac:dyDescent="0.2">
      <c r="B6518" s="7"/>
      <c r="C6518" s="8">
        <v>16615</v>
      </c>
      <c r="D6518" s="9"/>
      <c r="E6518" s="10" t="str">
        <f t="shared" si="1190"/>
        <v/>
      </c>
      <c r="F6518" s="10" t="str">
        <f t="shared" si="1191"/>
        <v/>
      </c>
      <c r="G6518" s="8">
        <v>8</v>
      </c>
      <c r="H6518" s="11"/>
      <c r="I6518" s="12"/>
      <c r="J6518" s="35">
        <f t="shared" si="1192"/>
        <v>0</v>
      </c>
      <c r="K6518" s="36"/>
      <c r="L6518" s="36"/>
      <c r="M6518" s="36"/>
      <c r="N6518" s="36"/>
      <c r="O6518" s="36"/>
      <c r="P6518" s="36"/>
      <c r="Q6518" s="36"/>
      <c r="R6518" s="36"/>
      <c r="S6518" s="36"/>
      <c r="T6518" s="36"/>
      <c r="U6518" s="36"/>
      <c r="V6518" s="36"/>
      <c r="W6518" s="15">
        <f t="shared" si="1193"/>
        <v>0</v>
      </c>
      <c r="X6518" s="36"/>
      <c r="Y6518" s="36"/>
      <c r="Z6518" s="36"/>
      <c r="AA6518" s="36"/>
      <c r="AB6518" s="36"/>
      <c r="AC6518" s="36"/>
      <c r="AD6518" s="36"/>
      <c r="AE6518" s="36"/>
      <c r="AF6518" s="36"/>
      <c r="AG6518" s="36"/>
      <c r="AH6518" s="36"/>
      <c r="AI6518" s="36"/>
      <c r="AJ6518" s="15">
        <f t="shared" si="1194"/>
        <v>0</v>
      </c>
      <c r="AK6518" s="14"/>
      <c r="AL6518" s="14"/>
      <c r="AM6518" s="14"/>
      <c r="AN6518" s="14"/>
      <c r="AO6518" s="14"/>
      <c r="AP6518" s="14"/>
      <c r="AQ6518" s="14"/>
      <c r="AR6518" s="14"/>
      <c r="AS6518" s="14"/>
      <c r="AT6518" s="14"/>
      <c r="AU6518" s="14"/>
      <c r="AV6518" s="14"/>
      <c r="AW6518" s="15">
        <f t="shared" si="1195"/>
        <v>0</v>
      </c>
      <c r="AX6518" s="16"/>
    </row>
    <row r="6519" spans="1:50" x14ac:dyDescent="0.2">
      <c r="B6519" s="7"/>
      <c r="C6519" s="8">
        <v>16616</v>
      </c>
      <c r="D6519" s="9" t="s">
        <v>41</v>
      </c>
      <c r="E6519" s="10" t="str">
        <f t="shared" si="1190"/>
        <v>Rancho Landero No. 54, 2</v>
      </c>
      <c r="F6519" s="10" t="str">
        <f t="shared" si="1191"/>
        <v>Montemayor Santana</v>
      </c>
      <c r="G6519" s="8">
        <v>1</v>
      </c>
      <c r="H6519" s="11">
        <v>200</v>
      </c>
      <c r="I6519" s="12">
        <v>43251</v>
      </c>
      <c r="J6519" s="35">
        <f t="shared" si="1192"/>
        <v>0</v>
      </c>
      <c r="K6519" s="36"/>
      <c r="L6519" s="36"/>
      <c r="M6519" s="36"/>
      <c r="N6519" s="36"/>
      <c r="O6519" s="36"/>
      <c r="P6519" s="36"/>
      <c r="Q6519" s="36"/>
      <c r="R6519" s="36"/>
      <c r="S6519" s="36"/>
      <c r="T6519" s="36"/>
      <c r="U6519" s="36"/>
      <c r="V6519" s="36"/>
      <c r="W6519" s="15">
        <f t="shared" si="1193"/>
        <v>0</v>
      </c>
      <c r="X6519" s="36"/>
      <c r="Y6519" s="36"/>
      <c r="Z6519" s="36"/>
      <c r="AA6519" s="36"/>
      <c r="AB6519" s="36"/>
      <c r="AC6519" s="36"/>
      <c r="AD6519" s="36"/>
      <c r="AE6519" s="36"/>
      <c r="AF6519" s="36"/>
      <c r="AG6519" s="36"/>
      <c r="AH6519" s="36"/>
      <c r="AI6519" s="36"/>
      <c r="AJ6519" s="15">
        <f t="shared" si="1194"/>
        <v>0</v>
      </c>
      <c r="AK6519" s="14"/>
      <c r="AL6519" s="14"/>
      <c r="AM6519" s="14">
        <v>200</v>
      </c>
      <c r="AN6519" s="14"/>
      <c r="AO6519" s="14"/>
      <c r="AP6519" s="14"/>
      <c r="AQ6519" s="14"/>
      <c r="AR6519" s="14"/>
      <c r="AS6519" s="14"/>
      <c r="AT6519" s="14"/>
      <c r="AU6519" s="14"/>
      <c r="AV6519" s="14"/>
      <c r="AW6519" s="15">
        <f t="shared" si="1195"/>
        <v>200</v>
      </c>
      <c r="AX6519" s="16"/>
    </row>
    <row r="6520" spans="1:50" x14ac:dyDescent="0.2">
      <c r="B6520" s="7"/>
      <c r="C6520" s="8">
        <v>16617</v>
      </c>
      <c r="D6520" s="9" t="s">
        <v>743</v>
      </c>
      <c r="E6520" s="10" t="str">
        <f t="shared" si="1190"/>
        <v>Rancho Upácuaro No. 106</v>
      </c>
      <c r="F6520" s="10" t="str">
        <f t="shared" si="1191"/>
        <v>Hernández Sánchez</v>
      </c>
      <c r="G6520" s="8">
        <v>1</v>
      </c>
      <c r="H6520" s="11">
        <v>800</v>
      </c>
      <c r="I6520" s="12">
        <v>43251</v>
      </c>
      <c r="J6520" s="35">
        <f t="shared" si="1192"/>
        <v>0</v>
      </c>
      <c r="K6520" s="36"/>
      <c r="L6520" s="36"/>
      <c r="M6520" s="36"/>
      <c r="N6520" s="36"/>
      <c r="O6520" s="36"/>
      <c r="P6520" s="36"/>
      <c r="Q6520" s="36"/>
      <c r="R6520" s="36"/>
      <c r="S6520" s="36"/>
      <c r="T6520" s="36"/>
      <c r="U6520" s="36"/>
      <c r="V6520" s="36"/>
      <c r="W6520" s="15">
        <f t="shared" si="1193"/>
        <v>0</v>
      </c>
      <c r="X6520" s="36"/>
      <c r="Y6520" s="36"/>
      <c r="Z6520" s="36"/>
      <c r="AA6520" s="36"/>
      <c r="AB6520" s="36"/>
      <c r="AC6520" s="36"/>
      <c r="AD6520" s="36"/>
      <c r="AE6520" s="36"/>
      <c r="AF6520" s="36"/>
      <c r="AG6520" s="36"/>
      <c r="AH6520" s="36"/>
      <c r="AI6520" s="36"/>
      <c r="AJ6520" s="15">
        <f t="shared" si="1194"/>
        <v>0</v>
      </c>
      <c r="AK6520" s="14"/>
      <c r="AL6520" s="14">
        <v>400</v>
      </c>
      <c r="AM6520" s="14">
        <v>400</v>
      </c>
      <c r="AN6520" s="14"/>
      <c r="AO6520" s="14"/>
      <c r="AP6520" s="14"/>
      <c r="AQ6520" s="14"/>
      <c r="AR6520" s="14"/>
      <c r="AS6520" s="14"/>
      <c r="AT6520" s="14"/>
      <c r="AU6520" s="14"/>
      <c r="AV6520" s="14"/>
      <c r="AW6520" s="15">
        <f t="shared" si="1195"/>
        <v>800</v>
      </c>
      <c r="AX6520" s="16"/>
    </row>
    <row r="6521" spans="1:50" x14ac:dyDescent="0.2">
      <c r="B6521" s="7"/>
      <c r="C6521" s="8">
        <v>16618</v>
      </c>
      <c r="D6521" s="9" t="s">
        <v>195</v>
      </c>
      <c r="E6521" s="10" t="str">
        <f t="shared" si="1190"/>
        <v>Rancho Estanzuela No. 100</v>
      </c>
      <c r="F6521" s="10" t="str">
        <f t="shared" si="1191"/>
        <v>Arias Monter</v>
      </c>
      <c r="G6521" s="8">
        <v>1</v>
      </c>
      <c r="H6521" s="11">
        <v>1600</v>
      </c>
      <c r="I6521" s="12">
        <v>43251</v>
      </c>
      <c r="J6521" s="35">
        <f t="shared" si="1192"/>
        <v>0</v>
      </c>
      <c r="K6521" s="36"/>
      <c r="L6521" s="36"/>
      <c r="M6521" s="36"/>
      <c r="N6521" s="36"/>
      <c r="O6521" s="36"/>
      <c r="P6521" s="36"/>
      <c r="Q6521" s="36"/>
      <c r="R6521" s="36"/>
      <c r="S6521" s="36"/>
      <c r="T6521" s="36"/>
      <c r="U6521" s="36"/>
      <c r="V6521" s="36"/>
      <c r="W6521" s="15">
        <f t="shared" si="1193"/>
        <v>0</v>
      </c>
      <c r="X6521" s="36"/>
      <c r="Y6521" s="36"/>
      <c r="Z6521" s="36"/>
      <c r="AA6521" s="36"/>
      <c r="AB6521" s="36"/>
      <c r="AC6521" s="36"/>
      <c r="AD6521" s="36"/>
      <c r="AE6521" s="36"/>
      <c r="AF6521" s="36"/>
      <c r="AG6521" s="36"/>
      <c r="AH6521" s="36"/>
      <c r="AI6521" s="36"/>
      <c r="AJ6521" s="15">
        <f t="shared" si="1194"/>
        <v>0</v>
      </c>
      <c r="AK6521" s="14"/>
      <c r="AL6521" s="14"/>
      <c r="AM6521" s="14">
        <v>400</v>
      </c>
      <c r="AN6521" s="14">
        <v>400</v>
      </c>
      <c r="AO6521" s="14">
        <v>400</v>
      </c>
      <c r="AP6521" s="14">
        <v>400</v>
      </c>
      <c r="AQ6521" s="14"/>
      <c r="AR6521" s="14"/>
      <c r="AS6521" s="14"/>
      <c r="AT6521" s="14"/>
      <c r="AU6521" s="14"/>
      <c r="AV6521" s="14"/>
      <c r="AW6521" s="15">
        <f t="shared" si="1195"/>
        <v>1600</v>
      </c>
      <c r="AX6521" s="316">
        <f>SUM(H6513:H6521)</f>
        <v>9500</v>
      </c>
    </row>
    <row r="6522" spans="1:50" x14ac:dyDescent="0.2">
      <c r="B6522" s="7"/>
      <c r="C6522" s="8"/>
      <c r="D6522" s="9" t="s">
        <v>806</v>
      </c>
      <c r="E6522" s="10" t="str">
        <f t="shared" si="1190"/>
        <v>Rancho Estanzuela No. 130, A</v>
      </c>
      <c r="F6522" s="10" t="str">
        <f t="shared" si="1191"/>
        <v>Colegio Carmel</v>
      </c>
      <c r="G6522" s="8">
        <v>1</v>
      </c>
      <c r="H6522" s="11">
        <v>11000</v>
      </c>
      <c r="I6522" s="12">
        <v>43243</v>
      </c>
      <c r="J6522" s="35">
        <f t="shared" si="1192"/>
        <v>0</v>
      </c>
      <c r="K6522" s="36"/>
      <c r="L6522" s="36"/>
      <c r="M6522" s="36"/>
      <c r="N6522" s="36"/>
      <c r="O6522" s="36"/>
      <c r="P6522" s="36"/>
      <c r="Q6522" s="36"/>
      <c r="R6522" s="36"/>
      <c r="S6522" s="36"/>
      <c r="T6522" s="36"/>
      <c r="U6522" s="36"/>
      <c r="V6522" s="36"/>
      <c r="W6522" s="15">
        <f t="shared" si="1193"/>
        <v>0</v>
      </c>
      <c r="X6522" s="36"/>
      <c r="Y6522" s="36"/>
      <c r="Z6522" s="36"/>
      <c r="AA6522" s="36"/>
      <c r="AB6522" s="36"/>
      <c r="AC6522" s="36"/>
      <c r="AD6522" s="36"/>
      <c r="AE6522" s="36"/>
      <c r="AF6522" s="36"/>
      <c r="AG6522" s="36"/>
      <c r="AH6522" s="36"/>
      <c r="AI6522" s="36"/>
      <c r="AJ6522" s="15">
        <f t="shared" si="1194"/>
        <v>0</v>
      </c>
      <c r="AK6522" s="14"/>
      <c r="AL6522" s="14"/>
      <c r="AM6522" s="14"/>
      <c r="AN6522" s="14"/>
      <c r="AO6522" s="14">
        <v>11000</v>
      </c>
      <c r="AP6522" s="14"/>
      <c r="AQ6522" s="14"/>
      <c r="AR6522" s="14"/>
      <c r="AS6522" s="14"/>
      <c r="AT6522" s="14"/>
      <c r="AU6522" s="14"/>
      <c r="AV6522" s="14"/>
      <c r="AW6522" s="15">
        <f t="shared" si="1195"/>
        <v>11000</v>
      </c>
      <c r="AX6522" s="16"/>
    </row>
    <row r="6523" spans="1:50" x14ac:dyDescent="0.2">
      <c r="B6523" s="7"/>
      <c r="C6523" s="8"/>
      <c r="D6523" s="9"/>
      <c r="E6523" s="10" t="str">
        <f t="shared" si="1190"/>
        <v/>
      </c>
      <c r="F6523" s="10" t="str">
        <f t="shared" si="1191"/>
        <v/>
      </c>
      <c r="G6523" s="8"/>
      <c r="H6523" s="11"/>
      <c r="I6523" s="12"/>
      <c r="J6523" s="35">
        <f t="shared" si="1192"/>
        <v>0</v>
      </c>
      <c r="K6523" s="36"/>
      <c r="L6523" s="36"/>
      <c r="M6523" s="36"/>
      <c r="N6523" s="36"/>
      <c r="O6523" s="36"/>
      <c r="P6523" s="36"/>
      <c r="Q6523" s="36"/>
      <c r="R6523" s="36"/>
      <c r="S6523" s="36"/>
      <c r="T6523" s="36"/>
      <c r="U6523" s="36"/>
      <c r="V6523" s="36"/>
      <c r="W6523" s="15">
        <f t="shared" si="1193"/>
        <v>0</v>
      </c>
      <c r="X6523" s="36"/>
      <c r="Y6523" s="36"/>
      <c r="Z6523" s="36"/>
      <c r="AA6523" s="36"/>
      <c r="AB6523" s="36"/>
      <c r="AC6523" s="36"/>
      <c r="AD6523" s="36"/>
      <c r="AE6523" s="36"/>
      <c r="AF6523" s="36"/>
      <c r="AG6523" s="36"/>
      <c r="AH6523" s="36"/>
      <c r="AI6523" s="36"/>
      <c r="AJ6523" s="15">
        <f t="shared" si="1194"/>
        <v>0</v>
      </c>
      <c r="AK6523" s="14"/>
      <c r="AL6523" s="14"/>
      <c r="AM6523" s="14"/>
      <c r="AN6523" s="14"/>
      <c r="AO6523" s="14"/>
      <c r="AP6523" s="14"/>
      <c r="AQ6523" s="14"/>
      <c r="AR6523" s="14"/>
      <c r="AS6523" s="14"/>
      <c r="AT6523" s="14"/>
      <c r="AU6523" s="14"/>
      <c r="AV6523" s="14"/>
      <c r="AW6523" s="15">
        <f t="shared" si="1195"/>
        <v>0</v>
      </c>
      <c r="AX6523" s="16"/>
    </row>
    <row r="6524" spans="1:50" ht="22.5" x14ac:dyDescent="0.2">
      <c r="A6524" s="2"/>
      <c r="B6524" s="3" t="s">
        <v>1</v>
      </c>
      <c r="C6524" s="3" t="s">
        <v>2</v>
      </c>
      <c r="D6524" s="3" t="s">
        <v>3</v>
      </c>
      <c r="E6524" s="337" t="s">
        <v>4</v>
      </c>
      <c r="F6524" s="337" t="s">
        <v>5</v>
      </c>
      <c r="G6524" s="3" t="s">
        <v>6</v>
      </c>
      <c r="H6524" s="3" t="s">
        <v>7</v>
      </c>
      <c r="I6524" s="3" t="s">
        <v>8</v>
      </c>
      <c r="J6524" s="337" t="s">
        <v>9</v>
      </c>
      <c r="K6524" s="4" t="s">
        <v>10</v>
      </c>
      <c r="L6524" s="4" t="s">
        <v>11</v>
      </c>
      <c r="M6524" s="4" t="s">
        <v>12</v>
      </c>
      <c r="N6524" s="4" t="s">
        <v>13</v>
      </c>
      <c r="O6524" s="4" t="s">
        <v>14</v>
      </c>
      <c r="P6524" s="4" t="s">
        <v>15</v>
      </c>
      <c r="Q6524" s="4" t="s">
        <v>16</v>
      </c>
      <c r="R6524" s="4" t="s">
        <v>17</v>
      </c>
      <c r="S6524" s="4" t="s">
        <v>18</v>
      </c>
      <c r="T6524" s="4" t="s">
        <v>19</v>
      </c>
      <c r="U6524" s="4" t="s">
        <v>20</v>
      </c>
      <c r="V6524" s="4" t="s">
        <v>21</v>
      </c>
      <c r="W6524" s="338" t="s">
        <v>22</v>
      </c>
      <c r="X6524" s="4" t="s">
        <v>23</v>
      </c>
      <c r="Y6524" s="4" t="s">
        <v>24</v>
      </c>
      <c r="Z6524" s="4" t="s">
        <v>25</v>
      </c>
      <c r="AA6524" s="4" t="s">
        <v>26</v>
      </c>
      <c r="AB6524" s="4" t="s">
        <v>27</v>
      </c>
      <c r="AC6524" s="4" t="s">
        <v>28</v>
      </c>
      <c r="AD6524" s="4" t="s">
        <v>29</v>
      </c>
      <c r="AE6524" s="4" t="s">
        <v>30</v>
      </c>
      <c r="AF6524" s="4" t="s">
        <v>31</v>
      </c>
      <c r="AG6524" s="4" t="s">
        <v>32</v>
      </c>
      <c r="AH6524" s="4" t="s">
        <v>33</v>
      </c>
      <c r="AI6524" s="4" t="s">
        <v>34</v>
      </c>
      <c r="AJ6524" s="338" t="s">
        <v>35</v>
      </c>
      <c r="AK6524" s="4" t="s">
        <v>4607</v>
      </c>
      <c r="AL6524" s="4" t="s">
        <v>4608</v>
      </c>
      <c r="AM6524" s="4" t="s">
        <v>4609</v>
      </c>
      <c r="AN6524" s="4" t="s">
        <v>4610</v>
      </c>
      <c r="AO6524" s="4" t="s">
        <v>4611</v>
      </c>
      <c r="AP6524" s="4" t="s">
        <v>4612</v>
      </c>
      <c r="AQ6524" s="4" t="s">
        <v>4613</v>
      </c>
      <c r="AR6524" s="4" t="s">
        <v>4614</v>
      </c>
      <c r="AS6524" s="4" t="s">
        <v>4615</v>
      </c>
      <c r="AT6524" s="4" t="s">
        <v>4616</v>
      </c>
      <c r="AU6524" s="4" t="s">
        <v>4617</v>
      </c>
      <c r="AV6524" s="4" t="s">
        <v>4618</v>
      </c>
      <c r="AW6524" s="338" t="s">
        <v>4619</v>
      </c>
      <c r="AX6524" s="6" t="s">
        <v>36</v>
      </c>
    </row>
    <row r="6525" spans="1:50" x14ac:dyDescent="0.2">
      <c r="B6525" s="7" t="s">
        <v>4983</v>
      </c>
      <c r="C6525" s="8">
        <v>16619</v>
      </c>
      <c r="D6525" s="9" t="s">
        <v>211</v>
      </c>
      <c r="E6525" s="10" t="str">
        <f t="shared" si="1178"/>
        <v>Rancho Upácuaro No. 46</v>
      </c>
      <c r="F6525" s="10" t="str">
        <f t="shared" si="1179"/>
        <v>Fuentes</v>
      </c>
      <c r="G6525" s="8">
        <v>1</v>
      </c>
      <c r="H6525" s="11">
        <v>300</v>
      </c>
      <c r="I6525" s="12">
        <v>43252</v>
      </c>
      <c r="J6525" s="35">
        <f t="shared" si="1180"/>
        <v>0</v>
      </c>
      <c r="K6525" s="36"/>
      <c r="L6525" s="36"/>
      <c r="M6525" s="36"/>
      <c r="N6525" s="36"/>
      <c r="O6525" s="36"/>
      <c r="P6525" s="36"/>
      <c r="Q6525" s="36"/>
      <c r="R6525" s="36"/>
      <c r="S6525" s="36"/>
      <c r="T6525" s="36"/>
      <c r="U6525" s="36"/>
      <c r="V6525" s="36"/>
      <c r="W6525" s="15">
        <f t="shared" si="1181"/>
        <v>0</v>
      </c>
      <c r="X6525" s="36"/>
      <c r="Y6525" s="36"/>
      <c r="Z6525" s="36"/>
      <c r="AA6525" s="36"/>
      <c r="AB6525" s="36"/>
      <c r="AC6525" s="36"/>
      <c r="AD6525" s="36"/>
      <c r="AE6525" s="36"/>
      <c r="AF6525" s="36"/>
      <c r="AG6525" s="36"/>
      <c r="AH6525" s="36"/>
      <c r="AI6525" s="36"/>
      <c r="AJ6525" s="15">
        <f t="shared" si="1182"/>
        <v>0</v>
      </c>
      <c r="AK6525" s="14"/>
      <c r="AL6525" s="14"/>
      <c r="AM6525" s="14"/>
      <c r="AN6525" s="14"/>
      <c r="AO6525" s="14"/>
      <c r="AP6525" s="14">
        <v>300</v>
      </c>
      <c r="AQ6525" s="14"/>
      <c r="AR6525" s="14"/>
      <c r="AS6525" s="14"/>
      <c r="AT6525" s="14"/>
      <c r="AU6525" s="14"/>
      <c r="AV6525" s="14"/>
      <c r="AW6525" s="15">
        <f t="shared" si="1183"/>
        <v>300</v>
      </c>
      <c r="AX6525" s="16"/>
    </row>
    <row r="6526" spans="1:50" x14ac:dyDescent="0.2">
      <c r="B6526" s="7"/>
      <c r="C6526" s="8">
        <v>16620</v>
      </c>
      <c r="D6526" s="9" t="s">
        <v>407</v>
      </c>
      <c r="E6526" s="10" t="str">
        <f t="shared" ref="E6526:E6568" si="1196">IF(D6526=0,"",VLOOKUP(D6526,BASE,2,FALSE))</f>
        <v>Rancho Estanzuela No. 99</v>
      </c>
      <c r="F6526" s="10" t="str">
        <f t="shared" ref="F6526:F6568" si="1197">IF(D6526=0,"",VLOOKUP(D6526,BASE,3,FALSE))</f>
        <v>García López</v>
      </c>
      <c r="G6526" s="8">
        <v>1</v>
      </c>
      <c r="H6526" s="11">
        <v>400</v>
      </c>
      <c r="I6526" s="12">
        <v>43254</v>
      </c>
      <c r="J6526" s="35">
        <f t="shared" ref="J6526:J6568" si="1198">IF(G6526=1,SUM(W6526,AJ6526,AW6526,-H6526),0)</f>
        <v>0</v>
      </c>
      <c r="K6526" s="36"/>
      <c r="L6526" s="36"/>
      <c r="M6526" s="36"/>
      <c r="N6526" s="36"/>
      <c r="O6526" s="36"/>
      <c r="P6526" s="36"/>
      <c r="Q6526" s="36"/>
      <c r="R6526" s="36"/>
      <c r="S6526" s="36"/>
      <c r="T6526" s="36"/>
      <c r="U6526" s="36"/>
      <c r="V6526" s="36"/>
      <c r="W6526" s="15">
        <f t="shared" ref="W6526:W6568" si="1199">SUM(K6526:V6526)</f>
        <v>0</v>
      </c>
      <c r="X6526" s="36"/>
      <c r="Y6526" s="36"/>
      <c r="Z6526" s="36"/>
      <c r="AA6526" s="36"/>
      <c r="AB6526" s="36"/>
      <c r="AC6526" s="36"/>
      <c r="AD6526" s="36"/>
      <c r="AE6526" s="36"/>
      <c r="AF6526" s="36"/>
      <c r="AG6526" s="36"/>
      <c r="AH6526" s="36"/>
      <c r="AI6526" s="36"/>
      <c r="AJ6526" s="15">
        <f t="shared" ref="AJ6526:AJ6568" si="1200">SUM(X6526:AI6526)</f>
        <v>0</v>
      </c>
      <c r="AK6526" s="14"/>
      <c r="AL6526" s="14"/>
      <c r="AM6526" s="14"/>
      <c r="AN6526" s="14"/>
      <c r="AO6526" s="14"/>
      <c r="AP6526" s="14">
        <v>400</v>
      </c>
      <c r="AQ6526" s="14"/>
      <c r="AR6526" s="14"/>
      <c r="AS6526" s="14"/>
      <c r="AT6526" s="14"/>
      <c r="AU6526" s="14"/>
      <c r="AV6526" s="14"/>
      <c r="AW6526" s="15">
        <f t="shared" ref="AW6526:AW6568" si="1201">SUM(AK6526:AV6526)</f>
        <v>400</v>
      </c>
      <c r="AX6526" s="16"/>
    </row>
    <row r="6527" spans="1:50" x14ac:dyDescent="0.2">
      <c r="B6527" s="7"/>
      <c r="C6527" s="8">
        <v>16621</v>
      </c>
      <c r="D6527" s="9" t="s">
        <v>625</v>
      </c>
      <c r="E6527" s="10" t="str">
        <f t="shared" si="1196"/>
        <v>Rancho Upácuaro No. 60</v>
      </c>
      <c r="F6527" s="10" t="str">
        <f t="shared" si="1197"/>
        <v>Zavala</v>
      </c>
      <c r="G6527" s="8">
        <v>1</v>
      </c>
      <c r="H6527" s="11">
        <v>400</v>
      </c>
      <c r="I6527" s="12">
        <v>43254</v>
      </c>
      <c r="J6527" s="35">
        <f t="shared" si="1198"/>
        <v>0</v>
      </c>
      <c r="K6527" s="36"/>
      <c r="L6527" s="36"/>
      <c r="M6527" s="36"/>
      <c r="N6527" s="36"/>
      <c r="O6527" s="36"/>
      <c r="P6527" s="36"/>
      <c r="Q6527" s="36"/>
      <c r="R6527" s="36"/>
      <c r="S6527" s="36"/>
      <c r="T6527" s="36"/>
      <c r="U6527" s="36"/>
      <c r="V6527" s="36"/>
      <c r="W6527" s="15">
        <f t="shared" si="1199"/>
        <v>0</v>
      </c>
      <c r="X6527" s="36"/>
      <c r="Y6527" s="36"/>
      <c r="Z6527" s="36"/>
      <c r="AA6527" s="36"/>
      <c r="AB6527" s="36"/>
      <c r="AC6527" s="36"/>
      <c r="AD6527" s="36"/>
      <c r="AE6527" s="36"/>
      <c r="AF6527" s="36"/>
      <c r="AG6527" s="36"/>
      <c r="AH6527" s="36"/>
      <c r="AI6527" s="36"/>
      <c r="AJ6527" s="15">
        <f t="shared" si="1200"/>
        <v>0</v>
      </c>
      <c r="AK6527" s="14"/>
      <c r="AL6527" s="14"/>
      <c r="AM6527" s="14"/>
      <c r="AN6527" s="14"/>
      <c r="AO6527" s="14">
        <v>400</v>
      </c>
      <c r="AP6527" s="14"/>
      <c r="AQ6527" s="14"/>
      <c r="AR6527" s="14"/>
      <c r="AS6527" s="14"/>
      <c r="AT6527" s="14"/>
      <c r="AU6527" s="14"/>
      <c r="AV6527" s="14"/>
      <c r="AW6527" s="15">
        <f t="shared" si="1201"/>
        <v>400</v>
      </c>
      <c r="AX6527" s="16"/>
    </row>
    <row r="6528" spans="1:50" x14ac:dyDescent="0.2">
      <c r="B6528" s="7"/>
      <c r="C6528" s="8">
        <v>16622</v>
      </c>
      <c r="D6528" s="9" t="s">
        <v>301</v>
      </c>
      <c r="E6528" s="10" t="str">
        <f t="shared" ref="E6528:E6538" si="1202">IF(D6528=0,"",VLOOKUP(D6528,BASE,2,FALSE))</f>
        <v>Rancho Upácuaro No. 51, 2</v>
      </c>
      <c r="F6528" s="10" t="str">
        <f t="shared" ref="F6528:F6538" si="1203">IF(D6528=0,"",VLOOKUP(D6528,BASE,3,FALSE))</f>
        <v>Santoyo</v>
      </c>
      <c r="G6528" s="8">
        <v>1</v>
      </c>
      <c r="H6528" s="11">
        <v>200</v>
      </c>
      <c r="I6528" s="12">
        <v>43254</v>
      </c>
      <c r="J6528" s="35">
        <f t="shared" ref="J6528:J6538" si="1204">IF(G6528=1,SUM(W6528,AJ6528,AW6528,-H6528),0)</f>
        <v>0</v>
      </c>
      <c r="K6528" s="36"/>
      <c r="L6528" s="36"/>
      <c r="M6528" s="36"/>
      <c r="N6528" s="36"/>
      <c r="O6528" s="36"/>
      <c r="P6528" s="36"/>
      <c r="Q6528" s="36"/>
      <c r="R6528" s="36"/>
      <c r="S6528" s="36"/>
      <c r="T6528" s="36"/>
      <c r="U6528" s="36"/>
      <c r="V6528" s="36"/>
      <c r="W6528" s="15">
        <f t="shared" ref="W6528:W6538" si="1205">SUM(K6528:V6528)</f>
        <v>0</v>
      </c>
      <c r="X6528" s="36"/>
      <c r="Y6528" s="36"/>
      <c r="Z6528" s="36"/>
      <c r="AA6528" s="36"/>
      <c r="AB6528" s="36"/>
      <c r="AC6528" s="36"/>
      <c r="AD6528" s="36"/>
      <c r="AE6528" s="36"/>
      <c r="AF6528" s="36"/>
      <c r="AG6528" s="36"/>
      <c r="AH6528" s="36"/>
      <c r="AI6528" s="36"/>
      <c r="AJ6528" s="15">
        <f t="shared" ref="AJ6528:AJ6538" si="1206">SUM(X6528:AI6528)</f>
        <v>0</v>
      </c>
      <c r="AK6528" s="14"/>
      <c r="AL6528" s="14"/>
      <c r="AM6528" s="14"/>
      <c r="AN6528" s="14"/>
      <c r="AO6528" s="14"/>
      <c r="AP6528" s="14">
        <v>200</v>
      </c>
      <c r="AQ6528" s="14"/>
      <c r="AR6528" s="14"/>
      <c r="AS6528" s="14"/>
      <c r="AT6528" s="14"/>
      <c r="AU6528" s="14"/>
      <c r="AV6528" s="14"/>
      <c r="AW6528" s="15">
        <f t="shared" ref="AW6528:AW6538" si="1207">SUM(AK6528:AV6528)</f>
        <v>200</v>
      </c>
      <c r="AX6528" s="16"/>
    </row>
    <row r="6529" spans="2:50" x14ac:dyDescent="0.2">
      <c r="B6529" s="7"/>
      <c r="C6529" s="8">
        <v>16623</v>
      </c>
      <c r="D6529" s="9" t="s">
        <v>301</v>
      </c>
      <c r="E6529" s="10" t="str">
        <f t="shared" si="1202"/>
        <v>Rancho Upácuaro No. 51, 2</v>
      </c>
      <c r="F6529" s="10" t="str">
        <f t="shared" si="1203"/>
        <v>Santoyo</v>
      </c>
      <c r="G6529" s="8">
        <v>4</v>
      </c>
      <c r="H6529" s="11">
        <v>200</v>
      </c>
      <c r="I6529" s="12">
        <v>43254</v>
      </c>
      <c r="J6529" s="35">
        <f t="shared" si="1204"/>
        <v>0</v>
      </c>
      <c r="K6529" s="36"/>
      <c r="L6529" s="36"/>
      <c r="M6529" s="36"/>
      <c r="N6529" s="36"/>
      <c r="O6529" s="36"/>
      <c r="P6529" s="36"/>
      <c r="Q6529" s="36"/>
      <c r="R6529" s="36"/>
      <c r="S6529" s="36"/>
      <c r="T6529" s="36"/>
      <c r="U6529" s="36"/>
      <c r="V6529" s="36"/>
      <c r="W6529" s="15">
        <f t="shared" si="1205"/>
        <v>0</v>
      </c>
      <c r="X6529" s="36"/>
      <c r="Y6529" s="36"/>
      <c r="Z6529" s="36"/>
      <c r="AA6529" s="36"/>
      <c r="AB6529" s="36"/>
      <c r="AC6529" s="36"/>
      <c r="AD6529" s="36"/>
      <c r="AE6529" s="36"/>
      <c r="AF6529" s="36"/>
      <c r="AG6529" s="36"/>
      <c r="AH6529" s="36"/>
      <c r="AI6529" s="36"/>
      <c r="AJ6529" s="15">
        <f t="shared" si="1206"/>
        <v>0</v>
      </c>
      <c r="AK6529" s="14"/>
      <c r="AL6529" s="14"/>
      <c r="AM6529" s="14"/>
      <c r="AN6529" s="14"/>
      <c r="AO6529" s="14"/>
      <c r="AP6529" s="14"/>
      <c r="AQ6529" s="14"/>
      <c r="AR6529" s="14"/>
      <c r="AS6529" s="14"/>
      <c r="AT6529" s="14"/>
      <c r="AU6529" s="14"/>
      <c r="AV6529" s="14"/>
      <c r="AW6529" s="15">
        <f t="shared" si="1207"/>
        <v>0</v>
      </c>
      <c r="AX6529" s="16" t="s">
        <v>5495</v>
      </c>
    </row>
    <row r="6530" spans="2:50" x14ac:dyDescent="0.2">
      <c r="B6530" s="7"/>
      <c r="C6530" s="8">
        <v>16623</v>
      </c>
      <c r="D6530" s="9" t="s">
        <v>301</v>
      </c>
      <c r="E6530" s="10" t="str">
        <f t="shared" si="1202"/>
        <v>Rancho Upácuaro No. 51, 2</v>
      </c>
      <c r="F6530" s="10" t="str">
        <f t="shared" si="1203"/>
        <v>Santoyo</v>
      </c>
      <c r="G6530" s="8">
        <v>5</v>
      </c>
      <c r="H6530" s="11">
        <v>50</v>
      </c>
      <c r="I6530" s="12">
        <v>43254</v>
      </c>
      <c r="J6530" s="35">
        <f t="shared" si="1204"/>
        <v>0</v>
      </c>
      <c r="K6530" s="36"/>
      <c r="L6530" s="36"/>
      <c r="M6530" s="36"/>
      <c r="N6530" s="36"/>
      <c r="O6530" s="36"/>
      <c r="P6530" s="36"/>
      <c r="Q6530" s="36"/>
      <c r="R6530" s="36"/>
      <c r="S6530" s="36"/>
      <c r="T6530" s="36"/>
      <c r="U6530" s="36"/>
      <c r="V6530" s="36"/>
      <c r="W6530" s="15">
        <f t="shared" si="1205"/>
        <v>0</v>
      </c>
      <c r="X6530" s="36"/>
      <c r="Y6530" s="36"/>
      <c r="Z6530" s="36"/>
      <c r="AA6530" s="36"/>
      <c r="AB6530" s="36"/>
      <c r="AC6530" s="36"/>
      <c r="AD6530" s="36"/>
      <c r="AE6530" s="36"/>
      <c r="AF6530" s="36"/>
      <c r="AG6530" s="36"/>
      <c r="AH6530" s="36"/>
      <c r="AI6530" s="36"/>
      <c r="AJ6530" s="15">
        <f t="shared" si="1206"/>
        <v>0</v>
      </c>
      <c r="AK6530" s="14"/>
      <c r="AL6530" s="14"/>
      <c r="AM6530" s="14"/>
      <c r="AN6530" s="14"/>
      <c r="AO6530" s="14"/>
      <c r="AP6530" s="14"/>
      <c r="AQ6530" s="14"/>
      <c r="AR6530" s="14"/>
      <c r="AS6530" s="14"/>
      <c r="AT6530" s="14"/>
      <c r="AU6530" s="14"/>
      <c r="AV6530" s="14"/>
      <c r="AW6530" s="15">
        <f t="shared" si="1207"/>
        <v>0</v>
      </c>
      <c r="AX6530" s="16"/>
    </row>
    <row r="6531" spans="2:50" x14ac:dyDescent="0.2">
      <c r="B6531" s="7"/>
      <c r="C6531" s="8">
        <v>16624</v>
      </c>
      <c r="D6531" s="9" t="s">
        <v>455</v>
      </c>
      <c r="E6531" s="10" t="str">
        <f t="shared" si="1202"/>
        <v>Rancho Zinamba No. 38</v>
      </c>
      <c r="F6531" s="10" t="str">
        <f t="shared" si="1203"/>
        <v>Ramírez Díaz</v>
      </c>
      <c r="G6531" s="8">
        <v>1</v>
      </c>
      <c r="H6531" s="11">
        <v>400</v>
      </c>
      <c r="I6531" s="12">
        <v>43254</v>
      </c>
      <c r="J6531" s="35">
        <f t="shared" si="1204"/>
        <v>0</v>
      </c>
      <c r="K6531" s="36"/>
      <c r="L6531" s="36"/>
      <c r="M6531" s="36"/>
      <c r="N6531" s="36"/>
      <c r="O6531" s="36"/>
      <c r="P6531" s="36"/>
      <c r="Q6531" s="36"/>
      <c r="R6531" s="36"/>
      <c r="S6531" s="36"/>
      <c r="T6531" s="36"/>
      <c r="U6531" s="36"/>
      <c r="V6531" s="36"/>
      <c r="W6531" s="15">
        <f t="shared" si="1205"/>
        <v>0</v>
      </c>
      <c r="X6531" s="36"/>
      <c r="Y6531" s="36"/>
      <c r="Z6531" s="36"/>
      <c r="AA6531" s="36"/>
      <c r="AB6531" s="36"/>
      <c r="AC6531" s="36"/>
      <c r="AD6531" s="36"/>
      <c r="AE6531" s="36"/>
      <c r="AF6531" s="36"/>
      <c r="AG6531" s="36"/>
      <c r="AH6531" s="36"/>
      <c r="AI6531" s="36"/>
      <c r="AJ6531" s="15">
        <f t="shared" si="1206"/>
        <v>0</v>
      </c>
      <c r="AK6531" s="14"/>
      <c r="AL6531" s="14"/>
      <c r="AM6531" s="14"/>
      <c r="AN6531" s="14"/>
      <c r="AO6531" s="14"/>
      <c r="AP6531" s="14">
        <v>400</v>
      </c>
      <c r="AQ6531" s="14"/>
      <c r="AR6531" s="14"/>
      <c r="AS6531" s="14"/>
      <c r="AT6531" s="14"/>
      <c r="AU6531" s="14"/>
      <c r="AV6531" s="14"/>
      <c r="AW6531" s="15">
        <f t="shared" si="1207"/>
        <v>400</v>
      </c>
      <c r="AX6531" s="16"/>
    </row>
    <row r="6532" spans="2:50" x14ac:dyDescent="0.2">
      <c r="B6532" s="7"/>
      <c r="C6532" s="8">
        <v>16625</v>
      </c>
      <c r="D6532" s="9" t="s">
        <v>84</v>
      </c>
      <c r="E6532" s="10" t="str">
        <f t="shared" si="1202"/>
        <v>Rancho La Cuchilla No. 139</v>
      </c>
      <c r="F6532" s="10" t="str">
        <f t="shared" si="1203"/>
        <v>Garcia</v>
      </c>
      <c r="G6532" s="8">
        <v>1</v>
      </c>
      <c r="H6532" s="11">
        <v>200</v>
      </c>
      <c r="I6532" s="12">
        <v>43254</v>
      </c>
      <c r="J6532" s="35">
        <f t="shared" si="1204"/>
        <v>0</v>
      </c>
      <c r="K6532" s="36"/>
      <c r="L6532" s="36"/>
      <c r="M6532" s="36"/>
      <c r="N6532" s="36"/>
      <c r="O6532" s="36"/>
      <c r="P6532" s="36"/>
      <c r="Q6532" s="36"/>
      <c r="R6532" s="36"/>
      <c r="S6532" s="36"/>
      <c r="T6532" s="36"/>
      <c r="U6532" s="36"/>
      <c r="V6532" s="36"/>
      <c r="W6532" s="15">
        <f t="shared" si="1205"/>
        <v>0</v>
      </c>
      <c r="X6532" s="36"/>
      <c r="Y6532" s="36"/>
      <c r="Z6532" s="36"/>
      <c r="AA6532" s="36"/>
      <c r="AB6532" s="36"/>
      <c r="AC6532" s="36"/>
      <c r="AD6532" s="36"/>
      <c r="AE6532" s="36"/>
      <c r="AF6532" s="36"/>
      <c r="AG6532" s="36"/>
      <c r="AH6532" s="36"/>
      <c r="AI6532" s="36"/>
      <c r="AJ6532" s="15">
        <f t="shared" si="1206"/>
        <v>0</v>
      </c>
      <c r="AK6532" s="14"/>
      <c r="AL6532" s="14"/>
      <c r="AM6532" s="14"/>
      <c r="AN6532" s="14"/>
      <c r="AO6532" s="14"/>
      <c r="AP6532" s="14">
        <v>200</v>
      </c>
      <c r="AQ6532" s="14"/>
      <c r="AR6532" s="14"/>
      <c r="AS6532" s="14"/>
      <c r="AT6532" s="14"/>
      <c r="AU6532" s="14"/>
      <c r="AV6532" s="14"/>
      <c r="AW6532" s="15">
        <f t="shared" si="1207"/>
        <v>200</v>
      </c>
      <c r="AX6532" s="16"/>
    </row>
    <row r="6533" spans="2:50" x14ac:dyDescent="0.2">
      <c r="B6533" s="7"/>
      <c r="C6533" s="8">
        <v>16626</v>
      </c>
      <c r="D6533" s="9" t="s">
        <v>640</v>
      </c>
      <c r="E6533" s="10" t="str">
        <f t="shared" si="1202"/>
        <v>Rancho Estopila No. 22, A</v>
      </c>
      <c r="F6533" s="10" t="str">
        <f t="shared" si="1203"/>
        <v>Ayala Carranza</v>
      </c>
      <c r="G6533" s="8">
        <v>1</v>
      </c>
      <c r="H6533" s="11">
        <v>200</v>
      </c>
      <c r="I6533" s="12">
        <v>43254</v>
      </c>
      <c r="J6533" s="35">
        <f t="shared" si="1204"/>
        <v>0</v>
      </c>
      <c r="K6533" s="36"/>
      <c r="L6533" s="36"/>
      <c r="M6533" s="36"/>
      <c r="N6533" s="36"/>
      <c r="O6533" s="36"/>
      <c r="P6533" s="36"/>
      <c r="Q6533" s="36"/>
      <c r="R6533" s="36"/>
      <c r="S6533" s="36"/>
      <c r="T6533" s="36"/>
      <c r="U6533" s="36"/>
      <c r="V6533" s="36"/>
      <c r="W6533" s="15">
        <f t="shared" si="1205"/>
        <v>0</v>
      </c>
      <c r="X6533" s="36"/>
      <c r="Y6533" s="36"/>
      <c r="Z6533" s="36"/>
      <c r="AA6533" s="36"/>
      <c r="AB6533" s="36"/>
      <c r="AC6533" s="36"/>
      <c r="AD6533" s="36"/>
      <c r="AE6533" s="36"/>
      <c r="AF6533" s="36"/>
      <c r="AG6533" s="36"/>
      <c r="AH6533" s="36"/>
      <c r="AI6533" s="36"/>
      <c r="AJ6533" s="15">
        <f t="shared" si="1206"/>
        <v>0</v>
      </c>
      <c r="AK6533" s="14"/>
      <c r="AL6533" s="14"/>
      <c r="AM6533" s="14"/>
      <c r="AN6533" s="14"/>
      <c r="AO6533" s="14">
        <v>200</v>
      </c>
      <c r="AP6533" s="14"/>
      <c r="AQ6533" s="14"/>
      <c r="AR6533" s="14"/>
      <c r="AS6533" s="14"/>
      <c r="AT6533" s="14"/>
      <c r="AU6533" s="14"/>
      <c r="AV6533" s="14"/>
      <c r="AW6533" s="15">
        <f t="shared" si="1207"/>
        <v>200</v>
      </c>
      <c r="AX6533" s="16"/>
    </row>
    <row r="6534" spans="2:50" x14ac:dyDescent="0.2">
      <c r="B6534" s="7"/>
      <c r="C6534" s="8">
        <v>16627</v>
      </c>
      <c r="D6534" s="9" t="s">
        <v>292</v>
      </c>
      <c r="E6534" s="10" t="str">
        <f t="shared" si="1202"/>
        <v>Rancho Upácuaro No. 140</v>
      </c>
      <c r="F6534" s="10" t="str">
        <f t="shared" si="1203"/>
        <v>Gozain</v>
      </c>
      <c r="G6534" s="8">
        <v>1</v>
      </c>
      <c r="H6534" s="11">
        <v>400</v>
      </c>
      <c r="I6534" s="12">
        <v>43254</v>
      </c>
      <c r="J6534" s="35">
        <f t="shared" si="1204"/>
        <v>0</v>
      </c>
      <c r="K6534" s="36"/>
      <c r="L6534" s="36"/>
      <c r="M6534" s="36"/>
      <c r="N6534" s="36"/>
      <c r="O6534" s="36"/>
      <c r="P6534" s="36"/>
      <c r="Q6534" s="36"/>
      <c r="R6534" s="36"/>
      <c r="S6534" s="36"/>
      <c r="T6534" s="36"/>
      <c r="U6534" s="36"/>
      <c r="V6534" s="36"/>
      <c r="W6534" s="15">
        <f t="shared" si="1205"/>
        <v>0</v>
      </c>
      <c r="X6534" s="36"/>
      <c r="Y6534" s="36"/>
      <c r="Z6534" s="36"/>
      <c r="AA6534" s="36"/>
      <c r="AB6534" s="36"/>
      <c r="AC6534" s="36"/>
      <c r="AD6534" s="36"/>
      <c r="AE6534" s="36"/>
      <c r="AF6534" s="36"/>
      <c r="AG6534" s="36"/>
      <c r="AH6534" s="36"/>
      <c r="AI6534" s="36"/>
      <c r="AJ6534" s="15">
        <f t="shared" si="1206"/>
        <v>0</v>
      </c>
      <c r="AK6534" s="14"/>
      <c r="AL6534" s="14"/>
      <c r="AM6534" s="14"/>
      <c r="AN6534" s="14"/>
      <c r="AO6534" s="14"/>
      <c r="AP6534" s="14">
        <v>400</v>
      </c>
      <c r="AQ6534" s="14"/>
      <c r="AR6534" s="14"/>
      <c r="AS6534" s="14"/>
      <c r="AT6534" s="14"/>
      <c r="AU6534" s="14"/>
      <c r="AV6534" s="14"/>
      <c r="AW6534" s="15">
        <f t="shared" si="1207"/>
        <v>400</v>
      </c>
      <c r="AX6534" s="16"/>
    </row>
    <row r="6535" spans="2:50" x14ac:dyDescent="0.2">
      <c r="B6535" s="7"/>
      <c r="C6535" s="8">
        <v>16628</v>
      </c>
      <c r="D6535" s="9" t="s">
        <v>440</v>
      </c>
      <c r="E6535" s="10" t="str">
        <f t="shared" si="1202"/>
        <v>Rancho Estanzuela No. 159</v>
      </c>
      <c r="F6535" s="10" t="str">
        <f t="shared" si="1203"/>
        <v>Silva</v>
      </c>
      <c r="G6535" s="8">
        <v>1</v>
      </c>
      <c r="H6535" s="11">
        <v>300</v>
      </c>
      <c r="I6535" s="12">
        <v>43254</v>
      </c>
      <c r="J6535" s="35">
        <f t="shared" si="1204"/>
        <v>0</v>
      </c>
      <c r="K6535" s="36"/>
      <c r="L6535" s="36"/>
      <c r="M6535" s="36"/>
      <c r="N6535" s="36"/>
      <c r="O6535" s="36"/>
      <c r="P6535" s="36"/>
      <c r="Q6535" s="36"/>
      <c r="R6535" s="36"/>
      <c r="S6535" s="36"/>
      <c r="T6535" s="36"/>
      <c r="U6535" s="36"/>
      <c r="V6535" s="36"/>
      <c r="W6535" s="15">
        <f t="shared" si="1205"/>
        <v>0</v>
      </c>
      <c r="X6535" s="36"/>
      <c r="Y6535" s="36"/>
      <c r="Z6535" s="36"/>
      <c r="AA6535" s="36"/>
      <c r="AB6535" s="36"/>
      <c r="AC6535" s="36"/>
      <c r="AD6535" s="36"/>
      <c r="AE6535" s="36"/>
      <c r="AF6535" s="36"/>
      <c r="AG6535" s="36"/>
      <c r="AH6535" s="36"/>
      <c r="AI6535" s="36"/>
      <c r="AJ6535" s="15">
        <f t="shared" si="1206"/>
        <v>0</v>
      </c>
      <c r="AK6535" s="14"/>
      <c r="AL6535" s="14"/>
      <c r="AM6535" s="14"/>
      <c r="AN6535" s="14">
        <v>300</v>
      </c>
      <c r="AO6535" s="14"/>
      <c r="AP6535" s="14"/>
      <c r="AQ6535" s="14"/>
      <c r="AR6535" s="14"/>
      <c r="AS6535" s="14"/>
      <c r="AT6535" s="14"/>
      <c r="AU6535" s="14"/>
      <c r="AV6535" s="14"/>
      <c r="AW6535" s="15">
        <f t="shared" si="1207"/>
        <v>300</v>
      </c>
      <c r="AX6535" s="16"/>
    </row>
    <row r="6536" spans="2:50" x14ac:dyDescent="0.2">
      <c r="B6536" s="7"/>
      <c r="C6536" s="8">
        <v>16629</v>
      </c>
      <c r="D6536" s="9" t="s">
        <v>265</v>
      </c>
      <c r="E6536" s="10" t="str">
        <f t="shared" si="1202"/>
        <v>Rancho Upácuaro No. 85</v>
      </c>
      <c r="F6536" s="10" t="str">
        <f t="shared" si="1203"/>
        <v>Del Toro Huerta</v>
      </c>
      <c r="G6536" s="8">
        <v>1</v>
      </c>
      <c r="H6536" s="11">
        <v>400</v>
      </c>
      <c r="I6536" s="12">
        <v>43254</v>
      </c>
      <c r="J6536" s="35">
        <f t="shared" si="1204"/>
        <v>0</v>
      </c>
      <c r="K6536" s="36"/>
      <c r="L6536" s="36"/>
      <c r="M6536" s="36"/>
      <c r="N6536" s="36"/>
      <c r="O6536" s="36"/>
      <c r="P6536" s="36"/>
      <c r="Q6536" s="36"/>
      <c r="R6536" s="36"/>
      <c r="S6536" s="36"/>
      <c r="T6536" s="36"/>
      <c r="U6536" s="36"/>
      <c r="V6536" s="36"/>
      <c r="W6536" s="15">
        <f t="shared" si="1205"/>
        <v>0</v>
      </c>
      <c r="X6536" s="36"/>
      <c r="Y6536" s="36"/>
      <c r="Z6536" s="36"/>
      <c r="AA6536" s="36"/>
      <c r="AB6536" s="36"/>
      <c r="AC6536" s="36"/>
      <c r="AD6536" s="36"/>
      <c r="AE6536" s="36"/>
      <c r="AF6536" s="36"/>
      <c r="AG6536" s="36"/>
      <c r="AH6536" s="36"/>
      <c r="AI6536" s="36"/>
      <c r="AJ6536" s="15">
        <f t="shared" si="1206"/>
        <v>0</v>
      </c>
      <c r="AK6536" s="14"/>
      <c r="AL6536" s="14"/>
      <c r="AM6536" s="14"/>
      <c r="AN6536" s="14"/>
      <c r="AO6536" s="14"/>
      <c r="AP6536" s="14">
        <v>400</v>
      </c>
      <c r="AQ6536" s="14"/>
      <c r="AR6536" s="14"/>
      <c r="AS6536" s="14"/>
      <c r="AT6536" s="14"/>
      <c r="AU6536" s="14"/>
      <c r="AV6536" s="14"/>
      <c r="AW6536" s="15">
        <f t="shared" si="1207"/>
        <v>400</v>
      </c>
      <c r="AX6536" s="16"/>
    </row>
    <row r="6537" spans="2:50" x14ac:dyDescent="0.2">
      <c r="B6537" s="7"/>
      <c r="C6537" s="8">
        <v>16630</v>
      </c>
      <c r="D6537" s="9" t="s">
        <v>538</v>
      </c>
      <c r="E6537" s="10" t="str">
        <f t="shared" si="1202"/>
        <v>Rancho Landero No. 73</v>
      </c>
      <c r="F6537" s="10" t="str">
        <f t="shared" si="1203"/>
        <v>Islas Palacios</v>
      </c>
      <c r="G6537" s="8">
        <v>1</v>
      </c>
      <c r="H6537" s="11">
        <v>400</v>
      </c>
      <c r="I6537" s="12">
        <v>43254</v>
      </c>
      <c r="J6537" s="35">
        <f t="shared" si="1204"/>
        <v>0</v>
      </c>
      <c r="K6537" s="36"/>
      <c r="L6537" s="36"/>
      <c r="M6537" s="36"/>
      <c r="N6537" s="36"/>
      <c r="O6537" s="36"/>
      <c r="P6537" s="36"/>
      <c r="Q6537" s="36"/>
      <c r="R6537" s="36"/>
      <c r="S6537" s="36"/>
      <c r="T6537" s="36"/>
      <c r="U6537" s="36"/>
      <c r="V6537" s="36"/>
      <c r="W6537" s="15">
        <f t="shared" si="1205"/>
        <v>0</v>
      </c>
      <c r="X6537" s="36"/>
      <c r="Y6537" s="36"/>
      <c r="Z6537" s="36"/>
      <c r="AA6537" s="36"/>
      <c r="AB6537" s="36"/>
      <c r="AC6537" s="36"/>
      <c r="AD6537" s="36"/>
      <c r="AE6537" s="36"/>
      <c r="AF6537" s="36"/>
      <c r="AG6537" s="36"/>
      <c r="AH6537" s="36"/>
      <c r="AI6537" s="36"/>
      <c r="AJ6537" s="15">
        <f t="shared" si="1206"/>
        <v>0</v>
      </c>
      <c r="AK6537" s="14"/>
      <c r="AL6537" s="14"/>
      <c r="AM6537" s="14"/>
      <c r="AN6537" s="14"/>
      <c r="AO6537" s="14">
        <v>400</v>
      </c>
      <c r="AP6537" s="14"/>
      <c r="AQ6537" s="14"/>
      <c r="AR6537" s="14"/>
      <c r="AS6537" s="14"/>
      <c r="AT6537" s="14"/>
      <c r="AU6537" s="14"/>
      <c r="AV6537" s="14"/>
      <c r="AW6537" s="15">
        <f t="shared" si="1207"/>
        <v>400</v>
      </c>
      <c r="AX6537" s="16"/>
    </row>
    <row r="6538" spans="2:50" x14ac:dyDescent="0.2">
      <c r="B6538" s="7"/>
      <c r="C6538" s="8">
        <v>16631</v>
      </c>
      <c r="D6538" s="9" t="s">
        <v>652</v>
      </c>
      <c r="E6538" s="10" t="str">
        <f t="shared" si="1202"/>
        <v>Rancho Zinamba No. 74</v>
      </c>
      <c r="F6538" s="10" t="str">
        <f t="shared" si="1203"/>
        <v>García Castellanos</v>
      </c>
      <c r="G6538" s="8">
        <v>1</v>
      </c>
      <c r="H6538" s="11">
        <v>400</v>
      </c>
      <c r="I6538" s="12">
        <v>43254</v>
      </c>
      <c r="J6538" s="35">
        <f t="shared" si="1204"/>
        <v>0</v>
      </c>
      <c r="K6538" s="36"/>
      <c r="L6538" s="36"/>
      <c r="M6538" s="36"/>
      <c r="N6538" s="36"/>
      <c r="O6538" s="36"/>
      <c r="P6538" s="36"/>
      <c r="Q6538" s="36"/>
      <c r="R6538" s="36"/>
      <c r="S6538" s="36"/>
      <c r="T6538" s="36"/>
      <c r="U6538" s="36"/>
      <c r="V6538" s="36"/>
      <c r="W6538" s="15">
        <f t="shared" si="1205"/>
        <v>0</v>
      </c>
      <c r="X6538" s="36"/>
      <c r="Y6538" s="36"/>
      <c r="Z6538" s="36"/>
      <c r="AA6538" s="36"/>
      <c r="AB6538" s="36"/>
      <c r="AC6538" s="36"/>
      <c r="AD6538" s="36"/>
      <c r="AE6538" s="36"/>
      <c r="AF6538" s="36"/>
      <c r="AG6538" s="36"/>
      <c r="AH6538" s="36"/>
      <c r="AI6538" s="36"/>
      <c r="AJ6538" s="15">
        <f t="shared" si="1206"/>
        <v>0</v>
      </c>
      <c r="AK6538" s="14"/>
      <c r="AL6538" s="14"/>
      <c r="AM6538" s="14"/>
      <c r="AN6538" s="14"/>
      <c r="AO6538" s="14">
        <v>400</v>
      </c>
      <c r="AP6538" s="14"/>
      <c r="AQ6538" s="14"/>
      <c r="AR6538" s="14"/>
      <c r="AS6538" s="14"/>
      <c r="AT6538" s="14"/>
      <c r="AU6538" s="14"/>
      <c r="AV6538" s="14"/>
      <c r="AW6538" s="15">
        <f t="shared" si="1207"/>
        <v>400</v>
      </c>
      <c r="AX6538" s="16"/>
    </row>
    <row r="6539" spans="2:50" x14ac:dyDescent="0.2">
      <c r="B6539" s="7"/>
      <c r="C6539" s="8">
        <v>16632</v>
      </c>
      <c r="D6539" s="9" t="s">
        <v>183</v>
      </c>
      <c r="E6539" s="10" t="str">
        <f t="shared" ref="E6539:E6552" si="1208">IF(D6539=0,"",VLOOKUP(D6539,BASE,2,FALSE))</f>
        <v>Rancho La Cuchilla No. 54</v>
      </c>
      <c r="F6539" s="10" t="str">
        <f t="shared" ref="F6539:F6552" si="1209">IF(D6539=0,"",VLOOKUP(D6539,BASE,3,FALSE))</f>
        <v>Mendoza León</v>
      </c>
      <c r="G6539" s="8">
        <v>1</v>
      </c>
      <c r="H6539" s="11">
        <v>400</v>
      </c>
      <c r="I6539" s="12">
        <v>43254</v>
      </c>
      <c r="J6539" s="35">
        <f t="shared" ref="J6539:J6552" si="1210">IF(G6539=1,SUM(W6539,AJ6539,AW6539,-H6539),0)</f>
        <v>0</v>
      </c>
      <c r="K6539" s="36"/>
      <c r="L6539" s="36"/>
      <c r="M6539" s="36"/>
      <c r="N6539" s="36"/>
      <c r="O6539" s="36"/>
      <c r="P6539" s="36"/>
      <c r="Q6539" s="36"/>
      <c r="R6539" s="36"/>
      <c r="S6539" s="36"/>
      <c r="T6539" s="36"/>
      <c r="U6539" s="36"/>
      <c r="V6539" s="36"/>
      <c r="W6539" s="15">
        <f t="shared" ref="W6539:W6552" si="1211">SUM(K6539:V6539)</f>
        <v>0</v>
      </c>
      <c r="X6539" s="36"/>
      <c r="Y6539" s="36"/>
      <c r="Z6539" s="36"/>
      <c r="AA6539" s="36"/>
      <c r="AB6539" s="36"/>
      <c r="AC6539" s="36"/>
      <c r="AD6539" s="36"/>
      <c r="AE6539" s="36"/>
      <c r="AF6539" s="36"/>
      <c r="AG6539" s="36"/>
      <c r="AH6539" s="36"/>
      <c r="AI6539" s="36"/>
      <c r="AJ6539" s="15">
        <f t="shared" ref="AJ6539:AJ6552" si="1212">SUM(X6539:AI6539)</f>
        <v>0</v>
      </c>
      <c r="AK6539" s="14"/>
      <c r="AL6539" s="14"/>
      <c r="AM6539" s="14"/>
      <c r="AN6539" s="14"/>
      <c r="AO6539" s="14">
        <v>400</v>
      </c>
      <c r="AP6539" s="14"/>
      <c r="AQ6539" s="14"/>
      <c r="AR6539" s="14"/>
      <c r="AS6539" s="14"/>
      <c r="AT6539" s="14"/>
      <c r="AU6539" s="14"/>
      <c r="AV6539" s="14"/>
      <c r="AW6539" s="15">
        <f t="shared" ref="AW6539:AW6552" si="1213">SUM(AK6539:AV6539)</f>
        <v>400</v>
      </c>
      <c r="AX6539" s="16"/>
    </row>
    <row r="6540" spans="2:50" x14ac:dyDescent="0.2">
      <c r="B6540" s="7"/>
      <c r="C6540" s="8">
        <v>16633</v>
      </c>
      <c r="D6540" s="9" t="s">
        <v>183</v>
      </c>
      <c r="E6540" s="10" t="str">
        <f t="shared" si="1208"/>
        <v>Rancho La Cuchilla No. 54</v>
      </c>
      <c r="F6540" s="10" t="str">
        <f t="shared" si="1209"/>
        <v>Mendoza León</v>
      </c>
      <c r="G6540" s="8">
        <v>4</v>
      </c>
      <c r="H6540" s="11">
        <v>200</v>
      </c>
      <c r="I6540" s="12">
        <v>43254</v>
      </c>
      <c r="J6540" s="35">
        <f t="shared" si="1210"/>
        <v>0</v>
      </c>
      <c r="K6540" s="36"/>
      <c r="L6540" s="36"/>
      <c r="M6540" s="36"/>
      <c r="N6540" s="36"/>
      <c r="O6540" s="36"/>
      <c r="P6540" s="36"/>
      <c r="Q6540" s="36"/>
      <c r="R6540" s="36"/>
      <c r="S6540" s="36"/>
      <c r="T6540" s="36"/>
      <c r="U6540" s="36"/>
      <c r="V6540" s="36"/>
      <c r="W6540" s="15">
        <f t="shared" si="1211"/>
        <v>0</v>
      </c>
      <c r="X6540" s="36"/>
      <c r="Y6540" s="36"/>
      <c r="Z6540" s="36"/>
      <c r="AA6540" s="36"/>
      <c r="AB6540" s="36"/>
      <c r="AC6540" s="36"/>
      <c r="AD6540" s="36"/>
      <c r="AE6540" s="36"/>
      <c r="AF6540" s="36"/>
      <c r="AG6540" s="36"/>
      <c r="AH6540" s="36"/>
      <c r="AI6540" s="36"/>
      <c r="AJ6540" s="15">
        <f t="shared" si="1212"/>
        <v>0</v>
      </c>
      <c r="AK6540" s="14"/>
      <c r="AL6540" s="14"/>
      <c r="AM6540" s="14"/>
      <c r="AN6540" s="14"/>
      <c r="AO6540" s="14"/>
      <c r="AP6540" s="14"/>
      <c r="AQ6540" s="14"/>
      <c r="AR6540" s="14"/>
      <c r="AS6540" s="14"/>
      <c r="AT6540" s="14"/>
      <c r="AU6540" s="14"/>
      <c r="AV6540" s="14"/>
      <c r="AW6540" s="15">
        <f t="shared" si="1213"/>
        <v>0</v>
      </c>
      <c r="AX6540" s="16" t="s">
        <v>5323</v>
      </c>
    </row>
    <row r="6541" spans="2:50" x14ac:dyDescent="0.2">
      <c r="B6541" s="7"/>
      <c r="C6541" s="8">
        <v>16633</v>
      </c>
      <c r="D6541" s="9" t="s">
        <v>183</v>
      </c>
      <c r="E6541" s="10" t="str">
        <f t="shared" si="1208"/>
        <v>Rancho La Cuchilla No. 54</v>
      </c>
      <c r="F6541" s="10" t="str">
        <f t="shared" si="1209"/>
        <v>Mendoza León</v>
      </c>
      <c r="G6541" s="8">
        <v>5</v>
      </c>
      <c r="H6541" s="11">
        <v>50</v>
      </c>
      <c r="I6541" s="12">
        <v>43254</v>
      </c>
      <c r="J6541" s="35">
        <f t="shared" si="1210"/>
        <v>0</v>
      </c>
      <c r="K6541" s="36"/>
      <c r="L6541" s="36"/>
      <c r="M6541" s="36"/>
      <c r="N6541" s="36"/>
      <c r="O6541" s="36"/>
      <c r="P6541" s="36"/>
      <c r="Q6541" s="36"/>
      <c r="R6541" s="36"/>
      <c r="S6541" s="36"/>
      <c r="T6541" s="36"/>
      <c r="U6541" s="36"/>
      <c r="V6541" s="36"/>
      <c r="W6541" s="15">
        <f t="shared" si="1211"/>
        <v>0</v>
      </c>
      <c r="X6541" s="36"/>
      <c r="Y6541" s="36"/>
      <c r="Z6541" s="36"/>
      <c r="AA6541" s="36"/>
      <c r="AB6541" s="36"/>
      <c r="AC6541" s="36"/>
      <c r="AD6541" s="36"/>
      <c r="AE6541" s="36"/>
      <c r="AF6541" s="36"/>
      <c r="AG6541" s="36"/>
      <c r="AH6541" s="36"/>
      <c r="AI6541" s="36"/>
      <c r="AJ6541" s="15">
        <f t="shared" si="1212"/>
        <v>0</v>
      </c>
      <c r="AK6541" s="14"/>
      <c r="AL6541" s="14"/>
      <c r="AM6541" s="14"/>
      <c r="AN6541" s="14"/>
      <c r="AO6541" s="14"/>
      <c r="AP6541" s="14"/>
      <c r="AQ6541" s="14"/>
      <c r="AR6541" s="14"/>
      <c r="AS6541" s="14"/>
      <c r="AT6541" s="14"/>
      <c r="AU6541" s="14"/>
      <c r="AV6541" s="14"/>
      <c r="AW6541" s="15">
        <f t="shared" si="1213"/>
        <v>0</v>
      </c>
      <c r="AX6541" s="16"/>
    </row>
    <row r="6542" spans="2:50" x14ac:dyDescent="0.2">
      <c r="B6542" s="7"/>
      <c r="C6542" s="8">
        <v>16634</v>
      </c>
      <c r="D6542" s="9"/>
      <c r="E6542" s="10" t="str">
        <f t="shared" si="1208"/>
        <v/>
      </c>
      <c r="F6542" s="10" t="str">
        <f t="shared" si="1209"/>
        <v/>
      </c>
      <c r="G6542" s="8">
        <v>8</v>
      </c>
      <c r="H6542" s="11"/>
      <c r="I6542" s="12"/>
      <c r="J6542" s="35">
        <f t="shared" si="1210"/>
        <v>0</v>
      </c>
      <c r="K6542" s="36"/>
      <c r="L6542" s="36"/>
      <c r="M6542" s="36"/>
      <c r="N6542" s="36"/>
      <c r="O6542" s="36"/>
      <c r="P6542" s="36"/>
      <c r="Q6542" s="36"/>
      <c r="R6542" s="36"/>
      <c r="S6542" s="36"/>
      <c r="T6542" s="36"/>
      <c r="U6542" s="36"/>
      <c r="V6542" s="36"/>
      <c r="W6542" s="15">
        <f t="shared" si="1211"/>
        <v>0</v>
      </c>
      <c r="X6542" s="36"/>
      <c r="Y6542" s="36"/>
      <c r="Z6542" s="36"/>
      <c r="AA6542" s="36"/>
      <c r="AB6542" s="36"/>
      <c r="AC6542" s="36"/>
      <c r="AD6542" s="36"/>
      <c r="AE6542" s="36"/>
      <c r="AF6542" s="36"/>
      <c r="AG6542" s="36"/>
      <c r="AH6542" s="36"/>
      <c r="AI6542" s="36"/>
      <c r="AJ6542" s="15">
        <f t="shared" si="1212"/>
        <v>0</v>
      </c>
      <c r="AK6542" s="14"/>
      <c r="AL6542" s="14"/>
      <c r="AM6542" s="14"/>
      <c r="AN6542" s="14"/>
      <c r="AO6542" s="14"/>
      <c r="AP6542" s="14"/>
      <c r="AQ6542" s="14"/>
      <c r="AR6542" s="14"/>
      <c r="AS6542" s="14"/>
      <c r="AT6542" s="14"/>
      <c r="AU6542" s="14"/>
      <c r="AV6542" s="14"/>
      <c r="AW6542" s="15">
        <f t="shared" si="1213"/>
        <v>0</v>
      </c>
      <c r="AX6542" s="16"/>
    </row>
    <row r="6543" spans="2:50" x14ac:dyDescent="0.2">
      <c r="B6543" s="7"/>
      <c r="C6543" s="8">
        <v>16635</v>
      </c>
      <c r="D6543" s="9" t="s">
        <v>238</v>
      </c>
      <c r="E6543" s="10" t="str">
        <f t="shared" si="1208"/>
        <v>Rancho La Cuchilla No. 43, B</v>
      </c>
      <c r="F6543" s="10" t="str">
        <f t="shared" si="1209"/>
        <v>Luna Albertano</v>
      </c>
      <c r="G6543" s="8">
        <v>1</v>
      </c>
      <c r="H6543" s="11">
        <v>125</v>
      </c>
      <c r="I6543" s="12">
        <v>43254</v>
      </c>
      <c r="J6543" s="35">
        <f t="shared" si="1210"/>
        <v>0</v>
      </c>
      <c r="K6543" s="36"/>
      <c r="L6543" s="36"/>
      <c r="M6543" s="36"/>
      <c r="N6543" s="36"/>
      <c r="O6543" s="36"/>
      <c r="P6543" s="36"/>
      <c r="Q6543" s="36"/>
      <c r="R6543" s="36"/>
      <c r="S6543" s="36"/>
      <c r="T6543" s="36"/>
      <c r="U6543" s="36"/>
      <c r="V6543" s="36"/>
      <c r="W6543" s="15">
        <f t="shared" si="1211"/>
        <v>0</v>
      </c>
      <c r="X6543" s="36"/>
      <c r="Y6543" s="36"/>
      <c r="Z6543" s="36"/>
      <c r="AA6543" s="36"/>
      <c r="AB6543" s="36"/>
      <c r="AC6543" s="36"/>
      <c r="AD6543" s="36"/>
      <c r="AE6543" s="36"/>
      <c r="AF6543" s="36"/>
      <c r="AG6543" s="36"/>
      <c r="AH6543" s="36"/>
      <c r="AI6543" s="36"/>
      <c r="AJ6543" s="15">
        <f t="shared" si="1212"/>
        <v>0</v>
      </c>
      <c r="AK6543" s="14"/>
      <c r="AL6543" s="14"/>
      <c r="AM6543" s="14"/>
      <c r="AN6543" s="14"/>
      <c r="AO6543" s="14"/>
      <c r="AP6543" s="14">
        <v>125</v>
      </c>
      <c r="AQ6543" s="14"/>
      <c r="AR6543" s="14"/>
      <c r="AS6543" s="14"/>
      <c r="AT6543" s="14"/>
      <c r="AU6543" s="14"/>
      <c r="AV6543" s="14"/>
      <c r="AW6543" s="15">
        <f t="shared" si="1213"/>
        <v>125</v>
      </c>
      <c r="AX6543" s="16"/>
    </row>
    <row r="6544" spans="2:50" x14ac:dyDescent="0.2">
      <c r="B6544" s="7"/>
      <c r="C6544" s="8">
        <v>16635</v>
      </c>
      <c r="D6544" s="9" t="s">
        <v>238</v>
      </c>
      <c r="E6544" s="10" t="str">
        <f t="shared" si="1208"/>
        <v>Rancho La Cuchilla No. 43, B</v>
      </c>
      <c r="F6544" s="10" t="str">
        <f t="shared" si="1209"/>
        <v>Luna Albertano</v>
      </c>
      <c r="G6544" s="8">
        <v>4</v>
      </c>
      <c r="H6544" s="11">
        <v>200</v>
      </c>
      <c r="I6544" s="12">
        <v>43254</v>
      </c>
      <c r="J6544" s="35">
        <f t="shared" si="1210"/>
        <v>0</v>
      </c>
      <c r="K6544" s="36"/>
      <c r="L6544" s="36"/>
      <c r="M6544" s="36"/>
      <c r="N6544" s="36"/>
      <c r="O6544" s="36"/>
      <c r="P6544" s="36"/>
      <c r="Q6544" s="36"/>
      <c r="R6544" s="36"/>
      <c r="S6544" s="36"/>
      <c r="T6544" s="36"/>
      <c r="U6544" s="36"/>
      <c r="V6544" s="36"/>
      <c r="W6544" s="15">
        <f t="shared" si="1211"/>
        <v>0</v>
      </c>
      <c r="X6544" s="36"/>
      <c r="Y6544" s="36"/>
      <c r="Z6544" s="36"/>
      <c r="AA6544" s="36"/>
      <c r="AB6544" s="36"/>
      <c r="AC6544" s="36"/>
      <c r="AD6544" s="36"/>
      <c r="AE6544" s="36"/>
      <c r="AF6544" s="36"/>
      <c r="AG6544" s="36"/>
      <c r="AH6544" s="36"/>
      <c r="AI6544" s="36"/>
      <c r="AJ6544" s="15">
        <f t="shared" si="1212"/>
        <v>0</v>
      </c>
      <c r="AK6544" s="14"/>
      <c r="AL6544" s="14"/>
      <c r="AM6544" s="14"/>
      <c r="AN6544" s="14"/>
      <c r="AO6544" s="14"/>
      <c r="AP6544" s="14"/>
      <c r="AQ6544" s="14"/>
      <c r="AR6544" s="14"/>
      <c r="AS6544" s="14"/>
      <c r="AT6544" s="14"/>
      <c r="AU6544" s="14"/>
      <c r="AV6544" s="14"/>
      <c r="AW6544" s="15">
        <f t="shared" si="1213"/>
        <v>0</v>
      </c>
      <c r="AX6544" s="16" t="s">
        <v>5324</v>
      </c>
    </row>
    <row r="6545" spans="2:50" x14ac:dyDescent="0.2">
      <c r="B6545" s="7"/>
      <c r="C6545" s="8">
        <v>16636</v>
      </c>
      <c r="D6545" s="9" t="s">
        <v>126</v>
      </c>
      <c r="E6545" s="10" t="str">
        <f t="shared" si="1208"/>
        <v>Rancho Estanzuela No. 65</v>
      </c>
      <c r="F6545" s="10" t="str">
        <f t="shared" si="1209"/>
        <v>López Becerril</v>
      </c>
      <c r="G6545" s="8">
        <v>1</v>
      </c>
      <c r="H6545" s="11">
        <v>400</v>
      </c>
      <c r="I6545" s="12">
        <v>43254</v>
      </c>
      <c r="J6545" s="35">
        <f t="shared" si="1210"/>
        <v>0</v>
      </c>
      <c r="K6545" s="36"/>
      <c r="L6545" s="36"/>
      <c r="M6545" s="36"/>
      <c r="N6545" s="36"/>
      <c r="O6545" s="36"/>
      <c r="P6545" s="36"/>
      <c r="Q6545" s="36"/>
      <c r="R6545" s="36"/>
      <c r="S6545" s="36"/>
      <c r="T6545" s="36"/>
      <c r="U6545" s="36"/>
      <c r="V6545" s="36"/>
      <c r="W6545" s="15">
        <f t="shared" si="1211"/>
        <v>0</v>
      </c>
      <c r="X6545" s="36"/>
      <c r="Y6545" s="36"/>
      <c r="Z6545" s="36"/>
      <c r="AA6545" s="36"/>
      <c r="AB6545" s="36"/>
      <c r="AC6545" s="36"/>
      <c r="AD6545" s="36"/>
      <c r="AE6545" s="36"/>
      <c r="AF6545" s="36"/>
      <c r="AG6545" s="36"/>
      <c r="AH6545" s="36"/>
      <c r="AI6545" s="36"/>
      <c r="AJ6545" s="15">
        <f t="shared" si="1212"/>
        <v>0</v>
      </c>
      <c r="AK6545" s="14"/>
      <c r="AL6545" s="14"/>
      <c r="AM6545" s="14"/>
      <c r="AN6545" s="14"/>
      <c r="AO6545" s="14"/>
      <c r="AP6545" s="14">
        <v>400</v>
      </c>
      <c r="AQ6545" s="14"/>
      <c r="AR6545" s="14"/>
      <c r="AS6545" s="14"/>
      <c r="AT6545" s="14"/>
      <c r="AU6545" s="14"/>
      <c r="AV6545" s="14"/>
      <c r="AW6545" s="15">
        <f t="shared" si="1213"/>
        <v>400</v>
      </c>
      <c r="AX6545" s="16"/>
    </row>
    <row r="6546" spans="2:50" x14ac:dyDescent="0.2">
      <c r="B6546" s="7"/>
      <c r="C6546" s="8">
        <v>16637</v>
      </c>
      <c r="D6546" s="9" t="s">
        <v>387</v>
      </c>
      <c r="E6546" s="10" t="str">
        <f t="shared" si="1208"/>
        <v>Rancho Upácuaro No. 69</v>
      </c>
      <c r="F6546" s="10" t="str">
        <f t="shared" si="1209"/>
        <v>Gómez</v>
      </c>
      <c r="G6546" s="8">
        <v>1</v>
      </c>
      <c r="H6546" s="11">
        <v>400</v>
      </c>
      <c r="I6546" s="12">
        <v>43254</v>
      </c>
      <c r="J6546" s="35">
        <f t="shared" si="1210"/>
        <v>0</v>
      </c>
      <c r="K6546" s="36"/>
      <c r="L6546" s="36"/>
      <c r="M6546" s="36"/>
      <c r="N6546" s="36"/>
      <c r="O6546" s="36"/>
      <c r="P6546" s="36"/>
      <c r="Q6546" s="36"/>
      <c r="R6546" s="36"/>
      <c r="S6546" s="36"/>
      <c r="T6546" s="36"/>
      <c r="U6546" s="36"/>
      <c r="V6546" s="36"/>
      <c r="W6546" s="15">
        <f t="shared" si="1211"/>
        <v>0</v>
      </c>
      <c r="X6546" s="36"/>
      <c r="Y6546" s="36"/>
      <c r="Z6546" s="36"/>
      <c r="AA6546" s="36"/>
      <c r="AB6546" s="36"/>
      <c r="AC6546" s="36"/>
      <c r="AD6546" s="36"/>
      <c r="AE6546" s="36"/>
      <c r="AF6546" s="36"/>
      <c r="AG6546" s="36"/>
      <c r="AH6546" s="36"/>
      <c r="AI6546" s="36"/>
      <c r="AJ6546" s="15">
        <f t="shared" si="1212"/>
        <v>0</v>
      </c>
      <c r="AK6546" s="14"/>
      <c r="AL6546" s="14"/>
      <c r="AM6546" s="14"/>
      <c r="AN6546" s="14"/>
      <c r="AO6546" s="14"/>
      <c r="AP6546" s="14">
        <v>400</v>
      </c>
      <c r="AQ6546" s="14"/>
      <c r="AR6546" s="14"/>
      <c r="AS6546" s="14"/>
      <c r="AT6546" s="14"/>
      <c r="AU6546" s="14"/>
      <c r="AV6546" s="14"/>
      <c r="AW6546" s="15">
        <f t="shared" si="1213"/>
        <v>400</v>
      </c>
      <c r="AX6546" s="16"/>
    </row>
    <row r="6547" spans="2:50" x14ac:dyDescent="0.2">
      <c r="B6547" s="7"/>
      <c r="C6547" s="8">
        <v>16638</v>
      </c>
      <c r="D6547" s="9" t="s">
        <v>520</v>
      </c>
      <c r="E6547" s="10" t="str">
        <f t="shared" si="1208"/>
        <v>Rancho Landero No. 38</v>
      </c>
      <c r="F6547" s="10" t="str">
        <f t="shared" si="1209"/>
        <v>Sánchez Peña</v>
      </c>
      <c r="G6547" s="8">
        <v>1</v>
      </c>
      <c r="H6547" s="11">
        <v>800</v>
      </c>
      <c r="I6547" s="12">
        <v>43254</v>
      </c>
      <c r="J6547" s="35">
        <f t="shared" si="1210"/>
        <v>0</v>
      </c>
      <c r="K6547" s="36"/>
      <c r="L6547" s="36"/>
      <c r="M6547" s="36"/>
      <c r="N6547" s="36"/>
      <c r="O6547" s="36"/>
      <c r="P6547" s="36"/>
      <c r="Q6547" s="36"/>
      <c r="R6547" s="36"/>
      <c r="S6547" s="36"/>
      <c r="T6547" s="36"/>
      <c r="U6547" s="36"/>
      <c r="V6547" s="36"/>
      <c r="W6547" s="15">
        <f t="shared" si="1211"/>
        <v>0</v>
      </c>
      <c r="X6547" s="36"/>
      <c r="Y6547" s="36"/>
      <c r="Z6547" s="36"/>
      <c r="AA6547" s="36"/>
      <c r="AB6547" s="36"/>
      <c r="AC6547" s="36"/>
      <c r="AD6547" s="36"/>
      <c r="AE6547" s="36"/>
      <c r="AF6547" s="36"/>
      <c r="AG6547" s="36"/>
      <c r="AH6547" s="36"/>
      <c r="AI6547" s="36"/>
      <c r="AJ6547" s="15">
        <f t="shared" si="1212"/>
        <v>0</v>
      </c>
      <c r="AK6547" s="14"/>
      <c r="AL6547" s="14"/>
      <c r="AM6547" s="14"/>
      <c r="AN6547" s="14"/>
      <c r="AO6547" s="14">
        <v>400</v>
      </c>
      <c r="AP6547" s="14">
        <v>400</v>
      </c>
      <c r="AQ6547" s="14"/>
      <c r="AR6547" s="14"/>
      <c r="AS6547" s="14"/>
      <c r="AT6547" s="14"/>
      <c r="AU6547" s="14"/>
      <c r="AV6547" s="14"/>
      <c r="AW6547" s="15">
        <f t="shared" si="1213"/>
        <v>800</v>
      </c>
      <c r="AX6547" s="16"/>
    </row>
    <row r="6548" spans="2:50" x14ac:dyDescent="0.2">
      <c r="B6548" s="7"/>
      <c r="C6548" s="8">
        <v>16639</v>
      </c>
      <c r="D6548" s="9" t="s">
        <v>797</v>
      </c>
      <c r="E6548" s="10" t="str">
        <f t="shared" si="1208"/>
        <v>Rancho Recoveco No. 195</v>
      </c>
      <c r="F6548" s="10" t="str">
        <f t="shared" si="1209"/>
        <v>Sandoval</v>
      </c>
      <c r="G6548" s="8">
        <v>1</v>
      </c>
      <c r="H6548" s="11">
        <v>500</v>
      </c>
      <c r="I6548" s="12">
        <v>43254</v>
      </c>
      <c r="J6548" s="35">
        <f t="shared" si="1210"/>
        <v>0</v>
      </c>
      <c r="K6548" s="36"/>
      <c r="L6548" s="36"/>
      <c r="M6548" s="36"/>
      <c r="N6548" s="36"/>
      <c r="O6548" s="36"/>
      <c r="P6548" s="36"/>
      <c r="Q6548" s="36"/>
      <c r="R6548" s="36"/>
      <c r="S6548" s="36"/>
      <c r="T6548" s="36"/>
      <c r="U6548" s="36"/>
      <c r="V6548" s="36"/>
      <c r="W6548" s="15">
        <f t="shared" si="1211"/>
        <v>0</v>
      </c>
      <c r="X6548" s="36"/>
      <c r="Y6548" s="36"/>
      <c r="Z6548" s="36"/>
      <c r="AA6548" s="36"/>
      <c r="AB6548" s="36"/>
      <c r="AC6548" s="36"/>
      <c r="AD6548" s="36"/>
      <c r="AE6548" s="36"/>
      <c r="AF6548" s="36"/>
      <c r="AG6548" s="36"/>
      <c r="AH6548" s="36"/>
      <c r="AI6548" s="36"/>
      <c r="AJ6548" s="15">
        <f t="shared" si="1212"/>
        <v>0</v>
      </c>
      <c r="AK6548" s="14"/>
      <c r="AL6548" s="14"/>
      <c r="AM6548" s="14"/>
      <c r="AN6548" s="14"/>
      <c r="AO6548" s="14">
        <v>250</v>
      </c>
      <c r="AP6548" s="14">
        <v>250</v>
      </c>
      <c r="AQ6548" s="14"/>
      <c r="AR6548" s="14"/>
      <c r="AS6548" s="14"/>
      <c r="AT6548" s="14"/>
      <c r="AU6548" s="14"/>
      <c r="AV6548" s="14"/>
      <c r="AW6548" s="15">
        <f t="shared" si="1213"/>
        <v>500</v>
      </c>
      <c r="AX6548" s="16"/>
    </row>
    <row r="6549" spans="2:50" x14ac:dyDescent="0.2">
      <c r="B6549" s="7"/>
      <c r="C6549" s="8">
        <v>16640</v>
      </c>
      <c r="D6549" s="9" t="s">
        <v>479</v>
      </c>
      <c r="E6549" s="10" t="str">
        <f t="shared" si="1208"/>
        <v>Rancho Zinamba No. 68</v>
      </c>
      <c r="F6549" s="10" t="str">
        <f t="shared" si="1209"/>
        <v>Rivera Villicaña</v>
      </c>
      <c r="G6549" s="8">
        <v>1</v>
      </c>
      <c r="H6549" s="11">
        <v>300</v>
      </c>
      <c r="I6549" s="12">
        <v>43254</v>
      </c>
      <c r="J6549" s="35">
        <f t="shared" si="1210"/>
        <v>0</v>
      </c>
      <c r="K6549" s="36"/>
      <c r="L6549" s="36"/>
      <c r="M6549" s="36"/>
      <c r="N6549" s="36"/>
      <c r="O6549" s="36"/>
      <c r="P6549" s="36"/>
      <c r="Q6549" s="36"/>
      <c r="R6549" s="36"/>
      <c r="S6549" s="36"/>
      <c r="T6549" s="36"/>
      <c r="U6549" s="36"/>
      <c r="V6549" s="36"/>
      <c r="W6549" s="15">
        <f t="shared" si="1211"/>
        <v>0</v>
      </c>
      <c r="X6549" s="36"/>
      <c r="Y6549" s="36"/>
      <c r="Z6549" s="36"/>
      <c r="AA6549" s="36"/>
      <c r="AB6549" s="36"/>
      <c r="AC6549" s="36"/>
      <c r="AD6549" s="36"/>
      <c r="AE6549" s="36"/>
      <c r="AF6549" s="36"/>
      <c r="AG6549" s="36"/>
      <c r="AH6549" s="36"/>
      <c r="AI6549" s="36"/>
      <c r="AJ6549" s="15">
        <f t="shared" si="1212"/>
        <v>0</v>
      </c>
      <c r="AK6549" s="14"/>
      <c r="AL6549" s="14"/>
      <c r="AM6549" s="14"/>
      <c r="AN6549" s="14"/>
      <c r="AO6549" s="14"/>
      <c r="AP6549" s="14">
        <v>300</v>
      </c>
      <c r="AQ6549" s="14"/>
      <c r="AR6549" s="14"/>
      <c r="AS6549" s="14"/>
      <c r="AT6549" s="14"/>
      <c r="AU6549" s="14"/>
      <c r="AV6549" s="14"/>
      <c r="AW6549" s="15">
        <f t="shared" si="1213"/>
        <v>300</v>
      </c>
      <c r="AX6549" s="16"/>
    </row>
    <row r="6550" spans="2:50" x14ac:dyDescent="0.2">
      <c r="B6550" s="7"/>
      <c r="C6550" s="8">
        <v>16641</v>
      </c>
      <c r="D6550" s="9" t="s">
        <v>97</v>
      </c>
      <c r="E6550" s="10" t="str">
        <f t="shared" si="1208"/>
        <v>Rancho La Cuchilla No. 78</v>
      </c>
      <c r="F6550" s="10" t="str">
        <f t="shared" si="1209"/>
        <v>García</v>
      </c>
      <c r="G6550" s="8">
        <v>1</v>
      </c>
      <c r="H6550" s="11">
        <v>400</v>
      </c>
      <c r="I6550" s="12">
        <v>43254</v>
      </c>
      <c r="J6550" s="35">
        <f t="shared" si="1210"/>
        <v>0</v>
      </c>
      <c r="K6550" s="36"/>
      <c r="L6550" s="36"/>
      <c r="M6550" s="36"/>
      <c r="N6550" s="36"/>
      <c r="O6550" s="36"/>
      <c r="P6550" s="36"/>
      <c r="Q6550" s="36"/>
      <c r="R6550" s="36"/>
      <c r="S6550" s="36"/>
      <c r="T6550" s="36"/>
      <c r="U6550" s="36"/>
      <c r="V6550" s="36"/>
      <c r="W6550" s="15">
        <f t="shared" si="1211"/>
        <v>0</v>
      </c>
      <c r="X6550" s="36"/>
      <c r="Y6550" s="36"/>
      <c r="Z6550" s="36"/>
      <c r="AA6550" s="36"/>
      <c r="AB6550" s="36"/>
      <c r="AC6550" s="36"/>
      <c r="AD6550" s="36"/>
      <c r="AE6550" s="36"/>
      <c r="AF6550" s="36"/>
      <c r="AG6550" s="36"/>
      <c r="AH6550" s="36"/>
      <c r="AI6550" s="36"/>
      <c r="AJ6550" s="15">
        <f t="shared" si="1212"/>
        <v>0</v>
      </c>
      <c r="AK6550" s="14"/>
      <c r="AL6550" s="14"/>
      <c r="AM6550" s="14"/>
      <c r="AN6550" s="14"/>
      <c r="AO6550" s="14"/>
      <c r="AP6550" s="14">
        <v>400</v>
      </c>
      <c r="AQ6550" s="14"/>
      <c r="AR6550" s="14"/>
      <c r="AS6550" s="14"/>
      <c r="AT6550" s="14"/>
      <c r="AU6550" s="14"/>
      <c r="AV6550" s="14"/>
      <c r="AW6550" s="15">
        <f t="shared" si="1213"/>
        <v>400</v>
      </c>
      <c r="AX6550" s="16"/>
    </row>
    <row r="6551" spans="2:50" x14ac:dyDescent="0.2">
      <c r="B6551" s="7"/>
      <c r="C6551" s="8">
        <v>16642</v>
      </c>
      <c r="D6551" s="9" t="s">
        <v>763</v>
      </c>
      <c r="E6551" s="10" t="str">
        <f t="shared" si="1208"/>
        <v>Rancho Estanzuela No. 79</v>
      </c>
      <c r="F6551" s="10" t="str">
        <f t="shared" si="1209"/>
        <v>Mendoza</v>
      </c>
      <c r="G6551" s="8">
        <v>1</v>
      </c>
      <c r="H6551" s="11">
        <v>800</v>
      </c>
      <c r="I6551" s="12">
        <v>43254</v>
      </c>
      <c r="J6551" s="35">
        <f t="shared" si="1210"/>
        <v>0</v>
      </c>
      <c r="K6551" s="36"/>
      <c r="L6551" s="36"/>
      <c r="M6551" s="36"/>
      <c r="N6551" s="36"/>
      <c r="O6551" s="36"/>
      <c r="P6551" s="36"/>
      <c r="Q6551" s="36"/>
      <c r="R6551" s="36"/>
      <c r="S6551" s="36"/>
      <c r="T6551" s="36"/>
      <c r="U6551" s="36"/>
      <c r="V6551" s="36"/>
      <c r="W6551" s="15">
        <f t="shared" si="1211"/>
        <v>0</v>
      </c>
      <c r="X6551" s="36"/>
      <c r="Y6551" s="36"/>
      <c r="Z6551" s="36"/>
      <c r="AA6551" s="36"/>
      <c r="AB6551" s="36"/>
      <c r="AC6551" s="36"/>
      <c r="AD6551" s="36"/>
      <c r="AE6551" s="36"/>
      <c r="AF6551" s="36"/>
      <c r="AG6551" s="36"/>
      <c r="AH6551" s="36"/>
      <c r="AI6551" s="36"/>
      <c r="AJ6551" s="15">
        <f t="shared" si="1212"/>
        <v>0</v>
      </c>
      <c r="AK6551" s="14"/>
      <c r="AL6551" s="14"/>
      <c r="AM6551" s="14">
        <v>400</v>
      </c>
      <c r="AN6551" s="14">
        <v>400</v>
      </c>
      <c r="AO6551" s="14"/>
      <c r="AP6551" s="14"/>
      <c r="AQ6551" s="14"/>
      <c r="AR6551" s="14"/>
      <c r="AS6551" s="14"/>
      <c r="AT6551" s="14"/>
      <c r="AU6551" s="14"/>
      <c r="AV6551" s="14"/>
      <c r="AW6551" s="15">
        <f t="shared" si="1213"/>
        <v>800</v>
      </c>
      <c r="AX6551" s="16"/>
    </row>
    <row r="6552" spans="2:50" x14ac:dyDescent="0.2">
      <c r="B6552" s="7"/>
      <c r="C6552" s="8">
        <v>16643</v>
      </c>
      <c r="D6552" s="9" t="s">
        <v>100</v>
      </c>
      <c r="E6552" s="10" t="str">
        <f t="shared" si="1208"/>
        <v>Rancho Upácuaro No. 32</v>
      </c>
      <c r="F6552" s="10" t="str">
        <f t="shared" si="1209"/>
        <v>Sairafi Carmen</v>
      </c>
      <c r="G6552" s="8">
        <v>1</v>
      </c>
      <c r="H6552" s="11">
        <v>400</v>
      </c>
      <c r="I6552" s="12">
        <v>43254</v>
      </c>
      <c r="J6552" s="35">
        <f t="shared" si="1210"/>
        <v>0</v>
      </c>
      <c r="K6552" s="36"/>
      <c r="L6552" s="36"/>
      <c r="M6552" s="36"/>
      <c r="N6552" s="36"/>
      <c r="O6552" s="36"/>
      <c r="P6552" s="36"/>
      <c r="Q6552" s="36"/>
      <c r="R6552" s="36"/>
      <c r="S6552" s="36"/>
      <c r="T6552" s="36"/>
      <c r="U6552" s="36"/>
      <c r="V6552" s="36"/>
      <c r="W6552" s="15">
        <f t="shared" si="1211"/>
        <v>0</v>
      </c>
      <c r="X6552" s="36"/>
      <c r="Y6552" s="36"/>
      <c r="Z6552" s="36"/>
      <c r="AA6552" s="36"/>
      <c r="AB6552" s="36"/>
      <c r="AC6552" s="36"/>
      <c r="AD6552" s="36"/>
      <c r="AE6552" s="36"/>
      <c r="AF6552" s="36"/>
      <c r="AG6552" s="36"/>
      <c r="AH6552" s="36"/>
      <c r="AI6552" s="36"/>
      <c r="AJ6552" s="15">
        <f t="shared" si="1212"/>
        <v>0</v>
      </c>
      <c r="AK6552" s="14"/>
      <c r="AL6552" s="14"/>
      <c r="AM6552" s="14"/>
      <c r="AN6552" s="14"/>
      <c r="AO6552" s="14"/>
      <c r="AP6552" s="14">
        <v>400</v>
      </c>
      <c r="AQ6552" s="14"/>
      <c r="AR6552" s="14"/>
      <c r="AS6552" s="14"/>
      <c r="AT6552" s="14"/>
      <c r="AU6552" s="14"/>
      <c r="AV6552" s="14"/>
      <c r="AW6552" s="15">
        <f t="shared" si="1213"/>
        <v>400</v>
      </c>
      <c r="AX6552" s="16"/>
    </row>
    <row r="6553" spans="2:50" x14ac:dyDescent="0.2">
      <c r="B6553" s="7"/>
      <c r="C6553" s="8">
        <v>16643</v>
      </c>
      <c r="D6553" s="9" t="s">
        <v>100</v>
      </c>
      <c r="E6553" s="10" t="str">
        <f t="shared" ref="E6553:E6566" si="1214">IF(D6553=0,"",VLOOKUP(D6553,BASE,2,FALSE))</f>
        <v>Rancho Upácuaro No. 32</v>
      </c>
      <c r="F6553" s="10" t="str">
        <f t="shared" ref="F6553:F6566" si="1215">IF(D6553=0,"",VLOOKUP(D6553,BASE,3,FALSE))</f>
        <v>Sairafi Carmen</v>
      </c>
      <c r="G6553" s="8">
        <v>5</v>
      </c>
      <c r="H6553" s="11">
        <v>50</v>
      </c>
      <c r="I6553" s="12">
        <v>43254</v>
      </c>
      <c r="J6553" s="35">
        <f t="shared" ref="J6553:J6566" si="1216">IF(G6553=1,SUM(W6553,AJ6553,AW6553,-H6553),0)</f>
        <v>0</v>
      </c>
      <c r="K6553" s="36"/>
      <c r="L6553" s="36"/>
      <c r="M6553" s="36"/>
      <c r="N6553" s="36"/>
      <c r="O6553" s="36"/>
      <c r="P6553" s="36"/>
      <c r="Q6553" s="36"/>
      <c r="R6553" s="36"/>
      <c r="S6553" s="36"/>
      <c r="T6553" s="36"/>
      <c r="U6553" s="36"/>
      <c r="V6553" s="36"/>
      <c r="W6553" s="15">
        <f t="shared" ref="W6553:W6566" si="1217">SUM(K6553:V6553)</f>
        <v>0</v>
      </c>
      <c r="X6553" s="36"/>
      <c r="Y6553" s="36"/>
      <c r="Z6553" s="36"/>
      <c r="AA6553" s="36"/>
      <c r="AB6553" s="36"/>
      <c r="AC6553" s="36"/>
      <c r="AD6553" s="36"/>
      <c r="AE6553" s="36"/>
      <c r="AF6553" s="36"/>
      <c r="AG6553" s="36"/>
      <c r="AH6553" s="36"/>
      <c r="AI6553" s="36"/>
      <c r="AJ6553" s="15">
        <f t="shared" ref="AJ6553:AJ6566" si="1218">SUM(X6553:AI6553)</f>
        <v>0</v>
      </c>
      <c r="AK6553" s="14"/>
      <c r="AL6553" s="14"/>
      <c r="AM6553" s="14"/>
      <c r="AN6553" s="14"/>
      <c r="AO6553" s="14"/>
      <c r="AP6553" s="14"/>
      <c r="AQ6553" s="14"/>
      <c r="AR6553" s="14"/>
      <c r="AS6553" s="14"/>
      <c r="AT6553" s="14"/>
      <c r="AU6553" s="14"/>
      <c r="AV6553" s="14"/>
      <c r="AW6553" s="15">
        <f t="shared" ref="AW6553:AW6566" si="1219">SUM(AK6553:AV6553)</f>
        <v>0</v>
      </c>
      <c r="AX6553" s="16"/>
    </row>
    <row r="6554" spans="2:50" x14ac:dyDescent="0.2">
      <c r="B6554" s="7"/>
      <c r="C6554" s="8">
        <v>16644</v>
      </c>
      <c r="D6554" s="9" t="s">
        <v>794</v>
      </c>
      <c r="E6554" s="10" t="str">
        <f t="shared" si="1214"/>
        <v>Rancho Landero No. 18</v>
      </c>
      <c r="F6554" s="10" t="str">
        <f t="shared" si="1215"/>
        <v>Rosado</v>
      </c>
      <c r="G6554" s="8">
        <v>1</v>
      </c>
      <c r="H6554" s="11">
        <v>300</v>
      </c>
      <c r="I6554" s="12">
        <v>43254</v>
      </c>
      <c r="J6554" s="35">
        <f t="shared" si="1216"/>
        <v>0</v>
      </c>
      <c r="K6554" s="36"/>
      <c r="L6554" s="36"/>
      <c r="M6554" s="36"/>
      <c r="N6554" s="36"/>
      <c r="O6554" s="36"/>
      <c r="P6554" s="36"/>
      <c r="Q6554" s="36"/>
      <c r="R6554" s="36"/>
      <c r="S6554" s="36"/>
      <c r="T6554" s="36"/>
      <c r="U6554" s="36"/>
      <c r="V6554" s="36"/>
      <c r="W6554" s="15">
        <f t="shared" si="1217"/>
        <v>0</v>
      </c>
      <c r="X6554" s="36"/>
      <c r="Y6554" s="36"/>
      <c r="Z6554" s="36"/>
      <c r="AA6554" s="36"/>
      <c r="AB6554" s="36"/>
      <c r="AC6554" s="36"/>
      <c r="AD6554" s="36"/>
      <c r="AE6554" s="36"/>
      <c r="AF6554" s="36"/>
      <c r="AG6554" s="36"/>
      <c r="AH6554" s="36"/>
      <c r="AI6554" s="36"/>
      <c r="AJ6554" s="15">
        <f t="shared" si="1218"/>
        <v>0</v>
      </c>
      <c r="AK6554" s="14"/>
      <c r="AL6554" s="14"/>
      <c r="AM6554" s="14"/>
      <c r="AN6554" s="14"/>
      <c r="AO6554" s="14">
        <v>300</v>
      </c>
      <c r="AP6554" s="14"/>
      <c r="AQ6554" s="14"/>
      <c r="AR6554" s="14"/>
      <c r="AS6554" s="14"/>
      <c r="AT6554" s="14"/>
      <c r="AU6554" s="14"/>
      <c r="AV6554" s="14"/>
      <c r="AW6554" s="15">
        <f t="shared" si="1219"/>
        <v>300</v>
      </c>
      <c r="AX6554" s="16"/>
    </row>
    <row r="6555" spans="2:50" x14ac:dyDescent="0.2">
      <c r="B6555" s="7"/>
      <c r="C6555" s="8">
        <v>16645</v>
      </c>
      <c r="D6555" s="9" t="s">
        <v>437</v>
      </c>
      <c r="E6555" s="10" t="str">
        <f t="shared" si="1214"/>
        <v>Rancho Upácuaro No. 47</v>
      </c>
      <c r="F6555" s="10" t="str">
        <f t="shared" si="1215"/>
        <v>Flores Muñoz</v>
      </c>
      <c r="G6555" s="8">
        <v>1</v>
      </c>
      <c r="H6555" s="11">
        <v>800</v>
      </c>
      <c r="I6555" s="12">
        <v>43254</v>
      </c>
      <c r="J6555" s="35">
        <f t="shared" si="1216"/>
        <v>0</v>
      </c>
      <c r="K6555" s="36"/>
      <c r="L6555" s="36"/>
      <c r="M6555" s="36"/>
      <c r="N6555" s="36"/>
      <c r="O6555" s="36"/>
      <c r="P6555" s="36"/>
      <c r="Q6555" s="36"/>
      <c r="R6555" s="36"/>
      <c r="S6555" s="36"/>
      <c r="T6555" s="36"/>
      <c r="U6555" s="36"/>
      <c r="V6555" s="36"/>
      <c r="W6555" s="15">
        <f t="shared" si="1217"/>
        <v>0</v>
      </c>
      <c r="X6555" s="36"/>
      <c r="Y6555" s="36"/>
      <c r="Z6555" s="36"/>
      <c r="AA6555" s="36"/>
      <c r="AB6555" s="36"/>
      <c r="AC6555" s="36"/>
      <c r="AD6555" s="36"/>
      <c r="AE6555" s="36"/>
      <c r="AF6555" s="36"/>
      <c r="AG6555" s="36"/>
      <c r="AH6555" s="36"/>
      <c r="AI6555" s="36"/>
      <c r="AJ6555" s="15">
        <f t="shared" si="1218"/>
        <v>0</v>
      </c>
      <c r="AK6555" s="14"/>
      <c r="AL6555" s="14"/>
      <c r="AM6555" s="14"/>
      <c r="AN6555" s="14"/>
      <c r="AO6555" s="14">
        <v>400</v>
      </c>
      <c r="AP6555" s="14">
        <v>400</v>
      </c>
      <c r="AQ6555" s="14"/>
      <c r="AR6555" s="14"/>
      <c r="AS6555" s="14"/>
      <c r="AT6555" s="14"/>
      <c r="AU6555" s="14"/>
      <c r="AV6555" s="14"/>
      <c r="AW6555" s="15">
        <f t="shared" si="1219"/>
        <v>800</v>
      </c>
      <c r="AX6555" s="16"/>
    </row>
    <row r="6556" spans="2:50" x14ac:dyDescent="0.2">
      <c r="B6556" s="7"/>
      <c r="C6556" s="8">
        <v>16646</v>
      </c>
      <c r="D6556" s="9" t="s">
        <v>437</v>
      </c>
      <c r="E6556" s="10" t="str">
        <f t="shared" si="1214"/>
        <v>Rancho Upácuaro No. 47</v>
      </c>
      <c r="F6556" s="10" t="str">
        <f t="shared" si="1215"/>
        <v>Flores Muñoz</v>
      </c>
      <c r="G6556" s="8">
        <v>5</v>
      </c>
      <c r="H6556" s="11">
        <v>50</v>
      </c>
      <c r="I6556" s="12">
        <v>43254</v>
      </c>
      <c r="J6556" s="35">
        <f t="shared" si="1216"/>
        <v>0</v>
      </c>
      <c r="K6556" s="36"/>
      <c r="L6556" s="36"/>
      <c r="M6556" s="36"/>
      <c r="N6556" s="36"/>
      <c r="O6556" s="36"/>
      <c r="P6556" s="36"/>
      <c r="Q6556" s="36"/>
      <c r="R6556" s="36"/>
      <c r="S6556" s="36"/>
      <c r="T6556" s="36"/>
      <c r="U6556" s="36"/>
      <c r="V6556" s="36"/>
      <c r="W6556" s="15">
        <f t="shared" si="1217"/>
        <v>0</v>
      </c>
      <c r="X6556" s="36"/>
      <c r="Y6556" s="36"/>
      <c r="Z6556" s="36"/>
      <c r="AA6556" s="36"/>
      <c r="AB6556" s="36"/>
      <c r="AC6556" s="36"/>
      <c r="AD6556" s="36"/>
      <c r="AE6556" s="36"/>
      <c r="AF6556" s="36"/>
      <c r="AG6556" s="36"/>
      <c r="AH6556" s="36"/>
      <c r="AI6556" s="36"/>
      <c r="AJ6556" s="15">
        <f t="shared" si="1218"/>
        <v>0</v>
      </c>
      <c r="AK6556" s="14"/>
      <c r="AL6556" s="14"/>
      <c r="AM6556" s="14"/>
      <c r="AN6556" s="14"/>
      <c r="AO6556" s="14"/>
      <c r="AP6556" s="14"/>
      <c r="AQ6556" s="14"/>
      <c r="AR6556" s="14"/>
      <c r="AS6556" s="14"/>
      <c r="AT6556" s="14"/>
      <c r="AU6556" s="14"/>
      <c r="AV6556" s="14"/>
      <c r="AW6556" s="15">
        <f t="shared" si="1219"/>
        <v>0</v>
      </c>
      <c r="AX6556" s="16"/>
    </row>
    <row r="6557" spans="2:50" x14ac:dyDescent="0.2">
      <c r="B6557" s="7"/>
      <c r="C6557" s="8">
        <v>16647</v>
      </c>
      <c r="D6557" s="9" t="s">
        <v>1340</v>
      </c>
      <c r="E6557" s="10" t="str">
        <f t="shared" si="1214"/>
        <v>Rancho Estanzuela No. 73</v>
      </c>
      <c r="F6557" s="10" t="str">
        <f t="shared" si="1215"/>
        <v>Salcedo García</v>
      </c>
      <c r="G6557" s="8">
        <v>1</v>
      </c>
      <c r="H6557" s="11">
        <v>400</v>
      </c>
      <c r="I6557" s="12">
        <v>43254</v>
      </c>
      <c r="J6557" s="35">
        <f t="shared" si="1216"/>
        <v>0</v>
      </c>
      <c r="K6557" s="36"/>
      <c r="L6557" s="36"/>
      <c r="M6557" s="36"/>
      <c r="N6557" s="36"/>
      <c r="O6557" s="36"/>
      <c r="P6557" s="36"/>
      <c r="Q6557" s="36"/>
      <c r="R6557" s="36"/>
      <c r="S6557" s="36"/>
      <c r="T6557" s="36"/>
      <c r="U6557" s="36"/>
      <c r="V6557" s="36"/>
      <c r="W6557" s="15">
        <f t="shared" si="1217"/>
        <v>0</v>
      </c>
      <c r="X6557" s="36"/>
      <c r="Y6557" s="36"/>
      <c r="Z6557" s="36"/>
      <c r="AA6557" s="36"/>
      <c r="AB6557" s="36"/>
      <c r="AC6557" s="36"/>
      <c r="AD6557" s="36"/>
      <c r="AE6557" s="36"/>
      <c r="AF6557" s="36"/>
      <c r="AG6557" s="36"/>
      <c r="AH6557" s="36"/>
      <c r="AI6557" s="36"/>
      <c r="AJ6557" s="15">
        <f t="shared" si="1218"/>
        <v>0</v>
      </c>
      <c r="AK6557" s="14"/>
      <c r="AL6557" s="14"/>
      <c r="AM6557" s="14"/>
      <c r="AN6557" s="14">
        <v>400</v>
      </c>
      <c r="AO6557" s="14"/>
      <c r="AP6557" s="14"/>
      <c r="AQ6557" s="14"/>
      <c r="AR6557" s="14"/>
      <c r="AS6557" s="14"/>
      <c r="AT6557" s="14"/>
      <c r="AU6557" s="14"/>
      <c r="AV6557" s="14"/>
      <c r="AW6557" s="15">
        <f t="shared" si="1219"/>
        <v>400</v>
      </c>
      <c r="AX6557" s="16"/>
    </row>
    <row r="6558" spans="2:50" x14ac:dyDescent="0.2">
      <c r="B6558" s="7"/>
      <c r="C6558" s="8">
        <v>16648</v>
      </c>
      <c r="D6558" s="9" t="s">
        <v>1340</v>
      </c>
      <c r="E6558" s="10" t="str">
        <f t="shared" si="1214"/>
        <v>Rancho Estanzuela No. 73</v>
      </c>
      <c r="F6558" s="10" t="str">
        <f t="shared" si="1215"/>
        <v>Salcedo García</v>
      </c>
      <c r="G6558" s="8">
        <v>5</v>
      </c>
      <c r="H6558" s="11">
        <v>50</v>
      </c>
      <c r="I6558" s="12">
        <v>43254</v>
      </c>
      <c r="J6558" s="35">
        <f t="shared" si="1216"/>
        <v>0</v>
      </c>
      <c r="K6558" s="36"/>
      <c r="L6558" s="36"/>
      <c r="M6558" s="36"/>
      <c r="N6558" s="36"/>
      <c r="O6558" s="36"/>
      <c r="P6558" s="36"/>
      <c r="Q6558" s="36"/>
      <c r="R6558" s="36"/>
      <c r="S6558" s="36"/>
      <c r="T6558" s="36"/>
      <c r="U6558" s="36"/>
      <c r="V6558" s="36"/>
      <c r="W6558" s="15">
        <f t="shared" si="1217"/>
        <v>0</v>
      </c>
      <c r="X6558" s="36"/>
      <c r="Y6558" s="36"/>
      <c r="Z6558" s="36"/>
      <c r="AA6558" s="36"/>
      <c r="AB6558" s="36"/>
      <c r="AC6558" s="36"/>
      <c r="AD6558" s="36"/>
      <c r="AE6558" s="36"/>
      <c r="AF6558" s="36"/>
      <c r="AG6558" s="36"/>
      <c r="AH6558" s="36"/>
      <c r="AI6558" s="36"/>
      <c r="AJ6558" s="15">
        <f t="shared" si="1218"/>
        <v>0</v>
      </c>
      <c r="AK6558" s="14"/>
      <c r="AL6558" s="14"/>
      <c r="AM6558" s="14"/>
      <c r="AN6558" s="14"/>
      <c r="AO6558" s="14"/>
      <c r="AP6558" s="14"/>
      <c r="AQ6558" s="14"/>
      <c r="AR6558" s="14"/>
      <c r="AS6558" s="14"/>
      <c r="AT6558" s="14"/>
      <c r="AU6558" s="14"/>
      <c r="AV6558" s="14"/>
      <c r="AW6558" s="15">
        <f t="shared" si="1219"/>
        <v>0</v>
      </c>
      <c r="AX6558" s="16"/>
    </row>
    <row r="6559" spans="2:50" x14ac:dyDescent="0.2">
      <c r="B6559" s="7"/>
      <c r="C6559" s="8">
        <v>16649</v>
      </c>
      <c r="D6559" s="9" t="s">
        <v>325</v>
      </c>
      <c r="E6559" s="10" t="str">
        <f t="shared" si="1214"/>
        <v>Rancho Upácuaro No. 120</v>
      </c>
      <c r="F6559" s="10" t="str">
        <f t="shared" si="1215"/>
        <v>Rayas Rivera</v>
      </c>
      <c r="G6559" s="8">
        <v>1</v>
      </c>
      <c r="H6559" s="11">
        <v>400</v>
      </c>
      <c r="I6559" s="12">
        <v>43254</v>
      </c>
      <c r="J6559" s="35">
        <f t="shared" si="1216"/>
        <v>0</v>
      </c>
      <c r="K6559" s="36"/>
      <c r="L6559" s="36"/>
      <c r="M6559" s="36"/>
      <c r="N6559" s="36"/>
      <c r="O6559" s="36"/>
      <c r="P6559" s="36"/>
      <c r="Q6559" s="36"/>
      <c r="R6559" s="36"/>
      <c r="S6559" s="36"/>
      <c r="T6559" s="36"/>
      <c r="U6559" s="36"/>
      <c r="V6559" s="36"/>
      <c r="W6559" s="15">
        <f t="shared" si="1217"/>
        <v>0</v>
      </c>
      <c r="X6559" s="36"/>
      <c r="Y6559" s="36"/>
      <c r="Z6559" s="36"/>
      <c r="AA6559" s="36"/>
      <c r="AB6559" s="36"/>
      <c r="AC6559" s="36"/>
      <c r="AD6559" s="36"/>
      <c r="AE6559" s="36"/>
      <c r="AF6559" s="36"/>
      <c r="AG6559" s="36"/>
      <c r="AH6559" s="36"/>
      <c r="AI6559" s="36"/>
      <c r="AJ6559" s="15">
        <f t="shared" si="1218"/>
        <v>0</v>
      </c>
      <c r="AK6559" s="14"/>
      <c r="AL6559" s="14"/>
      <c r="AM6559" s="14"/>
      <c r="AN6559" s="14"/>
      <c r="AO6559" s="14"/>
      <c r="AP6559" s="14">
        <v>400</v>
      </c>
      <c r="AQ6559" s="14"/>
      <c r="AR6559" s="14"/>
      <c r="AS6559" s="14"/>
      <c r="AT6559" s="14"/>
      <c r="AU6559" s="14"/>
      <c r="AV6559" s="14"/>
      <c r="AW6559" s="15">
        <f t="shared" si="1219"/>
        <v>400</v>
      </c>
      <c r="AX6559" s="16"/>
    </row>
    <row r="6560" spans="2:50" x14ac:dyDescent="0.2">
      <c r="B6560" s="7"/>
      <c r="C6560" s="8">
        <v>16650</v>
      </c>
      <c r="D6560" s="9" t="s">
        <v>395</v>
      </c>
      <c r="E6560" s="10" t="str">
        <f t="shared" si="1214"/>
        <v>Rancho Landero No. 7</v>
      </c>
      <c r="F6560" s="10" t="str">
        <f t="shared" si="1215"/>
        <v>Robles</v>
      </c>
      <c r="G6560" s="8">
        <v>1</v>
      </c>
      <c r="H6560" s="11">
        <v>200</v>
      </c>
      <c r="I6560" s="12">
        <v>43254</v>
      </c>
      <c r="J6560" s="35">
        <f t="shared" si="1216"/>
        <v>0</v>
      </c>
      <c r="K6560" s="36"/>
      <c r="L6560" s="36"/>
      <c r="M6560" s="36"/>
      <c r="N6560" s="36"/>
      <c r="O6560" s="36"/>
      <c r="P6560" s="36"/>
      <c r="Q6560" s="36"/>
      <c r="R6560" s="36"/>
      <c r="S6560" s="36"/>
      <c r="T6560" s="36"/>
      <c r="U6560" s="36"/>
      <c r="V6560" s="36"/>
      <c r="W6560" s="15">
        <f t="shared" si="1217"/>
        <v>0</v>
      </c>
      <c r="X6560" s="36"/>
      <c r="Y6560" s="36"/>
      <c r="Z6560" s="36"/>
      <c r="AA6560" s="36"/>
      <c r="AB6560" s="36"/>
      <c r="AC6560" s="36"/>
      <c r="AD6560" s="36"/>
      <c r="AE6560" s="36"/>
      <c r="AF6560" s="36"/>
      <c r="AG6560" s="36"/>
      <c r="AH6560" s="36"/>
      <c r="AI6560" s="36"/>
      <c r="AJ6560" s="15">
        <f t="shared" si="1218"/>
        <v>0</v>
      </c>
      <c r="AK6560" s="14"/>
      <c r="AL6560" s="14"/>
      <c r="AM6560" s="14"/>
      <c r="AN6560" s="14"/>
      <c r="AO6560" s="14"/>
      <c r="AP6560" s="14">
        <v>200</v>
      </c>
      <c r="AQ6560" s="14"/>
      <c r="AR6560" s="14"/>
      <c r="AS6560" s="14"/>
      <c r="AT6560" s="14"/>
      <c r="AU6560" s="14"/>
      <c r="AV6560" s="14"/>
      <c r="AW6560" s="15">
        <f t="shared" si="1219"/>
        <v>200</v>
      </c>
      <c r="AX6560" s="16"/>
    </row>
    <row r="6561" spans="2:50" x14ac:dyDescent="0.2">
      <c r="B6561" s="7"/>
      <c r="C6561" s="8">
        <v>16651</v>
      </c>
      <c r="D6561" s="9" t="s">
        <v>376</v>
      </c>
      <c r="E6561" s="10" t="str">
        <f t="shared" si="1214"/>
        <v>Rancho Estanzuela No. 33</v>
      </c>
      <c r="F6561" s="10" t="str">
        <f t="shared" si="1215"/>
        <v>Arauz</v>
      </c>
      <c r="G6561" s="8">
        <v>3</v>
      </c>
      <c r="H6561" s="11">
        <v>400</v>
      </c>
      <c r="I6561" s="12">
        <v>42889</v>
      </c>
      <c r="J6561" s="35">
        <f t="shared" si="1216"/>
        <v>0</v>
      </c>
      <c r="K6561" s="36"/>
      <c r="L6561" s="36"/>
      <c r="M6561" s="36"/>
      <c r="N6561" s="36"/>
      <c r="O6561" s="36"/>
      <c r="P6561" s="36"/>
      <c r="Q6561" s="36"/>
      <c r="R6561" s="36"/>
      <c r="S6561" s="36"/>
      <c r="T6561" s="36"/>
      <c r="U6561" s="36"/>
      <c r="V6561" s="36"/>
      <c r="W6561" s="15">
        <f t="shared" si="1217"/>
        <v>0</v>
      </c>
      <c r="X6561" s="36"/>
      <c r="Y6561" s="36"/>
      <c r="Z6561" s="36"/>
      <c r="AA6561" s="36"/>
      <c r="AB6561" s="36"/>
      <c r="AC6561" s="36"/>
      <c r="AD6561" s="36"/>
      <c r="AE6561" s="36"/>
      <c r="AF6561" s="36"/>
      <c r="AG6561" s="36"/>
      <c r="AH6561" s="36"/>
      <c r="AI6561" s="36"/>
      <c r="AJ6561" s="15">
        <f t="shared" si="1218"/>
        <v>0</v>
      </c>
      <c r="AK6561" s="14"/>
      <c r="AL6561" s="14"/>
      <c r="AM6561" s="14"/>
      <c r="AN6561" s="14"/>
      <c r="AO6561" s="14"/>
      <c r="AP6561" s="14"/>
      <c r="AQ6561" s="14"/>
      <c r="AR6561" s="14"/>
      <c r="AS6561" s="14"/>
      <c r="AT6561" s="14"/>
      <c r="AU6561" s="14"/>
      <c r="AV6561" s="14"/>
      <c r="AW6561" s="15">
        <f t="shared" si="1219"/>
        <v>0</v>
      </c>
      <c r="AX6561" s="16"/>
    </row>
    <row r="6562" spans="2:50" x14ac:dyDescent="0.2">
      <c r="B6562" s="7"/>
      <c r="C6562" s="8">
        <v>16652</v>
      </c>
      <c r="D6562" s="9" t="s">
        <v>476</v>
      </c>
      <c r="E6562" s="10" t="str">
        <f t="shared" si="1214"/>
        <v>Rancho Upácuaro No. 33</v>
      </c>
      <c r="F6562" s="10" t="str">
        <f t="shared" si="1215"/>
        <v>Ulloa Miranda</v>
      </c>
      <c r="G6562" s="8">
        <v>1</v>
      </c>
      <c r="H6562" s="11">
        <v>400</v>
      </c>
      <c r="I6562" s="12">
        <v>43254</v>
      </c>
      <c r="J6562" s="35">
        <f t="shared" si="1216"/>
        <v>0</v>
      </c>
      <c r="K6562" s="36"/>
      <c r="L6562" s="36"/>
      <c r="M6562" s="36"/>
      <c r="N6562" s="36"/>
      <c r="O6562" s="36"/>
      <c r="P6562" s="36"/>
      <c r="Q6562" s="36"/>
      <c r="R6562" s="36"/>
      <c r="S6562" s="36"/>
      <c r="T6562" s="36"/>
      <c r="U6562" s="36"/>
      <c r="V6562" s="36"/>
      <c r="W6562" s="15">
        <f t="shared" si="1217"/>
        <v>0</v>
      </c>
      <c r="X6562" s="36"/>
      <c r="Y6562" s="36"/>
      <c r="Z6562" s="36"/>
      <c r="AA6562" s="36"/>
      <c r="AB6562" s="36"/>
      <c r="AC6562" s="36"/>
      <c r="AD6562" s="36"/>
      <c r="AE6562" s="36"/>
      <c r="AF6562" s="36"/>
      <c r="AG6562" s="36"/>
      <c r="AH6562" s="36"/>
      <c r="AI6562" s="36"/>
      <c r="AJ6562" s="15">
        <f t="shared" si="1218"/>
        <v>0</v>
      </c>
      <c r="AK6562" s="14"/>
      <c r="AL6562" s="14"/>
      <c r="AM6562" s="14"/>
      <c r="AN6562" s="14"/>
      <c r="AO6562" s="14"/>
      <c r="AP6562" s="14">
        <v>400</v>
      </c>
      <c r="AQ6562" s="14"/>
      <c r="AR6562" s="14"/>
      <c r="AS6562" s="14"/>
      <c r="AT6562" s="14"/>
      <c r="AU6562" s="14"/>
      <c r="AV6562" s="14"/>
      <c r="AW6562" s="15">
        <f t="shared" si="1219"/>
        <v>400</v>
      </c>
      <c r="AX6562" s="16"/>
    </row>
    <row r="6563" spans="2:50" x14ac:dyDescent="0.2">
      <c r="B6563" s="7"/>
      <c r="C6563" s="8">
        <v>16653</v>
      </c>
      <c r="D6563" s="9" t="s">
        <v>171</v>
      </c>
      <c r="E6563" s="10" t="str">
        <f t="shared" si="1214"/>
        <v>Rancho La Cuchilla No. 72</v>
      </c>
      <c r="F6563" s="10" t="str">
        <f t="shared" si="1215"/>
        <v>Ortiz González</v>
      </c>
      <c r="G6563" s="8">
        <v>1</v>
      </c>
      <c r="H6563" s="11">
        <v>400</v>
      </c>
      <c r="I6563" s="12">
        <v>43254</v>
      </c>
      <c r="J6563" s="35">
        <f t="shared" si="1216"/>
        <v>0</v>
      </c>
      <c r="K6563" s="36"/>
      <c r="L6563" s="36"/>
      <c r="M6563" s="36"/>
      <c r="N6563" s="36"/>
      <c r="O6563" s="36"/>
      <c r="P6563" s="36"/>
      <c r="Q6563" s="36"/>
      <c r="R6563" s="36"/>
      <c r="S6563" s="36"/>
      <c r="T6563" s="36"/>
      <c r="U6563" s="36"/>
      <c r="V6563" s="36"/>
      <c r="W6563" s="15">
        <f t="shared" si="1217"/>
        <v>0</v>
      </c>
      <c r="X6563" s="36"/>
      <c r="Y6563" s="36"/>
      <c r="Z6563" s="36"/>
      <c r="AA6563" s="36"/>
      <c r="AB6563" s="36"/>
      <c r="AC6563" s="36"/>
      <c r="AD6563" s="36"/>
      <c r="AE6563" s="36"/>
      <c r="AF6563" s="36"/>
      <c r="AG6563" s="36"/>
      <c r="AH6563" s="36"/>
      <c r="AI6563" s="36"/>
      <c r="AJ6563" s="15">
        <f t="shared" si="1218"/>
        <v>0</v>
      </c>
      <c r="AK6563" s="14"/>
      <c r="AL6563" s="14"/>
      <c r="AM6563" s="14"/>
      <c r="AN6563" s="14"/>
      <c r="AO6563" s="14"/>
      <c r="AP6563" s="14">
        <v>400</v>
      </c>
      <c r="AQ6563" s="14"/>
      <c r="AR6563" s="14"/>
      <c r="AS6563" s="14"/>
      <c r="AT6563" s="14"/>
      <c r="AU6563" s="14"/>
      <c r="AV6563" s="14"/>
      <c r="AW6563" s="15">
        <f t="shared" si="1219"/>
        <v>400</v>
      </c>
      <c r="AX6563" s="16"/>
    </row>
    <row r="6564" spans="2:50" x14ac:dyDescent="0.2">
      <c r="B6564" s="7"/>
      <c r="C6564" s="8">
        <v>16654</v>
      </c>
      <c r="D6564" s="9" t="s">
        <v>541</v>
      </c>
      <c r="E6564" s="10" t="str">
        <f t="shared" si="1214"/>
        <v>Rancho Estanzuela No. 103, B</v>
      </c>
      <c r="F6564" s="10" t="str">
        <f t="shared" si="1215"/>
        <v>Olivares Flores</v>
      </c>
      <c r="G6564" s="8">
        <v>1</v>
      </c>
      <c r="H6564" s="11">
        <v>800</v>
      </c>
      <c r="I6564" s="12">
        <v>43254</v>
      </c>
      <c r="J6564" s="35">
        <f t="shared" si="1216"/>
        <v>0</v>
      </c>
      <c r="K6564" s="36"/>
      <c r="L6564" s="36"/>
      <c r="M6564" s="36"/>
      <c r="N6564" s="36"/>
      <c r="O6564" s="36"/>
      <c r="P6564" s="36"/>
      <c r="Q6564" s="36"/>
      <c r="R6564" s="36"/>
      <c r="S6564" s="36"/>
      <c r="T6564" s="36"/>
      <c r="U6564" s="36"/>
      <c r="V6564" s="36"/>
      <c r="W6564" s="15">
        <f t="shared" si="1217"/>
        <v>0</v>
      </c>
      <c r="X6564" s="36"/>
      <c r="Y6564" s="36"/>
      <c r="Z6564" s="36"/>
      <c r="AA6564" s="36"/>
      <c r="AB6564" s="36"/>
      <c r="AC6564" s="36"/>
      <c r="AD6564" s="36"/>
      <c r="AE6564" s="36"/>
      <c r="AF6564" s="36"/>
      <c r="AG6564" s="36"/>
      <c r="AH6564" s="36"/>
      <c r="AI6564" s="36"/>
      <c r="AJ6564" s="15">
        <f t="shared" si="1218"/>
        <v>0</v>
      </c>
      <c r="AK6564" s="14"/>
      <c r="AL6564" s="14"/>
      <c r="AM6564" s="14"/>
      <c r="AN6564" s="14"/>
      <c r="AO6564" s="14">
        <v>400</v>
      </c>
      <c r="AP6564" s="14">
        <v>400</v>
      </c>
      <c r="AQ6564" s="14"/>
      <c r="AR6564" s="14"/>
      <c r="AS6564" s="14"/>
      <c r="AT6564" s="14"/>
      <c r="AU6564" s="14"/>
      <c r="AV6564" s="14"/>
      <c r="AW6564" s="15">
        <f t="shared" si="1219"/>
        <v>800</v>
      </c>
      <c r="AX6564" s="16"/>
    </row>
    <row r="6565" spans="2:50" x14ac:dyDescent="0.2">
      <c r="B6565" s="7"/>
      <c r="C6565" s="8">
        <v>16655</v>
      </c>
      <c r="D6565" s="9" t="s">
        <v>150</v>
      </c>
      <c r="E6565" s="10" t="str">
        <f t="shared" si="1214"/>
        <v>Rancho La Cuchilla No. 33</v>
      </c>
      <c r="F6565" s="10" t="str">
        <f t="shared" si="1215"/>
        <v>Tanús</v>
      </c>
      <c r="G6565" s="8">
        <v>1</v>
      </c>
      <c r="H6565" s="11">
        <v>400</v>
      </c>
      <c r="I6565" s="12">
        <v>43254</v>
      </c>
      <c r="J6565" s="35">
        <f t="shared" si="1216"/>
        <v>0</v>
      </c>
      <c r="K6565" s="36"/>
      <c r="L6565" s="36"/>
      <c r="M6565" s="36"/>
      <c r="N6565" s="36"/>
      <c r="O6565" s="36"/>
      <c r="P6565" s="36"/>
      <c r="Q6565" s="36"/>
      <c r="R6565" s="36"/>
      <c r="S6565" s="36"/>
      <c r="T6565" s="36"/>
      <c r="U6565" s="36"/>
      <c r="V6565" s="36"/>
      <c r="W6565" s="15">
        <f t="shared" si="1217"/>
        <v>0</v>
      </c>
      <c r="X6565" s="36"/>
      <c r="Y6565" s="36"/>
      <c r="Z6565" s="36"/>
      <c r="AA6565" s="36"/>
      <c r="AB6565" s="36"/>
      <c r="AC6565" s="36"/>
      <c r="AD6565" s="36"/>
      <c r="AE6565" s="36"/>
      <c r="AF6565" s="36"/>
      <c r="AG6565" s="36"/>
      <c r="AH6565" s="36"/>
      <c r="AI6565" s="36"/>
      <c r="AJ6565" s="15">
        <f t="shared" si="1218"/>
        <v>0</v>
      </c>
      <c r="AK6565" s="14"/>
      <c r="AL6565" s="14"/>
      <c r="AM6565" s="14"/>
      <c r="AN6565" s="14"/>
      <c r="AO6565" s="14"/>
      <c r="AP6565" s="14">
        <v>400</v>
      </c>
      <c r="AQ6565" s="14"/>
      <c r="AR6565" s="14"/>
      <c r="AS6565" s="14"/>
      <c r="AT6565" s="14"/>
      <c r="AU6565" s="14"/>
      <c r="AV6565" s="14"/>
      <c r="AW6565" s="15">
        <f t="shared" si="1219"/>
        <v>400</v>
      </c>
      <c r="AX6565" s="16"/>
    </row>
    <row r="6566" spans="2:50" x14ac:dyDescent="0.2">
      <c r="B6566" s="7"/>
      <c r="C6566" s="8">
        <v>16656</v>
      </c>
      <c r="D6566" s="9" t="s">
        <v>620</v>
      </c>
      <c r="E6566" s="10" t="str">
        <f t="shared" si="1214"/>
        <v>Rancho La Cuchilla No. 32</v>
      </c>
      <c r="F6566" s="10" t="str">
        <f t="shared" si="1215"/>
        <v>Hernández</v>
      </c>
      <c r="G6566" s="8">
        <v>1</v>
      </c>
      <c r="H6566" s="11">
        <v>400</v>
      </c>
      <c r="I6566" s="12">
        <v>43254</v>
      </c>
      <c r="J6566" s="35">
        <f t="shared" si="1216"/>
        <v>0</v>
      </c>
      <c r="K6566" s="36"/>
      <c r="L6566" s="36"/>
      <c r="M6566" s="36"/>
      <c r="N6566" s="36"/>
      <c r="O6566" s="36"/>
      <c r="P6566" s="36"/>
      <c r="Q6566" s="36"/>
      <c r="R6566" s="36"/>
      <c r="S6566" s="36"/>
      <c r="T6566" s="36"/>
      <c r="U6566" s="36"/>
      <c r="V6566" s="36"/>
      <c r="W6566" s="15">
        <f t="shared" si="1217"/>
        <v>0</v>
      </c>
      <c r="X6566" s="36"/>
      <c r="Y6566" s="36"/>
      <c r="Z6566" s="36"/>
      <c r="AA6566" s="36"/>
      <c r="AB6566" s="36"/>
      <c r="AC6566" s="36"/>
      <c r="AD6566" s="36"/>
      <c r="AE6566" s="36"/>
      <c r="AF6566" s="36"/>
      <c r="AG6566" s="36"/>
      <c r="AH6566" s="36"/>
      <c r="AI6566" s="36"/>
      <c r="AJ6566" s="15">
        <f t="shared" si="1218"/>
        <v>0</v>
      </c>
      <c r="AK6566" s="14"/>
      <c r="AL6566" s="14"/>
      <c r="AM6566" s="14"/>
      <c r="AN6566" s="14"/>
      <c r="AO6566" s="14">
        <v>400</v>
      </c>
      <c r="AP6566" s="14"/>
      <c r="AQ6566" s="14"/>
      <c r="AR6566" s="14"/>
      <c r="AS6566" s="14"/>
      <c r="AT6566" s="14"/>
      <c r="AU6566" s="14"/>
      <c r="AV6566" s="14"/>
      <c r="AW6566" s="15">
        <f t="shared" si="1219"/>
        <v>400</v>
      </c>
      <c r="AX6566" s="16"/>
    </row>
    <row r="6567" spans="2:50" x14ac:dyDescent="0.2">
      <c r="B6567" s="7"/>
      <c r="C6567" s="8">
        <v>16656</v>
      </c>
      <c r="D6567" s="9" t="s">
        <v>620</v>
      </c>
      <c r="E6567" s="10" t="str">
        <f t="shared" si="1196"/>
        <v>Rancho La Cuchilla No. 32</v>
      </c>
      <c r="F6567" s="10" t="str">
        <f t="shared" si="1197"/>
        <v>Hernández</v>
      </c>
      <c r="G6567" s="8">
        <v>5</v>
      </c>
      <c r="H6567" s="11">
        <v>50</v>
      </c>
      <c r="I6567" s="12">
        <v>43254</v>
      </c>
      <c r="J6567" s="35">
        <f t="shared" si="1198"/>
        <v>0</v>
      </c>
      <c r="K6567" s="36"/>
      <c r="L6567" s="36"/>
      <c r="M6567" s="36"/>
      <c r="N6567" s="36"/>
      <c r="O6567" s="36"/>
      <c r="P6567" s="36"/>
      <c r="Q6567" s="36"/>
      <c r="R6567" s="36"/>
      <c r="S6567" s="36"/>
      <c r="T6567" s="36"/>
      <c r="U6567" s="36"/>
      <c r="V6567" s="36"/>
      <c r="W6567" s="15">
        <f t="shared" si="1199"/>
        <v>0</v>
      </c>
      <c r="X6567" s="36"/>
      <c r="Y6567" s="36"/>
      <c r="Z6567" s="36"/>
      <c r="AA6567" s="36"/>
      <c r="AB6567" s="36"/>
      <c r="AC6567" s="36"/>
      <c r="AD6567" s="36"/>
      <c r="AE6567" s="36"/>
      <c r="AF6567" s="36"/>
      <c r="AG6567" s="36"/>
      <c r="AH6567" s="36"/>
      <c r="AI6567" s="36"/>
      <c r="AJ6567" s="15">
        <f t="shared" si="1200"/>
        <v>0</v>
      </c>
      <c r="AK6567" s="14"/>
      <c r="AL6567" s="14"/>
      <c r="AM6567" s="14"/>
      <c r="AN6567" s="14"/>
      <c r="AO6567" s="14"/>
      <c r="AP6567" s="14"/>
      <c r="AQ6567" s="14"/>
      <c r="AR6567" s="14"/>
      <c r="AS6567" s="14"/>
      <c r="AT6567" s="14"/>
      <c r="AU6567" s="14"/>
      <c r="AV6567" s="14"/>
      <c r="AW6567" s="15">
        <f t="shared" si="1201"/>
        <v>0</v>
      </c>
      <c r="AX6567" s="16"/>
    </row>
    <row r="6568" spans="2:50" x14ac:dyDescent="0.2">
      <c r="B6568" s="7"/>
      <c r="C6568" s="8">
        <v>16657</v>
      </c>
      <c r="D6568" s="9" t="s">
        <v>728</v>
      </c>
      <c r="E6568" s="10" t="str">
        <f t="shared" si="1196"/>
        <v>Rancho Estanzuela No. 77</v>
      </c>
      <c r="F6568" s="10" t="str">
        <f t="shared" si="1197"/>
        <v>De la Rosa Rico</v>
      </c>
      <c r="G6568" s="8">
        <v>1</v>
      </c>
      <c r="H6568" s="11">
        <v>400</v>
      </c>
      <c r="I6568" s="12">
        <v>43254</v>
      </c>
      <c r="J6568" s="35">
        <f t="shared" si="1198"/>
        <v>0</v>
      </c>
      <c r="K6568" s="36"/>
      <c r="L6568" s="36"/>
      <c r="M6568" s="36"/>
      <c r="N6568" s="36"/>
      <c r="O6568" s="36"/>
      <c r="P6568" s="36"/>
      <c r="Q6568" s="36"/>
      <c r="R6568" s="36"/>
      <c r="S6568" s="36"/>
      <c r="T6568" s="36"/>
      <c r="U6568" s="36"/>
      <c r="V6568" s="36"/>
      <c r="W6568" s="15">
        <f t="shared" si="1199"/>
        <v>0</v>
      </c>
      <c r="X6568" s="36"/>
      <c r="Y6568" s="36"/>
      <c r="Z6568" s="36"/>
      <c r="AA6568" s="36"/>
      <c r="AB6568" s="36"/>
      <c r="AC6568" s="36"/>
      <c r="AD6568" s="36"/>
      <c r="AE6568" s="36"/>
      <c r="AF6568" s="36"/>
      <c r="AG6568" s="36"/>
      <c r="AH6568" s="36"/>
      <c r="AI6568" s="36"/>
      <c r="AJ6568" s="15">
        <f t="shared" si="1200"/>
        <v>0</v>
      </c>
      <c r="AK6568" s="14"/>
      <c r="AL6568" s="14"/>
      <c r="AM6568" s="14"/>
      <c r="AN6568" s="14">
        <v>400</v>
      </c>
      <c r="AO6568" s="14"/>
      <c r="AP6568" s="14"/>
      <c r="AQ6568" s="14"/>
      <c r="AR6568" s="14"/>
      <c r="AS6568" s="14"/>
      <c r="AT6568" s="14"/>
      <c r="AU6568" s="14"/>
      <c r="AV6568" s="14"/>
      <c r="AW6568" s="15">
        <f t="shared" si="1201"/>
        <v>400</v>
      </c>
      <c r="AX6568" s="16"/>
    </row>
    <row r="6569" spans="2:50" x14ac:dyDescent="0.2">
      <c r="B6569" s="7"/>
      <c r="C6569" s="8">
        <v>16658</v>
      </c>
      <c r="D6569" s="9" t="s">
        <v>343</v>
      </c>
      <c r="E6569" s="10" t="str">
        <f t="shared" ref="E6569:E6570" si="1220">IF(D6569=0,"",VLOOKUP(D6569,BASE,2,FALSE))</f>
        <v>Rancho Upácuaro No. 88</v>
      </c>
      <c r="F6569" s="10" t="str">
        <f t="shared" ref="F6569:F6570" si="1221">IF(D6569=0,"",VLOOKUP(D6569,BASE,3,FALSE))</f>
        <v>Millán Núñez</v>
      </c>
      <c r="G6569" s="8">
        <v>1</v>
      </c>
      <c r="H6569" s="11">
        <v>400</v>
      </c>
      <c r="I6569" s="12">
        <v>43254</v>
      </c>
      <c r="J6569" s="35">
        <f t="shared" ref="J6569:J6570" si="1222">IF(G6569=1,SUM(W6569,AJ6569,AW6569,-H6569),0)</f>
        <v>0</v>
      </c>
      <c r="K6569" s="36"/>
      <c r="L6569" s="36"/>
      <c r="M6569" s="36"/>
      <c r="N6569" s="36"/>
      <c r="O6569" s="36"/>
      <c r="P6569" s="36"/>
      <c r="Q6569" s="36"/>
      <c r="R6569" s="36"/>
      <c r="S6569" s="36"/>
      <c r="T6569" s="36"/>
      <c r="U6569" s="36"/>
      <c r="V6569" s="36"/>
      <c r="W6569" s="15">
        <f t="shared" ref="W6569:W6570" si="1223">SUM(K6569:V6569)</f>
        <v>0</v>
      </c>
      <c r="X6569" s="36"/>
      <c r="Y6569" s="36"/>
      <c r="Z6569" s="36"/>
      <c r="AA6569" s="36"/>
      <c r="AB6569" s="36"/>
      <c r="AC6569" s="36"/>
      <c r="AD6569" s="36"/>
      <c r="AE6569" s="36"/>
      <c r="AF6569" s="36"/>
      <c r="AG6569" s="36"/>
      <c r="AH6569" s="36"/>
      <c r="AI6569" s="36"/>
      <c r="AJ6569" s="15">
        <f t="shared" ref="AJ6569:AJ6570" si="1224">SUM(X6569:AI6569)</f>
        <v>0</v>
      </c>
      <c r="AK6569" s="14"/>
      <c r="AL6569" s="14"/>
      <c r="AM6569" s="14"/>
      <c r="AN6569" s="14"/>
      <c r="AO6569" s="14"/>
      <c r="AP6569" s="14">
        <v>400</v>
      </c>
      <c r="AQ6569" s="14"/>
      <c r="AR6569" s="14"/>
      <c r="AS6569" s="14"/>
      <c r="AT6569" s="14"/>
      <c r="AU6569" s="14"/>
      <c r="AV6569" s="14"/>
      <c r="AW6569" s="15">
        <f t="shared" ref="AW6569:AW6570" si="1225">SUM(AK6569:AV6569)</f>
        <v>400</v>
      </c>
      <c r="AX6569" s="316">
        <f>SUM(H6526:H6569)</f>
        <v>14825</v>
      </c>
    </row>
    <row r="6570" spans="2:50" x14ac:dyDescent="0.2">
      <c r="B6570" s="7"/>
      <c r="C6570" s="8">
        <v>16659</v>
      </c>
      <c r="D6570" s="9" t="s">
        <v>205</v>
      </c>
      <c r="E6570" s="10" t="str">
        <f t="shared" si="1220"/>
        <v>Rancho Landero No. 1, A</v>
      </c>
      <c r="F6570" s="10" t="str">
        <f t="shared" si="1221"/>
        <v>Ebysos</v>
      </c>
      <c r="G6570" s="8">
        <v>1</v>
      </c>
      <c r="H6570" s="315">
        <v>600</v>
      </c>
      <c r="I6570" s="12">
        <v>43255</v>
      </c>
      <c r="J6570" s="35">
        <f t="shared" si="1222"/>
        <v>0</v>
      </c>
      <c r="K6570" s="36"/>
      <c r="L6570" s="36"/>
      <c r="M6570" s="36"/>
      <c r="N6570" s="36"/>
      <c r="O6570" s="36"/>
      <c r="P6570" s="36"/>
      <c r="Q6570" s="36"/>
      <c r="R6570" s="36"/>
      <c r="S6570" s="36"/>
      <c r="T6570" s="36"/>
      <c r="U6570" s="36"/>
      <c r="V6570" s="36"/>
      <c r="W6570" s="15">
        <f t="shared" si="1223"/>
        <v>0</v>
      </c>
      <c r="X6570" s="36"/>
      <c r="Y6570" s="36"/>
      <c r="Z6570" s="36"/>
      <c r="AA6570" s="36"/>
      <c r="AB6570" s="36"/>
      <c r="AC6570" s="36"/>
      <c r="AD6570" s="36"/>
      <c r="AE6570" s="36"/>
      <c r="AF6570" s="36"/>
      <c r="AG6570" s="36"/>
      <c r="AH6570" s="36"/>
      <c r="AI6570" s="36"/>
      <c r="AJ6570" s="15">
        <f t="shared" si="1224"/>
        <v>0</v>
      </c>
      <c r="AK6570" s="14"/>
      <c r="AL6570" s="14"/>
      <c r="AM6570" s="14"/>
      <c r="AN6570" s="14"/>
      <c r="AO6570" s="14">
        <v>600</v>
      </c>
      <c r="AP6570" s="14"/>
      <c r="AQ6570" s="14"/>
      <c r="AR6570" s="14"/>
      <c r="AS6570" s="14"/>
      <c r="AT6570" s="14"/>
      <c r="AU6570" s="14"/>
      <c r="AV6570" s="14"/>
      <c r="AW6570" s="15">
        <f t="shared" si="1225"/>
        <v>600</v>
      </c>
      <c r="AX6570" s="16"/>
    </row>
    <row r="6571" spans="2:50" x14ac:dyDescent="0.2">
      <c r="B6571" s="7"/>
      <c r="C6571" s="8">
        <v>16660</v>
      </c>
      <c r="D6571" s="9" t="s">
        <v>177</v>
      </c>
      <c r="E6571" s="10" t="str">
        <f t="shared" ref="E6571:E6663" si="1226">IF(D6571=0,"",VLOOKUP(D6571,BASE,2,FALSE))</f>
        <v>Rancho Landero No. 71</v>
      </c>
      <c r="F6571" s="10" t="str">
        <f t="shared" ref="F6571:F6663" si="1227">IF(D6571=0,"",VLOOKUP(D6571,BASE,3,FALSE))</f>
        <v xml:space="preserve">Luna  </v>
      </c>
      <c r="G6571" s="8">
        <v>1</v>
      </c>
      <c r="H6571" s="11">
        <v>400</v>
      </c>
      <c r="I6571" s="12">
        <v>43255</v>
      </c>
      <c r="J6571" s="35">
        <f t="shared" ref="J6571:J6663" si="1228">IF(G6571=1,SUM(W6571,AJ6571,AW6571,-H6571),0)</f>
        <v>0</v>
      </c>
      <c r="K6571" s="36"/>
      <c r="L6571" s="36"/>
      <c r="M6571" s="36"/>
      <c r="N6571" s="36"/>
      <c r="O6571" s="36"/>
      <c r="P6571" s="36"/>
      <c r="Q6571" s="36"/>
      <c r="R6571" s="36"/>
      <c r="S6571" s="36"/>
      <c r="T6571" s="36"/>
      <c r="U6571" s="36"/>
      <c r="V6571" s="36"/>
      <c r="W6571" s="15">
        <f t="shared" ref="W6571:W6663" si="1229">SUM(K6571:V6571)</f>
        <v>0</v>
      </c>
      <c r="X6571" s="36"/>
      <c r="Y6571" s="36"/>
      <c r="Z6571" s="36"/>
      <c r="AA6571" s="36"/>
      <c r="AB6571" s="36"/>
      <c r="AC6571" s="36"/>
      <c r="AD6571" s="36"/>
      <c r="AE6571" s="36"/>
      <c r="AF6571" s="36"/>
      <c r="AG6571" s="36"/>
      <c r="AH6571" s="36"/>
      <c r="AI6571" s="36"/>
      <c r="AJ6571" s="15">
        <f t="shared" ref="AJ6571:AJ6663" si="1230">SUM(X6571:AI6571)</f>
        <v>0</v>
      </c>
      <c r="AK6571" s="14"/>
      <c r="AL6571" s="14"/>
      <c r="AM6571" s="14"/>
      <c r="AN6571" s="14"/>
      <c r="AO6571" s="14">
        <v>400</v>
      </c>
      <c r="AP6571" s="14"/>
      <c r="AQ6571" s="14"/>
      <c r="AR6571" s="14"/>
      <c r="AS6571" s="14"/>
      <c r="AT6571" s="14"/>
      <c r="AU6571" s="14"/>
      <c r="AV6571" s="14"/>
      <c r="AW6571" s="15">
        <f t="shared" ref="AW6571:AW6663" si="1231">SUM(AK6571:AV6571)</f>
        <v>400</v>
      </c>
      <c r="AX6571" s="16"/>
    </row>
    <row r="6572" spans="2:50" x14ac:dyDescent="0.2">
      <c r="B6572" s="7"/>
      <c r="C6572" s="8">
        <v>16660</v>
      </c>
      <c r="D6572" s="9" t="s">
        <v>177</v>
      </c>
      <c r="E6572" s="10" t="str">
        <f t="shared" si="1226"/>
        <v>Rancho Landero No. 71</v>
      </c>
      <c r="F6572" s="10" t="str">
        <f t="shared" si="1227"/>
        <v xml:space="preserve">Luna  </v>
      </c>
      <c r="G6572" s="8">
        <v>3</v>
      </c>
      <c r="H6572" s="11">
        <v>200</v>
      </c>
      <c r="I6572" s="12">
        <v>43255</v>
      </c>
      <c r="J6572" s="35">
        <f t="shared" si="1228"/>
        <v>0</v>
      </c>
      <c r="K6572" s="36"/>
      <c r="L6572" s="36"/>
      <c r="M6572" s="36"/>
      <c r="N6572" s="36"/>
      <c r="O6572" s="36"/>
      <c r="P6572" s="36"/>
      <c r="Q6572" s="36"/>
      <c r="R6572" s="36"/>
      <c r="S6572" s="36"/>
      <c r="T6572" s="36"/>
      <c r="U6572" s="36"/>
      <c r="V6572" s="36"/>
      <c r="W6572" s="15">
        <f t="shared" si="1229"/>
        <v>0</v>
      </c>
      <c r="X6572" s="36"/>
      <c r="Y6572" s="36"/>
      <c r="Z6572" s="36"/>
      <c r="AA6572" s="36"/>
      <c r="AB6572" s="36"/>
      <c r="AC6572" s="36"/>
      <c r="AD6572" s="36"/>
      <c r="AE6572" s="36"/>
      <c r="AF6572" s="36"/>
      <c r="AG6572" s="36"/>
      <c r="AH6572" s="36"/>
      <c r="AI6572" s="36"/>
      <c r="AJ6572" s="15">
        <f t="shared" si="1230"/>
        <v>0</v>
      </c>
      <c r="AK6572" s="14"/>
      <c r="AL6572" s="14"/>
      <c r="AM6572" s="14"/>
      <c r="AN6572" s="14"/>
      <c r="AO6572" s="14"/>
      <c r="AP6572" s="14"/>
      <c r="AQ6572" s="14"/>
      <c r="AR6572" s="14"/>
      <c r="AS6572" s="14"/>
      <c r="AT6572" s="14"/>
      <c r="AU6572" s="14"/>
      <c r="AV6572" s="14"/>
      <c r="AW6572" s="15">
        <f t="shared" si="1231"/>
        <v>0</v>
      </c>
      <c r="AX6572" s="16"/>
    </row>
    <row r="6573" spans="2:50" x14ac:dyDescent="0.2">
      <c r="B6573" s="7"/>
      <c r="C6573" s="8">
        <v>16601</v>
      </c>
      <c r="D6573" s="9" t="s">
        <v>950</v>
      </c>
      <c r="E6573" s="10" t="str">
        <f t="shared" si="1226"/>
        <v>Rancho La Cuchilla No. 93</v>
      </c>
      <c r="F6573" s="10" t="str">
        <f t="shared" si="1227"/>
        <v>Alcántara Silva</v>
      </c>
      <c r="G6573" s="8">
        <v>1</v>
      </c>
      <c r="H6573" s="11">
        <v>1200</v>
      </c>
      <c r="I6573" s="12">
        <v>43256</v>
      </c>
      <c r="J6573" s="35">
        <f t="shared" si="1228"/>
        <v>0</v>
      </c>
      <c r="K6573" s="36"/>
      <c r="L6573" s="36"/>
      <c r="M6573" s="36"/>
      <c r="N6573" s="36"/>
      <c r="O6573" s="36"/>
      <c r="P6573" s="36"/>
      <c r="Q6573" s="36"/>
      <c r="R6573" s="36"/>
      <c r="S6573" s="36"/>
      <c r="T6573" s="36"/>
      <c r="U6573" s="36"/>
      <c r="V6573" s="36"/>
      <c r="W6573" s="15">
        <f t="shared" si="1229"/>
        <v>0</v>
      </c>
      <c r="X6573" s="36"/>
      <c r="Y6573" s="36"/>
      <c r="Z6573" s="36"/>
      <c r="AA6573" s="36"/>
      <c r="AB6573" s="36"/>
      <c r="AC6573" s="36"/>
      <c r="AD6573" s="36"/>
      <c r="AE6573" s="36"/>
      <c r="AF6573" s="36"/>
      <c r="AG6573" s="36"/>
      <c r="AH6573" s="36"/>
      <c r="AI6573" s="36"/>
      <c r="AJ6573" s="15">
        <f t="shared" si="1230"/>
        <v>0</v>
      </c>
      <c r="AK6573" s="14">
        <v>400</v>
      </c>
      <c r="AL6573" s="14">
        <v>400</v>
      </c>
      <c r="AM6573" s="14">
        <v>400</v>
      </c>
      <c r="AN6573" s="14"/>
      <c r="AO6573" s="14"/>
      <c r="AP6573" s="14"/>
      <c r="AQ6573" s="14"/>
      <c r="AR6573" s="14"/>
      <c r="AS6573" s="14"/>
      <c r="AT6573" s="14"/>
      <c r="AU6573" s="14"/>
      <c r="AV6573" s="14"/>
      <c r="AW6573" s="15">
        <f t="shared" si="1231"/>
        <v>1200</v>
      </c>
      <c r="AX6573" s="16"/>
    </row>
    <row r="6574" spans="2:50" x14ac:dyDescent="0.2">
      <c r="B6574" s="7"/>
      <c r="C6574" s="8">
        <v>16602</v>
      </c>
      <c r="D6574" s="9" t="s">
        <v>223</v>
      </c>
      <c r="E6574" s="10" t="str">
        <f t="shared" si="1226"/>
        <v>Rancho Landero No. 26</v>
      </c>
      <c r="F6574" s="10" t="str">
        <f t="shared" si="1227"/>
        <v>Balderas Martínez</v>
      </c>
      <c r="G6574" s="8">
        <v>1</v>
      </c>
      <c r="H6574" s="11">
        <v>200</v>
      </c>
      <c r="I6574" s="12">
        <v>43256</v>
      </c>
      <c r="J6574" s="35">
        <f t="shared" si="1228"/>
        <v>0</v>
      </c>
      <c r="K6574" s="36"/>
      <c r="L6574" s="36"/>
      <c r="M6574" s="36"/>
      <c r="N6574" s="36"/>
      <c r="O6574" s="36"/>
      <c r="P6574" s="36"/>
      <c r="Q6574" s="36"/>
      <c r="R6574" s="36"/>
      <c r="S6574" s="36"/>
      <c r="T6574" s="36"/>
      <c r="U6574" s="36"/>
      <c r="V6574" s="36"/>
      <c r="W6574" s="15">
        <f t="shared" si="1229"/>
        <v>0</v>
      </c>
      <c r="X6574" s="36"/>
      <c r="Y6574" s="36"/>
      <c r="Z6574" s="36"/>
      <c r="AA6574" s="36"/>
      <c r="AB6574" s="36"/>
      <c r="AC6574" s="36"/>
      <c r="AD6574" s="36"/>
      <c r="AE6574" s="36"/>
      <c r="AF6574" s="36"/>
      <c r="AG6574" s="36"/>
      <c r="AH6574" s="36"/>
      <c r="AI6574" s="36"/>
      <c r="AJ6574" s="15">
        <f t="shared" si="1230"/>
        <v>0</v>
      </c>
      <c r="AK6574" s="14"/>
      <c r="AL6574" s="14"/>
      <c r="AM6574" s="14">
        <v>200</v>
      </c>
      <c r="AN6574" s="14"/>
      <c r="AO6574" s="14"/>
      <c r="AP6574" s="14"/>
      <c r="AQ6574" s="14"/>
      <c r="AR6574" s="14"/>
      <c r="AS6574" s="14"/>
      <c r="AT6574" s="14"/>
      <c r="AU6574" s="14"/>
      <c r="AV6574" s="14"/>
      <c r="AW6574" s="15">
        <f t="shared" si="1231"/>
        <v>200</v>
      </c>
      <c r="AX6574" s="16"/>
    </row>
    <row r="6575" spans="2:50" x14ac:dyDescent="0.2">
      <c r="B6575" s="7"/>
      <c r="C6575" s="8">
        <v>16603</v>
      </c>
      <c r="D6575" s="9" t="s">
        <v>909</v>
      </c>
      <c r="E6575" s="10" t="str">
        <f t="shared" si="1226"/>
        <v>Rancho La Cuchilla No. 44</v>
      </c>
      <c r="F6575" s="10" t="str">
        <f t="shared" si="1227"/>
        <v>García Osorio</v>
      </c>
      <c r="G6575" s="8">
        <v>1</v>
      </c>
      <c r="H6575" s="11">
        <v>300</v>
      </c>
      <c r="I6575" s="12">
        <v>43257</v>
      </c>
      <c r="J6575" s="35">
        <f t="shared" si="1228"/>
        <v>0</v>
      </c>
      <c r="K6575" s="36"/>
      <c r="L6575" s="36"/>
      <c r="M6575" s="36"/>
      <c r="N6575" s="36"/>
      <c r="O6575" s="36"/>
      <c r="P6575" s="36"/>
      <c r="Q6575" s="36"/>
      <c r="R6575" s="36"/>
      <c r="S6575" s="36"/>
      <c r="T6575" s="36"/>
      <c r="U6575" s="36"/>
      <c r="V6575" s="36"/>
      <c r="W6575" s="15">
        <f t="shared" si="1229"/>
        <v>0</v>
      </c>
      <c r="X6575" s="36"/>
      <c r="Y6575" s="36"/>
      <c r="Z6575" s="36"/>
      <c r="AA6575" s="36"/>
      <c r="AB6575" s="36"/>
      <c r="AC6575" s="36"/>
      <c r="AD6575" s="36"/>
      <c r="AE6575" s="36"/>
      <c r="AF6575" s="36"/>
      <c r="AG6575" s="36"/>
      <c r="AH6575" s="36"/>
      <c r="AI6575" s="36"/>
      <c r="AJ6575" s="15">
        <f t="shared" si="1230"/>
        <v>0</v>
      </c>
      <c r="AK6575" s="14"/>
      <c r="AL6575" s="14"/>
      <c r="AM6575" s="14"/>
      <c r="AN6575" s="14"/>
      <c r="AO6575" s="14">
        <v>300</v>
      </c>
      <c r="AP6575" s="14"/>
      <c r="AQ6575" s="14"/>
      <c r="AR6575" s="14"/>
      <c r="AS6575" s="14"/>
      <c r="AT6575" s="14"/>
      <c r="AU6575" s="14"/>
      <c r="AV6575" s="14"/>
      <c r="AW6575" s="15">
        <f t="shared" si="1231"/>
        <v>300</v>
      </c>
      <c r="AX6575" s="16"/>
    </row>
    <row r="6576" spans="2:50" x14ac:dyDescent="0.2">
      <c r="B6576" s="7"/>
      <c r="C6576" s="8">
        <v>16603</v>
      </c>
      <c r="D6576" s="9" t="s">
        <v>909</v>
      </c>
      <c r="E6576" s="10" t="str">
        <f t="shared" si="1226"/>
        <v>Rancho La Cuchilla No. 44</v>
      </c>
      <c r="F6576" s="10" t="str">
        <f t="shared" si="1227"/>
        <v>García Osorio</v>
      </c>
      <c r="G6576" s="8">
        <v>4</v>
      </c>
      <c r="H6576" s="11">
        <v>200</v>
      </c>
      <c r="I6576" s="12">
        <v>43257</v>
      </c>
      <c r="J6576" s="35">
        <f t="shared" si="1228"/>
        <v>0</v>
      </c>
      <c r="K6576" s="36"/>
      <c r="L6576" s="36"/>
      <c r="M6576" s="36"/>
      <c r="N6576" s="36"/>
      <c r="O6576" s="36"/>
      <c r="P6576" s="36"/>
      <c r="Q6576" s="36"/>
      <c r="R6576" s="36"/>
      <c r="S6576" s="36"/>
      <c r="T6576" s="36"/>
      <c r="U6576" s="36"/>
      <c r="V6576" s="36"/>
      <c r="W6576" s="15">
        <f t="shared" si="1229"/>
        <v>0</v>
      </c>
      <c r="X6576" s="36"/>
      <c r="Y6576" s="36"/>
      <c r="Z6576" s="36"/>
      <c r="AA6576" s="36"/>
      <c r="AB6576" s="36"/>
      <c r="AC6576" s="36"/>
      <c r="AD6576" s="36"/>
      <c r="AE6576" s="36"/>
      <c r="AF6576" s="36"/>
      <c r="AG6576" s="36"/>
      <c r="AH6576" s="36"/>
      <c r="AI6576" s="36"/>
      <c r="AJ6576" s="15">
        <f t="shared" si="1230"/>
        <v>0</v>
      </c>
      <c r="AK6576" s="14"/>
      <c r="AL6576" s="14"/>
      <c r="AM6576" s="14"/>
      <c r="AN6576" s="14"/>
      <c r="AO6576" s="14"/>
      <c r="AP6576" s="14"/>
      <c r="AQ6576" s="14"/>
      <c r="AR6576" s="14"/>
      <c r="AS6576" s="14"/>
      <c r="AT6576" s="14"/>
      <c r="AU6576" s="14"/>
      <c r="AV6576" s="14"/>
      <c r="AW6576" s="15">
        <f t="shared" si="1231"/>
        <v>0</v>
      </c>
      <c r="AX6576" s="16" t="s">
        <v>5325</v>
      </c>
    </row>
    <row r="6577" spans="2:50" x14ac:dyDescent="0.2">
      <c r="B6577" s="7"/>
      <c r="C6577" s="8">
        <v>16604</v>
      </c>
      <c r="D6577" s="9" t="s">
        <v>1061</v>
      </c>
      <c r="E6577" s="10" t="str">
        <f t="shared" si="1226"/>
        <v>Rancho Estanzuela No. 103, A</v>
      </c>
      <c r="F6577" s="10" t="str">
        <f t="shared" si="1227"/>
        <v>Valencia Morentin</v>
      </c>
      <c r="G6577" s="8">
        <v>1</v>
      </c>
      <c r="H6577" s="11">
        <v>800</v>
      </c>
      <c r="I6577" s="12">
        <v>43257</v>
      </c>
      <c r="J6577" s="35">
        <f t="shared" si="1228"/>
        <v>0</v>
      </c>
      <c r="K6577" s="36"/>
      <c r="L6577" s="36"/>
      <c r="M6577" s="36"/>
      <c r="N6577" s="36"/>
      <c r="O6577" s="36"/>
      <c r="P6577" s="36"/>
      <c r="Q6577" s="36"/>
      <c r="R6577" s="36"/>
      <c r="S6577" s="36"/>
      <c r="T6577" s="36"/>
      <c r="U6577" s="36"/>
      <c r="V6577" s="36"/>
      <c r="W6577" s="15">
        <f t="shared" si="1229"/>
        <v>0</v>
      </c>
      <c r="X6577" s="36"/>
      <c r="Y6577" s="36"/>
      <c r="Z6577" s="36"/>
      <c r="AA6577" s="36"/>
      <c r="AB6577" s="36"/>
      <c r="AC6577" s="36"/>
      <c r="AD6577" s="36"/>
      <c r="AE6577" s="36"/>
      <c r="AF6577" s="36"/>
      <c r="AG6577" s="36"/>
      <c r="AH6577" s="36"/>
      <c r="AI6577" s="36"/>
      <c r="AJ6577" s="15">
        <f t="shared" si="1230"/>
        <v>0</v>
      </c>
      <c r="AK6577" s="14"/>
      <c r="AL6577" s="14">
        <v>200</v>
      </c>
      <c r="AM6577" s="14">
        <v>200</v>
      </c>
      <c r="AN6577" s="14">
        <v>200</v>
      </c>
      <c r="AO6577" s="14">
        <v>200</v>
      </c>
      <c r="AP6577" s="14"/>
      <c r="AQ6577" s="14"/>
      <c r="AR6577" s="14"/>
      <c r="AS6577" s="14"/>
      <c r="AT6577" s="14"/>
      <c r="AU6577" s="14"/>
      <c r="AV6577" s="14"/>
      <c r="AW6577" s="15">
        <f t="shared" si="1231"/>
        <v>800</v>
      </c>
      <c r="AX6577" s="16"/>
    </row>
    <row r="6578" spans="2:50" x14ac:dyDescent="0.2">
      <c r="B6578" s="7"/>
      <c r="C6578" s="8">
        <v>16605</v>
      </c>
      <c r="D6578" s="9" t="s">
        <v>376</v>
      </c>
      <c r="E6578" s="10" t="str">
        <f t="shared" si="1226"/>
        <v>Rancho Estanzuela No. 33</v>
      </c>
      <c r="F6578" s="10" t="str">
        <f t="shared" si="1227"/>
        <v>Arauz</v>
      </c>
      <c r="G6578" s="8">
        <v>1</v>
      </c>
      <c r="H6578" s="11">
        <v>2400</v>
      </c>
      <c r="I6578" s="12">
        <v>43257</v>
      </c>
      <c r="J6578" s="35">
        <f t="shared" si="1228"/>
        <v>0</v>
      </c>
      <c r="K6578" s="36"/>
      <c r="L6578" s="36"/>
      <c r="M6578" s="36"/>
      <c r="N6578" s="36"/>
      <c r="O6578" s="36"/>
      <c r="P6578" s="36"/>
      <c r="Q6578" s="36"/>
      <c r="R6578" s="36"/>
      <c r="S6578" s="36"/>
      <c r="T6578" s="36"/>
      <c r="U6578" s="36"/>
      <c r="V6578" s="36"/>
      <c r="W6578" s="15">
        <f t="shared" si="1229"/>
        <v>0</v>
      </c>
      <c r="X6578" s="36"/>
      <c r="Y6578" s="36"/>
      <c r="Z6578" s="36"/>
      <c r="AA6578" s="36"/>
      <c r="AB6578" s="36"/>
      <c r="AC6578" s="36"/>
      <c r="AD6578" s="36"/>
      <c r="AE6578" s="36"/>
      <c r="AF6578" s="36"/>
      <c r="AG6578" s="36"/>
      <c r="AH6578" s="36"/>
      <c r="AI6578" s="36"/>
      <c r="AJ6578" s="15">
        <f t="shared" si="1230"/>
        <v>0</v>
      </c>
      <c r="AK6578" s="14">
        <v>400</v>
      </c>
      <c r="AL6578" s="14">
        <v>400</v>
      </c>
      <c r="AM6578" s="14">
        <v>400</v>
      </c>
      <c r="AN6578" s="14">
        <v>400</v>
      </c>
      <c r="AO6578" s="14">
        <v>400</v>
      </c>
      <c r="AP6578" s="14">
        <v>400</v>
      </c>
      <c r="AQ6578" s="14"/>
      <c r="AR6578" s="14"/>
      <c r="AS6578" s="14"/>
      <c r="AT6578" s="14"/>
      <c r="AU6578" s="14"/>
      <c r="AV6578" s="14"/>
      <c r="AW6578" s="15">
        <f t="shared" si="1231"/>
        <v>2400</v>
      </c>
      <c r="AX6578" s="16"/>
    </row>
    <row r="6579" spans="2:50" x14ac:dyDescent="0.2">
      <c r="B6579" s="7"/>
      <c r="C6579" s="8">
        <v>16666</v>
      </c>
      <c r="D6579" s="9" t="s">
        <v>109</v>
      </c>
      <c r="E6579" s="10" t="str">
        <f t="shared" si="1226"/>
        <v>Rancho Estanzuela No. 31</v>
      </c>
      <c r="F6579" s="10" t="str">
        <f t="shared" si="1227"/>
        <v>Chávez Valdés</v>
      </c>
      <c r="G6579" s="8">
        <v>1</v>
      </c>
      <c r="H6579" s="11">
        <v>400</v>
      </c>
      <c r="I6579" s="12">
        <v>43257</v>
      </c>
      <c r="J6579" s="35">
        <f t="shared" si="1228"/>
        <v>0</v>
      </c>
      <c r="K6579" s="36"/>
      <c r="L6579" s="36"/>
      <c r="M6579" s="36"/>
      <c r="N6579" s="36"/>
      <c r="O6579" s="36"/>
      <c r="P6579" s="36"/>
      <c r="Q6579" s="36"/>
      <c r="R6579" s="36"/>
      <c r="S6579" s="36"/>
      <c r="T6579" s="36"/>
      <c r="U6579" s="36"/>
      <c r="V6579" s="36"/>
      <c r="W6579" s="15">
        <f t="shared" si="1229"/>
        <v>0</v>
      </c>
      <c r="X6579" s="36"/>
      <c r="Y6579" s="36"/>
      <c r="Z6579" s="36"/>
      <c r="AA6579" s="36"/>
      <c r="AB6579" s="36"/>
      <c r="AC6579" s="36"/>
      <c r="AD6579" s="36"/>
      <c r="AE6579" s="36"/>
      <c r="AF6579" s="36"/>
      <c r="AG6579" s="36"/>
      <c r="AH6579" s="36"/>
      <c r="AI6579" s="36"/>
      <c r="AJ6579" s="15">
        <f t="shared" si="1230"/>
        <v>0</v>
      </c>
      <c r="AK6579" s="14"/>
      <c r="AL6579" s="14"/>
      <c r="AM6579" s="14">
        <v>400</v>
      </c>
      <c r="AN6579" s="14"/>
      <c r="AO6579" s="14"/>
      <c r="AP6579" s="14"/>
      <c r="AQ6579" s="14"/>
      <c r="AR6579" s="14"/>
      <c r="AS6579" s="14"/>
      <c r="AT6579" s="14"/>
      <c r="AU6579" s="14"/>
      <c r="AV6579" s="14"/>
      <c r="AW6579" s="15">
        <f t="shared" si="1231"/>
        <v>400</v>
      </c>
      <c r="AX6579" s="16"/>
    </row>
    <row r="6580" spans="2:50" x14ac:dyDescent="0.2">
      <c r="B6580" s="7"/>
      <c r="C6580" s="8">
        <v>16667</v>
      </c>
      <c r="D6580" s="9" t="s">
        <v>705</v>
      </c>
      <c r="E6580" s="10" t="str">
        <f t="shared" si="1226"/>
        <v>Rancho La Cuchilla No. 75</v>
      </c>
      <c r="F6580" s="10" t="str">
        <f t="shared" si="1227"/>
        <v>Sosa Lucio</v>
      </c>
      <c r="G6580" s="8">
        <v>1</v>
      </c>
      <c r="H6580" s="11">
        <v>900</v>
      </c>
      <c r="I6580" s="12">
        <v>43257</v>
      </c>
      <c r="J6580" s="35">
        <f t="shared" si="1228"/>
        <v>0</v>
      </c>
      <c r="K6580" s="36"/>
      <c r="L6580" s="36"/>
      <c r="M6580" s="36"/>
      <c r="N6580" s="36"/>
      <c r="O6580" s="36"/>
      <c r="P6580" s="36"/>
      <c r="Q6580" s="36"/>
      <c r="R6580" s="36"/>
      <c r="S6580" s="36"/>
      <c r="T6580" s="36"/>
      <c r="U6580" s="36"/>
      <c r="V6580" s="36"/>
      <c r="W6580" s="15">
        <f t="shared" si="1229"/>
        <v>0</v>
      </c>
      <c r="X6580" s="36"/>
      <c r="Y6580" s="36"/>
      <c r="Z6580" s="36"/>
      <c r="AA6580" s="36"/>
      <c r="AB6580" s="36"/>
      <c r="AC6580" s="36"/>
      <c r="AD6580" s="36"/>
      <c r="AE6580" s="36"/>
      <c r="AF6580" s="36"/>
      <c r="AG6580" s="36"/>
      <c r="AH6580" s="36"/>
      <c r="AI6580" s="36"/>
      <c r="AJ6580" s="15">
        <f t="shared" si="1230"/>
        <v>0</v>
      </c>
      <c r="AK6580" s="14"/>
      <c r="AL6580" s="14"/>
      <c r="AM6580" s="14"/>
      <c r="AN6580" s="14">
        <v>300</v>
      </c>
      <c r="AO6580" s="14">
        <v>300</v>
      </c>
      <c r="AP6580" s="14">
        <v>300</v>
      </c>
      <c r="AQ6580" s="14"/>
      <c r="AR6580" s="14"/>
      <c r="AS6580" s="14"/>
      <c r="AT6580" s="14"/>
      <c r="AU6580" s="14"/>
      <c r="AV6580" s="14"/>
      <c r="AW6580" s="15">
        <f t="shared" si="1231"/>
        <v>900</v>
      </c>
      <c r="AX6580" s="16"/>
    </row>
    <row r="6581" spans="2:50" x14ac:dyDescent="0.2">
      <c r="B6581" s="7"/>
      <c r="C6581" s="8">
        <v>16668</v>
      </c>
      <c r="D6581" s="9" t="s">
        <v>1331</v>
      </c>
      <c r="E6581" s="10" t="str">
        <f t="shared" si="1226"/>
        <v>Rancho Estanzuela No. 43</v>
      </c>
      <c r="F6581" s="10" t="str">
        <f t="shared" si="1227"/>
        <v>Granados</v>
      </c>
      <c r="G6581" s="8">
        <v>1</v>
      </c>
      <c r="H6581" s="11">
        <v>800</v>
      </c>
      <c r="I6581" s="12">
        <v>43259</v>
      </c>
      <c r="J6581" s="35">
        <f t="shared" si="1228"/>
        <v>0</v>
      </c>
      <c r="K6581" s="36"/>
      <c r="L6581" s="36"/>
      <c r="M6581" s="36"/>
      <c r="N6581" s="36"/>
      <c r="O6581" s="36"/>
      <c r="P6581" s="36"/>
      <c r="Q6581" s="36"/>
      <c r="R6581" s="36"/>
      <c r="S6581" s="36"/>
      <c r="T6581" s="36"/>
      <c r="U6581" s="36"/>
      <c r="V6581" s="36"/>
      <c r="W6581" s="15">
        <f t="shared" si="1229"/>
        <v>0</v>
      </c>
      <c r="X6581" s="36"/>
      <c r="Y6581" s="36"/>
      <c r="Z6581" s="36"/>
      <c r="AA6581" s="36"/>
      <c r="AB6581" s="36"/>
      <c r="AC6581" s="36"/>
      <c r="AD6581" s="36"/>
      <c r="AE6581" s="36"/>
      <c r="AF6581" s="36"/>
      <c r="AG6581" s="36"/>
      <c r="AH6581" s="36"/>
      <c r="AI6581" s="36"/>
      <c r="AJ6581" s="15">
        <f t="shared" si="1230"/>
        <v>0</v>
      </c>
      <c r="AK6581" s="14"/>
      <c r="AL6581" s="14"/>
      <c r="AM6581" s="14">
        <v>200</v>
      </c>
      <c r="AN6581" s="14">
        <v>200</v>
      </c>
      <c r="AO6581" s="14">
        <v>200</v>
      </c>
      <c r="AP6581" s="14">
        <v>200</v>
      </c>
      <c r="AQ6581" s="14"/>
      <c r="AR6581" s="14"/>
      <c r="AS6581" s="14"/>
      <c r="AT6581" s="14"/>
      <c r="AU6581" s="14"/>
      <c r="AV6581" s="14"/>
      <c r="AW6581" s="15">
        <f t="shared" si="1231"/>
        <v>800</v>
      </c>
      <c r="AX6581" s="16"/>
    </row>
    <row r="6582" spans="2:50" x14ac:dyDescent="0.2">
      <c r="B6582" s="7"/>
      <c r="C6582" s="8">
        <v>16669</v>
      </c>
      <c r="D6582" s="9" t="s">
        <v>1174</v>
      </c>
      <c r="E6582" s="10" t="str">
        <f t="shared" si="1226"/>
        <v>Rancho Upácuaro No. 61</v>
      </c>
      <c r="F6582" s="10" t="str">
        <f t="shared" si="1227"/>
        <v>Campos Granados</v>
      </c>
      <c r="G6582" s="8">
        <v>1</v>
      </c>
      <c r="H6582" s="11">
        <v>1200</v>
      </c>
      <c r="I6582" s="12">
        <v>43259</v>
      </c>
      <c r="J6582" s="35">
        <f t="shared" si="1228"/>
        <v>0</v>
      </c>
      <c r="K6582" s="36"/>
      <c r="L6582" s="36"/>
      <c r="M6582" s="36"/>
      <c r="N6582" s="36"/>
      <c r="O6582" s="36"/>
      <c r="P6582" s="36"/>
      <c r="Q6582" s="36"/>
      <c r="R6582" s="36"/>
      <c r="S6582" s="36"/>
      <c r="T6582" s="36"/>
      <c r="U6582" s="36"/>
      <c r="V6582" s="36"/>
      <c r="W6582" s="15">
        <f t="shared" si="1229"/>
        <v>0</v>
      </c>
      <c r="X6582" s="36"/>
      <c r="Y6582" s="36"/>
      <c r="Z6582" s="36"/>
      <c r="AA6582" s="36"/>
      <c r="AB6582" s="36"/>
      <c r="AC6582" s="36"/>
      <c r="AD6582" s="36"/>
      <c r="AE6582" s="36"/>
      <c r="AF6582" s="36"/>
      <c r="AG6582" s="36"/>
      <c r="AH6582" s="36"/>
      <c r="AI6582" s="36"/>
      <c r="AJ6582" s="15">
        <f t="shared" si="1230"/>
        <v>0</v>
      </c>
      <c r="AK6582" s="14"/>
      <c r="AL6582" s="14"/>
      <c r="AM6582" s="14"/>
      <c r="AN6582" s="14">
        <v>400</v>
      </c>
      <c r="AO6582" s="14">
        <v>400</v>
      </c>
      <c r="AP6582" s="14">
        <v>400</v>
      </c>
      <c r="AQ6582" s="14"/>
      <c r="AR6582" s="14"/>
      <c r="AS6582" s="14"/>
      <c r="AT6582" s="14"/>
      <c r="AU6582" s="14"/>
      <c r="AV6582" s="14"/>
      <c r="AW6582" s="15">
        <f t="shared" si="1231"/>
        <v>1200</v>
      </c>
      <c r="AX6582" s="316">
        <f>SUM(H6570:H6582)</f>
        <v>9600</v>
      </c>
    </row>
    <row r="6583" spans="2:50" x14ac:dyDescent="0.2">
      <c r="B6583" s="7"/>
      <c r="C6583" s="8">
        <v>16670</v>
      </c>
      <c r="D6583" s="9" t="s">
        <v>562</v>
      </c>
      <c r="E6583" s="10" t="str">
        <f t="shared" si="1226"/>
        <v>Rancho Upácuaro No. 87</v>
      </c>
      <c r="F6583" s="10" t="str">
        <f t="shared" si="1227"/>
        <v>Rodríguez Parés</v>
      </c>
      <c r="G6583" s="8">
        <v>1</v>
      </c>
      <c r="H6583" s="11">
        <v>400</v>
      </c>
      <c r="I6583" s="12">
        <v>43261</v>
      </c>
      <c r="J6583" s="35">
        <f t="shared" si="1228"/>
        <v>0</v>
      </c>
      <c r="K6583" s="36"/>
      <c r="L6583" s="36"/>
      <c r="M6583" s="36"/>
      <c r="N6583" s="36"/>
      <c r="O6583" s="36"/>
      <c r="P6583" s="36"/>
      <c r="Q6583" s="36"/>
      <c r="R6583" s="36"/>
      <c r="S6583" s="36"/>
      <c r="T6583" s="36"/>
      <c r="U6583" s="36"/>
      <c r="V6583" s="36"/>
      <c r="W6583" s="15">
        <f t="shared" si="1229"/>
        <v>0</v>
      </c>
      <c r="X6583" s="36"/>
      <c r="Y6583" s="36"/>
      <c r="Z6583" s="36"/>
      <c r="AA6583" s="36"/>
      <c r="AB6583" s="36"/>
      <c r="AC6583" s="36"/>
      <c r="AD6583" s="36"/>
      <c r="AE6583" s="36"/>
      <c r="AF6583" s="36"/>
      <c r="AG6583" s="36"/>
      <c r="AH6583" s="36"/>
      <c r="AI6583" s="36"/>
      <c r="AJ6583" s="15">
        <f t="shared" si="1230"/>
        <v>0</v>
      </c>
      <c r="AK6583" s="14"/>
      <c r="AL6583" s="14"/>
      <c r="AM6583" s="14"/>
      <c r="AN6583" s="14"/>
      <c r="AO6583" s="14"/>
      <c r="AP6583" s="14">
        <v>400</v>
      </c>
      <c r="AQ6583" s="14"/>
      <c r="AR6583" s="14"/>
      <c r="AS6583" s="14"/>
      <c r="AT6583" s="14"/>
      <c r="AU6583" s="14"/>
      <c r="AV6583" s="14"/>
      <c r="AW6583" s="15">
        <f t="shared" si="1231"/>
        <v>400</v>
      </c>
      <c r="AX6583" s="16"/>
    </row>
    <row r="6584" spans="2:50" x14ac:dyDescent="0.2">
      <c r="B6584" s="7"/>
      <c r="C6584" s="8">
        <v>16671</v>
      </c>
      <c r="D6584" s="9" t="s">
        <v>608</v>
      </c>
      <c r="E6584" s="10" t="str">
        <f t="shared" si="1226"/>
        <v>Rancho Upácuaro No. 146</v>
      </c>
      <c r="F6584" s="10" t="str">
        <f t="shared" si="1227"/>
        <v>Islas</v>
      </c>
      <c r="G6584" s="8">
        <v>1</v>
      </c>
      <c r="H6584" s="11">
        <v>400</v>
      </c>
      <c r="I6584" s="12">
        <v>43261</v>
      </c>
      <c r="J6584" s="35">
        <f t="shared" si="1228"/>
        <v>0</v>
      </c>
      <c r="K6584" s="36"/>
      <c r="L6584" s="36"/>
      <c r="M6584" s="36"/>
      <c r="N6584" s="36"/>
      <c r="O6584" s="36"/>
      <c r="P6584" s="36"/>
      <c r="Q6584" s="36"/>
      <c r="R6584" s="36"/>
      <c r="S6584" s="36"/>
      <c r="T6584" s="36"/>
      <c r="U6584" s="36"/>
      <c r="V6584" s="36"/>
      <c r="W6584" s="15">
        <f t="shared" si="1229"/>
        <v>0</v>
      </c>
      <c r="X6584" s="36"/>
      <c r="Y6584" s="36"/>
      <c r="Z6584" s="36"/>
      <c r="AA6584" s="36"/>
      <c r="AB6584" s="36"/>
      <c r="AC6584" s="36"/>
      <c r="AD6584" s="36"/>
      <c r="AE6584" s="36"/>
      <c r="AF6584" s="36"/>
      <c r="AG6584" s="36"/>
      <c r="AH6584" s="36"/>
      <c r="AI6584" s="36"/>
      <c r="AJ6584" s="15">
        <f t="shared" si="1230"/>
        <v>0</v>
      </c>
      <c r="AK6584" s="14"/>
      <c r="AL6584" s="14"/>
      <c r="AM6584" s="14"/>
      <c r="AN6584" s="14"/>
      <c r="AO6584" s="14">
        <v>400</v>
      </c>
      <c r="AP6584" s="14"/>
      <c r="AQ6584" s="14"/>
      <c r="AR6584" s="14"/>
      <c r="AS6584" s="14"/>
      <c r="AT6584" s="14"/>
      <c r="AU6584" s="14"/>
      <c r="AV6584" s="14"/>
      <c r="AW6584" s="15">
        <f t="shared" si="1231"/>
        <v>400</v>
      </c>
      <c r="AX6584" s="16"/>
    </row>
    <row r="6585" spans="2:50" x14ac:dyDescent="0.2">
      <c r="B6585" s="7"/>
      <c r="C6585" s="8">
        <v>16672</v>
      </c>
      <c r="D6585" s="9" t="s">
        <v>608</v>
      </c>
      <c r="E6585" s="10" t="str">
        <f t="shared" si="1226"/>
        <v>Rancho Upácuaro No. 146</v>
      </c>
      <c r="F6585" s="10" t="str">
        <f t="shared" si="1227"/>
        <v>Islas</v>
      </c>
      <c r="G6585" s="8">
        <v>5</v>
      </c>
      <c r="H6585" s="11">
        <v>100</v>
      </c>
      <c r="I6585" s="12">
        <v>43261</v>
      </c>
      <c r="J6585" s="35">
        <f t="shared" si="1228"/>
        <v>0</v>
      </c>
      <c r="K6585" s="36"/>
      <c r="L6585" s="36"/>
      <c r="M6585" s="36"/>
      <c r="N6585" s="36"/>
      <c r="O6585" s="36"/>
      <c r="P6585" s="36"/>
      <c r="Q6585" s="36"/>
      <c r="R6585" s="36"/>
      <c r="S6585" s="36"/>
      <c r="T6585" s="36"/>
      <c r="U6585" s="36"/>
      <c r="V6585" s="36"/>
      <c r="W6585" s="15">
        <f t="shared" si="1229"/>
        <v>0</v>
      </c>
      <c r="X6585" s="36"/>
      <c r="Y6585" s="36"/>
      <c r="Z6585" s="36"/>
      <c r="AA6585" s="36"/>
      <c r="AB6585" s="36"/>
      <c r="AC6585" s="36"/>
      <c r="AD6585" s="36"/>
      <c r="AE6585" s="36"/>
      <c r="AF6585" s="36"/>
      <c r="AG6585" s="36"/>
      <c r="AH6585" s="36"/>
      <c r="AI6585" s="36"/>
      <c r="AJ6585" s="15">
        <f t="shared" si="1230"/>
        <v>0</v>
      </c>
      <c r="AK6585" s="14"/>
      <c r="AL6585" s="14"/>
      <c r="AM6585" s="14"/>
      <c r="AN6585" s="14"/>
      <c r="AO6585" s="14"/>
      <c r="AP6585" s="14"/>
      <c r="AQ6585" s="14"/>
      <c r="AR6585" s="14"/>
      <c r="AS6585" s="14"/>
      <c r="AT6585" s="14"/>
      <c r="AU6585" s="14"/>
      <c r="AV6585" s="14"/>
      <c r="AW6585" s="15">
        <f t="shared" si="1231"/>
        <v>0</v>
      </c>
      <c r="AX6585" s="16"/>
    </row>
    <row r="6586" spans="2:50" x14ac:dyDescent="0.2">
      <c r="B6586" s="7"/>
      <c r="C6586" s="8">
        <v>16673</v>
      </c>
      <c r="D6586" s="9" t="s">
        <v>349</v>
      </c>
      <c r="E6586" s="10" t="str">
        <f t="shared" si="1226"/>
        <v>Rancho La Cuchilla No. 15</v>
      </c>
      <c r="F6586" s="10" t="str">
        <f t="shared" si="1227"/>
        <v>Guerrero Ponce</v>
      </c>
      <c r="G6586" s="8">
        <v>1</v>
      </c>
      <c r="H6586" s="11">
        <v>600</v>
      </c>
      <c r="I6586" s="12">
        <v>43261</v>
      </c>
      <c r="J6586" s="35">
        <f t="shared" si="1228"/>
        <v>0</v>
      </c>
      <c r="K6586" s="36"/>
      <c r="L6586" s="36"/>
      <c r="M6586" s="36"/>
      <c r="N6586" s="36"/>
      <c r="O6586" s="36"/>
      <c r="P6586" s="36"/>
      <c r="Q6586" s="36"/>
      <c r="R6586" s="36"/>
      <c r="S6586" s="36"/>
      <c r="T6586" s="36"/>
      <c r="U6586" s="36"/>
      <c r="V6586" s="36"/>
      <c r="W6586" s="15">
        <f t="shared" si="1229"/>
        <v>0</v>
      </c>
      <c r="X6586" s="36"/>
      <c r="Y6586" s="36"/>
      <c r="Z6586" s="36"/>
      <c r="AA6586" s="36"/>
      <c r="AB6586" s="36"/>
      <c r="AC6586" s="36"/>
      <c r="AD6586" s="36"/>
      <c r="AE6586" s="36"/>
      <c r="AF6586" s="36"/>
      <c r="AG6586" s="36"/>
      <c r="AH6586" s="36"/>
      <c r="AI6586" s="36"/>
      <c r="AJ6586" s="15">
        <f t="shared" si="1230"/>
        <v>0</v>
      </c>
      <c r="AK6586" s="14"/>
      <c r="AL6586" s="14"/>
      <c r="AM6586" s="14"/>
      <c r="AN6586" s="14">
        <v>300</v>
      </c>
      <c r="AO6586" s="14">
        <v>300</v>
      </c>
      <c r="AP6586" s="14"/>
      <c r="AQ6586" s="14"/>
      <c r="AR6586" s="14"/>
      <c r="AS6586" s="14"/>
      <c r="AT6586" s="14"/>
      <c r="AU6586" s="14"/>
      <c r="AV6586" s="14"/>
      <c r="AW6586" s="15">
        <f t="shared" si="1231"/>
        <v>600</v>
      </c>
      <c r="AX6586" s="16"/>
    </row>
    <row r="6587" spans="2:50" x14ac:dyDescent="0.2">
      <c r="B6587" s="7"/>
      <c r="C6587" s="8">
        <v>16674</v>
      </c>
      <c r="D6587" s="9" t="s">
        <v>1148</v>
      </c>
      <c r="E6587" s="10" t="str">
        <f t="shared" si="1226"/>
        <v>Rancho La Cuchilla No. 118</v>
      </c>
      <c r="F6587" s="10" t="str">
        <f t="shared" si="1227"/>
        <v>Astorga Ruiz</v>
      </c>
      <c r="G6587" s="8">
        <v>1</v>
      </c>
      <c r="H6587" s="11">
        <v>2400</v>
      </c>
      <c r="I6587" s="12">
        <v>43261</v>
      </c>
      <c r="J6587" s="35">
        <f t="shared" si="1228"/>
        <v>0</v>
      </c>
      <c r="K6587" s="36"/>
      <c r="L6587" s="36"/>
      <c r="M6587" s="36"/>
      <c r="N6587" s="36"/>
      <c r="O6587" s="36"/>
      <c r="P6587" s="36"/>
      <c r="Q6587" s="36"/>
      <c r="R6587" s="36"/>
      <c r="S6587" s="36"/>
      <c r="T6587" s="36"/>
      <c r="U6587" s="36"/>
      <c r="V6587" s="36"/>
      <c r="W6587" s="15">
        <f t="shared" si="1229"/>
        <v>0</v>
      </c>
      <c r="X6587" s="36"/>
      <c r="Y6587" s="36"/>
      <c r="Z6587" s="36"/>
      <c r="AA6587" s="36"/>
      <c r="AB6587" s="36"/>
      <c r="AC6587" s="36"/>
      <c r="AD6587" s="36"/>
      <c r="AE6587" s="36"/>
      <c r="AF6587" s="36"/>
      <c r="AG6587" s="36"/>
      <c r="AH6587" s="36"/>
      <c r="AI6587" s="36"/>
      <c r="AJ6587" s="15">
        <f t="shared" si="1230"/>
        <v>0</v>
      </c>
      <c r="AK6587" s="14">
        <v>400</v>
      </c>
      <c r="AL6587" s="14">
        <v>400</v>
      </c>
      <c r="AM6587" s="14">
        <v>400</v>
      </c>
      <c r="AN6587" s="14">
        <v>400</v>
      </c>
      <c r="AO6587" s="14">
        <v>400</v>
      </c>
      <c r="AP6587" s="14">
        <v>400</v>
      </c>
      <c r="AQ6587" s="14"/>
      <c r="AR6587" s="14"/>
      <c r="AS6587" s="14"/>
      <c r="AT6587" s="14"/>
      <c r="AU6587" s="14"/>
      <c r="AV6587" s="14"/>
      <c r="AW6587" s="15">
        <f t="shared" si="1231"/>
        <v>2400</v>
      </c>
      <c r="AX6587" s="16"/>
    </row>
    <row r="6588" spans="2:50" x14ac:dyDescent="0.2">
      <c r="B6588" s="7"/>
      <c r="C6588" s="8">
        <v>16675</v>
      </c>
      <c r="D6588" s="9" t="s">
        <v>431</v>
      </c>
      <c r="E6588" s="10" t="str">
        <f t="shared" si="1226"/>
        <v>Rancho Landero No. 63</v>
      </c>
      <c r="F6588" s="10" t="str">
        <f t="shared" si="1227"/>
        <v>Hernández Chávez</v>
      </c>
      <c r="G6588" s="8">
        <v>1</v>
      </c>
      <c r="H6588" s="11">
        <v>400</v>
      </c>
      <c r="I6588" s="12">
        <v>43261</v>
      </c>
      <c r="J6588" s="35">
        <f t="shared" si="1228"/>
        <v>0</v>
      </c>
      <c r="K6588" s="36"/>
      <c r="L6588" s="36"/>
      <c r="M6588" s="36"/>
      <c r="N6588" s="36"/>
      <c r="O6588" s="36"/>
      <c r="P6588" s="36"/>
      <c r="Q6588" s="36"/>
      <c r="R6588" s="36"/>
      <c r="S6588" s="36"/>
      <c r="T6588" s="36"/>
      <c r="U6588" s="36"/>
      <c r="V6588" s="36"/>
      <c r="W6588" s="15">
        <f t="shared" si="1229"/>
        <v>0</v>
      </c>
      <c r="X6588" s="36"/>
      <c r="Y6588" s="36"/>
      <c r="Z6588" s="36"/>
      <c r="AA6588" s="36"/>
      <c r="AB6588" s="36"/>
      <c r="AC6588" s="36"/>
      <c r="AD6588" s="36"/>
      <c r="AE6588" s="36"/>
      <c r="AF6588" s="36"/>
      <c r="AG6588" s="36"/>
      <c r="AH6588" s="36"/>
      <c r="AI6588" s="36"/>
      <c r="AJ6588" s="15">
        <f t="shared" si="1230"/>
        <v>0</v>
      </c>
      <c r="AK6588" s="14"/>
      <c r="AL6588" s="14"/>
      <c r="AM6588" s="14"/>
      <c r="AN6588" s="14"/>
      <c r="AO6588" s="14">
        <v>400</v>
      </c>
      <c r="AP6588" s="14"/>
      <c r="AQ6588" s="14"/>
      <c r="AR6588" s="14"/>
      <c r="AS6588" s="14"/>
      <c r="AT6588" s="14"/>
      <c r="AU6588" s="14"/>
      <c r="AV6588" s="14"/>
      <c r="AW6588" s="15">
        <f t="shared" si="1231"/>
        <v>400</v>
      </c>
      <c r="AX6588" s="16"/>
    </row>
    <row r="6589" spans="2:50" x14ac:dyDescent="0.2">
      <c r="B6589" s="7"/>
      <c r="C6589" s="8">
        <v>16676</v>
      </c>
      <c r="D6589" s="9" t="s">
        <v>280</v>
      </c>
      <c r="E6589" s="10" t="str">
        <f t="shared" si="1226"/>
        <v>Rancho La Cuchilla No. 40</v>
      </c>
      <c r="F6589" s="10" t="str">
        <f t="shared" si="1227"/>
        <v>López Pico</v>
      </c>
      <c r="G6589" s="8">
        <v>1</v>
      </c>
      <c r="H6589" s="11">
        <v>400</v>
      </c>
      <c r="I6589" s="12">
        <v>43261</v>
      </c>
      <c r="J6589" s="35">
        <f t="shared" si="1228"/>
        <v>0</v>
      </c>
      <c r="K6589" s="36"/>
      <c r="L6589" s="36"/>
      <c r="M6589" s="36"/>
      <c r="N6589" s="36"/>
      <c r="O6589" s="36"/>
      <c r="P6589" s="36"/>
      <c r="Q6589" s="36"/>
      <c r="R6589" s="36"/>
      <c r="S6589" s="36"/>
      <c r="T6589" s="36"/>
      <c r="U6589" s="36"/>
      <c r="V6589" s="36"/>
      <c r="W6589" s="15">
        <f t="shared" si="1229"/>
        <v>0</v>
      </c>
      <c r="X6589" s="36"/>
      <c r="Y6589" s="36"/>
      <c r="Z6589" s="36"/>
      <c r="AA6589" s="36"/>
      <c r="AB6589" s="36"/>
      <c r="AC6589" s="36"/>
      <c r="AD6589" s="36"/>
      <c r="AE6589" s="36"/>
      <c r="AF6589" s="36"/>
      <c r="AG6589" s="36"/>
      <c r="AH6589" s="36"/>
      <c r="AI6589" s="36"/>
      <c r="AJ6589" s="15">
        <f t="shared" si="1230"/>
        <v>0</v>
      </c>
      <c r="AK6589" s="14"/>
      <c r="AL6589" s="14"/>
      <c r="AM6589" s="14"/>
      <c r="AN6589" s="14"/>
      <c r="AO6589" s="14"/>
      <c r="AP6589" s="14">
        <v>400</v>
      </c>
      <c r="AQ6589" s="14"/>
      <c r="AR6589" s="14"/>
      <c r="AS6589" s="14"/>
      <c r="AT6589" s="14"/>
      <c r="AU6589" s="14"/>
      <c r="AV6589" s="14"/>
      <c r="AW6589" s="15">
        <f t="shared" si="1231"/>
        <v>400</v>
      </c>
      <c r="AX6589" s="16"/>
    </row>
    <row r="6590" spans="2:50" x14ac:dyDescent="0.2">
      <c r="B6590" s="7"/>
      <c r="C6590" s="8">
        <v>16677</v>
      </c>
      <c r="D6590" s="9" t="s">
        <v>241</v>
      </c>
      <c r="E6590" s="10" t="str">
        <f t="shared" si="1226"/>
        <v>Rancho La Cuchilla No. 81, A</v>
      </c>
      <c r="F6590" s="10" t="str">
        <f t="shared" si="1227"/>
        <v>Barrientos López</v>
      </c>
      <c r="G6590" s="8">
        <v>1</v>
      </c>
      <c r="H6590" s="11">
        <v>400</v>
      </c>
      <c r="I6590" s="12">
        <v>43261</v>
      </c>
      <c r="J6590" s="35">
        <f t="shared" si="1228"/>
        <v>0</v>
      </c>
      <c r="K6590" s="36"/>
      <c r="L6590" s="36"/>
      <c r="M6590" s="36"/>
      <c r="N6590" s="36"/>
      <c r="O6590" s="36"/>
      <c r="P6590" s="36"/>
      <c r="Q6590" s="36"/>
      <c r="R6590" s="36"/>
      <c r="S6590" s="36"/>
      <c r="T6590" s="36"/>
      <c r="U6590" s="36"/>
      <c r="V6590" s="36"/>
      <c r="W6590" s="15">
        <f t="shared" si="1229"/>
        <v>0</v>
      </c>
      <c r="X6590" s="36"/>
      <c r="Y6590" s="36"/>
      <c r="Z6590" s="36"/>
      <c r="AA6590" s="36"/>
      <c r="AB6590" s="36"/>
      <c r="AC6590" s="36"/>
      <c r="AD6590" s="36"/>
      <c r="AE6590" s="36"/>
      <c r="AF6590" s="36"/>
      <c r="AG6590" s="36"/>
      <c r="AH6590" s="36"/>
      <c r="AI6590" s="36"/>
      <c r="AJ6590" s="15">
        <f t="shared" si="1230"/>
        <v>0</v>
      </c>
      <c r="AK6590" s="14"/>
      <c r="AL6590" s="14"/>
      <c r="AM6590" s="14"/>
      <c r="AN6590" s="14"/>
      <c r="AO6590" s="14"/>
      <c r="AP6590" s="14">
        <v>400</v>
      </c>
      <c r="AQ6590" s="14"/>
      <c r="AR6590" s="14"/>
      <c r="AS6590" s="14"/>
      <c r="AT6590" s="14"/>
      <c r="AU6590" s="14"/>
      <c r="AV6590" s="14"/>
      <c r="AW6590" s="15">
        <f t="shared" si="1231"/>
        <v>400</v>
      </c>
      <c r="AX6590" s="16"/>
    </row>
    <row r="6591" spans="2:50" x14ac:dyDescent="0.2">
      <c r="B6591" s="7"/>
      <c r="C6591" s="8">
        <v>16678</v>
      </c>
      <c r="D6591" s="9" t="s">
        <v>1039</v>
      </c>
      <c r="E6591" s="10" t="str">
        <f t="shared" si="1226"/>
        <v>Rancho Upácuaro No. 77</v>
      </c>
      <c r="F6591" s="10" t="str">
        <f t="shared" si="1227"/>
        <v>Alvarado</v>
      </c>
      <c r="G6591" s="8">
        <v>1</v>
      </c>
      <c r="H6591" s="11">
        <v>800</v>
      </c>
      <c r="I6591" s="12">
        <v>43261</v>
      </c>
      <c r="J6591" s="35">
        <f t="shared" si="1228"/>
        <v>0</v>
      </c>
      <c r="K6591" s="36"/>
      <c r="L6591" s="36"/>
      <c r="M6591" s="36"/>
      <c r="N6591" s="36"/>
      <c r="O6591" s="36"/>
      <c r="P6591" s="36"/>
      <c r="Q6591" s="36"/>
      <c r="R6591" s="36"/>
      <c r="S6591" s="36"/>
      <c r="T6591" s="36"/>
      <c r="U6591" s="36"/>
      <c r="V6591" s="36"/>
      <c r="W6591" s="15">
        <f t="shared" si="1229"/>
        <v>0</v>
      </c>
      <c r="X6591" s="36"/>
      <c r="Y6591" s="36"/>
      <c r="Z6591" s="36"/>
      <c r="AA6591" s="36"/>
      <c r="AB6591" s="36"/>
      <c r="AC6591" s="36"/>
      <c r="AD6591" s="36"/>
      <c r="AE6591" s="36"/>
      <c r="AF6591" s="36"/>
      <c r="AG6591" s="36"/>
      <c r="AH6591" s="36"/>
      <c r="AI6591" s="36"/>
      <c r="AJ6591" s="15">
        <f t="shared" si="1230"/>
        <v>0</v>
      </c>
      <c r="AK6591" s="14"/>
      <c r="AL6591" s="14"/>
      <c r="AM6591" s="14"/>
      <c r="AN6591" s="14">
        <v>400</v>
      </c>
      <c r="AO6591" s="14">
        <v>400</v>
      </c>
      <c r="AP6591" s="14"/>
      <c r="AQ6591" s="14"/>
      <c r="AR6591" s="14"/>
      <c r="AS6591" s="14"/>
      <c r="AT6591" s="14"/>
      <c r="AU6591" s="14"/>
      <c r="AV6591" s="14"/>
      <c r="AW6591" s="15">
        <f t="shared" si="1231"/>
        <v>800</v>
      </c>
      <c r="AX6591" s="16"/>
    </row>
    <row r="6592" spans="2:50" x14ac:dyDescent="0.2">
      <c r="B6592" s="7"/>
      <c r="C6592" s="8">
        <v>16679</v>
      </c>
      <c r="D6592" s="9" t="s">
        <v>235</v>
      </c>
      <c r="E6592" s="10" t="str">
        <f t="shared" si="1226"/>
        <v>Rancho La Cuchilla No. 43, A</v>
      </c>
      <c r="F6592" s="10" t="str">
        <f t="shared" si="1227"/>
        <v>De la Rosa</v>
      </c>
      <c r="G6592" s="8">
        <v>1</v>
      </c>
      <c r="H6592" s="11">
        <v>400</v>
      </c>
      <c r="I6592" s="12">
        <v>43261</v>
      </c>
      <c r="J6592" s="35">
        <f t="shared" si="1228"/>
        <v>0</v>
      </c>
      <c r="K6592" s="36"/>
      <c r="L6592" s="36"/>
      <c r="M6592" s="36"/>
      <c r="N6592" s="36"/>
      <c r="O6592" s="36"/>
      <c r="P6592" s="36"/>
      <c r="Q6592" s="36"/>
      <c r="R6592" s="36"/>
      <c r="S6592" s="36"/>
      <c r="T6592" s="36"/>
      <c r="U6592" s="36"/>
      <c r="V6592" s="36"/>
      <c r="W6592" s="15">
        <f t="shared" si="1229"/>
        <v>0</v>
      </c>
      <c r="X6592" s="36"/>
      <c r="Y6592" s="36"/>
      <c r="Z6592" s="36"/>
      <c r="AA6592" s="36"/>
      <c r="AB6592" s="36"/>
      <c r="AC6592" s="36"/>
      <c r="AD6592" s="36"/>
      <c r="AE6592" s="36"/>
      <c r="AF6592" s="36"/>
      <c r="AG6592" s="36"/>
      <c r="AH6592" s="36"/>
      <c r="AI6592" s="36"/>
      <c r="AJ6592" s="15">
        <f t="shared" si="1230"/>
        <v>0</v>
      </c>
      <c r="AK6592" s="14"/>
      <c r="AL6592" s="14"/>
      <c r="AM6592" s="14"/>
      <c r="AN6592" s="14">
        <v>400</v>
      </c>
      <c r="AO6592" s="14"/>
      <c r="AP6592" s="14"/>
      <c r="AQ6592" s="14"/>
      <c r="AR6592" s="14"/>
      <c r="AS6592" s="14"/>
      <c r="AT6592" s="14"/>
      <c r="AU6592" s="14"/>
      <c r="AV6592" s="14"/>
      <c r="AW6592" s="15">
        <f t="shared" si="1231"/>
        <v>400</v>
      </c>
      <c r="AX6592" s="16"/>
    </row>
    <row r="6593" spans="2:50" x14ac:dyDescent="0.2">
      <c r="B6593" s="7"/>
      <c r="C6593" s="8">
        <v>16680</v>
      </c>
      <c r="D6593" s="9" t="s">
        <v>574</v>
      </c>
      <c r="E6593" s="10" t="str">
        <f t="shared" ref="E6593:E6612" si="1232">IF(D6593=0,"",VLOOKUP(D6593,BASE,2,FALSE))</f>
        <v xml:space="preserve">Rancho Upácuaro No. 94 </v>
      </c>
      <c r="F6593" s="10" t="str">
        <f t="shared" ref="F6593:F6612" si="1233">IF(D6593=0,"",VLOOKUP(D6593,BASE,3,FALSE))</f>
        <v>Juárez Patiño</v>
      </c>
      <c r="G6593" s="8">
        <v>1</v>
      </c>
      <c r="H6593" s="11">
        <v>300</v>
      </c>
      <c r="I6593" s="12">
        <v>43261</v>
      </c>
      <c r="J6593" s="35">
        <f t="shared" ref="J6593:J6612" si="1234">IF(G6593=1,SUM(W6593,AJ6593,AW6593,-H6593),0)</f>
        <v>0</v>
      </c>
      <c r="K6593" s="36"/>
      <c r="L6593" s="36"/>
      <c r="M6593" s="36"/>
      <c r="N6593" s="36"/>
      <c r="O6593" s="36"/>
      <c r="P6593" s="36"/>
      <c r="Q6593" s="36"/>
      <c r="R6593" s="36"/>
      <c r="S6593" s="36"/>
      <c r="T6593" s="36"/>
      <c r="U6593" s="36"/>
      <c r="V6593" s="36"/>
      <c r="W6593" s="15">
        <f t="shared" ref="W6593:W6612" si="1235">SUM(K6593:V6593)</f>
        <v>0</v>
      </c>
      <c r="X6593" s="36"/>
      <c r="Y6593" s="36"/>
      <c r="Z6593" s="36"/>
      <c r="AA6593" s="36"/>
      <c r="AB6593" s="36"/>
      <c r="AC6593" s="36"/>
      <c r="AD6593" s="36"/>
      <c r="AE6593" s="36"/>
      <c r="AF6593" s="36"/>
      <c r="AG6593" s="36"/>
      <c r="AH6593" s="36"/>
      <c r="AI6593" s="36"/>
      <c r="AJ6593" s="15">
        <f t="shared" ref="AJ6593:AJ6612" si="1236">SUM(X6593:AI6593)</f>
        <v>0</v>
      </c>
      <c r="AK6593" s="14"/>
      <c r="AL6593" s="14"/>
      <c r="AM6593" s="14"/>
      <c r="AN6593" s="14"/>
      <c r="AO6593" s="14"/>
      <c r="AP6593" s="14">
        <v>300</v>
      </c>
      <c r="AQ6593" s="14"/>
      <c r="AR6593" s="14"/>
      <c r="AS6593" s="14"/>
      <c r="AT6593" s="14"/>
      <c r="AU6593" s="14"/>
      <c r="AV6593" s="14"/>
      <c r="AW6593" s="15">
        <f t="shared" ref="AW6593:AW6612" si="1237">SUM(AK6593:AV6593)</f>
        <v>300</v>
      </c>
      <c r="AX6593" s="16"/>
    </row>
    <row r="6594" spans="2:50" x14ac:dyDescent="0.2">
      <c r="B6594" s="7"/>
      <c r="C6594" s="8">
        <v>16681</v>
      </c>
      <c r="D6594" s="9"/>
      <c r="E6594" s="10" t="str">
        <f t="shared" si="1232"/>
        <v/>
      </c>
      <c r="F6594" s="10" t="str">
        <f t="shared" si="1233"/>
        <v/>
      </c>
      <c r="G6594" s="8">
        <v>8</v>
      </c>
      <c r="H6594" s="11"/>
      <c r="I6594" s="12"/>
      <c r="J6594" s="35">
        <f t="shared" si="1234"/>
        <v>0</v>
      </c>
      <c r="K6594" s="36"/>
      <c r="L6594" s="36"/>
      <c r="M6594" s="36"/>
      <c r="N6594" s="36"/>
      <c r="O6594" s="36"/>
      <c r="P6594" s="36"/>
      <c r="Q6594" s="36"/>
      <c r="R6594" s="36"/>
      <c r="S6594" s="36"/>
      <c r="T6594" s="36"/>
      <c r="U6594" s="36"/>
      <c r="V6594" s="36"/>
      <c r="W6594" s="15">
        <f t="shared" si="1235"/>
        <v>0</v>
      </c>
      <c r="X6594" s="36"/>
      <c r="Y6594" s="36"/>
      <c r="Z6594" s="36"/>
      <c r="AA6594" s="36"/>
      <c r="AB6594" s="36"/>
      <c r="AC6594" s="36"/>
      <c r="AD6594" s="36"/>
      <c r="AE6594" s="36"/>
      <c r="AF6594" s="36"/>
      <c r="AG6594" s="36"/>
      <c r="AH6594" s="36"/>
      <c r="AI6594" s="36"/>
      <c r="AJ6594" s="15">
        <f t="shared" si="1236"/>
        <v>0</v>
      </c>
      <c r="AK6594" s="14"/>
      <c r="AL6594" s="14"/>
      <c r="AM6594" s="14"/>
      <c r="AN6594" s="14"/>
      <c r="AO6594" s="14"/>
      <c r="AP6594" s="14"/>
      <c r="AQ6594" s="14"/>
      <c r="AR6594" s="14"/>
      <c r="AS6594" s="14"/>
      <c r="AT6594" s="14"/>
      <c r="AU6594" s="14"/>
      <c r="AV6594" s="14"/>
      <c r="AW6594" s="15">
        <f t="shared" si="1237"/>
        <v>0</v>
      </c>
      <c r="AX6594" s="16"/>
    </row>
    <row r="6595" spans="2:50" x14ac:dyDescent="0.2">
      <c r="B6595" s="7"/>
      <c r="C6595" s="8">
        <v>16682</v>
      </c>
      <c r="D6595" s="9" t="s">
        <v>568</v>
      </c>
      <c r="E6595" s="10" t="str">
        <f t="shared" si="1232"/>
        <v>Rancho Landero No. 95</v>
      </c>
      <c r="F6595" s="10" t="str">
        <f t="shared" si="1233"/>
        <v>Rivas Rangel</v>
      </c>
      <c r="G6595" s="8">
        <v>1</v>
      </c>
      <c r="H6595" s="11">
        <v>400</v>
      </c>
      <c r="I6595" s="12">
        <v>43261</v>
      </c>
      <c r="J6595" s="35">
        <f t="shared" si="1234"/>
        <v>0</v>
      </c>
      <c r="K6595" s="36"/>
      <c r="L6595" s="36"/>
      <c r="M6595" s="36"/>
      <c r="N6595" s="36"/>
      <c r="O6595" s="36"/>
      <c r="P6595" s="36"/>
      <c r="Q6595" s="36"/>
      <c r="R6595" s="36"/>
      <c r="S6595" s="36"/>
      <c r="T6595" s="36"/>
      <c r="U6595" s="36"/>
      <c r="V6595" s="36"/>
      <c r="W6595" s="15">
        <f t="shared" si="1235"/>
        <v>0</v>
      </c>
      <c r="X6595" s="36"/>
      <c r="Y6595" s="36"/>
      <c r="Z6595" s="36"/>
      <c r="AA6595" s="36"/>
      <c r="AB6595" s="36"/>
      <c r="AC6595" s="36"/>
      <c r="AD6595" s="36"/>
      <c r="AE6595" s="36"/>
      <c r="AF6595" s="36"/>
      <c r="AG6595" s="36"/>
      <c r="AH6595" s="36"/>
      <c r="AI6595" s="36"/>
      <c r="AJ6595" s="15">
        <f t="shared" si="1236"/>
        <v>0</v>
      </c>
      <c r="AK6595" s="14"/>
      <c r="AL6595" s="14"/>
      <c r="AM6595" s="14"/>
      <c r="AN6595" s="14"/>
      <c r="AO6595" s="14"/>
      <c r="AP6595" s="14">
        <v>400</v>
      </c>
      <c r="AQ6595" s="14"/>
      <c r="AR6595" s="14"/>
      <c r="AS6595" s="14"/>
      <c r="AT6595" s="14"/>
      <c r="AU6595" s="14"/>
      <c r="AV6595" s="14"/>
      <c r="AW6595" s="15">
        <f t="shared" si="1237"/>
        <v>400</v>
      </c>
      <c r="AX6595" s="16"/>
    </row>
    <row r="6596" spans="2:50" x14ac:dyDescent="0.2">
      <c r="B6596" s="7"/>
      <c r="C6596" s="8">
        <v>16683</v>
      </c>
      <c r="D6596" s="9" t="s">
        <v>192</v>
      </c>
      <c r="E6596" s="10" t="str">
        <f t="shared" si="1232"/>
        <v>Rancho Landero No. 77</v>
      </c>
      <c r="F6596" s="10" t="str">
        <f t="shared" si="1233"/>
        <v>Muñoz</v>
      </c>
      <c r="G6596" s="8">
        <v>1</v>
      </c>
      <c r="H6596" s="11">
        <v>800</v>
      </c>
      <c r="I6596" s="12">
        <v>43261</v>
      </c>
      <c r="J6596" s="35">
        <f t="shared" si="1234"/>
        <v>0</v>
      </c>
      <c r="K6596" s="36"/>
      <c r="L6596" s="36"/>
      <c r="M6596" s="36"/>
      <c r="N6596" s="36"/>
      <c r="O6596" s="36"/>
      <c r="P6596" s="36"/>
      <c r="Q6596" s="36"/>
      <c r="R6596" s="36"/>
      <c r="S6596" s="36"/>
      <c r="T6596" s="36"/>
      <c r="U6596" s="36"/>
      <c r="V6596" s="36"/>
      <c r="W6596" s="15">
        <f t="shared" si="1235"/>
        <v>0</v>
      </c>
      <c r="X6596" s="36"/>
      <c r="Y6596" s="36"/>
      <c r="Z6596" s="36"/>
      <c r="AA6596" s="36"/>
      <c r="AB6596" s="36"/>
      <c r="AC6596" s="36"/>
      <c r="AD6596" s="36"/>
      <c r="AE6596" s="36"/>
      <c r="AF6596" s="36"/>
      <c r="AG6596" s="36"/>
      <c r="AH6596" s="36"/>
      <c r="AI6596" s="36"/>
      <c r="AJ6596" s="15">
        <f t="shared" si="1236"/>
        <v>0</v>
      </c>
      <c r="AK6596" s="14"/>
      <c r="AL6596" s="14"/>
      <c r="AM6596" s="14"/>
      <c r="AN6596" s="14"/>
      <c r="AO6596" s="14">
        <v>400</v>
      </c>
      <c r="AP6596" s="14">
        <v>400</v>
      </c>
      <c r="AQ6596" s="14"/>
      <c r="AR6596" s="14"/>
      <c r="AS6596" s="14"/>
      <c r="AT6596" s="14"/>
      <c r="AU6596" s="14"/>
      <c r="AV6596" s="14"/>
      <c r="AW6596" s="15">
        <f t="shared" si="1237"/>
        <v>800</v>
      </c>
      <c r="AX6596" s="16"/>
    </row>
    <row r="6597" spans="2:50" x14ac:dyDescent="0.2">
      <c r="B6597" s="7"/>
      <c r="C6597" s="8">
        <v>16684</v>
      </c>
      <c r="D6597" s="9" t="s">
        <v>413</v>
      </c>
      <c r="E6597" s="10" t="str">
        <f t="shared" si="1232"/>
        <v>Rancho Upácuaro No. 79</v>
      </c>
      <c r="F6597" s="10" t="str">
        <f t="shared" si="1233"/>
        <v>Macías</v>
      </c>
      <c r="G6597" s="8">
        <v>1</v>
      </c>
      <c r="H6597" s="11">
        <v>800</v>
      </c>
      <c r="I6597" s="12">
        <v>43261</v>
      </c>
      <c r="J6597" s="35">
        <f t="shared" si="1234"/>
        <v>0</v>
      </c>
      <c r="K6597" s="36"/>
      <c r="L6597" s="36"/>
      <c r="M6597" s="36"/>
      <c r="N6597" s="36"/>
      <c r="O6597" s="36"/>
      <c r="P6597" s="36"/>
      <c r="Q6597" s="36"/>
      <c r="R6597" s="36"/>
      <c r="S6597" s="36"/>
      <c r="T6597" s="36"/>
      <c r="U6597" s="36"/>
      <c r="V6597" s="36"/>
      <c r="W6597" s="15">
        <f t="shared" si="1235"/>
        <v>0</v>
      </c>
      <c r="X6597" s="36"/>
      <c r="Y6597" s="36"/>
      <c r="Z6597" s="36"/>
      <c r="AA6597" s="36"/>
      <c r="AB6597" s="36"/>
      <c r="AC6597" s="36"/>
      <c r="AD6597" s="36"/>
      <c r="AE6597" s="36"/>
      <c r="AF6597" s="36"/>
      <c r="AG6597" s="36"/>
      <c r="AH6597" s="36"/>
      <c r="AI6597" s="36"/>
      <c r="AJ6597" s="15">
        <f t="shared" si="1236"/>
        <v>0</v>
      </c>
      <c r="AK6597" s="14"/>
      <c r="AL6597" s="14"/>
      <c r="AM6597" s="14"/>
      <c r="AN6597" s="14"/>
      <c r="AO6597" s="14"/>
      <c r="AP6597" s="14">
        <v>400</v>
      </c>
      <c r="AQ6597" s="14">
        <v>400</v>
      </c>
      <c r="AR6597" s="14"/>
      <c r="AS6597" s="14"/>
      <c r="AT6597" s="14"/>
      <c r="AU6597" s="14"/>
      <c r="AV6597" s="14"/>
      <c r="AW6597" s="15">
        <f t="shared" si="1237"/>
        <v>800</v>
      </c>
      <c r="AX6597" s="16"/>
    </row>
    <row r="6598" spans="2:50" x14ac:dyDescent="0.2">
      <c r="B6598" s="7"/>
      <c r="C6598" s="8">
        <v>16685</v>
      </c>
      <c r="D6598" s="9" t="s">
        <v>165</v>
      </c>
      <c r="E6598" s="10" t="str">
        <f t="shared" si="1232"/>
        <v>Rancho Upácuaro No. 23</v>
      </c>
      <c r="F6598" s="10" t="str">
        <f t="shared" si="1233"/>
        <v>Gutièrrez Muñòz</v>
      </c>
      <c r="G6598" s="8">
        <v>1</v>
      </c>
      <c r="H6598" s="11">
        <v>350</v>
      </c>
      <c r="I6598" s="12">
        <v>43261</v>
      </c>
      <c r="J6598" s="35">
        <f t="shared" si="1234"/>
        <v>0</v>
      </c>
      <c r="K6598" s="36"/>
      <c r="L6598" s="36"/>
      <c r="M6598" s="36"/>
      <c r="N6598" s="36"/>
      <c r="O6598" s="36"/>
      <c r="P6598" s="36"/>
      <c r="Q6598" s="36"/>
      <c r="R6598" s="36"/>
      <c r="S6598" s="36"/>
      <c r="T6598" s="36"/>
      <c r="U6598" s="36"/>
      <c r="V6598" s="36"/>
      <c r="W6598" s="15">
        <f t="shared" si="1235"/>
        <v>0</v>
      </c>
      <c r="X6598" s="36"/>
      <c r="Y6598" s="36"/>
      <c r="Z6598" s="36"/>
      <c r="AA6598" s="36"/>
      <c r="AB6598" s="36"/>
      <c r="AC6598" s="36"/>
      <c r="AD6598" s="36"/>
      <c r="AE6598" s="36"/>
      <c r="AF6598" s="36"/>
      <c r="AG6598" s="36"/>
      <c r="AH6598" s="36"/>
      <c r="AI6598" s="36"/>
      <c r="AJ6598" s="15">
        <f t="shared" si="1236"/>
        <v>0</v>
      </c>
      <c r="AK6598" s="14"/>
      <c r="AL6598" s="14"/>
      <c r="AM6598" s="14"/>
      <c r="AN6598" s="14"/>
      <c r="AO6598" s="14"/>
      <c r="AP6598" s="14">
        <v>350</v>
      </c>
      <c r="AQ6598" s="14"/>
      <c r="AR6598" s="14"/>
      <c r="AS6598" s="14"/>
      <c r="AT6598" s="14"/>
      <c r="AU6598" s="14"/>
      <c r="AV6598" s="14"/>
      <c r="AW6598" s="15">
        <f t="shared" si="1237"/>
        <v>350</v>
      </c>
      <c r="AX6598" s="16"/>
    </row>
    <row r="6599" spans="2:50" x14ac:dyDescent="0.2">
      <c r="B6599" s="7"/>
      <c r="C6599" s="8">
        <v>16686</v>
      </c>
      <c r="D6599" s="9" t="s">
        <v>728</v>
      </c>
      <c r="E6599" s="10" t="str">
        <f t="shared" si="1232"/>
        <v>Rancho Estanzuela No. 77</v>
      </c>
      <c r="F6599" s="10" t="str">
        <f t="shared" si="1233"/>
        <v>De la Rosa Rico</v>
      </c>
      <c r="G6599" s="8">
        <v>1</v>
      </c>
      <c r="H6599" s="11">
        <v>400</v>
      </c>
      <c r="I6599" s="12">
        <v>43261</v>
      </c>
      <c r="J6599" s="35">
        <f t="shared" si="1234"/>
        <v>0</v>
      </c>
      <c r="K6599" s="36"/>
      <c r="L6599" s="36"/>
      <c r="M6599" s="36"/>
      <c r="N6599" s="36"/>
      <c r="O6599" s="36"/>
      <c r="P6599" s="36"/>
      <c r="Q6599" s="36"/>
      <c r="R6599" s="36"/>
      <c r="S6599" s="36"/>
      <c r="T6599" s="36"/>
      <c r="U6599" s="36"/>
      <c r="V6599" s="36"/>
      <c r="W6599" s="15">
        <f t="shared" si="1235"/>
        <v>0</v>
      </c>
      <c r="X6599" s="36"/>
      <c r="Y6599" s="36"/>
      <c r="Z6599" s="36"/>
      <c r="AA6599" s="36"/>
      <c r="AB6599" s="36"/>
      <c r="AC6599" s="36"/>
      <c r="AD6599" s="36"/>
      <c r="AE6599" s="36"/>
      <c r="AF6599" s="36"/>
      <c r="AG6599" s="36"/>
      <c r="AH6599" s="36"/>
      <c r="AI6599" s="36"/>
      <c r="AJ6599" s="15">
        <f t="shared" si="1236"/>
        <v>0</v>
      </c>
      <c r="AK6599" s="14"/>
      <c r="AL6599" s="14"/>
      <c r="AM6599" s="14"/>
      <c r="AN6599" s="14"/>
      <c r="AO6599" s="14">
        <v>400</v>
      </c>
      <c r="AP6599" s="14"/>
      <c r="AQ6599" s="14"/>
      <c r="AR6599" s="14"/>
      <c r="AS6599" s="14"/>
      <c r="AT6599" s="14"/>
      <c r="AU6599" s="14"/>
      <c r="AV6599" s="14"/>
      <c r="AW6599" s="15">
        <f t="shared" si="1237"/>
        <v>400</v>
      </c>
      <c r="AX6599" s="16"/>
    </row>
    <row r="6600" spans="2:50" x14ac:dyDescent="0.2">
      <c r="B6600" s="7"/>
      <c r="C6600" s="8">
        <v>16687</v>
      </c>
      <c r="D6600" s="9" t="s">
        <v>103</v>
      </c>
      <c r="E6600" s="10" t="str">
        <f t="shared" si="1232"/>
        <v>Rancho La Cuchilla No. 41</v>
      </c>
      <c r="F6600" s="10" t="str">
        <f t="shared" si="1233"/>
        <v>Arriaga Lemus</v>
      </c>
      <c r="G6600" s="8">
        <v>1</v>
      </c>
      <c r="H6600" s="11">
        <v>400</v>
      </c>
      <c r="I6600" s="12">
        <v>43261</v>
      </c>
      <c r="J6600" s="35">
        <f t="shared" si="1234"/>
        <v>0</v>
      </c>
      <c r="K6600" s="36"/>
      <c r="L6600" s="36"/>
      <c r="M6600" s="36"/>
      <c r="N6600" s="36"/>
      <c r="O6600" s="36"/>
      <c r="P6600" s="36"/>
      <c r="Q6600" s="36"/>
      <c r="R6600" s="36"/>
      <c r="S6600" s="36"/>
      <c r="T6600" s="36"/>
      <c r="U6600" s="36"/>
      <c r="V6600" s="36"/>
      <c r="W6600" s="15">
        <f t="shared" si="1235"/>
        <v>0</v>
      </c>
      <c r="X6600" s="36"/>
      <c r="Y6600" s="36"/>
      <c r="Z6600" s="36"/>
      <c r="AA6600" s="36"/>
      <c r="AB6600" s="36"/>
      <c r="AC6600" s="36"/>
      <c r="AD6600" s="36"/>
      <c r="AE6600" s="36"/>
      <c r="AF6600" s="36"/>
      <c r="AG6600" s="36"/>
      <c r="AH6600" s="36"/>
      <c r="AI6600" s="36"/>
      <c r="AJ6600" s="15">
        <f t="shared" si="1236"/>
        <v>0</v>
      </c>
      <c r="AK6600" s="14"/>
      <c r="AL6600" s="14"/>
      <c r="AM6600" s="14"/>
      <c r="AN6600" s="14"/>
      <c r="AO6600" s="14">
        <v>400</v>
      </c>
      <c r="AP6600" s="14"/>
      <c r="AQ6600" s="14"/>
      <c r="AR6600" s="14"/>
      <c r="AS6600" s="14"/>
      <c r="AT6600" s="14"/>
      <c r="AU6600" s="14"/>
      <c r="AV6600" s="14"/>
      <c r="AW6600" s="15">
        <f t="shared" si="1237"/>
        <v>400</v>
      </c>
      <c r="AX6600" s="16"/>
    </row>
    <row r="6601" spans="2:50" x14ac:dyDescent="0.2">
      <c r="B6601" s="7"/>
      <c r="C6601" s="8">
        <v>16688</v>
      </c>
      <c r="D6601" s="9" t="s">
        <v>307</v>
      </c>
      <c r="E6601" s="10" t="str">
        <f t="shared" si="1232"/>
        <v>Rancho Landero No. 83</v>
      </c>
      <c r="F6601" s="10" t="str">
        <f t="shared" si="1233"/>
        <v>Aguilar</v>
      </c>
      <c r="G6601" s="8">
        <v>1</v>
      </c>
      <c r="H6601" s="11">
        <v>350</v>
      </c>
      <c r="I6601" s="12">
        <v>43261</v>
      </c>
      <c r="J6601" s="35">
        <f t="shared" si="1234"/>
        <v>0</v>
      </c>
      <c r="K6601" s="36"/>
      <c r="L6601" s="36"/>
      <c r="M6601" s="36"/>
      <c r="N6601" s="36"/>
      <c r="O6601" s="36"/>
      <c r="P6601" s="36"/>
      <c r="Q6601" s="36"/>
      <c r="R6601" s="36"/>
      <c r="S6601" s="36"/>
      <c r="T6601" s="36"/>
      <c r="U6601" s="36"/>
      <c r="V6601" s="36"/>
      <c r="W6601" s="15">
        <f t="shared" si="1235"/>
        <v>0</v>
      </c>
      <c r="X6601" s="36"/>
      <c r="Y6601" s="36"/>
      <c r="Z6601" s="36"/>
      <c r="AA6601" s="36"/>
      <c r="AB6601" s="36"/>
      <c r="AC6601" s="36"/>
      <c r="AD6601" s="36"/>
      <c r="AE6601" s="36"/>
      <c r="AF6601" s="36"/>
      <c r="AG6601" s="36"/>
      <c r="AH6601" s="36"/>
      <c r="AI6601" s="36"/>
      <c r="AJ6601" s="15">
        <f t="shared" si="1236"/>
        <v>0</v>
      </c>
      <c r="AK6601" s="14"/>
      <c r="AL6601" s="14"/>
      <c r="AM6601" s="14"/>
      <c r="AN6601" s="14"/>
      <c r="AO6601" s="14"/>
      <c r="AP6601" s="14">
        <v>350</v>
      </c>
      <c r="AQ6601" s="14"/>
      <c r="AR6601" s="14"/>
      <c r="AS6601" s="14"/>
      <c r="AT6601" s="14"/>
      <c r="AU6601" s="14"/>
      <c r="AV6601" s="14"/>
      <c r="AW6601" s="15">
        <f t="shared" si="1237"/>
        <v>350</v>
      </c>
      <c r="AX6601" s="16"/>
    </row>
    <row r="6602" spans="2:50" x14ac:dyDescent="0.2">
      <c r="B6602" s="7"/>
      <c r="C6602" s="8">
        <v>16689</v>
      </c>
      <c r="D6602" s="9" t="s">
        <v>705</v>
      </c>
      <c r="E6602" s="10" t="str">
        <f t="shared" si="1232"/>
        <v>Rancho La Cuchilla No. 75</v>
      </c>
      <c r="F6602" s="10" t="str">
        <f t="shared" si="1233"/>
        <v>Sosa Lucio</v>
      </c>
      <c r="G6602" s="8">
        <v>3</v>
      </c>
      <c r="H6602" s="11">
        <v>400</v>
      </c>
      <c r="I6602" s="12">
        <v>43261</v>
      </c>
      <c r="J6602" s="35">
        <f t="shared" si="1234"/>
        <v>0</v>
      </c>
      <c r="K6602" s="36"/>
      <c r="L6602" s="36"/>
      <c r="M6602" s="36"/>
      <c r="N6602" s="36"/>
      <c r="O6602" s="36"/>
      <c r="P6602" s="36"/>
      <c r="Q6602" s="36"/>
      <c r="R6602" s="36"/>
      <c r="S6602" s="36"/>
      <c r="T6602" s="36"/>
      <c r="U6602" s="36"/>
      <c r="V6602" s="36"/>
      <c r="W6602" s="15">
        <f t="shared" si="1235"/>
        <v>0</v>
      </c>
      <c r="X6602" s="36"/>
      <c r="Y6602" s="36"/>
      <c r="Z6602" s="36"/>
      <c r="AA6602" s="36"/>
      <c r="AB6602" s="36"/>
      <c r="AC6602" s="36"/>
      <c r="AD6602" s="36"/>
      <c r="AE6602" s="36"/>
      <c r="AF6602" s="36"/>
      <c r="AG6602" s="36"/>
      <c r="AH6602" s="36"/>
      <c r="AI6602" s="36"/>
      <c r="AJ6602" s="15">
        <f t="shared" si="1236"/>
        <v>0</v>
      </c>
      <c r="AK6602" s="14"/>
      <c r="AL6602" s="14"/>
      <c r="AM6602" s="14"/>
      <c r="AN6602" s="14"/>
      <c r="AO6602" s="14"/>
      <c r="AP6602" s="14"/>
      <c r="AQ6602" s="14"/>
      <c r="AR6602" s="14"/>
      <c r="AS6602" s="14"/>
      <c r="AT6602" s="14"/>
      <c r="AU6602" s="14"/>
      <c r="AV6602" s="14"/>
      <c r="AW6602" s="15">
        <f t="shared" si="1237"/>
        <v>0</v>
      </c>
      <c r="AX6602" s="16"/>
    </row>
    <row r="6603" spans="2:50" x14ac:dyDescent="0.2">
      <c r="B6603" s="7"/>
      <c r="C6603" s="8">
        <v>16690</v>
      </c>
      <c r="D6603" s="9" t="s">
        <v>589</v>
      </c>
      <c r="E6603" s="10" t="str">
        <f t="shared" si="1232"/>
        <v>Rancho La Cuchilla No. 149</v>
      </c>
      <c r="F6603" s="10" t="str">
        <f t="shared" si="1233"/>
        <v>Montes Irineos</v>
      </c>
      <c r="G6603" s="8">
        <v>1</v>
      </c>
      <c r="H6603" s="11">
        <v>800</v>
      </c>
      <c r="I6603" s="12">
        <v>43261</v>
      </c>
      <c r="J6603" s="35">
        <f t="shared" si="1234"/>
        <v>0</v>
      </c>
      <c r="K6603" s="36"/>
      <c r="L6603" s="36"/>
      <c r="M6603" s="36"/>
      <c r="N6603" s="36"/>
      <c r="O6603" s="36"/>
      <c r="P6603" s="36"/>
      <c r="Q6603" s="36"/>
      <c r="R6603" s="36"/>
      <c r="S6603" s="36"/>
      <c r="T6603" s="36"/>
      <c r="U6603" s="36"/>
      <c r="V6603" s="36"/>
      <c r="W6603" s="15">
        <f t="shared" si="1235"/>
        <v>0</v>
      </c>
      <c r="X6603" s="36"/>
      <c r="Y6603" s="36"/>
      <c r="Z6603" s="36"/>
      <c r="AA6603" s="36"/>
      <c r="AB6603" s="36"/>
      <c r="AC6603" s="36"/>
      <c r="AD6603" s="36"/>
      <c r="AE6603" s="36"/>
      <c r="AF6603" s="36"/>
      <c r="AG6603" s="36"/>
      <c r="AH6603" s="36"/>
      <c r="AI6603" s="36"/>
      <c r="AJ6603" s="15">
        <f t="shared" si="1236"/>
        <v>0</v>
      </c>
      <c r="AK6603" s="14"/>
      <c r="AL6603" s="14"/>
      <c r="AM6603" s="14"/>
      <c r="AN6603" s="14">
        <v>400</v>
      </c>
      <c r="AO6603" s="14">
        <v>400</v>
      </c>
      <c r="AP6603" s="14"/>
      <c r="AQ6603" s="14"/>
      <c r="AR6603" s="14"/>
      <c r="AS6603" s="14"/>
      <c r="AT6603" s="14"/>
      <c r="AU6603" s="14"/>
      <c r="AV6603" s="14"/>
      <c r="AW6603" s="15">
        <f t="shared" si="1237"/>
        <v>800</v>
      </c>
      <c r="AX6603" s="16"/>
    </row>
    <row r="6604" spans="2:50" x14ac:dyDescent="0.2">
      <c r="B6604" s="7"/>
      <c r="C6604" s="8">
        <v>16691</v>
      </c>
      <c r="D6604" s="9" t="s">
        <v>996</v>
      </c>
      <c r="E6604" s="10" t="str">
        <f t="shared" si="1232"/>
        <v>Rancho Upácuaro No. 15</v>
      </c>
      <c r="F6604" s="10" t="str">
        <f t="shared" si="1233"/>
        <v>Aguirre</v>
      </c>
      <c r="G6604" s="8">
        <v>1</v>
      </c>
      <c r="H6604" s="11">
        <v>2000</v>
      </c>
      <c r="I6604" s="12">
        <v>43261</v>
      </c>
      <c r="J6604" s="35">
        <f t="shared" si="1234"/>
        <v>0</v>
      </c>
      <c r="K6604" s="36"/>
      <c r="L6604" s="36"/>
      <c r="M6604" s="36"/>
      <c r="N6604" s="36"/>
      <c r="O6604" s="36"/>
      <c r="P6604" s="36"/>
      <c r="Q6604" s="36"/>
      <c r="R6604" s="36"/>
      <c r="S6604" s="36"/>
      <c r="T6604" s="36"/>
      <c r="U6604" s="36"/>
      <c r="V6604" s="36"/>
      <c r="W6604" s="15">
        <f t="shared" si="1235"/>
        <v>0</v>
      </c>
      <c r="X6604" s="36"/>
      <c r="Y6604" s="36"/>
      <c r="Z6604" s="36"/>
      <c r="AA6604" s="36"/>
      <c r="AB6604" s="36"/>
      <c r="AC6604" s="36"/>
      <c r="AD6604" s="36"/>
      <c r="AE6604" s="36"/>
      <c r="AF6604" s="36"/>
      <c r="AG6604" s="36"/>
      <c r="AH6604" s="36"/>
      <c r="AI6604" s="36"/>
      <c r="AJ6604" s="15">
        <f t="shared" si="1236"/>
        <v>0</v>
      </c>
      <c r="AK6604" s="14"/>
      <c r="AL6604" s="14">
        <v>400</v>
      </c>
      <c r="AM6604" s="14">
        <v>400</v>
      </c>
      <c r="AN6604" s="14">
        <v>400</v>
      </c>
      <c r="AO6604" s="14">
        <v>400</v>
      </c>
      <c r="AP6604" s="14">
        <v>400</v>
      </c>
      <c r="AQ6604" s="14"/>
      <c r="AR6604" s="14"/>
      <c r="AS6604" s="14"/>
      <c r="AT6604" s="14"/>
      <c r="AU6604" s="14"/>
      <c r="AV6604" s="14"/>
      <c r="AW6604" s="15">
        <f t="shared" si="1237"/>
        <v>2000</v>
      </c>
      <c r="AX6604" s="16"/>
    </row>
    <row r="6605" spans="2:50" x14ac:dyDescent="0.2">
      <c r="B6605" s="7"/>
      <c r="C6605" s="8">
        <v>16692</v>
      </c>
      <c r="D6605" s="9" t="s">
        <v>899</v>
      </c>
      <c r="E6605" s="10" t="str">
        <f t="shared" si="1232"/>
        <v>Rancho Landero No. 8</v>
      </c>
      <c r="F6605" s="10" t="str">
        <f t="shared" si="1233"/>
        <v>Garces Suarez</v>
      </c>
      <c r="G6605" s="8">
        <v>1</v>
      </c>
      <c r="H6605" s="11">
        <v>1200</v>
      </c>
      <c r="I6605" s="12">
        <v>43261</v>
      </c>
      <c r="J6605" s="35">
        <f t="shared" si="1234"/>
        <v>0</v>
      </c>
      <c r="K6605" s="36"/>
      <c r="L6605" s="36"/>
      <c r="M6605" s="36"/>
      <c r="N6605" s="36"/>
      <c r="O6605" s="36"/>
      <c r="P6605" s="36"/>
      <c r="Q6605" s="36"/>
      <c r="R6605" s="36"/>
      <c r="S6605" s="36"/>
      <c r="T6605" s="36"/>
      <c r="U6605" s="36"/>
      <c r="V6605" s="36"/>
      <c r="W6605" s="15">
        <f t="shared" si="1235"/>
        <v>0</v>
      </c>
      <c r="X6605" s="36"/>
      <c r="Y6605" s="36"/>
      <c r="Z6605" s="36"/>
      <c r="AA6605" s="36"/>
      <c r="AB6605" s="36"/>
      <c r="AC6605" s="36"/>
      <c r="AD6605" s="36"/>
      <c r="AE6605" s="36"/>
      <c r="AF6605" s="36"/>
      <c r="AG6605" s="36"/>
      <c r="AH6605" s="36"/>
      <c r="AI6605" s="36"/>
      <c r="AJ6605" s="15">
        <f t="shared" si="1236"/>
        <v>0</v>
      </c>
      <c r="AK6605" s="14"/>
      <c r="AL6605" s="14"/>
      <c r="AM6605" s="14"/>
      <c r="AN6605" s="14"/>
      <c r="AO6605" s="14">
        <v>400</v>
      </c>
      <c r="AP6605" s="14">
        <v>400</v>
      </c>
      <c r="AQ6605" s="14">
        <v>400</v>
      </c>
      <c r="AR6605" s="14"/>
      <c r="AS6605" s="14"/>
      <c r="AT6605" s="14"/>
      <c r="AU6605" s="14"/>
      <c r="AV6605" s="14"/>
      <c r="AW6605" s="15">
        <f t="shared" si="1237"/>
        <v>1200</v>
      </c>
      <c r="AX6605" s="16"/>
    </row>
    <row r="6606" spans="2:50" x14ac:dyDescent="0.2">
      <c r="B6606" s="7"/>
      <c r="C6606" s="8">
        <v>16693</v>
      </c>
      <c r="D6606" s="9" t="s">
        <v>996</v>
      </c>
      <c r="E6606" s="10" t="str">
        <f t="shared" si="1232"/>
        <v>Rancho Upácuaro No. 15</v>
      </c>
      <c r="F6606" s="10" t="str">
        <f t="shared" si="1233"/>
        <v>Aguirre</v>
      </c>
      <c r="G6606" s="8">
        <v>4</v>
      </c>
      <c r="H6606" s="11">
        <v>200</v>
      </c>
      <c r="I6606" s="12">
        <v>43261</v>
      </c>
      <c r="J6606" s="35">
        <f t="shared" si="1234"/>
        <v>0</v>
      </c>
      <c r="K6606" s="36"/>
      <c r="L6606" s="36"/>
      <c r="M6606" s="36"/>
      <c r="N6606" s="36"/>
      <c r="O6606" s="36"/>
      <c r="P6606" s="36"/>
      <c r="Q6606" s="36"/>
      <c r="R6606" s="36"/>
      <c r="S6606" s="36"/>
      <c r="T6606" s="36"/>
      <c r="U6606" s="36"/>
      <c r="V6606" s="36"/>
      <c r="W6606" s="15">
        <f t="shared" si="1235"/>
        <v>0</v>
      </c>
      <c r="X6606" s="36"/>
      <c r="Y6606" s="36"/>
      <c r="Z6606" s="36"/>
      <c r="AA6606" s="36"/>
      <c r="AB6606" s="36"/>
      <c r="AC6606" s="36"/>
      <c r="AD6606" s="36"/>
      <c r="AE6606" s="36"/>
      <c r="AF6606" s="36"/>
      <c r="AG6606" s="36"/>
      <c r="AH6606" s="36"/>
      <c r="AI6606" s="36"/>
      <c r="AJ6606" s="15">
        <f t="shared" si="1236"/>
        <v>0</v>
      </c>
      <c r="AK6606" s="14"/>
      <c r="AL6606" s="14"/>
      <c r="AM6606" s="14"/>
      <c r="AN6606" s="14"/>
      <c r="AO6606" s="14"/>
      <c r="AP6606" s="14"/>
      <c r="AQ6606" s="14"/>
      <c r="AR6606" s="14"/>
      <c r="AS6606" s="14"/>
      <c r="AT6606" s="14"/>
      <c r="AU6606" s="14"/>
      <c r="AV6606" s="14"/>
      <c r="AW6606" s="15">
        <f t="shared" si="1237"/>
        <v>0</v>
      </c>
      <c r="AX6606" s="16" t="s">
        <v>5326</v>
      </c>
    </row>
    <row r="6607" spans="2:50" x14ac:dyDescent="0.2">
      <c r="B6607" s="7"/>
      <c r="C6607" s="8">
        <v>16694</v>
      </c>
      <c r="D6607" s="9" t="s">
        <v>714</v>
      </c>
      <c r="E6607" s="10" t="str">
        <f t="shared" si="1232"/>
        <v>Rancho Upácuaro No. 134</v>
      </c>
      <c r="F6607" s="10" t="str">
        <f t="shared" si="1233"/>
        <v>Flores Pérez</v>
      </c>
      <c r="G6607" s="8">
        <v>1</v>
      </c>
      <c r="H6607" s="11">
        <v>800</v>
      </c>
      <c r="I6607" s="12">
        <v>43261</v>
      </c>
      <c r="J6607" s="35">
        <f t="shared" si="1234"/>
        <v>0</v>
      </c>
      <c r="K6607" s="36"/>
      <c r="L6607" s="36"/>
      <c r="M6607" s="36"/>
      <c r="N6607" s="36"/>
      <c r="O6607" s="36"/>
      <c r="P6607" s="36"/>
      <c r="Q6607" s="36"/>
      <c r="R6607" s="36"/>
      <c r="S6607" s="36"/>
      <c r="T6607" s="36"/>
      <c r="U6607" s="36"/>
      <c r="V6607" s="36"/>
      <c r="W6607" s="15">
        <f t="shared" si="1235"/>
        <v>0</v>
      </c>
      <c r="X6607" s="36"/>
      <c r="Y6607" s="36"/>
      <c r="Z6607" s="36"/>
      <c r="AA6607" s="36"/>
      <c r="AB6607" s="36"/>
      <c r="AC6607" s="36"/>
      <c r="AD6607" s="36"/>
      <c r="AE6607" s="36"/>
      <c r="AF6607" s="36"/>
      <c r="AG6607" s="36"/>
      <c r="AH6607" s="36"/>
      <c r="AI6607" s="36"/>
      <c r="AJ6607" s="15">
        <f t="shared" si="1236"/>
        <v>0</v>
      </c>
      <c r="AK6607" s="14"/>
      <c r="AL6607" s="14"/>
      <c r="AM6607" s="14">
        <v>400</v>
      </c>
      <c r="AN6607" s="14">
        <v>400</v>
      </c>
      <c r="AO6607" s="14"/>
      <c r="AP6607" s="14"/>
      <c r="AQ6607" s="14"/>
      <c r="AR6607" s="14"/>
      <c r="AS6607" s="14"/>
      <c r="AT6607" s="14"/>
      <c r="AU6607" s="14"/>
      <c r="AV6607" s="14"/>
      <c r="AW6607" s="15">
        <f t="shared" si="1237"/>
        <v>800</v>
      </c>
      <c r="AX6607" s="16"/>
    </row>
    <row r="6608" spans="2:50" x14ac:dyDescent="0.2">
      <c r="B6608" s="7"/>
      <c r="C6608" s="8">
        <v>16695</v>
      </c>
      <c r="D6608" s="9" t="s">
        <v>449</v>
      </c>
      <c r="E6608" s="10" t="str">
        <f t="shared" si="1232"/>
        <v>Rancho La Cuchilla No. 132</v>
      </c>
      <c r="F6608" s="10" t="str">
        <f t="shared" si="1233"/>
        <v>Téllez Girón</v>
      </c>
      <c r="G6608" s="8">
        <v>1</v>
      </c>
      <c r="H6608" s="11">
        <v>900</v>
      </c>
      <c r="I6608" s="12">
        <v>43261</v>
      </c>
      <c r="J6608" s="35">
        <f t="shared" si="1234"/>
        <v>0</v>
      </c>
      <c r="K6608" s="36"/>
      <c r="L6608" s="36"/>
      <c r="M6608" s="36"/>
      <c r="N6608" s="36"/>
      <c r="O6608" s="36"/>
      <c r="P6608" s="36"/>
      <c r="Q6608" s="36"/>
      <c r="R6608" s="36"/>
      <c r="S6608" s="36"/>
      <c r="T6608" s="36"/>
      <c r="U6608" s="36"/>
      <c r="V6608" s="36"/>
      <c r="W6608" s="15">
        <f t="shared" si="1235"/>
        <v>0</v>
      </c>
      <c r="X6608" s="36"/>
      <c r="Y6608" s="36"/>
      <c r="Z6608" s="36"/>
      <c r="AA6608" s="36"/>
      <c r="AB6608" s="36"/>
      <c r="AC6608" s="36"/>
      <c r="AD6608" s="36"/>
      <c r="AE6608" s="36"/>
      <c r="AF6608" s="36"/>
      <c r="AG6608" s="36"/>
      <c r="AH6608" s="36"/>
      <c r="AI6608" s="36"/>
      <c r="AJ6608" s="15">
        <f t="shared" si="1236"/>
        <v>0</v>
      </c>
      <c r="AK6608" s="14"/>
      <c r="AL6608" s="14"/>
      <c r="AM6608" s="14"/>
      <c r="AN6608" s="14">
        <v>300</v>
      </c>
      <c r="AO6608" s="14">
        <v>300</v>
      </c>
      <c r="AP6608" s="14">
        <v>300</v>
      </c>
      <c r="AQ6608" s="14"/>
      <c r="AR6608" s="14"/>
      <c r="AS6608" s="14"/>
      <c r="AT6608" s="14"/>
      <c r="AU6608" s="14"/>
      <c r="AV6608" s="14"/>
      <c r="AW6608" s="15">
        <f t="shared" si="1237"/>
        <v>900</v>
      </c>
      <c r="AX6608" s="16"/>
    </row>
    <row r="6609" spans="2:50" x14ac:dyDescent="0.2">
      <c r="B6609" s="7"/>
      <c r="C6609" s="8">
        <v>16696</v>
      </c>
      <c r="D6609" s="9" t="s">
        <v>473</v>
      </c>
      <c r="E6609" s="10" t="str">
        <f t="shared" si="1232"/>
        <v>Rancho Zinamba No. 14</v>
      </c>
      <c r="F6609" s="10" t="str">
        <f t="shared" si="1233"/>
        <v>Gutiérrez García</v>
      </c>
      <c r="G6609" s="8">
        <v>1</v>
      </c>
      <c r="H6609" s="11">
        <v>400</v>
      </c>
      <c r="I6609" s="12">
        <v>43261</v>
      </c>
      <c r="J6609" s="35">
        <f t="shared" si="1234"/>
        <v>0</v>
      </c>
      <c r="K6609" s="36"/>
      <c r="L6609" s="36"/>
      <c r="M6609" s="36"/>
      <c r="N6609" s="36"/>
      <c r="O6609" s="36"/>
      <c r="P6609" s="36"/>
      <c r="Q6609" s="36"/>
      <c r="R6609" s="36"/>
      <c r="S6609" s="36"/>
      <c r="T6609" s="36"/>
      <c r="U6609" s="36"/>
      <c r="V6609" s="36"/>
      <c r="W6609" s="15">
        <f t="shared" si="1235"/>
        <v>0</v>
      </c>
      <c r="X6609" s="36"/>
      <c r="Y6609" s="36"/>
      <c r="Z6609" s="36"/>
      <c r="AA6609" s="36"/>
      <c r="AB6609" s="36"/>
      <c r="AC6609" s="36"/>
      <c r="AD6609" s="36"/>
      <c r="AE6609" s="36"/>
      <c r="AF6609" s="36"/>
      <c r="AG6609" s="36"/>
      <c r="AH6609" s="36"/>
      <c r="AI6609" s="36"/>
      <c r="AJ6609" s="15">
        <f t="shared" si="1236"/>
        <v>0</v>
      </c>
      <c r="AK6609" s="14"/>
      <c r="AL6609" s="14"/>
      <c r="AM6609" s="14"/>
      <c r="AN6609" s="14"/>
      <c r="AO6609" s="14"/>
      <c r="AP6609" s="14">
        <v>400</v>
      </c>
      <c r="AQ6609" s="14"/>
      <c r="AR6609" s="14"/>
      <c r="AS6609" s="14"/>
      <c r="AT6609" s="14"/>
      <c r="AU6609" s="14"/>
      <c r="AV6609" s="14"/>
      <c r="AW6609" s="15">
        <f t="shared" si="1237"/>
        <v>400</v>
      </c>
      <c r="AX6609" s="16"/>
    </row>
    <row r="6610" spans="2:50" x14ac:dyDescent="0.2">
      <c r="B6610" s="7"/>
      <c r="C6610" s="8">
        <v>16697</v>
      </c>
      <c r="D6610" s="9" t="s">
        <v>262</v>
      </c>
      <c r="E6610" s="10" t="str">
        <f t="shared" si="1232"/>
        <v>Rancho Recoveco No. 1</v>
      </c>
      <c r="F6610" s="10" t="str">
        <f t="shared" si="1233"/>
        <v>Díaz</v>
      </c>
      <c r="G6610" s="8">
        <v>1</v>
      </c>
      <c r="H6610" s="11">
        <v>300</v>
      </c>
      <c r="I6610" s="12">
        <v>43261</v>
      </c>
      <c r="J6610" s="35">
        <f t="shared" si="1234"/>
        <v>0</v>
      </c>
      <c r="K6610" s="36"/>
      <c r="L6610" s="36"/>
      <c r="M6610" s="36"/>
      <c r="N6610" s="36"/>
      <c r="O6610" s="36"/>
      <c r="P6610" s="36"/>
      <c r="Q6610" s="36"/>
      <c r="R6610" s="36"/>
      <c r="S6610" s="36"/>
      <c r="T6610" s="36"/>
      <c r="U6610" s="36"/>
      <c r="V6610" s="36"/>
      <c r="W6610" s="15">
        <f t="shared" si="1235"/>
        <v>0</v>
      </c>
      <c r="X6610" s="36"/>
      <c r="Y6610" s="36"/>
      <c r="Z6610" s="36"/>
      <c r="AA6610" s="36"/>
      <c r="AB6610" s="36"/>
      <c r="AC6610" s="36"/>
      <c r="AD6610" s="36"/>
      <c r="AE6610" s="36"/>
      <c r="AF6610" s="36"/>
      <c r="AG6610" s="36"/>
      <c r="AH6610" s="36"/>
      <c r="AI6610" s="36"/>
      <c r="AJ6610" s="15">
        <f t="shared" si="1236"/>
        <v>0</v>
      </c>
      <c r="AK6610" s="14"/>
      <c r="AL6610" s="14"/>
      <c r="AM6610" s="14"/>
      <c r="AN6610" s="14"/>
      <c r="AO6610" s="14"/>
      <c r="AP6610" s="14">
        <v>300</v>
      </c>
      <c r="AQ6610" s="14"/>
      <c r="AR6610" s="14"/>
      <c r="AS6610" s="14"/>
      <c r="AT6610" s="14"/>
      <c r="AU6610" s="14"/>
      <c r="AV6610" s="14"/>
      <c r="AW6610" s="15">
        <f t="shared" si="1237"/>
        <v>300</v>
      </c>
      <c r="AX6610" s="16"/>
    </row>
    <row r="6611" spans="2:50" x14ac:dyDescent="0.2">
      <c r="B6611" s="7"/>
      <c r="C6611" s="8">
        <v>16698</v>
      </c>
      <c r="D6611" s="9" t="s">
        <v>331</v>
      </c>
      <c r="E6611" s="10" t="str">
        <f t="shared" si="1232"/>
        <v>Rancho Recoveco No. 197</v>
      </c>
      <c r="F6611" s="10" t="str">
        <f t="shared" si="1233"/>
        <v>Colín González</v>
      </c>
      <c r="G6611" s="8">
        <v>1</v>
      </c>
      <c r="H6611" s="11">
        <v>400</v>
      </c>
      <c r="I6611" s="12">
        <v>43261</v>
      </c>
      <c r="J6611" s="35">
        <f t="shared" si="1234"/>
        <v>0</v>
      </c>
      <c r="K6611" s="36"/>
      <c r="L6611" s="36"/>
      <c r="M6611" s="36"/>
      <c r="N6611" s="36"/>
      <c r="O6611" s="36"/>
      <c r="P6611" s="36"/>
      <c r="Q6611" s="36"/>
      <c r="R6611" s="36"/>
      <c r="S6611" s="36"/>
      <c r="T6611" s="36"/>
      <c r="U6611" s="36"/>
      <c r="V6611" s="36"/>
      <c r="W6611" s="15">
        <f t="shared" si="1235"/>
        <v>0</v>
      </c>
      <c r="X6611" s="36"/>
      <c r="Y6611" s="36"/>
      <c r="Z6611" s="36"/>
      <c r="AA6611" s="36"/>
      <c r="AB6611" s="36"/>
      <c r="AC6611" s="36"/>
      <c r="AD6611" s="36"/>
      <c r="AE6611" s="36"/>
      <c r="AF6611" s="36"/>
      <c r="AG6611" s="36"/>
      <c r="AH6611" s="36"/>
      <c r="AI6611" s="36"/>
      <c r="AJ6611" s="15">
        <f t="shared" si="1236"/>
        <v>0</v>
      </c>
      <c r="AK6611" s="14"/>
      <c r="AL6611" s="14"/>
      <c r="AM6611" s="14"/>
      <c r="AN6611" s="14"/>
      <c r="AO6611" s="14"/>
      <c r="AP6611" s="14">
        <v>400</v>
      </c>
      <c r="AQ6611" s="14"/>
      <c r="AR6611" s="14"/>
      <c r="AS6611" s="14"/>
      <c r="AT6611" s="14"/>
      <c r="AU6611" s="14"/>
      <c r="AV6611" s="14"/>
      <c r="AW6611" s="15">
        <f t="shared" si="1237"/>
        <v>400</v>
      </c>
      <c r="AX6611" s="16"/>
    </row>
    <row r="6612" spans="2:50" x14ac:dyDescent="0.2">
      <c r="B6612" s="7"/>
      <c r="C6612" s="8">
        <v>16699</v>
      </c>
      <c r="D6612" s="9" t="s">
        <v>800</v>
      </c>
      <c r="E6612" s="10" t="str">
        <f t="shared" si="1232"/>
        <v>Rancho Upácuaro No. 14</v>
      </c>
      <c r="F6612" s="10" t="str">
        <f t="shared" si="1233"/>
        <v>Castillo Hernández</v>
      </c>
      <c r="G6612" s="8">
        <v>1</v>
      </c>
      <c r="H6612" s="11">
        <v>800</v>
      </c>
      <c r="I6612" s="12">
        <v>43261</v>
      </c>
      <c r="J6612" s="35">
        <f t="shared" si="1234"/>
        <v>0</v>
      </c>
      <c r="K6612" s="36"/>
      <c r="L6612" s="36"/>
      <c r="M6612" s="36"/>
      <c r="N6612" s="36"/>
      <c r="O6612" s="36"/>
      <c r="P6612" s="36"/>
      <c r="Q6612" s="36"/>
      <c r="R6612" s="36"/>
      <c r="S6612" s="36"/>
      <c r="T6612" s="36"/>
      <c r="U6612" s="36"/>
      <c r="V6612" s="36"/>
      <c r="W6612" s="15">
        <f t="shared" si="1235"/>
        <v>0</v>
      </c>
      <c r="X6612" s="36"/>
      <c r="Y6612" s="36"/>
      <c r="Z6612" s="36"/>
      <c r="AA6612" s="36"/>
      <c r="AB6612" s="36"/>
      <c r="AC6612" s="36"/>
      <c r="AD6612" s="36"/>
      <c r="AE6612" s="36"/>
      <c r="AF6612" s="36"/>
      <c r="AG6612" s="36"/>
      <c r="AH6612" s="36"/>
      <c r="AI6612" s="36"/>
      <c r="AJ6612" s="15">
        <f t="shared" si="1236"/>
        <v>0</v>
      </c>
      <c r="AK6612" s="14"/>
      <c r="AL6612" s="14"/>
      <c r="AM6612" s="14"/>
      <c r="AN6612" s="14">
        <v>400</v>
      </c>
      <c r="AO6612" s="14">
        <v>400</v>
      </c>
      <c r="AP6612" s="14"/>
      <c r="AQ6612" s="14"/>
      <c r="AR6612" s="14"/>
      <c r="AS6612" s="14"/>
      <c r="AT6612" s="14"/>
      <c r="AU6612" s="14"/>
      <c r="AV6612" s="14"/>
      <c r="AW6612" s="15">
        <f t="shared" si="1237"/>
        <v>800</v>
      </c>
      <c r="AX6612" s="16"/>
    </row>
    <row r="6613" spans="2:50" x14ac:dyDescent="0.2">
      <c r="B6613" s="7"/>
      <c r="C6613" s="8">
        <v>16700</v>
      </c>
      <c r="D6613" s="9" t="s">
        <v>94</v>
      </c>
      <c r="E6613" s="10" t="str">
        <f t="shared" ref="E6613:E6628" si="1238">IF(D6613=0,"",VLOOKUP(D6613,BASE,2,FALSE))</f>
        <v>Rancho Landero No. 42</v>
      </c>
      <c r="F6613" s="10" t="str">
        <f t="shared" ref="F6613:F6628" si="1239">IF(D6613=0,"",VLOOKUP(D6613,BASE,3,FALSE))</f>
        <v>Ávila Fidel</v>
      </c>
      <c r="G6613" s="8">
        <v>1</v>
      </c>
      <c r="H6613" s="11">
        <v>400</v>
      </c>
      <c r="I6613" s="12">
        <v>43261</v>
      </c>
      <c r="J6613" s="35">
        <f t="shared" ref="J6613:J6628" si="1240">IF(G6613=1,SUM(W6613,AJ6613,AW6613,-H6613),0)</f>
        <v>0</v>
      </c>
      <c r="K6613" s="36"/>
      <c r="L6613" s="36"/>
      <c r="M6613" s="36"/>
      <c r="N6613" s="36"/>
      <c r="O6613" s="36"/>
      <c r="P6613" s="36"/>
      <c r="Q6613" s="36"/>
      <c r="R6613" s="36"/>
      <c r="S6613" s="36"/>
      <c r="T6613" s="36"/>
      <c r="U6613" s="36"/>
      <c r="V6613" s="36"/>
      <c r="W6613" s="15">
        <f t="shared" ref="W6613:W6628" si="1241">SUM(K6613:V6613)</f>
        <v>0</v>
      </c>
      <c r="X6613" s="36"/>
      <c r="Y6613" s="36"/>
      <c r="Z6613" s="36"/>
      <c r="AA6613" s="36"/>
      <c r="AB6613" s="36"/>
      <c r="AC6613" s="36"/>
      <c r="AD6613" s="36"/>
      <c r="AE6613" s="36"/>
      <c r="AF6613" s="36"/>
      <c r="AG6613" s="36"/>
      <c r="AH6613" s="36"/>
      <c r="AI6613" s="36"/>
      <c r="AJ6613" s="15">
        <f t="shared" ref="AJ6613:AJ6628" si="1242">SUM(X6613:AI6613)</f>
        <v>0</v>
      </c>
      <c r="AK6613" s="14"/>
      <c r="AL6613" s="14"/>
      <c r="AM6613" s="14"/>
      <c r="AN6613" s="14"/>
      <c r="AO6613" s="14"/>
      <c r="AP6613" s="14">
        <v>400</v>
      </c>
      <c r="AQ6613" s="14"/>
      <c r="AR6613" s="14"/>
      <c r="AS6613" s="14"/>
      <c r="AT6613" s="14"/>
      <c r="AU6613" s="14"/>
      <c r="AV6613" s="14"/>
      <c r="AW6613" s="15">
        <f t="shared" ref="AW6613:AW6628" si="1243">SUM(AK6613:AV6613)</f>
        <v>400</v>
      </c>
      <c r="AX6613" s="16"/>
    </row>
    <row r="6614" spans="2:50" x14ac:dyDescent="0.2">
      <c r="B6614" s="7"/>
      <c r="C6614" s="8">
        <v>16701</v>
      </c>
      <c r="D6614" s="9" t="s">
        <v>404</v>
      </c>
      <c r="E6614" s="10" t="str">
        <f t="shared" si="1238"/>
        <v>Rancho La Cuchilla No. 89</v>
      </c>
      <c r="F6614" s="10" t="str">
        <f t="shared" si="1239"/>
        <v>Gálvez</v>
      </c>
      <c r="G6614" s="8">
        <v>1</v>
      </c>
      <c r="H6614" s="11">
        <v>400</v>
      </c>
      <c r="I6614" s="12">
        <v>43261</v>
      </c>
      <c r="J6614" s="35">
        <f t="shared" si="1240"/>
        <v>0</v>
      </c>
      <c r="K6614" s="36"/>
      <c r="L6614" s="36"/>
      <c r="M6614" s="36"/>
      <c r="N6614" s="36"/>
      <c r="O6614" s="36"/>
      <c r="P6614" s="36"/>
      <c r="Q6614" s="36"/>
      <c r="R6614" s="36"/>
      <c r="S6614" s="36"/>
      <c r="T6614" s="36"/>
      <c r="U6614" s="36"/>
      <c r="V6614" s="36"/>
      <c r="W6614" s="15">
        <f t="shared" si="1241"/>
        <v>0</v>
      </c>
      <c r="X6614" s="36"/>
      <c r="Y6614" s="36"/>
      <c r="Z6614" s="36"/>
      <c r="AA6614" s="36"/>
      <c r="AB6614" s="36"/>
      <c r="AC6614" s="36"/>
      <c r="AD6614" s="36"/>
      <c r="AE6614" s="36"/>
      <c r="AF6614" s="36"/>
      <c r="AG6614" s="36"/>
      <c r="AH6614" s="36"/>
      <c r="AI6614" s="36"/>
      <c r="AJ6614" s="15">
        <f t="shared" si="1242"/>
        <v>0</v>
      </c>
      <c r="AK6614" s="14"/>
      <c r="AL6614" s="14"/>
      <c r="AM6614" s="14"/>
      <c r="AN6614" s="14"/>
      <c r="AO6614" s="14"/>
      <c r="AP6614" s="14">
        <v>400</v>
      </c>
      <c r="AQ6614" s="14"/>
      <c r="AR6614" s="14"/>
      <c r="AS6614" s="14"/>
      <c r="AT6614" s="14"/>
      <c r="AU6614" s="14"/>
      <c r="AV6614" s="14"/>
      <c r="AW6614" s="15">
        <f t="shared" si="1243"/>
        <v>400</v>
      </c>
      <c r="AX6614" s="16"/>
    </row>
    <row r="6615" spans="2:50" x14ac:dyDescent="0.2">
      <c r="B6615" s="7"/>
      <c r="C6615" s="8">
        <v>16702</v>
      </c>
      <c r="D6615" s="9" t="s">
        <v>62</v>
      </c>
      <c r="E6615" s="10" t="str">
        <f t="shared" si="1238"/>
        <v>Rancho Romeral No. 10, A</v>
      </c>
      <c r="F6615" s="10" t="str">
        <f t="shared" si="1239"/>
        <v>Casillas Álvarez</v>
      </c>
      <c r="G6615" s="8">
        <v>1</v>
      </c>
      <c r="H6615" s="11">
        <v>200</v>
      </c>
      <c r="I6615" s="12">
        <v>43261</v>
      </c>
      <c r="J6615" s="35">
        <f t="shared" si="1240"/>
        <v>0</v>
      </c>
      <c r="K6615" s="36"/>
      <c r="L6615" s="36"/>
      <c r="M6615" s="36"/>
      <c r="N6615" s="36"/>
      <c r="O6615" s="36"/>
      <c r="P6615" s="36"/>
      <c r="Q6615" s="36"/>
      <c r="R6615" s="36"/>
      <c r="S6615" s="36"/>
      <c r="T6615" s="36"/>
      <c r="U6615" s="36"/>
      <c r="V6615" s="36"/>
      <c r="W6615" s="15">
        <f t="shared" si="1241"/>
        <v>0</v>
      </c>
      <c r="X6615" s="36"/>
      <c r="Y6615" s="36"/>
      <c r="Z6615" s="36"/>
      <c r="AA6615" s="36"/>
      <c r="AB6615" s="36"/>
      <c r="AC6615" s="36"/>
      <c r="AD6615" s="36"/>
      <c r="AE6615" s="36"/>
      <c r="AF6615" s="36"/>
      <c r="AG6615" s="36"/>
      <c r="AH6615" s="36"/>
      <c r="AI6615" s="36"/>
      <c r="AJ6615" s="15">
        <f t="shared" si="1242"/>
        <v>0</v>
      </c>
      <c r="AK6615" s="14"/>
      <c r="AL6615" s="14"/>
      <c r="AM6615" s="14"/>
      <c r="AN6615" s="14"/>
      <c r="AO6615" s="14"/>
      <c r="AP6615" s="14"/>
      <c r="AQ6615" s="14">
        <v>200</v>
      </c>
      <c r="AR6615" s="14"/>
      <c r="AS6615" s="14"/>
      <c r="AT6615" s="14"/>
      <c r="AU6615" s="14"/>
      <c r="AV6615" s="14"/>
      <c r="AW6615" s="15">
        <f t="shared" si="1243"/>
        <v>200</v>
      </c>
      <c r="AX6615" s="16"/>
    </row>
    <row r="6616" spans="2:50" x14ac:dyDescent="0.2">
      <c r="B6616" s="7"/>
      <c r="C6616" s="8">
        <v>16703</v>
      </c>
      <c r="D6616" s="9" t="s">
        <v>520</v>
      </c>
      <c r="E6616" s="10" t="str">
        <f t="shared" si="1238"/>
        <v>Rancho Landero No. 38</v>
      </c>
      <c r="F6616" s="10" t="str">
        <f t="shared" si="1239"/>
        <v>Sánchez Peña</v>
      </c>
      <c r="G6616" s="8">
        <v>4</v>
      </c>
      <c r="H6616" s="11">
        <v>400</v>
      </c>
      <c r="I6616" s="12">
        <v>43261</v>
      </c>
      <c r="J6616" s="35">
        <f t="shared" si="1240"/>
        <v>0</v>
      </c>
      <c r="K6616" s="36"/>
      <c r="L6616" s="36"/>
      <c r="M6616" s="36"/>
      <c r="N6616" s="36"/>
      <c r="O6616" s="36"/>
      <c r="P6616" s="36"/>
      <c r="Q6616" s="36"/>
      <c r="R6616" s="36"/>
      <c r="S6616" s="36"/>
      <c r="T6616" s="36"/>
      <c r="U6616" s="36"/>
      <c r="V6616" s="36"/>
      <c r="W6616" s="15">
        <f t="shared" si="1241"/>
        <v>0</v>
      </c>
      <c r="X6616" s="36"/>
      <c r="Y6616" s="36"/>
      <c r="Z6616" s="36"/>
      <c r="AA6616" s="36"/>
      <c r="AB6616" s="36"/>
      <c r="AC6616" s="36"/>
      <c r="AD6616" s="36"/>
      <c r="AE6616" s="36"/>
      <c r="AF6616" s="36"/>
      <c r="AG6616" s="36"/>
      <c r="AH6616" s="36"/>
      <c r="AI6616" s="36"/>
      <c r="AJ6616" s="15">
        <f t="shared" si="1242"/>
        <v>0</v>
      </c>
      <c r="AK6616" s="14"/>
      <c r="AL6616" s="14"/>
      <c r="AM6616" s="14"/>
      <c r="AN6616" s="14"/>
      <c r="AO6616" s="14"/>
      <c r="AP6616" s="14"/>
      <c r="AQ6616" s="14"/>
      <c r="AR6616" s="14"/>
      <c r="AS6616" s="14"/>
      <c r="AT6616" s="14"/>
      <c r="AU6616" s="14"/>
      <c r="AV6616" s="14"/>
      <c r="AW6616" s="15">
        <f t="shared" si="1243"/>
        <v>0</v>
      </c>
      <c r="AX6616" s="16" t="s">
        <v>5327</v>
      </c>
    </row>
    <row r="6617" spans="2:50" x14ac:dyDescent="0.2">
      <c r="B6617" s="7"/>
      <c r="C6617" s="8">
        <v>16704</v>
      </c>
      <c r="D6617" s="9" t="s">
        <v>696</v>
      </c>
      <c r="E6617" s="10" t="str">
        <f t="shared" si="1238"/>
        <v>Rancho Upácuaro No. 64</v>
      </c>
      <c r="F6617" s="10" t="str">
        <f t="shared" si="1239"/>
        <v>Méndez Oliva</v>
      </c>
      <c r="G6617" s="8">
        <v>1</v>
      </c>
      <c r="H6617" s="11">
        <v>300</v>
      </c>
      <c r="I6617" s="12">
        <v>43261</v>
      </c>
      <c r="J6617" s="35">
        <f t="shared" si="1240"/>
        <v>0</v>
      </c>
      <c r="K6617" s="36"/>
      <c r="L6617" s="36"/>
      <c r="M6617" s="36"/>
      <c r="N6617" s="36"/>
      <c r="O6617" s="36"/>
      <c r="P6617" s="36"/>
      <c r="Q6617" s="36"/>
      <c r="R6617" s="36"/>
      <c r="S6617" s="36"/>
      <c r="T6617" s="36"/>
      <c r="U6617" s="36"/>
      <c r="V6617" s="36"/>
      <c r="W6617" s="15">
        <f t="shared" si="1241"/>
        <v>0</v>
      </c>
      <c r="X6617" s="36"/>
      <c r="Y6617" s="36"/>
      <c r="Z6617" s="36"/>
      <c r="AA6617" s="36"/>
      <c r="AB6617" s="36"/>
      <c r="AC6617" s="36"/>
      <c r="AD6617" s="36"/>
      <c r="AE6617" s="36"/>
      <c r="AF6617" s="36"/>
      <c r="AG6617" s="36"/>
      <c r="AH6617" s="36"/>
      <c r="AI6617" s="36"/>
      <c r="AJ6617" s="15">
        <f t="shared" si="1242"/>
        <v>0</v>
      </c>
      <c r="AK6617" s="14"/>
      <c r="AL6617" s="14"/>
      <c r="AM6617" s="14"/>
      <c r="AN6617" s="14"/>
      <c r="AO6617" s="14"/>
      <c r="AP6617" s="14">
        <v>300</v>
      </c>
      <c r="AQ6617" s="14"/>
      <c r="AR6617" s="14"/>
      <c r="AS6617" s="14"/>
      <c r="AT6617" s="14"/>
      <c r="AU6617" s="14"/>
      <c r="AV6617" s="14"/>
      <c r="AW6617" s="15">
        <f t="shared" si="1243"/>
        <v>300</v>
      </c>
      <c r="AX6617" s="16"/>
    </row>
    <row r="6618" spans="2:50" x14ac:dyDescent="0.2">
      <c r="B6618" s="7"/>
      <c r="C6618" s="8">
        <v>16705</v>
      </c>
      <c r="D6618" s="9" t="s">
        <v>523</v>
      </c>
      <c r="E6618" s="10" t="str">
        <f t="shared" si="1238"/>
        <v>Rancho Estanzuela No. 139</v>
      </c>
      <c r="F6618" s="10" t="str">
        <f t="shared" si="1239"/>
        <v xml:space="preserve">Ortiz   </v>
      </c>
      <c r="G6618" s="8">
        <v>1</v>
      </c>
      <c r="H6618" s="11">
        <v>800</v>
      </c>
      <c r="I6618" s="12">
        <v>43261</v>
      </c>
      <c r="J6618" s="35">
        <f t="shared" si="1240"/>
        <v>0</v>
      </c>
      <c r="K6618" s="36"/>
      <c r="L6618" s="36"/>
      <c r="M6618" s="36"/>
      <c r="N6618" s="36"/>
      <c r="O6618" s="36"/>
      <c r="P6618" s="36"/>
      <c r="Q6618" s="36"/>
      <c r="R6618" s="36"/>
      <c r="S6618" s="36"/>
      <c r="T6618" s="36"/>
      <c r="U6618" s="36"/>
      <c r="V6618" s="36"/>
      <c r="W6618" s="15">
        <f t="shared" si="1241"/>
        <v>0</v>
      </c>
      <c r="X6618" s="36"/>
      <c r="Y6618" s="36"/>
      <c r="Z6618" s="36"/>
      <c r="AA6618" s="36"/>
      <c r="AB6618" s="36"/>
      <c r="AC6618" s="36"/>
      <c r="AD6618" s="36"/>
      <c r="AE6618" s="36"/>
      <c r="AF6618" s="36"/>
      <c r="AG6618" s="36"/>
      <c r="AH6618" s="36"/>
      <c r="AI6618" s="36"/>
      <c r="AJ6618" s="15">
        <f t="shared" si="1242"/>
        <v>0</v>
      </c>
      <c r="AK6618" s="14"/>
      <c r="AL6618" s="14"/>
      <c r="AM6618" s="14"/>
      <c r="AN6618" s="14">
        <v>400</v>
      </c>
      <c r="AO6618" s="14">
        <v>400</v>
      </c>
      <c r="AP6618" s="14"/>
      <c r="AQ6618" s="14"/>
      <c r="AR6618" s="14"/>
      <c r="AS6618" s="14"/>
      <c r="AT6618" s="14"/>
      <c r="AU6618" s="14"/>
      <c r="AV6618" s="14"/>
      <c r="AW6618" s="15">
        <f t="shared" si="1243"/>
        <v>800</v>
      </c>
      <c r="AX6618" s="16"/>
    </row>
    <row r="6619" spans="2:50" x14ac:dyDescent="0.2">
      <c r="B6619" s="7"/>
      <c r="C6619" s="8">
        <v>16706</v>
      </c>
      <c r="D6619" s="9" t="s">
        <v>911</v>
      </c>
      <c r="E6619" s="10" t="str">
        <f t="shared" si="1238"/>
        <v>Rancho Estanzuela No. 19</v>
      </c>
      <c r="F6619" s="10" t="str">
        <f t="shared" si="1239"/>
        <v>Robles</v>
      </c>
      <c r="G6619" s="8">
        <v>1</v>
      </c>
      <c r="H6619" s="11">
        <v>400</v>
      </c>
      <c r="I6619" s="12">
        <v>43261</v>
      </c>
      <c r="J6619" s="35">
        <f t="shared" si="1240"/>
        <v>0</v>
      </c>
      <c r="K6619" s="36"/>
      <c r="L6619" s="36"/>
      <c r="M6619" s="36"/>
      <c r="N6619" s="36"/>
      <c r="O6619" s="36"/>
      <c r="P6619" s="36"/>
      <c r="Q6619" s="36"/>
      <c r="R6619" s="36"/>
      <c r="S6619" s="36"/>
      <c r="T6619" s="36"/>
      <c r="U6619" s="36"/>
      <c r="V6619" s="36"/>
      <c r="W6619" s="15">
        <f t="shared" si="1241"/>
        <v>0</v>
      </c>
      <c r="X6619" s="36"/>
      <c r="Y6619" s="36"/>
      <c r="Z6619" s="36"/>
      <c r="AA6619" s="36"/>
      <c r="AB6619" s="36"/>
      <c r="AC6619" s="36"/>
      <c r="AD6619" s="36"/>
      <c r="AE6619" s="36"/>
      <c r="AF6619" s="36"/>
      <c r="AG6619" s="36"/>
      <c r="AH6619" s="36"/>
      <c r="AI6619" s="36"/>
      <c r="AJ6619" s="15">
        <f t="shared" si="1242"/>
        <v>0</v>
      </c>
      <c r="AK6619" s="14"/>
      <c r="AL6619" s="14"/>
      <c r="AM6619" s="14"/>
      <c r="AN6619" s="14"/>
      <c r="AO6619" s="14"/>
      <c r="AP6619" s="14">
        <v>400</v>
      </c>
      <c r="AQ6619" s="14"/>
      <c r="AR6619" s="14"/>
      <c r="AS6619" s="14"/>
      <c r="AT6619" s="14"/>
      <c r="AU6619" s="14"/>
      <c r="AV6619" s="14"/>
      <c r="AW6619" s="15">
        <f t="shared" si="1243"/>
        <v>400</v>
      </c>
      <c r="AX6619" s="16"/>
    </row>
    <row r="6620" spans="2:50" x14ac:dyDescent="0.2">
      <c r="B6620" s="7"/>
      <c r="C6620" s="8">
        <v>16707</v>
      </c>
      <c r="D6620" s="9" t="s">
        <v>401</v>
      </c>
      <c r="E6620" s="10" t="str">
        <f t="shared" si="1238"/>
        <v>Rancho Landero No. 68</v>
      </c>
      <c r="F6620" s="10" t="str">
        <f t="shared" si="1239"/>
        <v>Moreno</v>
      </c>
      <c r="G6620" s="8">
        <v>1</v>
      </c>
      <c r="H6620" s="11">
        <v>2400</v>
      </c>
      <c r="I6620" s="12">
        <v>43261</v>
      </c>
      <c r="J6620" s="35">
        <f t="shared" si="1240"/>
        <v>0</v>
      </c>
      <c r="K6620" s="36"/>
      <c r="L6620" s="36"/>
      <c r="M6620" s="36"/>
      <c r="N6620" s="36"/>
      <c r="O6620" s="36"/>
      <c r="P6620" s="36"/>
      <c r="Q6620" s="36"/>
      <c r="R6620" s="36"/>
      <c r="S6620" s="36"/>
      <c r="T6620" s="36"/>
      <c r="U6620" s="36"/>
      <c r="V6620" s="36"/>
      <c r="W6620" s="15">
        <f t="shared" si="1241"/>
        <v>0</v>
      </c>
      <c r="X6620" s="36"/>
      <c r="Y6620" s="36"/>
      <c r="Z6620" s="36"/>
      <c r="AA6620" s="36"/>
      <c r="AB6620" s="36"/>
      <c r="AC6620" s="36"/>
      <c r="AD6620" s="36"/>
      <c r="AE6620" s="36"/>
      <c r="AF6620" s="36"/>
      <c r="AG6620" s="36"/>
      <c r="AH6620" s="36"/>
      <c r="AI6620" s="36"/>
      <c r="AJ6620" s="15">
        <f t="shared" si="1242"/>
        <v>0</v>
      </c>
      <c r="AK6620" s="14">
        <v>400</v>
      </c>
      <c r="AL6620" s="14">
        <v>400</v>
      </c>
      <c r="AM6620" s="14">
        <v>400</v>
      </c>
      <c r="AN6620" s="14">
        <v>400</v>
      </c>
      <c r="AO6620" s="14">
        <v>400</v>
      </c>
      <c r="AP6620" s="14">
        <v>400</v>
      </c>
      <c r="AQ6620" s="14"/>
      <c r="AR6620" s="14"/>
      <c r="AS6620" s="14"/>
      <c r="AT6620" s="14"/>
      <c r="AU6620" s="14"/>
      <c r="AV6620" s="14"/>
      <c r="AW6620" s="15">
        <f t="shared" si="1243"/>
        <v>2400</v>
      </c>
      <c r="AX6620" s="16" t="s">
        <v>5328</v>
      </c>
    </row>
    <row r="6621" spans="2:50" x14ac:dyDescent="0.2">
      <c r="B6621" s="7"/>
      <c r="C6621" s="8">
        <v>16708</v>
      </c>
      <c r="D6621" s="9" t="s">
        <v>687</v>
      </c>
      <c r="E6621" s="10" t="str">
        <f t="shared" si="1238"/>
        <v>Rancho Upácuaro No. 21</v>
      </c>
      <c r="F6621" s="10" t="str">
        <f t="shared" si="1239"/>
        <v>Fierro Betancourt</v>
      </c>
      <c r="G6621" s="8">
        <v>1</v>
      </c>
      <c r="H6621" s="11">
        <v>400</v>
      </c>
      <c r="I6621" s="12">
        <v>43261</v>
      </c>
      <c r="J6621" s="35">
        <f t="shared" si="1240"/>
        <v>0</v>
      </c>
      <c r="K6621" s="36"/>
      <c r="L6621" s="36"/>
      <c r="M6621" s="36"/>
      <c r="N6621" s="36"/>
      <c r="O6621" s="36"/>
      <c r="P6621" s="36"/>
      <c r="Q6621" s="36"/>
      <c r="R6621" s="36"/>
      <c r="S6621" s="36"/>
      <c r="T6621" s="36"/>
      <c r="U6621" s="36"/>
      <c r="V6621" s="36"/>
      <c r="W6621" s="15">
        <f t="shared" si="1241"/>
        <v>0</v>
      </c>
      <c r="X6621" s="36"/>
      <c r="Y6621" s="36"/>
      <c r="Z6621" s="36"/>
      <c r="AA6621" s="36"/>
      <c r="AB6621" s="36"/>
      <c r="AC6621" s="36"/>
      <c r="AD6621" s="36"/>
      <c r="AE6621" s="36"/>
      <c r="AF6621" s="36"/>
      <c r="AG6621" s="36"/>
      <c r="AH6621" s="36"/>
      <c r="AI6621" s="36"/>
      <c r="AJ6621" s="15">
        <f t="shared" si="1242"/>
        <v>0</v>
      </c>
      <c r="AK6621" s="14"/>
      <c r="AL6621" s="14"/>
      <c r="AM6621" s="14"/>
      <c r="AN6621" s="14"/>
      <c r="AO6621" s="14"/>
      <c r="AP6621" s="14">
        <v>200</v>
      </c>
      <c r="AQ6621" s="14">
        <v>200</v>
      </c>
      <c r="AR6621" s="14"/>
      <c r="AS6621" s="14"/>
      <c r="AT6621" s="14"/>
      <c r="AU6621" s="14"/>
      <c r="AV6621" s="14"/>
      <c r="AW6621" s="15">
        <f t="shared" si="1243"/>
        <v>400</v>
      </c>
      <c r="AX6621" s="16"/>
    </row>
    <row r="6622" spans="2:50" x14ac:dyDescent="0.2">
      <c r="B6622" s="7"/>
      <c r="C6622" s="8">
        <v>16709</v>
      </c>
      <c r="D6622" s="9" t="s">
        <v>328</v>
      </c>
      <c r="E6622" s="10" t="str">
        <f t="shared" si="1238"/>
        <v>Rancho La Cuchilla No. 130</v>
      </c>
      <c r="F6622" s="10" t="str">
        <f t="shared" si="1239"/>
        <v>Gonzalez</v>
      </c>
      <c r="G6622" s="8">
        <v>1</v>
      </c>
      <c r="H6622" s="11">
        <v>400</v>
      </c>
      <c r="I6622" s="12">
        <v>43261</v>
      </c>
      <c r="J6622" s="35">
        <f t="shared" si="1240"/>
        <v>0</v>
      </c>
      <c r="K6622" s="36"/>
      <c r="L6622" s="36"/>
      <c r="M6622" s="36"/>
      <c r="N6622" s="36"/>
      <c r="O6622" s="36"/>
      <c r="P6622" s="36"/>
      <c r="Q6622" s="36"/>
      <c r="R6622" s="36"/>
      <c r="S6622" s="36"/>
      <c r="T6622" s="36"/>
      <c r="U6622" s="36"/>
      <c r="V6622" s="36"/>
      <c r="W6622" s="15">
        <f t="shared" si="1241"/>
        <v>0</v>
      </c>
      <c r="X6622" s="36"/>
      <c r="Y6622" s="36"/>
      <c r="Z6622" s="36"/>
      <c r="AA6622" s="36"/>
      <c r="AB6622" s="36"/>
      <c r="AC6622" s="36"/>
      <c r="AD6622" s="36"/>
      <c r="AE6622" s="36"/>
      <c r="AF6622" s="36"/>
      <c r="AG6622" s="36"/>
      <c r="AH6622" s="36"/>
      <c r="AI6622" s="36"/>
      <c r="AJ6622" s="15">
        <f t="shared" si="1242"/>
        <v>0</v>
      </c>
      <c r="AK6622" s="14"/>
      <c r="AL6622" s="14"/>
      <c r="AM6622" s="14"/>
      <c r="AN6622" s="14"/>
      <c r="AO6622" s="14"/>
      <c r="AP6622" s="14">
        <v>400</v>
      </c>
      <c r="AQ6622" s="14"/>
      <c r="AR6622" s="14"/>
      <c r="AS6622" s="14"/>
      <c r="AT6622" s="14"/>
      <c r="AU6622" s="14"/>
      <c r="AV6622" s="14"/>
      <c r="AW6622" s="15">
        <f t="shared" si="1243"/>
        <v>400</v>
      </c>
      <c r="AX6622" s="16"/>
    </row>
    <row r="6623" spans="2:50" x14ac:dyDescent="0.2">
      <c r="B6623" s="7"/>
      <c r="C6623" s="8">
        <v>16710</v>
      </c>
      <c r="D6623" s="9" t="s">
        <v>905</v>
      </c>
      <c r="E6623" s="10" t="str">
        <f t="shared" si="1238"/>
        <v>Rancho Landero No. 81</v>
      </c>
      <c r="F6623" s="10" t="str">
        <f t="shared" si="1239"/>
        <v>Cebrían Saldaña</v>
      </c>
      <c r="G6623" s="8">
        <v>1</v>
      </c>
      <c r="H6623" s="11">
        <v>600</v>
      </c>
      <c r="I6623" s="12">
        <v>43261</v>
      </c>
      <c r="J6623" s="35">
        <f t="shared" si="1240"/>
        <v>0</v>
      </c>
      <c r="K6623" s="36"/>
      <c r="L6623" s="36"/>
      <c r="M6623" s="36"/>
      <c r="N6623" s="36"/>
      <c r="O6623" s="36"/>
      <c r="P6623" s="36"/>
      <c r="Q6623" s="36"/>
      <c r="R6623" s="36"/>
      <c r="S6623" s="36"/>
      <c r="T6623" s="36"/>
      <c r="U6623" s="36"/>
      <c r="V6623" s="36"/>
      <c r="W6623" s="15">
        <f t="shared" si="1241"/>
        <v>0</v>
      </c>
      <c r="X6623" s="36"/>
      <c r="Y6623" s="36"/>
      <c r="Z6623" s="36"/>
      <c r="AA6623" s="36"/>
      <c r="AB6623" s="36"/>
      <c r="AC6623" s="36"/>
      <c r="AD6623" s="36"/>
      <c r="AE6623" s="36"/>
      <c r="AF6623" s="36"/>
      <c r="AG6623" s="36"/>
      <c r="AH6623" s="36"/>
      <c r="AI6623" s="36"/>
      <c r="AJ6623" s="15">
        <f t="shared" si="1242"/>
        <v>0</v>
      </c>
      <c r="AK6623" s="14"/>
      <c r="AL6623" s="14"/>
      <c r="AM6623" s="14">
        <v>200</v>
      </c>
      <c r="AN6623" s="14">
        <v>200</v>
      </c>
      <c r="AO6623" s="14">
        <v>200</v>
      </c>
      <c r="AP6623" s="14"/>
      <c r="AQ6623" s="14"/>
      <c r="AR6623" s="14"/>
      <c r="AS6623" s="14"/>
      <c r="AT6623" s="14"/>
      <c r="AU6623" s="14"/>
      <c r="AV6623" s="14"/>
      <c r="AW6623" s="15">
        <f t="shared" si="1243"/>
        <v>600</v>
      </c>
      <c r="AX6623" s="16"/>
    </row>
    <row r="6624" spans="2:50" x14ac:dyDescent="0.2">
      <c r="B6624" s="7"/>
      <c r="C6624" s="8">
        <v>16711</v>
      </c>
      <c r="D6624" s="9" t="s">
        <v>370</v>
      </c>
      <c r="E6624" s="10" t="str">
        <f t="shared" si="1238"/>
        <v>Rancho Upácuaro No. 124</v>
      </c>
      <c r="F6624" s="10" t="str">
        <f t="shared" si="1239"/>
        <v>Reyes Nicandro</v>
      </c>
      <c r="G6624" s="8">
        <v>5</v>
      </c>
      <c r="H6624" s="11">
        <v>100</v>
      </c>
      <c r="I6624" s="12">
        <v>43261</v>
      </c>
      <c r="J6624" s="35">
        <f t="shared" si="1240"/>
        <v>0</v>
      </c>
      <c r="K6624" s="36"/>
      <c r="L6624" s="36"/>
      <c r="M6624" s="36"/>
      <c r="N6624" s="36"/>
      <c r="O6624" s="36"/>
      <c r="P6624" s="36"/>
      <c r="Q6624" s="36"/>
      <c r="R6624" s="36"/>
      <c r="S6624" s="36"/>
      <c r="T6624" s="36"/>
      <c r="U6624" s="36"/>
      <c r="V6624" s="36"/>
      <c r="W6624" s="15">
        <f t="shared" si="1241"/>
        <v>0</v>
      </c>
      <c r="X6624" s="36"/>
      <c r="Y6624" s="36"/>
      <c r="Z6624" s="36"/>
      <c r="AA6624" s="36"/>
      <c r="AB6624" s="36"/>
      <c r="AC6624" s="36"/>
      <c r="AD6624" s="36"/>
      <c r="AE6624" s="36"/>
      <c r="AF6624" s="36"/>
      <c r="AG6624" s="36"/>
      <c r="AH6624" s="36"/>
      <c r="AI6624" s="36"/>
      <c r="AJ6624" s="15">
        <f t="shared" si="1242"/>
        <v>0</v>
      </c>
      <c r="AK6624" s="14"/>
      <c r="AL6624" s="14"/>
      <c r="AM6624" s="14"/>
      <c r="AN6624" s="14"/>
      <c r="AO6624" s="14"/>
      <c r="AP6624" s="14"/>
      <c r="AQ6624" s="14"/>
      <c r="AR6624" s="14"/>
      <c r="AS6624" s="14"/>
      <c r="AT6624" s="14"/>
      <c r="AU6624" s="14"/>
      <c r="AV6624" s="14"/>
      <c r="AW6624" s="15">
        <f t="shared" si="1243"/>
        <v>0</v>
      </c>
      <c r="AX6624" s="16"/>
    </row>
    <row r="6625" spans="2:50" x14ac:dyDescent="0.2">
      <c r="B6625" s="7"/>
      <c r="C6625" s="8">
        <v>16712</v>
      </c>
      <c r="D6625" s="9" t="s">
        <v>168</v>
      </c>
      <c r="E6625" s="10" t="str">
        <f t="shared" si="1238"/>
        <v>Rancho Upácuaro No. 73, A</v>
      </c>
      <c r="F6625" s="10" t="str">
        <f t="shared" si="1239"/>
        <v>Ortega</v>
      </c>
      <c r="G6625" s="8">
        <v>1</v>
      </c>
      <c r="H6625" s="11">
        <v>200</v>
      </c>
      <c r="I6625" s="12">
        <v>43261</v>
      </c>
      <c r="J6625" s="35">
        <f t="shared" si="1240"/>
        <v>0</v>
      </c>
      <c r="K6625" s="36"/>
      <c r="L6625" s="36"/>
      <c r="M6625" s="36"/>
      <c r="N6625" s="36"/>
      <c r="O6625" s="36"/>
      <c r="P6625" s="36"/>
      <c r="Q6625" s="36"/>
      <c r="R6625" s="36"/>
      <c r="S6625" s="36"/>
      <c r="T6625" s="36"/>
      <c r="U6625" s="36"/>
      <c r="V6625" s="36"/>
      <c r="W6625" s="15">
        <f t="shared" si="1241"/>
        <v>0</v>
      </c>
      <c r="X6625" s="36"/>
      <c r="Y6625" s="36"/>
      <c r="Z6625" s="36"/>
      <c r="AA6625" s="36"/>
      <c r="AB6625" s="36"/>
      <c r="AC6625" s="36"/>
      <c r="AD6625" s="36"/>
      <c r="AE6625" s="36"/>
      <c r="AF6625" s="36"/>
      <c r="AG6625" s="36"/>
      <c r="AH6625" s="36"/>
      <c r="AI6625" s="36"/>
      <c r="AJ6625" s="15">
        <f t="shared" si="1242"/>
        <v>0</v>
      </c>
      <c r="AK6625" s="14"/>
      <c r="AL6625" s="14"/>
      <c r="AM6625" s="14"/>
      <c r="AN6625" s="14"/>
      <c r="AO6625" s="14">
        <v>200</v>
      </c>
      <c r="AP6625" s="14"/>
      <c r="AQ6625" s="14"/>
      <c r="AR6625" s="14"/>
      <c r="AS6625" s="14"/>
      <c r="AT6625" s="14"/>
      <c r="AU6625" s="14"/>
      <c r="AV6625" s="14"/>
      <c r="AW6625" s="15">
        <f t="shared" si="1243"/>
        <v>200</v>
      </c>
      <c r="AX6625" s="16"/>
    </row>
    <row r="6626" spans="2:50" x14ac:dyDescent="0.2">
      <c r="B6626" s="7"/>
      <c r="C6626" s="8">
        <v>16713</v>
      </c>
      <c r="D6626" s="9" t="s">
        <v>1326</v>
      </c>
      <c r="E6626" s="10" t="str">
        <f t="shared" si="1238"/>
        <v>Rancho Estanzuela No. 5, B</v>
      </c>
      <c r="F6626" s="10" t="str">
        <f t="shared" si="1239"/>
        <v>Juárez Guerrero</v>
      </c>
      <c r="G6626" s="8">
        <v>1</v>
      </c>
      <c r="H6626" s="11">
        <v>800</v>
      </c>
      <c r="I6626" s="12">
        <v>43261</v>
      </c>
      <c r="J6626" s="35">
        <f t="shared" si="1240"/>
        <v>0</v>
      </c>
      <c r="K6626" s="36"/>
      <c r="L6626" s="36"/>
      <c r="M6626" s="36"/>
      <c r="N6626" s="36"/>
      <c r="O6626" s="36"/>
      <c r="P6626" s="36"/>
      <c r="Q6626" s="36"/>
      <c r="R6626" s="36"/>
      <c r="S6626" s="36"/>
      <c r="T6626" s="36"/>
      <c r="U6626" s="36"/>
      <c r="V6626" s="36"/>
      <c r="W6626" s="15">
        <f t="shared" si="1241"/>
        <v>0</v>
      </c>
      <c r="X6626" s="36"/>
      <c r="Y6626" s="36"/>
      <c r="Z6626" s="36"/>
      <c r="AA6626" s="36"/>
      <c r="AB6626" s="36"/>
      <c r="AC6626" s="36"/>
      <c r="AD6626" s="36"/>
      <c r="AE6626" s="36"/>
      <c r="AF6626" s="36"/>
      <c r="AG6626" s="36"/>
      <c r="AH6626" s="36"/>
      <c r="AI6626" s="36"/>
      <c r="AJ6626" s="15">
        <f t="shared" si="1242"/>
        <v>0</v>
      </c>
      <c r="AK6626" s="14"/>
      <c r="AL6626" s="14"/>
      <c r="AM6626" s="14"/>
      <c r="AN6626" s="14"/>
      <c r="AO6626" s="14">
        <v>200</v>
      </c>
      <c r="AP6626" s="14">
        <v>200</v>
      </c>
      <c r="AQ6626" s="14">
        <v>200</v>
      </c>
      <c r="AR6626" s="14">
        <v>200</v>
      </c>
      <c r="AS6626" s="14"/>
      <c r="AT6626" s="14"/>
      <c r="AU6626" s="14"/>
      <c r="AV6626" s="14"/>
      <c r="AW6626" s="15">
        <f t="shared" si="1243"/>
        <v>800</v>
      </c>
      <c r="AX6626" s="16"/>
    </row>
    <row r="6627" spans="2:50" x14ac:dyDescent="0.2">
      <c r="B6627" s="7"/>
      <c r="C6627" s="8">
        <v>16714</v>
      </c>
      <c r="D6627" s="9" t="s">
        <v>649</v>
      </c>
      <c r="E6627" s="10" t="str">
        <f t="shared" si="1238"/>
        <v>Rancho Estanzuela No. 57</v>
      </c>
      <c r="F6627" s="10" t="str">
        <f t="shared" si="1239"/>
        <v>Olivares</v>
      </c>
      <c r="G6627" s="8">
        <v>1</v>
      </c>
      <c r="H6627" s="11">
        <v>600</v>
      </c>
      <c r="I6627" s="12">
        <v>43261</v>
      </c>
      <c r="J6627" s="35">
        <f t="shared" si="1240"/>
        <v>0</v>
      </c>
      <c r="K6627" s="36"/>
      <c r="L6627" s="36"/>
      <c r="M6627" s="36"/>
      <c r="N6627" s="36"/>
      <c r="O6627" s="36"/>
      <c r="P6627" s="36"/>
      <c r="Q6627" s="36"/>
      <c r="R6627" s="36"/>
      <c r="S6627" s="36"/>
      <c r="T6627" s="36"/>
      <c r="U6627" s="36"/>
      <c r="V6627" s="36"/>
      <c r="W6627" s="15">
        <f t="shared" si="1241"/>
        <v>0</v>
      </c>
      <c r="X6627" s="36"/>
      <c r="Y6627" s="36"/>
      <c r="Z6627" s="36"/>
      <c r="AA6627" s="36"/>
      <c r="AB6627" s="36"/>
      <c r="AC6627" s="36"/>
      <c r="AD6627" s="36"/>
      <c r="AE6627" s="36"/>
      <c r="AF6627" s="36"/>
      <c r="AG6627" s="36"/>
      <c r="AH6627" s="36"/>
      <c r="AI6627" s="36"/>
      <c r="AJ6627" s="15">
        <f t="shared" si="1242"/>
        <v>0</v>
      </c>
      <c r="AK6627" s="14"/>
      <c r="AL6627" s="14"/>
      <c r="AM6627" s="14"/>
      <c r="AN6627" s="14">
        <v>300</v>
      </c>
      <c r="AO6627" s="14">
        <v>300</v>
      </c>
      <c r="AP6627" s="14"/>
      <c r="AQ6627" s="14"/>
      <c r="AR6627" s="14"/>
      <c r="AS6627" s="14"/>
      <c r="AT6627" s="14"/>
      <c r="AU6627" s="14"/>
      <c r="AV6627" s="14"/>
      <c r="AW6627" s="15">
        <f t="shared" si="1243"/>
        <v>600</v>
      </c>
      <c r="AX6627" s="16"/>
    </row>
    <row r="6628" spans="2:50" x14ac:dyDescent="0.2">
      <c r="B6628" s="7"/>
      <c r="C6628" s="8">
        <v>16715</v>
      </c>
      <c r="D6628" s="9" t="s">
        <v>761</v>
      </c>
      <c r="E6628" s="10" t="str">
        <f t="shared" si="1238"/>
        <v>Rancho Recoveco No. 187</v>
      </c>
      <c r="F6628" s="10" t="str">
        <f t="shared" si="1239"/>
        <v>Moreno</v>
      </c>
      <c r="G6628" s="8">
        <v>1</v>
      </c>
      <c r="H6628" s="11">
        <v>2800</v>
      </c>
      <c r="I6628" s="12">
        <v>43261</v>
      </c>
      <c r="J6628" s="35">
        <f t="shared" si="1240"/>
        <v>0</v>
      </c>
      <c r="K6628" s="36"/>
      <c r="L6628" s="36"/>
      <c r="M6628" s="36"/>
      <c r="N6628" s="36"/>
      <c r="O6628" s="36"/>
      <c r="P6628" s="36"/>
      <c r="Q6628" s="36"/>
      <c r="R6628" s="36"/>
      <c r="S6628" s="36"/>
      <c r="T6628" s="36"/>
      <c r="U6628" s="36"/>
      <c r="V6628" s="36"/>
      <c r="W6628" s="15">
        <f t="shared" si="1241"/>
        <v>0</v>
      </c>
      <c r="X6628" s="36"/>
      <c r="Y6628" s="36"/>
      <c r="Z6628" s="36"/>
      <c r="AA6628" s="36"/>
      <c r="AB6628" s="36"/>
      <c r="AC6628" s="36"/>
      <c r="AD6628" s="36"/>
      <c r="AE6628" s="36"/>
      <c r="AF6628" s="36"/>
      <c r="AG6628" s="36"/>
      <c r="AH6628" s="36"/>
      <c r="AI6628" s="36"/>
      <c r="AJ6628" s="15">
        <f t="shared" si="1242"/>
        <v>0</v>
      </c>
      <c r="AK6628" s="14">
        <v>400</v>
      </c>
      <c r="AL6628" s="14">
        <v>400</v>
      </c>
      <c r="AM6628" s="14">
        <v>400</v>
      </c>
      <c r="AN6628" s="14">
        <v>400</v>
      </c>
      <c r="AO6628" s="14">
        <v>400</v>
      </c>
      <c r="AP6628" s="14">
        <v>400</v>
      </c>
      <c r="AQ6628" s="14">
        <v>400</v>
      </c>
      <c r="AR6628" s="14"/>
      <c r="AS6628" s="14"/>
      <c r="AT6628" s="14"/>
      <c r="AU6628" s="14"/>
      <c r="AV6628" s="14"/>
      <c r="AW6628" s="15">
        <f t="shared" si="1243"/>
        <v>2800</v>
      </c>
      <c r="AX6628" s="16"/>
    </row>
    <row r="6629" spans="2:50" x14ac:dyDescent="0.2">
      <c r="B6629" s="7"/>
      <c r="C6629" s="8">
        <v>16715</v>
      </c>
      <c r="D6629" s="9" t="s">
        <v>761</v>
      </c>
      <c r="E6629" s="10" t="str">
        <f t="shared" si="1226"/>
        <v>Rancho Recoveco No. 187</v>
      </c>
      <c r="F6629" s="10" t="str">
        <f t="shared" si="1227"/>
        <v>Moreno</v>
      </c>
      <c r="G6629" s="8">
        <v>4</v>
      </c>
      <c r="H6629" s="11">
        <v>200</v>
      </c>
      <c r="I6629" s="12">
        <v>43261</v>
      </c>
      <c r="J6629" s="35">
        <f t="shared" si="1228"/>
        <v>0</v>
      </c>
      <c r="K6629" s="36"/>
      <c r="L6629" s="36"/>
      <c r="M6629" s="36"/>
      <c r="N6629" s="36"/>
      <c r="O6629" s="36"/>
      <c r="P6629" s="36"/>
      <c r="Q6629" s="36"/>
      <c r="R6629" s="36"/>
      <c r="S6629" s="36"/>
      <c r="T6629" s="36"/>
      <c r="U6629" s="36"/>
      <c r="V6629" s="36"/>
      <c r="W6629" s="15">
        <f t="shared" si="1229"/>
        <v>0</v>
      </c>
      <c r="X6629" s="36"/>
      <c r="Y6629" s="36"/>
      <c r="Z6629" s="36"/>
      <c r="AA6629" s="36"/>
      <c r="AB6629" s="36"/>
      <c r="AC6629" s="36"/>
      <c r="AD6629" s="36"/>
      <c r="AE6629" s="36"/>
      <c r="AF6629" s="36"/>
      <c r="AG6629" s="36"/>
      <c r="AH6629" s="36"/>
      <c r="AI6629" s="36"/>
      <c r="AJ6629" s="15">
        <f t="shared" si="1230"/>
        <v>0</v>
      </c>
      <c r="AK6629" s="14"/>
      <c r="AL6629" s="14"/>
      <c r="AM6629" s="14"/>
      <c r="AN6629" s="14"/>
      <c r="AO6629" s="14"/>
      <c r="AP6629" s="14"/>
      <c r="AQ6629" s="14"/>
      <c r="AR6629" s="14"/>
      <c r="AS6629" s="14"/>
      <c r="AT6629" s="14"/>
      <c r="AU6629" s="14"/>
      <c r="AV6629" s="14"/>
      <c r="AW6629" s="15">
        <f t="shared" si="1231"/>
        <v>0</v>
      </c>
      <c r="AX6629" s="16" t="s">
        <v>5329</v>
      </c>
    </row>
    <row r="6630" spans="2:50" x14ac:dyDescent="0.2">
      <c r="B6630" s="7"/>
      <c r="C6630" s="8">
        <v>16716</v>
      </c>
      <c r="D6630" s="9" t="s">
        <v>550</v>
      </c>
      <c r="E6630" s="10" t="str">
        <f t="shared" si="1226"/>
        <v>Rancho Landero No. 89</v>
      </c>
      <c r="F6630" s="10" t="str">
        <f t="shared" si="1227"/>
        <v>Del Pozo Solís</v>
      </c>
      <c r="G6630" s="8">
        <v>1</v>
      </c>
      <c r="H6630" s="11">
        <v>500</v>
      </c>
      <c r="I6630" s="12">
        <v>43261</v>
      </c>
      <c r="J6630" s="35">
        <f t="shared" si="1228"/>
        <v>0</v>
      </c>
      <c r="K6630" s="36"/>
      <c r="L6630" s="36"/>
      <c r="M6630" s="36"/>
      <c r="N6630" s="36"/>
      <c r="O6630" s="36"/>
      <c r="P6630" s="36"/>
      <c r="Q6630" s="36"/>
      <c r="R6630" s="36"/>
      <c r="S6630" s="36"/>
      <c r="T6630" s="36"/>
      <c r="U6630" s="36"/>
      <c r="V6630" s="36"/>
      <c r="W6630" s="15">
        <f t="shared" si="1229"/>
        <v>0</v>
      </c>
      <c r="X6630" s="36"/>
      <c r="Y6630" s="36"/>
      <c r="Z6630" s="36"/>
      <c r="AA6630" s="36"/>
      <c r="AB6630" s="36"/>
      <c r="AC6630" s="36"/>
      <c r="AD6630" s="36"/>
      <c r="AE6630" s="36"/>
      <c r="AF6630" s="36"/>
      <c r="AG6630" s="36"/>
      <c r="AH6630" s="36"/>
      <c r="AI6630" s="36"/>
      <c r="AJ6630" s="15">
        <f t="shared" si="1230"/>
        <v>0</v>
      </c>
      <c r="AK6630" s="14"/>
      <c r="AL6630" s="14"/>
      <c r="AM6630" s="14"/>
      <c r="AN6630" s="14"/>
      <c r="AO6630" s="14"/>
      <c r="AP6630" s="14">
        <v>250</v>
      </c>
      <c r="AQ6630" s="14">
        <v>250</v>
      </c>
      <c r="AR6630" s="14"/>
      <c r="AS6630" s="14"/>
      <c r="AT6630" s="14"/>
      <c r="AU6630" s="14"/>
      <c r="AV6630" s="14"/>
      <c r="AW6630" s="15">
        <f t="shared" si="1231"/>
        <v>500</v>
      </c>
      <c r="AX6630" s="16"/>
    </row>
    <row r="6631" spans="2:50" x14ac:dyDescent="0.2">
      <c r="B6631" s="7"/>
      <c r="C6631" s="8">
        <v>16717</v>
      </c>
      <c r="D6631" s="9" t="s">
        <v>577</v>
      </c>
      <c r="E6631" s="10" t="str">
        <f t="shared" si="1226"/>
        <v>Rancho La Cuchilla No. 46</v>
      </c>
      <c r="F6631" s="10" t="str">
        <f t="shared" si="1227"/>
        <v>Cruz López</v>
      </c>
      <c r="G6631" s="8">
        <v>1</v>
      </c>
      <c r="H6631" s="11">
        <v>1200</v>
      </c>
      <c r="I6631" s="12">
        <v>43261</v>
      </c>
      <c r="J6631" s="35">
        <f t="shared" si="1228"/>
        <v>0</v>
      </c>
      <c r="K6631" s="36"/>
      <c r="L6631" s="36"/>
      <c r="M6631" s="36"/>
      <c r="N6631" s="36"/>
      <c r="O6631" s="36"/>
      <c r="P6631" s="36"/>
      <c r="Q6631" s="36"/>
      <c r="R6631" s="36"/>
      <c r="S6631" s="36"/>
      <c r="T6631" s="36"/>
      <c r="U6631" s="36"/>
      <c r="V6631" s="36"/>
      <c r="W6631" s="15">
        <f t="shared" si="1229"/>
        <v>0</v>
      </c>
      <c r="X6631" s="36"/>
      <c r="Y6631" s="36"/>
      <c r="Z6631" s="36"/>
      <c r="AA6631" s="36"/>
      <c r="AB6631" s="36"/>
      <c r="AC6631" s="36"/>
      <c r="AD6631" s="36"/>
      <c r="AE6631" s="36"/>
      <c r="AF6631" s="36"/>
      <c r="AG6631" s="36"/>
      <c r="AH6631" s="36"/>
      <c r="AI6631" s="36"/>
      <c r="AJ6631" s="15">
        <f t="shared" si="1230"/>
        <v>0</v>
      </c>
      <c r="AK6631" s="14"/>
      <c r="AL6631" s="14"/>
      <c r="AM6631" s="14"/>
      <c r="AN6631" s="14">
        <v>400</v>
      </c>
      <c r="AO6631" s="14">
        <v>400</v>
      </c>
      <c r="AP6631" s="14">
        <v>400</v>
      </c>
      <c r="AQ6631" s="14"/>
      <c r="AR6631" s="14"/>
      <c r="AS6631" s="14"/>
      <c r="AT6631" s="14"/>
      <c r="AU6631" s="14"/>
      <c r="AV6631" s="14"/>
      <c r="AW6631" s="15">
        <f t="shared" si="1231"/>
        <v>1200</v>
      </c>
      <c r="AX6631" s="16"/>
    </row>
    <row r="6632" spans="2:50" x14ac:dyDescent="0.2">
      <c r="B6632" s="7"/>
      <c r="C6632" s="8">
        <v>16718</v>
      </c>
      <c r="D6632" s="9" t="s">
        <v>803</v>
      </c>
      <c r="E6632" s="10" t="str">
        <f t="shared" si="1226"/>
        <v>Rancho La Cuchilla No. 36</v>
      </c>
      <c r="F6632" s="10" t="str">
        <f t="shared" si="1227"/>
        <v>Castillo</v>
      </c>
      <c r="G6632" s="8">
        <v>1</v>
      </c>
      <c r="H6632" s="11">
        <v>800</v>
      </c>
      <c r="I6632" s="12">
        <v>43261</v>
      </c>
      <c r="J6632" s="35">
        <f t="shared" si="1228"/>
        <v>0</v>
      </c>
      <c r="K6632" s="36"/>
      <c r="L6632" s="36"/>
      <c r="M6632" s="36"/>
      <c r="N6632" s="36"/>
      <c r="O6632" s="36"/>
      <c r="P6632" s="36"/>
      <c r="Q6632" s="36"/>
      <c r="R6632" s="36"/>
      <c r="S6632" s="36"/>
      <c r="T6632" s="36"/>
      <c r="U6632" s="36"/>
      <c r="V6632" s="36"/>
      <c r="W6632" s="15">
        <f t="shared" si="1229"/>
        <v>0</v>
      </c>
      <c r="X6632" s="36"/>
      <c r="Y6632" s="36"/>
      <c r="Z6632" s="36"/>
      <c r="AA6632" s="36"/>
      <c r="AB6632" s="36"/>
      <c r="AC6632" s="36"/>
      <c r="AD6632" s="36"/>
      <c r="AE6632" s="36"/>
      <c r="AF6632" s="36"/>
      <c r="AG6632" s="36"/>
      <c r="AH6632" s="36"/>
      <c r="AI6632" s="36"/>
      <c r="AJ6632" s="15">
        <f t="shared" si="1230"/>
        <v>0</v>
      </c>
      <c r="AK6632" s="14"/>
      <c r="AL6632" s="14"/>
      <c r="AM6632" s="14"/>
      <c r="AN6632" s="14"/>
      <c r="AO6632" s="14">
        <v>400</v>
      </c>
      <c r="AP6632" s="14">
        <v>400</v>
      </c>
      <c r="AQ6632" s="14"/>
      <c r="AR6632" s="14"/>
      <c r="AS6632" s="14"/>
      <c r="AT6632" s="14"/>
      <c r="AU6632" s="14"/>
      <c r="AV6632" s="14"/>
      <c r="AW6632" s="15">
        <f t="shared" si="1231"/>
        <v>800</v>
      </c>
      <c r="AX6632" s="16"/>
    </row>
    <row r="6633" spans="2:50" x14ac:dyDescent="0.2">
      <c r="B6633" s="7"/>
      <c r="C6633" s="8">
        <v>16719</v>
      </c>
      <c r="D6633" s="9" t="s">
        <v>470</v>
      </c>
      <c r="E6633" s="10" t="str">
        <f t="shared" si="1226"/>
        <v>Rancho Zinamba No. 42</v>
      </c>
      <c r="F6633" s="10" t="str">
        <f t="shared" si="1227"/>
        <v>López Aldave</v>
      </c>
      <c r="G6633" s="8">
        <v>1</v>
      </c>
      <c r="H6633" s="11">
        <v>700</v>
      </c>
      <c r="I6633" s="12">
        <v>43261</v>
      </c>
      <c r="J6633" s="35">
        <f t="shared" si="1228"/>
        <v>0</v>
      </c>
      <c r="K6633" s="36"/>
      <c r="L6633" s="36"/>
      <c r="M6633" s="36"/>
      <c r="N6633" s="36"/>
      <c r="O6633" s="36"/>
      <c r="P6633" s="36"/>
      <c r="Q6633" s="36"/>
      <c r="R6633" s="36"/>
      <c r="S6633" s="36"/>
      <c r="T6633" s="36"/>
      <c r="U6633" s="36"/>
      <c r="V6633" s="36"/>
      <c r="W6633" s="15">
        <f t="shared" si="1229"/>
        <v>0</v>
      </c>
      <c r="X6633" s="36"/>
      <c r="Y6633" s="36"/>
      <c r="Z6633" s="36"/>
      <c r="AA6633" s="36"/>
      <c r="AB6633" s="36"/>
      <c r="AC6633" s="36"/>
      <c r="AD6633" s="36"/>
      <c r="AE6633" s="36"/>
      <c r="AF6633" s="36"/>
      <c r="AG6633" s="36"/>
      <c r="AH6633" s="36"/>
      <c r="AI6633" s="36"/>
      <c r="AJ6633" s="15">
        <f t="shared" si="1230"/>
        <v>0</v>
      </c>
      <c r="AK6633" s="14"/>
      <c r="AL6633" s="14"/>
      <c r="AM6633" s="14"/>
      <c r="AN6633" s="14"/>
      <c r="AO6633" s="14"/>
      <c r="AP6633" s="14">
        <v>350</v>
      </c>
      <c r="AQ6633" s="14">
        <v>350</v>
      </c>
      <c r="AR6633" s="14"/>
      <c r="AS6633" s="14"/>
      <c r="AT6633" s="14"/>
      <c r="AU6633" s="14"/>
      <c r="AV6633" s="14"/>
      <c r="AW6633" s="15">
        <f t="shared" si="1231"/>
        <v>700</v>
      </c>
      <c r="AX6633" s="16"/>
    </row>
    <row r="6634" spans="2:50" x14ac:dyDescent="0.2">
      <c r="B6634" s="7"/>
      <c r="C6634" s="8">
        <v>16720</v>
      </c>
      <c r="D6634" s="9" t="s">
        <v>313</v>
      </c>
      <c r="E6634" s="10" t="str">
        <f t="shared" si="1226"/>
        <v>Rancho La Cuchilla No. 87</v>
      </c>
      <c r="F6634" s="10" t="str">
        <f t="shared" si="1227"/>
        <v>Villanueva S.</v>
      </c>
      <c r="G6634" s="8">
        <v>1</v>
      </c>
      <c r="H6634" s="11">
        <v>400</v>
      </c>
      <c r="I6634" s="12">
        <v>43261</v>
      </c>
      <c r="J6634" s="35">
        <f t="shared" si="1228"/>
        <v>0</v>
      </c>
      <c r="K6634" s="36"/>
      <c r="L6634" s="36"/>
      <c r="M6634" s="36"/>
      <c r="N6634" s="36"/>
      <c r="O6634" s="36"/>
      <c r="P6634" s="36"/>
      <c r="Q6634" s="36"/>
      <c r="R6634" s="36"/>
      <c r="S6634" s="36"/>
      <c r="T6634" s="36"/>
      <c r="U6634" s="36"/>
      <c r="V6634" s="36"/>
      <c r="W6634" s="15">
        <f t="shared" si="1229"/>
        <v>0</v>
      </c>
      <c r="X6634" s="36"/>
      <c r="Y6634" s="36"/>
      <c r="Z6634" s="36"/>
      <c r="AA6634" s="36"/>
      <c r="AB6634" s="36"/>
      <c r="AC6634" s="36"/>
      <c r="AD6634" s="36"/>
      <c r="AE6634" s="36"/>
      <c r="AF6634" s="36"/>
      <c r="AG6634" s="36"/>
      <c r="AH6634" s="36"/>
      <c r="AI6634" s="36"/>
      <c r="AJ6634" s="15">
        <f t="shared" si="1230"/>
        <v>0</v>
      </c>
      <c r="AK6634" s="14"/>
      <c r="AL6634" s="14"/>
      <c r="AM6634" s="14"/>
      <c r="AN6634" s="14"/>
      <c r="AO6634" s="14"/>
      <c r="AP6634" s="14">
        <v>400</v>
      </c>
      <c r="AQ6634" s="14"/>
      <c r="AR6634" s="14"/>
      <c r="AS6634" s="14"/>
      <c r="AT6634" s="14"/>
      <c r="AU6634" s="14"/>
      <c r="AV6634" s="14"/>
      <c r="AW6634" s="15">
        <f t="shared" si="1231"/>
        <v>400</v>
      </c>
      <c r="AX6634" s="16"/>
    </row>
    <row r="6635" spans="2:50" x14ac:dyDescent="0.2">
      <c r="B6635" s="7"/>
      <c r="C6635" s="8">
        <v>16721</v>
      </c>
      <c r="D6635" s="9" t="s">
        <v>425</v>
      </c>
      <c r="E6635" s="10" t="str">
        <f t="shared" si="1226"/>
        <v>Rancho La Cuchilla No. 120</v>
      </c>
      <c r="F6635" s="10" t="str">
        <f t="shared" si="1227"/>
        <v>Pozos Vilchis</v>
      </c>
      <c r="G6635" s="8">
        <v>1</v>
      </c>
      <c r="H6635" s="11">
        <v>400</v>
      </c>
      <c r="I6635" s="12">
        <v>43261</v>
      </c>
      <c r="J6635" s="35">
        <f t="shared" si="1228"/>
        <v>0</v>
      </c>
      <c r="K6635" s="36"/>
      <c r="L6635" s="36"/>
      <c r="M6635" s="36"/>
      <c r="N6635" s="36"/>
      <c r="O6635" s="36"/>
      <c r="P6635" s="36"/>
      <c r="Q6635" s="36"/>
      <c r="R6635" s="36"/>
      <c r="S6635" s="36"/>
      <c r="T6635" s="36"/>
      <c r="U6635" s="36"/>
      <c r="V6635" s="36"/>
      <c r="W6635" s="15">
        <f t="shared" si="1229"/>
        <v>0</v>
      </c>
      <c r="X6635" s="36"/>
      <c r="Y6635" s="36"/>
      <c r="Z6635" s="36"/>
      <c r="AA6635" s="36"/>
      <c r="AB6635" s="36"/>
      <c r="AC6635" s="36"/>
      <c r="AD6635" s="36"/>
      <c r="AE6635" s="36"/>
      <c r="AF6635" s="36"/>
      <c r="AG6635" s="36"/>
      <c r="AH6635" s="36"/>
      <c r="AI6635" s="36"/>
      <c r="AJ6635" s="15">
        <f t="shared" si="1230"/>
        <v>0</v>
      </c>
      <c r="AK6635" s="14"/>
      <c r="AL6635" s="14"/>
      <c r="AM6635" s="14"/>
      <c r="AN6635" s="14"/>
      <c r="AO6635" s="14"/>
      <c r="AP6635" s="14">
        <v>400</v>
      </c>
      <c r="AQ6635" s="14"/>
      <c r="AR6635" s="14"/>
      <c r="AS6635" s="14"/>
      <c r="AT6635" s="14"/>
      <c r="AU6635" s="14"/>
      <c r="AV6635" s="14"/>
      <c r="AW6635" s="15">
        <f t="shared" si="1231"/>
        <v>400</v>
      </c>
      <c r="AX6635" s="16"/>
    </row>
    <row r="6636" spans="2:50" x14ac:dyDescent="0.2">
      <c r="B6636" s="7"/>
      <c r="C6636" s="8">
        <v>16722</v>
      </c>
      <c r="D6636" s="9" t="s">
        <v>156</v>
      </c>
      <c r="E6636" s="10" t="str">
        <f t="shared" si="1226"/>
        <v>Rancho Zinamba No. 80</v>
      </c>
      <c r="F6636" s="10" t="str">
        <f t="shared" si="1227"/>
        <v>Vázquez</v>
      </c>
      <c r="G6636" s="8">
        <v>1</v>
      </c>
      <c r="H6636" s="11">
        <v>300</v>
      </c>
      <c r="I6636" s="12">
        <v>43261</v>
      </c>
      <c r="J6636" s="35">
        <f t="shared" si="1228"/>
        <v>0</v>
      </c>
      <c r="K6636" s="36"/>
      <c r="L6636" s="36"/>
      <c r="M6636" s="36"/>
      <c r="N6636" s="36"/>
      <c r="O6636" s="36"/>
      <c r="P6636" s="36"/>
      <c r="Q6636" s="36"/>
      <c r="R6636" s="36"/>
      <c r="S6636" s="36"/>
      <c r="T6636" s="36"/>
      <c r="U6636" s="36"/>
      <c r="V6636" s="36"/>
      <c r="W6636" s="15">
        <f t="shared" si="1229"/>
        <v>0</v>
      </c>
      <c r="X6636" s="36"/>
      <c r="Y6636" s="36"/>
      <c r="Z6636" s="36"/>
      <c r="AA6636" s="36"/>
      <c r="AB6636" s="36"/>
      <c r="AC6636" s="36"/>
      <c r="AD6636" s="36"/>
      <c r="AE6636" s="36"/>
      <c r="AF6636" s="36"/>
      <c r="AG6636" s="36"/>
      <c r="AH6636" s="36"/>
      <c r="AI6636" s="36"/>
      <c r="AJ6636" s="15">
        <f t="shared" si="1230"/>
        <v>0</v>
      </c>
      <c r="AK6636" s="14"/>
      <c r="AL6636" s="14"/>
      <c r="AM6636" s="14"/>
      <c r="AN6636" s="14"/>
      <c r="AO6636" s="14"/>
      <c r="AP6636" s="14">
        <v>300</v>
      </c>
      <c r="AQ6636" s="14"/>
      <c r="AR6636" s="14"/>
      <c r="AS6636" s="14"/>
      <c r="AT6636" s="14"/>
      <c r="AU6636" s="14"/>
      <c r="AV6636" s="14"/>
      <c r="AW6636" s="15">
        <f t="shared" si="1231"/>
        <v>300</v>
      </c>
      <c r="AX6636" s="316">
        <f>SUM(H6570:H6636)</f>
        <v>43600</v>
      </c>
    </row>
    <row r="6637" spans="2:50" x14ac:dyDescent="0.2">
      <c r="B6637" s="7"/>
      <c r="C6637" s="8">
        <v>16723</v>
      </c>
      <c r="D6637" s="9" t="s">
        <v>177</v>
      </c>
      <c r="E6637" s="10" t="str">
        <f t="shared" si="1226"/>
        <v>Rancho Landero No. 71</v>
      </c>
      <c r="F6637" s="10" t="str">
        <f t="shared" si="1227"/>
        <v xml:space="preserve">Luna  </v>
      </c>
      <c r="G6637" s="8">
        <v>3</v>
      </c>
      <c r="H6637" s="315">
        <v>200</v>
      </c>
      <c r="I6637" s="12">
        <v>43262</v>
      </c>
      <c r="J6637" s="35">
        <f t="shared" si="1228"/>
        <v>0</v>
      </c>
      <c r="K6637" s="36"/>
      <c r="L6637" s="36"/>
      <c r="M6637" s="36"/>
      <c r="N6637" s="36"/>
      <c r="O6637" s="36"/>
      <c r="P6637" s="36"/>
      <c r="Q6637" s="36"/>
      <c r="R6637" s="36"/>
      <c r="S6637" s="36"/>
      <c r="T6637" s="36"/>
      <c r="U6637" s="36"/>
      <c r="V6637" s="36"/>
      <c r="W6637" s="15">
        <f t="shared" si="1229"/>
        <v>0</v>
      </c>
      <c r="X6637" s="36"/>
      <c r="Y6637" s="36"/>
      <c r="Z6637" s="36"/>
      <c r="AA6637" s="36"/>
      <c r="AB6637" s="36"/>
      <c r="AC6637" s="36"/>
      <c r="AD6637" s="36"/>
      <c r="AE6637" s="36"/>
      <c r="AF6637" s="36"/>
      <c r="AG6637" s="36"/>
      <c r="AH6637" s="36"/>
      <c r="AI6637" s="36"/>
      <c r="AJ6637" s="15">
        <f t="shared" si="1230"/>
        <v>0</v>
      </c>
      <c r="AK6637" s="14"/>
      <c r="AL6637" s="14"/>
      <c r="AM6637" s="14"/>
      <c r="AN6637" s="14"/>
      <c r="AO6637" s="14"/>
      <c r="AP6637" s="14"/>
      <c r="AQ6637" s="14"/>
      <c r="AR6637" s="14"/>
      <c r="AS6637" s="14"/>
      <c r="AT6637" s="14"/>
      <c r="AU6637" s="14"/>
      <c r="AV6637" s="14"/>
      <c r="AW6637" s="15">
        <f t="shared" si="1231"/>
        <v>0</v>
      </c>
      <c r="AX6637" s="16"/>
    </row>
    <row r="6638" spans="2:50" x14ac:dyDescent="0.2">
      <c r="B6638" s="7"/>
      <c r="C6638" s="8">
        <v>16724</v>
      </c>
      <c r="D6638" s="9" t="s">
        <v>364</v>
      </c>
      <c r="E6638" s="10" t="str">
        <f t="shared" si="1226"/>
        <v>Rancho Landero No. 37</v>
      </c>
      <c r="F6638" s="10" t="str">
        <f t="shared" si="1227"/>
        <v>Hernández</v>
      </c>
      <c r="G6638" s="8">
        <v>1</v>
      </c>
      <c r="H6638" s="11">
        <v>900</v>
      </c>
      <c r="I6638" s="12">
        <v>43262</v>
      </c>
      <c r="J6638" s="35">
        <f t="shared" si="1228"/>
        <v>0</v>
      </c>
      <c r="K6638" s="36"/>
      <c r="L6638" s="36"/>
      <c r="M6638" s="36"/>
      <c r="N6638" s="36"/>
      <c r="O6638" s="36"/>
      <c r="P6638" s="36"/>
      <c r="Q6638" s="36"/>
      <c r="R6638" s="36"/>
      <c r="S6638" s="36"/>
      <c r="T6638" s="36"/>
      <c r="U6638" s="36"/>
      <c r="V6638" s="36"/>
      <c r="W6638" s="15">
        <f t="shared" si="1229"/>
        <v>0</v>
      </c>
      <c r="X6638" s="36"/>
      <c r="Y6638" s="36"/>
      <c r="Z6638" s="36"/>
      <c r="AA6638" s="36"/>
      <c r="AB6638" s="36"/>
      <c r="AC6638" s="36"/>
      <c r="AD6638" s="36"/>
      <c r="AE6638" s="36"/>
      <c r="AF6638" s="36"/>
      <c r="AG6638" s="36"/>
      <c r="AH6638" s="36"/>
      <c r="AI6638" s="36"/>
      <c r="AJ6638" s="15">
        <f t="shared" si="1230"/>
        <v>0</v>
      </c>
      <c r="AK6638" s="14"/>
      <c r="AL6638" s="14"/>
      <c r="AM6638" s="14"/>
      <c r="AN6638" s="14">
        <v>300</v>
      </c>
      <c r="AO6638" s="14">
        <v>300</v>
      </c>
      <c r="AP6638" s="14">
        <v>300</v>
      </c>
      <c r="AQ6638" s="14"/>
      <c r="AR6638" s="14"/>
      <c r="AS6638" s="14"/>
      <c r="AT6638" s="14"/>
      <c r="AU6638" s="14"/>
      <c r="AV6638" s="14"/>
      <c r="AW6638" s="15">
        <f t="shared" si="1231"/>
        <v>900</v>
      </c>
      <c r="AX6638" s="16"/>
    </row>
    <row r="6639" spans="2:50" x14ac:dyDescent="0.2">
      <c r="B6639" s="7"/>
      <c r="C6639" s="8">
        <v>16725</v>
      </c>
      <c r="D6639" s="9" t="s">
        <v>1142</v>
      </c>
      <c r="E6639" s="10" t="str">
        <f t="shared" si="1226"/>
        <v>Rancho La Cuchilla No. 49</v>
      </c>
      <c r="F6639" s="10" t="str">
        <f t="shared" si="1227"/>
        <v>Orozco Castelazo</v>
      </c>
      <c r="G6639" s="8">
        <v>1</v>
      </c>
      <c r="H6639" s="11">
        <v>2000</v>
      </c>
      <c r="I6639" s="12">
        <v>43262</v>
      </c>
      <c r="J6639" s="35">
        <f t="shared" si="1228"/>
        <v>0</v>
      </c>
      <c r="K6639" s="36"/>
      <c r="L6639" s="36"/>
      <c r="M6639" s="36"/>
      <c r="N6639" s="36"/>
      <c r="O6639" s="36"/>
      <c r="P6639" s="36"/>
      <c r="Q6639" s="36"/>
      <c r="R6639" s="36"/>
      <c r="S6639" s="36"/>
      <c r="T6639" s="36"/>
      <c r="U6639" s="36"/>
      <c r="V6639" s="36"/>
      <c r="W6639" s="15">
        <f t="shared" si="1229"/>
        <v>0</v>
      </c>
      <c r="X6639" s="36"/>
      <c r="Y6639" s="36"/>
      <c r="Z6639" s="36"/>
      <c r="AA6639" s="36"/>
      <c r="AB6639" s="36"/>
      <c r="AC6639" s="36"/>
      <c r="AD6639" s="36"/>
      <c r="AE6639" s="36"/>
      <c r="AF6639" s="36"/>
      <c r="AG6639" s="36"/>
      <c r="AH6639" s="36">
        <v>400</v>
      </c>
      <c r="AI6639" s="36">
        <v>400</v>
      </c>
      <c r="AJ6639" s="15">
        <f t="shared" si="1230"/>
        <v>800</v>
      </c>
      <c r="AK6639" s="14">
        <v>400</v>
      </c>
      <c r="AL6639" s="14">
        <v>400</v>
      </c>
      <c r="AM6639" s="14">
        <v>400</v>
      </c>
      <c r="AN6639" s="14"/>
      <c r="AO6639" s="14"/>
      <c r="AP6639" s="14"/>
      <c r="AQ6639" s="14"/>
      <c r="AR6639" s="14"/>
      <c r="AS6639" s="14"/>
      <c r="AT6639" s="14"/>
      <c r="AU6639" s="14"/>
      <c r="AV6639" s="14"/>
      <c r="AW6639" s="15">
        <f t="shared" si="1231"/>
        <v>1200</v>
      </c>
      <c r="AX6639" s="16"/>
    </row>
    <row r="6640" spans="2:50" x14ac:dyDescent="0.2">
      <c r="B6640" s="7"/>
      <c r="C6640" s="8">
        <v>16726</v>
      </c>
      <c r="D6640" s="9" t="s">
        <v>464</v>
      </c>
      <c r="E6640" s="10" t="str">
        <f t="shared" ref="E6640:E6659" si="1244">IF(D6640=0,"",VLOOKUP(D6640,BASE,2,FALSE))</f>
        <v>Rancho La Cuchilla No. 68</v>
      </c>
      <c r="F6640" s="10" t="str">
        <f t="shared" ref="F6640:F6659" si="1245">IF(D6640=0,"",VLOOKUP(D6640,BASE,3,FALSE))</f>
        <v>Montesinos</v>
      </c>
      <c r="G6640" s="8">
        <v>1</v>
      </c>
      <c r="H6640" s="11">
        <v>400</v>
      </c>
      <c r="I6640" s="12">
        <v>43263</v>
      </c>
      <c r="J6640" s="35">
        <f t="shared" ref="J6640:J6659" si="1246">IF(G6640=1,SUM(W6640,AJ6640,AW6640,-H6640),0)</f>
        <v>0</v>
      </c>
      <c r="K6640" s="36"/>
      <c r="L6640" s="36"/>
      <c r="M6640" s="36"/>
      <c r="N6640" s="36"/>
      <c r="O6640" s="36"/>
      <c r="P6640" s="36"/>
      <c r="Q6640" s="36"/>
      <c r="R6640" s="36"/>
      <c r="S6640" s="36"/>
      <c r="T6640" s="36"/>
      <c r="U6640" s="36"/>
      <c r="V6640" s="36"/>
      <c r="W6640" s="15">
        <f t="shared" ref="W6640:W6659" si="1247">SUM(K6640:V6640)</f>
        <v>0</v>
      </c>
      <c r="X6640" s="36"/>
      <c r="Y6640" s="36"/>
      <c r="Z6640" s="36"/>
      <c r="AA6640" s="36"/>
      <c r="AB6640" s="36"/>
      <c r="AC6640" s="36"/>
      <c r="AD6640" s="36"/>
      <c r="AE6640" s="36"/>
      <c r="AF6640" s="36"/>
      <c r="AG6640" s="36"/>
      <c r="AH6640" s="36"/>
      <c r="AI6640" s="36"/>
      <c r="AJ6640" s="15">
        <f t="shared" ref="AJ6640:AJ6659" si="1248">SUM(X6640:AI6640)</f>
        <v>0</v>
      </c>
      <c r="AK6640" s="14"/>
      <c r="AL6640" s="14"/>
      <c r="AM6640" s="14"/>
      <c r="AN6640" s="14"/>
      <c r="AO6640" s="14">
        <v>200</v>
      </c>
      <c r="AP6640" s="14">
        <v>200</v>
      </c>
      <c r="AQ6640" s="14"/>
      <c r="AR6640" s="14"/>
      <c r="AS6640" s="14"/>
      <c r="AT6640" s="14"/>
      <c r="AU6640" s="14"/>
      <c r="AV6640" s="14"/>
      <c r="AW6640" s="15">
        <f t="shared" ref="AW6640:AW6659" si="1249">SUM(AK6640:AV6640)</f>
        <v>400</v>
      </c>
      <c r="AX6640" s="16"/>
    </row>
    <row r="6641" spans="2:50" x14ac:dyDescent="0.2">
      <c r="B6641" s="7"/>
      <c r="C6641" s="8">
        <v>16727</v>
      </c>
      <c r="D6641" s="9" t="s">
        <v>526</v>
      </c>
      <c r="E6641" s="10" t="str">
        <f t="shared" si="1244"/>
        <v>Rancho Landero No. 62</v>
      </c>
      <c r="F6641" s="10" t="str">
        <f t="shared" si="1245"/>
        <v>Narvaez Sara</v>
      </c>
      <c r="G6641" s="8">
        <v>1</v>
      </c>
      <c r="H6641" s="11">
        <v>1200</v>
      </c>
      <c r="I6641" s="12">
        <v>43264</v>
      </c>
      <c r="J6641" s="35">
        <f t="shared" si="1246"/>
        <v>0</v>
      </c>
      <c r="K6641" s="36"/>
      <c r="L6641" s="36"/>
      <c r="M6641" s="36"/>
      <c r="N6641" s="36"/>
      <c r="O6641" s="36"/>
      <c r="P6641" s="36"/>
      <c r="Q6641" s="36"/>
      <c r="R6641" s="36"/>
      <c r="S6641" s="36"/>
      <c r="T6641" s="36"/>
      <c r="U6641" s="36"/>
      <c r="V6641" s="36"/>
      <c r="W6641" s="15">
        <f t="shared" si="1247"/>
        <v>0</v>
      </c>
      <c r="X6641" s="36"/>
      <c r="Y6641" s="36"/>
      <c r="Z6641" s="36"/>
      <c r="AA6641" s="36"/>
      <c r="AB6641" s="36"/>
      <c r="AC6641" s="36"/>
      <c r="AD6641" s="36"/>
      <c r="AE6641" s="36"/>
      <c r="AF6641" s="36"/>
      <c r="AG6641" s="36"/>
      <c r="AH6641" s="36"/>
      <c r="AI6641" s="36"/>
      <c r="AJ6641" s="15">
        <f t="shared" si="1248"/>
        <v>0</v>
      </c>
      <c r="AK6641" s="14"/>
      <c r="AL6641" s="14"/>
      <c r="AM6641" s="14">
        <v>300</v>
      </c>
      <c r="AN6641" s="14">
        <v>300</v>
      </c>
      <c r="AO6641" s="14">
        <v>300</v>
      </c>
      <c r="AP6641" s="14">
        <v>300</v>
      </c>
      <c r="AQ6641" s="14"/>
      <c r="AR6641" s="14"/>
      <c r="AS6641" s="14"/>
      <c r="AT6641" s="14"/>
      <c r="AU6641" s="14"/>
      <c r="AV6641" s="14"/>
      <c r="AW6641" s="15">
        <f t="shared" si="1249"/>
        <v>1200</v>
      </c>
      <c r="AX6641" s="16"/>
    </row>
    <row r="6642" spans="2:50" x14ac:dyDescent="0.2">
      <c r="B6642" s="7"/>
      <c r="C6642" s="8">
        <v>16728</v>
      </c>
      <c r="D6642" s="9" t="s">
        <v>852</v>
      </c>
      <c r="E6642" s="10" t="str">
        <f t="shared" si="1244"/>
        <v>Rancho La Cuchilla No. 97</v>
      </c>
      <c r="F6642" s="10" t="str">
        <f t="shared" si="1245"/>
        <v>López Ruiz</v>
      </c>
      <c r="G6642" s="8">
        <v>1</v>
      </c>
      <c r="H6642" s="11">
        <v>600</v>
      </c>
      <c r="I6642" s="12">
        <v>43264</v>
      </c>
      <c r="J6642" s="35">
        <f t="shared" si="1246"/>
        <v>0</v>
      </c>
      <c r="K6642" s="36"/>
      <c r="L6642" s="36"/>
      <c r="M6642" s="36"/>
      <c r="N6642" s="36"/>
      <c r="O6642" s="36"/>
      <c r="P6642" s="36"/>
      <c r="Q6642" s="36"/>
      <c r="R6642" s="36"/>
      <c r="S6642" s="36"/>
      <c r="T6642" s="36"/>
      <c r="U6642" s="36"/>
      <c r="V6642" s="36"/>
      <c r="W6642" s="15">
        <f t="shared" si="1247"/>
        <v>0</v>
      </c>
      <c r="X6642" s="36"/>
      <c r="Y6642" s="36"/>
      <c r="Z6642" s="36"/>
      <c r="AA6642" s="36"/>
      <c r="AB6642" s="36"/>
      <c r="AC6642" s="36"/>
      <c r="AD6642" s="36"/>
      <c r="AE6642" s="36"/>
      <c r="AF6642" s="36"/>
      <c r="AG6642" s="36"/>
      <c r="AH6642" s="36"/>
      <c r="AI6642" s="36"/>
      <c r="AJ6642" s="15">
        <f t="shared" si="1248"/>
        <v>0</v>
      </c>
      <c r="AK6642" s="14"/>
      <c r="AL6642" s="14"/>
      <c r="AM6642" s="14"/>
      <c r="AN6642" s="14">
        <v>300</v>
      </c>
      <c r="AO6642" s="14">
        <v>300</v>
      </c>
      <c r="AP6642" s="14"/>
      <c r="AQ6642" s="14"/>
      <c r="AR6642" s="14"/>
      <c r="AS6642" s="14"/>
      <c r="AT6642" s="14"/>
      <c r="AU6642" s="14"/>
      <c r="AV6642" s="14"/>
      <c r="AW6642" s="15">
        <f t="shared" si="1249"/>
        <v>600</v>
      </c>
      <c r="AX6642" s="16"/>
    </row>
    <row r="6643" spans="2:50" x14ac:dyDescent="0.2">
      <c r="B6643" s="7"/>
      <c r="C6643" s="8">
        <v>16729</v>
      </c>
      <c r="D6643" s="9" t="s">
        <v>473</v>
      </c>
      <c r="E6643" s="10" t="str">
        <f t="shared" si="1244"/>
        <v>Rancho Zinamba No. 14</v>
      </c>
      <c r="F6643" s="10" t="str">
        <f t="shared" si="1245"/>
        <v>Gutiérrez García</v>
      </c>
      <c r="G6643" s="8">
        <v>4</v>
      </c>
      <c r="H6643" s="11">
        <v>200</v>
      </c>
      <c r="I6643" s="12">
        <v>43264</v>
      </c>
      <c r="J6643" s="35">
        <f t="shared" si="1246"/>
        <v>0</v>
      </c>
      <c r="K6643" s="36"/>
      <c r="L6643" s="36"/>
      <c r="M6643" s="36"/>
      <c r="N6643" s="36"/>
      <c r="O6643" s="36"/>
      <c r="P6643" s="36"/>
      <c r="Q6643" s="36"/>
      <c r="R6643" s="36"/>
      <c r="S6643" s="36"/>
      <c r="T6643" s="36"/>
      <c r="U6643" s="36"/>
      <c r="V6643" s="36"/>
      <c r="W6643" s="15">
        <f t="shared" si="1247"/>
        <v>0</v>
      </c>
      <c r="X6643" s="36"/>
      <c r="Y6643" s="36"/>
      <c r="Z6643" s="36"/>
      <c r="AA6643" s="36"/>
      <c r="AB6643" s="36"/>
      <c r="AC6643" s="36"/>
      <c r="AD6643" s="36"/>
      <c r="AE6643" s="36"/>
      <c r="AF6643" s="36"/>
      <c r="AG6643" s="36"/>
      <c r="AH6643" s="36"/>
      <c r="AI6643" s="36"/>
      <c r="AJ6643" s="15">
        <f t="shared" si="1248"/>
        <v>0</v>
      </c>
      <c r="AK6643" s="14"/>
      <c r="AL6643" s="14"/>
      <c r="AM6643" s="14"/>
      <c r="AN6643" s="14"/>
      <c r="AO6643" s="14"/>
      <c r="AP6643" s="14"/>
      <c r="AQ6643" s="14"/>
      <c r="AR6643" s="14"/>
      <c r="AS6643" s="14"/>
      <c r="AT6643" s="14"/>
      <c r="AU6643" s="14"/>
      <c r="AV6643" s="14"/>
      <c r="AW6643" s="15">
        <f t="shared" si="1249"/>
        <v>0</v>
      </c>
      <c r="AX6643" s="16" t="s">
        <v>5330</v>
      </c>
    </row>
    <row r="6644" spans="2:50" x14ac:dyDescent="0.2">
      <c r="B6644" s="7"/>
      <c r="C6644" s="8">
        <v>16729</v>
      </c>
      <c r="D6644" s="9" t="s">
        <v>473</v>
      </c>
      <c r="E6644" s="10" t="str">
        <f t="shared" si="1244"/>
        <v>Rancho Zinamba No. 14</v>
      </c>
      <c r="F6644" s="10" t="str">
        <f t="shared" si="1245"/>
        <v>Gutiérrez García</v>
      </c>
      <c r="G6644" s="8">
        <v>5</v>
      </c>
      <c r="H6644" s="11">
        <v>100</v>
      </c>
      <c r="I6644" s="12">
        <v>43264</v>
      </c>
      <c r="J6644" s="35">
        <f t="shared" si="1246"/>
        <v>0</v>
      </c>
      <c r="K6644" s="36"/>
      <c r="L6644" s="36"/>
      <c r="M6644" s="36"/>
      <c r="N6644" s="36"/>
      <c r="O6644" s="36"/>
      <c r="P6644" s="36"/>
      <c r="Q6644" s="36"/>
      <c r="R6644" s="36"/>
      <c r="S6644" s="36"/>
      <c r="T6644" s="36"/>
      <c r="U6644" s="36"/>
      <c r="V6644" s="36"/>
      <c r="W6644" s="15">
        <f t="shared" si="1247"/>
        <v>0</v>
      </c>
      <c r="X6644" s="36"/>
      <c r="Y6644" s="36"/>
      <c r="Z6644" s="36"/>
      <c r="AA6644" s="36"/>
      <c r="AB6644" s="36"/>
      <c r="AC6644" s="36"/>
      <c r="AD6644" s="36"/>
      <c r="AE6644" s="36"/>
      <c r="AF6644" s="36"/>
      <c r="AG6644" s="36"/>
      <c r="AH6644" s="36"/>
      <c r="AI6644" s="36"/>
      <c r="AJ6644" s="15">
        <f t="shared" si="1248"/>
        <v>0</v>
      </c>
      <c r="AK6644" s="14"/>
      <c r="AL6644" s="14"/>
      <c r="AM6644" s="14"/>
      <c r="AN6644" s="14"/>
      <c r="AO6644" s="14"/>
      <c r="AP6644" s="14"/>
      <c r="AQ6644" s="14"/>
      <c r="AR6644" s="14"/>
      <c r="AS6644" s="14"/>
      <c r="AT6644" s="14"/>
      <c r="AU6644" s="14"/>
      <c r="AV6644" s="14"/>
      <c r="AW6644" s="15">
        <f t="shared" si="1249"/>
        <v>0</v>
      </c>
      <c r="AX6644" s="16"/>
    </row>
    <row r="6645" spans="2:50" x14ac:dyDescent="0.2">
      <c r="B6645" s="7"/>
      <c r="C6645" s="8">
        <v>16730</v>
      </c>
      <c r="D6645" s="9" t="s">
        <v>1089</v>
      </c>
      <c r="E6645" s="10" t="str">
        <f t="shared" si="1244"/>
        <v>Rancho Upácuaro No. 10</v>
      </c>
      <c r="F6645" s="10" t="str">
        <f t="shared" si="1245"/>
        <v>Montes de Oca</v>
      </c>
      <c r="G6645" s="8">
        <v>1</v>
      </c>
      <c r="H6645" s="11">
        <v>300</v>
      </c>
      <c r="I6645" s="12">
        <v>43264</v>
      </c>
      <c r="J6645" s="35">
        <f t="shared" si="1246"/>
        <v>0</v>
      </c>
      <c r="K6645" s="36"/>
      <c r="L6645" s="36"/>
      <c r="M6645" s="36"/>
      <c r="N6645" s="36"/>
      <c r="O6645" s="36"/>
      <c r="P6645" s="36"/>
      <c r="Q6645" s="36"/>
      <c r="R6645" s="36"/>
      <c r="S6645" s="36"/>
      <c r="T6645" s="36"/>
      <c r="U6645" s="36"/>
      <c r="V6645" s="36"/>
      <c r="W6645" s="15">
        <f t="shared" si="1247"/>
        <v>0</v>
      </c>
      <c r="X6645" s="36"/>
      <c r="Y6645" s="36"/>
      <c r="Z6645" s="36"/>
      <c r="AA6645" s="36"/>
      <c r="AB6645" s="36"/>
      <c r="AC6645" s="36"/>
      <c r="AD6645" s="36"/>
      <c r="AE6645" s="36"/>
      <c r="AF6645" s="36"/>
      <c r="AG6645" s="36"/>
      <c r="AH6645" s="36"/>
      <c r="AI6645" s="36"/>
      <c r="AJ6645" s="15">
        <f t="shared" si="1248"/>
        <v>0</v>
      </c>
      <c r="AK6645" s="14"/>
      <c r="AL6645" s="14"/>
      <c r="AM6645" s="14"/>
      <c r="AN6645" s="14"/>
      <c r="AO6645" s="14">
        <v>300</v>
      </c>
      <c r="AP6645" s="14"/>
      <c r="AQ6645" s="14"/>
      <c r="AR6645" s="14"/>
      <c r="AS6645" s="14"/>
      <c r="AT6645" s="14"/>
      <c r="AU6645" s="14"/>
      <c r="AV6645" s="14"/>
      <c r="AW6645" s="15">
        <f t="shared" si="1249"/>
        <v>300</v>
      </c>
      <c r="AX6645" s="16"/>
    </row>
    <row r="6646" spans="2:50" x14ac:dyDescent="0.2">
      <c r="B6646" s="7"/>
      <c r="C6646" s="8">
        <v>16731</v>
      </c>
      <c r="D6646" s="9" t="s">
        <v>78</v>
      </c>
      <c r="E6646" s="10" t="str">
        <f t="shared" si="1244"/>
        <v>Rancho Zinamba No. 12</v>
      </c>
      <c r="F6646" s="10" t="str">
        <f t="shared" si="1245"/>
        <v>Ramírez Soto</v>
      </c>
      <c r="G6646" s="8">
        <v>4</v>
      </c>
      <c r="H6646" s="11">
        <v>400</v>
      </c>
      <c r="I6646" s="12">
        <v>43264</v>
      </c>
      <c r="J6646" s="35">
        <f t="shared" si="1246"/>
        <v>0</v>
      </c>
      <c r="K6646" s="36"/>
      <c r="L6646" s="36"/>
      <c r="M6646" s="36"/>
      <c r="N6646" s="36"/>
      <c r="O6646" s="36"/>
      <c r="P6646" s="36"/>
      <c r="Q6646" s="36"/>
      <c r="R6646" s="36"/>
      <c r="S6646" s="36"/>
      <c r="T6646" s="36"/>
      <c r="U6646" s="36"/>
      <c r="V6646" s="36"/>
      <c r="W6646" s="15">
        <f t="shared" si="1247"/>
        <v>0</v>
      </c>
      <c r="X6646" s="36"/>
      <c r="Y6646" s="36"/>
      <c r="Z6646" s="36"/>
      <c r="AA6646" s="36"/>
      <c r="AB6646" s="36"/>
      <c r="AC6646" s="36"/>
      <c r="AD6646" s="36"/>
      <c r="AE6646" s="36"/>
      <c r="AF6646" s="36"/>
      <c r="AG6646" s="36"/>
      <c r="AH6646" s="36"/>
      <c r="AI6646" s="36"/>
      <c r="AJ6646" s="15">
        <f t="shared" si="1248"/>
        <v>0</v>
      </c>
      <c r="AK6646" s="14"/>
      <c r="AL6646" s="14"/>
      <c r="AM6646" s="14"/>
      <c r="AN6646" s="14"/>
      <c r="AO6646" s="14"/>
      <c r="AP6646" s="14"/>
      <c r="AQ6646" s="14"/>
      <c r="AR6646" s="14"/>
      <c r="AS6646" s="14"/>
      <c r="AT6646" s="14"/>
      <c r="AU6646" s="14"/>
      <c r="AV6646" s="14"/>
      <c r="AW6646" s="15">
        <f t="shared" si="1249"/>
        <v>0</v>
      </c>
      <c r="AX6646" s="16" t="s">
        <v>5496</v>
      </c>
    </row>
    <row r="6647" spans="2:50" x14ac:dyDescent="0.2">
      <c r="B6647" s="7"/>
      <c r="C6647" s="8">
        <v>16732</v>
      </c>
      <c r="D6647" s="9" t="s">
        <v>256</v>
      </c>
      <c r="E6647" s="10" t="str">
        <f t="shared" si="1244"/>
        <v>Rancho Recoveco No. 179</v>
      </c>
      <c r="F6647" s="10" t="str">
        <f t="shared" si="1245"/>
        <v>Flores Delgado</v>
      </c>
      <c r="G6647" s="8">
        <v>1</v>
      </c>
      <c r="H6647" s="11">
        <v>600</v>
      </c>
      <c r="I6647" s="12">
        <v>43265</v>
      </c>
      <c r="J6647" s="35">
        <f t="shared" si="1246"/>
        <v>0</v>
      </c>
      <c r="K6647" s="36"/>
      <c r="L6647" s="36"/>
      <c r="M6647" s="36"/>
      <c r="N6647" s="36"/>
      <c r="O6647" s="36"/>
      <c r="P6647" s="36"/>
      <c r="Q6647" s="36"/>
      <c r="R6647" s="36"/>
      <c r="S6647" s="36"/>
      <c r="T6647" s="36"/>
      <c r="U6647" s="36"/>
      <c r="V6647" s="36"/>
      <c r="W6647" s="15">
        <f t="shared" si="1247"/>
        <v>0</v>
      </c>
      <c r="X6647" s="36"/>
      <c r="Y6647" s="36"/>
      <c r="Z6647" s="36"/>
      <c r="AA6647" s="36"/>
      <c r="AB6647" s="36"/>
      <c r="AC6647" s="36"/>
      <c r="AD6647" s="36"/>
      <c r="AE6647" s="36"/>
      <c r="AF6647" s="36"/>
      <c r="AG6647" s="36"/>
      <c r="AH6647" s="36"/>
      <c r="AI6647" s="36"/>
      <c r="AJ6647" s="15">
        <f t="shared" si="1248"/>
        <v>0</v>
      </c>
      <c r="AK6647" s="14"/>
      <c r="AL6647" s="14"/>
      <c r="AM6647" s="14"/>
      <c r="AN6647" s="14"/>
      <c r="AO6647" s="14">
        <v>300</v>
      </c>
      <c r="AP6647" s="14">
        <v>300</v>
      </c>
      <c r="AQ6647" s="14"/>
      <c r="AR6647" s="14"/>
      <c r="AS6647" s="14"/>
      <c r="AT6647" s="14"/>
      <c r="AU6647" s="14"/>
      <c r="AV6647" s="14"/>
      <c r="AW6647" s="15">
        <f t="shared" si="1249"/>
        <v>600</v>
      </c>
      <c r="AX6647" s="16"/>
    </row>
    <row r="6648" spans="2:50" x14ac:dyDescent="0.2">
      <c r="B6648" s="7"/>
      <c r="C6648" s="8">
        <v>16733</v>
      </c>
      <c r="D6648" s="9" t="s">
        <v>980</v>
      </c>
      <c r="E6648" s="10" t="str">
        <f t="shared" si="1244"/>
        <v>Rancho Estanzuela No. 141</v>
      </c>
      <c r="F6648" s="10" t="str">
        <f t="shared" si="1245"/>
        <v>Castillo Toledano</v>
      </c>
      <c r="G6648" s="8">
        <v>1</v>
      </c>
      <c r="H6648" s="11">
        <v>400</v>
      </c>
      <c r="I6648" s="12">
        <v>43265</v>
      </c>
      <c r="J6648" s="35">
        <f t="shared" si="1246"/>
        <v>0</v>
      </c>
      <c r="K6648" s="36"/>
      <c r="L6648" s="36"/>
      <c r="M6648" s="36"/>
      <c r="N6648" s="36"/>
      <c r="O6648" s="36"/>
      <c r="P6648" s="36"/>
      <c r="Q6648" s="36"/>
      <c r="R6648" s="36"/>
      <c r="S6648" s="36"/>
      <c r="T6648" s="36"/>
      <c r="U6648" s="36"/>
      <c r="V6648" s="36"/>
      <c r="W6648" s="15">
        <f t="shared" si="1247"/>
        <v>0</v>
      </c>
      <c r="X6648" s="36"/>
      <c r="Y6648" s="36"/>
      <c r="Z6648" s="36"/>
      <c r="AA6648" s="36"/>
      <c r="AB6648" s="36"/>
      <c r="AC6648" s="36"/>
      <c r="AD6648" s="36"/>
      <c r="AE6648" s="36"/>
      <c r="AF6648" s="36"/>
      <c r="AG6648" s="36"/>
      <c r="AH6648" s="36"/>
      <c r="AI6648" s="36"/>
      <c r="AJ6648" s="15">
        <f t="shared" si="1248"/>
        <v>0</v>
      </c>
      <c r="AK6648" s="14"/>
      <c r="AL6648" s="14"/>
      <c r="AM6648" s="14"/>
      <c r="AN6648" s="14"/>
      <c r="AO6648" s="14"/>
      <c r="AP6648" s="14">
        <v>400</v>
      </c>
      <c r="AQ6648" s="14"/>
      <c r="AR6648" s="14"/>
      <c r="AS6648" s="14"/>
      <c r="AT6648" s="14"/>
      <c r="AU6648" s="14"/>
      <c r="AV6648" s="14"/>
      <c r="AW6648" s="15">
        <f t="shared" si="1249"/>
        <v>400</v>
      </c>
      <c r="AX6648" s="16"/>
    </row>
    <row r="6649" spans="2:50" x14ac:dyDescent="0.2">
      <c r="B6649" s="7"/>
      <c r="C6649" s="8">
        <v>16734</v>
      </c>
      <c r="D6649" s="9" t="s">
        <v>1181</v>
      </c>
      <c r="E6649" s="10" t="str">
        <f t="shared" si="1244"/>
        <v>Rancho Upácuaro No. 31</v>
      </c>
      <c r="F6649" s="10" t="str">
        <f t="shared" si="1245"/>
        <v>Gallardo Ávila</v>
      </c>
      <c r="G6649" s="8">
        <v>1</v>
      </c>
      <c r="H6649" s="11">
        <v>600</v>
      </c>
      <c r="I6649" s="12">
        <v>43265</v>
      </c>
      <c r="J6649" s="35">
        <f t="shared" si="1246"/>
        <v>0</v>
      </c>
      <c r="K6649" s="36"/>
      <c r="L6649" s="36"/>
      <c r="M6649" s="36"/>
      <c r="N6649" s="36"/>
      <c r="O6649" s="36"/>
      <c r="P6649" s="36"/>
      <c r="Q6649" s="36"/>
      <c r="R6649" s="36"/>
      <c r="S6649" s="36"/>
      <c r="T6649" s="36"/>
      <c r="U6649" s="36"/>
      <c r="V6649" s="36"/>
      <c r="W6649" s="15">
        <f t="shared" si="1247"/>
        <v>0</v>
      </c>
      <c r="X6649" s="36"/>
      <c r="Y6649" s="36"/>
      <c r="Z6649" s="36"/>
      <c r="AA6649" s="36"/>
      <c r="AB6649" s="36"/>
      <c r="AC6649" s="36"/>
      <c r="AD6649" s="36"/>
      <c r="AE6649" s="36"/>
      <c r="AF6649" s="36"/>
      <c r="AG6649" s="36"/>
      <c r="AH6649" s="36"/>
      <c r="AI6649" s="36"/>
      <c r="AJ6649" s="15">
        <f t="shared" si="1248"/>
        <v>0</v>
      </c>
      <c r="AK6649" s="14"/>
      <c r="AL6649" s="14"/>
      <c r="AM6649" s="14"/>
      <c r="AN6649" s="14">
        <v>200</v>
      </c>
      <c r="AO6649" s="14">
        <v>200</v>
      </c>
      <c r="AP6649" s="14">
        <v>200</v>
      </c>
      <c r="AQ6649" s="14"/>
      <c r="AR6649" s="14"/>
      <c r="AS6649" s="14"/>
      <c r="AT6649" s="14"/>
      <c r="AU6649" s="14"/>
      <c r="AV6649" s="14"/>
      <c r="AW6649" s="15">
        <f t="shared" si="1249"/>
        <v>600</v>
      </c>
      <c r="AX6649" s="16"/>
    </row>
    <row r="6650" spans="2:50" x14ac:dyDescent="0.2">
      <c r="B6650" s="7"/>
      <c r="C6650" s="8">
        <v>16735</v>
      </c>
      <c r="D6650" s="9" t="s">
        <v>1076</v>
      </c>
      <c r="E6650" s="10" t="str">
        <f t="shared" si="1244"/>
        <v>Rancho La Cuchilla No. 67</v>
      </c>
      <c r="F6650" s="10" t="str">
        <f t="shared" si="1245"/>
        <v>Quezada Viruega</v>
      </c>
      <c r="G6650" s="8">
        <v>1</v>
      </c>
      <c r="H6650" s="11">
        <v>400</v>
      </c>
      <c r="I6650" s="12">
        <v>43265</v>
      </c>
      <c r="J6650" s="35">
        <f t="shared" si="1246"/>
        <v>0</v>
      </c>
      <c r="K6650" s="36"/>
      <c r="L6650" s="36"/>
      <c r="M6650" s="36"/>
      <c r="N6650" s="36"/>
      <c r="O6650" s="36"/>
      <c r="P6650" s="36"/>
      <c r="Q6650" s="36"/>
      <c r="R6650" s="36"/>
      <c r="S6650" s="36"/>
      <c r="T6650" s="36"/>
      <c r="U6650" s="36"/>
      <c r="V6650" s="36"/>
      <c r="W6650" s="15">
        <f t="shared" si="1247"/>
        <v>0</v>
      </c>
      <c r="X6650" s="36"/>
      <c r="Y6650" s="36"/>
      <c r="Z6650" s="36"/>
      <c r="AA6650" s="36"/>
      <c r="AB6650" s="36"/>
      <c r="AC6650" s="36"/>
      <c r="AD6650" s="36"/>
      <c r="AE6650" s="36"/>
      <c r="AF6650" s="36"/>
      <c r="AG6650" s="36"/>
      <c r="AH6650" s="36"/>
      <c r="AI6650" s="36"/>
      <c r="AJ6650" s="15">
        <f t="shared" si="1248"/>
        <v>0</v>
      </c>
      <c r="AK6650" s="14"/>
      <c r="AL6650" s="14"/>
      <c r="AM6650" s="14"/>
      <c r="AN6650" s="14"/>
      <c r="AO6650" s="14"/>
      <c r="AP6650" s="14">
        <v>400</v>
      </c>
      <c r="AQ6650" s="14"/>
      <c r="AR6650" s="14"/>
      <c r="AS6650" s="14"/>
      <c r="AT6650" s="14"/>
      <c r="AU6650" s="14"/>
      <c r="AV6650" s="14"/>
      <c r="AW6650" s="15">
        <f t="shared" si="1249"/>
        <v>400</v>
      </c>
      <c r="AX6650" s="16"/>
    </row>
    <row r="6651" spans="2:50" x14ac:dyDescent="0.2">
      <c r="B6651" s="7"/>
      <c r="C6651" s="8">
        <v>16736</v>
      </c>
      <c r="D6651" s="9" t="s">
        <v>220</v>
      </c>
      <c r="E6651" s="10" t="str">
        <f t="shared" si="1244"/>
        <v>Rancho Recoveco No. 3</v>
      </c>
      <c r="F6651" s="10" t="str">
        <f t="shared" si="1245"/>
        <v>Garduño</v>
      </c>
      <c r="G6651" s="8">
        <v>1</v>
      </c>
      <c r="H6651" s="11">
        <v>600</v>
      </c>
      <c r="I6651" s="12">
        <v>43266</v>
      </c>
      <c r="J6651" s="35">
        <f t="shared" si="1246"/>
        <v>0</v>
      </c>
      <c r="K6651" s="36"/>
      <c r="L6651" s="36"/>
      <c r="M6651" s="36"/>
      <c r="N6651" s="36"/>
      <c r="O6651" s="36"/>
      <c r="P6651" s="36"/>
      <c r="Q6651" s="36"/>
      <c r="R6651" s="36"/>
      <c r="S6651" s="36"/>
      <c r="T6651" s="36"/>
      <c r="U6651" s="36"/>
      <c r="V6651" s="36"/>
      <c r="W6651" s="15">
        <f t="shared" si="1247"/>
        <v>0</v>
      </c>
      <c r="X6651" s="36"/>
      <c r="Y6651" s="36"/>
      <c r="Z6651" s="36"/>
      <c r="AA6651" s="36"/>
      <c r="AB6651" s="36"/>
      <c r="AC6651" s="36"/>
      <c r="AD6651" s="36"/>
      <c r="AE6651" s="36"/>
      <c r="AF6651" s="36"/>
      <c r="AG6651" s="36"/>
      <c r="AH6651" s="36"/>
      <c r="AI6651" s="36"/>
      <c r="AJ6651" s="15">
        <f t="shared" si="1248"/>
        <v>0</v>
      </c>
      <c r="AK6651" s="14"/>
      <c r="AL6651" s="14"/>
      <c r="AM6651" s="14"/>
      <c r="AN6651" s="14"/>
      <c r="AO6651" s="14">
        <v>300</v>
      </c>
      <c r="AP6651" s="14">
        <v>300</v>
      </c>
      <c r="AQ6651" s="14"/>
      <c r="AR6651" s="14"/>
      <c r="AS6651" s="14"/>
      <c r="AT6651" s="14"/>
      <c r="AU6651" s="14"/>
      <c r="AV6651" s="14"/>
      <c r="AW6651" s="15">
        <f t="shared" si="1249"/>
        <v>600</v>
      </c>
      <c r="AX6651" s="16"/>
    </row>
    <row r="6652" spans="2:50" x14ac:dyDescent="0.2">
      <c r="B6652" s="7"/>
      <c r="C6652" s="8">
        <v>16736</v>
      </c>
      <c r="D6652" s="9" t="s">
        <v>220</v>
      </c>
      <c r="E6652" s="10" t="str">
        <f t="shared" si="1244"/>
        <v>Rancho Recoveco No. 3</v>
      </c>
      <c r="F6652" s="10" t="str">
        <f t="shared" si="1245"/>
        <v>Garduño</v>
      </c>
      <c r="G6652" s="8">
        <v>4</v>
      </c>
      <c r="H6652" s="11">
        <v>400</v>
      </c>
      <c r="I6652" s="12">
        <v>43266</v>
      </c>
      <c r="J6652" s="35">
        <f t="shared" si="1246"/>
        <v>0</v>
      </c>
      <c r="K6652" s="36"/>
      <c r="L6652" s="36"/>
      <c r="M6652" s="36"/>
      <c r="N6652" s="36"/>
      <c r="O6652" s="36"/>
      <c r="P6652" s="36"/>
      <c r="Q6652" s="36"/>
      <c r="R6652" s="36"/>
      <c r="S6652" s="36"/>
      <c r="T6652" s="36"/>
      <c r="U6652" s="36"/>
      <c r="V6652" s="36"/>
      <c r="W6652" s="15">
        <f t="shared" si="1247"/>
        <v>0</v>
      </c>
      <c r="X6652" s="36"/>
      <c r="Y6652" s="36"/>
      <c r="Z6652" s="36"/>
      <c r="AA6652" s="36"/>
      <c r="AB6652" s="36"/>
      <c r="AC6652" s="36"/>
      <c r="AD6652" s="36"/>
      <c r="AE6652" s="36"/>
      <c r="AF6652" s="36"/>
      <c r="AG6652" s="36"/>
      <c r="AH6652" s="36"/>
      <c r="AI6652" s="36"/>
      <c r="AJ6652" s="15">
        <f t="shared" si="1248"/>
        <v>0</v>
      </c>
      <c r="AK6652" s="14"/>
      <c r="AL6652" s="14"/>
      <c r="AM6652" s="14"/>
      <c r="AN6652" s="14"/>
      <c r="AO6652" s="14"/>
      <c r="AP6652" s="14"/>
      <c r="AQ6652" s="14"/>
      <c r="AR6652" s="14"/>
      <c r="AS6652" s="14"/>
      <c r="AT6652" s="14"/>
      <c r="AU6652" s="14"/>
      <c r="AV6652" s="14"/>
      <c r="AW6652" s="15">
        <f t="shared" si="1249"/>
        <v>0</v>
      </c>
      <c r="AX6652" s="16" t="s">
        <v>5331</v>
      </c>
    </row>
    <row r="6653" spans="2:50" x14ac:dyDescent="0.2">
      <c r="B6653" s="7"/>
      <c r="C6653" s="8">
        <v>16737</v>
      </c>
      <c r="D6653" s="9" t="s">
        <v>485</v>
      </c>
      <c r="E6653" s="10" t="str">
        <f t="shared" ref="E6653:E6655" si="1250">IF(D6653=0,"",VLOOKUP(D6653,BASE,2,FALSE))</f>
        <v>Rancho Estanzuela No. 111</v>
      </c>
      <c r="F6653" s="10" t="str">
        <f t="shared" ref="F6653:F6655" si="1251">IF(D6653=0,"",VLOOKUP(D6653,BASE,3,FALSE))</f>
        <v>Flores Pérez</v>
      </c>
      <c r="G6653" s="8">
        <v>1</v>
      </c>
      <c r="H6653" s="11">
        <v>800</v>
      </c>
      <c r="I6653" s="12">
        <v>43266</v>
      </c>
      <c r="J6653" s="35">
        <f t="shared" ref="J6653:J6655" si="1252">IF(G6653=1,SUM(W6653,AJ6653,AW6653,-H6653),0)</f>
        <v>0</v>
      </c>
      <c r="K6653" s="36"/>
      <c r="L6653" s="36"/>
      <c r="M6653" s="36"/>
      <c r="N6653" s="36"/>
      <c r="O6653" s="36"/>
      <c r="P6653" s="36"/>
      <c r="Q6653" s="36"/>
      <c r="R6653" s="36"/>
      <c r="S6653" s="36"/>
      <c r="T6653" s="36"/>
      <c r="U6653" s="36"/>
      <c r="V6653" s="36"/>
      <c r="W6653" s="15">
        <f t="shared" ref="W6653:W6655" si="1253">SUM(K6653:V6653)</f>
        <v>0</v>
      </c>
      <c r="X6653" s="36"/>
      <c r="Y6653" s="36"/>
      <c r="Z6653" s="36"/>
      <c r="AA6653" s="36"/>
      <c r="AB6653" s="36"/>
      <c r="AC6653" s="36"/>
      <c r="AD6653" s="36"/>
      <c r="AE6653" s="36"/>
      <c r="AF6653" s="36"/>
      <c r="AG6653" s="36"/>
      <c r="AH6653" s="36"/>
      <c r="AI6653" s="36"/>
      <c r="AJ6653" s="15">
        <f t="shared" ref="AJ6653:AJ6655" si="1254">SUM(X6653:AI6653)</f>
        <v>0</v>
      </c>
      <c r="AK6653" s="14"/>
      <c r="AL6653" s="14"/>
      <c r="AM6653" s="14"/>
      <c r="AN6653" s="14">
        <v>400</v>
      </c>
      <c r="AO6653" s="14">
        <v>400</v>
      </c>
      <c r="AP6653" s="14"/>
      <c r="AQ6653" s="14"/>
      <c r="AR6653" s="14"/>
      <c r="AS6653" s="14"/>
      <c r="AT6653" s="14"/>
      <c r="AU6653" s="14"/>
      <c r="AV6653" s="14"/>
      <c r="AW6653" s="15">
        <f t="shared" ref="AW6653:AW6655" si="1255">SUM(AK6653:AV6653)</f>
        <v>800</v>
      </c>
      <c r="AX6653" s="16"/>
    </row>
    <row r="6654" spans="2:50" x14ac:dyDescent="0.2">
      <c r="B6654" s="7"/>
      <c r="C6654" s="8">
        <v>16738</v>
      </c>
      <c r="D6654" s="9" t="s">
        <v>1157</v>
      </c>
      <c r="E6654" s="10" t="str">
        <f t="shared" si="1250"/>
        <v>Rancho Upácuaro No. 43</v>
      </c>
      <c r="F6654" s="10" t="str">
        <f t="shared" si="1251"/>
        <v>Yolanda</v>
      </c>
      <c r="G6654" s="8">
        <v>1</v>
      </c>
      <c r="H6654" s="11">
        <v>400</v>
      </c>
      <c r="I6654" s="12">
        <v>43266</v>
      </c>
      <c r="J6654" s="35">
        <f t="shared" si="1252"/>
        <v>0</v>
      </c>
      <c r="K6654" s="36"/>
      <c r="L6654" s="36"/>
      <c r="M6654" s="36"/>
      <c r="N6654" s="36"/>
      <c r="O6654" s="36"/>
      <c r="P6654" s="36"/>
      <c r="Q6654" s="36"/>
      <c r="R6654" s="36"/>
      <c r="S6654" s="36"/>
      <c r="T6654" s="36"/>
      <c r="U6654" s="36"/>
      <c r="V6654" s="36"/>
      <c r="W6654" s="15">
        <f t="shared" si="1253"/>
        <v>0</v>
      </c>
      <c r="X6654" s="36"/>
      <c r="Y6654" s="36"/>
      <c r="Z6654" s="36"/>
      <c r="AA6654" s="36"/>
      <c r="AB6654" s="36"/>
      <c r="AC6654" s="36"/>
      <c r="AD6654" s="36"/>
      <c r="AE6654" s="36"/>
      <c r="AF6654" s="36"/>
      <c r="AG6654" s="36"/>
      <c r="AH6654" s="36"/>
      <c r="AI6654" s="36"/>
      <c r="AJ6654" s="15">
        <f t="shared" si="1254"/>
        <v>0</v>
      </c>
      <c r="AK6654" s="14">
        <v>200</v>
      </c>
      <c r="AL6654" s="14">
        <v>200</v>
      </c>
      <c r="AM6654" s="14"/>
      <c r="AN6654" s="14"/>
      <c r="AO6654" s="14"/>
      <c r="AP6654" s="14"/>
      <c r="AQ6654" s="14"/>
      <c r="AR6654" s="14"/>
      <c r="AS6654" s="14"/>
      <c r="AT6654" s="14"/>
      <c r="AU6654" s="14"/>
      <c r="AV6654" s="14"/>
      <c r="AW6654" s="15">
        <f t="shared" si="1255"/>
        <v>400</v>
      </c>
      <c r="AX6654" s="16"/>
    </row>
    <row r="6655" spans="2:50" x14ac:dyDescent="0.2">
      <c r="B6655" s="7"/>
      <c r="C6655" s="8">
        <v>16739</v>
      </c>
      <c r="D6655" s="9" t="s">
        <v>1026</v>
      </c>
      <c r="E6655" s="10" t="str">
        <f t="shared" si="1250"/>
        <v>Rancho Estanzuela No. 119, 2</v>
      </c>
      <c r="F6655" s="10" t="str">
        <f t="shared" si="1251"/>
        <v>Lòpez Tovar</v>
      </c>
      <c r="G6655" s="8">
        <v>1</v>
      </c>
      <c r="H6655" s="11">
        <v>400</v>
      </c>
      <c r="I6655" s="12">
        <v>43266</v>
      </c>
      <c r="J6655" s="35">
        <f t="shared" si="1252"/>
        <v>0</v>
      </c>
      <c r="K6655" s="36"/>
      <c r="L6655" s="36"/>
      <c r="M6655" s="36"/>
      <c r="N6655" s="36"/>
      <c r="O6655" s="36"/>
      <c r="P6655" s="36"/>
      <c r="Q6655" s="36"/>
      <c r="R6655" s="36"/>
      <c r="S6655" s="36"/>
      <c r="T6655" s="36"/>
      <c r="U6655" s="36"/>
      <c r="V6655" s="36"/>
      <c r="W6655" s="15">
        <f t="shared" si="1253"/>
        <v>0</v>
      </c>
      <c r="X6655" s="36"/>
      <c r="Y6655" s="36"/>
      <c r="Z6655" s="36"/>
      <c r="AA6655" s="36"/>
      <c r="AB6655" s="36"/>
      <c r="AC6655" s="36"/>
      <c r="AD6655" s="36"/>
      <c r="AE6655" s="36"/>
      <c r="AF6655" s="36"/>
      <c r="AG6655" s="36"/>
      <c r="AH6655" s="36"/>
      <c r="AI6655" s="36"/>
      <c r="AJ6655" s="15">
        <f t="shared" si="1254"/>
        <v>0</v>
      </c>
      <c r="AK6655" s="14"/>
      <c r="AL6655" s="14"/>
      <c r="AM6655" s="14"/>
      <c r="AN6655" s="14"/>
      <c r="AO6655" s="14">
        <v>200</v>
      </c>
      <c r="AP6655" s="14">
        <v>200</v>
      </c>
      <c r="AQ6655" s="14"/>
      <c r="AR6655" s="14"/>
      <c r="AS6655" s="14"/>
      <c r="AT6655" s="14"/>
      <c r="AU6655" s="14"/>
      <c r="AV6655" s="14"/>
      <c r="AW6655" s="15">
        <f t="shared" si="1255"/>
        <v>400</v>
      </c>
      <c r="AX6655" s="16"/>
    </row>
    <row r="6656" spans="2:50" x14ac:dyDescent="0.2">
      <c r="B6656" s="7"/>
      <c r="C6656" s="8">
        <v>16740</v>
      </c>
      <c r="D6656" s="9" t="s">
        <v>1267</v>
      </c>
      <c r="E6656" s="10" t="str">
        <f t="shared" si="1244"/>
        <v>Rancho La Cuchilla No. 31</v>
      </c>
      <c r="F6656" s="10" t="str">
        <f t="shared" si="1245"/>
        <v>Lince</v>
      </c>
      <c r="G6656" s="8">
        <v>1</v>
      </c>
      <c r="H6656" s="11">
        <v>600</v>
      </c>
      <c r="I6656" s="12">
        <v>43268</v>
      </c>
      <c r="J6656" s="35">
        <f t="shared" si="1246"/>
        <v>0</v>
      </c>
      <c r="K6656" s="36"/>
      <c r="L6656" s="36"/>
      <c r="M6656" s="36"/>
      <c r="N6656" s="36"/>
      <c r="O6656" s="36"/>
      <c r="P6656" s="36"/>
      <c r="Q6656" s="36"/>
      <c r="R6656" s="36"/>
      <c r="S6656" s="36"/>
      <c r="T6656" s="36"/>
      <c r="U6656" s="36"/>
      <c r="V6656" s="36"/>
      <c r="W6656" s="15">
        <f t="shared" si="1247"/>
        <v>0</v>
      </c>
      <c r="X6656" s="36"/>
      <c r="Y6656" s="36"/>
      <c r="Z6656" s="36"/>
      <c r="AA6656" s="36"/>
      <c r="AB6656" s="36"/>
      <c r="AC6656" s="36"/>
      <c r="AD6656" s="36"/>
      <c r="AE6656" s="36"/>
      <c r="AF6656" s="36"/>
      <c r="AG6656" s="36"/>
      <c r="AH6656" s="36"/>
      <c r="AI6656" s="36"/>
      <c r="AJ6656" s="15">
        <f t="shared" si="1248"/>
        <v>0</v>
      </c>
      <c r="AK6656" s="14"/>
      <c r="AL6656" s="14"/>
      <c r="AM6656" s="14">
        <v>300</v>
      </c>
      <c r="AN6656" s="14">
        <v>300</v>
      </c>
      <c r="AO6656" s="14"/>
      <c r="AP6656" s="14"/>
      <c r="AQ6656" s="14"/>
      <c r="AR6656" s="14"/>
      <c r="AS6656" s="14"/>
      <c r="AT6656" s="14"/>
      <c r="AU6656" s="14"/>
      <c r="AV6656" s="14"/>
      <c r="AW6656" s="15">
        <f t="shared" si="1249"/>
        <v>600</v>
      </c>
      <c r="AX6656" s="16"/>
    </row>
    <row r="6657" spans="2:50" x14ac:dyDescent="0.2">
      <c r="B6657" s="7"/>
      <c r="C6657" s="8">
        <v>16741</v>
      </c>
      <c r="D6657" s="9" t="s">
        <v>834</v>
      </c>
      <c r="E6657" s="10" t="str">
        <f t="shared" si="1244"/>
        <v>Rancho Upácuaro No. 110</v>
      </c>
      <c r="F6657" s="10" t="str">
        <f t="shared" si="1245"/>
        <v>Ruiz Mijangos</v>
      </c>
      <c r="G6657" s="8">
        <v>1</v>
      </c>
      <c r="H6657" s="11">
        <v>300</v>
      </c>
      <c r="I6657" s="12">
        <v>43268</v>
      </c>
      <c r="J6657" s="35">
        <f t="shared" si="1246"/>
        <v>0</v>
      </c>
      <c r="K6657" s="36"/>
      <c r="L6657" s="36"/>
      <c r="M6657" s="36"/>
      <c r="N6657" s="36"/>
      <c r="O6657" s="36"/>
      <c r="P6657" s="36"/>
      <c r="Q6657" s="36"/>
      <c r="R6657" s="36"/>
      <c r="S6657" s="36"/>
      <c r="T6657" s="36"/>
      <c r="U6657" s="36"/>
      <c r="V6657" s="36"/>
      <c r="W6657" s="15">
        <f t="shared" si="1247"/>
        <v>0</v>
      </c>
      <c r="X6657" s="36"/>
      <c r="Y6657" s="36"/>
      <c r="Z6657" s="36"/>
      <c r="AA6657" s="36"/>
      <c r="AB6657" s="36"/>
      <c r="AC6657" s="36"/>
      <c r="AD6657" s="36"/>
      <c r="AE6657" s="36"/>
      <c r="AF6657" s="36"/>
      <c r="AG6657" s="36"/>
      <c r="AH6657" s="36"/>
      <c r="AI6657" s="36"/>
      <c r="AJ6657" s="15">
        <f t="shared" si="1248"/>
        <v>0</v>
      </c>
      <c r="AK6657" s="14"/>
      <c r="AL6657" s="14"/>
      <c r="AM6657" s="14"/>
      <c r="AN6657" s="14"/>
      <c r="AO6657" s="14"/>
      <c r="AP6657" s="14">
        <v>300</v>
      </c>
      <c r="AQ6657" s="14"/>
      <c r="AR6657" s="14"/>
      <c r="AS6657" s="14"/>
      <c r="AT6657" s="14"/>
      <c r="AU6657" s="14"/>
      <c r="AV6657" s="14"/>
      <c r="AW6657" s="15">
        <f t="shared" si="1249"/>
        <v>300</v>
      </c>
      <c r="AX6657" s="16"/>
    </row>
    <row r="6658" spans="2:50" x14ac:dyDescent="0.2">
      <c r="B6658" s="7"/>
      <c r="C6658" s="8">
        <v>16742</v>
      </c>
      <c r="D6658" s="9" t="s">
        <v>1103</v>
      </c>
      <c r="E6658" s="10" t="str">
        <f t="shared" si="1244"/>
        <v>Rancho Landero No. 86</v>
      </c>
      <c r="F6658" s="10" t="str">
        <f t="shared" si="1245"/>
        <v>Cuervo</v>
      </c>
      <c r="G6658" s="8">
        <v>1</v>
      </c>
      <c r="H6658" s="11">
        <v>200</v>
      </c>
      <c r="I6658" s="12">
        <v>43268</v>
      </c>
      <c r="J6658" s="35">
        <f t="shared" si="1246"/>
        <v>0</v>
      </c>
      <c r="K6658" s="36"/>
      <c r="L6658" s="36"/>
      <c r="M6658" s="36"/>
      <c r="N6658" s="36"/>
      <c r="O6658" s="36"/>
      <c r="P6658" s="36"/>
      <c r="Q6658" s="36"/>
      <c r="R6658" s="36"/>
      <c r="S6658" s="36"/>
      <c r="T6658" s="36"/>
      <c r="U6658" s="36"/>
      <c r="V6658" s="36"/>
      <c r="W6658" s="15">
        <f t="shared" si="1247"/>
        <v>0</v>
      </c>
      <c r="X6658" s="36"/>
      <c r="Y6658" s="36"/>
      <c r="Z6658" s="36"/>
      <c r="AA6658" s="36"/>
      <c r="AB6658" s="36"/>
      <c r="AC6658" s="36"/>
      <c r="AD6658" s="36"/>
      <c r="AE6658" s="36"/>
      <c r="AF6658" s="36"/>
      <c r="AG6658" s="36"/>
      <c r="AH6658" s="36"/>
      <c r="AI6658" s="36"/>
      <c r="AJ6658" s="15">
        <f t="shared" si="1248"/>
        <v>0</v>
      </c>
      <c r="AK6658" s="14"/>
      <c r="AL6658" s="14"/>
      <c r="AM6658" s="14"/>
      <c r="AN6658" s="14"/>
      <c r="AO6658" s="14"/>
      <c r="AP6658" s="14">
        <v>200</v>
      </c>
      <c r="AQ6658" s="14"/>
      <c r="AR6658" s="14"/>
      <c r="AS6658" s="14"/>
      <c r="AT6658" s="14"/>
      <c r="AU6658" s="14"/>
      <c r="AV6658" s="14"/>
      <c r="AW6658" s="15">
        <f t="shared" si="1249"/>
        <v>200</v>
      </c>
      <c r="AX6658" s="16"/>
    </row>
    <row r="6659" spans="2:50" x14ac:dyDescent="0.2">
      <c r="B6659" s="7"/>
      <c r="C6659" s="8">
        <v>16743</v>
      </c>
      <c r="D6659" s="9" t="s">
        <v>810</v>
      </c>
      <c r="E6659" s="10" t="str">
        <f t="shared" si="1244"/>
        <v>Rancho La Cuchilla No. 90</v>
      </c>
      <c r="F6659" s="10" t="str">
        <f t="shared" si="1245"/>
        <v>Porras Fuentes</v>
      </c>
      <c r="G6659" s="8">
        <v>1</v>
      </c>
      <c r="H6659" s="11">
        <v>600</v>
      </c>
      <c r="I6659" s="12">
        <v>43268</v>
      </c>
      <c r="J6659" s="35">
        <f t="shared" si="1246"/>
        <v>0</v>
      </c>
      <c r="K6659" s="36"/>
      <c r="L6659" s="36"/>
      <c r="M6659" s="36"/>
      <c r="N6659" s="36"/>
      <c r="O6659" s="36"/>
      <c r="P6659" s="36"/>
      <c r="Q6659" s="36"/>
      <c r="R6659" s="36"/>
      <c r="S6659" s="36"/>
      <c r="T6659" s="36"/>
      <c r="U6659" s="36"/>
      <c r="V6659" s="36"/>
      <c r="W6659" s="15">
        <f t="shared" si="1247"/>
        <v>0</v>
      </c>
      <c r="X6659" s="36"/>
      <c r="Y6659" s="36"/>
      <c r="Z6659" s="36"/>
      <c r="AA6659" s="36"/>
      <c r="AB6659" s="36"/>
      <c r="AC6659" s="36"/>
      <c r="AD6659" s="36"/>
      <c r="AE6659" s="36"/>
      <c r="AF6659" s="36"/>
      <c r="AG6659" s="36"/>
      <c r="AH6659" s="36"/>
      <c r="AI6659" s="36"/>
      <c r="AJ6659" s="15">
        <f t="shared" si="1248"/>
        <v>0</v>
      </c>
      <c r="AK6659" s="14"/>
      <c r="AL6659" s="14"/>
      <c r="AM6659" s="14"/>
      <c r="AN6659" s="14"/>
      <c r="AO6659" s="14"/>
      <c r="AP6659" s="14">
        <v>200</v>
      </c>
      <c r="AQ6659" s="14">
        <v>200</v>
      </c>
      <c r="AR6659" s="14">
        <v>200</v>
      </c>
      <c r="AS6659" s="14"/>
      <c r="AT6659" s="14"/>
      <c r="AU6659" s="14"/>
      <c r="AV6659" s="14"/>
      <c r="AW6659" s="15">
        <f t="shared" si="1249"/>
        <v>600</v>
      </c>
      <c r="AX6659" s="16"/>
    </row>
    <row r="6660" spans="2:50" x14ac:dyDescent="0.2">
      <c r="B6660" s="7"/>
      <c r="C6660" s="8">
        <v>16744</v>
      </c>
      <c r="D6660" s="9" t="s">
        <v>226</v>
      </c>
      <c r="E6660" s="10" t="str">
        <f t="shared" si="1226"/>
        <v>Rancho Landero No. 31</v>
      </c>
      <c r="F6660" s="10" t="str">
        <f t="shared" si="1227"/>
        <v>Díaz Hernández</v>
      </c>
      <c r="G6660" s="8">
        <v>1</v>
      </c>
      <c r="H6660" s="11">
        <v>200</v>
      </c>
      <c r="I6660" s="12">
        <v>43268</v>
      </c>
      <c r="J6660" s="35">
        <f t="shared" si="1228"/>
        <v>0</v>
      </c>
      <c r="K6660" s="36"/>
      <c r="L6660" s="36"/>
      <c r="M6660" s="36"/>
      <c r="N6660" s="36"/>
      <c r="O6660" s="36"/>
      <c r="P6660" s="36"/>
      <c r="Q6660" s="36"/>
      <c r="R6660" s="36"/>
      <c r="S6660" s="36"/>
      <c r="T6660" s="36"/>
      <c r="U6660" s="36"/>
      <c r="V6660" s="36"/>
      <c r="W6660" s="15">
        <f t="shared" si="1229"/>
        <v>0</v>
      </c>
      <c r="X6660" s="36"/>
      <c r="Y6660" s="36"/>
      <c r="Z6660" s="36"/>
      <c r="AA6660" s="36"/>
      <c r="AB6660" s="36"/>
      <c r="AC6660" s="36"/>
      <c r="AD6660" s="36"/>
      <c r="AE6660" s="36"/>
      <c r="AF6660" s="36"/>
      <c r="AG6660" s="36"/>
      <c r="AH6660" s="36"/>
      <c r="AI6660" s="36"/>
      <c r="AJ6660" s="15">
        <f t="shared" si="1230"/>
        <v>0</v>
      </c>
      <c r="AK6660" s="14"/>
      <c r="AL6660" s="14"/>
      <c r="AM6660" s="14"/>
      <c r="AN6660" s="14"/>
      <c r="AO6660" s="14"/>
      <c r="AP6660" s="14">
        <v>200</v>
      </c>
      <c r="AQ6660" s="14"/>
      <c r="AR6660" s="14"/>
      <c r="AS6660" s="14"/>
      <c r="AT6660" s="14"/>
      <c r="AU6660" s="14"/>
      <c r="AV6660" s="14"/>
      <c r="AW6660" s="15">
        <f t="shared" si="1231"/>
        <v>200</v>
      </c>
      <c r="AX6660" s="16"/>
    </row>
    <row r="6661" spans="2:50" x14ac:dyDescent="0.2">
      <c r="B6661" s="7"/>
      <c r="C6661" s="8">
        <v>16745</v>
      </c>
      <c r="D6661" s="9" t="s">
        <v>820</v>
      </c>
      <c r="E6661" s="10" t="str">
        <f t="shared" si="1226"/>
        <v>Rancho Zinamba No. 84</v>
      </c>
      <c r="F6661" s="10" t="str">
        <f t="shared" si="1227"/>
        <v>Lobato</v>
      </c>
      <c r="G6661" s="8">
        <v>1</v>
      </c>
      <c r="H6661" s="11">
        <v>900</v>
      </c>
      <c r="I6661" s="12">
        <v>43268</v>
      </c>
      <c r="J6661" s="35">
        <f t="shared" si="1228"/>
        <v>0</v>
      </c>
      <c r="K6661" s="36"/>
      <c r="L6661" s="36"/>
      <c r="M6661" s="36"/>
      <c r="N6661" s="36"/>
      <c r="O6661" s="36"/>
      <c r="P6661" s="36"/>
      <c r="Q6661" s="36"/>
      <c r="R6661" s="36"/>
      <c r="S6661" s="36"/>
      <c r="T6661" s="36"/>
      <c r="U6661" s="36"/>
      <c r="V6661" s="36"/>
      <c r="W6661" s="15">
        <f t="shared" si="1229"/>
        <v>0</v>
      </c>
      <c r="X6661" s="36"/>
      <c r="Y6661" s="36"/>
      <c r="Z6661" s="36"/>
      <c r="AA6661" s="36"/>
      <c r="AB6661" s="36"/>
      <c r="AC6661" s="36"/>
      <c r="AD6661" s="36"/>
      <c r="AE6661" s="36"/>
      <c r="AF6661" s="36"/>
      <c r="AG6661" s="36"/>
      <c r="AH6661" s="36"/>
      <c r="AI6661" s="36"/>
      <c r="AJ6661" s="15">
        <f t="shared" si="1230"/>
        <v>0</v>
      </c>
      <c r="AK6661" s="14"/>
      <c r="AL6661" s="14"/>
      <c r="AM6661" s="14"/>
      <c r="AN6661" s="14">
        <v>300</v>
      </c>
      <c r="AO6661" s="14">
        <v>300</v>
      </c>
      <c r="AP6661" s="14">
        <v>300</v>
      </c>
      <c r="AQ6661" s="14"/>
      <c r="AR6661" s="14"/>
      <c r="AS6661" s="14"/>
      <c r="AT6661" s="14"/>
      <c r="AU6661" s="14"/>
      <c r="AV6661" s="14"/>
      <c r="AW6661" s="15">
        <f t="shared" si="1231"/>
        <v>900</v>
      </c>
      <c r="AX6661" s="16"/>
    </row>
    <row r="6662" spans="2:50" x14ac:dyDescent="0.2">
      <c r="B6662" s="7"/>
      <c r="C6662" s="8">
        <v>16746</v>
      </c>
      <c r="D6662" s="9" t="s">
        <v>310</v>
      </c>
      <c r="E6662" s="10" t="str">
        <f t="shared" si="1226"/>
        <v>Rancho Recoveco No. 181</v>
      </c>
      <c r="F6662" s="10" t="str">
        <f t="shared" si="1227"/>
        <v>Castillo</v>
      </c>
      <c r="G6662" s="8">
        <v>1</v>
      </c>
      <c r="H6662" s="11">
        <v>400</v>
      </c>
      <c r="I6662" s="12">
        <v>43268</v>
      </c>
      <c r="J6662" s="35">
        <f t="shared" si="1228"/>
        <v>0</v>
      </c>
      <c r="K6662" s="36"/>
      <c r="L6662" s="36"/>
      <c r="M6662" s="36"/>
      <c r="N6662" s="36"/>
      <c r="O6662" s="36"/>
      <c r="P6662" s="36"/>
      <c r="Q6662" s="36"/>
      <c r="R6662" s="36"/>
      <c r="S6662" s="36"/>
      <c r="T6662" s="36"/>
      <c r="U6662" s="36"/>
      <c r="V6662" s="36"/>
      <c r="W6662" s="15">
        <f t="shared" si="1229"/>
        <v>0</v>
      </c>
      <c r="X6662" s="36"/>
      <c r="Y6662" s="36"/>
      <c r="Z6662" s="36"/>
      <c r="AA6662" s="36"/>
      <c r="AB6662" s="36"/>
      <c r="AC6662" s="36"/>
      <c r="AD6662" s="36"/>
      <c r="AE6662" s="36"/>
      <c r="AF6662" s="36"/>
      <c r="AG6662" s="36"/>
      <c r="AH6662" s="36"/>
      <c r="AI6662" s="36"/>
      <c r="AJ6662" s="15">
        <f t="shared" si="1230"/>
        <v>0</v>
      </c>
      <c r="AK6662" s="14"/>
      <c r="AL6662" s="14"/>
      <c r="AM6662" s="14"/>
      <c r="AN6662" s="14"/>
      <c r="AO6662" s="14"/>
      <c r="AP6662" s="14">
        <v>400</v>
      </c>
      <c r="AQ6662" s="14"/>
      <c r="AR6662" s="14"/>
      <c r="AS6662" s="14"/>
      <c r="AT6662" s="14"/>
      <c r="AU6662" s="14"/>
      <c r="AV6662" s="14"/>
      <c r="AW6662" s="15">
        <f t="shared" si="1231"/>
        <v>400</v>
      </c>
      <c r="AX6662" s="16"/>
    </row>
    <row r="6663" spans="2:50" x14ac:dyDescent="0.2">
      <c r="B6663" s="7"/>
      <c r="C6663" s="8">
        <v>16747</v>
      </c>
      <c r="D6663" s="9" t="s">
        <v>672</v>
      </c>
      <c r="E6663" s="10" t="str">
        <f t="shared" si="1226"/>
        <v>Rancho Estanzuela No. 11, B</v>
      </c>
      <c r="F6663" s="10" t="str">
        <f t="shared" si="1227"/>
        <v>Gómez Miguel</v>
      </c>
      <c r="G6663" s="8">
        <v>1</v>
      </c>
      <c r="H6663" s="11">
        <v>400</v>
      </c>
      <c r="I6663" s="12">
        <v>43268</v>
      </c>
      <c r="J6663" s="35">
        <f t="shared" si="1228"/>
        <v>0</v>
      </c>
      <c r="K6663" s="36"/>
      <c r="L6663" s="36"/>
      <c r="M6663" s="36"/>
      <c r="N6663" s="36"/>
      <c r="O6663" s="36"/>
      <c r="P6663" s="36"/>
      <c r="Q6663" s="36"/>
      <c r="R6663" s="36"/>
      <c r="S6663" s="36"/>
      <c r="T6663" s="36"/>
      <c r="U6663" s="36"/>
      <c r="V6663" s="36"/>
      <c r="W6663" s="15">
        <f t="shared" si="1229"/>
        <v>0</v>
      </c>
      <c r="X6663" s="36"/>
      <c r="Y6663" s="36"/>
      <c r="Z6663" s="36"/>
      <c r="AA6663" s="36"/>
      <c r="AB6663" s="36"/>
      <c r="AC6663" s="36"/>
      <c r="AD6663" s="36"/>
      <c r="AE6663" s="36"/>
      <c r="AF6663" s="36"/>
      <c r="AG6663" s="36"/>
      <c r="AH6663" s="36"/>
      <c r="AI6663" s="36"/>
      <c r="AJ6663" s="15">
        <f t="shared" si="1230"/>
        <v>0</v>
      </c>
      <c r="AK6663" s="14"/>
      <c r="AL6663" s="14"/>
      <c r="AM6663" s="14"/>
      <c r="AN6663" s="14"/>
      <c r="AO6663" s="14">
        <v>200</v>
      </c>
      <c r="AP6663" s="14">
        <v>200</v>
      </c>
      <c r="AQ6663" s="14"/>
      <c r="AR6663" s="14"/>
      <c r="AS6663" s="14"/>
      <c r="AT6663" s="14"/>
      <c r="AU6663" s="14"/>
      <c r="AV6663" s="14"/>
      <c r="AW6663" s="15">
        <f t="shared" si="1231"/>
        <v>400</v>
      </c>
      <c r="AX6663" s="16"/>
    </row>
    <row r="6664" spans="2:50" x14ac:dyDescent="0.2">
      <c r="B6664" s="7"/>
      <c r="C6664" s="8">
        <v>16748</v>
      </c>
      <c r="D6664" s="9" t="s">
        <v>965</v>
      </c>
      <c r="E6664" s="10" t="str">
        <f t="shared" ref="E6664:E6670" si="1256">IF(D6664=0,"",VLOOKUP(D6664,BASE,2,FALSE))</f>
        <v>Rancho La Cuchilla No. 52</v>
      </c>
      <c r="F6664" s="10" t="str">
        <f t="shared" ref="F6664:F6670" si="1257">IF(D6664=0,"",VLOOKUP(D6664,BASE,3,FALSE))</f>
        <v>Velázquez</v>
      </c>
      <c r="G6664" s="8">
        <v>1</v>
      </c>
      <c r="H6664" s="11">
        <v>400</v>
      </c>
      <c r="I6664" s="12">
        <v>43268</v>
      </c>
      <c r="J6664" s="35">
        <f t="shared" ref="J6664:J6670" si="1258">IF(G6664=1,SUM(W6664,AJ6664,AW6664,-H6664),0)</f>
        <v>0</v>
      </c>
      <c r="K6664" s="36"/>
      <c r="L6664" s="36"/>
      <c r="M6664" s="36"/>
      <c r="N6664" s="36"/>
      <c r="O6664" s="36"/>
      <c r="P6664" s="36"/>
      <c r="Q6664" s="36"/>
      <c r="R6664" s="36"/>
      <c r="S6664" s="36"/>
      <c r="T6664" s="36"/>
      <c r="U6664" s="36"/>
      <c r="V6664" s="36"/>
      <c r="W6664" s="15">
        <f t="shared" ref="W6664:W6670" si="1259">SUM(K6664:V6664)</f>
        <v>0</v>
      </c>
      <c r="X6664" s="36"/>
      <c r="Y6664" s="36"/>
      <c r="Z6664" s="36"/>
      <c r="AA6664" s="36"/>
      <c r="AB6664" s="36"/>
      <c r="AC6664" s="36"/>
      <c r="AD6664" s="36"/>
      <c r="AE6664" s="36"/>
      <c r="AF6664" s="36"/>
      <c r="AG6664" s="36"/>
      <c r="AH6664" s="36"/>
      <c r="AI6664" s="36"/>
      <c r="AJ6664" s="15">
        <f t="shared" ref="AJ6664:AJ6670" si="1260">SUM(X6664:AI6664)</f>
        <v>0</v>
      </c>
      <c r="AK6664" s="14">
        <v>400</v>
      </c>
      <c r="AL6664" s="14"/>
      <c r="AM6664" s="14"/>
      <c r="AN6664" s="14"/>
      <c r="AO6664" s="14"/>
      <c r="AP6664" s="14"/>
      <c r="AQ6664" s="14"/>
      <c r="AR6664" s="14"/>
      <c r="AS6664" s="14"/>
      <c r="AT6664" s="14"/>
      <c r="AU6664" s="14"/>
      <c r="AV6664" s="14"/>
      <c r="AW6664" s="15">
        <f t="shared" ref="AW6664:AW6670" si="1261">SUM(AK6664:AV6664)</f>
        <v>400</v>
      </c>
      <c r="AX6664" s="16"/>
    </row>
    <row r="6665" spans="2:50" x14ac:dyDescent="0.2">
      <c r="B6665" s="7"/>
      <c r="C6665" s="8">
        <v>16749</v>
      </c>
      <c r="D6665" s="9" t="s">
        <v>159</v>
      </c>
      <c r="E6665" s="10" t="str">
        <f t="shared" si="1256"/>
        <v>Rancho Zinamba No. 24</v>
      </c>
      <c r="F6665" s="10" t="str">
        <f t="shared" si="1257"/>
        <v>Monroy García</v>
      </c>
      <c r="G6665" s="8">
        <v>1</v>
      </c>
      <c r="H6665" s="11">
        <v>400</v>
      </c>
      <c r="I6665" s="12">
        <v>43268</v>
      </c>
      <c r="J6665" s="35">
        <f t="shared" si="1258"/>
        <v>0</v>
      </c>
      <c r="K6665" s="36"/>
      <c r="L6665" s="36"/>
      <c r="M6665" s="36"/>
      <c r="N6665" s="36"/>
      <c r="O6665" s="36"/>
      <c r="P6665" s="36"/>
      <c r="Q6665" s="36"/>
      <c r="R6665" s="36"/>
      <c r="S6665" s="36"/>
      <c r="T6665" s="36"/>
      <c r="U6665" s="36"/>
      <c r="V6665" s="36"/>
      <c r="W6665" s="15">
        <f t="shared" si="1259"/>
        <v>0</v>
      </c>
      <c r="X6665" s="36"/>
      <c r="Y6665" s="36"/>
      <c r="Z6665" s="36"/>
      <c r="AA6665" s="36"/>
      <c r="AB6665" s="36"/>
      <c r="AC6665" s="36"/>
      <c r="AD6665" s="36"/>
      <c r="AE6665" s="36"/>
      <c r="AF6665" s="36"/>
      <c r="AG6665" s="36"/>
      <c r="AH6665" s="36"/>
      <c r="AI6665" s="36"/>
      <c r="AJ6665" s="15">
        <f t="shared" si="1260"/>
        <v>0</v>
      </c>
      <c r="AK6665" s="14"/>
      <c r="AL6665" s="14"/>
      <c r="AM6665" s="14"/>
      <c r="AN6665" s="14"/>
      <c r="AO6665" s="14"/>
      <c r="AP6665" s="14">
        <v>400</v>
      </c>
      <c r="AQ6665" s="14"/>
      <c r="AR6665" s="14"/>
      <c r="AS6665" s="14"/>
      <c r="AT6665" s="14"/>
      <c r="AU6665" s="14"/>
      <c r="AV6665" s="14"/>
      <c r="AW6665" s="15">
        <f t="shared" si="1261"/>
        <v>400</v>
      </c>
      <c r="AX6665" s="16"/>
    </row>
    <row r="6666" spans="2:50" x14ac:dyDescent="0.2">
      <c r="B6666" s="7"/>
      <c r="C6666" s="8">
        <v>16750</v>
      </c>
      <c r="D6666" s="9" t="s">
        <v>716</v>
      </c>
      <c r="E6666" s="10" t="str">
        <f t="shared" si="1256"/>
        <v>Rancho Landero No. 20</v>
      </c>
      <c r="F6666" s="10" t="str">
        <f t="shared" si="1257"/>
        <v>Velasco</v>
      </c>
      <c r="G6666" s="8">
        <v>1</v>
      </c>
      <c r="H6666" s="11">
        <v>600</v>
      </c>
      <c r="I6666" s="12">
        <v>43268</v>
      </c>
      <c r="J6666" s="35">
        <f t="shared" si="1258"/>
        <v>0</v>
      </c>
      <c r="K6666" s="36"/>
      <c r="L6666" s="36"/>
      <c r="M6666" s="36"/>
      <c r="N6666" s="36"/>
      <c r="O6666" s="36"/>
      <c r="P6666" s="36"/>
      <c r="Q6666" s="36"/>
      <c r="R6666" s="36"/>
      <c r="S6666" s="36"/>
      <c r="T6666" s="36"/>
      <c r="U6666" s="36"/>
      <c r="V6666" s="36"/>
      <c r="W6666" s="15">
        <f t="shared" si="1259"/>
        <v>0</v>
      </c>
      <c r="X6666" s="36"/>
      <c r="Y6666" s="36"/>
      <c r="Z6666" s="36"/>
      <c r="AA6666" s="36"/>
      <c r="AB6666" s="36"/>
      <c r="AC6666" s="36"/>
      <c r="AD6666" s="36"/>
      <c r="AE6666" s="36"/>
      <c r="AF6666" s="36"/>
      <c r="AG6666" s="36"/>
      <c r="AH6666" s="36"/>
      <c r="AI6666" s="36"/>
      <c r="AJ6666" s="15">
        <f t="shared" si="1260"/>
        <v>0</v>
      </c>
      <c r="AK6666" s="14"/>
      <c r="AL6666" s="14"/>
      <c r="AM6666" s="14"/>
      <c r="AN6666" s="14"/>
      <c r="AO6666" s="14">
        <v>300</v>
      </c>
      <c r="AP6666" s="14">
        <v>300</v>
      </c>
      <c r="AQ6666" s="14"/>
      <c r="AR6666" s="14"/>
      <c r="AS6666" s="14"/>
      <c r="AT6666" s="14"/>
      <c r="AU6666" s="14"/>
      <c r="AV6666" s="14"/>
      <c r="AW6666" s="15">
        <f t="shared" si="1261"/>
        <v>600</v>
      </c>
      <c r="AX6666" s="16"/>
    </row>
    <row r="6667" spans="2:50" x14ac:dyDescent="0.2">
      <c r="B6667" s="7"/>
      <c r="C6667" s="8">
        <v>16751</v>
      </c>
      <c r="D6667" s="9" t="s">
        <v>48</v>
      </c>
      <c r="E6667" s="10" t="str">
        <f t="shared" si="1256"/>
        <v>Rancho La Cuchilla No. 110</v>
      </c>
      <c r="F6667" s="10" t="str">
        <f t="shared" si="1257"/>
        <v>Domínguez Canudas</v>
      </c>
      <c r="G6667" s="8">
        <v>1</v>
      </c>
      <c r="H6667" s="11">
        <v>2400</v>
      </c>
      <c r="I6667" s="12">
        <v>43268</v>
      </c>
      <c r="J6667" s="35">
        <f t="shared" si="1258"/>
        <v>0</v>
      </c>
      <c r="K6667" s="36"/>
      <c r="L6667" s="36"/>
      <c r="M6667" s="36"/>
      <c r="N6667" s="36"/>
      <c r="O6667" s="36"/>
      <c r="P6667" s="36"/>
      <c r="Q6667" s="36"/>
      <c r="R6667" s="36"/>
      <c r="S6667" s="36"/>
      <c r="T6667" s="36"/>
      <c r="U6667" s="36"/>
      <c r="V6667" s="36"/>
      <c r="W6667" s="15">
        <f t="shared" si="1259"/>
        <v>0</v>
      </c>
      <c r="X6667" s="36"/>
      <c r="Y6667" s="36"/>
      <c r="Z6667" s="36"/>
      <c r="AA6667" s="36"/>
      <c r="AB6667" s="36"/>
      <c r="AC6667" s="36"/>
      <c r="AD6667" s="36"/>
      <c r="AE6667" s="36"/>
      <c r="AF6667" s="36"/>
      <c r="AG6667" s="36"/>
      <c r="AH6667" s="36"/>
      <c r="AI6667" s="36"/>
      <c r="AJ6667" s="15">
        <f t="shared" si="1260"/>
        <v>0</v>
      </c>
      <c r="AK6667" s="14">
        <v>400</v>
      </c>
      <c r="AL6667" s="14">
        <v>400</v>
      </c>
      <c r="AM6667" s="14">
        <v>400</v>
      </c>
      <c r="AN6667" s="14">
        <v>400</v>
      </c>
      <c r="AO6667" s="14">
        <v>400</v>
      </c>
      <c r="AP6667" s="14">
        <v>400</v>
      </c>
      <c r="AQ6667" s="14"/>
      <c r="AR6667" s="14"/>
      <c r="AS6667" s="14"/>
      <c r="AT6667" s="14"/>
      <c r="AU6667" s="14"/>
      <c r="AV6667" s="14"/>
      <c r="AW6667" s="15">
        <f t="shared" si="1261"/>
        <v>2400</v>
      </c>
      <c r="AX6667" s="316">
        <f>SUM(H6637:H6667)</f>
        <v>18300</v>
      </c>
    </row>
    <row r="6668" spans="2:50" x14ac:dyDescent="0.2">
      <c r="B6668" s="7"/>
      <c r="C6668" s="8">
        <v>16752</v>
      </c>
      <c r="D6668" s="9" t="s">
        <v>980</v>
      </c>
      <c r="E6668" s="10" t="str">
        <f t="shared" si="1256"/>
        <v>Rancho Estanzuela No. 141</v>
      </c>
      <c r="F6668" s="10" t="str">
        <f t="shared" si="1257"/>
        <v>Castillo Toledano</v>
      </c>
      <c r="G6668" s="8">
        <v>7</v>
      </c>
      <c r="H6668" s="315">
        <v>100</v>
      </c>
      <c r="I6668" s="12">
        <v>43269</v>
      </c>
      <c r="J6668" s="35">
        <f t="shared" si="1258"/>
        <v>0</v>
      </c>
      <c r="K6668" s="36"/>
      <c r="L6668" s="36"/>
      <c r="M6668" s="36"/>
      <c r="N6668" s="36"/>
      <c r="O6668" s="36"/>
      <c r="P6668" s="36"/>
      <c r="Q6668" s="36"/>
      <c r="R6668" s="36"/>
      <c r="S6668" s="36"/>
      <c r="T6668" s="36"/>
      <c r="U6668" s="36"/>
      <c r="V6668" s="36"/>
      <c r="W6668" s="15">
        <f t="shared" si="1259"/>
        <v>0</v>
      </c>
      <c r="X6668" s="36"/>
      <c r="Y6668" s="36"/>
      <c r="Z6668" s="36"/>
      <c r="AA6668" s="36"/>
      <c r="AB6668" s="36"/>
      <c r="AC6668" s="36"/>
      <c r="AD6668" s="36"/>
      <c r="AE6668" s="36"/>
      <c r="AF6668" s="36"/>
      <c r="AG6668" s="36"/>
      <c r="AH6668" s="36"/>
      <c r="AI6668" s="36"/>
      <c r="AJ6668" s="15">
        <f t="shared" si="1260"/>
        <v>0</v>
      </c>
      <c r="AK6668" s="14"/>
      <c r="AL6668" s="14"/>
      <c r="AM6668" s="14"/>
      <c r="AN6668" s="14"/>
      <c r="AO6668" s="14"/>
      <c r="AP6668" s="14"/>
      <c r="AQ6668" s="14"/>
      <c r="AR6668" s="14"/>
      <c r="AS6668" s="14"/>
      <c r="AT6668" s="14"/>
      <c r="AU6668" s="14"/>
      <c r="AV6668" s="14"/>
      <c r="AW6668" s="15">
        <f t="shared" si="1261"/>
        <v>0</v>
      </c>
      <c r="AX6668" s="16" t="s">
        <v>5383</v>
      </c>
    </row>
    <row r="6669" spans="2:50" x14ac:dyDescent="0.2">
      <c r="B6669" s="7"/>
      <c r="C6669" s="8">
        <v>16753</v>
      </c>
      <c r="D6669" s="9" t="s">
        <v>1299</v>
      </c>
      <c r="E6669" s="10" t="str">
        <f t="shared" si="1256"/>
        <v>Rancho La Cuchilla No. 107</v>
      </c>
      <c r="F6669" s="10" t="str">
        <f t="shared" si="1257"/>
        <v>Quiñones, Eduardo</v>
      </c>
      <c r="G6669" s="8">
        <v>1</v>
      </c>
      <c r="H6669" s="11">
        <v>1200</v>
      </c>
      <c r="I6669" s="12">
        <v>43270</v>
      </c>
      <c r="J6669" s="35">
        <f t="shared" si="1258"/>
        <v>0</v>
      </c>
      <c r="K6669" s="36"/>
      <c r="L6669" s="36"/>
      <c r="M6669" s="36"/>
      <c r="N6669" s="36"/>
      <c r="O6669" s="36"/>
      <c r="P6669" s="36"/>
      <c r="Q6669" s="36"/>
      <c r="R6669" s="36"/>
      <c r="S6669" s="36"/>
      <c r="T6669" s="36"/>
      <c r="U6669" s="36"/>
      <c r="V6669" s="36"/>
      <c r="W6669" s="15">
        <f t="shared" si="1259"/>
        <v>0</v>
      </c>
      <c r="X6669" s="36"/>
      <c r="Y6669" s="36"/>
      <c r="Z6669" s="36"/>
      <c r="AA6669" s="36"/>
      <c r="AB6669" s="36"/>
      <c r="AC6669" s="36"/>
      <c r="AD6669" s="36"/>
      <c r="AE6669" s="36"/>
      <c r="AF6669" s="36"/>
      <c r="AG6669" s="36"/>
      <c r="AH6669" s="36"/>
      <c r="AI6669" s="36"/>
      <c r="AJ6669" s="15">
        <f t="shared" si="1260"/>
        <v>0</v>
      </c>
      <c r="AK6669" s="14"/>
      <c r="AL6669" s="14"/>
      <c r="AM6669" s="14"/>
      <c r="AN6669" s="14">
        <v>400</v>
      </c>
      <c r="AO6669" s="14">
        <v>400</v>
      </c>
      <c r="AP6669" s="14">
        <v>400</v>
      </c>
      <c r="AQ6669" s="14"/>
      <c r="AR6669" s="14"/>
      <c r="AS6669" s="14"/>
      <c r="AT6669" s="14"/>
      <c r="AU6669" s="14"/>
      <c r="AV6669" s="14"/>
      <c r="AW6669" s="15">
        <f t="shared" si="1261"/>
        <v>1200</v>
      </c>
      <c r="AX6669" s="16"/>
    </row>
    <row r="6670" spans="2:50" x14ac:dyDescent="0.2">
      <c r="B6670" s="7"/>
      <c r="C6670" s="8">
        <v>16754</v>
      </c>
      <c r="D6670" s="9" t="s">
        <v>205</v>
      </c>
      <c r="E6670" s="10" t="str">
        <f t="shared" si="1256"/>
        <v>Rancho Landero No. 1, A</v>
      </c>
      <c r="F6670" s="10" t="str">
        <f t="shared" si="1257"/>
        <v>Ebysos</v>
      </c>
      <c r="G6670" s="8">
        <v>4</v>
      </c>
      <c r="H6670" s="11">
        <v>200</v>
      </c>
      <c r="I6670" s="12">
        <v>43271</v>
      </c>
      <c r="J6670" s="35">
        <f t="shared" si="1258"/>
        <v>0</v>
      </c>
      <c r="K6670" s="36"/>
      <c r="L6670" s="36"/>
      <c r="M6670" s="36"/>
      <c r="N6670" s="36"/>
      <c r="O6670" s="36"/>
      <c r="P6670" s="36"/>
      <c r="Q6670" s="36"/>
      <c r="R6670" s="36"/>
      <c r="S6670" s="36"/>
      <c r="T6670" s="36"/>
      <c r="U6670" s="36"/>
      <c r="V6670" s="36"/>
      <c r="W6670" s="15">
        <f t="shared" si="1259"/>
        <v>0</v>
      </c>
      <c r="X6670" s="36"/>
      <c r="Y6670" s="36"/>
      <c r="Z6670" s="36"/>
      <c r="AA6670" s="36"/>
      <c r="AB6670" s="36"/>
      <c r="AC6670" s="36"/>
      <c r="AD6670" s="36"/>
      <c r="AE6670" s="36"/>
      <c r="AF6670" s="36"/>
      <c r="AG6670" s="36"/>
      <c r="AH6670" s="36"/>
      <c r="AI6670" s="36"/>
      <c r="AJ6670" s="15">
        <f t="shared" si="1260"/>
        <v>0</v>
      </c>
      <c r="AK6670" s="14"/>
      <c r="AL6670" s="14"/>
      <c r="AM6670" s="14"/>
      <c r="AN6670" s="14"/>
      <c r="AO6670" s="14"/>
      <c r="AP6670" s="14"/>
      <c r="AQ6670" s="14"/>
      <c r="AR6670" s="14"/>
      <c r="AS6670" s="14"/>
      <c r="AT6670" s="14"/>
      <c r="AU6670" s="14"/>
      <c r="AV6670" s="14"/>
      <c r="AW6670" s="15">
        <f t="shared" si="1261"/>
        <v>0</v>
      </c>
      <c r="AX6670" s="16" t="s">
        <v>5384</v>
      </c>
    </row>
    <row r="6671" spans="2:50" x14ac:dyDescent="0.2">
      <c r="B6671" s="7"/>
      <c r="C6671" s="8">
        <v>16755</v>
      </c>
      <c r="D6671" s="9" t="s">
        <v>346</v>
      </c>
      <c r="E6671" s="10" t="str">
        <f t="shared" ref="E6671:E6705" si="1262">IF(D6671=0,"",VLOOKUP(D6671,BASE,2,FALSE))</f>
        <v>Rancho Upácuaro No. 108</v>
      </c>
      <c r="F6671" s="10" t="str">
        <f t="shared" ref="F6671:F6705" si="1263">IF(D6671=0,"",VLOOKUP(D6671,BASE,3,FALSE))</f>
        <v>Mejía</v>
      </c>
      <c r="G6671" s="8">
        <v>1</v>
      </c>
      <c r="H6671" s="11">
        <v>300</v>
      </c>
      <c r="I6671" s="12">
        <v>43271</v>
      </c>
      <c r="J6671" s="35">
        <f t="shared" ref="J6671:J6705" si="1264">IF(G6671=1,SUM(W6671,AJ6671,AW6671,-H6671),0)</f>
        <v>0</v>
      </c>
      <c r="K6671" s="36"/>
      <c r="L6671" s="36"/>
      <c r="M6671" s="36"/>
      <c r="N6671" s="36"/>
      <c r="O6671" s="36"/>
      <c r="P6671" s="36"/>
      <c r="Q6671" s="36"/>
      <c r="R6671" s="36"/>
      <c r="S6671" s="36"/>
      <c r="T6671" s="36"/>
      <c r="U6671" s="36"/>
      <c r="V6671" s="36"/>
      <c r="W6671" s="15">
        <f t="shared" ref="W6671:W6705" si="1265">SUM(K6671:V6671)</f>
        <v>0</v>
      </c>
      <c r="X6671" s="36"/>
      <c r="Y6671" s="36"/>
      <c r="Z6671" s="36"/>
      <c r="AA6671" s="36"/>
      <c r="AB6671" s="36"/>
      <c r="AC6671" s="36"/>
      <c r="AD6671" s="36"/>
      <c r="AE6671" s="36"/>
      <c r="AF6671" s="36"/>
      <c r="AG6671" s="36"/>
      <c r="AH6671" s="36"/>
      <c r="AI6671" s="36"/>
      <c r="AJ6671" s="15">
        <f t="shared" ref="AJ6671:AJ6705" si="1266">SUM(X6671:AI6671)</f>
        <v>0</v>
      </c>
      <c r="AK6671" s="14"/>
      <c r="AL6671" s="14"/>
      <c r="AM6671" s="14"/>
      <c r="AN6671" s="14"/>
      <c r="AO6671" s="14"/>
      <c r="AP6671" s="14">
        <v>300</v>
      </c>
      <c r="AQ6671" s="14"/>
      <c r="AR6671" s="14"/>
      <c r="AS6671" s="14"/>
      <c r="AT6671" s="14"/>
      <c r="AU6671" s="14"/>
      <c r="AV6671" s="14"/>
      <c r="AW6671" s="15">
        <f t="shared" ref="AW6671:AW6705" si="1267">SUM(AK6671:AV6671)</f>
        <v>300</v>
      </c>
      <c r="AX6671" s="16"/>
    </row>
    <row r="6672" spans="2:50" x14ac:dyDescent="0.2">
      <c r="B6672" s="7"/>
      <c r="C6672" s="8">
        <v>16756</v>
      </c>
      <c r="D6672" s="9" t="s">
        <v>643</v>
      </c>
      <c r="E6672" s="10" t="str">
        <f t="shared" si="1262"/>
        <v>Rancho Upácuaro No. 90</v>
      </c>
      <c r="F6672" s="10" t="str">
        <f t="shared" si="1263"/>
        <v>Moreno Calderón</v>
      </c>
      <c r="G6672" s="8">
        <v>1</v>
      </c>
      <c r="H6672" s="11">
        <v>400</v>
      </c>
      <c r="I6672" s="12">
        <v>43271</v>
      </c>
      <c r="J6672" s="35">
        <f t="shared" si="1264"/>
        <v>0</v>
      </c>
      <c r="K6672" s="36"/>
      <c r="L6672" s="36"/>
      <c r="M6672" s="36"/>
      <c r="N6672" s="36"/>
      <c r="O6672" s="36"/>
      <c r="P6672" s="36"/>
      <c r="Q6672" s="36"/>
      <c r="R6672" s="36"/>
      <c r="S6672" s="36"/>
      <c r="T6672" s="36"/>
      <c r="U6672" s="36"/>
      <c r="V6672" s="36"/>
      <c r="W6672" s="15">
        <f t="shared" si="1265"/>
        <v>0</v>
      </c>
      <c r="X6672" s="36"/>
      <c r="Y6672" s="36"/>
      <c r="Z6672" s="36"/>
      <c r="AA6672" s="36"/>
      <c r="AB6672" s="36"/>
      <c r="AC6672" s="36"/>
      <c r="AD6672" s="36"/>
      <c r="AE6672" s="36"/>
      <c r="AF6672" s="36"/>
      <c r="AG6672" s="36"/>
      <c r="AH6672" s="36"/>
      <c r="AI6672" s="36"/>
      <c r="AJ6672" s="15">
        <f t="shared" si="1266"/>
        <v>0</v>
      </c>
      <c r="AK6672" s="14"/>
      <c r="AL6672" s="14"/>
      <c r="AM6672" s="14">
        <v>200</v>
      </c>
      <c r="AN6672" s="14">
        <v>200</v>
      </c>
      <c r="AO6672" s="14"/>
      <c r="AP6672" s="14"/>
      <c r="AQ6672" s="14"/>
      <c r="AR6672" s="14"/>
      <c r="AS6672" s="14"/>
      <c r="AT6672" s="14"/>
      <c r="AU6672" s="14"/>
      <c r="AV6672" s="14"/>
      <c r="AW6672" s="15">
        <f t="shared" si="1267"/>
        <v>400</v>
      </c>
      <c r="AX6672" s="16"/>
    </row>
    <row r="6673" spans="2:51" x14ac:dyDescent="0.2">
      <c r="B6673" s="7"/>
      <c r="C6673" s="8">
        <v>16757</v>
      </c>
      <c r="D6673" s="9" t="s">
        <v>202</v>
      </c>
      <c r="E6673" s="10" t="str">
        <f t="shared" si="1262"/>
        <v>Rancho Estanzuela No. 25</v>
      </c>
      <c r="F6673" s="10" t="str">
        <f t="shared" si="1263"/>
        <v>Contreras Figueroa</v>
      </c>
      <c r="G6673" s="8">
        <v>1</v>
      </c>
      <c r="H6673" s="11">
        <v>400</v>
      </c>
      <c r="I6673" s="12">
        <v>43271</v>
      </c>
      <c r="J6673" s="35">
        <f t="shared" si="1264"/>
        <v>0</v>
      </c>
      <c r="K6673" s="36"/>
      <c r="L6673" s="36"/>
      <c r="M6673" s="36"/>
      <c r="N6673" s="36"/>
      <c r="O6673" s="36"/>
      <c r="P6673" s="36"/>
      <c r="Q6673" s="36"/>
      <c r="R6673" s="36"/>
      <c r="S6673" s="36"/>
      <c r="T6673" s="36"/>
      <c r="U6673" s="36"/>
      <c r="V6673" s="36"/>
      <c r="W6673" s="15">
        <f t="shared" si="1265"/>
        <v>0</v>
      </c>
      <c r="X6673" s="36"/>
      <c r="Y6673" s="36"/>
      <c r="Z6673" s="36"/>
      <c r="AA6673" s="36"/>
      <c r="AB6673" s="36"/>
      <c r="AC6673" s="36"/>
      <c r="AD6673" s="36"/>
      <c r="AE6673" s="36"/>
      <c r="AF6673" s="36"/>
      <c r="AG6673" s="36"/>
      <c r="AH6673" s="36"/>
      <c r="AI6673" s="36"/>
      <c r="AJ6673" s="15">
        <f t="shared" si="1266"/>
        <v>0</v>
      </c>
      <c r="AK6673" s="14"/>
      <c r="AL6673" s="14"/>
      <c r="AM6673" s="14"/>
      <c r="AN6673" s="14"/>
      <c r="AO6673" s="14"/>
      <c r="AP6673" s="14">
        <v>400</v>
      </c>
      <c r="AQ6673" s="14"/>
      <c r="AR6673" s="14"/>
      <c r="AS6673" s="14"/>
      <c r="AT6673" s="14"/>
      <c r="AU6673" s="14"/>
      <c r="AV6673" s="14"/>
      <c r="AW6673" s="15">
        <f t="shared" si="1267"/>
        <v>400</v>
      </c>
      <c r="AX6673" s="16"/>
    </row>
    <row r="6674" spans="2:51" x14ac:dyDescent="0.2">
      <c r="B6674" s="7"/>
      <c r="C6674" s="8">
        <v>16758</v>
      </c>
      <c r="D6674" s="9" t="s">
        <v>440</v>
      </c>
      <c r="E6674" s="10" t="str">
        <f t="shared" si="1262"/>
        <v>Rancho Estanzuela No. 159</v>
      </c>
      <c r="F6674" s="10" t="str">
        <f t="shared" si="1263"/>
        <v>Silva</v>
      </c>
      <c r="G6674" s="8">
        <v>1</v>
      </c>
      <c r="H6674" s="11">
        <v>600</v>
      </c>
      <c r="I6674" s="12">
        <v>43272</v>
      </c>
      <c r="J6674" s="35">
        <f t="shared" si="1264"/>
        <v>0</v>
      </c>
      <c r="K6674" s="36"/>
      <c r="L6674" s="36"/>
      <c r="M6674" s="36"/>
      <c r="N6674" s="36"/>
      <c r="O6674" s="36"/>
      <c r="P6674" s="36"/>
      <c r="Q6674" s="36"/>
      <c r="R6674" s="36"/>
      <c r="S6674" s="36"/>
      <c r="T6674" s="36"/>
      <c r="U6674" s="36"/>
      <c r="V6674" s="36"/>
      <c r="W6674" s="15">
        <f t="shared" si="1265"/>
        <v>0</v>
      </c>
      <c r="X6674" s="36"/>
      <c r="Y6674" s="36"/>
      <c r="Z6674" s="36"/>
      <c r="AA6674" s="36"/>
      <c r="AB6674" s="36"/>
      <c r="AC6674" s="36"/>
      <c r="AD6674" s="36"/>
      <c r="AE6674" s="36"/>
      <c r="AF6674" s="36"/>
      <c r="AG6674" s="36"/>
      <c r="AH6674" s="36"/>
      <c r="AI6674" s="36"/>
      <c r="AJ6674" s="15">
        <f t="shared" si="1266"/>
        <v>0</v>
      </c>
      <c r="AK6674" s="14"/>
      <c r="AL6674" s="14"/>
      <c r="AM6674" s="14"/>
      <c r="AN6674" s="14"/>
      <c r="AO6674" s="14">
        <v>300</v>
      </c>
      <c r="AP6674" s="14">
        <v>300</v>
      </c>
      <c r="AQ6674" s="14"/>
      <c r="AR6674" s="14"/>
      <c r="AS6674" s="14"/>
      <c r="AT6674" s="14"/>
      <c r="AU6674" s="14"/>
      <c r="AV6674" s="14"/>
      <c r="AW6674" s="15">
        <f t="shared" si="1267"/>
        <v>600</v>
      </c>
      <c r="AX6674" s="316"/>
    </row>
    <row r="6675" spans="2:51" x14ac:dyDescent="0.2">
      <c r="B6675" s="7"/>
      <c r="C6675" s="8">
        <v>16759</v>
      </c>
      <c r="D6675" s="9" t="s">
        <v>774</v>
      </c>
      <c r="E6675" s="10" t="str">
        <f t="shared" si="1262"/>
        <v>Rancho Landero No. 40</v>
      </c>
      <c r="F6675" s="10" t="str">
        <f t="shared" si="1263"/>
        <v>Almaguer Mireles</v>
      </c>
      <c r="G6675" s="8">
        <v>1</v>
      </c>
      <c r="H6675" s="11">
        <v>2000</v>
      </c>
      <c r="I6675" s="12">
        <v>43273</v>
      </c>
      <c r="J6675" s="35">
        <f t="shared" si="1264"/>
        <v>0</v>
      </c>
      <c r="K6675" s="36"/>
      <c r="L6675" s="36"/>
      <c r="M6675" s="36"/>
      <c r="N6675" s="36"/>
      <c r="O6675" s="36"/>
      <c r="P6675" s="36"/>
      <c r="Q6675" s="36"/>
      <c r="R6675" s="36"/>
      <c r="S6675" s="36"/>
      <c r="T6675" s="36"/>
      <c r="U6675" s="36"/>
      <c r="V6675" s="36"/>
      <c r="W6675" s="15">
        <f t="shared" si="1265"/>
        <v>0</v>
      </c>
      <c r="X6675" s="36"/>
      <c r="Y6675" s="36"/>
      <c r="Z6675" s="36"/>
      <c r="AA6675" s="36"/>
      <c r="AB6675" s="36"/>
      <c r="AC6675" s="36"/>
      <c r="AD6675" s="36"/>
      <c r="AE6675" s="36"/>
      <c r="AF6675" s="36"/>
      <c r="AG6675" s="36">
        <v>400</v>
      </c>
      <c r="AH6675" s="36">
        <v>400</v>
      </c>
      <c r="AI6675" s="36">
        <v>400</v>
      </c>
      <c r="AJ6675" s="15">
        <f t="shared" si="1266"/>
        <v>1200</v>
      </c>
      <c r="AK6675" s="14">
        <v>400</v>
      </c>
      <c r="AL6675" s="14">
        <v>400</v>
      </c>
      <c r="AM6675" s="14"/>
      <c r="AN6675" s="14"/>
      <c r="AO6675" s="14"/>
      <c r="AP6675" s="14"/>
      <c r="AQ6675" s="14"/>
      <c r="AR6675" s="14"/>
      <c r="AS6675" s="14"/>
      <c r="AT6675" s="14"/>
      <c r="AU6675" s="14"/>
      <c r="AV6675" s="14"/>
      <c r="AW6675" s="15">
        <f t="shared" si="1267"/>
        <v>800</v>
      </c>
      <c r="AX6675" s="16"/>
    </row>
    <row r="6676" spans="2:51" x14ac:dyDescent="0.2">
      <c r="B6676" s="7"/>
      <c r="C6676" s="8">
        <v>16760</v>
      </c>
      <c r="D6676" s="9" t="s">
        <v>643</v>
      </c>
      <c r="E6676" s="10" t="str">
        <f t="shared" si="1262"/>
        <v>Rancho Upácuaro No. 90</v>
      </c>
      <c r="F6676" s="10" t="str">
        <f t="shared" si="1263"/>
        <v>Moreno Calderón</v>
      </c>
      <c r="G6676" s="8">
        <v>1</v>
      </c>
      <c r="H6676" s="11">
        <v>400</v>
      </c>
      <c r="I6676" s="12">
        <v>43273</v>
      </c>
      <c r="J6676" s="35">
        <f t="shared" si="1264"/>
        <v>0</v>
      </c>
      <c r="K6676" s="36"/>
      <c r="L6676" s="36"/>
      <c r="M6676" s="36"/>
      <c r="N6676" s="36"/>
      <c r="O6676" s="36"/>
      <c r="P6676" s="36"/>
      <c r="Q6676" s="36"/>
      <c r="R6676" s="36"/>
      <c r="S6676" s="36"/>
      <c r="T6676" s="36"/>
      <c r="U6676" s="36"/>
      <c r="V6676" s="36"/>
      <c r="W6676" s="15">
        <f t="shared" si="1265"/>
        <v>0</v>
      </c>
      <c r="X6676" s="36"/>
      <c r="Y6676" s="36"/>
      <c r="Z6676" s="36"/>
      <c r="AA6676" s="36"/>
      <c r="AB6676" s="36"/>
      <c r="AC6676" s="36"/>
      <c r="AD6676" s="36"/>
      <c r="AE6676" s="36"/>
      <c r="AF6676" s="36"/>
      <c r="AG6676" s="36"/>
      <c r="AH6676" s="36"/>
      <c r="AI6676" s="36"/>
      <c r="AJ6676" s="15">
        <f t="shared" si="1266"/>
        <v>0</v>
      </c>
      <c r="AK6676" s="14"/>
      <c r="AL6676" s="14"/>
      <c r="AM6676" s="14"/>
      <c r="AN6676" s="14"/>
      <c r="AO6676" s="14">
        <v>200</v>
      </c>
      <c r="AP6676" s="14">
        <v>200</v>
      </c>
      <c r="AQ6676" s="14"/>
      <c r="AR6676" s="14"/>
      <c r="AS6676" s="14"/>
      <c r="AT6676" s="14"/>
      <c r="AU6676" s="14"/>
      <c r="AV6676" s="14"/>
      <c r="AW6676" s="15">
        <f t="shared" si="1267"/>
        <v>400</v>
      </c>
      <c r="AX6676" s="16"/>
    </row>
    <row r="6677" spans="2:51" x14ac:dyDescent="0.2">
      <c r="B6677" s="7"/>
      <c r="C6677" s="8">
        <v>16760</v>
      </c>
      <c r="D6677" s="9" t="s">
        <v>643</v>
      </c>
      <c r="E6677" s="10" t="str">
        <f t="shared" si="1262"/>
        <v>Rancho Upácuaro No. 90</v>
      </c>
      <c r="F6677" s="10" t="str">
        <f t="shared" si="1263"/>
        <v>Moreno Calderón</v>
      </c>
      <c r="G6677" s="8">
        <v>7</v>
      </c>
      <c r="H6677" s="11">
        <v>100</v>
      </c>
      <c r="I6677" s="12">
        <v>43273</v>
      </c>
      <c r="J6677" s="35">
        <f t="shared" si="1264"/>
        <v>0</v>
      </c>
      <c r="K6677" s="36"/>
      <c r="L6677" s="36"/>
      <c r="M6677" s="36"/>
      <c r="N6677" s="36"/>
      <c r="O6677" s="36"/>
      <c r="P6677" s="36"/>
      <c r="Q6677" s="36"/>
      <c r="R6677" s="36"/>
      <c r="S6677" s="36"/>
      <c r="T6677" s="36"/>
      <c r="U6677" s="36"/>
      <c r="V6677" s="36"/>
      <c r="W6677" s="15">
        <f t="shared" si="1265"/>
        <v>0</v>
      </c>
      <c r="X6677" s="36"/>
      <c r="Y6677" s="36"/>
      <c r="Z6677" s="36"/>
      <c r="AA6677" s="36"/>
      <c r="AB6677" s="36"/>
      <c r="AC6677" s="36"/>
      <c r="AD6677" s="36"/>
      <c r="AE6677" s="36"/>
      <c r="AF6677" s="36"/>
      <c r="AG6677" s="36"/>
      <c r="AH6677" s="36"/>
      <c r="AI6677" s="36"/>
      <c r="AJ6677" s="15">
        <f t="shared" si="1266"/>
        <v>0</v>
      </c>
      <c r="AK6677" s="14"/>
      <c r="AL6677" s="14"/>
      <c r="AM6677" s="14"/>
      <c r="AN6677" s="14"/>
      <c r="AO6677" s="14"/>
      <c r="AP6677" s="14"/>
      <c r="AQ6677" s="14"/>
      <c r="AR6677" s="14"/>
      <c r="AS6677" s="14"/>
      <c r="AT6677" s="14"/>
      <c r="AU6677" s="14"/>
      <c r="AV6677" s="14"/>
      <c r="AW6677" s="15">
        <f t="shared" si="1267"/>
        <v>0</v>
      </c>
      <c r="AX6677" s="16" t="s">
        <v>5385</v>
      </c>
      <c r="AY6677" s="112">
        <f>SUM(H6668:H6677)</f>
        <v>5700</v>
      </c>
    </row>
    <row r="6678" spans="2:51" x14ac:dyDescent="0.2">
      <c r="B6678" s="7"/>
      <c r="C6678" s="8">
        <v>16761</v>
      </c>
      <c r="D6678" s="9" t="s">
        <v>202</v>
      </c>
      <c r="E6678" s="10" t="str">
        <f t="shared" si="1262"/>
        <v>Rancho Estanzuela No. 25</v>
      </c>
      <c r="F6678" s="10" t="str">
        <f t="shared" si="1263"/>
        <v>Contreras Figueroa</v>
      </c>
      <c r="G6678" s="318">
        <v>1</v>
      </c>
      <c r="H6678" s="11">
        <v>400</v>
      </c>
      <c r="I6678" s="12">
        <v>43273</v>
      </c>
      <c r="J6678" s="35">
        <f t="shared" si="1264"/>
        <v>0</v>
      </c>
      <c r="K6678" s="36"/>
      <c r="L6678" s="36"/>
      <c r="M6678" s="36"/>
      <c r="N6678" s="36"/>
      <c r="O6678" s="36"/>
      <c r="P6678" s="36"/>
      <c r="Q6678" s="36"/>
      <c r="R6678" s="36"/>
      <c r="S6678" s="36"/>
      <c r="T6678" s="36"/>
      <c r="U6678" s="36"/>
      <c r="V6678" s="36"/>
      <c r="W6678" s="15">
        <f t="shared" si="1265"/>
        <v>0</v>
      </c>
      <c r="X6678" s="36"/>
      <c r="Y6678" s="36"/>
      <c r="Z6678" s="36"/>
      <c r="AA6678" s="36"/>
      <c r="AB6678" s="36"/>
      <c r="AC6678" s="36"/>
      <c r="AD6678" s="36"/>
      <c r="AE6678" s="36"/>
      <c r="AF6678" s="36"/>
      <c r="AG6678" s="36"/>
      <c r="AH6678" s="36"/>
      <c r="AI6678" s="36"/>
      <c r="AJ6678" s="15">
        <f t="shared" si="1266"/>
        <v>0</v>
      </c>
      <c r="AK6678" s="14"/>
      <c r="AL6678" s="14"/>
      <c r="AM6678" s="14"/>
      <c r="AN6678" s="14"/>
      <c r="AO6678" s="14"/>
      <c r="AP6678" s="14"/>
      <c r="AQ6678" s="14">
        <v>400</v>
      </c>
      <c r="AR6678" s="14"/>
      <c r="AS6678" s="14"/>
      <c r="AT6678" s="14"/>
      <c r="AU6678" s="14"/>
      <c r="AV6678" s="14"/>
      <c r="AW6678" s="15">
        <f t="shared" si="1267"/>
        <v>400</v>
      </c>
      <c r="AX6678" s="16"/>
    </row>
    <row r="6679" spans="2:51" x14ac:dyDescent="0.2">
      <c r="B6679" s="7"/>
      <c r="C6679" s="8">
        <v>16762</v>
      </c>
      <c r="D6679" s="9" t="s">
        <v>428</v>
      </c>
      <c r="E6679" s="10" t="str">
        <f t="shared" si="1262"/>
        <v>Rancho Upácuaro No. 86</v>
      </c>
      <c r="F6679" s="10" t="str">
        <f t="shared" si="1263"/>
        <v>López Canseco</v>
      </c>
      <c r="G6679" s="8">
        <v>4</v>
      </c>
      <c r="H6679" s="11">
        <v>200</v>
      </c>
      <c r="I6679" s="12">
        <v>43275</v>
      </c>
      <c r="J6679" s="35">
        <f t="shared" si="1264"/>
        <v>0</v>
      </c>
      <c r="K6679" s="36"/>
      <c r="L6679" s="36"/>
      <c r="M6679" s="36"/>
      <c r="N6679" s="36"/>
      <c r="O6679" s="36"/>
      <c r="P6679" s="36"/>
      <c r="Q6679" s="36"/>
      <c r="R6679" s="36"/>
      <c r="S6679" s="36"/>
      <c r="T6679" s="36"/>
      <c r="U6679" s="36"/>
      <c r="V6679" s="36"/>
      <c r="W6679" s="15">
        <f t="shared" si="1265"/>
        <v>0</v>
      </c>
      <c r="X6679" s="36"/>
      <c r="Y6679" s="36"/>
      <c r="Z6679" s="36"/>
      <c r="AA6679" s="36"/>
      <c r="AB6679" s="36"/>
      <c r="AC6679" s="36"/>
      <c r="AD6679" s="36"/>
      <c r="AE6679" s="36"/>
      <c r="AF6679" s="36"/>
      <c r="AG6679" s="36"/>
      <c r="AH6679" s="36"/>
      <c r="AI6679" s="36"/>
      <c r="AJ6679" s="15">
        <f t="shared" si="1266"/>
        <v>0</v>
      </c>
      <c r="AK6679" s="14"/>
      <c r="AL6679" s="14"/>
      <c r="AM6679" s="14"/>
      <c r="AN6679" s="14"/>
      <c r="AO6679" s="14"/>
      <c r="AP6679" s="14"/>
      <c r="AQ6679" s="14"/>
      <c r="AR6679" s="14"/>
      <c r="AS6679" s="14"/>
      <c r="AT6679" s="14"/>
      <c r="AU6679" s="14"/>
      <c r="AV6679" s="14"/>
      <c r="AW6679" s="15">
        <f t="shared" si="1267"/>
        <v>0</v>
      </c>
      <c r="AX6679" s="16" t="s">
        <v>5386</v>
      </c>
    </row>
    <row r="6680" spans="2:51" x14ac:dyDescent="0.2">
      <c r="B6680" s="7"/>
      <c r="C6680" s="8">
        <v>16762</v>
      </c>
      <c r="D6680" s="9" t="s">
        <v>428</v>
      </c>
      <c r="E6680" s="10" t="str">
        <f t="shared" si="1262"/>
        <v>Rancho Upácuaro No. 86</v>
      </c>
      <c r="F6680" s="10" t="str">
        <f t="shared" si="1263"/>
        <v>López Canseco</v>
      </c>
      <c r="G6680" s="8">
        <v>5</v>
      </c>
      <c r="H6680" s="11">
        <v>50</v>
      </c>
      <c r="I6680" s="12">
        <v>43275</v>
      </c>
      <c r="J6680" s="35">
        <f t="shared" si="1264"/>
        <v>0</v>
      </c>
      <c r="K6680" s="36"/>
      <c r="L6680" s="36"/>
      <c r="M6680" s="36"/>
      <c r="N6680" s="36"/>
      <c r="O6680" s="36"/>
      <c r="P6680" s="36"/>
      <c r="Q6680" s="36"/>
      <c r="R6680" s="36"/>
      <c r="S6680" s="36"/>
      <c r="T6680" s="36"/>
      <c r="U6680" s="36"/>
      <c r="V6680" s="36"/>
      <c r="W6680" s="15">
        <f t="shared" si="1265"/>
        <v>0</v>
      </c>
      <c r="X6680" s="36"/>
      <c r="Y6680" s="36"/>
      <c r="Z6680" s="36"/>
      <c r="AA6680" s="36"/>
      <c r="AB6680" s="36"/>
      <c r="AC6680" s="36"/>
      <c r="AD6680" s="36"/>
      <c r="AE6680" s="36"/>
      <c r="AF6680" s="36"/>
      <c r="AG6680" s="36"/>
      <c r="AH6680" s="36"/>
      <c r="AI6680" s="36"/>
      <c r="AJ6680" s="15">
        <f t="shared" si="1266"/>
        <v>0</v>
      </c>
      <c r="AK6680" s="14"/>
      <c r="AL6680" s="14"/>
      <c r="AM6680" s="14"/>
      <c r="AN6680" s="14"/>
      <c r="AO6680" s="14"/>
      <c r="AP6680" s="14"/>
      <c r="AQ6680" s="14"/>
      <c r="AR6680" s="14"/>
      <c r="AS6680" s="14"/>
      <c r="AT6680" s="14"/>
      <c r="AU6680" s="14"/>
      <c r="AV6680" s="14"/>
      <c r="AW6680" s="15">
        <f t="shared" si="1267"/>
        <v>0</v>
      </c>
      <c r="AX6680" s="16"/>
    </row>
    <row r="6681" spans="2:51" x14ac:dyDescent="0.2">
      <c r="B6681" s="7"/>
      <c r="C6681" s="8">
        <v>16763</v>
      </c>
      <c r="D6681" s="9" t="s">
        <v>488</v>
      </c>
      <c r="E6681" s="10" t="str">
        <f t="shared" si="1262"/>
        <v>Rancho Landero No. 85</v>
      </c>
      <c r="F6681" s="10" t="str">
        <f t="shared" si="1263"/>
        <v>Martínez Olague</v>
      </c>
      <c r="G6681" s="8">
        <v>1</v>
      </c>
      <c r="H6681" s="11">
        <v>400</v>
      </c>
      <c r="I6681" s="12">
        <v>43275</v>
      </c>
      <c r="J6681" s="35">
        <f t="shared" si="1264"/>
        <v>0</v>
      </c>
      <c r="K6681" s="36"/>
      <c r="L6681" s="36"/>
      <c r="M6681" s="36"/>
      <c r="N6681" s="36"/>
      <c r="O6681" s="36"/>
      <c r="P6681" s="36"/>
      <c r="Q6681" s="36"/>
      <c r="R6681" s="36"/>
      <c r="S6681" s="36"/>
      <c r="T6681" s="36"/>
      <c r="U6681" s="36"/>
      <c r="V6681" s="36"/>
      <c r="W6681" s="15">
        <f t="shared" si="1265"/>
        <v>0</v>
      </c>
      <c r="X6681" s="36"/>
      <c r="Y6681" s="36"/>
      <c r="Z6681" s="36"/>
      <c r="AA6681" s="36"/>
      <c r="AB6681" s="36"/>
      <c r="AC6681" s="36"/>
      <c r="AD6681" s="36"/>
      <c r="AE6681" s="36"/>
      <c r="AF6681" s="36"/>
      <c r="AG6681" s="36"/>
      <c r="AH6681" s="36"/>
      <c r="AI6681" s="36"/>
      <c r="AJ6681" s="15">
        <f t="shared" si="1266"/>
        <v>0</v>
      </c>
      <c r="AK6681" s="14"/>
      <c r="AL6681" s="14"/>
      <c r="AM6681" s="14"/>
      <c r="AN6681" s="14"/>
      <c r="AO6681" s="14"/>
      <c r="AP6681" s="14">
        <v>400</v>
      </c>
      <c r="AQ6681" s="14"/>
      <c r="AR6681" s="14"/>
      <c r="AS6681" s="14"/>
      <c r="AT6681" s="14"/>
      <c r="AU6681" s="14"/>
      <c r="AV6681" s="14"/>
      <c r="AW6681" s="15">
        <f t="shared" si="1267"/>
        <v>400</v>
      </c>
      <c r="AX6681" s="16"/>
    </row>
    <row r="6682" spans="2:51" x14ac:dyDescent="0.2">
      <c r="B6682" s="7"/>
      <c r="C6682" s="8">
        <v>16764</v>
      </c>
      <c r="D6682" s="9" t="s">
        <v>926</v>
      </c>
      <c r="E6682" s="10" t="str">
        <f t="shared" si="1262"/>
        <v>Rancho Estanzuela No. 157, 2</v>
      </c>
      <c r="F6682" s="10" t="str">
        <f t="shared" si="1263"/>
        <v>Arias</v>
      </c>
      <c r="G6682" s="8">
        <v>1</v>
      </c>
      <c r="H6682" s="11">
        <v>450</v>
      </c>
      <c r="I6682" s="12">
        <v>43275</v>
      </c>
      <c r="J6682" s="35">
        <f t="shared" si="1264"/>
        <v>0</v>
      </c>
      <c r="K6682" s="36"/>
      <c r="L6682" s="36"/>
      <c r="M6682" s="36"/>
      <c r="N6682" s="36"/>
      <c r="O6682" s="36"/>
      <c r="P6682" s="36"/>
      <c r="Q6682" s="36"/>
      <c r="R6682" s="36"/>
      <c r="S6682" s="36"/>
      <c r="T6682" s="36"/>
      <c r="U6682" s="36"/>
      <c r="V6682" s="36"/>
      <c r="W6682" s="15">
        <f t="shared" si="1265"/>
        <v>0</v>
      </c>
      <c r="X6682" s="36"/>
      <c r="Y6682" s="36"/>
      <c r="Z6682" s="36"/>
      <c r="AA6682" s="36"/>
      <c r="AB6682" s="36"/>
      <c r="AC6682" s="36"/>
      <c r="AD6682" s="36"/>
      <c r="AE6682" s="36"/>
      <c r="AF6682" s="36"/>
      <c r="AG6682" s="36"/>
      <c r="AH6682" s="36"/>
      <c r="AI6682" s="36"/>
      <c r="AJ6682" s="15">
        <f t="shared" si="1266"/>
        <v>0</v>
      </c>
      <c r="AK6682" s="14"/>
      <c r="AL6682" s="14"/>
      <c r="AM6682" s="14"/>
      <c r="AN6682" s="14">
        <v>150</v>
      </c>
      <c r="AO6682" s="14">
        <v>150</v>
      </c>
      <c r="AP6682" s="14">
        <v>150</v>
      </c>
      <c r="AQ6682" s="14"/>
      <c r="AR6682" s="14"/>
      <c r="AS6682" s="14"/>
      <c r="AT6682" s="14"/>
      <c r="AU6682" s="14"/>
      <c r="AV6682" s="14"/>
      <c r="AW6682" s="15">
        <f t="shared" si="1267"/>
        <v>450</v>
      </c>
      <c r="AX6682" s="16"/>
    </row>
    <row r="6683" spans="2:51" x14ac:dyDescent="0.2">
      <c r="B6683" s="7"/>
      <c r="C6683" s="8">
        <v>16765</v>
      </c>
      <c r="D6683" s="9" t="s">
        <v>1039</v>
      </c>
      <c r="E6683" s="10" t="str">
        <f t="shared" si="1262"/>
        <v>Rancho Upácuaro No. 77</v>
      </c>
      <c r="F6683" s="10" t="str">
        <f t="shared" si="1263"/>
        <v>Alvarado</v>
      </c>
      <c r="G6683" s="8">
        <v>5</v>
      </c>
      <c r="H6683" s="11">
        <v>50</v>
      </c>
      <c r="I6683" s="12">
        <v>43275</v>
      </c>
      <c r="J6683" s="35">
        <f t="shared" si="1264"/>
        <v>0</v>
      </c>
      <c r="K6683" s="36"/>
      <c r="L6683" s="36"/>
      <c r="M6683" s="36"/>
      <c r="N6683" s="36"/>
      <c r="O6683" s="36"/>
      <c r="P6683" s="36"/>
      <c r="Q6683" s="36"/>
      <c r="R6683" s="36"/>
      <c r="S6683" s="36"/>
      <c r="T6683" s="36"/>
      <c r="U6683" s="36"/>
      <c r="V6683" s="36"/>
      <c r="W6683" s="15">
        <f t="shared" si="1265"/>
        <v>0</v>
      </c>
      <c r="X6683" s="36"/>
      <c r="Y6683" s="36"/>
      <c r="Z6683" s="36"/>
      <c r="AA6683" s="36"/>
      <c r="AB6683" s="36"/>
      <c r="AC6683" s="36"/>
      <c r="AD6683" s="36"/>
      <c r="AE6683" s="36"/>
      <c r="AF6683" s="36"/>
      <c r="AG6683" s="36"/>
      <c r="AH6683" s="36"/>
      <c r="AI6683" s="36"/>
      <c r="AJ6683" s="15">
        <f t="shared" si="1266"/>
        <v>0</v>
      </c>
      <c r="AK6683" s="14"/>
      <c r="AL6683" s="14"/>
      <c r="AM6683" s="14"/>
      <c r="AN6683" s="14"/>
      <c r="AO6683" s="14"/>
      <c r="AP6683" s="14"/>
      <c r="AQ6683" s="14"/>
      <c r="AR6683" s="14"/>
      <c r="AS6683" s="14"/>
      <c r="AT6683" s="14"/>
      <c r="AU6683" s="14"/>
      <c r="AV6683" s="14"/>
      <c r="AW6683" s="15">
        <f t="shared" si="1267"/>
        <v>0</v>
      </c>
      <c r="AX6683" s="16"/>
    </row>
    <row r="6684" spans="2:51" x14ac:dyDescent="0.2">
      <c r="B6684" s="7"/>
      <c r="C6684" s="8">
        <v>16766</v>
      </c>
      <c r="D6684" s="9" t="s">
        <v>286</v>
      </c>
      <c r="E6684" s="10" t="str">
        <f t="shared" si="1262"/>
        <v>Rancho Zinamba No. 20</v>
      </c>
      <c r="F6684" s="10" t="str">
        <f t="shared" si="1263"/>
        <v>Cruz Vallejo</v>
      </c>
      <c r="G6684" s="8">
        <v>1</v>
      </c>
      <c r="H6684" s="11">
        <v>1200</v>
      </c>
      <c r="I6684" s="12">
        <v>43275</v>
      </c>
      <c r="J6684" s="35">
        <f t="shared" si="1264"/>
        <v>0</v>
      </c>
      <c r="K6684" s="36"/>
      <c r="L6684" s="36"/>
      <c r="M6684" s="36"/>
      <c r="N6684" s="36"/>
      <c r="O6684" s="36"/>
      <c r="P6684" s="36"/>
      <c r="Q6684" s="36"/>
      <c r="R6684" s="36"/>
      <c r="S6684" s="36"/>
      <c r="T6684" s="36"/>
      <c r="U6684" s="36"/>
      <c r="V6684" s="36"/>
      <c r="W6684" s="15">
        <f t="shared" si="1265"/>
        <v>0</v>
      </c>
      <c r="X6684" s="36"/>
      <c r="Y6684" s="36"/>
      <c r="Z6684" s="36"/>
      <c r="AA6684" s="36"/>
      <c r="AB6684" s="36"/>
      <c r="AC6684" s="36"/>
      <c r="AD6684" s="36"/>
      <c r="AE6684" s="36"/>
      <c r="AF6684" s="36"/>
      <c r="AG6684" s="36"/>
      <c r="AH6684" s="36"/>
      <c r="AI6684" s="36"/>
      <c r="AJ6684" s="15">
        <f t="shared" si="1266"/>
        <v>0</v>
      </c>
      <c r="AK6684" s="14"/>
      <c r="AL6684" s="14"/>
      <c r="AM6684" s="14"/>
      <c r="AN6684" s="14"/>
      <c r="AO6684" s="14">
        <v>400</v>
      </c>
      <c r="AP6684" s="14">
        <v>400</v>
      </c>
      <c r="AQ6684" s="14">
        <v>400</v>
      </c>
      <c r="AR6684" s="14"/>
      <c r="AS6684" s="14"/>
      <c r="AT6684" s="14"/>
      <c r="AU6684" s="14"/>
      <c r="AV6684" s="14"/>
      <c r="AW6684" s="15">
        <f t="shared" si="1267"/>
        <v>1200</v>
      </c>
      <c r="AX6684" s="16"/>
    </row>
    <row r="6685" spans="2:51" x14ac:dyDescent="0.2">
      <c r="B6685" s="7"/>
      <c r="C6685" s="8">
        <v>16767</v>
      </c>
      <c r="D6685" s="9" t="s">
        <v>640</v>
      </c>
      <c r="E6685" s="10" t="str">
        <f t="shared" si="1262"/>
        <v>Rancho Estopila No. 22, A</v>
      </c>
      <c r="F6685" s="10" t="str">
        <f t="shared" si="1263"/>
        <v>Ayala Carranza</v>
      </c>
      <c r="G6685" s="8">
        <v>1</v>
      </c>
      <c r="H6685" s="11">
        <v>200</v>
      </c>
      <c r="I6685" s="12">
        <v>43275</v>
      </c>
      <c r="J6685" s="35">
        <f t="shared" si="1264"/>
        <v>0</v>
      </c>
      <c r="K6685" s="36"/>
      <c r="L6685" s="36"/>
      <c r="M6685" s="36"/>
      <c r="N6685" s="36"/>
      <c r="O6685" s="36"/>
      <c r="P6685" s="36"/>
      <c r="Q6685" s="36"/>
      <c r="R6685" s="36"/>
      <c r="S6685" s="36"/>
      <c r="T6685" s="36"/>
      <c r="U6685" s="36"/>
      <c r="V6685" s="36"/>
      <c r="W6685" s="15">
        <f t="shared" si="1265"/>
        <v>0</v>
      </c>
      <c r="X6685" s="36"/>
      <c r="Y6685" s="36"/>
      <c r="Z6685" s="36"/>
      <c r="AA6685" s="36"/>
      <c r="AB6685" s="36"/>
      <c r="AC6685" s="36"/>
      <c r="AD6685" s="36"/>
      <c r="AE6685" s="36"/>
      <c r="AF6685" s="36"/>
      <c r="AG6685" s="36"/>
      <c r="AH6685" s="36"/>
      <c r="AI6685" s="36"/>
      <c r="AJ6685" s="15">
        <f t="shared" si="1266"/>
        <v>0</v>
      </c>
      <c r="AK6685" s="14"/>
      <c r="AL6685" s="14"/>
      <c r="AM6685" s="14"/>
      <c r="AN6685" s="14"/>
      <c r="AO6685" s="14"/>
      <c r="AP6685" s="14">
        <v>200</v>
      </c>
      <c r="AQ6685" s="14"/>
      <c r="AR6685" s="14"/>
      <c r="AS6685" s="14"/>
      <c r="AT6685" s="14"/>
      <c r="AU6685" s="14"/>
      <c r="AV6685" s="14"/>
      <c r="AW6685" s="15">
        <f t="shared" si="1267"/>
        <v>200</v>
      </c>
      <c r="AX6685" s="16"/>
    </row>
    <row r="6686" spans="2:51" x14ac:dyDescent="0.2">
      <c r="B6686" s="7"/>
      <c r="C6686" s="8">
        <v>16768</v>
      </c>
      <c r="D6686" s="9" t="s">
        <v>681</v>
      </c>
      <c r="E6686" s="10" t="str">
        <f t="shared" si="1262"/>
        <v>Rancho Landero No. 87</v>
      </c>
      <c r="F6686" s="10" t="str">
        <f t="shared" si="1263"/>
        <v>Fey Lafferla</v>
      </c>
      <c r="G6686" s="8">
        <v>1</v>
      </c>
      <c r="H6686" s="11">
        <v>300</v>
      </c>
      <c r="I6686" s="12">
        <v>43275</v>
      </c>
      <c r="J6686" s="35">
        <f t="shared" si="1264"/>
        <v>0</v>
      </c>
      <c r="K6686" s="36"/>
      <c r="L6686" s="36"/>
      <c r="M6686" s="36"/>
      <c r="N6686" s="36"/>
      <c r="O6686" s="36"/>
      <c r="P6686" s="36"/>
      <c r="Q6686" s="36"/>
      <c r="R6686" s="36"/>
      <c r="S6686" s="36"/>
      <c r="T6686" s="36"/>
      <c r="U6686" s="36"/>
      <c r="V6686" s="36"/>
      <c r="W6686" s="15">
        <f t="shared" si="1265"/>
        <v>0</v>
      </c>
      <c r="X6686" s="36"/>
      <c r="Y6686" s="36"/>
      <c r="Z6686" s="36"/>
      <c r="AA6686" s="36"/>
      <c r="AB6686" s="36"/>
      <c r="AC6686" s="36"/>
      <c r="AD6686" s="36"/>
      <c r="AE6686" s="36"/>
      <c r="AF6686" s="36"/>
      <c r="AG6686" s="36"/>
      <c r="AH6686" s="36"/>
      <c r="AI6686" s="36"/>
      <c r="AJ6686" s="15">
        <f t="shared" si="1266"/>
        <v>0</v>
      </c>
      <c r="AK6686" s="14"/>
      <c r="AL6686" s="14"/>
      <c r="AM6686" s="14"/>
      <c r="AN6686" s="14"/>
      <c r="AO6686" s="14"/>
      <c r="AP6686" s="14">
        <v>300</v>
      </c>
      <c r="AQ6686" s="14"/>
      <c r="AR6686" s="14"/>
      <c r="AS6686" s="14"/>
      <c r="AT6686" s="14"/>
      <c r="AU6686" s="14"/>
      <c r="AV6686" s="14"/>
      <c r="AW6686" s="15">
        <f t="shared" si="1267"/>
        <v>300</v>
      </c>
      <c r="AX6686" s="16"/>
    </row>
    <row r="6687" spans="2:51" x14ac:dyDescent="0.2">
      <c r="B6687" s="7"/>
      <c r="C6687" s="8">
        <v>16769</v>
      </c>
      <c r="D6687" s="9"/>
      <c r="E6687" s="10" t="str">
        <f t="shared" ref="E6687:E6697" si="1268">IF(D6687=0,"",VLOOKUP(D6687,BASE,2,FALSE))</f>
        <v/>
      </c>
      <c r="F6687" s="10" t="str">
        <f t="shared" ref="F6687:F6697" si="1269">IF(D6687=0,"",VLOOKUP(D6687,BASE,3,FALSE))</f>
        <v/>
      </c>
      <c r="G6687" s="8">
        <v>8</v>
      </c>
      <c r="H6687" s="11"/>
      <c r="I6687" s="12"/>
      <c r="J6687" s="35">
        <f t="shared" ref="J6687:J6697" si="1270">IF(G6687=1,SUM(W6687,AJ6687,AW6687,-H6687),0)</f>
        <v>0</v>
      </c>
      <c r="K6687" s="36"/>
      <c r="L6687" s="36"/>
      <c r="M6687" s="36"/>
      <c r="N6687" s="36"/>
      <c r="O6687" s="36"/>
      <c r="P6687" s="36"/>
      <c r="Q6687" s="36"/>
      <c r="R6687" s="36"/>
      <c r="S6687" s="36"/>
      <c r="T6687" s="36"/>
      <c r="U6687" s="36"/>
      <c r="V6687" s="36"/>
      <c r="W6687" s="15">
        <f t="shared" ref="W6687:W6697" si="1271">SUM(K6687:V6687)</f>
        <v>0</v>
      </c>
      <c r="X6687" s="36"/>
      <c r="Y6687" s="36"/>
      <c r="Z6687" s="36"/>
      <c r="AA6687" s="36"/>
      <c r="AB6687" s="36"/>
      <c r="AC6687" s="36"/>
      <c r="AD6687" s="36"/>
      <c r="AE6687" s="36"/>
      <c r="AF6687" s="36"/>
      <c r="AG6687" s="36"/>
      <c r="AH6687" s="36"/>
      <c r="AI6687" s="36"/>
      <c r="AJ6687" s="15">
        <f t="shared" ref="AJ6687:AJ6697" si="1272">SUM(X6687:AI6687)</f>
        <v>0</v>
      </c>
      <c r="AK6687" s="14"/>
      <c r="AL6687" s="14"/>
      <c r="AM6687" s="14"/>
      <c r="AN6687" s="14"/>
      <c r="AO6687" s="14"/>
      <c r="AP6687" s="14"/>
      <c r="AQ6687" s="14"/>
      <c r="AR6687" s="14"/>
      <c r="AS6687" s="14"/>
      <c r="AT6687" s="14"/>
      <c r="AU6687" s="14"/>
      <c r="AV6687" s="14"/>
      <c r="AW6687" s="15">
        <f t="shared" ref="AW6687:AW6697" si="1273">SUM(AK6687:AV6687)</f>
        <v>0</v>
      </c>
      <c r="AX6687" s="16"/>
    </row>
    <row r="6688" spans="2:51" x14ac:dyDescent="0.2">
      <c r="B6688" s="7"/>
      <c r="C6688" s="8">
        <v>16770</v>
      </c>
      <c r="D6688" s="9"/>
      <c r="E6688" s="10" t="str">
        <f t="shared" si="1268"/>
        <v/>
      </c>
      <c r="F6688" s="10" t="str">
        <f t="shared" si="1269"/>
        <v/>
      </c>
      <c r="G6688" s="8">
        <v>8</v>
      </c>
      <c r="H6688" s="11"/>
      <c r="I6688" s="12"/>
      <c r="J6688" s="35">
        <f t="shared" si="1270"/>
        <v>0</v>
      </c>
      <c r="K6688" s="36"/>
      <c r="L6688" s="36"/>
      <c r="M6688" s="36"/>
      <c r="N6688" s="36"/>
      <c r="O6688" s="36"/>
      <c r="P6688" s="36"/>
      <c r="Q6688" s="36"/>
      <c r="R6688" s="36"/>
      <c r="S6688" s="36"/>
      <c r="T6688" s="36"/>
      <c r="U6688" s="36"/>
      <c r="V6688" s="36"/>
      <c r="W6688" s="15">
        <f t="shared" si="1271"/>
        <v>0</v>
      </c>
      <c r="X6688" s="36"/>
      <c r="Y6688" s="36"/>
      <c r="Z6688" s="36"/>
      <c r="AA6688" s="36"/>
      <c r="AB6688" s="36"/>
      <c r="AC6688" s="36"/>
      <c r="AD6688" s="36"/>
      <c r="AE6688" s="36"/>
      <c r="AF6688" s="36"/>
      <c r="AG6688" s="36"/>
      <c r="AH6688" s="36"/>
      <c r="AI6688" s="36"/>
      <c r="AJ6688" s="15">
        <f t="shared" si="1272"/>
        <v>0</v>
      </c>
      <c r="AK6688" s="14"/>
      <c r="AL6688" s="14"/>
      <c r="AM6688" s="14"/>
      <c r="AN6688" s="14"/>
      <c r="AO6688" s="14"/>
      <c r="AP6688" s="14"/>
      <c r="AQ6688" s="14"/>
      <c r="AR6688" s="14"/>
      <c r="AS6688" s="14"/>
      <c r="AT6688" s="14"/>
      <c r="AU6688" s="14"/>
      <c r="AV6688" s="14"/>
      <c r="AW6688" s="15">
        <f t="shared" si="1273"/>
        <v>0</v>
      </c>
      <c r="AX6688" s="16"/>
    </row>
    <row r="6689" spans="2:50" x14ac:dyDescent="0.2">
      <c r="B6689" s="7"/>
      <c r="C6689" s="8">
        <v>16771</v>
      </c>
      <c r="D6689" s="9" t="s">
        <v>950</v>
      </c>
      <c r="E6689" s="10" t="str">
        <f t="shared" si="1268"/>
        <v>Rancho La Cuchilla No. 93</v>
      </c>
      <c r="F6689" s="10" t="str">
        <f t="shared" si="1269"/>
        <v>Alcántara Silva</v>
      </c>
      <c r="G6689" s="8">
        <v>1</v>
      </c>
      <c r="H6689" s="11">
        <v>400</v>
      </c>
      <c r="I6689" s="12">
        <v>43275</v>
      </c>
      <c r="J6689" s="35">
        <f t="shared" si="1270"/>
        <v>0</v>
      </c>
      <c r="K6689" s="36"/>
      <c r="L6689" s="36"/>
      <c r="M6689" s="36"/>
      <c r="N6689" s="36"/>
      <c r="O6689" s="36"/>
      <c r="P6689" s="36"/>
      <c r="Q6689" s="36"/>
      <c r="R6689" s="36"/>
      <c r="S6689" s="36"/>
      <c r="T6689" s="36"/>
      <c r="U6689" s="36"/>
      <c r="V6689" s="36"/>
      <c r="W6689" s="15">
        <f t="shared" si="1271"/>
        <v>0</v>
      </c>
      <c r="X6689" s="36"/>
      <c r="Y6689" s="36"/>
      <c r="Z6689" s="36"/>
      <c r="AA6689" s="36"/>
      <c r="AB6689" s="36"/>
      <c r="AC6689" s="36"/>
      <c r="AD6689" s="36"/>
      <c r="AE6689" s="36"/>
      <c r="AF6689" s="36"/>
      <c r="AG6689" s="36"/>
      <c r="AH6689" s="36"/>
      <c r="AI6689" s="36"/>
      <c r="AJ6689" s="15">
        <f t="shared" si="1272"/>
        <v>0</v>
      </c>
      <c r="AK6689" s="14"/>
      <c r="AL6689" s="14"/>
      <c r="AM6689" s="14"/>
      <c r="AN6689" s="14">
        <v>400</v>
      </c>
      <c r="AO6689" s="14"/>
      <c r="AP6689" s="14"/>
      <c r="AQ6689" s="14"/>
      <c r="AR6689" s="14"/>
      <c r="AS6689" s="14"/>
      <c r="AT6689" s="14"/>
      <c r="AU6689" s="14"/>
      <c r="AV6689" s="14"/>
      <c r="AW6689" s="15">
        <f t="shared" si="1273"/>
        <v>400</v>
      </c>
      <c r="AX6689" s="16"/>
    </row>
    <row r="6690" spans="2:50" x14ac:dyDescent="0.2">
      <c r="B6690" s="7"/>
      <c r="C6690" s="8">
        <v>16772</v>
      </c>
      <c r="D6690" s="9" t="s">
        <v>1029</v>
      </c>
      <c r="E6690" s="10" t="str">
        <f t="shared" si="1268"/>
        <v>Rancho La Cuchilla No. 134</v>
      </c>
      <c r="F6690" s="10" t="str">
        <f t="shared" si="1269"/>
        <v>Moreno Sánchez</v>
      </c>
      <c r="G6690" s="8">
        <v>1</v>
      </c>
      <c r="H6690" s="11">
        <v>800</v>
      </c>
      <c r="I6690" s="12">
        <v>43275</v>
      </c>
      <c r="J6690" s="35">
        <f t="shared" si="1270"/>
        <v>0</v>
      </c>
      <c r="K6690" s="36"/>
      <c r="L6690" s="36"/>
      <c r="M6690" s="36"/>
      <c r="N6690" s="36"/>
      <c r="O6690" s="36"/>
      <c r="P6690" s="36"/>
      <c r="Q6690" s="36"/>
      <c r="R6690" s="36"/>
      <c r="S6690" s="36"/>
      <c r="T6690" s="36"/>
      <c r="U6690" s="36"/>
      <c r="V6690" s="36"/>
      <c r="W6690" s="15">
        <f t="shared" si="1271"/>
        <v>0</v>
      </c>
      <c r="X6690" s="36"/>
      <c r="Y6690" s="36"/>
      <c r="Z6690" s="36"/>
      <c r="AA6690" s="36"/>
      <c r="AB6690" s="36"/>
      <c r="AC6690" s="36"/>
      <c r="AD6690" s="36"/>
      <c r="AE6690" s="36"/>
      <c r="AF6690" s="36"/>
      <c r="AG6690" s="36"/>
      <c r="AH6690" s="36"/>
      <c r="AI6690" s="36"/>
      <c r="AJ6690" s="15">
        <f t="shared" si="1272"/>
        <v>0</v>
      </c>
      <c r="AK6690" s="14"/>
      <c r="AL6690" s="14"/>
      <c r="AM6690" s="14"/>
      <c r="AN6690" s="14"/>
      <c r="AO6690" s="14">
        <v>400</v>
      </c>
      <c r="AP6690" s="14">
        <v>400</v>
      </c>
      <c r="AQ6690" s="14"/>
      <c r="AR6690" s="14"/>
      <c r="AS6690" s="14"/>
      <c r="AT6690" s="14"/>
      <c r="AU6690" s="14"/>
      <c r="AV6690" s="14"/>
      <c r="AW6690" s="15">
        <f t="shared" si="1273"/>
        <v>800</v>
      </c>
      <c r="AX6690" s="16"/>
    </row>
    <row r="6691" spans="2:50" x14ac:dyDescent="0.2">
      <c r="B6691" s="7"/>
      <c r="C6691" s="8">
        <v>16773</v>
      </c>
      <c r="D6691" s="9" t="s">
        <v>846</v>
      </c>
      <c r="E6691" s="10" t="str">
        <f t="shared" si="1268"/>
        <v>Rancho Estanzuela No. 95</v>
      </c>
      <c r="F6691" s="10" t="str">
        <f t="shared" si="1269"/>
        <v>Castro Puente</v>
      </c>
      <c r="G6691" s="8">
        <v>1</v>
      </c>
      <c r="H6691" s="11">
        <v>1200</v>
      </c>
      <c r="I6691" s="12">
        <v>43275</v>
      </c>
      <c r="J6691" s="35">
        <f t="shared" si="1270"/>
        <v>0</v>
      </c>
      <c r="K6691" s="36"/>
      <c r="L6691" s="36"/>
      <c r="M6691" s="36"/>
      <c r="N6691" s="36"/>
      <c r="O6691" s="36"/>
      <c r="P6691" s="36"/>
      <c r="Q6691" s="36"/>
      <c r="R6691" s="36"/>
      <c r="S6691" s="36"/>
      <c r="T6691" s="36"/>
      <c r="U6691" s="36"/>
      <c r="V6691" s="36"/>
      <c r="W6691" s="15">
        <f t="shared" si="1271"/>
        <v>0</v>
      </c>
      <c r="X6691" s="36"/>
      <c r="Y6691" s="36"/>
      <c r="Z6691" s="36"/>
      <c r="AA6691" s="36"/>
      <c r="AB6691" s="36"/>
      <c r="AC6691" s="36"/>
      <c r="AD6691" s="36"/>
      <c r="AE6691" s="36"/>
      <c r="AF6691" s="36"/>
      <c r="AG6691" s="36"/>
      <c r="AH6691" s="36"/>
      <c r="AI6691" s="36"/>
      <c r="AJ6691" s="15">
        <f t="shared" si="1272"/>
        <v>0</v>
      </c>
      <c r="AK6691" s="14"/>
      <c r="AL6691" s="14"/>
      <c r="AM6691" s="14"/>
      <c r="AN6691" s="14"/>
      <c r="AO6691" s="14"/>
      <c r="AP6691" s="14">
        <v>400</v>
      </c>
      <c r="AQ6691" s="14">
        <v>400</v>
      </c>
      <c r="AR6691" s="14">
        <v>400</v>
      </c>
      <c r="AS6691" s="14"/>
      <c r="AT6691" s="14"/>
      <c r="AU6691" s="14"/>
      <c r="AV6691" s="14"/>
      <c r="AW6691" s="15">
        <f t="shared" si="1273"/>
        <v>1200</v>
      </c>
      <c r="AX6691" s="16"/>
    </row>
    <row r="6692" spans="2:50" x14ac:dyDescent="0.2">
      <c r="B6692" s="7"/>
      <c r="C6692" s="8">
        <v>16774</v>
      </c>
      <c r="D6692" s="9" t="s">
        <v>538</v>
      </c>
      <c r="E6692" s="10" t="str">
        <f t="shared" si="1268"/>
        <v>Rancho Landero No. 73</v>
      </c>
      <c r="F6692" s="10" t="str">
        <f t="shared" si="1269"/>
        <v>Islas Palacios</v>
      </c>
      <c r="G6692" s="8">
        <v>1</v>
      </c>
      <c r="H6692" s="11">
        <v>400</v>
      </c>
      <c r="I6692" s="12">
        <v>43275</v>
      </c>
      <c r="J6692" s="35">
        <f t="shared" si="1270"/>
        <v>0</v>
      </c>
      <c r="K6692" s="36"/>
      <c r="L6692" s="36"/>
      <c r="M6692" s="36"/>
      <c r="N6692" s="36"/>
      <c r="O6692" s="36"/>
      <c r="P6692" s="36"/>
      <c r="Q6692" s="36"/>
      <c r="R6692" s="36"/>
      <c r="S6692" s="36"/>
      <c r="T6692" s="36"/>
      <c r="U6692" s="36"/>
      <c r="V6692" s="36"/>
      <c r="W6692" s="15">
        <f t="shared" si="1271"/>
        <v>0</v>
      </c>
      <c r="X6692" s="36"/>
      <c r="Y6692" s="36"/>
      <c r="Z6692" s="36"/>
      <c r="AA6692" s="36"/>
      <c r="AB6692" s="36"/>
      <c r="AC6692" s="36"/>
      <c r="AD6692" s="36"/>
      <c r="AE6692" s="36"/>
      <c r="AF6692" s="36"/>
      <c r="AG6692" s="36"/>
      <c r="AH6692" s="36"/>
      <c r="AI6692" s="36"/>
      <c r="AJ6692" s="15">
        <f t="shared" si="1272"/>
        <v>0</v>
      </c>
      <c r="AK6692" s="14"/>
      <c r="AL6692" s="14"/>
      <c r="AM6692" s="14"/>
      <c r="AN6692" s="14"/>
      <c r="AO6692" s="14"/>
      <c r="AP6692" s="14">
        <v>400</v>
      </c>
      <c r="AQ6692" s="14"/>
      <c r="AR6692" s="14"/>
      <c r="AS6692" s="14"/>
      <c r="AT6692" s="14"/>
      <c r="AU6692" s="14"/>
      <c r="AV6692" s="14"/>
      <c r="AW6692" s="15">
        <f t="shared" si="1273"/>
        <v>400</v>
      </c>
      <c r="AX6692" s="16"/>
    </row>
    <row r="6693" spans="2:50" x14ac:dyDescent="0.2">
      <c r="B6693" s="7"/>
      <c r="C6693" s="8">
        <v>16775</v>
      </c>
      <c r="D6693" s="9" t="s">
        <v>631</v>
      </c>
      <c r="E6693" s="10" t="str">
        <f t="shared" si="1268"/>
        <v>Rancho Romeral No. 10, B</v>
      </c>
      <c r="F6693" s="10" t="str">
        <f t="shared" si="1269"/>
        <v>López Castellano</v>
      </c>
      <c r="G6693" s="8">
        <v>1</v>
      </c>
      <c r="H6693" s="11">
        <v>300</v>
      </c>
      <c r="I6693" s="12">
        <v>43275</v>
      </c>
      <c r="J6693" s="35">
        <f t="shared" si="1270"/>
        <v>0</v>
      </c>
      <c r="K6693" s="36"/>
      <c r="L6693" s="36"/>
      <c r="M6693" s="36"/>
      <c r="N6693" s="36"/>
      <c r="O6693" s="36"/>
      <c r="P6693" s="36"/>
      <c r="Q6693" s="36"/>
      <c r="R6693" s="36"/>
      <c r="S6693" s="36"/>
      <c r="T6693" s="36"/>
      <c r="U6693" s="36"/>
      <c r="V6693" s="36"/>
      <c r="W6693" s="15">
        <f t="shared" si="1271"/>
        <v>0</v>
      </c>
      <c r="X6693" s="36"/>
      <c r="Y6693" s="36"/>
      <c r="Z6693" s="36"/>
      <c r="AA6693" s="36"/>
      <c r="AB6693" s="36"/>
      <c r="AC6693" s="36"/>
      <c r="AD6693" s="36"/>
      <c r="AE6693" s="36"/>
      <c r="AF6693" s="36"/>
      <c r="AG6693" s="36"/>
      <c r="AH6693" s="36"/>
      <c r="AI6693" s="36"/>
      <c r="AJ6693" s="15">
        <f t="shared" si="1272"/>
        <v>0</v>
      </c>
      <c r="AK6693" s="14"/>
      <c r="AL6693" s="14"/>
      <c r="AM6693" s="14"/>
      <c r="AN6693" s="14"/>
      <c r="AO6693" s="14">
        <v>300</v>
      </c>
      <c r="AP6693" s="14"/>
      <c r="AQ6693" s="14"/>
      <c r="AR6693" s="14"/>
      <c r="AS6693" s="14"/>
      <c r="AT6693" s="14"/>
      <c r="AU6693" s="14"/>
      <c r="AV6693" s="14"/>
      <c r="AW6693" s="15">
        <f t="shared" si="1273"/>
        <v>300</v>
      </c>
      <c r="AX6693" s="16"/>
    </row>
    <row r="6694" spans="2:50" x14ac:dyDescent="0.2">
      <c r="B6694" s="7"/>
      <c r="C6694" s="8">
        <v>16776</v>
      </c>
      <c r="D6694" s="9" t="s">
        <v>763</v>
      </c>
      <c r="E6694" s="10" t="str">
        <f t="shared" si="1268"/>
        <v>Rancho Estanzuela No. 79</v>
      </c>
      <c r="F6694" s="10" t="str">
        <f t="shared" si="1269"/>
        <v>Mendoza</v>
      </c>
      <c r="G6694" s="8">
        <v>1</v>
      </c>
      <c r="H6694" s="11">
        <v>400</v>
      </c>
      <c r="I6694" s="12">
        <v>43275</v>
      </c>
      <c r="J6694" s="35">
        <f t="shared" si="1270"/>
        <v>0</v>
      </c>
      <c r="K6694" s="36"/>
      <c r="L6694" s="36"/>
      <c r="M6694" s="36"/>
      <c r="N6694" s="36"/>
      <c r="O6694" s="36"/>
      <c r="P6694" s="36"/>
      <c r="Q6694" s="36"/>
      <c r="R6694" s="36"/>
      <c r="S6694" s="36"/>
      <c r="T6694" s="36"/>
      <c r="U6694" s="36"/>
      <c r="V6694" s="36"/>
      <c r="W6694" s="15">
        <f t="shared" si="1271"/>
        <v>0</v>
      </c>
      <c r="X6694" s="36"/>
      <c r="Y6694" s="36"/>
      <c r="Z6694" s="36"/>
      <c r="AA6694" s="36"/>
      <c r="AB6694" s="36"/>
      <c r="AC6694" s="36"/>
      <c r="AD6694" s="36"/>
      <c r="AE6694" s="36"/>
      <c r="AF6694" s="36"/>
      <c r="AG6694" s="36"/>
      <c r="AH6694" s="36"/>
      <c r="AI6694" s="36"/>
      <c r="AJ6694" s="15">
        <f t="shared" si="1272"/>
        <v>0</v>
      </c>
      <c r="AK6694" s="14"/>
      <c r="AL6694" s="14"/>
      <c r="AM6694" s="14"/>
      <c r="AN6694" s="14"/>
      <c r="AO6694" s="14">
        <v>400</v>
      </c>
      <c r="AP6694" s="14"/>
      <c r="AQ6694" s="14"/>
      <c r="AR6694" s="14"/>
      <c r="AS6694" s="14"/>
      <c r="AT6694" s="14"/>
      <c r="AU6694" s="14"/>
      <c r="AV6694" s="14"/>
      <c r="AW6694" s="15">
        <f t="shared" si="1273"/>
        <v>400</v>
      </c>
      <c r="AX6694" s="16"/>
    </row>
    <row r="6695" spans="2:50" x14ac:dyDescent="0.2">
      <c r="B6695" s="7"/>
      <c r="C6695" s="8">
        <v>16777</v>
      </c>
      <c r="D6695" s="9" t="s">
        <v>514</v>
      </c>
      <c r="E6695" s="10" t="str">
        <f t="shared" si="1268"/>
        <v>Rancho Upácuaro No. 114</v>
      </c>
      <c r="F6695" s="10" t="str">
        <f t="shared" si="1269"/>
        <v>Hernández Cornejo</v>
      </c>
      <c r="G6695" s="8">
        <v>1</v>
      </c>
      <c r="H6695" s="11">
        <v>400</v>
      </c>
      <c r="I6695" s="12">
        <v>43275</v>
      </c>
      <c r="J6695" s="35">
        <f t="shared" si="1270"/>
        <v>0</v>
      </c>
      <c r="K6695" s="36"/>
      <c r="L6695" s="36"/>
      <c r="M6695" s="36"/>
      <c r="N6695" s="36"/>
      <c r="O6695" s="36"/>
      <c r="P6695" s="36"/>
      <c r="Q6695" s="36"/>
      <c r="R6695" s="36"/>
      <c r="S6695" s="36"/>
      <c r="T6695" s="36"/>
      <c r="U6695" s="36"/>
      <c r="V6695" s="36"/>
      <c r="W6695" s="15">
        <f t="shared" si="1271"/>
        <v>0</v>
      </c>
      <c r="X6695" s="36"/>
      <c r="Y6695" s="36"/>
      <c r="Z6695" s="36"/>
      <c r="AA6695" s="36"/>
      <c r="AB6695" s="36"/>
      <c r="AC6695" s="36"/>
      <c r="AD6695" s="36"/>
      <c r="AE6695" s="36"/>
      <c r="AF6695" s="36"/>
      <c r="AG6695" s="36"/>
      <c r="AH6695" s="36"/>
      <c r="AI6695" s="36"/>
      <c r="AJ6695" s="15">
        <f t="shared" si="1272"/>
        <v>0</v>
      </c>
      <c r="AK6695" s="14"/>
      <c r="AL6695" s="14"/>
      <c r="AM6695" s="14"/>
      <c r="AN6695" s="14"/>
      <c r="AO6695" s="14"/>
      <c r="AP6695" s="14">
        <v>400</v>
      </c>
      <c r="AQ6695" s="14"/>
      <c r="AR6695" s="14"/>
      <c r="AS6695" s="14"/>
      <c r="AT6695" s="14"/>
      <c r="AU6695" s="14"/>
      <c r="AV6695" s="14"/>
      <c r="AW6695" s="15">
        <f t="shared" si="1273"/>
        <v>400</v>
      </c>
      <c r="AX6695" s="16"/>
    </row>
    <row r="6696" spans="2:50" x14ac:dyDescent="0.2">
      <c r="B6696" s="7"/>
      <c r="C6696" s="8">
        <v>16778</v>
      </c>
      <c r="D6696" s="9" t="s">
        <v>1267</v>
      </c>
      <c r="E6696" s="10" t="str">
        <f t="shared" si="1268"/>
        <v>Rancho La Cuchilla No. 31</v>
      </c>
      <c r="F6696" s="10" t="str">
        <f t="shared" si="1269"/>
        <v>Lince</v>
      </c>
      <c r="G6696" s="8">
        <v>1</v>
      </c>
      <c r="H6696" s="11">
        <v>300</v>
      </c>
      <c r="I6696" s="12">
        <v>43275</v>
      </c>
      <c r="J6696" s="35">
        <f t="shared" si="1270"/>
        <v>0</v>
      </c>
      <c r="K6696" s="36"/>
      <c r="L6696" s="36"/>
      <c r="M6696" s="36"/>
      <c r="N6696" s="36"/>
      <c r="O6696" s="36"/>
      <c r="P6696" s="36"/>
      <c r="Q6696" s="36"/>
      <c r="R6696" s="36"/>
      <c r="S6696" s="36"/>
      <c r="T6696" s="36"/>
      <c r="U6696" s="36"/>
      <c r="V6696" s="36"/>
      <c r="W6696" s="15">
        <f t="shared" si="1271"/>
        <v>0</v>
      </c>
      <c r="X6696" s="36"/>
      <c r="Y6696" s="36"/>
      <c r="Z6696" s="36"/>
      <c r="AA6696" s="36"/>
      <c r="AB6696" s="36"/>
      <c r="AC6696" s="36"/>
      <c r="AD6696" s="36"/>
      <c r="AE6696" s="36"/>
      <c r="AF6696" s="36"/>
      <c r="AG6696" s="36"/>
      <c r="AH6696" s="36"/>
      <c r="AI6696" s="36"/>
      <c r="AJ6696" s="15">
        <f t="shared" si="1272"/>
        <v>0</v>
      </c>
      <c r="AK6696" s="14"/>
      <c r="AL6696" s="14"/>
      <c r="AM6696" s="14"/>
      <c r="AN6696" s="14"/>
      <c r="AO6696" s="14">
        <v>300</v>
      </c>
      <c r="AP6696" s="14"/>
      <c r="AQ6696" s="14"/>
      <c r="AR6696" s="14"/>
      <c r="AS6696" s="14"/>
      <c r="AT6696" s="14"/>
      <c r="AU6696" s="14"/>
      <c r="AV6696" s="14"/>
      <c r="AW6696" s="15">
        <f t="shared" si="1273"/>
        <v>300</v>
      </c>
      <c r="AX6696" s="16"/>
    </row>
    <row r="6697" spans="2:50" x14ac:dyDescent="0.2">
      <c r="B6697" s="7"/>
      <c r="C6697" s="8">
        <v>16779</v>
      </c>
      <c r="D6697" s="9" t="s">
        <v>183</v>
      </c>
      <c r="E6697" s="10" t="str">
        <f t="shared" si="1268"/>
        <v>Rancho La Cuchilla No. 54</v>
      </c>
      <c r="F6697" s="10" t="str">
        <f t="shared" si="1269"/>
        <v>Mendoza León</v>
      </c>
      <c r="G6697" s="8">
        <v>1</v>
      </c>
      <c r="H6697" s="11">
        <v>400</v>
      </c>
      <c r="I6697" s="12">
        <v>43275</v>
      </c>
      <c r="J6697" s="35">
        <f t="shared" si="1270"/>
        <v>0</v>
      </c>
      <c r="K6697" s="36"/>
      <c r="L6697" s="36"/>
      <c r="M6697" s="36"/>
      <c r="N6697" s="36"/>
      <c r="O6697" s="36"/>
      <c r="P6697" s="36"/>
      <c r="Q6697" s="36"/>
      <c r="R6697" s="36"/>
      <c r="S6697" s="36"/>
      <c r="T6697" s="36"/>
      <c r="U6697" s="36"/>
      <c r="V6697" s="36"/>
      <c r="W6697" s="15">
        <f t="shared" si="1271"/>
        <v>0</v>
      </c>
      <c r="X6697" s="36"/>
      <c r="Y6697" s="36"/>
      <c r="Z6697" s="36"/>
      <c r="AA6697" s="36"/>
      <c r="AB6697" s="36"/>
      <c r="AC6697" s="36"/>
      <c r="AD6697" s="36"/>
      <c r="AE6697" s="36"/>
      <c r="AF6697" s="36"/>
      <c r="AG6697" s="36"/>
      <c r="AH6697" s="36"/>
      <c r="AI6697" s="36"/>
      <c r="AJ6697" s="15">
        <f t="shared" si="1272"/>
        <v>0</v>
      </c>
      <c r="AK6697" s="14"/>
      <c r="AL6697" s="14"/>
      <c r="AM6697" s="14"/>
      <c r="AN6697" s="14"/>
      <c r="AO6697" s="14"/>
      <c r="AP6697" s="14">
        <v>400</v>
      </c>
      <c r="AQ6697" s="14"/>
      <c r="AR6697" s="14"/>
      <c r="AS6697" s="14"/>
      <c r="AT6697" s="14"/>
      <c r="AU6697" s="14"/>
      <c r="AV6697" s="14"/>
      <c r="AW6697" s="15">
        <f t="shared" si="1273"/>
        <v>400</v>
      </c>
      <c r="AX6697" s="16"/>
    </row>
    <row r="6698" spans="2:50" x14ac:dyDescent="0.2">
      <c r="B6698" s="7"/>
      <c r="C6698" s="8">
        <v>16780</v>
      </c>
      <c r="D6698" s="9" t="s">
        <v>214</v>
      </c>
      <c r="E6698" s="10" t="str">
        <f t="shared" ref="E6698:E6704" si="1274">IF(D6698=0,"",VLOOKUP(D6698,BASE,2,FALSE))</f>
        <v>Rancho Romeral No. 30</v>
      </c>
      <c r="F6698" s="10" t="str">
        <f t="shared" ref="F6698:F6704" si="1275">IF(D6698=0,"",VLOOKUP(D6698,BASE,3,FALSE))</f>
        <v>Osorio</v>
      </c>
      <c r="G6698" s="8">
        <v>1</v>
      </c>
      <c r="H6698" s="11">
        <v>200</v>
      </c>
      <c r="I6698" s="12">
        <v>43275</v>
      </c>
      <c r="J6698" s="35">
        <f t="shared" ref="J6698:J6704" si="1276">IF(G6698=1,SUM(W6698,AJ6698,AW6698,-H6698),0)</f>
        <v>0</v>
      </c>
      <c r="K6698" s="36"/>
      <c r="L6698" s="36"/>
      <c r="M6698" s="36"/>
      <c r="N6698" s="36"/>
      <c r="O6698" s="36"/>
      <c r="P6698" s="36"/>
      <c r="Q6698" s="36"/>
      <c r="R6698" s="36"/>
      <c r="S6698" s="36"/>
      <c r="T6698" s="36"/>
      <c r="U6698" s="36"/>
      <c r="V6698" s="36"/>
      <c r="W6698" s="15">
        <f t="shared" ref="W6698:W6704" si="1277">SUM(K6698:V6698)</f>
        <v>0</v>
      </c>
      <c r="X6698" s="36"/>
      <c r="Y6698" s="36"/>
      <c r="Z6698" s="36"/>
      <c r="AA6698" s="36"/>
      <c r="AB6698" s="36"/>
      <c r="AC6698" s="36"/>
      <c r="AD6698" s="36"/>
      <c r="AE6698" s="36"/>
      <c r="AF6698" s="36"/>
      <c r="AG6698" s="36"/>
      <c r="AH6698" s="36"/>
      <c r="AI6698" s="36"/>
      <c r="AJ6698" s="15">
        <f t="shared" ref="AJ6698:AJ6704" si="1278">SUM(X6698:AI6698)</f>
        <v>0</v>
      </c>
      <c r="AK6698" s="14"/>
      <c r="AL6698" s="14"/>
      <c r="AM6698" s="14">
        <v>200</v>
      </c>
      <c r="AN6698" s="14"/>
      <c r="AO6698" s="14"/>
      <c r="AP6698" s="14"/>
      <c r="AQ6698" s="14"/>
      <c r="AR6698" s="14"/>
      <c r="AS6698" s="14"/>
      <c r="AT6698" s="14"/>
      <c r="AU6698" s="14"/>
      <c r="AV6698" s="14"/>
      <c r="AW6698" s="15">
        <f t="shared" ref="AW6698:AW6704" si="1279">SUM(AK6698:AV6698)</f>
        <v>200</v>
      </c>
      <c r="AX6698" s="16"/>
    </row>
    <row r="6699" spans="2:50" x14ac:dyDescent="0.2">
      <c r="B6699" s="7"/>
      <c r="C6699" s="8">
        <v>16781</v>
      </c>
      <c r="D6699" s="9" t="s">
        <v>602</v>
      </c>
      <c r="E6699" s="10" t="str">
        <f t="shared" si="1274"/>
        <v>Rancho Upácuaro No. 30</v>
      </c>
      <c r="F6699" s="10" t="str">
        <f t="shared" si="1275"/>
        <v>Dorantes</v>
      </c>
      <c r="G6699" s="8">
        <v>1</v>
      </c>
      <c r="H6699" s="11">
        <v>400</v>
      </c>
      <c r="I6699" s="12">
        <v>43275</v>
      </c>
      <c r="J6699" s="35">
        <f t="shared" si="1276"/>
        <v>0</v>
      </c>
      <c r="K6699" s="36"/>
      <c r="L6699" s="36"/>
      <c r="M6699" s="36"/>
      <c r="N6699" s="36"/>
      <c r="O6699" s="36"/>
      <c r="P6699" s="36"/>
      <c r="Q6699" s="36"/>
      <c r="R6699" s="36"/>
      <c r="S6699" s="36"/>
      <c r="T6699" s="36"/>
      <c r="U6699" s="36"/>
      <c r="V6699" s="36"/>
      <c r="W6699" s="15">
        <f t="shared" si="1277"/>
        <v>0</v>
      </c>
      <c r="X6699" s="36"/>
      <c r="Y6699" s="36"/>
      <c r="Z6699" s="36"/>
      <c r="AA6699" s="36"/>
      <c r="AB6699" s="36"/>
      <c r="AC6699" s="36"/>
      <c r="AD6699" s="36"/>
      <c r="AE6699" s="36"/>
      <c r="AF6699" s="36"/>
      <c r="AG6699" s="36"/>
      <c r="AH6699" s="36"/>
      <c r="AI6699" s="36"/>
      <c r="AJ6699" s="15">
        <f t="shared" si="1278"/>
        <v>0</v>
      </c>
      <c r="AK6699" s="14"/>
      <c r="AL6699" s="14"/>
      <c r="AM6699" s="14"/>
      <c r="AN6699" s="14"/>
      <c r="AO6699" s="14">
        <v>200</v>
      </c>
      <c r="AP6699" s="14">
        <v>200</v>
      </c>
      <c r="AQ6699" s="14"/>
      <c r="AR6699" s="14"/>
      <c r="AS6699" s="14"/>
      <c r="AT6699" s="14"/>
      <c r="AU6699" s="14"/>
      <c r="AV6699" s="14"/>
      <c r="AW6699" s="15">
        <f t="shared" si="1279"/>
        <v>400</v>
      </c>
      <c r="AX6699" s="16"/>
    </row>
    <row r="6700" spans="2:50" x14ac:dyDescent="0.2">
      <c r="B6700" s="7"/>
      <c r="C6700" s="8">
        <v>16782</v>
      </c>
      <c r="D6700" s="9" t="s">
        <v>259</v>
      </c>
      <c r="E6700" s="10" t="str">
        <f t="shared" si="1274"/>
        <v>Rancho Estanzuela No. 55</v>
      </c>
      <c r="F6700" s="10" t="str">
        <f t="shared" si="1275"/>
        <v>Rodríguez Acevedo</v>
      </c>
      <c r="G6700" s="8">
        <v>1</v>
      </c>
      <c r="H6700" s="11">
        <v>400</v>
      </c>
      <c r="I6700" s="12">
        <v>43275</v>
      </c>
      <c r="J6700" s="35">
        <f t="shared" si="1276"/>
        <v>0</v>
      </c>
      <c r="K6700" s="36"/>
      <c r="L6700" s="36"/>
      <c r="M6700" s="36"/>
      <c r="N6700" s="36"/>
      <c r="O6700" s="36"/>
      <c r="P6700" s="36"/>
      <c r="Q6700" s="36"/>
      <c r="R6700" s="36"/>
      <c r="S6700" s="36"/>
      <c r="T6700" s="36"/>
      <c r="U6700" s="36"/>
      <c r="V6700" s="36"/>
      <c r="W6700" s="15">
        <f t="shared" si="1277"/>
        <v>0</v>
      </c>
      <c r="X6700" s="36"/>
      <c r="Y6700" s="36"/>
      <c r="Z6700" s="36"/>
      <c r="AA6700" s="36"/>
      <c r="AB6700" s="36"/>
      <c r="AC6700" s="36"/>
      <c r="AD6700" s="36"/>
      <c r="AE6700" s="36"/>
      <c r="AF6700" s="36"/>
      <c r="AG6700" s="36"/>
      <c r="AH6700" s="36"/>
      <c r="AI6700" s="36"/>
      <c r="AJ6700" s="15">
        <f t="shared" si="1278"/>
        <v>0</v>
      </c>
      <c r="AK6700" s="14"/>
      <c r="AL6700" s="14"/>
      <c r="AM6700" s="14"/>
      <c r="AN6700" s="14"/>
      <c r="AO6700" s="14"/>
      <c r="AP6700" s="14">
        <v>400</v>
      </c>
      <c r="AQ6700" s="14"/>
      <c r="AR6700" s="14"/>
      <c r="AS6700" s="14"/>
      <c r="AT6700" s="14"/>
      <c r="AU6700" s="14"/>
      <c r="AV6700" s="14"/>
      <c r="AW6700" s="15">
        <f t="shared" si="1279"/>
        <v>400</v>
      </c>
      <c r="AX6700" s="16"/>
    </row>
    <row r="6701" spans="2:50" x14ac:dyDescent="0.2">
      <c r="B6701" s="7"/>
      <c r="C6701" s="8">
        <v>16783</v>
      </c>
      <c r="D6701" s="9" t="s">
        <v>168</v>
      </c>
      <c r="E6701" s="10" t="str">
        <f t="shared" si="1274"/>
        <v>Rancho Upácuaro No. 73, A</v>
      </c>
      <c r="F6701" s="10" t="str">
        <f t="shared" si="1275"/>
        <v>Ortega</v>
      </c>
      <c r="G6701" s="8">
        <v>1</v>
      </c>
      <c r="H6701" s="11">
        <v>200</v>
      </c>
      <c r="I6701" s="12">
        <v>43275</v>
      </c>
      <c r="J6701" s="35">
        <f t="shared" si="1276"/>
        <v>0</v>
      </c>
      <c r="K6701" s="36"/>
      <c r="L6701" s="36"/>
      <c r="M6701" s="36"/>
      <c r="N6701" s="36"/>
      <c r="O6701" s="36"/>
      <c r="P6701" s="36"/>
      <c r="Q6701" s="36"/>
      <c r="R6701" s="36"/>
      <c r="S6701" s="36"/>
      <c r="T6701" s="36"/>
      <c r="U6701" s="36"/>
      <c r="V6701" s="36"/>
      <c r="W6701" s="15">
        <f t="shared" si="1277"/>
        <v>0</v>
      </c>
      <c r="X6701" s="36"/>
      <c r="Y6701" s="36"/>
      <c r="Z6701" s="36"/>
      <c r="AA6701" s="36"/>
      <c r="AB6701" s="36"/>
      <c r="AC6701" s="36"/>
      <c r="AD6701" s="36"/>
      <c r="AE6701" s="36"/>
      <c r="AF6701" s="36"/>
      <c r="AG6701" s="36"/>
      <c r="AH6701" s="36"/>
      <c r="AI6701" s="36"/>
      <c r="AJ6701" s="15">
        <f t="shared" si="1278"/>
        <v>0</v>
      </c>
      <c r="AK6701" s="14"/>
      <c r="AL6701" s="14"/>
      <c r="AM6701" s="14"/>
      <c r="AN6701" s="14"/>
      <c r="AO6701" s="14"/>
      <c r="AP6701" s="14">
        <v>200</v>
      </c>
      <c r="AQ6701" s="14"/>
      <c r="AR6701" s="14"/>
      <c r="AS6701" s="14"/>
      <c r="AT6701" s="14"/>
      <c r="AU6701" s="14"/>
      <c r="AV6701" s="14"/>
      <c r="AW6701" s="15">
        <f t="shared" si="1279"/>
        <v>200</v>
      </c>
      <c r="AX6701" s="16"/>
    </row>
    <row r="6702" spans="2:50" x14ac:dyDescent="0.2">
      <c r="B6702" s="7"/>
      <c r="C6702" s="8">
        <v>16784</v>
      </c>
      <c r="D6702" s="9" t="s">
        <v>731</v>
      </c>
      <c r="E6702" s="10" t="str">
        <f t="shared" si="1274"/>
        <v>Rancho Estanzuela No. 133</v>
      </c>
      <c r="F6702" s="10" t="str">
        <f t="shared" si="1275"/>
        <v>Hernández Salazar</v>
      </c>
      <c r="G6702" s="8">
        <v>1</v>
      </c>
      <c r="H6702" s="11">
        <v>600</v>
      </c>
      <c r="I6702" s="12">
        <v>43275</v>
      </c>
      <c r="J6702" s="35">
        <f t="shared" si="1276"/>
        <v>0</v>
      </c>
      <c r="K6702" s="36"/>
      <c r="L6702" s="36"/>
      <c r="M6702" s="36"/>
      <c r="N6702" s="36"/>
      <c r="O6702" s="36"/>
      <c r="P6702" s="36"/>
      <c r="Q6702" s="36"/>
      <c r="R6702" s="36"/>
      <c r="S6702" s="36"/>
      <c r="T6702" s="36"/>
      <c r="U6702" s="36"/>
      <c r="V6702" s="36"/>
      <c r="W6702" s="15">
        <f t="shared" si="1277"/>
        <v>0</v>
      </c>
      <c r="X6702" s="36"/>
      <c r="Y6702" s="36"/>
      <c r="Z6702" s="36"/>
      <c r="AA6702" s="36"/>
      <c r="AB6702" s="36"/>
      <c r="AC6702" s="36"/>
      <c r="AD6702" s="36"/>
      <c r="AE6702" s="36"/>
      <c r="AF6702" s="36"/>
      <c r="AG6702" s="36"/>
      <c r="AH6702" s="36"/>
      <c r="AI6702" s="36"/>
      <c r="AJ6702" s="15">
        <f t="shared" si="1278"/>
        <v>0</v>
      </c>
      <c r="AK6702" s="14"/>
      <c r="AL6702" s="14"/>
      <c r="AM6702" s="14"/>
      <c r="AN6702" s="14"/>
      <c r="AO6702" s="14"/>
      <c r="AP6702" s="14">
        <v>300</v>
      </c>
      <c r="AQ6702" s="14">
        <v>300</v>
      </c>
      <c r="AR6702" s="14"/>
      <c r="AS6702" s="14"/>
      <c r="AT6702" s="14"/>
      <c r="AU6702" s="14"/>
      <c r="AV6702" s="14"/>
      <c r="AW6702" s="15">
        <f t="shared" si="1279"/>
        <v>600</v>
      </c>
      <c r="AX6702" s="16"/>
    </row>
    <row r="6703" spans="2:50" x14ac:dyDescent="0.2">
      <c r="B6703" s="7"/>
      <c r="C6703" s="8">
        <v>16785</v>
      </c>
      <c r="D6703" s="9" t="s">
        <v>769</v>
      </c>
      <c r="E6703" s="10" t="str">
        <f t="shared" si="1274"/>
        <v>Rancho La Cuchilla No. 66</v>
      </c>
      <c r="F6703" s="10" t="str">
        <f t="shared" si="1275"/>
        <v>Prieto</v>
      </c>
      <c r="G6703" s="8">
        <v>1</v>
      </c>
      <c r="H6703" s="11">
        <v>400</v>
      </c>
      <c r="I6703" s="12">
        <v>43275</v>
      </c>
      <c r="J6703" s="35">
        <f t="shared" si="1276"/>
        <v>0</v>
      </c>
      <c r="K6703" s="36"/>
      <c r="L6703" s="36"/>
      <c r="M6703" s="36"/>
      <c r="N6703" s="36"/>
      <c r="O6703" s="36"/>
      <c r="P6703" s="36"/>
      <c r="Q6703" s="36"/>
      <c r="R6703" s="36"/>
      <c r="S6703" s="36"/>
      <c r="T6703" s="36"/>
      <c r="U6703" s="36"/>
      <c r="V6703" s="36"/>
      <c r="W6703" s="15">
        <f t="shared" si="1277"/>
        <v>0</v>
      </c>
      <c r="X6703" s="36"/>
      <c r="Y6703" s="36"/>
      <c r="Z6703" s="36"/>
      <c r="AA6703" s="36"/>
      <c r="AB6703" s="36"/>
      <c r="AC6703" s="36"/>
      <c r="AD6703" s="36"/>
      <c r="AE6703" s="36"/>
      <c r="AF6703" s="36"/>
      <c r="AG6703" s="36"/>
      <c r="AH6703" s="36"/>
      <c r="AI6703" s="36"/>
      <c r="AJ6703" s="15">
        <f t="shared" si="1278"/>
        <v>0</v>
      </c>
      <c r="AK6703" s="14"/>
      <c r="AL6703" s="14"/>
      <c r="AM6703" s="14"/>
      <c r="AN6703" s="14"/>
      <c r="AO6703" s="14"/>
      <c r="AP6703" s="14">
        <v>400</v>
      </c>
      <c r="AQ6703" s="14"/>
      <c r="AR6703" s="14"/>
      <c r="AS6703" s="14"/>
      <c r="AT6703" s="14"/>
      <c r="AU6703" s="14"/>
      <c r="AV6703" s="14"/>
      <c r="AW6703" s="15">
        <f t="shared" si="1279"/>
        <v>400</v>
      </c>
      <c r="AX6703" s="16"/>
    </row>
    <row r="6704" spans="2:50" x14ac:dyDescent="0.2">
      <c r="B6704" s="7"/>
      <c r="C6704" s="8">
        <v>16786</v>
      </c>
      <c r="D6704" s="9" t="s">
        <v>458</v>
      </c>
      <c r="E6704" s="10" t="str">
        <f t="shared" si="1274"/>
        <v>Rancho Estanzuela No. 143, B</v>
      </c>
      <c r="F6704" s="10" t="str">
        <f t="shared" si="1275"/>
        <v>López</v>
      </c>
      <c r="G6704" s="8">
        <v>1</v>
      </c>
      <c r="H6704" s="11">
        <v>400</v>
      </c>
      <c r="I6704" s="12">
        <v>43275</v>
      </c>
      <c r="J6704" s="35">
        <f t="shared" si="1276"/>
        <v>0</v>
      </c>
      <c r="K6704" s="36"/>
      <c r="L6704" s="36"/>
      <c r="M6704" s="36"/>
      <c r="N6704" s="36"/>
      <c r="O6704" s="36"/>
      <c r="P6704" s="36"/>
      <c r="Q6704" s="36"/>
      <c r="R6704" s="36"/>
      <c r="S6704" s="36"/>
      <c r="T6704" s="36"/>
      <c r="U6704" s="36"/>
      <c r="V6704" s="36"/>
      <c r="W6704" s="15">
        <f t="shared" si="1277"/>
        <v>0</v>
      </c>
      <c r="X6704" s="36"/>
      <c r="Y6704" s="36"/>
      <c r="Z6704" s="36"/>
      <c r="AA6704" s="36"/>
      <c r="AB6704" s="36"/>
      <c r="AC6704" s="36"/>
      <c r="AD6704" s="36"/>
      <c r="AE6704" s="36"/>
      <c r="AF6704" s="36"/>
      <c r="AG6704" s="36"/>
      <c r="AH6704" s="36"/>
      <c r="AI6704" s="36"/>
      <c r="AJ6704" s="15">
        <f t="shared" si="1278"/>
        <v>0</v>
      </c>
      <c r="AK6704" s="14"/>
      <c r="AL6704" s="14"/>
      <c r="AM6704" s="14"/>
      <c r="AN6704" s="14"/>
      <c r="AO6704" s="14">
        <v>400</v>
      </c>
      <c r="AP6704" s="14"/>
      <c r="AQ6704" s="14"/>
      <c r="AR6704" s="14"/>
      <c r="AS6704" s="14"/>
      <c r="AT6704" s="14"/>
      <c r="AU6704" s="14"/>
      <c r="AV6704" s="14"/>
      <c r="AW6704" s="15">
        <f t="shared" si="1279"/>
        <v>400</v>
      </c>
      <c r="AX6704" s="16"/>
    </row>
    <row r="6705" spans="1:52" x14ac:dyDescent="0.2">
      <c r="B6705" s="7"/>
      <c r="C6705" s="8">
        <v>16787</v>
      </c>
      <c r="D6705" s="9" t="s">
        <v>51</v>
      </c>
      <c r="E6705" s="10" t="str">
        <f t="shared" si="1262"/>
        <v>Rancho Landero No. 22</v>
      </c>
      <c r="F6705" s="10" t="str">
        <f t="shared" si="1263"/>
        <v>Reyes</v>
      </c>
      <c r="G6705" s="8">
        <v>1</v>
      </c>
      <c r="H6705" s="11">
        <v>750</v>
      </c>
      <c r="I6705" s="12">
        <v>43275</v>
      </c>
      <c r="J6705" s="35">
        <f t="shared" si="1264"/>
        <v>0</v>
      </c>
      <c r="K6705" s="36"/>
      <c r="L6705" s="36"/>
      <c r="M6705" s="36"/>
      <c r="N6705" s="36"/>
      <c r="O6705" s="36"/>
      <c r="P6705" s="36"/>
      <c r="Q6705" s="36"/>
      <c r="R6705" s="36"/>
      <c r="S6705" s="36"/>
      <c r="T6705" s="36"/>
      <c r="U6705" s="36"/>
      <c r="V6705" s="36"/>
      <c r="W6705" s="15">
        <f t="shared" si="1265"/>
        <v>0</v>
      </c>
      <c r="X6705" s="36"/>
      <c r="Y6705" s="36"/>
      <c r="Z6705" s="36"/>
      <c r="AA6705" s="36"/>
      <c r="AB6705" s="36"/>
      <c r="AC6705" s="36"/>
      <c r="AD6705" s="36"/>
      <c r="AE6705" s="36"/>
      <c r="AF6705" s="36"/>
      <c r="AG6705" s="36"/>
      <c r="AH6705" s="36"/>
      <c r="AI6705" s="36"/>
      <c r="AJ6705" s="15">
        <f t="shared" si="1266"/>
        <v>0</v>
      </c>
      <c r="AK6705" s="14"/>
      <c r="AL6705" s="14"/>
      <c r="AM6705" s="14"/>
      <c r="AN6705" s="14">
        <v>250</v>
      </c>
      <c r="AO6705" s="14">
        <v>250</v>
      </c>
      <c r="AP6705" s="14">
        <v>250</v>
      </c>
      <c r="AQ6705" s="14"/>
      <c r="AR6705" s="14"/>
      <c r="AS6705" s="14"/>
      <c r="AT6705" s="14"/>
      <c r="AU6705" s="14"/>
      <c r="AV6705" s="14"/>
      <c r="AW6705" s="15">
        <f t="shared" si="1267"/>
        <v>750</v>
      </c>
      <c r="AX6705" s="16"/>
    </row>
    <row r="6706" spans="1:52" x14ac:dyDescent="0.2">
      <c r="B6706" s="7"/>
      <c r="C6706" s="8">
        <v>16788</v>
      </c>
      <c r="D6706" s="9" t="s">
        <v>87</v>
      </c>
      <c r="E6706" s="10" t="str">
        <f t="shared" ref="E6706:E6711" si="1280">IF(D6706=0,"",VLOOKUP(D6706,BASE,2,FALSE))</f>
        <v>Rancho Zinamba No. 36</v>
      </c>
      <c r="F6706" s="10" t="str">
        <f t="shared" ref="F6706:F6711" si="1281">IF(D6706=0,"",VLOOKUP(D6706,BASE,3,FALSE))</f>
        <v>Rodríguez Ortiz</v>
      </c>
      <c r="G6706" s="8">
        <v>1</v>
      </c>
      <c r="H6706" s="11">
        <v>400</v>
      </c>
      <c r="I6706" s="12">
        <v>43275</v>
      </c>
      <c r="J6706" s="35">
        <f t="shared" ref="J6706:J6711" si="1282">IF(G6706=1,SUM(W6706,AJ6706,AW6706,-H6706),0)</f>
        <v>0</v>
      </c>
      <c r="K6706" s="36"/>
      <c r="L6706" s="36"/>
      <c r="M6706" s="36"/>
      <c r="N6706" s="36"/>
      <c r="O6706" s="36"/>
      <c r="P6706" s="36"/>
      <c r="Q6706" s="36"/>
      <c r="R6706" s="36"/>
      <c r="S6706" s="36"/>
      <c r="T6706" s="36"/>
      <c r="U6706" s="36"/>
      <c r="V6706" s="36"/>
      <c r="W6706" s="15">
        <f t="shared" ref="W6706:W6711" si="1283">SUM(K6706:V6706)</f>
        <v>0</v>
      </c>
      <c r="X6706" s="36"/>
      <c r="Y6706" s="36"/>
      <c r="Z6706" s="36"/>
      <c r="AA6706" s="36"/>
      <c r="AB6706" s="36"/>
      <c r="AC6706" s="36"/>
      <c r="AD6706" s="36"/>
      <c r="AE6706" s="36"/>
      <c r="AF6706" s="36"/>
      <c r="AG6706" s="36"/>
      <c r="AH6706" s="36"/>
      <c r="AI6706" s="36"/>
      <c r="AJ6706" s="15">
        <f t="shared" ref="AJ6706:AJ6711" si="1284">SUM(X6706:AI6706)</f>
        <v>0</v>
      </c>
      <c r="AK6706" s="14"/>
      <c r="AL6706" s="14"/>
      <c r="AM6706" s="14"/>
      <c r="AN6706" s="14"/>
      <c r="AO6706" s="14"/>
      <c r="AP6706" s="14"/>
      <c r="AQ6706" s="14">
        <v>400</v>
      </c>
      <c r="AR6706" s="14"/>
      <c r="AS6706" s="14"/>
      <c r="AT6706" s="14"/>
      <c r="AU6706" s="14"/>
      <c r="AV6706" s="14"/>
      <c r="AW6706" s="15">
        <f t="shared" ref="AW6706:AW6711" si="1285">SUM(AK6706:AV6706)</f>
        <v>400</v>
      </c>
      <c r="AX6706" s="16"/>
    </row>
    <row r="6707" spans="1:52" x14ac:dyDescent="0.2">
      <c r="B6707" s="7"/>
      <c r="C6707" s="8">
        <v>16789</v>
      </c>
      <c r="D6707" s="9" t="s">
        <v>909</v>
      </c>
      <c r="E6707" s="10" t="str">
        <f t="shared" si="1280"/>
        <v>Rancho La Cuchilla No. 44</v>
      </c>
      <c r="F6707" s="10" t="str">
        <f t="shared" si="1281"/>
        <v>García Osorio</v>
      </c>
      <c r="G6707" s="8">
        <v>1</v>
      </c>
      <c r="H6707" s="11">
        <v>350</v>
      </c>
      <c r="I6707" s="12">
        <v>43275</v>
      </c>
      <c r="J6707" s="35">
        <f t="shared" si="1282"/>
        <v>0</v>
      </c>
      <c r="K6707" s="36"/>
      <c r="L6707" s="36"/>
      <c r="M6707" s="36"/>
      <c r="N6707" s="36"/>
      <c r="O6707" s="36"/>
      <c r="P6707" s="36"/>
      <c r="Q6707" s="36"/>
      <c r="R6707" s="36"/>
      <c r="S6707" s="36"/>
      <c r="T6707" s="36"/>
      <c r="U6707" s="36"/>
      <c r="V6707" s="36"/>
      <c r="W6707" s="15">
        <f t="shared" si="1283"/>
        <v>0</v>
      </c>
      <c r="X6707" s="36"/>
      <c r="Y6707" s="36"/>
      <c r="Z6707" s="36"/>
      <c r="AA6707" s="36"/>
      <c r="AB6707" s="36"/>
      <c r="AC6707" s="36"/>
      <c r="AD6707" s="36"/>
      <c r="AE6707" s="36"/>
      <c r="AF6707" s="36"/>
      <c r="AG6707" s="36"/>
      <c r="AH6707" s="36"/>
      <c r="AI6707" s="36"/>
      <c r="AJ6707" s="15">
        <f t="shared" si="1284"/>
        <v>0</v>
      </c>
      <c r="AK6707" s="14"/>
      <c r="AL6707" s="14"/>
      <c r="AM6707" s="14"/>
      <c r="AN6707" s="14"/>
      <c r="AO6707" s="14"/>
      <c r="AP6707" s="14">
        <v>350</v>
      </c>
      <c r="AQ6707" s="14"/>
      <c r="AR6707" s="14"/>
      <c r="AS6707" s="14"/>
      <c r="AT6707" s="14"/>
      <c r="AU6707" s="14"/>
      <c r="AV6707" s="14"/>
      <c r="AW6707" s="15">
        <f t="shared" si="1285"/>
        <v>350</v>
      </c>
      <c r="AX6707" s="16"/>
    </row>
    <row r="6708" spans="1:52" x14ac:dyDescent="0.2">
      <c r="B6708" s="7"/>
      <c r="C6708" s="8">
        <v>16790</v>
      </c>
      <c r="D6708" s="9" t="s">
        <v>617</v>
      </c>
      <c r="E6708" s="10" t="str">
        <f t="shared" si="1280"/>
        <v>Rancho Zinamba No. 50</v>
      </c>
      <c r="F6708" s="10" t="str">
        <f t="shared" si="1281"/>
        <v>Del Castillo</v>
      </c>
      <c r="G6708" s="8">
        <v>1</v>
      </c>
      <c r="H6708" s="11">
        <v>400</v>
      </c>
      <c r="I6708" s="12">
        <v>43275</v>
      </c>
      <c r="J6708" s="35">
        <f t="shared" si="1282"/>
        <v>0</v>
      </c>
      <c r="K6708" s="36"/>
      <c r="L6708" s="36"/>
      <c r="M6708" s="36"/>
      <c r="N6708" s="36"/>
      <c r="O6708" s="36"/>
      <c r="P6708" s="36"/>
      <c r="Q6708" s="36"/>
      <c r="R6708" s="36"/>
      <c r="S6708" s="36"/>
      <c r="T6708" s="36"/>
      <c r="U6708" s="36"/>
      <c r="V6708" s="36"/>
      <c r="W6708" s="15">
        <f t="shared" si="1283"/>
        <v>0</v>
      </c>
      <c r="X6708" s="36"/>
      <c r="Y6708" s="36"/>
      <c r="Z6708" s="36"/>
      <c r="AA6708" s="36"/>
      <c r="AB6708" s="36"/>
      <c r="AC6708" s="36"/>
      <c r="AD6708" s="36"/>
      <c r="AE6708" s="36"/>
      <c r="AF6708" s="36"/>
      <c r="AG6708" s="36"/>
      <c r="AH6708" s="36"/>
      <c r="AI6708" s="36"/>
      <c r="AJ6708" s="15">
        <f t="shared" si="1284"/>
        <v>0</v>
      </c>
      <c r="AK6708" s="14"/>
      <c r="AL6708" s="14"/>
      <c r="AM6708" s="14"/>
      <c r="AN6708" s="14"/>
      <c r="AO6708" s="14">
        <v>400</v>
      </c>
      <c r="AP6708" s="14"/>
      <c r="AQ6708" s="14"/>
      <c r="AR6708" s="14"/>
      <c r="AS6708" s="14"/>
      <c r="AT6708" s="14"/>
      <c r="AU6708" s="14"/>
      <c r="AV6708" s="14"/>
      <c r="AW6708" s="15">
        <f t="shared" si="1285"/>
        <v>400</v>
      </c>
      <c r="AX6708" s="16"/>
    </row>
    <row r="6709" spans="1:52" x14ac:dyDescent="0.2">
      <c r="B6709" s="7"/>
      <c r="C6709" s="8">
        <v>16791</v>
      </c>
      <c r="D6709" s="9" t="s">
        <v>384</v>
      </c>
      <c r="E6709" s="10" t="str">
        <f t="shared" si="1280"/>
        <v>Rancho Zinamba No. 88</v>
      </c>
      <c r="F6709" s="10" t="str">
        <f t="shared" si="1281"/>
        <v>Martínez</v>
      </c>
      <c r="G6709" s="8">
        <v>1</v>
      </c>
      <c r="H6709" s="11">
        <v>600</v>
      </c>
      <c r="I6709" s="12">
        <v>43275</v>
      </c>
      <c r="J6709" s="35">
        <f t="shared" si="1282"/>
        <v>0</v>
      </c>
      <c r="K6709" s="36"/>
      <c r="L6709" s="36"/>
      <c r="M6709" s="36"/>
      <c r="N6709" s="36"/>
      <c r="O6709" s="36"/>
      <c r="P6709" s="36"/>
      <c r="Q6709" s="36"/>
      <c r="R6709" s="36"/>
      <c r="S6709" s="36"/>
      <c r="T6709" s="36"/>
      <c r="U6709" s="36"/>
      <c r="V6709" s="36"/>
      <c r="W6709" s="15">
        <f t="shared" si="1283"/>
        <v>0</v>
      </c>
      <c r="X6709" s="36"/>
      <c r="Y6709" s="36"/>
      <c r="Z6709" s="36"/>
      <c r="AA6709" s="36"/>
      <c r="AB6709" s="36"/>
      <c r="AC6709" s="36"/>
      <c r="AD6709" s="36"/>
      <c r="AE6709" s="36"/>
      <c r="AF6709" s="36"/>
      <c r="AG6709" s="36"/>
      <c r="AH6709" s="36"/>
      <c r="AI6709" s="36"/>
      <c r="AJ6709" s="15">
        <f t="shared" si="1284"/>
        <v>0</v>
      </c>
      <c r="AK6709" s="14"/>
      <c r="AL6709" s="14"/>
      <c r="AM6709" s="14"/>
      <c r="AN6709" s="14"/>
      <c r="AO6709" s="14"/>
      <c r="AP6709" s="14">
        <v>300</v>
      </c>
      <c r="AQ6709" s="14">
        <v>300</v>
      </c>
      <c r="AR6709" s="14"/>
      <c r="AS6709" s="14"/>
      <c r="AT6709" s="14"/>
      <c r="AU6709" s="14"/>
      <c r="AV6709" s="14"/>
      <c r="AW6709" s="15">
        <f t="shared" si="1285"/>
        <v>600</v>
      </c>
      <c r="AX6709" s="16"/>
    </row>
    <row r="6710" spans="1:52" x14ac:dyDescent="0.2">
      <c r="B6710" s="7"/>
      <c r="C6710" s="8">
        <v>16792</v>
      </c>
      <c r="D6710" s="9" t="s">
        <v>547</v>
      </c>
      <c r="E6710" s="10" t="str">
        <f t="shared" si="1280"/>
        <v>Rancho Zinamba No. 72</v>
      </c>
      <c r="F6710" s="10" t="str">
        <f t="shared" si="1281"/>
        <v>Romo de Vivar</v>
      </c>
      <c r="G6710" s="8">
        <v>1</v>
      </c>
      <c r="H6710" s="11">
        <v>600</v>
      </c>
      <c r="I6710" s="12">
        <v>43275</v>
      </c>
      <c r="J6710" s="35">
        <f t="shared" si="1282"/>
        <v>0</v>
      </c>
      <c r="K6710" s="36"/>
      <c r="L6710" s="36"/>
      <c r="M6710" s="36"/>
      <c r="N6710" s="36"/>
      <c r="O6710" s="36"/>
      <c r="P6710" s="36"/>
      <c r="Q6710" s="36"/>
      <c r="R6710" s="36"/>
      <c r="S6710" s="36"/>
      <c r="T6710" s="36"/>
      <c r="U6710" s="36"/>
      <c r="V6710" s="36"/>
      <c r="W6710" s="15">
        <f t="shared" si="1283"/>
        <v>0</v>
      </c>
      <c r="X6710" s="36"/>
      <c r="Y6710" s="36"/>
      <c r="Z6710" s="36"/>
      <c r="AA6710" s="36"/>
      <c r="AB6710" s="36"/>
      <c r="AC6710" s="36"/>
      <c r="AD6710" s="36"/>
      <c r="AE6710" s="36"/>
      <c r="AF6710" s="36"/>
      <c r="AG6710" s="36"/>
      <c r="AH6710" s="36"/>
      <c r="AI6710" s="36"/>
      <c r="AJ6710" s="15">
        <f t="shared" si="1284"/>
        <v>0</v>
      </c>
      <c r="AK6710" s="14"/>
      <c r="AL6710" s="14"/>
      <c r="AM6710" s="14"/>
      <c r="AN6710" s="14">
        <v>200</v>
      </c>
      <c r="AO6710" s="14">
        <v>200</v>
      </c>
      <c r="AP6710" s="14">
        <v>200</v>
      </c>
      <c r="AQ6710" s="14"/>
      <c r="AR6710" s="14"/>
      <c r="AS6710" s="14"/>
      <c r="AT6710" s="14"/>
      <c r="AU6710" s="14"/>
      <c r="AV6710" s="14"/>
      <c r="AW6710" s="15">
        <f t="shared" si="1285"/>
        <v>600</v>
      </c>
      <c r="AX6710" s="316">
        <f>SUM(H6678:H6710)</f>
        <v>13550</v>
      </c>
      <c r="AY6710">
        <v>13950</v>
      </c>
      <c r="AZ6710" s="112">
        <f>SUM(H6668:H6710)</f>
        <v>19250</v>
      </c>
    </row>
    <row r="6711" spans="1:52" x14ac:dyDescent="0.2">
      <c r="B6711" s="7" t="s">
        <v>4983</v>
      </c>
      <c r="C6711" s="8">
        <v>16833</v>
      </c>
      <c r="D6711" s="9" t="s">
        <v>571</v>
      </c>
      <c r="E6711" s="10" t="str">
        <f t="shared" si="1280"/>
        <v>Rancho Estanzuela No. 15, A</v>
      </c>
      <c r="F6711" s="10" t="str">
        <f t="shared" si="1281"/>
        <v>González</v>
      </c>
      <c r="G6711" s="8">
        <v>1</v>
      </c>
      <c r="H6711" s="11">
        <v>200</v>
      </c>
      <c r="I6711" s="12">
        <v>43252</v>
      </c>
      <c r="J6711" s="35">
        <f t="shared" si="1282"/>
        <v>0</v>
      </c>
      <c r="K6711" s="36"/>
      <c r="L6711" s="36"/>
      <c r="M6711" s="36"/>
      <c r="N6711" s="36"/>
      <c r="O6711" s="36"/>
      <c r="P6711" s="36"/>
      <c r="Q6711" s="36"/>
      <c r="R6711" s="36"/>
      <c r="S6711" s="36"/>
      <c r="T6711" s="36"/>
      <c r="U6711" s="36"/>
      <c r="V6711" s="36"/>
      <c r="W6711" s="15">
        <f t="shared" si="1283"/>
        <v>0</v>
      </c>
      <c r="X6711" s="36"/>
      <c r="Y6711" s="36"/>
      <c r="Z6711" s="36"/>
      <c r="AA6711" s="36"/>
      <c r="AB6711" s="36"/>
      <c r="AC6711" s="36"/>
      <c r="AD6711" s="36"/>
      <c r="AE6711" s="36"/>
      <c r="AF6711" s="36"/>
      <c r="AG6711" s="36"/>
      <c r="AH6711" s="36"/>
      <c r="AI6711" s="36"/>
      <c r="AJ6711" s="15">
        <f t="shared" si="1284"/>
        <v>0</v>
      </c>
      <c r="AK6711" s="14"/>
      <c r="AL6711" s="14"/>
      <c r="AM6711" s="14"/>
      <c r="AN6711" s="14"/>
      <c r="AO6711" s="14">
        <v>200</v>
      </c>
      <c r="AP6711" s="14"/>
      <c r="AQ6711" s="14"/>
      <c r="AR6711" s="14"/>
      <c r="AS6711" s="14"/>
      <c r="AT6711" s="14"/>
      <c r="AU6711" s="14"/>
      <c r="AV6711" s="14"/>
      <c r="AW6711" s="15">
        <f t="shared" si="1285"/>
        <v>200</v>
      </c>
      <c r="AX6711" s="16"/>
    </row>
    <row r="6712" spans="1:52" x14ac:dyDescent="0.2">
      <c r="B6712" s="7" t="s">
        <v>4983</v>
      </c>
      <c r="C6712" s="8">
        <v>16835</v>
      </c>
      <c r="D6712" s="9" t="s">
        <v>208</v>
      </c>
      <c r="E6712" s="10" t="str">
        <f t="shared" ref="E6712:E6713" si="1286">IF(D6712=0,"",VLOOKUP(D6712,BASE,2,FALSE))</f>
        <v>Rancho La Cuchilla No. 29</v>
      </c>
      <c r="F6712" s="10" t="str">
        <f t="shared" ref="F6712:F6713" si="1287">IF(D6712=0,"",VLOOKUP(D6712,BASE,3,FALSE))</f>
        <v>Vega Sánchez C.</v>
      </c>
      <c r="G6712" s="8">
        <v>1</v>
      </c>
      <c r="H6712" s="11">
        <v>1200</v>
      </c>
      <c r="I6712" s="12">
        <v>43257</v>
      </c>
      <c r="J6712" s="35">
        <f t="shared" ref="J6712:J6713" si="1288">IF(G6712=1,SUM(W6712,AJ6712,AW6712,-H6712),0)</f>
        <v>0</v>
      </c>
      <c r="K6712" s="36"/>
      <c r="L6712" s="36"/>
      <c r="M6712" s="36"/>
      <c r="N6712" s="36"/>
      <c r="O6712" s="36"/>
      <c r="P6712" s="36"/>
      <c r="Q6712" s="36"/>
      <c r="R6712" s="36"/>
      <c r="S6712" s="36"/>
      <c r="T6712" s="36"/>
      <c r="U6712" s="36"/>
      <c r="V6712" s="36"/>
      <c r="W6712" s="15">
        <f t="shared" ref="W6712:W6713" si="1289">SUM(K6712:V6712)</f>
        <v>0</v>
      </c>
      <c r="X6712" s="36"/>
      <c r="Y6712" s="36"/>
      <c r="Z6712" s="36"/>
      <c r="AA6712" s="36"/>
      <c r="AB6712" s="36"/>
      <c r="AC6712" s="36"/>
      <c r="AD6712" s="36"/>
      <c r="AE6712" s="36"/>
      <c r="AF6712" s="36"/>
      <c r="AG6712" s="36"/>
      <c r="AH6712" s="36"/>
      <c r="AI6712" s="36"/>
      <c r="AJ6712" s="15">
        <f t="shared" ref="AJ6712:AJ6713" si="1290">SUM(X6712:AI6712)</f>
        <v>0</v>
      </c>
      <c r="AK6712" s="14">
        <v>400</v>
      </c>
      <c r="AL6712" s="14">
        <v>400</v>
      </c>
      <c r="AM6712" s="14">
        <v>400</v>
      </c>
      <c r="AN6712" s="14"/>
      <c r="AO6712" s="14"/>
      <c r="AP6712" s="14"/>
      <c r="AQ6712" s="14"/>
      <c r="AR6712" s="14"/>
      <c r="AS6712" s="14"/>
      <c r="AT6712" s="14"/>
      <c r="AU6712" s="14"/>
      <c r="AV6712" s="14"/>
      <c r="AW6712" s="15">
        <f t="shared" ref="AW6712:AW6713" si="1291">SUM(AK6712:AV6712)</f>
        <v>1200</v>
      </c>
      <c r="AX6712" s="16"/>
    </row>
    <row r="6713" spans="1:52" x14ac:dyDescent="0.2">
      <c r="B6713" s="7" t="s">
        <v>5413</v>
      </c>
      <c r="C6713" s="8"/>
      <c r="D6713" s="9" t="s">
        <v>806</v>
      </c>
      <c r="E6713" s="10" t="str">
        <f t="shared" si="1286"/>
        <v>Rancho Estanzuela No. 130, A</v>
      </c>
      <c r="F6713" s="10" t="str">
        <f t="shared" si="1287"/>
        <v>Colegio Carmel</v>
      </c>
      <c r="G6713" s="8">
        <v>1</v>
      </c>
      <c r="H6713" s="11">
        <v>11000</v>
      </c>
      <c r="I6713" s="12">
        <v>43270</v>
      </c>
      <c r="J6713" s="35">
        <f t="shared" si="1288"/>
        <v>0</v>
      </c>
      <c r="K6713" s="36"/>
      <c r="L6713" s="36"/>
      <c r="M6713" s="36"/>
      <c r="N6713" s="36"/>
      <c r="O6713" s="36"/>
      <c r="P6713" s="36"/>
      <c r="Q6713" s="36"/>
      <c r="R6713" s="36"/>
      <c r="S6713" s="36"/>
      <c r="T6713" s="36"/>
      <c r="U6713" s="36"/>
      <c r="V6713" s="36"/>
      <c r="W6713" s="15">
        <f t="shared" si="1289"/>
        <v>0</v>
      </c>
      <c r="X6713" s="36"/>
      <c r="Y6713" s="36"/>
      <c r="Z6713" s="36"/>
      <c r="AA6713" s="36"/>
      <c r="AB6713" s="36"/>
      <c r="AC6713" s="36"/>
      <c r="AD6713" s="36"/>
      <c r="AE6713" s="36"/>
      <c r="AF6713" s="36"/>
      <c r="AG6713" s="36"/>
      <c r="AH6713" s="36"/>
      <c r="AI6713" s="36"/>
      <c r="AJ6713" s="15">
        <f t="shared" si="1290"/>
        <v>0</v>
      </c>
      <c r="AK6713" s="14"/>
      <c r="AL6713" s="14"/>
      <c r="AM6713" s="14"/>
      <c r="AN6713" s="14"/>
      <c r="AO6713" s="14"/>
      <c r="AP6713" s="14">
        <v>11000</v>
      </c>
      <c r="AQ6713" s="14"/>
      <c r="AR6713" s="14"/>
      <c r="AS6713" s="14"/>
      <c r="AT6713" s="14"/>
      <c r="AU6713" s="14"/>
      <c r="AV6713" s="14"/>
      <c r="AW6713" s="15">
        <f t="shared" si="1291"/>
        <v>11000</v>
      </c>
      <c r="AX6713" s="16"/>
    </row>
    <row r="6714" spans="1:52" x14ac:dyDescent="0.2">
      <c r="B6714" s="7" t="s">
        <v>4983</v>
      </c>
      <c r="C6714" s="8">
        <v>16836</v>
      </c>
      <c r="D6714" s="9" t="s">
        <v>571</v>
      </c>
      <c r="E6714" s="10" t="str">
        <f t="shared" ref="E6714:E6820" si="1292">IF(D6714=0,"",VLOOKUP(D6714,BASE,2,FALSE))</f>
        <v>Rancho Estanzuela No. 15, A</v>
      </c>
      <c r="F6714" s="10" t="str">
        <f t="shared" ref="F6714:F6820" si="1293">IF(D6714=0,"",VLOOKUP(D6714,BASE,3,FALSE))</f>
        <v>González</v>
      </c>
      <c r="G6714" s="8">
        <v>1</v>
      </c>
      <c r="H6714" s="11">
        <v>200</v>
      </c>
      <c r="I6714" s="12">
        <v>43280</v>
      </c>
      <c r="J6714" s="35">
        <f t="shared" ref="J6714:J6820" si="1294">IF(G6714=1,SUM(W6714,AJ6714,AW6714,-H6714),0)</f>
        <v>0</v>
      </c>
      <c r="K6714" s="36"/>
      <c r="L6714" s="36"/>
      <c r="M6714" s="36"/>
      <c r="N6714" s="36"/>
      <c r="O6714" s="36"/>
      <c r="P6714" s="36"/>
      <c r="Q6714" s="36"/>
      <c r="R6714" s="36"/>
      <c r="S6714" s="36"/>
      <c r="T6714" s="36"/>
      <c r="U6714" s="36"/>
      <c r="V6714" s="36"/>
      <c r="W6714" s="15">
        <f t="shared" ref="W6714:W6820" si="1295">SUM(K6714:V6714)</f>
        <v>0</v>
      </c>
      <c r="X6714" s="36"/>
      <c r="Y6714" s="36"/>
      <c r="Z6714" s="36"/>
      <c r="AA6714" s="36"/>
      <c r="AB6714" s="36"/>
      <c r="AC6714" s="36"/>
      <c r="AD6714" s="36"/>
      <c r="AE6714" s="36"/>
      <c r="AF6714" s="36"/>
      <c r="AG6714" s="36"/>
      <c r="AH6714" s="36"/>
      <c r="AI6714" s="36"/>
      <c r="AJ6714" s="15">
        <f t="shared" ref="AJ6714:AJ6820" si="1296">SUM(X6714:AI6714)</f>
        <v>0</v>
      </c>
      <c r="AK6714" s="14"/>
      <c r="AL6714" s="14"/>
      <c r="AM6714" s="14"/>
      <c r="AN6714" s="14"/>
      <c r="AO6714" s="14"/>
      <c r="AP6714" s="14">
        <v>200</v>
      </c>
      <c r="AQ6714" s="14"/>
      <c r="AR6714" s="14"/>
      <c r="AS6714" s="14"/>
      <c r="AT6714" s="14"/>
      <c r="AU6714" s="14"/>
      <c r="AV6714" s="14"/>
      <c r="AW6714" s="15">
        <f t="shared" ref="AW6714:AW6820" si="1297">SUM(AK6714:AV6714)</f>
        <v>200</v>
      </c>
      <c r="AX6714" s="16"/>
    </row>
    <row r="6715" spans="1:52" ht="22.5" x14ac:dyDescent="0.2">
      <c r="A6715" s="2"/>
      <c r="B6715" s="3" t="s">
        <v>1</v>
      </c>
      <c r="C6715" s="3" t="s">
        <v>2</v>
      </c>
      <c r="D6715" s="3" t="s">
        <v>3</v>
      </c>
      <c r="E6715" s="337" t="s">
        <v>4</v>
      </c>
      <c r="F6715" s="337" t="s">
        <v>5</v>
      </c>
      <c r="G6715" s="3" t="s">
        <v>6</v>
      </c>
      <c r="H6715" s="3" t="s">
        <v>7</v>
      </c>
      <c r="I6715" s="3" t="s">
        <v>8</v>
      </c>
      <c r="J6715" s="337" t="s">
        <v>9</v>
      </c>
      <c r="K6715" s="4" t="s">
        <v>10</v>
      </c>
      <c r="L6715" s="4" t="s">
        <v>11</v>
      </c>
      <c r="M6715" s="4" t="s">
        <v>12</v>
      </c>
      <c r="N6715" s="4" t="s">
        <v>13</v>
      </c>
      <c r="O6715" s="4" t="s">
        <v>14</v>
      </c>
      <c r="P6715" s="4" t="s">
        <v>15</v>
      </c>
      <c r="Q6715" s="4" t="s">
        <v>16</v>
      </c>
      <c r="R6715" s="4" t="s">
        <v>17</v>
      </c>
      <c r="S6715" s="4" t="s">
        <v>18</v>
      </c>
      <c r="T6715" s="4" t="s">
        <v>19</v>
      </c>
      <c r="U6715" s="4" t="s">
        <v>20</v>
      </c>
      <c r="V6715" s="4" t="s">
        <v>21</v>
      </c>
      <c r="W6715" s="338" t="s">
        <v>22</v>
      </c>
      <c r="X6715" s="4" t="s">
        <v>23</v>
      </c>
      <c r="Y6715" s="4" t="s">
        <v>24</v>
      </c>
      <c r="Z6715" s="4" t="s">
        <v>25</v>
      </c>
      <c r="AA6715" s="4" t="s">
        <v>26</v>
      </c>
      <c r="AB6715" s="4" t="s">
        <v>27</v>
      </c>
      <c r="AC6715" s="4" t="s">
        <v>28</v>
      </c>
      <c r="AD6715" s="4" t="s">
        <v>29</v>
      </c>
      <c r="AE6715" s="4" t="s">
        <v>30</v>
      </c>
      <c r="AF6715" s="4" t="s">
        <v>31</v>
      </c>
      <c r="AG6715" s="4" t="s">
        <v>32</v>
      </c>
      <c r="AH6715" s="4" t="s">
        <v>33</v>
      </c>
      <c r="AI6715" s="4" t="s">
        <v>34</v>
      </c>
      <c r="AJ6715" s="338" t="s">
        <v>35</v>
      </c>
      <c r="AK6715" s="4" t="s">
        <v>4607</v>
      </c>
      <c r="AL6715" s="4" t="s">
        <v>4608</v>
      </c>
      <c r="AM6715" s="4" t="s">
        <v>4609</v>
      </c>
      <c r="AN6715" s="4" t="s">
        <v>4610</v>
      </c>
      <c r="AO6715" s="4" t="s">
        <v>4611</v>
      </c>
      <c r="AP6715" s="4" t="s">
        <v>4612</v>
      </c>
      <c r="AQ6715" s="4" t="s">
        <v>4613</v>
      </c>
      <c r="AR6715" s="4" t="s">
        <v>4614</v>
      </c>
      <c r="AS6715" s="4" t="s">
        <v>4615</v>
      </c>
      <c r="AT6715" s="4" t="s">
        <v>4616</v>
      </c>
      <c r="AU6715" s="4" t="s">
        <v>4617</v>
      </c>
      <c r="AV6715" s="4" t="s">
        <v>4618</v>
      </c>
      <c r="AW6715" s="338" t="s">
        <v>4619</v>
      </c>
      <c r="AX6715" s="6" t="s">
        <v>36</v>
      </c>
    </row>
    <row r="6716" spans="1:52" x14ac:dyDescent="0.2">
      <c r="B6716" s="7"/>
      <c r="C6716" s="8">
        <v>16793</v>
      </c>
      <c r="D6716" s="9" t="s">
        <v>100</v>
      </c>
      <c r="E6716" s="10" t="str">
        <f t="shared" ref="E6716:E6819" si="1298">IF(D6716=0,"",VLOOKUP(D6716,BASE,2,FALSE))</f>
        <v>Rancho Upácuaro No. 32</v>
      </c>
      <c r="F6716" s="10" t="str">
        <f t="shared" ref="F6716:F6819" si="1299">IF(D6716=0,"",VLOOKUP(D6716,BASE,3,FALSE))</f>
        <v>Sairafi Carmen</v>
      </c>
      <c r="G6716" s="8">
        <v>1</v>
      </c>
      <c r="H6716" s="11">
        <v>400</v>
      </c>
      <c r="I6716" s="12">
        <v>43282</v>
      </c>
      <c r="J6716" s="35">
        <f t="shared" ref="J6716:J6819" si="1300">IF(G6716=1,SUM(W6716,AJ6716,AW6716,-H6716),0)</f>
        <v>0</v>
      </c>
      <c r="K6716" s="36"/>
      <c r="L6716" s="36"/>
      <c r="M6716" s="36"/>
      <c r="N6716" s="36"/>
      <c r="O6716" s="36"/>
      <c r="P6716" s="36"/>
      <c r="Q6716" s="36"/>
      <c r="R6716" s="36"/>
      <c r="S6716" s="36"/>
      <c r="T6716" s="36"/>
      <c r="U6716" s="36"/>
      <c r="V6716" s="36"/>
      <c r="W6716" s="15">
        <f t="shared" ref="W6716:W6819" si="1301">SUM(K6716:V6716)</f>
        <v>0</v>
      </c>
      <c r="X6716" s="36"/>
      <c r="Y6716" s="36"/>
      <c r="Z6716" s="36"/>
      <c r="AA6716" s="36"/>
      <c r="AB6716" s="36"/>
      <c r="AC6716" s="36"/>
      <c r="AD6716" s="36"/>
      <c r="AE6716" s="36"/>
      <c r="AF6716" s="36"/>
      <c r="AG6716" s="36"/>
      <c r="AH6716" s="36"/>
      <c r="AI6716" s="36"/>
      <c r="AJ6716" s="15">
        <f t="shared" ref="AJ6716:AJ6819" si="1302">SUM(X6716:AI6716)</f>
        <v>0</v>
      </c>
      <c r="AK6716" s="14"/>
      <c r="AL6716" s="14"/>
      <c r="AM6716" s="14"/>
      <c r="AN6716" s="14"/>
      <c r="AO6716" s="14"/>
      <c r="AP6716" s="14"/>
      <c r="AQ6716" s="14">
        <v>400</v>
      </c>
      <c r="AR6716" s="14"/>
      <c r="AS6716" s="14"/>
      <c r="AT6716" s="14"/>
      <c r="AU6716" s="14"/>
      <c r="AV6716" s="14"/>
      <c r="AW6716" s="15">
        <f t="shared" ref="AW6716:AW6819" si="1303">SUM(AK6716:AV6716)</f>
        <v>400</v>
      </c>
      <c r="AX6716" s="16"/>
    </row>
    <row r="6717" spans="1:52" x14ac:dyDescent="0.2">
      <c r="B6717" s="7"/>
      <c r="C6717" s="8">
        <v>16794</v>
      </c>
      <c r="D6717" s="9" t="s">
        <v>84</v>
      </c>
      <c r="E6717" s="10" t="str">
        <f t="shared" si="1298"/>
        <v>Rancho La Cuchilla No. 139</v>
      </c>
      <c r="F6717" s="10" t="str">
        <f t="shared" si="1299"/>
        <v>Garcia</v>
      </c>
      <c r="G6717" s="8">
        <v>1</v>
      </c>
      <c r="H6717" s="11">
        <v>200</v>
      </c>
      <c r="I6717" s="12">
        <v>43282</v>
      </c>
      <c r="J6717" s="35">
        <f t="shared" si="1300"/>
        <v>0</v>
      </c>
      <c r="K6717" s="36"/>
      <c r="L6717" s="36"/>
      <c r="M6717" s="36"/>
      <c r="N6717" s="36"/>
      <c r="O6717" s="36"/>
      <c r="P6717" s="36"/>
      <c r="Q6717" s="36"/>
      <c r="R6717" s="36"/>
      <c r="S6717" s="36"/>
      <c r="T6717" s="36"/>
      <c r="U6717" s="36"/>
      <c r="V6717" s="36"/>
      <c r="W6717" s="15">
        <f t="shared" si="1301"/>
        <v>0</v>
      </c>
      <c r="X6717" s="36"/>
      <c r="Y6717" s="36"/>
      <c r="Z6717" s="36"/>
      <c r="AA6717" s="36"/>
      <c r="AB6717" s="36"/>
      <c r="AC6717" s="36"/>
      <c r="AD6717" s="36"/>
      <c r="AE6717" s="36"/>
      <c r="AF6717" s="36"/>
      <c r="AG6717" s="36"/>
      <c r="AH6717" s="36"/>
      <c r="AI6717" s="36"/>
      <c r="AJ6717" s="15">
        <f t="shared" si="1302"/>
        <v>0</v>
      </c>
      <c r="AK6717" s="14"/>
      <c r="AL6717" s="14"/>
      <c r="AM6717" s="14"/>
      <c r="AN6717" s="14"/>
      <c r="AO6717" s="14"/>
      <c r="AP6717" s="14"/>
      <c r="AQ6717" s="14">
        <v>200</v>
      </c>
      <c r="AR6717" s="14"/>
      <c r="AS6717" s="14"/>
      <c r="AT6717" s="14"/>
      <c r="AU6717" s="14"/>
      <c r="AV6717" s="14"/>
      <c r="AW6717" s="15">
        <f t="shared" si="1303"/>
        <v>200</v>
      </c>
      <c r="AX6717" s="16"/>
    </row>
    <row r="6718" spans="1:52" x14ac:dyDescent="0.2">
      <c r="B6718" s="7"/>
      <c r="C6718" s="8">
        <v>16795</v>
      </c>
      <c r="D6718" s="9" t="s">
        <v>265</v>
      </c>
      <c r="E6718" s="10" t="str">
        <f t="shared" si="1298"/>
        <v>Rancho Upácuaro No. 85</v>
      </c>
      <c r="F6718" s="10" t="str">
        <f t="shared" si="1299"/>
        <v>Del Toro Huerta</v>
      </c>
      <c r="G6718" s="8">
        <v>1</v>
      </c>
      <c r="H6718" s="11">
        <v>400</v>
      </c>
      <c r="I6718" s="12">
        <v>43282</v>
      </c>
      <c r="J6718" s="35">
        <f t="shared" si="1300"/>
        <v>0</v>
      </c>
      <c r="K6718" s="36"/>
      <c r="L6718" s="36"/>
      <c r="M6718" s="36"/>
      <c r="N6718" s="36"/>
      <c r="O6718" s="36"/>
      <c r="P6718" s="36"/>
      <c r="Q6718" s="36"/>
      <c r="R6718" s="36"/>
      <c r="S6718" s="36"/>
      <c r="T6718" s="36"/>
      <c r="U6718" s="36"/>
      <c r="V6718" s="36"/>
      <c r="W6718" s="15">
        <f t="shared" si="1301"/>
        <v>0</v>
      </c>
      <c r="X6718" s="36"/>
      <c r="Y6718" s="36"/>
      <c r="Z6718" s="36"/>
      <c r="AA6718" s="36"/>
      <c r="AB6718" s="36"/>
      <c r="AC6718" s="36"/>
      <c r="AD6718" s="36"/>
      <c r="AE6718" s="36"/>
      <c r="AF6718" s="36"/>
      <c r="AG6718" s="36"/>
      <c r="AH6718" s="36"/>
      <c r="AI6718" s="36"/>
      <c r="AJ6718" s="15">
        <f t="shared" si="1302"/>
        <v>0</v>
      </c>
      <c r="AK6718" s="14"/>
      <c r="AL6718" s="14"/>
      <c r="AM6718" s="14"/>
      <c r="AN6718" s="14"/>
      <c r="AO6718" s="14"/>
      <c r="AP6718" s="14"/>
      <c r="AQ6718" s="14">
        <v>400</v>
      </c>
      <c r="AR6718" s="14"/>
      <c r="AS6718" s="14"/>
      <c r="AT6718" s="14"/>
      <c r="AU6718" s="14"/>
      <c r="AV6718" s="14"/>
      <c r="AW6718" s="15">
        <f t="shared" si="1303"/>
        <v>400</v>
      </c>
      <c r="AX6718" s="16"/>
    </row>
    <row r="6719" spans="1:52" x14ac:dyDescent="0.2">
      <c r="B6719" s="7"/>
      <c r="C6719" s="8">
        <v>16796</v>
      </c>
      <c r="D6719" s="9" t="s">
        <v>325</v>
      </c>
      <c r="E6719" s="10" t="str">
        <f t="shared" si="1298"/>
        <v>Rancho Upácuaro No. 120</v>
      </c>
      <c r="F6719" s="10" t="str">
        <f t="shared" si="1299"/>
        <v>Rayas Rivera</v>
      </c>
      <c r="G6719" s="8">
        <v>1</v>
      </c>
      <c r="H6719" s="11">
        <v>400</v>
      </c>
      <c r="I6719" s="12">
        <v>43282</v>
      </c>
      <c r="J6719" s="35">
        <f t="shared" si="1300"/>
        <v>0</v>
      </c>
      <c r="K6719" s="36"/>
      <c r="L6719" s="36"/>
      <c r="M6719" s="36"/>
      <c r="N6719" s="36"/>
      <c r="O6719" s="36"/>
      <c r="P6719" s="36"/>
      <c r="Q6719" s="36"/>
      <c r="R6719" s="36"/>
      <c r="S6719" s="36"/>
      <c r="T6719" s="36"/>
      <c r="U6719" s="36"/>
      <c r="V6719" s="36"/>
      <c r="W6719" s="15">
        <f t="shared" si="1301"/>
        <v>0</v>
      </c>
      <c r="X6719" s="36"/>
      <c r="Y6719" s="36"/>
      <c r="Z6719" s="36"/>
      <c r="AA6719" s="36"/>
      <c r="AB6719" s="36"/>
      <c r="AC6719" s="36"/>
      <c r="AD6719" s="36"/>
      <c r="AE6719" s="36"/>
      <c r="AF6719" s="36"/>
      <c r="AG6719" s="36"/>
      <c r="AH6719" s="36"/>
      <c r="AI6719" s="36"/>
      <c r="AJ6719" s="15">
        <f t="shared" si="1302"/>
        <v>0</v>
      </c>
      <c r="AK6719" s="14"/>
      <c r="AL6719" s="14"/>
      <c r="AM6719" s="14"/>
      <c r="AN6719" s="14"/>
      <c r="AO6719" s="14"/>
      <c r="AP6719" s="14"/>
      <c r="AQ6719" s="14">
        <v>400</v>
      </c>
      <c r="AR6719" s="14"/>
      <c r="AS6719" s="14"/>
      <c r="AT6719" s="14"/>
      <c r="AU6719" s="14"/>
      <c r="AV6719" s="14"/>
      <c r="AW6719" s="15">
        <f t="shared" si="1303"/>
        <v>400</v>
      </c>
      <c r="AX6719" s="16"/>
    </row>
    <row r="6720" spans="1:52" x14ac:dyDescent="0.2">
      <c r="B6720" s="7"/>
      <c r="C6720" s="8">
        <v>16797</v>
      </c>
      <c r="D6720" s="9" t="s">
        <v>823</v>
      </c>
      <c r="E6720" s="10" t="str">
        <f t="shared" si="1298"/>
        <v>Rancho La Cuchilla No. 122</v>
      </c>
      <c r="F6720" s="10" t="str">
        <f t="shared" si="1299"/>
        <v>Mendoza</v>
      </c>
      <c r="G6720" s="8">
        <v>1</v>
      </c>
      <c r="H6720" s="11">
        <v>400</v>
      </c>
      <c r="I6720" s="12">
        <v>43282</v>
      </c>
      <c r="J6720" s="35">
        <f t="shared" si="1300"/>
        <v>0</v>
      </c>
      <c r="K6720" s="36"/>
      <c r="L6720" s="36"/>
      <c r="M6720" s="36"/>
      <c r="N6720" s="36"/>
      <c r="O6720" s="36"/>
      <c r="P6720" s="36"/>
      <c r="Q6720" s="36"/>
      <c r="R6720" s="36"/>
      <c r="S6720" s="36"/>
      <c r="T6720" s="36"/>
      <c r="U6720" s="36"/>
      <c r="V6720" s="36"/>
      <c r="W6720" s="15">
        <f t="shared" si="1301"/>
        <v>0</v>
      </c>
      <c r="X6720" s="36"/>
      <c r="Y6720" s="36"/>
      <c r="Z6720" s="36"/>
      <c r="AA6720" s="36"/>
      <c r="AB6720" s="36"/>
      <c r="AC6720" s="36"/>
      <c r="AD6720" s="36"/>
      <c r="AE6720" s="36"/>
      <c r="AF6720" s="36"/>
      <c r="AG6720" s="36"/>
      <c r="AH6720" s="36"/>
      <c r="AI6720" s="36"/>
      <c r="AJ6720" s="15">
        <f t="shared" si="1302"/>
        <v>0</v>
      </c>
      <c r="AK6720" s="14"/>
      <c r="AL6720" s="14"/>
      <c r="AM6720" s="14"/>
      <c r="AN6720" s="14"/>
      <c r="AO6720" s="14"/>
      <c r="AP6720" s="14">
        <v>200</v>
      </c>
      <c r="AQ6720" s="14">
        <v>200</v>
      </c>
      <c r="AR6720" s="14"/>
      <c r="AS6720" s="14"/>
      <c r="AT6720" s="14"/>
      <c r="AU6720" s="14"/>
      <c r="AV6720" s="14"/>
      <c r="AW6720" s="15">
        <f t="shared" si="1303"/>
        <v>400</v>
      </c>
      <c r="AX6720" s="16"/>
    </row>
    <row r="6721" spans="2:50" x14ac:dyDescent="0.2">
      <c r="B6721" s="7"/>
      <c r="C6721" s="8">
        <v>16768</v>
      </c>
      <c r="D6721" s="9" t="s">
        <v>628</v>
      </c>
      <c r="E6721" s="10" t="str">
        <f t="shared" si="1298"/>
        <v>Rancho Landero No. 51</v>
      </c>
      <c r="F6721" s="10" t="str">
        <f t="shared" si="1299"/>
        <v>H. Robles Tamayo</v>
      </c>
      <c r="G6721" s="8">
        <v>1</v>
      </c>
      <c r="H6721" s="11">
        <v>800</v>
      </c>
      <c r="I6721" s="12">
        <v>43282</v>
      </c>
      <c r="J6721" s="35">
        <f t="shared" si="1300"/>
        <v>0</v>
      </c>
      <c r="K6721" s="36"/>
      <c r="L6721" s="36"/>
      <c r="M6721" s="36"/>
      <c r="N6721" s="36"/>
      <c r="O6721" s="36"/>
      <c r="P6721" s="36"/>
      <c r="Q6721" s="36"/>
      <c r="R6721" s="36"/>
      <c r="S6721" s="36"/>
      <c r="T6721" s="36"/>
      <c r="U6721" s="36"/>
      <c r="V6721" s="36"/>
      <c r="W6721" s="15">
        <f t="shared" si="1301"/>
        <v>0</v>
      </c>
      <c r="X6721" s="36"/>
      <c r="Y6721" s="36"/>
      <c r="Z6721" s="36"/>
      <c r="AA6721" s="36"/>
      <c r="AB6721" s="36"/>
      <c r="AC6721" s="36"/>
      <c r="AD6721" s="36"/>
      <c r="AE6721" s="36"/>
      <c r="AF6721" s="36"/>
      <c r="AG6721" s="36"/>
      <c r="AH6721" s="36"/>
      <c r="AI6721" s="36"/>
      <c r="AJ6721" s="15">
        <f t="shared" si="1302"/>
        <v>0</v>
      </c>
      <c r="AK6721" s="14"/>
      <c r="AL6721" s="14"/>
      <c r="AM6721" s="14"/>
      <c r="AN6721" s="14"/>
      <c r="AO6721" s="14"/>
      <c r="AP6721" s="14">
        <v>400</v>
      </c>
      <c r="AQ6721" s="14">
        <v>400</v>
      </c>
      <c r="AR6721" s="14"/>
      <c r="AS6721" s="14"/>
      <c r="AT6721" s="14"/>
      <c r="AU6721" s="14"/>
      <c r="AV6721" s="14"/>
      <c r="AW6721" s="15">
        <f t="shared" si="1303"/>
        <v>800</v>
      </c>
      <c r="AX6721" s="16"/>
    </row>
    <row r="6722" spans="2:50" x14ac:dyDescent="0.2">
      <c r="B6722" s="7"/>
      <c r="C6722" s="8">
        <v>16769</v>
      </c>
      <c r="D6722" s="9" t="s">
        <v>97</v>
      </c>
      <c r="E6722" s="10" t="str">
        <f t="shared" si="1298"/>
        <v>Rancho La Cuchilla No. 78</v>
      </c>
      <c r="F6722" s="10" t="str">
        <f t="shared" si="1299"/>
        <v>García</v>
      </c>
      <c r="G6722" s="8">
        <v>1</v>
      </c>
      <c r="H6722" s="11">
        <v>400</v>
      </c>
      <c r="I6722" s="12">
        <v>43282</v>
      </c>
      <c r="J6722" s="35">
        <f t="shared" si="1300"/>
        <v>0</v>
      </c>
      <c r="K6722" s="36"/>
      <c r="L6722" s="36"/>
      <c r="M6722" s="36"/>
      <c r="N6722" s="36"/>
      <c r="O6722" s="36"/>
      <c r="P6722" s="36"/>
      <c r="Q6722" s="36"/>
      <c r="R6722" s="36"/>
      <c r="S6722" s="36"/>
      <c r="T6722" s="36"/>
      <c r="U6722" s="36"/>
      <c r="V6722" s="36"/>
      <c r="W6722" s="15">
        <f t="shared" si="1301"/>
        <v>0</v>
      </c>
      <c r="X6722" s="36"/>
      <c r="Y6722" s="36"/>
      <c r="Z6722" s="36"/>
      <c r="AA6722" s="36"/>
      <c r="AB6722" s="36"/>
      <c r="AC6722" s="36"/>
      <c r="AD6722" s="36"/>
      <c r="AE6722" s="36"/>
      <c r="AF6722" s="36"/>
      <c r="AG6722" s="36"/>
      <c r="AH6722" s="36"/>
      <c r="AI6722" s="36"/>
      <c r="AJ6722" s="15">
        <f t="shared" si="1302"/>
        <v>0</v>
      </c>
      <c r="AK6722" s="14"/>
      <c r="AL6722" s="14"/>
      <c r="AM6722" s="14"/>
      <c r="AN6722" s="14"/>
      <c r="AO6722" s="14"/>
      <c r="AP6722" s="14"/>
      <c r="AQ6722" s="14">
        <v>400</v>
      </c>
      <c r="AR6722" s="14"/>
      <c r="AS6722" s="14"/>
      <c r="AT6722" s="14"/>
      <c r="AU6722" s="14"/>
      <c r="AV6722" s="14"/>
      <c r="AW6722" s="15">
        <f t="shared" si="1303"/>
        <v>400</v>
      </c>
      <c r="AX6722" s="16"/>
    </row>
    <row r="6723" spans="2:50" x14ac:dyDescent="0.2">
      <c r="B6723" s="7"/>
      <c r="C6723" s="8">
        <v>16769</v>
      </c>
      <c r="D6723" s="9" t="s">
        <v>97</v>
      </c>
      <c r="E6723" s="10" t="str">
        <f t="shared" si="1298"/>
        <v>Rancho La Cuchilla No. 78</v>
      </c>
      <c r="F6723" s="10" t="str">
        <f t="shared" si="1299"/>
        <v>García</v>
      </c>
      <c r="G6723" s="8">
        <v>3</v>
      </c>
      <c r="H6723" s="11">
        <v>200</v>
      </c>
      <c r="I6723" s="12">
        <v>43282</v>
      </c>
      <c r="J6723" s="35">
        <f t="shared" si="1300"/>
        <v>0</v>
      </c>
      <c r="K6723" s="36"/>
      <c r="L6723" s="36"/>
      <c r="M6723" s="36"/>
      <c r="N6723" s="36"/>
      <c r="O6723" s="36"/>
      <c r="P6723" s="36"/>
      <c r="Q6723" s="36"/>
      <c r="R6723" s="36"/>
      <c r="S6723" s="36"/>
      <c r="T6723" s="36"/>
      <c r="U6723" s="36"/>
      <c r="V6723" s="36"/>
      <c r="W6723" s="15">
        <f t="shared" si="1301"/>
        <v>0</v>
      </c>
      <c r="X6723" s="36"/>
      <c r="Y6723" s="36"/>
      <c r="Z6723" s="36"/>
      <c r="AA6723" s="36"/>
      <c r="AB6723" s="36"/>
      <c r="AC6723" s="36"/>
      <c r="AD6723" s="36"/>
      <c r="AE6723" s="36"/>
      <c r="AF6723" s="36"/>
      <c r="AG6723" s="36"/>
      <c r="AH6723" s="36"/>
      <c r="AI6723" s="36"/>
      <c r="AJ6723" s="15">
        <f t="shared" si="1302"/>
        <v>0</v>
      </c>
      <c r="AK6723" s="14"/>
      <c r="AL6723" s="14"/>
      <c r="AM6723" s="14"/>
      <c r="AN6723" s="14"/>
      <c r="AO6723" s="14"/>
      <c r="AP6723" s="14"/>
      <c r="AQ6723" s="14"/>
      <c r="AR6723" s="14"/>
      <c r="AS6723" s="14"/>
      <c r="AT6723" s="14"/>
      <c r="AU6723" s="14"/>
      <c r="AV6723" s="14"/>
      <c r="AW6723" s="15">
        <f t="shared" si="1303"/>
        <v>0</v>
      </c>
      <c r="AX6723" s="16"/>
    </row>
    <row r="6724" spans="2:50" x14ac:dyDescent="0.2">
      <c r="B6724" s="7"/>
      <c r="C6724" s="8">
        <v>16800</v>
      </c>
      <c r="D6724" s="9" t="s">
        <v>625</v>
      </c>
      <c r="E6724" s="10" t="str">
        <f t="shared" si="1298"/>
        <v>Rancho Upácuaro No. 60</v>
      </c>
      <c r="F6724" s="10" t="str">
        <f t="shared" si="1299"/>
        <v>Zavala</v>
      </c>
      <c r="G6724" s="8">
        <v>1</v>
      </c>
      <c r="H6724" s="11">
        <v>300</v>
      </c>
      <c r="I6724" s="12">
        <v>43282</v>
      </c>
      <c r="J6724" s="35">
        <f t="shared" si="1300"/>
        <v>0</v>
      </c>
      <c r="K6724" s="36"/>
      <c r="L6724" s="36"/>
      <c r="M6724" s="36"/>
      <c r="N6724" s="36"/>
      <c r="O6724" s="36"/>
      <c r="P6724" s="36"/>
      <c r="Q6724" s="36"/>
      <c r="R6724" s="36"/>
      <c r="S6724" s="36"/>
      <c r="T6724" s="36"/>
      <c r="U6724" s="36"/>
      <c r="V6724" s="36"/>
      <c r="W6724" s="15">
        <f t="shared" si="1301"/>
        <v>0</v>
      </c>
      <c r="X6724" s="36"/>
      <c r="Y6724" s="36"/>
      <c r="Z6724" s="36"/>
      <c r="AA6724" s="36"/>
      <c r="AB6724" s="36"/>
      <c r="AC6724" s="36"/>
      <c r="AD6724" s="36"/>
      <c r="AE6724" s="36"/>
      <c r="AF6724" s="36"/>
      <c r="AG6724" s="36"/>
      <c r="AH6724" s="36"/>
      <c r="AI6724" s="36"/>
      <c r="AJ6724" s="15">
        <f t="shared" si="1302"/>
        <v>0</v>
      </c>
      <c r="AK6724" s="14"/>
      <c r="AL6724" s="14"/>
      <c r="AM6724" s="14"/>
      <c r="AN6724" s="14"/>
      <c r="AO6724" s="14"/>
      <c r="AP6724" s="14">
        <v>300</v>
      </c>
      <c r="AQ6724" s="14"/>
      <c r="AR6724" s="14"/>
      <c r="AS6724" s="14"/>
      <c r="AT6724" s="14"/>
      <c r="AU6724" s="14"/>
      <c r="AV6724" s="14"/>
      <c r="AW6724" s="15">
        <f t="shared" si="1303"/>
        <v>300</v>
      </c>
      <c r="AX6724" s="16"/>
    </row>
    <row r="6725" spans="2:50" x14ac:dyDescent="0.2">
      <c r="B6725" s="7"/>
      <c r="C6725" s="8">
        <v>16801</v>
      </c>
      <c r="D6725" s="9" t="s">
        <v>138</v>
      </c>
      <c r="E6725" s="10" t="str">
        <f t="shared" si="1298"/>
        <v>Rancho La Cuchilla No. 135</v>
      </c>
      <c r="F6725" s="10" t="str">
        <f t="shared" si="1299"/>
        <v>Perea</v>
      </c>
      <c r="G6725" s="8">
        <v>3</v>
      </c>
      <c r="H6725" s="11">
        <v>200</v>
      </c>
      <c r="I6725" s="12">
        <v>43282</v>
      </c>
      <c r="J6725" s="35">
        <f t="shared" si="1300"/>
        <v>0</v>
      </c>
      <c r="K6725" s="36"/>
      <c r="L6725" s="36"/>
      <c r="M6725" s="36"/>
      <c r="N6725" s="36"/>
      <c r="O6725" s="36"/>
      <c r="P6725" s="36"/>
      <c r="Q6725" s="36"/>
      <c r="R6725" s="36"/>
      <c r="S6725" s="36"/>
      <c r="T6725" s="36"/>
      <c r="U6725" s="36"/>
      <c r="V6725" s="36"/>
      <c r="W6725" s="15">
        <f t="shared" si="1301"/>
        <v>0</v>
      </c>
      <c r="X6725" s="36"/>
      <c r="Y6725" s="36"/>
      <c r="Z6725" s="36"/>
      <c r="AA6725" s="36"/>
      <c r="AB6725" s="36"/>
      <c r="AC6725" s="36"/>
      <c r="AD6725" s="36"/>
      <c r="AE6725" s="36"/>
      <c r="AF6725" s="36"/>
      <c r="AG6725" s="36"/>
      <c r="AH6725" s="36"/>
      <c r="AI6725" s="36"/>
      <c r="AJ6725" s="15">
        <f t="shared" si="1302"/>
        <v>0</v>
      </c>
      <c r="AK6725" s="14"/>
      <c r="AL6725" s="14"/>
      <c r="AM6725" s="14"/>
      <c r="AN6725" s="14"/>
      <c r="AO6725" s="14"/>
      <c r="AP6725" s="14"/>
      <c r="AQ6725" s="14"/>
      <c r="AR6725" s="14"/>
      <c r="AS6725" s="14"/>
      <c r="AT6725" s="14"/>
      <c r="AU6725" s="14"/>
      <c r="AV6725" s="14"/>
      <c r="AW6725" s="15">
        <f t="shared" si="1303"/>
        <v>0</v>
      </c>
      <c r="AX6725" s="16"/>
    </row>
    <row r="6726" spans="2:50" x14ac:dyDescent="0.2">
      <c r="B6726" s="7"/>
      <c r="C6726" s="8">
        <v>16802</v>
      </c>
      <c r="D6726" s="9" t="s">
        <v>794</v>
      </c>
      <c r="E6726" s="10" t="str">
        <f t="shared" si="1298"/>
        <v>Rancho Landero No. 18</v>
      </c>
      <c r="F6726" s="10" t="str">
        <f t="shared" si="1299"/>
        <v>Rosado</v>
      </c>
      <c r="G6726" s="8">
        <v>1</v>
      </c>
      <c r="H6726" s="11">
        <v>300</v>
      </c>
      <c r="I6726" s="12">
        <v>43282</v>
      </c>
      <c r="J6726" s="35">
        <f t="shared" si="1300"/>
        <v>0</v>
      </c>
      <c r="K6726" s="36"/>
      <c r="L6726" s="36"/>
      <c r="M6726" s="36"/>
      <c r="N6726" s="36"/>
      <c r="O6726" s="36"/>
      <c r="P6726" s="36"/>
      <c r="Q6726" s="36"/>
      <c r="R6726" s="36"/>
      <c r="S6726" s="36"/>
      <c r="T6726" s="36"/>
      <c r="U6726" s="36"/>
      <c r="V6726" s="36"/>
      <c r="W6726" s="15">
        <f t="shared" si="1301"/>
        <v>0</v>
      </c>
      <c r="X6726" s="36"/>
      <c r="Y6726" s="36"/>
      <c r="Z6726" s="36"/>
      <c r="AA6726" s="36"/>
      <c r="AB6726" s="36"/>
      <c r="AC6726" s="36"/>
      <c r="AD6726" s="36"/>
      <c r="AE6726" s="36"/>
      <c r="AF6726" s="36"/>
      <c r="AG6726" s="36"/>
      <c r="AH6726" s="36"/>
      <c r="AI6726" s="36"/>
      <c r="AJ6726" s="15">
        <f t="shared" si="1302"/>
        <v>0</v>
      </c>
      <c r="AK6726" s="14"/>
      <c r="AL6726" s="14"/>
      <c r="AM6726" s="14"/>
      <c r="AN6726" s="14"/>
      <c r="AO6726" s="14"/>
      <c r="AP6726" s="14">
        <v>300</v>
      </c>
      <c r="AQ6726" s="14"/>
      <c r="AR6726" s="14"/>
      <c r="AS6726" s="14"/>
      <c r="AT6726" s="14"/>
      <c r="AU6726" s="14"/>
      <c r="AV6726" s="14"/>
      <c r="AW6726" s="15">
        <f t="shared" si="1303"/>
        <v>300</v>
      </c>
      <c r="AX6726" s="16"/>
    </row>
    <row r="6727" spans="2:50" x14ac:dyDescent="0.2">
      <c r="B6727" s="7"/>
      <c r="C6727" s="8">
        <v>16803</v>
      </c>
      <c r="D6727" s="9" t="s">
        <v>743</v>
      </c>
      <c r="E6727" s="10" t="str">
        <f t="shared" si="1298"/>
        <v>Rancho Upácuaro No. 106</v>
      </c>
      <c r="F6727" s="10" t="str">
        <f t="shared" si="1299"/>
        <v>Hernández Sánchez</v>
      </c>
      <c r="G6727" s="8">
        <v>1</v>
      </c>
      <c r="H6727" s="11">
        <v>800</v>
      </c>
      <c r="I6727" s="12">
        <v>43282</v>
      </c>
      <c r="J6727" s="35">
        <f t="shared" si="1300"/>
        <v>0</v>
      </c>
      <c r="K6727" s="36"/>
      <c r="L6727" s="36"/>
      <c r="M6727" s="36"/>
      <c r="N6727" s="36"/>
      <c r="O6727" s="36"/>
      <c r="P6727" s="36"/>
      <c r="Q6727" s="36"/>
      <c r="R6727" s="36"/>
      <c r="S6727" s="36"/>
      <c r="T6727" s="36"/>
      <c r="U6727" s="36"/>
      <c r="V6727" s="36"/>
      <c r="W6727" s="15">
        <f t="shared" si="1301"/>
        <v>0</v>
      </c>
      <c r="X6727" s="36"/>
      <c r="Y6727" s="36"/>
      <c r="Z6727" s="36"/>
      <c r="AA6727" s="36"/>
      <c r="AB6727" s="36"/>
      <c r="AC6727" s="36"/>
      <c r="AD6727" s="36"/>
      <c r="AE6727" s="36"/>
      <c r="AF6727" s="36"/>
      <c r="AG6727" s="36"/>
      <c r="AH6727" s="36"/>
      <c r="AI6727" s="36"/>
      <c r="AJ6727" s="15">
        <f t="shared" si="1302"/>
        <v>0</v>
      </c>
      <c r="AK6727" s="14"/>
      <c r="AL6727" s="14"/>
      <c r="AM6727" s="14"/>
      <c r="AN6727" s="14">
        <v>400</v>
      </c>
      <c r="AO6727" s="14">
        <v>400</v>
      </c>
      <c r="AP6727" s="14"/>
      <c r="AQ6727" s="14"/>
      <c r="AR6727" s="14"/>
      <c r="AS6727" s="14"/>
      <c r="AT6727" s="14"/>
      <c r="AU6727" s="14"/>
      <c r="AV6727" s="14"/>
      <c r="AW6727" s="15">
        <f t="shared" si="1303"/>
        <v>800</v>
      </c>
      <c r="AX6727" s="16"/>
    </row>
    <row r="6728" spans="2:50" x14ac:dyDescent="0.2">
      <c r="B6728" s="7"/>
      <c r="C6728" s="8">
        <v>16804</v>
      </c>
      <c r="D6728" s="9" t="s">
        <v>678</v>
      </c>
      <c r="E6728" s="10" t="str">
        <f t="shared" si="1298"/>
        <v>Rancho Upácuaro No. 76</v>
      </c>
      <c r="F6728" s="10" t="str">
        <f t="shared" si="1299"/>
        <v>Ruiz de San Pedro</v>
      </c>
      <c r="G6728" s="8">
        <v>1</v>
      </c>
      <c r="H6728" s="11">
        <v>400</v>
      </c>
      <c r="I6728" s="12">
        <v>43282</v>
      </c>
      <c r="J6728" s="35">
        <f t="shared" si="1300"/>
        <v>0</v>
      </c>
      <c r="K6728" s="36"/>
      <c r="L6728" s="36"/>
      <c r="M6728" s="36"/>
      <c r="N6728" s="36"/>
      <c r="O6728" s="36"/>
      <c r="P6728" s="36"/>
      <c r="Q6728" s="36"/>
      <c r="R6728" s="36"/>
      <c r="S6728" s="36"/>
      <c r="T6728" s="36"/>
      <c r="U6728" s="36"/>
      <c r="V6728" s="36"/>
      <c r="W6728" s="15">
        <f t="shared" si="1301"/>
        <v>0</v>
      </c>
      <c r="X6728" s="36"/>
      <c r="Y6728" s="36"/>
      <c r="Z6728" s="36"/>
      <c r="AA6728" s="36"/>
      <c r="AB6728" s="36"/>
      <c r="AC6728" s="36"/>
      <c r="AD6728" s="36"/>
      <c r="AE6728" s="36"/>
      <c r="AF6728" s="36"/>
      <c r="AG6728" s="36"/>
      <c r="AH6728" s="36"/>
      <c r="AI6728" s="36"/>
      <c r="AJ6728" s="15">
        <f t="shared" si="1302"/>
        <v>0</v>
      </c>
      <c r="AK6728" s="14"/>
      <c r="AL6728" s="14"/>
      <c r="AM6728" s="14"/>
      <c r="AN6728" s="14"/>
      <c r="AO6728" s="14"/>
      <c r="AP6728" s="14"/>
      <c r="AQ6728" s="14">
        <v>400</v>
      </c>
      <c r="AR6728" s="14"/>
      <c r="AS6728" s="14"/>
      <c r="AT6728" s="14"/>
      <c r="AU6728" s="14"/>
      <c r="AV6728" s="14"/>
      <c r="AW6728" s="15">
        <f t="shared" si="1303"/>
        <v>400</v>
      </c>
      <c r="AX6728" s="16"/>
    </row>
    <row r="6729" spans="2:50" x14ac:dyDescent="0.2">
      <c r="B6729" s="7"/>
      <c r="C6729" s="8">
        <v>16805</v>
      </c>
      <c r="D6729" s="9" t="s">
        <v>280</v>
      </c>
      <c r="E6729" s="10" t="str">
        <f t="shared" si="1298"/>
        <v>Rancho La Cuchilla No. 40</v>
      </c>
      <c r="F6729" s="10" t="str">
        <f t="shared" si="1299"/>
        <v>López Pico</v>
      </c>
      <c r="G6729" s="8">
        <v>1</v>
      </c>
      <c r="H6729" s="11">
        <v>400</v>
      </c>
      <c r="I6729" s="12">
        <v>43282</v>
      </c>
      <c r="J6729" s="35">
        <f t="shared" si="1300"/>
        <v>0</v>
      </c>
      <c r="K6729" s="36"/>
      <c r="L6729" s="36"/>
      <c r="M6729" s="36"/>
      <c r="N6729" s="36"/>
      <c r="O6729" s="36"/>
      <c r="P6729" s="36"/>
      <c r="Q6729" s="36"/>
      <c r="R6729" s="36"/>
      <c r="S6729" s="36"/>
      <c r="T6729" s="36"/>
      <c r="U6729" s="36"/>
      <c r="V6729" s="36"/>
      <c r="W6729" s="15">
        <f t="shared" si="1301"/>
        <v>0</v>
      </c>
      <c r="X6729" s="36"/>
      <c r="Y6729" s="36"/>
      <c r="Z6729" s="36"/>
      <c r="AA6729" s="36"/>
      <c r="AB6729" s="36"/>
      <c r="AC6729" s="36"/>
      <c r="AD6729" s="36"/>
      <c r="AE6729" s="36"/>
      <c r="AF6729" s="36"/>
      <c r="AG6729" s="36"/>
      <c r="AH6729" s="36"/>
      <c r="AI6729" s="36"/>
      <c r="AJ6729" s="15">
        <f t="shared" si="1302"/>
        <v>0</v>
      </c>
      <c r="AK6729" s="14"/>
      <c r="AL6729" s="14"/>
      <c r="AM6729" s="14"/>
      <c r="AN6729" s="14"/>
      <c r="AO6729" s="14"/>
      <c r="AP6729" s="14"/>
      <c r="AQ6729" s="14">
        <v>400</v>
      </c>
      <c r="AR6729" s="14"/>
      <c r="AS6729" s="14"/>
      <c r="AT6729" s="14"/>
      <c r="AU6729" s="14"/>
      <c r="AV6729" s="14"/>
      <c r="AW6729" s="15">
        <f t="shared" si="1303"/>
        <v>400</v>
      </c>
      <c r="AX6729" s="16"/>
    </row>
    <row r="6730" spans="2:50" x14ac:dyDescent="0.2">
      <c r="B6730" s="7"/>
      <c r="C6730" s="8">
        <v>16806</v>
      </c>
      <c r="D6730" s="9" t="s">
        <v>214</v>
      </c>
      <c r="E6730" s="10" t="str">
        <f t="shared" ref="E6730:E6753" si="1304">IF(D6730=0,"",VLOOKUP(D6730,BASE,2,FALSE))</f>
        <v>Rancho Romeral No. 30</v>
      </c>
      <c r="F6730" s="10" t="str">
        <f t="shared" ref="F6730:F6753" si="1305">IF(D6730=0,"",VLOOKUP(D6730,BASE,3,FALSE))</f>
        <v>Osorio</v>
      </c>
      <c r="G6730" s="8">
        <v>1</v>
      </c>
      <c r="H6730" s="11">
        <v>400</v>
      </c>
      <c r="I6730" s="12">
        <v>43252</v>
      </c>
      <c r="J6730" s="35">
        <f t="shared" ref="J6730:J6753" si="1306">IF(G6730=1,SUM(W6730,AJ6730,AW6730,-H6730),0)</f>
        <v>0</v>
      </c>
      <c r="K6730" s="36"/>
      <c r="L6730" s="36"/>
      <c r="M6730" s="36"/>
      <c r="N6730" s="36"/>
      <c r="O6730" s="36"/>
      <c r="P6730" s="36"/>
      <c r="Q6730" s="36"/>
      <c r="R6730" s="36"/>
      <c r="S6730" s="36"/>
      <c r="T6730" s="36"/>
      <c r="U6730" s="36"/>
      <c r="V6730" s="36"/>
      <c r="W6730" s="15">
        <f t="shared" ref="W6730:W6753" si="1307">SUM(K6730:V6730)</f>
        <v>0</v>
      </c>
      <c r="X6730" s="36"/>
      <c r="Y6730" s="36"/>
      <c r="Z6730" s="36"/>
      <c r="AA6730" s="36"/>
      <c r="AB6730" s="36"/>
      <c r="AC6730" s="36"/>
      <c r="AD6730" s="36"/>
      <c r="AE6730" s="36"/>
      <c r="AF6730" s="36"/>
      <c r="AG6730" s="36"/>
      <c r="AH6730" s="36"/>
      <c r="AI6730" s="36"/>
      <c r="AJ6730" s="15">
        <f t="shared" ref="AJ6730:AJ6753" si="1308">SUM(X6730:AI6730)</f>
        <v>0</v>
      </c>
      <c r="AK6730" s="14"/>
      <c r="AL6730" s="14">
        <v>200</v>
      </c>
      <c r="AM6730" s="14"/>
      <c r="AN6730" s="14"/>
      <c r="AO6730" s="14"/>
      <c r="AP6730" s="14">
        <v>200</v>
      </c>
      <c r="AQ6730" s="14"/>
      <c r="AR6730" s="14"/>
      <c r="AS6730" s="14"/>
      <c r="AT6730" s="14"/>
      <c r="AU6730" s="14"/>
      <c r="AV6730" s="14"/>
      <c r="AW6730" s="15">
        <f t="shared" ref="AW6730:AW6753" si="1309">SUM(AK6730:AV6730)</f>
        <v>400</v>
      </c>
      <c r="AX6730" s="16"/>
    </row>
    <row r="6731" spans="2:50" x14ac:dyDescent="0.2">
      <c r="B6731" s="7"/>
      <c r="C6731" s="8">
        <v>16807</v>
      </c>
      <c r="D6731" s="9" t="s">
        <v>719</v>
      </c>
      <c r="E6731" s="10" t="str">
        <f t="shared" si="1304"/>
        <v>Rancho Estanzuela No. 119, 1</v>
      </c>
      <c r="F6731" s="10" t="str">
        <f t="shared" si="1305"/>
        <v>Crespo</v>
      </c>
      <c r="G6731" s="8">
        <v>1</v>
      </c>
      <c r="H6731" s="11">
        <v>600</v>
      </c>
      <c r="I6731" s="12">
        <v>43282</v>
      </c>
      <c r="J6731" s="35">
        <f t="shared" si="1306"/>
        <v>0</v>
      </c>
      <c r="K6731" s="36"/>
      <c r="L6731" s="36"/>
      <c r="M6731" s="36"/>
      <c r="N6731" s="36"/>
      <c r="O6731" s="36"/>
      <c r="P6731" s="36"/>
      <c r="Q6731" s="36"/>
      <c r="R6731" s="36"/>
      <c r="S6731" s="36"/>
      <c r="T6731" s="36"/>
      <c r="U6731" s="36"/>
      <c r="V6731" s="36"/>
      <c r="W6731" s="15">
        <f t="shared" si="1307"/>
        <v>0</v>
      </c>
      <c r="X6731" s="36"/>
      <c r="Y6731" s="36"/>
      <c r="Z6731" s="36"/>
      <c r="AA6731" s="36"/>
      <c r="AB6731" s="36"/>
      <c r="AC6731" s="36"/>
      <c r="AD6731" s="36"/>
      <c r="AE6731" s="36"/>
      <c r="AF6731" s="36"/>
      <c r="AG6731" s="36"/>
      <c r="AH6731" s="36"/>
      <c r="AI6731" s="36"/>
      <c r="AJ6731" s="15">
        <f t="shared" si="1308"/>
        <v>0</v>
      </c>
      <c r="AK6731" s="14"/>
      <c r="AL6731" s="14"/>
      <c r="AM6731" s="14"/>
      <c r="AN6731" s="14">
        <v>200</v>
      </c>
      <c r="AO6731" s="14">
        <v>200</v>
      </c>
      <c r="AP6731" s="14">
        <v>200</v>
      </c>
      <c r="AQ6731" s="14"/>
      <c r="AR6731" s="14"/>
      <c r="AS6731" s="14"/>
      <c r="AT6731" s="14"/>
      <c r="AU6731" s="14"/>
      <c r="AV6731" s="14"/>
      <c r="AW6731" s="15">
        <f t="shared" si="1309"/>
        <v>600</v>
      </c>
      <c r="AX6731" s="16"/>
    </row>
    <row r="6732" spans="2:50" x14ac:dyDescent="0.2">
      <c r="B6732" s="7"/>
      <c r="C6732" s="8">
        <v>16808</v>
      </c>
      <c r="D6732" s="9" t="s">
        <v>3178</v>
      </c>
      <c r="E6732" s="10" t="str">
        <f t="shared" si="1304"/>
        <v>Rancho La Cuchilla No. 103</v>
      </c>
      <c r="F6732" s="10" t="str">
        <f t="shared" si="1305"/>
        <v>Bernal</v>
      </c>
      <c r="G6732" s="8">
        <v>1</v>
      </c>
      <c r="H6732" s="11">
        <v>500</v>
      </c>
      <c r="I6732" s="12">
        <v>43282</v>
      </c>
      <c r="J6732" s="35">
        <f t="shared" si="1306"/>
        <v>0</v>
      </c>
      <c r="K6732" s="36"/>
      <c r="L6732" s="36"/>
      <c r="M6732" s="36"/>
      <c r="N6732" s="36"/>
      <c r="O6732" s="36"/>
      <c r="P6732" s="36"/>
      <c r="Q6732" s="36"/>
      <c r="R6732" s="36"/>
      <c r="S6732" s="36"/>
      <c r="T6732" s="36"/>
      <c r="U6732" s="36"/>
      <c r="V6732" s="36"/>
      <c r="W6732" s="15">
        <f t="shared" si="1307"/>
        <v>0</v>
      </c>
      <c r="X6732" s="36"/>
      <c r="Y6732" s="36"/>
      <c r="Z6732" s="36"/>
      <c r="AA6732" s="36"/>
      <c r="AB6732" s="36"/>
      <c r="AC6732" s="36"/>
      <c r="AD6732" s="36"/>
      <c r="AE6732" s="36"/>
      <c r="AF6732" s="36"/>
      <c r="AG6732" s="36"/>
      <c r="AH6732" s="36"/>
      <c r="AI6732" s="36"/>
      <c r="AJ6732" s="15">
        <f t="shared" si="1308"/>
        <v>0</v>
      </c>
      <c r="AK6732" s="14"/>
      <c r="AL6732" s="14"/>
      <c r="AM6732" s="14"/>
      <c r="AN6732" s="14"/>
      <c r="AO6732" s="14"/>
      <c r="AP6732" s="14"/>
      <c r="AQ6732" s="14">
        <v>500</v>
      </c>
      <c r="AR6732" s="14"/>
      <c r="AS6732" s="14"/>
      <c r="AT6732" s="14"/>
      <c r="AU6732" s="14"/>
      <c r="AV6732" s="14"/>
      <c r="AW6732" s="15">
        <f t="shared" si="1309"/>
        <v>500</v>
      </c>
      <c r="AX6732" s="16"/>
    </row>
    <row r="6733" spans="2:50" x14ac:dyDescent="0.2">
      <c r="B6733" s="7"/>
      <c r="C6733" s="8">
        <v>16809</v>
      </c>
      <c r="D6733" s="9" t="s">
        <v>893</v>
      </c>
      <c r="E6733" s="10" t="str">
        <f t="shared" si="1304"/>
        <v>Rancho Upácuaro No. 136</v>
      </c>
      <c r="F6733" s="10" t="str">
        <f t="shared" si="1305"/>
        <v>López Lena</v>
      </c>
      <c r="G6733" s="8">
        <v>1</v>
      </c>
      <c r="H6733" s="11">
        <v>600</v>
      </c>
      <c r="I6733" s="12">
        <v>43282</v>
      </c>
      <c r="J6733" s="35">
        <f t="shared" si="1306"/>
        <v>0</v>
      </c>
      <c r="K6733" s="36"/>
      <c r="L6733" s="36"/>
      <c r="M6733" s="36"/>
      <c r="N6733" s="36"/>
      <c r="O6733" s="36"/>
      <c r="P6733" s="36"/>
      <c r="Q6733" s="36"/>
      <c r="R6733" s="36"/>
      <c r="S6733" s="36"/>
      <c r="T6733" s="36"/>
      <c r="U6733" s="36"/>
      <c r="V6733" s="36"/>
      <c r="W6733" s="15">
        <f t="shared" si="1307"/>
        <v>0</v>
      </c>
      <c r="X6733" s="36"/>
      <c r="Y6733" s="36"/>
      <c r="Z6733" s="36"/>
      <c r="AA6733" s="36"/>
      <c r="AB6733" s="36"/>
      <c r="AC6733" s="36"/>
      <c r="AD6733" s="36"/>
      <c r="AE6733" s="36"/>
      <c r="AF6733" s="36"/>
      <c r="AG6733" s="36"/>
      <c r="AH6733" s="36"/>
      <c r="AI6733" s="36"/>
      <c r="AJ6733" s="15">
        <f t="shared" si="1308"/>
        <v>0</v>
      </c>
      <c r="AK6733" s="14"/>
      <c r="AL6733" s="14"/>
      <c r="AM6733" s="14"/>
      <c r="AN6733" s="14"/>
      <c r="AO6733" s="14">
        <v>300</v>
      </c>
      <c r="AP6733" s="14">
        <v>300</v>
      </c>
      <c r="AQ6733" s="14"/>
      <c r="AR6733" s="14"/>
      <c r="AS6733" s="14"/>
      <c r="AT6733" s="14"/>
      <c r="AU6733" s="14"/>
      <c r="AV6733" s="14"/>
      <c r="AW6733" s="15">
        <f t="shared" si="1309"/>
        <v>600</v>
      </c>
      <c r="AX6733" s="16"/>
    </row>
    <row r="6734" spans="2:50" x14ac:dyDescent="0.2">
      <c r="B6734" s="7"/>
      <c r="C6734" s="8">
        <v>16809</v>
      </c>
      <c r="D6734" s="9" t="s">
        <v>893</v>
      </c>
      <c r="E6734" s="10" t="str">
        <f t="shared" si="1304"/>
        <v>Rancho Upácuaro No. 136</v>
      </c>
      <c r="F6734" s="10" t="str">
        <f t="shared" si="1305"/>
        <v>López Lena</v>
      </c>
      <c r="G6734" s="8">
        <v>5</v>
      </c>
      <c r="H6734" s="11">
        <v>50</v>
      </c>
      <c r="I6734" s="12">
        <v>43282</v>
      </c>
      <c r="J6734" s="35">
        <f t="shared" si="1306"/>
        <v>0</v>
      </c>
      <c r="K6734" s="36"/>
      <c r="L6734" s="36"/>
      <c r="M6734" s="36"/>
      <c r="N6734" s="36"/>
      <c r="O6734" s="36"/>
      <c r="P6734" s="36"/>
      <c r="Q6734" s="36"/>
      <c r="R6734" s="36"/>
      <c r="S6734" s="36"/>
      <c r="T6734" s="36"/>
      <c r="U6734" s="36"/>
      <c r="V6734" s="36"/>
      <c r="W6734" s="15">
        <f t="shared" si="1307"/>
        <v>0</v>
      </c>
      <c r="X6734" s="36"/>
      <c r="Y6734" s="36"/>
      <c r="Z6734" s="36"/>
      <c r="AA6734" s="36"/>
      <c r="AB6734" s="36"/>
      <c r="AC6734" s="36"/>
      <c r="AD6734" s="36"/>
      <c r="AE6734" s="36"/>
      <c r="AF6734" s="36"/>
      <c r="AG6734" s="36"/>
      <c r="AH6734" s="36"/>
      <c r="AI6734" s="36"/>
      <c r="AJ6734" s="15">
        <f t="shared" si="1308"/>
        <v>0</v>
      </c>
      <c r="AK6734" s="14"/>
      <c r="AL6734" s="14"/>
      <c r="AM6734" s="14"/>
      <c r="AN6734" s="14"/>
      <c r="AO6734" s="14"/>
      <c r="AP6734" s="14"/>
      <c r="AQ6734" s="14"/>
      <c r="AR6734" s="14"/>
      <c r="AS6734" s="14"/>
      <c r="AT6734" s="14"/>
      <c r="AU6734" s="14"/>
      <c r="AV6734" s="14"/>
      <c r="AW6734" s="15">
        <f t="shared" si="1309"/>
        <v>0</v>
      </c>
      <c r="AX6734" s="16"/>
    </row>
    <row r="6735" spans="2:50" x14ac:dyDescent="0.2">
      <c r="B6735" s="7"/>
      <c r="C6735" s="8">
        <v>16810</v>
      </c>
      <c r="D6735" s="9" t="s">
        <v>268</v>
      </c>
      <c r="E6735" s="10" t="str">
        <f t="shared" si="1304"/>
        <v>Rancho Landero No. 90</v>
      </c>
      <c r="F6735" s="10" t="str">
        <f t="shared" si="1305"/>
        <v>Córdova Reséndiz</v>
      </c>
      <c r="G6735" s="8">
        <v>1</v>
      </c>
      <c r="H6735" s="11">
        <v>600</v>
      </c>
      <c r="I6735" s="12">
        <v>43282</v>
      </c>
      <c r="J6735" s="35">
        <f t="shared" si="1306"/>
        <v>0</v>
      </c>
      <c r="K6735" s="36"/>
      <c r="L6735" s="36"/>
      <c r="M6735" s="36"/>
      <c r="N6735" s="36"/>
      <c r="O6735" s="36"/>
      <c r="P6735" s="36"/>
      <c r="Q6735" s="36"/>
      <c r="R6735" s="36"/>
      <c r="S6735" s="36"/>
      <c r="T6735" s="36"/>
      <c r="U6735" s="36"/>
      <c r="V6735" s="36"/>
      <c r="W6735" s="15">
        <f t="shared" si="1307"/>
        <v>0</v>
      </c>
      <c r="X6735" s="36"/>
      <c r="Y6735" s="36"/>
      <c r="Z6735" s="36"/>
      <c r="AA6735" s="36"/>
      <c r="AB6735" s="36"/>
      <c r="AC6735" s="36"/>
      <c r="AD6735" s="36"/>
      <c r="AE6735" s="36"/>
      <c r="AF6735" s="36"/>
      <c r="AG6735" s="36"/>
      <c r="AH6735" s="36"/>
      <c r="AI6735" s="36"/>
      <c r="AJ6735" s="15">
        <f t="shared" si="1308"/>
        <v>0</v>
      </c>
      <c r="AK6735" s="14"/>
      <c r="AL6735" s="14"/>
      <c r="AM6735" s="14"/>
      <c r="AN6735" s="14"/>
      <c r="AO6735" s="14"/>
      <c r="AP6735" s="14">
        <v>300</v>
      </c>
      <c r="AQ6735" s="14">
        <v>300</v>
      </c>
      <c r="AR6735" s="14"/>
      <c r="AS6735" s="14"/>
      <c r="AT6735" s="14"/>
      <c r="AU6735" s="14"/>
      <c r="AV6735" s="14"/>
      <c r="AW6735" s="15">
        <f t="shared" si="1309"/>
        <v>600</v>
      </c>
      <c r="AX6735" s="16"/>
    </row>
    <row r="6736" spans="2:50" x14ac:dyDescent="0.2">
      <c r="B6736" s="7"/>
      <c r="C6736" s="8">
        <v>16811</v>
      </c>
      <c r="D6736" s="9" t="s">
        <v>310</v>
      </c>
      <c r="E6736" s="10" t="str">
        <f t="shared" si="1304"/>
        <v>Rancho Recoveco No. 181</v>
      </c>
      <c r="F6736" s="10" t="str">
        <f t="shared" si="1305"/>
        <v>Castillo</v>
      </c>
      <c r="G6736" s="8">
        <v>1</v>
      </c>
      <c r="H6736" s="11">
        <v>400</v>
      </c>
      <c r="I6736" s="12">
        <v>43282</v>
      </c>
      <c r="J6736" s="35">
        <f t="shared" si="1306"/>
        <v>0</v>
      </c>
      <c r="K6736" s="36"/>
      <c r="L6736" s="36"/>
      <c r="M6736" s="36"/>
      <c r="N6736" s="36"/>
      <c r="O6736" s="36"/>
      <c r="P6736" s="36"/>
      <c r="Q6736" s="36"/>
      <c r="R6736" s="36"/>
      <c r="S6736" s="36"/>
      <c r="T6736" s="36"/>
      <c r="U6736" s="36"/>
      <c r="V6736" s="36"/>
      <c r="W6736" s="15">
        <f t="shared" si="1307"/>
        <v>0</v>
      </c>
      <c r="X6736" s="36"/>
      <c r="Y6736" s="36"/>
      <c r="Z6736" s="36"/>
      <c r="AA6736" s="36"/>
      <c r="AB6736" s="36"/>
      <c r="AC6736" s="36"/>
      <c r="AD6736" s="36"/>
      <c r="AE6736" s="36"/>
      <c r="AF6736" s="36"/>
      <c r="AG6736" s="36"/>
      <c r="AH6736" s="36"/>
      <c r="AI6736" s="36"/>
      <c r="AJ6736" s="15">
        <f t="shared" si="1308"/>
        <v>0</v>
      </c>
      <c r="AK6736" s="14"/>
      <c r="AL6736" s="14"/>
      <c r="AM6736" s="14"/>
      <c r="AN6736" s="14"/>
      <c r="AO6736" s="14"/>
      <c r="AP6736" s="14"/>
      <c r="AQ6736" s="14">
        <v>400</v>
      </c>
      <c r="AR6736" s="14"/>
      <c r="AS6736" s="14"/>
      <c r="AT6736" s="14"/>
      <c r="AU6736" s="14"/>
      <c r="AV6736" s="14"/>
      <c r="AW6736" s="15">
        <f t="shared" si="1309"/>
        <v>400</v>
      </c>
      <c r="AX6736" s="16"/>
    </row>
    <row r="6737" spans="2:50" x14ac:dyDescent="0.2">
      <c r="B6737" s="7"/>
      <c r="C6737" s="8">
        <v>16812</v>
      </c>
      <c r="D6737" s="9" t="s">
        <v>497</v>
      </c>
      <c r="E6737" s="10" t="str">
        <f t="shared" si="1304"/>
        <v>Rancho La Cuchilla No. 94</v>
      </c>
      <c r="F6737" s="10" t="str">
        <f t="shared" si="1305"/>
        <v>Sánchez Márquez</v>
      </c>
      <c r="G6737" s="8">
        <v>1</v>
      </c>
      <c r="H6737" s="11">
        <v>800</v>
      </c>
      <c r="I6737" s="12">
        <v>43282</v>
      </c>
      <c r="J6737" s="35">
        <f t="shared" si="1306"/>
        <v>0</v>
      </c>
      <c r="K6737" s="36"/>
      <c r="L6737" s="36"/>
      <c r="M6737" s="36"/>
      <c r="N6737" s="36"/>
      <c r="O6737" s="36"/>
      <c r="P6737" s="36"/>
      <c r="Q6737" s="36"/>
      <c r="R6737" s="36"/>
      <c r="S6737" s="36"/>
      <c r="T6737" s="36"/>
      <c r="U6737" s="36"/>
      <c r="V6737" s="36"/>
      <c r="W6737" s="15">
        <f t="shared" si="1307"/>
        <v>0</v>
      </c>
      <c r="X6737" s="36"/>
      <c r="Y6737" s="36"/>
      <c r="Z6737" s="36"/>
      <c r="AA6737" s="36"/>
      <c r="AB6737" s="36"/>
      <c r="AC6737" s="36"/>
      <c r="AD6737" s="36"/>
      <c r="AE6737" s="36"/>
      <c r="AF6737" s="36"/>
      <c r="AG6737" s="36"/>
      <c r="AH6737" s="36"/>
      <c r="AI6737" s="36"/>
      <c r="AJ6737" s="15">
        <f t="shared" si="1308"/>
        <v>0</v>
      </c>
      <c r="AK6737" s="14"/>
      <c r="AL6737" s="14"/>
      <c r="AM6737" s="14"/>
      <c r="AN6737" s="14"/>
      <c r="AO6737" s="14"/>
      <c r="AP6737" s="14">
        <v>400</v>
      </c>
      <c r="AQ6737" s="14">
        <v>400</v>
      </c>
      <c r="AR6737" s="14"/>
      <c r="AS6737" s="14"/>
      <c r="AT6737" s="14"/>
      <c r="AU6737" s="14"/>
      <c r="AV6737" s="14"/>
      <c r="AW6737" s="15">
        <f t="shared" si="1309"/>
        <v>800</v>
      </c>
      <c r="AX6737" s="16"/>
    </row>
    <row r="6738" spans="2:50" x14ac:dyDescent="0.2">
      <c r="B6738" s="7"/>
      <c r="C6738" s="8">
        <v>16813</v>
      </c>
      <c r="D6738" s="9" t="s">
        <v>556</v>
      </c>
      <c r="E6738" s="10" t="str">
        <f t="shared" si="1304"/>
        <v>Rancho Zinamba No. 26</v>
      </c>
      <c r="F6738" s="10" t="str">
        <f t="shared" si="1305"/>
        <v>Ayala</v>
      </c>
      <c r="G6738" s="8">
        <v>1</v>
      </c>
      <c r="H6738" s="11">
        <v>400</v>
      </c>
      <c r="I6738" s="12">
        <v>43282</v>
      </c>
      <c r="J6738" s="35">
        <f t="shared" si="1306"/>
        <v>0</v>
      </c>
      <c r="K6738" s="36"/>
      <c r="L6738" s="36"/>
      <c r="M6738" s="36"/>
      <c r="N6738" s="36"/>
      <c r="O6738" s="36"/>
      <c r="P6738" s="36"/>
      <c r="Q6738" s="36"/>
      <c r="R6738" s="36"/>
      <c r="S6738" s="36"/>
      <c r="T6738" s="36"/>
      <c r="U6738" s="36"/>
      <c r="V6738" s="36"/>
      <c r="W6738" s="15">
        <f t="shared" si="1307"/>
        <v>0</v>
      </c>
      <c r="X6738" s="36"/>
      <c r="Y6738" s="36"/>
      <c r="Z6738" s="36"/>
      <c r="AA6738" s="36"/>
      <c r="AB6738" s="36"/>
      <c r="AC6738" s="36"/>
      <c r="AD6738" s="36"/>
      <c r="AE6738" s="36"/>
      <c r="AF6738" s="36"/>
      <c r="AG6738" s="36"/>
      <c r="AH6738" s="36"/>
      <c r="AI6738" s="36"/>
      <c r="AJ6738" s="15">
        <f t="shared" si="1308"/>
        <v>0</v>
      </c>
      <c r="AK6738" s="14"/>
      <c r="AL6738" s="14"/>
      <c r="AM6738" s="14"/>
      <c r="AN6738" s="14"/>
      <c r="AO6738" s="14">
        <v>400</v>
      </c>
      <c r="AP6738" s="14"/>
      <c r="AQ6738" s="14"/>
      <c r="AR6738" s="14"/>
      <c r="AS6738" s="14"/>
      <c r="AT6738" s="14"/>
      <c r="AU6738" s="14"/>
      <c r="AV6738" s="14"/>
      <c r="AW6738" s="15">
        <f t="shared" si="1309"/>
        <v>400</v>
      </c>
      <c r="AX6738" s="16"/>
    </row>
    <row r="6739" spans="2:50" x14ac:dyDescent="0.2">
      <c r="B6739" s="7"/>
      <c r="C6739" s="8">
        <v>16814</v>
      </c>
      <c r="D6739" s="9" t="s">
        <v>911</v>
      </c>
      <c r="E6739" s="10" t="str">
        <f t="shared" si="1304"/>
        <v>Rancho Estanzuela No. 19</v>
      </c>
      <c r="F6739" s="10" t="str">
        <f t="shared" si="1305"/>
        <v>Robles</v>
      </c>
      <c r="G6739" s="8">
        <v>1</v>
      </c>
      <c r="H6739" s="11">
        <v>400</v>
      </c>
      <c r="I6739" s="12" t="s">
        <v>5387</v>
      </c>
      <c r="J6739" s="35">
        <f t="shared" si="1306"/>
        <v>0</v>
      </c>
      <c r="K6739" s="36"/>
      <c r="L6739" s="36"/>
      <c r="M6739" s="36"/>
      <c r="N6739" s="36"/>
      <c r="O6739" s="36"/>
      <c r="P6739" s="36"/>
      <c r="Q6739" s="36"/>
      <c r="R6739" s="36"/>
      <c r="S6739" s="36"/>
      <c r="T6739" s="36"/>
      <c r="U6739" s="36"/>
      <c r="V6739" s="36"/>
      <c r="W6739" s="15">
        <f t="shared" si="1307"/>
        <v>0</v>
      </c>
      <c r="X6739" s="36"/>
      <c r="Y6739" s="36"/>
      <c r="Z6739" s="36"/>
      <c r="AA6739" s="36"/>
      <c r="AB6739" s="36"/>
      <c r="AC6739" s="36"/>
      <c r="AD6739" s="36"/>
      <c r="AE6739" s="36"/>
      <c r="AF6739" s="36"/>
      <c r="AG6739" s="36"/>
      <c r="AH6739" s="36"/>
      <c r="AI6739" s="36"/>
      <c r="AJ6739" s="15">
        <f t="shared" si="1308"/>
        <v>0</v>
      </c>
      <c r="AK6739" s="14"/>
      <c r="AL6739" s="14"/>
      <c r="AM6739" s="14"/>
      <c r="AN6739" s="14"/>
      <c r="AO6739" s="14"/>
      <c r="AP6739" s="14"/>
      <c r="AQ6739" s="14">
        <v>400</v>
      </c>
      <c r="AR6739" s="14"/>
      <c r="AS6739" s="14"/>
      <c r="AT6739" s="14"/>
      <c r="AU6739" s="14"/>
      <c r="AV6739" s="14"/>
      <c r="AW6739" s="15">
        <f t="shared" si="1309"/>
        <v>400</v>
      </c>
      <c r="AX6739" s="16"/>
    </row>
    <row r="6740" spans="2:50" x14ac:dyDescent="0.2">
      <c r="B6740" s="7"/>
      <c r="C6740" s="8">
        <v>16815</v>
      </c>
      <c r="D6740" s="9" t="s">
        <v>171</v>
      </c>
      <c r="E6740" s="10" t="str">
        <f t="shared" si="1304"/>
        <v>Rancho La Cuchilla No. 72</v>
      </c>
      <c r="F6740" s="10" t="str">
        <f t="shared" si="1305"/>
        <v>Ortiz González</v>
      </c>
      <c r="G6740" s="8">
        <v>1</v>
      </c>
      <c r="H6740" s="11">
        <v>400</v>
      </c>
      <c r="I6740" s="12">
        <v>43282</v>
      </c>
      <c r="J6740" s="35">
        <f t="shared" si="1306"/>
        <v>0</v>
      </c>
      <c r="K6740" s="36"/>
      <c r="L6740" s="36"/>
      <c r="M6740" s="36"/>
      <c r="N6740" s="36"/>
      <c r="O6740" s="36"/>
      <c r="P6740" s="36"/>
      <c r="Q6740" s="36"/>
      <c r="R6740" s="36"/>
      <c r="S6740" s="36"/>
      <c r="T6740" s="36"/>
      <c r="U6740" s="36"/>
      <c r="V6740" s="36"/>
      <c r="W6740" s="15">
        <f t="shared" si="1307"/>
        <v>0</v>
      </c>
      <c r="X6740" s="36"/>
      <c r="Y6740" s="36"/>
      <c r="Z6740" s="36"/>
      <c r="AA6740" s="36"/>
      <c r="AB6740" s="36"/>
      <c r="AC6740" s="36"/>
      <c r="AD6740" s="36"/>
      <c r="AE6740" s="36"/>
      <c r="AF6740" s="36"/>
      <c r="AG6740" s="36"/>
      <c r="AH6740" s="36"/>
      <c r="AI6740" s="36"/>
      <c r="AJ6740" s="15">
        <f t="shared" si="1308"/>
        <v>0</v>
      </c>
      <c r="AK6740" s="14"/>
      <c r="AL6740" s="14"/>
      <c r="AM6740" s="14"/>
      <c r="AN6740" s="14"/>
      <c r="AO6740" s="14"/>
      <c r="AP6740" s="14"/>
      <c r="AQ6740" s="14">
        <v>400</v>
      </c>
      <c r="AR6740" s="14"/>
      <c r="AS6740" s="14"/>
      <c r="AT6740" s="14"/>
      <c r="AU6740" s="14"/>
      <c r="AV6740" s="14"/>
      <c r="AW6740" s="15">
        <f t="shared" si="1309"/>
        <v>400</v>
      </c>
      <c r="AX6740" s="16"/>
    </row>
    <row r="6741" spans="2:50" x14ac:dyDescent="0.2">
      <c r="B6741" s="7"/>
      <c r="C6741" s="8">
        <v>16816</v>
      </c>
      <c r="D6741" s="9" t="s">
        <v>162</v>
      </c>
      <c r="E6741" s="10" t="str">
        <f t="shared" si="1304"/>
        <v>Rancho La Cuchilla No. 20</v>
      </c>
      <c r="F6741" s="10" t="str">
        <f t="shared" si="1305"/>
        <v>Sánchez López</v>
      </c>
      <c r="G6741" s="8">
        <v>1</v>
      </c>
      <c r="H6741" s="11">
        <v>800</v>
      </c>
      <c r="I6741" s="12">
        <v>43282</v>
      </c>
      <c r="J6741" s="35">
        <f t="shared" si="1306"/>
        <v>0</v>
      </c>
      <c r="K6741" s="36"/>
      <c r="L6741" s="36"/>
      <c r="M6741" s="36"/>
      <c r="N6741" s="36"/>
      <c r="O6741" s="36"/>
      <c r="P6741" s="36"/>
      <c r="Q6741" s="36"/>
      <c r="R6741" s="36"/>
      <c r="S6741" s="36"/>
      <c r="T6741" s="36"/>
      <c r="U6741" s="36"/>
      <c r="V6741" s="36"/>
      <c r="W6741" s="15">
        <f t="shared" si="1307"/>
        <v>0</v>
      </c>
      <c r="X6741" s="36"/>
      <c r="Y6741" s="36"/>
      <c r="Z6741" s="36"/>
      <c r="AA6741" s="36"/>
      <c r="AB6741" s="36"/>
      <c r="AC6741" s="36"/>
      <c r="AD6741" s="36"/>
      <c r="AE6741" s="36"/>
      <c r="AF6741" s="36"/>
      <c r="AG6741" s="36"/>
      <c r="AH6741" s="36"/>
      <c r="AI6741" s="36"/>
      <c r="AJ6741" s="15">
        <f t="shared" si="1308"/>
        <v>0</v>
      </c>
      <c r="AK6741" s="14"/>
      <c r="AL6741" s="14"/>
      <c r="AM6741" s="14"/>
      <c r="AN6741" s="14"/>
      <c r="AO6741" s="14"/>
      <c r="AP6741" s="14"/>
      <c r="AQ6741" s="14">
        <v>400</v>
      </c>
      <c r="AR6741" s="14">
        <v>400</v>
      </c>
      <c r="AS6741" s="14"/>
      <c r="AT6741" s="14"/>
      <c r="AU6741" s="14"/>
      <c r="AV6741" s="14"/>
      <c r="AW6741" s="15">
        <f t="shared" si="1309"/>
        <v>800</v>
      </c>
      <c r="AX6741" s="16"/>
    </row>
    <row r="6742" spans="2:50" x14ac:dyDescent="0.2">
      <c r="B6742" s="7"/>
      <c r="C6742" s="8">
        <v>16817</v>
      </c>
      <c r="D6742" s="9" t="s">
        <v>725</v>
      </c>
      <c r="E6742" s="10" t="str">
        <f t="shared" si="1304"/>
        <v>Rancho Zinamba No. 34</v>
      </c>
      <c r="F6742" s="10" t="str">
        <f t="shared" si="1305"/>
        <v>Torres Zavala</v>
      </c>
      <c r="G6742" s="8">
        <v>1</v>
      </c>
      <c r="H6742" s="11">
        <v>800</v>
      </c>
      <c r="I6742" s="12">
        <v>43282</v>
      </c>
      <c r="J6742" s="35">
        <f t="shared" si="1306"/>
        <v>0</v>
      </c>
      <c r="K6742" s="36"/>
      <c r="L6742" s="36"/>
      <c r="M6742" s="36"/>
      <c r="N6742" s="36"/>
      <c r="O6742" s="36"/>
      <c r="P6742" s="36"/>
      <c r="Q6742" s="36"/>
      <c r="R6742" s="36"/>
      <c r="S6742" s="36"/>
      <c r="T6742" s="36"/>
      <c r="U6742" s="36"/>
      <c r="V6742" s="36"/>
      <c r="W6742" s="15">
        <f t="shared" si="1307"/>
        <v>0</v>
      </c>
      <c r="X6742" s="36"/>
      <c r="Y6742" s="36"/>
      <c r="Z6742" s="36"/>
      <c r="AA6742" s="36"/>
      <c r="AB6742" s="36"/>
      <c r="AC6742" s="36"/>
      <c r="AD6742" s="36"/>
      <c r="AE6742" s="36"/>
      <c r="AF6742" s="36"/>
      <c r="AG6742" s="36"/>
      <c r="AH6742" s="36"/>
      <c r="AI6742" s="36"/>
      <c r="AJ6742" s="15">
        <f t="shared" si="1308"/>
        <v>0</v>
      </c>
      <c r="AK6742" s="14"/>
      <c r="AL6742" s="14"/>
      <c r="AM6742" s="14"/>
      <c r="AN6742" s="14"/>
      <c r="AO6742" s="14">
        <v>400</v>
      </c>
      <c r="AP6742" s="14">
        <v>400</v>
      </c>
      <c r="AQ6742" s="14"/>
      <c r="AR6742" s="14"/>
      <c r="AS6742" s="14"/>
      <c r="AT6742" s="14"/>
      <c r="AU6742" s="14"/>
      <c r="AV6742" s="14"/>
      <c r="AW6742" s="15">
        <f t="shared" si="1309"/>
        <v>800</v>
      </c>
      <c r="AX6742" s="16"/>
    </row>
    <row r="6743" spans="2:50" x14ac:dyDescent="0.2">
      <c r="B6743" s="7"/>
      <c r="C6743" s="8">
        <v>16818</v>
      </c>
      <c r="D6743" s="9" t="s">
        <v>565</v>
      </c>
      <c r="E6743" s="10" t="str">
        <f t="shared" si="1304"/>
        <v>Rancho Zinamba No. 62</v>
      </c>
      <c r="F6743" s="10" t="str">
        <f t="shared" si="1305"/>
        <v>Martínez León</v>
      </c>
      <c r="G6743" s="8">
        <v>1</v>
      </c>
      <c r="H6743" s="11">
        <v>500</v>
      </c>
      <c r="I6743" s="12">
        <v>43282</v>
      </c>
      <c r="J6743" s="35">
        <f t="shared" si="1306"/>
        <v>0</v>
      </c>
      <c r="K6743" s="36"/>
      <c r="L6743" s="36"/>
      <c r="M6743" s="36"/>
      <c r="N6743" s="36"/>
      <c r="O6743" s="36"/>
      <c r="P6743" s="36"/>
      <c r="Q6743" s="36"/>
      <c r="R6743" s="36"/>
      <c r="S6743" s="36"/>
      <c r="T6743" s="36"/>
      <c r="U6743" s="36"/>
      <c r="V6743" s="36"/>
      <c r="W6743" s="15">
        <f t="shared" si="1307"/>
        <v>0</v>
      </c>
      <c r="X6743" s="36"/>
      <c r="Y6743" s="36"/>
      <c r="Z6743" s="36"/>
      <c r="AA6743" s="36"/>
      <c r="AB6743" s="36"/>
      <c r="AC6743" s="36"/>
      <c r="AD6743" s="36"/>
      <c r="AE6743" s="36"/>
      <c r="AF6743" s="36"/>
      <c r="AG6743" s="36"/>
      <c r="AH6743" s="36"/>
      <c r="AI6743" s="36"/>
      <c r="AJ6743" s="15">
        <f t="shared" si="1308"/>
        <v>0</v>
      </c>
      <c r="AK6743" s="14"/>
      <c r="AL6743" s="14"/>
      <c r="AM6743" s="14"/>
      <c r="AN6743" s="14"/>
      <c r="AO6743" s="14">
        <v>250</v>
      </c>
      <c r="AP6743" s="14">
        <v>250</v>
      </c>
      <c r="AQ6743" s="14"/>
      <c r="AR6743" s="14"/>
      <c r="AS6743" s="14"/>
      <c r="AT6743" s="14"/>
      <c r="AU6743" s="14"/>
      <c r="AV6743" s="14"/>
      <c r="AW6743" s="15">
        <f t="shared" si="1309"/>
        <v>500</v>
      </c>
      <c r="AX6743" s="16"/>
    </row>
    <row r="6744" spans="2:50" x14ac:dyDescent="0.2">
      <c r="B6744" s="7"/>
      <c r="C6744" s="8">
        <v>16819</v>
      </c>
      <c r="D6744" s="9" t="s">
        <v>734</v>
      </c>
      <c r="E6744" s="10" t="str">
        <f t="shared" si="1304"/>
        <v>Rancho La Cuchilla No. 73</v>
      </c>
      <c r="F6744" s="10" t="str">
        <f t="shared" si="1305"/>
        <v>Cooper</v>
      </c>
      <c r="G6744" s="8">
        <v>1</v>
      </c>
      <c r="H6744" s="11">
        <v>800</v>
      </c>
      <c r="I6744" s="12">
        <v>43282</v>
      </c>
      <c r="J6744" s="35">
        <f t="shared" si="1306"/>
        <v>0</v>
      </c>
      <c r="K6744" s="36"/>
      <c r="L6744" s="36"/>
      <c r="M6744" s="36"/>
      <c r="N6744" s="36"/>
      <c r="O6744" s="36"/>
      <c r="P6744" s="36"/>
      <c r="Q6744" s="36"/>
      <c r="R6744" s="36"/>
      <c r="S6744" s="36"/>
      <c r="T6744" s="36"/>
      <c r="U6744" s="36"/>
      <c r="V6744" s="36"/>
      <c r="W6744" s="15">
        <f t="shared" si="1307"/>
        <v>0</v>
      </c>
      <c r="X6744" s="36"/>
      <c r="Y6744" s="36"/>
      <c r="Z6744" s="36"/>
      <c r="AA6744" s="36"/>
      <c r="AB6744" s="36"/>
      <c r="AC6744" s="36"/>
      <c r="AD6744" s="36"/>
      <c r="AE6744" s="36"/>
      <c r="AF6744" s="36"/>
      <c r="AG6744" s="36"/>
      <c r="AH6744" s="36"/>
      <c r="AI6744" s="36"/>
      <c r="AJ6744" s="15">
        <f t="shared" si="1308"/>
        <v>0</v>
      </c>
      <c r="AK6744" s="14"/>
      <c r="AL6744" s="14"/>
      <c r="AM6744" s="14"/>
      <c r="AN6744" s="14"/>
      <c r="AO6744" s="14">
        <v>400</v>
      </c>
      <c r="AP6744" s="14">
        <v>400</v>
      </c>
      <c r="AQ6744" s="14"/>
      <c r="AR6744" s="14"/>
      <c r="AS6744" s="14"/>
      <c r="AT6744" s="14"/>
      <c r="AU6744" s="14"/>
      <c r="AV6744" s="14"/>
      <c r="AW6744" s="15">
        <f t="shared" si="1309"/>
        <v>800</v>
      </c>
      <c r="AX6744" s="16"/>
    </row>
    <row r="6745" spans="2:50" x14ac:dyDescent="0.2">
      <c r="B6745" s="7"/>
      <c r="C6745" s="8">
        <v>16820</v>
      </c>
      <c r="D6745" s="9" t="s">
        <v>734</v>
      </c>
      <c r="E6745" s="10" t="str">
        <f t="shared" si="1304"/>
        <v>Rancho La Cuchilla No. 73</v>
      </c>
      <c r="F6745" s="10" t="str">
        <f t="shared" si="1305"/>
        <v>Cooper</v>
      </c>
      <c r="G6745" s="8">
        <v>5</v>
      </c>
      <c r="H6745" s="11">
        <v>50</v>
      </c>
      <c r="I6745" s="12">
        <v>43282</v>
      </c>
      <c r="J6745" s="35">
        <f t="shared" si="1306"/>
        <v>0</v>
      </c>
      <c r="K6745" s="36"/>
      <c r="L6745" s="36"/>
      <c r="M6745" s="36"/>
      <c r="N6745" s="36"/>
      <c r="O6745" s="36"/>
      <c r="P6745" s="36"/>
      <c r="Q6745" s="36"/>
      <c r="R6745" s="36"/>
      <c r="S6745" s="36"/>
      <c r="T6745" s="36"/>
      <c r="U6745" s="36"/>
      <c r="V6745" s="36"/>
      <c r="W6745" s="15">
        <f t="shared" si="1307"/>
        <v>0</v>
      </c>
      <c r="X6745" s="36"/>
      <c r="Y6745" s="36"/>
      <c r="Z6745" s="36"/>
      <c r="AA6745" s="36"/>
      <c r="AB6745" s="36"/>
      <c r="AC6745" s="36"/>
      <c r="AD6745" s="36"/>
      <c r="AE6745" s="36"/>
      <c r="AF6745" s="36"/>
      <c r="AG6745" s="36"/>
      <c r="AH6745" s="36"/>
      <c r="AI6745" s="36"/>
      <c r="AJ6745" s="15">
        <f t="shared" si="1308"/>
        <v>0</v>
      </c>
      <c r="AK6745" s="14"/>
      <c r="AL6745" s="14"/>
      <c r="AM6745" s="14"/>
      <c r="AN6745" s="14"/>
      <c r="AO6745" s="14"/>
      <c r="AP6745" s="14"/>
      <c r="AQ6745" s="14"/>
      <c r="AR6745" s="14"/>
      <c r="AS6745" s="14"/>
      <c r="AT6745" s="14"/>
      <c r="AU6745" s="14"/>
      <c r="AV6745" s="14"/>
      <c r="AW6745" s="15">
        <f t="shared" si="1309"/>
        <v>0</v>
      </c>
      <c r="AX6745" s="16"/>
    </row>
    <row r="6746" spans="2:50" x14ac:dyDescent="0.2">
      <c r="B6746" s="7"/>
      <c r="C6746" s="8">
        <v>16821</v>
      </c>
      <c r="D6746" s="9" t="s">
        <v>467</v>
      </c>
      <c r="E6746" s="10" t="str">
        <f t="shared" si="1304"/>
        <v>Rancho Upácuaro No. 138</v>
      </c>
      <c r="F6746" s="10" t="str">
        <f t="shared" si="1305"/>
        <v>Ramírez Valencia</v>
      </c>
      <c r="G6746" s="8">
        <v>1</v>
      </c>
      <c r="H6746" s="11">
        <v>1200</v>
      </c>
      <c r="I6746" s="12">
        <v>43282</v>
      </c>
      <c r="J6746" s="35">
        <f t="shared" si="1306"/>
        <v>0</v>
      </c>
      <c r="K6746" s="36"/>
      <c r="L6746" s="36"/>
      <c r="M6746" s="36"/>
      <c r="N6746" s="36"/>
      <c r="O6746" s="36"/>
      <c r="P6746" s="36"/>
      <c r="Q6746" s="36"/>
      <c r="R6746" s="36"/>
      <c r="S6746" s="36"/>
      <c r="T6746" s="36"/>
      <c r="U6746" s="36"/>
      <c r="V6746" s="36"/>
      <c r="W6746" s="15">
        <f t="shared" si="1307"/>
        <v>0</v>
      </c>
      <c r="X6746" s="36"/>
      <c r="Y6746" s="36"/>
      <c r="Z6746" s="36"/>
      <c r="AA6746" s="36"/>
      <c r="AB6746" s="36"/>
      <c r="AC6746" s="36"/>
      <c r="AD6746" s="36"/>
      <c r="AE6746" s="36"/>
      <c r="AF6746" s="36"/>
      <c r="AG6746" s="36"/>
      <c r="AH6746" s="36"/>
      <c r="AI6746" s="36"/>
      <c r="AJ6746" s="15">
        <f t="shared" si="1308"/>
        <v>0</v>
      </c>
      <c r="AK6746" s="14"/>
      <c r="AL6746" s="14"/>
      <c r="AM6746" s="14"/>
      <c r="AN6746" s="14">
        <v>300</v>
      </c>
      <c r="AO6746" s="14">
        <v>300</v>
      </c>
      <c r="AP6746" s="14">
        <v>300</v>
      </c>
      <c r="AQ6746" s="14">
        <v>300</v>
      </c>
      <c r="AR6746" s="14"/>
      <c r="AS6746" s="14"/>
      <c r="AT6746" s="14"/>
      <c r="AU6746" s="14"/>
      <c r="AV6746" s="14"/>
      <c r="AW6746" s="15">
        <f t="shared" si="1309"/>
        <v>1200</v>
      </c>
      <c r="AX6746" s="16"/>
    </row>
    <row r="6747" spans="2:50" x14ac:dyDescent="0.2">
      <c r="B6747" s="7"/>
      <c r="C6747" s="8">
        <v>16822</v>
      </c>
      <c r="D6747" s="9" t="s">
        <v>479</v>
      </c>
      <c r="E6747" s="10" t="str">
        <f t="shared" si="1304"/>
        <v>Rancho Zinamba No. 68</v>
      </c>
      <c r="F6747" s="10" t="str">
        <f t="shared" si="1305"/>
        <v>Rivera Villicaña</v>
      </c>
      <c r="G6747" s="8">
        <v>1</v>
      </c>
      <c r="H6747" s="11">
        <v>300</v>
      </c>
      <c r="I6747" s="12">
        <v>43282</v>
      </c>
      <c r="J6747" s="35">
        <f t="shared" si="1306"/>
        <v>0</v>
      </c>
      <c r="K6747" s="36"/>
      <c r="L6747" s="36"/>
      <c r="M6747" s="36"/>
      <c r="N6747" s="36"/>
      <c r="O6747" s="36"/>
      <c r="P6747" s="36"/>
      <c r="Q6747" s="36"/>
      <c r="R6747" s="36"/>
      <c r="S6747" s="36"/>
      <c r="T6747" s="36"/>
      <c r="U6747" s="36"/>
      <c r="V6747" s="36"/>
      <c r="W6747" s="15">
        <f t="shared" si="1307"/>
        <v>0</v>
      </c>
      <c r="X6747" s="36"/>
      <c r="Y6747" s="36"/>
      <c r="Z6747" s="36"/>
      <c r="AA6747" s="36"/>
      <c r="AB6747" s="36"/>
      <c r="AC6747" s="36"/>
      <c r="AD6747" s="36"/>
      <c r="AE6747" s="36"/>
      <c r="AF6747" s="36"/>
      <c r="AG6747" s="36"/>
      <c r="AH6747" s="36"/>
      <c r="AI6747" s="36"/>
      <c r="AJ6747" s="15">
        <f t="shared" si="1308"/>
        <v>0</v>
      </c>
      <c r="AK6747" s="14"/>
      <c r="AL6747" s="14"/>
      <c r="AM6747" s="14"/>
      <c r="AN6747" s="14"/>
      <c r="AO6747" s="14"/>
      <c r="AP6747" s="14"/>
      <c r="AQ6747" s="14">
        <v>300</v>
      </c>
      <c r="AR6747" s="14"/>
      <c r="AS6747" s="14"/>
      <c r="AT6747" s="14"/>
      <c r="AU6747" s="14"/>
      <c r="AV6747" s="14"/>
      <c r="AW6747" s="15">
        <f t="shared" si="1309"/>
        <v>300</v>
      </c>
      <c r="AX6747" s="16"/>
    </row>
    <row r="6748" spans="2:50" x14ac:dyDescent="0.2">
      <c r="B6748" s="7"/>
      <c r="C6748" s="8">
        <v>16823</v>
      </c>
      <c r="D6748" s="9" t="s">
        <v>769</v>
      </c>
      <c r="E6748" s="10" t="str">
        <f t="shared" si="1304"/>
        <v>Rancho La Cuchilla No. 66</v>
      </c>
      <c r="F6748" s="10" t="str">
        <f t="shared" si="1305"/>
        <v>Prieto</v>
      </c>
      <c r="G6748" s="8">
        <v>1</v>
      </c>
      <c r="H6748" s="11">
        <v>400</v>
      </c>
      <c r="I6748" s="12">
        <v>43282</v>
      </c>
      <c r="J6748" s="35">
        <f t="shared" si="1306"/>
        <v>0</v>
      </c>
      <c r="K6748" s="36"/>
      <c r="L6748" s="36"/>
      <c r="M6748" s="36"/>
      <c r="N6748" s="36"/>
      <c r="O6748" s="36"/>
      <c r="P6748" s="36"/>
      <c r="Q6748" s="36"/>
      <c r="R6748" s="36"/>
      <c r="S6748" s="36"/>
      <c r="T6748" s="36"/>
      <c r="U6748" s="36"/>
      <c r="V6748" s="36"/>
      <c r="W6748" s="15">
        <f t="shared" si="1307"/>
        <v>0</v>
      </c>
      <c r="X6748" s="36"/>
      <c r="Y6748" s="36"/>
      <c r="Z6748" s="36"/>
      <c r="AA6748" s="36"/>
      <c r="AB6748" s="36"/>
      <c r="AC6748" s="36"/>
      <c r="AD6748" s="36"/>
      <c r="AE6748" s="36"/>
      <c r="AF6748" s="36"/>
      <c r="AG6748" s="36"/>
      <c r="AH6748" s="36"/>
      <c r="AI6748" s="36"/>
      <c r="AJ6748" s="15">
        <f t="shared" si="1308"/>
        <v>0</v>
      </c>
      <c r="AK6748" s="14"/>
      <c r="AL6748" s="14"/>
      <c r="AM6748" s="14"/>
      <c r="AN6748" s="14"/>
      <c r="AO6748" s="14"/>
      <c r="AP6748" s="14"/>
      <c r="AQ6748" s="14">
        <v>400</v>
      </c>
      <c r="AR6748" s="14"/>
      <c r="AS6748" s="14"/>
      <c r="AT6748" s="14"/>
      <c r="AU6748" s="14"/>
      <c r="AV6748" s="14"/>
      <c r="AW6748" s="15">
        <f t="shared" si="1309"/>
        <v>400</v>
      </c>
      <c r="AX6748" s="16"/>
    </row>
    <row r="6749" spans="2:50" x14ac:dyDescent="0.2">
      <c r="B6749" s="7"/>
      <c r="C6749" s="8">
        <v>16824</v>
      </c>
      <c r="D6749" s="9" t="s">
        <v>614</v>
      </c>
      <c r="E6749" s="10" t="str">
        <f t="shared" si="1304"/>
        <v>Rancho La Cuchilla No. 82</v>
      </c>
      <c r="F6749" s="10" t="str">
        <f t="shared" si="1305"/>
        <v>Cruz</v>
      </c>
      <c r="G6749" s="8">
        <v>1</v>
      </c>
      <c r="H6749" s="11">
        <v>800</v>
      </c>
      <c r="I6749" s="12">
        <v>43282</v>
      </c>
      <c r="J6749" s="35">
        <f t="shared" si="1306"/>
        <v>0</v>
      </c>
      <c r="K6749" s="36"/>
      <c r="L6749" s="36"/>
      <c r="M6749" s="36"/>
      <c r="N6749" s="36"/>
      <c r="O6749" s="36"/>
      <c r="P6749" s="36"/>
      <c r="Q6749" s="36"/>
      <c r="R6749" s="36"/>
      <c r="S6749" s="36"/>
      <c r="T6749" s="36"/>
      <c r="U6749" s="36"/>
      <c r="V6749" s="36"/>
      <c r="W6749" s="15">
        <f t="shared" si="1307"/>
        <v>0</v>
      </c>
      <c r="X6749" s="36"/>
      <c r="Y6749" s="36"/>
      <c r="Z6749" s="36"/>
      <c r="AA6749" s="36"/>
      <c r="AB6749" s="36"/>
      <c r="AC6749" s="36"/>
      <c r="AD6749" s="36"/>
      <c r="AE6749" s="36"/>
      <c r="AF6749" s="36"/>
      <c r="AG6749" s="36"/>
      <c r="AH6749" s="36"/>
      <c r="AI6749" s="36"/>
      <c r="AJ6749" s="15">
        <f t="shared" si="1308"/>
        <v>0</v>
      </c>
      <c r="AK6749" s="14"/>
      <c r="AL6749" s="14"/>
      <c r="AM6749" s="14"/>
      <c r="AN6749" s="14"/>
      <c r="AO6749" s="14">
        <v>400</v>
      </c>
      <c r="AP6749" s="14">
        <v>400</v>
      </c>
      <c r="AQ6749" s="14"/>
      <c r="AR6749" s="14"/>
      <c r="AS6749" s="14"/>
      <c r="AT6749" s="14"/>
      <c r="AU6749" s="14"/>
      <c r="AV6749" s="14"/>
      <c r="AW6749" s="15">
        <f t="shared" si="1309"/>
        <v>800</v>
      </c>
      <c r="AX6749" s="16"/>
    </row>
    <row r="6750" spans="2:50" x14ac:dyDescent="0.2">
      <c r="B6750" s="7"/>
      <c r="C6750" s="8">
        <v>16825</v>
      </c>
      <c r="D6750" s="9" t="s">
        <v>174</v>
      </c>
      <c r="E6750" s="10" t="str">
        <f t="shared" si="1304"/>
        <v>Rancho Upácuaro No. 18</v>
      </c>
      <c r="F6750" s="10" t="str">
        <f t="shared" si="1305"/>
        <v>Guzmán</v>
      </c>
      <c r="G6750" s="8">
        <v>1</v>
      </c>
      <c r="H6750" s="11">
        <v>300</v>
      </c>
      <c r="I6750" s="12">
        <v>43282</v>
      </c>
      <c r="J6750" s="35">
        <f t="shared" si="1306"/>
        <v>0</v>
      </c>
      <c r="K6750" s="36"/>
      <c r="L6750" s="36"/>
      <c r="M6750" s="36"/>
      <c r="N6750" s="36"/>
      <c r="O6750" s="36"/>
      <c r="P6750" s="36"/>
      <c r="Q6750" s="36"/>
      <c r="R6750" s="36"/>
      <c r="S6750" s="36"/>
      <c r="T6750" s="36"/>
      <c r="U6750" s="36"/>
      <c r="V6750" s="36"/>
      <c r="W6750" s="15">
        <f t="shared" si="1307"/>
        <v>0</v>
      </c>
      <c r="X6750" s="36"/>
      <c r="Y6750" s="36"/>
      <c r="Z6750" s="36"/>
      <c r="AA6750" s="36"/>
      <c r="AB6750" s="36"/>
      <c r="AC6750" s="36"/>
      <c r="AD6750" s="36"/>
      <c r="AE6750" s="36"/>
      <c r="AF6750" s="36"/>
      <c r="AG6750" s="36"/>
      <c r="AH6750" s="36"/>
      <c r="AI6750" s="36"/>
      <c r="AJ6750" s="15">
        <f t="shared" si="1308"/>
        <v>0</v>
      </c>
      <c r="AK6750" s="14"/>
      <c r="AL6750" s="14"/>
      <c r="AM6750" s="14"/>
      <c r="AN6750" s="14"/>
      <c r="AO6750" s="14"/>
      <c r="AP6750" s="14">
        <v>300</v>
      </c>
      <c r="AQ6750" s="14"/>
      <c r="AR6750" s="14"/>
      <c r="AS6750" s="14"/>
      <c r="AT6750" s="14"/>
      <c r="AU6750" s="14"/>
      <c r="AV6750" s="14"/>
      <c r="AW6750" s="15">
        <f t="shared" si="1309"/>
        <v>300</v>
      </c>
      <c r="AX6750" s="16"/>
    </row>
    <row r="6751" spans="2:50" x14ac:dyDescent="0.2">
      <c r="B6751" s="7"/>
      <c r="C6751" s="8">
        <v>16826</v>
      </c>
      <c r="D6751" s="9" t="s">
        <v>843</v>
      </c>
      <c r="E6751" s="10" t="str">
        <f t="shared" si="1304"/>
        <v>Rancho Landero No. 12</v>
      </c>
      <c r="F6751" s="10" t="str">
        <f t="shared" si="1305"/>
        <v>Guzmán Silva</v>
      </c>
      <c r="G6751" s="8">
        <v>1</v>
      </c>
      <c r="H6751" s="11">
        <v>400</v>
      </c>
      <c r="I6751" s="12">
        <v>43282</v>
      </c>
      <c r="J6751" s="35">
        <f t="shared" si="1306"/>
        <v>0</v>
      </c>
      <c r="K6751" s="36"/>
      <c r="L6751" s="36"/>
      <c r="M6751" s="36"/>
      <c r="N6751" s="36"/>
      <c r="O6751" s="36"/>
      <c r="P6751" s="36"/>
      <c r="Q6751" s="36"/>
      <c r="R6751" s="36"/>
      <c r="S6751" s="36"/>
      <c r="T6751" s="36"/>
      <c r="U6751" s="36"/>
      <c r="V6751" s="36"/>
      <c r="W6751" s="15">
        <f t="shared" si="1307"/>
        <v>0</v>
      </c>
      <c r="X6751" s="36"/>
      <c r="Y6751" s="36"/>
      <c r="Z6751" s="36"/>
      <c r="AA6751" s="36"/>
      <c r="AB6751" s="36"/>
      <c r="AC6751" s="36"/>
      <c r="AD6751" s="36"/>
      <c r="AE6751" s="36"/>
      <c r="AF6751" s="36"/>
      <c r="AG6751" s="36"/>
      <c r="AH6751" s="36"/>
      <c r="AI6751" s="36"/>
      <c r="AJ6751" s="15">
        <f t="shared" si="1308"/>
        <v>0</v>
      </c>
      <c r="AK6751" s="14"/>
      <c r="AL6751" s="14"/>
      <c r="AM6751" s="14"/>
      <c r="AN6751" s="14"/>
      <c r="AO6751" s="14">
        <v>200</v>
      </c>
      <c r="AP6751" s="14">
        <v>200</v>
      </c>
      <c r="AQ6751" s="14"/>
      <c r="AR6751" s="14"/>
      <c r="AS6751" s="14"/>
      <c r="AT6751" s="14"/>
      <c r="AU6751" s="14"/>
      <c r="AV6751" s="14"/>
      <c r="AW6751" s="15">
        <f t="shared" si="1309"/>
        <v>400</v>
      </c>
      <c r="AX6751" s="16"/>
    </row>
    <row r="6752" spans="2:50" x14ac:dyDescent="0.2">
      <c r="B6752" s="7"/>
      <c r="C6752" s="8">
        <v>16827</v>
      </c>
      <c r="D6752" s="9" t="s">
        <v>186</v>
      </c>
      <c r="E6752" s="10" t="str">
        <f t="shared" si="1304"/>
        <v>Rancho Upácuaro No. 100</v>
      </c>
      <c r="F6752" s="10" t="str">
        <f t="shared" si="1305"/>
        <v>Valdez</v>
      </c>
      <c r="G6752" s="8">
        <v>1</v>
      </c>
      <c r="H6752" s="11">
        <v>800</v>
      </c>
      <c r="I6752" s="12">
        <v>43282</v>
      </c>
      <c r="J6752" s="35">
        <f t="shared" si="1306"/>
        <v>0</v>
      </c>
      <c r="K6752" s="36"/>
      <c r="L6752" s="36"/>
      <c r="M6752" s="36"/>
      <c r="N6752" s="36"/>
      <c r="O6752" s="36"/>
      <c r="P6752" s="36"/>
      <c r="Q6752" s="36"/>
      <c r="R6752" s="36"/>
      <c r="S6752" s="36"/>
      <c r="T6752" s="36"/>
      <c r="U6752" s="36"/>
      <c r="V6752" s="36"/>
      <c r="W6752" s="15">
        <f t="shared" si="1307"/>
        <v>0</v>
      </c>
      <c r="X6752" s="36"/>
      <c r="Y6752" s="36"/>
      <c r="Z6752" s="36"/>
      <c r="AA6752" s="36"/>
      <c r="AB6752" s="36"/>
      <c r="AC6752" s="36"/>
      <c r="AD6752" s="36"/>
      <c r="AE6752" s="36"/>
      <c r="AF6752" s="36"/>
      <c r="AG6752" s="36"/>
      <c r="AH6752" s="36"/>
      <c r="AI6752" s="36"/>
      <c r="AJ6752" s="15">
        <f t="shared" si="1308"/>
        <v>0</v>
      </c>
      <c r="AK6752" s="14"/>
      <c r="AL6752" s="14"/>
      <c r="AM6752" s="14"/>
      <c r="AN6752" s="14"/>
      <c r="AO6752" s="14">
        <v>400</v>
      </c>
      <c r="AP6752" s="14">
        <v>400</v>
      </c>
      <c r="AQ6752" s="14"/>
      <c r="AR6752" s="14"/>
      <c r="AS6752" s="14"/>
      <c r="AT6752" s="14"/>
      <c r="AU6752" s="14"/>
      <c r="AV6752" s="14"/>
      <c r="AW6752" s="15">
        <f t="shared" si="1309"/>
        <v>800</v>
      </c>
      <c r="AX6752" s="16"/>
    </row>
    <row r="6753" spans="2:51" x14ac:dyDescent="0.2">
      <c r="B6753" s="7"/>
      <c r="C6753" s="8">
        <v>16828</v>
      </c>
      <c r="D6753" s="9" t="s">
        <v>1073</v>
      </c>
      <c r="E6753" s="10" t="str">
        <f t="shared" si="1304"/>
        <v>Rancho Upácuaro No. 96</v>
      </c>
      <c r="F6753" s="10" t="str">
        <f t="shared" si="1305"/>
        <v>Daza Gutiérrez</v>
      </c>
      <c r="G6753" s="8">
        <v>1</v>
      </c>
      <c r="H6753" s="11">
        <v>800</v>
      </c>
      <c r="I6753" s="12">
        <v>43282</v>
      </c>
      <c r="J6753" s="35">
        <f t="shared" si="1306"/>
        <v>0</v>
      </c>
      <c r="K6753" s="36"/>
      <c r="L6753" s="36"/>
      <c r="M6753" s="36"/>
      <c r="N6753" s="36"/>
      <c r="O6753" s="36"/>
      <c r="P6753" s="36"/>
      <c r="Q6753" s="36"/>
      <c r="R6753" s="36"/>
      <c r="S6753" s="36"/>
      <c r="T6753" s="36"/>
      <c r="U6753" s="36"/>
      <c r="V6753" s="36"/>
      <c r="W6753" s="15">
        <f t="shared" si="1307"/>
        <v>0</v>
      </c>
      <c r="X6753" s="36"/>
      <c r="Y6753" s="36"/>
      <c r="Z6753" s="36"/>
      <c r="AA6753" s="36"/>
      <c r="AB6753" s="36"/>
      <c r="AC6753" s="36"/>
      <c r="AD6753" s="36"/>
      <c r="AE6753" s="36"/>
      <c r="AF6753" s="36"/>
      <c r="AG6753" s="36"/>
      <c r="AH6753" s="36"/>
      <c r="AI6753" s="36"/>
      <c r="AJ6753" s="15">
        <f t="shared" si="1308"/>
        <v>0</v>
      </c>
      <c r="AK6753" s="14"/>
      <c r="AL6753" s="14"/>
      <c r="AM6753" s="14"/>
      <c r="AN6753" s="14"/>
      <c r="AO6753" s="14">
        <v>400</v>
      </c>
      <c r="AP6753" s="14">
        <v>400</v>
      </c>
      <c r="AQ6753" s="14"/>
      <c r="AR6753" s="14"/>
      <c r="AS6753" s="14"/>
      <c r="AT6753" s="14"/>
      <c r="AU6753" s="14"/>
      <c r="AV6753" s="14"/>
      <c r="AW6753" s="15">
        <f t="shared" si="1309"/>
        <v>800</v>
      </c>
      <c r="AX6753" s="16"/>
    </row>
    <row r="6754" spans="2:51" x14ac:dyDescent="0.2">
      <c r="B6754" s="7"/>
      <c r="C6754" s="8">
        <v>16829</v>
      </c>
      <c r="D6754" s="9" t="s">
        <v>416</v>
      </c>
      <c r="E6754" s="10" t="str">
        <f t="shared" si="1298"/>
        <v>Rancho La Cuchilla No. 112, PB</v>
      </c>
      <c r="F6754" s="10" t="str">
        <f t="shared" si="1299"/>
        <v>Soreque</v>
      </c>
      <c r="G6754" s="8">
        <v>1</v>
      </c>
      <c r="H6754" s="11">
        <v>200</v>
      </c>
      <c r="I6754" s="12">
        <v>43282</v>
      </c>
      <c r="J6754" s="35">
        <f t="shared" si="1300"/>
        <v>0</v>
      </c>
      <c r="K6754" s="36"/>
      <c r="L6754" s="36"/>
      <c r="M6754" s="36"/>
      <c r="N6754" s="36"/>
      <c r="O6754" s="36"/>
      <c r="P6754" s="36"/>
      <c r="Q6754" s="36"/>
      <c r="R6754" s="36"/>
      <c r="S6754" s="36"/>
      <c r="T6754" s="36"/>
      <c r="U6754" s="36"/>
      <c r="V6754" s="36"/>
      <c r="W6754" s="15">
        <f t="shared" si="1301"/>
        <v>0</v>
      </c>
      <c r="X6754" s="36"/>
      <c r="Y6754" s="36"/>
      <c r="Z6754" s="36"/>
      <c r="AA6754" s="36"/>
      <c r="AB6754" s="36"/>
      <c r="AC6754" s="36"/>
      <c r="AD6754" s="36"/>
      <c r="AE6754" s="36"/>
      <c r="AF6754" s="36"/>
      <c r="AG6754" s="36"/>
      <c r="AH6754" s="36"/>
      <c r="AI6754" s="36"/>
      <c r="AJ6754" s="15">
        <f t="shared" si="1302"/>
        <v>0</v>
      </c>
      <c r="AK6754" s="14"/>
      <c r="AL6754" s="14"/>
      <c r="AM6754" s="14"/>
      <c r="AN6754" s="14"/>
      <c r="AO6754" s="14"/>
      <c r="AP6754" s="14"/>
      <c r="AQ6754" s="14">
        <v>200</v>
      </c>
      <c r="AR6754" s="14"/>
      <c r="AS6754" s="14"/>
      <c r="AT6754" s="14"/>
      <c r="AU6754" s="14"/>
      <c r="AV6754" s="14"/>
      <c r="AW6754" s="15">
        <f t="shared" si="1303"/>
        <v>200</v>
      </c>
      <c r="AX6754" s="316">
        <f>SUM(H6716:H6754)</f>
        <v>18900</v>
      </c>
    </row>
    <row r="6755" spans="2:51" x14ac:dyDescent="0.2">
      <c r="B6755" s="7"/>
      <c r="C6755" s="8">
        <v>16830</v>
      </c>
      <c r="D6755" s="9" t="s">
        <v>929</v>
      </c>
      <c r="E6755" s="10" t="str">
        <f t="shared" si="1298"/>
        <v>Rancho Estanzuela No. 157, 3</v>
      </c>
      <c r="F6755" s="10" t="str">
        <f t="shared" si="1299"/>
        <v>Valdez</v>
      </c>
      <c r="G6755" s="8">
        <v>5</v>
      </c>
      <c r="H6755" s="11">
        <v>50</v>
      </c>
      <c r="I6755" s="12">
        <v>43282</v>
      </c>
      <c r="J6755" s="35">
        <f t="shared" si="1300"/>
        <v>0</v>
      </c>
      <c r="K6755" s="36"/>
      <c r="L6755" s="36"/>
      <c r="M6755" s="36"/>
      <c r="N6755" s="36"/>
      <c r="O6755" s="36"/>
      <c r="P6755" s="36"/>
      <c r="Q6755" s="36"/>
      <c r="R6755" s="36"/>
      <c r="S6755" s="36"/>
      <c r="T6755" s="36"/>
      <c r="U6755" s="36"/>
      <c r="V6755" s="36"/>
      <c r="W6755" s="15">
        <f t="shared" si="1301"/>
        <v>0</v>
      </c>
      <c r="X6755" s="36"/>
      <c r="Y6755" s="36"/>
      <c r="Z6755" s="36"/>
      <c r="AA6755" s="36"/>
      <c r="AB6755" s="36"/>
      <c r="AC6755" s="36"/>
      <c r="AD6755" s="36"/>
      <c r="AE6755" s="36"/>
      <c r="AF6755" s="36"/>
      <c r="AG6755" s="36"/>
      <c r="AH6755" s="36"/>
      <c r="AI6755" s="36"/>
      <c r="AJ6755" s="15">
        <f t="shared" si="1302"/>
        <v>0</v>
      </c>
      <c r="AK6755" s="14"/>
      <c r="AL6755" s="14"/>
      <c r="AM6755" s="14"/>
      <c r="AN6755" s="14"/>
      <c r="AO6755" s="14"/>
      <c r="AP6755" s="14"/>
      <c r="AQ6755" s="14"/>
      <c r="AR6755" s="14"/>
      <c r="AS6755" s="14"/>
      <c r="AT6755" s="14"/>
      <c r="AU6755" s="14"/>
      <c r="AV6755" s="14"/>
      <c r="AW6755" s="15">
        <f t="shared" si="1303"/>
        <v>0</v>
      </c>
      <c r="AX6755" s="16"/>
      <c r="AY6755">
        <v>18950</v>
      </c>
    </row>
    <row r="6756" spans="2:51" x14ac:dyDescent="0.2">
      <c r="B6756" s="7"/>
      <c r="C6756" s="8">
        <v>16831</v>
      </c>
      <c r="D6756" s="9" t="s">
        <v>1110</v>
      </c>
      <c r="E6756" s="10" t="str">
        <f t="shared" si="1298"/>
        <v>Rancho Upácuaro No. 103</v>
      </c>
      <c r="F6756" s="10" t="str">
        <f t="shared" si="1299"/>
        <v>Alfaro</v>
      </c>
      <c r="G6756" s="8">
        <v>1</v>
      </c>
      <c r="H6756" s="315">
        <v>400</v>
      </c>
      <c r="I6756" s="12">
        <v>43283</v>
      </c>
      <c r="J6756" s="35">
        <f t="shared" si="1300"/>
        <v>0</v>
      </c>
      <c r="K6756" s="36"/>
      <c r="L6756" s="36"/>
      <c r="M6756" s="36"/>
      <c r="N6756" s="36"/>
      <c r="O6756" s="36"/>
      <c r="P6756" s="36"/>
      <c r="Q6756" s="36"/>
      <c r="R6756" s="36"/>
      <c r="S6756" s="36"/>
      <c r="T6756" s="36"/>
      <c r="U6756" s="36"/>
      <c r="V6756" s="36"/>
      <c r="W6756" s="15">
        <f t="shared" si="1301"/>
        <v>0</v>
      </c>
      <c r="X6756" s="36"/>
      <c r="Y6756" s="36"/>
      <c r="Z6756" s="36"/>
      <c r="AA6756" s="36"/>
      <c r="AB6756" s="36"/>
      <c r="AC6756" s="36"/>
      <c r="AD6756" s="36"/>
      <c r="AE6756" s="36"/>
      <c r="AF6756" s="36"/>
      <c r="AG6756" s="36"/>
      <c r="AH6756" s="36"/>
      <c r="AI6756" s="36"/>
      <c r="AJ6756" s="15">
        <f t="shared" si="1302"/>
        <v>0</v>
      </c>
      <c r="AK6756" s="14"/>
      <c r="AL6756" s="14"/>
      <c r="AM6756" s="14"/>
      <c r="AN6756" s="14"/>
      <c r="AO6756" s="14"/>
      <c r="AP6756" s="14">
        <v>400</v>
      </c>
      <c r="AQ6756" s="14"/>
      <c r="AR6756" s="14"/>
      <c r="AS6756" s="14"/>
      <c r="AT6756" s="14"/>
      <c r="AU6756" s="14"/>
      <c r="AV6756" s="14"/>
      <c r="AW6756" s="15">
        <f t="shared" si="1303"/>
        <v>400</v>
      </c>
      <c r="AX6756" s="16"/>
    </row>
    <row r="6757" spans="2:51" x14ac:dyDescent="0.2">
      <c r="B6757" s="7"/>
      <c r="C6757" s="8">
        <v>16832</v>
      </c>
      <c r="D6757" s="9" t="s">
        <v>177</v>
      </c>
      <c r="E6757" s="10" t="str">
        <f t="shared" si="1298"/>
        <v>Rancho Landero No. 71</v>
      </c>
      <c r="F6757" s="10" t="str">
        <f t="shared" si="1299"/>
        <v xml:space="preserve">Luna  </v>
      </c>
      <c r="G6757" s="8">
        <v>1</v>
      </c>
      <c r="H6757" s="11">
        <v>400</v>
      </c>
      <c r="I6757" s="12">
        <v>43284</v>
      </c>
      <c r="J6757" s="35">
        <f t="shared" si="1300"/>
        <v>0</v>
      </c>
      <c r="K6757" s="36"/>
      <c r="L6757" s="36"/>
      <c r="M6757" s="36"/>
      <c r="N6757" s="36"/>
      <c r="O6757" s="36"/>
      <c r="P6757" s="36"/>
      <c r="Q6757" s="36"/>
      <c r="R6757" s="36"/>
      <c r="S6757" s="36"/>
      <c r="T6757" s="36"/>
      <c r="U6757" s="36"/>
      <c r="V6757" s="36"/>
      <c r="W6757" s="15">
        <f t="shared" si="1301"/>
        <v>0</v>
      </c>
      <c r="X6757" s="36"/>
      <c r="Y6757" s="36"/>
      <c r="Z6757" s="36"/>
      <c r="AA6757" s="36"/>
      <c r="AB6757" s="36"/>
      <c r="AC6757" s="36"/>
      <c r="AD6757" s="36"/>
      <c r="AE6757" s="36"/>
      <c r="AF6757" s="36"/>
      <c r="AG6757" s="36"/>
      <c r="AH6757" s="36"/>
      <c r="AI6757" s="36"/>
      <c r="AJ6757" s="15">
        <f t="shared" si="1302"/>
        <v>0</v>
      </c>
      <c r="AK6757" s="14"/>
      <c r="AL6757" s="14"/>
      <c r="AM6757" s="14"/>
      <c r="AN6757" s="14"/>
      <c r="AO6757" s="14"/>
      <c r="AP6757" s="14">
        <v>400</v>
      </c>
      <c r="AQ6757" s="14"/>
      <c r="AR6757" s="14"/>
      <c r="AS6757" s="14"/>
      <c r="AT6757" s="14"/>
      <c r="AU6757" s="14"/>
      <c r="AV6757" s="14"/>
      <c r="AW6757" s="15">
        <f t="shared" si="1303"/>
        <v>400</v>
      </c>
      <c r="AX6757" s="16"/>
    </row>
    <row r="6758" spans="2:51" x14ac:dyDescent="0.2">
      <c r="B6758" s="7" t="s">
        <v>4983</v>
      </c>
      <c r="C6758" s="8">
        <v>16833</v>
      </c>
      <c r="D6758" s="9" t="s">
        <v>571</v>
      </c>
      <c r="E6758" s="10" t="str">
        <f t="shared" si="1298"/>
        <v>Rancho Estanzuela No. 15, A</v>
      </c>
      <c r="F6758" s="10" t="str">
        <f t="shared" si="1299"/>
        <v>González</v>
      </c>
      <c r="G6758" s="8"/>
      <c r="H6758" s="11"/>
      <c r="I6758" s="12">
        <v>43286</v>
      </c>
      <c r="J6758" s="35">
        <f t="shared" si="1300"/>
        <v>0</v>
      </c>
      <c r="K6758" s="36"/>
      <c r="L6758" s="36"/>
      <c r="M6758" s="36"/>
      <c r="N6758" s="36"/>
      <c r="O6758" s="36"/>
      <c r="P6758" s="36"/>
      <c r="Q6758" s="36"/>
      <c r="R6758" s="36"/>
      <c r="S6758" s="36"/>
      <c r="T6758" s="36"/>
      <c r="U6758" s="36"/>
      <c r="V6758" s="36"/>
      <c r="W6758" s="15">
        <f t="shared" si="1301"/>
        <v>0</v>
      </c>
      <c r="X6758" s="36"/>
      <c r="Y6758" s="36"/>
      <c r="Z6758" s="36"/>
      <c r="AA6758" s="36"/>
      <c r="AB6758" s="36"/>
      <c r="AC6758" s="36"/>
      <c r="AD6758" s="36"/>
      <c r="AE6758" s="36"/>
      <c r="AF6758" s="36"/>
      <c r="AG6758" s="36"/>
      <c r="AH6758" s="36"/>
      <c r="AI6758" s="36"/>
      <c r="AJ6758" s="15">
        <f t="shared" si="1302"/>
        <v>0</v>
      </c>
      <c r="AK6758" s="14"/>
      <c r="AL6758" s="14"/>
      <c r="AM6758" s="14"/>
      <c r="AN6758" s="14"/>
      <c r="AO6758" s="14"/>
      <c r="AP6758" s="14"/>
      <c r="AQ6758" s="14"/>
      <c r="AR6758" s="14"/>
      <c r="AS6758" s="14"/>
      <c r="AT6758" s="14"/>
      <c r="AU6758" s="14"/>
      <c r="AV6758" s="14"/>
      <c r="AW6758" s="15">
        <f t="shared" si="1303"/>
        <v>0</v>
      </c>
      <c r="AX6758" s="16"/>
    </row>
    <row r="6759" spans="2:51" x14ac:dyDescent="0.2">
      <c r="B6759" s="7" t="s">
        <v>4983</v>
      </c>
      <c r="C6759" s="8">
        <v>16834</v>
      </c>
      <c r="D6759" s="9" t="s">
        <v>211</v>
      </c>
      <c r="E6759" s="10" t="str">
        <f t="shared" si="1298"/>
        <v>Rancho Upácuaro No. 46</v>
      </c>
      <c r="F6759" s="10" t="str">
        <f t="shared" si="1299"/>
        <v>Fuentes</v>
      </c>
      <c r="G6759" s="8">
        <v>1</v>
      </c>
      <c r="H6759" s="11">
        <v>300</v>
      </c>
      <c r="I6759" s="12">
        <v>43286</v>
      </c>
      <c r="J6759" s="35">
        <f t="shared" si="1300"/>
        <v>0</v>
      </c>
      <c r="K6759" s="36"/>
      <c r="L6759" s="36"/>
      <c r="M6759" s="36"/>
      <c r="N6759" s="36"/>
      <c r="O6759" s="36"/>
      <c r="P6759" s="36"/>
      <c r="Q6759" s="36"/>
      <c r="R6759" s="36"/>
      <c r="S6759" s="36"/>
      <c r="T6759" s="36"/>
      <c r="U6759" s="36"/>
      <c r="V6759" s="36"/>
      <c r="W6759" s="15">
        <f t="shared" si="1301"/>
        <v>0</v>
      </c>
      <c r="X6759" s="36"/>
      <c r="Y6759" s="36"/>
      <c r="Z6759" s="36"/>
      <c r="AA6759" s="36"/>
      <c r="AB6759" s="36"/>
      <c r="AC6759" s="36"/>
      <c r="AD6759" s="36"/>
      <c r="AE6759" s="36"/>
      <c r="AF6759" s="36"/>
      <c r="AG6759" s="36"/>
      <c r="AH6759" s="36"/>
      <c r="AI6759" s="36"/>
      <c r="AJ6759" s="15">
        <f t="shared" si="1302"/>
        <v>0</v>
      </c>
      <c r="AK6759" s="14"/>
      <c r="AL6759" s="14"/>
      <c r="AM6759" s="14"/>
      <c r="AN6759" s="14"/>
      <c r="AO6759" s="14"/>
      <c r="AP6759" s="14"/>
      <c r="AQ6759" s="14">
        <v>300</v>
      </c>
      <c r="AR6759" s="14"/>
      <c r="AS6759" s="14"/>
      <c r="AT6759" s="14"/>
      <c r="AU6759" s="14"/>
      <c r="AV6759" s="14"/>
      <c r="AW6759" s="15">
        <f t="shared" si="1303"/>
        <v>300</v>
      </c>
      <c r="AX6759" s="16"/>
    </row>
    <row r="6760" spans="2:51" x14ac:dyDescent="0.2">
      <c r="B6760" s="7" t="s">
        <v>4983</v>
      </c>
      <c r="C6760" s="8">
        <v>16835</v>
      </c>
      <c r="D6760" s="9" t="s">
        <v>208</v>
      </c>
      <c r="E6760" s="10" t="str">
        <f t="shared" si="1298"/>
        <v>Rancho La Cuchilla No. 29</v>
      </c>
      <c r="F6760" s="10" t="str">
        <f t="shared" si="1299"/>
        <v>Vega Sánchez C.</v>
      </c>
      <c r="G6760" s="8"/>
      <c r="H6760" s="11"/>
      <c r="I6760" s="12">
        <v>43286</v>
      </c>
      <c r="J6760" s="35">
        <f t="shared" si="1300"/>
        <v>0</v>
      </c>
      <c r="K6760" s="36"/>
      <c r="L6760" s="36"/>
      <c r="M6760" s="36"/>
      <c r="N6760" s="36"/>
      <c r="O6760" s="36"/>
      <c r="P6760" s="36"/>
      <c r="Q6760" s="36"/>
      <c r="R6760" s="36"/>
      <c r="S6760" s="36"/>
      <c r="T6760" s="36"/>
      <c r="U6760" s="36"/>
      <c r="V6760" s="36"/>
      <c r="W6760" s="15">
        <f t="shared" si="1301"/>
        <v>0</v>
      </c>
      <c r="X6760" s="36"/>
      <c r="Y6760" s="36"/>
      <c r="Z6760" s="36"/>
      <c r="AA6760" s="36"/>
      <c r="AB6760" s="36"/>
      <c r="AC6760" s="36"/>
      <c r="AD6760" s="36"/>
      <c r="AE6760" s="36"/>
      <c r="AF6760" s="36"/>
      <c r="AG6760" s="36"/>
      <c r="AH6760" s="36"/>
      <c r="AI6760" s="36"/>
      <c r="AJ6760" s="15">
        <f t="shared" si="1302"/>
        <v>0</v>
      </c>
      <c r="AK6760" s="14"/>
      <c r="AL6760" s="14"/>
      <c r="AM6760" s="14"/>
      <c r="AN6760" s="14"/>
      <c r="AO6760" s="14"/>
      <c r="AP6760" s="14"/>
      <c r="AQ6760" s="14"/>
      <c r="AR6760" s="14"/>
      <c r="AS6760" s="14"/>
      <c r="AT6760" s="14"/>
      <c r="AU6760" s="14"/>
      <c r="AV6760" s="14"/>
      <c r="AW6760" s="15">
        <f t="shared" si="1303"/>
        <v>0</v>
      </c>
      <c r="AX6760" s="16"/>
    </row>
    <row r="6761" spans="2:51" x14ac:dyDescent="0.2">
      <c r="B6761" s="7" t="s">
        <v>4983</v>
      </c>
      <c r="C6761" s="8">
        <v>16836</v>
      </c>
      <c r="D6761" s="9" t="s">
        <v>571</v>
      </c>
      <c r="E6761" s="10" t="str">
        <f t="shared" si="1298"/>
        <v>Rancho Estanzuela No. 15, A</v>
      </c>
      <c r="F6761" s="10" t="str">
        <f t="shared" si="1299"/>
        <v>González</v>
      </c>
      <c r="G6761" s="8"/>
      <c r="H6761" s="11"/>
      <c r="I6761" s="12">
        <v>43286</v>
      </c>
      <c r="J6761" s="35">
        <f t="shared" si="1300"/>
        <v>0</v>
      </c>
      <c r="K6761" s="36"/>
      <c r="L6761" s="36"/>
      <c r="M6761" s="36"/>
      <c r="N6761" s="36"/>
      <c r="O6761" s="36"/>
      <c r="P6761" s="36"/>
      <c r="Q6761" s="36"/>
      <c r="R6761" s="36"/>
      <c r="S6761" s="36"/>
      <c r="T6761" s="36"/>
      <c r="U6761" s="36"/>
      <c r="V6761" s="36"/>
      <c r="W6761" s="15">
        <f t="shared" si="1301"/>
        <v>0</v>
      </c>
      <c r="X6761" s="36"/>
      <c r="Y6761" s="36"/>
      <c r="Z6761" s="36"/>
      <c r="AA6761" s="36"/>
      <c r="AB6761" s="36"/>
      <c r="AC6761" s="36"/>
      <c r="AD6761" s="36"/>
      <c r="AE6761" s="36"/>
      <c r="AF6761" s="36"/>
      <c r="AG6761" s="36"/>
      <c r="AH6761" s="36"/>
      <c r="AI6761" s="36"/>
      <c r="AJ6761" s="15">
        <f t="shared" si="1302"/>
        <v>0</v>
      </c>
      <c r="AK6761" s="14"/>
      <c r="AL6761" s="14"/>
      <c r="AM6761" s="14"/>
      <c r="AN6761" s="14"/>
      <c r="AO6761" s="14"/>
      <c r="AP6761" s="14"/>
      <c r="AQ6761" s="14"/>
      <c r="AR6761" s="14"/>
      <c r="AS6761" s="14"/>
      <c r="AT6761" s="14"/>
      <c r="AU6761" s="14"/>
      <c r="AV6761" s="14"/>
      <c r="AW6761" s="15">
        <f t="shared" si="1303"/>
        <v>0</v>
      </c>
      <c r="AX6761" s="16"/>
    </row>
    <row r="6762" spans="2:51" x14ac:dyDescent="0.2">
      <c r="B6762" s="7"/>
      <c r="C6762" s="8">
        <v>16837</v>
      </c>
      <c r="D6762" s="9" t="s">
        <v>954</v>
      </c>
      <c r="E6762" s="10" t="str">
        <f t="shared" si="1298"/>
        <v>Rancho Landero No. 36</v>
      </c>
      <c r="F6762" s="10" t="str">
        <f t="shared" si="1299"/>
        <v>Jaime</v>
      </c>
      <c r="G6762" s="8">
        <v>3</v>
      </c>
      <c r="H6762" s="11">
        <v>200</v>
      </c>
      <c r="I6762" s="12">
        <v>43287</v>
      </c>
      <c r="J6762" s="35">
        <f t="shared" si="1300"/>
        <v>0</v>
      </c>
      <c r="K6762" s="36"/>
      <c r="L6762" s="36"/>
      <c r="M6762" s="36"/>
      <c r="N6762" s="36"/>
      <c r="O6762" s="36"/>
      <c r="P6762" s="36"/>
      <c r="Q6762" s="36"/>
      <c r="R6762" s="36"/>
      <c r="S6762" s="36"/>
      <c r="T6762" s="36"/>
      <c r="U6762" s="36"/>
      <c r="V6762" s="36"/>
      <c r="W6762" s="15">
        <f t="shared" si="1301"/>
        <v>0</v>
      </c>
      <c r="X6762" s="36"/>
      <c r="Y6762" s="36"/>
      <c r="Z6762" s="36"/>
      <c r="AA6762" s="36"/>
      <c r="AB6762" s="36"/>
      <c r="AC6762" s="36"/>
      <c r="AD6762" s="36"/>
      <c r="AE6762" s="36"/>
      <c r="AF6762" s="36"/>
      <c r="AG6762" s="36"/>
      <c r="AH6762" s="36"/>
      <c r="AI6762" s="36"/>
      <c r="AJ6762" s="15">
        <f t="shared" si="1302"/>
        <v>0</v>
      </c>
      <c r="AK6762" s="14"/>
      <c r="AL6762" s="14"/>
      <c r="AM6762" s="14"/>
      <c r="AN6762" s="14"/>
      <c r="AO6762" s="14"/>
      <c r="AP6762" s="14"/>
      <c r="AQ6762" s="14"/>
      <c r="AR6762" s="14"/>
      <c r="AS6762" s="14"/>
      <c r="AT6762" s="14"/>
      <c r="AU6762" s="14"/>
      <c r="AV6762" s="14"/>
      <c r="AW6762" s="15">
        <f t="shared" si="1303"/>
        <v>0</v>
      </c>
      <c r="AX6762" s="16"/>
    </row>
    <row r="6763" spans="2:51" x14ac:dyDescent="0.2">
      <c r="B6763" s="7"/>
      <c r="C6763" s="8">
        <v>16838</v>
      </c>
      <c r="D6763" s="9" t="s">
        <v>346</v>
      </c>
      <c r="E6763" s="10" t="str">
        <f t="shared" si="1298"/>
        <v>Rancho Upácuaro No. 108</v>
      </c>
      <c r="F6763" s="10" t="str">
        <f t="shared" si="1299"/>
        <v>Mejía</v>
      </c>
      <c r="G6763" s="8">
        <v>1</v>
      </c>
      <c r="H6763" s="11">
        <v>300</v>
      </c>
      <c r="I6763" s="12">
        <v>43287</v>
      </c>
      <c r="J6763" s="35">
        <f t="shared" si="1300"/>
        <v>0</v>
      </c>
      <c r="K6763" s="36"/>
      <c r="L6763" s="36"/>
      <c r="M6763" s="36"/>
      <c r="N6763" s="36"/>
      <c r="O6763" s="36"/>
      <c r="P6763" s="36"/>
      <c r="Q6763" s="36"/>
      <c r="R6763" s="36"/>
      <c r="S6763" s="36"/>
      <c r="T6763" s="36"/>
      <c r="U6763" s="36"/>
      <c r="V6763" s="36"/>
      <c r="W6763" s="15">
        <f t="shared" si="1301"/>
        <v>0</v>
      </c>
      <c r="X6763" s="36"/>
      <c r="Y6763" s="36"/>
      <c r="Z6763" s="36"/>
      <c r="AA6763" s="36"/>
      <c r="AB6763" s="36"/>
      <c r="AC6763" s="36"/>
      <c r="AD6763" s="36"/>
      <c r="AE6763" s="36"/>
      <c r="AF6763" s="36"/>
      <c r="AG6763" s="36"/>
      <c r="AH6763" s="36"/>
      <c r="AI6763" s="36"/>
      <c r="AJ6763" s="15">
        <f t="shared" si="1302"/>
        <v>0</v>
      </c>
      <c r="AK6763" s="14"/>
      <c r="AL6763" s="14"/>
      <c r="AM6763" s="14"/>
      <c r="AN6763" s="14"/>
      <c r="AO6763" s="14"/>
      <c r="AP6763" s="14"/>
      <c r="AQ6763" s="14">
        <v>300</v>
      </c>
      <c r="AR6763" s="14"/>
      <c r="AS6763" s="14"/>
      <c r="AT6763" s="14"/>
      <c r="AU6763" s="14"/>
      <c r="AV6763" s="14"/>
      <c r="AW6763" s="15">
        <f t="shared" si="1303"/>
        <v>300</v>
      </c>
      <c r="AX6763" s="16"/>
    </row>
    <row r="6764" spans="2:51" x14ac:dyDescent="0.2">
      <c r="B6764" s="7"/>
      <c r="C6764" s="8">
        <v>16839</v>
      </c>
      <c r="D6764" s="9" t="s">
        <v>1335</v>
      </c>
      <c r="E6764" s="10" t="str">
        <f t="shared" si="1298"/>
        <v>Rancho Estanzuela No. 49</v>
      </c>
      <c r="F6764" s="10" t="str">
        <f t="shared" si="1299"/>
        <v>Sánchez Zamora</v>
      </c>
      <c r="G6764" s="8">
        <v>1</v>
      </c>
      <c r="H6764" s="11">
        <v>200</v>
      </c>
      <c r="I6764" s="12">
        <v>43287</v>
      </c>
      <c r="J6764" s="35">
        <f t="shared" si="1300"/>
        <v>0</v>
      </c>
      <c r="K6764" s="36"/>
      <c r="L6764" s="36"/>
      <c r="M6764" s="36"/>
      <c r="N6764" s="36"/>
      <c r="O6764" s="36"/>
      <c r="P6764" s="36"/>
      <c r="Q6764" s="36"/>
      <c r="R6764" s="36"/>
      <c r="S6764" s="36"/>
      <c r="T6764" s="36"/>
      <c r="U6764" s="36"/>
      <c r="V6764" s="36"/>
      <c r="W6764" s="15">
        <f t="shared" si="1301"/>
        <v>0</v>
      </c>
      <c r="X6764" s="36"/>
      <c r="Y6764" s="36"/>
      <c r="Z6764" s="36"/>
      <c r="AA6764" s="36"/>
      <c r="AB6764" s="36"/>
      <c r="AC6764" s="36"/>
      <c r="AD6764" s="36"/>
      <c r="AE6764" s="36"/>
      <c r="AF6764" s="36"/>
      <c r="AG6764" s="36"/>
      <c r="AH6764" s="36"/>
      <c r="AI6764" s="36"/>
      <c r="AJ6764" s="15">
        <f t="shared" si="1302"/>
        <v>0</v>
      </c>
      <c r="AK6764" s="14"/>
      <c r="AL6764" s="14"/>
      <c r="AM6764" s="14"/>
      <c r="AN6764" s="14"/>
      <c r="AO6764" s="14">
        <v>200</v>
      </c>
      <c r="AP6764" s="14"/>
      <c r="AQ6764" s="14"/>
      <c r="AR6764" s="14"/>
      <c r="AS6764" s="14"/>
      <c r="AT6764" s="14"/>
      <c r="AU6764" s="14"/>
      <c r="AV6764" s="14"/>
      <c r="AW6764" s="15">
        <f t="shared" si="1303"/>
        <v>200</v>
      </c>
      <c r="AX6764" s="316">
        <f>SUM(H6756:H6764)</f>
        <v>1800</v>
      </c>
      <c r="AY6764">
        <v>1500</v>
      </c>
    </row>
    <row r="6765" spans="2:51" x14ac:dyDescent="0.2">
      <c r="B6765" s="7"/>
      <c r="C6765" s="8">
        <v>16840</v>
      </c>
      <c r="D6765" s="9" t="s">
        <v>109</v>
      </c>
      <c r="E6765" s="10" t="str">
        <f t="shared" si="1298"/>
        <v>Rancho Estanzuela No. 31</v>
      </c>
      <c r="F6765" s="10" t="str">
        <f t="shared" si="1299"/>
        <v>Chávez Valdés</v>
      </c>
      <c r="G6765" s="318">
        <v>1</v>
      </c>
      <c r="H6765" s="11">
        <v>800</v>
      </c>
      <c r="I6765" s="12">
        <v>43289</v>
      </c>
      <c r="J6765" s="35">
        <f t="shared" si="1300"/>
        <v>0</v>
      </c>
      <c r="K6765" s="36"/>
      <c r="L6765" s="36"/>
      <c r="M6765" s="36"/>
      <c r="N6765" s="36"/>
      <c r="O6765" s="36"/>
      <c r="P6765" s="36"/>
      <c r="Q6765" s="36"/>
      <c r="R6765" s="36"/>
      <c r="S6765" s="36"/>
      <c r="T6765" s="36"/>
      <c r="U6765" s="36"/>
      <c r="V6765" s="36"/>
      <c r="W6765" s="15">
        <f t="shared" si="1301"/>
        <v>0</v>
      </c>
      <c r="X6765" s="36"/>
      <c r="Y6765" s="36"/>
      <c r="Z6765" s="36"/>
      <c r="AA6765" s="36"/>
      <c r="AB6765" s="36"/>
      <c r="AC6765" s="36"/>
      <c r="AD6765" s="36"/>
      <c r="AE6765" s="36"/>
      <c r="AF6765" s="36"/>
      <c r="AG6765" s="36"/>
      <c r="AH6765" s="36"/>
      <c r="AI6765" s="36"/>
      <c r="AJ6765" s="15">
        <f t="shared" si="1302"/>
        <v>0</v>
      </c>
      <c r="AK6765" s="14"/>
      <c r="AL6765" s="14"/>
      <c r="AM6765" s="14"/>
      <c r="AN6765" s="14">
        <v>400</v>
      </c>
      <c r="AO6765" s="14">
        <v>400</v>
      </c>
      <c r="AP6765" s="14"/>
      <c r="AQ6765" s="14"/>
      <c r="AR6765" s="14"/>
      <c r="AS6765" s="14"/>
      <c r="AT6765" s="14"/>
      <c r="AU6765" s="14"/>
      <c r="AV6765" s="14"/>
      <c r="AW6765" s="15">
        <f t="shared" si="1303"/>
        <v>800</v>
      </c>
      <c r="AX6765" s="16"/>
    </row>
    <row r="6766" spans="2:51" x14ac:dyDescent="0.2">
      <c r="B6766" s="7"/>
      <c r="C6766" s="8">
        <v>16840</v>
      </c>
      <c r="D6766" s="9" t="s">
        <v>109</v>
      </c>
      <c r="E6766" s="10" t="str">
        <f t="shared" ref="E6766:E6817" si="1310">IF(D6766=0,"",VLOOKUP(D6766,BASE,2,FALSE))</f>
        <v>Rancho Estanzuela No. 31</v>
      </c>
      <c r="F6766" s="10" t="str">
        <f t="shared" ref="F6766:F6817" si="1311">IF(D6766=0,"",VLOOKUP(D6766,BASE,3,FALSE))</f>
        <v>Chávez Valdés</v>
      </c>
      <c r="G6766" s="8">
        <v>3</v>
      </c>
      <c r="H6766" s="11">
        <v>200</v>
      </c>
      <c r="I6766" s="12">
        <v>43289</v>
      </c>
      <c r="J6766" s="35">
        <f t="shared" ref="J6766:J6817" si="1312">IF(G6766=1,SUM(W6766,AJ6766,AW6766,-H6766),0)</f>
        <v>0</v>
      </c>
      <c r="K6766" s="36"/>
      <c r="L6766" s="36"/>
      <c r="M6766" s="36"/>
      <c r="N6766" s="36"/>
      <c r="O6766" s="36"/>
      <c r="P6766" s="36"/>
      <c r="Q6766" s="36"/>
      <c r="R6766" s="36"/>
      <c r="S6766" s="36"/>
      <c r="T6766" s="36"/>
      <c r="U6766" s="36"/>
      <c r="V6766" s="36"/>
      <c r="W6766" s="15">
        <f t="shared" ref="W6766:W6817" si="1313">SUM(K6766:V6766)</f>
        <v>0</v>
      </c>
      <c r="X6766" s="36"/>
      <c r="Y6766" s="36"/>
      <c r="Z6766" s="36"/>
      <c r="AA6766" s="36"/>
      <c r="AB6766" s="36"/>
      <c r="AC6766" s="36"/>
      <c r="AD6766" s="36"/>
      <c r="AE6766" s="36"/>
      <c r="AF6766" s="36"/>
      <c r="AG6766" s="36"/>
      <c r="AH6766" s="36"/>
      <c r="AI6766" s="36"/>
      <c r="AJ6766" s="15">
        <f t="shared" ref="AJ6766:AJ6817" si="1314">SUM(X6766:AI6766)</f>
        <v>0</v>
      </c>
      <c r="AK6766" s="14"/>
      <c r="AL6766" s="14"/>
      <c r="AM6766" s="14"/>
      <c r="AN6766" s="14"/>
      <c r="AO6766" s="14"/>
      <c r="AP6766" s="14"/>
      <c r="AQ6766" s="14"/>
      <c r="AR6766" s="14"/>
      <c r="AS6766" s="14"/>
      <c r="AT6766" s="14"/>
      <c r="AU6766" s="14"/>
      <c r="AV6766" s="14"/>
      <c r="AW6766" s="15">
        <f t="shared" ref="AW6766:AW6817" si="1315">SUM(AK6766:AV6766)</f>
        <v>0</v>
      </c>
      <c r="AX6766" s="16"/>
    </row>
    <row r="6767" spans="2:51" x14ac:dyDescent="0.2">
      <c r="B6767" s="7"/>
      <c r="C6767" s="8">
        <v>16841</v>
      </c>
      <c r="D6767" s="9" t="s">
        <v>241</v>
      </c>
      <c r="E6767" s="10" t="str">
        <f t="shared" si="1310"/>
        <v>Rancho La Cuchilla No. 81, A</v>
      </c>
      <c r="F6767" s="10" t="str">
        <f t="shared" si="1311"/>
        <v>Barrientos López</v>
      </c>
      <c r="G6767" s="8">
        <v>1</v>
      </c>
      <c r="H6767" s="11">
        <v>400</v>
      </c>
      <c r="I6767" s="12">
        <v>43289</v>
      </c>
      <c r="J6767" s="35">
        <f t="shared" si="1312"/>
        <v>0</v>
      </c>
      <c r="K6767" s="36"/>
      <c r="L6767" s="36"/>
      <c r="M6767" s="36"/>
      <c r="N6767" s="36"/>
      <c r="O6767" s="36"/>
      <c r="P6767" s="36"/>
      <c r="Q6767" s="36"/>
      <c r="R6767" s="36"/>
      <c r="S6767" s="36"/>
      <c r="T6767" s="36"/>
      <c r="U6767" s="36"/>
      <c r="V6767" s="36"/>
      <c r="W6767" s="15">
        <f t="shared" si="1313"/>
        <v>0</v>
      </c>
      <c r="X6767" s="36"/>
      <c r="Y6767" s="36"/>
      <c r="Z6767" s="36"/>
      <c r="AA6767" s="36"/>
      <c r="AB6767" s="36"/>
      <c r="AC6767" s="36"/>
      <c r="AD6767" s="36"/>
      <c r="AE6767" s="36"/>
      <c r="AF6767" s="36"/>
      <c r="AG6767" s="36"/>
      <c r="AH6767" s="36"/>
      <c r="AI6767" s="36"/>
      <c r="AJ6767" s="15">
        <f t="shared" si="1314"/>
        <v>0</v>
      </c>
      <c r="AK6767" s="14"/>
      <c r="AL6767" s="14"/>
      <c r="AM6767" s="14"/>
      <c r="AN6767" s="14"/>
      <c r="AO6767" s="14"/>
      <c r="AP6767" s="14"/>
      <c r="AQ6767" s="14">
        <v>400</v>
      </c>
      <c r="AR6767" s="14"/>
      <c r="AS6767" s="14"/>
      <c r="AT6767" s="14"/>
      <c r="AU6767" s="14"/>
      <c r="AV6767" s="14"/>
      <c r="AW6767" s="15">
        <f t="shared" si="1315"/>
        <v>400</v>
      </c>
      <c r="AX6767" s="16"/>
    </row>
    <row r="6768" spans="2:51" x14ac:dyDescent="0.2">
      <c r="B6768" s="7"/>
      <c r="C6768" s="8">
        <v>16842</v>
      </c>
      <c r="D6768" s="9" t="s">
        <v>574</v>
      </c>
      <c r="E6768" s="10" t="str">
        <f t="shared" si="1310"/>
        <v xml:space="preserve">Rancho Upácuaro No. 94 </v>
      </c>
      <c r="F6768" s="10" t="str">
        <f t="shared" si="1311"/>
        <v>Juárez Patiño</v>
      </c>
      <c r="G6768" s="8">
        <v>1</v>
      </c>
      <c r="H6768" s="11">
        <v>300</v>
      </c>
      <c r="I6768" s="12">
        <v>43289</v>
      </c>
      <c r="J6768" s="35">
        <f t="shared" si="1312"/>
        <v>0</v>
      </c>
      <c r="K6768" s="36"/>
      <c r="L6768" s="36"/>
      <c r="M6768" s="36"/>
      <c r="N6768" s="36"/>
      <c r="O6768" s="36"/>
      <c r="P6768" s="36"/>
      <c r="Q6768" s="36"/>
      <c r="R6768" s="36"/>
      <c r="S6768" s="36"/>
      <c r="T6768" s="36"/>
      <c r="U6768" s="36"/>
      <c r="V6768" s="36"/>
      <c r="W6768" s="15">
        <f t="shared" si="1313"/>
        <v>0</v>
      </c>
      <c r="X6768" s="36"/>
      <c r="Y6768" s="36"/>
      <c r="Z6768" s="36"/>
      <c r="AA6768" s="36"/>
      <c r="AB6768" s="36"/>
      <c r="AC6768" s="36"/>
      <c r="AD6768" s="36"/>
      <c r="AE6768" s="36"/>
      <c r="AF6768" s="36"/>
      <c r="AG6768" s="36"/>
      <c r="AH6768" s="36"/>
      <c r="AI6768" s="36"/>
      <c r="AJ6768" s="15">
        <f t="shared" si="1314"/>
        <v>0</v>
      </c>
      <c r="AK6768" s="14"/>
      <c r="AL6768" s="14"/>
      <c r="AM6768" s="14"/>
      <c r="AN6768" s="14"/>
      <c r="AO6768" s="14"/>
      <c r="AP6768" s="14"/>
      <c r="AQ6768" s="14">
        <v>300</v>
      </c>
      <c r="AR6768" s="14"/>
      <c r="AS6768" s="14"/>
      <c r="AT6768" s="14"/>
      <c r="AU6768" s="14"/>
      <c r="AV6768" s="14"/>
      <c r="AW6768" s="15">
        <f t="shared" si="1315"/>
        <v>300</v>
      </c>
      <c r="AX6768" s="16"/>
    </row>
    <row r="6769" spans="2:50" x14ac:dyDescent="0.2">
      <c r="B6769" s="7"/>
      <c r="C6769" s="8">
        <v>16843</v>
      </c>
      <c r="D6769" s="9" t="s">
        <v>425</v>
      </c>
      <c r="E6769" s="10" t="str">
        <f t="shared" si="1310"/>
        <v>Rancho La Cuchilla No. 120</v>
      </c>
      <c r="F6769" s="10" t="str">
        <f t="shared" si="1311"/>
        <v>Pozos Vilchis</v>
      </c>
      <c r="G6769" s="8">
        <v>1</v>
      </c>
      <c r="H6769" s="11">
        <v>400</v>
      </c>
      <c r="I6769" s="12">
        <v>43289</v>
      </c>
      <c r="J6769" s="35">
        <f t="shared" si="1312"/>
        <v>0</v>
      </c>
      <c r="K6769" s="36"/>
      <c r="L6769" s="36"/>
      <c r="M6769" s="36"/>
      <c r="N6769" s="36"/>
      <c r="O6769" s="36"/>
      <c r="P6769" s="36"/>
      <c r="Q6769" s="36"/>
      <c r="R6769" s="36"/>
      <c r="S6769" s="36"/>
      <c r="T6769" s="36"/>
      <c r="U6769" s="36"/>
      <c r="V6769" s="36"/>
      <c r="W6769" s="15">
        <f t="shared" si="1313"/>
        <v>0</v>
      </c>
      <c r="X6769" s="36"/>
      <c r="Y6769" s="36"/>
      <c r="Z6769" s="36"/>
      <c r="AA6769" s="36"/>
      <c r="AB6769" s="36"/>
      <c r="AC6769" s="36"/>
      <c r="AD6769" s="36"/>
      <c r="AE6769" s="36"/>
      <c r="AF6769" s="36"/>
      <c r="AG6769" s="36"/>
      <c r="AH6769" s="36"/>
      <c r="AI6769" s="36"/>
      <c r="AJ6769" s="15">
        <f t="shared" si="1314"/>
        <v>0</v>
      </c>
      <c r="AK6769" s="14"/>
      <c r="AL6769" s="14"/>
      <c r="AM6769" s="14"/>
      <c r="AN6769" s="14"/>
      <c r="AO6769" s="14"/>
      <c r="AP6769" s="14"/>
      <c r="AQ6769" s="14">
        <v>400</v>
      </c>
      <c r="AR6769" s="14"/>
      <c r="AS6769" s="14"/>
      <c r="AT6769" s="14"/>
      <c r="AU6769" s="14"/>
      <c r="AV6769" s="14"/>
      <c r="AW6769" s="15">
        <f t="shared" si="1315"/>
        <v>400</v>
      </c>
      <c r="AX6769" s="16"/>
    </row>
    <row r="6770" spans="2:50" x14ac:dyDescent="0.2">
      <c r="B6770" s="7"/>
      <c r="C6770" s="8">
        <v>16844</v>
      </c>
      <c r="D6770" s="9" t="s">
        <v>328</v>
      </c>
      <c r="E6770" s="10" t="str">
        <f t="shared" si="1310"/>
        <v>Rancho La Cuchilla No. 130</v>
      </c>
      <c r="F6770" s="10" t="str">
        <f t="shared" si="1311"/>
        <v>Gonzalez</v>
      </c>
      <c r="G6770" s="8">
        <v>1</v>
      </c>
      <c r="H6770" s="11">
        <v>400</v>
      </c>
      <c r="I6770" s="12">
        <v>43289</v>
      </c>
      <c r="J6770" s="35">
        <f t="shared" si="1312"/>
        <v>0</v>
      </c>
      <c r="K6770" s="36"/>
      <c r="L6770" s="36"/>
      <c r="M6770" s="36"/>
      <c r="N6770" s="36"/>
      <c r="O6770" s="36"/>
      <c r="P6770" s="36"/>
      <c r="Q6770" s="36"/>
      <c r="R6770" s="36"/>
      <c r="S6770" s="36"/>
      <c r="T6770" s="36"/>
      <c r="U6770" s="36"/>
      <c r="V6770" s="36"/>
      <c r="W6770" s="15">
        <f t="shared" si="1313"/>
        <v>0</v>
      </c>
      <c r="X6770" s="36"/>
      <c r="Y6770" s="36"/>
      <c r="Z6770" s="36"/>
      <c r="AA6770" s="36"/>
      <c r="AB6770" s="36"/>
      <c r="AC6770" s="36"/>
      <c r="AD6770" s="36"/>
      <c r="AE6770" s="36"/>
      <c r="AF6770" s="36"/>
      <c r="AG6770" s="36"/>
      <c r="AH6770" s="36"/>
      <c r="AI6770" s="36"/>
      <c r="AJ6770" s="15">
        <f t="shared" si="1314"/>
        <v>0</v>
      </c>
      <c r="AK6770" s="14"/>
      <c r="AL6770" s="14"/>
      <c r="AM6770" s="14"/>
      <c r="AN6770" s="14"/>
      <c r="AO6770" s="14"/>
      <c r="AP6770" s="14"/>
      <c r="AQ6770" s="14">
        <v>400</v>
      </c>
      <c r="AR6770" s="14"/>
      <c r="AS6770" s="14"/>
      <c r="AT6770" s="14"/>
      <c r="AU6770" s="14"/>
      <c r="AV6770" s="14"/>
      <c r="AW6770" s="15">
        <f t="shared" si="1315"/>
        <v>400</v>
      </c>
      <c r="AX6770" s="16"/>
    </row>
    <row r="6771" spans="2:50" x14ac:dyDescent="0.2">
      <c r="B6771" s="7"/>
      <c r="C6771" s="8">
        <v>16845</v>
      </c>
      <c r="D6771" s="9" t="s">
        <v>797</v>
      </c>
      <c r="E6771" s="10" t="str">
        <f t="shared" si="1310"/>
        <v>Rancho Recoveco No. 195</v>
      </c>
      <c r="F6771" s="10" t="str">
        <f t="shared" si="1311"/>
        <v>Sandoval</v>
      </c>
      <c r="G6771" s="8">
        <v>1</v>
      </c>
      <c r="H6771" s="11">
        <v>250</v>
      </c>
      <c r="I6771" s="12">
        <v>43289</v>
      </c>
      <c r="J6771" s="35">
        <f t="shared" si="1312"/>
        <v>0</v>
      </c>
      <c r="K6771" s="36"/>
      <c r="L6771" s="36"/>
      <c r="M6771" s="36"/>
      <c r="N6771" s="36"/>
      <c r="O6771" s="36"/>
      <c r="P6771" s="36"/>
      <c r="Q6771" s="36"/>
      <c r="R6771" s="36"/>
      <c r="S6771" s="36"/>
      <c r="T6771" s="36"/>
      <c r="U6771" s="36"/>
      <c r="V6771" s="36"/>
      <c r="W6771" s="15">
        <f t="shared" si="1313"/>
        <v>0</v>
      </c>
      <c r="X6771" s="36"/>
      <c r="Y6771" s="36"/>
      <c r="Z6771" s="36"/>
      <c r="AA6771" s="36"/>
      <c r="AB6771" s="36"/>
      <c r="AC6771" s="36"/>
      <c r="AD6771" s="36"/>
      <c r="AE6771" s="36"/>
      <c r="AF6771" s="36"/>
      <c r="AG6771" s="36"/>
      <c r="AH6771" s="36"/>
      <c r="AI6771" s="36"/>
      <c r="AJ6771" s="15">
        <f t="shared" si="1314"/>
        <v>0</v>
      </c>
      <c r="AK6771" s="14"/>
      <c r="AL6771" s="14"/>
      <c r="AM6771" s="14"/>
      <c r="AN6771" s="14"/>
      <c r="AO6771" s="14"/>
      <c r="AP6771" s="14"/>
      <c r="AQ6771" s="14">
        <v>250</v>
      </c>
      <c r="AR6771" s="14"/>
      <c r="AS6771" s="14"/>
      <c r="AT6771" s="14"/>
      <c r="AU6771" s="14"/>
      <c r="AV6771" s="14"/>
      <c r="AW6771" s="15">
        <f t="shared" si="1315"/>
        <v>250</v>
      </c>
      <c r="AX6771" s="16"/>
    </row>
    <row r="6772" spans="2:50" x14ac:dyDescent="0.2">
      <c r="B6772" s="7"/>
      <c r="C6772" s="8">
        <v>16846</v>
      </c>
      <c r="D6772" s="9" t="s">
        <v>94</v>
      </c>
      <c r="E6772" s="10" t="str">
        <f t="shared" si="1310"/>
        <v>Rancho Landero No. 42</v>
      </c>
      <c r="F6772" s="10" t="str">
        <f t="shared" si="1311"/>
        <v>Ávila Fidel</v>
      </c>
      <c r="G6772" s="8">
        <v>1</v>
      </c>
      <c r="H6772" s="11">
        <v>400</v>
      </c>
      <c r="I6772" s="12">
        <v>43289</v>
      </c>
      <c r="J6772" s="35">
        <f t="shared" si="1312"/>
        <v>0</v>
      </c>
      <c r="K6772" s="36"/>
      <c r="L6772" s="36"/>
      <c r="M6772" s="36"/>
      <c r="N6772" s="36"/>
      <c r="O6772" s="36"/>
      <c r="P6772" s="36"/>
      <c r="Q6772" s="36"/>
      <c r="R6772" s="36"/>
      <c r="S6772" s="36"/>
      <c r="T6772" s="36"/>
      <c r="U6772" s="36"/>
      <c r="V6772" s="36"/>
      <c r="W6772" s="15">
        <f t="shared" si="1313"/>
        <v>0</v>
      </c>
      <c r="X6772" s="36"/>
      <c r="Y6772" s="36"/>
      <c r="Z6772" s="36"/>
      <c r="AA6772" s="36"/>
      <c r="AB6772" s="36"/>
      <c r="AC6772" s="36"/>
      <c r="AD6772" s="36"/>
      <c r="AE6772" s="36"/>
      <c r="AF6772" s="36"/>
      <c r="AG6772" s="36"/>
      <c r="AH6772" s="36"/>
      <c r="AI6772" s="36"/>
      <c r="AJ6772" s="15">
        <f t="shared" si="1314"/>
        <v>0</v>
      </c>
      <c r="AK6772" s="14"/>
      <c r="AL6772" s="14"/>
      <c r="AM6772" s="14"/>
      <c r="AN6772" s="14"/>
      <c r="AO6772" s="14"/>
      <c r="AP6772" s="14"/>
      <c r="AQ6772" s="14">
        <v>400</v>
      </c>
      <c r="AR6772" s="14"/>
      <c r="AS6772" s="14"/>
      <c r="AT6772" s="14"/>
      <c r="AU6772" s="14"/>
      <c r="AV6772" s="14"/>
      <c r="AW6772" s="15">
        <f t="shared" si="1315"/>
        <v>400</v>
      </c>
      <c r="AX6772" s="16"/>
    </row>
    <row r="6773" spans="2:50" x14ac:dyDescent="0.2">
      <c r="B6773" s="7"/>
      <c r="C6773" s="8">
        <v>16847</v>
      </c>
      <c r="D6773" s="9" t="s">
        <v>476</v>
      </c>
      <c r="E6773" s="10" t="str">
        <f t="shared" si="1310"/>
        <v>Rancho Upácuaro No. 33</v>
      </c>
      <c r="F6773" s="10" t="str">
        <f t="shared" si="1311"/>
        <v>Ulloa Miranda</v>
      </c>
      <c r="G6773" s="8">
        <v>1</v>
      </c>
      <c r="H6773" s="11">
        <v>400</v>
      </c>
      <c r="I6773" s="12">
        <v>43289</v>
      </c>
      <c r="J6773" s="35">
        <f t="shared" si="1312"/>
        <v>0</v>
      </c>
      <c r="K6773" s="36"/>
      <c r="L6773" s="36"/>
      <c r="M6773" s="36"/>
      <c r="N6773" s="36"/>
      <c r="O6773" s="36"/>
      <c r="P6773" s="36"/>
      <c r="Q6773" s="36"/>
      <c r="R6773" s="36"/>
      <c r="S6773" s="36"/>
      <c r="T6773" s="36"/>
      <c r="U6773" s="36"/>
      <c r="V6773" s="36"/>
      <c r="W6773" s="15">
        <f t="shared" si="1313"/>
        <v>0</v>
      </c>
      <c r="X6773" s="36"/>
      <c r="Y6773" s="36"/>
      <c r="Z6773" s="36"/>
      <c r="AA6773" s="36"/>
      <c r="AB6773" s="36"/>
      <c r="AC6773" s="36"/>
      <c r="AD6773" s="36"/>
      <c r="AE6773" s="36"/>
      <c r="AF6773" s="36"/>
      <c r="AG6773" s="36"/>
      <c r="AH6773" s="36"/>
      <c r="AI6773" s="36"/>
      <c r="AJ6773" s="15">
        <f t="shared" si="1314"/>
        <v>0</v>
      </c>
      <c r="AK6773" s="14"/>
      <c r="AL6773" s="14"/>
      <c r="AM6773" s="14"/>
      <c r="AN6773" s="14"/>
      <c r="AO6773" s="14"/>
      <c r="AP6773" s="14"/>
      <c r="AQ6773" s="14">
        <v>400</v>
      </c>
      <c r="AR6773" s="14"/>
      <c r="AS6773" s="14"/>
      <c r="AT6773" s="14"/>
      <c r="AU6773" s="14"/>
      <c r="AV6773" s="14"/>
      <c r="AW6773" s="15">
        <f t="shared" si="1315"/>
        <v>400</v>
      </c>
      <c r="AX6773" s="16"/>
    </row>
    <row r="6774" spans="2:50" x14ac:dyDescent="0.2">
      <c r="B6774" s="7"/>
      <c r="C6774" s="8">
        <v>16848</v>
      </c>
      <c r="D6774" s="9" t="s">
        <v>834</v>
      </c>
      <c r="E6774" s="10" t="str">
        <f t="shared" si="1310"/>
        <v>Rancho Upácuaro No. 110</v>
      </c>
      <c r="F6774" s="10" t="str">
        <f t="shared" si="1311"/>
        <v>Ruiz Mijangos</v>
      </c>
      <c r="G6774" s="8">
        <v>5</v>
      </c>
      <c r="H6774" s="11">
        <v>100</v>
      </c>
      <c r="I6774" s="12">
        <v>43289</v>
      </c>
      <c r="J6774" s="35">
        <f t="shared" si="1312"/>
        <v>0</v>
      </c>
      <c r="K6774" s="36"/>
      <c r="L6774" s="36"/>
      <c r="M6774" s="36"/>
      <c r="N6774" s="36"/>
      <c r="O6774" s="36"/>
      <c r="P6774" s="36"/>
      <c r="Q6774" s="36"/>
      <c r="R6774" s="36"/>
      <c r="S6774" s="36"/>
      <c r="T6774" s="36"/>
      <c r="U6774" s="36"/>
      <c r="V6774" s="36"/>
      <c r="W6774" s="15">
        <f t="shared" si="1313"/>
        <v>0</v>
      </c>
      <c r="X6774" s="36"/>
      <c r="Y6774" s="36"/>
      <c r="Z6774" s="36"/>
      <c r="AA6774" s="36"/>
      <c r="AB6774" s="36"/>
      <c r="AC6774" s="36"/>
      <c r="AD6774" s="36"/>
      <c r="AE6774" s="36"/>
      <c r="AF6774" s="36"/>
      <c r="AG6774" s="36"/>
      <c r="AH6774" s="36"/>
      <c r="AI6774" s="36"/>
      <c r="AJ6774" s="15">
        <f t="shared" si="1314"/>
        <v>0</v>
      </c>
      <c r="AK6774" s="14"/>
      <c r="AL6774" s="14"/>
      <c r="AM6774" s="14"/>
      <c r="AN6774" s="14"/>
      <c r="AO6774" s="14"/>
      <c r="AP6774" s="14"/>
      <c r="AQ6774" s="14"/>
      <c r="AR6774" s="14"/>
      <c r="AS6774" s="14"/>
      <c r="AT6774" s="14"/>
      <c r="AU6774" s="14"/>
      <c r="AV6774" s="14"/>
      <c r="AW6774" s="15">
        <f t="shared" si="1315"/>
        <v>0</v>
      </c>
      <c r="AX6774" s="16"/>
    </row>
    <row r="6775" spans="2:50" x14ac:dyDescent="0.2">
      <c r="B6775" s="7"/>
      <c r="C6775" s="8">
        <v>16849</v>
      </c>
      <c r="D6775" s="9" t="s">
        <v>238</v>
      </c>
      <c r="E6775" s="10" t="str">
        <f t="shared" si="1310"/>
        <v>Rancho La Cuchilla No. 43, B</v>
      </c>
      <c r="F6775" s="10" t="str">
        <f t="shared" si="1311"/>
        <v>Luna Albertano</v>
      </c>
      <c r="G6775" s="8">
        <v>1</v>
      </c>
      <c r="H6775" s="11">
        <v>125</v>
      </c>
      <c r="I6775" s="12">
        <v>43289</v>
      </c>
      <c r="J6775" s="35">
        <f t="shared" si="1312"/>
        <v>0</v>
      </c>
      <c r="K6775" s="36"/>
      <c r="L6775" s="36"/>
      <c r="M6775" s="36"/>
      <c r="N6775" s="36"/>
      <c r="O6775" s="36"/>
      <c r="P6775" s="36"/>
      <c r="Q6775" s="36"/>
      <c r="R6775" s="36"/>
      <c r="S6775" s="36"/>
      <c r="T6775" s="36"/>
      <c r="U6775" s="36"/>
      <c r="V6775" s="36"/>
      <c r="W6775" s="15">
        <f t="shared" si="1313"/>
        <v>0</v>
      </c>
      <c r="X6775" s="36"/>
      <c r="Y6775" s="36"/>
      <c r="Z6775" s="36"/>
      <c r="AA6775" s="36"/>
      <c r="AB6775" s="36"/>
      <c r="AC6775" s="36"/>
      <c r="AD6775" s="36"/>
      <c r="AE6775" s="36"/>
      <c r="AF6775" s="36"/>
      <c r="AG6775" s="36"/>
      <c r="AH6775" s="36"/>
      <c r="AI6775" s="36"/>
      <c r="AJ6775" s="15">
        <f t="shared" si="1314"/>
        <v>0</v>
      </c>
      <c r="AK6775" s="14"/>
      <c r="AL6775" s="14"/>
      <c r="AM6775" s="14"/>
      <c r="AN6775" s="14"/>
      <c r="AO6775" s="14"/>
      <c r="AP6775" s="14"/>
      <c r="AQ6775" s="14">
        <v>125</v>
      </c>
      <c r="AR6775" s="14"/>
      <c r="AS6775" s="14"/>
      <c r="AT6775" s="14"/>
      <c r="AU6775" s="14"/>
      <c r="AV6775" s="14"/>
      <c r="AW6775" s="15">
        <f t="shared" si="1315"/>
        <v>125</v>
      </c>
      <c r="AX6775" s="16"/>
    </row>
    <row r="6776" spans="2:50" x14ac:dyDescent="0.2">
      <c r="B6776" s="7"/>
      <c r="C6776" s="8">
        <v>16850</v>
      </c>
      <c r="D6776" s="9" t="s">
        <v>307</v>
      </c>
      <c r="E6776" s="10" t="str">
        <f t="shared" si="1310"/>
        <v>Rancho Landero No. 83</v>
      </c>
      <c r="F6776" s="10" t="str">
        <f t="shared" si="1311"/>
        <v>Aguilar</v>
      </c>
      <c r="G6776" s="8">
        <v>1</v>
      </c>
      <c r="H6776" s="11">
        <v>350</v>
      </c>
      <c r="I6776" s="12">
        <v>43289</v>
      </c>
      <c r="J6776" s="35">
        <f t="shared" si="1312"/>
        <v>0</v>
      </c>
      <c r="K6776" s="36"/>
      <c r="L6776" s="36"/>
      <c r="M6776" s="36"/>
      <c r="N6776" s="36"/>
      <c r="O6776" s="36"/>
      <c r="P6776" s="36"/>
      <c r="Q6776" s="36"/>
      <c r="R6776" s="36"/>
      <c r="S6776" s="36"/>
      <c r="T6776" s="36"/>
      <c r="U6776" s="36"/>
      <c r="V6776" s="36"/>
      <c r="W6776" s="15">
        <f t="shared" si="1313"/>
        <v>0</v>
      </c>
      <c r="X6776" s="36"/>
      <c r="Y6776" s="36"/>
      <c r="Z6776" s="36"/>
      <c r="AA6776" s="36"/>
      <c r="AB6776" s="36"/>
      <c r="AC6776" s="36"/>
      <c r="AD6776" s="36"/>
      <c r="AE6776" s="36"/>
      <c r="AF6776" s="36"/>
      <c r="AG6776" s="36"/>
      <c r="AH6776" s="36"/>
      <c r="AI6776" s="36"/>
      <c r="AJ6776" s="15">
        <f t="shared" si="1314"/>
        <v>0</v>
      </c>
      <c r="AK6776" s="14"/>
      <c r="AL6776" s="14"/>
      <c r="AM6776" s="14"/>
      <c r="AN6776" s="14"/>
      <c r="AO6776" s="14"/>
      <c r="AP6776" s="14"/>
      <c r="AQ6776" s="14">
        <v>350</v>
      </c>
      <c r="AR6776" s="14"/>
      <c r="AS6776" s="14"/>
      <c r="AT6776" s="14"/>
      <c r="AU6776" s="14"/>
      <c r="AV6776" s="14"/>
      <c r="AW6776" s="15">
        <f t="shared" si="1315"/>
        <v>350</v>
      </c>
      <c r="AX6776" s="16"/>
    </row>
    <row r="6777" spans="2:50" x14ac:dyDescent="0.2">
      <c r="B6777" s="7"/>
      <c r="C6777" s="8">
        <v>16851</v>
      </c>
      <c r="D6777" s="9"/>
      <c r="E6777" s="10" t="str">
        <f t="shared" si="1310"/>
        <v/>
      </c>
      <c r="F6777" s="10" t="str">
        <f t="shared" si="1311"/>
        <v/>
      </c>
      <c r="G6777" s="8">
        <v>8</v>
      </c>
      <c r="H6777" s="11"/>
      <c r="I6777" s="12"/>
      <c r="J6777" s="35">
        <f t="shared" si="1312"/>
        <v>0</v>
      </c>
      <c r="K6777" s="36"/>
      <c r="L6777" s="36"/>
      <c r="M6777" s="36"/>
      <c r="N6777" s="36"/>
      <c r="O6777" s="36"/>
      <c r="P6777" s="36"/>
      <c r="Q6777" s="36"/>
      <c r="R6777" s="36"/>
      <c r="S6777" s="36"/>
      <c r="T6777" s="36"/>
      <c r="U6777" s="36"/>
      <c r="V6777" s="36"/>
      <c r="W6777" s="15">
        <f t="shared" si="1313"/>
        <v>0</v>
      </c>
      <c r="X6777" s="36"/>
      <c r="Y6777" s="36"/>
      <c r="Z6777" s="36"/>
      <c r="AA6777" s="36"/>
      <c r="AB6777" s="36"/>
      <c r="AC6777" s="36"/>
      <c r="AD6777" s="36"/>
      <c r="AE6777" s="36"/>
      <c r="AF6777" s="36"/>
      <c r="AG6777" s="36"/>
      <c r="AH6777" s="36"/>
      <c r="AI6777" s="36"/>
      <c r="AJ6777" s="15">
        <f t="shared" si="1314"/>
        <v>0</v>
      </c>
      <c r="AK6777" s="14"/>
      <c r="AL6777" s="14"/>
      <c r="AM6777" s="14"/>
      <c r="AN6777" s="14"/>
      <c r="AO6777" s="14"/>
      <c r="AP6777" s="14"/>
      <c r="AQ6777" s="14"/>
      <c r="AR6777" s="14"/>
      <c r="AS6777" s="14"/>
      <c r="AT6777" s="14"/>
      <c r="AU6777" s="14"/>
      <c r="AV6777" s="14"/>
      <c r="AW6777" s="15">
        <f t="shared" si="1315"/>
        <v>0</v>
      </c>
      <c r="AX6777" s="16"/>
    </row>
    <row r="6778" spans="2:50" x14ac:dyDescent="0.2">
      <c r="B6778" s="7"/>
      <c r="C6778" s="8">
        <v>16852</v>
      </c>
      <c r="D6778" s="9" t="s">
        <v>407</v>
      </c>
      <c r="E6778" s="10" t="str">
        <f t="shared" si="1310"/>
        <v>Rancho Estanzuela No. 99</v>
      </c>
      <c r="F6778" s="10" t="str">
        <f t="shared" si="1311"/>
        <v>García López</v>
      </c>
      <c r="G6778" s="8">
        <v>1</v>
      </c>
      <c r="H6778" s="11">
        <v>400</v>
      </c>
      <c r="I6778" s="12">
        <v>43289</v>
      </c>
      <c r="J6778" s="35">
        <f t="shared" si="1312"/>
        <v>0</v>
      </c>
      <c r="K6778" s="36"/>
      <c r="L6778" s="36"/>
      <c r="M6778" s="36"/>
      <c r="N6778" s="36"/>
      <c r="O6778" s="36"/>
      <c r="P6778" s="36"/>
      <c r="Q6778" s="36"/>
      <c r="R6778" s="36"/>
      <c r="S6778" s="36"/>
      <c r="T6778" s="36"/>
      <c r="U6778" s="36"/>
      <c r="V6778" s="36"/>
      <c r="W6778" s="15">
        <f t="shared" si="1313"/>
        <v>0</v>
      </c>
      <c r="X6778" s="36"/>
      <c r="Y6778" s="36"/>
      <c r="Z6778" s="36"/>
      <c r="AA6778" s="36"/>
      <c r="AB6778" s="36"/>
      <c r="AC6778" s="36"/>
      <c r="AD6778" s="36"/>
      <c r="AE6778" s="36"/>
      <c r="AF6778" s="36"/>
      <c r="AG6778" s="36"/>
      <c r="AH6778" s="36"/>
      <c r="AI6778" s="36"/>
      <c r="AJ6778" s="15">
        <f t="shared" si="1314"/>
        <v>0</v>
      </c>
      <c r="AK6778" s="14"/>
      <c r="AL6778" s="14"/>
      <c r="AM6778" s="14"/>
      <c r="AN6778" s="14"/>
      <c r="AO6778" s="14"/>
      <c r="AP6778" s="14"/>
      <c r="AQ6778" s="14">
        <v>400</v>
      </c>
      <c r="AR6778" s="14"/>
      <c r="AS6778" s="14"/>
      <c r="AT6778" s="14"/>
      <c r="AU6778" s="14"/>
      <c r="AV6778" s="14"/>
      <c r="AW6778" s="15">
        <f t="shared" si="1315"/>
        <v>400</v>
      </c>
      <c r="AX6778" s="16"/>
    </row>
    <row r="6779" spans="2:50" x14ac:dyDescent="0.2">
      <c r="B6779" s="7"/>
      <c r="C6779" s="8">
        <v>16853</v>
      </c>
      <c r="D6779" s="9" t="s">
        <v>292</v>
      </c>
      <c r="E6779" s="10" t="str">
        <f t="shared" si="1310"/>
        <v>Rancho Upácuaro No. 140</v>
      </c>
      <c r="F6779" s="10" t="str">
        <f t="shared" si="1311"/>
        <v>Gozain</v>
      </c>
      <c r="G6779" s="8">
        <v>1</v>
      </c>
      <c r="H6779" s="11">
        <v>400</v>
      </c>
      <c r="I6779" s="12">
        <v>43289</v>
      </c>
      <c r="J6779" s="35">
        <f t="shared" si="1312"/>
        <v>0</v>
      </c>
      <c r="K6779" s="36"/>
      <c r="L6779" s="36"/>
      <c r="M6779" s="36"/>
      <c r="N6779" s="36"/>
      <c r="O6779" s="36"/>
      <c r="P6779" s="36"/>
      <c r="Q6779" s="36"/>
      <c r="R6779" s="36"/>
      <c r="S6779" s="36"/>
      <c r="T6779" s="36"/>
      <c r="U6779" s="36"/>
      <c r="V6779" s="36"/>
      <c r="W6779" s="15">
        <f t="shared" si="1313"/>
        <v>0</v>
      </c>
      <c r="X6779" s="36"/>
      <c r="Y6779" s="36"/>
      <c r="Z6779" s="36"/>
      <c r="AA6779" s="36"/>
      <c r="AB6779" s="36"/>
      <c r="AC6779" s="36"/>
      <c r="AD6779" s="36"/>
      <c r="AE6779" s="36"/>
      <c r="AF6779" s="36"/>
      <c r="AG6779" s="36"/>
      <c r="AH6779" s="36"/>
      <c r="AI6779" s="36"/>
      <c r="AJ6779" s="15">
        <f t="shared" si="1314"/>
        <v>0</v>
      </c>
      <c r="AK6779" s="14"/>
      <c r="AL6779" s="14"/>
      <c r="AM6779" s="14"/>
      <c r="AN6779" s="14"/>
      <c r="AO6779" s="14"/>
      <c r="AP6779" s="14"/>
      <c r="AQ6779" s="14">
        <v>400</v>
      </c>
      <c r="AR6779" s="14"/>
      <c r="AS6779" s="14"/>
      <c r="AT6779" s="14"/>
      <c r="AU6779" s="14"/>
      <c r="AV6779" s="14"/>
      <c r="AW6779" s="15">
        <f t="shared" si="1315"/>
        <v>400</v>
      </c>
      <c r="AX6779" s="16"/>
    </row>
    <row r="6780" spans="2:50" x14ac:dyDescent="0.2">
      <c r="B6780" s="7"/>
      <c r="C6780" s="8">
        <v>16854</v>
      </c>
      <c r="D6780" s="9" t="s">
        <v>247</v>
      </c>
      <c r="E6780" s="10" t="str">
        <f t="shared" si="1310"/>
        <v>Rancho Landero No. 91</v>
      </c>
      <c r="F6780" s="10" t="str">
        <f t="shared" si="1311"/>
        <v>Llaca</v>
      </c>
      <c r="G6780" s="8">
        <v>1</v>
      </c>
      <c r="H6780" s="11">
        <v>800</v>
      </c>
      <c r="I6780" s="12">
        <v>43289</v>
      </c>
      <c r="J6780" s="35">
        <f t="shared" si="1312"/>
        <v>0</v>
      </c>
      <c r="K6780" s="36"/>
      <c r="L6780" s="36"/>
      <c r="M6780" s="36"/>
      <c r="N6780" s="36"/>
      <c r="O6780" s="36"/>
      <c r="P6780" s="36"/>
      <c r="Q6780" s="36"/>
      <c r="R6780" s="36"/>
      <c r="S6780" s="36"/>
      <c r="T6780" s="36"/>
      <c r="U6780" s="36"/>
      <c r="V6780" s="36"/>
      <c r="W6780" s="15">
        <f t="shared" si="1313"/>
        <v>0</v>
      </c>
      <c r="X6780" s="36"/>
      <c r="Y6780" s="36"/>
      <c r="Z6780" s="36"/>
      <c r="AA6780" s="36"/>
      <c r="AB6780" s="36"/>
      <c r="AC6780" s="36"/>
      <c r="AD6780" s="36"/>
      <c r="AE6780" s="36"/>
      <c r="AF6780" s="36"/>
      <c r="AG6780" s="36"/>
      <c r="AH6780" s="36"/>
      <c r="AI6780" s="36"/>
      <c r="AJ6780" s="15">
        <f t="shared" si="1314"/>
        <v>0</v>
      </c>
      <c r="AK6780" s="14"/>
      <c r="AL6780" s="14"/>
      <c r="AM6780" s="14"/>
      <c r="AN6780" s="14"/>
      <c r="AO6780" s="14"/>
      <c r="AP6780" s="14"/>
      <c r="AQ6780" s="14">
        <v>400</v>
      </c>
      <c r="AR6780" s="14">
        <v>400</v>
      </c>
      <c r="AS6780" s="14"/>
      <c r="AT6780" s="14"/>
      <c r="AU6780" s="14"/>
      <c r="AV6780" s="14"/>
      <c r="AW6780" s="15">
        <f t="shared" si="1315"/>
        <v>800</v>
      </c>
      <c r="AX6780" s="16"/>
    </row>
    <row r="6781" spans="2:50" x14ac:dyDescent="0.2">
      <c r="B6781" s="7"/>
      <c r="C6781" s="8">
        <v>16855</v>
      </c>
      <c r="D6781" s="9" t="s">
        <v>3852</v>
      </c>
      <c r="E6781" s="10" t="str">
        <f t="shared" si="1310"/>
        <v>Rancho Estopila No. 44_2</v>
      </c>
      <c r="F6781" s="10" t="str">
        <f t="shared" si="1311"/>
        <v>Blanca Herrera</v>
      </c>
      <c r="G6781" s="8">
        <v>1</v>
      </c>
      <c r="H6781" s="11">
        <v>600</v>
      </c>
      <c r="I6781" s="12">
        <v>43289</v>
      </c>
      <c r="J6781" s="35">
        <f t="shared" si="1312"/>
        <v>0</v>
      </c>
      <c r="K6781" s="36"/>
      <c r="L6781" s="36"/>
      <c r="M6781" s="36"/>
      <c r="N6781" s="36"/>
      <c r="O6781" s="36"/>
      <c r="P6781" s="36"/>
      <c r="Q6781" s="36"/>
      <c r="R6781" s="36"/>
      <c r="S6781" s="36"/>
      <c r="T6781" s="36"/>
      <c r="U6781" s="36"/>
      <c r="V6781" s="36"/>
      <c r="W6781" s="15">
        <f t="shared" si="1313"/>
        <v>0</v>
      </c>
      <c r="X6781" s="36"/>
      <c r="Y6781" s="36"/>
      <c r="Z6781" s="36"/>
      <c r="AA6781" s="36"/>
      <c r="AB6781" s="36"/>
      <c r="AC6781" s="36"/>
      <c r="AD6781" s="36"/>
      <c r="AE6781" s="36"/>
      <c r="AF6781" s="36"/>
      <c r="AG6781" s="36"/>
      <c r="AH6781" s="36"/>
      <c r="AI6781" s="36"/>
      <c r="AJ6781" s="15">
        <f t="shared" si="1314"/>
        <v>0</v>
      </c>
      <c r="AK6781" s="14"/>
      <c r="AL6781" s="14"/>
      <c r="AM6781" s="14"/>
      <c r="AN6781" s="14"/>
      <c r="AO6781" s="14">
        <v>200</v>
      </c>
      <c r="AP6781" s="14">
        <v>200</v>
      </c>
      <c r="AQ6781" s="14">
        <v>200</v>
      </c>
      <c r="AR6781" s="14"/>
      <c r="AS6781" s="14"/>
      <c r="AT6781" s="14"/>
      <c r="AU6781" s="14"/>
      <c r="AV6781" s="14"/>
      <c r="AW6781" s="15">
        <f t="shared" si="1315"/>
        <v>600</v>
      </c>
      <c r="AX6781" s="16"/>
    </row>
    <row r="6782" spans="2:50" x14ac:dyDescent="0.2">
      <c r="B6782" s="7"/>
      <c r="C6782" s="8">
        <v>16856</v>
      </c>
      <c r="D6782" s="9" t="s">
        <v>562</v>
      </c>
      <c r="E6782" s="10" t="str">
        <f t="shared" si="1310"/>
        <v>Rancho Upácuaro No. 87</v>
      </c>
      <c r="F6782" s="10" t="str">
        <f t="shared" si="1311"/>
        <v>Rodríguez Parés</v>
      </c>
      <c r="G6782" s="8">
        <v>1</v>
      </c>
      <c r="H6782" s="11">
        <v>400</v>
      </c>
      <c r="I6782" s="12">
        <v>43289</v>
      </c>
      <c r="J6782" s="35">
        <f t="shared" si="1312"/>
        <v>0</v>
      </c>
      <c r="K6782" s="36"/>
      <c r="L6782" s="36"/>
      <c r="M6782" s="36"/>
      <c r="N6782" s="36"/>
      <c r="O6782" s="36"/>
      <c r="P6782" s="36"/>
      <c r="Q6782" s="36"/>
      <c r="R6782" s="36"/>
      <c r="S6782" s="36"/>
      <c r="T6782" s="36"/>
      <c r="U6782" s="36"/>
      <c r="V6782" s="36"/>
      <c r="W6782" s="15">
        <f t="shared" si="1313"/>
        <v>0</v>
      </c>
      <c r="X6782" s="36"/>
      <c r="Y6782" s="36"/>
      <c r="Z6782" s="36"/>
      <c r="AA6782" s="36"/>
      <c r="AB6782" s="36"/>
      <c r="AC6782" s="36"/>
      <c r="AD6782" s="36"/>
      <c r="AE6782" s="36"/>
      <c r="AF6782" s="36"/>
      <c r="AG6782" s="36"/>
      <c r="AH6782" s="36"/>
      <c r="AI6782" s="36"/>
      <c r="AJ6782" s="15">
        <f t="shared" si="1314"/>
        <v>0</v>
      </c>
      <c r="AK6782" s="14"/>
      <c r="AL6782" s="14"/>
      <c r="AM6782" s="14"/>
      <c r="AN6782" s="14"/>
      <c r="AO6782" s="14"/>
      <c r="AP6782" s="14"/>
      <c r="AQ6782" s="14">
        <v>400</v>
      </c>
      <c r="AR6782" s="14"/>
      <c r="AS6782" s="14"/>
      <c r="AT6782" s="14"/>
      <c r="AU6782" s="14"/>
      <c r="AV6782" s="14"/>
      <c r="AW6782" s="15">
        <f t="shared" si="1315"/>
        <v>400</v>
      </c>
      <c r="AX6782" s="16"/>
    </row>
    <row r="6783" spans="2:50" x14ac:dyDescent="0.2">
      <c r="B6783" s="7"/>
      <c r="C6783" s="8">
        <v>16857</v>
      </c>
      <c r="D6783" s="9" t="s">
        <v>520</v>
      </c>
      <c r="E6783" s="10" t="str">
        <f t="shared" si="1310"/>
        <v>Rancho Landero No. 38</v>
      </c>
      <c r="F6783" s="10" t="str">
        <f t="shared" si="1311"/>
        <v>Sánchez Peña</v>
      </c>
      <c r="G6783" s="8">
        <v>1</v>
      </c>
      <c r="H6783" s="11">
        <v>800</v>
      </c>
      <c r="I6783" s="12">
        <v>43289</v>
      </c>
      <c r="J6783" s="35">
        <f t="shared" si="1312"/>
        <v>0</v>
      </c>
      <c r="K6783" s="36"/>
      <c r="L6783" s="36"/>
      <c r="M6783" s="36"/>
      <c r="N6783" s="36"/>
      <c r="O6783" s="36"/>
      <c r="P6783" s="36"/>
      <c r="Q6783" s="36"/>
      <c r="R6783" s="36"/>
      <c r="S6783" s="36"/>
      <c r="T6783" s="36"/>
      <c r="U6783" s="36"/>
      <c r="V6783" s="36"/>
      <c r="W6783" s="15">
        <f t="shared" si="1313"/>
        <v>0</v>
      </c>
      <c r="X6783" s="36"/>
      <c r="Y6783" s="36"/>
      <c r="Z6783" s="36"/>
      <c r="AA6783" s="36"/>
      <c r="AB6783" s="36"/>
      <c r="AC6783" s="36"/>
      <c r="AD6783" s="36"/>
      <c r="AE6783" s="36"/>
      <c r="AF6783" s="36"/>
      <c r="AG6783" s="36"/>
      <c r="AH6783" s="36"/>
      <c r="AI6783" s="36"/>
      <c r="AJ6783" s="15">
        <f t="shared" si="1314"/>
        <v>0</v>
      </c>
      <c r="AK6783" s="14"/>
      <c r="AL6783" s="14"/>
      <c r="AM6783" s="14"/>
      <c r="AN6783" s="14"/>
      <c r="AO6783" s="14"/>
      <c r="AP6783" s="14"/>
      <c r="AQ6783" s="14">
        <v>400</v>
      </c>
      <c r="AR6783" s="14">
        <v>400</v>
      </c>
      <c r="AS6783" s="14"/>
      <c r="AT6783" s="14"/>
      <c r="AU6783" s="14"/>
      <c r="AV6783" s="14"/>
      <c r="AW6783" s="15">
        <f t="shared" si="1315"/>
        <v>800</v>
      </c>
      <c r="AX6783" s="16"/>
    </row>
    <row r="6784" spans="2:50" x14ac:dyDescent="0.2">
      <c r="B6784" s="7"/>
      <c r="C6784" s="8">
        <v>16858</v>
      </c>
      <c r="D6784" s="9" t="s">
        <v>352</v>
      </c>
      <c r="E6784" s="10" t="str">
        <f t="shared" si="1310"/>
        <v>Rancho La Cuchilla No. 21</v>
      </c>
      <c r="F6784" s="10" t="str">
        <f t="shared" si="1311"/>
        <v>Solórzano Calderón</v>
      </c>
      <c r="G6784" s="8">
        <v>1</v>
      </c>
      <c r="H6784" s="11">
        <v>800</v>
      </c>
      <c r="I6784" s="12">
        <v>43289</v>
      </c>
      <c r="J6784" s="35">
        <f t="shared" si="1312"/>
        <v>0</v>
      </c>
      <c r="K6784" s="36"/>
      <c r="L6784" s="36"/>
      <c r="M6784" s="36"/>
      <c r="N6784" s="36"/>
      <c r="O6784" s="36"/>
      <c r="P6784" s="36"/>
      <c r="Q6784" s="36"/>
      <c r="R6784" s="36"/>
      <c r="S6784" s="36"/>
      <c r="T6784" s="36"/>
      <c r="U6784" s="36"/>
      <c r="V6784" s="36"/>
      <c r="W6784" s="15">
        <f t="shared" si="1313"/>
        <v>0</v>
      </c>
      <c r="X6784" s="36"/>
      <c r="Y6784" s="36"/>
      <c r="Z6784" s="36"/>
      <c r="AA6784" s="36"/>
      <c r="AB6784" s="36"/>
      <c r="AC6784" s="36"/>
      <c r="AD6784" s="36"/>
      <c r="AE6784" s="36"/>
      <c r="AF6784" s="36"/>
      <c r="AG6784" s="36"/>
      <c r="AH6784" s="36"/>
      <c r="AI6784" s="36"/>
      <c r="AJ6784" s="15">
        <f t="shared" si="1314"/>
        <v>0</v>
      </c>
      <c r="AK6784" s="14"/>
      <c r="AL6784" s="14"/>
      <c r="AM6784" s="14"/>
      <c r="AN6784" s="14"/>
      <c r="AO6784" s="14"/>
      <c r="AP6784" s="14"/>
      <c r="AQ6784" s="14">
        <v>400</v>
      </c>
      <c r="AR6784" s="14">
        <v>400</v>
      </c>
      <c r="AS6784" s="14"/>
      <c r="AT6784" s="14"/>
      <c r="AU6784" s="14"/>
      <c r="AV6784" s="14"/>
      <c r="AW6784" s="15">
        <f t="shared" si="1315"/>
        <v>800</v>
      </c>
      <c r="AX6784" s="16"/>
    </row>
    <row r="6785" spans="2:50" x14ac:dyDescent="0.2">
      <c r="B6785" s="7"/>
      <c r="C6785" s="8">
        <v>16858</v>
      </c>
      <c r="D6785" s="9" t="s">
        <v>352</v>
      </c>
      <c r="E6785" s="10" t="str">
        <f t="shared" ref="E6785:E6809" si="1316">IF(D6785=0,"",VLOOKUP(D6785,BASE,2,FALSE))</f>
        <v>Rancho La Cuchilla No. 21</v>
      </c>
      <c r="F6785" s="10" t="str">
        <f t="shared" ref="F6785:F6809" si="1317">IF(D6785=0,"",VLOOKUP(D6785,BASE,3,FALSE))</f>
        <v>Solórzano Calderón</v>
      </c>
      <c r="G6785" s="8">
        <v>5</v>
      </c>
      <c r="H6785" s="11">
        <v>50</v>
      </c>
      <c r="I6785" s="12">
        <v>43289</v>
      </c>
      <c r="J6785" s="35">
        <f t="shared" ref="J6785:J6809" si="1318">IF(G6785=1,SUM(W6785,AJ6785,AW6785,-H6785),0)</f>
        <v>0</v>
      </c>
      <c r="K6785" s="36"/>
      <c r="L6785" s="36"/>
      <c r="M6785" s="36"/>
      <c r="N6785" s="36"/>
      <c r="O6785" s="36"/>
      <c r="P6785" s="36"/>
      <c r="Q6785" s="36"/>
      <c r="R6785" s="36"/>
      <c r="S6785" s="36"/>
      <c r="T6785" s="36"/>
      <c r="U6785" s="36"/>
      <c r="V6785" s="36"/>
      <c r="W6785" s="15">
        <f t="shared" ref="W6785:W6809" si="1319">SUM(K6785:V6785)</f>
        <v>0</v>
      </c>
      <c r="X6785" s="36"/>
      <c r="Y6785" s="36"/>
      <c r="Z6785" s="36"/>
      <c r="AA6785" s="36"/>
      <c r="AB6785" s="36"/>
      <c r="AC6785" s="36"/>
      <c r="AD6785" s="36"/>
      <c r="AE6785" s="36"/>
      <c r="AF6785" s="36"/>
      <c r="AG6785" s="36"/>
      <c r="AH6785" s="36"/>
      <c r="AI6785" s="36"/>
      <c r="AJ6785" s="15">
        <f t="shared" ref="AJ6785:AJ6809" si="1320">SUM(X6785:AI6785)</f>
        <v>0</v>
      </c>
      <c r="AK6785" s="14"/>
      <c r="AL6785" s="14"/>
      <c r="AM6785" s="14"/>
      <c r="AN6785" s="14"/>
      <c r="AO6785" s="14"/>
      <c r="AP6785" s="14"/>
      <c r="AQ6785" s="14"/>
      <c r="AR6785" s="14"/>
      <c r="AS6785" s="14"/>
      <c r="AT6785" s="14"/>
      <c r="AU6785" s="14"/>
      <c r="AV6785" s="14"/>
      <c r="AW6785" s="15">
        <f t="shared" ref="AW6785:AW6809" si="1321">SUM(AK6785:AV6785)</f>
        <v>0</v>
      </c>
      <c r="AX6785" s="16"/>
    </row>
    <row r="6786" spans="2:50" x14ac:dyDescent="0.2">
      <c r="B6786" s="7"/>
      <c r="C6786" s="8">
        <v>16859</v>
      </c>
      <c r="D6786" s="9" t="s">
        <v>749</v>
      </c>
      <c r="E6786" s="10" t="str">
        <f t="shared" si="1316"/>
        <v>Rancho Landero No. 96</v>
      </c>
      <c r="F6786" s="10" t="str">
        <f t="shared" si="1317"/>
        <v>Espinoza Aguirre</v>
      </c>
      <c r="G6786" s="8">
        <v>1</v>
      </c>
      <c r="H6786" s="11">
        <v>1200</v>
      </c>
      <c r="I6786" s="12">
        <v>43289</v>
      </c>
      <c r="J6786" s="35">
        <f t="shared" si="1318"/>
        <v>0</v>
      </c>
      <c r="K6786" s="36"/>
      <c r="L6786" s="36"/>
      <c r="M6786" s="36"/>
      <c r="N6786" s="36"/>
      <c r="O6786" s="36"/>
      <c r="P6786" s="36"/>
      <c r="Q6786" s="36"/>
      <c r="R6786" s="36"/>
      <c r="S6786" s="36"/>
      <c r="T6786" s="36"/>
      <c r="U6786" s="36"/>
      <c r="V6786" s="36"/>
      <c r="W6786" s="15">
        <f t="shared" si="1319"/>
        <v>0</v>
      </c>
      <c r="X6786" s="36"/>
      <c r="Y6786" s="36"/>
      <c r="Z6786" s="36"/>
      <c r="AA6786" s="36"/>
      <c r="AB6786" s="36"/>
      <c r="AC6786" s="36"/>
      <c r="AD6786" s="36"/>
      <c r="AE6786" s="36"/>
      <c r="AF6786" s="36"/>
      <c r="AG6786" s="36"/>
      <c r="AH6786" s="36"/>
      <c r="AI6786" s="36"/>
      <c r="AJ6786" s="15">
        <f t="shared" si="1320"/>
        <v>0</v>
      </c>
      <c r="AK6786" s="14"/>
      <c r="AL6786" s="14"/>
      <c r="AM6786" s="14"/>
      <c r="AN6786" s="14"/>
      <c r="AO6786" s="14">
        <v>400</v>
      </c>
      <c r="AP6786" s="14">
        <v>400</v>
      </c>
      <c r="AQ6786" s="14">
        <v>400</v>
      </c>
      <c r="AR6786" s="14"/>
      <c r="AS6786" s="14"/>
      <c r="AT6786" s="14"/>
      <c r="AU6786" s="14"/>
      <c r="AV6786" s="14"/>
      <c r="AW6786" s="15">
        <f t="shared" si="1321"/>
        <v>1200</v>
      </c>
      <c r="AX6786" s="16"/>
    </row>
    <row r="6787" spans="2:50" x14ac:dyDescent="0.2">
      <c r="B6787" s="7"/>
      <c r="C6787" s="8">
        <v>16860</v>
      </c>
      <c r="D6787" s="9" t="s">
        <v>791</v>
      </c>
      <c r="E6787" s="10" t="str">
        <f t="shared" si="1316"/>
        <v>Rancho Upácuaro No. 116</v>
      </c>
      <c r="F6787" s="10" t="str">
        <f t="shared" si="1317"/>
        <v>Zenteno</v>
      </c>
      <c r="G6787" s="8">
        <v>1</v>
      </c>
      <c r="H6787" s="11">
        <v>800</v>
      </c>
      <c r="I6787" s="12">
        <v>43289</v>
      </c>
      <c r="J6787" s="35">
        <f t="shared" si="1318"/>
        <v>0</v>
      </c>
      <c r="K6787" s="36"/>
      <c r="L6787" s="36"/>
      <c r="M6787" s="36"/>
      <c r="N6787" s="36"/>
      <c r="O6787" s="36"/>
      <c r="P6787" s="36"/>
      <c r="Q6787" s="36"/>
      <c r="R6787" s="36"/>
      <c r="S6787" s="36"/>
      <c r="T6787" s="36"/>
      <c r="U6787" s="36"/>
      <c r="V6787" s="36"/>
      <c r="W6787" s="15">
        <f t="shared" si="1319"/>
        <v>0</v>
      </c>
      <c r="X6787" s="36"/>
      <c r="Y6787" s="36"/>
      <c r="Z6787" s="36"/>
      <c r="AA6787" s="36"/>
      <c r="AB6787" s="36"/>
      <c r="AC6787" s="36"/>
      <c r="AD6787" s="36"/>
      <c r="AE6787" s="36"/>
      <c r="AF6787" s="36"/>
      <c r="AG6787" s="36"/>
      <c r="AH6787" s="36"/>
      <c r="AI6787" s="36"/>
      <c r="AJ6787" s="15">
        <f t="shared" si="1320"/>
        <v>0</v>
      </c>
      <c r="AK6787" s="14"/>
      <c r="AL6787" s="14"/>
      <c r="AM6787" s="14"/>
      <c r="AN6787" s="14"/>
      <c r="AO6787" s="14">
        <v>400</v>
      </c>
      <c r="AP6787" s="14">
        <v>400</v>
      </c>
      <c r="AQ6787" s="14"/>
      <c r="AR6787" s="14"/>
      <c r="AS6787" s="14"/>
      <c r="AT6787" s="14"/>
      <c r="AU6787" s="14"/>
      <c r="AV6787" s="14"/>
      <c r="AW6787" s="15">
        <f t="shared" si="1321"/>
        <v>800</v>
      </c>
      <c r="AX6787" s="16"/>
    </row>
    <row r="6788" spans="2:50" x14ac:dyDescent="0.2">
      <c r="B6788" s="7"/>
      <c r="C6788" s="8">
        <v>16861</v>
      </c>
      <c r="D6788" s="9" t="s">
        <v>882</v>
      </c>
      <c r="E6788" s="10" t="str">
        <f t="shared" si="1316"/>
        <v>Rancho Upácuaro No. 54</v>
      </c>
      <c r="F6788" s="10" t="str">
        <f t="shared" si="1317"/>
        <v>García Rueda</v>
      </c>
      <c r="G6788" s="8">
        <v>1</v>
      </c>
      <c r="H6788" s="11">
        <v>400</v>
      </c>
      <c r="I6788" s="12">
        <v>43289</v>
      </c>
      <c r="J6788" s="35">
        <f t="shared" si="1318"/>
        <v>0</v>
      </c>
      <c r="K6788" s="36"/>
      <c r="L6788" s="36"/>
      <c r="M6788" s="36"/>
      <c r="N6788" s="36"/>
      <c r="O6788" s="36"/>
      <c r="P6788" s="36"/>
      <c r="Q6788" s="36"/>
      <c r="R6788" s="36"/>
      <c r="S6788" s="36"/>
      <c r="T6788" s="36"/>
      <c r="U6788" s="36"/>
      <c r="V6788" s="36"/>
      <c r="W6788" s="15">
        <f t="shared" si="1319"/>
        <v>0</v>
      </c>
      <c r="X6788" s="36"/>
      <c r="Y6788" s="36"/>
      <c r="Z6788" s="36"/>
      <c r="AA6788" s="36"/>
      <c r="AB6788" s="36"/>
      <c r="AC6788" s="36"/>
      <c r="AD6788" s="36"/>
      <c r="AE6788" s="36"/>
      <c r="AF6788" s="36"/>
      <c r="AG6788" s="36"/>
      <c r="AH6788" s="36"/>
      <c r="AI6788" s="36"/>
      <c r="AJ6788" s="15">
        <f t="shared" si="1320"/>
        <v>0</v>
      </c>
      <c r="AK6788" s="14"/>
      <c r="AL6788" s="14"/>
      <c r="AM6788" s="14"/>
      <c r="AN6788" s="14"/>
      <c r="AO6788" s="14"/>
      <c r="AP6788" s="14">
        <v>200</v>
      </c>
      <c r="AQ6788" s="14">
        <v>200</v>
      </c>
      <c r="AR6788" s="14"/>
      <c r="AS6788" s="14"/>
      <c r="AT6788" s="14"/>
      <c r="AU6788" s="14"/>
      <c r="AV6788" s="14"/>
      <c r="AW6788" s="15">
        <f t="shared" si="1321"/>
        <v>400</v>
      </c>
      <c r="AX6788" s="16"/>
    </row>
    <row r="6789" spans="2:50" x14ac:dyDescent="0.2">
      <c r="B6789" s="7"/>
      <c r="C6789" s="8">
        <v>16862</v>
      </c>
      <c r="D6789" s="9" t="s">
        <v>840</v>
      </c>
      <c r="E6789" s="10" t="str">
        <f t="shared" si="1316"/>
        <v>Rancho Landero No. 33</v>
      </c>
      <c r="F6789" s="10" t="str">
        <f t="shared" si="1317"/>
        <v>González Uribe</v>
      </c>
      <c r="G6789" s="8">
        <v>1</v>
      </c>
      <c r="H6789" s="11">
        <v>1600</v>
      </c>
      <c r="I6789" s="12">
        <v>43289</v>
      </c>
      <c r="J6789" s="35">
        <f t="shared" si="1318"/>
        <v>0</v>
      </c>
      <c r="K6789" s="36"/>
      <c r="L6789" s="36"/>
      <c r="M6789" s="36"/>
      <c r="N6789" s="36"/>
      <c r="O6789" s="36"/>
      <c r="P6789" s="36"/>
      <c r="Q6789" s="36"/>
      <c r="R6789" s="36"/>
      <c r="S6789" s="36"/>
      <c r="T6789" s="36"/>
      <c r="U6789" s="36"/>
      <c r="V6789" s="36"/>
      <c r="W6789" s="15">
        <f t="shared" si="1319"/>
        <v>0</v>
      </c>
      <c r="X6789" s="36"/>
      <c r="Y6789" s="36"/>
      <c r="Z6789" s="36"/>
      <c r="AA6789" s="36"/>
      <c r="AB6789" s="36"/>
      <c r="AC6789" s="36"/>
      <c r="AD6789" s="36"/>
      <c r="AE6789" s="36"/>
      <c r="AF6789" s="36"/>
      <c r="AG6789" s="36"/>
      <c r="AH6789" s="36"/>
      <c r="AI6789" s="36"/>
      <c r="AJ6789" s="15">
        <f t="shared" si="1320"/>
        <v>0</v>
      </c>
      <c r="AK6789" s="14"/>
      <c r="AL6789" s="14"/>
      <c r="AM6789" s="14"/>
      <c r="AN6789" s="14">
        <v>400</v>
      </c>
      <c r="AO6789" s="14">
        <v>400</v>
      </c>
      <c r="AP6789" s="14">
        <v>400</v>
      </c>
      <c r="AQ6789" s="14">
        <v>400</v>
      </c>
      <c r="AR6789" s="14"/>
      <c r="AS6789" s="14"/>
      <c r="AT6789" s="14"/>
      <c r="AU6789" s="14"/>
      <c r="AV6789" s="14"/>
      <c r="AW6789" s="15">
        <f t="shared" si="1321"/>
        <v>1600</v>
      </c>
      <c r="AX6789" s="16"/>
    </row>
    <row r="6790" spans="2:50" x14ac:dyDescent="0.2">
      <c r="B6790" s="7"/>
      <c r="C6790" s="8">
        <v>16863</v>
      </c>
      <c r="D6790" s="9" t="s">
        <v>62</v>
      </c>
      <c r="E6790" s="10" t="str">
        <f t="shared" si="1316"/>
        <v>Rancho Romeral No. 10, A</v>
      </c>
      <c r="F6790" s="10" t="str">
        <f t="shared" si="1317"/>
        <v>Casillas Álvarez</v>
      </c>
      <c r="G6790" s="8">
        <v>1</v>
      </c>
      <c r="H6790" s="11">
        <v>200</v>
      </c>
      <c r="I6790" s="12">
        <v>43289</v>
      </c>
      <c r="J6790" s="35">
        <f t="shared" si="1318"/>
        <v>0</v>
      </c>
      <c r="K6790" s="36"/>
      <c r="L6790" s="36"/>
      <c r="M6790" s="36"/>
      <c r="N6790" s="36"/>
      <c r="O6790" s="36"/>
      <c r="P6790" s="36"/>
      <c r="Q6790" s="36"/>
      <c r="R6790" s="36"/>
      <c r="S6790" s="36"/>
      <c r="T6790" s="36"/>
      <c r="U6790" s="36"/>
      <c r="V6790" s="36"/>
      <c r="W6790" s="15">
        <f t="shared" si="1319"/>
        <v>0</v>
      </c>
      <c r="X6790" s="36"/>
      <c r="Y6790" s="36"/>
      <c r="Z6790" s="36"/>
      <c r="AA6790" s="36"/>
      <c r="AB6790" s="36"/>
      <c r="AC6790" s="36"/>
      <c r="AD6790" s="36"/>
      <c r="AE6790" s="36"/>
      <c r="AF6790" s="36"/>
      <c r="AG6790" s="36"/>
      <c r="AH6790" s="36"/>
      <c r="AI6790" s="36"/>
      <c r="AJ6790" s="15">
        <f t="shared" si="1320"/>
        <v>0</v>
      </c>
      <c r="AK6790" s="14"/>
      <c r="AL6790" s="14"/>
      <c r="AM6790" s="14"/>
      <c r="AN6790" s="14"/>
      <c r="AO6790" s="14"/>
      <c r="AP6790" s="14"/>
      <c r="AQ6790" s="14"/>
      <c r="AR6790" s="14">
        <v>200</v>
      </c>
      <c r="AS6790" s="14"/>
      <c r="AT6790" s="14"/>
      <c r="AU6790" s="14"/>
      <c r="AV6790" s="14"/>
      <c r="AW6790" s="15">
        <f t="shared" si="1321"/>
        <v>200</v>
      </c>
      <c r="AX6790" s="16"/>
    </row>
    <row r="6791" spans="2:50" x14ac:dyDescent="0.2">
      <c r="B6791" s="7"/>
      <c r="C6791" s="8">
        <v>16864</v>
      </c>
      <c r="D6791" s="9" t="s">
        <v>331</v>
      </c>
      <c r="E6791" s="10" t="str">
        <f t="shared" si="1316"/>
        <v>Rancho Recoveco No. 197</v>
      </c>
      <c r="F6791" s="10" t="str">
        <f t="shared" si="1317"/>
        <v>Colín González</v>
      </c>
      <c r="G6791" s="8">
        <v>1</v>
      </c>
      <c r="H6791" s="11">
        <v>400</v>
      </c>
      <c r="I6791" s="12">
        <v>43289</v>
      </c>
      <c r="J6791" s="35">
        <f t="shared" si="1318"/>
        <v>0</v>
      </c>
      <c r="K6791" s="36"/>
      <c r="L6791" s="36"/>
      <c r="M6791" s="36"/>
      <c r="N6791" s="36"/>
      <c r="O6791" s="36"/>
      <c r="P6791" s="36"/>
      <c r="Q6791" s="36"/>
      <c r="R6791" s="36"/>
      <c r="S6791" s="36"/>
      <c r="T6791" s="36"/>
      <c r="U6791" s="36"/>
      <c r="V6791" s="36"/>
      <c r="W6791" s="15">
        <f t="shared" si="1319"/>
        <v>0</v>
      </c>
      <c r="X6791" s="36"/>
      <c r="Y6791" s="36"/>
      <c r="Z6791" s="36"/>
      <c r="AA6791" s="36"/>
      <c r="AB6791" s="36"/>
      <c r="AC6791" s="36"/>
      <c r="AD6791" s="36"/>
      <c r="AE6791" s="36"/>
      <c r="AF6791" s="36"/>
      <c r="AG6791" s="36"/>
      <c r="AH6791" s="36"/>
      <c r="AI6791" s="36"/>
      <c r="AJ6791" s="15">
        <f t="shared" si="1320"/>
        <v>0</v>
      </c>
      <c r="AK6791" s="14"/>
      <c r="AL6791" s="14"/>
      <c r="AM6791" s="14"/>
      <c r="AN6791" s="14"/>
      <c r="AO6791" s="14"/>
      <c r="AP6791" s="14"/>
      <c r="AQ6791" s="14">
        <v>400</v>
      </c>
      <c r="AR6791" s="14"/>
      <c r="AS6791" s="14"/>
      <c r="AT6791" s="14"/>
      <c r="AU6791" s="14"/>
      <c r="AV6791" s="14"/>
      <c r="AW6791" s="15">
        <f t="shared" si="1321"/>
        <v>400</v>
      </c>
      <c r="AX6791" s="16"/>
    </row>
    <row r="6792" spans="2:50" x14ac:dyDescent="0.2">
      <c r="B6792" s="7"/>
      <c r="C6792" s="8">
        <v>16865</v>
      </c>
      <c r="D6792" s="9" t="s">
        <v>301</v>
      </c>
      <c r="E6792" s="10" t="str">
        <f t="shared" si="1316"/>
        <v>Rancho Upácuaro No. 51, 2</v>
      </c>
      <c r="F6792" s="10" t="str">
        <f t="shared" si="1317"/>
        <v>Santoyo</v>
      </c>
      <c r="G6792" s="8">
        <v>1</v>
      </c>
      <c r="H6792" s="11">
        <v>200</v>
      </c>
      <c r="I6792" s="12">
        <v>43289</v>
      </c>
      <c r="J6792" s="35">
        <f t="shared" si="1318"/>
        <v>0</v>
      </c>
      <c r="K6792" s="36"/>
      <c r="L6792" s="36"/>
      <c r="M6792" s="36"/>
      <c r="N6792" s="36"/>
      <c r="O6792" s="36"/>
      <c r="P6792" s="36"/>
      <c r="Q6792" s="36"/>
      <c r="R6792" s="36"/>
      <c r="S6792" s="36"/>
      <c r="T6792" s="36"/>
      <c r="U6792" s="36"/>
      <c r="V6792" s="36"/>
      <c r="W6792" s="15">
        <f t="shared" si="1319"/>
        <v>0</v>
      </c>
      <c r="X6792" s="36"/>
      <c r="Y6792" s="36"/>
      <c r="Z6792" s="36"/>
      <c r="AA6792" s="36"/>
      <c r="AB6792" s="36"/>
      <c r="AC6792" s="36"/>
      <c r="AD6792" s="36"/>
      <c r="AE6792" s="36"/>
      <c r="AF6792" s="36"/>
      <c r="AG6792" s="36"/>
      <c r="AH6792" s="36"/>
      <c r="AI6792" s="36"/>
      <c r="AJ6792" s="15">
        <f t="shared" si="1320"/>
        <v>0</v>
      </c>
      <c r="AK6792" s="14"/>
      <c r="AL6792" s="14"/>
      <c r="AM6792" s="14"/>
      <c r="AN6792" s="14"/>
      <c r="AO6792" s="14"/>
      <c r="AP6792" s="14"/>
      <c r="AQ6792" s="14">
        <v>200</v>
      </c>
      <c r="AR6792" s="14"/>
      <c r="AS6792" s="14"/>
      <c r="AT6792" s="14"/>
      <c r="AU6792" s="14"/>
      <c r="AV6792" s="14"/>
      <c r="AW6792" s="15">
        <f t="shared" si="1321"/>
        <v>200</v>
      </c>
      <c r="AX6792" s="16"/>
    </row>
    <row r="6793" spans="2:50" x14ac:dyDescent="0.2">
      <c r="B6793" s="7"/>
      <c r="C6793" s="8">
        <v>16866</v>
      </c>
      <c r="D6793" s="9" t="s">
        <v>646</v>
      </c>
      <c r="E6793" s="10" t="str">
        <f t="shared" si="1316"/>
        <v>Rancho Landero No. 84</v>
      </c>
      <c r="F6793" s="10" t="str">
        <f t="shared" si="1317"/>
        <v>Alcántara</v>
      </c>
      <c r="G6793" s="8">
        <v>1</v>
      </c>
      <c r="H6793" s="11">
        <v>900</v>
      </c>
      <c r="I6793" s="12">
        <v>43289</v>
      </c>
      <c r="J6793" s="35">
        <f t="shared" si="1318"/>
        <v>0</v>
      </c>
      <c r="K6793" s="36"/>
      <c r="L6793" s="36"/>
      <c r="M6793" s="36"/>
      <c r="N6793" s="36"/>
      <c r="O6793" s="36"/>
      <c r="P6793" s="36"/>
      <c r="Q6793" s="36"/>
      <c r="R6793" s="36"/>
      <c r="S6793" s="36"/>
      <c r="T6793" s="36"/>
      <c r="U6793" s="36"/>
      <c r="V6793" s="36"/>
      <c r="W6793" s="15">
        <f t="shared" si="1319"/>
        <v>0</v>
      </c>
      <c r="X6793" s="36"/>
      <c r="Y6793" s="36"/>
      <c r="Z6793" s="36"/>
      <c r="AA6793" s="36"/>
      <c r="AB6793" s="36"/>
      <c r="AC6793" s="36"/>
      <c r="AD6793" s="36"/>
      <c r="AE6793" s="36"/>
      <c r="AF6793" s="36"/>
      <c r="AG6793" s="36"/>
      <c r="AH6793" s="36"/>
      <c r="AI6793" s="36"/>
      <c r="AJ6793" s="15">
        <f t="shared" si="1320"/>
        <v>0</v>
      </c>
      <c r="AK6793" s="14"/>
      <c r="AL6793" s="14"/>
      <c r="AM6793" s="14"/>
      <c r="AN6793" s="14"/>
      <c r="AO6793" s="14"/>
      <c r="AP6793" s="14">
        <v>300</v>
      </c>
      <c r="AQ6793" s="14">
        <v>300</v>
      </c>
      <c r="AR6793" s="14">
        <v>300</v>
      </c>
      <c r="AS6793" s="14"/>
      <c r="AT6793" s="14"/>
      <c r="AU6793" s="14"/>
      <c r="AV6793" s="14"/>
      <c r="AW6793" s="15">
        <f t="shared" si="1321"/>
        <v>900</v>
      </c>
      <c r="AX6793" s="16"/>
    </row>
    <row r="6794" spans="2:50" x14ac:dyDescent="0.2">
      <c r="B6794" s="7"/>
      <c r="C6794" s="8">
        <v>16867</v>
      </c>
      <c r="D6794" s="9" t="s">
        <v>150</v>
      </c>
      <c r="E6794" s="10" t="str">
        <f t="shared" ref="E6794:E6808" si="1322">IF(D6794=0,"",VLOOKUP(D6794,BASE,2,FALSE))</f>
        <v>Rancho La Cuchilla No. 33</v>
      </c>
      <c r="F6794" s="10" t="str">
        <f t="shared" ref="F6794:F6808" si="1323">IF(D6794=0,"",VLOOKUP(D6794,BASE,3,FALSE))</f>
        <v>Tanús</v>
      </c>
      <c r="G6794" s="8">
        <v>1</v>
      </c>
      <c r="H6794" s="11">
        <v>400</v>
      </c>
      <c r="I6794" s="12">
        <v>43289</v>
      </c>
      <c r="J6794" s="35">
        <f t="shared" ref="J6794:J6808" si="1324">IF(G6794=1,SUM(W6794,AJ6794,AW6794,-H6794),0)</f>
        <v>0</v>
      </c>
      <c r="K6794" s="36"/>
      <c r="L6794" s="36"/>
      <c r="M6794" s="36"/>
      <c r="N6794" s="36"/>
      <c r="O6794" s="36"/>
      <c r="P6794" s="36"/>
      <c r="Q6794" s="36"/>
      <c r="R6794" s="36"/>
      <c r="S6794" s="36"/>
      <c r="T6794" s="36"/>
      <c r="U6794" s="36"/>
      <c r="V6794" s="36"/>
      <c r="W6794" s="15">
        <f t="shared" ref="W6794:W6808" si="1325">SUM(K6794:V6794)</f>
        <v>0</v>
      </c>
      <c r="X6794" s="36"/>
      <c r="Y6794" s="36"/>
      <c r="Z6794" s="36"/>
      <c r="AA6794" s="36"/>
      <c r="AB6794" s="36"/>
      <c r="AC6794" s="36"/>
      <c r="AD6794" s="36"/>
      <c r="AE6794" s="36"/>
      <c r="AF6794" s="36"/>
      <c r="AG6794" s="36"/>
      <c r="AH6794" s="36"/>
      <c r="AI6794" s="36"/>
      <c r="AJ6794" s="15">
        <f t="shared" ref="AJ6794:AJ6808" si="1326">SUM(X6794:AI6794)</f>
        <v>0</v>
      </c>
      <c r="AK6794" s="14"/>
      <c r="AL6794" s="14"/>
      <c r="AM6794" s="14"/>
      <c r="AN6794" s="14"/>
      <c r="AO6794" s="14"/>
      <c r="AP6794" s="14"/>
      <c r="AQ6794" s="14">
        <v>400</v>
      </c>
      <c r="AR6794" s="14"/>
      <c r="AS6794" s="14"/>
      <c r="AT6794" s="14"/>
      <c r="AU6794" s="14"/>
      <c r="AV6794" s="14"/>
      <c r="AW6794" s="15">
        <f t="shared" ref="AW6794:AW6808" si="1327">SUM(AK6794:AV6794)</f>
        <v>400</v>
      </c>
      <c r="AX6794" s="16"/>
    </row>
    <row r="6795" spans="2:50" x14ac:dyDescent="0.2">
      <c r="B6795" s="7"/>
      <c r="C6795" s="8">
        <v>16868</v>
      </c>
      <c r="D6795" s="9" t="s">
        <v>617</v>
      </c>
      <c r="E6795" s="10" t="str">
        <f t="shared" si="1322"/>
        <v>Rancho Zinamba No. 50</v>
      </c>
      <c r="F6795" s="10" t="str">
        <f t="shared" si="1323"/>
        <v>Del Castillo</v>
      </c>
      <c r="G6795" s="8">
        <v>1</v>
      </c>
      <c r="H6795" s="11">
        <v>400</v>
      </c>
      <c r="I6795" s="12">
        <v>43289</v>
      </c>
      <c r="J6795" s="35">
        <f t="shared" si="1324"/>
        <v>0</v>
      </c>
      <c r="K6795" s="36"/>
      <c r="L6795" s="36"/>
      <c r="M6795" s="36"/>
      <c r="N6795" s="36"/>
      <c r="O6795" s="36"/>
      <c r="P6795" s="36"/>
      <c r="Q6795" s="36"/>
      <c r="R6795" s="36"/>
      <c r="S6795" s="36"/>
      <c r="T6795" s="36"/>
      <c r="U6795" s="36"/>
      <c r="V6795" s="36"/>
      <c r="W6795" s="15">
        <f t="shared" si="1325"/>
        <v>0</v>
      </c>
      <c r="X6795" s="36"/>
      <c r="Y6795" s="36"/>
      <c r="Z6795" s="36"/>
      <c r="AA6795" s="36"/>
      <c r="AB6795" s="36"/>
      <c r="AC6795" s="36"/>
      <c r="AD6795" s="36"/>
      <c r="AE6795" s="36"/>
      <c r="AF6795" s="36"/>
      <c r="AG6795" s="36"/>
      <c r="AH6795" s="36"/>
      <c r="AI6795" s="36"/>
      <c r="AJ6795" s="15">
        <f t="shared" si="1326"/>
        <v>0</v>
      </c>
      <c r="AK6795" s="14"/>
      <c r="AL6795" s="14"/>
      <c r="AM6795" s="14"/>
      <c r="AN6795" s="14"/>
      <c r="AO6795" s="14"/>
      <c r="AP6795" s="14">
        <v>400</v>
      </c>
      <c r="AQ6795" s="14"/>
      <c r="AR6795" s="14"/>
      <c r="AS6795" s="14"/>
      <c r="AT6795" s="14"/>
      <c r="AU6795" s="14"/>
      <c r="AV6795" s="14"/>
      <c r="AW6795" s="15">
        <f t="shared" si="1327"/>
        <v>400</v>
      </c>
      <c r="AX6795" s="16"/>
    </row>
    <row r="6796" spans="2:50" x14ac:dyDescent="0.2">
      <c r="B6796" s="7"/>
      <c r="C6796" s="8">
        <v>16868</v>
      </c>
      <c r="D6796" s="9" t="s">
        <v>617</v>
      </c>
      <c r="E6796" s="10" t="str">
        <f t="shared" si="1322"/>
        <v>Rancho Zinamba No. 50</v>
      </c>
      <c r="F6796" s="10" t="str">
        <f t="shared" si="1323"/>
        <v>Del Castillo</v>
      </c>
      <c r="G6796" s="8">
        <v>4</v>
      </c>
      <c r="H6796" s="11">
        <v>200</v>
      </c>
      <c r="I6796" s="12">
        <v>43289</v>
      </c>
      <c r="J6796" s="35">
        <f t="shared" si="1324"/>
        <v>0</v>
      </c>
      <c r="K6796" s="36"/>
      <c r="L6796" s="36"/>
      <c r="M6796" s="36"/>
      <c r="N6796" s="36"/>
      <c r="O6796" s="36"/>
      <c r="P6796" s="36"/>
      <c r="Q6796" s="36"/>
      <c r="R6796" s="36"/>
      <c r="S6796" s="36"/>
      <c r="T6796" s="36"/>
      <c r="U6796" s="36"/>
      <c r="V6796" s="36"/>
      <c r="W6796" s="15">
        <f t="shared" si="1325"/>
        <v>0</v>
      </c>
      <c r="X6796" s="36"/>
      <c r="Y6796" s="36"/>
      <c r="Z6796" s="36"/>
      <c r="AA6796" s="36"/>
      <c r="AB6796" s="36"/>
      <c r="AC6796" s="36"/>
      <c r="AD6796" s="36"/>
      <c r="AE6796" s="36"/>
      <c r="AF6796" s="36"/>
      <c r="AG6796" s="36"/>
      <c r="AH6796" s="36"/>
      <c r="AI6796" s="36"/>
      <c r="AJ6796" s="15">
        <f t="shared" si="1326"/>
        <v>0</v>
      </c>
      <c r="AK6796" s="14"/>
      <c r="AL6796" s="14"/>
      <c r="AM6796" s="14"/>
      <c r="AN6796" s="14"/>
      <c r="AO6796" s="14"/>
      <c r="AP6796" s="14"/>
      <c r="AQ6796" s="14"/>
      <c r="AR6796" s="14"/>
      <c r="AS6796" s="14"/>
      <c r="AT6796" s="14"/>
      <c r="AU6796" s="14"/>
      <c r="AV6796" s="14"/>
      <c r="AW6796" s="15">
        <f t="shared" si="1327"/>
        <v>0</v>
      </c>
      <c r="AX6796" s="16" t="s">
        <v>5416</v>
      </c>
    </row>
    <row r="6797" spans="2:50" x14ac:dyDescent="0.2">
      <c r="B6797" s="7"/>
      <c r="C6797" s="8">
        <v>16869</v>
      </c>
      <c r="D6797" s="9" t="s">
        <v>235</v>
      </c>
      <c r="E6797" s="10" t="str">
        <f t="shared" si="1322"/>
        <v>Rancho La Cuchilla No. 43, A</v>
      </c>
      <c r="F6797" s="10" t="str">
        <f t="shared" si="1323"/>
        <v>De la Rosa</v>
      </c>
      <c r="G6797" s="8">
        <v>1</v>
      </c>
      <c r="H6797" s="11">
        <v>400</v>
      </c>
      <c r="I6797" s="12">
        <v>43289</v>
      </c>
      <c r="J6797" s="35">
        <f t="shared" si="1324"/>
        <v>0</v>
      </c>
      <c r="K6797" s="36"/>
      <c r="L6797" s="36"/>
      <c r="M6797" s="36"/>
      <c r="N6797" s="36"/>
      <c r="O6797" s="36"/>
      <c r="P6797" s="36"/>
      <c r="Q6797" s="36"/>
      <c r="R6797" s="36"/>
      <c r="S6797" s="36"/>
      <c r="T6797" s="36"/>
      <c r="U6797" s="36"/>
      <c r="V6797" s="36"/>
      <c r="W6797" s="15">
        <f t="shared" si="1325"/>
        <v>0</v>
      </c>
      <c r="X6797" s="36"/>
      <c r="Y6797" s="36"/>
      <c r="Z6797" s="36"/>
      <c r="AA6797" s="36"/>
      <c r="AB6797" s="36"/>
      <c r="AC6797" s="36"/>
      <c r="AD6797" s="36"/>
      <c r="AE6797" s="36"/>
      <c r="AF6797" s="36"/>
      <c r="AG6797" s="36"/>
      <c r="AH6797" s="36"/>
      <c r="AI6797" s="36"/>
      <c r="AJ6797" s="15">
        <f t="shared" si="1326"/>
        <v>0</v>
      </c>
      <c r="AK6797" s="14"/>
      <c r="AL6797" s="14"/>
      <c r="AM6797" s="14"/>
      <c r="AN6797" s="14"/>
      <c r="AO6797" s="14">
        <v>400</v>
      </c>
      <c r="AP6797" s="14"/>
      <c r="AQ6797" s="14"/>
      <c r="AR6797" s="14"/>
      <c r="AS6797" s="14"/>
      <c r="AT6797" s="14"/>
      <c r="AU6797" s="14"/>
      <c r="AV6797" s="14"/>
      <c r="AW6797" s="15">
        <f t="shared" si="1327"/>
        <v>400</v>
      </c>
      <c r="AX6797" s="16"/>
    </row>
    <row r="6798" spans="2:50" x14ac:dyDescent="0.2">
      <c r="B6798" s="7"/>
      <c r="C6798" s="8">
        <v>16870</v>
      </c>
      <c r="D6798" s="9" t="s">
        <v>434</v>
      </c>
      <c r="E6798" s="10" t="str">
        <f t="shared" si="1322"/>
        <v>Rancho La Cuchilla No. 55</v>
      </c>
      <c r="F6798" s="10" t="str">
        <f t="shared" si="1323"/>
        <v>López Velázquez</v>
      </c>
      <c r="G6798" s="8">
        <v>1</v>
      </c>
      <c r="H6798" s="11">
        <v>1200</v>
      </c>
      <c r="I6798" s="12">
        <v>43289</v>
      </c>
      <c r="J6798" s="35">
        <f t="shared" si="1324"/>
        <v>0</v>
      </c>
      <c r="K6798" s="36"/>
      <c r="L6798" s="36"/>
      <c r="M6798" s="36"/>
      <c r="N6798" s="36"/>
      <c r="O6798" s="36"/>
      <c r="P6798" s="36"/>
      <c r="Q6798" s="36"/>
      <c r="R6798" s="36"/>
      <c r="S6798" s="36"/>
      <c r="T6798" s="36"/>
      <c r="U6798" s="36"/>
      <c r="V6798" s="36"/>
      <c r="W6798" s="15">
        <f t="shared" si="1325"/>
        <v>0</v>
      </c>
      <c r="X6798" s="36"/>
      <c r="Y6798" s="36"/>
      <c r="Z6798" s="36"/>
      <c r="AA6798" s="36"/>
      <c r="AB6798" s="36"/>
      <c r="AC6798" s="36"/>
      <c r="AD6798" s="36"/>
      <c r="AE6798" s="36"/>
      <c r="AF6798" s="36"/>
      <c r="AG6798" s="36"/>
      <c r="AH6798" s="36"/>
      <c r="AI6798" s="36"/>
      <c r="AJ6798" s="15">
        <f t="shared" si="1326"/>
        <v>0</v>
      </c>
      <c r="AK6798" s="14"/>
      <c r="AL6798" s="14"/>
      <c r="AM6798" s="14"/>
      <c r="AN6798" s="14"/>
      <c r="AO6798" s="14"/>
      <c r="AP6798" s="14"/>
      <c r="AQ6798" s="14">
        <v>400</v>
      </c>
      <c r="AR6798" s="14">
        <v>400</v>
      </c>
      <c r="AS6798" s="14">
        <v>400</v>
      </c>
      <c r="AT6798" s="14"/>
      <c r="AU6798" s="14"/>
      <c r="AV6798" s="14"/>
      <c r="AW6798" s="15">
        <f t="shared" si="1327"/>
        <v>1200</v>
      </c>
      <c r="AX6798" s="16"/>
    </row>
    <row r="6799" spans="2:50" x14ac:dyDescent="0.2">
      <c r="B6799" s="7"/>
      <c r="C6799" s="8">
        <v>16871</v>
      </c>
      <c r="D6799" s="9" t="s">
        <v>544</v>
      </c>
      <c r="E6799" s="10" t="str">
        <f t="shared" si="1322"/>
        <v>Rancho Estanzuela No. 89</v>
      </c>
      <c r="F6799" s="10" t="str">
        <f t="shared" si="1323"/>
        <v>Romero Ortiz</v>
      </c>
      <c r="G6799" s="8">
        <v>1</v>
      </c>
      <c r="H6799" s="11">
        <v>800</v>
      </c>
      <c r="I6799" s="12">
        <v>43289</v>
      </c>
      <c r="J6799" s="35">
        <f t="shared" si="1324"/>
        <v>0</v>
      </c>
      <c r="K6799" s="36"/>
      <c r="L6799" s="36"/>
      <c r="M6799" s="36"/>
      <c r="N6799" s="36"/>
      <c r="O6799" s="36"/>
      <c r="P6799" s="36"/>
      <c r="Q6799" s="36"/>
      <c r="R6799" s="36"/>
      <c r="S6799" s="36"/>
      <c r="T6799" s="36"/>
      <c r="U6799" s="36"/>
      <c r="V6799" s="36"/>
      <c r="W6799" s="15">
        <f t="shared" si="1325"/>
        <v>0</v>
      </c>
      <c r="X6799" s="36"/>
      <c r="Y6799" s="36"/>
      <c r="Z6799" s="36"/>
      <c r="AA6799" s="36"/>
      <c r="AB6799" s="36"/>
      <c r="AC6799" s="36"/>
      <c r="AD6799" s="36"/>
      <c r="AE6799" s="36"/>
      <c r="AF6799" s="36"/>
      <c r="AG6799" s="36"/>
      <c r="AH6799" s="36"/>
      <c r="AI6799" s="36"/>
      <c r="AJ6799" s="15">
        <f t="shared" si="1326"/>
        <v>0</v>
      </c>
      <c r="AK6799" s="14"/>
      <c r="AL6799" s="14"/>
      <c r="AM6799" s="14"/>
      <c r="AN6799" s="14"/>
      <c r="AO6799" s="14"/>
      <c r="AP6799" s="14">
        <v>400</v>
      </c>
      <c r="AQ6799" s="14">
        <v>400</v>
      </c>
      <c r="AR6799" s="14"/>
      <c r="AS6799" s="14"/>
      <c r="AT6799" s="14"/>
      <c r="AU6799" s="14"/>
      <c r="AV6799" s="14"/>
      <c r="AW6799" s="15">
        <f t="shared" si="1327"/>
        <v>800</v>
      </c>
      <c r="AX6799" s="16"/>
    </row>
    <row r="6800" spans="2:50" x14ac:dyDescent="0.2">
      <c r="B6800" s="7"/>
      <c r="C6800" s="8">
        <v>16872</v>
      </c>
      <c r="D6800" s="9" t="s">
        <v>1340</v>
      </c>
      <c r="E6800" s="10" t="str">
        <f t="shared" si="1322"/>
        <v>Rancho Estanzuela No. 73</v>
      </c>
      <c r="F6800" s="10" t="str">
        <f t="shared" si="1323"/>
        <v>Salcedo García</v>
      </c>
      <c r="G6800" s="8">
        <v>1</v>
      </c>
      <c r="H6800" s="11">
        <v>400</v>
      </c>
      <c r="I6800" s="12">
        <v>43289</v>
      </c>
      <c r="J6800" s="35">
        <f t="shared" si="1324"/>
        <v>0</v>
      </c>
      <c r="K6800" s="36"/>
      <c r="L6800" s="36"/>
      <c r="M6800" s="36"/>
      <c r="N6800" s="36"/>
      <c r="O6800" s="36"/>
      <c r="P6800" s="36"/>
      <c r="Q6800" s="36"/>
      <c r="R6800" s="36"/>
      <c r="S6800" s="36"/>
      <c r="T6800" s="36"/>
      <c r="U6800" s="36"/>
      <c r="V6800" s="36"/>
      <c r="W6800" s="15">
        <f t="shared" si="1325"/>
        <v>0</v>
      </c>
      <c r="X6800" s="36"/>
      <c r="Y6800" s="36"/>
      <c r="Z6800" s="36"/>
      <c r="AA6800" s="36"/>
      <c r="AB6800" s="36"/>
      <c r="AC6800" s="36"/>
      <c r="AD6800" s="36"/>
      <c r="AE6800" s="36"/>
      <c r="AF6800" s="36"/>
      <c r="AG6800" s="36"/>
      <c r="AH6800" s="36"/>
      <c r="AI6800" s="36"/>
      <c r="AJ6800" s="15">
        <f t="shared" si="1326"/>
        <v>0</v>
      </c>
      <c r="AK6800" s="14"/>
      <c r="AL6800" s="14"/>
      <c r="AM6800" s="14"/>
      <c r="AN6800" s="14"/>
      <c r="AO6800" s="14">
        <v>400</v>
      </c>
      <c r="AP6800" s="14"/>
      <c r="AQ6800" s="14"/>
      <c r="AR6800" s="14"/>
      <c r="AS6800" s="14"/>
      <c r="AT6800" s="14"/>
      <c r="AU6800" s="14"/>
      <c r="AV6800" s="14"/>
      <c r="AW6800" s="15">
        <f t="shared" si="1327"/>
        <v>400</v>
      </c>
      <c r="AX6800" s="16"/>
    </row>
    <row r="6801" spans="2:50" x14ac:dyDescent="0.2">
      <c r="B6801" s="7"/>
      <c r="C6801" s="8">
        <v>16873</v>
      </c>
      <c r="D6801" s="9" t="s">
        <v>1340</v>
      </c>
      <c r="E6801" s="10" t="str">
        <f t="shared" si="1322"/>
        <v>Rancho Estanzuela No. 73</v>
      </c>
      <c r="F6801" s="10" t="str">
        <f t="shared" si="1323"/>
        <v>Salcedo García</v>
      </c>
      <c r="G6801" s="8">
        <v>4</v>
      </c>
      <c r="H6801" s="11">
        <v>200</v>
      </c>
      <c r="I6801" s="12">
        <v>43289</v>
      </c>
      <c r="J6801" s="35">
        <f t="shared" si="1324"/>
        <v>0</v>
      </c>
      <c r="K6801" s="36"/>
      <c r="L6801" s="36"/>
      <c r="M6801" s="36"/>
      <c r="N6801" s="36"/>
      <c r="O6801" s="36"/>
      <c r="P6801" s="36"/>
      <c r="Q6801" s="36"/>
      <c r="R6801" s="36"/>
      <c r="S6801" s="36"/>
      <c r="T6801" s="36"/>
      <c r="U6801" s="36"/>
      <c r="V6801" s="36"/>
      <c r="W6801" s="15">
        <f t="shared" si="1325"/>
        <v>0</v>
      </c>
      <c r="X6801" s="36"/>
      <c r="Y6801" s="36"/>
      <c r="Z6801" s="36"/>
      <c r="AA6801" s="36"/>
      <c r="AB6801" s="36"/>
      <c r="AC6801" s="36"/>
      <c r="AD6801" s="36"/>
      <c r="AE6801" s="36"/>
      <c r="AF6801" s="36"/>
      <c r="AG6801" s="36"/>
      <c r="AH6801" s="36"/>
      <c r="AI6801" s="36"/>
      <c r="AJ6801" s="15">
        <f t="shared" si="1326"/>
        <v>0</v>
      </c>
      <c r="AK6801" s="14"/>
      <c r="AL6801" s="14"/>
      <c r="AM6801" s="14"/>
      <c r="AN6801" s="14"/>
      <c r="AO6801" s="14"/>
      <c r="AP6801" s="14"/>
      <c r="AQ6801" s="14"/>
      <c r="AR6801" s="14"/>
      <c r="AS6801" s="14"/>
      <c r="AT6801" s="14"/>
      <c r="AU6801" s="14"/>
      <c r="AV6801" s="14"/>
      <c r="AW6801" s="15">
        <f t="shared" si="1327"/>
        <v>0</v>
      </c>
      <c r="AX6801" s="16" t="s">
        <v>5417</v>
      </c>
    </row>
    <row r="6802" spans="2:50" x14ac:dyDescent="0.2">
      <c r="B6802" s="7"/>
      <c r="C6802" s="8">
        <v>16874</v>
      </c>
      <c r="D6802" s="9" t="s">
        <v>849</v>
      </c>
      <c r="E6802" s="10" t="str">
        <f t="shared" si="1322"/>
        <v>Rancho La Cuchilla No. 127</v>
      </c>
      <c r="F6802" s="10" t="str">
        <f t="shared" si="1323"/>
        <v>Quiñones</v>
      </c>
      <c r="G6802" s="8">
        <v>1</v>
      </c>
      <c r="H6802" s="11">
        <v>600</v>
      </c>
      <c r="I6802" s="12">
        <v>43289</v>
      </c>
      <c r="J6802" s="35">
        <f t="shared" si="1324"/>
        <v>0</v>
      </c>
      <c r="K6802" s="36"/>
      <c r="L6802" s="36"/>
      <c r="M6802" s="36"/>
      <c r="N6802" s="36"/>
      <c r="O6802" s="36"/>
      <c r="P6802" s="36"/>
      <c r="Q6802" s="36"/>
      <c r="R6802" s="36"/>
      <c r="S6802" s="36"/>
      <c r="T6802" s="36"/>
      <c r="U6802" s="36"/>
      <c r="V6802" s="36"/>
      <c r="W6802" s="15">
        <f t="shared" si="1325"/>
        <v>0</v>
      </c>
      <c r="X6802" s="36"/>
      <c r="Y6802" s="36"/>
      <c r="Z6802" s="36"/>
      <c r="AA6802" s="36"/>
      <c r="AB6802" s="36"/>
      <c r="AC6802" s="36"/>
      <c r="AD6802" s="36"/>
      <c r="AE6802" s="36"/>
      <c r="AF6802" s="36"/>
      <c r="AG6802" s="36"/>
      <c r="AH6802" s="36"/>
      <c r="AI6802" s="36"/>
      <c r="AJ6802" s="15">
        <f t="shared" si="1326"/>
        <v>0</v>
      </c>
      <c r="AK6802" s="14"/>
      <c r="AL6802" s="14"/>
      <c r="AM6802" s="14"/>
      <c r="AN6802" s="14"/>
      <c r="AO6802" s="14"/>
      <c r="AP6802" s="14">
        <v>300</v>
      </c>
      <c r="AQ6802" s="14">
        <v>300</v>
      </c>
      <c r="AR6802" s="14"/>
      <c r="AS6802" s="14"/>
      <c r="AT6802" s="14"/>
      <c r="AU6802" s="14"/>
      <c r="AV6802" s="14"/>
      <c r="AW6802" s="15">
        <f t="shared" si="1327"/>
        <v>600</v>
      </c>
      <c r="AX6802" s="16"/>
    </row>
    <row r="6803" spans="2:50" x14ac:dyDescent="0.2">
      <c r="B6803" s="7"/>
      <c r="C6803" s="8">
        <v>16874</v>
      </c>
      <c r="D6803" s="9" t="s">
        <v>849</v>
      </c>
      <c r="E6803" s="10" t="str">
        <f t="shared" si="1322"/>
        <v>Rancho La Cuchilla No. 127</v>
      </c>
      <c r="F6803" s="10" t="str">
        <f t="shared" si="1323"/>
        <v>Quiñones</v>
      </c>
      <c r="G6803" s="8">
        <v>4</v>
      </c>
      <c r="H6803" s="11">
        <v>200</v>
      </c>
      <c r="I6803" s="12">
        <v>43289</v>
      </c>
      <c r="J6803" s="35">
        <f t="shared" si="1324"/>
        <v>0</v>
      </c>
      <c r="K6803" s="36"/>
      <c r="L6803" s="36"/>
      <c r="M6803" s="36"/>
      <c r="N6803" s="36"/>
      <c r="O6803" s="36"/>
      <c r="P6803" s="36"/>
      <c r="Q6803" s="36"/>
      <c r="R6803" s="36"/>
      <c r="S6803" s="36"/>
      <c r="T6803" s="36"/>
      <c r="U6803" s="36"/>
      <c r="V6803" s="36"/>
      <c r="W6803" s="15">
        <f t="shared" si="1325"/>
        <v>0</v>
      </c>
      <c r="X6803" s="36"/>
      <c r="Y6803" s="36"/>
      <c r="Z6803" s="36"/>
      <c r="AA6803" s="36"/>
      <c r="AB6803" s="36"/>
      <c r="AC6803" s="36"/>
      <c r="AD6803" s="36"/>
      <c r="AE6803" s="36"/>
      <c r="AF6803" s="36"/>
      <c r="AG6803" s="36"/>
      <c r="AH6803" s="36"/>
      <c r="AI6803" s="36"/>
      <c r="AJ6803" s="15">
        <f t="shared" si="1326"/>
        <v>0</v>
      </c>
      <c r="AK6803" s="14"/>
      <c r="AL6803" s="14"/>
      <c r="AM6803" s="14"/>
      <c r="AN6803" s="14"/>
      <c r="AO6803" s="14"/>
      <c r="AP6803" s="14"/>
      <c r="AQ6803" s="14"/>
      <c r="AR6803" s="14"/>
      <c r="AS6803" s="14"/>
      <c r="AT6803" s="14"/>
      <c r="AU6803" s="14"/>
      <c r="AV6803" s="14"/>
      <c r="AW6803" s="15">
        <f t="shared" si="1327"/>
        <v>0</v>
      </c>
      <c r="AX6803" s="16" t="s">
        <v>5418</v>
      </c>
    </row>
    <row r="6804" spans="2:50" x14ac:dyDescent="0.2">
      <c r="B6804" s="7"/>
      <c r="C6804" s="8">
        <v>16875</v>
      </c>
      <c r="D6804" s="9" t="s">
        <v>262</v>
      </c>
      <c r="E6804" s="10" t="str">
        <f t="shared" si="1322"/>
        <v>Rancho Recoveco No. 1</v>
      </c>
      <c r="F6804" s="10" t="str">
        <f t="shared" si="1323"/>
        <v>Díaz</v>
      </c>
      <c r="G6804" s="8">
        <v>1</v>
      </c>
      <c r="H6804" s="11">
        <v>300</v>
      </c>
      <c r="I6804" s="12">
        <v>43289</v>
      </c>
      <c r="J6804" s="35">
        <f t="shared" si="1324"/>
        <v>0</v>
      </c>
      <c r="K6804" s="36"/>
      <c r="L6804" s="36"/>
      <c r="M6804" s="36"/>
      <c r="N6804" s="36"/>
      <c r="O6804" s="36"/>
      <c r="P6804" s="36"/>
      <c r="Q6804" s="36"/>
      <c r="R6804" s="36"/>
      <c r="S6804" s="36"/>
      <c r="T6804" s="36"/>
      <c r="U6804" s="36"/>
      <c r="V6804" s="36"/>
      <c r="W6804" s="15">
        <f t="shared" si="1325"/>
        <v>0</v>
      </c>
      <c r="X6804" s="36"/>
      <c r="Y6804" s="36"/>
      <c r="Z6804" s="36"/>
      <c r="AA6804" s="36"/>
      <c r="AB6804" s="36"/>
      <c r="AC6804" s="36"/>
      <c r="AD6804" s="36"/>
      <c r="AE6804" s="36"/>
      <c r="AF6804" s="36"/>
      <c r="AG6804" s="36"/>
      <c r="AH6804" s="36"/>
      <c r="AI6804" s="36"/>
      <c r="AJ6804" s="15">
        <f t="shared" si="1326"/>
        <v>0</v>
      </c>
      <c r="AK6804" s="14"/>
      <c r="AL6804" s="14"/>
      <c r="AM6804" s="14"/>
      <c r="AN6804" s="14"/>
      <c r="AO6804" s="14"/>
      <c r="AP6804" s="14"/>
      <c r="AQ6804" s="14">
        <v>300</v>
      </c>
      <c r="AR6804" s="14"/>
      <c r="AS6804" s="14"/>
      <c r="AT6804" s="14"/>
      <c r="AU6804" s="14"/>
      <c r="AV6804" s="14"/>
      <c r="AW6804" s="15">
        <f t="shared" si="1327"/>
        <v>300</v>
      </c>
      <c r="AX6804" s="16"/>
    </row>
    <row r="6805" spans="2:50" x14ac:dyDescent="0.2">
      <c r="B6805" s="7"/>
      <c r="C6805" s="8">
        <v>16876</v>
      </c>
      <c r="D6805" s="9" t="s">
        <v>1042</v>
      </c>
      <c r="E6805" s="10" t="str">
        <f t="shared" si="1322"/>
        <v>Rancho Landero No. 74</v>
      </c>
      <c r="F6805" s="10" t="str">
        <f t="shared" si="1323"/>
        <v>Rabadam</v>
      </c>
      <c r="G6805" s="8">
        <v>1</v>
      </c>
      <c r="H6805" s="11">
        <v>1000</v>
      </c>
      <c r="I6805" s="12">
        <v>43289</v>
      </c>
      <c r="J6805" s="35">
        <f t="shared" si="1324"/>
        <v>0</v>
      </c>
      <c r="K6805" s="36"/>
      <c r="L6805" s="36"/>
      <c r="M6805" s="36"/>
      <c r="N6805" s="36"/>
      <c r="O6805" s="36"/>
      <c r="P6805" s="36"/>
      <c r="Q6805" s="36"/>
      <c r="R6805" s="36"/>
      <c r="S6805" s="36"/>
      <c r="T6805" s="36"/>
      <c r="U6805" s="36"/>
      <c r="V6805" s="36"/>
      <c r="W6805" s="15">
        <f t="shared" si="1325"/>
        <v>0</v>
      </c>
      <c r="X6805" s="36"/>
      <c r="Y6805" s="36"/>
      <c r="Z6805" s="36"/>
      <c r="AA6805" s="36"/>
      <c r="AB6805" s="36"/>
      <c r="AC6805" s="36"/>
      <c r="AD6805" s="36"/>
      <c r="AE6805" s="36"/>
      <c r="AF6805" s="36"/>
      <c r="AG6805" s="36"/>
      <c r="AH6805" s="36"/>
      <c r="AI6805" s="36">
        <v>100</v>
      </c>
      <c r="AJ6805" s="15">
        <f t="shared" si="1326"/>
        <v>100</v>
      </c>
      <c r="AK6805" s="14">
        <v>100</v>
      </c>
      <c r="AL6805" s="14">
        <v>100</v>
      </c>
      <c r="AM6805" s="14">
        <v>100</v>
      </c>
      <c r="AN6805" s="14">
        <v>100</v>
      </c>
      <c r="AO6805" s="14">
        <v>100</v>
      </c>
      <c r="AP6805" s="14">
        <v>100</v>
      </c>
      <c r="AQ6805" s="14">
        <v>100</v>
      </c>
      <c r="AR6805" s="14">
        <v>100</v>
      </c>
      <c r="AS6805" s="14">
        <v>100</v>
      </c>
      <c r="AT6805" s="14"/>
      <c r="AU6805" s="14"/>
      <c r="AV6805" s="14"/>
      <c r="AW6805" s="15">
        <f t="shared" si="1327"/>
        <v>900</v>
      </c>
      <c r="AX6805" s="16"/>
    </row>
    <row r="6806" spans="2:50" x14ac:dyDescent="0.2">
      <c r="B6806" s="7"/>
      <c r="C6806" s="8">
        <v>16877</v>
      </c>
      <c r="D6806" s="9" t="s">
        <v>1076</v>
      </c>
      <c r="E6806" s="10" t="str">
        <f t="shared" si="1322"/>
        <v>Rancho La Cuchilla No. 67</v>
      </c>
      <c r="F6806" s="10" t="str">
        <f t="shared" si="1323"/>
        <v>Quezada Viruega</v>
      </c>
      <c r="G6806" s="8">
        <v>1</v>
      </c>
      <c r="H6806" s="11">
        <v>400</v>
      </c>
      <c r="I6806" s="12">
        <v>43289</v>
      </c>
      <c r="J6806" s="35">
        <f t="shared" si="1324"/>
        <v>0</v>
      </c>
      <c r="K6806" s="36"/>
      <c r="L6806" s="36"/>
      <c r="M6806" s="36"/>
      <c r="N6806" s="36"/>
      <c r="O6806" s="36"/>
      <c r="P6806" s="36"/>
      <c r="Q6806" s="36"/>
      <c r="R6806" s="36"/>
      <c r="S6806" s="36"/>
      <c r="T6806" s="36"/>
      <c r="U6806" s="36"/>
      <c r="V6806" s="36"/>
      <c r="W6806" s="15">
        <f t="shared" si="1325"/>
        <v>0</v>
      </c>
      <c r="X6806" s="36"/>
      <c r="Y6806" s="36"/>
      <c r="Z6806" s="36"/>
      <c r="AA6806" s="36"/>
      <c r="AB6806" s="36"/>
      <c r="AC6806" s="36"/>
      <c r="AD6806" s="36"/>
      <c r="AE6806" s="36"/>
      <c r="AF6806" s="36"/>
      <c r="AG6806" s="36"/>
      <c r="AH6806" s="36"/>
      <c r="AI6806" s="36"/>
      <c r="AJ6806" s="15">
        <f t="shared" si="1326"/>
        <v>0</v>
      </c>
      <c r="AK6806" s="14"/>
      <c r="AL6806" s="14"/>
      <c r="AM6806" s="14"/>
      <c r="AN6806" s="14"/>
      <c r="AO6806" s="14"/>
      <c r="AP6806" s="14"/>
      <c r="AQ6806" s="14">
        <v>400</v>
      </c>
      <c r="AR6806" s="14"/>
      <c r="AS6806" s="14"/>
      <c r="AT6806" s="14"/>
      <c r="AU6806" s="14"/>
      <c r="AV6806" s="14"/>
      <c r="AW6806" s="15">
        <f t="shared" si="1327"/>
        <v>400</v>
      </c>
      <c r="AX6806" s="16"/>
    </row>
    <row r="6807" spans="2:50" x14ac:dyDescent="0.2">
      <c r="B6807" s="7"/>
      <c r="C6807" s="8">
        <v>16878</v>
      </c>
      <c r="D6807" s="9" t="s">
        <v>568</v>
      </c>
      <c r="E6807" s="10" t="str">
        <f t="shared" si="1322"/>
        <v>Rancho Landero No. 95</v>
      </c>
      <c r="F6807" s="10" t="str">
        <f t="shared" si="1323"/>
        <v>Rivas Rangel</v>
      </c>
      <c r="G6807" s="8">
        <v>1</v>
      </c>
      <c r="H6807" s="11">
        <v>400</v>
      </c>
      <c r="I6807" s="12">
        <v>43289</v>
      </c>
      <c r="J6807" s="35">
        <f t="shared" si="1324"/>
        <v>0</v>
      </c>
      <c r="K6807" s="36"/>
      <c r="L6807" s="36"/>
      <c r="M6807" s="36"/>
      <c r="N6807" s="36"/>
      <c r="O6807" s="36"/>
      <c r="P6807" s="36"/>
      <c r="Q6807" s="36"/>
      <c r="R6807" s="36"/>
      <c r="S6807" s="36"/>
      <c r="T6807" s="36"/>
      <c r="U6807" s="36"/>
      <c r="V6807" s="36"/>
      <c r="W6807" s="15">
        <f t="shared" si="1325"/>
        <v>0</v>
      </c>
      <c r="X6807" s="36"/>
      <c r="Y6807" s="36"/>
      <c r="Z6807" s="36"/>
      <c r="AA6807" s="36"/>
      <c r="AB6807" s="36"/>
      <c r="AC6807" s="36"/>
      <c r="AD6807" s="36"/>
      <c r="AE6807" s="36"/>
      <c r="AF6807" s="36"/>
      <c r="AG6807" s="36"/>
      <c r="AH6807" s="36"/>
      <c r="AI6807" s="36"/>
      <c r="AJ6807" s="15">
        <f t="shared" si="1326"/>
        <v>0</v>
      </c>
      <c r="AK6807" s="14"/>
      <c r="AL6807" s="14"/>
      <c r="AM6807" s="14"/>
      <c r="AN6807" s="14"/>
      <c r="AO6807" s="14"/>
      <c r="AP6807" s="14"/>
      <c r="AQ6807" s="14">
        <v>400</v>
      </c>
      <c r="AR6807" s="14"/>
      <c r="AS6807" s="14"/>
      <c r="AT6807" s="14"/>
      <c r="AU6807" s="14"/>
      <c r="AV6807" s="14"/>
      <c r="AW6807" s="15">
        <f t="shared" si="1327"/>
        <v>400</v>
      </c>
      <c r="AX6807" s="16"/>
    </row>
    <row r="6808" spans="2:50" x14ac:dyDescent="0.2">
      <c r="B6808" s="7"/>
      <c r="C6808" s="8">
        <v>16879</v>
      </c>
      <c r="D6808" s="9" t="s">
        <v>168</v>
      </c>
      <c r="E6808" s="10" t="str">
        <f t="shared" si="1322"/>
        <v>Rancho Upácuaro No. 73, A</v>
      </c>
      <c r="F6808" s="10" t="str">
        <f t="shared" si="1323"/>
        <v>Ortega</v>
      </c>
      <c r="G6808" s="8">
        <v>1</v>
      </c>
      <c r="H6808" s="11">
        <v>200</v>
      </c>
      <c r="I6808" s="12">
        <v>43289</v>
      </c>
      <c r="J6808" s="35">
        <f t="shared" si="1324"/>
        <v>0</v>
      </c>
      <c r="K6808" s="36"/>
      <c r="L6808" s="36"/>
      <c r="M6808" s="36"/>
      <c r="N6808" s="36"/>
      <c r="O6808" s="36"/>
      <c r="P6808" s="36"/>
      <c r="Q6808" s="36"/>
      <c r="R6808" s="36"/>
      <c r="S6808" s="36"/>
      <c r="T6808" s="36"/>
      <c r="U6808" s="36"/>
      <c r="V6808" s="36"/>
      <c r="W6808" s="15">
        <f t="shared" si="1325"/>
        <v>0</v>
      </c>
      <c r="X6808" s="36"/>
      <c r="Y6808" s="36"/>
      <c r="Z6808" s="36"/>
      <c r="AA6808" s="36"/>
      <c r="AB6808" s="36"/>
      <c r="AC6808" s="36"/>
      <c r="AD6808" s="36"/>
      <c r="AE6808" s="36"/>
      <c r="AF6808" s="36"/>
      <c r="AG6808" s="36"/>
      <c r="AH6808" s="36"/>
      <c r="AI6808" s="36"/>
      <c r="AJ6808" s="15">
        <f t="shared" si="1326"/>
        <v>0</v>
      </c>
      <c r="AK6808" s="14"/>
      <c r="AL6808" s="14"/>
      <c r="AM6808" s="14"/>
      <c r="AN6808" s="14"/>
      <c r="AO6808" s="14"/>
      <c r="AP6808" s="14"/>
      <c r="AQ6808" s="14">
        <v>200</v>
      </c>
      <c r="AR6808" s="14"/>
      <c r="AS6808" s="14"/>
      <c r="AT6808" s="14"/>
      <c r="AU6808" s="14"/>
      <c r="AV6808" s="14"/>
      <c r="AW6808" s="15">
        <f t="shared" si="1327"/>
        <v>200</v>
      </c>
      <c r="AX6808" s="16"/>
    </row>
    <row r="6809" spans="2:50" x14ac:dyDescent="0.2">
      <c r="B6809" s="7"/>
      <c r="C6809" s="8">
        <v>16880</v>
      </c>
      <c r="D6809" s="9" t="s">
        <v>740</v>
      </c>
      <c r="E6809" s="10" t="str">
        <f t="shared" si="1316"/>
        <v>Rancho Upácuaro No. 65</v>
      </c>
      <c r="F6809" s="10" t="str">
        <f t="shared" si="1317"/>
        <v>Cruz González</v>
      </c>
      <c r="G6809" s="8">
        <v>3</v>
      </c>
      <c r="H6809" s="11">
        <v>200</v>
      </c>
      <c r="I6809" s="12">
        <v>43289</v>
      </c>
      <c r="J6809" s="35">
        <f t="shared" si="1318"/>
        <v>0</v>
      </c>
      <c r="K6809" s="36"/>
      <c r="L6809" s="36"/>
      <c r="M6809" s="36"/>
      <c r="N6809" s="36"/>
      <c r="O6809" s="36"/>
      <c r="P6809" s="36"/>
      <c r="Q6809" s="36"/>
      <c r="R6809" s="36"/>
      <c r="S6809" s="36"/>
      <c r="T6809" s="36"/>
      <c r="U6809" s="36"/>
      <c r="V6809" s="36"/>
      <c r="W6809" s="15">
        <f t="shared" si="1319"/>
        <v>0</v>
      </c>
      <c r="X6809" s="36"/>
      <c r="Y6809" s="36"/>
      <c r="Z6809" s="36"/>
      <c r="AA6809" s="36"/>
      <c r="AB6809" s="36"/>
      <c r="AC6809" s="36"/>
      <c r="AD6809" s="36"/>
      <c r="AE6809" s="36"/>
      <c r="AF6809" s="36"/>
      <c r="AG6809" s="36"/>
      <c r="AH6809" s="36"/>
      <c r="AI6809" s="36"/>
      <c r="AJ6809" s="15">
        <f t="shared" si="1320"/>
        <v>0</v>
      </c>
      <c r="AK6809" s="14"/>
      <c r="AL6809" s="14"/>
      <c r="AM6809" s="14"/>
      <c r="AN6809" s="14"/>
      <c r="AO6809" s="14"/>
      <c r="AP6809" s="14"/>
      <c r="AQ6809" s="14"/>
      <c r="AR6809" s="14"/>
      <c r="AS6809" s="14"/>
      <c r="AT6809" s="14"/>
      <c r="AU6809" s="14"/>
      <c r="AV6809" s="14"/>
      <c r="AW6809" s="15">
        <f t="shared" si="1321"/>
        <v>0</v>
      </c>
      <c r="AX6809" s="16"/>
    </row>
    <row r="6810" spans="2:50" x14ac:dyDescent="0.2">
      <c r="B6810" s="7"/>
      <c r="C6810" s="8">
        <v>16881</v>
      </c>
      <c r="D6810" s="9" t="s">
        <v>532</v>
      </c>
      <c r="E6810" s="10" t="str">
        <f t="shared" si="1310"/>
        <v>Rancho Estanzuela No. 101</v>
      </c>
      <c r="F6810" s="10" t="str">
        <f t="shared" si="1311"/>
        <v>Calderón Celis</v>
      </c>
      <c r="G6810" s="8">
        <v>1</v>
      </c>
      <c r="H6810" s="11">
        <v>400</v>
      </c>
      <c r="I6810" s="12">
        <v>43289</v>
      </c>
      <c r="J6810" s="35">
        <f t="shared" si="1312"/>
        <v>0</v>
      </c>
      <c r="K6810" s="36"/>
      <c r="L6810" s="36"/>
      <c r="M6810" s="36"/>
      <c r="N6810" s="36"/>
      <c r="O6810" s="36"/>
      <c r="P6810" s="36"/>
      <c r="Q6810" s="36"/>
      <c r="R6810" s="36"/>
      <c r="S6810" s="36"/>
      <c r="T6810" s="36"/>
      <c r="U6810" s="36"/>
      <c r="V6810" s="36"/>
      <c r="W6810" s="15">
        <f t="shared" si="1313"/>
        <v>0</v>
      </c>
      <c r="X6810" s="36"/>
      <c r="Y6810" s="36"/>
      <c r="Z6810" s="36"/>
      <c r="AA6810" s="36"/>
      <c r="AB6810" s="36"/>
      <c r="AC6810" s="36"/>
      <c r="AD6810" s="36"/>
      <c r="AE6810" s="36"/>
      <c r="AF6810" s="36"/>
      <c r="AG6810" s="36"/>
      <c r="AH6810" s="36"/>
      <c r="AI6810" s="36"/>
      <c r="AJ6810" s="15">
        <f t="shared" si="1314"/>
        <v>0</v>
      </c>
      <c r="AK6810" s="14"/>
      <c r="AL6810" s="14"/>
      <c r="AM6810" s="14"/>
      <c r="AN6810" s="14"/>
      <c r="AO6810" s="14">
        <v>200</v>
      </c>
      <c r="AP6810" s="14">
        <v>200</v>
      </c>
      <c r="AQ6810" s="14"/>
      <c r="AR6810" s="14"/>
      <c r="AS6810" s="14"/>
      <c r="AT6810" s="14"/>
      <c r="AU6810" s="14"/>
      <c r="AV6810" s="14"/>
      <c r="AW6810" s="15">
        <f t="shared" si="1315"/>
        <v>400</v>
      </c>
      <c r="AX6810" s="16"/>
    </row>
    <row r="6811" spans="2:50" x14ac:dyDescent="0.2">
      <c r="B6811" s="7"/>
      <c r="C6811" s="8">
        <v>16882</v>
      </c>
      <c r="D6811" s="9" t="s">
        <v>313</v>
      </c>
      <c r="E6811" s="10" t="str">
        <f t="shared" ref="E6811:E6816" si="1328">IF(D6811=0,"",VLOOKUP(D6811,BASE,2,FALSE))</f>
        <v>Rancho La Cuchilla No. 87</v>
      </c>
      <c r="F6811" s="10" t="str">
        <f t="shared" ref="F6811:F6816" si="1329">IF(D6811=0,"",VLOOKUP(D6811,BASE,3,FALSE))</f>
        <v>Villanueva S.</v>
      </c>
      <c r="G6811" s="8">
        <v>1</v>
      </c>
      <c r="H6811" s="11">
        <v>400</v>
      </c>
      <c r="I6811" s="12">
        <v>43289</v>
      </c>
      <c r="J6811" s="35">
        <f t="shared" ref="J6811:J6816" si="1330">IF(G6811=1,SUM(W6811,AJ6811,AW6811,-H6811),0)</f>
        <v>0</v>
      </c>
      <c r="K6811" s="36"/>
      <c r="L6811" s="36"/>
      <c r="M6811" s="36"/>
      <c r="N6811" s="36"/>
      <c r="O6811" s="36"/>
      <c r="P6811" s="36"/>
      <c r="Q6811" s="36"/>
      <c r="R6811" s="36"/>
      <c r="S6811" s="36"/>
      <c r="T6811" s="36"/>
      <c r="U6811" s="36"/>
      <c r="V6811" s="36"/>
      <c r="W6811" s="15">
        <f t="shared" ref="W6811:W6816" si="1331">SUM(K6811:V6811)</f>
        <v>0</v>
      </c>
      <c r="X6811" s="36"/>
      <c r="Y6811" s="36"/>
      <c r="Z6811" s="36"/>
      <c r="AA6811" s="36"/>
      <c r="AB6811" s="36"/>
      <c r="AC6811" s="36"/>
      <c r="AD6811" s="36"/>
      <c r="AE6811" s="36"/>
      <c r="AF6811" s="36"/>
      <c r="AG6811" s="36"/>
      <c r="AH6811" s="36"/>
      <c r="AI6811" s="36"/>
      <c r="AJ6811" s="15">
        <f t="shared" ref="AJ6811:AJ6816" si="1332">SUM(X6811:AI6811)</f>
        <v>0</v>
      </c>
      <c r="AK6811" s="14"/>
      <c r="AL6811" s="14"/>
      <c r="AM6811" s="14"/>
      <c r="AN6811" s="14"/>
      <c r="AO6811" s="14"/>
      <c r="AP6811" s="14"/>
      <c r="AQ6811" s="14">
        <v>400</v>
      </c>
      <c r="AR6811" s="14"/>
      <c r="AS6811" s="14"/>
      <c r="AT6811" s="14"/>
      <c r="AU6811" s="14"/>
      <c r="AV6811" s="14"/>
      <c r="AW6811" s="15">
        <f t="shared" ref="AW6811:AW6816" si="1333">SUM(AK6811:AV6811)</f>
        <v>400</v>
      </c>
      <c r="AX6811" s="16"/>
    </row>
    <row r="6812" spans="2:50" x14ac:dyDescent="0.2">
      <c r="B6812" s="7"/>
      <c r="C6812" s="8">
        <v>16883</v>
      </c>
      <c r="D6812" s="9" t="s">
        <v>625</v>
      </c>
      <c r="E6812" s="10" t="str">
        <f t="shared" si="1328"/>
        <v>Rancho Upácuaro No. 60</v>
      </c>
      <c r="F6812" s="10" t="str">
        <f t="shared" si="1329"/>
        <v>Zavala</v>
      </c>
      <c r="G6812" s="8">
        <v>1</v>
      </c>
      <c r="H6812" s="11">
        <v>300</v>
      </c>
      <c r="I6812" s="12">
        <v>43289</v>
      </c>
      <c r="J6812" s="35">
        <f t="shared" si="1330"/>
        <v>0</v>
      </c>
      <c r="K6812" s="36"/>
      <c r="L6812" s="36"/>
      <c r="M6812" s="36"/>
      <c r="N6812" s="36"/>
      <c r="O6812" s="36"/>
      <c r="P6812" s="36"/>
      <c r="Q6812" s="36"/>
      <c r="R6812" s="36"/>
      <c r="S6812" s="36"/>
      <c r="T6812" s="36"/>
      <c r="U6812" s="36"/>
      <c r="V6812" s="36"/>
      <c r="W6812" s="15">
        <f t="shared" si="1331"/>
        <v>0</v>
      </c>
      <c r="X6812" s="36"/>
      <c r="Y6812" s="36"/>
      <c r="Z6812" s="36"/>
      <c r="AA6812" s="36"/>
      <c r="AB6812" s="36"/>
      <c r="AC6812" s="36"/>
      <c r="AD6812" s="36"/>
      <c r="AE6812" s="36"/>
      <c r="AF6812" s="36"/>
      <c r="AG6812" s="36"/>
      <c r="AH6812" s="36"/>
      <c r="AI6812" s="36"/>
      <c r="AJ6812" s="15">
        <f t="shared" si="1332"/>
        <v>0</v>
      </c>
      <c r="AK6812" s="14"/>
      <c r="AL6812" s="14"/>
      <c r="AM6812" s="14"/>
      <c r="AN6812" s="14"/>
      <c r="AO6812" s="14"/>
      <c r="AP6812" s="14"/>
      <c r="AQ6812" s="14">
        <v>300</v>
      </c>
      <c r="AR6812" s="14"/>
      <c r="AS6812" s="14"/>
      <c r="AT6812" s="14"/>
      <c r="AU6812" s="14"/>
      <c r="AV6812" s="14"/>
      <c r="AW6812" s="15">
        <f t="shared" si="1333"/>
        <v>300</v>
      </c>
      <c r="AX6812" s="16"/>
    </row>
    <row r="6813" spans="2:50" x14ac:dyDescent="0.2">
      <c r="B6813" s="7"/>
      <c r="C6813" s="8">
        <v>16884</v>
      </c>
      <c r="D6813" s="9" t="s">
        <v>896</v>
      </c>
      <c r="E6813" s="10" t="str">
        <f t="shared" si="1328"/>
        <v>Rancho La Cuchilla No. 7, 102</v>
      </c>
      <c r="F6813" s="10" t="str">
        <f t="shared" si="1329"/>
        <v>García Moreno</v>
      </c>
      <c r="G6813" s="8">
        <v>1</v>
      </c>
      <c r="H6813" s="11">
        <v>600</v>
      </c>
      <c r="I6813" s="12">
        <v>43289</v>
      </c>
      <c r="J6813" s="35">
        <f t="shared" si="1330"/>
        <v>0</v>
      </c>
      <c r="K6813" s="36"/>
      <c r="L6813" s="36"/>
      <c r="M6813" s="36"/>
      <c r="N6813" s="36"/>
      <c r="O6813" s="36"/>
      <c r="P6813" s="36"/>
      <c r="Q6813" s="36"/>
      <c r="R6813" s="36"/>
      <c r="S6813" s="36"/>
      <c r="T6813" s="36"/>
      <c r="U6813" s="36"/>
      <c r="V6813" s="36"/>
      <c r="W6813" s="15">
        <f t="shared" si="1331"/>
        <v>0</v>
      </c>
      <c r="X6813" s="36"/>
      <c r="Y6813" s="36"/>
      <c r="Z6813" s="36"/>
      <c r="AA6813" s="36"/>
      <c r="AB6813" s="36"/>
      <c r="AC6813" s="36"/>
      <c r="AD6813" s="36"/>
      <c r="AE6813" s="36"/>
      <c r="AF6813" s="36"/>
      <c r="AG6813" s="36"/>
      <c r="AH6813" s="36"/>
      <c r="AI6813" s="36"/>
      <c r="AJ6813" s="15">
        <f t="shared" si="1332"/>
        <v>0</v>
      </c>
      <c r="AK6813" s="14">
        <v>100</v>
      </c>
      <c r="AL6813" s="14">
        <v>100</v>
      </c>
      <c r="AM6813" s="14">
        <v>100</v>
      </c>
      <c r="AN6813" s="14">
        <v>100</v>
      </c>
      <c r="AO6813" s="14">
        <v>100</v>
      </c>
      <c r="AP6813" s="14">
        <v>100</v>
      </c>
      <c r="AQ6813" s="14"/>
      <c r="AR6813" s="14"/>
      <c r="AS6813" s="14"/>
      <c r="AT6813" s="14"/>
      <c r="AU6813" s="14"/>
      <c r="AV6813" s="14"/>
      <c r="AW6813" s="15">
        <f t="shared" si="1333"/>
        <v>600</v>
      </c>
      <c r="AX6813" s="16"/>
    </row>
    <row r="6814" spans="2:50" x14ac:dyDescent="0.2">
      <c r="B6814" s="7"/>
      <c r="C6814" s="8">
        <v>16885</v>
      </c>
      <c r="D6814" s="9" t="s">
        <v>395</v>
      </c>
      <c r="E6814" s="10" t="str">
        <f t="shared" si="1328"/>
        <v>Rancho Landero No. 7</v>
      </c>
      <c r="F6814" s="10" t="str">
        <f t="shared" si="1329"/>
        <v>Robles</v>
      </c>
      <c r="G6814" s="8">
        <v>1</v>
      </c>
      <c r="H6814" s="11">
        <v>200</v>
      </c>
      <c r="I6814" s="12">
        <v>43289</v>
      </c>
      <c r="J6814" s="35">
        <f t="shared" si="1330"/>
        <v>0</v>
      </c>
      <c r="K6814" s="36"/>
      <c r="L6814" s="36"/>
      <c r="M6814" s="36"/>
      <c r="N6814" s="36"/>
      <c r="O6814" s="36"/>
      <c r="P6814" s="36"/>
      <c r="Q6814" s="36"/>
      <c r="R6814" s="36"/>
      <c r="S6814" s="36"/>
      <c r="T6814" s="36"/>
      <c r="U6814" s="36"/>
      <c r="V6814" s="36"/>
      <c r="W6814" s="15">
        <f t="shared" si="1331"/>
        <v>0</v>
      </c>
      <c r="X6814" s="36"/>
      <c r="Y6814" s="36"/>
      <c r="Z6814" s="36"/>
      <c r="AA6814" s="36"/>
      <c r="AB6814" s="36"/>
      <c r="AC6814" s="36"/>
      <c r="AD6814" s="36"/>
      <c r="AE6814" s="36"/>
      <c r="AF6814" s="36"/>
      <c r="AG6814" s="36"/>
      <c r="AH6814" s="36"/>
      <c r="AI6814" s="36"/>
      <c r="AJ6814" s="15">
        <f t="shared" si="1332"/>
        <v>0</v>
      </c>
      <c r="AK6814" s="14"/>
      <c r="AL6814" s="14"/>
      <c r="AM6814" s="14"/>
      <c r="AN6814" s="14"/>
      <c r="AO6814" s="14"/>
      <c r="AP6814" s="14"/>
      <c r="AQ6814" s="14">
        <v>200</v>
      </c>
      <c r="AR6814" s="14"/>
      <c r="AS6814" s="14"/>
      <c r="AT6814" s="14"/>
      <c r="AU6814" s="14"/>
      <c r="AV6814" s="14"/>
      <c r="AW6814" s="15">
        <f t="shared" si="1333"/>
        <v>200</v>
      </c>
      <c r="AX6814" s="16"/>
    </row>
    <row r="6815" spans="2:50" x14ac:dyDescent="0.2">
      <c r="B6815" s="7"/>
      <c r="C6815" s="8">
        <v>16886</v>
      </c>
      <c r="D6815" s="9" t="s">
        <v>589</v>
      </c>
      <c r="E6815" s="10" t="str">
        <f t="shared" si="1328"/>
        <v>Rancho La Cuchilla No. 149</v>
      </c>
      <c r="F6815" s="10" t="str">
        <f t="shared" si="1329"/>
        <v>Montes Irineos</v>
      </c>
      <c r="G6815" s="8">
        <v>1</v>
      </c>
      <c r="H6815" s="11">
        <v>400</v>
      </c>
      <c r="I6815" s="12">
        <v>43289</v>
      </c>
      <c r="J6815" s="35">
        <f t="shared" si="1330"/>
        <v>0</v>
      </c>
      <c r="K6815" s="36"/>
      <c r="L6815" s="36"/>
      <c r="M6815" s="36"/>
      <c r="N6815" s="36"/>
      <c r="O6815" s="36"/>
      <c r="P6815" s="36"/>
      <c r="Q6815" s="36"/>
      <c r="R6815" s="36"/>
      <c r="S6815" s="36"/>
      <c r="T6815" s="36"/>
      <c r="U6815" s="36"/>
      <c r="V6815" s="36"/>
      <c r="W6815" s="15">
        <f t="shared" si="1331"/>
        <v>0</v>
      </c>
      <c r="X6815" s="36"/>
      <c r="Y6815" s="36"/>
      <c r="Z6815" s="36"/>
      <c r="AA6815" s="36"/>
      <c r="AB6815" s="36"/>
      <c r="AC6815" s="36"/>
      <c r="AD6815" s="36"/>
      <c r="AE6815" s="36"/>
      <c r="AF6815" s="36"/>
      <c r="AG6815" s="36"/>
      <c r="AH6815" s="36"/>
      <c r="AI6815" s="36"/>
      <c r="AJ6815" s="15">
        <f t="shared" si="1332"/>
        <v>0</v>
      </c>
      <c r="AK6815" s="14"/>
      <c r="AL6815" s="14"/>
      <c r="AM6815" s="14"/>
      <c r="AN6815" s="14"/>
      <c r="AO6815" s="14"/>
      <c r="AP6815" s="14">
        <v>400</v>
      </c>
      <c r="AQ6815" s="14"/>
      <c r="AR6815" s="14"/>
      <c r="AS6815" s="14"/>
      <c r="AT6815" s="14"/>
      <c r="AU6815" s="14"/>
      <c r="AV6815" s="14"/>
      <c r="AW6815" s="15">
        <f t="shared" si="1333"/>
        <v>400</v>
      </c>
      <c r="AX6815" s="16"/>
    </row>
    <row r="6816" spans="2:50" x14ac:dyDescent="0.2">
      <c r="B6816" s="7"/>
      <c r="C6816" s="8">
        <v>16886</v>
      </c>
      <c r="D6816" s="9" t="s">
        <v>589</v>
      </c>
      <c r="E6816" s="10" t="str">
        <f t="shared" si="1328"/>
        <v>Rancho La Cuchilla No. 149</v>
      </c>
      <c r="F6816" s="10" t="str">
        <f t="shared" si="1329"/>
        <v>Montes Irineos</v>
      </c>
      <c r="G6816" s="8">
        <v>3</v>
      </c>
      <c r="H6816" s="11">
        <v>200</v>
      </c>
      <c r="I6816" s="12">
        <v>43289</v>
      </c>
      <c r="J6816" s="35">
        <f t="shared" si="1330"/>
        <v>0</v>
      </c>
      <c r="K6816" s="36"/>
      <c r="L6816" s="36"/>
      <c r="M6816" s="36"/>
      <c r="N6816" s="36"/>
      <c r="O6816" s="36"/>
      <c r="P6816" s="36"/>
      <c r="Q6816" s="36"/>
      <c r="R6816" s="36"/>
      <c r="S6816" s="36"/>
      <c r="T6816" s="36"/>
      <c r="U6816" s="36"/>
      <c r="V6816" s="36"/>
      <c r="W6816" s="15">
        <f t="shared" si="1331"/>
        <v>0</v>
      </c>
      <c r="X6816" s="36"/>
      <c r="Y6816" s="36"/>
      <c r="Z6816" s="36"/>
      <c r="AA6816" s="36"/>
      <c r="AB6816" s="36"/>
      <c r="AC6816" s="36"/>
      <c r="AD6816" s="36"/>
      <c r="AE6816" s="36"/>
      <c r="AF6816" s="36"/>
      <c r="AG6816" s="36"/>
      <c r="AH6816" s="36"/>
      <c r="AI6816" s="36"/>
      <c r="AJ6816" s="15">
        <f t="shared" si="1332"/>
        <v>0</v>
      </c>
      <c r="AK6816" s="14"/>
      <c r="AL6816" s="14"/>
      <c r="AM6816" s="14"/>
      <c r="AN6816" s="14"/>
      <c r="AO6816" s="14"/>
      <c r="AP6816" s="14"/>
      <c r="AQ6816" s="14"/>
      <c r="AR6816" s="14"/>
      <c r="AS6816" s="14"/>
      <c r="AT6816" s="14"/>
      <c r="AU6816" s="14"/>
      <c r="AV6816" s="14"/>
      <c r="AW6816" s="15">
        <f t="shared" si="1333"/>
        <v>0</v>
      </c>
      <c r="AX6816" s="16"/>
    </row>
    <row r="6817" spans="2:52" x14ac:dyDescent="0.2">
      <c r="B6817" s="7"/>
      <c r="C6817" s="8">
        <v>16887</v>
      </c>
      <c r="D6817" s="9" t="s">
        <v>684</v>
      </c>
      <c r="E6817" s="10" t="str">
        <f t="shared" si="1310"/>
        <v>Rancho Landero No. 65</v>
      </c>
      <c r="F6817" s="10" t="str">
        <f t="shared" si="1311"/>
        <v>Alpizar</v>
      </c>
      <c r="G6817" s="8">
        <v>1</v>
      </c>
      <c r="H6817" s="11">
        <v>800</v>
      </c>
      <c r="I6817" s="12">
        <v>43289</v>
      </c>
      <c r="J6817" s="35">
        <f t="shared" si="1312"/>
        <v>0</v>
      </c>
      <c r="K6817" s="36"/>
      <c r="L6817" s="36"/>
      <c r="M6817" s="36"/>
      <c r="N6817" s="36"/>
      <c r="O6817" s="36"/>
      <c r="P6817" s="36"/>
      <c r="Q6817" s="36"/>
      <c r="R6817" s="36"/>
      <c r="S6817" s="36"/>
      <c r="T6817" s="36"/>
      <c r="U6817" s="36"/>
      <c r="V6817" s="36"/>
      <c r="W6817" s="15">
        <f t="shared" si="1313"/>
        <v>0</v>
      </c>
      <c r="X6817" s="36"/>
      <c r="Y6817" s="36"/>
      <c r="Z6817" s="36"/>
      <c r="AA6817" s="36"/>
      <c r="AB6817" s="36"/>
      <c r="AC6817" s="36"/>
      <c r="AD6817" s="36"/>
      <c r="AE6817" s="36"/>
      <c r="AF6817" s="36"/>
      <c r="AG6817" s="36"/>
      <c r="AH6817" s="36"/>
      <c r="AI6817" s="36"/>
      <c r="AJ6817" s="15">
        <f t="shared" si="1314"/>
        <v>0</v>
      </c>
      <c r="AK6817" s="14"/>
      <c r="AL6817" s="14"/>
      <c r="AM6817" s="14"/>
      <c r="AN6817" s="14"/>
      <c r="AO6817" s="14"/>
      <c r="AP6817" s="14">
        <v>400</v>
      </c>
      <c r="AQ6817" s="14">
        <v>400</v>
      </c>
      <c r="AR6817" s="14"/>
      <c r="AS6817" s="14"/>
      <c r="AT6817" s="14"/>
      <c r="AU6817" s="14"/>
      <c r="AV6817" s="14"/>
      <c r="AW6817" s="15">
        <f t="shared" si="1315"/>
        <v>800</v>
      </c>
      <c r="AX6817" s="16"/>
    </row>
    <row r="6818" spans="2:52" x14ac:dyDescent="0.2">
      <c r="B6818" s="7"/>
      <c r="C6818" s="8">
        <v>16888</v>
      </c>
      <c r="D6818" s="9" t="s">
        <v>814</v>
      </c>
      <c r="E6818" s="10" t="str">
        <f t="shared" si="1298"/>
        <v>Rancho Landero No. 47</v>
      </c>
      <c r="F6818" s="10" t="str">
        <f t="shared" si="1299"/>
        <v>García González</v>
      </c>
      <c r="G6818" s="8">
        <v>1</v>
      </c>
      <c r="H6818" s="11">
        <v>1200</v>
      </c>
      <c r="I6818" s="12">
        <v>43289</v>
      </c>
      <c r="J6818" s="35">
        <f t="shared" si="1300"/>
        <v>0</v>
      </c>
      <c r="K6818" s="36"/>
      <c r="L6818" s="36"/>
      <c r="M6818" s="36"/>
      <c r="N6818" s="36"/>
      <c r="O6818" s="36"/>
      <c r="P6818" s="36"/>
      <c r="Q6818" s="36"/>
      <c r="R6818" s="36"/>
      <c r="S6818" s="36"/>
      <c r="T6818" s="36"/>
      <c r="U6818" s="36"/>
      <c r="V6818" s="36"/>
      <c r="W6818" s="15">
        <f t="shared" si="1301"/>
        <v>0</v>
      </c>
      <c r="X6818" s="36"/>
      <c r="Y6818" s="36"/>
      <c r="Z6818" s="36"/>
      <c r="AA6818" s="36"/>
      <c r="AB6818" s="36"/>
      <c r="AC6818" s="36"/>
      <c r="AD6818" s="36"/>
      <c r="AE6818" s="36"/>
      <c r="AF6818" s="36"/>
      <c r="AG6818" s="36"/>
      <c r="AH6818" s="36"/>
      <c r="AI6818" s="36"/>
      <c r="AJ6818" s="15">
        <f t="shared" si="1302"/>
        <v>0</v>
      </c>
      <c r="AK6818" s="14"/>
      <c r="AL6818" s="14"/>
      <c r="AM6818" s="14"/>
      <c r="AN6818" s="14"/>
      <c r="AO6818" s="14">
        <v>400</v>
      </c>
      <c r="AP6818" s="14">
        <v>400</v>
      </c>
      <c r="AQ6818" s="14">
        <v>400</v>
      </c>
      <c r="AR6818" s="14"/>
      <c r="AS6818" s="14"/>
      <c r="AT6818" s="14"/>
      <c r="AU6818" s="14"/>
      <c r="AV6818" s="14"/>
      <c r="AW6818" s="15">
        <f t="shared" si="1303"/>
        <v>1200</v>
      </c>
      <c r="AX6818" s="16"/>
    </row>
    <row r="6819" spans="2:52" x14ac:dyDescent="0.2">
      <c r="B6819" s="7"/>
      <c r="C6819" s="8">
        <v>16889</v>
      </c>
      <c r="D6819" s="9" t="s">
        <v>652</v>
      </c>
      <c r="E6819" s="10" t="str">
        <f t="shared" si="1298"/>
        <v>Rancho Zinamba No. 74</v>
      </c>
      <c r="F6819" s="10" t="str">
        <f t="shared" si="1299"/>
        <v>García Castellanos</v>
      </c>
      <c r="G6819" s="8">
        <v>1</v>
      </c>
      <c r="H6819" s="11">
        <v>400</v>
      </c>
      <c r="I6819" s="12">
        <v>43289</v>
      </c>
      <c r="J6819" s="35">
        <f t="shared" si="1300"/>
        <v>0</v>
      </c>
      <c r="K6819" s="36"/>
      <c r="L6819" s="36"/>
      <c r="M6819" s="36"/>
      <c r="N6819" s="36"/>
      <c r="O6819" s="36"/>
      <c r="P6819" s="36"/>
      <c r="Q6819" s="36"/>
      <c r="R6819" s="36"/>
      <c r="S6819" s="36"/>
      <c r="T6819" s="36"/>
      <c r="U6819" s="36"/>
      <c r="V6819" s="36"/>
      <c r="W6819" s="15">
        <f t="shared" si="1301"/>
        <v>0</v>
      </c>
      <c r="X6819" s="36"/>
      <c r="Y6819" s="36"/>
      <c r="Z6819" s="36"/>
      <c r="AA6819" s="36"/>
      <c r="AB6819" s="36"/>
      <c r="AC6819" s="36"/>
      <c r="AD6819" s="36"/>
      <c r="AE6819" s="36"/>
      <c r="AF6819" s="36"/>
      <c r="AG6819" s="36"/>
      <c r="AH6819" s="36"/>
      <c r="AI6819" s="36"/>
      <c r="AJ6819" s="15">
        <f t="shared" si="1302"/>
        <v>0</v>
      </c>
      <c r="AK6819" s="14"/>
      <c r="AL6819" s="14"/>
      <c r="AM6819" s="14"/>
      <c r="AN6819" s="14"/>
      <c r="AO6819" s="14"/>
      <c r="AP6819" s="14">
        <v>400</v>
      </c>
      <c r="AQ6819" s="14"/>
      <c r="AR6819" s="14"/>
      <c r="AS6819" s="14"/>
      <c r="AT6819" s="14"/>
      <c r="AU6819" s="14"/>
      <c r="AV6819" s="14"/>
      <c r="AW6819" s="15">
        <f t="shared" si="1303"/>
        <v>400</v>
      </c>
      <c r="AX6819" s="316">
        <f>SUM(H6765:H6819)</f>
        <v>26275</v>
      </c>
      <c r="AY6819" s="112">
        <f>SUM(H6756:H6819)</f>
        <v>28075</v>
      </c>
      <c r="AZ6819">
        <v>27775</v>
      </c>
    </row>
    <row r="6820" spans="2:52" x14ac:dyDescent="0.2">
      <c r="B6820" s="7"/>
      <c r="C6820" s="8">
        <v>16890</v>
      </c>
      <c r="D6820" s="9" t="s">
        <v>205</v>
      </c>
      <c r="E6820" s="10" t="str">
        <f t="shared" si="1292"/>
        <v>Rancho Landero No. 1, A</v>
      </c>
      <c r="F6820" s="10" t="str">
        <f t="shared" si="1293"/>
        <v>Ebysos</v>
      </c>
      <c r="G6820" s="8">
        <v>1</v>
      </c>
      <c r="H6820" s="315">
        <v>600</v>
      </c>
      <c r="I6820" s="12">
        <v>43290</v>
      </c>
      <c r="J6820" s="35">
        <f t="shared" si="1294"/>
        <v>0</v>
      </c>
      <c r="K6820" s="36"/>
      <c r="L6820" s="36"/>
      <c r="M6820" s="36"/>
      <c r="N6820" s="36"/>
      <c r="O6820" s="36"/>
      <c r="P6820" s="36"/>
      <c r="Q6820" s="36"/>
      <c r="R6820" s="36"/>
      <c r="S6820" s="36"/>
      <c r="T6820" s="36"/>
      <c r="U6820" s="36"/>
      <c r="V6820" s="36"/>
      <c r="W6820" s="15">
        <f t="shared" si="1295"/>
        <v>0</v>
      </c>
      <c r="X6820" s="36"/>
      <c r="Y6820" s="36"/>
      <c r="Z6820" s="36"/>
      <c r="AA6820" s="36"/>
      <c r="AB6820" s="36"/>
      <c r="AC6820" s="36"/>
      <c r="AD6820" s="36"/>
      <c r="AE6820" s="36"/>
      <c r="AF6820" s="36"/>
      <c r="AG6820" s="36"/>
      <c r="AH6820" s="36"/>
      <c r="AI6820" s="36"/>
      <c r="AJ6820" s="15">
        <f t="shared" si="1296"/>
        <v>0</v>
      </c>
      <c r="AK6820" s="14"/>
      <c r="AL6820" s="14"/>
      <c r="AM6820" s="14"/>
      <c r="AN6820" s="14"/>
      <c r="AO6820" s="14"/>
      <c r="AP6820" s="14">
        <v>600</v>
      </c>
      <c r="AQ6820" s="14"/>
      <c r="AR6820" s="14"/>
      <c r="AS6820" s="14"/>
      <c r="AT6820" s="14"/>
      <c r="AU6820" s="14"/>
      <c r="AV6820" s="14"/>
      <c r="AW6820" s="15">
        <f t="shared" si="1297"/>
        <v>600</v>
      </c>
      <c r="AX6820" s="16"/>
    </row>
    <row r="6821" spans="2:52" x14ac:dyDescent="0.2">
      <c r="B6821" s="7"/>
      <c r="C6821" s="8">
        <v>16891</v>
      </c>
      <c r="D6821" s="9" t="s">
        <v>1103</v>
      </c>
      <c r="E6821" s="10" t="str">
        <f t="shared" ref="E6821:E6848" si="1334">IF(D6821=0,"",VLOOKUP(D6821,BASE,2,FALSE))</f>
        <v>Rancho Landero No. 86</v>
      </c>
      <c r="F6821" s="10" t="str">
        <f t="shared" ref="F6821:F6848" si="1335">IF(D6821=0,"",VLOOKUP(D6821,BASE,3,FALSE))</f>
        <v>Cuervo</v>
      </c>
      <c r="G6821" s="8">
        <v>1</v>
      </c>
      <c r="H6821" s="11">
        <v>200</v>
      </c>
      <c r="I6821" s="12">
        <v>43290</v>
      </c>
      <c r="J6821" s="35">
        <f t="shared" ref="J6821:J6848" si="1336">IF(G6821=1,SUM(W6821,AJ6821,AW6821,-H6821),0)</f>
        <v>0</v>
      </c>
      <c r="K6821" s="36"/>
      <c r="L6821" s="36"/>
      <c r="M6821" s="36"/>
      <c r="N6821" s="36"/>
      <c r="O6821" s="36"/>
      <c r="P6821" s="36"/>
      <c r="Q6821" s="36"/>
      <c r="R6821" s="36"/>
      <c r="S6821" s="36"/>
      <c r="T6821" s="36"/>
      <c r="U6821" s="36"/>
      <c r="V6821" s="36"/>
      <c r="W6821" s="15">
        <f t="shared" ref="W6821:W6848" si="1337">SUM(K6821:V6821)</f>
        <v>0</v>
      </c>
      <c r="X6821" s="36"/>
      <c r="Y6821" s="36"/>
      <c r="Z6821" s="36"/>
      <c r="AA6821" s="36"/>
      <c r="AB6821" s="36"/>
      <c r="AC6821" s="36"/>
      <c r="AD6821" s="36"/>
      <c r="AE6821" s="36"/>
      <c r="AF6821" s="36"/>
      <c r="AG6821" s="36"/>
      <c r="AH6821" s="36"/>
      <c r="AI6821" s="36"/>
      <c r="AJ6821" s="15">
        <f t="shared" ref="AJ6821:AJ6848" si="1338">SUM(X6821:AI6821)</f>
        <v>0</v>
      </c>
      <c r="AK6821" s="14"/>
      <c r="AL6821" s="14"/>
      <c r="AM6821" s="14">
        <v>200</v>
      </c>
      <c r="AN6821" s="14"/>
      <c r="AO6821" s="14"/>
      <c r="AP6821" s="14"/>
      <c r="AQ6821" s="14"/>
      <c r="AR6821" s="14"/>
      <c r="AS6821" s="14"/>
      <c r="AT6821" s="14"/>
      <c r="AU6821" s="14"/>
      <c r="AV6821" s="14"/>
      <c r="AW6821" s="15">
        <f t="shared" ref="AW6821:AW6848" si="1339">SUM(AK6821:AV6821)</f>
        <v>200</v>
      </c>
      <c r="AX6821" s="16"/>
    </row>
    <row r="6822" spans="2:52" x14ac:dyDescent="0.2">
      <c r="B6822" s="7"/>
      <c r="C6822" s="8">
        <v>16892</v>
      </c>
      <c r="D6822" s="9" t="s">
        <v>373</v>
      </c>
      <c r="E6822" s="10" t="str">
        <f t="shared" si="1334"/>
        <v>Rancho Upácuaro No. 118</v>
      </c>
      <c r="F6822" s="10" t="str">
        <f t="shared" si="1335"/>
        <v>Siegrist</v>
      </c>
      <c r="G6822" s="8">
        <v>1</v>
      </c>
      <c r="H6822" s="11">
        <v>800</v>
      </c>
      <c r="I6822" s="12">
        <v>43293</v>
      </c>
      <c r="J6822" s="35">
        <f t="shared" si="1336"/>
        <v>0</v>
      </c>
      <c r="K6822" s="36"/>
      <c r="L6822" s="36"/>
      <c r="M6822" s="36"/>
      <c r="N6822" s="36"/>
      <c r="O6822" s="36"/>
      <c r="P6822" s="36"/>
      <c r="Q6822" s="36"/>
      <c r="R6822" s="36"/>
      <c r="S6822" s="36"/>
      <c r="T6822" s="36"/>
      <c r="U6822" s="36"/>
      <c r="V6822" s="36"/>
      <c r="W6822" s="15">
        <f t="shared" si="1337"/>
        <v>0</v>
      </c>
      <c r="X6822" s="36"/>
      <c r="Y6822" s="36"/>
      <c r="Z6822" s="36"/>
      <c r="AA6822" s="36"/>
      <c r="AB6822" s="36"/>
      <c r="AC6822" s="36"/>
      <c r="AD6822" s="36"/>
      <c r="AE6822" s="36"/>
      <c r="AF6822" s="36"/>
      <c r="AG6822" s="36"/>
      <c r="AH6822" s="36"/>
      <c r="AI6822" s="36"/>
      <c r="AJ6822" s="15">
        <f t="shared" si="1338"/>
        <v>0</v>
      </c>
      <c r="AK6822" s="14"/>
      <c r="AL6822" s="14"/>
      <c r="AM6822" s="14"/>
      <c r="AN6822" s="14"/>
      <c r="AO6822" s="14">
        <v>400</v>
      </c>
      <c r="AP6822" s="14">
        <v>400</v>
      </c>
      <c r="AQ6822" s="14"/>
      <c r="AR6822" s="14"/>
      <c r="AS6822" s="14"/>
      <c r="AT6822" s="14"/>
      <c r="AU6822" s="14"/>
      <c r="AV6822" s="14"/>
      <c r="AW6822" s="15">
        <f t="shared" si="1339"/>
        <v>800</v>
      </c>
      <c r="AX6822" s="16"/>
    </row>
    <row r="6823" spans="2:52" x14ac:dyDescent="0.2">
      <c r="B6823" s="7"/>
      <c r="C6823" s="8">
        <v>16893</v>
      </c>
      <c r="D6823" s="9" t="s">
        <v>774</v>
      </c>
      <c r="E6823" s="10" t="str">
        <f t="shared" si="1334"/>
        <v>Rancho Landero No. 40</v>
      </c>
      <c r="F6823" s="10" t="str">
        <f t="shared" si="1335"/>
        <v>Almaguer Mireles</v>
      </c>
      <c r="G6823" s="8">
        <v>1</v>
      </c>
      <c r="H6823" s="11">
        <v>800</v>
      </c>
      <c r="I6823" s="12">
        <v>43293</v>
      </c>
      <c r="J6823" s="35">
        <f t="shared" si="1336"/>
        <v>0</v>
      </c>
      <c r="K6823" s="36"/>
      <c r="L6823" s="36"/>
      <c r="M6823" s="36"/>
      <c r="N6823" s="36"/>
      <c r="O6823" s="36"/>
      <c r="P6823" s="36"/>
      <c r="Q6823" s="36"/>
      <c r="R6823" s="36"/>
      <c r="S6823" s="36"/>
      <c r="T6823" s="36"/>
      <c r="U6823" s="36"/>
      <c r="V6823" s="36"/>
      <c r="W6823" s="15">
        <f t="shared" si="1337"/>
        <v>0</v>
      </c>
      <c r="X6823" s="36"/>
      <c r="Y6823" s="36"/>
      <c r="Z6823" s="36"/>
      <c r="AA6823" s="36"/>
      <c r="AB6823" s="36"/>
      <c r="AC6823" s="36"/>
      <c r="AD6823" s="36"/>
      <c r="AE6823" s="36"/>
      <c r="AF6823" s="36"/>
      <c r="AG6823" s="36"/>
      <c r="AH6823" s="36"/>
      <c r="AI6823" s="36"/>
      <c r="AJ6823" s="15">
        <f t="shared" si="1338"/>
        <v>0</v>
      </c>
      <c r="AK6823" s="14"/>
      <c r="AL6823" s="14"/>
      <c r="AM6823" s="14">
        <v>400</v>
      </c>
      <c r="AN6823" s="14">
        <v>400</v>
      </c>
      <c r="AO6823" s="14"/>
      <c r="AP6823" s="14"/>
      <c r="AQ6823" s="14"/>
      <c r="AR6823" s="14"/>
      <c r="AS6823" s="14"/>
      <c r="AT6823" s="14"/>
      <c r="AU6823" s="14"/>
      <c r="AV6823" s="14"/>
      <c r="AW6823" s="15">
        <f t="shared" si="1339"/>
        <v>800</v>
      </c>
      <c r="AX6823" s="16"/>
    </row>
    <row r="6824" spans="2:52" x14ac:dyDescent="0.2">
      <c r="B6824" s="7"/>
      <c r="C6824" s="8">
        <v>16894</v>
      </c>
      <c r="D6824" s="9"/>
      <c r="E6824" s="10" t="str">
        <f t="shared" si="1334"/>
        <v/>
      </c>
      <c r="F6824" s="10" t="str">
        <f t="shared" si="1335"/>
        <v/>
      </c>
      <c r="G6824" s="8">
        <v>8</v>
      </c>
      <c r="H6824" s="11"/>
      <c r="I6824" s="12">
        <v>43293</v>
      </c>
      <c r="J6824" s="35">
        <f t="shared" si="1336"/>
        <v>0</v>
      </c>
      <c r="K6824" s="36"/>
      <c r="L6824" s="36"/>
      <c r="M6824" s="36"/>
      <c r="N6824" s="36"/>
      <c r="O6824" s="36"/>
      <c r="P6824" s="36"/>
      <c r="Q6824" s="36"/>
      <c r="R6824" s="36"/>
      <c r="S6824" s="36"/>
      <c r="T6824" s="36"/>
      <c r="U6824" s="36"/>
      <c r="V6824" s="36"/>
      <c r="W6824" s="15">
        <f t="shared" si="1337"/>
        <v>0</v>
      </c>
      <c r="X6824" s="36"/>
      <c r="Y6824" s="36"/>
      <c r="Z6824" s="36"/>
      <c r="AA6824" s="36"/>
      <c r="AB6824" s="36"/>
      <c r="AC6824" s="36"/>
      <c r="AD6824" s="36"/>
      <c r="AE6824" s="36"/>
      <c r="AF6824" s="36"/>
      <c r="AG6824" s="36"/>
      <c r="AH6824" s="36"/>
      <c r="AI6824" s="36"/>
      <c r="AJ6824" s="15">
        <f t="shared" si="1338"/>
        <v>0</v>
      </c>
      <c r="AK6824" s="14"/>
      <c r="AL6824" s="14"/>
      <c r="AM6824" s="14"/>
      <c r="AN6824" s="14"/>
      <c r="AO6824" s="14"/>
      <c r="AP6824" s="14"/>
      <c r="AQ6824" s="14"/>
      <c r="AR6824" s="14"/>
      <c r="AS6824" s="14"/>
      <c r="AT6824" s="14"/>
      <c r="AU6824" s="14"/>
      <c r="AV6824" s="14"/>
      <c r="AW6824" s="15">
        <f t="shared" si="1339"/>
        <v>0</v>
      </c>
      <c r="AX6824" s="16"/>
    </row>
    <row r="6825" spans="2:52" x14ac:dyDescent="0.2">
      <c r="B6825" s="7"/>
      <c r="C6825" s="8">
        <v>16895</v>
      </c>
      <c r="D6825" s="9" t="s">
        <v>874</v>
      </c>
      <c r="E6825" s="10" t="str">
        <f t="shared" si="1334"/>
        <v>Rancho Zinamba No. 46</v>
      </c>
      <c r="F6825" s="10" t="str">
        <f t="shared" si="1335"/>
        <v>Olguín</v>
      </c>
      <c r="G6825" s="8">
        <v>1</v>
      </c>
      <c r="H6825" s="11">
        <v>400</v>
      </c>
      <c r="I6825" s="12">
        <v>43293</v>
      </c>
      <c r="J6825" s="35">
        <f t="shared" si="1336"/>
        <v>0</v>
      </c>
      <c r="K6825" s="36"/>
      <c r="L6825" s="36"/>
      <c r="M6825" s="36"/>
      <c r="N6825" s="36"/>
      <c r="O6825" s="36"/>
      <c r="P6825" s="36"/>
      <c r="Q6825" s="36"/>
      <c r="R6825" s="36"/>
      <c r="S6825" s="36"/>
      <c r="T6825" s="36"/>
      <c r="U6825" s="36"/>
      <c r="V6825" s="36"/>
      <c r="W6825" s="15">
        <f t="shared" si="1337"/>
        <v>0</v>
      </c>
      <c r="X6825" s="36"/>
      <c r="Y6825" s="36"/>
      <c r="Z6825" s="36"/>
      <c r="AA6825" s="36"/>
      <c r="AB6825" s="36"/>
      <c r="AC6825" s="36"/>
      <c r="AD6825" s="36"/>
      <c r="AE6825" s="36"/>
      <c r="AF6825" s="36"/>
      <c r="AG6825" s="36"/>
      <c r="AH6825" s="36"/>
      <c r="AI6825" s="36"/>
      <c r="AJ6825" s="15">
        <f t="shared" si="1338"/>
        <v>0</v>
      </c>
      <c r="AK6825" s="14"/>
      <c r="AL6825" s="14"/>
      <c r="AM6825" s="14"/>
      <c r="AN6825" s="14"/>
      <c r="AO6825" s="14"/>
      <c r="AP6825" s="14">
        <v>200</v>
      </c>
      <c r="AQ6825" s="14">
        <v>200</v>
      </c>
      <c r="AR6825" s="14"/>
      <c r="AS6825" s="14"/>
      <c r="AT6825" s="14"/>
      <c r="AU6825" s="14"/>
      <c r="AV6825" s="14"/>
      <c r="AW6825" s="15">
        <f t="shared" si="1339"/>
        <v>400</v>
      </c>
      <c r="AX6825" s="16"/>
    </row>
    <row r="6826" spans="2:52" x14ac:dyDescent="0.2">
      <c r="B6826" s="7"/>
      <c r="C6826" s="8">
        <v>16896</v>
      </c>
      <c r="D6826" s="9" t="s">
        <v>109</v>
      </c>
      <c r="E6826" s="10" t="str">
        <f t="shared" si="1334"/>
        <v>Rancho Estanzuela No. 31</v>
      </c>
      <c r="F6826" s="10" t="str">
        <f t="shared" si="1335"/>
        <v>Chávez Valdés</v>
      </c>
      <c r="G6826" s="8">
        <v>4</v>
      </c>
      <c r="H6826" s="11">
        <v>200</v>
      </c>
      <c r="I6826" s="12">
        <v>43293</v>
      </c>
      <c r="J6826" s="35">
        <f t="shared" si="1336"/>
        <v>0</v>
      </c>
      <c r="K6826" s="36"/>
      <c r="L6826" s="36"/>
      <c r="M6826" s="36"/>
      <c r="N6826" s="36"/>
      <c r="O6826" s="36"/>
      <c r="P6826" s="36"/>
      <c r="Q6826" s="36"/>
      <c r="R6826" s="36"/>
      <c r="S6826" s="36"/>
      <c r="T6826" s="36"/>
      <c r="U6826" s="36"/>
      <c r="V6826" s="36"/>
      <c r="W6826" s="15">
        <f t="shared" si="1337"/>
        <v>0</v>
      </c>
      <c r="X6826" s="36"/>
      <c r="Y6826" s="36"/>
      <c r="Z6826" s="36"/>
      <c r="AA6826" s="36"/>
      <c r="AB6826" s="36"/>
      <c r="AC6826" s="36"/>
      <c r="AD6826" s="36"/>
      <c r="AE6826" s="36"/>
      <c r="AF6826" s="36"/>
      <c r="AG6826" s="36"/>
      <c r="AH6826" s="36"/>
      <c r="AI6826" s="36"/>
      <c r="AJ6826" s="15">
        <f t="shared" si="1338"/>
        <v>0</v>
      </c>
      <c r="AK6826" s="14"/>
      <c r="AL6826" s="14"/>
      <c r="AM6826" s="14"/>
      <c r="AN6826" s="14"/>
      <c r="AO6826" s="14"/>
      <c r="AP6826" s="14"/>
      <c r="AQ6826" s="14"/>
      <c r="AR6826" s="14"/>
      <c r="AS6826" s="14"/>
      <c r="AT6826" s="14"/>
      <c r="AU6826" s="14"/>
      <c r="AV6826" s="14"/>
      <c r="AW6826" s="15">
        <f t="shared" si="1339"/>
        <v>0</v>
      </c>
      <c r="AX6826" s="16" t="s">
        <v>5420</v>
      </c>
    </row>
    <row r="6827" spans="2:52" x14ac:dyDescent="0.2">
      <c r="B6827" s="7"/>
      <c r="C6827" s="8">
        <v>16897</v>
      </c>
      <c r="D6827" s="9" t="s">
        <v>455</v>
      </c>
      <c r="E6827" s="10" t="str">
        <f t="shared" si="1334"/>
        <v>Rancho Zinamba No. 38</v>
      </c>
      <c r="F6827" s="10" t="str">
        <f t="shared" si="1335"/>
        <v>Ramírez Díaz</v>
      </c>
      <c r="G6827" s="8">
        <v>1</v>
      </c>
      <c r="H6827" s="11">
        <v>400</v>
      </c>
      <c r="I6827" s="12">
        <v>43294</v>
      </c>
      <c r="J6827" s="35">
        <f t="shared" si="1336"/>
        <v>0</v>
      </c>
      <c r="K6827" s="36"/>
      <c r="L6827" s="36"/>
      <c r="M6827" s="36"/>
      <c r="N6827" s="36"/>
      <c r="O6827" s="36"/>
      <c r="P6827" s="36"/>
      <c r="Q6827" s="36"/>
      <c r="R6827" s="36"/>
      <c r="S6827" s="36"/>
      <c r="T6827" s="36"/>
      <c r="U6827" s="36"/>
      <c r="V6827" s="36"/>
      <c r="W6827" s="15">
        <f t="shared" si="1337"/>
        <v>0</v>
      </c>
      <c r="X6827" s="36"/>
      <c r="Y6827" s="36"/>
      <c r="Z6827" s="36"/>
      <c r="AA6827" s="36"/>
      <c r="AB6827" s="36"/>
      <c r="AC6827" s="36"/>
      <c r="AD6827" s="36"/>
      <c r="AE6827" s="36"/>
      <c r="AF6827" s="36"/>
      <c r="AG6827" s="36"/>
      <c r="AH6827" s="36"/>
      <c r="AI6827" s="36"/>
      <c r="AJ6827" s="15">
        <f t="shared" si="1338"/>
        <v>0</v>
      </c>
      <c r="AK6827" s="14"/>
      <c r="AL6827" s="14"/>
      <c r="AM6827" s="14"/>
      <c r="AN6827" s="14"/>
      <c r="AO6827" s="14"/>
      <c r="AP6827" s="14"/>
      <c r="AQ6827" s="14">
        <v>400</v>
      </c>
      <c r="AR6827" s="14"/>
      <c r="AS6827" s="14"/>
      <c r="AT6827" s="14"/>
      <c r="AU6827" s="14"/>
      <c r="AV6827" s="14"/>
      <c r="AW6827" s="15">
        <f t="shared" si="1339"/>
        <v>400</v>
      </c>
      <c r="AX6827" s="16"/>
    </row>
    <row r="6828" spans="2:52" x14ac:dyDescent="0.2">
      <c r="B6828" s="7"/>
      <c r="C6828" s="8">
        <v>16897</v>
      </c>
      <c r="D6828" s="9" t="s">
        <v>455</v>
      </c>
      <c r="E6828" s="10" t="str">
        <f t="shared" si="1334"/>
        <v>Rancho Zinamba No. 38</v>
      </c>
      <c r="F6828" s="10" t="str">
        <f t="shared" si="1335"/>
        <v>Ramírez Díaz</v>
      </c>
      <c r="G6828" s="8">
        <v>4</v>
      </c>
      <c r="H6828" s="11">
        <v>200</v>
      </c>
      <c r="I6828" s="12">
        <v>43294</v>
      </c>
      <c r="J6828" s="35">
        <f t="shared" si="1336"/>
        <v>0</v>
      </c>
      <c r="K6828" s="36"/>
      <c r="L6828" s="36"/>
      <c r="M6828" s="36"/>
      <c r="N6828" s="36"/>
      <c r="O6828" s="36"/>
      <c r="P6828" s="36"/>
      <c r="Q6828" s="36"/>
      <c r="R6828" s="36"/>
      <c r="S6828" s="36"/>
      <c r="T6828" s="36"/>
      <c r="U6828" s="36"/>
      <c r="V6828" s="36"/>
      <c r="W6828" s="15">
        <f t="shared" si="1337"/>
        <v>0</v>
      </c>
      <c r="X6828" s="36"/>
      <c r="Y6828" s="36"/>
      <c r="Z6828" s="36"/>
      <c r="AA6828" s="36"/>
      <c r="AB6828" s="36"/>
      <c r="AC6828" s="36"/>
      <c r="AD6828" s="36"/>
      <c r="AE6828" s="36"/>
      <c r="AF6828" s="36"/>
      <c r="AG6828" s="36"/>
      <c r="AH6828" s="36"/>
      <c r="AI6828" s="36"/>
      <c r="AJ6828" s="15">
        <f t="shared" si="1338"/>
        <v>0</v>
      </c>
      <c r="AK6828" s="14"/>
      <c r="AL6828" s="14"/>
      <c r="AM6828" s="14"/>
      <c r="AN6828" s="14"/>
      <c r="AO6828" s="14"/>
      <c r="AP6828" s="14"/>
      <c r="AQ6828" s="14"/>
      <c r="AR6828" s="14"/>
      <c r="AS6828" s="14"/>
      <c r="AT6828" s="14"/>
      <c r="AU6828" s="14"/>
      <c r="AV6828" s="14"/>
      <c r="AW6828" s="15">
        <f t="shared" si="1339"/>
        <v>0</v>
      </c>
      <c r="AX6828" s="16" t="s">
        <v>5419</v>
      </c>
      <c r="AY6828" s="112">
        <f>SUM(H6820:H6828)</f>
        <v>3600</v>
      </c>
    </row>
    <row r="6829" spans="2:52" x14ac:dyDescent="0.2">
      <c r="B6829" s="7"/>
      <c r="C6829" s="395">
        <v>16898</v>
      </c>
      <c r="D6829" s="9" t="s">
        <v>1142</v>
      </c>
      <c r="E6829" s="10" t="str">
        <f t="shared" si="1334"/>
        <v>Rancho La Cuchilla No. 49</v>
      </c>
      <c r="F6829" s="10" t="str">
        <f t="shared" si="1335"/>
        <v>Orozco Castelazo</v>
      </c>
      <c r="G6829" s="8">
        <v>1</v>
      </c>
      <c r="H6829" s="315">
        <v>2000</v>
      </c>
      <c r="I6829" s="12">
        <v>43296</v>
      </c>
      <c r="J6829" s="35">
        <f t="shared" si="1336"/>
        <v>0</v>
      </c>
      <c r="K6829" s="36"/>
      <c r="L6829" s="36"/>
      <c r="M6829" s="36"/>
      <c r="N6829" s="36"/>
      <c r="O6829" s="36"/>
      <c r="P6829" s="36"/>
      <c r="Q6829" s="36"/>
      <c r="R6829" s="36"/>
      <c r="S6829" s="36"/>
      <c r="T6829" s="36"/>
      <c r="U6829" s="36"/>
      <c r="V6829" s="36"/>
      <c r="W6829" s="15">
        <f t="shared" si="1337"/>
        <v>0</v>
      </c>
      <c r="X6829" s="36"/>
      <c r="Y6829" s="36"/>
      <c r="Z6829" s="36"/>
      <c r="AA6829" s="36"/>
      <c r="AB6829" s="36"/>
      <c r="AC6829" s="36"/>
      <c r="AD6829" s="36"/>
      <c r="AE6829" s="36"/>
      <c r="AF6829" s="36"/>
      <c r="AG6829" s="36"/>
      <c r="AH6829" s="36"/>
      <c r="AI6829" s="36"/>
      <c r="AJ6829" s="15">
        <f t="shared" si="1338"/>
        <v>0</v>
      </c>
      <c r="AK6829" s="14"/>
      <c r="AL6829" s="14"/>
      <c r="AM6829" s="14"/>
      <c r="AN6829" s="14">
        <v>400</v>
      </c>
      <c r="AO6829" s="14">
        <v>400</v>
      </c>
      <c r="AP6829" s="14">
        <v>400</v>
      </c>
      <c r="AQ6829" s="14">
        <v>400</v>
      </c>
      <c r="AR6829" s="14">
        <v>400</v>
      </c>
      <c r="AS6829" s="14"/>
      <c r="AT6829" s="14"/>
      <c r="AU6829" s="14"/>
      <c r="AV6829" s="14"/>
      <c r="AW6829" s="15">
        <f t="shared" si="1339"/>
        <v>2000</v>
      </c>
      <c r="AX6829" s="16"/>
    </row>
    <row r="6830" spans="2:52" x14ac:dyDescent="0.2">
      <c r="B6830" s="7"/>
      <c r="C6830" s="8">
        <v>16899</v>
      </c>
      <c r="D6830" s="9" t="s">
        <v>428</v>
      </c>
      <c r="E6830" s="10" t="str">
        <f t="shared" si="1334"/>
        <v>Rancho Upácuaro No. 86</v>
      </c>
      <c r="F6830" s="10" t="str">
        <f t="shared" si="1335"/>
        <v>López Canseco</v>
      </c>
      <c r="G6830" s="8">
        <v>5</v>
      </c>
      <c r="H6830" s="11">
        <v>50</v>
      </c>
      <c r="I6830" s="12">
        <v>43296</v>
      </c>
      <c r="J6830" s="35">
        <f t="shared" si="1336"/>
        <v>0</v>
      </c>
      <c r="K6830" s="36"/>
      <c r="L6830" s="36"/>
      <c r="M6830" s="36"/>
      <c r="N6830" s="36"/>
      <c r="O6830" s="36"/>
      <c r="P6830" s="36"/>
      <c r="Q6830" s="36"/>
      <c r="R6830" s="36"/>
      <c r="S6830" s="36"/>
      <c r="T6830" s="36"/>
      <c r="U6830" s="36"/>
      <c r="V6830" s="36"/>
      <c r="W6830" s="15">
        <f t="shared" si="1337"/>
        <v>0</v>
      </c>
      <c r="X6830" s="36"/>
      <c r="Y6830" s="36"/>
      <c r="Z6830" s="36"/>
      <c r="AA6830" s="36"/>
      <c r="AB6830" s="36"/>
      <c r="AC6830" s="36"/>
      <c r="AD6830" s="36"/>
      <c r="AE6830" s="36"/>
      <c r="AF6830" s="36"/>
      <c r="AG6830" s="36"/>
      <c r="AH6830" s="36"/>
      <c r="AI6830" s="36"/>
      <c r="AJ6830" s="15">
        <f t="shared" si="1338"/>
        <v>0</v>
      </c>
      <c r="AK6830" s="14"/>
      <c r="AL6830" s="14"/>
      <c r="AM6830" s="14"/>
      <c r="AN6830" s="14"/>
      <c r="AO6830" s="14"/>
      <c r="AP6830" s="14"/>
      <c r="AQ6830" s="14"/>
      <c r="AR6830" s="14"/>
      <c r="AS6830" s="14"/>
      <c r="AT6830" s="14"/>
      <c r="AU6830" s="14"/>
      <c r="AV6830" s="14"/>
      <c r="AW6830" s="15">
        <f t="shared" si="1339"/>
        <v>0</v>
      </c>
      <c r="AX6830" s="16"/>
    </row>
    <row r="6831" spans="2:52" x14ac:dyDescent="0.2">
      <c r="B6831" s="7"/>
      <c r="C6831" s="8">
        <v>16900</v>
      </c>
      <c r="D6831" s="9" t="s">
        <v>640</v>
      </c>
      <c r="E6831" s="10" t="str">
        <f t="shared" si="1334"/>
        <v>Rancho Estopila No. 22, A</v>
      </c>
      <c r="F6831" s="10" t="str">
        <f t="shared" si="1335"/>
        <v>Ayala Carranza</v>
      </c>
      <c r="G6831" s="8">
        <v>1</v>
      </c>
      <c r="H6831" s="11">
        <v>200</v>
      </c>
      <c r="I6831" s="12">
        <v>43296</v>
      </c>
      <c r="J6831" s="35">
        <f t="shared" si="1336"/>
        <v>0</v>
      </c>
      <c r="K6831" s="36"/>
      <c r="L6831" s="36"/>
      <c r="M6831" s="36"/>
      <c r="N6831" s="36"/>
      <c r="O6831" s="36"/>
      <c r="P6831" s="36"/>
      <c r="Q6831" s="36"/>
      <c r="R6831" s="36"/>
      <c r="S6831" s="36"/>
      <c r="T6831" s="36"/>
      <c r="U6831" s="36"/>
      <c r="V6831" s="36"/>
      <c r="W6831" s="15">
        <f t="shared" si="1337"/>
        <v>0</v>
      </c>
      <c r="X6831" s="36"/>
      <c r="Y6831" s="36"/>
      <c r="Z6831" s="36"/>
      <c r="AA6831" s="36"/>
      <c r="AB6831" s="36"/>
      <c r="AC6831" s="36"/>
      <c r="AD6831" s="36"/>
      <c r="AE6831" s="36"/>
      <c r="AF6831" s="36"/>
      <c r="AG6831" s="36"/>
      <c r="AH6831" s="36"/>
      <c r="AI6831" s="36"/>
      <c r="AJ6831" s="15">
        <f t="shared" si="1338"/>
        <v>0</v>
      </c>
      <c r="AK6831" s="14"/>
      <c r="AL6831" s="14"/>
      <c r="AM6831" s="14"/>
      <c r="AN6831" s="14"/>
      <c r="AO6831" s="14"/>
      <c r="AP6831" s="14"/>
      <c r="AQ6831" s="14">
        <v>200</v>
      </c>
      <c r="AR6831" s="14"/>
      <c r="AS6831" s="14"/>
      <c r="AT6831" s="14"/>
      <c r="AU6831" s="14"/>
      <c r="AV6831" s="14"/>
      <c r="AW6831" s="15">
        <f t="shared" si="1339"/>
        <v>200</v>
      </c>
      <c r="AX6831" s="16"/>
    </row>
    <row r="6832" spans="2:52" x14ac:dyDescent="0.2">
      <c r="B6832" s="7"/>
      <c r="C6832" s="8">
        <v>16901</v>
      </c>
      <c r="D6832" s="9" t="s">
        <v>358</v>
      </c>
      <c r="E6832" s="10" t="str">
        <f t="shared" si="1334"/>
        <v>Rancho Landero No. 2, 4</v>
      </c>
      <c r="F6832" s="10" t="str">
        <f t="shared" si="1335"/>
        <v>Astudillo Ramírez</v>
      </c>
      <c r="G6832" s="8">
        <v>1</v>
      </c>
      <c r="H6832" s="11">
        <v>400</v>
      </c>
      <c r="I6832" s="12">
        <v>43296</v>
      </c>
      <c r="J6832" s="35">
        <f t="shared" si="1336"/>
        <v>0</v>
      </c>
      <c r="K6832" s="36"/>
      <c r="L6832" s="36"/>
      <c r="M6832" s="36"/>
      <c r="N6832" s="36"/>
      <c r="O6832" s="36"/>
      <c r="P6832" s="36"/>
      <c r="Q6832" s="36"/>
      <c r="R6832" s="36"/>
      <c r="S6832" s="36"/>
      <c r="T6832" s="36"/>
      <c r="U6832" s="36"/>
      <c r="V6832" s="36"/>
      <c r="W6832" s="15">
        <f t="shared" si="1337"/>
        <v>0</v>
      </c>
      <c r="X6832" s="36"/>
      <c r="Y6832" s="36"/>
      <c r="Z6832" s="36"/>
      <c r="AA6832" s="36"/>
      <c r="AB6832" s="36"/>
      <c r="AC6832" s="36"/>
      <c r="AD6832" s="36"/>
      <c r="AE6832" s="36"/>
      <c r="AF6832" s="36"/>
      <c r="AG6832" s="36"/>
      <c r="AH6832" s="36"/>
      <c r="AI6832" s="36"/>
      <c r="AJ6832" s="15">
        <f t="shared" si="1338"/>
        <v>0</v>
      </c>
      <c r="AK6832" s="14"/>
      <c r="AL6832" s="14"/>
      <c r="AM6832" s="14"/>
      <c r="AN6832" s="14"/>
      <c r="AO6832" s="14"/>
      <c r="AP6832" s="14">
        <v>200</v>
      </c>
      <c r="AQ6832" s="14">
        <v>200</v>
      </c>
      <c r="AR6832" s="14"/>
      <c r="AS6832" s="14"/>
      <c r="AT6832" s="14"/>
      <c r="AU6832" s="14"/>
      <c r="AV6832" s="14"/>
      <c r="AW6832" s="15">
        <f t="shared" si="1339"/>
        <v>400</v>
      </c>
      <c r="AX6832" s="16"/>
    </row>
    <row r="6833" spans="2:50" x14ac:dyDescent="0.2">
      <c r="B6833" s="7"/>
      <c r="C6833" s="8">
        <v>16902</v>
      </c>
      <c r="D6833" s="9" t="s">
        <v>271</v>
      </c>
      <c r="E6833" s="10" t="str">
        <f t="shared" si="1334"/>
        <v>Rancho Landero No. 76</v>
      </c>
      <c r="F6833" s="10" t="str">
        <f t="shared" si="1335"/>
        <v>Ugarte</v>
      </c>
      <c r="G6833" s="8">
        <v>1</v>
      </c>
      <c r="H6833" s="11">
        <v>400</v>
      </c>
      <c r="I6833" s="12">
        <v>43296</v>
      </c>
      <c r="J6833" s="35">
        <f t="shared" si="1336"/>
        <v>0</v>
      </c>
      <c r="K6833" s="36"/>
      <c r="L6833" s="36"/>
      <c r="M6833" s="36"/>
      <c r="N6833" s="36"/>
      <c r="O6833" s="36"/>
      <c r="P6833" s="36"/>
      <c r="Q6833" s="36"/>
      <c r="R6833" s="36"/>
      <c r="S6833" s="36"/>
      <c r="T6833" s="36"/>
      <c r="U6833" s="36"/>
      <c r="V6833" s="36"/>
      <c r="W6833" s="15">
        <f t="shared" si="1337"/>
        <v>0</v>
      </c>
      <c r="X6833" s="36"/>
      <c r="Y6833" s="36"/>
      <c r="Z6833" s="36"/>
      <c r="AA6833" s="36"/>
      <c r="AB6833" s="36"/>
      <c r="AC6833" s="36"/>
      <c r="AD6833" s="36"/>
      <c r="AE6833" s="36"/>
      <c r="AF6833" s="36"/>
      <c r="AG6833" s="36"/>
      <c r="AH6833" s="36"/>
      <c r="AI6833" s="36"/>
      <c r="AJ6833" s="15">
        <f t="shared" si="1338"/>
        <v>0</v>
      </c>
      <c r="AK6833" s="14"/>
      <c r="AL6833" s="14"/>
      <c r="AM6833" s="14"/>
      <c r="AN6833" s="14"/>
      <c r="AO6833" s="14"/>
      <c r="AP6833" s="14"/>
      <c r="AQ6833" s="14">
        <v>400</v>
      </c>
      <c r="AR6833" s="14"/>
      <c r="AS6833" s="14"/>
      <c r="AT6833" s="14"/>
      <c r="AU6833" s="14"/>
      <c r="AV6833" s="14"/>
      <c r="AW6833" s="15">
        <f t="shared" si="1339"/>
        <v>400</v>
      </c>
      <c r="AX6833" s="16"/>
    </row>
    <row r="6834" spans="2:50" x14ac:dyDescent="0.2">
      <c r="B6834" s="7"/>
      <c r="C6834" s="8">
        <v>16903</v>
      </c>
      <c r="D6834" s="9" t="s">
        <v>687</v>
      </c>
      <c r="E6834" s="10" t="str">
        <f t="shared" si="1334"/>
        <v>Rancho Upácuaro No. 21</v>
      </c>
      <c r="F6834" s="10" t="str">
        <f t="shared" si="1335"/>
        <v>Fierro Betancourt</v>
      </c>
      <c r="G6834" s="8">
        <v>5</v>
      </c>
      <c r="H6834" s="11">
        <v>50</v>
      </c>
      <c r="I6834" s="12">
        <v>43296</v>
      </c>
      <c r="J6834" s="35">
        <f t="shared" si="1336"/>
        <v>0</v>
      </c>
      <c r="K6834" s="36"/>
      <c r="L6834" s="36"/>
      <c r="M6834" s="36"/>
      <c r="N6834" s="36"/>
      <c r="O6834" s="36"/>
      <c r="P6834" s="36"/>
      <c r="Q6834" s="36"/>
      <c r="R6834" s="36"/>
      <c r="S6834" s="36"/>
      <c r="T6834" s="36"/>
      <c r="U6834" s="36"/>
      <c r="V6834" s="36"/>
      <c r="W6834" s="15">
        <f t="shared" si="1337"/>
        <v>0</v>
      </c>
      <c r="X6834" s="36"/>
      <c r="Y6834" s="36"/>
      <c r="Z6834" s="36"/>
      <c r="AA6834" s="36"/>
      <c r="AB6834" s="36"/>
      <c r="AC6834" s="36"/>
      <c r="AD6834" s="36"/>
      <c r="AE6834" s="36"/>
      <c r="AF6834" s="36"/>
      <c r="AG6834" s="36"/>
      <c r="AH6834" s="36"/>
      <c r="AI6834" s="36"/>
      <c r="AJ6834" s="15">
        <f t="shared" si="1338"/>
        <v>0</v>
      </c>
      <c r="AK6834" s="14"/>
      <c r="AL6834" s="14"/>
      <c r="AM6834" s="14"/>
      <c r="AN6834" s="14"/>
      <c r="AO6834" s="14"/>
      <c r="AP6834" s="14"/>
      <c r="AQ6834" s="14"/>
      <c r="AR6834" s="14"/>
      <c r="AS6834" s="14"/>
      <c r="AT6834" s="14"/>
      <c r="AU6834" s="14"/>
      <c r="AV6834" s="14"/>
      <c r="AW6834" s="15">
        <f t="shared" si="1339"/>
        <v>0</v>
      </c>
      <c r="AX6834" s="16"/>
    </row>
    <row r="6835" spans="2:50" x14ac:dyDescent="0.2">
      <c r="B6835" s="7"/>
      <c r="C6835" s="8">
        <v>16904</v>
      </c>
      <c r="D6835" s="9" t="s">
        <v>649</v>
      </c>
      <c r="E6835" s="10" t="str">
        <f t="shared" si="1334"/>
        <v>Rancho Estanzuela No. 57</v>
      </c>
      <c r="F6835" s="10" t="str">
        <f t="shared" si="1335"/>
        <v>Olivares</v>
      </c>
      <c r="G6835" s="8">
        <v>1</v>
      </c>
      <c r="H6835" s="11">
        <v>600</v>
      </c>
      <c r="I6835" s="12">
        <v>43296</v>
      </c>
      <c r="J6835" s="35">
        <f t="shared" si="1336"/>
        <v>0</v>
      </c>
      <c r="K6835" s="36"/>
      <c r="L6835" s="36"/>
      <c r="M6835" s="36"/>
      <c r="N6835" s="36"/>
      <c r="O6835" s="36"/>
      <c r="P6835" s="36"/>
      <c r="Q6835" s="36"/>
      <c r="R6835" s="36"/>
      <c r="S6835" s="36"/>
      <c r="T6835" s="36"/>
      <c r="U6835" s="36"/>
      <c r="V6835" s="36"/>
      <c r="W6835" s="15">
        <f t="shared" si="1337"/>
        <v>0</v>
      </c>
      <c r="X6835" s="36"/>
      <c r="Y6835" s="36"/>
      <c r="Z6835" s="36"/>
      <c r="AA6835" s="36"/>
      <c r="AB6835" s="36"/>
      <c r="AC6835" s="36"/>
      <c r="AD6835" s="36"/>
      <c r="AE6835" s="36"/>
      <c r="AF6835" s="36"/>
      <c r="AG6835" s="36"/>
      <c r="AH6835" s="36"/>
      <c r="AI6835" s="36"/>
      <c r="AJ6835" s="15">
        <f t="shared" si="1338"/>
        <v>0</v>
      </c>
      <c r="AK6835" s="14"/>
      <c r="AL6835" s="14"/>
      <c r="AM6835" s="14"/>
      <c r="AN6835" s="14"/>
      <c r="AO6835" s="14"/>
      <c r="AP6835" s="14">
        <v>300</v>
      </c>
      <c r="AQ6835" s="14">
        <v>300</v>
      </c>
      <c r="AR6835" s="14"/>
      <c r="AS6835" s="14"/>
      <c r="AT6835" s="14"/>
      <c r="AU6835" s="14"/>
      <c r="AV6835" s="14"/>
      <c r="AW6835" s="15">
        <f t="shared" si="1339"/>
        <v>600</v>
      </c>
      <c r="AX6835" s="16"/>
    </row>
    <row r="6836" spans="2:50" x14ac:dyDescent="0.2">
      <c r="B6836" s="7"/>
      <c r="C6836" s="8">
        <v>16905</v>
      </c>
      <c r="D6836" s="9" t="s">
        <v>696</v>
      </c>
      <c r="E6836" s="10" t="str">
        <f t="shared" si="1334"/>
        <v>Rancho Upácuaro No. 64</v>
      </c>
      <c r="F6836" s="10" t="str">
        <f t="shared" si="1335"/>
        <v>Méndez Oliva</v>
      </c>
      <c r="G6836" s="8">
        <v>1</v>
      </c>
      <c r="H6836" s="11">
        <v>300</v>
      </c>
      <c r="I6836" s="12">
        <v>43296</v>
      </c>
      <c r="J6836" s="35">
        <f t="shared" si="1336"/>
        <v>0</v>
      </c>
      <c r="K6836" s="36"/>
      <c r="L6836" s="36"/>
      <c r="M6836" s="36"/>
      <c r="N6836" s="36"/>
      <c r="O6836" s="36"/>
      <c r="P6836" s="36"/>
      <c r="Q6836" s="36"/>
      <c r="R6836" s="36"/>
      <c r="S6836" s="36"/>
      <c r="T6836" s="36"/>
      <c r="U6836" s="36"/>
      <c r="V6836" s="36"/>
      <c r="W6836" s="15">
        <f t="shared" si="1337"/>
        <v>0</v>
      </c>
      <c r="X6836" s="36"/>
      <c r="Y6836" s="36"/>
      <c r="Z6836" s="36"/>
      <c r="AA6836" s="36"/>
      <c r="AB6836" s="36"/>
      <c r="AC6836" s="36"/>
      <c r="AD6836" s="36"/>
      <c r="AE6836" s="36"/>
      <c r="AF6836" s="36"/>
      <c r="AG6836" s="36"/>
      <c r="AH6836" s="36"/>
      <c r="AI6836" s="36"/>
      <c r="AJ6836" s="15">
        <f t="shared" si="1338"/>
        <v>0</v>
      </c>
      <c r="AK6836" s="14"/>
      <c r="AL6836" s="14"/>
      <c r="AM6836" s="14"/>
      <c r="AN6836" s="14"/>
      <c r="AO6836" s="14"/>
      <c r="AP6836" s="14"/>
      <c r="AQ6836" s="14">
        <v>300</v>
      </c>
      <c r="AR6836" s="14"/>
      <c r="AS6836" s="14"/>
      <c r="AT6836" s="14"/>
      <c r="AU6836" s="14"/>
      <c r="AV6836" s="14"/>
      <c r="AW6836" s="15">
        <f t="shared" si="1339"/>
        <v>300</v>
      </c>
      <c r="AX6836" s="16"/>
    </row>
    <row r="6837" spans="2:50" x14ac:dyDescent="0.2">
      <c r="B6837" s="7"/>
      <c r="C6837" s="8">
        <v>16906</v>
      </c>
      <c r="D6837" s="9" t="s">
        <v>631</v>
      </c>
      <c r="E6837" s="10" t="str">
        <f t="shared" si="1334"/>
        <v>Rancho Romeral No. 10, B</v>
      </c>
      <c r="F6837" s="10" t="str">
        <f t="shared" si="1335"/>
        <v>López Castellano</v>
      </c>
      <c r="G6837" s="8">
        <v>1</v>
      </c>
      <c r="H6837" s="11">
        <v>600</v>
      </c>
      <c r="I6837" s="12">
        <v>43296</v>
      </c>
      <c r="J6837" s="35">
        <f t="shared" si="1336"/>
        <v>0</v>
      </c>
      <c r="K6837" s="36"/>
      <c r="L6837" s="36"/>
      <c r="M6837" s="36"/>
      <c r="N6837" s="36"/>
      <c r="O6837" s="36"/>
      <c r="P6837" s="36"/>
      <c r="Q6837" s="36"/>
      <c r="R6837" s="36"/>
      <c r="S6837" s="36"/>
      <c r="T6837" s="36"/>
      <c r="U6837" s="36"/>
      <c r="V6837" s="36"/>
      <c r="W6837" s="15">
        <f t="shared" si="1337"/>
        <v>0</v>
      </c>
      <c r="X6837" s="36"/>
      <c r="Y6837" s="36"/>
      <c r="Z6837" s="36"/>
      <c r="AA6837" s="36"/>
      <c r="AB6837" s="36"/>
      <c r="AC6837" s="36"/>
      <c r="AD6837" s="36"/>
      <c r="AE6837" s="36"/>
      <c r="AF6837" s="36"/>
      <c r="AG6837" s="36"/>
      <c r="AH6837" s="36"/>
      <c r="AI6837" s="36"/>
      <c r="AJ6837" s="15">
        <f t="shared" si="1338"/>
        <v>0</v>
      </c>
      <c r="AK6837" s="14"/>
      <c r="AL6837" s="14"/>
      <c r="AM6837" s="14"/>
      <c r="AN6837" s="14"/>
      <c r="AO6837" s="14"/>
      <c r="AP6837" s="14">
        <v>300</v>
      </c>
      <c r="AQ6837" s="14">
        <v>300</v>
      </c>
      <c r="AR6837" s="14"/>
      <c r="AS6837" s="14"/>
      <c r="AT6837" s="14"/>
      <c r="AU6837" s="14"/>
      <c r="AV6837" s="14"/>
      <c r="AW6837" s="15">
        <f t="shared" si="1339"/>
        <v>600</v>
      </c>
      <c r="AX6837" s="16"/>
    </row>
    <row r="6838" spans="2:50" x14ac:dyDescent="0.2">
      <c r="B6838" s="7"/>
      <c r="C6838" s="8">
        <v>16907</v>
      </c>
      <c r="D6838" s="9" t="s">
        <v>983</v>
      </c>
      <c r="E6838" s="10" t="str">
        <f t="shared" si="1334"/>
        <v>Rancho Landero No. 93</v>
      </c>
      <c r="F6838" s="10" t="str">
        <f t="shared" si="1335"/>
        <v>Ortega López</v>
      </c>
      <c r="G6838" s="8">
        <v>1</v>
      </c>
      <c r="H6838" s="11">
        <v>400</v>
      </c>
      <c r="I6838" s="12">
        <v>43296</v>
      </c>
      <c r="J6838" s="35">
        <f t="shared" si="1336"/>
        <v>0</v>
      </c>
      <c r="K6838" s="36"/>
      <c r="L6838" s="36"/>
      <c r="M6838" s="36"/>
      <c r="N6838" s="36"/>
      <c r="O6838" s="36"/>
      <c r="P6838" s="36"/>
      <c r="Q6838" s="36"/>
      <c r="R6838" s="36"/>
      <c r="S6838" s="36"/>
      <c r="T6838" s="36"/>
      <c r="U6838" s="36"/>
      <c r="V6838" s="36"/>
      <c r="W6838" s="15">
        <f t="shared" si="1337"/>
        <v>0</v>
      </c>
      <c r="X6838" s="36"/>
      <c r="Y6838" s="36"/>
      <c r="Z6838" s="36"/>
      <c r="AA6838" s="36"/>
      <c r="AB6838" s="36"/>
      <c r="AC6838" s="36"/>
      <c r="AD6838" s="36"/>
      <c r="AE6838" s="36"/>
      <c r="AF6838" s="36"/>
      <c r="AG6838" s="36"/>
      <c r="AH6838" s="36"/>
      <c r="AI6838" s="36"/>
      <c r="AJ6838" s="15">
        <f t="shared" si="1338"/>
        <v>0</v>
      </c>
      <c r="AK6838" s="14"/>
      <c r="AL6838" s="14"/>
      <c r="AM6838" s="14"/>
      <c r="AN6838" s="14"/>
      <c r="AO6838" s="14"/>
      <c r="AP6838" s="14">
        <v>400</v>
      </c>
      <c r="AQ6838" s="14"/>
      <c r="AR6838" s="14"/>
      <c r="AS6838" s="14"/>
      <c r="AT6838" s="14"/>
      <c r="AU6838" s="14"/>
      <c r="AV6838" s="14"/>
      <c r="AW6838" s="15">
        <f t="shared" si="1339"/>
        <v>400</v>
      </c>
      <c r="AX6838" s="16"/>
    </row>
    <row r="6839" spans="2:50" x14ac:dyDescent="0.2">
      <c r="B6839" s="7"/>
      <c r="C6839" s="8">
        <v>16908</v>
      </c>
      <c r="D6839" s="9" t="s">
        <v>355</v>
      </c>
      <c r="E6839" s="10" t="str">
        <f t="shared" si="1334"/>
        <v>Rancho Estanzuela No. 11, A</v>
      </c>
      <c r="F6839" s="10" t="str">
        <f t="shared" si="1335"/>
        <v>Evans González</v>
      </c>
      <c r="G6839" s="8">
        <v>1</v>
      </c>
      <c r="H6839" s="11">
        <v>900</v>
      </c>
      <c r="I6839" s="12">
        <v>43296</v>
      </c>
      <c r="J6839" s="35">
        <f t="shared" si="1336"/>
        <v>0</v>
      </c>
      <c r="K6839" s="36"/>
      <c r="L6839" s="36"/>
      <c r="M6839" s="36"/>
      <c r="N6839" s="36"/>
      <c r="O6839" s="36"/>
      <c r="P6839" s="36"/>
      <c r="Q6839" s="36"/>
      <c r="R6839" s="36"/>
      <c r="S6839" s="36"/>
      <c r="T6839" s="36"/>
      <c r="U6839" s="36"/>
      <c r="V6839" s="36"/>
      <c r="W6839" s="15">
        <f t="shared" si="1337"/>
        <v>0</v>
      </c>
      <c r="X6839" s="36"/>
      <c r="Y6839" s="36"/>
      <c r="Z6839" s="36"/>
      <c r="AA6839" s="36"/>
      <c r="AB6839" s="36"/>
      <c r="AC6839" s="36"/>
      <c r="AD6839" s="36"/>
      <c r="AE6839" s="36"/>
      <c r="AF6839" s="36"/>
      <c r="AG6839" s="36"/>
      <c r="AH6839" s="36"/>
      <c r="AI6839" s="36"/>
      <c r="AJ6839" s="15">
        <f t="shared" si="1338"/>
        <v>0</v>
      </c>
      <c r="AK6839" s="14"/>
      <c r="AL6839" s="14"/>
      <c r="AM6839" s="14"/>
      <c r="AN6839" s="14"/>
      <c r="AO6839" s="14"/>
      <c r="AP6839" s="14"/>
      <c r="AQ6839" s="14">
        <v>300</v>
      </c>
      <c r="AR6839" s="14">
        <v>300</v>
      </c>
      <c r="AS6839" s="14">
        <v>300</v>
      </c>
      <c r="AT6839" s="14"/>
      <c r="AU6839" s="14"/>
      <c r="AV6839" s="14"/>
      <c r="AW6839" s="15">
        <f t="shared" si="1339"/>
        <v>900</v>
      </c>
      <c r="AX6839" s="16"/>
    </row>
    <row r="6840" spans="2:50" x14ac:dyDescent="0.2">
      <c r="B6840" s="7"/>
      <c r="C6840" s="8">
        <v>16909</v>
      </c>
      <c r="D6840" s="9" t="s">
        <v>129</v>
      </c>
      <c r="E6840" s="10" t="str">
        <f t="shared" si="1334"/>
        <v>Rancho Zinamba No. 44</v>
      </c>
      <c r="F6840" s="10" t="str">
        <f t="shared" si="1335"/>
        <v>Canales</v>
      </c>
      <c r="G6840" s="8">
        <v>1</v>
      </c>
      <c r="H6840" s="11">
        <v>400</v>
      </c>
      <c r="I6840" s="12">
        <v>43296</v>
      </c>
      <c r="J6840" s="35">
        <f t="shared" si="1336"/>
        <v>0</v>
      </c>
      <c r="K6840" s="36"/>
      <c r="L6840" s="36"/>
      <c r="M6840" s="36"/>
      <c r="N6840" s="36"/>
      <c r="O6840" s="36"/>
      <c r="P6840" s="36"/>
      <c r="Q6840" s="36"/>
      <c r="R6840" s="36"/>
      <c r="S6840" s="36"/>
      <c r="T6840" s="36"/>
      <c r="U6840" s="36"/>
      <c r="V6840" s="36"/>
      <c r="W6840" s="15">
        <f t="shared" si="1337"/>
        <v>0</v>
      </c>
      <c r="X6840" s="36"/>
      <c r="Y6840" s="36"/>
      <c r="Z6840" s="36"/>
      <c r="AA6840" s="36"/>
      <c r="AB6840" s="36"/>
      <c r="AC6840" s="36"/>
      <c r="AD6840" s="36"/>
      <c r="AE6840" s="36"/>
      <c r="AF6840" s="36"/>
      <c r="AG6840" s="36"/>
      <c r="AH6840" s="36"/>
      <c r="AI6840" s="36"/>
      <c r="AJ6840" s="15">
        <f t="shared" si="1338"/>
        <v>0</v>
      </c>
      <c r="AK6840" s="14"/>
      <c r="AL6840" s="14"/>
      <c r="AM6840" s="14"/>
      <c r="AN6840" s="14"/>
      <c r="AO6840" s="14"/>
      <c r="AP6840" s="14"/>
      <c r="AQ6840" s="14">
        <v>400</v>
      </c>
      <c r="AR6840" s="14"/>
      <c r="AS6840" s="14"/>
      <c r="AT6840" s="14"/>
      <c r="AU6840" s="14"/>
      <c r="AV6840" s="14"/>
      <c r="AW6840" s="15">
        <f t="shared" si="1339"/>
        <v>400</v>
      </c>
      <c r="AX6840" s="16"/>
    </row>
    <row r="6841" spans="2:50" x14ac:dyDescent="0.2">
      <c r="B6841" s="7"/>
      <c r="C6841" s="8">
        <v>16910</v>
      </c>
      <c r="D6841" s="9" t="s">
        <v>123</v>
      </c>
      <c r="E6841" s="10" t="str">
        <f t="shared" si="1334"/>
        <v>Rancho Recoveco No. 175, B</v>
      </c>
      <c r="F6841" s="10" t="str">
        <f t="shared" si="1335"/>
        <v>García Calderón</v>
      </c>
      <c r="G6841" s="8">
        <v>1</v>
      </c>
      <c r="H6841" s="11">
        <v>250</v>
      </c>
      <c r="I6841" s="12">
        <v>43296</v>
      </c>
      <c r="J6841" s="35">
        <f t="shared" si="1336"/>
        <v>0</v>
      </c>
      <c r="K6841" s="36"/>
      <c r="L6841" s="36"/>
      <c r="M6841" s="36"/>
      <c r="N6841" s="36"/>
      <c r="O6841" s="36"/>
      <c r="P6841" s="36"/>
      <c r="Q6841" s="36"/>
      <c r="R6841" s="36"/>
      <c r="S6841" s="36"/>
      <c r="T6841" s="36"/>
      <c r="U6841" s="36"/>
      <c r="V6841" s="36"/>
      <c r="W6841" s="15">
        <f t="shared" si="1337"/>
        <v>0</v>
      </c>
      <c r="X6841" s="36"/>
      <c r="Y6841" s="36"/>
      <c r="Z6841" s="36"/>
      <c r="AA6841" s="36"/>
      <c r="AB6841" s="36"/>
      <c r="AC6841" s="36"/>
      <c r="AD6841" s="36"/>
      <c r="AE6841" s="36"/>
      <c r="AF6841" s="36"/>
      <c r="AG6841" s="36"/>
      <c r="AH6841" s="36"/>
      <c r="AI6841" s="36"/>
      <c r="AJ6841" s="15">
        <f t="shared" si="1338"/>
        <v>0</v>
      </c>
      <c r="AK6841" s="14"/>
      <c r="AL6841" s="14"/>
      <c r="AM6841" s="14"/>
      <c r="AN6841" s="14"/>
      <c r="AO6841" s="14"/>
      <c r="AP6841" s="14"/>
      <c r="AQ6841" s="14">
        <v>250</v>
      </c>
      <c r="AR6841" s="14"/>
      <c r="AS6841" s="14"/>
      <c r="AT6841" s="14"/>
      <c r="AU6841" s="14"/>
      <c r="AV6841" s="14"/>
      <c r="AW6841" s="15">
        <f t="shared" si="1339"/>
        <v>250</v>
      </c>
      <c r="AX6841" s="16"/>
    </row>
    <row r="6842" spans="2:50" x14ac:dyDescent="0.2">
      <c r="B6842" s="7"/>
      <c r="C6842" s="8">
        <v>16911</v>
      </c>
      <c r="D6842" s="9" t="s">
        <v>132</v>
      </c>
      <c r="E6842" s="10" t="str">
        <f t="shared" si="1334"/>
        <v>Rancho La Cuchilla No. 129</v>
      </c>
      <c r="F6842" s="10" t="str">
        <f t="shared" si="1335"/>
        <v>Gamboa Rueda</v>
      </c>
      <c r="G6842" s="8">
        <v>1</v>
      </c>
      <c r="H6842" s="11">
        <v>200</v>
      </c>
      <c r="I6842" s="12">
        <v>43296</v>
      </c>
      <c r="J6842" s="35">
        <f t="shared" si="1336"/>
        <v>0</v>
      </c>
      <c r="K6842" s="36"/>
      <c r="L6842" s="36"/>
      <c r="M6842" s="36"/>
      <c r="N6842" s="36"/>
      <c r="O6842" s="36"/>
      <c r="P6842" s="36"/>
      <c r="Q6842" s="36"/>
      <c r="R6842" s="36"/>
      <c r="S6842" s="36"/>
      <c r="T6842" s="36"/>
      <c r="U6842" s="36"/>
      <c r="V6842" s="36"/>
      <c r="W6842" s="15">
        <f t="shared" si="1337"/>
        <v>0</v>
      </c>
      <c r="X6842" s="36"/>
      <c r="Y6842" s="36"/>
      <c r="Z6842" s="36"/>
      <c r="AA6842" s="36"/>
      <c r="AB6842" s="36"/>
      <c r="AC6842" s="36"/>
      <c r="AD6842" s="36"/>
      <c r="AE6842" s="36"/>
      <c r="AF6842" s="36"/>
      <c r="AG6842" s="36"/>
      <c r="AH6842" s="36"/>
      <c r="AI6842" s="36"/>
      <c r="AJ6842" s="15">
        <f t="shared" si="1338"/>
        <v>0</v>
      </c>
      <c r="AK6842" s="14"/>
      <c r="AL6842" s="14"/>
      <c r="AM6842" s="14"/>
      <c r="AN6842" s="14"/>
      <c r="AO6842" s="14">
        <v>200</v>
      </c>
      <c r="AP6842" s="14"/>
      <c r="AQ6842" s="14"/>
      <c r="AR6842" s="14"/>
      <c r="AS6842" s="14"/>
      <c r="AT6842" s="14"/>
      <c r="AU6842" s="14"/>
      <c r="AV6842" s="14"/>
      <c r="AW6842" s="15">
        <f t="shared" si="1339"/>
        <v>200</v>
      </c>
      <c r="AX6842" s="16"/>
    </row>
    <row r="6843" spans="2:50" x14ac:dyDescent="0.2">
      <c r="B6843" s="7"/>
      <c r="C6843" s="8">
        <v>16912</v>
      </c>
      <c r="D6843" s="9" t="s">
        <v>159</v>
      </c>
      <c r="E6843" s="10" t="str">
        <f t="shared" si="1334"/>
        <v>Rancho Zinamba No. 24</v>
      </c>
      <c r="F6843" s="10" t="str">
        <f t="shared" si="1335"/>
        <v>Monroy García</v>
      </c>
      <c r="G6843" s="8">
        <v>1</v>
      </c>
      <c r="H6843" s="11">
        <v>400</v>
      </c>
      <c r="I6843" s="12">
        <v>43296</v>
      </c>
      <c r="J6843" s="35">
        <f t="shared" si="1336"/>
        <v>0</v>
      </c>
      <c r="K6843" s="36"/>
      <c r="L6843" s="36"/>
      <c r="M6843" s="36"/>
      <c r="N6843" s="36"/>
      <c r="O6843" s="36"/>
      <c r="P6843" s="36"/>
      <c r="Q6843" s="36"/>
      <c r="R6843" s="36"/>
      <c r="S6843" s="36"/>
      <c r="T6843" s="36"/>
      <c r="U6843" s="36"/>
      <c r="V6843" s="36"/>
      <c r="W6843" s="15">
        <f t="shared" si="1337"/>
        <v>0</v>
      </c>
      <c r="X6843" s="36"/>
      <c r="Y6843" s="36"/>
      <c r="Z6843" s="36"/>
      <c r="AA6843" s="36"/>
      <c r="AB6843" s="36"/>
      <c r="AC6843" s="36"/>
      <c r="AD6843" s="36"/>
      <c r="AE6843" s="36"/>
      <c r="AF6843" s="36"/>
      <c r="AG6843" s="36"/>
      <c r="AH6843" s="36"/>
      <c r="AI6843" s="36"/>
      <c r="AJ6843" s="15">
        <f t="shared" si="1338"/>
        <v>0</v>
      </c>
      <c r="AK6843" s="14"/>
      <c r="AL6843" s="14"/>
      <c r="AM6843" s="14"/>
      <c r="AN6843" s="14"/>
      <c r="AO6843" s="14"/>
      <c r="AP6843" s="14"/>
      <c r="AQ6843" s="14">
        <v>400</v>
      </c>
      <c r="AR6843" s="14"/>
      <c r="AS6843" s="14"/>
      <c r="AT6843" s="14"/>
      <c r="AU6843" s="14"/>
      <c r="AV6843" s="14"/>
      <c r="AW6843" s="15">
        <f t="shared" si="1339"/>
        <v>400</v>
      </c>
      <c r="AX6843" s="16"/>
    </row>
    <row r="6844" spans="2:50" x14ac:dyDescent="0.2">
      <c r="B6844" s="7"/>
      <c r="C6844" s="8">
        <v>16913</v>
      </c>
      <c r="D6844" s="9" t="s">
        <v>387</v>
      </c>
      <c r="E6844" s="10" t="str">
        <f t="shared" si="1334"/>
        <v>Rancho Upácuaro No. 69</v>
      </c>
      <c r="F6844" s="10" t="str">
        <f t="shared" si="1335"/>
        <v>Gómez</v>
      </c>
      <c r="G6844" s="8">
        <v>1</v>
      </c>
      <c r="H6844" s="11">
        <v>400</v>
      </c>
      <c r="I6844" s="12">
        <v>43296</v>
      </c>
      <c r="J6844" s="35">
        <f t="shared" si="1336"/>
        <v>0</v>
      </c>
      <c r="K6844" s="36"/>
      <c r="L6844" s="36"/>
      <c r="M6844" s="36"/>
      <c r="N6844" s="36"/>
      <c r="O6844" s="36"/>
      <c r="P6844" s="36"/>
      <c r="Q6844" s="36"/>
      <c r="R6844" s="36"/>
      <c r="S6844" s="36"/>
      <c r="T6844" s="36"/>
      <c r="U6844" s="36"/>
      <c r="V6844" s="36"/>
      <c r="W6844" s="15">
        <f t="shared" si="1337"/>
        <v>0</v>
      </c>
      <c r="X6844" s="36"/>
      <c r="Y6844" s="36"/>
      <c r="Z6844" s="36"/>
      <c r="AA6844" s="36"/>
      <c r="AB6844" s="36"/>
      <c r="AC6844" s="36"/>
      <c r="AD6844" s="36"/>
      <c r="AE6844" s="36"/>
      <c r="AF6844" s="36"/>
      <c r="AG6844" s="36"/>
      <c r="AH6844" s="36"/>
      <c r="AI6844" s="36"/>
      <c r="AJ6844" s="15">
        <f t="shared" si="1338"/>
        <v>0</v>
      </c>
      <c r="AK6844" s="14"/>
      <c r="AL6844" s="14"/>
      <c r="AM6844" s="14"/>
      <c r="AN6844" s="14"/>
      <c r="AO6844" s="14"/>
      <c r="AP6844" s="14"/>
      <c r="AQ6844" s="14">
        <v>400</v>
      </c>
      <c r="AR6844" s="14"/>
      <c r="AS6844" s="14"/>
      <c r="AT6844" s="14"/>
      <c r="AU6844" s="14"/>
      <c r="AV6844" s="14"/>
      <c r="AW6844" s="15">
        <f t="shared" si="1339"/>
        <v>400</v>
      </c>
      <c r="AX6844" s="16"/>
    </row>
    <row r="6845" spans="2:50" x14ac:dyDescent="0.2">
      <c r="B6845" s="7"/>
      <c r="C6845" s="8">
        <v>16914</v>
      </c>
      <c r="D6845" s="9" t="s">
        <v>705</v>
      </c>
      <c r="E6845" s="10" t="str">
        <f t="shared" si="1334"/>
        <v>Rancho La Cuchilla No. 75</v>
      </c>
      <c r="F6845" s="10" t="str">
        <f t="shared" si="1335"/>
        <v>Sosa Lucio</v>
      </c>
      <c r="G6845" s="8">
        <v>1</v>
      </c>
      <c r="H6845" s="11">
        <v>300</v>
      </c>
      <c r="I6845" s="12">
        <v>43296</v>
      </c>
      <c r="J6845" s="35">
        <f t="shared" si="1336"/>
        <v>0</v>
      </c>
      <c r="K6845" s="36"/>
      <c r="L6845" s="36"/>
      <c r="M6845" s="36"/>
      <c r="N6845" s="36"/>
      <c r="O6845" s="36"/>
      <c r="P6845" s="36"/>
      <c r="Q6845" s="36"/>
      <c r="R6845" s="36"/>
      <c r="S6845" s="36"/>
      <c r="T6845" s="36"/>
      <c r="U6845" s="36"/>
      <c r="V6845" s="36"/>
      <c r="W6845" s="15">
        <f t="shared" si="1337"/>
        <v>0</v>
      </c>
      <c r="X6845" s="36"/>
      <c r="Y6845" s="36"/>
      <c r="Z6845" s="36"/>
      <c r="AA6845" s="36"/>
      <c r="AB6845" s="36"/>
      <c r="AC6845" s="36"/>
      <c r="AD6845" s="36"/>
      <c r="AE6845" s="36"/>
      <c r="AF6845" s="36"/>
      <c r="AG6845" s="36"/>
      <c r="AH6845" s="36"/>
      <c r="AI6845" s="36"/>
      <c r="AJ6845" s="15">
        <f t="shared" si="1338"/>
        <v>0</v>
      </c>
      <c r="AK6845" s="14"/>
      <c r="AL6845" s="14"/>
      <c r="AM6845" s="14"/>
      <c r="AN6845" s="14"/>
      <c r="AO6845" s="14"/>
      <c r="AP6845" s="14"/>
      <c r="AQ6845" s="14">
        <v>300</v>
      </c>
      <c r="AR6845" s="14"/>
      <c r="AS6845" s="14"/>
      <c r="AT6845" s="14"/>
      <c r="AU6845" s="14"/>
      <c r="AV6845" s="14"/>
      <c r="AW6845" s="15">
        <f t="shared" si="1339"/>
        <v>300</v>
      </c>
      <c r="AX6845" s="16"/>
    </row>
    <row r="6846" spans="2:50" x14ac:dyDescent="0.2">
      <c r="B6846" s="7"/>
      <c r="C6846" s="8">
        <v>16915</v>
      </c>
      <c r="D6846" s="9" t="s">
        <v>235</v>
      </c>
      <c r="E6846" s="10" t="str">
        <f t="shared" si="1334"/>
        <v>Rancho La Cuchilla No. 43, A</v>
      </c>
      <c r="F6846" s="10" t="str">
        <f t="shared" si="1335"/>
        <v>De la Rosa</v>
      </c>
      <c r="G6846" s="8">
        <v>1</v>
      </c>
      <c r="H6846" s="11">
        <v>400</v>
      </c>
      <c r="I6846" s="12">
        <v>43296</v>
      </c>
      <c r="J6846" s="35">
        <f t="shared" si="1336"/>
        <v>0</v>
      </c>
      <c r="K6846" s="36"/>
      <c r="L6846" s="36"/>
      <c r="M6846" s="36"/>
      <c r="N6846" s="36"/>
      <c r="O6846" s="36"/>
      <c r="P6846" s="36"/>
      <c r="Q6846" s="36"/>
      <c r="R6846" s="36"/>
      <c r="S6846" s="36"/>
      <c r="T6846" s="36"/>
      <c r="U6846" s="36"/>
      <c r="V6846" s="36"/>
      <c r="W6846" s="15">
        <f t="shared" si="1337"/>
        <v>0</v>
      </c>
      <c r="X6846" s="36"/>
      <c r="Y6846" s="36"/>
      <c r="Z6846" s="36"/>
      <c r="AA6846" s="36"/>
      <c r="AB6846" s="36"/>
      <c r="AC6846" s="36"/>
      <c r="AD6846" s="36"/>
      <c r="AE6846" s="36"/>
      <c r="AF6846" s="36"/>
      <c r="AG6846" s="36"/>
      <c r="AH6846" s="36"/>
      <c r="AI6846" s="36"/>
      <c r="AJ6846" s="15">
        <f t="shared" si="1338"/>
        <v>0</v>
      </c>
      <c r="AK6846" s="14"/>
      <c r="AL6846" s="14"/>
      <c r="AM6846" s="14"/>
      <c r="AN6846" s="14"/>
      <c r="AO6846" s="14"/>
      <c r="AP6846" s="14">
        <v>400</v>
      </c>
      <c r="AQ6846" s="14"/>
      <c r="AR6846" s="14"/>
      <c r="AS6846" s="14"/>
      <c r="AT6846" s="14"/>
      <c r="AU6846" s="14"/>
      <c r="AV6846" s="14"/>
      <c r="AW6846" s="15">
        <f t="shared" si="1339"/>
        <v>400</v>
      </c>
      <c r="AX6846" s="16"/>
    </row>
    <row r="6847" spans="2:50" x14ac:dyDescent="0.2">
      <c r="B6847" s="7"/>
      <c r="C6847" s="8">
        <v>16916</v>
      </c>
      <c r="D6847" s="9" t="s">
        <v>156</v>
      </c>
      <c r="E6847" s="10" t="str">
        <f t="shared" si="1334"/>
        <v>Rancho Zinamba No. 80</v>
      </c>
      <c r="F6847" s="10" t="str">
        <f t="shared" si="1335"/>
        <v>Vázquez</v>
      </c>
      <c r="G6847" s="8">
        <v>1</v>
      </c>
      <c r="H6847" s="11">
        <v>300</v>
      </c>
      <c r="I6847" s="12">
        <v>43296</v>
      </c>
      <c r="J6847" s="35">
        <f t="shared" si="1336"/>
        <v>0</v>
      </c>
      <c r="K6847" s="36"/>
      <c r="L6847" s="36"/>
      <c r="M6847" s="36"/>
      <c r="N6847" s="36"/>
      <c r="O6847" s="36"/>
      <c r="P6847" s="36"/>
      <c r="Q6847" s="36"/>
      <c r="R6847" s="36"/>
      <c r="S6847" s="36"/>
      <c r="T6847" s="36"/>
      <c r="U6847" s="36"/>
      <c r="V6847" s="36"/>
      <c r="W6847" s="15">
        <f t="shared" si="1337"/>
        <v>0</v>
      </c>
      <c r="X6847" s="36"/>
      <c r="Y6847" s="36"/>
      <c r="Z6847" s="36"/>
      <c r="AA6847" s="36"/>
      <c r="AB6847" s="36"/>
      <c r="AC6847" s="36"/>
      <c r="AD6847" s="36"/>
      <c r="AE6847" s="36"/>
      <c r="AF6847" s="36"/>
      <c r="AG6847" s="36"/>
      <c r="AH6847" s="36"/>
      <c r="AI6847" s="36"/>
      <c r="AJ6847" s="15">
        <f t="shared" si="1338"/>
        <v>0</v>
      </c>
      <c r="AK6847" s="14"/>
      <c r="AL6847" s="14"/>
      <c r="AM6847" s="14"/>
      <c r="AN6847" s="14"/>
      <c r="AO6847" s="14"/>
      <c r="AP6847" s="14"/>
      <c r="AQ6847" s="14">
        <v>300</v>
      </c>
      <c r="AR6847" s="14"/>
      <c r="AS6847" s="14"/>
      <c r="AT6847" s="14"/>
      <c r="AU6847" s="14"/>
      <c r="AV6847" s="14"/>
      <c r="AW6847" s="15">
        <f t="shared" si="1339"/>
        <v>300</v>
      </c>
      <c r="AX6847" s="16"/>
    </row>
    <row r="6848" spans="2:50" x14ac:dyDescent="0.2">
      <c r="B6848" s="7"/>
      <c r="C6848" s="8">
        <v>16917</v>
      </c>
      <c r="D6848" s="9" t="s">
        <v>785</v>
      </c>
      <c r="E6848" s="10" t="str">
        <f t="shared" si="1334"/>
        <v>Rancho Estanzuela No. 61</v>
      </c>
      <c r="F6848" s="10" t="str">
        <f t="shared" si="1335"/>
        <v>González Almazán</v>
      </c>
      <c r="G6848" s="8">
        <v>1</v>
      </c>
      <c r="H6848" s="11">
        <v>200</v>
      </c>
      <c r="I6848" s="12">
        <v>43296</v>
      </c>
      <c r="J6848" s="35">
        <f t="shared" si="1336"/>
        <v>0</v>
      </c>
      <c r="K6848" s="36"/>
      <c r="L6848" s="36"/>
      <c r="M6848" s="36"/>
      <c r="N6848" s="36"/>
      <c r="O6848" s="36"/>
      <c r="P6848" s="36"/>
      <c r="Q6848" s="36"/>
      <c r="R6848" s="36"/>
      <c r="S6848" s="36"/>
      <c r="T6848" s="36"/>
      <c r="U6848" s="36"/>
      <c r="V6848" s="36"/>
      <c r="W6848" s="15">
        <f t="shared" si="1337"/>
        <v>0</v>
      </c>
      <c r="X6848" s="36"/>
      <c r="Y6848" s="36"/>
      <c r="Z6848" s="36"/>
      <c r="AA6848" s="36"/>
      <c r="AB6848" s="36"/>
      <c r="AC6848" s="36"/>
      <c r="AD6848" s="36"/>
      <c r="AE6848" s="36"/>
      <c r="AF6848" s="36"/>
      <c r="AG6848" s="36"/>
      <c r="AH6848" s="36"/>
      <c r="AI6848" s="36"/>
      <c r="AJ6848" s="15">
        <f t="shared" si="1338"/>
        <v>0</v>
      </c>
      <c r="AK6848" s="14"/>
      <c r="AL6848" s="14"/>
      <c r="AM6848" s="14"/>
      <c r="AN6848" s="14"/>
      <c r="AO6848" s="14"/>
      <c r="AP6848" s="14">
        <v>200</v>
      </c>
      <c r="AQ6848" s="14"/>
      <c r="AR6848" s="14"/>
      <c r="AS6848" s="14"/>
      <c r="AT6848" s="14"/>
      <c r="AU6848" s="14"/>
      <c r="AV6848" s="14"/>
      <c r="AW6848" s="15">
        <f t="shared" si="1339"/>
        <v>200</v>
      </c>
      <c r="AX6848" s="16"/>
    </row>
    <row r="6849" spans="2:51" x14ac:dyDescent="0.2">
      <c r="B6849" s="7"/>
      <c r="C6849" s="8">
        <v>16918</v>
      </c>
      <c r="D6849" s="9" t="s">
        <v>274</v>
      </c>
      <c r="E6849" s="10" t="str">
        <f t="shared" ref="E6849:E6851" si="1340">IF(D6849=0,"",VLOOKUP(D6849,BASE,2,FALSE))</f>
        <v>Rancho Zinamba No. 82</v>
      </c>
      <c r="F6849" s="10" t="str">
        <f t="shared" ref="F6849:F6851" si="1341">IF(D6849=0,"",VLOOKUP(D6849,BASE,3,FALSE))</f>
        <v>Morán Carmona</v>
      </c>
      <c r="G6849" s="8">
        <v>5</v>
      </c>
      <c r="H6849" s="11">
        <v>50</v>
      </c>
      <c r="I6849" s="12">
        <v>43296</v>
      </c>
      <c r="J6849" s="35">
        <f t="shared" ref="J6849:J6851" si="1342">IF(G6849=1,SUM(W6849,AJ6849,AW6849,-H6849),0)</f>
        <v>0</v>
      </c>
      <c r="K6849" s="36"/>
      <c r="L6849" s="36"/>
      <c r="M6849" s="36"/>
      <c r="N6849" s="36"/>
      <c r="O6849" s="36"/>
      <c r="P6849" s="36"/>
      <c r="Q6849" s="36"/>
      <c r="R6849" s="36"/>
      <c r="S6849" s="36"/>
      <c r="T6849" s="36"/>
      <c r="U6849" s="36"/>
      <c r="V6849" s="36"/>
      <c r="W6849" s="15">
        <f t="shared" ref="W6849:W6851" si="1343">SUM(K6849:V6849)</f>
        <v>0</v>
      </c>
      <c r="X6849" s="36"/>
      <c r="Y6849" s="36"/>
      <c r="Z6849" s="36"/>
      <c r="AA6849" s="36"/>
      <c r="AB6849" s="36"/>
      <c r="AC6849" s="36"/>
      <c r="AD6849" s="36"/>
      <c r="AE6849" s="36"/>
      <c r="AF6849" s="36"/>
      <c r="AG6849" s="36"/>
      <c r="AH6849" s="36"/>
      <c r="AI6849" s="36"/>
      <c r="AJ6849" s="15">
        <f t="shared" ref="AJ6849:AJ6851" si="1344">SUM(X6849:AI6849)</f>
        <v>0</v>
      </c>
      <c r="AK6849" s="14"/>
      <c r="AL6849" s="14"/>
      <c r="AM6849" s="14"/>
      <c r="AN6849" s="14"/>
      <c r="AO6849" s="14"/>
      <c r="AP6849" s="14"/>
      <c r="AQ6849" s="14"/>
      <c r="AR6849" s="14"/>
      <c r="AS6849" s="14"/>
      <c r="AT6849" s="14"/>
      <c r="AU6849" s="14"/>
      <c r="AV6849" s="14"/>
      <c r="AW6849" s="15">
        <f t="shared" ref="AW6849:AW6851" si="1345">SUM(AK6849:AV6849)</f>
        <v>0</v>
      </c>
      <c r="AX6849" s="16"/>
    </row>
    <row r="6850" spans="2:51" x14ac:dyDescent="0.2">
      <c r="B6850" s="7"/>
      <c r="C6850" s="8">
        <v>16919</v>
      </c>
      <c r="D6850" s="9" t="s">
        <v>112</v>
      </c>
      <c r="E6850" s="10" t="str">
        <f t="shared" si="1340"/>
        <v>Rancho Estanzuela No. 129</v>
      </c>
      <c r="F6850" s="10" t="str">
        <f t="shared" si="1341"/>
        <v>Sta. María Mendoza</v>
      </c>
      <c r="G6850" s="8">
        <v>1</v>
      </c>
      <c r="H6850" s="11">
        <v>500</v>
      </c>
      <c r="I6850" s="12">
        <v>43297</v>
      </c>
      <c r="J6850" s="35">
        <f t="shared" si="1342"/>
        <v>0</v>
      </c>
      <c r="K6850" s="36"/>
      <c r="L6850" s="36"/>
      <c r="M6850" s="36"/>
      <c r="N6850" s="36"/>
      <c r="O6850" s="36"/>
      <c r="P6850" s="36"/>
      <c r="Q6850" s="36"/>
      <c r="R6850" s="36"/>
      <c r="S6850" s="36"/>
      <c r="T6850" s="36"/>
      <c r="U6850" s="36"/>
      <c r="V6850" s="36"/>
      <c r="W6850" s="15">
        <f t="shared" si="1343"/>
        <v>0</v>
      </c>
      <c r="X6850" s="36"/>
      <c r="Y6850" s="36"/>
      <c r="Z6850" s="36"/>
      <c r="AA6850" s="36"/>
      <c r="AB6850" s="36"/>
      <c r="AC6850" s="36"/>
      <c r="AD6850" s="36"/>
      <c r="AE6850" s="36"/>
      <c r="AF6850" s="36"/>
      <c r="AG6850" s="36"/>
      <c r="AH6850" s="36"/>
      <c r="AI6850" s="36"/>
      <c r="AJ6850" s="15">
        <f t="shared" si="1344"/>
        <v>0</v>
      </c>
      <c r="AK6850" s="14"/>
      <c r="AL6850" s="14"/>
      <c r="AM6850" s="14"/>
      <c r="AN6850" s="14"/>
      <c r="AO6850" s="14"/>
      <c r="AP6850" s="14">
        <v>250</v>
      </c>
      <c r="AQ6850" s="14">
        <v>250</v>
      </c>
      <c r="AR6850" s="14"/>
      <c r="AS6850" s="14"/>
      <c r="AT6850" s="14"/>
      <c r="AU6850" s="14"/>
      <c r="AV6850" s="14"/>
      <c r="AW6850" s="15">
        <f t="shared" si="1345"/>
        <v>500</v>
      </c>
      <c r="AX6850" s="316">
        <f>SUM(H6829:H6850)</f>
        <v>9300</v>
      </c>
      <c r="AY6850" s="112">
        <f>SUM(H6820:H6850)</f>
        <v>12900</v>
      </c>
    </row>
    <row r="6851" spans="2:51" x14ac:dyDescent="0.2">
      <c r="B6851" s="7"/>
      <c r="C6851" s="8">
        <v>16920</v>
      </c>
      <c r="D6851" s="9" t="s">
        <v>740</v>
      </c>
      <c r="E6851" s="10" t="str">
        <f t="shared" si="1340"/>
        <v>Rancho Upácuaro No. 65</v>
      </c>
      <c r="F6851" s="10" t="str">
        <f t="shared" si="1341"/>
        <v>Cruz González</v>
      </c>
      <c r="G6851" s="8">
        <v>1</v>
      </c>
      <c r="H6851" s="315">
        <v>800</v>
      </c>
      <c r="I6851" s="12">
        <v>43303</v>
      </c>
      <c r="J6851" s="35">
        <f t="shared" si="1342"/>
        <v>0</v>
      </c>
      <c r="K6851" s="36"/>
      <c r="L6851" s="36"/>
      <c r="M6851" s="36"/>
      <c r="N6851" s="36"/>
      <c r="O6851" s="36"/>
      <c r="P6851" s="36"/>
      <c r="Q6851" s="36"/>
      <c r="R6851" s="36"/>
      <c r="S6851" s="36"/>
      <c r="T6851" s="36"/>
      <c r="U6851" s="36"/>
      <c r="V6851" s="36"/>
      <c r="W6851" s="15">
        <f t="shared" si="1343"/>
        <v>0</v>
      </c>
      <c r="X6851" s="36"/>
      <c r="Y6851" s="36"/>
      <c r="Z6851" s="36"/>
      <c r="AA6851" s="36"/>
      <c r="AB6851" s="36"/>
      <c r="AC6851" s="36"/>
      <c r="AD6851" s="36"/>
      <c r="AE6851" s="36"/>
      <c r="AF6851" s="36"/>
      <c r="AG6851" s="36"/>
      <c r="AH6851" s="36"/>
      <c r="AI6851" s="36"/>
      <c r="AJ6851" s="15">
        <f t="shared" si="1344"/>
        <v>0</v>
      </c>
      <c r="AK6851" s="14"/>
      <c r="AL6851" s="14"/>
      <c r="AM6851" s="14"/>
      <c r="AN6851" s="14"/>
      <c r="AO6851" s="14"/>
      <c r="AP6851" s="14">
        <v>400</v>
      </c>
      <c r="AQ6851" s="14">
        <v>400</v>
      </c>
      <c r="AR6851" s="14"/>
      <c r="AS6851" s="14"/>
      <c r="AT6851" s="14"/>
      <c r="AU6851" s="14"/>
      <c r="AV6851" s="14"/>
      <c r="AW6851" s="15">
        <f t="shared" si="1345"/>
        <v>800</v>
      </c>
      <c r="AX6851" s="16"/>
    </row>
    <row r="6852" spans="2:51" x14ac:dyDescent="0.2">
      <c r="B6852" s="7"/>
      <c r="C6852" s="8">
        <v>16921</v>
      </c>
      <c r="D6852" s="9" t="s">
        <v>322</v>
      </c>
      <c r="E6852" s="10" t="str">
        <f t="shared" ref="E6852:E6875" si="1346">IF(D6852=0,"",VLOOKUP(D6852,BASE,2,FALSE))</f>
        <v>Rancho Zinamba No. 8</v>
      </c>
      <c r="F6852" s="10" t="str">
        <f t="shared" ref="F6852:F6875" si="1347">IF(D6852=0,"",VLOOKUP(D6852,BASE,3,FALSE))</f>
        <v>Florido</v>
      </c>
      <c r="G6852" s="8">
        <v>1</v>
      </c>
      <c r="H6852" s="11">
        <v>400</v>
      </c>
      <c r="I6852" s="12">
        <v>43303</v>
      </c>
      <c r="J6852" s="35">
        <f t="shared" ref="J6852:J6875" si="1348">IF(G6852=1,SUM(W6852,AJ6852,AW6852,-H6852),0)</f>
        <v>0</v>
      </c>
      <c r="K6852" s="36"/>
      <c r="L6852" s="36"/>
      <c r="M6852" s="36"/>
      <c r="N6852" s="36"/>
      <c r="O6852" s="36"/>
      <c r="P6852" s="36"/>
      <c r="Q6852" s="36"/>
      <c r="R6852" s="36"/>
      <c r="S6852" s="36"/>
      <c r="T6852" s="36"/>
      <c r="U6852" s="36"/>
      <c r="V6852" s="36"/>
      <c r="W6852" s="15">
        <f t="shared" ref="W6852:W6875" si="1349">SUM(K6852:V6852)</f>
        <v>0</v>
      </c>
      <c r="X6852" s="36"/>
      <c r="Y6852" s="36"/>
      <c r="Z6852" s="36"/>
      <c r="AA6852" s="36"/>
      <c r="AB6852" s="36"/>
      <c r="AC6852" s="36"/>
      <c r="AD6852" s="36"/>
      <c r="AE6852" s="36"/>
      <c r="AF6852" s="36"/>
      <c r="AG6852" s="36"/>
      <c r="AH6852" s="36"/>
      <c r="AI6852" s="36"/>
      <c r="AJ6852" s="15">
        <f t="shared" ref="AJ6852:AJ6875" si="1350">SUM(X6852:AI6852)</f>
        <v>0</v>
      </c>
      <c r="AK6852" s="14"/>
      <c r="AL6852" s="14"/>
      <c r="AM6852" s="14"/>
      <c r="AN6852" s="14"/>
      <c r="AO6852" s="14"/>
      <c r="AP6852" s="14">
        <v>400</v>
      </c>
      <c r="AQ6852" s="14"/>
      <c r="AR6852" s="14"/>
      <c r="AS6852" s="14"/>
      <c r="AT6852" s="14"/>
      <c r="AU6852" s="14"/>
      <c r="AV6852" s="14"/>
      <c r="AW6852" s="15">
        <f t="shared" ref="AW6852:AW6875" si="1351">SUM(AK6852:AV6852)</f>
        <v>400</v>
      </c>
      <c r="AX6852" s="16"/>
    </row>
    <row r="6853" spans="2:51" x14ac:dyDescent="0.2">
      <c r="B6853" s="7"/>
      <c r="C6853" s="8">
        <v>16922</v>
      </c>
      <c r="D6853" s="9" t="s">
        <v>855</v>
      </c>
      <c r="E6853" s="10" t="str">
        <f t="shared" si="1346"/>
        <v>Rancho Upácuaro No. 99</v>
      </c>
      <c r="F6853" s="10" t="str">
        <f t="shared" si="1347"/>
        <v>Frías</v>
      </c>
      <c r="G6853" s="8">
        <v>1</v>
      </c>
      <c r="H6853" s="11">
        <v>600</v>
      </c>
      <c r="I6853" s="12">
        <v>43303</v>
      </c>
      <c r="J6853" s="35">
        <f t="shared" si="1348"/>
        <v>0</v>
      </c>
      <c r="K6853" s="36"/>
      <c r="L6853" s="36"/>
      <c r="M6853" s="36"/>
      <c r="N6853" s="36"/>
      <c r="O6853" s="36"/>
      <c r="P6853" s="36"/>
      <c r="Q6853" s="36"/>
      <c r="R6853" s="36"/>
      <c r="S6853" s="36"/>
      <c r="T6853" s="36"/>
      <c r="U6853" s="36"/>
      <c r="V6853" s="36"/>
      <c r="W6853" s="15">
        <f t="shared" si="1349"/>
        <v>0</v>
      </c>
      <c r="X6853" s="36"/>
      <c r="Y6853" s="36"/>
      <c r="Z6853" s="36"/>
      <c r="AA6853" s="36"/>
      <c r="AB6853" s="36"/>
      <c r="AC6853" s="36"/>
      <c r="AD6853" s="36"/>
      <c r="AE6853" s="36"/>
      <c r="AF6853" s="36"/>
      <c r="AG6853" s="36"/>
      <c r="AH6853" s="36"/>
      <c r="AI6853" s="36"/>
      <c r="AJ6853" s="15">
        <f t="shared" si="1350"/>
        <v>0</v>
      </c>
      <c r="AK6853" s="14"/>
      <c r="AL6853" s="14"/>
      <c r="AM6853" s="14"/>
      <c r="AN6853" s="14"/>
      <c r="AO6853" s="14"/>
      <c r="AP6853" s="14"/>
      <c r="AQ6853" s="14"/>
      <c r="AR6853" s="14">
        <v>200</v>
      </c>
      <c r="AS6853" s="14">
        <v>200</v>
      </c>
      <c r="AT6853" s="14">
        <v>200</v>
      </c>
      <c r="AU6853" s="14"/>
      <c r="AV6853" s="14"/>
      <c r="AW6853" s="15">
        <f t="shared" si="1351"/>
        <v>600</v>
      </c>
      <c r="AX6853" s="16"/>
    </row>
    <row r="6854" spans="2:51" x14ac:dyDescent="0.2">
      <c r="B6854" s="7"/>
      <c r="C6854" s="8">
        <v>16923</v>
      </c>
      <c r="D6854" s="9" t="s">
        <v>858</v>
      </c>
      <c r="E6854" s="10" t="str">
        <f t="shared" si="1346"/>
        <v>Rancho Landero No. 45</v>
      </c>
      <c r="F6854" s="10" t="str">
        <f t="shared" si="1347"/>
        <v>Solano</v>
      </c>
      <c r="G6854" s="8">
        <v>1</v>
      </c>
      <c r="H6854" s="11">
        <v>800</v>
      </c>
      <c r="I6854" s="12">
        <v>43303</v>
      </c>
      <c r="J6854" s="35">
        <f t="shared" si="1348"/>
        <v>0</v>
      </c>
      <c r="K6854" s="36"/>
      <c r="L6854" s="36"/>
      <c r="M6854" s="36"/>
      <c r="N6854" s="36"/>
      <c r="O6854" s="36"/>
      <c r="P6854" s="36"/>
      <c r="Q6854" s="36"/>
      <c r="R6854" s="36"/>
      <c r="S6854" s="36"/>
      <c r="T6854" s="36"/>
      <c r="U6854" s="36"/>
      <c r="V6854" s="36"/>
      <c r="W6854" s="15">
        <f t="shared" si="1349"/>
        <v>0</v>
      </c>
      <c r="X6854" s="36"/>
      <c r="Y6854" s="36"/>
      <c r="Z6854" s="36"/>
      <c r="AA6854" s="36"/>
      <c r="AB6854" s="36"/>
      <c r="AC6854" s="36"/>
      <c r="AD6854" s="36"/>
      <c r="AE6854" s="36"/>
      <c r="AF6854" s="36"/>
      <c r="AG6854" s="36"/>
      <c r="AH6854" s="36"/>
      <c r="AI6854" s="36"/>
      <c r="AJ6854" s="15">
        <f t="shared" si="1350"/>
        <v>0</v>
      </c>
      <c r="AK6854" s="14"/>
      <c r="AL6854" s="14"/>
      <c r="AM6854" s="14"/>
      <c r="AN6854" s="14"/>
      <c r="AO6854" s="14"/>
      <c r="AP6854" s="14"/>
      <c r="AQ6854" s="14">
        <v>400</v>
      </c>
      <c r="AR6854" s="14">
        <v>400</v>
      </c>
      <c r="AS6854" s="14"/>
      <c r="AT6854" s="14"/>
      <c r="AU6854" s="14"/>
      <c r="AV6854" s="14"/>
      <c r="AW6854" s="15">
        <f t="shared" si="1351"/>
        <v>800</v>
      </c>
      <c r="AX6854" s="16"/>
    </row>
    <row r="6855" spans="2:51" x14ac:dyDescent="0.2">
      <c r="B6855" s="7"/>
      <c r="C6855" s="8">
        <v>16924</v>
      </c>
      <c r="D6855" s="9" t="s">
        <v>586</v>
      </c>
      <c r="E6855" s="10" t="str">
        <f t="shared" si="1346"/>
        <v>Rancho Estanzuela No. 161, 1</v>
      </c>
      <c r="F6855" s="10" t="str">
        <f t="shared" si="1347"/>
        <v>Guevara</v>
      </c>
      <c r="G6855" s="8">
        <v>1</v>
      </c>
      <c r="H6855" s="11">
        <v>400</v>
      </c>
      <c r="I6855" s="12">
        <v>43303</v>
      </c>
      <c r="J6855" s="35">
        <f t="shared" si="1348"/>
        <v>0</v>
      </c>
      <c r="K6855" s="36"/>
      <c r="L6855" s="36"/>
      <c r="M6855" s="36"/>
      <c r="N6855" s="36"/>
      <c r="O6855" s="36"/>
      <c r="P6855" s="36"/>
      <c r="Q6855" s="36"/>
      <c r="R6855" s="36"/>
      <c r="S6855" s="36"/>
      <c r="T6855" s="36"/>
      <c r="U6855" s="36"/>
      <c r="V6855" s="36"/>
      <c r="W6855" s="15">
        <f t="shared" si="1349"/>
        <v>0</v>
      </c>
      <c r="X6855" s="36"/>
      <c r="Y6855" s="36"/>
      <c r="Z6855" s="36"/>
      <c r="AA6855" s="36"/>
      <c r="AB6855" s="36"/>
      <c r="AC6855" s="36"/>
      <c r="AD6855" s="36"/>
      <c r="AE6855" s="36"/>
      <c r="AF6855" s="36"/>
      <c r="AG6855" s="36"/>
      <c r="AH6855" s="36"/>
      <c r="AI6855" s="36"/>
      <c r="AJ6855" s="15">
        <f t="shared" si="1350"/>
        <v>0</v>
      </c>
      <c r="AK6855" s="14"/>
      <c r="AL6855" s="14"/>
      <c r="AM6855" s="14"/>
      <c r="AN6855" s="14"/>
      <c r="AO6855" s="14"/>
      <c r="AP6855" s="14">
        <v>200</v>
      </c>
      <c r="AQ6855" s="14">
        <v>200</v>
      </c>
      <c r="AR6855" s="14"/>
      <c r="AS6855" s="14"/>
      <c r="AT6855" s="14"/>
      <c r="AU6855" s="14"/>
      <c r="AV6855" s="14"/>
      <c r="AW6855" s="15">
        <f t="shared" si="1351"/>
        <v>400</v>
      </c>
      <c r="AX6855" s="16"/>
    </row>
    <row r="6856" spans="2:51" x14ac:dyDescent="0.2">
      <c r="B6856" s="7"/>
      <c r="C6856" s="8">
        <v>16925</v>
      </c>
      <c r="D6856" s="9" t="s">
        <v>746</v>
      </c>
      <c r="E6856" s="10" t="str">
        <f t="shared" si="1346"/>
        <v>Rancho La Cuchilla No. 12</v>
      </c>
      <c r="F6856" s="10" t="str">
        <f t="shared" si="1347"/>
        <v>Rivera Flores</v>
      </c>
      <c r="G6856" s="8">
        <v>1</v>
      </c>
      <c r="H6856" s="11">
        <v>1050</v>
      </c>
      <c r="I6856" s="12">
        <v>43303</v>
      </c>
      <c r="J6856" s="35">
        <f t="shared" si="1348"/>
        <v>0</v>
      </c>
      <c r="K6856" s="36"/>
      <c r="L6856" s="36"/>
      <c r="M6856" s="36"/>
      <c r="N6856" s="36"/>
      <c r="O6856" s="36"/>
      <c r="P6856" s="36"/>
      <c r="Q6856" s="36"/>
      <c r="R6856" s="36"/>
      <c r="S6856" s="36"/>
      <c r="T6856" s="36"/>
      <c r="U6856" s="36"/>
      <c r="V6856" s="36"/>
      <c r="W6856" s="15">
        <f t="shared" si="1349"/>
        <v>0</v>
      </c>
      <c r="X6856" s="36"/>
      <c r="Y6856" s="36"/>
      <c r="Z6856" s="36"/>
      <c r="AA6856" s="36"/>
      <c r="AB6856" s="36"/>
      <c r="AC6856" s="36"/>
      <c r="AD6856" s="36"/>
      <c r="AE6856" s="36"/>
      <c r="AF6856" s="36"/>
      <c r="AG6856" s="36"/>
      <c r="AH6856" s="36"/>
      <c r="AI6856" s="36"/>
      <c r="AJ6856" s="15">
        <f t="shared" si="1350"/>
        <v>0</v>
      </c>
      <c r="AK6856" s="14"/>
      <c r="AL6856" s="14"/>
      <c r="AM6856" s="14"/>
      <c r="AN6856" s="14"/>
      <c r="AO6856" s="14"/>
      <c r="AP6856" s="14">
        <v>350</v>
      </c>
      <c r="AQ6856" s="14">
        <v>350</v>
      </c>
      <c r="AR6856" s="14">
        <v>350</v>
      </c>
      <c r="AS6856" s="14"/>
      <c r="AT6856" s="14"/>
      <c r="AU6856" s="14"/>
      <c r="AV6856" s="14"/>
      <c r="AW6856" s="15">
        <f t="shared" si="1351"/>
        <v>1050</v>
      </c>
      <c r="AX6856" s="16"/>
    </row>
    <row r="6857" spans="2:51" x14ac:dyDescent="0.2">
      <c r="B6857" s="7"/>
      <c r="C6857" s="8">
        <v>16926</v>
      </c>
      <c r="D6857" s="9" t="s">
        <v>361</v>
      </c>
      <c r="E6857" s="10" t="str">
        <f t="shared" si="1346"/>
        <v>Rancho Upácuaro No. 101</v>
      </c>
      <c r="F6857" s="10" t="str">
        <f t="shared" si="1347"/>
        <v>Chávez, Arturo</v>
      </c>
      <c r="G6857" s="8">
        <v>3</v>
      </c>
      <c r="H6857" s="11">
        <v>200</v>
      </c>
      <c r="I6857" s="12">
        <v>43303</v>
      </c>
      <c r="J6857" s="35">
        <f t="shared" si="1348"/>
        <v>0</v>
      </c>
      <c r="K6857" s="36"/>
      <c r="L6857" s="36"/>
      <c r="M6857" s="36"/>
      <c r="N6857" s="36"/>
      <c r="O6857" s="36"/>
      <c r="P6857" s="36"/>
      <c r="Q6857" s="36"/>
      <c r="R6857" s="36"/>
      <c r="S6857" s="36"/>
      <c r="T6857" s="36"/>
      <c r="U6857" s="36"/>
      <c r="V6857" s="36"/>
      <c r="W6857" s="15">
        <f t="shared" si="1349"/>
        <v>0</v>
      </c>
      <c r="X6857" s="36"/>
      <c r="Y6857" s="36"/>
      <c r="Z6857" s="36"/>
      <c r="AA6857" s="36"/>
      <c r="AB6857" s="36"/>
      <c r="AC6857" s="36"/>
      <c r="AD6857" s="36"/>
      <c r="AE6857" s="36"/>
      <c r="AF6857" s="36"/>
      <c r="AG6857" s="36"/>
      <c r="AH6857" s="36"/>
      <c r="AI6857" s="36"/>
      <c r="AJ6857" s="15">
        <f t="shared" si="1350"/>
        <v>0</v>
      </c>
      <c r="AK6857" s="14"/>
      <c r="AL6857" s="14"/>
      <c r="AM6857" s="14"/>
      <c r="AN6857" s="14"/>
      <c r="AO6857" s="14"/>
      <c r="AP6857" s="14"/>
      <c r="AQ6857" s="14"/>
      <c r="AR6857" s="14"/>
      <c r="AS6857" s="14"/>
      <c r="AT6857" s="14"/>
      <c r="AU6857" s="14"/>
      <c r="AV6857" s="14"/>
      <c r="AW6857" s="15">
        <f t="shared" si="1351"/>
        <v>0</v>
      </c>
      <c r="AX6857" s="16"/>
    </row>
    <row r="6858" spans="2:51" x14ac:dyDescent="0.2">
      <c r="B6858" s="7"/>
      <c r="C6858" s="8">
        <v>16926</v>
      </c>
      <c r="D6858" s="9" t="s">
        <v>361</v>
      </c>
      <c r="E6858" s="10" t="str">
        <f t="shared" si="1346"/>
        <v>Rancho Upácuaro No. 101</v>
      </c>
      <c r="F6858" s="10" t="str">
        <f t="shared" si="1347"/>
        <v>Chávez, Arturo</v>
      </c>
      <c r="G6858" s="8">
        <v>4</v>
      </c>
      <c r="H6858" s="11">
        <v>200</v>
      </c>
      <c r="I6858" s="12">
        <v>43303</v>
      </c>
      <c r="J6858" s="35">
        <f t="shared" si="1348"/>
        <v>0</v>
      </c>
      <c r="K6858" s="36"/>
      <c r="L6858" s="36"/>
      <c r="M6858" s="36"/>
      <c r="N6858" s="36"/>
      <c r="O6858" s="36"/>
      <c r="P6858" s="36"/>
      <c r="Q6858" s="36"/>
      <c r="R6858" s="36"/>
      <c r="S6858" s="36"/>
      <c r="T6858" s="36"/>
      <c r="U6858" s="36"/>
      <c r="V6858" s="36"/>
      <c r="W6858" s="15">
        <f t="shared" si="1349"/>
        <v>0</v>
      </c>
      <c r="X6858" s="36"/>
      <c r="Y6858" s="36"/>
      <c r="Z6858" s="36"/>
      <c r="AA6858" s="36"/>
      <c r="AB6858" s="36"/>
      <c r="AC6858" s="36"/>
      <c r="AD6858" s="36"/>
      <c r="AE6858" s="36"/>
      <c r="AF6858" s="36"/>
      <c r="AG6858" s="36"/>
      <c r="AH6858" s="36"/>
      <c r="AI6858" s="36"/>
      <c r="AJ6858" s="15">
        <f t="shared" si="1350"/>
        <v>0</v>
      </c>
      <c r="AK6858" s="14"/>
      <c r="AL6858" s="14"/>
      <c r="AM6858" s="14"/>
      <c r="AN6858" s="14"/>
      <c r="AO6858" s="14"/>
      <c r="AP6858" s="14"/>
      <c r="AQ6858" s="14"/>
      <c r="AR6858" s="14"/>
      <c r="AS6858" s="14"/>
      <c r="AT6858" s="14"/>
      <c r="AU6858" s="14"/>
      <c r="AV6858" s="14"/>
      <c r="AW6858" s="15">
        <f t="shared" si="1351"/>
        <v>0</v>
      </c>
      <c r="AX6858" s="16" t="s">
        <v>5421</v>
      </c>
    </row>
    <row r="6859" spans="2:51" x14ac:dyDescent="0.2">
      <c r="B6859" s="7"/>
      <c r="C6859" s="8">
        <v>16927</v>
      </c>
      <c r="D6859" s="9" t="s">
        <v>413</v>
      </c>
      <c r="E6859" s="10" t="str">
        <f t="shared" si="1346"/>
        <v>Rancho Upácuaro No. 79</v>
      </c>
      <c r="F6859" s="10" t="str">
        <f t="shared" si="1347"/>
        <v>Macías</v>
      </c>
      <c r="G6859" s="8">
        <v>1</v>
      </c>
      <c r="H6859" s="11">
        <v>800</v>
      </c>
      <c r="I6859" s="12">
        <v>43303</v>
      </c>
      <c r="J6859" s="35">
        <f t="shared" si="1348"/>
        <v>0</v>
      </c>
      <c r="K6859" s="36"/>
      <c r="L6859" s="36"/>
      <c r="M6859" s="36"/>
      <c r="N6859" s="36"/>
      <c r="O6859" s="36"/>
      <c r="P6859" s="36"/>
      <c r="Q6859" s="36"/>
      <c r="R6859" s="36"/>
      <c r="S6859" s="36"/>
      <c r="T6859" s="36"/>
      <c r="U6859" s="36"/>
      <c r="V6859" s="36"/>
      <c r="W6859" s="15">
        <f t="shared" si="1349"/>
        <v>0</v>
      </c>
      <c r="X6859" s="36"/>
      <c r="Y6859" s="36"/>
      <c r="Z6859" s="36"/>
      <c r="AA6859" s="36"/>
      <c r="AB6859" s="36"/>
      <c r="AC6859" s="36"/>
      <c r="AD6859" s="36"/>
      <c r="AE6859" s="36"/>
      <c r="AF6859" s="36"/>
      <c r="AG6859" s="36"/>
      <c r="AH6859" s="36"/>
      <c r="AI6859" s="36"/>
      <c r="AJ6859" s="15">
        <f t="shared" si="1350"/>
        <v>0</v>
      </c>
      <c r="AK6859" s="14"/>
      <c r="AL6859" s="14"/>
      <c r="AM6859" s="14"/>
      <c r="AN6859" s="14"/>
      <c r="AO6859" s="14"/>
      <c r="AP6859" s="14"/>
      <c r="AQ6859" s="14"/>
      <c r="AR6859" s="14">
        <v>400</v>
      </c>
      <c r="AS6859" s="14">
        <v>400</v>
      </c>
      <c r="AT6859" s="14"/>
      <c r="AU6859" s="14"/>
      <c r="AV6859" s="14"/>
      <c r="AW6859" s="15">
        <f t="shared" si="1351"/>
        <v>800</v>
      </c>
      <c r="AX6859" s="16"/>
    </row>
    <row r="6860" spans="2:51" x14ac:dyDescent="0.2">
      <c r="B6860" s="7"/>
      <c r="C6860" s="8">
        <v>16928</v>
      </c>
      <c r="D6860" s="9" t="s">
        <v>620</v>
      </c>
      <c r="E6860" s="10" t="str">
        <f t="shared" si="1346"/>
        <v>Rancho La Cuchilla No. 32</v>
      </c>
      <c r="F6860" s="10" t="str">
        <f t="shared" si="1347"/>
        <v>Hernández</v>
      </c>
      <c r="G6860" s="8">
        <v>1</v>
      </c>
      <c r="H6860" s="11">
        <v>400</v>
      </c>
      <c r="I6860" s="12">
        <v>43303</v>
      </c>
      <c r="J6860" s="35">
        <f t="shared" si="1348"/>
        <v>0</v>
      </c>
      <c r="K6860" s="36"/>
      <c r="L6860" s="36"/>
      <c r="M6860" s="36"/>
      <c r="N6860" s="36"/>
      <c r="O6860" s="36"/>
      <c r="P6860" s="36"/>
      <c r="Q6860" s="36"/>
      <c r="R6860" s="36"/>
      <c r="S6860" s="36"/>
      <c r="T6860" s="36"/>
      <c r="U6860" s="36"/>
      <c r="V6860" s="36"/>
      <c r="W6860" s="15">
        <f t="shared" si="1349"/>
        <v>0</v>
      </c>
      <c r="X6860" s="36"/>
      <c r="Y6860" s="36"/>
      <c r="Z6860" s="36"/>
      <c r="AA6860" s="36"/>
      <c r="AB6860" s="36"/>
      <c r="AC6860" s="36"/>
      <c r="AD6860" s="36"/>
      <c r="AE6860" s="36"/>
      <c r="AF6860" s="36"/>
      <c r="AG6860" s="36"/>
      <c r="AH6860" s="36"/>
      <c r="AI6860" s="36"/>
      <c r="AJ6860" s="15">
        <f t="shared" si="1350"/>
        <v>0</v>
      </c>
      <c r="AK6860" s="14"/>
      <c r="AL6860" s="14"/>
      <c r="AM6860" s="14"/>
      <c r="AN6860" s="14"/>
      <c r="AO6860" s="14"/>
      <c r="AP6860" s="14">
        <v>400</v>
      </c>
      <c r="AQ6860" s="14"/>
      <c r="AR6860" s="14"/>
      <c r="AS6860" s="14"/>
      <c r="AT6860" s="14"/>
      <c r="AU6860" s="14"/>
      <c r="AV6860" s="14"/>
      <c r="AW6860" s="15">
        <f t="shared" si="1351"/>
        <v>400</v>
      </c>
      <c r="AX6860" s="16"/>
    </row>
    <row r="6861" spans="2:51" x14ac:dyDescent="0.2">
      <c r="B6861" s="7"/>
      <c r="C6861" s="8">
        <v>16929</v>
      </c>
      <c r="D6861" s="9" t="s">
        <v>295</v>
      </c>
      <c r="E6861" s="10" t="str">
        <f t="shared" si="1346"/>
        <v>Rancho Landero No. 99</v>
      </c>
      <c r="F6861" s="10" t="str">
        <f t="shared" si="1347"/>
        <v>Rangel</v>
      </c>
      <c r="G6861" s="8">
        <v>1</v>
      </c>
      <c r="H6861" s="11">
        <v>300</v>
      </c>
      <c r="I6861" s="12">
        <v>43303</v>
      </c>
      <c r="J6861" s="35">
        <f t="shared" si="1348"/>
        <v>0</v>
      </c>
      <c r="K6861" s="36"/>
      <c r="L6861" s="36"/>
      <c r="M6861" s="36"/>
      <c r="N6861" s="36"/>
      <c r="O6861" s="36"/>
      <c r="P6861" s="36"/>
      <c r="Q6861" s="36"/>
      <c r="R6861" s="36"/>
      <c r="S6861" s="36"/>
      <c r="T6861" s="36"/>
      <c r="U6861" s="36"/>
      <c r="V6861" s="36"/>
      <c r="W6861" s="15">
        <f t="shared" si="1349"/>
        <v>0</v>
      </c>
      <c r="X6861" s="36"/>
      <c r="Y6861" s="36"/>
      <c r="Z6861" s="36"/>
      <c r="AA6861" s="36"/>
      <c r="AB6861" s="36"/>
      <c r="AC6861" s="36"/>
      <c r="AD6861" s="36"/>
      <c r="AE6861" s="36"/>
      <c r="AF6861" s="36"/>
      <c r="AG6861" s="36"/>
      <c r="AH6861" s="36"/>
      <c r="AI6861" s="36"/>
      <c r="AJ6861" s="15">
        <f t="shared" si="1350"/>
        <v>0</v>
      </c>
      <c r="AK6861" s="14"/>
      <c r="AL6861" s="14"/>
      <c r="AM6861" s="14"/>
      <c r="AN6861" s="14">
        <v>300</v>
      </c>
      <c r="AO6861" s="14"/>
      <c r="AP6861" s="14"/>
      <c r="AQ6861" s="14"/>
      <c r="AR6861" s="14"/>
      <c r="AS6861" s="14"/>
      <c r="AT6861" s="14"/>
      <c r="AU6861" s="14"/>
      <c r="AV6861" s="14"/>
      <c r="AW6861" s="15">
        <f t="shared" si="1351"/>
        <v>300</v>
      </c>
      <c r="AX6861" s="16"/>
    </row>
    <row r="6862" spans="2:51" x14ac:dyDescent="0.2">
      <c r="B6862" s="7"/>
      <c r="C6862" s="8">
        <v>16930</v>
      </c>
      <c r="D6862" s="9" t="s">
        <v>226</v>
      </c>
      <c r="E6862" s="10" t="str">
        <f t="shared" si="1346"/>
        <v>Rancho Landero No. 31</v>
      </c>
      <c r="F6862" s="10" t="str">
        <f t="shared" si="1347"/>
        <v>Díaz Hernández</v>
      </c>
      <c r="G6862" s="8">
        <v>1</v>
      </c>
      <c r="H6862" s="11">
        <v>200</v>
      </c>
      <c r="I6862" s="12">
        <v>43303</v>
      </c>
      <c r="J6862" s="35">
        <f t="shared" si="1348"/>
        <v>0</v>
      </c>
      <c r="K6862" s="36"/>
      <c r="L6862" s="36"/>
      <c r="M6862" s="36"/>
      <c r="N6862" s="36"/>
      <c r="O6862" s="36"/>
      <c r="P6862" s="36"/>
      <c r="Q6862" s="36"/>
      <c r="R6862" s="36"/>
      <c r="S6862" s="36"/>
      <c r="T6862" s="36"/>
      <c r="U6862" s="36"/>
      <c r="V6862" s="36"/>
      <c r="W6862" s="15">
        <f t="shared" si="1349"/>
        <v>0</v>
      </c>
      <c r="X6862" s="36"/>
      <c r="Y6862" s="36"/>
      <c r="Z6862" s="36"/>
      <c r="AA6862" s="36"/>
      <c r="AB6862" s="36"/>
      <c r="AC6862" s="36"/>
      <c r="AD6862" s="36"/>
      <c r="AE6862" s="36"/>
      <c r="AF6862" s="36"/>
      <c r="AG6862" s="36"/>
      <c r="AH6862" s="36"/>
      <c r="AI6862" s="36"/>
      <c r="AJ6862" s="15">
        <f t="shared" si="1350"/>
        <v>0</v>
      </c>
      <c r="AK6862" s="14"/>
      <c r="AL6862" s="14"/>
      <c r="AM6862" s="14"/>
      <c r="AN6862" s="14"/>
      <c r="AO6862" s="14"/>
      <c r="AP6862" s="14"/>
      <c r="AQ6862" s="14">
        <v>200</v>
      </c>
      <c r="AR6862" s="14"/>
      <c r="AS6862" s="14"/>
      <c r="AT6862" s="14"/>
      <c r="AU6862" s="14"/>
      <c r="AV6862" s="14"/>
      <c r="AW6862" s="15">
        <f t="shared" si="1351"/>
        <v>200</v>
      </c>
      <c r="AX6862" s="16"/>
    </row>
    <row r="6863" spans="2:51" x14ac:dyDescent="0.2">
      <c r="B6863" s="7"/>
      <c r="C6863" s="8">
        <v>16931</v>
      </c>
      <c r="D6863" s="9" t="s">
        <v>259</v>
      </c>
      <c r="E6863" s="10" t="str">
        <f t="shared" si="1346"/>
        <v>Rancho Estanzuela No. 55</v>
      </c>
      <c r="F6863" s="10" t="str">
        <f t="shared" si="1347"/>
        <v>Rodríguez Acevedo</v>
      </c>
      <c r="G6863" s="8">
        <v>1</v>
      </c>
      <c r="H6863" s="11">
        <v>400</v>
      </c>
      <c r="I6863" s="12">
        <v>43303</v>
      </c>
      <c r="J6863" s="35">
        <f t="shared" si="1348"/>
        <v>0</v>
      </c>
      <c r="K6863" s="36"/>
      <c r="L6863" s="36"/>
      <c r="M6863" s="36"/>
      <c r="N6863" s="36"/>
      <c r="O6863" s="36"/>
      <c r="P6863" s="36"/>
      <c r="Q6863" s="36"/>
      <c r="R6863" s="36"/>
      <c r="S6863" s="36"/>
      <c r="T6863" s="36"/>
      <c r="U6863" s="36"/>
      <c r="V6863" s="36"/>
      <c r="W6863" s="15">
        <f t="shared" si="1349"/>
        <v>0</v>
      </c>
      <c r="X6863" s="36"/>
      <c r="Y6863" s="36"/>
      <c r="Z6863" s="36"/>
      <c r="AA6863" s="36"/>
      <c r="AB6863" s="36"/>
      <c r="AC6863" s="36"/>
      <c r="AD6863" s="36"/>
      <c r="AE6863" s="36"/>
      <c r="AF6863" s="36"/>
      <c r="AG6863" s="36"/>
      <c r="AH6863" s="36"/>
      <c r="AI6863" s="36"/>
      <c r="AJ6863" s="15">
        <f t="shared" si="1350"/>
        <v>0</v>
      </c>
      <c r="AK6863" s="14"/>
      <c r="AL6863" s="14"/>
      <c r="AM6863" s="14"/>
      <c r="AN6863" s="14"/>
      <c r="AO6863" s="14"/>
      <c r="AP6863" s="14"/>
      <c r="AQ6863" s="14">
        <v>400</v>
      </c>
      <c r="AR6863" s="14"/>
      <c r="AS6863" s="14"/>
      <c r="AT6863" s="14"/>
      <c r="AU6863" s="14"/>
      <c r="AV6863" s="14"/>
      <c r="AW6863" s="15">
        <f t="shared" si="1351"/>
        <v>400</v>
      </c>
      <c r="AX6863" s="16"/>
    </row>
    <row r="6864" spans="2:51" x14ac:dyDescent="0.2">
      <c r="B6864" s="7"/>
      <c r="C6864" s="8">
        <v>16932</v>
      </c>
      <c r="D6864" s="9" t="s">
        <v>404</v>
      </c>
      <c r="E6864" s="10" t="str">
        <f t="shared" si="1346"/>
        <v>Rancho La Cuchilla No. 89</v>
      </c>
      <c r="F6864" s="10" t="str">
        <f t="shared" si="1347"/>
        <v>Gálvez</v>
      </c>
      <c r="G6864" s="8">
        <v>1</v>
      </c>
      <c r="H6864" s="11">
        <v>400</v>
      </c>
      <c r="I6864" s="12">
        <v>43303</v>
      </c>
      <c r="J6864" s="35">
        <f t="shared" si="1348"/>
        <v>0</v>
      </c>
      <c r="K6864" s="36"/>
      <c r="L6864" s="36"/>
      <c r="M6864" s="36"/>
      <c r="N6864" s="36"/>
      <c r="O6864" s="36"/>
      <c r="P6864" s="36"/>
      <c r="Q6864" s="36"/>
      <c r="R6864" s="36"/>
      <c r="S6864" s="36"/>
      <c r="T6864" s="36"/>
      <c r="U6864" s="36"/>
      <c r="V6864" s="36"/>
      <c r="W6864" s="15">
        <f t="shared" si="1349"/>
        <v>0</v>
      </c>
      <c r="X6864" s="36"/>
      <c r="Y6864" s="36"/>
      <c r="Z6864" s="36"/>
      <c r="AA6864" s="36"/>
      <c r="AB6864" s="36"/>
      <c r="AC6864" s="36"/>
      <c r="AD6864" s="36"/>
      <c r="AE6864" s="36"/>
      <c r="AF6864" s="36"/>
      <c r="AG6864" s="36"/>
      <c r="AH6864" s="36"/>
      <c r="AI6864" s="36"/>
      <c r="AJ6864" s="15">
        <f t="shared" si="1350"/>
        <v>0</v>
      </c>
      <c r="AK6864" s="14"/>
      <c r="AL6864" s="14"/>
      <c r="AM6864" s="14"/>
      <c r="AN6864" s="14"/>
      <c r="AO6864" s="14"/>
      <c r="AP6864" s="14"/>
      <c r="AQ6864" s="14">
        <v>400</v>
      </c>
      <c r="AR6864" s="14"/>
      <c r="AS6864" s="14"/>
      <c r="AT6864" s="14"/>
      <c r="AU6864" s="14"/>
      <c r="AV6864" s="14"/>
      <c r="AW6864" s="15">
        <f t="shared" si="1351"/>
        <v>400</v>
      </c>
      <c r="AX6864" s="16"/>
    </row>
    <row r="6865" spans="2:50" x14ac:dyDescent="0.2">
      <c r="B6865" s="7"/>
      <c r="C6865" s="8">
        <v>16933</v>
      </c>
      <c r="D6865" s="9" t="s">
        <v>123</v>
      </c>
      <c r="E6865" s="10" t="str">
        <f t="shared" si="1346"/>
        <v>Rancho Recoveco No. 175, B</v>
      </c>
      <c r="F6865" s="10" t="str">
        <f t="shared" si="1347"/>
        <v>García Calderón</v>
      </c>
      <c r="G6865" s="8">
        <v>1</v>
      </c>
      <c r="H6865" s="11">
        <v>250</v>
      </c>
      <c r="I6865" s="12">
        <v>43303</v>
      </c>
      <c r="J6865" s="35">
        <f t="shared" si="1348"/>
        <v>0</v>
      </c>
      <c r="K6865" s="36"/>
      <c r="L6865" s="36"/>
      <c r="M6865" s="36"/>
      <c r="N6865" s="36"/>
      <c r="O6865" s="36"/>
      <c r="P6865" s="36"/>
      <c r="Q6865" s="36"/>
      <c r="R6865" s="36"/>
      <c r="S6865" s="36"/>
      <c r="T6865" s="36"/>
      <c r="U6865" s="36"/>
      <c r="V6865" s="36"/>
      <c r="W6865" s="15">
        <f t="shared" si="1349"/>
        <v>0</v>
      </c>
      <c r="X6865" s="36"/>
      <c r="Y6865" s="36"/>
      <c r="Z6865" s="36"/>
      <c r="AA6865" s="36"/>
      <c r="AB6865" s="36"/>
      <c r="AC6865" s="36"/>
      <c r="AD6865" s="36"/>
      <c r="AE6865" s="36"/>
      <c r="AF6865" s="36"/>
      <c r="AG6865" s="36"/>
      <c r="AH6865" s="36"/>
      <c r="AI6865" s="36"/>
      <c r="AJ6865" s="15">
        <f t="shared" si="1350"/>
        <v>0</v>
      </c>
      <c r="AK6865" s="14"/>
      <c r="AL6865" s="14"/>
      <c r="AM6865" s="14"/>
      <c r="AN6865" s="14"/>
      <c r="AO6865" s="14"/>
      <c r="AP6865" s="14">
        <v>250</v>
      </c>
      <c r="AQ6865" s="14"/>
      <c r="AR6865" s="14"/>
      <c r="AS6865" s="14"/>
      <c r="AT6865" s="14"/>
      <c r="AU6865" s="14"/>
      <c r="AV6865" s="14"/>
      <c r="AW6865" s="15">
        <f t="shared" si="1351"/>
        <v>250</v>
      </c>
      <c r="AX6865" s="16"/>
    </row>
    <row r="6866" spans="2:50" x14ac:dyDescent="0.2">
      <c r="B6866" s="7"/>
      <c r="C6866" s="8">
        <v>16934</v>
      </c>
      <c r="D6866" s="9" t="s">
        <v>614</v>
      </c>
      <c r="E6866" s="10" t="str">
        <f t="shared" si="1346"/>
        <v>Rancho La Cuchilla No. 82</v>
      </c>
      <c r="F6866" s="10" t="str">
        <f t="shared" si="1347"/>
        <v>Cruz</v>
      </c>
      <c r="G6866" s="8">
        <v>5</v>
      </c>
      <c r="H6866" s="11">
        <v>50</v>
      </c>
      <c r="I6866" s="12">
        <v>43303</v>
      </c>
      <c r="J6866" s="35">
        <f t="shared" si="1348"/>
        <v>0</v>
      </c>
      <c r="K6866" s="36"/>
      <c r="L6866" s="36"/>
      <c r="M6866" s="36"/>
      <c r="N6866" s="36"/>
      <c r="O6866" s="36"/>
      <c r="P6866" s="36"/>
      <c r="Q6866" s="36"/>
      <c r="R6866" s="36"/>
      <c r="S6866" s="36"/>
      <c r="T6866" s="36"/>
      <c r="U6866" s="36"/>
      <c r="V6866" s="36"/>
      <c r="W6866" s="15">
        <f t="shared" si="1349"/>
        <v>0</v>
      </c>
      <c r="X6866" s="36"/>
      <c r="Y6866" s="36"/>
      <c r="Z6866" s="36"/>
      <c r="AA6866" s="36"/>
      <c r="AB6866" s="36"/>
      <c r="AC6866" s="36"/>
      <c r="AD6866" s="36"/>
      <c r="AE6866" s="36"/>
      <c r="AF6866" s="36"/>
      <c r="AG6866" s="36"/>
      <c r="AH6866" s="36"/>
      <c r="AI6866" s="36"/>
      <c r="AJ6866" s="15">
        <f t="shared" si="1350"/>
        <v>0</v>
      </c>
      <c r="AK6866" s="14"/>
      <c r="AL6866" s="14"/>
      <c r="AM6866" s="14"/>
      <c r="AN6866" s="14"/>
      <c r="AO6866" s="14"/>
      <c r="AP6866" s="14"/>
      <c r="AQ6866" s="14"/>
      <c r="AR6866" s="14"/>
      <c r="AS6866" s="14"/>
      <c r="AT6866" s="14"/>
      <c r="AU6866" s="14"/>
      <c r="AV6866" s="14"/>
      <c r="AW6866" s="15">
        <f t="shared" si="1351"/>
        <v>0</v>
      </c>
      <c r="AX6866" s="16"/>
    </row>
    <row r="6867" spans="2:50" x14ac:dyDescent="0.2">
      <c r="B6867" s="7"/>
      <c r="C6867" s="8">
        <v>16935</v>
      </c>
      <c r="D6867" s="9" t="s">
        <v>126</v>
      </c>
      <c r="E6867" s="10" t="str">
        <f t="shared" si="1346"/>
        <v>Rancho Estanzuela No. 65</v>
      </c>
      <c r="F6867" s="10" t="str">
        <f t="shared" si="1347"/>
        <v>López Becerril</v>
      </c>
      <c r="G6867" s="8">
        <v>1</v>
      </c>
      <c r="H6867" s="11">
        <v>400</v>
      </c>
      <c r="I6867" s="12">
        <v>43303</v>
      </c>
      <c r="J6867" s="35">
        <f t="shared" si="1348"/>
        <v>0</v>
      </c>
      <c r="K6867" s="36"/>
      <c r="L6867" s="36"/>
      <c r="M6867" s="36"/>
      <c r="N6867" s="36"/>
      <c r="O6867" s="36"/>
      <c r="P6867" s="36"/>
      <c r="Q6867" s="36"/>
      <c r="R6867" s="36"/>
      <c r="S6867" s="36"/>
      <c r="T6867" s="36"/>
      <c r="U6867" s="36"/>
      <c r="V6867" s="36"/>
      <c r="W6867" s="15">
        <f t="shared" si="1349"/>
        <v>0</v>
      </c>
      <c r="X6867" s="36"/>
      <c r="Y6867" s="36"/>
      <c r="Z6867" s="36"/>
      <c r="AA6867" s="36"/>
      <c r="AB6867" s="36"/>
      <c r="AC6867" s="36"/>
      <c r="AD6867" s="36"/>
      <c r="AE6867" s="36"/>
      <c r="AF6867" s="36"/>
      <c r="AG6867" s="36"/>
      <c r="AH6867" s="36"/>
      <c r="AI6867" s="36"/>
      <c r="AJ6867" s="15">
        <f t="shared" si="1350"/>
        <v>0</v>
      </c>
      <c r="AK6867" s="14"/>
      <c r="AL6867" s="14"/>
      <c r="AM6867" s="14"/>
      <c r="AN6867" s="14"/>
      <c r="AO6867" s="14"/>
      <c r="AP6867" s="14"/>
      <c r="AQ6867" s="14">
        <v>400</v>
      </c>
      <c r="AR6867" s="14"/>
      <c r="AS6867" s="14"/>
      <c r="AT6867" s="14"/>
      <c r="AU6867" s="14"/>
      <c r="AV6867" s="14"/>
      <c r="AW6867" s="15">
        <f t="shared" si="1351"/>
        <v>400</v>
      </c>
      <c r="AX6867" s="16"/>
    </row>
    <row r="6868" spans="2:50" x14ac:dyDescent="0.2">
      <c r="B6868" s="7"/>
      <c r="C6868" s="8">
        <v>16936</v>
      </c>
      <c r="D6868" s="9" t="s">
        <v>622</v>
      </c>
      <c r="E6868" s="10" t="str">
        <f t="shared" si="1346"/>
        <v>Rancho Recoveco No. 175</v>
      </c>
      <c r="F6868" s="10" t="str">
        <f t="shared" si="1347"/>
        <v>Ramírez</v>
      </c>
      <c r="G6868" s="8">
        <v>1</v>
      </c>
      <c r="H6868" s="11">
        <v>1600</v>
      </c>
      <c r="I6868" s="12">
        <v>43303</v>
      </c>
      <c r="J6868" s="35">
        <f t="shared" si="1348"/>
        <v>0</v>
      </c>
      <c r="K6868" s="36"/>
      <c r="L6868" s="36"/>
      <c r="M6868" s="36"/>
      <c r="N6868" s="36"/>
      <c r="O6868" s="36"/>
      <c r="P6868" s="36"/>
      <c r="Q6868" s="36"/>
      <c r="R6868" s="36"/>
      <c r="S6868" s="36"/>
      <c r="T6868" s="36"/>
      <c r="U6868" s="36"/>
      <c r="V6868" s="36"/>
      <c r="W6868" s="15">
        <f t="shared" si="1349"/>
        <v>0</v>
      </c>
      <c r="X6868" s="36"/>
      <c r="Y6868" s="36"/>
      <c r="Z6868" s="36"/>
      <c r="AA6868" s="36"/>
      <c r="AB6868" s="36"/>
      <c r="AC6868" s="36"/>
      <c r="AD6868" s="36"/>
      <c r="AE6868" s="36"/>
      <c r="AF6868" s="36"/>
      <c r="AG6868" s="36"/>
      <c r="AH6868" s="36"/>
      <c r="AI6868" s="36"/>
      <c r="AJ6868" s="15">
        <f t="shared" si="1350"/>
        <v>0</v>
      </c>
      <c r="AK6868" s="14"/>
      <c r="AL6868" s="14">
        <v>400</v>
      </c>
      <c r="AM6868" s="14">
        <v>400</v>
      </c>
      <c r="AN6868" s="14">
        <v>400</v>
      </c>
      <c r="AO6868" s="14">
        <v>400</v>
      </c>
      <c r="AP6868" s="14"/>
      <c r="AQ6868" s="14"/>
      <c r="AR6868" s="14"/>
      <c r="AS6868" s="14"/>
      <c r="AT6868" s="14"/>
      <c r="AU6868" s="14"/>
      <c r="AV6868" s="14"/>
      <c r="AW6868" s="15">
        <f t="shared" si="1351"/>
        <v>1600</v>
      </c>
      <c r="AX6868" s="16"/>
    </row>
    <row r="6869" spans="2:50" x14ac:dyDescent="0.2">
      <c r="B6869" s="7"/>
      <c r="C6869" s="8">
        <v>16937</v>
      </c>
      <c r="D6869" s="9" t="s">
        <v>583</v>
      </c>
      <c r="E6869" s="10" t="str">
        <f t="shared" si="1346"/>
        <v>Rancho La Cuchilla No. 111</v>
      </c>
      <c r="F6869" s="10" t="str">
        <f t="shared" si="1347"/>
        <v>García Santos Ofelia</v>
      </c>
      <c r="G6869" s="8">
        <v>1</v>
      </c>
      <c r="H6869" s="11">
        <v>200</v>
      </c>
      <c r="I6869" s="12">
        <v>43303</v>
      </c>
      <c r="J6869" s="35">
        <f t="shared" si="1348"/>
        <v>0</v>
      </c>
      <c r="K6869" s="36"/>
      <c r="L6869" s="36"/>
      <c r="M6869" s="36"/>
      <c r="N6869" s="36"/>
      <c r="O6869" s="36"/>
      <c r="P6869" s="36"/>
      <c r="Q6869" s="36"/>
      <c r="R6869" s="36"/>
      <c r="S6869" s="36"/>
      <c r="T6869" s="36"/>
      <c r="U6869" s="36"/>
      <c r="V6869" s="36"/>
      <c r="W6869" s="15">
        <f t="shared" si="1349"/>
        <v>0</v>
      </c>
      <c r="X6869" s="36"/>
      <c r="Y6869" s="36"/>
      <c r="Z6869" s="36"/>
      <c r="AA6869" s="36"/>
      <c r="AB6869" s="36"/>
      <c r="AC6869" s="36"/>
      <c r="AD6869" s="36"/>
      <c r="AE6869" s="36"/>
      <c r="AF6869" s="36"/>
      <c r="AG6869" s="36"/>
      <c r="AH6869" s="36"/>
      <c r="AI6869" s="36"/>
      <c r="AJ6869" s="15">
        <f t="shared" si="1350"/>
        <v>0</v>
      </c>
      <c r="AK6869" s="14"/>
      <c r="AL6869" s="14"/>
      <c r="AM6869" s="14"/>
      <c r="AN6869" s="14"/>
      <c r="AO6869" s="14"/>
      <c r="AP6869" s="14"/>
      <c r="AQ6869" s="14">
        <v>200</v>
      </c>
      <c r="AR6869" s="14"/>
      <c r="AS6869" s="14"/>
      <c r="AT6869" s="14"/>
      <c r="AU6869" s="14"/>
      <c r="AV6869" s="14"/>
      <c r="AW6869" s="15">
        <f t="shared" si="1351"/>
        <v>200</v>
      </c>
      <c r="AX6869" s="16"/>
    </row>
    <row r="6870" spans="2:50" x14ac:dyDescent="0.2">
      <c r="B6870" s="7"/>
      <c r="C6870" s="8">
        <v>16938</v>
      </c>
      <c r="D6870" s="9" t="s">
        <v>957</v>
      </c>
      <c r="E6870" s="10" t="str">
        <f t="shared" si="1346"/>
        <v>Rancho La Cuchilla No. 148</v>
      </c>
      <c r="F6870" s="10" t="str">
        <f t="shared" si="1347"/>
        <v>Vázquez Vázquez</v>
      </c>
      <c r="G6870" s="8">
        <v>1</v>
      </c>
      <c r="H6870" s="11">
        <v>1200</v>
      </c>
      <c r="I6870" s="12">
        <v>43303</v>
      </c>
      <c r="J6870" s="35">
        <f t="shared" si="1348"/>
        <v>0</v>
      </c>
      <c r="K6870" s="36"/>
      <c r="L6870" s="36"/>
      <c r="M6870" s="36"/>
      <c r="N6870" s="36"/>
      <c r="O6870" s="36"/>
      <c r="P6870" s="36"/>
      <c r="Q6870" s="36"/>
      <c r="R6870" s="36"/>
      <c r="S6870" s="36"/>
      <c r="T6870" s="36"/>
      <c r="U6870" s="36"/>
      <c r="V6870" s="36"/>
      <c r="W6870" s="15">
        <f t="shared" si="1349"/>
        <v>0</v>
      </c>
      <c r="X6870" s="36"/>
      <c r="Y6870" s="36"/>
      <c r="Z6870" s="36"/>
      <c r="AA6870" s="36"/>
      <c r="AB6870" s="36"/>
      <c r="AC6870" s="36"/>
      <c r="AD6870" s="36"/>
      <c r="AE6870" s="36"/>
      <c r="AF6870" s="36"/>
      <c r="AG6870" s="36"/>
      <c r="AH6870" s="36">
        <v>400</v>
      </c>
      <c r="AI6870" s="36">
        <v>400</v>
      </c>
      <c r="AJ6870" s="15">
        <f t="shared" si="1350"/>
        <v>800</v>
      </c>
      <c r="AK6870" s="14"/>
      <c r="AL6870" s="14"/>
      <c r="AM6870" s="14"/>
      <c r="AN6870" s="14"/>
      <c r="AO6870" s="14"/>
      <c r="AP6870" s="14"/>
      <c r="AQ6870" s="14">
        <v>400</v>
      </c>
      <c r="AR6870" s="14"/>
      <c r="AS6870" s="14"/>
      <c r="AT6870" s="14"/>
      <c r="AU6870" s="14"/>
      <c r="AV6870" s="14"/>
      <c r="AW6870" s="15">
        <f t="shared" si="1351"/>
        <v>400</v>
      </c>
      <c r="AX6870" s="16"/>
    </row>
    <row r="6871" spans="2:50" x14ac:dyDescent="0.2">
      <c r="B6871" s="7"/>
      <c r="C6871" s="8">
        <v>16939</v>
      </c>
      <c r="D6871" s="9" t="s">
        <v>858</v>
      </c>
      <c r="E6871" s="10" t="str">
        <f t="shared" si="1346"/>
        <v>Rancho Landero No. 45</v>
      </c>
      <c r="F6871" s="10" t="str">
        <f t="shared" si="1347"/>
        <v>Solano</v>
      </c>
      <c r="G6871" s="8">
        <v>1</v>
      </c>
      <c r="H6871" s="11">
        <v>400</v>
      </c>
      <c r="I6871" s="12">
        <v>43303</v>
      </c>
      <c r="J6871" s="35">
        <f t="shared" si="1348"/>
        <v>0</v>
      </c>
      <c r="K6871" s="36"/>
      <c r="L6871" s="36"/>
      <c r="M6871" s="36"/>
      <c r="N6871" s="36"/>
      <c r="O6871" s="36"/>
      <c r="P6871" s="36"/>
      <c r="Q6871" s="36"/>
      <c r="R6871" s="36"/>
      <c r="S6871" s="36"/>
      <c r="T6871" s="36"/>
      <c r="U6871" s="36"/>
      <c r="V6871" s="36"/>
      <c r="W6871" s="15">
        <f t="shared" si="1349"/>
        <v>0</v>
      </c>
      <c r="X6871" s="36"/>
      <c r="Y6871" s="36"/>
      <c r="Z6871" s="36"/>
      <c r="AA6871" s="36"/>
      <c r="AB6871" s="36"/>
      <c r="AC6871" s="36"/>
      <c r="AD6871" s="36"/>
      <c r="AE6871" s="36"/>
      <c r="AF6871" s="36"/>
      <c r="AG6871" s="36"/>
      <c r="AH6871" s="36"/>
      <c r="AI6871" s="36"/>
      <c r="AJ6871" s="15">
        <f t="shared" si="1350"/>
        <v>0</v>
      </c>
      <c r="AK6871" s="14"/>
      <c r="AL6871" s="14"/>
      <c r="AM6871" s="14"/>
      <c r="AN6871" s="14"/>
      <c r="AO6871" s="14"/>
      <c r="AP6871" s="14"/>
      <c r="AQ6871" s="14"/>
      <c r="AR6871" s="14"/>
      <c r="AS6871" s="14">
        <v>400</v>
      </c>
      <c r="AT6871" s="14"/>
      <c r="AU6871" s="14"/>
      <c r="AV6871" s="14"/>
      <c r="AW6871" s="15">
        <f t="shared" si="1351"/>
        <v>400</v>
      </c>
      <c r="AX6871" s="16"/>
    </row>
    <row r="6872" spans="2:50" x14ac:dyDescent="0.2">
      <c r="B6872" s="7"/>
      <c r="C6872" s="8">
        <v>16940</v>
      </c>
      <c r="D6872" s="9" t="s">
        <v>277</v>
      </c>
      <c r="E6872" s="10" t="str">
        <f t="shared" si="1346"/>
        <v>Rancho Estanzuela No. 7, A</v>
      </c>
      <c r="F6872" s="10" t="str">
        <f t="shared" si="1347"/>
        <v>Herrera Izquierdo</v>
      </c>
      <c r="G6872" s="8">
        <v>1</v>
      </c>
      <c r="H6872" s="11">
        <v>400</v>
      </c>
      <c r="I6872" s="12">
        <v>43303</v>
      </c>
      <c r="J6872" s="35">
        <f t="shared" si="1348"/>
        <v>0</v>
      </c>
      <c r="K6872" s="36"/>
      <c r="L6872" s="36"/>
      <c r="M6872" s="36"/>
      <c r="N6872" s="36"/>
      <c r="O6872" s="36"/>
      <c r="P6872" s="36"/>
      <c r="Q6872" s="36"/>
      <c r="R6872" s="36"/>
      <c r="S6872" s="36"/>
      <c r="T6872" s="36"/>
      <c r="U6872" s="36"/>
      <c r="V6872" s="36"/>
      <c r="W6872" s="15">
        <f t="shared" si="1349"/>
        <v>0</v>
      </c>
      <c r="X6872" s="36"/>
      <c r="Y6872" s="36"/>
      <c r="Z6872" s="36"/>
      <c r="AA6872" s="36"/>
      <c r="AB6872" s="36"/>
      <c r="AC6872" s="36"/>
      <c r="AD6872" s="36"/>
      <c r="AE6872" s="36"/>
      <c r="AF6872" s="36"/>
      <c r="AG6872" s="36"/>
      <c r="AH6872" s="36"/>
      <c r="AI6872" s="36"/>
      <c r="AJ6872" s="15">
        <f t="shared" si="1350"/>
        <v>0</v>
      </c>
      <c r="AK6872" s="14"/>
      <c r="AL6872" s="14"/>
      <c r="AM6872" s="14"/>
      <c r="AN6872" s="14"/>
      <c r="AO6872" s="14"/>
      <c r="AP6872" s="14"/>
      <c r="AQ6872" s="14">
        <v>200</v>
      </c>
      <c r="AR6872" s="14">
        <v>200</v>
      </c>
      <c r="AS6872" s="14"/>
      <c r="AT6872" s="14"/>
      <c r="AU6872" s="14"/>
      <c r="AV6872" s="14"/>
      <c r="AW6872" s="15">
        <f t="shared" si="1351"/>
        <v>400</v>
      </c>
      <c r="AX6872" s="16"/>
    </row>
    <row r="6873" spans="2:50" x14ac:dyDescent="0.2">
      <c r="B6873" s="7"/>
      <c r="C6873" s="8">
        <v>16941</v>
      </c>
      <c r="D6873" s="9" t="s">
        <v>470</v>
      </c>
      <c r="E6873" s="10" t="str">
        <f t="shared" si="1346"/>
        <v>Rancho Zinamba No. 42</v>
      </c>
      <c r="F6873" s="10" t="str">
        <f t="shared" si="1347"/>
        <v>López Aldave</v>
      </c>
      <c r="G6873" s="8">
        <v>1</v>
      </c>
      <c r="H6873" s="11">
        <v>700</v>
      </c>
      <c r="I6873" s="12">
        <v>43303</v>
      </c>
      <c r="J6873" s="35">
        <f t="shared" si="1348"/>
        <v>0</v>
      </c>
      <c r="K6873" s="36"/>
      <c r="L6873" s="36"/>
      <c r="M6873" s="36"/>
      <c r="N6873" s="36"/>
      <c r="O6873" s="36"/>
      <c r="P6873" s="36"/>
      <c r="Q6873" s="36"/>
      <c r="R6873" s="36"/>
      <c r="S6873" s="36"/>
      <c r="T6873" s="36"/>
      <c r="U6873" s="36"/>
      <c r="V6873" s="36"/>
      <c r="W6873" s="15">
        <f t="shared" si="1349"/>
        <v>0</v>
      </c>
      <c r="X6873" s="36"/>
      <c r="Y6873" s="36"/>
      <c r="Z6873" s="36"/>
      <c r="AA6873" s="36"/>
      <c r="AB6873" s="36"/>
      <c r="AC6873" s="36"/>
      <c r="AD6873" s="36"/>
      <c r="AE6873" s="36"/>
      <c r="AF6873" s="36"/>
      <c r="AG6873" s="36"/>
      <c r="AH6873" s="36"/>
      <c r="AI6873" s="36"/>
      <c r="AJ6873" s="15">
        <f t="shared" si="1350"/>
        <v>0</v>
      </c>
      <c r="AK6873" s="14"/>
      <c r="AL6873" s="14"/>
      <c r="AM6873" s="14"/>
      <c r="AN6873" s="14"/>
      <c r="AO6873" s="14"/>
      <c r="AP6873" s="14"/>
      <c r="AQ6873" s="14"/>
      <c r="AR6873" s="14">
        <v>350</v>
      </c>
      <c r="AS6873" s="14">
        <v>350</v>
      </c>
      <c r="AT6873" s="14"/>
      <c r="AU6873" s="14"/>
      <c r="AV6873" s="14"/>
      <c r="AW6873" s="15">
        <f t="shared" si="1351"/>
        <v>700</v>
      </c>
      <c r="AX6873" s="16"/>
    </row>
    <row r="6874" spans="2:50" x14ac:dyDescent="0.2">
      <c r="B6874" s="7"/>
      <c r="C6874" s="8">
        <v>16942</v>
      </c>
      <c r="D6874" s="9" t="s">
        <v>458</v>
      </c>
      <c r="E6874" s="10" t="str">
        <f t="shared" si="1346"/>
        <v>Rancho Estanzuela No. 143, B</v>
      </c>
      <c r="F6874" s="10" t="str">
        <f t="shared" si="1347"/>
        <v>López</v>
      </c>
      <c r="G6874" s="8">
        <v>1</v>
      </c>
      <c r="H6874" s="11">
        <v>400</v>
      </c>
      <c r="I6874" s="12">
        <v>43303</v>
      </c>
      <c r="J6874" s="35">
        <f t="shared" si="1348"/>
        <v>0</v>
      </c>
      <c r="K6874" s="36"/>
      <c r="L6874" s="36"/>
      <c r="M6874" s="36"/>
      <c r="N6874" s="36"/>
      <c r="O6874" s="36"/>
      <c r="P6874" s="36"/>
      <c r="Q6874" s="36"/>
      <c r="R6874" s="36"/>
      <c r="S6874" s="36"/>
      <c r="T6874" s="36"/>
      <c r="U6874" s="36"/>
      <c r="V6874" s="36"/>
      <c r="W6874" s="15">
        <f t="shared" si="1349"/>
        <v>0</v>
      </c>
      <c r="X6874" s="36"/>
      <c r="Y6874" s="36"/>
      <c r="Z6874" s="36"/>
      <c r="AA6874" s="36"/>
      <c r="AB6874" s="36"/>
      <c r="AC6874" s="36"/>
      <c r="AD6874" s="36"/>
      <c r="AE6874" s="36"/>
      <c r="AF6874" s="36"/>
      <c r="AG6874" s="36"/>
      <c r="AH6874" s="36"/>
      <c r="AI6874" s="36"/>
      <c r="AJ6874" s="15">
        <f t="shared" si="1350"/>
        <v>0</v>
      </c>
      <c r="AK6874" s="14"/>
      <c r="AL6874" s="14"/>
      <c r="AM6874" s="14"/>
      <c r="AN6874" s="14"/>
      <c r="AO6874" s="14"/>
      <c r="AP6874" s="14">
        <v>400</v>
      </c>
      <c r="AQ6874" s="14"/>
      <c r="AR6874" s="14"/>
      <c r="AS6874" s="14"/>
      <c r="AT6874" s="14"/>
      <c r="AU6874" s="14"/>
      <c r="AV6874" s="14"/>
      <c r="AW6874" s="15">
        <f t="shared" si="1351"/>
        <v>400</v>
      </c>
      <c r="AX6874" s="316">
        <f>SUM(H6851:H6874)</f>
        <v>12550</v>
      </c>
    </row>
    <row r="6875" spans="2:50" x14ac:dyDescent="0.2">
      <c r="B6875" s="7"/>
      <c r="C6875" s="8">
        <v>16943</v>
      </c>
      <c r="D6875" s="9" t="s">
        <v>256</v>
      </c>
      <c r="E6875" s="10" t="str">
        <f t="shared" si="1346"/>
        <v>Rancho Recoveco No. 179</v>
      </c>
      <c r="F6875" s="10" t="str">
        <f t="shared" si="1347"/>
        <v>Flores Delgado</v>
      </c>
      <c r="G6875" s="8">
        <v>1</v>
      </c>
      <c r="H6875" s="315">
        <v>300</v>
      </c>
      <c r="I6875" s="12">
        <v>43305</v>
      </c>
      <c r="J6875" s="35">
        <f t="shared" si="1348"/>
        <v>0</v>
      </c>
      <c r="K6875" s="36"/>
      <c r="L6875" s="36"/>
      <c r="M6875" s="36"/>
      <c r="N6875" s="36"/>
      <c r="O6875" s="36"/>
      <c r="P6875" s="36"/>
      <c r="Q6875" s="36"/>
      <c r="R6875" s="36"/>
      <c r="S6875" s="36"/>
      <c r="T6875" s="36"/>
      <c r="U6875" s="36"/>
      <c r="V6875" s="36"/>
      <c r="W6875" s="15">
        <f t="shared" si="1349"/>
        <v>0</v>
      </c>
      <c r="X6875" s="36"/>
      <c r="Y6875" s="36"/>
      <c r="Z6875" s="36"/>
      <c r="AA6875" s="36"/>
      <c r="AB6875" s="36"/>
      <c r="AC6875" s="36"/>
      <c r="AD6875" s="36"/>
      <c r="AE6875" s="36"/>
      <c r="AF6875" s="36"/>
      <c r="AG6875" s="36"/>
      <c r="AH6875" s="36"/>
      <c r="AI6875" s="36"/>
      <c r="AJ6875" s="15">
        <f t="shared" si="1350"/>
        <v>0</v>
      </c>
      <c r="AK6875" s="14"/>
      <c r="AL6875" s="14"/>
      <c r="AM6875" s="14"/>
      <c r="AN6875" s="14"/>
      <c r="AO6875" s="14"/>
      <c r="AP6875" s="14"/>
      <c r="AQ6875" s="14">
        <v>300</v>
      </c>
      <c r="AR6875" s="14"/>
      <c r="AS6875" s="14"/>
      <c r="AT6875" s="14"/>
      <c r="AU6875" s="14"/>
      <c r="AV6875" s="14"/>
      <c r="AW6875" s="15">
        <f t="shared" si="1351"/>
        <v>300</v>
      </c>
      <c r="AX6875" s="16"/>
    </row>
    <row r="6876" spans="2:50" x14ac:dyDescent="0.2">
      <c r="B6876" s="7"/>
      <c r="C6876" s="8">
        <v>16944</v>
      </c>
      <c r="D6876" s="9" t="s">
        <v>980</v>
      </c>
      <c r="E6876" s="10" t="str">
        <f t="shared" ref="E6876:E6903" si="1352">IF(D6876=0,"",VLOOKUP(D6876,BASE,2,FALSE))</f>
        <v>Rancho Estanzuela No. 141</v>
      </c>
      <c r="F6876" s="10" t="str">
        <f t="shared" ref="F6876:F6903" si="1353">IF(D6876=0,"",VLOOKUP(D6876,BASE,3,FALSE))</f>
        <v>Castillo Toledano</v>
      </c>
      <c r="G6876" s="8">
        <v>1</v>
      </c>
      <c r="H6876" s="11">
        <v>400</v>
      </c>
      <c r="I6876" s="12">
        <v>43305</v>
      </c>
      <c r="J6876" s="35">
        <f t="shared" ref="J6876:J6903" si="1354">IF(G6876=1,SUM(W6876,AJ6876,AW6876,-H6876),0)</f>
        <v>0</v>
      </c>
      <c r="K6876" s="36"/>
      <c r="L6876" s="36"/>
      <c r="M6876" s="36"/>
      <c r="N6876" s="36"/>
      <c r="O6876" s="36"/>
      <c r="P6876" s="36"/>
      <c r="Q6876" s="36"/>
      <c r="R6876" s="36"/>
      <c r="S6876" s="36"/>
      <c r="T6876" s="36"/>
      <c r="U6876" s="36"/>
      <c r="V6876" s="36"/>
      <c r="W6876" s="15">
        <f t="shared" ref="W6876:W6903" si="1355">SUM(K6876:V6876)</f>
        <v>0</v>
      </c>
      <c r="X6876" s="36"/>
      <c r="Y6876" s="36"/>
      <c r="Z6876" s="36"/>
      <c r="AA6876" s="36"/>
      <c r="AB6876" s="36"/>
      <c r="AC6876" s="36"/>
      <c r="AD6876" s="36"/>
      <c r="AE6876" s="36"/>
      <c r="AF6876" s="36"/>
      <c r="AG6876" s="36"/>
      <c r="AH6876" s="36"/>
      <c r="AI6876" s="36"/>
      <c r="AJ6876" s="15">
        <f t="shared" ref="AJ6876:AJ6903" si="1356">SUM(X6876:AI6876)</f>
        <v>0</v>
      </c>
      <c r="AK6876" s="14"/>
      <c r="AL6876" s="14"/>
      <c r="AM6876" s="14"/>
      <c r="AN6876" s="14"/>
      <c r="AO6876" s="14"/>
      <c r="AP6876" s="14"/>
      <c r="AQ6876" s="14">
        <v>400</v>
      </c>
      <c r="AR6876" s="14"/>
      <c r="AS6876" s="14"/>
      <c r="AT6876" s="14"/>
      <c r="AU6876" s="14"/>
      <c r="AV6876" s="14"/>
      <c r="AW6876" s="15">
        <f t="shared" ref="AW6876:AW6903" si="1357">SUM(AK6876:AV6876)</f>
        <v>400</v>
      </c>
      <c r="AX6876" s="16"/>
    </row>
    <row r="6877" spans="2:50" x14ac:dyDescent="0.2">
      <c r="B6877" s="7"/>
      <c r="C6877" s="8">
        <v>16945</v>
      </c>
      <c r="D6877" s="9" t="s">
        <v>598</v>
      </c>
      <c r="E6877" s="10" t="str">
        <f t="shared" si="1352"/>
        <v>Rancho Estanzuela No. 21</v>
      </c>
      <c r="F6877" s="10" t="str">
        <f t="shared" si="1353"/>
        <v>Morales</v>
      </c>
      <c r="G6877" s="8">
        <v>1</v>
      </c>
      <c r="H6877" s="11">
        <v>800</v>
      </c>
      <c r="I6877" s="12">
        <v>43306</v>
      </c>
      <c r="J6877" s="35">
        <f t="shared" si="1354"/>
        <v>0</v>
      </c>
      <c r="K6877" s="36"/>
      <c r="L6877" s="36"/>
      <c r="M6877" s="36"/>
      <c r="N6877" s="36"/>
      <c r="O6877" s="36"/>
      <c r="P6877" s="36"/>
      <c r="Q6877" s="36"/>
      <c r="R6877" s="36"/>
      <c r="S6877" s="36"/>
      <c r="T6877" s="36"/>
      <c r="U6877" s="36"/>
      <c r="V6877" s="36"/>
      <c r="W6877" s="15">
        <f t="shared" si="1355"/>
        <v>0</v>
      </c>
      <c r="X6877" s="36"/>
      <c r="Y6877" s="36"/>
      <c r="Z6877" s="36"/>
      <c r="AA6877" s="36"/>
      <c r="AB6877" s="36"/>
      <c r="AC6877" s="36"/>
      <c r="AD6877" s="36"/>
      <c r="AE6877" s="36"/>
      <c r="AF6877" s="36"/>
      <c r="AG6877" s="36"/>
      <c r="AH6877" s="36"/>
      <c r="AI6877" s="36"/>
      <c r="AJ6877" s="15">
        <f t="shared" si="1356"/>
        <v>0</v>
      </c>
      <c r="AK6877" s="14"/>
      <c r="AL6877" s="14"/>
      <c r="AM6877" s="14"/>
      <c r="AN6877" s="14"/>
      <c r="AO6877" s="14"/>
      <c r="AP6877" s="14">
        <v>400</v>
      </c>
      <c r="AQ6877" s="14">
        <v>400</v>
      </c>
      <c r="AR6877" s="14"/>
      <c r="AS6877" s="14"/>
      <c r="AT6877" s="14"/>
      <c r="AU6877" s="14"/>
      <c r="AV6877" s="14"/>
      <c r="AW6877" s="15">
        <f t="shared" si="1357"/>
        <v>800</v>
      </c>
      <c r="AX6877" s="16"/>
    </row>
    <row r="6878" spans="2:50" x14ac:dyDescent="0.2">
      <c r="B6878" s="7"/>
      <c r="C6878" s="8">
        <v>16946</v>
      </c>
      <c r="D6878" s="9" t="s">
        <v>1335</v>
      </c>
      <c r="E6878" s="10" t="str">
        <f t="shared" si="1352"/>
        <v>Rancho Estanzuela No. 49</v>
      </c>
      <c r="F6878" s="10" t="str">
        <f t="shared" si="1353"/>
        <v>Sánchez Zamora</v>
      </c>
      <c r="G6878" s="8">
        <v>1</v>
      </c>
      <c r="H6878" s="11">
        <v>400</v>
      </c>
      <c r="I6878" s="12">
        <v>43306</v>
      </c>
      <c r="J6878" s="35">
        <f t="shared" si="1354"/>
        <v>0</v>
      </c>
      <c r="K6878" s="36"/>
      <c r="L6878" s="36"/>
      <c r="M6878" s="36"/>
      <c r="N6878" s="36"/>
      <c r="O6878" s="36"/>
      <c r="P6878" s="36"/>
      <c r="Q6878" s="36"/>
      <c r="R6878" s="36"/>
      <c r="S6878" s="36"/>
      <c r="T6878" s="36"/>
      <c r="U6878" s="36"/>
      <c r="V6878" s="36"/>
      <c r="W6878" s="15">
        <f t="shared" si="1355"/>
        <v>0</v>
      </c>
      <c r="X6878" s="36"/>
      <c r="Y6878" s="36"/>
      <c r="Z6878" s="36"/>
      <c r="AA6878" s="36"/>
      <c r="AB6878" s="36"/>
      <c r="AC6878" s="36"/>
      <c r="AD6878" s="36"/>
      <c r="AE6878" s="36"/>
      <c r="AF6878" s="36"/>
      <c r="AG6878" s="36"/>
      <c r="AH6878" s="36"/>
      <c r="AI6878" s="36"/>
      <c r="AJ6878" s="15">
        <f t="shared" si="1356"/>
        <v>0</v>
      </c>
      <c r="AK6878" s="14"/>
      <c r="AL6878" s="14"/>
      <c r="AM6878" s="14"/>
      <c r="AN6878" s="14"/>
      <c r="AO6878" s="14"/>
      <c r="AP6878" s="14">
        <v>200</v>
      </c>
      <c r="AQ6878" s="14">
        <v>200</v>
      </c>
      <c r="AR6878" s="14"/>
      <c r="AS6878" s="14"/>
      <c r="AT6878" s="14"/>
      <c r="AU6878" s="14"/>
      <c r="AV6878" s="14"/>
      <c r="AW6878" s="15">
        <f t="shared" si="1357"/>
        <v>400</v>
      </c>
      <c r="AX6878" s="16"/>
    </row>
    <row r="6879" spans="2:50" x14ac:dyDescent="0.2">
      <c r="B6879" s="7"/>
      <c r="C6879" s="8">
        <v>16946</v>
      </c>
      <c r="D6879" s="9" t="s">
        <v>1335</v>
      </c>
      <c r="E6879" s="10" t="str">
        <f t="shared" si="1352"/>
        <v>Rancho Estanzuela No. 49</v>
      </c>
      <c r="F6879" s="10" t="str">
        <f t="shared" si="1353"/>
        <v>Sánchez Zamora</v>
      </c>
      <c r="G6879" s="8">
        <v>3</v>
      </c>
      <c r="H6879" s="11">
        <v>200</v>
      </c>
      <c r="I6879" s="12">
        <v>43306</v>
      </c>
      <c r="J6879" s="35">
        <f t="shared" si="1354"/>
        <v>0</v>
      </c>
      <c r="K6879" s="36"/>
      <c r="L6879" s="36"/>
      <c r="M6879" s="36"/>
      <c r="N6879" s="36"/>
      <c r="O6879" s="36"/>
      <c r="P6879" s="36"/>
      <c r="Q6879" s="36"/>
      <c r="R6879" s="36"/>
      <c r="S6879" s="36"/>
      <c r="T6879" s="36"/>
      <c r="U6879" s="36"/>
      <c r="V6879" s="36"/>
      <c r="W6879" s="15">
        <f t="shared" si="1355"/>
        <v>0</v>
      </c>
      <c r="X6879" s="36"/>
      <c r="Y6879" s="36"/>
      <c r="Z6879" s="36"/>
      <c r="AA6879" s="36"/>
      <c r="AB6879" s="36"/>
      <c r="AC6879" s="36"/>
      <c r="AD6879" s="36"/>
      <c r="AE6879" s="36"/>
      <c r="AF6879" s="36"/>
      <c r="AG6879" s="36"/>
      <c r="AH6879" s="36"/>
      <c r="AI6879" s="36"/>
      <c r="AJ6879" s="15">
        <f t="shared" si="1356"/>
        <v>0</v>
      </c>
      <c r="AK6879" s="14"/>
      <c r="AL6879" s="14"/>
      <c r="AM6879" s="14"/>
      <c r="AN6879" s="14"/>
      <c r="AO6879" s="14"/>
      <c r="AP6879" s="14"/>
      <c r="AQ6879" s="14"/>
      <c r="AR6879" s="14"/>
      <c r="AS6879" s="14"/>
      <c r="AT6879" s="14"/>
      <c r="AU6879" s="14"/>
      <c r="AV6879" s="14"/>
      <c r="AW6879" s="15">
        <f t="shared" si="1357"/>
        <v>0</v>
      </c>
      <c r="AX6879" s="16"/>
    </row>
    <row r="6880" spans="2:50" x14ac:dyDescent="0.2">
      <c r="B6880" s="7"/>
      <c r="C6880" s="8">
        <v>16947</v>
      </c>
      <c r="D6880" s="9" t="s">
        <v>220</v>
      </c>
      <c r="E6880" s="10" t="str">
        <f t="shared" ref="E6880:E6886" si="1358">IF(D6880=0,"",VLOOKUP(D6880,BASE,2,FALSE))</f>
        <v>Rancho Recoveco No. 3</v>
      </c>
      <c r="F6880" s="10" t="str">
        <f t="shared" ref="F6880:F6886" si="1359">IF(D6880=0,"",VLOOKUP(D6880,BASE,3,FALSE))</f>
        <v>Garduño</v>
      </c>
      <c r="G6880" s="8">
        <v>1</v>
      </c>
      <c r="H6880" s="11">
        <v>300</v>
      </c>
      <c r="I6880" s="12">
        <v>43306</v>
      </c>
      <c r="J6880" s="35">
        <f t="shared" ref="J6880:J6886" si="1360">IF(G6880=1,SUM(W6880,AJ6880,AW6880,-H6880),0)</f>
        <v>0</v>
      </c>
      <c r="K6880" s="36"/>
      <c r="L6880" s="36"/>
      <c r="M6880" s="36"/>
      <c r="N6880" s="36"/>
      <c r="O6880" s="36"/>
      <c r="P6880" s="36"/>
      <c r="Q6880" s="36"/>
      <c r="R6880" s="36"/>
      <c r="S6880" s="36"/>
      <c r="T6880" s="36"/>
      <c r="U6880" s="36"/>
      <c r="V6880" s="36"/>
      <c r="W6880" s="15">
        <f t="shared" ref="W6880:W6886" si="1361">SUM(K6880:V6880)</f>
        <v>0</v>
      </c>
      <c r="X6880" s="36"/>
      <c r="Y6880" s="36"/>
      <c r="Z6880" s="36"/>
      <c r="AA6880" s="36"/>
      <c r="AB6880" s="36"/>
      <c r="AC6880" s="36"/>
      <c r="AD6880" s="36"/>
      <c r="AE6880" s="36"/>
      <c r="AF6880" s="36"/>
      <c r="AG6880" s="36"/>
      <c r="AH6880" s="36"/>
      <c r="AI6880" s="36"/>
      <c r="AJ6880" s="15">
        <f t="shared" ref="AJ6880:AJ6886" si="1362">SUM(X6880:AI6880)</f>
        <v>0</v>
      </c>
      <c r="AK6880" s="14"/>
      <c r="AL6880" s="14"/>
      <c r="AM6880" s="14"/>
      <c r="AN6880" s="14"/>
      <c r="AO6880" s="14"/>
      <c r="AP6880" s="14"/>
      <c r="AQ6880" s="14">
        <v>300</v>
      </c>
      <c r="AR6880" s="14"/>
      <c r="AS6880" s="14"/>
      <c r="AT6880" s="14"/>
      <c r="AU6880" s="14"/>
      <c r="AV6880" s="14"/>
      <c r="AW6880" s="15">
        <f t="shared" ref="AW6880:AW6886" si="1363">SUM(AK6880:AV6880)</f>
        <v>300</v>
      </c>
      <c r="AX6880" s="16"/>
    </row>
    <row r="6881" spans="2:50" x14ac:dyDescent="0.2">
      <c r="B6881" s="7"/>
      <c r="C6881" s="8">
        <v>16948</v>
      </c>
      <c r="D6881" s="9" t="s">
        <v>217</v>
      </c>
      <c r="E6881" s="10" t="str">
        <f t="shared" si="1358"/>
        <v>Rancho Recoveco No. 173</v>
      </c>
      <c r="F6881" s="10" t="str">
        <f t="shared" si="1359"/>
        <v>Velarde</v>
      </c>
      <c r="G6881" s="8">
        <v>1</v>
      </c>
      <c r="H6881" s="11">
        <v>600</v>
      </c>
      <c r="I6881" s="12">
        <v>43306</v>
      </c>
      <c r="J6881" s="35">
        <f t="shared" si="1360"/>
        <v>0</v>
      </c>
      <c r="K6881" s="36"/>
      <c r="L6881" s="36"/>
      <c r="M6881" s="36"/>
      <c r="N6881" s="36"/>
      <c r="O6881" s="36"/>
      <c r="P6881" s="36"/>
      <c r="Q6881" s="36"/>
      <c r="R6881" s="36"/>
      <c r="S6881" s="36"/>
      <c r="T6881" s="36"/>
      <c r="U6881" s="36"/>
      <c r="V6881" s="36"/>
      <c r="W6881" s="15">
        <f t="shared" si="1361"/>
        <v>0</v>
      </c>
      <c r="X6881" s="36"/>
      <c r="Y6881" s="36"/>
      <c r="Z6881" s="36"/>
      <c r="AA6881" s="36"/>
      <c r="AB6881" s="36"/>
      <c r="AC6881" s="36"/>
      <c r="AD6881" s="36"/>
      <c r="AE6881" s="36"/>
      <c r="AF6881" s="36"/>
      <c r="AG6881" s="36"/>
      <c r="AH6881" s="36"/>
      <c r="AI6881" s="36"/>
      <c r="AJ6881" s="15">
        <f t="shared" si="1362"/>
        <v>0</v>
      </c>
      <c r="AK6881" s="14"/>
      <c r="AL6881" s="14"/>
      <c r="AM6881" s="14"/>
      <c r="AN6881" s="14"/>
      <c r="AO6881" s="14"/>
      <c r="AP6881" s="14">
        <v>300</v>
      </c>
      <c r="AQ6881" s="14">
        <v>300</v>
      </c>
      <c r="AR6881" s="14"/>
      <c r="AS6881" s="14"/>
      <c r="AT6881" s="14"/>
      <c r="AU6881" s="14"/>
      <c r="AV6881" s="14"/>
      <c r="AW6881" s="15">
        <f t="shared" si="1363"/>
        <v>600</v>
      </c>
      <c r="AX6881" s="16"/>
    </row>
    <row r="6882" spans="2:50" x14ac:dyDescent="0.2">
      <c r="B6882" s="7"/>
      <c r="C6882" s="8">
        <v>16949</v>
      </c>
      <c r="D6882" s="9" t="s">
        <v>719</v>
      </c>
      <c r="E6882" s="10" t="str">
        <f t="shared" si="1358"/>
        <v>Rancho Estanzuela No. 119, 1</v>
      </c>
      <c r="F6882" s="10" t="str">
        <f t="shared" si="1359"/>
        <v>Crespo</v>
      </c>
      <c r="G6882" s="8">
        <v>1</v>
      </c>
      <c r="H6882" s="11">
        <v>200</v>
      </c>
      <c r="I6882" s="12">
        <v>43307</v>
      </c>
      <c r="J6882" s="35">
        <f t="shared" si="1360"/>
        <v>0</v>
      </c>
      <c r="K6882" s="36"/>
      <c r="L6882" s="36"/>
      <c r="M6882" s="36"/>
      <c r="N6882" s="36"/>
      <c r="O6882" s="36"/>
      <c r="P6882" s="36"/>
      <c r="Q6882" s="36"/>
      <c r="R6882" s="36"/>
      <c r="S6882" s="36"/>
      <c r="T6882" s="36"/>
      <c r="U6882" s="36"/>
      <c r="V6882" s="36"/>
      <c r="W6882" s="15">
        <f t="shared" si="1361"/>
        <v>0</v>
      </c>
      <c r="X6882" s="36"/>
      <c r="Y6882" s="36"/>
      <c r="Z6882" s="36"/>
      <c r="AA6882" s="36"/>
      <c r="AB6882" s="36"/>
      <c r="AC6882" s="36"/>
      <c r="AD6882" s="36"/>
      <c r="AE6882" s="36"/>
      <c r="AF6882" s="36"/>
      <c r="AG6882" s="36"/>
      <c r="AH6882" s="36"/>
      <c r="AI6882" s="36"/>
      <c r="AJ6882" s="15">
        <f t="shared" si="1362"/>
        <v>0</v>
      </c>
      <c r="AK6882" s="14"/>
      <c r="AL6882" s="14"/>
      <c r="AM6882" s="14"/>
      <c r="AN6882" s="14"/>
      <c r="AO6882" s="14"/>
      <c r="AP6882" s="14"/>
      <c r="AQ6882" s="14">
        <v>200</v>
      </c>
      <c r="AR6882" s="14"/>
      <c r="AS6882" s="14"/>
      <c r="AT6882" s="14"/>
      <c r="AU6882" s="14"/>
      <c r="AV6882" s="14"/>
      <c r="AW6882" s="15">
        <f t="shared" si="1363"/>
        <v>200</v>
      </c>
      <c r="AX6882" s="316">
        <f>SUM(H6875:H6882)</f>
        <v>3200</v>
      </c>
    </row>
    <row r="6883" spans="2:50" x14ac:dyDescent="0.2">
      <c r="B6883" s="7"/>
      <c r="C6883" s="8">
        <v>16950</v>
      </c>
      <c r="D6883" s="9" t="s">
        <v>488</v>
      </c>
      <c r="E6883" s="10" t="str">
        <f t="shared" si="1358"/>
        <v>Rancho Landero No. 85</v>
      </c>
      <c r="F6883" s="10" t="str">
        <f t="shared" si="1359"/>
        <v>Martínez Olague</v>
      </c>
      <c r="G6883" s="8">
        <v>1</v>
      </c>
      <c r="H6883" s="315">
        <v>400</v>
      </c>
      <c r="I6883" s="12">
        <v>43310</v>
      </c>
      <c r="J6883" s="35">
        <f t="shared" si="1360"/>
        <v>0</v>
      </c>
      <c r="K6883" s="36"/>
      <c r="L6883" s="36"/>
      <c r="M6883" s="36"/>
      <c r="N6883" s="36"/>
      <c r="O6883" s="36"/>
      <c r="P6883" s="36"/>
      <c r="Q6883" s="36"/>
      <c r="R6883" s="36"/>
      <c r="S6883" s="36"/>
      <c r="T6883" s="36"/>
      <c r="U6883" s="36"/>
      <c r="V6883" s="36"/>
      <c r="W6883" s="15">
        <f t="shared" si="1361"/>
        <v>0</v>
      </c>
      <c r="X6883" s="36"/>
      <c r="Y6883" s="36"/>
      <c r="Z6883" s="36"/>
      <c r="AA6883" s="36"/>
      <c r="AB6883" s="36"/>
      <c r="AC6883" s="36"/>
      <c r="AD6883" s="36"/>
      <c r="AE6883" s="36"/>
      <c r="AF6883" s="36"/>
      <c r="AG6883" s="36"/>
      <c r="AH6883" s="36"/>
      <c r="AI6883" s="36"/>
      <c r="AJ6883" s="15">
        <f t="shared" si="1362"/>
        <v>0</v>
      </c>
      <c r="AK6883" s="14"/>
      <c r="AL6883" s="14"/>
      <c r="AM6883" s="14"/>
      <c r="AN6883" s="14"/>
      <c r="AO6883" s="14"/>
      <c r="AP6883" s="14"/>
      <c r="AQ6883" s="14">
        <v>400</v>
      </c>
      <c r="AR6883" s="14"/>
      <c r="AS6883" s="14"/>
      <c r="AT6883" s="14"/>
      <c r="AU6883" s="14"/>
      <c r="AV6883" s="14"/>
      <c r="AW6883" s="15">
        <f t="shared" si="1363"/>
        <v>400</v>
      </c>
      <c r="AX6883" s="16"/>
    </row>
    <row r="6884" spans="2:50" x14ac:dyDescent="0.2">
      <c r="B6884" s="7"/>
      <c r="C6884" s="8">
        <v>16951</v>
      </c>
      <c r="D6884" s="9" t="s">
        <v>577</v>
      </c>
      <c r="E6884" s="10" t="str">
        <f t="shared" si="1358"/>
        <v>Rancho La Cuchilla No. 46</v>
      </c>
      <c r="F6884" s="10" t="str">
        <f t="shared" si="1359"/>
        <v>Cruz López</v>
      </c>
      <c r="G6884" s="8">
        <v>1</v>
      </c>
      <c r="H6884" s="11">
        <v>1200</v>
      </c>
      <c r="I6884" s="12">
        <v>43310</v>
      </c>
      <c r="J6884" s="35">
        <f t="shared" si="1360"/>
        <v>0</v>
      </c>
      <c r="K6884" s="36"/>
      <c r="L6884" s="36"/>
      <c r="M6884" s="36"/>
      <c r="N6884" s="36"/>
      <c r="O6884" s="36"/>
      <c r="P6884" s="36"/>
      <c r="Q6884" s="36"/>
      <c r="R6884" s="36"/>
      <c r="S6884" s="36"/>
      <c r="T6884" s="36"/>
      <c r="U6884" s="36"/>
      <c r="V6884" s="36"/>
      <c r="W6884" s="15">
        <f t="shared" si="1361"/>
        <v>0</v>
      </c>
      <c r="X6884" s="36"/>
      <c r="Y6884" s="36"/>
      <c r="Z6884" s="36"/>
      <c r="AA6884" s="36"/>
      <c r="AB6884" s="36"/>
      <c r="AC6884" s="36"/>
      <c r="AD6884" s="36"/>
      <c r="AE6884" s="36"/>
      <c r="AF6884" s="36"/>
      <c r="AG6884" s="36"/>
      <c r="AH6884" s="36"/>
      <c r="AI6884" s="36"/>
      <c r="AJ6884" s="15">
        <f t="shared" si="1362"/>
        <v>0</v>
      </c>
      <c r="AK6884" s="14"/>
      <c r="AL6884" s="14"/>
      <c r="AM6884" s="14"/>
      <c r="AN6884" s="14"/>
      <c r="AO6884" s="14"/>
      <c r="AP6884" s="14"/>
      <c r="AQ6884" s="14">
        <v>400</v>
      </c>
      <c r="AR6884" s="14">
        <v>400</v>
      </c>
      <c r="AS6884" s="14">
        <v>400</v>
      </c>
      <c r="AT6884" s="14"/>
      <c r="AU6884" s="14"/>
      <c r="AV6884" s="14"/>
      <c r="AW6884" s="15">
        <f t="shared" si="1363"/>
        <v>1200</v>
      </c>
      <c r="AX6884" s="16"/>
    </row>
    <row r="6885" spans="2:50" x14ac:dyDescent="0.2">
      <c r="B6885" s="7"/>
      <c r="C6885" s="8">
        <v>16952</v>
      </c>
      <c r="D6885" s="9" t="s">
        <v>577</v>
      </c>
      <c r="E6885" s="10" t="str">
        <f t="shared" si="1358"/>
        <v>Rancho La Cuchilla No. 46</v>
      </c>
      <c r="F6885" s="10" t="str">
        <f t="shared" si="1359"/>
        <v>Cruz López</v>
      </c>
      <c r="G6885" s="8">
        <v>3</v>
      </c>
      <c r="H6885" s="11">
        <v>200</v>
      </c>
      <c r="I6885" s="12">
        <v>43310</v>
      </c>
      <c r="J6885" s="35">
        <f t="shared" si="1360"/>
        <v>0</v>
      </c>
      <c r="K6885" s="36"/>
      <c r="L6885" s="36"/>
      <c r="M6885" s="36"/>
      <c r="N6885" s="36"/>
      <c r="O6885" s="36"/>
      <c r="P6885" s="36"/>
      <c r="Q6885" s="36"/>
      <c r="R6885" s="36"/>
      <c r="S6885" s="36"/>
      <c r="T6885" s="36"/>
      <c r="U6885" s="36"/>
      <c r="V6885" s="36"/>
      <c r="W6885" s="15">
        <f t="shared" si="1361"/>
        <v>0</v>
      </c>
      <c r="X6885" s="36"/>
      <c r="Y6885" s="36"/>
      <c r="Z6885" s="36"/>
      <c r="AA6885" s="36"/>
      <c r="AB6885" s="36"/>
      <c r="AC6885" s="36"/>
      <c r="AD6885" s="36"/>
      <c r="AE6885" s="36"/>
      <c r="AF6885" s="36"/>
      <c r="AG6885" s="36"/>
      <c r="AH6885" s="36"/>
      <c r="AI6885" s="36"/>
      <c r="AJ6885" s="15">
        <f t="shared" si="1362"/>
        <v>0</v>
      </c>
      <c r="AK6885" s="14"/>
      <c r="AL6885" s="14"/>
      <c r="AM6885" s="14"/>
      <c r="AN6885" s="14"/>
      <c r="AO6885" s="14"/>
      <c r="AP6885" s="14"/>
      <c r="AQ6885" s="14"/>
      <c r="AR6885" s="14"/>
      <c r="AS6885" s="14"/>
      <c r="AT6885" s="14"/>
      <c r="AU6885" s="14"/>
      <c r="AV6885" s="14"/>
      <c r="AW6885" s="15">
        <f t="shared" si="1363"/>
        <v>0</v>
      </c>
      <c r="AX6885" s="16"/>
    </row>
    <row r="6886" spans="2:50" x14ac:dyDescent="0.2">
      <c r="B6886" s="7"/>
      <c r="C6886" s="8">
        <v>16953</v>
      </c>
      <c r="D6886" s="9" t="s">
        <v>129</v>
      </c>
      <c r="E6886" s="10" t="str">
        <f t="shared" si="1358"/>
        <v>Rancho Zinamba No. 44</v>
      </c>
      <c r="F6886" s="10" t="str">
        <f t="shared" si="1359"/>
        <v>Canales</v>
      </c>
      <c r="G6886" s="8">
        <v>1</v>
      </c>
      <c r="H6886" s="11">
        <v>400</v>
      </c>
      <c r="I6886" s="12">
        <v>43310</v>
      </c>
      <c r="J6886" s="35">
        <f t="shared" si="1360"/>
        <v>0</v>
      </c>
      <c r="K6886" s="36"/>
      <c r="L6886" s="36"/>
      <c r="M6886" s="36"/>
      <c r="N6886" s="36"/>
      <c r="O6886" s="36"/>
      <c r="P6886" s="36"/>
      <c r="Q6886" s="36"/>
      <c r="R6886" s="36"/>
      <c r="S6886" s="36"/>
      <c r="T6886" s="36"/>
      <c r="U6886" s="36"/>
      <c r="V6886" s="36"/>
      <c r="W6886" s="15">
        <f t="shared" si="1361"/>
        <v>0</v>
      </c>
      <c r="X6886" s="36"/>
      <c r="Y6886" s="36"/>
      <c r="Z6886" s="36"/>
      <c r="AA6886" s="36"/>
      <c r="AB6886" s="36"/>
      <c r="AC6886" s="36"/>
      <c r="AD6886" s="36"/>
      <c r="AE6886" s="36"/>
      <c r="AF6886" s="36"/>
      <c r="AG6886" s="36"/>
      <c r="AH6886" s="36"/>
      <c r="AI6886" s="36"/>
      <c r="AJ6886" s="15">
        <f t="shared" si="1362"/>
        <v>0</v>
      </c>
      <c r="AK6886" s="14"/>
      <c r="AL6886" s="14"/>
      <c r="AM6886" s="14"/>
      <c r="AN6886" s="14"/>
      <c r="AO6886" s="14"/>
      <c r="AP6886" s="14"/>
      <c r="AQ6886" s="14"/>
      <c r="AR6886" s="14">
        <v>400</v>
      </c>
      <c r="AS6886" s="14"/>
      <c r="AT6886" s="14"/>
      <c r="AU6886" s="14"/>
      <c r="AV6886" s="14"/>
      <c r="AW6886" s="15">
        <f t="shared" si="1363"/>
        <v>400</v>
      </c>
      <c r="AX6886" s="16"/>
    </row>
    <row r="6887" spans="2:50" x14ac:dyDescent="0.2">
      <c r="B6887" s="7"/>
      <c r="C6887" s="8">
        <v>16954</v>
      </c>
      <c r="D6887" s="9" t="s">
        <v>714</v>
      </c>
      <c r="E6887" s="10" t="str">
        <f t="shared" si="1352"/>
        <v>Rancho Upácuaro No. 134</v>
      </c>
      <c r="F6887" s="10" t="str">
        <f t="shared" si="1353"/>
        <v>Flores Pérez</v>
      </c>
      <c r="G6887" s="8">
        <v>1</v>
      </c>
      <c r="H6887" s="11">
        <v>1200</v>
      </c>
      <c r="I6887" s="12">
        <v>43310</v>
      </c>
      <c r="J6887" s="35">
        <f t="shared" si="1354"/>
        <v>0</v>
      </c>
      <c r="K6887" s="36"/>
      <c r="L6887" s="36"/>
      <c r="M6887" s="36"/>
      <c r="N6887" s="36"/>
      <c r="O6887" s="36"/>
      <c r="P6887" s="36"/>
      <c r="Q6887" s="36"/>
      <c r="R6887" s="36"/>
      <c r="S6887" s="36"/>
      <c r="T6887" s="36"/>
      <c r="U6887" s="36"/>
      <c r="V6887" s="36"/>
      <c r="W6887" s="15">
        <f t="shared" si="1355"/>
        <v>0</v>
      </c>
      <c r="X6887" s="36"/>
      <c r="Y6887" s="36"/>
      <c r="Z6887" s="36"/>
      <c r="AA6887" s="36"/>
      <c r="AB6887" s="36"/>
      <c r="AC6887" s="36"/>
      <c r="AD6887" s="36"/>
      <c r="AE6887" s="36"/>
      <c r="AF6887" s="36"/>
      <c r="AG6887" s="36"/>
      <c r="AH6887" s="36"/>
      <c r="AI6887" s="36"/>
      <c r="AJ6887" s="15">
        <f t="shared" si="1356"/>
        <v>0</v>
      </c>
      <c r="AK6887" s="14"/>
      <c r="AL6887" s="14"/>
      <c r="AM6887" s="14"/>
      <c r="AN6887" s="14"/>
      <c r="AO6887" s="14">
        <v>400</v>
      </c>
      <c r="AP6887" s="14">
        <v>400</v>
      </c>
      <c r="AQ6887" s="14">
        <v>400</v>
      </c>
      <c r="AR6887" s="14"/>
      <c r="AS6887" s="14"/>
      <c r="AT6887" s="14"/>
      <c r="AU6887" s="14"/>
      <c r="AV6887" s="14"/>
      <c r="AW6887" s="15">
        <f t="shared" si="1357"/>
        <v>1200</v>
      </c>
      <c r="AX6887" s="16"/>
    </row>
    <row r="6888" spans="2:50" x14ac:dyDescent="0.2">
      <c r="B6888" s="7"/>
      <c r="C6888" s="8">
        <v>16955</v>
      </c>
      <c r="D6888" s="9" t="s">
        <v>54</v>
      </c>
      <c r="E6888" s="10" t="str">
        <f t="shared" si="1352"/>
        <v>Rancho La Cuchilla No. 80</v>
      </c>
      <c r="F6888" s="10" t="str">
        <f t="shared" si="1353"/>
        <v>Aparicio</v>
      </c>
      <c r="G6888" s="8">
        <v>5</v>
      </c>
      <c r="H6888" s="11">
        <v>50</v>
      </c>
      <c r="I6888" s="12">
        <v>43310</v>
      </c>
      <c r="J6888" s="35">
        <f t="shared" si="1354"/>
        <v>0</v>
      </c>
      <c r="K6888" s="36"/>
      <c r="L6888" s="36"/>
      <c r="M6888" s="36"/>
      <c r="N6888" s="36"/>
      <c r="O6888" s="36"/>
      <c r="P6888" s="36"/>
      <c r="Q6888" s="36"/>
      <c r="R6888" s="36"/>
      <c r="S6888" s="36"/>
      <c r="T6888" s="36"/>
      <c r="U6888" s="36"/>
      <c r="V6888" s="36"/>
      <c r="W6888" s="15">
        <f t="shared" si="1355"/>
        <v>0</v>
      </c>
      <c r="X6888" s="36"/>
      <c r="Y6888" s="36"/>
      <c r="Z6888" s="36"/>
      <c r="AA6888" s="36"/>
      <c r="AB6888" s="36"/>
      <c r="AC6888" s="36"/>
      <c r="AD6888" s="36"/>
      <c r="AE6888" s="36"/>
      <c r="AF6888" s="36"/>
      <c r="AG6888" s="36"/>
      <c r="AH6888" s="36"/>
      <c r="AI6888" s="36"/>
      <c r="AJ6888" s="15">
        <f t="shared" si="1356"/>
        <v>0</v>
      </c>
      <c r="AK6888" s="14"/>
      <c r="AL6888" s="14"/>
      <c r="AM6888" s="14"/>
      <c r="AN6888" s="14"/>
      <c r="AO6888" s="14"/>
      <c r="AP6888" s="14"/>
      <c r="AQ6888" s="14"/>
      <c r="AR6888" s="14"/>
      <c r="AS6888" s="14"/>
      <c r="AT6888" s="14"/>
      <c r="AU6888" s="14"/>
      <c r="AV6888" s="14"/>
      <c r="AW6888" s="15">
        <f t="shared" si="1357"/>
        <v>0</v>
      </c>
      <c r="AX6888" s="16"/>
    </row>
    <row r="6889" spans="2:50" x14ac:dyDescent="0.2">
      <c r="B6889" s="7"/>
      <c r="C6889" s="8">
        <v>16956</v>
      </c>
      <c r="D6889" s="9" t="s">
        <v>728</v>
      </c>
      <c r="E6889" s="10" t="str">
        <f t="shared" si="1352"/>
        <v>Rancho Estanzuela No. 77</v>
      </c>
      <c r="F6889" s="10" t="str">
        <f t="shared" si="1353"/>
        <v>De la Rosa Rico</v>
      </c>
      <c r="G6889" s="8">
        <v>1</v>
      </c>
      <c r="H6889" s="11">
        <v>400</v>
      </c>
      <c r="I6889" s="12">
        <v>43310</v>
      </c>
      <c r="J6889" s="35">
        <f t="shared" si="1354"/>
        <v>0</v>
      </c>
      <c r="K6889" s="36"/>
      <c r="L6889" s="36"/>
      <c r="M6889" s="36"/>
      <c r="N6889" s="36"/>
      <c r="O6889" s="36"/>
      <c r="P6889" s="36"/>
      <c r="Q6889" s="36"/>
      <c r="R6889" s="36"/>
      <c r="S6889" s="36"/>
      <c r="T6889" s="36"/>
      <c r="U6889" s="36"/>
      <c r="V6889" s="36"/>
      <c r="W6889" s="15">
        <f t="shared" si="1355"/>
        <v>0</v>
      </c>
      <c r="X6889" s="36"/>
      <c r="Y6889" s="36"/>
      <c r="Z6889" s="36"/>
      <c r="AA6889" s="36"/>
      <c r="AB6889" s="36"/>
      <c r="AC6889" s="36"/>
      <c r="AD6889" s="36"/>
      <c r="AE6889" s="36"/>
      <c r="AF6889" s="36"/>
      <c r="AG6889" s="36"/>
      <c r="AH6889" s="36"/>
      <c r="AI6889" s="36"/>
      <c r="AJ6889" s="15">
        <f t="shared" si="1356"/>
        <v>0</v>
      </c>
      <c r="AK6889" s="14"/>
      <c r="AL6889" s="14"/>
      <c r="AM6889" s="14"/>
      <c r="AN6889" s="14"/>
      <c r="AO6889" s="14"/>
      <c r="AP6889" s="14">
        <v>400</v>
      </c>
      <c r="AQ6889" s="14"/>
      <c r="AR6889" s="14"/>
      <c r="AS6889" s="14"/>
      <c r="AT6889" s="14"/>
      <c r="AU6889" s="14"/>
      <c r="AV6889" s="14"/>
      <c r="AW6889" s="15">
        <f t="shared" si="1357"/>
        <v>400</v>
      </c>
      <c r="AX6889" s="16"/>
    </row>
    <row r="6890" spans="2:50" x14ac:dyDescent="0.2">
      <c r="B6890" s="7"/>
      <c r="C6890" s="8">
        <v>16957</v>
      </c>
      <c r="D6890" s="9" t="s">
        <v>1134</v>
      </c>
      <c r="E6890" s="10" t="str">
        <f t="shared" si="1352"/>
        <v>Rancho La Cuchilla No. 30</v>
      </c>
      <c r="F6890" s="10" t="str">
        <f t="shared" si="1353"/>
        <v>Ruiz Navarrete</v>
      </c>
      <c r="G6890" s="8">
        <v>4</v>
      </c>
      <c r="H6890" s="11">
        <v>200</v>
      </c>
      <c r="I6890" s="12">
        <v>43310</v>
      </c>
      <c r="J6890" s="35">
        <f t="shared" si="1354"/>
        <v>0</v>
      </c>
      <c r="K6890" s="36"/>
      <c r="L6890" s="36"/>
      <c r="M6890" s="36"/>
      <c r="N6890" s="36"/>
      <c r="O6890" s="36"/>
      <c r="P6890" s="36"/>
      <c r="Q6890" s="36"/>
      <c r="R6890" s="36"/>
      <c r="S6890" s="36"/>
      <c r="T6890" s="36"/>
      <c r="U6890" s="36"/>
      <c r="V6890" s="36"/>
      <c r="W6890" s="15">
        <f t="shared" si="1355"/>
        <v>0</v>
      </c>
      <c r="X6890" s="36"/>
      <c r="Y6890" s="36"/>
      <c r="Z6890" s="36"/>
      <c r="AA6890" s="36"/>
      <c r="AB6890" s="36"/>
      <c r="AC6890" s="36"/>
      <c r="AD6890" s="36"/>
      <c r="AE6890" s="36"/>
      <c r="AF6890" s="36"/>
      <c r="AG6890" s="36"/>
      <c r="AH6890" s="36"/>
      <c r="AI6890" s="36"/>
      <c r="AJ6890" s="15">
        <f t="shared" si="1356"/>
        <v>0</v>
      </c>
      <c r="AK6890" s="14"/>
      <c r="AL6890" s="14"/>
      <c r="AM6890" s="14"/>
      <c r="AN6890" s="14"/>
      <c r="AO6890" s="14"/>
      <c r="AP6890" s="14"/>
      <c r="AQ6890" s="14"/>
      <c r="AR6890" s="14"/>
      <c r="AS6890" s="14"/>
      <c r="AT6890" s="14"/>
      <c r="AU6890" s="14"/>
      <c r="AV6890" s="14"/>
      <c r="AW6890" s="15">
        <f t="shared" si="1357"/>
        <v>0</v>
      </c>
      <c r="AX6890" s="16"/>
    </row>
    <row r="6891" spans="2:50" x14ac:dyDescent="0.2">
      <c r="B6891" s="7"/>
      <c r="C6891" s="8">
        <v>16958</v>
      </c>
      <c r="D6891" s="9" t="s">
        <v>620</v>
      </c>
      <c r="E6891" s="10" t="str">
        <f t="shared" si="1352"/>
        <v>Rancho La Cuchilla No. 32</v>
      </c>
      <c r="F6891" s="10" t="str">
        <f t="shared" si="1353"/>
        <v>Hernández</v>
      </c>
      <c r="G6891" s="8">
        <v>1</v>
      </c>
      <c r="H6891" s="11">
        <v>400</v>
      </c>
      <c r="I6891" s="12">
        <v>43310</v>
      </c>
      <c r="J6891" s="35">
        <f t="shared" si="1354"/>
        <v>0</v>
      </c>
      <c r="K6891" s="36"/>
      <c r="L6891" s="36"/>
      <c r="M6891" s="36"/>
      <c r="N6891" s="36"/>
      <c r="O6891" s="36"/>
      <c r="P6891" s="36"/>
      <c r="Q6891" s="36"/>
      <c r="R6891" s="36"/>
      <c r="S6891" s="36"/>
      <c r="T6891" s="36"/>
      <c r="U6891" s="36"/>
      <c r="V6891" s="36"/>
      <c r="W6891" s="15">
        <f t="shared" si="1355"/>
        <v>0</v>
      </c>
      <c r="X6891" s="36"/>
      <c r="Y6891" s="36"/>
      <c r="Z6891" s="36"/>
      <c r="AA6891" s="36"/>
      <c r="AB6891" s="36"/>
      <c r="AC6891" s="36"/>
      <c r="AD6891" s="36"/>
      <c r="AE6891" s="36"/>
      <c r="AF6891" s="36"/>
      <c r="AG6891" s="36"/>
      <c r="AH6891" s="36"/>
      <c r="AI6891" s="36"/>
      <c r="AJ6891" s="15">
        <f t="shared" si="1356"/>
        <v>0</v>
      </c>
      <c r="AK6891" s="14"/>
      <c r="AL6891" s="14"/>
      <c r="AM6891" s="14"/>
      <c r="AN6891" s="14"/>
      <c r="AO6891" s="14"/>
      <c r="AP6891" s="14"/>
      <c r="AQ6891" s="14">
        <v>400</v>
      </c>
      <c r="AR6891" s="14"/>
      <c r="AS6891" s="14"/>
      <c r="AT6891" s="14"/>
      <c r="AU6891" s="14"/>
      <c r="AV6891" s="14"/>
      <c r="AW6891" s="15">
        <f t="shared" si="1357"/>
        <v>400</v>
      </c>
      <c r="AX6891" s="16"/>
    </row>
    <row r="6892" spans="2:50" x14ac:dyDescent="0.2">
      <c r="B6892" s="7"/>
      <c r="C6892" s="8">
        <v>16959</v>
      </c>
      <c r="D6892" s="9" t="s">
        <v>1039</v>
      </c>
      <c r="E6892" s="10" t="str">
        <f t="shared" si="1352"/>
        <v>Rancho Upácuaro No. 77</v>
      </c>
      <c r="F6892" s="10" t="str">
        <f t="shared" si="1353"/>
        <v>Alvarado</v>
      </c>
      <c r="G6892" s="8">
        <v>1</v>
      </c>
      <c r="H6892" s="11">
        <v>800</v>
      </c>
      <c r="I6892" s="12">
        <v>43310</v>
      </c>
      <c r="J6892" s="35">
        <f t="shared" si="1354"/>
        <v>0</v>
      </c>
      <c r="K6892" s="36"/>
      <c r="L6892" s="36"/>
      <c r="M6892" s="36"/>
      <c r="N6892" s="36"/>
      <c r="O6892" s="36"/>
      <c r="P6892" s="36"/>
      <c r="Q6892" s="36"/>
      <c r="R6892" s="36"/>
      <c r="S6892" s="36"/>
      <c r="T6892" s="36"/>
      <c r="U6892" s="36"/>
      <c r="V6892" s="36"/>
      <c r="W6892" s="15">
        <f t="shared" si="1355"/>
        <v>0</v>
      </c>
      <c r="X6892" s="36"/>
      <c r="Y6892" s="36"/>
      <c r="Z6892" s="36"/>
      <c r="AA6892" s="36"/>
      <c r="AB6892" s="36"/>
      <c r="AC6892" s="36"/>
      <c r="AD6892" s="36"/>
      <c r="AE6892" s="36"/>
      <c r="AF6892" s="36"/>
      <c r="AG6892" s="36"/>
      <c r="AH6892" s="36"/>
      <c r="AI6892" s="36"/>
      <c r="AJ6892" s="15">
        <f t="shared" si="1356"/>
        <v>0</v>
      </c>
      <c r="AK6892" s="14"/>
      <c r="AL6892" s="14"/>
      <c r="AM6892" s="14"/>
      <c r="AN6892" s="14"/>
      <c r="AO6892" s="14"/>
      <c r="AP6892" s="14">
        <v>400</v>
      </c>
      <c r="AQ6892" s="14">
        <v>400</v>
      </c>
      <c r="AR6892" s="14"/>
      <c r="AS6892" s="14"/>
      <c r="AT6892" s="14"/>
      <c r="AU6892" s="14"/>
      <c r="AV6892" s="14"/>
      <c r="AW6892" s="15">
        <f t="shared" si="1357"/>
        <v>800</v>
      </c>
      <c r="AX6892" s="16"/>
    </row>
    <row r="6893" spans="2:50" x14ac:dyDescent="0.2">
      <c r="B6893" s="7"/>
      <c r="C6893" s="8">
        <v>16960</v>
      </c>
      <c r="D6893" s="9" t="s">
        <v>617</v>
      </c>
      <c r="E6893" s="10" t="str">
        <f t="shared" si="1352"/>
        <v>Rancho Zinamba No. 50</v>
      </c>
      <c r="F6893" s="10" t="str">
        <f t="shared" si="1353"/>
        <v>Del Castillo</v>
      </c>
      <c r="G6893" s="8">
        <v>1</v>
      </c>
      <c r="H6893" s="11">
        <v>400</v>
      </c>
      <c r="I6893" s="12">
        <v>43310</v>
      </c>
      <c r="J6893" s="35">
        <f t="shared" si="1354"/>
        <v>0</v>
      </c>
      <c r="K6893" s="36"/>
      <c r="L6893" s="36"/>
      <c r="M6893" s="36"/>
      <c r="N6893" s="36"/>
      <c r="O6893" s="36"/>
      <c r="P6893" s="36"/>
      <c r="Q6893" s="36"/>
      <c r="R6893" s="36"/>
      <c r="S6893" s="36"/>
      <c r="T6893" s="36"/>
      <c r="U6893" s="36"/>
      <c r="V6893" s="36"/>
      <c r="W6893" s="15">
        <f t="shared" si="1355"/>
        <v>0</v>
      </c>
      <c r="X6893" s="36"/>
      <c r="Y6893" s="36"/>
      <c r="Z6893" s="36"/>
      <c r="AA6893" s="36"/>
      <c r="AB6893" s="36"/>
      <c r="AC6893" s="36"/>
      <c r="AD6893" s="36"/>
      <c r="AE6893" s="36"/>
      <c r="AF6893" s="36"/>
      <c r="AG6893" s="36"/>
      <c r="AH6893" s="36"/>
      <c r="AI6893" s="36"/>
      <c r="AJ6893" s="15">
        <f t="shared" si="1356"/>
        <v>0</v>
      </c>
      <c r="AK6893" s="14"/>
      <c r="AL6893" s="14"/>
      <c r="AM6893" s="14"/>
      <c r="AN6893" s="14"/>
      <c r="AO6893" s="14"/>
      <c r="AP6893" s="14"/>
      <c r="AQ6893" s="14">
        <v>400</v>
      </c>
      <c r="AR6893" s="14"/>
      <c r="AS6893" s="14"/>
      <c r="AT6893" s="14"/>
      <c r="AU6893" s="14"/>
      <c r="AV6893" s="14"/>
      <c r="AW6893" s="15">
        <f t="shared" si="1357"/>
        <v>400</v>
      </c>
      <c r="AX6893" s="16"/>
    </row>
    <row r="6894" spans="2:50" x14ac:dyDescent="0.2">
      <c r="B6894" s="7"/>
      <c r="C6894" s="8">
        <v>16961</v>
      </c>
      <c r="D6894" s="9" t="s">
        <v>871</v>
      </c>
      <c r="E6894" s="10" t="str">
        <f t="shared" si="1352"/>
        <v>Rancho Upácuaro No. 68</v>
      </c>
      <c r="F6894" s="10" t="str">
        <f t="shared" si="1353"/>
        <v>Colin Guerrero</v>
      </c>
      <c r="G6894" s="8">
        <v>3</v>
      </c>
      <c r="H6894" s="11">
        <v>200</v>
      </c>
      <c r="I6894" s="12">
        <v>43310</v>
      </c>
      <c r="J6894" s="35">
        <f t="shared" si="1354"/>
        <v>0</v>
      </c>
      <c r="K6894" s="36"/>
      <c r="L6894" s="36"/>
      <c r="M6894" s="36"/>
      <c r="N6894" s="36"/>
      <c r="O6894" s="36"/>
      <c r="P6894" s="36"/>
      <c r="Q6894" s="36"/>
      <c r="R6894" s="36"/>
      <c r="S6894" s="36"/>
      <c r="T6894" s="36"/>
      <c r="U6894" s="36"/>
      <c r="V6894" s="36"/>
      <c r="W6894" s="15">
        <f t="shared" si="1355"/>
        <v>0</v>
      </c>
      <c r="X6894" s="36"/>
      <c r="Y6894" s="36"/>
      <c r="Z6894" s="36"/>
      <c r="AA6894" s="36"/>
      <c r="AB6894" s="36"/>
      <c r="AC6894" s="36"/>
      <c r="AD6894" s="36"/>
      <c r="AE6894" s="36"/>
      <c r="AF6894" s="36"/>
      <c r="AG6894" s="36"/>
      <c r="AH6894" s="36"/>
      <c r="AI6894" s="36"/>
      <c r="AJ6894" s="15">
        <f t="shared" si="1356"/>
        <v>0</v>
      </c>
      <c r="AK6894" s="14"/>
      <c r="AL6894" s="14"/>
      <c r="AM6894" s="14"/>
      <c r="AN6894" s="14"/>
      <c r="AO6894" s="14"/>
      <c r="AP6894" s="14"/>
      <c r="AQ6894" s="14"/>
      <c r="AR6894" s="14"/>
      <c r="AS6894" s="14"/>
      <c r="AT6894" s="14"/>
      <c r="AU6894" s="14"/>
      <c r="AV6894" s="14"/>
      <c r="AW6894" s="15">
        <f t="shared" si="1357"/>
        <v>0</v>
      </c>
      <c r="AX6894" s="16"/>
    </row>
    <row r="6895" spans="2:50" x14ac:dyDescent="0.2">
      <c r="B6895" s="7"/>
      <c r="C6895" s="8">
        <v>16962</v>
      </c>
      <c r="D6895" s="9" t="s">
        <v>1425</v>
      </c>
      <c r="E6895" s="10" t="str">
        <f t="shared" si="1352"/>
        <v>Rancho Upácuaro No. 55</v>
      </c>
      <c r="F6895" s="10" t="str">
        <f t="shared" si="1353"/>
        <v>Ávila</v>
      </c>
      <c r="G6895" s="8">
        <v>1</v>
      </c>
      <c r="H6895" s="11">
        <v>2800</v>
      </c>
      <c r="I6895" s="12">
        <v>43310</v>
      </c>
      <c r="J6895" s="35">
        <f t="shared" si="1354"/>
        <v>0</v>
      </c>
      <c r="K6895" s="36"/>
      <c r="L6895" s="36"/>
      <c r="M6895" s="36"/>
      <c r="N6895" s="36"/>
      <c r="O6895" s="36"/>
      <c r="P6895" s="36"/>
      <c r="Q6895" s="36"/>
      <c r="R6895" s="36"/>
      <c r="S6895" s="36"/>
      <c r="T6895" s="36"/>
      <c r="U6895" s="36"/>
      <c r="V6895" s="36"/>
      <c r="W6895" s="15">
        <f t="shared" si="1355"/>
        <v>0</v>
      </c>
      <c r="X6895" s="36"/>
      <c r="Y6895" s="36"/>
      <c r="Z6895" s="36"/>
      <c r="AA6895" s="36"/>
      <c r="AB6895" s="36"/>
      <c r="AC6895" s="36"/>
      <c r="AD6895" s="36"/>
      <c r="AE6895" s="36"/>
      <c r="AF6895" s="36"/>
      <c r="AG6895" s="36"/>
      <c r="AH6895" s="36"/>
      <c r="AI6895" s="36"/>
      <c r="AJ6895" s="15">
        <f t="shared" si="1356"/>
        <v>0</v>
      </c>
      <c r="AK6895" s="14">
        <v>400</v>
      </c>
      <c r="AL6895" s="14">
        <v>400</v>
      </c>
      <c r="AM6895" s="14">
        <v>400</v>
      </c>
      <c r="AN6895" s="14">
        <v>400</v>
      </c>
      <c r="AO6895" s="14">
        <v>400</v>
      </c>
      <c r="AP6895" s="14">
        <v>400</v>
      </c>
      <c r="AQ6895" s="14">
        <v>400</v>
      </c>
      <c r="AR6895" s="14"/>
      <c r="AS6895" s="14"/>
      <c r="AT6895" s="14"/>
      <c r="AU6895" s="14"/>
      <c r="AV6895" s="14"/>
      <c r="AW6895" s="15">
        <f t="shared" si="1357"/>
        <v>2800</v>
      </c>
      <c r="AX6895" s="16"/>
    </row>
    <row r="6896" spans="2:50" x14ac:dyDescent="0.2">
      <c r="B6896" s="7"/>
      <c r="C6896" s="8">
        <v>16963</v>
      </c>
      <c r="D6896" s="9" t="s">
        <v>168</v>
      </c>
      <c r="E6896" s="10" t="str">
        <f t="shared" si="1352"/>
        <v>Rancho Upácuaro No. 73, A</v>
      </c>
      <c r="F6896" s="10" t="str">
        <f t="shared" si="1353"/>
        <v>Ortega</v>
      </c>
      <c r="G6896" s="8">
        <v>1</v>
      </c>
      <c r="H6896" s="11">
        <v>200</v>
      </c>
      <c r="I6896" s="12">
        <v>43310</v>
      </c>
      <c r="J6896" s="35">
        <f t="shared" si="1354"/>
        <v>0</v>
      </c>
      <c r="K6896" s="36"/>
      <c r="L6896" s="36"/>
      <c r="M6896" s="36"/>
      <c r="N6896" s="36"/>
      <c r="O6896" s="36"/>
      <c r="P6896" s="36"/>
      <c r="Q6896" s="36"/>
      <c r="R6896" s="36"/>
      <c r="S6896" s="36"/>
      <c r="T6896" s="36"/>
      <c r="U6896" s="36"/>
      <c r="V6896" s="36"/>
      <c r="W6896" s="15">
        <f t="shared" si="1355"/>
        <v>0</v>
      </c>
      <c r="X6896" s="36"/>
      <c r="Y6896" s="36"/>
      <c r="Z6896" s="36"/>
      <c r="AA6896" s="36"/>
      <c r="AB6896" s="36"/>
      <c r="AC6896" s="36"/>
      <c r="AD6896" s="36"/>
      <c r="AE6896" s="36"/>
      <c r="AF6896" s="36"/>
      <c r="AG6896" s="36"/>
      <c r="AH6896" s="36"/>
      <c r="AI6896" s="36"/>
      <c r="AJ6896" s="15">
        <f t="shared" si="1356"/>
        <v>0</v>
      </c>
      <c r="AK6896" s="14"/>
      <c r="AL6896" s="14"/>
      <c r="AM6896" s="14"/>
      <c r="AN6896" s="14"/>
      <c r="AO6896" s="14"/>
      <c r="AP6896" s="14"/>
      <c r="AQ6896" s="14"/>
      <c r="AR6896" s="14">
        <v>200</v>
      </c>
      <c r="AS6896" s="14"/>
      <c r="AT6896" s="14"/>
      <c r="AU6896" s="14"/>
      <c r="AV6896" s="14"/>
      <c r="AW6896" s="15">
        <f t="shared" si="1357"/>
        <v>200</v>
      </c>
      <c r="AX6896" s="16"/>
    </row>
    <row r="6897" spans="1:51" x14ac:dyDescent="0.2">
      <c r="B6897" s="7"/>
      <c r="C6897" s="8">
        <v>16964</v>
      </c>
      <c r="D6897" s="9" t="s">
        <v>349</v>
      </c>
      <c r="E6897" s="10" t="str">
        <f t="shared" si="1352"/>
        <v>Rancho La Cuchilla No. 15</v>
      </c>
      <c r="F6897" s="10" t="str">
        <f t="shared" si="1353"/>
        <v>Guerrero Ponce</v>
      </c>
      <c r="G6897" s="8">
        <v>1</v>
      </c>
      <c r="H6897" s="11">
        <v>300</v>
      </c>
      <c r="I6897" s="12">
        <v>43310</v>
      </c>
      <c r="J6897" s="35">
        <f t="shared" si="1354"/>
        <v>0</v>
      </c>
      <c r="K6897" s="36"/>
      <c r="L6897" s="36"/>
      <c r="M6897" s="36"/>
      <c r="N6897" s="36"/>
      <c r="O6897" s="36"/>
      <c r="P6897" s="36"/>
      <c r="Q6897" s="36"/>
      <c r="R6897" s="36"/>
      <c r="S6897" s="36"/>
      <c r="T6897" s="36"/>
      <c r="U6897" s="36"/>
      <c r="V6897" s="36"/>
      <c r="W6897" s="15">
        <f t="shared" si="1355"/>
        <v>0</v>
      </c>
      <c r="X6897" s="36"/>
      <c r="Y6897" s="36"/>
      <c r="Z6897" s="36"/>
      <c r="AA6897" s="36"/>
      <c r="AB6897" s="36"/>
      <c r="AC6897" s="36"/>
      <c r="AD6897" s="36"/>
      <c r="AE6897" s="36"/>
      <c r="AF6897" s="36"/>
      <c r="AG6897" s="36"/>
      <c r="AH6897" s="36"/>
      <c r="AI6897" s="36"/>
      <c r="AJ6897" s="15">
        <f t="shared" si="1356"/>
        <v>0</v>
      </c>
      <c r="AK6897" s="14"/>
      <c r="AL6897" s="14"/>
      <c r="AM6897" s="14"/>
      <c r="AN6897" s="14"/>
      <c r="AO6897" s="14"/>
      <c r="AP6897" s="14">
        <v>300</v>
      </c>
      <c r="AQ6897" s="14"/>
      <c r="AR6897" s="14"/>
      <c r="AS6897" s="14"/>
      <c r="AT6897" s="14"/>
      <c r="AU6897" s="14"/>
      <c r="AV6897" s="14"/>
      <c r="AW6897" s="15">
        <f t="shared" si="1357"/>
        <v>300</v>
      </c>
      <c r="AX6897" s="16"/>
    </row>
    <row r="6898" spans="1:51" x14ac:dyDescent="0.2">
      <c r="B6898" s="7"/>
      <c r="C6898" s="8">
        <v>16965</v>
      </c>
      <c r="D6898" s="9" t="s">
        <v>971</v>
      </c>
      <c r="E6898" s="10" t="str">
        <f t="shared" si="1352"/>
        <v>Rancho La Cuchilla No. 53</v>
      </c>
      <c r="F6898" s="10" t="str">
        <f t="shared" si="1353"/>
        <v>Rivera Hernández</v>
      </c>
      <c r="G6898" s="8">
        <v>5</v>
      </c>
      <c r="H6898" s="11">
        <v>50</v>
      </c>
      <c r="I6898" s="12">
        <v>43310</v>
      </c>
      <c r="J6898" s="35">
        <f t="shared" si="1354"/>
        <v>0</v>
      </c>
      <c r="K6898" s="36"/>
      <c r="L6898" s="36"/>
      <c r="M6898" s="36"/>
      <c r="N6898" s="36"/>
      <c r="O6898" s="36"/>
      <c r="P6898" s="36"/>
      <c r="Q6898" s="36"/>
      <c r="R6898" s="36"/>
      <c r="S6898" s="36"/>
      <c r="T6898" s="36"/>
      <c r="U6898" s="36"/>
      <c r="V6898" s="36"/>
      <c r="W6898" s="15">
        <f t="shared" si="1355"/>
        <v>0</v>
      </c>
      <c r="X6898" s="36"/>
      <c r="Y6898" s="36"/>
      <c r="Z6898" s="36"/>
      <c r="AA6898" s="36"/>
      <c r="AB6898" s="36"/>
      <c r="AC6898" s="36"/>
      <c r="AD6898" s="36"/>
      <c r="AE6898" s="36"/>
      <c r="AF6898" s="36"/>
      <c r="AG6898" s="36"/>
      <c r="AH6898" s="36"/>
      <c r="AI6898" s="36"/>
      <c r="AJ6898" s="15">
        <f t="shared" si="1356"/>
        <v>0</v>
      </c>
      <c r="AK6898" s="14"/>
      <c r="AL6898" s="14"/>
      <c r="AM6898" s="14"/>
      <c r="AN6898" s="14"/>
      <c r="AO6898" s="14"/>
      <c r="AP6898" s="14"/>
      <c r="AQ6898" s="14"/>
      <c r="AR6898" s="14"/>
      <c r="AS6898" s="14"/>
      <c r="AT6898" s="14"/>
      <c r="AU6898" s="14"/>
      <c r="AV6898" s="14"/>
      <c r="AW6898" s="15">
        <f t="shared" si="1357"/>
        <v>0</v>
      </c>
      <c r="AX6898" s="16"/>
    </row>
    <row r="6899" spans="1:51" x14ac:dyDescent="0.2">
      <c r="B6899" s="7"/>
      <c r="C6899" s="8">
        <v>16966</v>
      </c>
      <c r="D6899" s="9" t="s">
        <v>523</v>
      </c>
      <c r="E6899" s="10" t="str">
        <f t="shared" si="1352"/>
        <v>Rancho Estanzuela No. 139</v>
      </c>
      <c r="F6899" s="10" t="str">
        <f t="shared" si="1353"/>
        <v xml:space="preserve">Ortiz   </v>
      </c>
      <c r="G6899" s="8">
        <v>1</v>
      </c>
      <c r="H6899" s="11">
        <v>400</v>
      </c>
      <c r="I6899" s="12">
        <v>43310</v>
      </c>
      <c r="J6899" s="35">
        <f t="shared" si="1354"/>
        <v>0</v>
      </c>
      <c r="K6899" s="36"/>
      <c r="L6899" s="36"/>
      <c r="M6899" s="36"/>
      <c r="N6899" s="36"/>
      <c r="O6899" s="36"/>
      <c r="P6899" s="36"/>
      <c r="Q6899" s="36"/>
      <c r="R6899" s="36"/>
      <c r="S6899" s="36"/>
      <c r="T6899" s="36"/>
      <c r="U6899" s="36"/>
      <c r="V6899" s="36"/>
      <c r="W6899" s="15">
        <f t="shared" si="1355"/>
        <v>0</v>
      </c>
      <c r="X6899" s="36"/>
      <c r="Y6899" s="36"/>
      <c r="Z6899" s="36"/>
      <c r="AA6899" s="36"/>
      <c r="AB6899" s="36"/>
      <c r="AC6899" s="36"/>
      <c r="AD6899" s="36"/>
      <c r="AE6899" s="36"/>
      <c r="AF6899" s="36"/>
      <c r="AG6899" s="36"/>
      <c r="AH6899" s="36"/>
      <c r="AI6899" s="36"/>
      <c r="AJ6899" s="15">
        <f t="shared" si="1356"/>
        <v>0</v>
      </c>
      <c r="AK6899" s="14"/>
      <c r="AL6899" s="14"/>
      <c r="AM6899" s="14"/>
      <c r="AN6899" s="14"/>
      <c r="AO6899" s="14"/>
      <c r="AP6899" s="14">
        <v>400</v>
      </c>
      <c r="AQ6899" s="14"/>
      <c r="AR6899" s="14"/>
      <c r="AS6899" s="14"/>
      <c r="AT6899" s="14"/>
      <c r="AU6899" s="14"/>
      <c r="AV6899" s="14"/>
      <c r="AW6899" s="15">
        <f t="shared" si="1357"/>
        <v>400</v>
      </c>
      <c r="AX6899" s="16"/>
    </row>
    <row r="6900" spans="1:51" x14ac:dyDescent="0.2">
      <c r="B6900" s="7"/>
      <c r="C6900" s="8">
        <v>16967</v>
      </c>
      <c r="D6900" s="9" t="s">
        <v>774</v>
      </c>
      <c r="E6900" s="10" t="str">
        <f t="shared" si="1352"/>
        <v>Rancho Landero No. 40</v>
      </c>
      <c r="F6900" s="10" t="str">
        <f t="shared" si="1353"/>
        <v>Almaguer Mireles</v>
      </c>
      <c r="G6900" s="8">
        <v>1</v>
      </c>
      <c r="H6900" s="11">
        <v>800</v>
      </c>
      <c r="I6900" s="12">
        <v>43310</v>
      </c>
      <c r="J6900" s="35">
        <f t="shared" si="1354"/>
        <v>0</v>
      </c>
      <c r="K6900" s="36"/>
      <c r="L6900" s="36"/>
      <c r="M6900" s="36"/>
      <c r="N6900" s="36"/>
      <c r="O6900" s="36"/>
      <c r="P6900" s="36"/>
      <c r="Q6900" s="36"/>
      <c r="R6900" s="36"/>
      <c r="S6900" s="36"/>
      <c r="T6900" s="36"/>
      <c r="U6900" s="36"/>
      <c r="V6900" s="36"/>
      <c r="W6900" s="15">
        <f t="shared" si="1355"/>
        <v>0</v>
      </c>
      <c r="X6900" s="36"/>
      <c r="Y6900" s="36"/>
      <c r="Z6900" s="36"/>
      <c r="AA6900" s="36"/>
      <c r="AB6900" s="36"/>
      <c r="AC6900" s="36"/>
      <c r="AD6900" s="36"/>
      <c r="AE6900" s="36"/>
      <c r="AF6900" s="36"/>
      <c r="AG6900" s="36"/>
      <c r="AH6900" s="36"/>
      <c r="AI6900" s="36"/>
      <c r="AJ6900" s="15">
        <f t="shared" si="1356"/>
        <v>0</v>
      </c>
      <c r="AK6900" s="14"/>
      <c r="AL6900" s="14"/>
      <c r="AM6900" s="14"/>
      <c r="AN6900" s="14"/>
      <c r="AO6900" s="14">
        <v>400</v>
      </c>
      <c r="AP6900" s="14">
        <v>400</v>
      </c>
      <c r="AQ6900" s="14"/>
      <c r="AR6900" s="14"/>
      <c r="AS6900" s="14"/>
      <c r="AT6900" s="14"/>
      <c r="AU6900" s="14"/>
      <c r="AV6900" s="14"/>
      <c r="AW6900" s="15">
        <f t="shared" si="1357"/>
        <v>800</v>
      </c>
      <c r="AX6900" s="16"/>
    </row>
    <row r="6901" spans="1:51" x14ac:dyDescent="0.2">
      <c r="B6901" s="7"/>
      <c r="C6901" s="8">
        <v>16968</v>
      </c>
      <c r="D6901" s="9" t="s">
        <v>774</v>
      </c>
      <c r="E6901" s="10" t="str">
        <f t="shared" si="1352"/>
        <v>Rancho Landero No. 40</v>
      </c>
      <c r="F6901" s="10" t="str">
        <f t="shared" si="1353"/>
        <v>Almaguer Mireles</v>
      </c>
      <c r="G6901" s="8">
        <v>3</v>
      </c>
      <c r="H6901" s="11">
        <v>200</v>
      </c>
      <c r="I6901" s="12">
        <v>43310</v>
      </c>
      <c r="J6901" s="35">
        <f t="shared" si="1354"/>
        <v>0</v>
      </c>
      <c r="K6901" s="36"/>
      <c r="L6901" s="36"/>
      <c r="M6901" s="36"/>
      <c r="N6901" s="36"/>
      <c r="O6901" s="36"/>
      <c r="P6901" s="36"/>
      <c r="Q6901" s="36"/>
      <c r="R6901" s="36"/>
      <c r="S6901" s="36"/>
      <c r="T6901" s="36"/>
      <c r="U6901" s="36"/>
      <c r="V6901" s="36"/>
      <c r="W6901" s="15">
        <f t="shared" si="1355"/>
        <v>0</v>
      </c>
      <c r="X6901" s="36"/>
      <c r="Y6901" s="36"/>
      <c r="Z6901" s="36"/>
      <c r="AA6901" s="36"/>
      <c r="AB6901" s="36"/>
      <c r="AC6901" s="36"/>
      <c r="AD6901" s="36"/>
      <c r="AE6901" s="36"/>
      <c r="AF6901" s="36"/>
      <c r="AG6901" s="36"/>
      <c r="AH6901" s="36"/>
      <c r="AI6901" s="36"/>
      <c r="AJ6901" s="15">
        <f t="shared" si="1356"/>
        <v>0</v>
      </c>
      <c r="AK6901" s="14"/>
      <c r="AL6901" s="14"/>
      <c r="AM6901" s="14"/>
      <c r="AN6901" s="14"/>
      <c r="AO6901" s="14"/>
      <c r="AP6901" s="14"/>
      <c r="AQ6901" s="14"/>
      <c r="AR6901" s="14"/>
      <c r="AS6901" s="14"/>
      <c r="AT6901" s="14"/>
      <c r="AU6901" s="14"/>
      <c r="AV6901" s="14"/>
      <c r="AW6901" s="15">
        <f t="shared" si="1357"/>
        <v>0</v>
      </c>
      <c r="AX6901" s="16"/>
    </row>
    <row r="6902" spans="1:51" x14ac:dyDescent="0.2">
      <c r="B6902" s="7"/>
      <c r="C6902" s="8">
        <v>16969</v>
      </c>
      <c r="D6902" s="9" t="s">
        <v>580</v>
      </c>
      <c r="E6902" s="10" t="str">
        <f t="shared" si="1352"/>
        <v>Rancho La Cuchilla No. 59</v>
      </c>
      <c r="F6902" s="10" t="str">
        <f t="shared" si="1353"/>
        <v>Ortega Vega</v>
      </c>
      <c r="G6902" s="8">
        <v>1</v>
      </c>
      <c r="H6902" s="11">
        <v>450</v>
      </c>
      <c r="I6902" s="12">
        <v>43310</v>
      </c>
      <c r="J6902" s="35">
        <f t="shared" si="1354"/>
        <v>0</v>
      </c>
      <c r="K6902" s="36"/>
      <c r="L6902" s="36"/>
      <c r="M6902" s="36"/>
      <c r="N6902" s="36"/>
      <c r="O6902" s="36"/>
      <c r="P6902" s="36"/>
      <c r="Q6902" s="36"/>
      <c r="R6902" s="36"/>
      <c r="S6902" s="36"/>
      <c r="T6902" s="36"/>
      <c r="U6902" s="36"/>
      <c r="V6902" s="36"/>
      <c r="W6902" s="15">
        <f t="shared" si="1355"/>
        <v>0</v>
      </c>
      <c r="X6902" s="36"/>
      <c r="Y6902" s="36"/>
      <c r="Z6902" s="36"/>
      <c r="AA6902" s="36"/>
      <c r="AB6902" s="36"/>
      <c r="AC6902" s="36"/>
      <c r="AD6902" s="36"/>
      <c r="AE6902" s="36"/>
      <c r="AF6902" s="36"/>
      <c r="AG6902" s="36"/>
      <c r="AH6902" s="36"/>
      <c r="AI6902" s="36"/>
      <c r="AJ6902" s="15">
        <f t="shared" si="1356"/>
        <v>0</v>
      </c>
      <c r="AK6902" s="14"/>
      <c r="AL6902" s="14"/>
      <c r="AM6902" s="14"/>
      <c r="AN6902" s="14"/>
      <c r="AO6902" s="14"/>
      <c r="AP6902" s="14"/>
      <c r="AQ6902" s="14">
        <v>150</v>
      </c>
      <c r="AR6902" s="14">
        <v>150</v>
      </c>
      <c r="AS6902" s="14">
        <v>150</v>
      </c>
      <c r="AT6902" s="14"/>
      <c r="AU6902" s="14"/>
      <c r="AV6902" s="14"/>
      <c r="AW6902" s="15">
        <f t="shared" si="1357"/>
        <v>450</v>
      </c>
      <c r="AX6902" s="316">
        <f>SUM(H6875:H6902)</f>
        <v>14250</v>
      </c>
      <c r="AY6902" s="112">
        <f>SUM(H6716:H6902)</f>
        <v>86725</v>
      </c>
    </row>
    <row r="6903" spans="1:51" x14ac:dyDescent="0.2">
      <c r="B6903" s="7" t="s">
        <v>5413</v>
      </c>
      <c r="C6903" s="8"/>
      <c r="D6903" s="9" t="s">
        <v>806</v>
      </c>
      <c r="E6903" s="10" t="str">
        <f t="shared" si="1352"/>
        <v>Rancho Estanzuela No. 130, A</v>
      </c>
      <c r="F6903" s="10" t="str">
        <f t="shared" si="1353"/>
        <v>Colegio Carmel</v>
      </c>
      <c r="G6903" s="8">
        <v>1</v>
      </c>
      <c r="H6903" s="11">
        <v>11000</v>
      </c>
      <c r="I6903" s="12">
        <v>43300</v>
      </c>
      <c r="J6903" s="35">
        <f t="shared" si="1354"/>
        <v>0</v>
      </c>
      <c r="K6903" s="36"/>
      <c r="L6903" s="36"/>
      <c r="M6903" s="36"/>
      <c r="N6903" s="36"/>
      <c r="O6903" s="36"/>
      <c r="P6903" s="36"/>
      <c r="Q6903" s="36"/>
      <c r="R6903" s="36"/>
      <c r="S6903" s="36"/>
      <c r="T6903" s="36"/>
      <c r="U6903" s="36"/>
      <c r="V6903" s="36"/>
      <c r="W6903" s="15">
        <f t="shared" si="1355"/>
        <v>0</v>
      </c>
      <c r="X6903" s="36"/>
      <c r="Y6903" s="36"/>
      <c r="Z6903" s="36"/>
      <c r="AA6903" s="36"/>
      <c r="AB6903" s="36"/>
      <c r="AC6903" s="36"/>
      <c r="AD6903" s="36"/>
      <c r="AE6903" s="36"/>
      <c r="AF6903" s="36"/>
      <c r="AG6903" s="36"/>
      <c r="AH6903" s="36"/>
      <c r="AI6903" s="36"/>
      <c r="AJ6903" s="15">
        <f t="shared" si="1356"/>
        <v>0</v>
      </c>
      <c r="AK6903" s="14"/>
      <c r="AL6903" s="14"/>
      <c r="AM6903" s="14"/>
      <c r="AN6903" s="14"/>
      <c r="AO6903" s="14"/>
      <c r="AP6903" s="14"/>
      <c r="AQ6903" s="14">
        <v>11000</v>
      </c>
      <c r="AR6903" s="14"/>
      <c r="AS6903" s="14"/>
      <c r="AT6903" s="14"/>
      <c r="AU6903" s="14"/>
      <c r="AV6903" s="14"/>
      <c r="AW6903" s="15">
        <f t="shared" si="1357"/>
        <v>11000</v>
      </c>
      <c r="AX6903" s="16"/>
    </row>
    <row r="6904" spans="1:51" x14ac:dyDescent="0.2">
      <c r="B6904" s="7"/>
      <c r="C6904" s="8"/>
      <c r="D6904" s="9"/>
      <c r="E6904" s="10" t="str">
        <f t="shared" ref="E6904" si="1364">IF(D6904=0,"",VLOOKUP(D6904,BASE,2,FALSE))</f>
        <v/>
      </c>
      <c r="F6904" s="10" t="str">
        <f t="shared" ref="F6904" si="1365">IF(D6904=0,"",VLOOKUP(D6904,BASE,3,FALSE))</f>
        <v/>
      </c>
      <c r="G6904" s="8"/>
      <c r="H6904" s="11"/>
      <c r="I6904" s="12"/>
      <c r="J6904" s="35">
        <f t="shared" ref="J6904" si="1366">IF(G6904=1,SUM(W6904,AJ6904,AW6904,-H6904),0)</f>
        <v>0</v>
      </c>
      <c r="K6904" s="36"/>
      <c r="L6904" s="36"/>
      <c r="M6904" s="36"/>
      <c r="N6904" s="36"/>
      <c r="O6904" s="36"/>
      <c r="P6904" s="36"/>
      <c r="Q6904" s="36"/>
      <c r="R6904" s="36"/>
      <c r="S6904" s="36"/>
      <c r="T6904" s="36"/>
      <c r="U6904" s="36"/>
      <c r="V6904" s="36"/>
      <c r="W6904" s="15">
        <f t="shared" ref="W6904" si="1367">SUM(K6904:V6904)</f>
        <v>0</v>
      </c>
      <c r="X6904" s="36"/>
      <c r="Y6904" s="36"/>
      <c r="Z6904" s="36"/>
      <c r="AA6904" s="36"/>
      <c r="AB6904" s="36"/>
      <c r="AC6904" s="36"/>
      <c r="AD6904" s="36"/>
      <c r="AE6904" s="36"/>
      <c r="AF6904" s="36"/>
      <c r="AG6904" s="36"/>
      <c r="AH6904" s="36"/>
      <c r="AI6904" s="36"/>
      <c r="AJ6904" s="15">
        <f t="shared" ref="AJ6904" si="1368">SUM(X6904:AI6904)</f>
        <v>0</v>
      </c>
      <c r="AK6904" s="14"/>
      <c r="AL6904" s="14"/>
      <c r="AM6904" s="14"/>
      <c r="AN6904" s="14"/>
      <c r="AO6904" s="14"/>
      <c r="AP6904" s="14"/>
      <c r="AQ6904" s="14"/>
      <c r="AR6904" s="14"/>
      <c r="AS6904" s="14"/>
      <c r="AT6904" s="14"/>
      <c r="AU6904" s="14"/>
      <c r="AV6904" s="14"/>
      <c r="AW6904" s="15">
        <f t="shared" ref="AW6904" si="1369">SUM(AK6904:AV6904)</f>
        <v>0</v>
      </c>
      <c r="AX6904" s="16"/>
    </row>
    <row r="6905" spans="1:51" x14ac:dyDescent="0.2">
      <c r="B6905" s="7"/>
      <c r="C6905" s="8"/>
      <c r="D6905" s="9"/>
      <c r="E6905" s="10" t="str">
        <f t="shared" ref="E6905:E6908" si="1370">IF(D6905=0,"",VLOOKUP(D6905,BASE,2,FALSE))</f>
        <v/>
      </c>
      <c r="F6905" s="10" t="str">
        <f t="shared" ref="F6905:F6908" si="1371">IF(D6905=0,"",VLOOKUP(D6905,BASE,3,FALSE))</f>
        <v/>
      </c>
      <c r="G6905" s="8"/>
      <c r="H6905" s="11"/>
      <c r="I6905" s="12"/>
      <c r="J6905" s="35">
        <f t="shared" ref="J6905:J6908" si="1372">IF(G6905=1,SUM(W6905,AJ6905,AW6905,-H6905),0)</f>
        <v>0</v>
      </c>
      <c r="K6905" s="36"/>
      <c r="L6905" s="36"/>
      <c r="M6905" s="36"/>
      <c r="N6905" s="36"/>
      <c r="O6905" s="36"/>
      <c r="P6905" s="36"/>
      <c r="Q6905" s="36"/>
      <c r="R6905" s="36"/>
      <c r="S6905" s="36"/>
      <c r="T6905" s="36"/>
      <c r="U6905" s="36"/>
      <c r="V6905" s="36"/>
      <c r="W6905" s="15">
        <f t="shared" ref="W6905:W6908" si="1373">SUM(K6905:V6905)</f>
        <v>0</v>
      </c>
      <c r="X6905" s="36"/>
      <c r="Y6905" s="36"/>
      <c r="Z6905" s="36"/>
      <c r="AA6905" s="36"/>
      <c r="AB6905" s="36"/>
      <c r="AC6905" s="36"/>
      <c r="AD6905" s="36"/>
      <c r="AE6905" s="36"/>
      <c r="AF6905" s="36"/>
      <c r="AG6905" s="36"/>
      <c r="AH6905" s="36"/>
      <c r="AI6905" s="36"/>
      <c r="AJ6905" s="15">
        <f t="shared" ref="AJ6905:AJ6908" si="1374">SUM(X6905:AI6905)</f>
        <v>0</v>
      </c>
      <c r="AK6905" s="14"/>
      <c r="AL6905" s="14"/>
      <c r="AM6905" s="14"/>
      <c r="AN6905" s="14"/>
      <c r="AO6905" s="14"/>
      <c r="AP6905" s="14"/>
      <c r="AQ6905" s="14"/>
      <c r="AR6905" s="14"/>
      <c r="AS6905" s="14"/>
      <c r="AT6905" s="14"/>
      <c r="AU6905" s="14"/>
      <c r="AV6905" s="14"/>
      <c r="AW6905" s="15">
        <f t="shared" ref="AW6905:AW6908" si="1375">SUM(AK6905:AV6905)</f>
        <v>0</v>
      </c>
      <c r="AX6905" s="16"/>
    </row>
    <row r="6906" spans="1:51" ht="22.5" x14ac:dyDescent="0.2">
      <c r="A6906" s="2"/>
      <c r="B6906" s="3" t="s">
        <v>1</v>
      </c>
      <c r="C6906" s="3" t="s">
        <v>2</v>
      </c>
      <c r="D6906" s="3" t="s">
        <v>3</v>
      </c>
      <c r="E6906" s="337" t="s">
        <v>4</v>
      </c>
      <c r="F6906" s="337" t="s">
        <v>5</v>
      </c>
      <c r="G6906" s="3" t="s">
        <v>6</v>
      </c>
      <c r="H6906" s="3" t="s">
        <v>7</v>
      </c>
      <c r="I6906" s="3" t="s">
        <v>8</v>
      </c>
      <c r="J6906" s="337" t="s">
        <v>9</v>
      </c>
      <c r="K6906" s="4" t="s">
        <v>10</v>
      </c>
      <c r="L6906" s="4" t="s">
        <v>11</v>
      </c>
      <c r="M6906" s="4" t="s">
        <v>12</v>
      </c>
      <c r="N6906" s="4" t="s">
        <v>13</v>
      </c>
      <c r="O6906" s="4" t="s">
        <v>14</v>
      </c>
      <c r="P6906" s="4" t="s">
        <v>15</v>
      </c>
      <c r="Q6906" s="4" t="s">
        <v>16</v>
      </c>
      <c r="R6906" s="4" t="s">
        <v>17</v>
      </c>
      <c r="S6906" s="4" t="s">
        <v>18</v>
      </c>
      <c r="T6906" s="4" t="s">
        <v>19</v>
      </c>
      <c r="U6906" s="4" t="s">
        <v>20</v>
      </c>
      <c r="V6906" s="4" t="s">
        <v>21</v>
      </c>
      <c r="W6906" s="338" t="s">
        <v>22</v>
      </c>
      <c r="X6906" s="4" t="s">
        <v>23</v>
      </c>
      <c r="Y6906" s="4" t="s">
        <v>24</v>
      </c>
      <c r="Z6906" s="4" t="s">
        <v>25</v>
      </c>
      <c r="AA6906" s="4" t="s">
        <v>26</v>
      </c>
      <c r="AB6906" s="4" t="s">
        <v>27</v>
      </c>
      <c r="AC6906" s="4" t="s">
        <v>28</v>
      </c>
      <c r="AD6906" s="4" t="s">
        <v>29</v>
      </c>
      <c r="AE6906" s="4" t="s">
        <v>30</v>
      </c>
      <c r="AF6906" s="4" t="s">
        <v>31</v>
      </c>
      <c r="AG6906" s="4" t="s">
        <v>32</v>
      </c>
      <c r="AH6906" s="4" t="s">
        <v>33</v>
      </c>
      <c r="AI6906" s="4" t="s">
        <v>34</v>
      </c>
      <c r="AJ6906" s="338" t="s">
        <v>35</v>
      </c>
      <c r="AK6906" s="4" t="s">
        <v>4607</v>
      </c>
      <c r="AL6906" s="4" t="s">
        <v>4608</v>
      </c>
      <c r="AM6906" s="4" t="s">
        <v>4609</v>
      </c>
      <c r="AN6906" s="4" t="s">
        <v>4610</v>
      </c>
      <c r="AO6906" s="4" t="s">
        <v>4611</v>
      </c>
      <c r="AP6906" s="4" t="s">
        <v>4612</v>
      </c>
      <c r="AQ6906" s="4" t="s">
        <v>4613</v>
      </c>
      <c r="AR6906" s="4" t="s">
        <v>4614</v>
      </c>
      <c r="AS6906" s="4" t="s">
        <v>4615</v>
      </c>
      <c r="AT6906" s="4" t="s">
        <v>4616</v>
      </c>
      <c r="AU6906" s="4" t="s">
        <v>4617</v>
      </c>
      <c r="AV6906" s="4" t="s">
        <v>4618</v>
      </c>
      <c r="AW6906" s="338" t="s">
        <v>4619</v>
      </c>
      <c r="AX6906" s="6" t="s">
        <v>36</v>
      </c>
    </row>
    <row r="6907" spans="1:51" x14ac:dyDescent="0.2">
      <c r="B6907" s="7"/>
      <c r="C6907" s="8">
        <v>16970</v>
      </c>
      <c r="D6907" s="9" t="s">
        <v>202</v>
      </c>
      <c r="E6907" s="10" t="str">
        <f t="shared" si="1370"/>
        <v>Rancho Estanzuela No. 25</v>
      </c>
      <c r="F6907" s="10" t="str">
        <f t="shared" si="1371"/>
        <v>Contreras Figueroa</v>
      </c>
      <c r="G6907" s="8">
        <v>3</v>
      </c>
      <c r="H6907" s="11">
        <v>200</v>
      </c>
      <c r="I6907" s="12">
        <v>43313</v>
      </c>
      <c r="J6907" s="35">
        <f t="shared" si="1372"/>
        <v>0</v>
      </c>
      <c r="K6907" s="36"/>
      <c r="L6907" s="36"/>
      <c r="M6907" s="36"/>
      <c r="N6907" s="36"/>
      <c r="O6907" s="36"/>
      <c r="P6907" s="36"/>
      <c r="Q6907" s="36"/>
      <c r="R6907" s="36"/>
      <c r="S6907" s="36"/>
      <c r="T6907" s="36"/>
      <c r="U6907" s="36"/>
      <c r="V6907" s="36"/>
      <c r="W6907" s="15">
        <f t="shared" si="1373"/>
        <v>0</v>
      </c>
      <c r="X6907" s="36"/>
      <c r="Y6907" s="36"/>
      <c r="Z6907" s="36"/>
      <c r="AA6907" s="36"/>
      <c r="AB6907" s="36"/>
      <c r="AC6907" s="36"/>
      <c r="AD6907" s="36"/>
      <c r="AE6907" s="36"/>
      <c r="AF6907" s="36"/>
      <c r="AG6907" s="36"/>
      <c r="AH6907" s="36"/>
      <c r="AI6907" s="36"/>
      <c r="AJ6907" s="15">
        <f t="shared" si="1374"/>
        <v>0</v>
      </c>
      <c r="AK6907" s="14"/>
      <c r="AL6907" s="14"/>
      <c r="AM6907" s="14"/>
      <c r="AN6907" s="14"/>
      <c r="AO6907" s="14"/>
      <c r="AP6907" s="14"/>
      <c r="AQ6907" s="14"/>
      <c r="AR6907" s="14"/>
      <c r="AS6907" s="14"/>
      <c r="AT6907" s="14"/>
      <c r="AU6907" s="14"/>
      <c r="AV6907" s="14"/>
      <c r="AW6907" s="15">
        <f t="shared" si="1375"/>
        <v>0</v>
      </c>
      <c r="AX6907" s="16"/>
    </row>
    <row r="6908" spans="1:51" x14ac:dyDescent="0.2">
      <c r="B6908" s="7"/>
      <c r="C6908" s="8">
        <v>16971</v>
      </c>
      <c r="D6908" s="9" t="s">
        <v>162</v>
      </c>
      <c r="E6908" s="10" t="str">
        <f t="shared" si="1370"/>
        <v>Rancho La Cuchilla No. 20</v>
      </c>
      <c r="F6908" s="10" t="str">
        <f t="shared" si="1371"/>
        <v>Sánchez López</v>
      </c>
      <c r="G6908" s="8">
        <v>3</v>
      </c>
      <c r="H6908" s="11">
        <v>200</v>
      </c>
      <c r="I6908" s="12">
        <v>43313</v>
      </c>
      <c r="J6908" s="35">
        <f t="shared" si="1372"/>
        <v>0</v>
      </c>
      <c r="K6908" s="36"/>
      <c r="L6908" s="36"/>
      <c r="M6908" s="36"/>
      <c r="N6908" s="36"/>
      <c r="O6908" s="36"/>
      <c r="P6908" s="36"/>
      <c r="Q6908" s="36"/>
      <c r="R6908" s="36"/>
      <c r="S6908" s="36"/>
      <c r="T6908" s="36"/>
      <c r="U6908" s="36"/>
      <c r="V6908" s="36"/>
      <c r="W6908" s="15">
        <f t="shared" si="1373"/>
        <v>0</v>
      </c>
      <c r="X6908" s="36"/>
      <c r="Y6908" s="36"/>
      <c r="Z6908" s="36"/>
      <c r="AA6908" s="36"/>
      <c r="AB6908" s="36"/>
      <c r="AC6908" s="36"/>
      <c r="AD6908" s="36"/>
      <c r="AE6908" s="36"/>
      <c r="AF6908" s="36"/>
      <c r="AG6908" s="36"/>
      <c r="AH6908" s="36"/>
      <c r="AI6908" s="36"/>
      <c r="AJ6908" s="15">
        <f t="shared" si="1374"/>
        <v>0</v>
      </c>
      <c r="AK6908" s="14"/>
      <c r="AL6908" s="14"/>
      <c r="AM6908" s="14"/>
      <c r="AN6908" s="14"/>
      <c r="AO6908" s="14"/>
      <c r="AP6908" s="14"/>
      <c r="AQ6908" s="14"/>
      <c r="AR6908" s="14"/>
      <c r="AS6908" s="14"/>
      <c r="AT6908" s="14"/>
      <c r="AU6908" s="14"/>
      <c r="AV6908" s="14"/>
      <c r="AW6908" s="15">
        <f t="shared" si="1375"/>
        <v>0</v>
      </c>
      <c r="AX6908" s="16"/>
    </row>
    <row r="6909" spans="1:51" x14ac:dyDescent="0.2">
      <c r="B6909" s="7"/>
      <c r="C6909" s="8">
        <v>16972</v>
      </c>
      <c r="D6909" s="9" t="s">
        <v>199</v>
      </c>
      <c r="E6909" s="10" t="str">
        <f t="shared" ref="E6909:E7081" si="1376">IF(D6909=0,"",VLOOKUP(D6909,BASE,2,FALSE))</f>
        <v>Rancho Estanzuela No. 135</v>
      </c>
      <c r="F6909" s="10" t="str">
        <f t="shared" ref="F6909:F7081" si="1377">IF(D6909=0,"",VLOOKUP(D6909,BASE,3,FALSE))</f>
        <v>Iglesias</v>
      </c>
      <c r="G6909" s="8">
        <v>1</v>
      </c>
      <c r="H6909" s="11">
        <v>800</v>
      </c>
      <c r="I6909" s="12">
        <v>43313</v>
      </c>
      <c r="J6909" s="35">
        <f t="shared" ref="J6909:J7081" si="1378">IF(G6909=1,SUM(W6909,AJ6909,AW6909,-H6909),0)</f>
        <v>0</v>
      </c>
      <c r="K6909" s="36"/>
      <c r="L6909" s="36"/>
      <c r="M6909" s="36"/>
      <c r="N6909" s="36"/>
      <c r="O6909" s="36"/>
      <c r="P6909" s="36"/>
      <c r="Q6909" s="36"/>
      <c r="R6909" s="36"/>
      <c r="S6909" s="36"/>
      <c r="T6909" s="36"/>
      <c r="U6909" s="36"/>
      <c r="V6909" s="36"/>
      <c r="W6909" s="15">
        <f t="shared" ref="W6909:W7081" si="1379">SUM(K6909:V6909)</f>
        <v>0</v>
      </c>
      <c r="X6909" s="36"/>
      <c r="Y6909" s="36"/>
      <c r="Z6909" s="36"/>
      <c r="AA6909" s="36"/>
      <c r="AB6909" s="36"/>
      <c r="AC6909" s="36"/>
      <c r="AD6909" s="36"/>
      <c r="AE6909" s="36"/>
      <c r="AF6909" s="36"/>
      <c r="AG6909" s="36"/>
      <c r="AH6909" s="36"/>
      <c r="AI6909" s="36"/>
      <c r="AJ6909" s="15">
        <f t="shared" ref="AJ6909:AJ7081" si="1380">SUM(X6909:AI6909)</f>
        <v>0</v>
      </c>
      <c r="AK6909" s="14"/>
      <c r="AL6909" s="14"/>
      <c r="AM6909" s="14"/>
      <c r="AN6909" s="14"/>
      <c r="AO6909" s="14"/>
      <c r="AP6909" s="14">
        <v>400</v>
      </c>
      <c r="AQ6909" s="14">
        <v>400</v>
      </c>
      <c r="AR6909" s="14"/>
      <c r="AS6909" s="14"/>
      <c r="AT6909" s="14"/>
      <c r="AU6909" s="14"/>
      <c r="AV6909" s="14"/>
      <c r="AW6909" s="15">
        <f t="shared" ref="AW6909:AW7081" si="1381">SUM(AK6909:AV6909)</f>
        <v>800</v>
      </c>
      <c r="AX6909" s="16"/>
    </row>
    <row r="6910" spans="1:51" x14ac:dyDescent="0.2">
      <c r="B6910" s="7"/>
      <c r="C6910" s="8">
        <v>16973</v>
      </c>
      <c r="D6910" s="9" t="s">
        <v>205</v>
      </c>
      <c r="E6910" s="10" t="str">
        <f t="shared" ref="E6910:E6930" si="1382">IF(D6910=0,"",VLOOKUP(D6910,BASE,2,FALSE))</f>
        <v>Rancho Landero No. 1, A</v>
      </c>
      <c r="F6910" s="10" t="str">
        <f t="shared" ref="F6910:F6930" si="1383">IF(D6910=0,"",VLOOKUP(D6910,BASE,3,FALSE))</f>
        <v>Ebysos</v>
      </c>
      <c r="G6910" s="8">
        <v>1</v>
      </c>
      <c r="H6910" s="11">
        <v>600</v>
      </c>
      <c r="I6910" s="12">
        <v>43313</v>
      </c>
      <c r="J6910" s="35">
        <f t="shared" ref="J6910:J6930" si="1384">IF(G6910=1,SUM(W6910,AJ6910,AW6910,-H6910),0)</f>
        <v>0</v>
      </c>
      <c r="K6910" s="36"/>
      <c r="L6910" s="36"/>
      <c r="M6910" s="36"/>
      <c r="N6910" s="36"/>
      <c r="O6910" s="36"/>
      <c r="P6910" s="36"/>
      <c r="Q6910" s="36"/>
      <c r="R6910" s="36"/>
      <c r="S6910" s="36"/>
      <c r="T6910" s="36"/>
      <c r="U6910" s="36"/>
      <c r="V6910" s="36"/>
      <c r="W6910" s="15">
        <f t="shared" ref="W6910:W6930" si="1385">SUM(K6910:V6910)</f>
        <v>0</v>
      </c>
      <c r="X6910" s="36"/>
      <c r="Y6910" s="36"/>
      <c r="Z6910" s="36"/>
      <c r="AA6910" s="36"/>
      <c r="AB6910" s="36"/>
      <c r="AC6910" s="36"/>
      <c r="AD6910" s="36"/>
      <c r="AE6910" s="36"/>
      <c r="AF6910" s="36"/>
      <c r="AG6910" s="36"/>
      <c r="AH6910" s="36"/>
      <c r="AI6910" s="36"/>
      <c r="AJ6910" s="15">
        <f t="shared" ref="AJ6910:AJ6930" si="1386">SUM(X6910:AI6910)</f>
        <v>0</v>
      </c>
      <c r="AK6910" s="14"/>
      <c r="AL6910" s="14"/>
      <c r="AM6910" s="14"/>
      <c r="AN6910" s="14"/>
      <c r="AO6910" s="14"/>
      <c r="AP6910" s="14"/>
      <c r="AQ6910" s="14">
        <v>600</v>
      </c>
      <c r="AR6910" s="14"/>
      <c r="AS6910" s="14"/>
      <c r="AT6910" s="14"/>
      <c r="AU6910" s="14"/>
      <c r="AV6910" s="14"/>
      <c r="AW6910" s="15">
        <f t="shared" ref="AW6910:AW6930" si="1387">SUM(AK6910:AV6910)</f>
        <v>600</v>
      </c>
      <c r="AX6910" s="16"/>
    </row>
    <row r="6911" spans="1:51" x14ac:dyDescent="0.2">
      <c r="B6911" s="7"/>
      <c r="C6911" s="8">
        <v>16974</v>
      </c>
      <c r="D6911" s="9" t="s">
        <v>1100</v>
      </c>
      <c r="E6911" s="10" t="str">
        <f t="shared" si="1382"/>
        <v>Rancho Upácuaro No. 45</v>
      </c>
      <c r="F6911" s="10" t="str">
        <f t="shared" si="1383"/>
        <v>Enrique Vázquez</v>
      </c>
      <c r="G6911" s="8">
        <v>1</v>
      </c>
      <c r="H6911" s="11">
        <v>500</v>
      </c>
      <c r="I6911" s="12">
        <v>43315</v>
      </c>
      <c r="J6911" s="35">
        <f t="shared" si="1384"/>
        <v>0</v>
      </c>
      <c r="K6911" s="36"/>
      <c r="L6911" s="36"/>
      <c r="M6911" s="36"/>
      <c r="N6911" s="36"/>
      <c r="O6911" s="36"/>
      <c r="P6911" s="36"/>
      <c r="Q6911" s="36"/>
      <c r="R6911" s="36"/>
      <c r="S6911" s="36"/>
      <c r="T6911" s="36"/>
      <c r="U6911" s="36"/>
      <c r="V6911" s="36"/>
      <c r="W6911" s="15">
        <f t="shared" si="1385"/>
        <v>0</v>
      </c>
      <c r="X6911" s="36"/>
      <c r="Y6911" s="36"/>
      <c r="Z6911" s="36"/>
      <c r="AA6911" s="36"/>
      <c r="AB6911" s="36"/>
      <c r="AC6911" s="36"/>
      <c r="AD6911" s="36"/>
      <c r="AE6911" s="36"/>
      <c r="AF6911" s="36"/>
      <c r="AG6911" s="36"/>
      <c r="AH6911" s="36"/>
      <c r="AI6911" s="36"/>
      <c r="AJ6911" s="15">
        <f t="shared" si="1386"/>
        <v>0</v>
      </c>
      <c r="AK6911" s="14"/>
      <c r="AL6911" s="14"/>
      <c r="AM6911" s="14"/>
      <c r="AN6911" s="14">
        <v>100</v>
      </c>
      <c r="AO6911" s="14">
        <v>100</v>
      </c>
      <c r="AP6911" s="14">
        <v>100</v>
      </c>
      <c r="AQ6911" s="14">
        <v>100</v>
      </c>
      <c r="AR6911" s="14">
        <v>100</v>
      </c>
      <c r="AS6911" s="14"/>
      <c r="AT6911" s="14"/>
      <c r="AU6911" s="14"/>
      <c r="AV6911" s="14"/>
      <c r="AW6911" s="15">
        <f t="shared" si="1387"/>
        <v>500</v>
      </c>
      <c r="AX6911" s="16"/>
    </row>
    <row r="6912" spans="1:51" x14ac:dyDescent="0.2">
      <c r="B6912" s="7"/>
      <c r="C6912" s="8">
        <v>16975</v>
      </c>
      <c r="D6912" s="9" t="s">
        <v>1346</v>
      </c>
      <c r="E6912" s="10" t="str">
        <f t="shared" si="1382"/>
        <v>Rancho Estanzuela No. 123</v>
      </c>
      <c r="F6912" s="10" t="str">
        <f t="shared" si="1383"/>
        <v>Bueno Rendón</v>
      </c>
      <c r="G6912" s="8">
        <v>1</v>
      </c>
      <c r="H6912" s="11">
        <v>1000</v>
      </c>
      <c r="I6912" s="12">
        <v>43317</v>
      </c>
      <c r="J6912" s="35">
        <f t="shared" si="1384"/>
        <v>0</v>
      </c>
      <c r="K6912" s="36"/>
      <c r="L6912" s="36"/>
      <c r="M6912" s="36"/>
      <c r="N6912" s="36"/>
      <c r="O6912" s="36"/>
      <c r="P6912" s="36"/>
      <c r="Q6912" s="36"/>
      <c r="R6912" s="36"/>
      <c r="S6912" s="36"/>
      <c r="T6912" s="36"/>
      <c r="U6912" s="36"/>
      <c r="V6912" s="36"/>
      <c r="W6912" s="15">
        <f t="shared" si="1385"/>
        <v>0</v>
      </c>
      <c r="X6912" s="36"/>
      <c r="Y6912" s="36"/>
      <c r="Z6912" s="36"/>
      <c r="AA6912" s="36"/>
      <c r="AB6912" s="36"/>
      <c r="AC6912" s="36"/>
      <c r="AD6912" s="36"/>
      <c r="AE6912" s="36"/>
      <c r="AF6912" s="36"/>
      <c r="AG6912" s="36"/>
      <c r="AH6912" s="36"/>
      <c r="AI6912" s="36"/>
      <c r="AJ6912" s="15">
        <f t="shared" si="1386"/>
        <v>0</v>
      </c>
      <c r="AK6912" s="14"/>
      <c r="AL6912" s="14"/>
      <c r="AM6912" s="14"/>
      <c r="AN6912" s="14">
        <v>200</v>
      </c>
      <c r="AO6912" s="14">
        <v>200</v>
      </c>
      <c r="AP6912" s="14">
        <v>200</v>
      </c>
      <c r="AQ6912" s="14">
        <v>200</v>
      </c>
      <c r="AR6912" s="14">
        <v>200</v>
      </c>
      <c r="AS6912" s="14"/>
      <c r="AT6912" s="14"/>
      <c r="AU6912" s="14"/>
      <c r="AV6912" s="14"/>
      <c r="AW6912" s="15">
        <f t="shared" si="1387"/>
        <v>1000</v>
      </c>
      <c r="AX6912" s="16"/>
    </row>
    <row r="6913" spans="2:50" x14ac:dyDescent="0.2">
      <c r="B6913" s="7"/>
      <c r="C6913" s="8">
        <v>16976</v>
      </c>
      <c r="D6913" s="9" t="s">
        <v>280</v>
      </c>
      <c r="E6913" s="10" t="str">
        <f t="shared" si="1382"/>
        <v>Rancho La Cuchilla No. 40</v>
      </c>
      <c r="F6913" s="10" t="str">
        <f t="shared" si="1383"/>
        <v>López Pico</v>
      </c>
      <c r="G6913" s="8">
        <v>1</v>
      </c>
      <c r="H6913" s="11">
        <v>400</v>
      </c>
      <c r="I6913" s="12">
        <v>43317</v>
      </c>
      <c r="J6913" s="35">
        <f t="shared" si="1384"/>
        <v>0</v>
      </c>
      <c r="K6913" s="36"/>
      <c r="L6913" s="36"/>
      <c r="M6913" s="36"/>
      <c r="N6913" s="36"/>
      <c r="O6913" s="36"/>
      <c r="P6913" s="36"/>
      <c r="Q6913" s="36"/>
      <c r="R6913" s="36"/>
      <c r="S6913" s="36"/>
      <c r="T6913" s="36"/>
      <c r="U6913" s="36"/>
      <c r="V6913" s="36"/>
      <c r="W6913" s="15">
        <f t="shared" si="1385"/>
        <v>0</v>
      </c>
      <c r="X6913" s="36"/>
      <c r="Y6913" s="36"/>
      <c r="Z6913" s="36"/>
      <c r="AA6913" s="36"/>
      <c r="AB6913" s="36"/>
      <c r="AC6913" s="36"/>
      <c r="AD6913" s="36"/>
      <c r="AE6913" s="36"/>
      <c r="AF6913" s="36"/>
      <c r="AG6913" s="36"/>
      <c r="AH6913" s="36"/>
      <c r="AI6913" s="36"/>
      <c r="AJ6913" s="15">
        <f t="shared" si="1386"/>
        <v>0</v>
      </c>
      <c r="AK6913" s="14"/>
      <c r="AL6913" s="14"/>
      <c r="AM6913" s="14"/>
      <c r="AN6913" s="14"/>
      <c r="AO6913" s="14"/>
      <c r="AP6913" s="14"/>
      <c r="AQ6913" s="14"/>
      <c r="AR6913" s="14">
        <v>400</v>
      </c>
      <c r="AS6913" s="14"/>
      <c r="AT6913" s="14"/>
      <c r="AU6913" s="14"/>
      <c r="AV6913" s="14"/>
      <c r="AW6913" s="15">
        <f t="shared" si="1387"/>
        <v>400</v>
      </c>
      <c r="AX6913" s="16"/>
    </row>
    <row r="6914" spans="2:50" x14ac:dyDescent="0.2">
      <c r="B6914" s="7"/>
      <c r="C6914" s="8">
        <v>16977</v>
      </c>
      <c r="D6914" s="9" t="s">
        <v>202</v>
      </c>
      <c r="E6914" s="10" t="str">
        <f t="shared" si="1382"/>
        <v>Rancho Estanzuela No. 25</v>
      </c>
      <c r="F6914" s="10" t="str">
        <f t="shared" si="1383"/>
        <v>Contreras Figueroa</v>
      </c>
      <c r="G6914" s="8">
        <v>1</v>
      </c>
      <c r="H6914" s="11">
        <v>400</v>
      </c>
      <c r="I6914" s="12">
        <v>43317</v>
      </c>
      <c r="J6914" s="35">
        <f t="shared" si="1384"/>
        <v>0</v>
      </c>
      <c r="K6914" s="36"/>
      <c r="L6914" s="36"/>
      <c r="M6914" s="36"/>
      <c r="N6914" s="36"/>
      <c r="O6914" s="36"/>
      <c r="P6914" s="36"/>
      <c r="Q6914" s="36"/>
      <c r="R6914" s="36"/>
      <c r="S6914" s="36"/>
      <c r="T6914" s="36"/>
      <c r="U6914" s="36"/>
      <c r="V6914" s="36"/>
      <c r="W6914" s="15">
        <f t="shared" si="1385"/>
        <v>0</v>
      </c>
      <c r="X6914" s="36"/>
      <c r="Y6914" s="36"/>
      <c r="Z6914" s="36"/>
      <c r="AA6914" s="36"/>
      <c r="AB6914" s="36"/>
      <c r="AC6914" s="36"/>
      <c r="AD6914" s="36"/>
      <c r="AE6914" s="36"/>
      <c r="AF6914" s="36"/>
      <c r="AG6914" s="36"/>
      <c r="AH6914" s="36"/>
      <c r="AI6914" s="36"/>
      <c r="AJ6914" s="15">
        <f t="shared" si="1386"/>
        <v>0</v>
      </c>
      <c r="AK6914" s="14"/>
      <c r="AL6914" s="14"/>
      <c r="AM6914" s="14"/>
      <c r="AN6914" s="14"/>
      <c r="AO6914" s="14"/>
      <c r="AP6914" s="14"/>
      <c r="AQ6914" s="14"/>
      <c r="AR6914" s="14">
        <v>400</v>
      </c>
      <c r="AS6914" s="14"/>
      <c r="AT6914" s="14"/>
      <c r="AU6914" s="14"/>
      <c r="AV6914" s="14"/>
      <c r="AW6914" s="15">
        <f t="shared" si="1387"/>
        <v>400</v>
      </c>
      <c r="AX6914" s="16"/>
    </row>
    <row r="6915" spans="2:50" x14ac:dyDescent="0.2">
      <c r="B6915" s="7"/>
      <c r="C6915" s="8">
        <v>16978</v>
      </c>
      <c r="D6915" s="9" t="s">
        <v>307</v>
      </c>
      <c r="E6915" s="10" t="str">
        <f t="shared" si="1382"/>
        <v>Rancho Landero No. 83</v>
      </c>
      <c r="F6915" s="10" t="str">
        <f t="shared" si="1383"/>
        <v>Aguilar</v>
      </c>
      <c r="G6915" s="8">
        <v>1</v>
      </c>
      <c r="H6915" s="11">
        <v>350</v>
      </c>
      <c r="I6915" s="12">
        <v>43317</v>
      </c>
      <c r="J6915" s="35">
        <f t="shared" si="1384"/>
        <v>0</v>
      </c>
      <c r="K6915" s="36"/>
      <c r="L6915" s="36"/>
      <c r="M6915" s="36"/>
      <c r="N6915" s="36"/>
      <c r="O6915" s="36"/>
      <c r="P6915" s="36"/>
      <c r="Q6915" s="36"/>
      <c r="R6915" s="36"/>
      <c r="S6915" s="36"/>
      <c r="T6915" s="36"/>
      <c r="U6915" s="36"/>
      <c r="V6915" s="36"/>
      <c r="W6915" s="15">
        <f t="shared" si="1385"/>
        <v>0</v>
      </c>
      <c r="X6915" s="36"/>
      <c r="Y6915" s="36"/>
      <c r="Z6915" s="36"/>
      <c r="AA6915" s="36"/>
      <c r="AB6915" s="36"/>
      <c r="AC6915" s="36"/>
      <c r="AD6915" s="36"/>
      <c r="AE6915" s="36"/>
      <c r="AF6915" s="36"/>
      <c r="AG6915" s="36"/>
      <c r="AH6915" s="36"/>
      <c r="AI6915" s="36"/>
      <c r="AJ6915" s="15">
        <f t="shared" si="1386"/>
        <v>0</v>
      </c>
      <c r="AK6915" s="14"/>
      <c r="AL6915" s="14"/>
      <c r="AM6915" s="14"/>
      <c r="AN6915" s="14"/>
      <c r="AO6915" s="14"/>
      <c r="AP6915" s="14"/>
      <c r="AQ6915" s="14"/>
      <c r="AR6915" s="14">
        <v>350</v>
      </c>
      <c r="AS6915" s="14"/>
      <c r="AT6915" s="14"/>
      <c r="AU6915" s="14"/>
      <c r="AV6915" s="14"/>
      <c r="AW6915" s="15">
        <f t="shared" si="1387"/>
        <v>350</v>
      </c>
      <c r="AX6915" s="16"/>
    </row>
    <row r="6916" spans="2:50" x14ac:dyDescent="0.2">
      <c r="B6916" s="7"/>
      <c r="C6916" s="8">
        <v>16979</v>
      </c>
      <c r="D6916" s="9" t="s">
        <v>562</v>
      </c>
      <c r="E6916" s="10" t="str">
        <f t="shared" si="1382"/>
        <v>Rancho Upácuaro No. 87</v>
      </c>
      <c r="F6916" s="10" t="str">
        <f t="shared" si="1383"/>
        <v>Rodríguez Parés</v>
      </c>
      <c r="G6916" s="8">
        <v>1</v>
      </c>
      <c r="H6916" s="11">
        <v>400</v>
      </c>
      <c r="I6916" s="12">
        <v>43317</v>
      </c>
      <c r="J6916" s="35">
        <f t="shared" si="1384"/>
        <v>0</v>
      </c>
      <c r="K6916" s="36"/>
      <c r="L6916" s="36"/>
      <c r="M6916" s="36"/>
      <c r="N6916" s="36"/>
      <c r="O6916" s="36"/>
      <c r="P6916" s="36"/>
      <c r="Q6916" s="36"/>
      <c r="R6916" s="36"/>
      <c r="S6916" s="36"/>
      <c r="T6916" s="36"/>
      <c r="U6916" s="36"/>
      <c r="V6916" s="36"/>
      <c r="W6916" s="15">
        <f t="shared" si="1385"/>
        <v>0</v>
      </c>
      <c r="X6916" s="36"/>
      <c r="Y6916" s="36"/>
      <c r="Z6916" s="36"/>
      <c r="AA6916" s="36"/>
      <c r="AB6916" s="36"/>
      <c r="AC6916" s="36"/>
      <c r="AD6916" s="36"/>
      <c r="AE6916" s="36"/>
      <c r="AF6916" s="36"/>
      <c r="AG6916" s="36"/>
      <c r="AH6916" s="36"/>
      <c r="AI6916" s="36"/>
      <c r="AJ6916" s="15">
        <f t="shared" si="1386"/>
        <v>0</v>
      </c>
      <c r="AK6916" s="14"/>
      <c r="AL6916" s="14"/>
      <c r="AM6916" s="14"/>
      <c r="AN6916" s="14"/>
      <c r="AO6916" s="14"/>
      <c r="AP6916" s="14"/>
      <c r="AQ6916" s="14"/>
      <c r="AR6916" s="14">
        <v>400</v>
      </c>
      <c r="AS6916" s="14"/>
      <c r="AT6916" s="14"/>
      <c r="AU6916" s="14"/>
      <c r="AV6916" s="14"/>
      <c r="AW6916" s="15">
        <f t="shared" si="1387"/>
        <v>400</v>
      </c>
      <c r="AX6916" s="16"/>
    </row>
    <row r="6917" spans="2:50" x14ac:dyDescent="0.2">
      <c r="B6917" s="7"/>
      <c r="C6917" s="8">
        <v>16980</v>
      </c>
      <c r="D6917" s="9" t="s">
        <v>186</v>
      </c>
      <c r="E6917" s="10" t="str">
        <f t="shared" si="1382"/>
        <v>Rancho Upácuaro No. 100</v>
      </c>
      <c r="F6917" s="10" t="str">
        <f t="shared" si="1383"/>
        <v>Valdez</v>
      </c>
      <c r="G6917" s="8">
        <v>1</v>
      </c>
      <c r="H6917" s="11">
        <v>400</v>
      </c>
      <c r="I6917" s="12">
        <v>43317</v>
      </c>
      <c r="J6917" s="35">
        <f t="shared" si="1384"/>
        <v>0</v>
      </c>
      <c r="K6917" s="36"/>
      <c r="L6917" s="36"/>
      <c r="M6917" s="36"/>
      <c r="N6917" s="36"/>
      <c r="O6917" s="36"/>
      <c r="P6917" s="36"/>
      <c r="Q6917" s="36"/>
      <c r="R6917" s="36"/>
      <c r="S6917" s="36"/>
      <c r="T6917" s="36"/>
      <c r="U6917" s="36"/>
      <c r="V6917" s="36"/>
      <c r="W6917" s="15">
        <f t="shared" si="1385"/>
        <v>0</v>
      </c>
      <c r="X6917" s="36"/>
      <c r="Y6917" s="36"/>
      <c r="Z6917" s="36"/>
      <c r="AA6917" s="36"/>
      <c r="AB6917" s="36"/>
      <c r="AC6917" s="36"/>
      <c r="AD6917" s="36"/>
      <c r="AE6917" s="36"/>
      <c r="AF6917" s="36"/>
      <c r="AG6917" s="36"/>
      <c r="AH6917" s="36"/>
      <c r="AI6917" s="36"/>
      <c r="AJ6917" s="15">
        <f t="shared" si="1386"/>
        <v>0</v>
      </c>
      <c r="AK6917" s="14"/>
      <c r="AL6917" s="14"/>
      <c r="AM6917" s="14"/>
      <c r="AN6917" s="14"/>
      <c r="AO6917" s="14"/>
      <c r="AP6917" s="14"/>
      <c r="AQ6917" s="14">
        <v>400</v>
      </c>
      <c r="AR6917" s="14"/>
      <c r="AS6917" s="14"/>
      <c r="AT6917" s="14"/>
      <c r="AU6917" s="14"/>
      <c r="AV6917" s="14"/>
      <c r="AW6917" s="15">
        <f t="shared" si="1387"/>
        <v>400</v>
      </c>
      <c r="AX6917" s="16"/>
    </row>
    <row r="6918" spans="2:50" x14ac:dyDescent="0.2">
      <c r="B6918" s="7"/>
      <c r="C6918" s="8">
        <v>16981</v>
      </c>
      <c r="D6918" s="9" t="s">
        <v>262</v>
      </c>
      <c r="E6918" s="10" t="str">
        <f t="shared" si="1382"/>
        <v>Rancho Recoveco No. 1</v>
      </c>
      <c r="F6918" s="10" t="str">
        <f t="shared" si="1383"/>
        <v>Díaz</v>
      </c>
      <c r="G6918" s="8">
        <v>1</v>
      </c>
      <c r="H6918" s="11">
        <v>300</v>
      </c>
      <c r="I6918" s="12">
        <v>43317</v>
      </c>
      <c r="J6918" s="35">
        <f t="shared" si="1384"/>
        <v>0</v>
      </c>
      <c r="K6918" s="36"/>
      <c r="L6918" s="36"/>
      <c r="M6918" s="36"/>
      <c r="N6918" s="36"/>
      <c r="O6918" s="36"/>
      <c r="P6918" s="36"/>
      <c r="Q6918" s="36"/>
      <c r="R6918" s="36"/>
      <c r="S6918" s="36"/>
      <c r="T6918" s="36"/>
      <c r="U6918" s="36"/>
      <c r="V6918" s="36"/>
      <c r="W6918" s="15">
        <f t="shared" si="1385"/>
        <v>0</v>
      </c>
      <c r="X6918" s="36"/>
      <c r="Y6918" s="36"/>
      <c r="Z6918" s="36"/>
      <c r="AA6918" s="36"/>
      <c r="AB6918" s="36"/>
      <c r="AC6918" s="36"/>
      <c r="AD6918" s="36"/>
      <c r="AE6918" s="36"/>
      <c r="AF6918" s="36"/>
      <c r="AG6918" s="36"/>
      <c r="AH6918" s="36"/>
      <c r="AI6918" s="36"/>
      <c r="AJ6918" s="15">
        <f t="shared" si="1386"/>
        <v>0</v>
      </c>
      <c r="AK6918" s="14"/>
      <c r="AL6918" s="14"/>
      <c r="AM6918" s="14"/>
      <c r="AN6918" s="14"/>
      <c r="AO6918" s="14"/>
      <c r="AP6918" s="14"/>
      <c r="AQ6918" s="14"/>
      <c r="AR6918" s="14">
        <v>300</v>
      </c>
      <c r="AS6918" s="14"/>
      <c r="AT6918" s="14"/>
      <c r="AU6918" s="14"/>
      <c r="AV6918" s="14"/>
      <c r="AW6918" s="15">
        <f t="shared" si="1387"/>
        <v>300</v>
      </c>
      <c r="AX6918" s="16"/>
    </row>
    <row r="6919" spans="2:50" x14ac:dyDescent="0.2">
      <c r="B6919" s="7"/>
      <c r="C6919" s="8">
        <v>16982</v>
      </c>
      <c r="D6919" s="9" t="s">
        <v>238</v>
      </c>
      <c r="E6919" s="10" t="str">
        <f t="shared" si="1382"/>
        <v>Rancho La Cuchilla No. 43, B</v>
      </c>
      <c r="F6919" s="10" t="str">
        <f t="shared" si="1383"/>
        <v>Luna Albertano</v>
      </c>
      <c r="G6919" s="8">
        <v>1</v>
      </c>
      <c r="H6919" s="11">
        <v>125</v>
      </c>
      <c r="I6919" s="12">
        <v>43317</v>
      </c>
      <c r="J6919" s="35">
        <f t="shared" si="1384"/>
        <v>0</v>
      </c>
      <c r="K6919" s="36"/>
      <c r="L6919" s="36"/>
      <c r="M6919" s="36"/>
      <c r="N6919" s="36"/>
      <c r="O6919" s="36"/>
      <c r="P6919" s="36"/>
      <c r="Q6919" s="36"/>
      <c r="R6919" s="36"/>
      <c r="S6919" s="36"/>
      <c r="T6919" s="36"/>
      <c r="U6919" s="36"/>
      <c r="V6919" s="36"/>
      <c r="W6919" s="15">
        <f t="shared" si="1385"/>
        <v>0</v>
      </c>
      <c r="X6919" s="36"/>
      <c r="Y6919" s="36"/>
      <c r="Z6919" s="36"/>
      <c r="AA6919" s="36"/>
      <c r="AB6919" s="36"/>
      <c r="AC6919" s="36"/>
      <c r="AD6919" s="36"/>
      <c r="AE6919" s="36"/>
      <c r="AF6919" s="36"/>
      <c r="AG6919" s="36"/>
      <c r="AH6919" s="36"/>
      <c r="AI6919" s="36"/>
      <c r="AJ6919" s="15">
        <f t="shared" si="1386"/>
        <v>0</v>
      </c>
      <c r="AK6919" s="14"/>
      <c r="AL6919" s="14"/>
      <c r="AM6919" s="14"/>
      <c r="AN6919" s="14"/>
      <c r="AO6919" s="14"/>
      <c r="AP6919" s="14"/>
      <c r="AQ6919" s="14"/>
      <c r="AR6919" s="14">
        <v>125</v>
      </c>
      <c r="AS6919" s="14"/>
      <c r="AT6919" s="14"/>
      <c r="AU6919" s="14"/>
      <c r="AV6919" s="14"/>
      <c r="AW6919" s="15">
        <f t="shared" si="1387"/>
        <v>125</v>
      </c>
      <c r="AX6919" s="16"/>
    </row>
    <row r="6920" spans="2:50" x14ac:dyDescent="0.2">
      <c r="B6920" s="7"/>
      <c r="C6920" s="8">
        <v>16983</v>
      </c>
      <c r="D6920" s="9" t="s">
        <v>177</v>
      </c>
      <c r="E6920" s="10" t="str">
        <f t="shared" si="1382"/>
        <v>Rancho Landero No. 71</v>
      </c>
      <c r="F6920" s="10" t="str">
        <f t="shared" si="1383"/>
        <v xml:space="preserve">Luna  </v>
      </c>
      <c r="G6920" s="8">
        <v>1</v>
      </c>
      <c r="H6920" s="11">
        <v>400</v>
      </c>
      <c r="I6920" s="12">
        <v>43317</v>
      </c>
      <c r="J6920" s="35">
        <f t="shared" si="1384"/>
        <v>0</v>
      </c>
      <c r="K6920" s="36"/>
      <c r="L6920" s="36"/>
      <c r="M6920" s="36"/>
      <c r="N6920" s="36"/>
      <c r="O6920" s="36"/>
      <c r="P6920" s="36"/>
      <c r="Q6920" s="36"/>
      <c r="R6920" s="36"/>
      <c r="S6920" s="36"/>
      <c r="T6920" s="36"/>
      <c r="U6920" s="36"/>
      <c r="V6920" s="36"/>
      <c r="W6920" s="15">
        <f t="shared" si="1385"/>
        <v>0</v>
      </c>
      <c r="X6920" s="36"/>
      <c r="Y6920" s="36"/>
      <c r="Z6920" s="36"/>
      <c r="AA6920" s="36"/>
      <c r="AB6920" s="36"/>
      <c r="AC6920" s="36"/>
      <c r="AD6920" s="36"/>
      <c r="AE6920" s="36"/>
      <c r="AF6920" s="36"/>
      <c r="AG6920" s="36"/>
      <c r="AH6920" s="36"/>
      <c r="AI6920" s="36"/>
      <c r="AJ6920" s="15">
        <f t="shared" si="1386"/>
        <v>0</v>
      </c>
      <c r="AK6920" s="14"/>
      <c r="AL6920" s="14"/>
      <c r="AM6920" s="14"/>
      <c r="AN6920" s="14"/>
      <c r="AO6920" s="14"/>
      <c r="AP6920" s="14"/>
      <c r="AQ6920" s="14">
        <v>400</v>
      </c>
      <c r="AR6920" s="14"/>
      <c r="AS6920" s="14"/>
      <c r="AT6920" s="14"/>
      <c r="AU6920" s="14"/>
      <c r="AV6920" s="14"/>
      <c r="AW6920" s="15">
        <f t="shared" si="1387"/>
        <v>400</v>
      </c>
      <c r="AX6920" s="16"/>
    </row>
    <row r="6921" spans="2:50" x14ac:dyDescent="0.2">
      <c r="B6921" s="7"/>
      <c r="C6921" s="8">
        <v>16984</v>
      </c>
      <c r="D6921" s="9" t="s">
        <v>97</v>
      </c>
      <c r="E6921" s="10" t="str">
        <f t="shared" si="1382"/>
        <v>Rancho La Cuchilla No. 78</v>
      </c>
      <c r="F6921" s="10" t="str">
        <f t="shared" si="1383"/>
        <v>García</v>
      </c>
      <c r="G6921" s="8">
        <v>1</v>
      </c>
      <c r="H6921" s="11">
        <v>400</v>
      </c>
      <c r="I6921" s="12">
        <v>43317</v>
      </c>
      <c r="J6921" s="35">
        <f t="shared" si="1384"/>
        <v>0</v>
      </c>
      <c r="K6921" s="36"/>
      <c r="L6921" s="36"/>
      <c r="M6921" s="36"/>
      <c r="N6921" s="36"/>
      <c r="O6921" s="36"/>
      <c r="P6921" s="36"/>
      <c r="Q6921" s="36"/>
      <c r="R6921" s="36"/>
      <c r="S6921" s="36"/>
      <c r="T6921" s="36"/>
      <c r="U6921" s="36"/>
      <c r="V6921" s="36"/>
      <c r="W6921" s="15">
        <f t="shared" si="1385"/>
        <v>0</v>
      </c>
      <c r="X6921" s="36"/>
      <c r="Y6921" s="36"/>
      <c r="Z6921" s="36"/>
      <c r="AA6921" s="36"/>
      <c r="AB6921" s="36"/>
      <c r="AC6921" s="36"/>
      <c r="AD6921" s="36"/>
      <c r="AE6921" s="36"/>
      <c r="AF6921" s="36"/>
      <c r="AG6921" s="36"/>
      <c r="AH6921" s="36"/>
      <c r="AI6921" s="36"/>
      <c r="AJ6921" s="15">
        <f t="shared" si="1386"/>
        <v>0</v>
      </c>
      <c r="AK6921" s="14"/>
      <c r="AL6921" s="14"/>
      <c r="AM6921" s="14"/>
      <c r="AN6921" s="14"/>
      <c r="AO6921" s="14"/>
      <c r="AP6921" s="14"/>
      <c r="AQ6921" s="14"/>
      <c r="AR6921" s="14">
        <v>400</v>
      </c>
      <c r="AS6921" s="14"/>
      <c r="AT6921" s="14"/>
      <c r="AU6921" s="14"/>
      <c r="AV6921" s="14"/>
      <c r="AW6921" s="15">
        <f t="shared" si="1387"/>
        <v>400</v>
      </c>
      <c r="AX6921" s="16"/>
    </row>
    <row r="6922" spans="2:50" x14ac:dyDescent="0.2">
      <c r="B6922" s="7"/>
      <c r="C6922" s="8">
        <v>16985</v>
      </c>
      <c r="D6922" s="9" t="s">
        <v>100</v>
      </c>
      <c r="E6922" s="10" t="str">
        <f t="shared" si="1382"/>
        <v>Rancho Upácuaro No. 32</v>
      </c>
      <c r="F6922" s="10" t="str">
        <f t="shared" si="1383"/>
        <v>Sairafi Carmen</v>
      </c>
      <c r="G6922" s="8">
        <v>1</v>
      </c>
      <c r="H6922" s="11">
        <v>400</v>
      </c>
      <c r="I6922" s="12">
        <v>43317</v>
      </c>
      <c r="J6922" s="35">
        <f t="shared" si="1384"/>
        <v>0</v>
      </c>
      <c r="K6922" s="36"/>
      <c r="L6922" s="36"/>
      <c r="M6922" s="36"/>
      <c r="N6922" s="36"/>
      <c r="O6922" s="36"/>
      <c r="P6922" s="36"/>
      <c r="Q6922" s="36"/>
      <c r="R6922" s="36"/>
      <c r="S6922" s="36"/>
      <c r="T6922" s="36"/>
      <c r="U6922" s="36"/>
      <c r="V6922" s="36"/>
      <c r="W6922" s="15">
        <f t="shared" si="1385"/>
        <v>0</v>
      </c>
      <c r="X6922" s="36"/>
      <c r="Y6922" s="36"/>
      <c r="Z6922" s="36"/>
      <c r="AA6922" s="36"/>
      <c r="AB6922" s="36"/>
      <c r="AC6922" s="36"/>
      <c r="AD6922" s="36"/>
      <c r="AE6922" s="36"/>
      <c r="AF6922" s="36"/>
      <c r="AG6922" s="36"/>
      <c r="AH6922" s="36"/>
      <c r="AI6922" s="36"/>
      <c r="AJ6922" s="15">
        <f t="shared" si="1386"/>
        <v>0</v>
      </c>
      <c r="AK6922" s="14"/>
      <c r="AL6922" s="14"/>
      <c r="AM6922" s="14"/>
      <c r="AN6922" s="14"/>
      <c r="AO6922" s="14"/>
      <c r="AP6922" s="14"/>
      <c r="AQ6922" s="14"/>
      <c r="AR6922" s="14">
        <v>400</v>
      </c>
      <c r="AS6922" s="14"/>
      <c r="AT6922" s="14"/>
      <c r="AU6922" s="14"/>
      <c r="AV6922" s="14"/>
      <c r="AW6922" s="15">
        <f t="shared" si="1387"/>
        <v>400</v>
      </c>
      <c r="AX6922" s="16"/>
    </row>
    <row r="6923" spans="2:50" x14ac:dyDescent="0.2">
      <c r="B6923" s="7"/>
      <c r="C6923" s="8">
        <v>16986</v>
      </c>
      <c r="D6923" s="9" t="s">
        <v>407</v>
      </c>
      <c r="E6923" s="10" t="str">
        <f t="shared" si="1382"/>
        <v>Rancho Estanzuela No. 99</v>
      </c>
      <c r="F6923" s="10" t="str">
        <f t="shared" si="1383"/>
        <v>García López</v>
      </c>
      <c r="G6923" s="8">
        <v>1</v>
      </c>
      <c r="H6923" s="11">
        <v>400</v>
      </c>
      <c r="I6923" s="12">
        <v>43317</v>
      </c>
      <c r="J6923" s="35">
        <f t="shared" si="1384"/>
        <v>0</v>
      </c>
      <c r="K6923" s="36"/>
      <c r="L6923" s="36"/>
      <c r="M6923" s="36"/>
      <c r="N6923" s="36"/>
      <c r="O6923" s="36"/>
      <c r="P6923" s="36"/>
      <c r="Q6923" s="36"/>
      <c r="R6923" s="36"/>
      <c r="S6923" s="36"/>
      <c r="T6923" s="36"/>
      <c r="U6923" s="36"/>
      <c r="V6923" s="36"/>
      <c r="W6923" s="15">
        <f t="shared" si="1385"/>
        <v>0</v>
      </c>
      <c r="X6923" s="36"/>
      <c r="Y6923" s="36"/>
      <c r="Z6923" s="36"/>
      <c r="AA6923" s="36"/>
      <c r="AB6923" s="36"/>
      <c r="AC6923" s="36"/>
      <c r="AD6923" s="36"/>
      <c r="AE6923" s="36"/>
      <c r="AF6923" s="36"/>
      <c r="AG6923" s="36"/>
      <c r="AH6923" s="36"/>
      <c r="AI6923" s="36"/>
      <c r="AJ6923" s="15">
        <f t="shared" si="1386"/>
        <v>0</v>
      </c>
      <c r="AK6923" s="14"/>
      <c r="AL6923" s="14"/>
      <c r="AM6923" s="14"/>
      <c r="AN6923" s="14"/>
      <c r="AO6923" s="14"/>
      <c r="AP6923" s="14"/>
      <c r="AQ6923" s="14"/>
      <c r="AR6923" s="14">
        <v>400</v>
      </c>
      <c r="AS6923" s="14"/>
      <c r="AT6923" s="14"/>
      <c r="AU6923" s="14"/>
      <c r="AV6923" s="14"/>
      <c r="AW6923" s="15">
        <f t="shared" si="1387"/>
        <v>400</v>
      </c>
      <c r="AX6923" s="16"/>
    </row>
    <row r="6924" spans="2:50" x14ac:dyDescent="0.2">
      <c r="B6924" s="7"/>
      <c r="C6924" s="8">
        <v>16987</v>
      </c>
      <c r="D6924" s="9" t="s">
        <v>687</v>
      </c>
      <c r="E6924" s="10" t="str">
        <f t="shared" si="1382"/>
        <v>Rancho Upácuaro No. 21</v>
      </c>
      <c r="F6924" s="10" t="str">
        <f t="shared" si="1383"/>
        <v>Fierro Betancourt</v>
      </c>
      <c r="G6924" s="8">
        <v>1</v>
      </c>
      <c r="H6924" s="11">
        <v>400</v>
      </c>
      <c r="I6924" s="12">
        <v>43317</v>
      </c>
      <c r="J6924" s="35">
        <f t="shared" si="1384"/>
        <v>0</v>
      </c>
      <c r="K6924" s="36"/>
      <c r="L6924" s="36"/>
      <c r="M6924" s="36"/>
      <c r="N6924" s="36"/>
      <c r="O6924" s="36"/>
      <c r="P6924" s="36"/>
      <c r="Q6924" s="36"/>
      <c r="R6924" s="36"/>
      <c r="S6924" s="36"/>
      <c r="T6924" s="36"/>
      <c r="U6924" s="36"/>
      <c r="V6924" s="36"/>
      <c r="W6924" s="15">
        <f t="shared" si="1385"/>
        <v>0</v>
      </c>
      <c r="X6924" s="36"/>
      <c r="Y6924" s="36"/>
      <c r="Z6924" s="36"/>
      <c r="AA6924" s="36"/>
      <c r="AB6924" s="36"/>
      <c r="AC6924" s="36"/>
      <c r="AD6924" s="36"/>
      <c r="AE6924" s="36"/>
      <c r="AF6924" s="36"/>
      <c r="AG6924" s="36"/>
      <c r="AH6924" s="36"/>
      <c r="AI6924" s="36"/>
      <c r="AJ6924" s="15">
        <f t="shared" si="1386"/>
        <v>0</v>
      </c>
      <c r="AK6924" s="14"/>
      <c r="AL6924" s="14"/>
      <c r="AM6924" s="14"/>
      <c r="AN6924" s="14"/>
      <c r="AO6924" s="14"/>
      <c r="AP6924" s="14"/>
      <c r="AQ6924" s="14"/>
      <c r="AR6924" s="14">
        <v>200</v>
      </c>
      <c r="AS6924" s="14">
        <v>200</v>
      </c>
      <c r="AT6924" s="14"/>
      <c r="AU6924" s="14"/>
      <c r="AV6924" s="14"/>
      <c r="AW6924" s="15">
        <f t="shared" si="1387"/>
        <v>400</v>
      </c>
      <c r="AX6924" s="16"/>
    </row>
    <row r="6925" spans="2:50" x14ac:dyDescent="0.2">
      <c r="B6925" s="7"/>
      <c r="C6925" s="8">
        <v>16988</v>
      </c>
      <c r="D6925" s="9" t="s">
        <v>325</v>
      </c>
      <c r="E6925" s="10" t="str">
        <f t="shared" si="1382"/>
        <v>Rancho Upácuaro No. 120</v>
      </c>
      <c r="F6925" s="10" t="str">
        <f t="shared" si="1383"/>
        <v>Rayas Rivera</v>
      </c>
      <c r="G6925" s="8">
        <v>1</v>
      </c>
      <c r="H6925" s="11">
        <v>400</v>
      </c>
      <c r="I6925" s="12">
        <v>43317</v>
      </c>
      <c r="J6925" s="35">
        <f t="shared" si="1384"/>
        <v>0</v>
      </c>
      <c r="K6925" s="36"/>
      <c r="L6925" s="36"/>
      <c r="M6925" s="36"/>
      <c r="N6925" s="36"/>
      <c r="O6925" s="36"/>
      <c r="P6925" s="36"/>
      <c r="Q6925" s="36"/>
      <c r="R6925" s="36"/>
      <c r="S6925" s="36"/>
      <c r="T6925" s="36"/>
      <c r="U6925" s="36"/>
      <c r="V6925" s="36"/>
      <c r="W6925" s="15">
        <f t="shared" si="1385"/>
        <v>0</v>
      </c>
      <c r="X6925" s="36"/>
      <c r="Y6925" s="36"/>
      <c r="Z6925" s="36"/>
      <c r="AA6925" s="36"/>
      <c r="AB6925" s="36"/>
      <c r="AC6925" s="36"/>
      <c r="AD6925" s="36"/>
      <c r="AE6925" s="36"/>
      <c r="AF6925" s="36"/>
      <c r="AG6925" s="36"/>
      <c r="AH6925" s="36"/>
      <c r="AI6925" s="36"/>
      <c r="AJ6925" s="15">
        <f t="shared" si="1386"/>
        <v>0</v>
      </c>
      <c r="AK6925" s="14"/>
      <c r="AL6925" s="14"/>
      <c r="AM6925" s="14"/>
      <c r="AN6925" s="14"/>
      <c r="AO6925" s="14"/>
      <c r="AP6925" s="14"/>
      <c r="AQ6925" s="14"/>
      <c r="AR6925" s="14">
        <v>400</v>
      </c>
      <c r="AS6925" s="14"/>
      <c r="AT6925" s="14"/>
      <c r="AU6925" s="14"/>
      <c r="AV6925" s="14"/>
      <c r="AW6925" s="15">
        <f t="shared" si="1387"/>
        <v>400</v>
      </c>
      <c r="AX6925" s="16"/>
    </row>
    <row r="6926" spans="2:50" x14ac:dyDescent="0.2">
      <c r="B6926" s="7"/>
      <c r="C6926" s="8">
        <v>16989</v>
      </c>
      <c r="D6926" s="9" t="s">
        <v>763</v>
      </c>
      <c r="E6926" s="10" t="str">
        <f t="shared" si="1382"/>
        <v>Rancho Estanzuela No. 79</v>
      </c>
      <c r="F6926" s="10" t="str">
        <f t="shared" si="1383"/>
        <v>Mendoza</v>
      </c>
      <c r="G6926" s="8">
        <v>1</v>
      </c>
      <c r="H6926" s="11">
        <v>400</v>
      </c>
      <c r="I6926" s="12">
        <v>43317</v>
      </c>
      <c r="J6926" s="35">
        <f t="shared" si="1384"/>
        <v>0</v>
      </c>
      <c r="K6926" s="36"/>
      <c r="L6926" s="36"/>
      <c r="M6926" s="36"/>
      <c r="N6926" s="36"/>
      <c r="O6926" s="36"/>
      <c r="P6926" s="36"/>
      <c r="Q6926" s="36"/>
      <c r="R6926" s="36"/>
      <c r="S6926" s="36"/>
      <c r="T6926" s="36"/>
      <c r="U6926" s="36"/>
      <c r="V6926" s="36"/>
      <c r="W6926" s="15">
        <f t="shared" si="1385"/>
        <v>0</v>
      </c>
      <c r="X6926" s="36"/>
      <c r="Y6926" s="36"/>
      <c r="Z6926" s="36"/>
      <c r="AA6926" s="36"/>
      <c r="AB6926" s="36"/>
      <c r="AC6926" s="36"/>
      <c r="AD6926" s="36"/>
      <c r="AE6926" s="36"/>
      <c r="AF6926" s="36"/>
      <c r="AG6926" s="36"/>
      <c r="AH6926" s="36"/>
      <c r="AI6926" s="36"/>
      <c r="AJ6926" s="15">
        <f t="shared" si="1386"/>
        <v>0</v>
      </c>
      <c r="AK6926" s="14"/>
      <c r="AL6926" s="14"/>
      <c r="AM6926" s="14"/>
      <c r="AN6926" s="14"/>
      <c r="AO6926" s="14"/>
      <c r="AP6926" s="14">
        <v>200</v>
      </c>
      <c r="AQ6926" s="14">
        <v>200</v>
      </c>
      <c r="AR6926" s="14"/>
      <c r="AS6926" s="14"/>
      <c r="AT6926" s="14"/>
      <c r="AU6926" s="14"/>
      <c r="AV6926" s="14"/>
      <c r="AW6926" s="15">
        <f t="shared" si="1387"/>
        <v>400</v>
      </c>
      <c r="AX6926" s="16"/>
    </row>
    <row r="6927" spans="2:50" x14ac:dyDescent="0.2">
      <c r="B6927" s="7"/>
      <c r="C6927" s="8">
        <v>16990</v>
      </c>
      <c r="D6927" s="9" t="s">
        <v>882</v>
      </c>
      <c r="E6927" s="10" t="str">
        <f t="shared" si="1382"/>
        <v>Rancho Upácuaro No. 54</v>
      </c>
      <c r="F6927" s="10" t="str">
        <f t="shared" si="1383"/>
        <v>García Rueda</v>
      </c>
      <c r="G6927" s="8">
        <v>1</v>
      </c>
      <c r="H6927" s="11">
        <v>400</v>
      </c>
      <c r="I6927" s="12">
        <v>43317</v>
      </c>
      <c r="J6927" s="35">
        <f t="shared" si="1384"/>
        <v>0</v>
      </c>
      <c r="K6927" s="36"/>
      <c r="L6927" s="36"/>
      <c r="M6927" s="36"/>
      <c r="N6927" s="36"/>
      <c r="O6927" s="36"/>
      <c r="P6927" s="36"/>
      <c r="Q6927" s="36"/>
      <c r="R6927" s="36"/>
      <c r="S6927" s="36"/>
      <c r="T6927" s="36"/>
      <c r="U6927" s="36"/>
      <c r="V6927" s="36"/>
      <c r="W6927" s="15">
        <f t="shared" si="1385"/>
        <v>0</v>
      </c>
      <c r="X6927" s="36"/>
      <c r="Y6927" s="36"/>
      <c r="Z6927" s="36"/>
      <c r="AA6927" s="36"/>
      <c r="AB6927" s="36"/>
      <c r="AC6927" s="36"/>
      <c r="AD6927" s="36"/>
      <c r="AE6927" s="36"/>
      <c r="AF6927" s="36"/>
      <c r="AG6927" s="36"/>
      <c r="AH6927" s="36"/>
      <c r="AI6927" s="36"/>
      <c r="AJ6927" s="15">
        <f t="shared" si="1386"/>
        <v>0</v>
      </c>
      <c r="AK6927" s="14"/>
      <c r="AL6927" s="14"/>
      <c r="AM6927" s="14"/>
      <c r="AN6927" s="14"/>
      <c r="AO6927" s="14"/>
      <c r="AP6927" s="14"/>
      <c r="AQ6927" s="14"/>
      <c r="AR6927" s="14">
        <v>200</v>
      </c>
      <c r="AS6927" s="14">
        <v>200</v>
      </c>
      <c r="AT6927" s="14"/>
      <c r="AU6927" s="14"/>
      <c r="AV6927" s="14"/>
      <c r="AW6927" s="15">
        <f t="shared" si="1387"/>
        <v>400</v>
      </c>
      <c r="AX6927" s="16"/>
    </row>
    <row r="6928" spans="2:50" x14ac:dyDescent="0.2">
      <c r="B6928" s="7"/>
      <c r="C6928" s="8">
        <v>16990</v>
      </c>
      <c r="D6928" s="9" t="s">
        <v>882</v>
      </c>
      <c r="E6928" s="10" t="str">
        <f t="shared" si="1382"/>
        <v>Rancho Upácuaro No. 54</v>
      </c>
      <c r="F6928" s="10" t="str">
        <f t="shared" si="1383"/>
        <v>García Rueda</v>
      </c>
      <c r="G6928" s="8">
        <v>4</v>
      </c>
      <c r="H6928" s="11">
        <v>200</v>
      </c>
      <c r="I6928" s="12">
        <v>43317</v>
      </c>
      <c r="J6928" s="35">
        <f t="shared" si="1384"/>
        <v>0</v>
      </c>
      <c r="K6928" s="36"/>
      <c r="L6928" s="36"/>
      <c r="M6928" s="36"/>
      <c r="N6928" s="36"/>
      <c r="O6928" s="36"/>
      <c r="P6928" s="36"/>
      <c r="Q6928" s="36"/>
      <c r="R6928" s="36"/>
      <c r="S6928" s="36"/>
      <c r="T6928" s="36"/>
      <c r="U6928" s="36"/>
      <c r="V6928" s="36"/>
      <c r="W6928" s="15">
        <f t="shared" si="1385"/>
        <v>0</v>
      </c>
      <c r="X6928" s="36"/>
      <c r="Y6928" s="36"/>
      <c r="Z6928" s="36"/>
      <c r="AA6928" s="36"/>
      <c r="AB6928" s="36"/>
      <c r="AC6928" s="36"/>
      <c r="AD6928" s="36"/>
      <c r="AE6928" s="36"/>
      <c r="AF6928" s="36"/>
      <c r="AG6928" s="36"/>
      <c r="AH6928" s="36"/>
      <c r="AI6928" s="36"/>
      <c r="AJ6928" s="15">
        <f t="shared" si="1386"/>
        <v>0</v>
      </c>
      <c r="AK6928" s="14"/>
      <c r="AL6928" s="14"/>
      <c r="AM6928" s="14"/>
      <c r="AN6928" s="14"/>
      <c r="AO6928" s="14"/>
      <c r="AP6928" s="14"/>
      <c r="AQ6928" s="14"/>
      <c r="AR6928" s="14"/>
      <c r="AS6928" s="14"/>
      <c r="AT6928" s="14"/>
      <c r="AU6928" s="14"/>
      <c r="AV6928" s="14"/>
      <c r="AW6928" s="15">
        <f t="shared" si="1387"/>
        <v>0</v>
      </c>
      <c r="AX6928" s="16" t="s">
        <v>5491</v>
      </c>
    </row>
    <row r="6929" spans="2:50" x14ac:dyDescent="0.2">
      <c r="B6929" s="7"/>
      <c r="C6929" s="8">
        <v>16991</v>
      </c>
      <c r="D6929" s="9" t="s">
        <v>87</v>
      </c>
      <c r="E6929" s="10" t="str">
        <f t="shared" si="1382"/>
        <v>Rancho Zinamba No. 36</v>
      </c>
      <c r="F6929" s="10" t="str">
        <f t="shared" si="1383"/>
        <v>Rodríguez Ortiz</v>
      </c>
      <c r="G6929" s="8">
        <v>1</v>
      </c>
      <c r="H6929" s="11">
        <v>400</v>
      </c>
      <c r="I6929" s="12">
        <v>43317</v>
      </c>
      <c r="J6929" s="35">
        <f t="shared" si="1384"/>
        <v>0</v>
      </c>
      <c r="K6929" s="36"/>
      <c r="L6929" s="36"/>
      <c r="M6929" s="36"/>
      <c r="N6929" s="36"/>
      <c r="O6929" s="36"/>
      <c r="P6929" s="36"/>
      <c r="Q6929" s="36"/>
      <c r="R6929" s="36"/>
      <c r="S6929" s="36"/>
      <c r="T6929" s="36"/>
      <c r="U6929" s="36"/>
      <c r="V6929" s="36"/>
      <c r="W6929" s="15">
        <f t="shared" si="1385"/>
        <v>0</v>
      </c>
      <c r="X6929" s="36"/>
      <c r="Y6929" s="36"/>
      <c r="Z6929" s="36"/>
      <c r="AA6929" s="36"/>
      <c r="AB6929" s="36"/>
      <c r="AC6929" s="36"/>
      <c r="AD6929" s="36"/>
      <c r="AE6929" s="36"/>
      <c r="AF6929" s="36"/>
      <c r="AG6929" s="36"/>
      <c r="AH6929" s="36"/>
      <c r="AI6929" s="36"/>
      <c r="AJ6929" s="15">
        <f t="shared" si="1386"/>
        <v>0</v>
      </c>
      <c r="AK6929" s="14"/>
      <c r="AL6929" s="14"/>
      <c r="AM6929" s="14"/>
      <c r="AN6929" s="14"/>
      <c r="AO6929" s="14"/>
      <c r="AP6929" s="14"/>
      <c r="AQ6929" s="14"/>
      <c r="AR6929" s="14">
        <v>400</v>
      </c>
      <c r="AS6929" s="14"/>
      <c r="AT6929" s="14"/>
      <c r="AU6929" s="14"/>
      <c r="AV6929" s="14"/>
      <c r="AW6929" s="15">
        <f t="shared" si="1387"/>
        <v>400</v>
      </c>
      <c r="AX6929" s="16"/>
    </row>
    <row r="6930" spans="2:50" x14ac:dyDescent="0.2">
      <c r="B6930" s="7"/>
      <c r="C6930" s="8">
        <v>16992</v>
      </c>
      <c r="D6930" s="9" t="s">
        <v>708</v>
      </c>
      <c r="E6930" s="10" t="str">
        <f t="shared" si="1382"/>
        <v>Rancho Landero No. 21</v>
      </c>
      <c r="F6930" s="10" t="str">
        <f t="shared" si="1383"/>
        <v>Meza</v>
      </c>
      <c r="G6930" s="8">
        <v>1</v>
      </c>
      <c r="H6930" s="11">
        <v>1600</v>
      </c>
      <c r="I6930" s="12">
        <v>43317</v>
      </c>
      <c r="J6930" s="35">
        <f t="shared" si="1384"/>
        <v>0</v>
      </c>
      <c r="K6930" s="36"/>
      <c r="L6930" s="36"/>
      <c r="M6930" s="36"/>
      <c r="N6930" s="36"/>
      <c r="O6930" s="36"/>
      <c r="P6930" s="36"/>
      <c r="Q6930" s="36"/>
      <c r="R6930" s="36"/>
      <c r="S6930" s="36"/>
      <c r="T6930" s="36"/>
      <c r="U6930" s="36"/>
      <c r="V6930" s="36"/>
      <c r="W6930" s="15">
        <f t="shared" si="1385"/>
        <v>0</v>
      </c>
      <c r="X6930" s="36"/>
      <c r="Y6930" s="36"/>
      <c r="Z6930" s="36"/>
      <c r="AA6930" s="36"/>
      <c r="AB6930" s="36"/>
      <c r="AC6930" s="36"/>
      <c r="AD6930" s="36"/>
      <c r="AE6930" s="36"/>
      <c r="AF6930" s="36"/>
      <c r="AG6930" s="36"/>
      <c r="AH6930" s="36"/>
      <c r="AI6930" s="36"/>
      <c r="AJ6930" s="15">
        <f t="shared" si="1386"/>
        <v>0</v>
      </c>
      <c r="AK6930" s="14"/>
      <c r="AL6930" s="14"/>
      <c r="AM6930" s="14"/>
      <c r="AN6930" s="14"/>
      <c r="AO6930" s="14"/>
      <c r="AP6930" s="14">
        <v>400</v>
      </c>
      <c r="AQ6930" s="14">
        <v>400</v>
      </c>
      <c r="AR6930" s="14">
        <v>400</v>
      </c>
      <c r="AS6930" s="14">
        <v>400</v>
      </c>
      <c r="AT6930" s="14"/>
      <c r="AU6930" s="14"/>
      <c r="AV6930" s="14"/>
      <c r="AW6930" s="15">
        <f t="shared" si="1387"/>
        <v>1600</v>
      </c>
      <c r="AX6930" s="16"/>
    </row>
    <row r="6931" spans="2:50" x14ac:dyDescent="0.2">
      <c r="B6931" s="7"/>
      <c r="C6931" s="8">
        <v>16993</v>
      </c>
      <c r="D6931" s="9" t="s">
        <v>328</v>
      </c>
      <c r="E6931" s="10" t="str">
        <f t="shared" si="1376"/>
        <v>Rancho La Cuchilla No. 130</v>
      </c>
      <c r="F6931" s="10" t="str">
        <f t="shared" si="1377"/>
        <v>Gonzalez</v>
      </c>
      <c r="G6931" s="8">
        <v>1</v>
      </c>
      <c r="H6931" s="11">
        <v>400</v>
      </c>
      <c r="I6931" s="12">
        <v>43317</v>
      </c>
      <c r="J6931" s="35">
        <f t="shared" si="1378"/>
        <v>0</v>
      </c>
      <c r="K6931" s="36"/>
      <c r="L6931" s="36"/>
      <c r="M6931" s="36"/>
      <c r="N6931" s="36"/>
      <c r="O6931" s="36"/>
      <c r="P6931" s="36"/>
      <c r="Q6931" s="36"/>
      <c r="R6931" s="36"/>
      <c r="S6931" s="36"/>
      <c r="T6931" s="36"/>
      <c r="U6931" s="36"/>
      <c r="V6931" s="36"/>
      <c r="W6931" s="15">
        <f t="shared" si="1379"/>
        <v>0</v>
      </c>
      <c r="X6931" s="36"/>
      <c r="Y6931" s="36"/>
      <c r="Z6931" s="36"/>
      <c r="AA6931" s="36"/>
      <c r="AB6931" s="36"/>
      <c r="AC6931" s="36"/>
      <c r="AD6931" s="36"/>
      <c r="AE6931" s="36"/>
      <c r="AF6931" s="36"/>
      <c r="AG6931" s="36"/>
      <c r="AH6931" s="36"/>
      <c r="AI6931" s="36"/>
      <c r="AJ6931" s="15">
        <f t="shared" si="1380"/>
        <v>0</v>
      </c>
      <c r="AK6931" s="14"/>
      <c r="AL6931" s="14"/>
      <c r="AM6931" s="14"/>
      <c r="AN6931" s="14"/>
      <c r="AO6931" s="14"/>
      <c r="AP6931" s="14"/>
      <c r="AQ6931" s="14"/>
      <c r="AR6931" s="14">
        <v>400</v>
      </c>
      <c r="AS6931" s="14"/>
      <c r="AT6931" s="14"/>
      <c r="AU6931" s="14"/>
      <c r="AV6931" s="14"/>
      <c r="AW6931" s="15">
        <f t="shared" si="1381"/>
        <v>400</v>
      </c>
      <c r="AX6931" s="16"/>
    </row>
    <row r="6932" spans="2:50" x14ac:dyDescent="0.2">
      <c r="B6932" s="7"/>
      <c r="C6932" s="8">
        <v>16994</v>
      </c>
      <c r="D6932" s="9" t="s">
        <v>156</v>
      </c>
      <c r="E6932" s="10" t="str">
        <f t="shared" si="1376"/>
        <v>Rancho Zinamba No. 80</v>
      </c>
      <c r="F6932" s="10" t="str">
        <f t="shared" si="1377"/>
        <v>Vázquez</v>
      </c>
      <c r="G6932" s="8">
        <v>1</v>
      </c>
      <c r="H6932" s="11">
        <v>300</v>
      </c>
      <c r="I6932" s="12">
        <v>43317</v>
      </c>
      <c r="J6932" s="35">
        <f t="shared" si="1378"/>
        <v>0</v>
      </c>
      <c r="K6932" s="36"/>
      <c r="L6932" s="36"/>
      <c r="M6932" s="36"/>
      <c r="N6932" s="36"/>
      <c r="O6932" s="36"/>
      <c r="P6932" s="36"/>
      <c r="Q6932" s="36"/>
      <c r="R6932" s="36"/>
      <c r="S6932" s="36"/>
      <c r="T6932" s="36"/>
      <c r="U6932" s="36"/>
      <c r="V6932" s="36"/>
      <c r="W6932" s="15">
        <f t="shared" si="1379"/>
        <v>0</v>
      </c>
      <c r="X6932" s="36"/>
      <c r="Y6932" s="36"/>
      <c r="Z6932" s="36"/>
      <c r="AA6932" s="36"/>
      <c r="AB6932" s="36"/>
      <c r="AC6932" s="36"/>
      <c r="AD6932" s="36"/>
      <c r="AE6932" s="36"/>
      <c r="AF6932" s="36"/>
      <c r="AG6932" s="36"/>
      <c r="AH6932" s="36"/>
      <c r="AI6932" s="36"/>
      <c r="AJ6932" s="15">
        <f t="shared" si="1380"/>
        <v>0</v>
      </c>
      <c r="AK6932" s="14"/>
      <c r="AL6932" s="14"/>
      <c r="AM6932" s="14"/>
      <c r="AN6932" s="14"/>
      <c r="AO6932" s="14"/>
      <c r="AP6932" s="14"/>
      <c r="AQ6932" s="14"/>
      <c r="AR6932" s="14">
        <v>300</v>
      </c>
      <c r="AS6932" s="14"/>
      <c r="AT6932" s="14"/>
      <c r="AU6932" s="14"/>
      <c r="AV6932" s="14"/>
      <c r="AW6932" s="15">
        <f t="shared" si="1381"/>
        <v>300</v>
      </c>
      <c r="AX6932" s="16"/>
    </row>
    <row r="6933" spans="2:50" x14ac:dyDescent="0.2">
      <c r="B6933" s="7"/>
      <c r="C6933" s="8">
        <v>16995</v>
      </c>
      <c r="D6933" s="9" t="s">
        <v>126</v>
      </c>
      <c r="E6933" s="10" t="str">
        <f t="shared" si="1376"/>
        <v>Rancho Estanzuela No. 65</v>
      </c>
      <c r="F6933" s="10" t="str">
        <f t="shared" si="1377"/>
        <v>López Becerril</v>
      </c>
      <c r="G6933" s="8">
        <v>1</v>
      </c>
      <c r="H6933" s="11">
        <v>400</v>
      </c>
      <c r="I6933" s="12">
        <v>43317</v>
      </c>
      <c r="J6933" s="35">
        <f t="shared" si="1378"/>
        <v>0</v>
      </c>
      <c r="K6933" s="36"/>
      <c r="L6933" s="36"/>
      <c r="M6933" s="36"/>
      <c r="N6933" s="36"/>
      <c r="O6933" s="36"/>
      <c r="P6933" s="36"/>
      <c r="Q6933" s="36"/>
      <c r="R6933" s="36"/>
      <c r="S6933" s="36"/>
      <c r="T6933" s="36"/>
      <c r="U6933" s="36"/>
      <c r="V6933" s="36"/>
      <c r="W6933" s="15">
        <f t="shared" si="1379"/>
        <v>0</v>
      </c>
      <c r="X6933" s="36"/>
      <c r="Y6933" s="36"/>
      <c r="Z6933" s="36"/>
      <c r="AA6933" s="36"/>
      <c r="AB6933" s="36"/>
      <c r="AC6933" s="36"/>
      <c r="AD6933" s="36"/>
      <c r="AE6933" s="36"/>
      <c r="AF6933" s="36"/>
      <c r="AG6933" s="36"/>
      <c r="AH6933" s="36"/>
      <c r="AI6933" s="36"/>
      <c r="AJ6933" s="15">
        <f t="shared" si="1380"/>
        <v>0</v>
      </c>
      <c r="AK6933" s="14"/>
      <c r="AL6933" s="14"/>
      <c r="AM6933" s="14"/>
      <c r="AN6933" s="14"/>
      <c r="AO6933" s="14"/>
      <c r="AP6933" s="14"/>
      <c r="AQ6933" s="14"/>
      <c r="AR6933" s="14">
        <v>400</v>
      </c>
      <c r="AS6933" s="14"/>
      <c r="AT6933" s="14"/>
      <c r="AU6933" s="14"/>
      <c r="AV6933" s="14"/>
      <c r="AW6933" s="15">
        <f t="shared" si="1381"/>
        <v>400</v>
      </c>
      <c r="AX6933" s="16"/>
    </row>
    <row r="6934" spans="2:50" x14ac:dyDescent="0.2">
      <c r="B6934" s="7"/>
      <c r="C6934" s="8">
        <v>16996</v>
      </c>
      <c r="D6934" s="9" t="s">
        <v>794</v>
      </c>
      <c r="E6934" s="10" t="str">
        <f t="shared" si="1376"/>
        <v>Rancho Landero No. 18</v>
      </c>
      <c r="F6934" s="10" t="str">
        <f t="shared" si="1377"/>
        <v>Rosado</v>
      </c>
      <c r="G6934" s="8">
        <v>1</v>
      </c>
      <c r="H6934" s="11">
        <v>300</v>
      </c>
      <c r="I6934" s="12">
        <v>43317</v>
      </c>
      <c r="J6934" s="35">
        <f t="shared" si="1378"/>
        <v>0</v>
      </c>
      <c r="K6934" s="36"/>
      <c r="L6934" s="36"/>
      <c r="M6934" s="36"/>
      <c r="N6934" s="36"/>
      <c r="O6934" s="36"/>
      <c r="P6934" s="36"/>
      <c r="Q6934" s="36"/>
      <c r="R6934" s="36"/>
      <c r="S6934" s="36"/>
      <c r="T6934" s="36"/>
      <c r="U6934" s="36"/>
      <c r="V6934" s="36"/>
      <c r="W6934" s="15">
        <f t="shared" si="1379"/>
        <v>0</v>
      </c>
      <c r="X6934" s="36"/>
      <c r="Y6934" s="36"/>
      <c r="Z6934" s="36"/>
      <c r="AA6934" s="36"/>
      <c r="AB6934" s="36"/>
      <c r="AC6934" s="36"/>
      <c r="AD6934" s="36"/>
      <c r="AE6934" s="36"/>
      <c r="AF6934" s="36"/>
      <c r="AG6934" s="36"/>
      <c r="AH6934" s="36"/>
      <c r="AI6934" s="36"/>
      <c r="AJ6934" s="15">
        <f t="shared" si="1380"/>
        <v>0</v>
      </c>
      <c r="AK6934" s="14"/>
      <c r="AL6934" s="14"/>
      <c r="AM6934" s="14"/>
      <c r="AN6934" s="14"/>
      <c r="AO6934" s="14"/>
      <c r="AP6934" s="14"/>
      <c r="AQ6934" s="14">
        <v>300</v>
      </c>
      <c r="AR6934" s="14"/>
      <c r="AS6934" s="14"/>
      <c r="AT6934" s="14"/>
      <c r="AU6934" s="14"/>
      <c r="AV6934" s="14"/>
      <c r="AW6934" s="15">
        <f t="shared" si="1381"/>
        <v>300</v>
      </c>
      <c r="AX6934" s="16"/>
    </row>
    <row r="6935" spans="2:50" x14ac:dyDescent="0.2">
      <c r="B6935" s="7"/>
      <c r="C6935" s="8">
        <v>16997</v>
      </c>
      <c r="D6935" s="9" t="s">
        <v>171</v>
      </c>
      <c r="E6935" s="10" t="str">
        <f t="shared" si="1376"/>
        <v>Rancho La Cuchilla No. 72</v>
      </c>
      <c r="F6935" s="10" t="str">
        <f t="shared" si="1377"/>
        <v>Ortiz González</v>
      </c>
      <c r="G6935" s="8">
        <v>1</v>
      </c>
      <c r="H6935" s="11">
        <v>400</v>
      </c>
      <c r="I6935" s="12">
        <v>43317</v>
      </c>
      <c r="J6935" s="35">
        <f t="shared" si="1378"/>
        <v>0</v>
      </c>
      <c r="K6935" s="36"/>
      <c r="L6935" s="36"/>
      <c r="M6935" s="36"/>
      <c r="N6935" s="36"/>
      <c r="O6935" s="36"/>
      <c r="P6935" s="36"/>
      <c r="Q6935" s="36"/>
      <c r="R6935" s="36"/>
      <c r="S6935" s="36"/>
      <c r="T6935" s="36"/>
      <c r="U6935" s="36"/>
      <c r="V6935" s="36"/>
      <c r="W6935" s="15">
        <f t="shared" si="1379"/>
        <v>0</v>
      </c>
      <c r="X6935" s="36"/>
      <c r="Y6935" s="36"/>
      <c r="Z6935" s="36"/>
      <c r="AA6935" s="36"/>
      <c r="AB6935" s="36"/>
      <c r="AC6935" s="36"/>
      <c r="AD6935" s="36"/>
      <c r="AE6935" s="36"/>
      <c r="AF6935" s="36"/>
      <c r="AG6935" s="36"/>
      <c r="AH6935" s="36"/>
      <c r="AI6935" s="36"/>
      <c r="AJ6935" s="15">
        <f t="shared" si="1380"/>
        <v>0</v>
      </c>
      <c r="AK6935" s="14"/>
      <c r="AL6935" s="14"/>
      <c r="AM6935" s="14"/>
      <c r="AN6935" s="14"/>
      <c r="AO6935" s="14"/>
      <c r="AP6935" s="14"/>
      <c r="AQ6935" s="14"/>
      <c r="AR6935" s="14">
        <v>400</v>
      </c>
      <c r="AS6935" s="14"/>
      <c r="AT6935" s="14"/>
      <c r="AU6935" s="14"/>
      <c r="AV6935" s="14"/>
      <c r="AW6935" s="15">
        <f t="shared" si="1381"/>
        <v>400</v>
      </c>
      <c r="AX6935" s="16"/>
    </row>
    <row r="6936" spans="2:50" x14ac:dyDescent="0.2">
      <c r="B6936" s="7"/>
      <c r="C6936" s="8">
        <v>16998</v>
      </c>
      <c r="D6936" s="9" t="s">
        <v>214</v>
      </c>
      <c r="E6936" s="10" t="str">
        <f t="shared" si="1376"/>
        <v>Rancho Romeral No. 30</v>
      </c>
      <c r="F6936" s="10" t="str">
        <f t="shared" si="1377"/>
        <v>Osorio</v>
      </c>
      <c r="G6936" s="8">
        <v>1</v>
      </c>
      <c r="H6936" s="11">
        <v>200</v>
      </c>
      <c r="I6936" s="12">
        <v>43317</v>
      </c>
      <c r="J6936" s="35">
        <f t="shared" si="1378"/>
        <v>0</v>
      </c>
      <c r="K6936" s="36"/>
      <c r="L6936" s="36"/>
      <c r="M6936" s="36"/>
      <c r="N6936" s="36"/>
      <c r="O6936" s="36"/>
      <c r="P6936" s="36"/>
      <c r="Q6936" s="36"/>
      <c r="R6936" s="36"/>
      <c r="S6936" s="36"/>
      <c r="T6936" s="36"/>
      <c r="U6936" s="36"/>
      <c r="V6936" s="36"/>
      <c r="W6936" s="15">
        <f t="shared" si="1379"/>
        <v>0</v>
      </c>
      <c r="X6936" s="36"/>
      <c r="Y6936" s="36"/>
      <c r="Z6936" s="36"/>
      <c r="AA6936" s="36"/>
      <c r="AB6936" s="36"/>
      <c r="AC6936" s="36"/>
      <c r="AD6936" s="36"/>
      <c r="AE6936" s="36"/>
      <c r="AF6936" s="36"/>
      <c r="AG6936" s="36"/>
      <c r="AH6936" s="36"/>
      <c r="AI6936" s="36"/>
      <c r="AJ6936" s="15">
        <f t="shared" si="1380"/>
        <v>0</v>
      </c>
      <c r="AK6936" s="14"/>
      <c r="AL6936" s="14"/>
      <c r="AM6936" s="14"/>
      <c r="AN6936" s="14"/>
      <c r="AO6936" s="14"/>
      <c r="AP6936" s="14"/>
      <c r="AQ6936" s="14">
        <v>200</v>
      </c>
      <c r="AR6936" s="14"/>
      <c r="AS6936" s="14"/>
      <c r="AT6936" s="14"/>
      <c r="AU6936" s="14"/>
      <c r="AV6936" s="14"/>
      <c r="AW6936" s="15">
        <f t="shared" si="1381"/>
        <v>200</v>
      </c>
      <c r="AX6936" s="16"/>
    </row>
    <row r="6937" spans="2:50" x14ac:dyDescent="0.2">
      <c r="B6937" s="7"/>
      <c r="C6937" s="8">
        <v>16999</v>
      </c>
      <c r="D6937" s="9" t="s">
        <v>214</v>
      </c>
      <c r="E6937" s="10" t="str">
        <f t="shared" si="1376"/>
        <v>Rancho Romeral No. 30</v>
      </c>
      <c r="F6937" s="10" t="str">
        <f t="shared" si="1377"/>
        <v>Osorio</v>
      </c>
      <c r="G6937" s="8">
        <v>1</v>
      </c>
      <c r="H6937" s="11">
        <v>200</v>
      </c>
      <c r="I6937" s="12">
        <v>43317</v>
      </c>
      <c r="J6937" s="35">
        <f t="shared" si="1378"/>
        <v>0</v>
      </c>
      <c r="K6937" s="36"/>
      <c r="L6937" s="36"/>
      <c r="M6937" s="36"/>
      <c r="N6937" s="36"/>
      <c r="O6937" s="36"/>
      <c r="P6937" s="36"/>
      <c r="Q6937" s="36"/>
      <c r="R6937" s="36"/>
      <c r="S6937" s="36"/>
      <c r="T6937" s="36"/>
      <c r="U6937" s="36"/>
      <c r="V6937" s="36"/>
      <c r="W6937" s="15">
        <f t="shared" si="1379"/>
        <v>0</v>
      </c>
      <c r="X6937" s="36"/>
      <c r="Y6937" s="36"/>
      <c r="Z6937" s="36"/>
      <c r="AA6937" s="36"/>
      <c r="AB6937" s="36"/>
      <c r="AC6937" s="36"/>
      <c r="AD6937" s="36"/>
      <c r="AE6937" s="36"/>
      <c r="AF6937" s="36"/>
      <c r="AG6937" s="36">
        <v>200</v>
      </c>
      <c r="AH6937" s="36"/>
      <c r="AI6937" s="36"/>
      <c r="AJ6937" s="15">
        <f t="shared" si="1380"/>
        <v>200</v>
      </c>
      <c r="AK6937" s="14"/>
      <c r="AL6937" s="14"/>
      <c r="AM6937" s="14"/>
      <c r="AN6937" s="14"/>
      <c r="AO6937" s="14"/>
      <c r="AP6937" s="14"/>
      <c r="AQ6937" s="14"/>
      <c r="AR6937" s="14"/>
      <c r="AS6937" s="14"/>
      <c r="AT6937" s="14"/>
      <c r="AU6937" s="14"/>
      <c r="AV6937" s="14"/>
      <c r="AW6937" s="15">
        <f t="shared" si="1381"/>
        <v>0</v>
      </c>
      <c r="AX6937" s="16"/>
    </row>
    <row r="6938" spans="2:50" x14ac:dyDescent="0.2">
      <c r="B6938" s="7"/>
      <c r="C6938" s="8">
        <v>17000</v>
      </c>
      <c r="D6938" s="9"/>
      <c r="E6938" s="10" t="str">
        <f t="shared" si="1376"/>
        <v/>
      </c>
      <c r="F6938" s="10" t="str">
        <f t="shared" si="1377"/>
        <v/>
      </c>
      <c r="G6938" s="8">
        <v>8</v>
      </c>
      <c r="H6938" s="11"/>
      <c r="I6938" s="12"/>
      <c r="J6938" s="35">
        <f t="shared" si="1378"/>
        <v>0</v>
      </c>
      <c r="K6938" s="36"/>
      <c r="L6938" s="36"/>
      <c r="M6938" s="36"/>
      <c r="N6938" s="36"/>
      <c r="O6938" s="36"/>
      <c r="P6938" s="36"/>
      <c r="Q6938" s="36"/>
      <c r="R6938" s="36"/>
      <c r="S6938" s="36"/>
      <c r="T6938" s="36"/>
      <c r="U6938" s="36"/>
      <c r="V6938" s="36"/>
      <c r="W6938" s="15">
        <f t="shared" si="1379"/>
        <v>0</v>
      </c>
      <c r="X6938" s="36"/>
      <c r="Y6938" s="36"/>
      <c r="Z6938" s="36"/>
      <c r="AA6938" s="36"/>
      <c r="AB6938" s="36"/>
      <c r="AC6938" s="36"/>
      <c r="AD6938" s="36"/>
      <c r="AE6938" s="36"/>
      <c r="AF6938" s="36"/>
      <c r="AG6938" s="36"/>
      <c r="AH6938" s="36"/>
      <c r="AI6938" s="36"/>
      <c r="AJ6938" s="15">
        <f t="shared" si="1380"/>
        <v>0</v>
      </c>
      <c r="AK6938" s="14"/>
      <c r="AL6938" s="14"/>
      <c r="AM6938" s="14"/>
      <c r="AN6938" s="14"/>
      <c r="AO6938" s="14"/>
      <c r="AP6938" s="14"/>
      <c r="AQ6938" s="14"/>
      <c r="AR6938" s="14"/>
      <c r="AS6938" s="14"/>
      <c r="AT6938" s="14"/>
      <c r="AU6938" s="14"/>
      <c r="AV6938" s="14"/>
      <c r="AW6938" s="15">
        <f t="shared" si="1381"/>
        <v>0</v>
      </c>
      <c r="AX6938" s="16"/>
    </row>
    <row r="6939" spans="2:50" x14ac:dyDescent="0.2">
      <c r="B6939" s="7"/>
      <c r="C6939" s="8">
        <v>17001</v>
      </c>
      <c r="D6939" s="9" t="s">
        <v>911</v>
      </c>
      <c r="E6939" s="10" t="str">
        <f t="shared" si="1376"/>
        <v>Rancho Estanzuela No. 19</v>
      </c>
      <c r="F6939" s="10" t="str">
        <f t="shared" si="1377"/>
        <v>Robles</v>
      </c>
      <c r="G6939" s="8">
        <v>1</v>
      </c>
      <c r="H6939" s="11">
        <v>400</v>
      </c>
      <c r="I6939" s="12">
        <v>43317</v>
      </c>
      <c r="J6939" s="35">
        <f t="shared" si="1378"/>
        <v>0</v>
      </c>
      <c r="K6939" s="36"/>
      <c r="L6939" s="36"/>
      <c r="M6939" s="36"/>
      <c r="N6939" s="36"/>
      <c r="O6939" s="36"/>
      <c r="P6939" s="36"/>
      <c r="Q6939" s="36"/>
      <c r="R6939" s="36"/>
      <c r="S6939" s="36"/>
      <c r="T6939" s="36"/>
      <c r="U6939" s="36"/>
      <c r="V6939" s="36"/>
      <c r="W6939" s="15">
        <f t="shared" si="1379"/>
        <v>0</v>
      </c>
      <c r="X6939" s="36"/>
      <c r="Y6939" s="36"/>
      <c r="Z6939" s="36"/>
      <c r="AA6939" s="36"/>
      <c r="AB6939" s="36"/>
      <c r="AC6939" s="36"/>
      <c r="AD6939" s="36"/>
      <c r="AE6939" s="36"/>
      <c r="AF6939" s="36"/>
      <c r="AG6939" s="36"/>
      <c r="AH6939" s="36"/>
      <c r="AI6939" s="36"/>
      <c r="AJ6939" s="15">
        <f t="shared" si="1380"/>
        <v>0</v>
      </c>
      <c r="AK6939" s="14"/>
      <c r="AL6939" s="14"/>
      <c r="AM6939" s="14"/>
      <c r="AN6939" s="14"/>
      <c r="AO6939" s="14"/>
      <c r="AP6939" s="14"/>
      <c r="AQ6939" s="14"/>
      <c r="AR6939" s="14">
        <v>400</v>
      </c>
      <c r="AS6939" s="14"/>
      <c r="AT6939" s="14"/>
      <c r="AU6939" s="14"/>
      <c r="AV6939" s="14"/>
      <c r="AW6939" s="15">
        <f t="shared" si="1381"/>
        <v>400</v>
      </c>
      <c r="AX6939" s="16"/>
    </row>
    <row r="6940" spans="2:50" x14ac:dyDescent="0.2">
      <c r="B6940" s="7"/>
      <c r="C6940" s="8">
        <v>17002</v>
      </c>
      <c r="D6940" s="9" t="s">
        <v>731</v>
      </c>
      <c r="E6940" s="10" t="str">
        <f t="shared" si="1376"/>
        <v>Rancho Estanzuela No. 133</v>
      </c>
      <c r="F6940" s="10" t="str">
        <f t="shared" si="1377"/>
        <v>Hernández Salazar</v>
      </c>
      <c r="G6940" s="8">
        <v>1</v>
      </c>
      <c r="H6940" s="11">
        <v>600</v>
      </c>
      <c r="I6940" s="12">
        <v>43317</v>
      </c>
      <c r="J6940" s="35">
        <f t="shared" si="1378"/>
        <v>0</v>
      </c>
      <c r="K6940" s="36"/>
      <c r="L6940" s="36"/>
      <c r="M6940" s="36"/>
      <c r="N6940" s="36"/>
      <c r="O6940" s="36"/>
      <c r="P6940" s="36"/>
      <c r="Q6940" s="36"/>
      <c r="R6940" s="36"/>
      <c r="S6940" s="36"/>
      <c r="T6940" s="36"/>
      <c r="U6940" s="36"/>
      <c r="V6940" s="36"/>
      <c r="W6940" s="15">
        <f t="shared" si="1379"/>
        <v>0</v>
      </c>
      <c r="X6940" s="36"/>
      <c r="Y6940" s="36"/>
      <c r="Z6940" s="36"/>
      <c r="AA6940" s="36"/>
      <c r="AB6940" s="36"/>
      <c r="AC6940" s="36"/>
      <c r="AD6940" s="36"/>
      <c r="AE6940" s="36"/>
      <c r="AF6940" s="36"/>
      <c r="AG6940" s="36"/>
      <c r="AH6940" s="36"/>
      <c r="AI6940" s="36"/>
      <c r="AJ6940" s="15">
        <f t="shared" si="1380"/>
        <v>0</v>
      </c>
      <c r="AK6940" s="14"/>
      <c r="AL6940" s="14"/>
      <c r="AM6940" s="14"/>
      <c r="AN6940" s="14"/>
      <c r="AO6940" s="14"/>
      <c r="AP6940" s="14"/>
      <c r="AQ6940" s="14"/>
      <c r="AR6940" s="14">
        <v>300</v>
      </c>
      <c r="AS6940" s="14">
        <v>300</v>
      </c>
      <c r="AT6940" s="14"/>
      <c r="AU6940" s="14"/>
      <c r="AV6940" s="14"/>
      <c r="AW6940" s="15">
        <f t="shared" si="1381"/>
        <v>600</v>
      </c>
      <c r="AX6940" s="16"/>
    </row>
    <row r="6941" spans="2:50" x14ac:dyDescent="0.2">
      <c r="B6941" s="7"/>
      <c r="C6941" s="8">
        <v>17003</v>
      </c>
      <c r="D6941" s="9" t="s">
        <v>693</v>
      </c>
      <c r="E6941" s="10" t="str">
        <f t="shared" si="1376"/>
        <v>Rancho Romeral No. 9, B</v>
      </c>
      <c r="F6941" s="10" t="str">
        <f t="shared" si="1377"/>
        <v>Morales Macías</v>
      </c>
      <c r="G6941" s="8">
        <v>1</v>
      </c>
      <c r="H6941" s="11">
        <v>600</v>
      </c>
      <c r="I6941" s="12">
        <v>43317</v>
      </c>
      <c r="J6941" s="35">
        <f t="shared" si="1378"/>
        <v>0</v>
      </c>
      <c r="K6941" s="36"/>
      <c r="L6941" s="36"/>
      <c r="M6941" s="36"/>
      <c r="N6941" s="36"/>
      <c r="O6941" s="36"/>
      <c r="P6941" s="36"/>
      <c r="Q6941" s="36"/>
      <c r="R6941" s="36"/>
      <c r="S6941" s="36"/>
      <c r="T6941" s="36"/>
      <c r="U6941" s="36"/>
      <c r="V6941" s="36"/>
      <c r="W6941" s="15">
        <f t="shared" si="1379"/>
        <v>0</v>
      </c>
      <c r="X6941" s="36"/>
      <c r="Y6941" s="36"/>
      <c r="Z6941" s="36"/>
      <c r="AA6941" s="36"/>
      <c r="AB6941" s="36"/>
      <c r="AC6941" s="36"/>
      <c r="AD6941" s="36"/>
      <c r="AE6941" s="36"/>
      <c r="AF6941" s="36"/>
      <c r="AG6941" s="36"/>
      <c r="AH6941" s="36"/>
      <c r="AI6941" s="36"/>
      <c r="AJ6941" s="15">
        <f t="shared" si="1380"/>
        <v>0</v>
      </c>
      <c r="AK6941" s="14"/>
      <c r="AL6941" s="14"/>
      <c r="AM6941" s="14"/>
      <c r="AN6941" s="14"/>
      <c r="AO6941" s="14">
        <v>150</v>
      </c>
      <c r="AP6941" s="14">
        <v>150</v>
      </c>
      <c r="AQ6941" s="14">
        <v>150</v>
      </c>
      <c r="AR6941" s="14">
        <v>150</v>
      </c>
      <c r="AS6941" s="14"/>
      <c r="AT6941" s="14"/>
      <c r="AU6941" s="14"/>
      <c r="AV6941" s="14"/>
      <c r="AW6941" s="15">
        <f t="shared" si="1381"/>
        <v>600</v>
      </c>
      <c r="AX6941" s="16"/>
    </row>
    <row r="6942" spans="2:50" x14ac:dyDescent="0.2">
      <c r="B6942" s="7"/>
      <c r="C6942" s="8">
        <v>17004</v>
      </c>
      <c r="D6942" s="9" t="s">
        <v>226</v>
      </c>
      <c r="E6942" s="10" t="str">
        <f t="shared" si="1376"/>
        <v>Rancho Landero No. 31</v>
      </c>
      <c r="F6942" s="10" t="str">
        <f t="shared" si="1377"/>
        <v>Díaz Hernández</v>
      </c>
      <c r="G6942" s="8">
        <v>1</v>
      </c>
      <c r="H6942" s="11">
        <v>200</v>
      </c>
      <c r="I6942" s="12">
        <v>43317</v>
      </c>
      <c r="J6942" s="35">
        <f t="shared" si="1378"/>
        <v>0</v>
      </c>
      <c r="K6942" s="36"/>
      <c r="L6942" s="36"/>
      <c r="M6942" s="36"/>
      <c r="N6942" s="36"/>
      <c r="O6942" s="36"/>
      <c r="P6942" s="36"/>
      <c r="Q6942" s="36"/>
      <c r="R6942" s="36"/>
      <c r="S6942" s="36"/>
      <c r="T6942" s="36"/>
      <c r="U6942" s="36"/>
      <c r="V6942" s="36"/>
      <c r="W6942" s="15">
        <f t="shared" si="1379"/>
        <v>0</v>
      </c>
      <c r="X6942" s="36"/>
      <c r="Y6942" s="36"/>
      <c r="Z6942" s="36"/>
      <c r="AA6942" s="36"/>
      <c r="AB6942" s="36"/>
      <c r="AC6942" s="36"/>
      <c r="AD6942" s="36"/>
      <c r="AE6942" s="36"/>
      <c r="AF6942" s="36"/>
      <c r="AG6942" s="36"/>
      <c r="AH6942" s="36"/>
      <c r="AI6942" s="36"/>
      <c r="AJ6942" s="15">
        <f t="shared" si="1380"/>
        <v>0</v>
      </c>
      <c r="AK6942" s="14"/>
      <c r="AL6942" s="14"/>
      <c r="AM6942" s="14"/>
      <c r="AN6942" s="14"/>
      <c r="AO6942" s="14"/>
      <c r="AP6942" s="14"/>
      <c r="AQ6942" s="14"/>
      <c r="AR6942" s="14">
        <v>200</v>
      </c>
      <c r="AS6942" s="14"/>
      <c r="AT6942" s="14"/>
      <c r="AU6942" s="14"/>
      <c r="AV6942" s="14"/>
      <c r="AW6942" s="15">
        <f t="shared" si="1381"/>
        <v>200</v>
      </c>
      <c r="AX6942" s="16"/>
    </row>
    <row r="6943" spans="2:50" x14ac:dyDescent="0.2">
      <c r="B6943" s="7"/>
      <c r="C6943" s="8">
        <v>17005</v>
      </c>
      <c r="D6943" s="9" t="s">
        <v>678</v>
      </c>
      <c r="E6943" s="10" t="str">
        <f t="shared" si="1376"/>
        <v>Rancho Upácuaro No. 76</v>
      </c>
      <c r="F6943" s="10" t="str">
        <f t="shared" si="1377"/>
        <v>Ruiz de San Pedro</v>
      </c>
      <c r="G6943" s="8">
        <v>1</v>
      </c>
      <c r="H6943" s="11">
        <v>400</v>
      </c>
      <c r="I6943" s="12">
        <v>43317</v>
      </c>
      <c r="J6943" s="35">
        <f t="shared" si="1378"/>
        <v>0</v>
      </c>
      <c r="K6943" s="36"/>
      <c r="L6943" s="36"/>
      <c r="M6943" s="36"/>
      <c r="N6943" s="36"/>
      <c r="O6943" s="36"/>
      <c r="P6943" s="36"/>
      <c r="Q6943" s="36"/>
      <c r="R6943" s="36"/>
      <c r="S6943" s="36"/>
      <c r="T6943" s="36"/>
      <c r="U6943" s="36"/>
      <c r="V6943" s="36"/>
      <c r="W6943" s="15">
        <f t="shared" si="1379"/>
        <v>0</v>
      </c>
      <c r="X6943" s="36"/>
      <c r="Y6943" s="36"/>
      <c r="Z6943" s="36"/>
      <c r="AA6943" s="36"/>
      <c r="AB6943" s="36"/>
      <c r="AC6943" s="36"/>
      <c r="AD6943" s="36"/>
      <c r="AE6943" s="36"/>
      <c r="AF6943" s="36"/>
      <c r="AG6943" s="36"/>
      <c r="AH6943" s="36"/>
      <c r="AI6943" s="36"/>
      <c r="AJ6943" s="15">
        <f t="shared" si="1380"/>
        <v>0</v>
      </c>
      <c r="AK6943" s="14"/>
      <c r="AL6943" s="14"/>
      <c r="AM6943" s="14"/>
      <c r="AN6943" s="14"/>
      <c r="AO6943" s="14"/>
      <c r="AP6943" s="14"/>
      <c r="AQ6943" s="14"/>
      <c r="AR6943" s="14">
        <v>400</v>
      </c>
      <c r="AS6943" s="14"/>
      <c r="AT6943" s="14"/>
      <c r="AU6943" s="14"/>
      <c r="AV6943" s="14"/>
      <c r="AW6943" s="15">
        <f t="shared" si="1381"/>
        <v>400</v>
      </c>
      <c r="AX6943" s="16"/>
    </row>
    <row r="6944" spans="2:50" x14ac:dyDescent="0.2">
      <c r="B6944" s="7"/>
      <c r="C6944" s="8">
        <v>17006</v>
      </c>
      <c r="D6944" s="9" t="s">
        <v>123</v>
      </c>
      <c r="E6944" s="10" t="str">
        <f t="shared" si="1376"/>
        <v>Rancho Recoveco No. 175, B</v>
      </c>
      <c r="F6944" s="10" t="str">
        <f t="shared" si="1377"/>
        <v>García Calderón</v>
      </c>
      <c r="G6944" s="8">
        <v>1</v>
      </c>
      <c r="H6944" s="11">
        <v>250</v>
      </c>
      <c r="I6944" s="12">
        <v>43317</v>
      </c>
      <c r="J6944" s="35">
        <f t="shared" si="1378"/>
        <v>0</v>
      </c>
      <c r="K6944" s="36"/>
      <c r="L6944" s="36"/>
      <c r="M6944" s="36"/>
      <c r="N6944" s="36"/>
      <c r="O6944" s="36"/>
      <c r="P6944" s="36"/>
      <c r="Q6944" s="36"/>
      <c r="R6944" s="36"/>
      <c r="S6944" s="36"/>
      <c r="T6944" s="36"/>
      <c r="U6944" s="36"/>
      <c r="V6944" s="36"/>
      <c r="W6944" s="15">
        <f t="shared" si="1379"/>
        <v>0</v>
      </c>
      <c r="X6944" s="36"/>
      <c r="Y6944" s="36"/>
      <c r="Z6944" s="36"/>
      <c r="AA6944" s="36"/>
      <c r="AB6944" s="36"/>
      <c r="AC6944" s="36"/>
      <c r="AD6944" s="36"/>
      <c r="AE6944" s="36"/>
      <c r="AF6944" s="36"/>
      <c r="AG6944" s="36"/>
      <c r="AH6944" s="36"/>
      <c r="AI6944" s="36"/>
      <c r="AJ6944" s="15">
        <f t="shared" si="1380"/>
        <v>0</v>
      </c>
      <c r="AK6944" s="14"/>
      <c r="AL6944" s="14"/>
      <c r="AM6944" s="14"/>
      <c r="AN6944" s="14"/>
      <c r="AO6944" s="14"/>
      <c r="AP6944" s="14"/>
      <c r="AQ6944" s="14"/>
      <c r="AR6944" s="14">
        <v>250</v>
      </c>
      <c r="AS6944" s="14"/>
      <c r="AT6944" s="14"/>
      <c r="AU6944" s="14"/>
      <c r="AV6944" s="14"/>
      <c r="AW6944" s="15">
        <f t="shared" si="1381"/>
        <v>250</v>
      </c>
      <c r="AX6944" s="16"/>
    </row>
    <row r="6945" spans="2:50" x14ac:dyDescent="0.2">
      <c r="B6945" s="7"/>
      <c r="C6945" s="8">
        <v>17007</v>
      </c>
      <c r="D6945" s="9" t="s">
        <v>803</v>
      </c>
      <c r="E6945" s="10" t="str">
        <f t="shared" si="1376"/>
        <v>Rancho La Cuchilla No. 36</v>
      </c>
      <c r="F6945" s="10" t="str">
        <f t="shared" si="1377"/>
        <v>Castillo</v>
      </c>
      <c r="G6945" s="8">
        <v>1</v>
      </c>
      <c r="H6945" s="11">
        <v>800</v>
      </c>
      <c r="I6945" s="12">
        <v>43317</v>
      </c>
      <c r="J6945" s="35">
        <f t="shared" si="1378"/>
        <v>0</v>
      </c>
      <c r="K6945" s="36"/>
      <c r="L6945" s="36"/>
      <c r="M6945" s="36"/>
      <c r="N6945" s="36"/>
      <c r="O6945" s="36"/>
      <c r="P6945" s="36"/>
      <c r="Q6945" s="36"/>
      <c r="R6945" s="36"/>
      <c r="S6945" s="36"/>
      <c r="T6945" s="36"/>
      <c r="U6945" s="36"/>
      <c r="V6945" s="36"/>
      <c r="W6945" s="15">
        <f t="shared" si="1379"/>
        <v>0</v>
      </c>
      <c r="X6945" s="36"/>
      <c r="Y6945" s="36"/>
      <c r="Z6945" s="36"/>
      <c r="AA6945" s="36"/>
      <c r="AB6945" s="36"/>
      <c r="AC6945" s="36"/>
      <c r="AD6945" s="36"/>
      <c r="AE6945" s="36"/>
      <c r="AF6945" s="36"/>
      <c r="AG6945" s="36"/>
      <c r="AH6945" s="36"/>
      <c r="AI6945" s="36"/>
      <c r="AJ6945" s="15">
        <f t="shared" si="1380"/>
        <v>0</v>
      </c>
      <c r="AK6945" s="14"/>
      <c r="AL6945" s="14"/>
      <c r="AM6945" s="14"/>
      <c r="AN6945" s="14"/>
      <c r="AO6945" s="14"/>
      <c r="AP6945" s="14"/>
      <c r="AQ6945" s="14">
        <v>400</v>
      </c>
      <c r="AR6945" s="14">
        <v>400</v>
      </c>
      <c r="AS6945" s="14"/>
      <c r="AT6945" s="14"/>
      <c r="AU6945" s="14"/>
      <c r="AV6945" s="14"/>
      <c r="AW6945" s="15">
        <f t="shared" si="1381"/>
        <v>800</v>
      </c>
      <c r="AX6945" s="16"/>
    </row>
    <row r="6946" spans="2:50" x14ac:dyDescent="0.2">
      <c r="B6946" s="7"/>
      <c r="C6946" s="8">
        <v>17008</v>
      </c>
      <c r="D6946" s="9" t="s">
        <v>532</v>
      </c>
      <c r="E6946" s="10" t="str">
        <f t="shared" si="1376"/>
        <v>Rancho Estanzuela No. 101</v>
      </c>
      <c r="F6946" s="10" t="str">
        <f t="shared" si="1377"/>
        <v>Calderón Celis</v>
      </c>
      <c r="G6946" s="8">
        <v>1</v>
      </c>
      <c r="H6946" s="11">
        <v>400</v>
      </c>
      <c r="I6946" s="12">
        <v>43317</v>
      </c>
      <c r="J6946" s="35">
        <f t="shared" si="1378"/>
        <v>0</v>
      </c>
      <c r="K6946" s="36"/>
      <c r="L6946" s="36"/>
      <c r="M6946" s="36"/>
      <c r="N6946" s="36"/>
      <c r="O6946" s="36"/>
      <c r="P6946" s="36"/>
      <c r="Q6946" s="36"/>
      <c r="R6946" s="36"/>
      <c r="S6946" s="36"/>
      <c r="T6946" s="36"/>
      <c r="U6946" s="36"/>
      <c r="V6946" s="36"/>
      <c r="W6946" s="15">
        <f t="shared" si="1379"/>
        <v>0</v>
      </c>
      <c r="X6946" s="36"/>
      <c r="Y6946" s="36"/>
      <c r="Z6946" s="36"/>
      <c r="AA6946" s="36"/>
      <c r="AB6946" s="36"/>
      <c r="AC6946" s="36"/>
      <c r="AD6946" s="36"/>
      <c r="AE6946" s="36"/>
      <c r="AF6946" s="36"/>
      <c r="AG6946" s="36"/>
      <c r="AH6946" s="36"/>
      <c r="AI6946" s="36"/>
      <c r="AJ6946" s="15">
        <f t="shared" si="1380"/>
        <v>0</v>
      </c>
      <c r="AK6946" s="14"/>
      <c r="AL6946" s="14"/>
      <c r="AM6946" s="14"/>
      <c r="AN6946" s="14"/>
      <c r="AO6946" s="14"/>
      <c r="AP6946" s="14"/>
      <c r="AQ6946" s="14">
        <v>200</v>
      </c>
      <c r="AR6946" s="14">
        <v>200</v>
      </c>
      <c r="AS6946" s="14"/>
      <c r="AT6946" s="14"/>
      <c r="AU6946" s="14"/>
      <c r="AV6946" s="14"/>
      <c r="AW6946" s="15">
        <f t="shared" si="1381"/>
        <v>400</v>
      </c>
      <c r="AX6946" s="16"/>
    </row>
    <row r="6947" spans="2:50" x14ac:dyDescent="0.2">
      <c r="B6947" s="7"/>
      <c r="C6947" s="8">
        <v>17009</v>
      </c>
      <c r="D6947" s="9" t="s">
        <v>652</v>
      </c>
      <c r="E6947" s="10" t="str">
        <f t="shared" si="1376"/>
        <v>Rancho Zinamba No. 74</v>
      </c>
      <c r="F6947" s="10" t="str">
        <f t="shared" si="1377"/>
        <v>García Castellanos</v>
      </c>
      <c r="G6947" s="8">
        <v>1</v>
      </c>
      <c r="H6947" s="11">
        <v>400</v>
      </c>
      <c r="I6947" s="12">
        <v>43317</v>
      </c>
      <c r="J6947" s="35">
        <f t="shared" si="1378"/>
        <v>0</v>
      </c>
      <c r="K6947" s="36"/>
      <c r="L6947" s="36"/>
      <c r="M6947" s="36"/>
      <c r="N6947" s="36"/>
      <c r="O6947" s="36"/>
      <c r="P6947" s="36"/>
      <c r="Q6947" s="36"/>
      <c r="R6947" s="36"/>
      <c r="S6947" s="36"/>
      <c r="T6947" s="36"/>
      <c r="U6947" s="36"/>
      <c r="V6947" s="36"/>
      <c r="W6947" s="15">
        <f t="shared" si="1379"/>
        <v>0</v>
      </c>
      <c r="X6947" s="36"/>
      <c r="Y6947" s="36"/>
      <c r="Z6947" s="36"/>
      <c r="AA6947" s="36"/>
      <c r="AB6947" s="36"/>
      <c r="AC6947" s="36"/>
      <c r="AD6947" s="36"/>
      <c r="AE6947" s="36"/>
      <c r="AF6947" s="36"/>
      <c r="AG6947" s="36"/>
      <c r="AH6947" s="36"/>
      <c r="AI6947" s="36"/>
      <c r="AJ6947" s="15">
        <f t="shared" si="1380"/>
        <v>0</v>
      </c>
      <c r="AK6947" s="14"/>
      <c r="AL6947" s="14"/>
      <c r="AM6947" s="14"/>
      <c r="AN6947" s="14"/>
      <c r="AO6947" s="14"/>
      <c r="AP6947" s="14"/>
      <c r="AQ6947" s="14">
        <v>400</v>
      </c>
      <c r="AR6947" s="14"/>
      <c r="AS6947" s="14"/>
      <c r="AT6947" s="14"/>
      <c r="AU6947" s="14"/>
      <c r="AV6947" s="14"/>
      <c r="AW6947" s="15">
        <f t="shared" si="1381"/>
        <v>400</v>
      </c>
      <c r="AX6947" s="16"/>
    </row>
    <row r="6948" spans="2:50" x14ac:dyDescent="0.2">
      <c r="B6948" s="7"/>
      <c r="C6948" s="8">
        <v>17010</v>
      </c>
      <c r="D6948" s="9" t="s">
        <v>150</v>
      </c>
      <c r="E6948" s="10" t="str">
        <f t="shared" si="1376"/>
        <v>Rancho La Cuchilla No. 33</v>
      </c>
      <c r="F6948" s="10" t="str">
        <f t="shared" si="1377"/>
        <v>Tanús</v>
      </c>
      <c r="G6948" s="8">
        <v>1</v>
      </c>
      <c r="H6948" s="11">
        <v>400</v>
      </c>
      <c r="I6948" s="12">
        <v>43317</v>
      </c>
      <c r="J6948" s="35">
        <f t="shared" si="1378"/>
        <v>0</v>
      </c>
      <c r="K6948" s="36"/>
      <c r="L6948" s="36"/>
      <c r="M6948" s="36"/>
      <c r="N6948" s="36"/>
      <c r="O6948" s="36"/>
      <c r="P6948" s="36"/>
      <c r="Q6948" s="36"/>
      <c r="R6948" s="36"/>
      <c r="S6948" s="36"/>
      <c r="T6948" s="36"/>
      <c r="U6948" s="36"/>
      <c r="V6948" s="36"/>
      <c r="W6948" s="15">
        <f t="shared" si="1379"/>
        <v>0</v>
      </c>
      <c r="X6948" s="36"/>
      <c r="Y6948" s="36"/>
      <c r="Z6948" s="36"/>
      <c r="AA6948" s="36"/>
      <c r="AB6948" s="36"/>
      <c r="AC6948" s="36"/>
      <c r="AD6948" s="36"/>
      <c r="AE6948" s="36"/>
      <c r="AF6948" s="36"/>
      <c r="AG6948" s="36"/>
      <c r="AH6948" s="36"/>
      <c r="AI6948" s="36"/>
      <c r="AJ6948" s="15">
        <f t="shared" si="1380"/>
        <v>0</v>
      </c>
      <c r="AK6948" s="14"/>
      <c r="AL6948" s="14"/>
      <c r="AM6948" s="14"/>
      <c r="AN6948" s="14"/>
      <c r="AO6948" s="14"/>
      <c r="AP6948" s="14"/>
      <c r="AQ6948" s="14"/>
      <c r="AR6948" s="14">
        <v>400</v>
      </c>
      <c r="AS6948" s="14"/>
      <c r="AT6948" s="14"/>
      <c r="AU6948" s="14"/>
      <c r="AV6948" s="14"/>
      <c r="AW6948" s="15">
        <f t="shared" si="1381"/>
        <v>400</v>
      </c>
      <c r="AX6948" s="16"/>
    </row>
    <row r="6949" spans="2:50" x14ac:dyDescent="0.2">
      <c r="B6949" s="7"/>
      <c r="C6949" s="8">
        <v>17011</v>
      </c>
      <c r="D6949" s="9" t="s">
        <v>313</v>
      </c>
      <c r="E6949" s="10" t="str">
        <f t="shared" si="1376"/>
        <v>Rancho La Cuchilla No. 87</v>
      </c>
      <c r="F6949" s="10" t="str">
        <f t="shared" si="1377"/>
        <v>Villanueva S.</v>
      </c>
      <c r="G6949" s="8">
        <v>1</v>
      </c>
      <c r="H6949" s="11">
        <v>400</v>
      </c>
      <c r="I6949" s="12">
        <v>43317</v>
      </c>
      <c r="J6949" s="35">
        <f t="shared" si="1378"/>
        <v>0</v>
      </c>
      <c r="K6949" s="36"/>
      <c r="L6949" s="36"/>
      <c r="M6949" s="36"/>
      <c r="N6949" s="36"/>
      <c r="O6949" s="36"/>
      <c r="P6949" s="36"/>
      <c r="Q6949" s="36"/>
      <c r="R6949" s="36"/>
      <c r="S6949" s="36"/>
      <c r="T6949" s="36"/>
      <c r="U6949" s="36"/>
      <c r="V6949" s="36"/>
      <c r="W6949" s="15">
        <f t="shared" si="1379"/>
        <v>0</v>
      </c>
      <c r="X6949" s="36"/>
      <c r="Y6949" s="36"/>
      <c r="Z6949" s="36"/>
      <c r="AA6949" s="36"/>
      <c r="AB6949" s="36"/>
      <c r="AC6949" s="36"/>
      <c r="AD6949" s="36"/>
      <c r="AE6949" s="36"/>
      <c r="AF6949" s="36"/>
      <c r="AG6949" s="36"/>
      <c r="AH6949" s="36"/>
      <c r="AI6949" s="36"/>
      <c r="AJ6949" s="15">
        <f t="shared" si="1380"/>
        <v>0</v>
      </c>
      <c r="AK6949" s="14"/>
      <c r="AL6949" s="14"/>
      <c r="AM6949" s="14"/>
      <c r="AN6949" s="14"/>
      <c r="AO6949" s="14"/>
      <c r="AP6949" s="14"/>
      <c r="AQ6949" s="14"/>
      <c r="AR6949" s="14">
        <v>400</v>
      </c>
      <c r="AS6949" s="14"/>
      <c r="AT6949" s="14"/>
      <c r="AU6949" s="14"/>
      <c r="AV6949" s="14"/>
      <c r="AW6949" s="15">
        <f t="shared" si="1381"/>
        <v>400</v>
      </c>
      <c r="AX6949" s="16"/>
    </row>
    <row r="6950" spans="2:50" x14ac:dyDescent="0.2">
      <c r="B6950" s="7"/>
      <c r="C6950" s="8">
        <v>17012</v>
      </c>
      <c r="D6950" s="9" t="s">
        <v>696</v>
      </c>
      <c r="E6950" s="10" t="str">
        <f t="shared" si="1376"/>
        <v>Rancho Upácuaro No. 64</v>
      </c>
      <c r="F6950" s="10" t="str">
        <f t="shared" si="1377"/>
        <v>Méndez Oliva</v>
      </c>
      <c r="G6950" s="8">
        <v>1</v>
      </c>
      <c r="H6950" s="11">
        <v>300</v>
      </c>
      <c r="I6950" s="12">
        <v>43317</v>
      </c>
      <c r="J6950" s="35">
        <f t="shared" si="1378"/>
        <v>0</v>
      </c>
      <c r="K6950" s="36"/>
      <c r="L6950" s="36"/>
      <c r="M6950" s="36"/>
      <c r="N6950" s="36"/>
      <c r="O6950" s="36"/>
      <c r="P6950" s="36"/>
      <c r="Q6950" s="36"/>
      <c r="R6950" s="36"/>
      <c r="S6950" s="36"/>
      <c r="T6950" s="36"/>
      <c r="U6950" s="36"/>
      <c r="V6950" s="36"/>
      <c r="W6950" s="15">
        <f t="shared" si="1379"/>
        <v>0</v>
      </c>
      <c r="X6950" s="36"/>
      <c r="Y6950" s="36"/>
      <c r="Z6950" s="36"/>
      <c r="AA6950" s="36"/>
      <c r="AB6950" s="36"/>
      <c r="AC6950" s="36"/>
      <c r="AD6950" s="36"/>
      <c r="AE6950" s="36"/>
      <c r="AF6950" s="36"/>
      <c r="AG6950" s="36"/>
      <c r="AH6950" s="36"/>
      <c r="AI6950" s="36"/>
      <c r="AJ6950" s="15">
        <f t="shared" si="1380"/>
        <v>0</v>
      </c>
      <c r="AK6950" s="14"/>
      <c r="AL6950" s="14"/>
      <c r="AM6950" s="14"/>
      <c r="AN6950" s="14"/>
      <c r="AO6950" s="14"/>
      <c r="AP6950" s="14"/>
      <c r="AQ6950" s="14"/>
      <c r="AR6950" s="14">
        <v>300</v>
      </c>
      <c r="AS6950" s="14"/>
      <c r="AT6950" s="14"/>
      <c r="AU6950" s="14"/>
      <c r="AV6950" s="14"/>
      <c r="AW6950" s="15">
        <f t="shared" si="1381"/>
        <v>300</v>
      </c>
      <c r="AX6950" s="16"/>
    </row>
    <row r="6951" spans="2:50" x14ac:dyDescent="0.2">
      <c r="B6951" s="7"/>
      <c r="C6951" s="8">
        <v>17013</v>
      </c>
      <c r="D6951" s="9" t="s">
        <v>292</v>
      </c>
      <c r="E6951" s="10" t="str">
        <f t="shared" si="1376"/>
        <v>Rancho Upácuaro No. 140</v>
      </c>
      <c r="F6951" s="10" t="str">
        <f t="shared" si="1377"/>
        <v>Gozain</v>
      </c>
      <c r="G6951" s="8">
        <v>1</v>
      </c>
      <c r="H6951" s="11">
        <v>400</v>
      </c>
      <c r="I6951" s="12">
        <v>43317</v>
      </c>
      <c r="J6951" s="35">
        <f t="shared" si="1378"/>
        <v>0</v>
      </c>
      <c r="K6951" s="36"/>
      <c r="L6951" s="36"/>
      <c r="M6951" s="36"/>
      <c r="N6951" s="36"/>
      <c r="O6951" s="36"/>
      <c r="P6951" s="36"/>
      <c r="Q6951" s="36"/>
      <c r="R6951" s="36"/>
      <c r="S6951" s="36"/>
      <c r="T6951" s="36"/>
      <c r="U6951" s="36"/>
      <c r="V6951" s="36"/>
      <c r="W6951" s="15">
        <f t="shared" si="1379"/>
        <v>0</v>
      </c>
      <c r="X6951" s="36"/>
      <c r="Y6951" s="36"/>
      <c r="Z6951" s="36"/>
      <c r="AA6951" s="36"/>
      <c r="AB6951" s="36"/>
      <c r="AC6951" s="36"/>
      <c r="AD6951" s="36"/>
      <c r="AE6951" s="36"/>
      <c r="AF6951" s="36"/>
      <c r="AG6951" s="36"/>
      <c r="AH6951" s="36"/>
      <c r="AI6951" s="36"/>
      <c r="AJ6951" s="15">
        <f t="shared" si="1380"/>
        <v>0</v>
      </c>
      <c r="AK6951" s="14"/>
      <c r="AL6951" s="14"/>
      <c r="AM6951" s="14"/>
      <c r="AN6951" s="14"/>
      <c r="AO6951" s="14"/>
      <c r="AP6951" s="14"/>
      <c r="AQ6951" s="14"/>
      <c r="AR6951" s="14">
        <v>400</v>
      </c>
      <c r="AS6951" s="14"/>
      <c r="AT6951" s="14"/>
      <c r="AU6951" s="14"/>
      <c r="AV6951" s="14"/>
      <c r="AW6951" s="15">
        <f t="shared" si="1381"/>
        <v>400</v>
      </c>
      <c r="AX6951" s="16"/>
    </row>
    <row r="6952" spans="2:50" x14ac:dyDescent="0.2">
      <c r="B6952" s="7"/>
      <c r="C6952" s="8">
        <v>17014</v>
      </c>
      <c r="D6952" s="9" t="s">
        <v>265</v>
      </c>
      <c r="E6952" s="10" t="str">
        <f t="shared" si="1376"/>
        <v>Rancho Upácuaro No. 85</v>
      </c>
      <c r="F6952" s="10" t="str">
        <f t="shared" si="1377"/>
        <v>Del Toro Huerta</v>
      </c>
      <c r="G6952" s="8">
        <v>1</v>
      </c>
      <c r="H6952" s="11">
        <v>400</v>
      </c>
      <c r="I6952" s="12">
        <v>43317</v>
      </c>
      <c r="J6952" s="35">
        <f t="shared" si="1378"/>
        <v>0</v>
      </c>
      <c r="K6952" s="36"/>
      <c r="L6952" s="36"/>
      <c r="M6952" s="36"/>
      <c r="N6952" s="36"/>
      <c r="O6952" s="36"/>
      <c r="P6952" s="36"/>
      <c r="Q6952" s="36"/>
      <c r="R6952" s="36"/>
      <c r="S6952" s="36"/>
      <c r="T6952" s="36"/>
      <c r="U6952" s="36"/>
      <c r="V6952" s="36"/>
      <c r="W6952" s="15">
        <f t="shared" si="1379"/>
        <v>0</v>
      </c>
      <c r="X6952" s="36"/>
      <c r="Y6952" s="36"/>
      <c r="Z6952" s="36"/>
      <c r="AA6952" s="36"/>
      <c r="AB6952" s="36"/>
      <c r="AC6952" s="36"/>
      <c r="AD6952" s="36"/>
      <c r="AE6952" s="36"/>
      <c r="AF6952" s="36"/>
      <c r="AG6952" s="36"/>
      <c r="AH6952" s="36"/>
      <c r="AI6952" s="36"/>
      <c r="AJ6952" s="15">
        <f t="shared" si="1380"/>
        <v>0</v>
      </c>
      <c r="AK6952" s="14"/>
      <c r="AL6952" s="14"/>
      <c r="AM6952" s="14"/>
      <c r="AN6952" s="14"/>
      <c r="AO6952" s="14"/>
      <c r="AP6952" s="14"/>
      <c r="AQ6952" s="14"/>
      <c r="AR6952" s="14">
        <v>400</v>
      </c>
      <c r="AS6952" s="14"/>
      <c r="AT6952" s="14"/>
      <c r="AU6952" s="14"/>
      <c r="AV6952" s="14"/>
      <c r="AW6952" s="15">
        <f t="shared" si="1381"/>
        <v>400</v>
      </c>
      <c r="AX6952" s="16"/>
    </row>
    <row r="6953" spans="2:50" x14ac:dyDescent="0.2">
      <c r="B6953" s="7"/>
      <c r="C6953" s="8">
        <v>17015</v>
      </c>
      <c r="D6953" s="9" t="s">
        <v>538</v>
      </c>
      <c r="E6953" s="10" t="str">
        <f t="shared" si="1376"/>
        <v>Rancho Landero No. 73</v>
      </c>
      <c r="F6953" s="10" t="str">
        <f t="shared" si="1377"/>
        <v>Islas Palacios</v>
      </c>
      <c r="G6953" s="8">
        <v>1</v>
      </c>
      <c r="H6953" s="11">
        <v>400</v>
      </c>
      <c r="I6953" s="12">
        <v>43317</v>
      </c>
      <c r="J6953" s="35">
        <f t="shared" si="1378"/>
        <v>0</v>
      </c>
      <c r="K6953" s="36"/>
      <c r="L6953" s="36"/>
      <c r="M6953" s="36"/>
      <c r="N6953" s="36"/>
      <c r="O6953" s="36"/>
      <c r="P6953" s="36"/>
      <c r="Q6953" s="36"/>
      <c r="R6953" s="36"/>
      <c r="S6953" s="36"/>
      <c r="T6953" s="36"/>
      <c r="U6953" s="36"/>
      <c r="V6953" s="36"/>
      <c r="W6953" s="15">
        <f t="shared" si="1379"/>
        <v>0</v>
      </c>
      <c r="X6953" s="36"/>
      <c r="Y6953" s="36"/>
      <c r="Z6953" s="36"/>
      <c r="AA6953" s="36"/>
      <c r="AB6953" s="36"/>
      <c r="AC6953" s="36"/>
      <c r="AD6953" s="36"/>
      <c r="AE6953" s="36"/>
      <c r="AF6953" s="36"/>
      <c r="AG6953" s="36"/>
      <c r="AH6953" s="36"/>
      <c r="AI6953" s="36"/>
      <c r="AJ6953" s="15">
        <f t="shared" si="1380"/>
        <v>0</v>
      </c>
      <c r="AK6953" s="14"/>
      <c r="AL6953" s="14"/>
      <c r="AM6953" s="14"/>
      <c r="AN6953" s="14"/>
      <c r="AO6953" s="14"/>
      <c r="AP6953" s="14"/>
      <c r="AQ6953" s="14">
        <v>400</v>
      </c>
      <c r="AR6953" s="14"/>
      <c r="AS6953" s="14"/>
      <c r="AT6953" s="14"/>
      <c r="AU6953" s="14"/>
      <c r="AV6953" s="14"/>
      <c r="AW6953" s="15">
        <f t="shared" si="1381"/>
        <v>400</v>
      </c>
      <c r="AX6953" s="16"/>
    </row>
    <row r="6954" spans="2:50" x14ac:dyDescent="0.2">
      <c r="B6954" s="7"/>
      <c r="C6954" s="8">
        <v>17016</v>
      </c>
      <c r="D6954" s="9" t="s">
        <v>84</v>
      </c>
      <c r="E6954" s="10" t="str">
        <f t="shared" si="1376"/>
        <v>Rancho La Cuchilla No. 139</v>
      </c>
      <c r="F6954" s="10" t="str">
        <f t="shared" si="1377"/>
        <v>Garcia</v>
      </c>
      <c r="G6954" s="8">
        <v>1</v>
      </c>
      <c r="H6954" s="11">
        <v>200</v>
      </c>
      <c r="I6954" s="12">
        <v>43317</v>
      </c>
      <c r="J6954" s="35">
        <f t="shared" si="1378"/>
        <v>0</v>
      </c>
      <c r="K6954" s="36"/>
      <c r="L6954" s="36"/>
      <c r="M6954" s="36"/>
      <c r="N6954" s="36"/>
      <c r="O6954" s="36"/>
      <c r="P6954" s="36"/>
      <c r="Q6954" s="36"/>
      <c r="R6954" s="36"/>
      <c r="S6954" s="36"/>
      <c r="T6954" s="36"/>
      <c r="U6954" s="36"/>
      <c r="V6954" s="36"/>
      <c r="W6954" s="15">
        <f t="shared" si="1379"/>
        <v>0</v>
      </c>
      <c r="X6954" s="36"/>
      <c r="Y6954" s="36"/>
      <c r="Z6954" s="36"/>
      <c r="AA6954" s="36"/>
      <c r="AB6954" s="36"/>
      <c r="AC6954" s="36"/>
      <c r="AD6954" s="36"/>
      <c r="AE6954" s="36"/>
      <c r="AF6954" s="36"/>
      <c r="AG6954" s="36"/>
      <c r="AH6954" s="36"/>
      <c r="AI6954" s="36"/>
      <c r="AJ6954" s="15">
        <f t="shared" si="1380"/>
        <v>0</v>
      </c>
      <c r="AK6954" s="14"/>
      <c r="AL6954" s="14"/>
      <c r="AM6954" s="14"/>
      <c r="AN6954" s="14"/>
      <c r="AO6954" s="14"/>
      <c r="AP6954" s="14"/>
      <c r="AQ6954" s="14"/>
      <c r="AR6954" s="14">
        <v>200</v>
      </c>
      <c r="AS6954" s="14"/>
      <c r="AT6954" s="14"/>
      <c r="AU6954" s="14"/>
      <c r="AV6954" s="14"/>
      <c r="AW6954" s="15">
        <f t="shared" si="1381"/>
        <v>200</v>
      </c>
      <c r="AX6954" s="16"/>
    </row>
    <row r="6955" spans="2:50" x14ac:dyDescent="0.2">
      <c r="B6955" s="7"/>
      <c r="C6955" s="8">
        <v>17017</v>
      </c>
      <c r="D6955" s="9" t="s">
        <v>935</v>
      </c>
      <c r="E6955" s="10" t="str">
        <f t="shared" si="1376"/>
        <v>Rancho Landero No. 39</v>
      </c>
      <c r="F6955" s="10" t="str">
        <f t="shared" si="1377"/>
        <v>Soto del Cueto</v>
      </c>
      <c r="G6955" s="8">
        <v>1</v>
      </c>
      <c r="H6955" s="11">
        <v>1500</v>
      </c>
      <c r="I6955" s="12">
        <v>43317</v>
      </c>
      <c r="J6955" s="35">
        <f t="shared" si="1378"/>
        <v>0</v>
      </c>
      <c r="K6955" s="36"/>
      <c r="L6955" s="36"/>
      <c r="M6955" s="36"/>
      <c r="N6955" s="36"/>
      <c r="O6955" s="36"/>
      <c r="P6955" s="36"/>
      <c r="Q6955" s="36"/>
      <c r="R6955" s="36"/>
      <c r="S6955" s="36"/>
      <c r="T6955" s="36"/>
      <c r="U6955" s="36"/>
      <c r="V6955" s="36"/>
      <c r="W6955" s="15">
        <f t="shared" si="1379"/>
        <v>0</v>
      </c>
      <c r="X6955" s="36"/>
      <c r="Y6955" s="36"/>
      <c r="Z6955" s="36"/>
      <c r="AA6955" s="36"/>
      <c r="AB6955" s="36"/>
      <c r="AC6955" s="36"/>
      <c r="AD6955" s="36"/>
      <c r="AE6955" s="36"/>
      <c r="AF6955" s="36"/>
      <c r="AG6955" s="36"/>
      <c r="AH6955" s="36"/>
      <c r="AI6955" s="36"/>
      <c r="AJ6955" s="15">
        <f t="shared" si="1380"/>
        <v>0</v>
      </c>
      <c r="AK6955" s="14"/>
      <c r="AL6955" s="14"/>
      <c r="AM6955" s="14"/>
      <c r="AN6955" s="14"/>
      <c r="AO6955" s="14"/>
      <c r="AP6955" s="14"/>
      <c r="AQ6955" s="14">
        <v>250</v>
      </c>
      <c r="AR6955" s="14">
        <v>250</v>
      </c>
      <c r="AS6955" s="14">
        <v>250</v>
      </c>
      <c r="AT6955" s="14">
        <v>250</v>
      </c>
      <c r="AU6955" s="14">
        <v>250</v>
      </c>
      <c r="AV6955" s="14">
        <v>250</v>
      </c>
      <c r="AW6955" s="15">
        <f t="shared" si="1381"/>
        <v>1500</v>
      </c>
      <c r="AX6955" s="16"/>
    </row>
    <row r="6956" spans="2:50" x14ac:dyDescent="0.2">
      <c r="B6956" s="7"/>
      <c r="C6956" s="8">
        <v>17018</v>
      </c>
      <c r="D6956" s="9" t="s">
        <v>1076</v>
      </c>
      <c r="E6956" s="10" t="str">
        <f t="shared" si="1376"/>
        <v>Rancho La Cuchilla No. 67</v>
      </c>
      <c r="F6956" s="10" t="str">
        <f t="shared" si="1377"/>
        <v>Quezada Viruega</v>
      </c>
      <c r="G6956" s="8">
        <v>1</v>
      </c>
      <c r="H6956" s="11">
        <v>400</v>
      </c>
      <c r="I6956" s="12">
        <v>43317</v>
      </c>
      <c r="J6956" s="35">
        <f t="shared" si="1378"/>
        <v>0</v>
      </c>
      <c r="K6956" s="36"/>
      <c r="L6956" s="36"/>
      <c r="M6956" s="36"/>
      <c r="N6956" s="36"/>
      <c r="O6956" s="36"/>
      <c r="P6956" s="36"/>
      <c r="Q6956" s="36"/>
      <c r="R6956" s="36"/>
      <c r="S6956" s="36"/>
      <c r="T6956" s="36"/>
      <c r="U6956" s="36"/>
      <c r="V6956" s="36"/>
      <c r="W6956" s="15">
        <f t="shared" si="1379"/>
        <v>0</v>
      </c>
      <c r="X6956" s="36"/>
      <c r="Y6956" s="36"/>
      <c r="Z6956" s="36"/>
      <c r="AA6956" s="36"/>
      <c r="AB6956" s="36"/>
      <c r="AC6956" s="36"/>
      <c r="AD6956" s="36"/>
      <c r="AE6956" s="36"/>
      <c r="AF6956" s="36"/>
      <c r="AG6956" s="36"/>
      <c r="AH6956" s="36"/>
      <c r="AI6956" s="36"/>
      <c r="AJ6956" s="15">
        <f t="shared" si="1380"/>
        <v>0</v>
      </c>
      <c r="AK6956" s="14"/>
      <c r="AL6956" s="14"/>
      <c r="AM6956" s="14"/>
      <c r="AN6956" s="14"/>
      <c r="AO6956" s="14"/>
      <c r="AP6956" s="14"/>
      <c r="AQ6956" s="14"/>
      <c r="AR6956" s="14">
        <v>400</v>
      </c>
      <c r="AS6956" s="14"/>
      <c r="AT6956" s="14"/>
      <c r="AU6956" s="14"/>
      <c r="AV6956" s="14"/>
      <c r="AW6956" s="15">
        <f t="shared" si="1381"/>
        <v>400</v>
      </c>
      <c r="AX6956" s="16"/>
    </row>
    <row r="6957" spans="2:50" x14ac:dyDescent="0.2">
      <c r="B6957" s="7"/>
      <c r="C6957" s="8">
        <v>17019</v>
      </c>
      <c r="D6957" s="9" t="s">
        <v>1260</v>
      </c>
      <c r="E6957" s="10" t="str">
        <f t="shared" si="1376"/>
        <v>Rancho La Cuchilla No. 11</v>
      </c>
      <c r="F6957" s="10" t="str">
        <f t="shared" si="1377"/>
        <v>Santiago</v>
      </c>
      <c r="G6957" s="8">
        <v>1</v>
      </c>
      <c r="H6957" s="11">
        <v>800</v>
      </c>
      <c r="I6957" s="12">
        <v>43317</v>
      </c>
      <c r="J6957" s="35">
        <f t="shared" si="1378"/>
        <v>0</v>
      </c>
      <c r="K6957" s="36"/>
      <c r="L6957" s="36"/>
      <c r="M6957" s="36"/>
      <c r="N6957" s="36"/>
      <c r="O6957" s="36"/>
      <c r="P6957" s="36"/>
      <c r="Q6957" s="36"/>
      <c r="R6957" s="36"/>
      <c r="S6957" s="36"/>
      <c r="T6957" s="36"/>
      <c r="U6957" s="36"/>
      <c r="V6957" s="36"/>
      <c r="W6957" s="15">
        <f t="shared" si="1379"/>
        <v>0</v>
      </c>
      <c r="X6957" s="36"/>
      <c r="Y6957" s="36"/>
      <c r="Z6957" s="36"/>
      <c r="AA6957" s="36"/>
      <c r="AB6957" s="36"/>
      <c r="AC6957" s="36"/>
      <c r="AD6957" s="36"/>
      <c r="AE6957" s="36"/>
      <c r="AF6957" s="36"/>
      <c r="AG6957" s="36"/>
      <c r="AH6957" s="36"/>
      <c r="AI6957" s="36"/>
      <c r="AJ6957" s="15">
        <f t="shared" si="1380"/>
        <v>0</v>
      </c>
      <c r="AK6957" s="14"/>
      <c r="AL6957" s="14"/>
      <c r="AM6957" s="14"/>
      <c r="AN6957" s="14"/>
      <c r="AO6957" s="14"/>
      <c r="AP6957" s="14">
        <v>400</v>
      </c>
      <c r="AQ6957" s="14">
        <v>400</v>
      </c>
      <c r="AR6957" s="14"/>
      <c r="AS6957" s="14"/>
      <c r="AT6957" s="14"/>
      <c r="AU6957" s="14"/>
      <c r="AV6957" s="14"/>
      <c r="AW6957" s="15">
        <f t="shared" si="1381"/>
        <v>800</v>
      </c>
      <c r="AX6957" s="16"/>
    </row>
    <row r="6958" spans="2:50" x14ac:dyDescent="0.2">
      <c r="B6958" s="7"/>
      <c r="C6958" s="8">
        <v>17020</v>
      </c>
      <c r="D6958" s="9" t="s">
        <v>592</v>
      </c>
      <c r="E6958" s="10" t="str">
        <f t="shared" si="1376"/>
        <v>Rancho Landero No. 30</v>
      </c>
      <c r="F6958" s="10" t="str">
        <f t="shared" si="1377"/>
        <v>Torres Guzmán</v>
      </c>
      <c r="G6958" s="8">
        <v>1</v>
      </c>
      <c r="H6958" s="11">
        <v>1500</v>
      </c>
      <c r="I6958" s="12">
        <v>43317</v>
      </c>
      <c r="J6958" s="35">
        <f t="shared" si="1378"/>
        <v>0</v>
      </c>
      <c r="K6958" s="36"/>
      <c r="L6958" s="36"/>
      <c r="M6958" s="36"/>
      <c r="N6958" s="36"/>
      <c r="O6958" s="36"/>
      <c r="P6958" s="36"/>
      <c r="Q6958" s="36"/>
      <c r="R6958" s="36"/>
      <c r="S6958" s="36"/>
      <c r="T6958" s="36"/>
      <c r="U6958" s="36"/>
      <c r="V6958" s="36"/>
      <c r="W6958" s="15">
        <f t="shared" si="1379"/>
        <v>0</v>
      </c>
      <c r="X6958" s="36"/>
      <c r="Y6958" s="36"/>
      <c r="Z6958" s="36"/>
      <c r="AA6958" s="36"/>
      <c r="AB6958" s="36"/>
      <c r="AC6958" s="36"/>
      <c r="AD6958" s="36"/>
      <c r="AE6958" s="36"/>
      <c r="AF6958" s="36"/>
      <c r="AG6958" s="36"/>
      <c r="AH6958" s="36"/>
      <c r="AI6958" s="36"/>
      <c r="AJ6958" s="15">
        <f t="shared" si="1380"/>
        <v>0</v>
      </c>
      <c r="AK6958" s="14"/>
      <c r="AL6958" s="14"/>
      <c r="AM6958" s="14"/>
      <c r="AN6958" s="14"/>
      <c r="AO6958" s="14">
        <v>300</v>
      </c>
      <c r="AP6958" s="14">
        <v>300</v>
      </c>
      <c r="AQ6958" s="14">
        <v>300</v>
      </c>
      <c r="AR6958" s="14">
        <v>300</v>
      </c>
      <c r="AS6958" s="14">
        <v>300</v>
      </c>
      <c r="AT6958" s="14"/>
      <c r="AU6958" s="14"/>
      <c r="AV6958" s="14"/>
      <c r="AW6958" s="15">
        <f t="shared" si="1381"/>
        <v>1500</v>
      </c>
      <c r="AX6958" s="16"/>
    </row>
    <row r="6959" spans="2:50" x14ac:dyDescent="0.2">
      <c r="B6959" s="7"/>
      <c r="C6959" s="8">
        <v>17021</v>
      </c>
      <c r="D6959" s="9" t="s">
        <v>672</v>
      </c>
      <c r="E6959" s="10" t="str">
        <f t="shared" si="1376"/>
        <v>Rancho Estanzuela No. 11, B</v>
      </c>
      <c r="F6959" s="10" t="str">
        <f t="shared" si="1377"/>
        <v>Gómez Miguel</v>
      </c>
      <c r="G6959" s="8">
        <v>1</v>
      </c>
      <c r="H6959" s="11">
        <v>200</v>
      </c>
      <c r="I6959" s="12">
        <v>43317</v>
      </c>
      <c r="J6959" s="35">
        <f t="shared" si="1378"/>
        <v>0</v>
      </c>
      <c r="K6959" s="36"/>
      <c r="L6959" s="36"/>
      <c r="M6959" s="36"/>
      <c r="N6959" s="36"/>
      <c r="O6959" s="36"/>
      <c r="P6959" s="36"/>
      <c r="Q6959" s="36"/>
      <c r="R6959" s="36"/>
      <c r="S6959" s="36"/>
      <c r="T6959" s="36"/>
      <c r="U6959" s="36"/>
      <c r="V6959" s="36"/>
      <c r="W6959" s="15">
        <f t="shared" si="1379"/>
        <v>0</v>
      </c>
      <c r="X6959" s="36"/>
      <c r="Y6959" s="36"/>
      <c r="Z6959" s="36"/>
      <c r="AA6959" s="36"/>
      <c r="AB6959" s="36"/>
      <c r="AC6959" s="36"/>
      <c r="AD6959" s="36"/>
      <c r="AE6959" s="36"/>
      <c r="AF6959" s="36"/>
      <c r="AG6959" s="36"/>
      <c r="AH6959" s="36"/>
      <c r="AI6959" s="36"/>
      <c r="AJ6959" s="15">
        <f t="shared" si="1380"/>
        <v>0</v>
      </c>
      <c r="AK6959" s="14"/>
      <c r="AL6959" s="14"/>
      <c r="AM6959" s="14"/>
      <c r="AN6959" s="14"/>
      <c r="AO6959" s="14"/>
      <c r="AP6959" s="14"/>
      <c r="AQ6959" s="14">
        <v>200</v>
      </c>
      <c r="AR6959" s="14"/>
      <c r="AS6959" s="14"/>
      <c r="AT6959" s="14"/>
      <c r="AU6959" s="14"/>
      <c r="AV6959" s="14"/>
      <c r="AW6959" s="15">
        <f t="shared" si="1381"/>
        <v>200</v>
      </c>
      <c r="AX6959" s="16"/>
    </row>
    <row r="6960" spans="2:50" x14ac:dyDescent="0.2">
      <c r="B6960" s="7"/>
      <c r="C6960" s="8">
        <v>17022</v>
      </c>
      <c r="D6960" s="9" t="s">
        <v>628</v>
      </c>
      <c r="E6960" s="10" t="str">
        <f t="shared" si="1376"/>
        <v>Rancho Landero No. 51</v>
      </c>
      <c r="F6960" s="10" t="str">
        <f t="shared" si="1377"/>
        <v>H. Robles Tamayo</v>
      </c>
      <c r="G6960" s="8">
        <v>1</v>
      </c>
      <c r="H6960" s="11">
        <v>400</v>
      </c>
      <c r="I6960" s="12">
        <v>43317</v>
      </c>
      <c r="J6960" s="35">
        <f t="shared" si="1378"/>
        <v>0</v>
      </c>
      <c r="K6960" s="36"/>
      <c r="L6960" s="36"/>
      <c r="M6960" s="36"/>
      <c r="N6960" s="36"/>
      <c r="O6960" s="36"/>
      <c r="P6960" s="36"/>
      <c r="Q6960" s="36"/>
      <c r="R6960" s="36"/>
      <c r="S6960" s="36"/>
      <c r="T6960" s="36"/>
      <c r="U6960" s="36"/>
      <c r="V6960" s="36"/>
      <c r="W6960" s="15">
        <f t="shared" si="1379"/>
        <v>0</v>
      </c>
      <c r="X6960" s="36"/>
      <c r="Y6960" s="36"/>
      <c r="Z6960" s="36"/>
      <c r="AA6960" s="36"/>
      <c r="AB6960" s="36"/>
      <c r="AC6960" s="36"/>
      <c r="AD6960" s="36"/>
      <c r="AE6960" s="36"/>
      <c r="AF6960" s="36"/>
      <c r="AG6960" s="36"/>
      <c r="AH6960" s="36"/>
      <c r="AI6960" s="36"/>
      <c r="AJ6960" s="15">
        <f t="shared" si="1380"/>
        <v>0</v>
      </c>
      <c r="AK6960" s="14"/>
      <c r="AL6960" s="14"/>
      <c r="AM6960" s="14"/>
      <c r="AN6960" s="14"/>
      <c r="AO6960" s="14"/>
      <c r="AP6960" s="14"/>
      <c r="AQ6960" s="14"/>
      <c r="AR6960" s="14">
        <v>400</v>
      </c>
      <c r="AS6960" s="14"/>
      <c r="AT6960" s="14"/>
      <c r="AU6960" s="14"/>
      <c r="AV6960" s="14"/>
      <c r="AW6960" s="15">
        <f t="shared" si="1381"/>
        <v>400</v>
      </c>
      <c r="AX6960" s="16"/>
    </row>
    <row r="6961" spans="2:50" x14ac:dyDescent="0.2">
      <c r="B6961" s="7"/>
      <c r="C6961" s="8">
        <v>17022</v>
      </c>
      <c r="D6961" s="9" t="s">
        <v>628</v>
      </c>
      <c r="E6961" s="10" t="str">
        <f t="shared" si="1376"/>
        <v>Rancho Landero No. 51</v>
      </c>
      <c r="F6961" s="10" t="str">
        <f t="shared" si="1377"/>
        <v>H. Robles Tamayo</v>
      </c>
      <c r="G6961" s="8">
        <v>3</v>
      </c>
      <c r="H6961" s="11">
        <v>200</v>
      </c>
      <c r="I6961" s="12">
        <v>43317</v>
      </c>
      <c r="J6961" s="35">
        <f t="shared" si="1378"/>
        <v>0</v>
      </c>
      <c r="K6961" s="36"/>
      <c r="L6961" s="36"/>
      <c r="M6961" s="36"/>
      <c r="N6961" s="36"/>
      <c r="O6961" s="36"/>
      <c r="P6961" s="36"/>
      <c r="Q6961" s="36"/>
      <c r="R6961" s="36"/>
      <c r="S6961" s="36"/>
      <c r="T6961" s="36"/>
      <c r="U6961" s="36"/>
      <c r="V6961" s="36"/>
      <c r="W6961" s="15">
        <f t="shared" si="1379"/>
        <v>0</v>
      </c>
      <c r="X6961" s="36"/>
      <c r="Y6961" s="36"/>
      <c r="Z6961" s="36"/>
      <c r="AA6961" s="36"/>
      <c r="AB6961" s="36"/>
      <c r="AC6961" s="36"/>
      <c r="AD6961" s="36"/>
      <c r="AE6961" s="36"/>
      <c r="AF6961" s="36"/>
      <c r="AG6961" s="36"/>
      <c r="AH6961" s="36"/>
      <c r="AI6961" s="36"/>
      <c r="AJ6961" s="15">
        <f t="shared" si="1380"/>
        <v>0</v>
      </c>
      <c r="AK6961" s="14"/>
      <c r="AL6961" s="14"/>
      <c r="AM6961" s="14"/>
      <c r="AN6961" s="14"/>
      <c r="AO6961" s="14"/>
      <c r="AP6961" s="14"/>
      <c r="AQ6961" s="14"/>
      <c r="AR6961" s="14"/>
      <c r="AS6961" s="14"/>
      <c r="AT6961" s="14"/>
      <c r="AU6961" s="14"/>
      <c r="AV6961" s="14"/>
      <c r="AW6961" s="15">
        <f t="shared" si="1381"/>
        <v>0</v>
      </c>
      <c r="AX6961" s="16"/>
    </row>
    <row r="6962" spans="2:50" x14ac:dyDescent="0.2">
      <c r="B6962" s="7"/>
      <c r="C6962" s="8">
        <v>17023</v>
      </c>
      <c r="D6962" s="9" t="s">
        <v>103</v>
      </c>
      <c r="E6962" s="10" t="str">
        <f t="shared" si="1376"/>
        <v>Rancho La Cuchilla No. 41</v>
      </c>
      <c r="F6962" s="10" t="str">
        <f t="shared" si="1377"/>
        <v>Arriaga Lemus</v>
      </c>
      <c r="G6962" s="8">
        <v>1</v>
      </c>
      <c r="H6962" s="11">
        <v>800</v>
      </c>
      <c r="I6962" s="12">
        <v>43317</v>
      </c>
      <c r="J6962" s="35">
        <f t="shared" si="1378"/>
        <v>0</v>
      </c>
      <c r="K6962" s="36"/>
      <c r="L6962" s="36"/>
      <c r="M6962" s="36"/>
      <c r="N6962" s="36"/>
      <c r="O6962" s="36"/>
      <c r="P6962" s="36"/>
      <c r="Q6962" s="36"/>
      <c r="R6962" s="36"/>
      <c r="S6962" s="36"/>
      <c r="T6962" s="36"/>
      <c r="U6962" s="36"/>
      <c r="V6962" s="36"/>
      <c r="W6962" s="15">
        <f t="shared" si="1379"/>
        <v>0</v>
      </c>
      <c r="X6962" s="36"/>
      <c r="Y6962" s="36"/>
      <c r="Z6962" s="36"/>
      <c r="AA6962" s="36"/>
      <c r="AB6962" s="36"/>
      <c r="AC6962" s="36"/>
      <c r="AD6962" s="36"/>
      <c r="AE6962" s="36"/>
      <c r="AF6962" s="36"/>
      <c r="AG6962" s="36"/>
      <c r="AH6962" s="36"/>
      <c r="AI6962" s="36"/>
      <c r="AJ6962" s="15">
        <f t="shared" si="1380"/>
        <v>0</v>
      </c>
      <c r="AK6962" s="14"/>
      <c r="AL6962" s="14"/>
      <c r="AM6962" s="14"/>
      <c r="AN6962" s="14"/>
      <c r="AO6962" s="14"/>
      <c r="AP6962" s="14">
        <v>400</v>
      </c>
      <c r="AQ6962" s="14">
        <v>400</v>
      </c>
      <c r="AR6962" s="14"/>
      <c r="AS6962" s="14"/>
      <c r="AT6962" s="14"/>
      <c r="AU6962" s="14"/>
      <c r="AV6962" s="14"/>
      <c r="AW6962" s="15">
        <f t="shared" si="1381"/>
        <v>800</v>
      </c>
      <c r="AX6962" s="16"/>
    </row>
    <row r="6963" spans="2:50" x14ac:dyDescent="0.2">
      <c r="B6963" s="7"/>
      <c r="C6963" s="8">
        <v>17024</v>
      </c>
      <c r="D6963" s="9" t="s">
        <v>449</v>
      </c>
      <c r="E6963" s="10" t="str">
        <f t="shared" si="1376"/>
        <v>Rancho La Cuchilla No. 132</v>
      </c>
      <c r="F6963" s="10" t="str">
        <f t="shared" si="1377"/>
        <v>Téllez Girón</v>
      </c>
      <c r="G6963" s="8">
        <v>1</v>
      </c>
      <c r="H6963" s="11">
        <v>600</v>
      </c>
      <c r="I6963" s="12">
        <v>43317</v>
      </c>
      <c r="J6963" s="35">
        <f t="shared" si="1378"/>
        <v>0</v>
      </c>
      <c r="K6963" s="36"/>
      <c r="L6963" s="36"/>
      <c r="M6963" s="36"/>
      <c r="N6963" s="36"/>
      <c r="O6963" s="36"/>
      <c r="P6963" s="36"/>
      <c r="Q6963" s="36"/>
      <c r="R6963" s="36"/>
      <c r="S6963" s="36"/>
      <c r="T6963" s="36"/>
      <c r="U6963" s="36"/>
      <c r="V6963" s="36"/>
      <c r="W6963" s="15">
        <f t="shared" si="1379"/>
        <v>0</v>
      </c>
      <c r="X6963" s="36"/>
      <c r="Y6963" s="36"/>
      <c r="Z6963" s="36"/>
      <c r="AA6963" s="36"/>
      <c r="AB6963" s="36"/>
      <c r="AC6963" s="36"/>
      <c r="AD6963" s="36"/>
      <c r="AE6963" s="36"/>
      <c r="AF6963" s="36"/>
      <c r="AG6963" s="36"/>
      <c r="AH6963" s="36"/>
      <c r="AI6963" s="36"/>
      <c r="AJ6963" s="15">
        <f t="shared" si="1380"/>
        <v>0</v>
      </c>
      <c r="AK6963" s="14"/>
      <c r="AL6963" s="14"/>
      <c r="AM6963" s="14"/>
      <c r="AN6963" s="14"/>
      <c r="AO6963" s="14"/>
      <c r="AP6963" s="14"/>
      <c r="AQ6963" s="14">
        <v>300</v>
      </c>
      <c r="AR6963" s="14">
        <v>300</v>
      </c>
      <c r="AS6963" s="14"/>
      <c r="AT6963" s="14"/>
      <c r="AU6963" s="14"/>
      <c r="AV6963" s="14"/>
      <c r="AW6963" s="15">
        <f t="shared" si="1381"/>
        <v>600</v>
      </c>
      <c r="AX6963" s="16"/>
    </row>
    <row r="6964" spans="2:50" x14ac:dyDescent="0.2">
      <c r="B6964" s="7"/>
      <c r="C6964" s="8">
        <v>17025</v>
      </c>
      <c r="D6964" s="9" t="s">
        <v>449</v>
      </c>
      <c r="E6964" s="10" t="str">
        <f t="shared" si="1376"/>
        <v>Rancho La Cuchilla No. 132</v>
      </c>
      <c r="F6964" s="10" t="str">
        <f t="shared" si="1377"/>
        <v>Téllez Girón</v>
      </c>
      <c r="G6964" s="8">
        <v>4</v>
      </c>
      <c r="H6964" s="11">
        <v>200</v>
      </c>
      <c r="I6964" s="12">
        <v>43317</v>
      </c>
      <c r="J6964" s="35">
        <f t="shared" si="1378"/>
        <v>0</v>
      </c>
      <c r="K6964" s="36"/>
      <c r="L6964" s="36"/>
      <c r="M6964" s="36"/>
      <c r="N6964" s="36"/>
      <c r="O6964" s="36"/>
      <c r="P6964" s="36"/>
      <c r="Q6964" s="36"/>
      <c r="R6964" s="36"/>
      <c r="S6964" s="36"/>
      <c r="T6964" s="36"/>
      <c r="U6964" s="36"/>
      <c r="V6964" s="36"/>
      <c r="W6964" s="15">
        <f t="shared" si="1379"/>
        <v>0</v>
      </c>
      <c r="X6964" s="36"/>
      <c r="Y6964" s="36"/>
      <c r="Z6964" s="36"/>
      <c r="AA6964" s="36"/>
      <c r="AB6964" s="36"/>
      <c r="AC6964" s="36"/>
      <c r="AD6964" s="36"/>
      <c r="AE6964" s="36"/>
      <c r="AF6964" s="36"/>
      <c r="AG6964" s="36"/>
      <c r="AH6964" s="36"/>
      <c r="AI6964" s="36"/>
      <c r="AJ6964" s="15">
        <f t="shared" si="1380"/>
        <v>0</v>
      </c>
      <c r="AK6964" s="14"/>
      <c r="AL6964" s="14"/>
      <c r="AM6964" s="14"/>
      <c r="AN6964" s="14"/>
      <c r="AO6964" s="14"/>
      <c r="AP6964" s="14"/>
      <c r="AQ6964" s="14"/>
      <c r="AR6964" s="14"/>
      <c r="AS6964" s="14"/>
      <c r="AT6964" s="14"/>
      <c r="AU6964" s="14"/>
      <c r="AV6964" s="14"/>
      <c r="AW6964" s="15">
        <f t="shared" si="1381"/>
        <v>0</v>
      </c>
      <c r="AX6964" s="16" t="s">
        <v>5497</v>
      </c>
    </row>
    <row r="6965" spans="2:50" x14ac:dyDescent="0.2">
      <c r="B6965" s="7"/>
      <c r="C6965" s="8">
        <v>17025</v>
      </c>
      <c r="D6965" s="9" t="s">
        <v>449</v>
      </c>
      <c r="E6965" s="10" t="str">
        <f t="shared" si="1376"/>
        <v>Rancho La Cuchilla No. 132</v>
      </c>
      <c r="F6965" s="10" t="str">
        <f t="shared" si="1377"/>
        <v>Téllez Girón</v>
      </c>
      <c r="G6965" s="8">
        <v>5</v>
      </c>
      <c r="H6965" s="11">
        <v>50</v>
      </c>
      <c r="I6965" s="12">
        <v>43317</v>
      </c>
      <c r="J6965" s="35">
        <f t="shared" si="1378"/>
        <v>0</v>
      </c>
      <c r="K6965" s="36"/>
      <c r="L6965" s="36"/>
      <c r="M6965" s="36"/>
      <c r="N6965" s="36"/>
      <c r="O6965" s="36"/>
      <c r="P6965" s="36"/>
      <c r="Q6965" s="36"/>
      <c r="R6965" s="36"/>
      <c r="S6965" s="36"/>
      <c r="T6965" s="36"/>
      <c r="U6965" s="36"/>
      <c r="V6965" s="36"/>
      <c r="W6965" s="15">
        <f t="shared" si="1379"/>
        <v>0</v>
      </c>
      <c r="X6965" s="36"/>
      <c r="Y6965" s="36"/>
      <c r="Z6965" s="36"/>
      <c r="AA6965" s="36"/>
      <c r="AB6965" s="36"/>
      <c r="AC6965" s="36"/>
      <c r="AD6965" s="36"/>
      <c r="AE6965" s="36"/>
      <c r="AF6965" s="36"/>
      <c r="AG6965" s="36"/>
      <c r="AH6965" s="36"/>
      <c r="AI6965" s="36"/>
      <c r="AJ6965" s="15">
        <f t="shared" si="1380"/>
        <v>0</v>
      </c>
      <c r="AK6965" s="14"/>
      <c r="AL6965" s="14"/>
      <c r="AM6965" s="14"/>
      <c r="AN6965" s="14"/>
      <c r="AO6965" s="14"/>
      <c r="AP6965" s="14"/>
      <c r="AQ6965" s="14"/>
      <c r="AR6965" s="14"/>
      <c r="AS6965" s="14"/>
      <c r="AT6965" s="14"/>
      <c r="AU6965" s="14"/>
      <c r="AV6965" s="14"/>
      <c r="AW6965" s="15">
        <f t="shared" si="1381"/>
        <v>0</v>
      </c>
      <c r="AX6965" s="16"/>
    </row>
    <row r="6966" spans="2:50" x14ac:dyDescent="0.2">
      <c r="B6966" s="7"/>
      <c r="C6966" s="8">
        <v>17026</v>
      </c>
      <c r="D6966" s="9" t="s">
        <v>791</v>
      </c>
      <c r="E6966" s="10" t="str">
        <f t="shared" si="1376"/>
        <v>Rancho Upácuaro No. 116</v>
      </c>
      <c r="F6966" s="10" t="str">
        <f t="shared" si="1377"/>
        <v>Zenteno</v>
      </c>
      <c r="G6966" s="8">
        <v>1</v>
      </c>
      <c r="H6966" s="11">
        <v>800</v>
      </c>
      <c r="I6966" s="12">
        <v>43317</v>
      </c>
      <c r="J6966" s="35">
        <f t="shared" si="1378"/>
        <v>0</v>
      </c>
      <c r="K6966" s="36"/>
      <c r="L6966" s="36"/>
      <c r="M6966" s="36"/>
      <c r="N6966" s="36"/>
      <c r="O6966" s="36"/>
      <c r="P6966" s="36"/>
      <c r="Q6966" s="36"/>
      <c r="R6966" s="36"/>
      <c r="S6966" s="36"/>
      <c r="T6966" s="36"/>
      <c r="U6966" s="36"/>
      <c r="V6966" s="36"/>
      <c r="W6966" s="15">
        <f t="shared" si="1379"/>
        <v>0</v>
      </c>
      <c r="X6966" s="36"/>
      <c r="Y6966" s="36"/>
      <c r="Z6966" s="36"/>
      <c r="AA6966" s="36"/>
      <c r="AB6966" s="36"/>
      <c r="AC6966" s="36"/>
      <c r="AD6966" s="36"/>
      <c r="AE6966" s="36"/>
      <c r="AF6966" s="36"/>
      <c r="AG6966" s="36"/>
      <c r="AH6966" s="36"/>
      <c r="AI6966" s="36"/>
      <c r="AJ6966" s="15">
        <f t="shared" si="1380"/>
        <v>0</v>
      </c>
      <c r="AK6966" s="14"/>
      <c r="AL6966" s="14"/>
      <c r="AM6966" s="14"/>
      <c r="AN6966" s="14"/>
      <c r="AO6966" s="14"/>
      <c r="AP6966" s="14"/>
      <c r="AQ6966" s="14">
        <v>400</v>
      </c>
      <c r="AR6966" s="14">
        <v>400</v>
      </c>
      <c r="AS6966" s="14"/>
      <c r="AT6966" s="14"/>
      <c r="AU6966" s="14"/>
      <c r="AV6966" s="14"/>
      <c r="AW6966" s="15">
        <f t="shared" si="1381"/>
        <v>800</v>
      </c>
      <c r="AX6966" s="16"/>
    </row>
    <row r="6967" spans="2:50" x14ac:dyDescent="0.2">
      <c r="B6967" s="7"/>
      <c r="C6967" s="8">
        <v>17027</v>
      </c>
      <c r="D6967" s="9" t="s">
        <v>807</v>
      </c>
      <c r="E6967" s="10" t="str">
        <f t="shared" si="1376"/>
        <v>Rancho La Cuchilla No. 61</v>
      </c>
      <c r="F6967" s="10" t="str">
        <f t="shared" si="1377"/>
        <v>Rivera</v>
      </c>
      <c r="G6967" s="8">
        <v>1</v>
      </c>
      <c r="H6967" s="11">
        <v>400</v>
      </c>
      <c r="I6967" s="12">
        <v>43317</v>
      </c>
      <c r="J6967" s="35">
        <f t="shared" si="1378"/>
        <v>0</v>
      </c>
      <c r="K6967" s="36"/>
      <c r="L6967" s="36"/>
      <c r="M6967" s="36"/>
      <c r="N6967" s="36"/>
      <c r="O6967" s="36"/>
      <c r="P6967" s="36"/>
      <c r="Q6967" s="36"/>
      <c r="R6967" s="36"/>
      <c r="S6967" s="36"/>
      <c r="T6967" s="36"/>
      <c r="U6967" s="36"/>
      <c r="V6967" s="36"/>
      <c r="W6967" s="15">
        <f t="shared" si="1379"/>
        <v>0</v>
      </c>
      <c r="X6967" s="36"/>
      <c r="Y6967" s="36"/>
      <c r="Z6967" s="36"/>
      <c r="AA6967" s="36"/>
      <c r="AB6967" s="36"/>
      <c r="AC6967" s="36"/>
      <c r="AD6967" s="36"/>
      <c r="AE6967" s="36"/>
      <c r="AF6967" s="36"/>
      <c r="AG6967" s="36"/>
      <c r="AH6967" s="36"/>
      <c r="AI6967" s="36"/>
      <c r="AJ6967" s="15">
        <f t="shared" si="1380"/>
        <v>0</v>
      </c>
      <c r="AK6967" s="14"/>
      <c r="AL6967" s="14"/>
      <c r="AM6967" s="14"/>
      <c r="AN6967" s="14"/>
      <c r="AO6967" s="14">
        <v>200</v>
      </c>
      <c r="AP6967" s="14">
        <v>200</v>
      </c>
      <c r="AQ6967" s="14"/>
      <c r="AR6967" s="14"/>
      <c r="AS6967" s="14"/>
      <c r="AT6967" s="14"/>
      <c r="AU6967" s="14"/>
      <c r="AV6967" s="14"/>
      <c r="AW6967" s="15">
        <f t="shared" si="1381"/>
        <v>400</v>
      </c>
      <c r="AX6967" s="16"/>
    </row>
    <row r="6968" spans="2:50" x14ac:dyDescent="0.2">
      <c r="B6968" s="7"/>
      <c r="C6968" s="8">
        <v>17028</v>
      </c>
      <c r="D6968" s="9" t="s">
        <v>1103</v>
      </c>
      <c r="E6968" s="10" t="str">
        <f t="shared" si="1376"/>
        <v>Rancho Landero No. 86</v>
      </c>
      <c r="F6968" s="10" t="str">
        <f t="shared" si="1377"/>
        <v>Cuervo</v>
      </c>
      <c r="G6968" s="8">
        <v>1</v>
      </c>
      <c r="H6968" s="11">
        <v>200</v>
      </c>
      <c r="I6968" s="12">
        <v>43317</v>
      </c>
      <c r="J6968" s="35">
        <f t="shared" si="1378"/>
        <v>0</v>
      </c>
      <c r="K6968" s="36"/>
      <c r="L6968" s="36"/>
      <c r="M6968" s="36"/>
      <c r="N6968" s="36"/>
      <c r="O6968" s="36"/>
      <c r="P6968" s="36"/>
      <c r="Q6968" s="36"/>
      <c r="R6968" s="36"/>
      <c r="S6968" s="36"/>
      <c r="T6968" s="36"/>
      <c r="U6968" s="36"/>
      <c r="V6968" s="36"/>
      <c r="W6968" s="15">
        <f t="shared" si="1379"/>
        <v>0</v>
      </c>
      <c r="X6968" s="36"/>
      <c r="Y6968" s="36"/>
      <c r="Z6968" s="36"/>
      <c r="AA6968" s="36"/>
      <c r="AB6968" s="36"/>
      <c r="AC6968" s="36"/>
      <c r="AD6968" s="36"/>
      <c r="AE6968" s="36"/>
      <c r="AF6968" s="36"/>
      <c r="AG6968" s="36"/>
      <c r="AH6968" s="36"/>
      <c r="AI6968" s="36"/>
      <c r="AJ6968" s="15">
        <f t="shared" si="1380"/>
        <v>0</v>
      </c>
      <c r="AK6968" s="14"/>
      <c r="AL6968" s="14"/>
      <c r="AM6968" s="14"/>
      <c r="AN6968" s="14">
        <v>200</v>
      </c>
      <c r="AO6968" s="14"/>
      <c r="AP6968" s="14"/>
      <c r="AQ6968" s="14"/>
      <c r="AR6968" s="14"/>
      <c r="AS6968" s="14"/>
      <c r="AT6968" s="14"/>
      <c r="AU6968" s="14"/>
      <c r="AV6968" s="14"/>
      <c r="AW6968" s="15">
        <f t="shared" si="1381"/>
        <v>200</v>
      </c>
      <c r="AX6968" s="16"/>
    </row>
    <row r="6969" spans="2:50" x14ac:dyDescent="0.2">
      <c r="B6969" s="7"/>
      <c r="C6969" s="8">
        <v>17029</v>
      </c>
      <c r="D6969" s="9" t="s">
        <v>384</v>
      </c>
      <c r="E6969" s="10" t="str">
        <f t="shared" si="1376"/>
        <v>Rancho Zinamba No. 88</v>
      </c>
      <c r="F6969" s="10" t="str">
        <f t="shared" si="1377"/>
        <v>Martínez</v>
      </c>
      <c r="G6969" s="8">
        <v>1</v>
      </c>
      <c r="H6969" s="11">
        <v>300</v>
      </c>
      <c r="I6969" s="12">
        <v>43317</v>
      </c>
      <c r="J6969" s="35">
        <f t="shared" si="1378"/>
        <v>0</v>
      </c>
      <c r="K6969" s="36"/>
      <c r="L6969" s="36"/>
      <c r="M6969" s="36"/>
      <c r="N6969" s="36"/>
      <c r="O6969" s="36"/>
      <c r="P6969" s="36"/>
      <c r="Q6969" s="36"/>
      <c r="R6969" s="36"/>
      <c r="S6969" s="36"/>
      <c r="T6969" s="36"/>
      <c r="U6969" s="36"/>
      <c r="V6969" s="36"/>
      <c r="W6969" s="15">
        <f t="shared" si="1379"/>
        <v>0</v>
      </c>
      <c r="X6969" s="36"/>
      <c r="Y6969" s="36"/>
      <c r="Z6969" s="36"/>
      <c r="AA6969" s="36"/>
      <c r="AB6969" s="36"/>
      <c r="AC6969" s="36"/>
      <c r="AD6969" s="36"/>
      <c r="AE6969" s="36"/>
      <c r="AF6969" s="36"/>
      <c r="AG6969" s="36"/>
      <c r="AH6969" s="36"/>
      <c r="AI6969" s="36"/>
      <c r="AJ6969" s="15">
        <f t="shared" si="1380"/>
        <v>0</v>
      </c>
      <c r="AK6969" s="14"/>
      <c r="AL6969" s="14"/>
      <c r="AM6969" s="14"/>
      <c r="AN6969" s="14"/>
      <c r="AO6969" s="14"/>
      <c r="AP6969" s="14"/>
      <c r="AQ6969" s="14"/>
      <c r="AR6969" s="14">
        <v>300</v>
      </c>
      <c r="AS6969" s="14"/>
      <c r="AT6969" s="14"/>
      <c r="AU6969" s="14"/>
      <c r="AV6969" s="14"/>
      <c r="AW6969" s="15">
        <f t="shared" si="1381"/>
        <v>300</v>
      </c>
      <c r="AX6969" s="16"/>
    </row>
    <row r="6970" spans="2:50" x14ac:dyDescent="0.2">
      <c r="B6970" s="7"/>
      <c r="C6970" s="8">
        <v>17030</v>
      </c>
      <c r="D6970" s="9" t="s">
        <v>174</v>
      </c>
      <c r="E6970" s="10" t="str">
        <f t="shared" si="1376"/>
        <v>Rancho Upácuaro No. 18</v>
      </c>
      <c r="F6970" s="10" t="str">
        <f t="shared" si="1377"/>
        <v>Guzmán</v>
      </c>
      <c r="G6970" s="8">
        <v>1</v>
      </c>
      <c r="H6970" s="11">
        <v>300</v>
      </c>
      <c r="I6970" s="12">
        <v>43317</v>
      </c>
      <c r="J6970" s="35">
        <f t="shared" si="1378"/>
        <v>0</v>
      </c>
      <c r="K6970" s="36"/>
      <c r="L6970" s="36"/>
      <c r="M6970" s="36"/>
      <c r="N6970" s="36"/>
      <c r="O6970" s="36"/>
      <c r="P6970" s="36"/>
      <c r="Q6970" s="36"/>
      <c r="R6970" s="36"/>
      <c r="S6970" s="36"/>
      <c r="T6970" s="36"/>
      <c r="U6970" s="36"/>
      <c r="V6970" s="36"/>
      <c r="W6970" s="15">
        <f t="shared" si="1379"/>
        <v>0</v>
      </c>
      <c r="X6970" s="36"/>
      <c r="Y6970" s="36"/>
      <c r="Z6970" s="36"/>
      <c r="AA6970" s="36"/>
      <c r="AB6970" s="36"/>
      <c r="AC6970" s="36"/>
      <c r="AD6970" s="36"/>
      <c r="AE6970" s="36"/>
      <c r="AF6970" s="36"/>
      <c r="AG6970" s="36"/>
      <c r="AH6970" s="36"/>
      <c r="AI6970" s="36"/>
      <c r="AJ6970" s="15">
        <f t="shared" si="1380"/>
        <v>0</v>
      </c>
      <c r="AK6970" s="14"/>
      <c r="AL6970" s="14"/>
      <c r="AM6970" s="14"/>
      <c r="AN6970" s="14"/>
      <c r="AO6970" s="14"/>
      <c r="AP6970" s="14"/>
      <c r="AQ6970" s="14"/>
      <c r="AR6970" s="14">
        <v>300</v>
      </c>
      <c r="AS6970" s="14"/>
      <c r="AT6970" s="14"/>
      <c r="AU6970" s="14"/>
      <c r="AV6970" s="14"/>
      <c r="AW6970" s="15">
        <f t="shared" si="1381"/>
        <v>300</v>
      </c>
      <c r="AX6970" s="16"/>
    </row>
    <row r="6971" spans="2:50" x14ac:dyDescent="0.2">
      <c r="B6971" s="7"/>
      <c r="C6971" s="8">
        <v>17031</v>
      </c>
      <c r="D6971" s="9" t="s">
        <v>529</v>
      </c>
      <c r="E6971" s="10" t="str">
        <f t="shared" si="1376"/>
        <v>Rancho Estanzuela No. 37</v>
      </c>
      <c r="F6971" s="10" t="str">
        <f t="shared" si="1377"/>
        <v>Cabello Eduardo</v>
      </c>
      <c r="G6971" s="8">
        <v>1</v>
      </c>
      <c r="H6971" s="11">
        <v>1600</v>
      </c>
      <c r="I6971" s="12">
        <v>43317</v>
      </c>
      <c r="J6971" s="35">
        <f t="shared" si="1378"/>
        <v>0</v>
      </c>
      <c r="K6971" s="36"/>
      <c r="L6971" s="36"/>
      <c r="M6971" s="36"/>
      <c r="N6971" s="36"/>
      <c r="O6971" s="36"/>
      <c r="P6971" s="36"/>
      <c r="Q6971" s="36"/>
      <c r="R6971" s="36"/>
      <c r="S6971" s="36"/>
      <c r="T6971" s="36"/>
      <c r="U6971" s="36"/>
      <c r="V6971" s="36"/>
      <c r="W6971" s="15">
        <f t="shared" si="1379"/>
        <v>0</v>
      </c>
      <c r="X6971" s="36"/>
      <c r="Y6971" s="36"/>
      <c r="Z6971" s="36"/>
      <c r="AA6971" s="36"/>
      <c r="AB6971" s="36"/>
      <c r="AC6971" s="36"/>
      <c r="AD6971" s="36"/>
      <c r="AE6971" s="36"/>
      <c r="AF6971" s="36"/>
      <c r="AG6971" s="36"/>
      <c r="AH6971" s="36"/>
      <c r="AI6971" s="36"/>
      <c r="AJ6971" s="15">
        <f t="shared" si="1380"/>
        <v>0</v>
      </c>
      <c r="AK6971" s="14"/>
      <c r="AL6971" s="14"/>
      <c r="AM6971" s="14"/>
      <c r="AN6971" s="14">
        <v>400</v>
      </c>
      <c r="AO6971" s="14">
        <v>400</v>
      </c>
      <c r="AP6971" s="14">
        <v>400</v>
      </c>
      <c r="AQ6971" s="14">
        <v>400</v>
      </c>
      <c r="AR6971" s="14"/>
      <c r="AS6971" s="14"/>
      <c r="AT6971" s="14"/>
      <c r="AU6971" s="14"/>
      <c r="AV6971" s="14"/>
      <c r="AW6971" s="15">
        <f t="shared" si="1381"/>
        <v>1600</v>
      </c>
      <c r="AX6971" s="16"/>
    </row>
    <row r="6972" spans="2:50" x14ac:dyDescent="0.2">
      <c r="B6972" s="7"/>
      <c r="C6972" s="8">
        <v>17032</v>
      </c>
      <c r="D6972" s="9" t="s">
        <v>820</v>
      </c>
      <c r="E6972" s="10" t="str">
        <f t="shared" si="1376"/>
        <v>Rancho Zinamba No. 84</v>
      </c>
      <c r="F6972" s="10" t="str">
        <f t="shared" si="1377"/>
        <v>Lobato</v>
      </c>
      <c r="G6972" s="8">
        <v>1</v>
      </c>
      <c r="H6972" s="11">
        <v>300</v>
      </c>
      <c r="I6972" s="12">
        <v>43317</v>
      </c>
      <c r="J6972" s="35">
        <f t="shared" si="1378"/>
        <v>0</v>
      </c>
      <c r="K6972" s="36"/>
      <c r="L6972" s="36"/>
      <c r="M6972" s="36"/>
      <c r="N6972" s="36"/>
      <c r="O6972" s="36"/>
      <c r="P6972" s="36"/>
      <c r="Q6972" s="36"/>
      <c r="R6972" s="36"/>
      <c r="S6972" s="36"/>
      <c r="T6972" s="36"/>
      <c r="U6972" s="36"/>
      <c r="V6972" s="36"/>
      <c r="W6972" s="15">
        <f t="shared" si="1379"/>
        <v>0</v>
      </c>
      <c r="X6972" s="36"/>
      <c r="Y6972" s="36"/>
      <c r="Z6972" s="36"/>
      <c r="AA6972" s="36"/>
      <c r="AB6972" s="36"/>
      <c r="AC6972" s="36"/>
      <c r="AD6972" s="36"/>
      <c r="AE6972" s="36"/>
      <c r="AF6972" s="36"/>
      <c r="AG6972" s="36"/>
      <c r="AH6972" s="36"/>
      <c r="AI6972" s="36"/>
      <c r="AJ6972" s="15">
        <f t="shared" si="1380"/>
        <v>0</v>
      </c>
      <c r="AK6972" s="14"/>
      <c r="AL6972" s="14"/>
      <c r="AM6972" s="14"/>
      <c r="AN6972" s="14"/>
      <c r="AO6972" s="14"/>
      <c r="AP6972" s="14"/>
      <c r="AQ6972" s="14">
        <v>300</v>
      </c>
      <c r="AR6972" s="14"/>
      <c r="AS6972" s="14"/>
      <c r="AT6972" s="14"/>
      <c r="AU6972" s="14"/>
      <c r="AV6972" s="14"/>
      <c r="AW6972" s="15">
        <f t="shared" si="1381"/>
        <v>300</v>
      </c>
      <c r="AX6972" s="316">
        <f>SUM(H6907:H6972)</f>
        <v>30375</v>
      </c>
    </row>
    <row r="6973" spans="2:50" x14ac:dyDescent="0.2">
      <c r="B6973" s="7"/>
      <c r="C6973" s="8">
        <v>17033</v>
      </c>
      <c r="D6973" s="9" t="s">
        <v>1070</v>
      </c>
      <c r="E6973" s="10" t="str">
        <f t="shared" si="1376"/>
        <v>Rancho La Cuchilla No. 58</v>
      </c>
      <c r="F6973" s="10" t="str">
        <f t="shared" si="1377"/>
        <v>Serdán</v>
      </c>
      <c r="G6973" s="8">
        <v>5</v>
      </c>
      <c r="H6973" s="315">
        <v>50</v>
      </c>
      <c r="I6973" s="12">
        <v>43318</v>
      </c>
      <c r="J6973" s="35">
        <f t="shared" si="1378"/>
        <v>0</v>
      </c>
      <c r="K6973" s="36"/>
      <c r="L6973" s="36"/>
      <c r="M6973" s="36"/>
      <c r="N6973" s="36"/>
      <c r="O6973" s="36"/>
      <c r="P6973" s="36"/>
      <c r="Q6973" s="36"/>
      <c r="R6973" s="36"/>
      <c r="S6973" s="36"/>
      <c r="T6973" s="36"/>
      <c r="U6973" s="36"/>
      <c r="V6973" s="36"/>
      <c r="W6973" s="15">
        <f t="shared" si="1379"/>
        <v>0</v>
      </c>
      <c r="X6973" s="36"/>
      <c r="Y6973" s="36"/>
      <c r="Z6973" s="36"/>
      <c r="AA6973" s="36"/>
      <c r="AB6973" s="36"/>
      <c r="AC6973" s="36"/>
      <c r="AD6973" s="36"/>
      <c r="AE6973" s="36"/>
      <c r="AF6973" s="36"/>
      <c r="AG6973" s="36"/>
      <c r="AH6973" s="36"/>
      <c r="AI6973" s="36"/>
      <c r="AJ6973" s="15">
        <f t="shared" si="1380"/>
        <v>0</v>
      </c>
      <c r="AK6973" s="14"/>
      <c r="AL6973" s="14"/>
      <c r="AM6973" s="14"/>
      <c r="AN6973" s="14"/>
      <c r="AO6973" s="14"/>
      <c r="AP6973" s="14"/>
      <c r="AQ6973" s="14"/>
      <c r="AR6973" s="14"/>
      <c r="AS6973" s="14"/>
      <c r="AT6973" s="14"/>
      <c r="AU6973" s="14"/>
      <c r="AV6973" s="14"/>
      <c r="AW6973" s="15">
        <f t="shared" si="1381"/>
        <v>0</v>
      </c>
      <c r="AX6973" s="16"/>
    </row>
    <row r="6974" spans="2:50" x14ac:dyDescent="0.2">
      <c r="B6974" s="7"/>
      <c r="C6974" s="8">
        <v>17034</v>
      </c>
      <c r="D6974" s="9" t="s">
        <v>843</v>
      </c>
      <c r="E6974" s="10" t="str">
        <f t="shared" si="1376"/>
        <v>Rancho Landero No. 12</v>
      </c>
      <c r="F6974" s="10" t="str">
        <f t="shared" si="1377"/>
        <v>Guzmán Silva</v>
      </c>
      <c r="G6974" s="8">
        <v>1</v>
      </c>
      <c r="H6974" s="11">
        <v>400</v>
      </c>
      <c r="I6974" s="12">
        <v>43318</v>
      </c>
      <c r="J6974" s="35">
        <f t="shared" si="1378"/>
        <v>0</v>
      </c>
      <c r="K6974" s="36"/>
      <c r="L6974" s="36"/>
      <c r="M6974" s="36"/>
      <c r="N6974" s="36"/>
      <c r="O6974" s="36"/>
      <c r="P6974" s="36"/>
      <c r="Q6974" s="36"/>
      <c r="R6974" s="36"/>
      <c r="S6974" s="36"/>
      <c r="T6974" s="36"/>
      <c r="U6974" s="36"/>
      <c r="V6974" s="36"/>
      <c r="W6974" s="15">
        <f t="shared" si="1379"/>
        <v>0</v>
      </c>
      <c r="X6974" s="36"/>
      <c r="Y6974" s="36"/>
      <c r="Z6974" s="36"/>
      <c r="AA6974" s="36"/>
      <c r="AB6974" s="36"/>
      <c r="AC6974" s="36"/>
      <c r="AD6974" s="36"/>
      <c r="AE6974" s="36"/>
      <c r="AF6974" s="36"/>
      <c r="AG6974" s="36"/>
      <c r="AH6974" s="36"/>
      <c r="AI6974" s="36"/>
      <c r="AJ6974" s="15">
        <f t="shared" si="1380"/>
        <v>0</v>
      </c>
      <c r="AK6974" s="14"/>
      <c r="AL6974" s="14"/>
      <c r="AM6974" s="14"/>
      <c r="AN6974" s="14"/>
      <c r="AO6974" s="14"/>
      <c r="AP6974" s="14"/>
      <c r="AQ6974" s="14">
        <v>200</v>
      </c>
      <c r="AR6974" s="14">
        <v>200</v>
      </c>
      <c r="AS6974" s="14"/>
      <c r="AT6974" s="14"/>
      <c r="AU6974" s="14"/>
      <c r="AV6974" s="14"/>
      <c r="AW6974" s="15">
        <f t="shared" si="1381"/>
        <v>400</v>
      </c>
      <c r="AX6974" s="16"/>
    </row>
    <row r="6975" spans="2:50" x14ac:dyDescent="0.2">
      <c r="B6975" s="7"/>
      <c r="C6975" s="8">
        <v>17035</v>
      </c>
      <c r="D6975" s="9" t="s">
        <v>174</v>
      </c>
      <c r="E6975" s="10" t="str">
        <f t="shared" si="1376"/>
        <v>Rancho Upácuaro No. 18</v>
      </c>
      <c r="F6975" s="10" t="str">
        <f t="shared" si="1377"/>
        <v>Guzmán</v>
      </c>
      <c r="G6975" s="8">
        <v>1</v>
      </c>
      <c r="H6975" s="11">
        <v>300</v>
      </c>
      <c r="I6975" s="12">
        <v>43318</v>
      </c>
      <c r="J6975" s="35">
        <f t="shared" si="1378"/>
        <v>0</v>
      </c>
      <c r="K6975" s="36"/>
      <c r="L6975" s="36"/>
      <c r="M6975" s="36"/>
      <c r="N6975" s="36"/>
      <c r="O6975" s="36"/>
      <c r="P6975" s="36"/>
      <c r="Q6975" s="36"/>
      <c r="R6975" s="36"/>
      <c r="S6975" s="36"/>
      <c r="T6975" s="36"/>
      <c r="U6975" s="36"/>
      <c r="V6975" s="36"/>
      <c r="W6975" s="15">
        <f t="shared" si="1379"/>
        <v>0</v>
      </c>
      <c r="X6975" s="36"/>
      <c r="Y6975" s="36"/>
      <c r="Z6975" s="36"/>
      <c r="AA6975" s="36"/>
      <c r="AB6975" s="36"/>
      <c r="AC6975" s="36"/>
      <c r="AD6975" s="36"/>
      <c r="AE6975" s="36"/>
      <c r="AF6975" s="36"/>
      <c r="AG6975" s="36"/>
      <c r="AH6975" s="36"/>
      <c r="AI6975" s="36"/>
      <c r="AJ6975" s="15">
        <f t="shared" si="1380"/>
        <v>0</v>
      </c>
      <c r="AK6975" s="14"/>
      <c r="AL6975" s="14"/>
      <c r="AM6975" s="14"/>
      <c r="AN6975" s="14"/>
      <c r="AO6975" s="14"/>
      <c r="AP6975" s="14"/>
      <c r="AQ6975" s="14">
        <v>300</v>
      </c>
      <c r="AR6975" s="14"/>
      <c r="AS6975" s="14"/>
      <c r="AT6975" s="14"/>
      <c r="AU6975" s="14"/>
      <c r="AV6975" s="14"/>
      <c r="AW6975" s="15">
        <f t="shared" si="1381"/>
        <v>300</v>
      </c>
      <c r="AX6975" s="16"/>
    </row>
    <row r="6976" spans="2:50" x14ac:dyDescent="0.2">
      <c r="B6976" s="7"/>
      <c r="C6976" s="8">
        <v>17036</v>
      </c>
      <c r="D6976" s="9" t="s">
        <v>954</v>
      </c>
      <c r="E6976" s="10" t="str">
        <f t="shared" si="1376"/>
        <v>Rancho Landero No. 36</v>
      </c>
      <c r="F6976" s="10" t="str">
        <f t="shared" si="1377"/>
        <v>Jaime</v>
      </c>
      <c r="G6976" s="8">
        <v>3</v>
      </c>
      <c r="H6976" s="11">
        <v>200</v>
      </c>
      <c r="I6976" s="12">
        <v>43319</v>
      </c>
      <c r="J6976" s="35">
        <f t="shared" si="1378"/>
        <v>0</v>
      </c>
      <c r="K6976" s="36"/>
      <c r="L6976" s="36"/>
      <c r="M6976" s="36"/>
      <c r="N6976" s="36"/>
      <c r="O6976" s="36"/>
      <c r="P6976" s="36"/>
      <c r="Q6976" s="36"/>
      <c r="R6976" s="36"/>
      <c r="S6976" s="36"/>
      <c r="T6976" s="36"/>
      <c r="U6976" s="36"/>
      <c r="V6976" s="36"/>
      <c r="W6976" s="15">
        <f t="shared" si="1379"/>
        <v>0</v>
      </c>
      <c r="X6976" s="36"/>
      <c r="Y6976" s="36"/>
      <c r="Z6976" s="36"/>
      <c r="AA6976" s="36"/>
      <c r="AB6976" s="36"/>
      <c r="AC6976" s="36"/>
      <c r="AD6976" s="36"/>
      <c r="AE6976" s="36"/>
      <c r="AF6976" s="36"/>
      <c r="AG6976" s="36"/>
      <c r="AH6976" s="36"/>
      <c r="AI6976" s="36"/>
      <c r="AJ6976" s="15">
        <f t="shared" si="1380"/>
        <v>0</v>
      </c>
      <c r="AK6976" s="14"/>
      <c r="AL6976" s="14"/>
      <c r="AM6976" s="14"/>
      <c r="AN6976" s="14"/>
      <c r="AO6976" s="14"/>
      <c r="AP6976" s="14"/>
      <c r="AQ6976" s="14"/>
      <c r="AR6976" s="14"/>
      <c r="AS6976" s="14"/>
      <c r="AT6976" s="14"/>
      <c r="AU6976" s="14"/>
      <c r="AV6976" s="14"/>
      <c r="AW6976" s="15">
        <f t="shared" si="1381"/>
        <v>0</v>
      </c>
      <c r="AX6976" s="16"/>
    </row>
    <row r="6977" spans="2:52" x14ac:dyDescent="0.2">
      <c r="B6977" s="7"/>
      <c r="C6977" s="8">
        <v>17037</v>
      </c>
      <c r="D6977" s="9"/>
      <c r="E6977" s="10" t="str">
        <f t="shared" si="1376"/>
        <v/>
      </c>
      <c r="F6977" s="10" t="str">
        <f t="shared" si="1377"/>
        <v/>
      </c>
      <c r="G6977" s="8">
        <v>8</v>
      </c>
      <c r="H6977" s="11"/>
      <c r="I6977" s="12"/>
      <c r="J6977" s="35">
        <f t="shared" si="1378"/>
        <v>0</v>
      </c>
      <c r="K6977" s="36"/>
      <c r="L6977" s="36"/>
      <c r="M6977" s="36"/>
      <c r="N6977" s="36"/>
      <c r="O6977" s="36"/>
      <c r="P6977" s="36"/>
      <c r="Q6977" s="36"/>
      <c r="R6977" s="36"/>
      <c r="S6977" s="36"/>
      <c r="T6977" s="36"/>
      <c r="U6977" s="36"/>
      <c r="V6977" s="36"/>
      <c r="W6977" s="15">
        <f t="shared" si="1379"/>
        <v>0</v>
      </c>
      <c r="X6977" s="36"/>
      <c r="Y6977" s="36"/>
      <c r="Z6977" s="36"/>
      <c r="AA6977" s="36"/>
      <c r="AB6977" s="36"/>
      <c r="AC6977" s="36"/>
      <c r="AD6977" s="36"/>
      <c r="AE6977" s="36"/>
      <c r="AF6977" s="36"/>
      <c r="AG6977" s="36"/>
      <c r="AH6977" s="36"/>
      <c r="AI6977" s="36"/>
      <c r="AJ6977" s="15">
        <f t="shared" si="1380"/>
        <v>0</v>
      </c>
      <c r="AK6977" s="14"/>
      <c r="AL6977" s="14"/>
      <c r="AM6977" s="14"/>
      <c r="AN6977" s="14"/>
      <c r="AO6977" s="14"/>
      <c r="AP6977" s="14"/>
      <c r="AQ6977" s="14"/>
      <c r="AR6977" s="14"/>
      <c r="AS6977" s="14"/>
      <c r="AT6977" s="14"/>
      <c r="AU6977" s="14"/>
      <c r="AV6977" s="14"/>
      <c r="AW6977" s="15">
        <f t="shared" si="1381"/>
        <v>0</v>
      </c>
      <c r="AX6977" s="16"/>
    </row>
    <row r="6978" spans="2:52" x14ac:dyDescent="0.2">
      <c r="B6978" s="7"/>
      <c r="C6978" s="8">
        <v>17038</v>
      </c>
      <c r="D6978" s="9" t="s">
        <v>380</v>
      </c>
      <c r="E6978" s="10" t="str">
        <f t="shared" ref="E6978:E7057" si="1388">IF(D6978=0,"",VLOOKUP(D6978,BASE,2,FALSE))</f>
        <v>Rancho Zinamba No. 10</v>
      </c>
      <c r="F6978" s="10" t="str">
        <f t="shared" ref="F6978:F7057" si="1389">IF(D6978=0,"",VLOOKUP(D6978,BASE,3,FALSE))</f>
        <v>Roy Sánchez</v>
      </c>
      <c r="G6978" s="8">
        <v>1</v>
      </c>
      <c r="H6978" s="11">
        <v>1500</v>
      </c>
      <c r="I6978" s="12">
        <v>43319</v>
      </c>
      <c r="J6978" s="35">
        <f t="shared" ref="J6978:J7057" si="1390">IF(G6978=1,SUM(W6978,AJ6978,AW6978,-H6978),0)</f>
        <v>0</v>
      </c>
      <c r="K6978" s="36"/>
      <c r="L6978" s="36"/>
      <c r="M6978" s="36"/>
      <c r="N6978" s="36"/>
      <c r="O6978" s="36"/>
      <c r="P6978" s="36"/>
      <c r="Q6978" s="36"/>
      <c r="R6978" s="36"/>
      <c r="S6978" s="36"/>
      <c r="T6978" s="36"/>
      <c r="U6978" s="36"/>
      <c r="V6978" s="36"/>
      <c r="W6978" s="15">
        <f t="shared" ref="W6978:W7057" si="1391">SUM(K6978:V6978)</f>
        <v>0</v>
      </c>
      <c r="X6978" s="36"/>
      <c r="Y6978" s="36"/>
      <c r="Z6978" s="36"/>
      <c r="AA6978" s="36"/>
      <c r="AB6978" s="36"/>
      <c r="AC6978" s="36"/>
      <c r="AD6978" s="36"/>
      <c r="AE6978" s="36"/>
      <c r="AF6978" s="36"/>
      <c r="AG6978" s="36"/>
      <c r="AH6978" s="36"/>
      <c r="AI6978" s="36"/>
      <c r="AJ6978" s="15">
        <f t="shared" ref="AJ6978:AJ7057" si="1392">SUM(X6978:AI6978)</f>
        <v>0</v>
      </c>
      <c r="AK6978" s="14"/>
      <c r="AL6978" s="14"/>
      <c r="AM6978" s="14"/>
      <c r="AN6978" s="14"/>
      <c r="AO6978" s="14"/>
      <c r="AP6978" s="14">
        <v>300</v>
      </c>
      <c r="AQ6978" s="14">
        <v>300</v>
      </c>
      <c r="AR6978" s="14">
        <v>300</v>
      </c>
      <c r="AS6978" s="14">
        <v>300</v>
      </c>
      <c r="AT6978" s="14">
        <v>300</v>
      </c>
      <c r="AU6978" s="14"/>
      <c r="AV6978" s="14"/>
      <c r="AW6978" s="15">
        <f t="shared" ref="AW6978:AW7057" si="1393">SUM(AK6978:AV6978)</f>
        <v>1500</v>
      </c>
      <c r="AX6978" s="16"/>
    </row>
    <row r="6979" spans="2:52" x14ac:dyDescent="0.2">
      <c r="B6979" s="7"/>
      <c r="C6979" s="8">
        <v>17039</v>
      </c>
      <c r="D6979" s="9" t="s">
        <v>782</v>
      </c>
      <c r="E6979" s="10" t="str">
        <f t="shared" si="1388"/>
        <v>Rancho Estanzuela No. 35</v>
      </c>
      <c r="F6979" s="10" t="str">
        <f t="shared" si="1389"/>
        <v>Rodríguez</v>
      </c>
      <c r="G6979" s="8">
        <v>1</v>
      </c>
      <c r="H6979" s="11">
        <v>3600</v>
      </c>
      <c r="I6979" s="12">
        <v>43320</v>
      </c>
      <c r="J6979" s="35">
        <f t="shared" si="1390"/>
        <v>0</v>
      </c>
      <c r="K6979" s="36"/>
      <c r="L6979" s="36"/>
      <c r="M6979" s="36"/>
      <c r="N6979" s="36"/>
      <c r="O6979" s="36"/>
      <c r="P6979" s="36"/>
      <c r="Q6979" s="36"/>
      <c r="R6979" s="36"/>
      <c r="S6979" s="36"/>
      <c r="T6979" s="36"/>
      <c r="U6979" s="36"/>
      <c r="V6979" s="36"/>
      <c r="W6979" s="15">
        <f t="shared" si="1391"/>
        <v>0</v>
      </c>
      <c r="X6979" s="36"/>
      <c r="Y6979" s="36"/>
      <c r="Z6979" s="36"/>
      <c r="AA6979" s="36"/>
      <c r="AB6979" s="36"/>
      <c r="AC6979" s="36"/>
      <c r="AD6979" s="36">
        <v>200</v>
      </c>
      <c r="AE6979" s="36">
        <v>200</v>
      </c>
      <c r="AF6979" s="36">
        <v>200</v>
      </c>
      <c r="AG6979" s="36">
        <v>200</v>
      </c>
      <c r="AH6979" s="36">
        <v>200</v>
      </c>
      <c r="AI6979" s="36">
        <v>200</v>
      </c>
      <c r="AJ6979" s="15">
        <f t="shared" si="1392"/>
        <v>1200</v>
      </c>
      <c r="AK6979" s="14">
        <v>200</v>
      </c>
      <c r="AL6979" s="14">
        <v>200</v>
      </c>
      <c r="AM6979" s="14">
        <v>200</v>
      </c>
      <c r="AN6979" s="14">
        <v>200</v>
      </c>
      <c r="AO6979" s="14">
        <v>200</v>
      </c>
      <c r="AP6979" s="14">
        <v>200</v>
      </c>
      <c r="AQ6979" s="14">
        <v>200</v>
      </c>
      <c r="AR6979" s="14">
        <v>200</v>
      </c>
      <c r="AS6979" s="14">
        <v>200</v>
      </c>
      <c r="AT6979" s="14">
        <v>200</v>
      </c>
      <c r="AU6979" s="14">
        <v>200</v>
      </c>
      <c r="AV6979" s="14">
        <v>200</v>
      </c>
      <c r="AW6979" s="15">
        <f t="shared" si="1393"/>
        <v>2400</v>
      </c>
      <c r="AX6979" s="16"/>
    </row>
    <row r="6980" spans="2:52" x14ac:dyDescent="0.2">
      <c r="B6980" s="7"/>
      <c r="C6980" s="8">
        <v>17040</v>
      </c>
      <c r="D6980" s="9" t="s">
        <v>84</v>
      </c>
      <c r="E6980" s="10" t="str">
        <f t="shared" si="1388"/>
        <v>Rancho La Cuchilla No. 139</v>
      </c>
      <c r="F6980" s="10" t="str">
        <f t="shared" si="1389"/>
        <v>Garcia</v>
      </c>
      <c r="G6980" s="8">
        <v>5</v>
      </c>
      <c r="H6980" s="11">
        <v>50</v>
      </c>
      <c r="I6980" s="12">
        <v>43320</v>
      </c>
      <c r="J6980" s="35">
        <f t="shared" si="1390"/>
        <v>0</v>
      </c>
      <c r="K6980" s="36"/>
      <c r="L6980" s="36"/>
      <c r="M6980" s="36"/>
      <c r="N6980" s="36"/>
      <c r="O6980" s="36"/>
      <c r="P6980" s="36"/>
      <c r="Q6980" s="36"/>
      <c r="R6980" s="36"/>
      <c r="S6980" s="36"/>
      <c r="T6980" s="36"/>
      <c r="U6980" s="36"/>
      <c r="V6980" s="36"/>
      <c r="W6980" s="15">
        <f t="shared" si="1391"/>
        <v>0</v>
      </c>
      <c r="X6980" s="36"/>
      <c r="Y6980" s="36"/>
      <c r="Z6980" s="36"/>
      <c r="AA6980" s="36"/>
      <c r="AB6980" s="36"/>
      <c r="AC6980" s="36"/>
      <c r="AD6980" s="36"/>
      <c r="AE6980" s="36"/>
      <c r="AF6980" s="36"/>
      <c r="AG6980" s="36"/>
      <c r="AH6980" s="36"/>
      <c r="AI6980" s="36"/>
      <c r="AJ6980" s="15">
        <f t="shared" si="1392"/>
        <v>0</v>
      </c>
      <c r="AK6980" s="14"/>
      <c r="AL6980" s="14"/>
      <c r="AM6980" s="14"/>
      <c r="AN6980" s="14"/>
      <c r="AO6980" s="14"/>
      <c r="AP6980" s="14"/>
      <c r="AQ6980" s="14"/>
      <c r="AR6980" s="14"/>
      <c r="AS6980" s="14"/>
      <c r="AT6980" s="14"/>
      <c r="AU6980" s="14"/>
      <c r="AV6980" s="14"/>
      <c r="AW6980" s="15">
        <f t="shared" si="1393"/>
        <v>0</v>
      </c>
      <c r="AX6980" s="16"/>
    </row>
    <row r="6981" spans="2:52" x14ac:dyDescent="0.2">
      <c r="B6981" s="7" t="s">
        <v>4983</v>
      </c>
      <c r="C6981" s="8">
        <v>17041</v>
      </c>
      <c r="D6981" s="9" t="s">
        <v>211</v>
      </c>
      <c r="E6981" s="10" t="str">
        <f t="shared" si="1388"/>
        <v>Rancho Upácuaro No. 46</v>
      </c>
      <c r="F6981" s="10" t="str">
        <f t="shared" si="1389"/>
        <v>Fuentes</v>
      </c>
      <c r="G6981" s="8">
        <v>1</v>
      </c>
      <c r="H6981" s="11">
        <v>300</v>
      </c>
      <c r="I6981" s="12">
        <v>43320</v>
      </c>
      <c r="J6981" s="35">
        <f t="shared" si="1390"/>
        <v>0</v>
      </c>
      <c r="K6981" s="36"/>
      <c r="L6981" s="36"/>
      <c r="M6981" s="36"/>
      <c r="N6981" s="36"/>
      <c r="O6981" s="36"/>
      <c r="P6981" s="36"/>
      <c r="Q6981" s="36"/>
      <c r="R6981" s="36"/>
      <c r="S6981" s="36"/>
      <c r="T6981" s="36"/>
      <c r="U6981" s="36"/>
      <c r="V6981" s="36"/>
      <c r="W6981" s="15">
        <f t="shared" si="1391"/>
        <v>0</v>
      </c>
      <c r="X6981" s="36"/>
      <c r="Y6981" s="36"/>
      <c r="Z6981" s="36"/>
      <c r="AA6981" s="36"/>
      <c r="AB6981" s="36"/>
      <c r="AC6981" s="36"/>
      <c r="AD6981" s="36"/>
      <c r="AE6981" s="36"/>
      <c r="AF6981" s="36"/>
      <c r="AG6981" s="36"/>
      <c r="AH6981" s="36"/>
      <c r="AI6981" s="36"/>
      <c r="AJ6981" s="15">
        <f t="shared" si="1392"/>
        <v>0</v>
      </c>
      <c r="AK6981" s="14"/>
      <c r="AL6981" s="14"/>
      <c r="AM6981" s="14"/>
      <c r="AN6981" s="14"/>
      <c r="AO6981" s="14"/>
      <c r="AP6981" s="14"/>
      <c r="AQ6981" s="14"/>
      <c r="AR6981" s="14">
        <v>300</v>
      </c>
      <c r="AS6981" s="14"/>
      <c r="AT6981" s="14"/>
      <c r="AU6981" s="14"/>
      <c r="AV6981" s="14"/>
      <c r="AW6981" s="15">
        <f t="shared" si="1393"/>
        <v>300</v>
      </c>
      <c r="AX6981" s="16"/>
    </row>
    <row r="6982" spans="2:52" x14ac:dyDescent="0.2">
      <c r="B6982" s="7" t="s">
        <v>4983</v>
      </c>
      <c r="C6982" s="8">
        <v>17042</v>
      </c>
      <c r="D6982" s="9" t="s">
        <v>208</v>
      </c>
      <c r="E6982" s="10" t="str">
        <f t="shared" si="1388"/>
        <v>Rancho La Cuchilla No. 29</v>
      </c>
      <c r="F6982" s="10" t="str">
        <f t="shared" si="1389"/>
        <v>Vega Sánchez C.</v>
      </c>
      <c r="G6982" s="8">
        <v>1</v>
      </c>
      <c r="H6982" s="11">
        <v>2000</v>
      </c>
      <c r="I6982" s="12">
        <v>43320</v>
      </c>
      <c r="J6982" s="35">
        <f t="shared" si="1390"/>
        <v>0</v>
      </c>
      <c r="K6982" s="36"/>
      <c r="L6982" s="36"/>
      <c r="M6982" s="36"/>
      <c r="N6982" s="36"/>
      <c r="O6982" s="36"/>
      <c r="P6982" s="36"/>
      <c r="Q6982" s="36"/>
      <c r="R6982" s="36"/>
      <c r="S6982" s="36"/>
      <c r="T6982" s="36"/>
      <c r="U6982" s="36"/>
      <c r="V6982" s="36"/>
      <c r="W6982" s="15">
        <f t="shared" si="1391"/>
        <v>0</v>
      </c>
      <c r="X6982" s="36"/>
      <c r="Y6982" s="36"/>
      <c r="Z6982" s="36"/>
      <c r="AA6982" s="36"/>
      <c r="AB6982" s="36"/>
      <c r="AC6982" s="36"/>
      <c r="AD6982" s="36"/>
      <c r="AE6982" s="36"/>
      <c r="AF6982" s="36"/>
      <c r="AG6982" s="36"/>
      <c r="AH6982" s="36"/>
      <c r="AI6982" s="36"/>
      <c r="AJ6982" s="15">
        <f t="shared" si="1392"/>
        <v>0</v>
      </c>
      <c r="AK6982" s="14"/>
      <c r="AL6982" s="14"/>
      <c r="AM6982" s="14"/>
      <c r="AN6982" s="14">
        <v>400</v>
      </c>
      <c r="AO6982" s="14">
        <v>400</v>
      </c>
      <c r="AP6982" s="14">
        <v>400</v>
      </c>
      <c r="AQ6982" s="14">
        <v>400</v>
      </c>
      <c r="AR6982" s="14">
        <v>400</v>
      </c>
      <c r="AS6982" s="14"/>
      <c r="AT6982" s="14"/>
      <c r="AU6982" s="14"/>
      <c r="AV6982" s="14"/>
      <c r="AW6982" s="15">
        <f t="shared" si="1393"/>
        <v>2000</v>
      </c>
      <c r="AX6982" s="16"/>
    </row>
    <row r="6983" spans="2:52" x14ac:dyDescent="0.2">
      <c r="B6983" s="7"/>
      <c r="C6983" s="8">
        <v>17043</v>
      </c>
      <c r="D6983" s="9" t="s">
        <v>346</v>
      </c>
      <c r="E6983" s="10" t="str">
        <f t="shared" si="1388"/>
        <v>Rancho Upácuaro No. 108</v>
      </c>
      <c r="F6983" s="10" t="str">
        <f t="shared" si="1389"/>
        <v>Mejía</v>
      </c>
      <c r="G6983" s="8">
        <v>1</v>
      </c>
      <c r="H6983" s="11">
        <v>300</v>
      </c>
      <c r="I6983" s="12">
        <v>43320</v>
      </c>
      <c r="J6983" s="35">
        <f t="shared" si="1390"/>
        <v>0</v>
      </c>
      <c r="K6983" s="36"/>
      <c r="L6983" s="36"/>
      <c r="M6983" s="36"/>
      <c r="N6983" s="36"/>
      <c r="O6983" s="36"/>
      <c r="P6983" s="36"/>
      <c r="Q6983" s="36"/>
      <c r="R6983" s="36"/>
      <c r="S6983" s="36"/>
      <c r="T6983" s="36"/>
      <c r="U6983" s="36"/>
      <c r="V6983" s="36"/>
      <c r="W6983" s="15">
        <f t="shared" si="1391"/>
        <v>0</v>
      </c>
      <c r="X6983" s="36"/>
      <c r="Y6983" s="36"/>
      <c r="Z6983" s="36"/>
      <c r="AA6983" s="36"/>
      <c r="AB6983" s="36"/>
      <c r="AC6983" s="36"/>
      <c r="AD6983" s="36"/>
      <c r="AE6983" s="36"/>
      <c r="AF6983" s="36"/>
      <c r="AG6983" s="36"/>
      <c r="AH6983" s="36"/>
      <c r="AI6983" s="36"/>
      <c r="AJ6983" s="15">
        <f t="shared" si="1392"/>
        <v>0</v>
      </c>
      <c r="AK6983" s="14"/>
      <c r="AL6983" s="14"/>
      <c r="AM6983" s="14"/>
      <c r="AN6983" s="14"/>
      <c r="AO6983" s="14"/>
      <c r="AP6983" s="14"/>
      <c r="AQ6983" s="14"/>
      <c r="AR6983" s="14">
        <v>300</v>
      </c>
      <c r="AS6983" s="14"/>
      <c r="AT6983" s="14"/>
      <c r="AU6983" s="14"/>
      <c r="AV6983" s="14"/>
      <c r="AW6983" s="15">
        <f t="shared" si="1393"/>
        <v>300</v>
      </c>
      <c r="AX6983" s="16"/>
    </row>
    <row r="6984" spans="2:52" x14ac:dyDescent="0.2">
      <c r="B6984" s="7"/>
      <c r="C6984" s="8">
        <v>17044</v>
      </c>
      <c r="D6984" s="9" t="s">
        <v>1110</v>
      </c>
      <c r="E6984" s="10" t="str">
        <f t="shared" si="1388"/>
        <v>Rancho Upácuaro No. 103</v>
      </c>
      <c r="F6984" s="10" t="str">
        <f t="shared" si="1389"/>
        <v>Alfaro</v>
      </c>
      <c r="G6984" s="8">
        <v>1</v>
      </c>
      <c r="H6984" s="11">
        <v>400</v>
      </c>
      <c r="I6984" s="12">
        <v>43320</v>
      </c>
      <c r="J6984" s="35">
        <f t="shared" si="1390"/>
        <v>0</v>
      </c>
      <c r="K6984" s="36"/>
      <c r="L6984" s="36"/>
      <c r="M6984" s="36"/>
      <c r="N6984" s="36"/>
      <c r="O6984" s="36"/>
      <c r="P6984" s="36"/>
      <c r="Q6984" s="36"/>
      <c r="R6984" s="36"/>
      <c r="S6984" s="36"/>
      <c r="T6984" s="36"/>
      <c r="U6984" s="36"/>
      <c r="V6984" s="36"/>
      <c r="W6984" s="15">
        <f t="shared" si="1391"/>
        <v>0</v>
      </c>
      <c r="X6984" s="36"/>
      <c r="Y6984" s="36"/>
      <c r="Z6984" s="36"/>
      <c r="AA6984" s="36"/>
      <c r="AB6984" s="36"/>
      <c r="AC6984" s="36"/>
      <c r="AD6984" s="36"/>
      <c r="AE6984" s="36"/>
      <c r="AF6984" s="36"/>
      <c r="AG6984" s="36"/>
      <c r="AH6984" s="36"/>
      <c r="AI6984" s="36"/>
      <c r="AJ6984" s="15">
        <f t="shared" si="1392"/>
        <v>0</v>
      </c>
      <c r="AK6984" s="14"/>
      <c r="AL6984" s="14"/>
      <c r="AM6984" s="14"/>
      <c r="AN6984" s="14"/>
      <c r="AO6984" s="14"/>
      <c r="AP6984" s="14"/>
      <c r="AQ6984" s="14">
        <v>400</v>
      </c>
      <c r="AR6984" s="14"/>
      <c r="AS6984" s="14"/>
      <c r="AT6984" s="14"/>
      <c r="AU6984" s="14"/>
      <c r="AV6984" s="14"/>
      <c r="AW6984" s="15">
        <f t="shared" si="1393"/>
        <v>400</v>
      </c>
      <c r="AX6984" s="16"/>
    </row>
    <row r="6985" spans="2:52" x14ac:dyDescent="0.2">
      <c r="B6985" s="7"/>
      <c r="C6985" s="8">
        <v>17045</v>
      </c>
      <c r="D6985" s="9" t="s">
        <v>1157</v>
      </c>
      <c r="E6985" s="10" t="str">
        <f t="shared" si="1388"/>
        <v>Rancho Upácuaro No. 43</v>
      </c>
      <c r="F6985" s="10" t="str">
        <f t="shared" si="1389"/>
        <v>Yolanda</v>
      </c>
      <c r="G6985" s="8">
        <v>1</v>
      </c>
      <c r="H6985" s="11">
        <v>400</v>
      </c>
      <c r="I6985" s="12">
        <v>43320</v>
      </c>
      <c r="J6985" s="35">
        <f t="shared" si="1390"/>
        <v>0</v>
      </c>
      <c r="K6985" s="36"/>
      <c r="L6985" s="36"/>
      <c r="M6985" s="36"/>
      <c r="N6985" s="36"/>
      <c r="O6985" s="36"/>
      <c r="P6985" s="36"/>
      <c r="Q6985" s="36"/>
      <c r="R6985" s="36"/>
      <c r="S6985" s="36"/>
      <c r="T6985" s="36"/>
      <c r="U6985" s="36"/>
      <c r="V6985" s="36"/>
      <c r="W6985" s="15">
        <f t="shared" si="1391"/>
        <v>0</v>
      </c>
      <c r="X6985" s="36"/>
      <c r="Y6985" s="36"/>
      <c r="Z6985" s="36"/>
      <c r="AA6985" s="36"/>
      <c r="AB6985" s="36"/>
      <c r="AC6985" s="36"/>
      <c r="AD6985" s="36"/>
      <c r="AE6985" s="36"/>
      <c r="AF6985" s="36"/>
      <c r="AG6985" s="36"/>
      <c r="AH6985" s="36"/>
      <c r="AI6985" s="36"/>
      <c r="AJ6985" s="15">
        <f t="shared" si="1392"/>
        <v>0</v>
      </c>
      <c r="AK6985" s="14"/>
      <c r="AL6985" s="14"/>
      <c r="AM6985" s="14">
        <v>200</v>
      </c>
      <c r="AN6985" s="14">
        <v>200</v>
      </c>
      <c r="AO6985" s="14"/>
      <c r="AP6985" s="14"/>
      <c r="AQ6985" s="14"/>
      <c r="AR6985" s="14"/>
      <c r="AS6985" s="14"/>
      <c r="AT6985" s="14"/>
      <c r="AU6985" s="14"/>
      <c r="AV6985" s="14"/>
      <c r="AW6985" s="15">
        <f t="shared" si="1393"/>
        <v>400</v>
      </c>
      <c r="AX6985" s="16"/>
    </row>
    <row r="6986" spans="2:52" x14ac:dyDescent="0.2">
      <c r="B6986" s="7"/>
      <c r="C6986" s="8">
        <v>17046</v>
      </c>
      <c r="D6986" s="9" t="s">
        <v>834</v>
      </c>
      <c r="E6986" s="10" t="str">
        <f t="shared" si="1388"/>
        <v>Rancho Upácuaro No. 110</v>
      </c>
      <c r="F6986" s="10" t="str">
        <f t="shared" si="1389"/>
        <v>Ruiz Mijangos</v>
      </c>
      <c r="G6986" s="8">
        <v>1</v>
      </c>
      <c r="H6986" s="11">
        <v>600</v>
      </c>
      <c r="I6986" s="12">
        <v>43320</v>
      </c>
      <c r="J6986" s="35">
        <f t="shared" si="1390"/>
        <v>0</v>
      </c>
      <c r="K6986" s="36"/>
      <c r="L6986" s="36"/>
      <c r="M6986" s="36"/>
      <c r="N6986" s="36"/>
      <c r="O6986" s="36"/>
      <c r="P6986" s="36"/>
      <c r="Q6986" s="36"/>
      <c r="R6986" s="36"/>
      <c r="S6986" s="36"/>
      <c r="T6986" s="36"/>
      <c r="U6986" s="36"/>
      <c r="V6986" s="36"/>
      <c r="W6986" s="15">
        <f t="shared" si="1391"/>
        <v>0</v>
      </c>
      <c r="X6986" s="36"/>
      <c r="Y6986" s="36"/>
      <c r="Z6986" s="36"/>
      <c r="AA6986" s="36"/>
      <c r="AB6986" s="36"/>
      <c r="AC6986" s="36"/>
      <c r="AD6986" s="36"/>
      <c r="AE6986" s="36"/>
      <c r="AF6986" s="36"/>
      <c r="AG6986" s="36"/>
      <c r="AH6986" s="36"/>
      <c r="AI6986" s="36"/>
      <c r="AJ6986" s="15">
        <f t="shared" si="1392"/>
        <v>0</v>
      </c>
      <c r="AK6986" s="14"/>
      <c r="AL6986" s="14"/>
      <c r="AM6986" s="14"/>
      <c r="AN6986" s="14"/>
      <c r="AO6986" s="14"/>
      <c r="AP6986" s="14"/>
      <c r="AQ6986" s="14">
        <v>300</v>
      </c>
      <c r="AR6986" s="14">
        <v>300</v>
      </c>
      <c r="AS6986" s="14"/>
      <c r="AT6986" s="14"/>
      <c r="AU6986" s="14"/>
      <c r="AV6986" s="14"/>
      <c r="AW6986" s="15">
        <f t="shared" si="1393"/>
        <v>600</v>
      </c>
      <c r="AX6986" s="16"/>
    </row>
    <row r="6987" spans="2:52" x14ac:dyDescent="0.2">
      <c r="B6987" s="7"/>
      <c r="C6987" s="8">
        <v>17047</v>
      </c>
      <c r="D6987" s="9" t="s">
        <v>500</v>
      </c>
      <c r="E6987" s="10" t="str">
        <f t="shared" si="1388"/>
        <v>Rancho La Cuchilla No. 125</v>
      </c>
      <c r="F6987" s="10" t="str">
        <f t="shared" si="1389"/>
        <v>Nisse</v>
      </c>
      <c r="G6987" s="8">
        <v>4</v>
      </c>
      <c r="H6987" s="11">
        <v>200</v>
      </c>
      <c r="I6987" s="12">
        <v>43321</v>
      </c>
      <c r="J6987" s="35">
        <f t="shared" si="1390"/>
        <v>0</v>
      </c>
      <c r="K6987" s="36"/>
      <c r="L6987" s="36"/>
      <c r="M6987" s="36"/>
      <c r="N6987" s="36"/>
      <c r="O6987" s="36"/>
      <c r="P6987" s="36"/>
      <c r="Q6987" s="36"/>
      <c r="R6987" s="36"/>
      <c r="S6987" s="36"/>
      <c r="T6987" s="36"/>
      <c r="U6987" s="36"/>
      <c r="V6987" s="36"/>
      <c r="W6987" s="15">
        <f t="shared" si="1391"/>
        <v>0</v>
      </c>
      <c r="X6987" s="36"/>
      <c r="Y6987" s="36"/>
      <c r="Z6987" s="36"/>
      <c r="AA6987" s="36"/>
      <c r="AB6987" s="36"/>
      <c r="AC6987" s="36"/>
      <c r="AD6987" s="36"/>
      <c r="AE6987" s="36"/>
      <c r="AF6987" s="36"/>
      <c r="AG6987" s="36"/>
      <c r="AH6987" s="36"/>
      <c r="AI6987" s="36"/>
      <c r="AJ6987" s="15">
        <f t="shared" si="1392"/>
        <v>0</v>
      </c>
      <c r="AK6987" s="14"/>
      <c r="AL6987" s="14"/>
      <c r="AM6987" s="14"/>
      <c r="AN6987" s="14"/>
      <c r="AO6987" s="14"/>
      <c r="AP6987" s="14"/>
      <c r="AQ6987" s="14"/>
      <c r="AR6987" s="14"/>
      <c r="AS6987" s="14"/>
      <c r="AT6987" s="14"/>
      <c r="AU6987" s="14"/>
      <c r="AV6987" s="14"/>
      <c r="AW6987" s="15">
        <f t="shared" si="1393"/>
        <v>0</v>
      </c>
      <c r="AX6987" s="16" t="s">
        <v>5493</v>
      </c>
      <c r="AY6987" s="112">
        <f>SUM(H6973:H6987)</f>
        <v>10300</v>
      </c>
      <c r="AZ6987">
        <v>8000</v>
      </c>
    </row>
    <row r="6988" spans="2:52" x14ac:dyDescent="0.2">
      <c r="B6988" s="7"/>
      <c r="C6988" s="8">
        <v>17048</v>
      </c>
      <c r="D6988" s="9" t="s">
        <v>1157</v>
      </c>
      <c r="E6988" s="10" t="str">
        <f t="shared" si="1388"/>
        <v>Rancho Upácuaro No. 43</v>
      </c>
      <c r="F6988" s="10" t="str">
        <f t="shared" si="1389"/>
        <v>Yolanda</v>
      </c>
      <c r="G6988" s="8">
        <v>1</v>
      </c>
      <c r="H6988" s="315">
        <v>200</v>
      </c>
      <c r="I6988" s="12">
        <v>43324</v>
      </c>
      <c r="J6988" s="35">
        <f t="shared" si="1390"/>
        <v>0</v>
      </c>
      <c r="K6988" s="36"/>
      <c r="L6988" s="36"/>
      <c r="M6988" s="36"/>
      <c r="N6988" s="36"/>
      <c r="O6988" s="36"/>
      <c r="P6988" s="36"/>
      <c r="Q6988" s="36"/>
      <c r="R6988" s="36"/>
      <c r="S6988" s="36"/>
      <c r="T6988" s="36"/>
      <c r="U6988" s="36"/>
      <c r="V6988" s="36"/>
      <c r="W6988" s="15">
        <f t="shared" si="1391"/>
        <v>0</v>
      </c>
      <c r="X6988" s="36"/>
      <c r="Y6988" s="36"/>
      <c r="Z6988" s="36"/>
      <c r="AA6988" s="36"/>
      <c r="AB6988" s="36"/>
      <c r="AC6988" s="36"/>
      <c r="AD6988" s="36"/>
      <c r="AE6988" s="36"/>
      <c r="AF6988" s="36"/>
      <c r="AG6988" s="36"/>
      <c r="AH6988" s="36"/>
      <c r="AI6988" s="36"/>
      <c r="AJ6988" s="15">
        <f t="shared" si="1392"/>
        <v>0</v>
      </c>
      <c r="AK6988" s="14"/>
      <c r="AL6988" s="14"/>
      <c r="AM6988" s="14"/>
      <c r="AN6988" s="14"/>
      <c r="AO6988" s="14">
        <v>200</v>
      </c>
      <c r="AP6988" s="14"/>
      <c r="AQ6988" s="14"/>
      <c r="AR6988" s="14"/>
      <c r="AS6988" s="14"/>
      <c r="AT6988" s="14"/>
      <c r="AU6988" s="14"/>
      <c r="AV6988" s="14"/>
      <c r="AW6988" s="15">
        <f t="shared" si="1393"/>
        <v>200</v>
      </c>
      <c r="AX6988" s="16"/>
    </row>
    <row r="6989" spans="2:52" x14ac:dyDescent="0.2">
      <c r="B6989" s="7"/>
      <c r="C6989" s="8">
        <v>17049</v>
      </c>
      <c r="D6989" s="9" t="s">
        <v>514</v>
      </c>
      <c r="E6989" s="10" t="str">
        <f t="shared" si="1388"/>
        <v>Rancho Upácuaro No. 114</v>
      </c>
      <c r="F6989" s="10" t="str">
        <f t="shared" si="1389"/>
        <v>Hernández Cornejo</v>
      </c>
      <c r="G6989" s="8">
        <v>1</v>
      </c>
      <c r="H6989" s="11">
        <v>400</v>
      </c>
      <c r="I6989" s="12">
        <v>43324</v>
      </c>
      <c r="J6989" s="35">
        <f t="shared" si="1390"/>
        <v>0</v>
      </c>
      <c r="K6989" s="36"/>
      <c r="L6989" s="36"/>
      <c r="M6989" s="36"/>
      <c r="N6989" s="36"/>
      <c r="O6989" s="36"/>
      <c r="P6989" s="36"/>
      <c r="Q6989" s="36"/>
      <c r="R6989" s="36"/>
      <c r="S6989" s="36"/>
      <c r="T6989" s="36"/>
      <c r="U6989" s="36"/>
      <c r="V6989" s="36"/>
      <c r="W6989" s="15">
        <f t="shared" si="1391"/>
        <v>0</v>
      </c>
      <c r="X6989" s="36"/>
      <c r="Y6989" s="36"/>
      <c r="Z6989" s="36"/>
      <c r="AA6989" s="36"/>
      <c r="AB6989" s="36"/>
      <c r="AC6989" s="36"/>
      <c r="AD6989" s="36"/>
      <c r="AE6989" s="36"/>
      <c r="AF6989" s="36"/>
      <c r="AG6989" s="36"/>
      <c r="AH6989" s="36"/>
      <c r="AI6989" s="36"/>
      <c r="AJ6989" s="15">
        <f t="shared" si="1392"/>
        <v>0</v>
      </c>
      <c r="AK6989" s="14"/>
      <c r="AL6989" s="14"/>
      <c r="AM6989" s="14"/>
      <c r="AN6989" s="14"/>
      <c r="AO6989" s="14"/>
      <c r="AP6989" s="14"/>
      <c r="AQ6989" s="14">
        <v>400</v>
      </c>
      <c r="AR6989" s="14"/>
      <c r="AS6989" s="14"/>
      <c r="AT6989" s="14"/>
      <c r="AU6989" s="14"/>
      <c r="AV6989" s="14"/>
      <c r="AW6989" s="15">
        <f t="shared" si="1393"/>
        <v>400</v>
      </c>
      <c r="AX6989" s="16"/>
    </row>
    <row r="6990" spans="2:52" x14ac:dyDescent="0.2">
      <c r="B6990" s="7"/>
      <c r="C6990" s="8">
        <v>17050</v>
      </c>
      <c r="D6990" s="9" t="s">
        <v>241</v>
      </c>
      <c r="E6990" s="10" t="str">
        <f t="shared" si="1388"/>
        <v>Rancho La Cuchilla No. 81, A</v>
      </c>
      <c r="F6990" s="10" t="str">
        <f t="shared" si="1389"/>
        <v>Barrientos López</v>
      </c>
      <c r="G6990" s="8">
        <v>1</v>
      </c>
      <c r="H6990" s="11">
        <v>400</v>
      </c>
      <c r="I6990" s="12">
        <v>43324</v>
      </c>
      <c r="J6990" s="35">
        <f t="shared" si="1390"/>
        <v>0</v>
      </c>
      <c r="K6990" s="36"/>
      <c r="L6990" s="36"/>
      <c r="M6990" s="36"/>
      <c r="N6990" s="36"/>
      <c r="O6990" s="36"/>
      <c r="P6990" s="36"/>
      <c r="Q6990" s="36"/>
      <c r="R6990" s="36"/>
      <c r="S6990" s="36"/>
      <c r="T6990" s="36"/>
      <c r="U6990" s="36"/>
      <c r="V6990" s="36"/>
      <c r="W6990" s="15">
        <f t="shared" si="1391"/>
        <v>0</v>
      </c>
      <c r="X6990" s="36"/>
      <c r="Y6990" s="36"/>
      <c r="Z6990" s="36"/>
      <c r="AA6990" s="36"/>
      <c r="AB6990" s="36"/>
      <c r="AC6990" s="36"/>
      <c r="AD6990" s="36"/>
      <c r="AE6990" s="36"/>
      <c r="AF6990" s="36"/>
      <c r="AG6990" s="36"/>
      <c r="AH6990" s="36"/>
      <c r="AI6990" s="36"/>
      <c r="AJ6990" s="15">
        <f t="shared" si="1392"/>
        <v>0</v>
      </c>
      <c r="AK6990" s="14"/>
      <c r="AL6990" s="14"/>
      <c r="AM6990" s="14"/>
      <c r="AN6990" s="14"/>
      <c r="AO6990" s="14"/>
      <c r="AP6990" s="14"/>
      <c r="AQ6990" s="14"/>
      <c r="AR6990" s="14">
        <v>400</v>
      </c>
      <c r="AS6990" s="14"/>
      <c r="AT6990" s="14"/>
      <c r="AU6990" s="14"/>
      <c r="AV6990" s="14"/>
      <c r="AW6990" s="15">
        <f t="shared" si="1393"/>
        <v>400</v>
      </c>
      <c r="AX6990" s="16"/>
    </row>
    <row r="6991" spans="2:52" x14ac:dyDescent="0.2">
      <c r="B6991" s="7"/>
      <c r="C6991" s="8">
        <v>17051</v>
      </c>
      <c r="D6991" s="9" t="s">
        <v>568</v>
      </c>
      <c r="E6991" s="10" t="str">
        <f t="shared" si="1388"/>
        <v>Rancho Landero No. 95</v>
      </c>
      <c r="F6991" s="10" t="str">
        <f t="shared" si="1389"/>
        <v>Rivas Rangel</v>
      </c>
      <c r="G6991" s="8">
        <v>1</v>
      </c>
      <c r="H6991" s="11">
        <v>400</v>
      </c>
      <c r="I6991" s="12">
        <v>43324</v>
      </c>
      <c r="J6991" s="35">
        <f t="shared" si="1390"/>
        <v>0</v>
      </c>
      <c r="K6991" s="36"/>
      <c r="L6991" s="36"/>
      <c r="M6991" s="36"/>
      <c r="N6991" s="36"/>
      <c r="O6991" s="36"/>
      <c r="P6991" s="36"/>
      <c r="Q6991" s="36"/>
      <c r="R6991" s="36"/>
      <c r="S6991" s="36"/>
      <c r="T6991" s="36"/>
      <c r="U6991" s="36"/>
      <c r="V6991" s="36"/>
      <c r="W6991" s="15">
        <f t="shared" si="1391"/>
        <v>0</v>
      </c>
      <c r="X6991" s="36"/>
      <c r="Y6991" s="36"/>
      <c r="Z6991" s="36"/>
      <c r="AA6991" s="36"/>
      <c r="AB6991" s="36"/>
      <c r="AC6991" s="36"/>
      <c r="AD6991" s="36"/>
      <c r="AE6991" s="36"/>
      <c r="AF6991" s="36"/>
      <c r="AG6991" s="36"/>
      <c r="AH6991" s="36"/>
      <c r="AI6991" s="36"/>
      <c r="AJ6991" s="15">
        <f t="shared" si="1392"/>
        <v>0</v>
      </c>
      <c r="AK6991" s="14"/>
      <c r="AL6991" s="14"/>
      <c r="AM6991" s="14"/>
      <c r="AN6991" s="14"/>
      <c r="AO6991" s="14"/>
      <c r="AP6991" s="14"/>
      <c r="AQ6991" s="14"/>
      <c r="AR6991" s="14">
        <v>400</v>
      </c>
      <c r="AS6991" s="14"/>
      <c r="AT6991" s="14"/>
      <c r="AU6991" s="14"/>
      <c r="AV6991" s="14"/>
      <c r="AW6991" s="15">
        <f t="shared" si="1393"/>
        <v>400</v>
      </c>
      <c r="AX6991" s="16"/>
    </row>
    <row r="6992" spans="2:52" x14ac:dyDescent="0.2">
      <c r="B6992" s="7"/>
      <c r="C6992" s="8">
        <v>17052</v>
      </c>
      <c r="D6992" s="9" t="s">
        <v>797</v>
      </c>
      <c r="E6992" s="10" t="str">
        <f t="shared" si="1388"/>
        <v>Rancho Recoveco No. 195</v>
      </c>
      <c r="F6992" s="10" t="str">
        <f t="shared" si="1389"/>
        <v>Sandoval</v>
      </c>
      <c r="G6992" s="8">
        <v>1</v>
      </c>
      <c r="H6992" s="11">
        <v>250</v>
      </c>
      <c r="I6992" s="12">
        <v>43324</v>
      </c>
      <c r="J6992" s="35">
        <f t="shared" si="1390"/>
        <v>0</v>
      </c>
      <c r="K6992" s="36"/>
      <c r="L6992" s="36"/>
      <c r="M6992" s="36"/>
      <c r="N6992" s="36"/>
      <c r="O6992" s="36"/>
      <c r="P6992" s="36"/>
      <c r="Q6992" s="36"/>
      <c r="R6992" s="36"/>
      <c r="S6992" s="36"/>
      <c r="T6992" s="36"/>
      <c r="U6992" s="36"/>
      <c r="V6992" s="36"/>
      <c r="W6992" s="15">
        <f t="shared" si="1391"/>
        <v>0</v>
      </c>
      <c r="X6992" s="36"/>
      <c r="Y6992" s="36"/>
      <c r="Z6992" s="36"/>
      <c r="AA6992" s="36"/>
      <c r="AB6992" s="36"/>
      <c r="AC6992" s="36"/>
      <c r="AD6992" s="36"/>
      <c r="AE6992" s="36"/>
      <c r="AF6992" s="36"/>
      <c r="AG6992" s="36"/>
      <c r="AH6992" s="36"/>
      <c r="AI6992" s="36"/>
      <c r="AJ6992" s="15">
        <f t="shared" si="1392"/>
        <v>0</v>
      </c>
      <c r="AK6992" s="14"/>
      <c r="AL6992" s="14"/>
      <c r="AM6992" s="14"/>
      <c r="AN6992" s="14"/>
      <c r="AO6992" s="14"/>
      <c r="AP6992" s="14"/>
      <c r="AQ6992" s="14"/>
      <c r="AR6992" s="14">
        <v>250</v>
      </c>
      <c r="AS6992" s="14"/>
      <c r="AT6992" s="14"/>
      <c r="AU6992" s="14"/>
      <c r="AV6992" s="14"/>
      <c r="AW6992" s="15">
        <f t="shared" si="1393"/>
        <v>250</v>
      </c>
      <c r="AX6992" s="16"/>
    </row>
    <row r="6993" spans="2:50" x14ac:dyDescent="0.2">
      <c r="B6993" s="7"/>
      <c r="C6993" s="8">
        <v>17053</v>
      </c>
      <c r="D6993" s="9" t="s">
        <v>725</v>
      </c>
      <c r="E6993" s="10" t="str">
        <f t="shared" si="1388"/>
        <v>Rancho Zinamba No. 34</v>
      </c>
      <c r="F6993" s="10" t="str">
        <f t="shared" si="1389"/>
        <v>Torres Zavala</v>
      </c>
      <c r="G6993" s="8">
        <v>1</v>
      </c>
      <c r="H6993" s="11">
        <v>800</v>
      </c>
      <c r="I6993" s="12">
        <v>43324</v>
      </c>
      <c r="J6993" s="35">
        <f t="shared" si="1390"/>
        <v>0</v>
      </c>
      <c r="K6993" s="36"/>
      <c r="L6993" s="36"/>
      <c r="M6993" s="36"/>
      <c r="N6993" s="36"/>
      <c r="O6993" s="36"/>
      <c r="P6993" s="36"/>
      <c r="Q6993" s="36"/>
      <c r="R6993" s="36"/>
      <c r="S6993" s="36"/>
      <c r="T6993" s="36"/>
      <c r="U6993" s="36"/>
      <c r="V6993" s="36"/>
      <c r="W6993" s="15">
        <f t="shared" si="1391"/>
        <v>0</v>
      </c>
      <c r="X6993" s="36"/>
      <c r="Y6993" s="36"/>
      <c r="Z6993" s="36"/>
      <c r="AA6993" s="36"/>
      <c r="AB6993" s="36"/>
      <c r="AC6993" s="36"/>
      <c r="AD6993" s="36"/>
      <c r="AE6993" s="36"/>
      <c r="AF6993" s="36"/>
      <c r="AG6993" s="36"/>
      <c r="AH6993" s="36"/>
      <c r="AI6993" s="36"/>
      <c r="AJ6993" s="15">
        <f t="shared" si="1392"/>
        <v>0</v>
      </c>
      <c r="AK6993" s="14"/>
      <c r="AL6993" s="14"/>
      <c r="AM6993" s="14"/>
      <c r="AN6993" s="14"/>
      <c r="AO6993" s="14"/>
      <c r="AP6993" s="14"/>
      <c r="AQ6993" s="14">
        <v>400</v>
      </c>
      <c r="AR6993" s="14">
        <v>400</v>
      </c>
      <c r="AS6993" s="14"/>
      <c r="AT6993" s="14"/>
      <c r="AU6993" s="14"/>
      <c r="AV6993" s="14"/>
      <c r="AW6993" s="15">
        <f t="shared" si="1393"/>
        <v>800</v>
      </c>
      <c r="AX6993" s="16"/>
    </row>
    <row r="6994" spans="2:50" x14ac:dyDescent="0.2">
      <c r="B6994" s="7"/>
      <c r="C6994" s="8">
        <v>17054</v>
      </c>
      <c r="D6994" s="9" t="s">
        <v>322</v>
      </c>
      <c r="E6994" s="10" t="str">
        <f t="shared" si="1388"/>
        <v>Rancho Zinamba No. 8</v>
      </c>
      <c r="F6994" s="10" t="str">
        <f t="shared" si="1389"/>
        <v>Florido</v>
      </c>
      <c r="G6994" s="8">
        <v>1</v>
      </c>
      <c r="H6994" s="11">
        <v>800</v>
      </c>
      <c r="I6994" s="12">
        <v>43324</v>
      </c>
      <c r="J6994" s="35">
        <f t="shared" si="1390"/>
        <v>0</v>
      </c>
      <c r="K6994" s="36"/>
      <c r="L6994" s="36"/>
      <c r="M6994" s="36"/>
      <c r="N6994" s="36"/>
      <c r="O6994" s="36"/>
      <c r="P6994" s="36"/>
      <c r="Q6994" s="36"/>
      <c r="R6994" s="36"/>
      <c r="S6994" s="36"/>
      <c r="T6994" s="36"/>
      <c r="U6994" s="36"/>
      <c r="V6994" s="36"/>
      <c r="W6994" s="15">
        <f t="shared" si="1391"/>
        <v>0</v>
      </c>
      <c r="X6994" s="36"/>
      <c r="Y6994" s="36"/>
      <c r="Z6994" s="36"/>
      <c r="AA6994" s="36"/>
      <c r="AB6994" s="36"/>
      <c r="AC6994" s="36"/>
      <c r="AD6994" s="36"/>
      <c r="AE6994" s="36"/>
      <c r="AF6994" s="36"/>
      <c r="AG6994" s="36"/>
      <c r="AH6994" s="36"/>
      <c r="AI6994" s="36"/>
      <c r="AJ6994" s="15">
        <f t="shared" si="1392"/>
        <v>0</v>
      </c>
      <c r="AK6994" s="14"/>
      <c r="AL6994" s="14"/>
      <c r="AM6994" s="14"/>
      <c r="AN6994" s="14"/>
      <c r="AO6994" s="14"/>
      <c r="AP6994" s="14"/>
      <c r="AQ6994" s="14">
        <v>400</v>
      </c>
      <c r="AR6994" s="14">
        <v>400</v>
      </c>
      <c r="AS6994" s="14"/>
      <c r="AT6994" s="14"/>
      <c r="AU6994" s="14"/>
      <c r="AV6994" s="14"/>
      <c r="AW6994" s="15">
        <f t="shared" si="1393"/>
        <v>800</v>
      </c>
      <c r="AX6994" s="16"/>
    </row>
    <row r="6995" spans="2:50" x14ac:dyDescent="0.2">
      <c r="B6995" s="7"/>
      <c r="C6995" s="8">
        <v>17055</v>
      </c>
      <c r="D6995" s="9" t="s">
        <v>485</v>
      </c>
      <c r="E6995" s="10" t="str">
        <f t="shared" si="1388"/>
        <v>Rancho Estanzuela No. 111</v>
      </c>
      <c r="F6995" s="10" t="str">
        <f t="shared" si="1389"/>
        <v>Flores Pérez</v>
      </c>
      <c r="G6995" s="8">
        <v>3</v>
      </c>
      <c r="H6995" s="11">
        <v>200</v>
      </c>
      <c r="I6995" s="12">
        <v>43324</v>
      </c>
      <c r="J6995" s="35">
        <f t="shared" si="1390"/>
        <v>0</v>
      </c>
      <c r="K6995" s="36"/>
      <c r="L6995" s="36"/>
      <c r="M6995" s="36"/>
      <c r="N6995" s="36"/>
      <c r="O6995" s="36"/>
      <c r="P6995" s="36"/>
      <c r="Q6995" s="36"/>
      <c r="R6995" s="36"/>
      <c r="S6995" s="36"/>
      <c r="T6995" s="36"/>
      <c r="U6995" s="36"/>
      <c r="V6995" s="36"/>
      <c r="W6995" s="15">
        <f t="shared" si="1391"/>
        <v>0</v>
      </c>
      <c r="X6995" s="36"/>
      <c r="Y6995" s="36"/>
      <c r="Z6995" s="36"/>
      <c r="AA6995" s="36"/>
      <c r="AB6995" s="36"/>
      <c r="AC6995" s="36"/>
      <c r="AD6995" s="36"/>
      <c r="AE6995" s="36"/>
      <c r="AF6995" s="36"/>
      <c r="AG6995" s="36"/>
      <c r="AH6995" s="36"/>
      <c r="AI6995" s="36"/>
      <c r="AJ6995" s="15">
        <f t="shared" si="1392"/>
        <v>0</v>
      </c>
      <c r="AK6995" s="14"/>
      <c r="AL6995" s="14"/>
      <c r="AM6995" s="14"/>
      <c r="AN6995" s="14"/>
      <c r="AO6995" s="14"/>
      <c r="AP6995" s="14"/>
      <c r="AQ6995" s="14"/>
      <c r="AR6995" s="14"/>
      <c r="AS6995" s="14"/>
      <c r="AT6995" s="14"/>
      <c r="AU6995" s="14"/>
      <c r="AV6995" s="14"/>
      <c r="AW6995" s="15">
        <f t="shared" si="1393"/>
        <v>0</v>
      </c>
      <c r="AX6995" s="16"/>
    </row>
    <row r="6996" spans="2:50" x14ac:dyDescent="0.2">
      <c r="B6996" s="7"/>
      <c r="C6996" s="8">
        <v>17056</v>
      </c>
      <c r="D6996" s="9" t="s">
        <v>699</v>
      </c>
      <c r="E6996" s="10" t="str">
        <f t="shared" si="1388"/>
        <v>Rancho La Cuchilla No. 18</v>
      </c>
      <c r="F6996" s="10" t="str">
        <f t="shared" si="1389"/>
        <v>Aldana Sánchez</v>
      </c>
      <c r="G6996" s="8">
        <v>1</v>
      </c>
      <c r="H6996" s="11">
        <v>1600</v>
      </c>
      <c r="I6996" s="12">
        <v>43324</v>
      </c>
      <c r="J6996" s="35">
        <f t="shared" si="1390"/>
        <v>0</v>
      </c>
      <c r="K6996" s="36"/>
      <c r="L6996" s="36"/>
      <c r="M6996" s="36"/>
      <c r="N6996" s="36"/>
      <c r="O6996" s="36"/>
      <c r="P6996" s="36"/>
      <c r="Q6996" s="36"/>
      <c r="R6996" s="36"/>
      <c r="S6996" s="36"/>
      <c r="T6996" s="36"/>
      <c r="U6996" s="36"/>
      <c r="V6996" s="36"/>
      <c r="W6996" s="15">
        <f t="shared" si="1391"/>
        <v>0</v>
      </c>
      <c r="X6996" s="36"/>
      <c r="Y6996" s="36"/>
      <c r="Z6996" s="36"/>
      <c r="AA6996" s="36"/>
      <c r="AB6996" s="36"/>
      <c r="AC6996" s="36"/>
      <c r="AD6996" s="36"/>
      <c r="AE6996" s="36"/>
      <c r="AF6996" s="36"/>
      <c r="AG6996" s="36"/>
      <c r="AH6996" s="36"/>
      <c r="AI6996" s="36"/>
      <c r="AJ6996" s="15">
        <f t="shared" si="1392"/>
        <v>0</v>
      </c>
      <c r="AK6996" s="14"/>
      <c r="AL6996" s="14"/>
      <c r="AM6996" s="14"/>
      <c r="AN6996" s="14"/>
      <c r="AO6996" s="14">
        <v>400</v>
      </c>
      <c r="AP6996" s="14">
        <v>400</v>
      </c>
      <c r="AQ6996" s="14">
        <v>400</v>
      </c>
      <c r="AR6996" s="14">
        <v>400</v>
      </c>
      <c r="AS6996" s="14"/>
      <c r="AT6996" s="14"/>
      <c r="AU6996" s="14"/>
      <c r="AV6996" s="14"/>
      <c r="AW6996" s="15">
        <f t="shared" si="1393"/>
        <v>1600</v>
      </c>
      <c r="AX6996" s="16"/>
    </row>
    <row r="6997" spans="2:50" x14ac:dyDescent="0.2">
      <c r="B6997" s="7"/>
      <c r="C6997" s="8">
        <v>17057</v>
      </c>
      <c r="D6997" s="9" t="s">
        <v>301</v>
      </c>
      <c r="E6997" s="10" t="str">
        <f t="shared" si="1388"/>
        <v>Rancho Upácuaro No. 51, 2</v>
      </c>
      <c r="F6997" s="10" t="str">
        <f t="shared" si="1389"/>
        <v>Santoyo</v>
      </c>
      <c r="G6997" s="8">
        <v>1</v>
      </c>
      <c r="H6997" s="11">
        <v>200</v>
      </c>
      <c r="I6997" s="12">
        <v>43324</v>
      </c>
      <c r="J6997" s="35">
        <f t="shared" si="1390"/>
        <v>0</v>
      </c>
      <c r="K6997" s="36"/>
      <c r="L6997" s="36"/>
      <c r="M6997" s="36"/>
      <c r="N6997" s="36"/>
      <c r="O6997" s="36"/>
      <c r="P6997" s="36"/>
      <c r="Q6997" s="36"/>
      <c r="R6997" s="36"/>
      <c r="S6997" s="36"/>
      <c r="T6997" s="36"/>
      <c r="U6997" s="36"/>
      <c r="V6997" s="36"/>
      <c r="W6997" s="15">
        <f t="shared" si="1391"/>
        <v>0</v>
      </c>
      <c r="X6997" s="36"/>
      <c r="Y6997" s="36"/>
      <c r="Z6997" s="36"/>
      <c r="AA6997" s="36"/>
      <c r="AB6997" s="36"/>
      <c r="AC6997" s="36"/>
      <c r="AD6997" s="36"/>
      <c r="AE6997" s="36"/>
      <c r="AF6997" s="36"/>
      <c r="AG6997" s="36"/>
      <c r="AH6997" s="36"/>
      <c r="AI6997" s="36"/>
      <c r="AJ6997" s="15">
        <f t="shared" si="1392"/>
        <v>0</v>
      </c>
      <c r="AK6997" s="14"/>
      <c r="AL6997" s="14"/>
      <c r="AM6997" s="14"/>
      <c r="AN6997" s="14"/>
      <c r="AO6997" s="14"/>
      <c r="AP6997" s="14"/>
      <c r="AQ6997" s="14"/>
      <c r="AR6997" s="14">
        <v>200</v>
      </c>
      <c r="AS6997" s="14"/>
      <c r="AT6997" s="14"/>
      <c r="AU6997" s="14"/>
      <c r="AV6997" s="14"/>
      <c r="AW6997" s="15">
        <f t="shared" si="1393"/>
        <v>200</v>
      </c>
      <c r="AX6997" s="16"/>
    </row>
    <row r="6998" spans="2:50" x14ac:dyDescent="0.2">
      <c r="B6998" s="7"/>
      <c r="C6998" s="8">
        <v>17058</v>
      </c>
      <c r="D6998" s="9" t="s">
        <v>544</v>
      </c>
      <c r="E6998" s="10" t="str">
        <f t="shared" si="1388"/>
        <v>Rancho Estanzuela No. 89</v>
      </c>
      <c r="F6998" s="10" t="str">
        <f t="shared" si="1389"/>
        <v>Romero Ortiz</v>
      </c>
      <c r="G6998" s="8">
        <v>1</v>
      </c>
      <c r="H6998" s="11">
        <v>400</v>
      </c>
      <c r="I6998" s="12">
        <v>43324</v>
      </c>
      <c r="J6998" s="35">
        <f t="shared" si="1390"/>
        <v>0</v>
      </c>
      <c r="K6998" s="36"/>
      <c r="L6998" s="36"/>
      <c r="M6998" s="36"/>
      <c r="N6998" s="36"/>
      <c r="O6998" s="36"/>
      <c r="P6998" s="36"/>
      <c r="Q6998" s="36"/>
      <c r="R6998" s="36"/>
      <c r="S6998" s="36"/>
      <c r="T6998" s="36"/>
      <c r="U6998" s="36"/>
      <c r="V6998" s="36"/>
      <c r="W6998" s="15">
        <f t="shared" si="1391"/>
        <v>0</v>
      </c>
      <c r="X6998" s="36"/>
      <c r="Y6998" s="36"/>
      <c r="Z6998" s="36"/>
      <c r="AA6998" s="36"/>
      <c r="AB6998" s="36"/>
      <c r="AC6998" s="36"/>
      <c r="AD6998" s="36"/>
      <c r="AE6998" s="36"/>
      <c r="AF6998" s="36"/>
      <c r="AG6998" s="36"/>
      <c r="AH6998" s="36"/>
      <c r="AI6998" s="36"/>
      <c r="AJ6998" s="15">
        <f t="shared" si="1392"/>
        <v>0</v>
      </c>
      <c r="AK6998" s="14"/>
      <c r="AL6998" s="14"/>
      <c r="AM6998" s="14"/>
      <c r="AN6998" s="14"/>
      <c r="AO6998" s="14"/>
      <c r="AP6998" s="14"/>
      <c r="AQ6998" s="14"/>
      <c r="AR6998" s="14">
        <v>400</v>
      </c>
      <c r="AS6998" s="14"/>
      <c r="AT6998" s="14"/>
      <c r="AU6998" s="14"/>
      <c r="AV6998" s="14"/>
      <c r="AW6998" s="15">
        <f t="shared" si="1393"/>
        <v>400</v>
      </c>
      <c r="AX6998" s="16"/>
    </row>
    <row r="6999" spans="2:50" x14ac:dyDescent="0.2">
      <c r="B6999" s="7"/>
      <c r="C6999" s="8">
        <v>17059</v>
      </c>
      <c r="D6999" s="9" t="s">
        <v>905</v>
      </c>
      <c r="E6999" s="10" t="str">
        <f t="shared" si="1388"/>
        <v>Rancho Landero No. 81</v>
      </c>
      <c r="F6999" s="10" t="str">
        <f t="shared" si="1389"/>
        <v>Cebrían Saldaña</v>
      </c>
      <c r="G6999" s="8">
        <v>1</v>
      </c>
      <c r="H6999" s="11">
        <v>400</v>
      </c>
      <c r="I6999" s="12">
        <v>43324</v>
      </c>
      <c r="J6999" s="35">
        <f t="shared" si="1390"/>
        <v>0</v>
      </c>
      <c r="K6999" s="36"/>
      <c r="L6999" s="36"/>
      <c r="M6999" s="36"/>
      <c r="N6999" s="36"/>
      <c r="O6999" s="36"/>
      <c r="P6999" s="36"/>
      <c r="Q6999" s="36"/>
      <c r="R6999" s="36"/>
      <c r="S6999" s="36"/>
      <c r="T6999" s="36"/>
      <c r="U6999" s="36"/>
      <c r="V6999" s="36"/>
      <c r="W6999" s="15">
        <f t="shared" si="1391"/>
        <v>0</v>
      </c>
      <c r="X6999" s="36"/>
      <c r="Y6999" s="36"/>
      <c r="Z6999" s="36"/>
      <c r="AA6999" s="36"/>
      <c r="AB6999" s="36"/>
      <c r="AC6999" s="36"/>
      <c r="AD6999" s="36"/>
      <c r="AE6999" s="36"/>
      <c r="AF6999" s="36"/>
      <c r="AG6999" s="36"/>
      <c r="AH6999" s="36"/>
      <c r="AI6999" s="36"/>
      <c r="AJ6999" s="15">
        <f t="shared" si="1392"/>
        <v>0</v>
      </c>
      <c r="AK6999" s="14"/>
      <c r="AL6999" s="14"/>
      <c r="AM6999" s="14"/>
      <c r="AN6999" s="14"/>
      <c r="AO6999" s="14"/>
      <c r="AP6999" s="14">
        <v>200</v>
      </c>
      <c r="AQ6999" s="14">
        <v>200</v>
      </c>
      <c r="AR6999" s="14"/>
      <c r="AS6999" s="14"/>
      <c r="AT6999" s="14"/>
      <c r="AU6999" s="14"/>
      <c r="AV6999" s="14"/>
      <c r="AW6999" s="15">
        <f t="shared" si="1393"/>
        <v>400</v>
      </c>
      <c r="AX6999" s="16"/>
    </row>
    <row r="7000" spans="2:50" x14ac:dyDescent="0.2">
      <c r="B7000" s="7"/>
      <c r="C7000" s="8">
        <v>17059</v>
      </c>
      <c r="D7000" s="9" t="s">
        <v>905</v>
      </c>
      <c r="E7000" s="10" t="str">
        <f t="shared" si="1388"/>
        <v>Rancho Landero No. 81</v>
      </c>
      <c r="F7000" s="10" t="str">
        <f t="shared" si="1389"/>
        <v>Cebrían Saldaña</v>
      </c>
      <c r="G7000" s="8">
        <v>3</v>
      </c>
      <c r="H7000" s="11">
        <v>200</v>
      </c>
      <c r="I7000" s="12">
        <v>43324</v>
      </c>
      <c r="J7000" s="35">
        <f t="shared" si="1390"/>
        <v>0</v>
      </c>
      <c r="K7000" s="36"/>
      <c r="L7000" s="36"/>
      <c r="M7000" s="36"/>
      <c r="N7000" s="36"/>
      <c r="O7000" s="36"/>
      <c r="P7000" s="36"/>
      <c r="Q7000" s="36"/>
      <c r="R7000" s="36"/>
      <c r="S7000" s="36"/>
      <c r="T7000" s="36"/>
      <c r="U7000" s="36"/>
      <c r="V7000" s="36"/>
      <c r="W7000" s="15">
        <f t="shared" si="1391"/>
        <v>0</v>
      </c>
      <c r="X7000" s="36"/>
      <c r="Y7000" s="36"/>
      <c r="Z7000" s="36"/>
      <c r="AA7000" s="36"/>
      <c r="AB7000" s="36"/>
      <c r="AC7000" s="36"/>
      <c r="AD7000" s="36"/>
      <c r="AE7000" s="36"/>
      <c r="AF7000" s="36"/>
      <c r="AG7000" s="36"/>
      <c r="AH7000" s="36"/>
      <c r="AI7000" s="36"/>
      <c r="AJ7000" s="15">
        <f t="shared" si="1392"/>
        <v>0</v>
      </c>
      <c r="AK7000" s="14"/>
      <c r="AL7000" s="14"/>
      <c r="AM7000" s="14"/>
      <c r="AN7000" s="14"/>
      <c r="AO7000" s="14"/>
      <c r="AP7000" s="14"/>
      <c r="AQ7000" s="14"/>
      <c r="AR7000" s="14"/>
      <c r="AS7000" s="14"/>
      <c r="AT7000" s="14"/>
      <c r="AU7000" s="14"/>
      <c r="AV7000" s="14"/>
      <c r="AW7000" s="15">
        <f t="shared" si="1393"/>
        <v>0</v>
      </c>
      <c r="AX7000" s="16"/>
    </row>
    <row r="7001" spans="2:50" x14ac:dyDescent="0.2">
      <c r="B7001" s="7"/>
      <c r="C7001" s="8">
        <v>17060</v>
      </c>
      <c r="D7001" s="9" t="s">
        <v>556</v>
      </c>
      <c r="E7001" s="10" t="str">
        <f t="shared" si="1388"/>
        <v>Rancho Zinamba No. 26</v>
      </c>
      <c r="F7001" s="10" t="str">
        <f t="shared" si="1389"/>
        <v>Ayala</v>
      </c>
      <c r="G7001" s="8">
        <v>1</v>
      </c>
      <c r="H7001" s="11">
        <v>400</v>
      </c>
      <c r="I7001" s="12">
        <v>43324</v>
      </c>
      <c r="J7001" s="35">
        <f t="shared" si="1390"/>
        <v>0</v>
      </c>
      <c r="K7001" s="36"/>
      <c r="L7001" s="36"/>
      <c r="M7001" s="36"/>
      <c r="N7001" s="36"/>
      <c r="O7001" s="36"/>
      <c r="P7001" s="36"/>
      <c r="Q7001" s="36"/>
      <c r="R7001" s="36"/>
      <c r="S7001" s="36"/>
      <c r="T7001" s="36"/>
      <c r="U7001" s="36"/>
      <c r="V7001" s="36"/>
      <c r="W7001" s="15">
        <f t="shared" si="1391"/>
        <v>0</v>
      </c>
      <c r="X7001" s="36"/>
      <c r="Y7001" s="36"/>
      <c r="Z7001" s="36"/>
      <c r="AA7001" s="36"/>
      <c r="AB7001" s="36"/>
      <c r="AC7001" s="36"/>
      <c r="AD7001" s="36"/>
      <c r="AE7001" s="36"/>
      <c r="AF7001" s="36"/>
      <c r="AG7001" s="36"/>
      <c r="AH7001" s="36"/>
      <c r="AI7001" s="36"/>
      <c r="AJ7001" s="15">
        <f t="shared" si="1392"/>
        <v>0</v>
      </c>
      <c r="AK7001" s="14"/>
      <c r="AL7001" s="14"/>
      <c r="AM7001" s="14"/>
      <c r="AN7001" s="14"/>
      <c r="AO7001" s="14"/>
      <c r="AP7001" s="14">
        <v>400</v>
      </c>
      <c r="AQ7001" s="14"/>
      <c r="AR7001" s="14"/>
      <c r="AS7001" s="14"/>
      <c r="AT7001" s="14"/>
      <c r="AU7001" s="14"/>
      <c r="AV7001" s="14"/>
      <c r="AW7001" s="15">
        <f t="shared" si="1393"/>
        <v>400</v>
      </c>
      <c r="AX7001" s="16"/>
    </row>
    <row r="7002" spans="2:50" x14ac:dyDescent="0.2">
      <c r="B7002" s="7"/>
      <c r="C7002" s="8">
        <v>17061</v>
      </c>
      <c r="D7002" s="9" t="s">
        <v>62</v>
      </c>
      <c r="E7002" s="10" t="str">
        <f t="shared" si="1388"/>
        <v>Rancho Romeral No. 10, A</v>
      </c>
      <c r="F7002" s="10" t="str">
        <f t="shared" si="1389"/>
        <v>Casillas Álvarez</v>
      </c>
      <c r="G7002" s="8">
        <v>1</v>
      </c>
      <c r="H7002" s="11">
        <v>200</v>
      </c>
      <c r="I7002" s="12">
        <v>43324</v>
      </c>
      <c r="J7002" s="35">
        <f t="shared" si="1390"/>
        <v>0</v>
      </c>
      <c r="K7002" s="36"/>
      <c r="L7002" s="36"/>
      <c r="M7002" s="36"/>
      <c r="N7002" s="36"/>
      <c r="O7002" s="36"/>
      <c r="P7002" s="36"/>
      <c r="Q7002" s="36"/>
      <c r="R7002" s="36"/>
      <c r="S7002" s="36"/>
      <c r="T7002" s="36"/>
      <c r="U7002" s="36"/>
      <c r="V7002" s="36"/>
      <c r="W7002" s="15">
        <f t="shared" si="1391"/>
        <v>0</v>
      </c>
      <c r="X7002" s="36"/>
      <c r="Y7002" s="36"/>
      <c r="Z7002" s="36"/>
      <c r="AA7002" s="36"/>
      <c r="AB7002" s="36"/>
      <c r="AC7002" s="36"/>
      <c r="AD7002" s="36"/>
      <c r="AE7002" s="36"/>
      <c r="AF7002" s="36"/>
      <c r="AG7002" s="36"/>
      <c r="AH7002" s="36"/>
      <c r="AI7002" s="36"/>
      <c r="AJ7002" s="15">
        <f t="shared" si="1392"/>
        <v>0</v>
      </c>
      <c r="AK7002" s="14"/>
      <c r="AL7002" s="14"/>
      <c r="AM7002" s="14"/>
      <c r="AN7002" s="14"/>
      <c r="AO7002" s="14"/>
      <c r="AP7002" s="14"/>
      <c r="AQ7002" s="14"/>
      <c r="AR7002" s="14"/>
      <c r="AS7002" s="14">
        <v>200</v>
      </c>
      <c r="AT7002" s="14"/>
      <c r="AU7002" s="14"/>
      <c r="AV7002" s="14"/>
      <c r="AW7002" s="15">
        <f t="shared" si="1393"/>
        <v>200</v>
      </c>
      <c r="AX7002" s="16"/>
    </row>
    <row r="7003" spans="2:50" x14ac:dyDescent="0.2">
      <c r="B7003" s="7"/>
      <c r="C7003" s="8">
        <v>17062</v>
      </c>
      <c r="D7003" s="9" t="s">
        <v>1170</v>
      </c>
      <c r="E7003" s="10" t="str">
        <f t="shared" si="1388"/>
        <v>Rancho La Cuchilla No. 117</v>
      </c>
      <c r="F7003" s="10" t="str">
        <f t="shared" si="1389"/>
        <v>Gómez</v>
      </c>
      <c r="G7003" s="8">
        <v>1</v>
      </c>
      <c r="H7003" s="11">
        <v>3200</v>
      </c>
      <c r="I7003" s="12">
        <v>43324</v>
      </c>
      <c r="J7003" s="35">
        <f t="shared" si="1390"/>
        <v>0</v>
      </c>
      <c r="K7003" s="36"/>
      <c r="L7003" s="36"/>
      <c r="M7003" s="36"/>
      <c r="N7003" s="36"/>
      <c r="O7003" s="36"/>
      <c r="P7003" s="36"/>
      <c r="Q7003" s="36"/>
      <c r="R7003" s="36"/>
      <c r="S7003" s="36"/>
      <c r="T7003" s="36"/>
      <c r="U7003" s="36"/>
      <c r="V7003" s="36"/>
      <c r="W7003" s="15">
        <f t="shared" si="1391"/>
        <v>0</v>
      </c>
      <c r="X7003" s="36"/>
      <c r="Y7003" s="36"/>
      <c r="Z7003" s="36"/>
      <c r="AA7003" s="36"/>
      <c r="AB7003" s="36"/>
      <c r="AC7003" s="36"/>
      <c r="AD7003" s="36"/>
      <c r="AE7003" s="36"/>
      <c r="AF7003" s="36"/>
      <c r="AG7003" s="36"/>
      <c r="AH7003" s="36"/>
      <c r="AI7003" s="36"/>
      <c r="AJ7003" s="15">
        <f t="shared" si="1392"/>
        <v>0</v>
      </c>
      <c r="AK7003" s="14">
        <v>400</v>
      </c>
      <c r="AL7003" s="14">
        <v>400</v>
      </c>
      <c r="AM7003" s="14">
        <v>400</v>
      </c>
      <c r="AN7003" s="14">
        <v>400</v>
      </c>
      <c r="AO7003" s="14">
        <v>400</v>
      </c>
      <c r="AP7003" s="14">
        <v>400</v>
      </c>
      <c r="AQ7003" s="14">
        <v>400</v>
      </c>
      <c r="AR7003" s="14">
        <v>400</v>
      </c>
      <c r="AS7003" s="14"/>
      <c r="AT7003" s="14"/>
      <c r="AU7003" s="14"/>
      <c r="AV7003" s="14"/>
      <c r="AW7003" s="15">
        <f t="shared" si="1393"/>
        <v>3200</v>
      </c>
      <c r="AX7003" s="16"/>
    </row>
    <row r="7004" spans="2:50" x14ac:dyDescent="0.2">
      <c r="B7004" s="7"/>
      <c r="C7004" s="8">
        <v>17063</v>
      </c>
      <c r="D7004" s="9" t="s">
        <v>425</v>
      </c>
      <c r="E7004" s="10" t="str">
        <f t="shared" si="1388"/>
        <v>Rancho La Cuchilla No. 120</v>
      </c>
      <c r="F7004" s="10" t="str">
        <f t="shared" si="1389"/>
        <v>Pozos Vilchis</v>
      </c>
      <c r="G7004" s="8">
        <v>1</v>
      </c>
      <c r="H7004" s="11">
        <v>400</v>
      </c>
      <c r="I7004" s="12">
        <v>43324</v>
      </c>
      <c r="J7004" s="35">
        <f t="shared" si="1390"/>
        <v>0</v>
      </c>
      <c r="K7004" s="36"/>
      <c r="L7004" s="36"/>
      <c r="M7004" s="36"/>
      <c r="N7004" s="36"/>
      <c r="O7004" s="36"/>
      <c r="P7004" s="36"/>
      <c r="Q7004" s="36"/>
      <c r="R7004" s="36"/>
      <c r="S7004" s="36"/>
      <c r="T7004" s="36"/>
      <c r="U7004" s="36"/>
      <c r="V7004" s="36"/>
      <c r="W7004" s="15">
        <f t="shared" si="1391"/>
        <v>0</v>
      </c>
      <c r="X7004" s="36"/>
      <c r="Y7004" s="36"/>
      <c r="Z7004" s="36"/>
      <c r="AA7004" s="36"/>
      <c r="AB7004" s="36"/>
      <c r="AC7004" s="36"/>
      <c r="AD7004" s="36"/>
      <c r="AE7004" s="36"/>
      <c r="AF7004" s="36"/>
      <c r="AG7004" s="36"/>
      <c r="AH7004" s="36"/>
      <c r="AI7004" s="36"/>
      <c r="AJ7004" s="15">
        <f t="shared" si="1392"/>
        <v>0</v>
      </c>
      <c r="AK7004" s="14"/>
      <c r="AL7004" s="14"/>
      <c r="AM7004" s="14"/>
      <c r="AN7004" s="14"/>
      <c r="AO7004" s="14"/>
      <c r="AP7004" s="14"/>
      <c r="AQ7004" s="14"/>
      <c r="AR7004" s="14">
        <v>400</v>
      </c>
      <c r="AS7004" s="14"/>
      <c r="AT7004" s="14"/>
      <c r="AU7004" s="14"/>
      <c r="AV7004" s="14"/>
      <c r="AW7004" s="15">
        <f t="shared" si="1393"/>
        <v>400</v>
      </c>
      <c r="AX7004" s="16"/>
    </row>
    <row r="7005" spans="2:50" x14ac:dyDescent="0.2">
      <c r="B7005" s="7"/>
      <c r="C7005" s="8">
        <v>17064</v>
      </c>
      <c r="D7005" s="9" t="s">
        <v>625</v>
      </c>
      <c r="E7005" s="10" t="str">
        <f t="shared" si="1388"/>
        <v>Rancho Upácuaro No. 60</v>
      </c>
      <c r="F7005" s="10" t="str">
        <f t="shared" si="1389"/>
        <v>Zavala</v>
      </c>
      <c r="G7005" s="8">
        <v>1</v>
      </c>
      <c r="H7005" s="11">
        <v>300</v>
      </c>
      <c r="I7005" s="12">
        <v>43324</v>
      </c>
      <c r="J7005" s="35">
        <f t="shared" si="1390"/>
        <v>0</v>
      </c>
      <c r="K7005" s="36"/>
      <c r="L7005" s="36"/>
      <c r="M7005" s="36"/>
      <c r="N7005" s="36"/>
      <c r="O7005" s="36"/>
      <c r="P7005" s="36"/>
      <c r="Q7005" s="36"/>
      <c r="R7005" s="36"/>
      <c r="S7005" s="36"/>
      <c r="T7005" s="36"/>
      <c r="U7005" s="36"/>
      <c r="V7005" s="36"/>
      <c r="W7005" s="15">
        <f t="shared" si="1391"/>
        <v>0</v>
      </c>
      <c r="X7005" s="36"/>
      <c r="Y7005" s="36"/>
      <c r="Z7005" s="36"/>
      <c r="AA7005" s="36"/>
      <c r="AB7005" s="36"/>
      <c r="AC7005" s="36"/>
      <c r="AD7005" s="36"/>
      <c r="AE7005" s="36"/>
      <c r="AF7005" s="36"/>
      <c r="AG7005" s="36"/>
      <c r="AH7005" s="36"/>
      <c r="AI7005" s="36"/>
      <c r="AJ7005" s="15">
        <f t="shared" si="1392"/>
        <v>0</v>
      </c>
      <c r="AK7005" s="14"/>
      <c r="AL7005" s="14"/>
      <c r="AM7005" s="14"/>
      <c r="AN7005" s="14"/>
      <c r="AO7005" s="14"/>
      <c r="AP7005" s="14"/>
      <c r="AQ7005" s="14"/>
      <c r="AR7005" s="14">
        <v>300</v>
      </c>
      <c r="AS7005" s="14"/>
      <c r="AT7005" s="14"/>
      <c r="AU7005" s="14"/>
      <c r="AV7005" s="14"/>
      <c r="AW7005" s="15">
        <f t="shared" si="1393"/>
        <v>300</v>
      </c>
      <c r="AX7005" s="16"/>
    </row>
    <row r="7006" spans="2:50" x14ac:dyDescent="0.2">
      <c r="B7006" s="7"/>
      <c r="C7006" s="8">
        <v>17065</v>
      </c>
      <c r="D7006" s="9" t="s">
        <v>271</v>
      </c>
      <c r="E7006" s="10" t="str">
        <f t="shared" si="1388"/>
        <v>Rancho Landero No. 76</v>
      </c>
      <c r="F7006" s="10" t="str">
        <f t="shared" si="1389"/>
        <v>Ugarte</v>
      </c>
      <c r="G7006" s="8">
        <v>1</v>
      </c>
      <c r="H7006" s="11">
        <v>400</v>
      </c>
      <c r="I7006" s="12">
        <v>43324</v>
      </c>
      <c r="J7006" s="35">
        <f t="shared" si="1390"/>
        <v>0</v>
      </c>
      <c r="K7006" s="36"/>
      <c r="L7006" s="36"/>
      <c r="M7006" s="36"/>
      <c r="N7006" s="36"/>
      <c r="O7006" s="36"/>
      <c r="P7006" s="36"/>
      <c r="Q7006" s="36"/>
      <c r="R7006" s="36"/>
      <c r="S7006" s="36"/>
      <c r="T7006" s="36"/>
      <c r="U7006" s="36"/>
      <c r="V7006" s="36"/>
      <c r="W7006" s="15">
        <f t="shared" si="1391"/>
        <v>0</v>
      </c>
      <c r="X7006" s="36"/>
      <c r="Y7006" s="36"/>
      <c r="Z7006" s="36"/>
      <c r="AA7006" s="36"/>
      <c r="AB7006" s="36"/>
      <c r="AC7006" s="36"/>
      <c r="AD7006" s="36"/>
      <c r="AE7006" s="36"/>
      <c r="AF7006" s="36"/>
      <c r="AG7006" s="36"/>
      <c r="AH7006" s="36"/>
      <c r="AI7006" s="36"/>
      <c r="AJ7006" s="15">
        <f t="shared" si="1392"/>
        <v>0</v>
      </c>
      <c r="AK7006" s="14"/>
      <c r="AL7006" s="14"/>
      <c r="AM7006" s="14"/>
      <c r="AN7006" s="14"/>
      <c r="AO7006" s="14"/>
      <c r="AP7006" s="14"/>
      <c r="AQ7006" s="14"/>
      <c r="AR7006" s="14">
        <v>400</v>
      </c>
      <c r="AS7006" s="14"/>
      <c r="AT7006" s="14"/>
      <c r="AU7006" s="14"/>
      <c r="AV7006" s="14"/>
      <c r="AW7006" s="15">
        <f t="shared" si="1393"/>
        <v>400</v>
      </c>
      <c r="AX7006" s="16"/>
    </row>
    <row r="7007" spans="2:50" x14ac:dyDescent="0.2">
      <c r="B7007" s="7"/>
      <c r="C7007" s="8">
        <v>17066</v>
      </c>
      <c r="D7007" s="9" t="s">
        <v>192</v>
      </c>
      <c r="E7007" s="10" t="str">
        <f t="shared" si="1388"/>
        <v>Rancho Landero No. 77</v>
      </c>
      <c r="F7007" s="10" t="str">
        <f t="shared" si="1389"/>
        <v>Muñoz</v>
      </c>
      <c r="G7007" s="8">
        <v>1</v>
      </c>
      <c r="H7007" s="11">
        <v>800</v>
      </c>
      <c r="I7007" s="12">
        <v>43324</v>
      </c>
      <c r="J7007" s="35">
        <f t="shared" si="1390"/>
        <v>0</v>
      </c>
      <c r="K7007" s="36"/>
      <c r="L7007" s="36"/>
      <c r="M7007" s="36"/>
      <c r="N7007" s="36"/>
      <c r="O7007" s="36"/>
      <c r="P7007" s="36"/>
      <c r="Q7007" s="36"/>
      <c r="R7007" s="36"/>
      <c r="S7007" s="36"/>
      <c r="T7007" s="36"/>
      <c r="U7007" s="36"/>
      <c r="V7007" s="36"/>
      <c r="W7007" s="15">
        <f t="shared" si="1391"/>
        <v>0</v>
      </c>
      <c r="X7007" s="36"/>
      <c r="Y7007" s="36"/>
      <c r="Z7007" s="36"/>
      <c r="AA7007" s="36"/>
      <c r="AB7007" s="36"/>
      <c r="AC7007" s="36"/>
      <c r="AD7007" s="36"/>
      <c r="AE7007" s="36"/>
      <c r="AF7007" s="36"/>
      <c r="AG7007" s="36"/>
      <c r="AH7007" s="36"/>
      <c r="AI7007" s="36"/>
      <c r="AJ7007" s="15">
        <f t="shared" si="1392"/>
        <v>0</v>
      </c>
      <c r="AK7007" s="14"/>
      <c r="AL7007" s="14"/>
      <c r="AM7007" s="14"/>
      <c r="AN7007" s="14"/>
      <c r="AO7007" s="14"/>
      <c r="AP7007" s="14"/>
      <c r="AQ7007" s="14">
        <v>400</v>
      </c>
      <c r="AR7007" s="14">
        <v>400</v>
      </c>
      <c r="AS7007" s="14"/>
      <c r="AT7007" s="14"/>
      <c r="AU7007" s="14"/>
      <c r="AV7007" s="14"/>
      <c r="AW7007" s="15">
        <f t="shared" si="1393"/>
        <v>800</v>
      </c>
      <c r="AX7007" s="16"/>
    </row>
    <row r="7008" spans="2:50" x14ac:dyDescent="0.2">
      <c r="B7008" s="7"/>
      <c r="C7008" s="8">
        <v>17067</v>
      </c>
      <c r="D7008" s="9" t="s">
        <v>1203</v>
      </c>
      <c r="E7008" s="10" t="str">
        <f t="shared" si="1388"/>
        <v>Rancho Landero No. 92</v>
      </c>
      <c r="F7008" s="10" t="str">
        <f t="shared" si="1389"/>
        <v>Ruiz Velasco</v>
      </c>
      <c r="G7008" s="8">
        <v>1</v>
      </c>
      <c r="H7008" s="11">
        <v>2400</v>
      </c>
      <c r="I7008" s="12">
        <v>43324</v>
      </c>
      <c r="J7008" s="35">
        <f t="shared" si="1390"/>
        <v>0</v>
      </c>
      <c r="K7008" s="36"/>
      <c r="L7008" s="36"/>
      <c r="M7008" s="36"/>
      <c r="N7008" s="36"/>
      <c r="O7008" s="36"/>
      <c r="P7008" s="36"/>
      <c r="Q7008" s="36"/>
      <c r="R7008" s="36"/>
      <c r="S7008" s="36"/>
      <c r="T7008" s="36"/>
      <c r="U7008" s="36"/>
      <c r="V7008" s="36"/>
      <c r="W7008" s="15">
        <f t="shared" si="1391"/>
        <v>0</v>
      </c>
      <c r="X7008" s="36"/>
      <c r="Y7008" s="36"/>
      <c r="Z7008" s="36"/>
      <c r="AA7008" s="36"/>
      <c r="AB7008" s="36"/>
      <c r="AC7008" s="36"/>
      <c r="AD7008" s="36"/>
      <c r="AE7008" s="36"/>
      <c r="AF7008" s="36"/>
      <c r="AG7008" s="36"/>
      <c r="AH7008" s="36"/>
      <c r="AI7008" s="36"/>
      <c r="AJ7008" s="15">
        <f t="shared" si="1392"/>
        <v>0</v>
      </c>
      <c r="AK7008" s="14">
        <v>300</v>
      </c>
      <c r="AL7008" s="14">
        <v>300</v>
      </c>
      <c r="AM7008" s="14">
        <v>300</v>
      </c>
      <c r="AN7008" s="14">
        <v>300</v>
      </c>
      <c r="AO7008" s="14">
        <v>300</v>
      </c>
      <c r="AP7008" s="14">
        <v>300</v>
      </c>
      <c r="AQ7008" s="14">
        <v>300</v>
      </c>
      <c r="AR7008" s="14">
        <v>300</v>
      </c>
      <c r="AS7008" s="14"/>
      <c r="AT7008" s="14"/>
      <c r="AU7008" s="14"/>
      <c r="AV7008" s="14"/>
      <c r="AW7008" s="15">
        <f t="shared" si="1393"/>
        <v>2400</v>
      </c>
      <c r="AX7008" s="16"/>
    </row>
    <row r="7009" spans="2:50" x14ac:dyDescent="0.2">
      <c r="B7009" s="7"/>
      <c r="C7009" s="8">
        <v>17068</v>
      </c>
      <c r="D7009" s="9" t="s">
        <v>235</v>
      </c>
      <c r="E7009" s="10" t="str">
        <f t="shared" si="1388"/>
        <v>Rancho La Cuchilla No. 43, A</v>
      </c>
      <c r="F7009" s="10" t="str">
        <f t="shared" si="1389"/>
        <v>De la Rosa</v>
      </c>
      <c r="G7009" s="8">
        <v>1</v>
      </c>
      <c r="H7009" s="11">
        <v>400</v>
      </c>
      <c r="I7009" s="12">
        <v>43324</v>
      </c>
      <c r="J7009" s="35">
        <f t="shared" si="1390"/>
        <v>0</v>
      </c>
      <c r="K7009" s="36"/>
      <c r="L7009" s="36"/>
      <c r="M7009" s="36"/>
      <c r="N7009" s="36"/>
      <c r="O7009" s="36"/>
      <c r="P7009" s="36"/>
      <c r="Q7009" s="36"/>
      <c r="R7009" s="36"/>
      <c r="S7009" s="36"/>
      <c r="T7009" s="36"/>
      <c r="U7009" s="36"/>
      <c r="V7009" s="36"/>
      <c r="W7009" s="15">
        <f t="shared" si="1391"/>
        <v>0</v>
      </c>
      <c r="X7009" s="36"/>
      <c r="Y7009" s="36"/>
      <c r="Z7009" s="36"/>
      <c r="AA7009" s="36"/>
      <c r="AB7009" s="36"/>
      <c r="AC7009" s="36"/>
      <c r="AD7009" s="36"/>
      <c r="AE7009" s="36"/>
      <c r="AF7009" s="36"/>
      <c r="AG7009" s="36"/>
      <c r="AH7009" s="36"/>
      <c r="AI7009" s="36"/>
      <c r="AJ7009" s="15">
        <f t="shared" si="1392"/>
        <v>0</v>
      </c>
      <c r="AK7009" s="14"/>
      <c r="AL7009" s="14"/>
      <c r="AM7009" s="14"/>
      <c r="AN7009" s="14"/>
      <c r="AO7009" s="14"/>
      <c r="AP7009" s="14"/>
      <c r="AQ7009" s="14">
        <v>400</v>
      </c>
      <c r="AR7009" s="14"/>
      <c r="AS7009" s="14"/>
      <c r="AT7009" s="14"/>
      <c r="AU7009" s="14"/>
      <c r="AV7009" s="14"/>
      <c r="AW7009" s="15">
        <f t="shared" si="1393"/>
        <v>400</v>
      </c>
      <c r="AX7009" s="16"/>
    </row>
    <row r="7010" spans="2:50" x14ac:dyDescent="0.2">
      <c r="B7010" s="7"/>
      <c r="C7010" s="8">
        <v>17069</v>
      </c>
      <c r="D7010" s="9" t="s">
        <v>785</v>
      </c>
      <c r="E7010" s="10" t="str">
        <f t="shared" si="1388"/>
        <v>Rancho Estanzuela No. 61</v>
      </c>
      <c r="F7010" s="10" t="str">
        <f t="shared" si="1389"/>
        <v>González Almazán</v>
      </c>
      <c r="G7010" s="8">
        <v>1</v>
      </c>
      <c r="H7010" s="11">
        <v>200</v>
      </c>
      <c r="I7010" s="12">
        <v>43324</v>
      </c>
      <c r="J7010" s="35">
        <f t="shared" si="1390"/>
        <v>0</v>
      </c>
      <c r="K7010" s="36"/>
      <c r="L7010" s="36"/>
      <c r="M7010" s="36"/>
      <c r="N7010" s="36"/>
      <c r="O7010" s="36"/>
      <c r="P7010" s="36"/>
      <c r="Q7010" s="36"/>
      <c r="R7010" s="36"/>
      <c r="S7010" s="36"/>
      <c r="T7010" s="36"/>
      <c r="U7010" s="36"/>
      <c r="V7010" s="36"/>
      <c r="W7010" s="15">
        <f t="shared" si="1391"/>
        <v>0</v>
      </c>
      <c r="X7010" s="36"/>
      <c r="Y7010" s="36"/>
      <c r="Z7010" s="36"/>
      <c r="AA7010" s="36"/>
      <c r="AB7010" s="36"/>
      <c r="AC7010" s="36"/>
      <c r="AD7010" s="36"/>
      <c r="AE7010" s="36"/>
      <c r="AF7010" s="36"/>
      <c r="AG7010" s="36"/>
      <c r="AH7010" s="36"/>
      <c r="AI7010" s="36"/>
      <c r="AJ7010" s="15">
        <f t="shared" si="1392"/>
        <v>0</v>
      </c>
      <c r="AK7010" s="14"/>
      <c r="AL7010" s="14"/>
      <c r="AM7010" s="14"/>
      <c r="AN7010" s="14"/>
      <c r="AO7010" s="14"/>
      <c r="AP7010" s="14"/>
      <c r="AQ7010" s="14">
        <v>200</v>
      </c>
      <c r="AR7010" s="14"/>
      <c r="AS7010" s="14"/>
      <c r="AT7010" s="14"/>
      <c r="AU7010" s="14"/>
      <c r="AV7010" s="14"/>
      <c r="AW7010" s="15">
        <f t="shared" si="1393"/>
        <v>200</v>
      </c>
      <c r="AX7010" s="16"/>
    </row>
    <row r="7011" spans="2:50" x14ac:dyDescent="0.2">
      <c r="B7011" s="7"/>
      <c r="C7011" s="8">
        <v>17070</v>
      </c>
      <c r="D7011" s="9" t="s">
        <v>705</v>
      </c>
      <c r="E7011" s="10" t="str">
        <f t="shared" si="1388"/>
        <v>Rancho La Cuchilla No. 75</v>
      </c>
      <c r="F7011" s="10" t="str">
        <f t="shared" si="1389"/>
        <v>Sosa Lucio</v>
      </c>
      <c r="G7011" s="8">
        <v>3</v>
      </c>
      <c r="H7011" s="11">
        <v>400</v>
      </c>
      <c r="I7011" s="12">
        <v>43324</v>
      </c>
      <c r="J7011" s="35">
        <f t="shared" si="1390"/>
        <v>0</v>
      </c>
      <c r="K7011" s="36"/>
      <c r="L7011" s="36"/>
      <c r="M7011" s="36"/>
      <c r="N7011" s="36"/>
      <c r="O7011" s="36"/>
      <c r="P7011" s="36"/>
      <c r="Q7011" s="36"/>
      <c r="R7011" s="36"/>
      <c r="S7011" s="36"/>
      <c r="T7011" s="36"/>
      <c r="U7011" s="36"/>
      <c r="V7011" s="36"/>
      <c r="W7011" s="15">
        <f t="shared" si="1391"/>
        <v>0</v>
      </c>
      <c r="X7011" s="36"/>
      <c r="Y7011" s="36"/>
      <c r="Z7011" s="36"/>
      <c r="AA7011" s="36"/>
      <c r="AB7011" s="36"/>
      <c r="AC7011" s="36"/>
      <c r="AD7011" s="36"/>
      <c r="AE7011" s="36"/>
      <c r="AF7011" s="36"/>
      <c r="AG7011" s="36"/>
      <c r="AH7011" s="36"/>
      <c r="AI7011" s="36"/>
      <c r="AJ7011" s="15">
        <f t="shared" si="1392"/>
        <v>0</v>
      </c>
      <c r="AK7011" s="14"/>
      <c r="AL7011" s="14"/>
      <c r="AM7011" s="14"/>
      <c r="AN7011" s="14"/>
      <c r="AO7011" s="14"/>
      <c r="AP7011" s="14"/>
      <c r="AQ7011" s="14"/>
      <c r="AR7011" s="14"/>
      <c r="AS7011" s="14"/>
      <c r="AT7011" s="14"/>
      <c r="AU7011" s="14"/>
      <c r="AV7011" s="14"/>
      <c r="AW7011" s="15">
        <f t="shared" si="1393"/>
        <v>0</v>
      </c>
      <c r="AX7011" s="16" t="s">
        <v>5494</v>
      </c>
    </row>
    <row r="7012" spans="2:50" x14ac:dyDescent="0.2">
      <c r="B7012" s="7"/>
      <c r="C7012" s="8">
        <v>17071</v>
      </c>
      <c r="D7012" s="9" t="s">
        <v>681</v>
      </c>
      <c r="E7012" s="10" t="str">
        <f t="shared" si="1388"/>
        <v>Rancho Landero No. 87</v>
      </c>
      <c r="F7012" s="10" t="str">
        <f t="shared" si="1389"/>
        <v>Fey Lafferla</v>
      </c>
      <c r="G7012" s="8">
        <v>1</v>
      </c>
      <c r="H7012" s="11">
        <v>300</v>
      </c>
      <c r="I7012" s="12">
        <v>43324</v>
      </c>
      <c r="J7012" s="35">
        <f t="shared" si="1390"/>
        <v>0</v>
      </c>
      <c r="K7012" s="36"/>
      <c r="L7012" s="36"/>
      <c r="M7012" s="36"/>
      <c r="N7012" s="36"/>
      <c r="O7012" s="36"/>
      <c r="P7012" s="36"/>
      <c r="Q7012" s="36"/>
      <c r="R7012" s="36"/>
      <c r="S7012" s="36"/>
      <c r="T7012" s="36"/>
      <c r="U7012" s="36"/>
      <c r="V7012" s="36"/>
      <c r="W7012" s="15">
        <f t="shared" si="1391"/>
        <v>0</v>
      </c>
      <c r="X7012" s="36"/>
      <c r="Y7012" s="36"/>
      <c r="Z7012" s="36"/>
      <c r="AA7012" s="36"/>
      <c r="AB7012" s="36"/>
      <c r="AC7012" s="36"/>
      <c r="AD7012" s="36"/>
      <c r="AE7012" s="36"/>
      <c r="AF7012" s="36"/>
      <c r="AG7012" s="36"/>
      <c r="AH7012" s="36"/>
      <c r="AI7012" s="36"/>
      <c r="AJ7012" s="15">
        <f t="shared" si="1392"/>
        <v>0</v>
      </c>
      <c r="AK7012" s="14"/>
      <c r="AL7012" s="14"/>
      <c r="AM7012" s="14"/>
      <c r="AN7012" s="14"/>
      <c r="AO7012" s="14"/>
      <c r="AP7012" s="14"/>
      <c r="AQ7012" s="14">
        <v>300</v>
      </c>
      <c r="AR7012" s="14"/>
      <c r="AS7012" s="14"/>
      <c r="AT7012" s="14"/>
      <c r="AU7012" s="14"/>
      <c r="AV7012" s="14"/>
      <c r="AW7012" s="15">
        <f t="shared" si="1393"/>
        <v>300</v>
      </c>
      <c r="AX7012" s="16"/>
    </row>
    <row r="7013" spans="2:50" x14ac:dyDescent="0.2">
      <c r="B7013" s="7"/>
      <c r="C7013" s="8">
        <v>17071</v>
      </c>
      <c r="D7013" s="9" t="s">
        <v>681</v>
      </c>
      <c r="E7013" s="10" t="str">
        <f t="shared" si="1388"/>
        <v>Rancho Landero No. 87</v>
      </c>
      <c r="F7013" s="10" t="str">
        <f t="shared" si="1389"/>
        <v>Fey Lafferla</v>
      </c>
      <c r="G7013" s="8">
        <v>5</v>
      </c>
      <c r="H7013" s="11">
        <v>50</v>
      </c>
      <c r="I7013" s="12">
        <v>43324</v>
      </c>
      <c r="J7013" s="35">
        <f t="shared" si="1390"/>
        <v>0</v>
      </c>
      <c r="K7013" s="36"/>
      <c r="L7013" s="36"/>
      <c r="M7013" s="36"/>
      <c r="N7013" s="36"/>
      <c r="O7013" s="36"/>
      <c r="P7013" s="36"/>
      <c r="Q7013" s="36"/>
      <c r="R7013" s="36"/>
      <c r="S7013" s="36"/>
      <c r="T7013" s="36"/>
      <c r="U7013" s="36"/>
      <c r="V7013" s="36"/>
      <c r="W7013" s="15">
        <f t="shared" si="1391"/>
        <v>0</v>
      </c>
      <c r="X7013" s="36"/>
      <c r="Y7013" s="36"/>
      <c r="Z7013" s="36"/>
      <c r="AA7013" s="36"/>
      <c r="AB7013" s="36"/>
      <c r="AC7013" s="36"/>
      <c r="AD7013" s="36"/>
      <c r="AE7013" s="36"/>
      <c r="AF7013" s="36"/>
      <c r="AG7013" s="36"/>
      <c r="AH7013" s="36"/>
      <c r="AI7013" s="36"/>
      <c r="AJ7013" s="15">
        <f t="shared" si="1392"/>
        <v>0</v>
      </c>
      <c r="AK7013" s="14"/>
      <c r="AL7013" s="14"/>
      <c r="AM7013" s="14"/>
      <c r="AN7013" s="14"/>
      <c r="AO7013" s="14"/>
      <c r="AP7013" s="14"/>
      <c r="AQ7013" s="14"/>
      <c r="AR7013" s="14"/>
      <c r="AS7013" s="14"/>
      <c r="AT7013" s="14"/>
      <c r="AU7013" s="14"/>
      <c r="AV7013" s="14"/>
      <c r="AW7013" s="15">
        <f t="shared" si="1393"/>
        <v>0</v>
      </c>
      <c r="AX7013" s="16"/>
    </row>
    <row r="7014" spans="2:50" x14ac:dyDescent="0.2">
      <c r="B7014" s="7"/>
      <c r="C7014" s="8">
        <v>17072</v>
      </c>
      <c r="D7014" s="9" t="s">
        <v>1055</v>
      </c>
      <c r="E7014" s="10" t="str">
        <f t="shared" si="1388"/>
        <v>Rancho Estanzuela No. 119, 4</v>
      </c>
      <c r="F7014" s="10" t="str">
        <f t="shared" si="1389"/>
        <v>Pérez Martínez</v>
      </c>
      <c r="G7014" s="8">
        <v>1</v>
      </c>
      <c r="H7014" s="11">
        <v>600</v>
      </c>
      <c r="I7014" s="12">
        <v>43324</v>
      </c>
      <c r="J7014" s="35">
        <f t="shared" si="1390"/>
        <v>0</v>
      </c>
      <c r="K7014" s="36"/>
      <c r="L7014" s="36"/>
      <c r="M7014" s="36"/>
      <c r="N7014" s="36"/>
      <c r="O7014" s="36"/>
      <c r="P7014" s="36"/>
      <c r="Q7014" s="36"/>
      <c r="R7014" s="36"/>
      <c r="S7014" s="36"/>
      <c r="T7014" s="36"/>
      <c r="U7014" s="36"/>
      <c r="V7014" s="36"/>
      <c r="W7014" s="15">
        <f t="shared" si="1391"/>
        <v>0</v>
      </c>
      <c r="X7014" s="36"/>
      <c r="Y7014" s="36"/>
      <c r="Z7014" s="36"/>
      <c r="AA7014" s="36"/>
      <c r="AB7014" s="36"/>
      <c r="AC7014" s="36"/>
      <c r="AD7014" s="36"/>
      <c r="AE7014" s="36"/>
      <c r="AF7014" s="36"/>
      <c r="AG7014" s="36"/>
      <c r="AH7014" s="36"/>
      <c r="AI7014" s="36"/>
      <c r="AJ7014" s="15">
        <f t="shared" si="1392"/>
        <v>0</v>
      </c>
      <c r="AK7014" s="14"/>
      <c r="AL7014" s="14"/>
      <c r="AM7014" s="14"/>
      <c r="AN7014" s="14">
        <v>200</v>
      </c>
      <c r="AO7014" s="14">
        <v>200</v>
      </c>
      <c r="AP7014" s="14">
        <v>200</v>
      </c>
      <c r="AQ7014" s="14"/>
      <c r="AR7014" s="14"/>
      <c r="AS7014" s="14"/>
      <c r="AT7014" s="14"/>
      <c r="AU7014" s="14"/>
      <c r="AV7014" s="14"/>
      <c r="AW7014" s="15">
        <f t="shared" si="1393"/>
        <v>600</v>
      </c>
      <c r="AX7014" s="16"/>
    </row>
    <row r="7015" spans="2:50" x14ac:dyDescent="0.2">
      <c r="B7015" s="7"/>
      <c r="C7015" s="8">
        <v>17073</v>
      </c>
      <c r="D7015" s="9" t="s">
        <v>831</v>
      </c>
      <c r="E7015" s="10" t="str">
        <f t="shared" si="1388"/>
        <v>Rancho Upácuaro No. 80</v>
      </c>
      <c r="F7015" s="10" t="str">
        <f t="shared" si="1389"/>
        <v>De los Ríos</v>
      </c>
      <c r="G7015" s="8">
        <v>1</v>
      </c>
      <c r="H7015" s="11">
        <v>800</v>
      </c>
      <c r="I7015" s="12">
        <v>43324</v>
      </c>
      <c r="J7015" s="35">
        <f t="shared" si="1390"/>
        <v>0</v>
      </c>
      <c r="K7015" s="36"/>
      <c r="L7015" s="36"/>
      <c r="M7015" s="36"/>
      <c r="N7015" s="36"/>
      <c r="O7015" s="36"/>
      <c r="P7015" s="36"/>
      <c r="Q7015" s="36"/>
      <c r="R7015" s="36"/>
      <c r="S7015" s="36"/>
      <c r="T7015" s="36"/>
      <c r="U7015" s="36"/>
      <c r="V7015" s="36"/>
      <c r="W7015" s="15">
        <f t="shared" si="1391"/>
        <v>0</v>
      </c>
      <c r="X7015" s="36"/>
      <c r="Y7015" s="36"/>
      <c r="Z7015" s="36"/>
      <c r="AA7015" s="36"/>
      <c r="AB7015" s="36"/>
      <c r="AC7015" s="36"/>
      <c r="AD7015" s="36"/>
      <c r="AE7015" s="36"/>
      <c r="AF7015" s="36"/>
      <c r="AG7015" s="36"/>
      <c r="AH7015" s="36"/>
      <c r="AI7015" s="36"/>
      <c r="AJ7015" s="15">
        <f t="shared" si="1392"/>
        <v>0</v>
      </c>
      <c r="AK7015" s="14"/>
      <c r="AL7015" s="14"/>
      <c r="AM7015" s="14"/>
      <c r="AN7015" s="14"/>
      <c r="AO7015" s="14"/>
      <c r="AP7015" s="14"/>
      <c r="AQ7015" s="14">
        <v>400</v>
      </c>
      <c r="AR7015" s="14">
        <v>400</v>
      </c>
      <c r="AS7015" s="14"/>
      <c r="AT7015" s="14"/>
      <c r="AU7015" s="14"/>
      <c r="AV7015" s="14"/>
      <c r="AW7015" s="15">
        <f t="shared" si="1393"/>
        <v>800</v>
      </c>
      <c r="AX7015" s="16"/>
    </row>
    <row r="7016" spans="2:50" x14ac:dyDescent="0.2">
      <c r="B7016" s="7"/>
      <c r="C7016" s="8">
        <v>17074</v>
      </c>
      <c r="D7016" s="9" t="s">
        <v>509</v>
      </c>
      <c r="E7016" s="10" t="str">
        <f t="shared" si="1388"/>
        <v>Rancho La Cuchilla No. 77</v>
      </c>
      <c r="F7016" s="10" t="str">
        <f t="shared" si="1389"/>
        <v>Loperena</v>
      </c>
      <c r="G7016" s="8">
        <v>1</v>
      </c>
      <c r="H7016" s="11">
        <v>900</v>
      </c>
      <c r="I7016" s="12">
        <v>43324</v>
      </c>
      <c r="J7016" s="35">
        <f t="shared" si="1390"/>
        <v>0</v>
      </c>
      <c r="K7016" s="36"/>
      <c r="L7016" s="36"/>
      <c r="M7016" s="36"/>
      <c r="N7016" s="36"/>
      <c r="O7016" s="36"/>
      <c r="P7016" s="36"/>
      <c r="Q7016" s="36"/>
      <c r="R7016" s="36"/>
      <c r="S7016" s="36"/>
      <c r="T7016" s="36"/>
      <c r="U7016" s="36"/>
      <c r="V7016" s="36"/>
      <c r="W7016" s="15">
        <f t="shared" si="1391"/>
        <v>0</v>
      </c>
      <c r="X7016" s="36"/>
      <c r="Y7016" s="36"/>
      <c r="Z7016" s="36"/>
      <c r="AA7016" s="36"/>
      <c r="AB7016" s="36"/>
      <c r="AC7016" s="36"/>
      <c r="AD7016" s="36"/>
      <c r="AE7016" s="36"/>
      <c r="AF7016" s="36"/>
      <c r="AG7016" s="36"/>
      <c r="AH7016" s="36"/>
      <c r="AI7016" s="36"/>
      <c r="AJ7016" s="15">
        <f t="shared" si="1392"/>
        <v>0</v>
      </c>
      <c r="AK7016" s="14"/>
      <c r="AL7016" s="14"/>
      <c r="AM7016" s="14"/>
      <c r="AN7016" s="14"/>
      <c r="AO7016" s="14"/>
      <c r="AP7016" s="14">
        <v>300</v>
      </c>
      <c r="AQ7016" s="14">
        <v>300</v>
      </c>
      <c r="AR7016" s="14">
        <v>300</v>
      </c>
      <c r="AS7016" s="14"/>
      <c r="AT7016" s="14"/>
      <c r="AU7016" s="14"/>
      <c r="AV7016" s="14"/>
      <c r="AW7016" s="15">
        <f t="shared" si="1393"/>
        <v>900</v>
      </c>
      <c r="AX7016" s="16"/>
    </row>
    <row r="7017" spans="2:50" x14ac:dyDescent="0.2">
      <c r="B7017" s="7"/>
      <c r="C7017" s="8">
        <v>17075</v>
      </c>
      <c r="D7017" s="9" t="s">
        <v>223</v>
      </c>
      <c r="E7017" s="10" t="str">
        <f t="shared" si="1388"/>
        <v>Rancho Landero No. 26</v>
      </c>
      <c r="F7017" s="10" t="str">
        <f t="shared" si="1389"/>
        <v>Balderas Martínez</v>
      </c>
      <c r="G7017" s="8">
        <v>1</v>
      </c>
      <c r="H7017" s="11">
        <v>400</v>
      </c>
      <c r="I7017" s="12">
        <v>43324</v>
      </c>
      <c r="J7017" s="35">
        <f t="shared" si="1390"/>
        <v>0</v>
      </c>
      <c r="K7017" s="36"/>
      <c r="L7017" s="36"/>
      <c r="M7017" s="36"/>
      <c r="N7017" s="36"/>
      <c r="O7017" s="36"/>
      <c r="P7017" s="36"/>
      <c r="Q7017" s="36"/>
      <c r="R7017" s="36"/>
      <c r="S7017" s="36"/>
      <c r="T7017" s="36"/>
      <c r="U7017" s="36"/>
      <c r="V7017" s="36"/>
      <c r="W7017" s="15">
        <f t="shared" si="1391"/>
        <v>0</v>
      </c>
      <c r="X7017" s="36"/>
      <c r="Y7017" s="36"/>
      <c r="Z7017" s="36"/>
      <c r="AA7017" s="36"/>
      <c r="AB7017" s="36"/>
      <c r="AC7017" s="36"/>
      <c r="AD7017" s="36"/>
      <c r="AE7017" s="36"/>
      <c r="AF7017" s="36"/>
      <c r="AG7017" s="36"/>
      <c r="AH7017" s="36"/>
      <c r="AI7017" s="36"/>
      <c r="AJ7017" s="15">
        <f t="shared" si="1392"/>
        <v>0</v>
      </c>
      <c r="AK7017" s="14"/>
      <c r="AL7017" s="14"/>
      <c r="AM7017" s="14"/>
      <c r="AN7017" s="14">
        <v>200</v>
      </c>
      <c r="AO7017" s="14">
        <v>200</v>
      </c>
      <c r="AP7017" s="14"/>
      <c r="AQ7017" s="14"/>
      <c r="AR7017" s="14"/>
      <c r="AS7017" s="14"/>
      <c r="AT7017" s="14"/>
      <c r="AU7017" s="14"/>
      <c r="AV7017" s="14"/>
      <c r="AW7017" s="15">
        <f t="shared" si="1393"/>
        <v>400</v>
      </c>
      <c r="AX7017" s="16"/>
    </row>
    <row r="7018" spans="2:50" x14ac:dyDescent="0.2">
      <c r="B7018" s="7"/>
      <c r="C7018" s="8">
        <v>17076</v>
      </c>
      <c r="D7018" s="9" t="s">
        <v>48</v>
      </c>
      <c r="E7018" s="10" t="str">
        <f t="shared" ref="E7018:E7028" si="1394">IF(D7018=0,"",VLOOKUP(D7018,BASE,2,FALSE))</f>
        <v>Rancho La Cuchilla No. 110</v>
      </c>
      <c r="F7018" s="10" t="str">
        <f t="shared" ref="F7018:F7028" si="1395">IF(D7018=0,"",VLOOKUP(D7018,BASE,3,FALSE))</f>
        <v>Domínguez Canudas</v>
      </c>
      <c r="G7018" s="8">
        <v>1</v>
      </c>
      <c r="H7018" s="11">
        <v>800</v>
      </c>
      <c r="I7018" s="12">
        <v>43324</v>
      </c>
      <c r="J7018" s="35">
        <f t="shared" ref="J7018:J7028" si="1396">IF(G7018=1,SUM(W7018,AJ7018,AW7018,-H7018),0)</f>
        <v>0</v>
      </c>
      <c r="K7018" s="36"/>
      <c r="L7018" s="36"/>
      <c r="M7018" s="36"/>
      <c r="N7018" s="36"/>
      <c r="O7018" s="36"/>
      <c r="P7018" s="36"/>
      <c r="Q7018" s="36"/>
      <c r="R7018" s="36"/>
      <c r="S7018" s="36"/>
      <c r="T7018" s="36"/>
      <c r="U7018" s="36"/>
      <c r="V7018" s="36"/>
      <c r="W7018" s="15">
        <f t="shared" ref="W7018:W7028" si="1397">SUM(K7018:V7018)</f>
        <v>0</v>
      </c>
      <c r="X7018" s="36"/>
      <c r="Y7018" s="36"/>
      <c r="Z7018" s="36"/>
      <c r="AA7018" s="36"/>
      <c r="AB7018" s="36"/>
      <c r="AC7018" s="36"/>
      <c r="AD7018" s="36"/>
      <c r="AE7018" s="36"/>
      <c r="AF7018" s="36"/>
      <c r="AG7018" s="36"/>
      <c r="AH7018" s="36"/>
      <c r="AI7018" s="36"/>
      <c r="AJ7018" s="15">
        <f t="shared" ref="AJ7018:AJ7028" si="1398">SUM(X7018:AI7018)</f>
        <v>0</v>
      </c>
      <c r="AK7018" s="14"/>
      <c r="AL7018" s="14"/>
      <c r="AM7018" s="14"/>
      <c r="AN7018" s="14"/>
      <c r="AO7018" s="14"/>
      <c r="AP7018" s="14"/>
      <c r="AQ7018" s="14">
        <v>400</v>
      </c>
      <c r="AR7018" s="14">
        <v>400</v>
      </c>
      <c r="AS7018" s="14"/>
      <c r="AT7018" s="14"/>
      <c r="AU7018" s="14"/>
      <c r="AV7018" s="14"/>
      <c r="AW7018" s="15">
        <f t="shared" ref="AW7018:AW7028" si="1399">SUM(AK7018:AV7018)</f>
        <v>800</v>
      </c>
      <c r="AX7018" s="16"/>
    </row>
    <row r="7019" spans="2:50" x14ac:dyDescent="0.2">
      <c r="B7019" s="7"/>
      <c r="C7019" s="8">
        <v>17077</v>
      </c>
      <c r="D7019" s="9" t="s">
        <v>541</v>
      </c>
      <c r="E7019" s="10" t="str">
        <f t="shared" si="1394"/>
        <v>Rancho Estanzuela No. 103, B</v>
      </c>
      <c r="F7019" s="10" t="str">
        <f t="shared" si="1395"/>
        <v>Olivares Flores</v>
      </c>
      <c r="G7019" s="8">
        <v>1</v>
      </c>
      <c r="H7019" s="11">
        <v>800</v>
      </c>
      <c r="I7019" s="12">
        <v>43324</v>
      </c>
      <c r="J7019" s="35">
        <f t="shared" si="1396"/>
        <v>0</v>
      </c>
      <c r="K7019" s="36"/>
      <c r="L7019" s="36"/>
      <c r="M7019" s="36"/>
      <c r="N7019" s="36"/>
      <c r="O7019" s="36"/>
      <c r="P7019" s="36"/>
      <c r="Q7019" s="36"/>
      <c r="R7019" s="36"/>
      <c r="S7019" s="36"/>
      <c r="T7019" s="36"/>
      <c r="U7019" s="36"/>
      <c r="V7019" s="36"/>
      <c r="W7019" s="15">
        <f t="shared" si="1397"/>
        <v>0</v>
      </c>
      <c r="X7019" s="36"/>
      <c r="Y7019" s="36"/>
      <c r="Z7019" s="36"/>
      <c r="AA7019" s="36"/>
      <c r="AB7019" s="36"/>
      <c r="AC7019" s="36"/>
      <c r="AD7019" s="36"/>
      <c r="AE7019" s="36"/>
      <c r="AF7019" s="36"/>
      <c r="AG7019" s="36"/>
      <c r="AH7019" s="36"/>
      <c r="AI7019" s="36"/>
      <c r="AJ7019" s="15">
        <f t="shared" si="1398"/>
        <v>0</v>
      </c>
      <c r="AK7019" s="14"/>
      <c r="AL7019" s="14"/>
      <c r="AM7019" s="14"/>
      <c r="AN7019" s="14"/>
      <c r="AO7019" s="14"/>
      <c r="AP7019" s="14"/>
      <c r="AQ7019" s="14">
        <v>400</v>
      </c>
      <c r="AR7019" s="14">
        <v>400</v>
      </c>
      <c r="AS7019" s="14"/>
      <c r="AT7019" s="14"/>
      <c r="AU7019" s="14"/>
      <c r="AV7019" s="14"/>
      <c r="AW7019" s="15">
        <f t="shared" si="1399"/>
        <v>800</v>
      </c>
      <c r="AX7019" s="16"/>
    </row>
    <row r="7020" spans="2:50" x14ac:dyDescent="0.2">
      <c r="B7020" s="7"/>
      <c r="C7020" s="8">
        <v>17078</v>
      </c>
      <c r="D7020" s="9" t="s">
        <v>479</v>
      </c>
      <c r="E7020" s="10" t="str">
        <f t="shared" si="1394"/>
        <v>Rancho Zinamba No. 68</v>
      </c>
      <c r="F7020" s="10" t="str">
        <f t="shared" si="1395"/>
        <v>Rivera Villicaña</v>
      </c>
      <c r="G7020" s="8">
        <v>1</v>
      </c>
      <c r="H7020" s="11">
        <v>300</v>
      </c>
      <c r="I7020" s="12">
        <v>43324</v>
      </c>
      <c r="J7020" s="35">
        <f t="shared" si="1396"/>
        <v>0</v>
      </c>
      <c r="K7020" s="36"/>
      <c r="L7020" s="36"/>
      <c r="M7020" s="36"/>
      <c r="N7020" s="36"/>
      <c r="O7020" s="36"/>
      <c r="P7020" s="36"/>
      <c r="Q7020" s="36"/>
      <c r="R7020" s="36"/>
      <c r="S7020" s="36"/>
      <c r="T7020" s="36"/>
      <c r="U7020" s="36"/>
      <c r="V7020" s="36"/>
      <c r="W7020" s="15">
        <f t="shared" si="1397"/>
        <v>0</v>
      </c>
      <c r="X7020" s="36"/>
      <c r="Y7020" s="36"/>
      <c r="Z7020" s="36"/>
      <c r="AA7020" s="36"/>
      <c r="AB7020" s="36"/>
      <c r="AC7020" s="36"/>
      <c r="AD7020" s="36"/>
      <c r="AE7020" s="36"/>
      <c r="AF7020" s="36"/>
      <c r="AG7020" s="36"/>
      <c r="AH7020" s="36"/>
      <c r="AI7020" s="36"/>
      <c r="AJ7020" s="15">
        <f t="shared" si="1398"/>
        <v>0</v>
      </c>
      <c r="AK7020" s="14"/>
      <c r="AL7020" s="14"/>
      <c r="AM7020" s="14"/>
      <c r="AN7020" s="14"/>
      <c r="AO7020" s="14"/>
      <c r="AP7020" s="14"/>
      <c r="AQ7020" s="14"/>
      <c r="AR7020" s="14">
        <v>300</v>
      </c>
      <c r="AS7020" s="14"/>
      <c r="AT7020" s="14"/>
      <c r="AU7020" s="14"/>
      <c r="AV7020" s="14"/>
      <c r="AW7020" s="15">
        <f t="shared" si="1399"/>
        <v>300</v>
      </c>
      <c r="AX7020" s="16"/>
    </row>
    <row r="7021" spans="2:50" x14ac:dyDescent="0.2">
      <c r="B7021" s="7"/>
      <c r="C7021" s="8">
        <v>17079</v>
      </c>
      <c r="D7021" s="9" t="s">
        <v>1073</v>
      </c>
      <c r="E7021" s="10" t="str">
        <f t="shared" si="1394"/>
        <v>Rancho Upácuaro No. 96</v>
      </c>
      <c r="F7021" s="10" t="str">
        <f t="shared" si="1395"/>
        <v>Daza Gutiérrez</v>
      </c>
      <c r="G7021" s="8">
        <v>1</v>
      </c>
      <c r="H7021" s="11">
        <v>800</v>
      </c>
      <c r="I7021" s="12">
        <v>43324</v>
      </c>
      <c r="J7021" s="35">
        <f t="shared" si="1396"/>
        <v>0</v>
      </c>
      <c r="K7021" s="36"/>
      <c r="L7021" s="36"/>
      <c r="M7021" s="36"/>
      <c r="N7021" s="36"/>
      <c r="O7021" s="36"/>
      <c r="P7021" s="36"/>
      <c r="Q7021" s="36"/>
      <c r="R7021" s="36"/>
      <c r="S7021" s="36"/>
      <c r="T7021" s="36"/>
      <c r="U7021" s="36"/>
      <c r="V7021" s="36"/>
      <c r="W7021" s="15">
        <f t="shared" si="1397"/>
        <v>0</v>
      </c>
      <c r="X7021" s="36"/>
      <c r="Y7021" s="36"/>
      <c r="Z7021" s="36"/>
      <c r="AA7021" s="36"/>
      <c r="AB7021" s="36"/>
      <c r="AC7021" s="36"/>
      <c r="AD7021" s="36"/>
      <c r="AE7021" s="36"/>
      <c r="AF7021" s="36"/>
      <c r="AG7021" s="36"/>
      <c r="AH7021" s="36"/>
      <c r="AI7021" s="36"/>
      <c r="AJ7021" s="15">
        <f t="shared" si="1398"/>
        <v>0</v>
      </c>
      <c r="AK7021" s="14"/>
      <c r="AL7021" s="14"/>
      <c r="AM7021" s="14"/>
      <c r="AN7021" s="14"/>
      <c r="AO7021" s="14"/>
      <c r="AP7021" s="14"/>
      <c r="AQ7021" s="14">
        <v>400</v>
      </c>
      <c r="AR7021" s="14">
        <v>400</v>
      </c>
      <c r="AS7021" s="14"/>
      <c r="AT7021" s="14"/>
      <c r="AU7021" s="14"/>
      <c r="AV7021" s="14"/>
      <c r="AW7021" s="15">
        <f t="shared" si="1399"/>
        <v>800</v>
      </c>
      <c r="AX7021" s="16"/>
    </row>
    <row r="7022" spans="2:50" x14ac:dyDescent="0.2">
      <c r="B7022" s="7"/>
      <c r="C7022" s="8">
        <v>17080</v>
      </c>
      <c r="D7022" s="9" t="s">
        <v>165</v>
      </c>
      <c r="E7022" s="10" t="str">
        <f t="shared" si="1394"/>
        <v>Rancho Upácuaro No. 23</v>
      </c>
      <c r="F7022" s="10" t="str">
        <f t="shared" si="1395"/>
        <v>Gutièrrez Muñòz</v>
      </c>
      <c r="G7022" s="8">
        <v>1</v>
      </c>
      <c r="H7022" s="11">
        <v>1050</v>
      </c>
      <c r="I7022" s="12">
        <v>43324</v>
      </c>
      <c r="J7022" s="35">
        <f t="shared" si="1396"/>
        <v>0</v>
      </c>
      <c r="K7022" s="36"/>
      <c r="L7022" s="36"/>
      <c r="M7022" s="36"/>
      <c r="N7022" s="36"/>
      <c r="O7022" s="36"/>
      <c r="P7022" s="36"/>
      <c r="Q7022" s="36"/>
      <c r="R7022" s="36"/>
      <c r="S7022" s="36"/>
      <c r="T7022" s="36"/>
      <c r="U7022" s="36"/>
      <c r="V7022" s="36"/>
      <c r="W7022" s="15">
        <f t="shared" si="1397"/>
        <v>0</v>
      </c>
      <c r="X7022" s="36"/>
      <c r="Y7022" s="36"/>
      <c r="Z7022" s="36"/>
      <c r="AA7022" s="36"/>
      <c r="AB7022" s="36"/>
      <c r="AC7022" s="36"/>
      <c r="AD7022" s="36"/>
      <c r="AE7022" s="36"/>
      <c r="AF7022" s="36"/>
      <c r="AG7022" s="36"/>
      <c r="AH7022" s="36"/>
      <c r="AI7022" s="36"/>
      <c r="AJ7022" s="15">
        <f t="shared" si="1398"/>
        <v>0</v>
      </c>
      <c r="AK7022" s="14"/>
      <c r="AL7022" s="14"/>
      <c r="AM7022" s="14"/>
      <c r="AN7022" s="14"/>
      <c r="AO7022" s="14"/>
      <c r="AP7022" s="14"/>
      <c r="AQ7022" s="14">
        <v>350</v>
      </c>
      <c r="AR7022" s="14">
        <v>350</v>
      </c>
      <c r="AS7022" s="14">
        <v>350</v>
      </c>
      <c r="AT7022" s="14"/>
      <c r="AU7022" s="14"/>
      <c r="AV7022" s="14"/>
      <c r="AW7022" s="15">
        <f t="shared" si="1399"/>
        <v>1050</v>
      </c>
      <c r="AX7022" s="16"/>
    </row>
    <row r="7023" spans="2:50" x14ac:dyDescent="0.2">
      <c r="B7023" s="7"/>
      <c r="C7023" s="8">
        <v>17081</v>
      </c>
      <c r="D7023" s="9" t="s">
        <v>855</v>
      </c>
      <c r="E7023" s="10" t="str">
        <f t="shared" si="1394"/>
        <v>Rancho Upácuaro No. 99</v>
      </c>
      <c r="F7023" s="10" t="str">
        <f t="shared" si="1395"/>
        <v>Frías</v>
      </c>
      <c r="G7023" s="8">
        <v>5</v>
      </c>
      <c r="H7023" s="11">
        <v>50</v>
      </c>
      <c r="I7023" s="12">
        <v>43324</v>
      </c>
      <c r="J7023" s="35">
        <f t="shared" si="1396"/>
        <v>0</v>
      </c>
      <c r="K7023" s="36"/>
      <c r="L7023" s="36"/>
      <c r="M7023" s="36"/>
      <c r="N7023" s="36"/>
      <c r="O7023" s="36"/>
      <c r="P7023" s="36"/>
      <c r="Q7023" s="36"/>
      <c r="R7023" s="36"/>
      <c r="S7023" s="36"/>
      <c r="T7023" s="36"/>
      <c r="U7023" s="36"/>
      <c r="V7023" s="36"/>
      <c r="W7023" s="15">
        <f t="shared" si="1397"/>
        <v>0</v>
      </c>
      <c r="X7023" s="36"/>
      <c r="Y7023" s="36"/>
      <c r="Z7023" s="36"/>
      <c r="AA7023" s="36"/>
      <c r="AB7023" s="36"/>
      <c r="AC7023" s="36"/>
      <c r="AD7023" s="36"/>
      <c r="AE7023" s="36"/>
      <c r="AF7023" s="36"/>
      <c r="AG7023" s="36"/>
      <c r="AH7023" s="36"/>
      <c r="AI7023" s="36"/>
      <c r="AJ7023" s="15">
        <f t="shared" si="1398"/>
        <v>0</v>
      </c>
      <c r="AK7023" s="14"/>
      <c r="AL7023" s="14"/>
      <c r="AM7023" s="14"/>
      <c r="AN7023" s="14"/>
      <c r="AO7023" s="14"/>
      <c r="AP7023" s="14"/>
      <c r="AQ7023" s="14"/>
      <c r="AR7023" s="14"/>
      <c r="AS7023" s="14"/>
      <c r="AT7023" s="14"/>
      <c r="AU7023" s="14"/>
      <c r="AV7023" s="14"/>
      <c r="AW7023" s="15">
        <f t="shared" si="1399"/>
        <v>0</v>
      </c>
      <c r="AX7023" s="16"/>
    </row>
    <row r="7024" spans="2:50" x14ac:dyDescent="0.2">
      <c r="B7024" s="7"/>
      <c r="C7024" s="8">
        <v>17082</v>
      </c>
      <c r="D7024" s="9" t="s">
        <v>189</v>
      </c>
      <c r="E7024" s="10" t="str">
        <f t="shared" si="1394"/>
        <v>Rancho La Cuchilla No. 42</v>
      </c>
      <c r="F7024" s="10" t="str">
        <f t="shared" si="1395"/>
        <v>Mac Kinney</v>
      </c>
      <c r="G7024" s="8">
        <v>1</v>
      </c>
      <c r="H7024" s="11">
        <v>800</v>
      </c>
      <c r="I7024" s="12">
        <v>43324</v>
      </c>
      <c r="J7024" s="35">
        <f t="shared" si="1396"/>
        <v>0</v>
      </c>
      <c r="K7024" s="36"/>
      <c r="L7024" s="36"/>
      <c r="M7024" s="36"/>
      <c r="N7024" s="36"/>
      <c r="O7024" s="36"/>
      <c r="P7024" s="36"/>
      <c r="Q7024" s="36"/>
      <c r="R7024" s="36"/>
      <c r="S7024" s="36"/>
      <c r="T7024" s="36"/>
      <c r="U7024" s="36"/>
      <c r="V7024" s="36"/>
      <c r="W7024" s="15">
        <f t="shared" si="1397"/>
        <v>0</v>
      </c>
      <c r="X7024" s="36"/>
      <c r="Y7024" s="36"/>
      <c r="Z7024" s="36"/>
      <c r="AA7024" s="36"/>
      <c r="AB7024" s="36"/>
      <c r="AC7024" s="36"/>
      <c r="AD7024" s="36"/>
      <c r="AE7024" s="36"/>
      <c r="AF7024" s="36"/>
      <c r="AG7024" s="36"/>
      <c r="AH7024" s="36"/>
      <c r="AI7024" s="36"/>
      <c r="AJ7024" s="15">
        <f t="shared" si="1398"/>
        <v>0</v>
      </c>
      <c r="AK7024" s="14"/>
      <c r="AL7024" s="14"/>
      <c r="AM7024" s="14"/>
      <c r="AN7024" s="14">
        <v>400</v>
      </c>
      <c r="AO7024" s="14">
        <v>400</v>
      </c>
      <c r="AP7024" s="14"/>
      <c r="AQ7024" s="14"/>
      <c r="AR7024" s="14"/>
      <c r="AS7024" s="14"/>
      <c r="AT7024" s="14"/>
      <c r="AU7024" s="14"/>
      <c r="AV7024" s="14"/>
      <c r="AW7024" s="15">
        <f t="shared" si="1399"/>
        <v>800</v>
      </c>
      <c r="AX7024" s="16"/>
    </row>
    <row r="7025" spans="2:53" x14ac:dyDescent="0.2">
      <c r="B7025" s="7"/>
      <c r="C7025" s="8">
        <v>17083</v>
      </c>
      <c r="D7025" s="9"/>
      <c r="E7025" s="10" t="str">
        <f t="shared" si="1394"/>
        <v/>
      </c>
      <c r="F7025" s="10" t="str">
        <f t="shared" si="1395"/>
        <v/>
      </c>
      <c r="G7025" s="8">
        <v>8</v>
      </c>
      <c r="H7025" s="11"/>
      <c r="I7025" s="12"/>
      <c r="J7025" s="35">
        <f t="shared" si="1396"/>
        <v>0</v>
      </c>
      <c r="K7025" s="36"/>
      <c r="L7025" s="36"/>
      <c r="M7025" s="36"/>
      <c r="N7025" s="36"/>
      <c r="O7025" s="36"/>
      <c r="P7025" s="36"/>
      <c r="Q7025" s="36"/>
      <c r="R7025" s="36"/>
      <c r="S7025" s="36"/>
      <c r="T7025" s="36"/>
      <c r="U7025" s="36"/>
      <c r="V7025" s="36"/>
      <c r="W7025" s="15">
        <f t="shared" si="1397"/>
        <v>0</v>
      </c>
      <c r="X7025" s="36"/>
      <c r="Y7025" s="36"/>
      <c r="Z7025" s="36"/>
      <c r="AA7025" s="36"/>
      <c r="AB7025" s="36"/>
      <c r="AC7025" s="36"/>
      <c r="AD7025" s="36"/>
      <c r="AE7025" s="36"/>
      <c r="AF7025" s="36"/>
      <c r="AG7025" s="36"/>
      <c r="AH7025" s="36"/>
      <c r="AI7025" s="36"/>
      <c r="AJ7025" s="15">
        <f t="shared" si="1398"/>
        <v>0</v>
      </c>
      <c r="AK7025" s="14"/>
      <c r="AL7025" s="14"/>
      <c r="AM7025" s="14"/>
      <c r="AN7025" s="14"/>
      <c r="AO7025" s="14"/>
      <c r="AP7025" s="14"/>
      <c r="AQ7025" s="14"/>
      <c r="AR7025" s="14"/>
      <c r="AS7025" s="14"/>
      <c r="AT7025" s="14"/>
      <c r="AU7025" s="14"/>
      <c r="AV7025" s="14"/>
      <c r="AW7025" s="15">
        <f t="shared" si="1399"/>
        <v>0</v>
      </c>
      <c r="AX7025" s="16"/>
    </row>
    <row r="7026" spans="2:53" x14ac:dyDescent="0.2">
      <c r="B7026" s="7"/>
      <c r="C7026" s="8">
        <v>17084</v>
      </c>
      <c r="D7026" s="9" t="s">
        <v>395</v>
      </c>
      <c r="E7026" s="10" t="str">
        <f t="shared" si="1394"/>
        <v>Rancho Landero No. 7</v>
      </c>
      <c r="F7026" s="10" t="str">
        <f t="shared" si="1395"/>
        <v>Robles</v>
      </c>
      <c r="G7026" s="8">
        <v>1</v>
      </c>
      <c r="H7026" s="11">
        <v>200</v>
      </c>
      <c r="I7026" s="12">
        <v>43324</v>
      </c>
      <c r="J7026" s="35">
        <f t="shared" si="1396"/>
        <v>0</v>
      </c>
      <c r="K7026" s="36"/>
      <c r="L7026" s="36"/>
      <c r="M7026" s="36"/>
      <c r="N7026" s="36"/>
      <c r="O7026" s="36"/>
      <c r="P7026" s="36"/>
      <c r="Q7026" s="36"/>
      <c r="R7026" s="36"/>
      <c r="S7026" s="36"/>
      <c r="T7026" s="36"/>
      <c r="U7026" s="36"/>
      <c r="V7026" s="36"/>
      <c r="W7026" s="15">
        <f t="shared" si="1397"/>
        <v>0</v>
      </c>
      <c r="X7026" s="36"/>
      <c r="Y7026" s="36"/>
      <c r="Z7026" s="36"/>
      <c r="AA7026" s="36"/>
      <c r="AB7026" s="36"/>
      <c r="AC7026" s="36"/>
      <c r="AD7026" s="36"/>
      <c r="AE7026" s="36"/>
      <c r="AF7026" s="36"/>
      <c r="AG7026" s="36"/>
      <c r="AH7026" s="36"/>
      <c r="AI7026" s="36"/>
      <c r="AJ7026" s="15">
        <f t="shared" si="1398"/>
        <v>0</v>
      </c>
      <c r="AK7026" s="14"/>
      <c r="AL7026" s="14"/>
      <c r="AM7026" s="14"/>
      <c r="AN7026" s="14"/>
      <c r="AO7026" s="14"/>
      <c r="AP7026" s="14"/>
      <c r="AQ7026" s="14"/>
      <c r="AR7026" s="14">
        <v>200</v>
      </c>
      <c r="AS7026" s="14"/>
      <c r="AT7026" s="14"/>
      <c r="AU7026" s="14"/>
      <c r="AV7026" s="14"/>
      <c r="AW7026" s="15">
        <f t="shared" si="1399"/>
        <v>200</v>
      </c>
      <c r="AX7026" s="16"/>
    </row>
    <row r="7027" spans="2:53" x14ac:dyDescent="0.2">
      <c r="B7027" s="7"/>
      <c r="C7027" s="8">
        <v>17085</v>
      </c>
      <c r="D7027" s="9" t="s">
        <v>295</v>
      </c>
      <c r="E7027" s="10" t="str">
        <f t="shared" si="1394"/>
        <v>Rancho Landero No. 99</v>
      </c>
      <c r="F7027" s="10" t="str">
        <f t="shared" si="1395"/>
        <v>Rangel</v>
      </c>
      <c r="G7027" s="8">
        <v>1</v>
      </c>
      <c r="H7027" s="11">
        <v>300</v>
      </c>
      <c r="I7027" s="12">
        <v>43324</v>
      </c>
      <c r="J7027" s="35">
        <f t="shared" si="1396"/>
        <v>0</v>
      </c>
      <c r="K7027" s="36"/>
      <c r="L7027" s="36"/>
      <c r="M7027" s="36"/>
      <c r="N7027" s="36"/>
      <c r="O7027" s="36"/>
      <c r="P7027" s="36"/>
      <c r="Q7027" s="36"/>
      <c r="R7027" s="36"/>
      <c r="S7027" s="36"/>
      <c r="T7027" s="36"/>
      <c r="U7027" s="36"/>
      <c r="V7027" s="36"/>
      <c r="W7027" s="15">
        <f t="shared" si="1397"/>
        <v>0</v>
      </c>
      <c r="X7027" s="36"/>
      <c r="Y7027" s="36"/>
      <c r="Z7027" s="36"/>
      <c r="AA7027" s="36"/>
      <c r="AB7027" s="36"/>
      <c r="AC7027" s="36"/>
      <c r="AD7027" s="36"/>
      <c r="AE7027" s="36"/>
      <c r="AF7027" s="36"/>
      <c r="AG7027" s="36"/>
      <c r="AH7027" s="36"/>
      <c r="AI7027" s="36"/>
      <c r="AJ7027" s="15">
        <f t="shared" si="1398"/>
        <v>0</v>
      </c>
      <c r="AK7027" s="14"/>
      <c r="AL7027" s="14"/>
      <c r="AM7027" s="14"/>
      <c r="AN7027" s="14"/>
      <c r="AO7027" s="14">
        <v>300</v>
      </c>
      <c r="AP7027" s="14"/>
      <c r="AQ7027" s="14"/>
      <c r="AR7027" s="14"/>
      <c r="AS7027" s="14"/>
      <c r="AT7027" s="14"/>
      <c r="AU7027" s="14"/>
      <c r="AV7027" s="14"/>
      <c r="AW7027" s="15">
        <f t="shared" si="1399"/>
        <v>300</v>
      </c>
      <c r="AX7027" s="16"/>
    </row>
    <row r="7028" spans="2:53" x14ac:dyDescent="0.2">
      <c r="B7028" s="7"/>
      <c r="C7028" s="8">
        <v>17086</v>
      </c>
      <c r="D7028" s="9" t="s">
        <v>1032</v>
      </c>
      <c r="E7028" s="10" t="str">
        <f t="shared" si="1394"/>
        <v>Rancho Estanzuela No. 157, 1</v>
      </c>
      <c r="F7028" s="10" t="str">
        <f t="shared" si="1395"/>
        <v>Anzures</v>
      </c>
      <c r="G7028" s="8">
        <v>1</v>
      </c>
      <c r="H7028" s="11">
        <v>450</v>
      </c>
      <c r="I7028" s="12">
        <v>43324</v>
      </c>
      <c r="J7028" s="35">
        <f t="shared" si="1396"/>
        <v>0</v>
      </c>
      <c r="K7028" s="36"/>
      <c r="L7028" s="36"/>
      <c r="M7028" s="36"/>
      <c r="N7028" s="36"/>
      <c r="O7028" s="36"/>
      <c r="P7028" s="36"/>
      <c r="Q7028" s="36"/>
      <c r="R7028" s="36"/>
      <c r="S7028" s="36"/>
      <c r="T7028" s="36"/>
      <c r="U7028" s="36"/>
      <c r="V7028" s="36"/>
      <c r="W7028" s="15">
        <f t="shared" si="1397"/>
        <v>0</v>
      </c>
      <c r="X7028" s="36"/>
      <c r="Y7028" s="36"/>
      <c r="Z7028" s="36"/>
      <c r="AA7028" s="36"/>
      <c r="AB7028" s="36"/>
      <c r="AC7028" s="36"/>
      <c r="AD7028" s="36"/>
      <c r="AE7028" s="36"/>
      <c r="AF7028" s="36"/>
      <c r="AG7028" s="36"/>
      <c r="AH7028" s="36"/>
      <c r="AI7028" s="36"/>
      <c r="AJ7028" s="15">
        <f t="shared" si="1398"/>
        <v>0</v>
      </c>
      <c r="AK7028" s="14"/>
      <c r="AL7028" s="14"/>
      <c r="AM7028" s="14"/>
      <c r="AN7028" s="14">
        <v>150</v>
      </c>
      <c r="AO7028" s="14">
        <v>150</v>
      </c>
      <c r="AP7028" s="14">
        <v>150</v>
      </c>
      <c r="AQ7028" s="14"/>
      <c r="AR7028" s="14"/>
      <c r="AS7028" s="14"/>
      <c r="AT7028" s="14"/>
      <c r="AU7028" s="14"/>
      <c r="AV7028" s="14"/>
      <c r="AW7028" s="15">
        <f t="shared" si="1399"/>
        <v>450</v>
      </c>
      <c r="AX7028" s="16"/>
    </row>
    <row r="7029" spans="2:53" x14ac:dyDescent="0.2">
      <c r="B7029" s="7"/>
      <c r="C7029" s="8">
        <v>17087</v>
      </c>
      <c r="D7029" s="9" t="s">
        <v>929</v>
      </c>
      <c r="E7029" s="10" t="str">
        <f t="shared" si="1388"/>
        <v>Rancho Estanzuela No. 157, 3</v>
      </c>
      <c r="F7029" s="10" t="str">
        <f t="shared" si="1389"/>
        <v>Valdez</v>
      </c>
      <c r="G7029" s="8">
        <v>1</v>
      </c>
      <c r="H7029" s="11">
        <v>600</v>
      </c>
      <c r="I7029" s="12">
        <v>43324</v>
      </c>
      <c r="J7029" s="35">
        <f t="shared" si="1390"/>
        <v>0</v>
      </c>
      <c r="K7029" s="36"/>
      <c r="L7029" s="36"/>
      <c r="M7029" s="36"/>
      <c r="N7029" s="36"/>
      <c r="O7029" s="36"/>
      <c r="P7029" s="36"/>
      <c r="Q7029" s="36"/>
      <c r="R7029" s="36"/>
      <c r="S7029" s="36"/>
      <c r="T7029" s="36"/>
      <c r="U7029" s="36"/>
      <c r="V7029" s="36"/>
      <c r="W7029" s="15">
        <f t="shared" si="1391"/>
        <v>0</v>
      </c>
      <c r="X7029" s="36"/>
      <c r="Y7029" s="36"/>
      <c r="Z7029" s="36"/>
      <c r="AA7029" s="36"/>
      <c r="AB7029" s="36"/>
      <c r="AC7029" s="36"/>
      <c r="AD7029" s="36"/>
      <c r="AE7029" s="36"/>
      <c r="AF7029" s="36"/>
      <c r="AG7029" s="36"/>
      <c r="AH7029" s="36"/>
      <c r="AI7029" s="36"/>
      <c r="AJ7029" s="15">
        <f t="shared" si="1392"/>
        <v>0</v>
      </c>
      <c r="AK7029" s="14"/>
      <c r="AL7029" s="14"/>
      <c r="AM7029" s="14"/>
      <c r="AN7029" s="14">
        <v>150</v>
      </c>
      <c r="AO7029" s="14">
        <v>150</v>
      </c>
      <c r="AP7029" s="14">
        <v>150</v>
      </c>
      <c r="AQ7029" s="14">
        <v>150</v>
      </c>
      <c r="AR7029" s="14"/>
      <c r="AS7029" s="14"/>
      <c r="AT7029" s="14"/>
      <c r="AU7029" s="14"/>
      <c r="AV7029" s="14"/>
      <c r="AW7029" s="15">
        <f t="shared" si="1393"/>
        <v>600</v>
      </c>
      <c r="AX7029" s="16"/>
    </row>
    <row r="7030" spans="2:53" x14ac:dyDescent="0.2">
      <c r="B7030" s="7"/>
      <c r="C7030" s="8">
        <v>17088</v>
      </c>
      <c r="D7030" s="9" t="s">
        <v>310</v>
      </c>
      <c r="E7030" s="10" t="str">
        <f t="shared" si="1388"/>
        <v>Rancho Recoveco No. 181</v>
      </c>
      <c r="F7030" s="10" t="str">
        <f t="shared" si="1389"/>
        <v>Castillo</v>
      </c>
      <c r="G7030" s="8">
        <v>1</v>
      </c>
      <c r="H7030" s="11">
        <v>400</v>
      </c>
      <c r="I7030" s="12">
        <v>43324</v>
      </c>
      <c r="J7030" s="35">
        <f t="shared" si="1390"/>
        <v>0</v>
      </c>
      <c r="K7030" s="36"/>
      <c r="L7030" s="36"/>
      <c r="M7030" s="36"/>
      <c r="N7030" s="36"/>
      <c r="O7030" s="36"/>
      <c r="P7030" s="36"/>
      <c r="Q7030" s="36"/>
      <c r="R7030" s="36"/>
      <c r="S7030" s="36"/>
      <c r="T7030" s="36"/>
      <c r="U7030" s="36"/>
      <c r="V7030" s="36"/>
      <c r="W7030" s="15">
        <f t="shared" si="1391"/>
        <v>0</v>
      </c>
      <c r="X7030" s="36"/>
      <c r="Y7030" s="36"/>
      <c r="Z7030" s="36"/>
      <c r="AA7030" s="36"/>
      <c r="AB7030" s="36"/>
      <c r="AC7030" s="36"/>
      <c r="AD7030" s="36"/>
      <c r="AE7030" s="36"/>
      <c r="AF7030" s="36"/>
      <c r="AG7030" s="36"/>
      <c r="AH7030" s="36"/>
      <c r="AI7030" s="36"/>
      <c r="AJ7030" s="15">
        <f t="shared" si="1392"/>
        <v>0</v>
      </c>
      <c r="AK7030" s="14"/>
      <c r="AL7030" s="14"/>
      <c r="AM7030" s="14"/>
      <c r="AN7030" s="14"/>
      <c r="AO7030" s="14"/>
      <c r="AP7030" s="14"/>
      <c r="AQ7030" s="14"/>
      <c r="AR7030" s="14">
        <v>400</v>
      </c>
      <c r="AS7030" s="14"/>
      <c r="AT7030" s="14"/>
      <c r="AU7030" s="14"/>
      <c r="AV7030" s="14"/>
      <c r="AW7030" s="15">
        <f t="shared" si="1393"/>
        <v>400</v>
      </c>
      <c r="AX7030" s="316">
        <f>SUM(H6988:H7030)</f>
        <v>24950</v>
      </c>
      <c r="AY7030" s="112">
        <f>SUM(H6973:H7030)</f>
        <v>35250</v>
      </c>
      <c r="AZ7030">
        <v>-2300</v>
      </c>
      <c r="BA7030">
        <v>32950</v>
      </c>
    </row>
    <row r="7031" spans="2:53" x14ac:dyDescent="0.2">
      <c r="B7031" s="7"/>
      <c r="C7031" s="8">
        <v>17089</v>
      </c>
      <c r="D7031" s="9" t="s">
        <v>286</v>
      </c>
      <c r="E7031" s="10" t="str">
        <f t="shared" si="1388"/>
        <v>Rancho Zinamba No. 20</v>
      </c>
      <c r="F7031" s="10" t="str">
        <f t="shared" si="1389"/>
        <v>Cruz Vallejo</v>
      </c>
      <c r="G7031" s="8">
        <v>1</v>
      </c>
      <c r="H7031" s="315">
        <v>800</v>
      </c>
      <c r="I7031" s="12">
        <v>43331</v>
      </c>
      <c r="J7031" s="35">
        <f t="shared" si="1390"/>
        <v>0</v>
      </c>
      <c r="K7031" s="36"/>
      <c r="L7031" s="36"/>
      <c r="M7031" s="36"/>
      <c r="N7031" s="36"/>
      <c r="O7031" s="36"/>
      <c r="P7031" s="36"/>
      <c r="Q7031" s="36"/>
      <c r="R7031" s="36"/>
      <c r="S7031" s="36"/>
      <c r="T7031" s="36"/>
      <c r="U7031" s="36"/>
      <c r="V7031" s="36"/>
      <c r="W7031" s="15">
        <f t="shared" si="1391"/>
        <v>0</v>
      </c>
      <c r="X7031" s="36"/>
      <c r="Y7031" s="36"/>
      <c r="Z7031" s="36"/>
      <c r="AA7031" s="36"/>
      <c r="AB7031" s="36"/>
      <c r="AC7031" s="36"/>
      <c r="AD7031" s="36"/>
      <c r="AE7031" s="36"/>
      <c r="AF7031" s="36"/>
      <c r="AG7031" s="36"/>
      <c r="AH7031" s="36"/>
      <c r="AI7031" s="36"/>
      <c r="AJ7031" s="15">
        <f t="shared" si="1392"/>
        <v>0</v>
      </c>
      <c r="AK7031" s="14"/>
      <c r="AL7031" s="14"/>
      <c r="AM7031" s="14"/>
      <c r="AN7031" s="14"/>
      <c r="AO7031" s="14"/>
      <c r="AP7031" s="14"/>
      <c r="AQ7031" s="14"/>
      <c r="AR7031" s="14">
        <v>400</v>
      </c>
      <c r="AS7031" s="14">
        <v>400</v>
      </c>
      <c r="AT7031" s="14"/>
      <c r="AU7031" s="14"/>
      <c r="AV7031" s="14"/>
      <c r="AW7031" s="15">
        <f t="shared" si="1393"/>
        <v>800</v>
      </c>
      <c r="AX7031" s="16"/>
    </row>
    <row r="7032" spans="2:53" x14ac:dyDescent="0.2">
      <c r="B7032" s="7"/>
      <c r="C7032" s="8">
        <v>17090</v>
      </c>
      <c r="D7032" s="9" t="s">
        <v>828</v>
      </c>
      <c r="E7032" s="10" t="str">
        <f t="shared" si="1388"/>
        <v>Rancho Upácuaro No. 130</v>
      </c>
      <c r="F7032" s="10" t="str">
        <f t="shared" si="1389"/>
        <v>Rodríguez Álvarez</v>
      </c>
      <c r="G7032" s="8">
        <v>1</v>
      </c>
      <c r="H7032" s="11">
        <v>1000</v>
      </c>
      <c r="I7032" s="12">
        <v>43331</v>
      </c>
      <c r="J7032" s="35">
        <f t="shared" si="1390"/>
        <v>0</v>
      </c>
      <c r="K7032" s="36"/>
      <c r="L7032" s="36"/>
      <c r="M7032" s="36"/>
      <c r="N7032" s="36"/>
      <c r="O7032" s="36"/>
      <c r="P7032" s="36"/>
      <c r="Q7032" s="36"/>
      <c r="R7032" s="36"/>
      <c r="S7032" s="36"/>
      <c r="T7032" s="36"/>
      <c r="U7032" s="36"/>
      <c r="V7032" s="36"/>
      <c r="W7032" s="15">
        <f t="shared" si="1391"/>
        <v>0</v>
      </c>
      <c r="X7032" s="36"/>
      <c r="Y7032" s="36"/>
      <c r="Z7032" s="36"/>
      <c r="AA7032" s="36"/>
      <c r="AB7032" s="36"/>
      <c r="AC7032" s="36"/>
      <c r="AD7032" s="36"/>
      <c r="AE7032" s="36"/>
      <c r="AF7032" s="36"/>
      <c r="AG7032" s="36"/>
      <c r="AH7032" s="36"/>
      <c r="AI7032" s="36"/>
      <c r="AJ7032" s="15">
        <f t="shared" si="1392"/>
        <v>0</v>
      </c>
      <c r="AK7032" s="14"/>
      <c r="AL7032" s="14"/>
      <c r="AM7032" s="14"/>
      <c r="AN7032" s="14">
        <v>200</v>
      </c>
      <c r="AO7032" s="14">
        <v>200</v>
      </c>
      <c r="AP7032" s="14">
        <v>200</v>
      </c>
      <c r="AQ7032" s="14">
        <v>200</v>
      </c>
      <c r="AR7032" s="14">
        <v>200</v>
      </c>
      <c r="AS7032" s="14"/>
      <c r="AT7032" s="14"/>
      <c r="AU7032" s="14"/>
      <c r="AV7032" s="14"/>
      <c r="AW7032" s="15">
        <f t="shared" si="1393"/>
        <v>1000</v>
      </c>
      <c r="AX7032" s="16"/>
    </row>
    <row r="7033" spans="2:53" x14ac:dyDescent="0.2">
      <c r="B7033" s="7"/>
      <c r="C7033" s="8">
        <v>17091</v>
      </c>
      <c r="D7033" s="9" t="s">
        <v>455</v>
      </c>
      <c r="E7033" s="10" t="str">
        <f t="shared" si="1388"/>
        <v>Rancho Zinamba No. 38</v>
      </c>
      <c r="F7033" s="10" t="str">
        <f t="shared" si="1389"/>
        <v>Ramírez Díaz</v>
      </c>
      <c r="G7033" s="8">
        <v>1</v>
      </c>
      <c r="H7033" s="11">
        <v>400</v>
      </c>
      <c r="I7033" s="12">
        <v>43331</v>
      </c>
      <c r="J7033" s="35">
        <f t="shared" si="1390"/>
        <v>0</v>
      </c>
      <c r="K7033" s="36"/>
      <c r="L7033" s="36"/>
      <c r="M7033" s="36"/>
      <c r="N7033" s="36"/>
      <c r="O7033" s="36"/>
      <c r="P7033" s="36"/>
      <c r="Q7033" s="36"/>
      <c r="R7033" s="36"/>
      <c r="S7033" s="36"/>
      <c r="T7033" s="36"/>
      <c r="U7033" s="36"/>
      <c r="V7033" s="36"/>
      <c r="W7033" s="15">
        <f t="shared" si="1391"/>
        <v>0</v>
      </c>
      <c r="X7033" s="36"/>
      <c r="Y7033" s="36"/>
      <c r="Z7033" s="36"/>
      <c r="AA7033" s="36"/>
      <c r="AB7033" s="36"/>
      <c r="AC7033" s="36"/>
      <c r="AD7033" s="36"/>
      <c r="AE7033" s="36"/>
      <c r="AF7033" s="36"/>
      <c r="AG7033" s="36"/>
      <c r="AH7033" s="36"/>
      <c r="AI7033" s="36"/>
      <c r="AJ7033" s="15">
        <f t="shared" si="1392"/>
        <v>0</v>
      </c>
      <c r="AK7033" s="14"/>
      <c r="AL7033" s="14"/>
      <c r="AM7033" s="14"/>
      <c r="AN7033" s="14"/>
      <c r="AO7033" s="14"/>
      <c r="AP7033" s="14"/>
      <c r="AQ7033" s="14"/>
      <c r="AR7033" s="14">
        <v>400</v>
      </c>
      <c r="AS7033" s="14"/>
      <c r="AT7033" s="14"/>
      <c r="AU7033" s="14"/>
      <c r="AV7033" s="14"/>
      <c r="AW7033" s="15">
        <f t="shared" si="1393"/>
        <v>400</v>
      </c>
      <c r="AX7033" s="16"/>
    </row>
    <row r="7034" spans="2:53" x14ac:dyDescent="0.2">
      <c r="B7034" s="7"/>
      <c r="C7034" s="8">
        <v>17092</v>
      </c>
      <c r="D7034" s="9" t="s">
        <v>94</v>
      </c>
      <c r="E7034" s="10" t="str">
        <f t="shared" si="1388"/>
        <v>Rancho Landero No. 42</v>
      </c>
      <c r="F7034" s="10" t="str">
        <f t="shared" si="1389"/>
        <v>Ávila Fidel</v>
      </c>
      <c r="G7034" s="8">
        <v>1</v>
      </c>
      <c r="H7034" s="11">
        <v>400</v>
      </c>
      <c r="I7034" s="12">
        <v>43331</v>
      </c>
      <c r="J7034" s="35">
        <f t="shared" si="1390"/>
        <v>0</v>
      </c>
      <c r="K7034" s="36"/>
      <c r="L7034" s="36"/>
      <c r="M7034" s="36"/>
      <c r="N7034" s="36"/>
      <c r="O7034" s="36"/>
      <c r="P7034" s="36"/>
      <c r="Q7034" s="36"/>
      <c r="R7034" s="36"/>
      <c r="S7034" s="36"/>
      <c r="T7034" s="36"/>
      <c r="U7034" s="36"/>
      <c r="V7034" s="36"/>
      <c r="W7034" s="15">
        <f t="shared" si="1391"/>
        <v>0</v>
      </c>
      <c r="X7034" s="36"/>
      <c r="Y7034" s="36"/>
      <c r="Z7034" s="36"/>
      <c r="AA7034" s="36"/>
      <c r="AB7034" s="36"/>
      <c r="AC7034" s="36"/>
      <c r="AD7034" s="36"/>
      <c r="AE7034" s="36"/>
      <c r="AF7034" s="36"/>
      <c r="AG7034" s="36"/>
      <c r="AH7034" s="36"/>
      <c r="AI7034" s="36"/>
      <c r="AJ7034" s="15">
        <f t="shared" si="1392"/>
        <v>0</v>
      </c>
      <c r="AK7034" s="14"/>
      <c r="AL7034" s="14"/>
      <c r="AM7034" s="14"/>
      <c r="AN7034" s="14"/>
      <c r="AO7034" s="14"/>
      <c r="AP7034" s="14"/>
      <c r="AQ7034" s="14"/>
      <c r="AR7034" s="14">
        <v>400</v>
      </c>
      <c r="AS7034" s="14"/>
      <c r="AT7034" s="14"/>
      <c r="AU7034" s="14"/>
      <c r="AV7034" s="14"/>
      <c r="AW7034" s="15">
        <f t="shared" si="1393"/>
        <v>400</v>
      </c>
      <c r="AX7034" s="16"/>
    </row>
    <row r="7035" spans="2:53" x14ac:dyDescent="0.2">
      <c r="B7035" s="7"/>
      <c r="C7035" s="8">
        <v>17093</v>
      </c>
      <c r="D7035" s="9" t="s">
        <v>404</v>
      </c>
      <c r="E7035" s="10" t="str">
        <f t="shared" si="1388"/>
        <v>Rancho La Cuchilla No. 89</v>
      </c>
      <c r="F7035" s="10" t="str">
        <f t="shared" si="1389"/>
        <v>Gálvez</v>
      </c>
      <c r="G7035" s="8">
        <v>1</v>
      </c>
      <c r="H7035" s="11">
        <v>400</v>
      </c>
      <c r="I7035" s="12">
        <v>43696</v>
      </c>
      <c r="J7035" s="35">
        <f t="shared" si="1390"/>
        <v>0</v>
      </c>
      <c r="K7035" s="36"/>
      <c r="L7035" s="36"/>
      <c r="M7035" s="36"/>
      <c r="N7035" s="36"/>
      <c r="O7035" s="36"/>
      <c r="P7035" s="36"/>
      <c r="Q7035" s="36"/>
      <c r="R7035" s="36"/>
      <c r="S7035" s="36"/>
      <c r="T7035" s="36"/>
      <c r="U7035" s="36"/>
      <c r="V7035" s="36"/>
      <c r="W7035" s="15">
        <f t="shared" si="1391"/>
        <v>0</v>
      </c>
      <c r="X7035" s="36"/>
      <c r="Y7035" s="36"/>
      <c r="Z7035" s="36"/>
      <c r="AA7035" s="36"/>
      <c r="AB7035" s="36"/>
      <c r="AC7035" s="36"/>
      <c r="AD7035" s="36"/>
      <c r="AE7035" s="36"/>
      <c r="AF7035" s="36"/>
      <c r="AG7035" s="36"/>
      <c r="AH7035" s="36"/>
      <c r="AI7035" s="36"/>
      <c r="AJ7035" s="15">
        <f t="shared" si="1392"/>
        <v>0</v>
      </c>
      <c r="AK7035" s="14"/>
      <c r="AL7035" s="14"/>
      <c r="AM7035" s="14"/>
      <c r="AN7035" s="14"/>
      <c r="AO7035" s="14"/>
      <c r="AP7035" s="14"/>
      <c r="AQ7035" s="14"/>
      <c r="AR7035" s="14">
        <v>400</v>
      </c>
      <c r="AS7035" s="14"/>
      <c r="AT7035" s="14"/>
      <c r="AU7035" s="14"/>
      <c r="AV7035" s="14"/>
      <c r="AW7035" s="15">
        <f t="shared" si="1393"/>
        <v>400</v>
      </c>
      <c r="AX7035" s="16"/>
    </row>
    <row r="7036" spans="2:53" x14ac:dyDescent="0.2">
      <c r="B7036" s="7"/>
      <c r="C7036" s="8">
        <v>17094</v>
      </c>
      <c r="D7036" s="9" t="s">
        <v>205</v>
      </c>
      <c r="E7036" s="10" t="str">
        <f t="shared" si="1388"/>
        <v>Rancho Landero No. 1, A</v>
      </c>
      <c r="F7036" s="10" t="str">
        <f t="shared" si="1389"/>
        <v>Ebysos</v>
      </c>
      <c r="G7036" s="8">
        <v>5</v>
      </c>
      <c r="H7036" s="11">
        <v>50</v>
      </c>
      <c r="I7036" s="12">
        <v>43331</v>
      </c>
      <c r="J7036" s="35">
        <f t="shared" si="1390"/>
        <v>0</v>
      </c>
      <c r="K7036" s="36"/>
      <c r="L7036" s="36"/>
      <c r="M7036" s="36"/>
      <c r="N7036" s="36"/>
      <c r="O7036" s="36"/>
      <c r="P7036" s="36"/>
      <c r="Q7036" s="36"/>
      <c r="R7036" s="36"/>
      <c r="S7036" s="36"/>
      <c r="T7036" s="36"/>
      <c r="U7036" s="36"/>
      <c r="V7036" s="36"/>
      <c r="W7036" s="15">
        <f t="shared" si="1391"/>
        <v>0</v>
      </c>
      <c r="X7036" s="36"/>
      <c r="Y7036" s="36"/>
      <c r="Z7036" s="36"/>
      <c r="AA7036" s="36"/>
      <c r="AB7036" s="36"/>
      <c r="AC7036" s="36"/>
      <c r="AD7036" s="36"/>
      <c r="AE7036" s="36"/>
      <c r="AF7036" s="36"/>
      <c r="AG7036" s="36"/>
      <c r="AH7036" s="36"/>
      <c r="AI7036" s="36"/>
      <c r="AJ7036" s="15">
        <f t="shared" si="1392"/>
        <v>0</v>
      </c>
      <c r="AK7036" s="14"/>
      <c r="AL7036" s="14"/>
      <c r="AM7036" s="14"/>
      <c r="AN7036" s="14"/>
      <c r="AO7036" s="14"/>
      <c r="AP7036" s="14"/>
      <c r="AQ7036" s="14"/>
      <c r="AR7036" s="14"/>
      <c r="AS7036" s="14"/>
      <c r="AT7036" s="14"/>
      <c r="AU7036" s="14"/>
      <c r="AV7036" s="14"/>
      <c r="AW7036" s="15">
        <f t="shared" si="1393"/>
        <v>0</v>
      </c>
      <c r="AX7036" s="16"/>
    </row>
    <row r="7037" spans="2:53" x14ac:dyDescent="0.2">
      <c r="B7037" s="7"/>
      <c r="C7037" s="8">
        <v>17095</v>
      </c>
      <c r="D7037" s="9" t="s">
        <v>681</v>
      </c>
      <c r="E7037" s="10" t="str">
        <f t="shared" si="1388"/>
        <v>Rancho Landero No. 87</v>
      </c>
      <c r="F7037" s="10" t="str">
        <f t="shared" si="1389"/>
        <v>Fey Lafferla</v>
      </c>
      <c r="G7037" s="8">
        <v>1</v>
      </c>
      <c r="H7037" s="11">
        <v>300</v>
      </c>
      <c r="I7037" s="12">
        <v>43331</v>
      </c>
      <c r="J7037" s="35">
        <f t="shared" si="1390"/>
        <v>0</v>
      </c>
      <c r="K7037" s="36"/>
      <c r="L7037" s="36"/>
      <c r="M7037" s="36"/>
      <c r="N7037" s="36"/>
      <c r="O7037" s="36"/>
      <c r="P7037" s="36"/>
      <c r="Q7037" s="36"/>
      <c r="R7037" s="36"/>
      <c r="S7037" s="36"/>
      <c r="T7037" s="36"/>
      <c r="U7037" s="36"/>
      <c r="V7037" s="36"/>
      <c r="W7037" s="15">
        <f t="shared" si="1391"/>
        <v>0</v>
      </c>
      <c r="X7037" s="36"/>
      <c r="Y7037" s="36"/>
      <c r="Z7037" s="36"/>
      <c r="AA7037" s="36"/>
      <c r="AB7037" s="36"/>
      <c r="AC7037" s="36"/>
      <c r="AD7037" s="36"/>
      <c r="AE7037" s="36"/>
      <c r="AF7037" s="36"/>
      <c r="AG7037" s="36"/>
      <c r="AH7037" s="36"/>
      <c r="AI7037" s="36"/>
      <c r="AJ7037" s="15">
        <f t="shared" si="1392"/>
        <v>0</v>
      </c>
      <c r="AK7037" s="14"/>
      <c r="AL7037" s="14"/>
      <c r="AM7037" s="14"/>
      <c r="AN7037" s="14"/>
      <c r="AO7037" s="14"/>
      <c r="AP7037" s="14"/>
      <c r="AQ7037" s="14"/>
      <c r="AR7037" s="14">
        <v>300</v>
      </c>
      <c r="AS7037" s="14"/>
      <c r="AT7037" s="14"/>
      <c r="AU7037" s="14"/>
      <c r="AV7037" s="14"/>
      <c r="AW7037" s="15">
        <f t="shared" si="1393"/>
        <v>300</v>
      </c>
      <c r="AX7037" s="16"/>
    </row>
    <row r="7038" spans="2:53" x14ac:dyDescent="0.2">
      <c r="B7038" s="7"/>
      <c r="C7038" s="8">
        <v>17095</v>
      </c>
      <c r="D7038" s="9" t="s">
        <v>681</v>
      </c>
      <c r="E7038" s="10" t="str">
        <f t="shared" si="1388"/>
        <v>Rancho Landero No. 87</v>
      </c>
      <c r="F7038" s="10" t="str">
        <f t="shared" si="1389"/>
        <v>Fey Lafferla</v>
      </c>
      <c r="G7038" s="8">
        <v>4</v>
      </c>
      <c r="H7038" s="11">
        <v>200</v>
      </c>
      <c r="I7038" s="12">
        <v>43331</v>
      </c>
      <c r="J7038" s="35">
        <f t="shared" si="1390"/>
        <v>0</v>
      </c>
      <c r="K7038" s="36"/>
      <c r="L7038" s="36"/>
      <c r="M7038" s="36"/>
      <c r="N7038" s="36"/>
      <c r="O7038" s="36"/>
      <c r="P7038" s="36"/>
      <c r="Q7038" s="36"/>
      <c r="R7038" s="36"/>
      <c r="S7038" s="36"/>
      <c r="T7038" s="36"/>
      <c r="U7038" s="36"/>
      <c r="V7038" s="36"/>
      <c r="W7038" s="15">
        <f t="shared" si="1391"/>
        <v>0</v>
      </c>
      <c r="X7038" s="36"/>
      <c r="Y7038" s="36"/>
      <c r="Z7038" s="36"/>
      <c r="AA7038" s="36"/>
      <c r="AB7038" s="36"/>
      <c r="AC7038" s="36"/>
      <c r="AD7038" s="36"/>
      <c r="AE7038" s="36"/>
      <c r="AF7038" s="36"/>
      <c r="AG7038" s="36"/>
      <c r="AH7038" s="36"/>
      <c r="AI7038" s="36"/>
      <c r="AJ7038" s="15">
        <f t="shared" si="1392"/>
        <v>0</v>
      </c>
      <c r="AK7038" s="14"/>
      <c r="AL7038" s="14"/>
      <c r="AM7038" s="14"/>
      <c r="AN7038" s="14"/>
      <c r="AO7038" s="14"/>
      <c r="AP7038" s="14"/>
      <c r="AQ7038" s="14"/>
      <c r="AR7038" s="14"/>
      <c r="AS7038" s="14"/>
      <c r="AT7038" s="14"/>
      <c r="AU7038" s="14"/>
      <c r="AV7038" s="14"/>
      <c r="AW7038" s="15">
        <f t="shared" si="1393"/>
        <v>0</v>
      </c>
      <c r="AX7038" s="16" t="s">
        <v>5498</v>
      </c>
    </row>
    <row r="7039" spans="2:53" x14ac:dyDescent="0.2">
      <c r="B7039" s="7"/>
      <c r="C7039" s="8">
        <v>17096</v>
      </c>
      <c r="D7039" s="9" t="s">
        <v>574</v>
      </c>
      <c r="E7039" s="10" t="str">
        <f t="shared" si="1388"/>
        <v xml:space="preserve">Rancho Upácuaro No. 94 </v>
      </c>
      <c r="F7039" s="10" t="str">
        <f t="shared" si="1389"/>
        <v>Juárez Patiño</v>
      </c>
      <c r="G7039" s="8">
        <v>1</v>
      </c>
      <c r="H7039" s="11">
        <v>300</v>
      </c>
      <c r="I7039" s="12">
        <v>43331</v>
      </c>
      <c r="J7039" s="35">
        <f t="shared" si="1390"/>
        <v>0</v>
      </c>
      <c r="K7039" s="36"/>
      <c r="L7039" s="36"/>
      <c r="M7039" s="36"/>
      <c r="N7039" s="36"/>
      <c r="O7039" s="36"/>
      <c r="P7039" s="36"/>
      <c r="Q7039" s="36"/>
      <c r="R7039" s="36"/>
      <c r="S7039" s="36"/>
      <c r="T7039" s="36"/>
      <c r="U7039" s="36"/>
      <c r="V7039" s="36"/>
      <c r="W7039" s="15">
        <f t="shared" si="1391"/>
        <v>0</v>
      </c>
      <c r="X7039" s="36"/>
      <c r="Y7039" s="36"/>
      <c r="Z7039" s="36"/>
      <c r="AA7039" s="36"/>
      <c r="AB7039" s="36"/>
      <c r="AC7039" s="36"/>
      <c r="AD7039" s="36"/>
      <c r="AE7039" s="36"/>
      <c r="AF7039" s="36"/>
      <c r="AG7039" s="36"/>
      <c r="AH7039" s="36"/>
      <c r="AI7039" s="36"/>
      <c r="AJ7039" s="15">
        <f t="shared" si="1392"/>
        <v>0</v>
      </c>
      <c r="AK7039" s="14"/>
      <c r="AL7039" s="14"/>
      <c r="AM7039" s="14"/>
      <c r="AN7039" s="14"/>
      <c r="AO7039" s="14"/>
      <c r="AP7039" s="14"/>
      <c r="AQ7039" s="14"/>
      <c r="AR7039" s="14">
        <v>300</v>
      </c>
      <c r="AS7039" s="14"/>
      <c r="AT7039" s="14"/>
      <c r="AU7039" s="14"/>
      <c r="AV7039" s="14"/>
      <c r="AW7039" s="15">
        <f t="shared" si="1393"/>
        <v>300</v>
      </c>
      <c r="AX7039" s="16"/>
    </row>
    <row r="7040" spans="2:53" x14ac:dyDescent="0.2">
      <c r="B7040" s="7"/>
      <c r="C7040" s="8">
        <v>17097</v>
      </c>
      <c r="D7040" s="9"/>
      <c r="E7040" s="10" t="str">
        <f t="shared" si="1388"/>
        <v/>
      </c>
      <c r="F7040" s="10" t="str">
        <f t="shared" si="1389"/>
        <v/>
      </c>
      <c r="G7040" s="8">
        <v>8</v>
      </c>
      <c r="H7040" s="11"/>
      <c r="I7040" s="12"/>
      <c r="J7040" s="35">
        <f t="shared" si="1390"/>
        <v>0</v>
      </c>
      <c r="K7040" s="36"/>
      <c r="L7040" s="36"/>
      <c r="M7040" s="36"/>
      <c r="N7040" s="36"/>
      <c r="O7040" s="36"/>
      <c r="P7040" s="36"/>
      <c r="Q7040" s="36"/>
      <c r="R7040" s="36"/>
      <c r="S7040" s="36"/>
      <c r="T7040" s="36"/>
      <c r="U7040" s="36"/>
      <c r="V7040" s="36"/>
      <c r="W7040" s="15">
        <f t="shared" si="1391"/>
        <v>0</v>
      </c>
      <c r="X7040" s="36"/>
      <c r="Y7040" s="36"/>
      <c r="Z7040" s="36"/>
      <c r="AA7040" s="36"/>
      <c r="AB7040" s="36"/>
      <c r="AC7040" s="36"/>
      <c r="AD7040" s="36"/>
      <c r="AE7040" s="36"/>
      <c r="AF7040" s="36"/>
      <c r="AG7040" s="36"/>
      <c r="AH7040" s="36"/>
      <c r="AI7040" s="36"/>
      <c r="AJ7040" s="15">
        <f t="shared" si="1392"/>
        <v>0</v>
      </c>
      <c r="AK7040" s="14"/>
      <c r="AL7040" s="14"/>
      <c r="AM7040" s="14"/>
      <c r="AN7040" s="14"/>
      <c r="AO7040" s="14"/>
      <c r="AP7040" s="14"/>
      <c r="AQ7040" s="14"/>
      <c r="AR7040" s="14"/>
      <c r="AS7040" s="14"/>
      <c r="AT7040" s="14"/>
      <c r="AU7040" s="14"/>
      <c r="AV7040" s="14"/>
      <c r="AW7040" s="15">
        <f t="shared" si="1393"/>
        <v>0</v>
      </c>
      <c r="AX7040" s="16"/>
    </row>
    <row r="7041" spans="2:50" x14ac:dyDescent="0.2">
      <c r="B7041" s="7"/>
      <c r="C7041" s="8">
        <v>17098</v>
      </c>
      <c r="D7041" s="9" t="s">
        <v>437</v>
      </c>
      <c r="E7041" s="10" t="str">
        <f t="shared" si="1388"/>
        <v>Rancho Upácuaro No. 47</v>
      </c>
      <c r="F7041" s="10" t="str">
        <f t="shared" si="1389"/>
        <v>Flores Muñoz</v>
      </c>
      <c r="G7041" s="8">
        <v>1</v>
      </c>
      <c r="H7041" s="11">
        <v>800</v>
      </c>
      <c r="I7041" s="12">
        <v>43331</v>
      </c>
      <c r="J7041" s="35">
        <f t="shared" si="1390"/>
        <v>0</v>
      </c>
      <c r="K7041" s="36"/>
      <c r="L7041" s="36"/>
      <c r="M7041" s="36"/>
      <c r="N7041" s="36"/>
      <c r="O7041" s="36"/>
      <c r="P7041" s="36"/>
      <c r="Q7041" s="36"/>
      <c r="R7041" s="36"/>
      <c r="S7041" s="36"/>
      <c r="T7041" s="36"/>
      <c r="U7041" s="36"/>
      <c r="V7041" s="36"/>
      <c r="W7041" s="15">
        <f t="shared" si="1391"/>
        <v>0</v>
      </c>
      <c r="X7041" s="36"/>
      <c r="Y7041" s="36"/>
      <c r="Z7041" s="36"/>
      <c r="AA7041" s="36"/>
      <c r="AB7041" s="36"/>
      <c r="AC7041" s="36"/>
      <c r="AD7041" s="36"/>
      <c r="AE7041" s="36"/>
      <c r="AF7041" s="36"/>
      <c r="AG7041" s="36"/>
      <c r="AH7041" s="36"/>
      <c r="AI7041" s="36"/>
      <c r="AJ7041" s="15">
        <f t="shared" si="1392"/>
        <v>0</v>
      </c>
      <c r="AK7041" s="14"/>
      <c r="AL7041" s="14"/>
      <c r="AM7041" s="14"/>
      <c r="AN7041" s="14"/>
      <c r="AO7041" s="14"/>
      <c r="AP7041" s="14"/>
      <c r="AQ7041" s="14">
        <v>400</v>
      </c>
      <c r="AR7041" s="14">
        <v>400</v>
      </c>
      <c r="AS7041" s="14"/>
      <c r="AT7041" s="14"/>
      <c r="AU7041" s="14"/>
      <c r="AV7041" s="14"/>
      <c r="AW7041" s="15">
        <f t="shared" si="1393"/>
        <v>800</v>
      </c>
      <c r="AX7041" s="16"/>
    </row>
    <row r="7042" spans="2:50" x14ac:dyDescent="0.2">
      <c r="B7042" s="7"/>
      <c r="C7042" s="8">
        <v>17098</v>
      </c>
      <c r="D7042" s="9" t="s">
        <v>437</v>
      </c>
      <c r="E7042" s="10" t="str">
        <f t="shared" ref="E7042:E7053" si="1400">IF(D7042=0,"",VLOOKUP(D7042,BASE,2,FALSE))</f>
        <v>Rancho Upácuaro No. 47</v>
      </c>
      <c r="F7042" s="10" t="str">
        <f t="shared" ref="F7042:F7053" si="1401">IF(D7042=0,"",VLOOKUP(D7042,BASE,3,FALSE))</f>
        <v>Flores Muñoz</v>
      </c>
      <c r="G7042" s="8">
        <v>4</v>
      </c>
      <c r="H7042" s="11">
        <v>200</v>
      </c>
      <c r="I7042" s="12">
        <v>43331</v>
      </c>
      <c r="J7042" s="35">
        <f t="shared" ref="J7042:J7053" si="1402">IF(G7042=1,SUM(W7042,AJ7042,AW7042,-H7042),0)</f>
        <v>0</v>
      </c>
      <c r="K7042" s="36"/>
      <c r="L7042" s="36"/>
      <c r="M7042" s="36"/>
      <c r="N7042" s="36"/>
      <c r="O7042" s="36"/>
      <c r="P7042" s="36"/>
      <c r="Q7042" s="36"/>
      <c r="R7042" s="36"/>
      <c r="S7042" s="36"/>
      <c r="T7042" s="36"/>
      <c r="U7042" s="36"/>
      <c r="V7042" s="36"/>
      <c r="W7042" s="15">
        <f t="shared" ref="W7042:W7053" si="1403">SUM(K7042:V7042)</f>
        <v>0</v>
      </c>
      <c r="X7042" s="36"/>
      <c r="Y7042" s="36"/>
      <c r="Z7042" s="36"/>
      <c r="AA7042" s="36"/>
      <c r="AB7042" s="36"/>
      <c r="AC7042" s="36"/>
      <c r="AD7042" s="36"/>
      <c r="AE7042" s="36"/>
      <c r="AF7042" s="36"/>
      <c r="AG7042" s="36"/>
      <c r="AH7042" s="36"/>
      <c r="AI7042" s="36"/>
      <c r="AJ7042" s="15">
        <f t="shared" ref="AJ7042:AJ7053" si="1404">SUM(X7042:AI7042)</f>
        <v>0</v>
      </c>
      <c r="AK7042" s="14"/>
      <c r="AL7042" s="14"/>
      <c r="AM7042" s="14"/>
      <c r="AN7042" s="14"/>
      <c r="AO7042" s="14"/>
      <c r="AP7042" s="14"/>
      <c r="AQ7042" s="14"/>
      <c r="AR7042" s="14"/>
      <c r="AS7042" s="14"/>
      <c r="AT7042" s="14"/>
      <c r="AU7042" s="14"/>
      <c r="AV7042" s="14"/>
      <c r="AW7042" s="15">
        <f t="shared" ref="AW7042:AW7053" si="1405">SUM(AK7042:AV7042)</f>
        <v>0</v>
      </c>
      <c r="AX7042" s="16" t="s">
        <v>5499</v>
      </c>
    </row>
    <row r="7043" spans="2:50" x14ac:dyDescent="0.2">
      <c r="B7043" s="7"/>
      <c r="C7043" s="8">
        <v>17099</v>
      </c>
      <c r="D7043" s="9" t="s">
        <v>437</v>
      </c>
      <c r="E7043" s="10" t="str">
        <f t="shared" si="1400"/>
        <v>Rancho Upácuaro No. 47</v>
      </c>
      <c r="F7043" s="10" t="str">
        <f t="shared" si="1401"/>
        <v>Flores Muñoz</v>
      </c>
      <c r="G7043" s="8">
        <v>4</v>
      </c>
      <c r="H7043" s="11">
        <v>200</v>
      </c>
      <c r="I7043" s="12">
        <v>43331</v>
      </c>
      <c r="J7043" s="35">
        <f t="shared" si="1402"/>
        <v>0</v>
      </c>
      <c r="K7043" s="36"/>
      <c r="L7043" s="36"/>
      <c r="M7043" s="36"/>
      <c r="N7043" s="36"/>
      <c r="O7043" s="36"/>
      <c r="P7043" s="36"/>
      <c r="Q7043" s="36"/>
      <c r="R7043" s="36"/>
      <c r="S7043" s="36"/>
      <c r="T7043" s="36"/>
      <c r="U7043" s="36"/>
      <c r="V7043" s="36"/>
      <c r="W7043" s="15">
        <f t="shared" si="1403"/>
        <v>0</v>
      </c>
      <c r="X7043" s="36"/>
      <c r="Y7043" s="36"/>
      <c r="Z7043" s="36"/>
      <c r="AA7043" s="36"/>
      <c r="AB7043" s="36"/>
      <c r="AC7043" s="36"/>
      <c r="AD7043" s="36"/>
      <c r="AE7043" s="36"/>
      <c r="AF7043" s="36"/>
      <c r="AG7043" s="36"/>
      <c r="AH7043" s="36"/>
      <c r="AI7043" s="36"/>
      <c r="AJ7043" s="15">
        <f t="shared" si="1404"/>
        <v>0</v>
      </c>
      <c r="AK7043" s="14"/>
      <c r="AL7043" s="14"/>
      <c r="AM7043" s="14"/>
      <c r="AN7043" s="14"/>
      <c r="AO7043" s="14"/>
      <c r="AP7043" s="14"/>
      <c r="AQ7043" s="14"/>
      <c r="AR7043" s="14"/>
      <c r="AS7043" s="14"/>
      <c r="AT7043" s="14"/>
      <c r="AU7043" s="14"/>
      <c r="AV7043" s="14"/>
      <c r="AW7043" s="15">
        <f t="shared" si="1405"/>
        <v>0</v>
      </c>
      <c r="AX7043" s="16" t="s">
        <v>5500</v>
      </c>
    </row>
    <row r="7044" spans="2:50" x14ac:dyDescent="0.2">
      <c r="B7044" s="7"/>
      <c r="C7044" s="8">
        <v>17100</v>
      </c>
      <c r="D7044" s="9" t="s">
        <v>766</v>
      </c>
      <c r="E7044" s="10" t="str">
        <f t="shared" si="1400"/>
        <v>Rancho Landero No. 88</v>
      </c>
      <c r="F7044" s="10" t="str">
        <f t="shared" si="1401"/>
        <v>Torres Raúl</v>
      </c>
      <c r="G7044" s="8">
        <v>1</v>
      </c>
      <c r="H7044" s="11">
        <v>2000</v>
      </c>
      <c r="I7044" s="12">
        <v>43331</v>
      </c>
      <c r="J7044" s="35">
        <f t="shared" si="1402"/>
        <v>0</v>
      </c>
      <c r="K7044" s="36"/>
      <c r="L7044" s="36"/>
      <c r="M7044" s="36"/>
      <c r="N7044" s="36"/>
      <c r="O7044" s="36"/>
      <c r="P7044" s="36"/>
      <c r="Q7044" s="36"/>
      <c r="R7044" s="36"/>
      <c r="S7044" s="36"/>
      <c r="T7044" s="36"/>
      <c r="U7044" s="36"/>
      <c r="V7044" s="36"/>
      <c r="W7044" s="15">
        <f t="shared" si="1403"/>
        <v>0</v>
      </c>
      <c r="X7044" s="36"/>
      <c r="Y7044" s="36"/>
      <c r="Z7044" s="36"/>
      <c r="AA7044" s="36"/>
      <c r="AB7044" s="36"/>
      <c r="AC7044" s="36"/>
      <c r="AD7044" s="36"/>
      <c r="AE7044" s="36"/>
      <c r="AF7044" s="36"/>
      <c r="AG7044" s="36"/>
      <c r="AH7044" s="36"/>
      <c r="AI7044" s="36"/>
      <c r="AJ7044" s="15">
        <f t="shared" si="1404"/>
        <v>0</v>
      </c>
      <c r="AK7044" s="14"/>
      <c r="AL7044" s="14"/>
      <c r="AM7044" s="14"/>
      <c r="AN7044" s="14">
        <v>400</v>
      </c>
      <c r="AO7044" s="14">
        <v>400</v>
      </c>
      <c r="AP7044" s="14">
        <v>400</v>
      </c>
      <c r="AQ7044" s="14">
        <v>400</v>
      </c>
      <c r="AR7044" s="14">
        <v>400</v>
      </c>
      <c r="AS7044" s="14"/>
      <c r="AT7044" s="14"/>
      <c r="AU7044" s="14"/>
      <c r="AV7044" s="14"/>
      <c r="AW7044" s="15">
        <f t="shared" si="1405"/>
        <v>2000</v>
      </c>
      <c r="AX7044" s="16"/>
    </row>
    <row r="7045" spans="2:50" x14ac:dyDescent="0.2">
      <c r="B7045" s="7"/>
      <c r="C7045" s="8">
        <v>17101</v>
      </c>
      <c r="D7045" s="9" t="s">
        <v>159</v>
      </c>
      <c r="E7045" s="10" t="str">
        <f t="shared" si="1400"/>
        <v>Rancho Zinamba No. 24</v>
      </c>
      <c r="F7045" s="10" t="str">
        <f t="shared" si="1401"/>
        <v>Monroy García</v>
      </c>
      <c r="G7045" s="8">
        <v>1</v>
      </c>
      <c r="H7045" s="11">
        <v>400</v>
      </c>
      <c r="I7045" s="12">
        <v>43331</v>
      </c>
      <c r="J7045" s="35">
        <f t="shared" si="1402"/>
        <v>0</v>
      </c>
      <c r="K7045" s="36"/>
      <c r="L7045" s="36"/>
      <c r="M7045" s="36"/>
      <c r="N7045" s="36"/>
      <c r="O7045" s="36"/>
      <c r="P7045" s="36"/>
      <c r="Q7045" s="36"/>
      <c r="R7045" s="36"/>
      <c r="S7045" s="36"/>
      <c r="T7045" s="36"/>
      <c r="U7045" s="36"/>
      <c r="V7045" s="36"/>
      <c r="W7045" s="15">
        <f t="shared" si="1403"/>
        <v>0</v>
      </c>
      <c r="X7045" s="36"/>
      <c r="Y7045" s="36"/>
      <c r="Z7045" s="36"/>
      <c r="AA7045" s="36"/>
      <c r="AB7045" s="36"/>
      <c r="AC7045" s="36"/>
      <c r="AD7045" s="36"/>
      <c r="AE7045" s="36"/>
      <c r="AF7045" s="36"/>
      <c r="AG7045" s="36"/>
      <c r="AH7045" s="36"/>
      <c r="AI7045" s="36"/>
      <c r="AJ7045" s="15">
        <f t="shared" si="1404"/>
        <v>0</v>
      </c>
      <c r="AK7045" s="14"/>
      <c r="AL7045" s="14"/>
      <c r="AM7045" s="14"/>
      <c r="AN7045" s="14"/>
      <c r="AO7045" s="14"/>
      <c r="AP7045" s="14"/>
      <c r="AQ7045" s="14"/>
      <c r="AR7045" s="14">
        <v>400</v>
      </c>
      <c r="AS7045" s="14"/>
      <c r="AT7045" s="14"/>
      <c r="AU7045" s="14"/>
      <c r="AV7045" s="14"/>
      <c r="AW7045" s="15">
        <f t="shared" si="1405"/>
        <v>400</v>
      </c>
      <c r="AX7045" s="16"/>
    </row>
    <row r="7046" spans="2:50" x14ac:dyDescent="0.2">
      <c r="B7046" s="7"/>
      <c r="C7046" s="8">
        <v>17102</v>
      </c>
      <c r="D7046" s="9" t="s">
        <v>1260</v>
      </c>
      <c r="E7046" s="10" t="str">
        <f t="shared" si="1400"/>
        <v>Rancho La Cuchilla No. 11</v>
      </c>
      <c r="F7046" s="10" t="str">
        <f t="shared" si="1401"/>
        <v>Santiago</v>
      </c>
      <c r="G7046" s="8">
        <v>3</v>
      </c>
      <c r="H7046" s="11">
        <v>200</v>
      </c>
      <c r="I7046" s="12">
        <v>43331</v>
      </c>
      <c r="J7046" s="35">
        <f t="shared" si="1402"/>
        <v>0</v>
      </c>
      <c r="K7046" s="36"/>
      <c r="L7046" s="36"/>
      <c r="M7046" s="36"/>
      <c r="N7046" s="36"/>
      <c r="O7046" s="36"/>
      <c r="P7046" s="36"/>
      <c r="Q7046" s="36"/>
      <c r="R7046" s="36"/>
      <c r="S7046" s="36"/>
      <c r="T7046" s="36"/>
      <c r="U7046" s="36"/>
      <c r="V7046" s="36"/>
      <c r="W7046" s="15">
        <f t="shared" si="1403"/>
        <v>0</v>
      </c>
      <c r="X7046" s="36"/>
      <c r="Y7046" s="36"/>
      <c r="Z7046" s="36"/>
      <c r="AA7046" s="36"/>
      <c r="AB7046" s="36"/>
      <c r="AC7046" s="36"/>
      <c r="AD7046" s="36"/>
      <c r="AE7046" s="36"/>
      <c r="AF7046" s="36"/>
      <c r="AG7046" s="36"/>
      <c r="AH7046" s="36"/>
      <c r="AI7046" s="36"/>
      <c r="AJ7046" s="15">
        <f t="shared" si="1404"/>
        <v>0</v>
      </c>
      <c r="AK7046" s="14"/>
      <c r="AL7046" s="14"/>
      <c r="AM7046" s="14"/>
      <c r="AN7046" s="14"/>
      <c r="AO7046" s="14"/>
      <c r="AP7046" s="14"/>
      <c r="AQ7046" s="14"/>
      <c r="AR7046" s="14"/>
      <c r="AS7046" s="14"/>
      <c r="AT7046" s="14"/>
      <c r="AU7046" s="14"/>
      <c r="AV7046" s="14"/>
      <c r="AW7046" s="15">
        <f t="shared" si="1405"/>
        <v>0</v>
      </c>
      <c r="AX7046" s="16"/>
    </row>
    <row r="7047" spans="2:50" x14ac:dyDescent="0.2">
      <c r="B7047" s="7"/>
      <c r="C7047" s="8">
        <v>17103</v>
      </c>
      <c r="D7047" s="9" t="s">
        <v>387</v>
      </c>
      <c r="E7047" s="10" t="str">
        <f t="shared" si="1400"/>
        <v>Rancho Upácuaro No. 69</v>
      </c>
      <c r="F7047" s="10" t="str">
        <f t="shared" si="1401"/>
        <v>Gómez</v>
      </c>
      <c r="G7047" s="8">
        <v>1</v>
      </c>
      <c r="H7047" s="11">
        <v>400</v>
      </c>
      <c r="I7047" s="12">
        <v>43331</v>
      </c>
      <c r="J7047" s="35">
        <f t="shared" si="1402"/>
        <v>0</v>
      </c>
      <c r="K7047" s="36"/>
      <c r="L7047" s="36"/>
      <c r="M7047" s="36"/>
      <c r="N7047" s="36"/>
      <c r="O7047" s="36"/>
      <c r="P7047" s="36"/>
      <c r="Q7047" s="36"/>
      <c r="R7047" s="36"/>
      <c r="S7047" s="36"/>
      <c r="T7047" s="36"/>
      <c r="U7047" s="36"/>
      <c r="V7047" s="36"/>
      <c r="W7047" s="15">
        <f t="shared" si="1403"/>
        <v>0</v>
      </c>
      <c r="X7047" s="36"/>
      <c r="Y7047" s="36"/>
      <c r="Z7047" s="36"/>
      <c r="AA7047" s="36"/>
      <c r="AB7047" s="36"/>
      <c r="AC7047" s="36"/>
      <c r="AD7047" s="36"/>
      <c r="AE7047" s="36"/>
      <c r="AF7047" s="36"/>
      <c r="AG7047" s="36"/>
      <c r="AH7047" s="36"/>
      <c r="AI7047" s="36"/>
      <c r="AJ7047" s="15">
        <f t="shared" si="1404"/>
        <v>0</v>
      </c>
      <c r="AK7047" s="14"/>
      <c r="AL7047" s="14"/>
      <c r="AM7047" s="14"/>
      <c r="AN7047" s="14"/>
      <c r="AO7047" s="14"/>
      <c r="AP7047" s="14"/>
      <c r="AQ7047" s="14"/>
      <c r="AR7047" s="14">
        <v>400</v>
      </c>
      <c r="AS7047" s="14"/>
      <c r="AT7047" s="14"/>
      <c r="AU7047" s="14"/>
      <c r="AV7047" s="14"/>
      <c r="AW7047" s="15">
        <f t="shared" si="1405"/>
        <v>400</v>
      </c>
      <c r="AX7047" s="16"/>
    </row>
    <row r="7048" spans="2:50" x14ac:dyDescent="0.2">
      <c r="B7048" s="7"/>
      <c r="C7048" s="8">
        <v>17104</v>
      </c>
      <c r="D7048" s="9" t="s">
        <v>268</v>
      </c>
      <c r="E7048" s="10" t="str">
        <f t="shared" si="1400"/>
        <v>Rancho Landero No. 90</v>
      </c>
      <c r="F7048" s="10" t="str">
        <f t="shared" si="1401"/>
        <v>Córdova Reséndiz</v>
      </c>
      <c r="G7048" s="8">
        <v>1</v>
      </c>
      <c r="H7048" s="11">
        <v>300</v>
      </c>
      <c r="I7048" s="12">
        <v>43331</v>
      </c>
      <c r="J7048" s="35">
        <f t="shared" si="1402"/>
        <v>0</v>
      </c>
      <c r="K7048" s="36"/>
      <c r="L7048" s="36"/>
      <c r="M7048" s="36"/>
      <c r="N7048" s="36"/>
      <c r="O7048" s="36"/>
      <c r="P7048" s="36"/>
      <c r="Q7048" s="36"/>
      <c r="R7048" s="36"/>
      <c r="S7048" s="36"/>
      <c r="T7048" s="36"/>
      <c r="U7048" s="36"/>
      <c r="V7048" s="36"/>
      <c r="W7048" s="15">
        <f t="shared" si="1403"/>
        <v>0</v>
      </c>
      <c r="X7048" s="36"/>
      <c r="Y7048" s="36"/>
      <c r="Z7048" s="36"/>
      <c r="AA7048" s="36"/>
      <c r="AB7048" s="36"/>
      <c r="AC7048" s="36"/>
      <c r="AD7048" s="36"/>
      <c r="AE7048" s="36"/>
      <c r="AF7048" s="36"/>
      <c r="AG7048" s="36"/>
      <c r="AH7048" s="36"/>
      <c r="AI7048" s="36"/>
      <c r="AJ7048" s="15">
        <f t="shared" si="1404"/>
        <v>0</v>
      </c>
      <c r="AK7048" s="14"/>
      <c r="AL7048" s="14"/>
      <c r="AM7048" s="14"/>
      <c r="AN7048" s="14"/>
      <c r="AO7048" s="14"/>
      <c r="AP7048" s="14"/>
      <c r="AQ7048" s="14"/>
      <c r="AR7048" s="14">
        <v>300</v>
      </c>
      <c r="AS7048" s="14"/>
      <c r="AT7048" s="14"/>
      <c r="AU7048" s="14"/>
      <c r="AV7048" s="14"/>
      <c r="AW7048" s="15">
        <f t="shared" si="1405"/>
        <v>300</v>
      </c>
      <c r="AX7048" s="16"/>
    </row>
    <row r="7049" spans="2:50" x14ac:dyDescent="0.2">
      <c r="B7049" s="7"/>
      <c r="C7049" s="8">
        <v>17105</v>
      </c>
      <c r="D7049" s="9" t="s">
        <v>364</v>
      </c>
      <c r="E7049" s="10" t="str">
        <f t="shared" si="1400"/>
        <v>Rancho Landero No. 37</v>
      </c>
      <c r="F7049" s="10" t="str">
        <f t="shared" si="1401"/>
        <v>Hernández</v>
      </c>
      <c r="G7049" s="8">
        <v>1</v>
      </c>
      <c r="H7049" s="11">
        <v>600</v>
      </c>
      <c r="I7049" s="12">
        <v>43331</v>
      </c>
      <c r="J7049" s="35">
        <f t="shared" si="1402"/>
        <v>0</v>
      </c>
      <c r="K7049" s="36"/>
      <c r="L7049" s="36"/>
      <c r="M7049" s="36"/>
      <c r="N7049" s="36"/>
      <c r="O7049" s="36"/>
      <c r="P7049" s="36"/>
      <c r="Q7049" s="36"/>
      <c r="R7049" s="36"/>
      <c r="S7049" s="36"/>
      <c r="T7049" s="36"/>
      <c r="U7049" s="36"/>
      <c r="V7049" s="36"/>
      <c r="W7049" s="15">
        <f t="shared" si="1403"/>
        <v>0</v>
      </c>
      <c r="X7049" s="36"/>
      <c r="Y7049" s="36"/>
      <c r="Z7049" s="36"/>
      <c r="AA7049" s="36"/>
      <c r="AB7049" s="36"/>
      <c r="AC7049" s="36"/>
      <c r="AD7049" s="36"/>
      <c r="AE7049" s="36"/>
      <c r="AF7049" s="36"/>
      <c r="AG7049" s="36"/>
      <c r="AH7049" s="36"/>
      <c r="AI7049" s="36"/>
      <c r="AJ7049" s="15">
        <f t="shared" si="1404"/>
        <v>0</v>
      </c>
      <c r="AK7049" s="14"/>
      <c r="AL7049" s="14"/>
      <c r="AM7049" s="14"/>
      <c r="AN7049" s="14"/>
      <c r="AO7049" s="14"/>
      <c r="AP7049" s="14"/>
      <c r="AQ7049" s="14">
        <v>300</v>
      </c>
      <c r="AR7049" s="14">
        <v>300</v>
      </c>
      <c r="AS7049" s="14"/>
      <c r="AT7049" s="14"/>
      <c r="AU7049" s="14"/>
      <c r="AV7049" s="14"/>
      <c r="AW7049" s="15">
        <f t="shared" si="1405"/>
        <v>600</v>
      </c>
      <c r="AX7049" s="16"/>
    </row>
    <row r="7050" spans="2:50" x14ac:dyDescent="0.2">
      <c r="B7050" s="7"/>
      <c r="C7050" s="8">
        <v>17106</v>
      </c>
      <c r="D7050" s="9" t="s">
        <v>803</v>
      </c>
      <c r="E7050" s="10" t="str">
        <f t="shared" si="1400"/>
        <v>Rancho La Cuchilla No. 36</v>
      </c>
      <c r="F7050" s="10" t="str">
        <f t="shared" si="1401"/>
        <v>Castillo</v>
      </c>
      <c r="G7050" s="8">
        <v>3</v>
      </c>
      <c r="H7050" s="11">
        <v>200</v>
      </c>
      <c r="I7050" s="12">
        <v>43331</v>
      </c>
      <c r="J7050" s="35">
        <f t="shared" si="1402"/>
        <v>0</v>
      </c>
      <c r="K7050" s="36"/>
      <c r="L7050" s="36"/>
      <c r="M7050" s="36"/>
      <c r="N7050" s="36"/>
      <c r="O7050" s="36"/>
      <c r="P7050" s="36"/>
      <c r="Q7050" s="36"/>
      <c r="R7050" s="36"/>
      <c r="S7050" s="36"/>
      <c r="T7050" s="36"/>
      <c r="U7050" s="36"/>
      <c r="V7050" s="36"/>
      <c r="W7050" s="15">
        <f t="shared" si="1403"/>
        <v>0</v>
      </c>
      <c r="X7050" s="36"/>
      <c r="Y7050" s="36"/>
      <c r="Z7050" s="36"/>
      <c r="AA7050" s="36"/>
      <c r="AB7050" s="36"/>
      <c r="AC7050" s="36"/>
      <c r="AD7050" s="36"/>
      <c r="AE7050" s="36"/>
      <c r="AF7050" s="36"/>
      <c r="AG7050" s="36"/>
      <c r="AH7050" s="36"/>
      <c r="AI7050" s="36"/>
      <c r="AJ7050" s="15">
        <f t="shared" si="1404"/>
        <v>0</v>
      </c>
      <c r="AK7050" s="14"/>
      <c r="AL7050" s="14"/>
      <c r="AM7050" s="14"/>
      <c r="AN7050" s="14"/>
      <c r="AO7050" s="14"/>
      <c r="AP7050" s="14"/>
      <c r="AQ7050" s="14"/>
      <c r="AR7050" s="14"/>
      <c r="AS7050" s="14"/>
      <c r="AT7050" s="14"/>
      <c r="AU7050" s="14"/>
      <c r="AV7050" s="14"/>
      <c r="AW7050" s="15">
        <f t="shared" si="1405"/>
        <v>0</v>
      </c>
      <c r="AX7050" s="16"/>
    </row>
    <row r="7051" spans="2:50" x14ac:dyDescent="0.2">
      <c r="B7051" s="7"/>
      <c r="C7051" s="8">
        <v>17107</v>
      </c>
      <c r="D7051" s="9" t="s">
        <v>416</v>
      </c>
      <c r="E7051" s="10" t="str">
        <f t="shared" si="1400"/>
        <v>Rancho La Cuchilla No. 112, PB</v>
      </c>
      <c r="F7051" s="10" t="str">
        <f t="shared" si="1401"/>
        <v>Soreque</v>
      </c>
      <c r="G7051" s="8">
        <v>1</v>
      </c>
      <c r="H7051" s="11">
        <v>200</v>
      </c>
      <c r="I7051" s="12">
        <v>43331</v>
      </c>
      <c r="J7051" s="35">
        <f t="shared" si="1402"/>
        <v>0</v>
      </c>
      <c r="K7051" s="36"/>
      <c r="L7051" s="36"/>
      <c r="M7051" s="36"/>
      <c r="N7051" s="36"/>
      <c r="O7051" s="36"/>
      <c r="P7051" s="36"/>
      <c r="Q7051" s="36"/>
      <c r="R7051" s="36"/>
      <c r="S7051" s="36"/>
      <c r="T7051" s="36"/>
      <c r="U7051" s="36"/>
      <c r="V7051" s="36"/>
      <c r="W7051" s="15">
        <f t="shared" si="1403"/>
        <v>0</v>
      </c>
      <c r="X7051" s="36"/>
      <c r="Y7051" s="36"/>
      <c r="Z7051" s="36"/>
      <c r="AA7051" s="36"/>
      <c r="AB7051" s="36"/>
      <c r="AC7051" s="36"/>
      <c r="AD7051" s="36"/>
      <c r="AE7051" s="36"/>
      <c r="AF7051" s="36"/>
      <c r="AG7051" s="36"/>
      <c r="AH7051" s="36"/>
      <c r="AI7051" s="36"/>
      <c r="AJ7051" s="15">
        <f t="shared" si="1404"/>
        <v>0</v>
      </c>
      <c r="AK7051" s="14"/>
      <c r="AL7051" s="14"/>
      <c r="AM7051" s="14"/>
      <c r="AN7051" s="14"/>
      <c r="AO7051" s="14"/>
      <c r="AP7051" s="14"/>
      <c r="AQ7051" s="14"/>
      <c r="AR7051" s="14">
        <v>200</v>
      </c>
      <c r="AS7051" s="14"/>
      <c r="AT7051" s="14"/>
      <c r="AU7051" s="14"/>
      <c r="AV7051" s="14"/>
      <c r="AW7051" s="15">
        <f t="shared" si="1405"/>
        <v>200</v>
      </c>
      <c r="AX7051" s="16"/>
    </row>
    <row r="7052" spans="2:50" x14ac:dyDescent="0.2">
      <c r="B7052" s="7"/>
      <c r="C7052" s="8">
        <v>17108</v>
      </c>
      <c r="D7052" s="9" t="s">
        <v>769</v>
      </c>
      <c r="E7052" s="10" t="str">
        <f t="shared" si="1400"/>
        <v>Rancho La Cuchilla No. 66</v>
      </c>
      <c r="F7052" s="10" t="str">
        <f t="shared" si="1401"/>
        <v>Prieto</v>
      </c>
      <c r="G7052" s="8">
        <v>1</v>
      </c>
      <c r="H7052" s="11">
        <v>400</v>
      </c>
      <c r="I7052" s="12">
        <v>43331</v>
      </c>
      <c r="J7052" s="35">
        <f t="shared" si="1402"/>
        <v>0</v>
      </c>
      <c r="K7052" s="36"/>
      <c r="L7052" s="36"/>
      <c r="M7052" s="36"/>
      <c r="N7052" s="36"/>
      <c r="O7052" s="36"/>
      <c r="P7052" s="36"/>
      <c r="Q7052" s="36"/>
      <c r="R7052" s="36"/>
      <c r="S7052" s="36"/>
      <c r="T7052" s="36"/>
      <c r="U7052" s="36"/>
      <c r="V7052" s="36"/>
      <c r="W7052" s="15">
        <f t="shared" si="1403"/>
        <v>0</v>
      </c>
      <c r="X7052" s="36"/>
      <c r="Y7052" s="36"/>
      <c r="Z7052" s="36"/>
      <c r="AA7052" s="36"/>
      <c r="AB7052" s="36"/>
      <c r="AC7052" s="36"/>
      <c r="AD7052" s="36"/>
      <c r="AE7052" s="36"/>
      <c r="AF7052" s="36"/>
      <c r="AG7052" s="36"/>
      <c r="AH7052" s="36"/>
      <c r="AI7052" s="36"/>
      <c r="AJ7052" s="15">
        <f t="shared" si="1404"/>
        <v>0</v>
      </c>
      <c r="AK7052" s="14"/>
      <c r="AL7052" s="14"/>
      <c r="AM7052" s="14"/>
      <c r="AN7052" s="14"/>
      <c r="AO7052" s="14"/>
      <c r="AP7052" s="14"/>
      <c r="AQ7052" s="14"/>
      <c r="AR7052" s="14">
        <v>400</v>
      </c>
      <c r="AS7052" s="14"/>
      <c r="AT7052" s="14"/>
      <c r="AU7052" s="14"/>
      <c r="AV7052" s="14"/>
      <c r="AW7052" s="15">
        <f t="shared" si="1405"/>
        <v>400</v>
      </c>
      <c r="AX7052" s="16"/>
    </row>
    <row r="7053" spans="2:50" x14ac:dyDescent="0.2">
      <c r="B7053" s="7"/>
      <c r="C7053" s="8">
        <v>17109</v>
      </c>
      <c r="D7053" s="9" t="s">
        <v>1154</v>
      </c>
      <c r="E7053" s="10" t="str">
        <f t="shared" si="1400"/>
        <v>Rancho La Cuchilla No. 112, PA</v>
      </c>
      <c r="F7053" s="10" t="str">
        <f t="shared" si="1401"/>
        <v>Villalpando Pineda</v>
      </c>
      <c r="G7053" s="8">
        <v>3</v>
      </c>
      <c r="H7053" s="11">
        <v>200</v>
      </c>
      <c r="I7053" s="12">
        <v>43331</v>
      </c>
      <c r="J7053" s="35">
        <f t="shared" si="1402"/>
        <v>0</v>
      </c>
      <c r="K7053" s="36"/>
      <c r="L7053" s="36"/>
      <c r="M7053" s="36"/>
      <c r="N7053" s="36"/>
      <c r="O7053" s="36"/>
      <c r="P7053" s="36"/>
      <c r="Q7053" s="36"/>
      <c r="R7053" s="36"/>
      <c r="S7053" s="36"/>
      <c r="T7053" s="36"/>
      <c r="U7053" s="36"/>
      <c r="V7053" s="36"/>
      <c r="W7053" s="15">
        <f t="shared" si="1403"/>
        <v>0</v>
      </c>
      <c r="X7053" s="36"/>
      <c r="Y7053" s="36"/>
      <c r="Z7053" s="36"/>
      <c r="AA7053" s="36"/>
      <c r="AB7053" s="36"/>
      <c r="AC7053" s="36"/>
      <c r="AD7053" s="36"/>
      <c r="AE7053" s="36"/>
      <c r="AF7053" s="36"/>
      <c r="AG7053" s="36"/>
      <c r="AH7053" s="36"/>
      <c r="AI7053" s="36"/>
      <c r="AJ7053" s="15">
        <f t="shared" si="1404"/>
        <v>0</v>
      </c>
      <c r="AK7053" s="14"/>
      <c r="AL7053" s="14"/>
      <c r="AM7053" s="14"/>
      <c r="AN7053" s="14"/>
      <c r="AO7053" s="14"/>
      <c r="AP7053" s="14"/>
      <c r="AQ7053" s="14"/>
      <c r="AR7053" s="14"/>
      <c r="AS7053" s="14"/>
      <c r="AT7053" s="14"/>
      <c r="AU7053" s="14"/>
      <c r="AV7053" s="14"/>
      <c r="AW7053" s="15">
        <f t="shared" si="1405"/>
        <v>0</v>
      </c>
      <c r="AX7053" s="16"/>
    </row>
    <row r="7054" spans="2:50" x14ac:dyDescent="0.2">
      <c r="B7054" s="7"/>
      <c r="C7054" s="8">
        <v>17110</v>
      </c>
      <c r="D7054" s="9" t="s">
        <v>705</v>
      </c>
      <c r="E7054" s="10" t="str">
        <f t="shared" si="1388"/>
        <v>Rancho La Cuchilla No. 75</v>
      </c>
      <c r="F7054" s="10" t="str">
        <f t="shared" si="1389"/>
        <v>Sosa Lucio</v>
      </c>
      <c r="G7054" s="8">
        <v>1</v>
      </c>
      <c r="H7054" s="11">
        <v>300</v>
      </c>
      <c r="I7054" s="12">
        <v>43331</v>
      </c>
      <c r="J7054" s="35">
        <f t="shared" si="1390"/>
        <v>0</v>
      </c>
      <c r="K7054" s="36"/>
      <c r="L7054" s="36"/>
      <c r="M7054" s="36"/>
      <c r="N7054" s="36"/>
      <c r="O7054" s="36"/>
      <c r="P7054" s="36"/>
      <c r="Q7054" s="36"/>
      <c r="R7054" s="36"/>
      <c r="S7054" s="36"/>
      <c r="T7054" s="36"/>
      <c r="U7054" s="36"/>
      <c r="V7054" s="36"/>
      <c r="W7054" s="15">
        <f t="shared" si="1391"/>
        <v>0</v>
      </c>
      <c r="X7054" s="36"/>
      <c r="Y7054" s="36"/>
      <c r="Z7054" s="36"/>
      <c r="AA7054" s="36"/>
      <c r="AB7054" s="36"/>
      <c r="AC7054" s="36"/>
      <c r="AD7054" s="36"/>
      <c r="AE7054" s="36"/>
      <c r="AF7054" s="36"/>
      <c r="AG7054" s="36"/>
      <c r="AH7054" s="36"/>
      <c r="AI7054" s="36"/>
      <c r="AJ7054" s="15">
        <f t="shared" si="1392"/>
        <v>0</v>
      </c>
      <c r="AK7054" s="14"/>
      <c r="AL7054" s="14"/>
      <c r="AM7054" s="14"/>
      <c r="AN7054" s="14"/>
      <c r="AO7054" s="14"/>
      <c r="AP7054" s="14"/>
      <c r="AQ7054" s="14"/>
      <c r="AR7054" s="14">
        <v>300</v>
      </c>
      <c r="AS7054" s="14"/>
      <c r="AT7054" s="14"/>
      <c r="AU7054" s="14"/>
      <c r="AV7054" s="14"/>
      <c r="AW7054" s="15">
        <f t="shared" si="1393"/>
        <v>300</v>
      </c>
      <c r="AX7054" s="16"/>
    </row>
    <row r="7055" spans="2:50" x14ac:dyDescent="0.2">
      <c r="B7055" s="7"/>
      <c r="C7055" s="8">
        <v>17111</v>
      </c>
      <c r="D7055" s="9" t="s">
        <v>893</v>
      </c>
      <c r="E7055" s="10" t="str">
        <f t="shared" si="1388"/>
        <v>Rancho Upácuaro No. 136</v>
      </c>
      <c r="F7055" s="10" t="str">
        <f t="shared" si="1389"/>
        <v>López Lena</v>
      </c>
      <c r="G7055" s="8">
        <v>1</v>
      </c>
      <c r="H7055" s="11">
        <v>300</v>
      </c>
      <c r="I7055" s="12">
        <v>43331</v>
      </c>
      <c r="J7055" s="35">
        <f t="shared" si="1390"/>
        <v>0</v>
      </c>
      <c r="K7055" s="36"/>
      <c r="L7055" s="36"/>
      <c r="M7055" s="36"/>
      <c r="N7055" s="36"/>
      <c r="O7055" s="36"/>
      <c r="P7055" s="36"/>
      <c r="Q7055" s="36"/>
      <c r="R7055" s="36"/>
      <c r="S7055" s="36"/>
      <c r="T7055" s="36"/>
      <c r="U7055" s="36"/>
      <c r="V7055" s="36"/>
      <c r="W7055" s="15">
        <f t="shared" si="1391"/>
        <v>0</v>
      </c>
      <c r="X7055" s="36"/>
      <c r="Y7055" s="36"/>
      <c r="Z7055" s="36"/>
      <c r="AA7055" s="36"/>
      <c r="AB7055" s="36"/>
      <c r="AC7055" s="36"/>
      <c r="AD7055" s="36"/>
      <c r="AE7055" s="36"/>
      <c r="AF7055" s="36"/>
      <c r="AG7055" s="36"/>
      <c r="AH7055" s="36"/>
      <c r="AI7055" s="36"/>
      <c r="AJ7055" s="15">
        <f t="shared" si="1392"/>
        <v>0</v>
      </c>
      <c r="AK7055" s="14"/>
      <c r="AL7055" s="14"/>
      <c r="AM7055" s="14"/>
      <c r="AN7055" s="14"/>
      <c r="AO7055" s="14"/>
      <c r="AP7055" s="14"/>
      <c r="AQ7055" s="14">
        <v>300</v>
      </c>
      <c r="AR7055" s="14"/>
      <c r="AS7055" s="14"/>
      <c r="AT7055" s="14"/>
      <c r="AU7055" s="14"/>
      <c r="AV7055" s="14"/>
      <c r="AW7055" s="15">
        <f t="shared" si="1393"/>
        <v>300</v>
      </c>
      <c r="AX7055" s="316">
        <f>SUM(H7031:H7055)</f>
        <v>10550</v>
      </c>
    </row>
    <row r="7056" spans="2:50" x14ac:dyDescent="0.2">
      <c r="B7056" s="7"/>
      <c r="C7056" s="8">
        <v>17112</v>
      </c>
      <c r="D7056" s="9" t="s">
        <v>443</v>
      </c>
      <c r="E7056" s="10" t="str">
        <f t="shared" si="1388"/>
        <v>Rancho Landero No. 11</v>
      </c>
      <c r="F7056" s="10" t="str">
        <f t="shared" si="1389"/>
        <v>Reyes Robles</v>
      </c>
      <c r="G7056" s="8">
        <v>4</v>
      </c>
      <c r="H7056" s="315">
        <v>200</v>
      </c>
      <c r="I7056" s="12">
        <v>43333</v>
      </c>
      <c r="J7056" s="35">
        <f t="shared" si="1390"/>
        <v>0</v>
      </c>
      <c r="K7056" s="36"/>
      <c r="L7056" s="36"/>
      <c r="M7056" s="36"/>
      <c r="N7056" s="36"/>
      <c r="O7056" s="36"/>
      <c r="P7056" s="36"/>
      <c r="Q7056" s="36"/>
      <c r="R7056" s="36"/>
      <c r="S7056" s="36"/>
      <c r="T7056" s="36"/>
      <c r="U7056" s="36"/>
      <c r="V7056" s="36"/>
      <c r="W7056" s="15">
        <f t="shared" si="1391"/>
        <v>0</v>
      </c>
      <c r="X7056" s="36"/>
      <c r="Y7056" s="36"/>
      <c r="Z7056" s="36"/>
      <c r="AA7056" s="36"/>
      <c r="AB7056" s="36"/>
      <c r="AC7056" s="36"/>
      <c r="AD7056" s="36"/>
      <c r="AE7056" s="36"/>
      <c r="AF7056" s="36"/>
      <c r="AG7056" s="36"/>
      <c r="AH7056" s="36"/>
      <c r="AI7056" s="36"/>
      <c r="AJ7056" s="15">
        <f t="shared" si="1392"/>
        <v>0</v>
      </c>
      <c r="AK7056" s="14"/>
      <c r="AL7056" s="14"/>
      <c r="AM7056" s="14"/>
      <c r="AN7056" s="14"/>
      <c r="AO7056" s="14"/>
      <c r="AP7056" s="14"/>
      <c r="AQ7056" s="14"/>
      <c r="AR7056" s="14"/>
      <c r="AS7056" s="14"/>
      <c r="AT7056" s="14"/>
      <c r="AU7056" s="14"/>
      <c r="AV7056" s="14"/>
      <c r="AW7056" s="15">
        <f t="shared" si="1393"/>
        <v>0</v>
      </c>
      <c r="AX7056" s="16" t="s">
        <v>5548</v>
      </c>
    </row>
    <row r="7057" spans="2:50" x14ac:dyDescent="0.2">
      <c r="B7057" s="7"/>
      <c r="C7057" s="8">
        <v>17112</v>
      </c>
      <c r="D7057" s="9" t="s">
        <v>443</v>
      </c>
      <c r="E7057" s="10" t="str">
        <f t="shared" si="1388"/>
        <v>Rancho Landero No. 11</v>
      </c>
      <c r="F7057" s="10" t="str">
        <f t="shared" si="1389"/>
        <v>Reyes Robles</v>
      </c>
      <c r="G7057" s="8">
        <v>5</v>
      </c>
      <c r="H7057" s="11">
        <v>50</v>
      </c>
      <c r="I7057" s="12">
        <v>43333</v>
      </c>
      <c r="J7057" s="35">
        <f t="shared" si="1390"/>
        <v>0</v>
      </c>
      <c r="K7057" s="36"/>
      <c r="L7057" s="36"/>
      <c r="M7057" s="36"/>
      <c r="N7057" s="36"/>
      <c r="O7057" s="36"/>
      <c r="P7057" s="36"/>
      <c r="Q7057" s="36"/>
      <c r="R7057" s="36"/>
      <c r="S7057" s="36"/>
      <c r="T7057" s="36"/>
      <c r="U7057" s="36"/>
      <c r="V7057" s="36"/>
      <c r="W7057" s="15">
        <f t="shared" si="1391"/>
        <v>0</v>
      </c>
      <c r="X7057" s="36"/>
      <c r="Y7057" s="36"/>
      <c r="Z7057" s="36"/>
      <c r="AA7057" s="36"/>
      <c r="AB7057" s="36"/>
      <c r="AC7057" s="36"/>
      <c r="AD7057" s="36"/>
      <c r="AE7057" s="36"/>
      <c r="AF7057" s="36"/>
      <c r="AG7057" s="36"/>
      <c r="AH7057" s="36"/>
      <c r="AI7057" s="36"/>
      <c r="AJ7057" s="15">
        <f t="shared" si="1392"/>
        <v>0</v>
      </c>
      <c r="AK7057" s="14"/>
      <c r="AL7057" s="14"/>
      <c r="AM7057" s="14"/>
      <c r="AN7057" s="14"/>
      <c r="AO7057" s="14"/>
      <c r="AP7057" s="14"/>
      <c r="AQ7057" s="14"/>
      <c r="AR7057" s="14"/>
      <c r="AS7057" s="14"/>
      <c r="AT7057" s="14"/>
      <c r="AU7057" s="14"/>
      <c r="AV7057" s="14"/>
      <c r="AW7057" s="15">
        <f t="shared" si="1393"/>
        <v>0</v>
      </c>
      <c r="AX7057" s="16"/>
    </row>
    <row r="7058" spans="2:50" x14ac:dyDescent="0.2">
      <c r="B7058" s="7"/>
      <c r="C7058" s="8">
        <v>17113</v>
      </c>
      <c r="D7058" s="9" t="s">
        <v>310</v>
      </c>
      <c r="E7058" s="10" t="str">
        <f t="shared" ref="E7058:E7079" si="1406">IF(D7058=0,"",VLOOKUP(D7058,BASE,2,FALSE))</f>
        <v>Rancho Recoveco No. 181</v>
      </c>
      <c r="F7058" s="10" t="str">
        <f t="shared" ref="F7058:F7079" si="1407">IF(D7058=0,"",VLOOKUP(D7058,BASE,3,FALSE))</f>
        <v>Castillo</v>
      </c>
      <c r="G7058" s="8">
        <v>4</v>
      </c>
      <c r="H7058" s="11">
        <v>200</v>
      </c>
      <c r="I7058" s="12">
        <v>43333</v>
      </c>
      <c r="J7058" s="35">
        <f t="shared" ref="J7058:J7079" si="1408">IF(G7058=1,SUM(W7058,AJ7058,AW7058,-H7058),0)</f>
        <v>0</v>
      </c>
      <c r="K7058" s="36"/>
      <c r="L7058" s="36"/>
      <c r="M7058" s="36"/>
      <c r="N7058" s="36"/>
      <c r="O7058" s="36"/>
      <c r="P7058" s="36"/>
      <c r="Q7058" s="36"/>
      <c r="R7058" s="36"/>
      <c r="S7058" s="36"/>
      <c r="T7058" s="36"/>
      <c r="U7058" s="36"/>
      <c r="V7058" s="36"/>
      <c r="W7058" s="15">
        <f t="shared" ref="W7058:W7079" si="1409">SUM(K7058:V7058)</f>
        <v>0</v>
      </c>
      <c r="X7058" s="36"/>
      <c r="Y7058" s="36"/>
      <c r="Z7058" s="36"/>
      <c r="AA7058" s="36"/>
      <c r="AB7058" s="36"/>
      <c r="AC7058" s="36"/>
      <c r="AD7058" s="36"/>
      <c r="AE7058" s="36"/>
      <c r="AF7058" s="36"/>
      <c r="AG7058" s="36"/>
      <c r="AH7058" s="36"/>
      <c r="AI7058" s="36"/>
      <c r="AJ7058" s="15">
        <f t="shared" ref="AJ7058:AJ7079" si="1410">SUM(X7058:AI7058)</f>
        <v>0</v>
      </c>
      <c r="AK7058" s="14"/>
      <c r="AL7058" s="14"/>
      <c r="AM7058" s="14"/>
      <c r="AN7058" s="14"/>
      <c r="AO7058" s="14"/>
      <c r="AP7058" s="14"/>
      <c r="AQ7058" s="14"/>
      <c r="AR7058" s="14"/>
      <c r="AS7058" s="14"/>
      <c r="AT7058" s="14"/>
      <c r="AU7058" s="14"/>
      <c r="AV7058" s="14"/>
      <c r="AW7058" s="15">
        <f t="shared" ref="AW7058:AW7079" si="1411">SUM(AK7058:AV7058)</f>
        <v>0</v>
      </c>
      <c r="AX7058" s="16" t="s">
        <v>5549</v>
      </c>
    </row>
    <row r="7059" spans="2:50" x14ac:dyDescent="0.2">
      <c r="B7059" s="7"/>
      <c r="C7059" s="8">
        <v>17114</v>
      </c>
      <c r="D7059" s="9" t="s">
        <v>852</v>
      </c>
      <c r="E7059" s="10" t="str">
        <f t="shared" si="1406"/>
        <v>Rancho La Cuchilla No. 97</v>
      </c>
      <c r="F7059" s="10" t="str">
        <f t="shared" si="1407"/>
        <v>López Ruiz</v>
      </c>
      <c r="G7059" s="8">
        <v>1</v>
      </c>
      <c r="H7059" s="11">
        <v>600</v>
      </c>
      <c r="I7059" s="12">
        <v>43334</v>
      </c>
      <c r="J7059" s="35">
        <f t="shared" si="1408"/>
        <v>0</v>
      </c>
      <c r="K7059" s="36"/>
      <c r="L7059" s="36"/>
      <c r="M7059" s="36"/>
      <c r="N7059" s="36"/>
      <c r="O7059" s="36"/>
      <c r="P7059" s="36"/>
      <c r="Q7059" s="36"/>
      <c r="R7059" s="36"/>
      <c r="S7059" s="36"/>
      <c r="T7059" s="36"/>
      <c r="U7059" s="36"/>
      <c r="V7059" s="36"/>
      <c r="W7059" s="15">
        <f t="shared" si="1409"/>
        <v>0</v>
      </c>
      <c r="X7059" s="36"/>
      <c r="Y7059" s="36"/>
      <c r="Z7059" s="36"/>
      <c r="AA7059" s="36"/>
      <c r="AB7059" s="36"/>
      <c r="AC7059" s="36"/>
      <c r="AD7059" s="36"/>
      <c r="AE7059" s="36"/>
      <c r="AF7059" s="36"/>
      <c r="AG7059" s="36"/>
      <c r="AH7059" s="36"/>
      <c r="AI7059" s="36"/>
      <c r="AJ7059" s="15">
        <f t="shared" si="1410"/>
        <v>0</v>
      </c>
      <c r="AK7059" s="14"/>
      <c r="AL7059" s="14"/>
      <c r="AM7059" s="14"/>
      <c r="AN7059" s="14"/>
      <c r="AO7059" s="14"/>
      <c r="AP7059" s="14">
        <v>300</v>
      </c>
      <c r="AQ7059" s="14">
        <v>300</v>
      </c>
      <c r="AR7059" s="14"/>
      <c r="AS7059" s="14"/>
      <c r="AT7059" s="14"/>
      <c r="AU7059" s="14"/>
      <c r="AV7059" s="14"/>
      <c r="AW7059" s="15">
        <f t="shared" si="1411"/>
        <v>600</v>
      </c>
      <c r="AX7059" s="16"/>
    </row>
    <row r="7060" spans="2:50" x14ac:dyDescent="0.2">
      <c r="B7060" s="7"/>
      <c r="C7060" s="8">
        <v>17115</v>
      </c>
      <c r="D7060" s="9" t="s">
        <v>1276</v>
      </c>
      <c r="E7060" s="10" t="str">
        <f t="shared" si="1406"/>
        <v>Rancho La Cuchilla No. 63</v>
      </c>
      <c r="F7060" s="10" t="str">
        <f t="shared" si="1407"/>
        <v>Díaz de la Rosa</v>
      </c>
      <c r="G7060" s="8">
        <v>1</v>
      </c>
      <c r="H7060" s="11">
        <v>400</v>
      </c>
      <c r="I7060" s="12">
        <v>43335</v>
      </c>
      <c r="J7060" s="35">
        <f t="shared" si="1408"/>
        <v>0</v>
      </c>
      <c r="K7060" s="36"/>
      <c r="L7060" s="36"/>
      <c r="M7060" s="36"/>
      <c r="N7060" s="36"/>
      <c r="O7060" s="36"/>
      <c r="P7060" s="36"/>
      <c r="Q7060" s="36"/>
      <c r="R7060" s="36"/>
      <c r="S7060" s="36"/>
      <c r="T7060" s="36"/>
      <c r="U7060" s="36"/>
      <c r="V7060" s="36"/>
      <c r="W7060" s="15">
        <f t="shared" si="1409"/>
        <v>0</v>
      </c>
      <c r="X7060" s="36"/>
      <c r="Y7060" s="36"/>
      <c r="Z7060" s="36"/>
      <c r="AA7060" s="36"/>
      <c r="AB7060" s="36"/>
      <c r="AC7060" s="36"/>
      <c r="AD7060" s="36"/>
      <c r="AE7060" s="36"/>
      <c r="AF7060" s="36"/>
      <c r="AG7060" s="36"/>
      <c r="AH7060" s="36"/>
      <c r="AI7060" s="36"/>
      <c r="AJ7060" s="15">
        <f t="shared" si="1410"/>
        <v>0</v>
      </c>
      <c r="AK7060" s="14"/>
      <c r="AL7060" s="14"/>
      <c r="AM7060" s="14"/>
      <c r="AN7060" s="14"/>
      <c r="AO7060" s="14"/>
      <c r="AP7060" s="14"/>
      <c r="AQ7060" s="14">
        <v>200</v>
      </c>
      <c r="AR7060" s="14">
        <v>200</v>
      </c>
      <c r="AS7060" s="14"/>
      <c r="AT7060" s="14"/>
      <c r="AU7060" s="14"/>
      <c r="AV7060" s="14"/>
      <c r="AW7060" s="15">
        <f t="shared" si="1411"/>
        <v>400</v>
      </c>
      <c r="AX7060" s="16"/>
    </row>
    <row r="7061" spans="2:50" x14ac:dyDescent="0.2">
      <c r="B7061" s="7"/>
      <c r="C7061" s="8">
        <v>17115</v>
      </c>
      <c r="D7061" s="9" t="s">
        <v>1276</v>
      </c>
      <c r="E7061" s="10" t="str">
        <f t="shared" si="1406"/>
        <v>Rancho La Cuchilla No. 63</v>
      </c>
      <c r="F7061" s="10" t="str">
        <f t="shared" si="1407"/>
        <v>Díaz de la Rosa</v>
      </c>
      <c r="G7061" s="8">
        <v>3</v>
      </c>
      <c r="H7061" s="11">
        <v>400</v>
      </c>
      <c r="I7061" s="12">
        <v>43335</v>
      </c>
      <c r="J7061" s="35">
        <f t="shared" si="1408"/>
        <v>0</v>
      </c>
      <c r="K7061" s="36"/>
      <c r="L7061" s="36"/>
      <c r="M7061" s="36"/>
      <c r="N7061" s="36"/>
      <c r="O7061" s="36"/>
      <c r="P7061" s="36"/>
      <c r="Q7061" s="36"/>
      <c r="R7061" s="36"/>
      <c r="S7061" s="36"/>
      <c r="T7061" s="36"/>
      <c r="U7061" s="36"/>
      <c r="V7061" s="36"/>
      <c r="W7061" s="15">
        <f t="shared" si="1409"/>
        <v>0</v>
      </c>
      <c r="X7061" s="36"/>
      <c r="Y7061" s="36"/>
      <c r="Z7061" s="36"/>
      <c r="AA7061" s="36"/>
      <c r="AB7061" s="36"/>
      <c r="AC7061" s="36"/>
      <c r="AD7061" s="36"/>
      <c r="AE7061" s="36"/>
      <c r="AF7061" s="36"/>
      <c r="AG7061" s="36"/>
      <c r="AH7061" s="36"/>
      <c r="AI7061" s="36"/>
      <c r="AJ7061" s="15">
        <f t="shared" si="1410"/>
        <v>0</v>
      </c>
      <c r="AK7061" s="14"/>
      <c r="AL7061" s="14"/>
      <c r="AM7061" s="14"/>
      <c r="AN7061" s="14"/>
      <c r="AO7061" s="14"/>
      <c r="AP7061" s="14"/>
      <c r="AQ7061" s="14"/>
      <c r="AR7061" s="14"/>
      <c r="AS7061" s="14"/>
      <c r="AT7061" s="14"/>
      <c r="AU7061" s="14"/>
      <c r="AV7061" s="14"/>
      <c r="AW7061" s="15">
        <f t="shared" si="1411"/>
        <v>0</v>
      </c>
      <c r="AX7061" s="16"/>
    </row>
    <row r="7062" spans="2:50" x14ac:dyDescent="0.2">
      <c r="B7062" s="7"/>
      <c r="C7062" s="8">
        <v>17116</v>
      </c>
      <c r="D7062" s="9" t="s">
        <v>772</v>
      </c>
      <c r="E7062" s="10" t="str">
        <f t="shared" si="1406"/>
        <v>Rancho La Cuchilla No. 79</v>
      </c>
      <c r="F7062" s="10" t="str">
        <f t="shared" si="1407"/>
        <v>De la Rosa</v>
      </c>
      <c r="G7062" s="8">
        <v>1</v>
      </c>
      <c r="H7062" s="11">
        <v>400</v>
      </c>
      <c r="I7062" s="12">
        <v>43335</v>
      </c>
      <c r="J7062" s="35">
        <f t="shared" si="1408"/>
        <v>0</v>
      </c>
      <c r="K7062" s="36"/>
      <c r="L7062" s="36"/>
      <c r="M7062" s="36"/>
      <c r="N7062" s="36"/>
      <c r="O7062" s="36"/>
      <c r="P7062" s="36"/>
      <c r="Q7062" s="36"/>
      <c r="R7062" s="36"/>
      <c r="S7062" s="36"/>
      <c r="T7062" s="36"/>
      <c r="U7062" s="36"/>
      <c r="V7062" s="36"/>
      <c r="W7062" s="15">
        <f t="shared" si="1409"/>
        <v>0</v>
      </c>
      <c r="X7062" s="36"/>
      <c r="Y7062" s="36"/>
      <c r="Z7062" s="36"/>
      <c r="AA7062" s="36"/>
      <c r="AB7062" s="36"/>
      <c r="AC7062" s="36"/>
      <c r="AD7062" s="36"/>
      <c r="AE7062" s="36"/>
      <c r="AF7062" s="36"/>
      <c r="AG7062" s="36"/>
      <c r="AH7062" s="36"/>
      <c r="AI7062" s="36"/>
      <c r="AJ7062" s="15">
        <f t="shared" si="1410"/>
        <v>0</v>
      </c>
      <c r="AK7062" s="14"/>
      <c r="AL7062" s="14"/>
      <c r="AM7062" s="14"/>
      <c r="AN7062" s="14"/>
      <c r="AO7062" s="14"/>
      <c r="AP7062" s="14"/>
      <c r="AQ7062" s="14">
        <v>200</v>
      </c>
      <c r="AR7062" s="14">
        <v>200</v>
      </c>
      <c r="AS7062" s="14"/>
      <c r="AT7062" s="14"/>
      <c r="AU7062" s="14"/>
      <c r="AV7062" s="14"/>
      <c r="AW7062" s="15">
        <f t="shared" si="1411"/>
        <v>400</v>
      </c>
      <c r="AX7062" s="16"/>
    </row>
    <row r="7063" spans="2:50" x14ac:dyDescent="0.2">
      <c r="B7063" s="7"/>
      <c r="C7063" s="8">
        <v>17117</v>
      </c>
      <c r="D7063" s="9" t="s">
        <v>494</v>
      </c>
      <c r="E7063" s="10" t="str">
        <f t="shared" si="1406"/>
        <v>Rancho Landero No. 2, B</v>
      </c>
      <c r="F7063" s="10" t="str">
        <f t="shared" si="1407"/>
        <v>Pack Mail</v>
      </c>
      <c r="G7063" s="8">
        <v>1</v>
      </c>
      <c r="H7063" s="11">
        <v>600</v>
      </c>
      <c r="I7063" s="12">
        <v>43336</v>
      </c>
      <c r="J7063" s="35">
        <f t="shared" si="1408"/>
        <v>0</v>
      </c>
      <c r="K7063" s="36"/>
      <c r="L7063" s="36"/>
      <c r="M7063" s="36"/>
      <c r="N7063" s="36"/>
      <c r="O7063" s="36"/>
      <c r="P7063" s="36"/>
      <c r="Q7063" s="36"/>
      <c r="R7063" s="36"/>
      <c r="S7063" s="36"/>
      <c r="T7063" s="36"/>
      <c r="U7063" s="36"/>
      <c r="V7063" s="36"/>
      <c r="W7063" s="15">
        <f t="shared" si="1409"/>
        <v>0</v>
      </c>
      <c r="X7063" s="36"/>
      <c r="Y7063" s="36"/>
      <c r="Z7063" s="36"/>
      <c r="AA7063" s="36"/>
      <c r="AB7063" s="36"/>
      <c r="AC7063" s="36"/>
      <c r="AD7063" s="36"/>
      <c r="AE7063" s="36"/>
      <c r="AF7063" s="36"/>
      <c r="AG7063" s="36"/>
      <c r="AH7063" s="36"/>
      <c r="AI7063" s="36"/>
      <c r="AJ7063" s="15">
        <f t="shared" si="1410"/>
        <v>0</v>
      </c>
      <c r="AK7063" s="14"/>
      <c r="AL7063" s="14"/>
      <c r="AM7063" s="14"/>
      <c r="AN7063" s="14"/>
      <c r="AO7063" s="14">
        <v>150</v>
      </c>
      <c r="AP7063" s="14">
        <v>150</v>
      </c>
      <c r="AQ7063" s="14">
        <v>150</v>
      </c>
      <c r="AR7063" s="14">
        <v>150</v>
      </c>
      <c r="AS7063" s="14"/>
      <c r="AT7063" s="14"/>
      <c r="AU7063" s="14"/>
      <c r="AV7063" s="14"/>
      <c r="AW7063" s="15">
        <f t="shared" si="1411"/>
        <v>600</v>
      </c>
      <c r="AX7063" s="316">
        <f>SUM(H7056:H7063)</f>
        <v>2850</v>
      </c>
    </row>
    <row r="7064" spans="2:50" x14ac:dyDescent="0.2">
      <c r="B7064" s="7" t="s">
        <v>4983</v>
      </c>
      <c r="C7064" s="8">
        <v>17118</v>
      </c>
      <c r="D7064" s="9" t="s">
        <v>571</v>
      </c>
      <c r="E7064" s="10" t="str">
        <f t="shared" si="1406"/>
        <v>Rancho Estanzuela No. 15, A</v>
      </c>
      <c r="F7064" s="10" t="str">
        <f t="shared" si="1407"/>
        <v>González</v>
      </c>
      <c r="G7064" s="8">
        <v>1</v>
      </c>
      <c r="H7064" s="11">
        <v>400</v>
      </c>
      <c r="I7064" s="12">
        <v>43336</v>
      </c>
      <c r="J7064" s="35">
        <f t="shared" si="1408"/>
        <v>0</v>
      </c>
      <c r="K7064" s="36"/>
      <c r="L7064" s="36"/>
      <c r="M7064" s="36"/>
      <c r="N7064" s="36"/>
      <c r="O7064" s="36"/>
      <c r="P7064" s="36"/>
      <c r="Q7064" s="36"/>
      <c r="R7064" s="36"/>
      <c r="S7064" s="36"/>
      <c r="T7064" s="36"/>
      <c r="U7064" s="36"/>
      <c r="V7064" s="36"/>
      <c r="W7064" s="15">
        <f t="shared" si="1409"/>
        <v>0</v>
      </c>
      <c r="X7064" s="36"/>
      <c r="Y7064" s="36"/>
      <c r="Z7064" s="36"/>
      <c r="AA7064" s="36"/>
      <c r="AB7064" s="36"/>
      <c r="AC7064" s="36"/>
      <c r="AD7064" s="36"/>
      <c r="AE7064" s="36"/>
      <c r="AF7064" s="36"/>
      <c r="AG7064" s="36"/>
      <c r="AH7064" s="36"/>
      <c r="AI7064" s="36"/>
      <c r="AJ7064" s="15">
        <f t="shared" si="1410"/>
        <v>0</v>
      </c>
      <c r="AK7064" s="14"/>
      <c r="AL7064" s="14"/>
      <c r="AM7064" s="14"/>
      <c r="AN7064" s="14"/>
      <c r="AO7064" s="14"/>
      <c r="AP7064" s="14"/>
      <c r="AQ7064" s="14">
        <v>200</v>
      </c>
      <c r="AR7064" s="14">
        <v>200</v>
      </c>
      <c r="AS7064" s="14"/>
      <c r="AT7064" s="14"/>
      <c r="AU7064" s="14"/>
      <c r="AV7064" s="14"/>
      <c r="AW7064" s="15">
        <f t="shared" si="1411"/>
        <v>400</v>
      </c>
      <c r="AX7064" s="316">
        <f>SUM(H7056:H7064)</f>
        <v>3250</v>
      </c>
    </row>
    <row r="7065" spans="2:50" x14ac:dyDescent="0.2">
      <c r="B7065" s="7"/>
      <c r="C7065" s="8">
        <v>17119</v>
      </c>
      <c r="D7065" s="9" t="s">
        <v>488</v>
      </c>
      <c r="E7065" s="10" t="str">
        <f t="shared" si="1406"/>
        <v>Rancho Landero No. 85</v>
      </c>
      <c r="F7065" s="10" t="str">
        <f t="shared" si="1407"/>
        <v>Martínez Olague</v>
      </c>
      <c r="G7065" s="8">
        <v>1</v>
      </c>
      <c r="H7065" s="315">
        <v>400</v>
      </c>
      <c r="I7065" s="12">
        <v>43338</v>
      </c>
      <c r="J7065" s="35">
        <f t="shared" si="1408"/>
        <v>0</v>
      </c>
      <c r="K7065" s="36"/>
      <c r="L7065" s="36"/>
      <c r="M7065" s="36"/>
      <c r="N7065" s="36"/>
      <c r="O7065" s="36"/>
      <c r="P7065" s="36"/>
      <c r="Q7065" s="36"/>
      <c r="R7065" s="36"/>
      <c r="S7065" s="36"/>
      <c r="T7065" s="36"/>
      <c r="U7065" s="36"/>
      <c r="V7065" s="36"/>
      <c r="W7065" s="15">
        <f t="shared" si="1409"/>
        <v>0</v>
      </c>
      <c r="X7065" s="36"/>
      <c r="Y7065" s="36"/>
      <c r="Z7065" s="36"/>
      <c r="AA7065" s="36"/>
      <c r="AB7065" s="36"/>
      <c r="AC7065" s="36"/>
      <c r="AD7065" s="36"/>
      <c r="AE7065" s="36"/>
      <c r="AF7065" s="36"/>
      <c r="AG7065" s="36"/>
      <c r="AH7065" s="36"/>
      <c r="AI7065" s="36"/>
      <c r="AJ7065" s="15">
        <f t="shared" si="1410"/>
        <v>0</v>
      </c>
      <c r="AK7065" s="14"/>
      <c r="AL7065" s="14"/>
      <c r="AM7065" s="14"/>
      <c r="AN7065" s="14"/>
      <c r="AO7065" s="14"/>
      <c r="AP7065" s="14"/>
      <c r="AQ7065" s="14"/>
      <c r="AR7065" s="14">
        <v>400</v>
      </c>
      <c r="AS7065" s="14"/>
      <c r="AT7065" s="14"/>
      <c r="AU7065" s="14"/>
      <c r="AV7065" s="14"/>
      <c r="AW7065" s="15">
        <f t="shared" si="1411"/>
        <v>400</v>
      </c>
      <c r="AX7065" s="16"/>
    </row>
    <row r="7066" spans="2:50" x14ac:dyDescent="0.2">
      <c r="B7066" s="7"/>
      <c r="C7066" s="8">
        <v>17120</v>
      </c>
      <c r="D7066" s="9" t="s">
        <v>440</v>
      </c>
      <c r="E7066" s="10" t="str">
        <f t="shared" si="1406"/>
        <v>Rancho Estanzuela No. 159</v>
      </c>
      <c r="F7066" s="10" t="str">
        <f t="shared" si="1407"/>
        <v>Silva</v>
      </c>
      <c r="G7066" s="8">
        <v>1</v>
      </c>
      <c r="H7066" s="11">
        <v>600</v>
      </c>
      <c r="I7066" s="12">
        <v>43338</v>
      </c>
      <c r="J7066" s="35">
        <f t="shared" si="1408"/>
        <v>0</v>
      </c>
      <c r="K7066" s="36"/>
      <c r="L7066" s="36"/>
      <c r="M7066" s="36"/>
      <c r="N7066" s="36"/>
      <c r="O7066" s="36"/>
      <c r="P7066" s="36"/>
      <c r="Q7066" s="36"/>
      <c r="R7066" s="36"/>
      <c r="S7066" s="36"/>
      <c r="T7066" s="36"/>
      <c r="U7066" s="36"/>
      <c r="V7066" s="36"/>
      <c r="W7066" s="15">
        <f t="shared" si="1409"/>
        <v>0</v>
      </c>
      <c r="X7066" s="36"/>
      <c r="Y7066" s="36"/>
      <c r="Z7066" s="36"/>
      <c r="AA7066" s="36"/>
      <c r="AB7066" s="36"/>
      <c r="AC7066" s="36"/>
      <c r="AD7066" s="36"/>
      <c r="AE7066" s="36"/>
      <c r="AF7066" s="36"/>
      <c r="AG7066" s="36"/>
      <c r="AH7066" s="36"/>
      <c r="AI7066" s="36"/>
      <c r="AJ7066" s="15">
        <f t="shared" si="1410"/>
        <v>0</v>
      </c>
      <c r="AK7066" s="14"/>
      <c r="AL7066" s="14"/>
      <c r="AM7066" s="14"/>
      <c r="AN7066" s="14"/>
      <c r="AO7066" s="14"/>
      <c r="AP7066" s="14"/>
      <c r="AQ7066" s="14">
        <v>300</v>
      </c>
      <c r="AR7066" s="14">
        <v>300</v>
      </c>
      <c r="AS7066" s="14"/>
      <c r="AT7066" s="14"/>
      <c r="AU7066" s="14"/>
      <c r="AV7066" s="14"/>
      <c r="AW7066" s="15">
        <f t="shared" si="1411"/>
        <v>600</v>
      </c>
      <c r="AX7066" s="16"/>
    </row>
    <row r="7067" spans="2:50" x14ac:dyDescent="0.2">
      <c r="B7067" s="7"/>
      <c r="C7067" s="8">
        <v>17121</v>
      </c>
      <c r="D7067" s="9" t="s">
        <v>340</v>
      </c>
      <c r="E7067" s="10" t="str">
        <f t="shared" si="1406"/>
        <v>Rancho Romeral No. 17</v>
      </c>
      <c r="F7067" s="10" t="str">
        <f t="shared" si="1407"/>
        <v>Aguilar Lomelí</v>
      </c>
      <c r="G7067" s="8">
        <v>1</v>
      </c>
      <c r="H7067" s="11">
        <v>1200</v>
      </c>
      <c r="I7067" s="12">
        <v>43338</v>
      </c>
      <c r="J7067" s="35">
        <f t="shared" si="1408"/>
        <v>0</v>
      </c>
      <c r="K7067" s="36"/>
      <c r="L7067" s="36"/>
      <c r="M7067" s="36"/>
      <c r="N7067" s="36"/>
      <c r="O7067" s="36"/>
      <c r="P7067" s="36"/>
      <c r="Q7067" s="36"/>
      <c r="R7067" s="36"/>
      <c r="S7067" s="36"/>
      <c r="T7067" s="36"/>
      <c r="U7067" s="36"/>
      <c r="V7067" s="36"/>
      <c r="W7067" s="15">
        <f t="shared" si="1409"/>
        <v>0</v>
      </c>
      <c r="X7067" s="36"/>
      <c r="Y7067" s="36"/>
      <c r="Z7067" s="36"/>
      <c r="AA7067" s="36"/>
      <c r="AB7067" s="36"/>
      <c r="AC7067" s="36"/>
      <c r="AD7067" s="36"/>
      <c r="AE7067" s="36"/>
      <c r="AF7067" s="36"/>
      <c r="AG7067" s="36"/>
      <c r="AH7067" s="36"/>
      <c r="AI7067" s="36"/>
      <c r="AJ7067" s="15">
        <f t="shared" si="1410"/>
        <v>0</v>
      </c>
      <c r="AK7067" s="14"/>
      <c r="AL7067" s="14"/>
      <c r="AM7067" s="14"/>
      <c r="AN7067" s="14"/>
      <c r="AO7067" s="14"/>
      <c r="AP7067" s="14"/>
      <c r="AQ7067" s="14">
        <v>400</v>
      </c>
      <c r="AR7067" s="14">
        <v>400</v>
      </c>
      <c r="AS7067" s="14">
        <v>400</v>
      </c>
      <c r="AT7067" s="14"/>
      <c r="AU7067" s="14"/>
      <c r="AV7067" s="14"/>
      <c r="AW7067" s="15">
        <f t="shared" si="1411"/>
        <v>1200</v>
      </c>
      <c r="AX7067" s="16"/>
    </row>
    <row r="7068" spans="2:50" x14ac:dyDescent="0.2">
      <c r="B7068" s="7"/>
      <c r="C7068" s="8">
        <v>17122</v>
      </c>
      <c r="D7068" s="9" t="s">
        <v>331</v>
      </c>
      <c r="E7068" s="10" t="str">
        <f t="shared" si="1406"/>
        <v>Rancho Recoveco No. 197</v>
      </c>
      <c r="F7068" s="10" t="str">
        <f t="shared" si="1407"/>
        <v>Colín González</v>
      </c>
      <c r="G7068" s="8">
        <v>1</v>
      </c>
      <c r="H7068" s="11">
        <v>400</v>
      </c>
      <c r="I7068" s="12">
        <v>43338</v>
      </c>
      <c r="J7068" s="35">
        <f t="shared" si="1408"/>
        <v>0</v>
      </c>
      <c r="K7068" s="36"/>
      <c r="L7068" s="36"/>
      <c r="M7068" s="36"/>
      <c r="N7068" s="36"/>
      <c r="O7068" s="36"/>
      <c r="P7068" s="36"/>
      <c r="Q7068" s="36"/>
      <c r="R7068" s="36"/>
      <c r="S7068" s="36"/>
      <c r="T7068" s="36"/>
      <c r="U7068" s="36"/>
      <c r="V7068" s="36"/>
      <c r="W7068" s="15">
        <f t="shared" si="1409"/>
        <v>0</v>
      </c>
      <c r="X7068" s="36"/>
      <c r="Y7068" s="36"/>
      <c r="Z7068" s="36"/>
      <c r="AA7068" s="36"/>
      <c r="AB7068" s="36"/>
      <c r="AC7068" s="36"/>
      <c r="AD7068" s="36"/>
      <c r="AE7068" s="36"/>
      <c r="AF7068" s="36"/>
      <c r="AG7068" s="36"/>
      <c r="AH7068" s="36"/>
      <c r="AI7068" s="36"/>
      <c r="AJ7068" s="15">
        <f t="shared" si="1410"/>
        <v>0</v>
      </c>
      <c r="AK7068" s="14"/>
      <c r="AL7068" s="14"/>
      <c r="AM7068" s="14"/>
      <c r="AN7068" s="14"/>
      <c r="AO7068" s="14"/>
      <c r="AP7068" s="14"/>
      <c r="AQ7068" s="14"/>
      <c r="AR7068" s="14">
        <v>400</v>
      </c>
      <c r="AS7068" s="14"/>
      <c r="AT7068" s="14"/>
      <c r="AU7068" s="14"/>
      <c r="AV7068" s="14"/>
      <c r="AW7068" s="15">
        <f t="shared" si="1411"/>
        <v>400</v>
      </c>
      <c r="AX7068" s="16"/>
    </row>
    <row r="7069" spans="2:50" x14ac:dyDescent="0.2">
      <c r="B7069" s="7"/>
      <c r="C7069" s="8">
        <v>17123</v>
      </c>
      <c r="D7069" s="9" t="s">
        <v>1055</v>
      </c>
      <c r="E7069" s="10" t="str">
        <f t="shared" si="1406"/>
        <v>Rancho Estanzuela No. 119, 4</v>
      </c>
      <c r="F7069" s="10" t="str">
        <f t="shared" si="1407"/>
        <v>Pérez Martínez</v>
      </c>
      <c r="G7069" s="8">
        <v>1</v>
      </c>
      <c r="H7069" s="11">
        <v>400</v>
      </c>
      <c r="I7069" s="12">
        <v>43338</v>
      </c>
      <c r="J7069" s="35">
        <f t="shared" si="1408"/>
        <v>0</v>
      </c>
      <c r="K7069" s="36"/>
      <c r="L7069" s="36"/>
      <c r="M7069" s="36"/>
      <c r="N7069" s="36"/>
      <c r="O7069" s="36"/>
      <c r="P7069" s="36"/>
      <c r="Q7069" s="36"/>
      <c r="R7069" s="36"/>
      <c r="S7069" s="36"/>
      <c r="T7069" s="36"/>
      <c r="U7069" s="36"/>
      <c r="V7069" s="36"/>
      <c r="W7069" s="15">
        <f t="shared" si="1409"/>
        <v>0</v>
      </c>
      <c r="X7069" s="36"/>
      <c r="Y7069" s="36"/>
      <c r="Z7069" s="36"/>
      <c r="AA7069" s="36"/>
      <c r="AB7069" s="36"/>
      <c r="AC7069" s="36"/>
      <c r="AD7069" s="36"/>
      <c r="AE7069" s="36"/>
      <c r="AF7069" s="36"/>
      <c r="AG7069" s="36"/>
      <c r="AH7069" s="36"/>
      <c r="AI7069" s="36"/>
      <c r="AJ7069" s="15">
        <f t="shared" si="1410"/>
        <v>0</v>
      </c>
      <c r="AK7069" s="14"/>
      <c r="AL7069" s="14"/>
      <c r="AM7069" s="14"/>
      <c r="AN7069" s="14"/>
      <c r="AO7069" s="14"/>
      <c r="AP7069" s="14"/>
      <c r="AQ7069" s="14">
        <v>200</v>
      </c>
      <c r="AR7069" s="14">
        <v>200</v>
      </c>
      <c r="AS7069" s="14"/>
      <c r="AT7069" s="14"/>
      <c r="AU7069" s="14"/>
      <c r="AV7069" s="14"/>
      <c r="AW7069" s="15">
        <f t="shared" si="1411"/>
        <v>400</v>
      </c>
      <c r="AX7069" s="16"/>
    </row>
    <row r="7070" spans="2:50" x14ac:dyDescent="0.2">
      <c r="B7070" s="7"/>
      <c r="C7070" s="8">
        <v>17124</v>
      </c>
      <c r="D7070" s="9" t="s">
        <v>325</v>
      </c>
      <c r="E7070" s="10" t="str">
        <f t="shared" si="1406"/>
        <v>Rancho Upácuaro No. 120</v>
      </c>
      <c r="F7070" s="10" t="str">
        <f t="shared" si="1407"/>
        <v>Rayas Rivera</v>
      </c>
      <c r="G7070" s="8">
        <v>1</v>
      </c>
      <c r="H7070" s="11">
        <v>400</v>
      </c>
      <c r="I7070" s="12">
        <v>43338</v>
      </c>
      <c r="J7070" s="35">
        <f t="shared" si="1408"/>
        <v>0</v>
      </c>
      <c r="K7070" s="36"/>
      <c r="L7070" s="36"/>
      <c r="M7070" s="36"/>
      <c r="N7070" s="36"/>
      <c r="O7070" s="36"/>
      <c r="P7070" s="36"/>
      <c r="Q7070" s="36"/>
      <c r="R7070" s="36"/>
      <c r="S7070" s="36"/>
      <c r="T7070" s="36"/>
      <c r="U7070" s="36"/>
      <c r="V7070" s="36"/>
      <c r="W7070" s="15">
        <f t="shared" si="1409"/>
        <v>0</v>
      </c>
      <c r="X7070" s="36"/>
      <c r="Y7070" s="36"/>
      <c r="Z7070" s="36"/>
      <c r="AA7070" s="36"/>
      <c r="AB7070" s="36"/>
      <c r="AC7070" s="36"/>
      <c r="AD7070" s="36"/>
      <c r="AE7070" s="36"/>
      <c r="AF7070" s="36"/>
      <c r="AG7070" s="36"/>
      <c r="AH7070" s="36"/>
      <c r="AI7070" s="36"/>
      <c r="AJ7070" s="15">
        <f t="shared" si="1410"/>
        <v>0</v>
      </c>
      <c r="AK7070" s="14"/>
      <c r="AL7070" s="14"/>
      <c r="AM7070" s="14"/>
      <c r="AN7070" s="14"/>
      <c r="AO7070" s="14"/>
      <c r="AP7070" s="14"/>
      <c r="AQ7070" s="14"/>
      <c r="AR7070" s="14"/>
      <c r="AS7070" s="14">
        <v>400</v>
      </c>
      <c r="AT7070" s="14"/>
      <c r="AU7070" s="14"/>
      <c r="AV7070" s="14"/>
      <c r="AW7070" s="15">
        <f t="shared" si="1411"/>
        <v>400</v>
      </c>
      <c r="AX7070" s="16"/>
    </row>
    <row r="7071" spans="2:50" x14ac:dyDescent="0.2">
      <c r="B7071" s="7"/>
      <c r="C7071" s="8">
        <v>17125</v>
      </c>
      <c r="D7071" s="9" t="s">
        <v>622</v>
      </c>
      <c r="E7071" s="10" t="str">
        <f t="shared" si="1406"/>
        <v>Rancho Recoveco No. 175</v>
      </c>
      <c r="F7071" s="10" t="str">
        <f t="shared" si="1407"/>
        <v>Ramírez</v>
      </c>
      <c r="G7071" s="8">
        <v>3</v>
      </c>
      <c r="H7071" s="11">
        <v>200</v>
      </c>
      <c r="I7071" s="12">
        <v>43338</v>
      </c>
      <c r="J7071" s="35">
        <f t="shared" si="1408"/>
        <v>0</v>
      </c>
      <c r="K7071" s="36"/>
      <c r="L7071" s="36"/>
      <c r="M7071" s="36"/>
      <c r="N7071" s="36"/>
      <c r="O7071" s="36"/>
      <c r="P7071" s="36"/>
      <c r="Q7071" s="36"/>
      <c r="R7071" s="36"/>
      <c r="S7071" s="36"/>
      <c r="T7071" s="36"/>
      <c r="U7071" s="36"/>
      <c r="V7071" s="36"/>
      <c r="W7071" s="15">
        <f t="shared" si="1409"/>
        <v>0</v>
      </c>
      <c r="X7071" s="36"/>
      <c r="Y7071" s="36"/>
      <c r="Z7071" s="36"/>
      <c r="AA7071" s="36"/>
      <c r="AB7071" s="36"/>
      <c r="AC7071" s="36"/>
      <c r="AD7071" s="36"/>
      <c r="AE7071" s="36"/>
      <c r="AF7071" s="36"/>
      <c r="AG7071" s="36"/>
      <c r="AH7071" s="36"/>
      <c r="AI7071" s="36"/>
      <c r="AJ7071" s="15">
        <f t="shared" si="1410"/>
        <v>0</v>
      </c>
      <c r="AK7071" s="14"/>
      <c r="AL7071" s="14"/>
      <c r="AM7071" s="14"/>
      <c r="AN7071" s="14"/>
      <c r="AO7071" s="14"/>
      <c r="AP7071" s="14"/>
      <c r="AQ7071" s="14"/>
      <c r="AR7071" s="14"/>
      <c r="AS7071" s="14"/>
      <c r="AT7071" s="14"/>
      <c r="AU7071" s="14"/>
      <c r="AV7071" s="14"/>
      <c r="AW7071" s="15">
        <f t="shared" si="1411"/>
        <v>0</v>
      </c>
      <c r="AX7071" s="16"/>
    </row>
    <row r="7072" spans="2:50" x14ac:dyDescent="0.2">
      <c r="B7072" s="7"/>
      <c r="C7072" s="8">
        <v>17126</v>
      </c>
      <c r="D7072" s="9" t="s">
        <v>837</v>
      </c>
      <c r="E7072" s="10" t="str">
        <f t="shared" si="1406"/>
        <v>Rancho Estanzuela No. 67</v>
      </c>
      <c r="F7072" s="10" t="str">
        <f t="shared" si="1407"/>
        <v>Carmona Galarza</v>
      </c>
      <c r="G7072" s="8">
        <v>1</v>
      </c>
      <c r="H7072" s="11">
        <v>1200</v>
      </c>
      <c r="I7072" s="12">
        <v>43338</v>
      </c>
      <c r="J7072" s="35">
        <f t="shared" si="1408"/>
        <v>0</v>
      </c>
      <c r="K7072" s="36"/>
      <c r="L7072" s="36"/>
      <c r="M7072" s="36"/>
      <c r="N7072" s="36"/>
      <c r="O7072" s="36"/>
      <c r="P7072" s="36"/>
      <c r="Q7072" s="36"/>
      <c r="R7072" s="36"/>
      <c r="S7072" s="36"/>
      <c r="T7072" s="36"/>
      <c r="U7072" s="36"/>
      <c r="V7072" s="36"/>
      <c r="W7072" s="15">
        <f t="shared" si="1409"/>
        <v>0</v>
      </c>
      <c r="X7072" s="36"/>
      <c r="Y7072" s="36"/>
      <c r="Z7072" s="36"/>
      <c r="AA7072" s="36"/>
      <c r="AB7072" s="36"/>
      <c r="AC7072" s="36"/>
      <c r="AD7072" s="36"/>
      <c r="AE7072" s="36"/>
      <c r="AF7072" s="36"/>
      <c r="AG7072" s="36"/>
      <c r="AH7072" s="36"/>
      <c r="AI7072" s="36"/>
      <c r="AJ7072" s="15">
        <f t="shared" si="1410"/>
        <v>0</v>
      </c>
      <c r="AK7072" s="14"/>
      <c r="AL7072" s="14"/>
      <c r="AM7072" s="14"/>
      <c r="AN7072" s="14"/>
      <c r="AO7072" s="14"/>
      <c r="AP7072" s="14"/>
      <c r="AQ7072" s="14">
        <v>400</v>
      </c>
      <c r="AR7072" s="14">
        <v>400</v>
      </c>
      <c r="AS7072" s="14">
        <v>400</v>
      </c>
      <c r="AT7072" s="14"/>
      <c r="AU7072" s="14"/>
      <c r="AV7072" s="14"/>
      <c r="AW7072" s="15">
        <f t="shared" si="1411"/>
        <v>1200</v>
      </c>
      <c r="AX7072" s="16"/>
    </row>
    <row r="7073" spans="2:51" x14ac:dyDescent="0.2">
      <c r="B7073" s="7"/>
      <c r="C7073" s="8">
        <v>17127</v>
      </c>
      <c r="D7073" s="9" t="s">
        <v>899</v>
      </c>
      <c r="E7073" s="10" t="str">
        <f t="shared" si="1406"/>
        <v>Rancho Landero No. 8</v>
      </c>
      <c r="F7073" s="10" t="str">
        <f t="shared" si="1407"/>
        <v>Garces Suarez</v>
      </c>
      <c r="G7073" s="8">
        <v>1</v>
      </c>
      <c r="H7073" s="11">
        <v>1200</v>
      </c>
      <c r="I7073" s="12">
        <v>43338</v>
      </c>
      <c r="J7073" s="35">
        <f t="shared" si="1408"/>
        <v>0</v>
      </c>
      <c r="K7073" s="36"/>
      <c r="L7073" s="36"/>
      <c r="M7073" s="36"/>
      <c r="N7073" s="36"/>
      <c r="O7073" s="36"/>
      <c r="P7073" s="36"/>
      <c r="Q7073" s="36"/>
      <c r="R7073" s="36"/>
      <c r="S7073" s="36"/>
      <c r="T7073" s="36"/>
      <c r="U7073" s="36"/>
      <c r="V7073" s="36"/>
      <c r="W7073" s="15">
        <f t="shared" si="1409"/>
        <v>0</v>
      </c>
      <c r="X7073" s="36"/>
      <c r="Y7073" s="36"/>
      <c r="Z7073" s="36"/>
      <c r="AA7073" s="36"/>
      <c r="AB7073" s="36"/>
      <c r="AC7073" s="36"/>
      <c r="AD7073" s="36"/>
      <c r="AE7073" s="36"/>
      <c r="AF7073" s="36"/>
      <c r="AG7073" s="36"/>
      <c r="AH7073" s="36"/>
      <c r="AI7073" s="36"/>
      <c r="AJ7073" s="15">
        <f t="shared" si="1410"/>
        <v>0</v>
      </c>
      <c r="AK7073" s="14"/>
      <c r="AL7073" s="14"/>
      <c r="AM7073" s="14"/>
      <c r="AN7073" s="14"/>
      <c r="AO7073" s="14"/>
      <c r="AP7073" s="14"/>
      <c r="AQ7073" s="14"/>
      <c r="AR7073" s="14">
        <v>400</v>
      </c>
      <c r="AS7073" s="14">
        <v>400</v>
      </c>
      <c r="AT7073" s="14">
        <v>400</v>
      </c>
      <c r="AU7073" s="14"/>
      <c r="AV7073" s="14"/>
      <c r="AW7073" s="15">
        <f t="shared" si="1411"/>
        <v>1200</v>
      </c>
      <c r="AX7073" s="16"/>
    </row>
    <row r="7074" spans="2:51" x14ac:dyDescent="0.2">
      <c r="B7074" s="7"/>
      <c r="C7074" s="8">
        <v>17128</v>
      </c>
      <c r="D7074" s="9" t="s">
        <v>316</v>
      </c>
      <c r="E7074" s="10" t="str">
        <f t="shared" si="1406"/>
        <v>Rancho Estanzuela No. 147, 1</v>
      </c>
      <c r="F7074" s="10" t="str">
        <f t="shared" si="1407"/>
        <v>De la Rosa Enrique</v>
      </c>
      <c r="G7074" s="8">
        <v>1</v>
      </c>
      <c r="H7074" s="11">
        <v>300</v>
      </c>
      <c r="I7074" s="12">
        <v>43338</v>
      </c>
      <c r="J7074" s="35">
        <f t="shared" si="1408"/>
        <v>0</v>
      </c>
      <c r="K7074" s="36"/>
      <c r="L7074" s="36"/>
      <c r="M7074" s="36"/>
      <c r="N7074" s="36"/>
      <c r="O7074" s="36"/>
      <c r="P7074" s="36"/>
      <c r="Q7074" s="36"/>
      <c r="R7074" s="36"/>
      <c r="S7074" s="36"/>
      <c r="T7074" s="36"/>
      <c r="U7074" s="36"/>
      <c r="V7074" s="36"/>
      <c r="W7074" s="15">
        <f t="shared" si="1409"/>
        <v>0</v>
      </c>
      <c r="X7074" s="36"/>
      <c r="Y7074" s="36"/>
      <c r="Z7074" s="36"/>
      <c r="AA7074" s="36"/>
      <c r="AB7074" s="36"/>
      <c r="AC7074" s="36"/>
      <c r="AD7074" s="36"/>
      <c r="AE7074" s="36"/>
      <c r="AF7074" s="36"/>
      <c r="AG7074" s="36"/>
      <c r="AH7074" s="36"/>
      <c r="AI7074" s="36"/>
      <c r="AJ7074" s="15">
        <f t="shared" si="1410"/>
        <v>0</v>
      </c>
      <c r="AK7074" s="14"/>
      <c r="AL7074" s="14"/>
      <c r="AM7074" s="14"/>
      <c r="AN7074" s="14">
        <v>100</v>
      </c>
      <c r="AO7074" s="14">
        <v>100</v>
      </c>
      <c r="AP7074" s="14">
        <v>100</v>
      </c>
      <c r="AQ7074" s="14"/>
      <c r="AR7074" s="14"/>
      <c r="AS7074" s="14"/>
      <c r="AT7074" s="14"/>
      <c r="AU7074" s="14"/>
      <c r="AV7074" s="14"/>
      <c r="AW7074" s="15">
        <f t="shared" si="1411"/>
        <v>300</v>
      </c>
      <c r="AX7074" s="16"/>
    </row>
    <row r="7075" spans="2:51" x14ac:dyDescent="0.2">
      <c r="B7075" s="7"/>
      <c r="C7075" s="8">
        <v>17129</v>
      </c>
      <c r="D7075" s="9" t="s">
        <v>319</v>
      </c>
      <c r="E7075" s="10" t="str">
        <f t="shared" si="1406"/>
        <v>Rancho Estanzuela No. 147, 2</v>
      </c>
      <c r="F7075" s="10" t="str">
        <f t="shared" si="1407"/>
        <v>Figueroa</v>
      </c>
      <c r="G7075" s="8">
        <v>1</v>
      </c>
      <c r="H7075" s="11">
        <v>300</v>
      </c>
      <c r="I7075" s="12">
        <v>43338</v>
      </c>
      <c r="J7075" s="35">
        <f t="shared" si="1408"/>
        <v>0</v>
      </c>
      <c r="K7075" s="36"/>
      <c r="L7075" s="36"/>
      <c r="M7075" s="36"/>
      <c r="N7075" s="36"/>
      <c r="O7075" s="36"/>
      <c r="P7075" s="36"/>
      <c r="Q7075" s="36"/>
      <c r="R7075" s="36"/>
      <c r="S7075" s="36"/>
      <c r="T7075" s="36"/>
      <c r="U7075" s="36"/>
      <c r="V7075" s="36"/>
      <c r="W7075" s="15">
        <f t="shared" si="1409"/>
        <v>0</v>
      </c>
      <c r="X7075" s="36"/>
      <c r="Y7075" s="36"/>
      <c r="Z7075" s="36"/>
      <c r="AA7075" s="36"/>
      <c r="AB7075" s="36"/>
      <c r="AC7075" s="36"/>
      <c r="AD7075" s="36"/>
      <c r="AE7075" s="36"/>
      <c r="AF7075" s="36"/>
      <c r="AG7075" s="36"/>
      <c r="AH7075" s="36"/>
      <c r="AI7075" s="36"/>
      <c r="AJ7075" s="15">
        <f t="shared" si="1410"/>
        <v>0</v>
      </c>
      <c r="AK7075" s="14"/>
      <c r="AL7075" s="14"/>
      <c r="AM7075" s="14"/>
      <c r="AN7075" s="14">
        <v>100</v>
      </c>
      <c r="AO7075" s="14">
        <v>100</v>
      </c>
      <c r="AP7075" s="14">
        <v>100</v>
      </c>
      <c r="AQ7075" s="14"/>
      <c r="AR7075" s="14"/>
      <c r="AS7075" s="14"/>
      <c r="AT7075" s="14"/>
      <c r="AU7075" s="14"/>
      <c r="AV7075" s="14"/>
      <c r="AW7075" s="15">
        <f t="shared" si="1411"/>
        <v>300</v>
      </c>
      <c r="AX7075" s="16"/>
    </row>
    <row r="7076" spans="2:51" x14ac:dyDescent="0.2">
      <c r="B7076" s="7"/>
      <c r="C7076" s="8">
        <v>17130</v>
      </c>
      <c r="D7076" s="9" t="s">
        <v>259</v>
      </c>
      <c r="E7076" s="10" t="str">
        <f t="shared" si="1406"/>
        <v>Rancho Estanzuela No. 55</v>
      </c>
      <c r="F7076" s="10" t="str">
        <f t="shared" si="1407"/>
        <v>Rodríguez Acevedo</v>
      </c>
      <c r="G7076" s="8">
        <v>1</v>
      </c>
      <c r="H7076" s="11">
        <v>400</v>
      </c>
      <c r="I7076" s="12">
        <v>43338</v>
      </c>
      <c r="J7076" s="35">
        <f t="shared" si="1408"/>
        <v>0</v>
      </c>
      <c r="K7076" s="36"/>
      <c r="L7076" s="36"/>
      <c r="M7076" s="36"/>
      <c r="N7076" s="36"/>
      <c r="O7076" s="36"/>
      <c r="P7076" s="36"/>
      <c r="Q7076" s="36"/>
      <c r="R7076" s="36"/>
      <c r="S7076" s="36"/>
      <c r="T7076" s="36"/>
      <c r="U7076" s="36"/>
      <c r="V7076" s="36"/>
      <c r="W7076" s="15">
        <f t="shared" si="1409"/>
        <v>0</v>
      </c>
      <c r="X7076" s="36"/>
      <c r="Y7076" s="36"/>
      <c r="Z7076" s="36"/>
      <c r="AA7076" s="36"/>
      <c r="AB7076" s="36"/>
      <c r="AC7076" s="36"/>
      <c r="AD7076" s="36"/>
      <c r="AE7076" s="36"/>
      <c r="AF7076" s="36"/>
      <c r="AG7076" s="36"/>
      <c r="AH7076" s="36"/>
      <c r="AI7076" s="36"/>
      <c r="AJ7076" s="15">
        <f t="shared" si="1410"/>
        <v>0</v>
      </c>
      <c r="AK7076" s="14"/>
      <c r="AL7076" s="14"/>
      <c r="AM7076" s="14"/>
      <c r="AN7076" s="14"/>
      <c r="AO7076" s="14"/>
      <c r="AP7076" s="14"/>
      <c r="AQ7076" s="14"/>
      <c r="AR7076" s="14">
        <v>400</v>
      </c>
      <c r="AS7076" s="14"/>
      <c r="AT7076" s="14"/>
      <c r="AU7076" s="14"/>
      <c r="AV7076" s="14"/>
      <c r="AW7076" s="15">
        <f t="shared" si="1411"/>
        <v>400</v>
      </c>
      <c r="AX7076" s="16"/>
    </row>
    <row r="7077" spans="2:51" x14ac:dyDescent="0.2">
      <c r="B7077" s="7"/>
      <c r="C7077" s="8">
        <v>17131</v>
      </c>
      <c r="D7077" s="9" t="s">
        <v>523</v>
      </c>
      <c r="E7077" s="10" t="str">
        <f t="shared" si="1406"/>
        <v>Rancho Estanzuela No. 139</v>
      </c>
      <c r="F7077" s="10" t="str">
        <f t="shared" si="1407"/>
        <v xml:space="preserve">Ortiz   </v>
      </c>
      <c r="G7077" s="8">
        <v>1</v>
      </c>
      <c r="H7077" s="11">
        <v>400</v>
      </c>
      <c r="I7077" s="12">
        <v>43338</v>
      </c>
      <c r="J7077" s="35">
        <f t="shared" si="1408"/>
        <v>0</v>
      </c>
      <c r="K7077" s="36"/>
      <c r="L7077" s="36"/>
      <c r="M7077" s="36"/>
      <c r="N7077" s="36"/>
      <c r="O7077" s="36"/>
      <c r="P7077" s="36"/>
      <c r="Q7077" s="36"/>
      <c r="R7077" s="36"/>
      <c r="S7077" s="36"/>
      <c r="T7077" s="36"/>
      <c r="U7077" s="36"/>
      <c r="V7077" s="36"/>
      <c r="W7077" s="15">
        <f t="shared" si="1409"/>
        <v>0</v>
      </c>
      <c r="X7077" s="36"/>
      <c r="Y7077" s="36"/>
      <c r="Z7077" s="36"/>
      <c r="AA7077" s="36"/>
      <c r="AB7077" s="36"/>
      <c r="AC7077" s="36"/>
      <c r="AD7077" s="36"/>
      <c r="AE7077" s="36"/>
      <c r="AF7077" s="36"/>
      <c r="AG7077" s="36"/>
      <c r="AH7077" s="36"/>
      <c r="AI7077" s="36"/>
      <c r="AJ7077" s="15">
        <f t="shared" si="1410"/>
        <v>0</v>
      </c>
      <c r="AK7077" s="14"/>
      <c r="AL7077" s="14"/>
      <c r="AM7077" s="14"/>
      <c r="AN7077" s="14"/>
      <c r="AO7077" s="14"/>
      <c r="AP7077" s="14"/>
      <c r="AQ7077" s="14">
        <v>400</v>
      </c>
      <c r="AR7077" s="14"/>
      <c r="AS7077" s="14"/>
      <c r="AT7077" s="14"/>
      <c r="AU7077" s="14"/>
      <c r="AV7077" s="14"/>
      <c r="AW7077" s="15">
        <f t="shared" si="1411"/>
        <v>400</v>
      </c>
      <c r="AX7077" s="16"/>
    </row>
    <row r="7078" spans="2:51" x14ac:dyDescent="0.2">
      <c r="B7078" s="7"/>
      <c r="C7078" s="8">
        <v>17132</v>
      </c>
      <c r="D7078" s="9" t="s">
        <v>431</v>
      </c>
      <c r="E7078" s="10" t="str">
        <f t="shared" si="1406"/>
        <v>Rancho Landero No. 63</v>
      </c>
      <c r="F7078" s="10" t="str">
        <f t="shared" si="1407"/>
        <v>Hernández Chávez</v>
      </c>
      <c r="G7078" s="8">
        <v>1</v>
      </c>
      <c r="H7078" s="11">
        <v>800</v>
      </c>
      <c r="I7078" s="12">
        <v>43338</v>
      </c>
      <c r="J7078" s="35">
        <f t="shared" si="1408"/>
        <v>0</v>
      </c>
      <c r="K7078" s="36"/>
      <c r="L7078" s="36"/>
      <c r="M7078" s="36"/>
      <c r="N7078" s="36"/>
      <c r="O7078" s="36"/>
      <c r="P7078" s="36"/>
      <c r="Q7078" s="36"/>
      <c r="R7078" s="36"/>
      <c r="S7078" s="36"/>
      <c r="T7078" s="36"/>
      <c r="U7078" s="36"/>
      <c r="V7078" s="36"/>
      <c r="W7078" s="15">
        <f t="shared" si="1409"/>
        <v>0</v>
      </c>
      <c r="X7078" s="36"/>
      <c r="Y7078" s="36"/>
      <c r="Z7078" s="36"/>
      <c r="AA7078" s="36"/>
      <c r="AB7078" s="36"/>
      <c r="AC7078" s="36"/>
      <c r="AD7078" s="36"/>
      <c r="AE7078" s="36"/>
      <c r="AF7078" s="36"/>
      <c r="AG7078" s="36"/>
      <c r="AH7078" s="36"/>
      <c r="AI7078" s="36"/>
      <c r="AJ7078" s="15">
        <f t="shared" si="1410"/>
        <v>0</v>
      </c>
      <c r="AK7078" s="14"/>
      <c r="AL7078" s="14"/>
      <c r="AM7078" s="14"/>
      <c r="AN7078" s="14"/>
      <c r="AO7078" s="14"/>
      <c r="AP7078" s="14">
        <v>400</v>
      </c>
      <c r="AQ7078" s="14">
        <v>400</v>
      </c>
      <c r="AR7078" s="14"/>
      <c r="AS7078" s="14"/>
      <c r="AT7078" s="14"/>
      <c r="AU7078" s="14"/>
      <c r="AV7078" s="14"/>
      <c r="AW7078" s="15">
        <f t="shared" si="1411"/>
        <v>800</v>
      </c>
      <c r="AX7078" s="16"/>
    </row>
    <row r="7079" spans="2:51" x14ac:dyDescent="0.2">
      <c r="B7079" s="7"/>
      <c r="C7079" s="8">
        <v>17133</v>
      </c>
      <c r="D7079" s="9" t="s">
        <v>3178</v>
      </c>
      <c r="E7079" s="10" t="str">
        <f t="shared" si="1406"/>
        <v>Rancho La Cuchilla No. 103</v>
      </c>
      <c r="F7079" s="10" t="str">
        <f t="shared" si="1407"/>
        <v>Bernal</v>
      </c>
      <c r="G7079" s="8">
        <v>1</v>
      </c>
      <c r="H7079" s="11">
        <v>1000</v>
      </c>
      <c r="I7079" s="12">
        <v>43338</v>
      </c>
      <c r="J7079" s="35">
        <f t="shared" si="1408"/>
        <v>0</v>
      </c>
      <c r="K7079" s="36"/>
      <c r="L7079" s="36"/>
      <c r="M7079" s="36"/>
      <c r="N7079" s="36"/>
      <c r="O7079" s="36"/>
      <c r="P7079" s="36"/>
      <c r="Q7079" s="36"/>
      <c r="R7079" s="36"/>
      <c r="S7079" s="36"/>
      <c r="T7079" s="36"/>
      <c r="U7079" s="36"/>
      <c r="V7079" s="36"/>
      <c r="W7079" s="15">
        <f t="shared" si="1409"/>
        <v>0</v>
      </c>
      <c r="X7079" s="36"/>
      <c r="Y7079" s="36"/>
      <c r="Z7079" s="36"/>
      <c r="AA7079" s="36"/>
      <c r="AB7079" s="36"/>
      <c r="AC7079" s="36"/>
      <c r="AD7079" s="36"/>
      <c r="AE7079" s="36"/>
      <c r="AF7079" s="36"/>
      <c r="AG7079" s="36"/>
      <c r="AH7079" s="36"/>
      <c r="AI7079" s="36"/>
      <c r="AJ7079" s="15">
        <f t="shared" si="1410"/>
        <v>0</v>
      </c>
      <c r="AK7079" s="14"/>
      <c r="AL7079" s="14"/>
      <c r="AM7079" s="14"/>
      <c r="AN7079" s="14"/>
      <c r="AO7079" s="14"/>
      <c r="AP7079" s="14"/>
      <c r="AQ7079" s="14"/>
      <c r="AR7079" s="14">
        <v>500</v>
      </c>
      <c r="AS7079" s="14">
        <v>500</v>
      </c>
      <c r="AT7079" s="14"/>
      <c r="AU7079" s="14"/>
      <c r="AV7079" s="14"/>
      <c r="AW7079" s="15">
        <f t="shared" si="1411"/>
        <v>1000</v>
      </c>
      <c r="AX7079" s="16"/>
    </row>
    <row r="7080" spans="2:51" x14ac:dyDescent="0.2">
      <c r="B7080" s="7"/>
      <c r="C7080" s="8">
        <v>17134</v>
      </c>
      <c r="D7080" s="9" t="s">
        <v>965</v>
      </c>
      <c r="E7080" s="10" t="str">
        <f t="shared" si="1376"/>
        <v>Rancho La Cuchilla No. 52</v>
      </c>
      <c r="F7080" s="10" t="str">
        <f t="shared" si="1377"/>
        <v>Velázquez</v>
      </c>
      <c r="G7080" s="8">
        <v>1</v>
      </c>
      <c r="H7080" s="11">
        <v>1200</v>
      </c>
      <c r="I7080" s="12">
        <v>43338</v>
      </c>
      <c r="J7080" s="35">
        <f t="shared" si="1378"/>
        <v>0</v>
      </c>
      <c r="K7080" s="36"/>
      <c r="L7080" s="36"/>
      <c r="M7080" s="36"/>
      <c r="N7080" s="36"/>
      <c r="O7080" s="36"/>
      <c r="P7080" s="36"/>
      <c r="Q7080" s="36"/>
      <c r="R7080" s="36"/>
      <c r="S7080" s="36"/>
      <c r="T7080" s="36"/>
      <c r="U7080" s="36"/>
      <c r="V7080" s="36"/>
      <c r="W7080" s="15">
        <f t="shared" si="1379"/>
        <v>0</v>
      </c>
      <c r="X7080" s="36"/>
      <c r="Y7080" s="36"/>
      <c r="Z7080" s="36"/>
      <c r="AA7080" s="36"/>
      <c r="AB7080" s="36"/>
      <c r="AC7080" s="36"/>
      <c r="AD7080" s="36"/>
      <c r="AE7080" s="36"/>
      <c r="AF7080" s="36"/>
      <c r="AG7080" s="36"/>
      <c r="AH7080" s="36"/>
      <c r="AI7080" s="36"/>
      <c r="AJ7080" s="15">
        <f t="shared" si="1380"/>
        <v>0</v>
      </c>
      <c r="AK7080" s="14"/>
      <c r="AL7080" s="14">
        <v>400</v>
      </c>
      <c r="AM7080" s="14">
        <v>400</v>
      </c>
      <c r="AN7080" s="14">
        <v>400</v>
      </c>
      <c r="AO7080" s="14"/>
      <c r="AP7080" s="14"/>
      <c r="AQ7080" s="14"/>
      <c r="AR7080" s="14"/>
      <c r="AS7080" s="14"/>
      <c r="AT7080" s="14"/>
      <c r="AU7080" s="14"/>
      <c r="AV7080" s="14"/>
      <c r="AW7080" s="15">
        <f t="shared" si="1381"/>
        <v>1200</v>
      </c>
      <c r="AX7080" s="16"/>
    </row>
    <row r="7081" spans="2:51" x14ac:dyDescent="0.2">
      <c r="B7081" s="7"/>
      <c r="C7081" s="8">
        <v>17135</v>
      </c>
      <c r="D7081" s="9" t="s">
        <v>858</v>
      </c>
      <c r="E7081" s="10" t="str">
        <f t="shared" si="1376"/>
        <v>Rancho Landero No. 45</v>
      </c>
      <c r="F7081" s="10" t="str">
        <f t="shared" si="1377"/>
        <v>Solano</v>
      </c>
      <c r="G7081" s="8">
        <v>5</v>
      </c>
      <c r="H7081" s="11">
        <v>50</v>
      </c>
      <c r="I7081" s="12">
        <v>43338</v>
      </c>
      <c r="J7081" s="35">
        <f t="shared" si="1378"/>
        <v>0</v>
      </c>
      <c r="K7081" s="36"/>
      <c r="L7081" s="36"/>
      <c r="M7081" s="36"/>
      <c r="N7081" s="36"/>
      <c r="O7081" s="36"/>
      <c r="P7081" s="36"/>
      <c r="Q7081" s="36"/>
      <c r="R7081" s="36"/>
      <c r="S7081" s="36"/>
      <c r="T7081" s="36"/>
      <c r="U7081" s="36"/>
      <c r="V7081" s="36"/>
      <c r="W7081" s="15">
        <f t="shared" si="1379"/>
        <v>0</v>
      </c>
      <c r="X7081" s="36"/>
      <c r="Y7081" s="36"/>
      <c r="Z7081" s="36"/>
      <c r="AA7081" s="36"/>
      <c r="AB7081" s="36"/>
      <c r="AC7081" s="36"/>
      <c r="AD7081" s="36"/>
      <c r="AE7081" s="36"/>
      <c r="AF7081" s="36"/>
      <c r="AG7081" s="36"/>
      <c r="AH7081" s="36"/>
      <c r="AI7081" s="36"/>
      <c r="AJ7081" s="15">
        <f t="shared" si="1380"/>
        <v>0</v>
      </c>
      <c r="AK7081" s="14"/>
      <c r="AL7081" s="14"/>
      <c r="AM7081" s="14"/>
      <c r="AN7081" s="14"/>
      <c r="AO7081" s="14"/>
      <c r="AP7081" s="14"/>
      <c r="AQ7081" s="14"/>
      <c r="AR7081" s="14"/>
      <c r="AS7081" s="14"/>
      <c r="AT7081" s="14"/>
      <c r="AU7081" s="14"/>
      <c r="AV7081" s="14"/>
      <c r="AW7081" s="15">
        <f t="shared" si="1381"/>
        <v>0</v>
      </c>
      <c r="AX7081" s="16"/>
    </row>
    <row r="7082" spans="2:51" x14ac:dyDescent="0.2">
      <c r="B7082" s="7"/>
      <c r="C7082" s="8">
        <v>17136</v>
      </c>
      <c r="D7082" s="9" t="s">
        <v>384</v>
      </c>
      <c r="E7082" s="10" t="str">
        <f t="shared" ref="E7082:E7087" si="1412">IF(D7082=0,"",VLOOKUP(D7082,BASE,2,FALSE))</f>
        <v>Rancho Zinamba No. 88</v>
      </c>
      <c r="F7082" s="10" t="str">
        <f t="shared" ref="F7082:F7087" si="1413">IF(D7082=0,"",VLOOKUP(D7082,BASE,3,FALSE))</f>
        <v>Martínez</v>
      </c>
      <c r="G7082" s="8">
        <v>1</v>
      </c>
      <c r="H7082" s="11">
        <v>300</v>
      </c>
      <c r="I7082" s="12">
        <v>43338</v>
      </c>
      <c r="J7082" s="35">
        <f t="shared" ref="J7082:J7087" si="1414">IF(G7082=1,SUM(W7082,AJ7082,AW7082,-H7082),0)</f>
        <v>0</v>
      </c>
      <c r="K7082" s="36"/>
      <c r="L7082" s="36"/>
      <c r="M7082" s="36"/>
      <c r="N7082" s="36"/>
      <c r="O7082" s="36"/>
      <c r="P7082" s="36"/>
      <c r="Q7082" s="36"/>
      <c r="R7082" s="36"/>
      <c r="S7082" s="36"/>
      <c r="T7082" s="36"/>
      <c r="U7082" s="36"/>
      <c r="V7082" s="36"/>
      <c r="W7082" s="15">
        <f t="shared" ref="W7082:W7087" si="1415">SUM(K7082:V7082)</f>
        <v>0</v>
      </c>
      <c r="X7082" s="36"/>
      <c r="Y7082" s="36"/>
      <c r="Z7082" s="36"/>
      <c r="AA7082" s="36"/>
      <c r="AB7082" s="36"/>
      <c r="AC7082" s="36"/>
      <c r="AD7082" s="36"/>
      <c r="AE7082" s="36"/>
      <c r="AF7082" s="36"/>
      <c r="AG7082" s="36"/>
      <c r="AH7082" s="36"/>
      <c r="AI7082" s="36"/>
      <c r="AJ7082" s="15">
        <f t="shared" ref="AJ7082:AJ7087" si="1416">SUM(X7082:AI7082)</f>
        <v>0</v>
      </c>
      <c r="AK7082" s="14"/>
      <c r="AL7082" s="14"/>
      <c r="AM7082" s="14"/>
      <c r="AN7082" s="14"/>
      <c r="AO7082" s="14"/>
      <c r="AP7082" s="14"/>
      <c r="AQ7082" s="14"/>
      <c r="AR7082" s="14"/>
      <c r="AS7082" s="14">
        <v>300</v>
      </c>
      <c r="AT7082" s="14"/>
      <c r="AU7082" s="14"/>
      <c r="AV7082" s="14"/>
      <c r="AW7082" s="15">
        <f t="shared" ref="AW7082:AW7087" si="1417">SUM(AK7082:AV7082)</f>
        <v>300</v>
      </c>
      <c r="AX7082" s="16"/>
    </row>
    <row r="7083" spans="2:51" x14ac:dyDescent="0.2">
      <c r="B7083" s="7"/>
      <c r="C7083" s="8">
        <v>17137</v>
      </c>
      <c r="D7083" s="9" t="s">
        <v>473</v>
      </c>
      <c r="E7083" s="10" t="str">
        <f t="shared" si="1412"/>
        <v>Rancho Zinamba No. 14</v>
      </c>
      <c r="F7083" s="10" t="str">
        <f t="shared" si="1413"/>
        <v>Gutiérrez García</v>
      </c>
      <c r="G7083" s="8">
        <v>1</v>
      </c>
      <c r="H7083" s="11">
        <v>800</v>
      </c>
      <c r="I7083" s="12">
        <v>43338</v>
      </c>
      <c r="J7083" s="35">
        <f t="shared" si="1414"/>
        <v>0</v>
      </c>
      <c r="K7083" s="36"/>
      <c r="L7083" s="36"/>
      <c r="M7083" s="36"/>
      <c r="N7083" s="36"/>
      <c r="O7083" s="36"/>
      <c r="P7083" s="36"/>
      <c r="Q7083" s="36"/>
      <c r="R7083" s="36"/>
      <c r="S7083" s="36"/>
      <c r="T7083" s="36"/>
      <c r="U7083" s="36"/>
      <c r="V7083" s="36"/>
      <c r="W7083" s="15">
        <f t="shared" si="1415"/>
        <v>0</v>
      </c>
      <c r="X7083" s="36"/>
      <c r="Y7083" s="36"/>
      <c r="Z7083" s="36"/>
      <c r="AA7083" s="36"/>
      <c r="AB7083" s="36"/>
      <c r="AC7083" s="36"/>
      <c r="AD7083" s="36"/>
      <c r="AE7083" s="36"/>
      <c r="AF7083" s="36"/>
      <c r="AG7083" s="36"/>
      <c r="AH7083" s="36"/>
      <c r="AI7083" s="36"/>
      <c r="AJ7083" s="15">
        <f t="shared" si="1416"/>
        <v>0</v>
      </c>
      <c r="AK7083" s="14"/>
      <c r="AL7083" s="14"/>
      <c r="AM7083" s="14"/>
      <c r="AN7083" s="14"/>
      <c r="AO7083" s="14"/>
      <c r="AP7083" s="14"/>
      <c r="AQ7083" s="14">
        <v>400</v>
      </c>
      <c r="AR7083" s="14">
        <v>400</v>
      </c>
      <c r="AS7083" s="14"/>
      <c r="AT7083" s="14"/>
      <c r="AU7083" s="14"/>
      <c r="AV7083" s="14"/>
      <c r="AW7083" s="15">
        <f t="shared" si="1417"/>
        <v>800</v>
      </c>
      <c r="AX7083" s="16"/>
    </row>
    <row r="7084" spans="2:51" x14ac:dyDescent="0.2">
      <c r="B7084" s="7"/>
      <c r="C7084" s="8">
        <v>17138</v>
      </c>
      <c r="D7084" s="9" t="s">
        <v>1299</v>
      </c>
      <c r="E7084" s="10" t="str">
        <f t="shared" si="1412"/>
        <v>Rancho La Cuchilla No. 107</v>
      </c>
      <c r="F7084" s="10" t="str">
        <f t="shared" si="1413"/>
        <v>Quiñones, Eduardo</v>
      </c>
      <c r="G7084" s="8">
        <v>1</v>
      </c>
      <c r="H7084" s="11">
        <v>800</v>
      </c>
      <c r="I7084" s="12">
        <v>43338</v>
      </c>
      <c r="J7084" s="35">
        <f t="shared" si="1414"/>
        <v>0</v>
      </c>
      <c r="K7084" s="36"/>
      <c r="L7084" s="36"/>
      <c r="M7084" s="36"/>
      <c r="N7084" s="36"/>
      <c r="O7084" s="36"/>
      <c r="P7084" s="36"/>
      <c r="Q7084" s="36"/>
      <c r="R7084" s="36"/>
      <c r="S7084" s="36"/>
      <c r="T7084" s="36"/>
      <c r="U7084" s="36"/>
      <c r="V7084" s="36"/>
      <c r="W7084" s="15">
        <f t="shared" si="1415"/>
        <v>0</v>
      </c>
      <c r="X7084" s="36"/>
      <c r="Y7084" s="36"/>
      <c r="Z7084" s="36"/>
      <c r="AA7084" s="36"/>
      <c r="AB7084" s="36"/>
      <c r="AC7084" s="36"/>
      <c r="AD7084" s="36"/>
      <c r="AE7084" s="36"/>
      <c r="AF7084" s="36"/>
      <c r="AG7084" s="36"/>
      <c r="AH7084" s="36"/>
      <c r="AI7084" s="36"/>
      <c r="AJ7084" s="15">
        <f t="shared" si="1416"/>
        <v>0</v>
      </c>
      <c r="AK7084" s="14"/>
      <c r="AL7084" s="14"/>
      <c r="AM7084" s="14"/>
      <c r="AN7084" s="14"/>
      <c r="AO7084" s="14"/>
      <c r="AP7084" s="14"/>
      <c r="AQ7084" s="14">
        <v>400</v>
      </c>
      <c r="AR7084" s="14">
        <v>400</v>
      </c>
      <c r="AS7084" s="14"/>
      <c r="AT7084" s="14"/>
      <c r="AU7084" s="14"/>
      <c r="AV7084" s="14"/>
      <c r="AW7084" s="15">
        <f t="shared" si="1417"/>
        <v>800</v>
      </c>
      <c r="AX7084" s="16"/>
    </row>
    <row r="7085" spans="2:51" x14ac:dyDescent="0.2">
      <c r="B7085" s="7"/>
      <c r="C7085" s="8">
        <v>17138</v>
      </c>
      <c r="D7085" s="9" t="s">
        <v>1299</v>
      </c>
      <c r="E7085" s="10" t="str">
        <f t="shared" si="1412"/>
        <v>Rancho La Cuchilla No. 107</v>
      </c>
      <c r="F7085" s="10" t="str">
        <f t="shared" si="1413"/>
        <v>Quiñones, Eduardo</v>
      </c>
      <c r="G7085" s="8">
        <v>4</v>
      </c>
      <c r="H7085" s="11">
        <v>200</v>
      </c>
      <c r="I7085" s="12">
        <v>43338</v>
      </c>
      <c r="J7085" s="35">
        <f t="shared" si="1414"/>
        <v>0</v>
      </c>
      <c r="K7085" s="36"/>
      <c r="L7085" s="36"/>
      <c r="M7085" s="36"/>
      <c r="N7085" s="36"/>
      <c r="O7085" s="36"/>
      <c r="P7085" s="36"/>
      <c r="Q7085" s="36"/>
      <c r="R7085" s="36"/>
      <c r="S7085" s="36"/>
      <c r="T7085" s="36"/>
      <c r="U7085" s="36"/>
      <c r="V7085" s="36"/>
      <c r="W7085" s="15">
        <f t="shared" si="1415"/>
        <v>0</v>
      </c>
      <c r="X7085" s="36"/>
      <c r="Y7085" s="36"/>
      <c r="Z7085" s="36"/>
      <c r="AA7085" s="36"/>
      <c r="AB7085" s="36"/>
      <c r="AC7085" s="36"/>
      <c r="AD7085" s="36"/>
      <c r="AE7085" s="36"/>
      <c r="AF7085" s="36"/>
      <c r="AG7085" s="36"/>
      <c r="AH7085" s="36"/>
      <c r="AI7085" s="36"/>
      <c r="AJ7085" s="15">
        <f t="shared" si="1416"/>
        <v>0</v>
      </c>
      <c r="AK7085" s="14"/>
      <c r="AL7085" s="14"/>
      <c r="AM7085" s="14"/>
      <c r="AN7085" s="14"/>
      <c r="AO7085" s="14"/>
      <c r="AP7085" s="14"/>
      <c r="AQ7085" s="14"/>
      <c r="AR7085" s="14"/>
      <c r="AS7085" s="14"/>
      <c r="AT7085" s="14"/>
      <c r="AU7085" s="14"/>
      <c r="AV7085" s="14"/>
      <c r="AW7085" s="15">
        <f t="shared" si="1417"/>
        <v>0</v>
      </c>
      <c r="AX7085" s="16" t="s">
        <v>5550</v>
      </c>
    </row>
    <row r="7086" spans="2:51" x14ac:dyDescent="0.2">
      <c r="B7086" s="7"/>
      <c r="C7086" s="8">
        <v>17139</v>
      </c>
      <c r="D7086" s="9" t="s">
        <v>183</v>
      </c>
      <c r="E7086" s="10" t="str">
        <f t="shared" si="1412"/>
        <v>Rancho La Cuchilla No. 54</v>
      </c>
      <c r="F7086" s="10" t="str">
        <f t="shared" si="1413"/>
        <v>Mendoza León</v>
      </c>
      <c r="G7086" s="8">
        <v>1</v>
      </c>
      <c r="H7086" s="11">
        <v>400</v>
      </c>
      <c r="I7086" s="12">
        <v>43338</v>
      </c>
      <c r="J7086" s="35">
        <f t="shared" si="1414"/>
        <v>0</v>
      </c>
      <c r="K7086" s="36"/>
      <c r="L7086" s="36"/>
      <c r="M7086" s="36"/>
      <c r="N7086" s="36"/>
      <c r="O7086" s="36"/>
      <c r="P7086" s="36"/>
      <c r="Q7086" s="36"/>
      <c r="R7086" s="36"/>
      <c r="S7086" s="36"/>
      <c r="T7086" s="36"/>
      <c r="U7086" s="36"/>
      <c r="V7086" s="36"/>
      <c r="W7086" s="15">
        <f t="shared" si="1415"/>
        <v>0</v>
      </c>
      <c r="X7086" s="36"/>
      <c r="Y7086" s="36"/>
      <c r="Z7086" s="36"/>
      <c r="AA7086" s="36"/>
      <c r="AB7086" s="36"/>
      <c r="AC7086" s="36"/>
      <c r="AD7086" s="36"/>
      <c r="AE7086" s="36"/>
      <c r="AF7086" s="36"/>
      <c r="AG7086" s="36"/>
      <c r="AH7086" s="36"/>
      <c r="AI7086" s="36"/>
      <c r="AJ7086" s="15">
        <f t="shared" si="1416"/>
        <v>0</v>
      </c>
      <c r="AK7086" s="14"/>
      <c r="AL7086" s="14"/>
      <c r="AM7086" s="14"/>
      <c r="AN7086" s="14"/>
      <c r="AO7086" s="14"/>
      <c r="AP7086" s="14"/>
      <c r="AQ7086" s="14">
        <v>400</v>
      </c>
      <c r="AR7086" s="14"/>
      <c r="AS7086" s="14"/>
      <c r="AT7086" s="14"/>
      <c r="AU7086" s="14"/>
      <c r="AV7086" s="14"/>
      <c r="AW7086" s="15">
        <f t="shared" si="1417"/>
        <v>400</v>
      </c>
      <c r="AX7086" s="316">
        <f>SUM(H7065:H7086)</f>
        <v>12950</v>
      </c>
      <c r="AY7086" s="112">
        <f>SUM(H7056:H7086)</f>
        <v>16200</v>
      </c>
    </row>
    <row r="7087" spans="2:51" x14ac:dyDescent="0.2">
      <c r="B7087" s="7"/>
      <c r="C7087" s="8">
        <v>17140</v>
      </c>
      <c r="D7087" s="9" t="s">
        <v>485</v>
      </c>
      <c r="E7087" s="10" t="str">
        <f t="shared" si="1412"/>
        <v>Rancho Estanzuela No. 111</v>
      </c>
      <c r="F7087" s="10" t="str">
        <f t="shared" si="1413"/>
        <v>Flores Pérez</v>
      </c>
      <c r="G7087" s="8">
        <v>1</v>
      </c>
      <c r="H7087" s="11">
        <v>800</v>
      </c>
      <c r="I7087" s="12">
        <v>43340</v>
      </c>
      <c r="J7087" s="35">
        <f t="shared" si="1414"/>
        <v>0</v>
      </c>
      <c r="K7087" s="36"/>
      <c r="L7087" s="36"/>
      <c r="M7087" s="36"/>
      <c r="N7087" s="36"/>
      <c r="O7087" s="36"/>
      <c r="P7087" s="36"/>
      <c r="Q7087" s="36"/>
      <c r="R7087" s="36"/>
      <c r="S7087" s="36"/>
      <c r="T7087" s="36"/>
      <c r="U7087" s="36"/>
      <c r="V7087" s="36"/>
      <c r="W7087" s="15">
        <f t="shared" si="1415"/>
        <v>0</v>
      </c>
      <c r="X7087" s="36"/>
      <c r="Y7087" s="36"/>
      <c r="Z7087" s="36"/>
      <c r="AA7087" s="36"/>
      <c r="AB7087" s="36"/>
      <c r="AC7087" s="36"/>
      <c r="AD7087" s="36"/>
      <c r="AE7087" s="36"/>
      <c r="AF7087" s="36"/>
      <c r="AG7087" s="36"/>
      <c r="AH7087" s="36"/>
      <c r="AI7087" s="36"/>
      <c r="AJ7087" s="15">
        <f t="shared" si="1416"/>
        <v>0</v>
      </c>
      <c r="AK7087" s="14"/>
      <c r="AL7087" s="14"/>
      <c r="AM7087" s="14"/>
      <c r="AN7087" s="14"/>
      <c r="AO7087" s="14"/>
      <c r="AP7087" s="14">
        <v>400</v>
      </c>
      <c r="AQ7087" s="14">
        <v>400</v>
      </c>
      <c r="AR7087" s="14"/>
      <c r="AS7087" s="14"/>
      <c r="AT7087" s="14"/>
      <c r="AU7087" s="14"/>
      <c r="AV7087" s="14"/>
      <c r="AW7087" s="15">
        <f t="shared" si="1417"/>
        <v>800</v>
      </c>
      <c r="AX7087" s="16"/>
    </row>
    <row r="7088" spans="2:51" x14ac:dyDescent="0.2">
      <c r="B7088" s="7"/>
      <c r="C7088" s="8">
        <v>17141</v>
      </c>
      <c r="D7088" s="9" t="s">
        <v>109</v>
      </c>
      <c r="E7088" s="10" t="str">
        <f t="shared" ref="E7088:E7148" si="1418">IF(D7088=0,"",VLOOKUP(D7088,BASE,2,FALSE))</f>
        <v>Rancho Estanzuela No. 31</v>
      </c>
      <c r="F7088" s="10" t="str">
        <f t="shared" ref="F7088:F7148" si="1419">IF(D7088=0,"",VLOOKUP(D7088,BASE,3,FALSE))</f>
        <v>Chávez Valdés</v>
      </c>
      <c r="G7088" s="8">
        <v>1</v>
      </c>
      <c r="H7088" s="11">
        <v>400</v>
      </c>
      <c r="I7088" s="12">
        <v>43340</v>
      </c>
      <c r="J7088" s="35">
        <f t="shared" ref="J7088:J7148" si="1420">IF(G7088=1,SUM(W7088,AJ7088,AW7088,-H7088),0)</f>
        <v>0</v>
      </c>
      <c r="K7088" s="36"/>
      <c r="L7088" s="36"/>
      <c r="M7088" s="36"/>
      <c r="N7088" s="36"/>
      <c r="O7088" s="36"/>
      <c r="P7088" s="36"/>
      <c r="Q7088" s="36"/>
      <c r="R7088" s="36"/>
      <c r="S7088" s="36"/>
      <c r="T7088" s="36"/>
      <c r="U7088" s="36"/>
      <c r="V7088" s="36"/>
      <c r="W7088" s="15">
        <f t="shared" ref="W7088:W7148" si="1421">SUM(K7088:V7088)</f>
        <v>0</v>
      </c>
      <c r="X7088" s="36"/>
      <c r="Y7088" s="36"/>
      <c r="Z7088" s="36"/>
      <c r="AA7088" s="36"/>
      <c r="AB7088" s="36"/>
      <c r="AC7088" s="36"/>
      <c r="AD7088" s="36"/>
      <c r="AE7088" s="36"/>
      <c r="AF7088" s="36"/>
      <c r="AG7088" s="36"/>
      <c r="AH7088" s="36"/>
      <c r="AI7088" s="36"/>
      <c r="AJ7088" s="15">
        <f t="shared" ref="AJ7088:AJ7148" si="1422">SUM(X7088:AI7088)</f>
        <v>0</v>
      </c>
      <c r="AK7088" s="14"/>
      <c r="AL7088" s="14"/>
      <c r="AM7088" s="14"/>
      <c r="AN7088" s="14"/>
      <c r="AO7088" s="14"/>
      <c r="AP7088" s="14">
        <v>400</v>
      </c>
      <c r="AQ7088" s="14"/>
      <c r="AR7088" s="14"/>
      <c r="AS7088" s="14"/>
      <c r="AT7088" s="14"/>
      <c r="AU7088" s="14"/>
      <c r="AV7088" s="14"/>
      <c r="AW7088" s="15">
        <f t="shared" ref="AW7088:AW7148" si="1423">SUM(AK7088:AV7088)</f>
        <v>400</v>
      </c>
      <c r="AX7088" s="16"/>
    </row>
    <row r="7089" spans="1:50" x14ac:dyDescent="0.2">
      <c r="B7089" s="7"/>
      <c r="C7089" s="8">
        <v>17142</v>
      </c>
      <c r="D7089" s="9" t="s">
        <v>195</v>
      </c>
      <c r="E7089" s="10" t="str">
        <f t="shared" si="1418"/>
        <v>Rancho Estanzuela No. 100</v>
      </c>
      <c r="F7089" s="10" t="str">
        <f t="shared" si="1419"/>
        <v>Arias Monter</v>
      </c>
      <c r="G7089" s="8">
        <v>1</v>
      </c>
      <c r="H7089" s="11">
        <v>800</v>
      </c>
      <c r="I7089" s="12">
        <v>43341</v>
      </c>
      <c r="J7089" s="35">
        <f t="shared" si="1420"/>
        <v>0</v>
      </c>
      <c r="K7089" s="36"/>
      <c r="L7089" s="36"/>
      <c r="M7089" s="36"/>
      <c r="N7089" s="36"/>
      <c r="O7089" s="36"/>
      <c r="P7089" s="36"/>
      <c r="Q7089" s="36"/>
      <c r="R7089" s="36"/>
      <c r="S7089" s="36"/>
      <c r="T7089" s="36"/>
      <c r="U7089" s="36"/>
      <c r="V7089" s="36"/>
      <c r="W7089" s="15">
        <f t="shared" si="1421"/>
        <v>0</v>
      </c>
      <c r="X7089" s="36"/>
      <c r="Y7089" s="36"/>
      <c r="Z7089" s="36"/>
      <c r="AA7089" s="36"/>
      <c r="AB7089" s="36"/>
      <c r="AC7089" s="36"/>
      <c r="AD7089" s="36"/>
      <c r="AE7089" s="36"/>
      <c r="AF7089" s="36"/>
      <c r="AG7089" s="36"/>
      <c r="AH7089" s="36"/>
      <c r="AI7089" s="36"/>
      <c r="AJ7089" s="15">
        <f t="shared" si="1422"/>
        <v>0</v>
      </c>
      <c r="AK7089" s="14"/>
      <c r="AL7089" s="14"/>
      <c r="AM7089" s="14"/>
      <c r="AN7089" s="14"/>
      <c r="AO7089" s="14"/>
      <c r="AP7089" s="14"/>
      <c r="AQ7089" s="14">
        <v>400</v>
      </c>
      <c r="AR7089" s="14">
        <v>400</v>
      </c>
      <c r="AS7089" s="14"/>
      <c r="AT7089" s="14"/>
      <c r="AU7089" s="14"/>
      <c r="AV7089" s="14"/>
      <c r="AW7089" s="15">
        <f t="shared" si="1423"/>
        <v>800</v>
      </c>
      <c r="AX7089" s="16"/>
    </row>
    <row r="7090" spans="1:50" x14ac:dyDescent="0.2">
      <c r="B7090" s="7"/>
      <c r="C7090" s="8"/>
      <c r="D7090" s="9" t="s">
        <v>806</v>
      </c>
      <c r="E7090" s="10" t="str">
        <f t="shared" si="1418"/>
        <v>Rancho Estanzuela No. 130, A</v>
      </c>
      <c r="F7090" s="10" t="str">
        <f t="shared" si="1419"/>
        <v>Colegio Carmel</v>
      </c>
      <c r="G7090" s="8">
        <v>1</v>
      </c>
      <c r="H7090" s="11">
        <v>11000</v>
      </c>
      <c r="I7090" s="12">
        <v>43341</v>
      </c>
      <c r="J7090" s="35">
        <f t="shared" si="1420"/>
        <v>0</v>
      </c>
      <c r="K7090" s="36"/>
      <c r="L7090" s="36"/>
      <c r="M7090" s="36"/>
      <c r="N7090" s="36"/>
      <c r="O7090" s="36"/>
      <c r="P7090" s="36"/>
      <c r="Q7090" s="36"/>
      <c r="R7090" s="36"/>
      <c r="S7090" s="36"/>
      <c r="T7090" s="36"/>
      <c r="U7090" s="36"/>
      <c r="V7090" s="36"/>
      <c r="W7090" s="15">
        <f t="shared" si="1421"/>
        <v>0</v>
      </c>
      <c r="X7090" s="36"/>
      <c r="Y7090" s="36"/>
      <c r="Z7090" s="36"/>
      <c r="AA7090" s="36"/>
      <c r="AB7090" s="36"/>
      <c r="AC7090" s="36"/>
      <c r="AD7090" s="36"/>
      <c r="AE7090" s="36"/>
      <c r="AF7090" s="36"/>
      <c r="AG7090" s="36"/>
      <c r="AH7090" s="36"/>
      <c r="AI7090" s="36"/>
      <c r="AJ7090" s="15">
        <f t="shared" si="1422"/>
        <v>0</v>
      </c>
      <c r="AK7090" s="14"/>
      <c r="AL7090" s="14"/>
      <c r="AM7090" s="14"/>
      <c r="AN7090" s="14"/>
      <c r="AO7090" s="14"/>
      <c r="AP7090" s="14"/>
      <c r="AQ7090" s="14"/>
      <c r="AR7090" s="14">
        <v>11000</v>
      </c>
      <c r="AS7090" s="14"/>
      <c r="AT7090" s="14"/>
      <c r="AU7090" s="14"/>
      <c r="AV7090" s="14"/>
      <c r="AW7090" s="15">
        <f t="shared" si="1423"/>
        <v>11000</v>
      </c>
      <c r="AX7090" s="16"/>
    </row>
    <row r="7091" spans="1:50" x14ac:dyDescent="0.2">
      <c r="B7091" s="7"/>
      <c r="C7091" s="8"/>
      <c r="D7091" s="9"/>
      <c r="E7091" s="10" t="str">
        <f t="shared" si="1418"/>
        <v/>
      </c>
      <c r="F7091" s="10" t="str">
        <f t="shared" si="1419"/>
        <v/>
      </c>
      <c r="G7091" s="8"/>
      <c r="H7091" s="11"/>
      <c r="I7091" s="12"/>
      <c r="J7091" s="35">
        <f t="shared" si="1420"/>
        <v>0</v>
      </c>
      <c r="K7091" s="36"/>
      <c r="L7091" s="36"/>
      <c r="M7091" s="36"/>
      <c r="N7091" s="36"/>
      <c r="O7091" s="36"/>
      <c r="P7091" s="36"/>
      <c r="Q7091" s="36"/>
      <c r="R7091" s="36"/>
      <c r="S7091" s="36"/>
      <c r="T7091" s="36"/>
      <c r="U7091" s="36"/>
      <c r="V7091" s="36"/>
      <c r="W7091" s="15">
        <f t="shared" si="1421"/>
        <v>0</v>
      </c>
      <c r="X7091" s="36"/>
      <c r="Y7091" s="36"/>
      <c r="Z7091" s="36"/>
      <c r="AA7091" s="36"/>
      <c r="AB7091" s="36"/>
      <c r="AC7091" s="36"/>
      <c r="AD7091" s="36"/>
      <c r="AE7091" s="36"/>
      <c r="AF7091" s="36"/>
      <c r="AG7091" s="36"/>
      <c r="AH7091" s="36"/>
      <c r="AI7091" s="36"/>
      <c r="AJ7091" s="15">
        <f t="shared" si="1422"/>
        <v>0</v>
      </c>
      <c r="AK7091" s="14"/>
      <c r="AL7091" s="14"/>
      <c r="AM7091" s="14"/>
      <c r="AN7091" s="14"/>
      <c r="AO7091" s="14"/>
      <c r="AP7091" s="14"/>
      <c r="AQ7091" s="14"/>
      <c r="AR7091" s="14"/>
      <c r="AS7091" s="14"/>
      <c r="AT7091" s="14"/>
      <c r="AU7091" s="14"/>
      <c r="AV7091" s="14"/>
      <c r="AW7091" s="15">
        <f t="shared" si="1423"/>
        <v>0</v>
      </c>
      <c r="AX7091" s="16"/>
    </row>
    <row r="7092" spans="1:50" x14ac:dyDescent="0.2">
      <c r="B7092" s="7"/>
      <c r="C7092" s="8"/>
      <c r="D7092" s="9"/>
      <c r="E7092" s="10" t="str">
        <f t="shared" si="1418"/>
        <v/>
      </c>
      <c r="F7092" s="10" t="str">
        <f t="shared" si="1419"/>
        <v/>
      </c>
      <c r="G7092" s="8"/>
      <c r="H7092" s="11"/>
      <c r="I7092" s="12"/>
      <c r="J7092" s="35">
        <f t="shared" si="1420"/>
        <v>0</v>
      </c>
      <c r="K7092" s="36"/>
      <c r="L7092" s="36"/>
      <c r="M7092" s="36"/>
      <c r="N7092" s="36"/>
      <c r="O7092" s="36"/>
      <c r="P7092" s="36"/>
      <c r="Q7092" s="36"/>
      <c r="R7092" s="36"/>
      <c r="S7092" s="36"/>
      <c r="T7092" s="36"/>
      <c r="U7092" s="36"/>
      <c r="V7092" s="36"/>
      <c r="W7092" s="15">
        <f t="shared" si="1421"/>
        <v>0</v>
      </c>
      <c r="X7092" s="36"/>
      <c r="Y7092" s="36"/>
      <c r="Z7092" s="36"/>
      <c r="AA7092" s="36"/>
      <c r="AB7092" s="36"/>
      <c r="AC7092" s="36"/>
      <c r="AD7092" s="36"/>
      <c r="AE7092" s="36"/>
      <c r="AF7092" s="36"/>
      <c r="AG7092" s="36"/>
      <c r="AH7092" s="36"/>
      <c r="AI7092" s="36"/>
      <c r="AJ7092" s="15">
        <f t="shared" si="1422"/>
        <v>0</v>
      </c>
      <c r="AK7092" s="14"/>
      <c r="AL7092" s="14"/>
      <c r="AM7092" s="14"/>
      <c r="AN7092" s="14"/>
      <c r="AO7092" s="14"/>
      <c r="AP7092" s="14"/>
      <c r="AQ7092" s="14"/>
      <c r="AR7092" s="14"/>
      <c r="AS7092" s="14"/>
      <c r="AT7092" s="14"/>
      <c r="AU7092" s="14"/>
      <c r="AV7092" s="14"/>
      <c r="AW7092" s="15">
        <f t="shared" si="1423"/>
        <v>0</v>
      </c>
      <c r="AX7092" s="16"/>
    </row>
    <row r="7093" spans="1:50" x14ac:dyDescent="0.2">
      <c r="B7093" s="7"/>
      <c r="C7093" s="8"/>
      <c r="D7093" s="9"/>
      <c r="E7093" s="10" t="str">
        <f t="shared" si="1418"/>
        <v/>
      </c>
      <c r="F7093" s="10" t="str">
        <f t="shared" si="1419"/>
        <v/>
      </c>
      <c r="G7093" s="8"/>
      <c r="H7093" s="11"/>
      <c r="I7093" s="12"/>
      <c r="J7093" s="35">
        <f t="shared" si="1420"/>
        <v>0</v>
      </c>
      <c r="K7093" s="36"/>
      <c r="L7093" s="36"/>
      <c r="M7093" s="36"/>
      <c r="N7093" s="36"/>
      <c r="O7093" s="36"/>
      <c r="P7093" s="36"/>
      <c r="Q7093" s="36"/>
      <c r="R7093" s="36"/>
      <c r="S7093" s="36"/>
      <c r="T7093" s="36"/>
      <c r="U7093" s="36"/>
      <c r="V7093" s="36"/>
      <c r="W7093" s="15">
        <f t="shared" si="1421"/>
        <v>0</v>
      </c>
      <c r="X7093" s="36"/>
      <c r="Y7093" s="36"/>
      <c r="Z7093" s="36"/>
      <c r="AA7093" s="36"/>
      <c r="AB7093" s="36"/>
      <c r="AC7093" s="36"/>
      <c r="AD7093" s="36"/>
      <c r="AE7093" s="36"/>
      <c r="AF7093" s="36"/>
      <c r="AG7093" s="36"/>
      <c r="AH7093" s="36"/>
      <c r="AI7093" s="36"/>
      <c r="AJ7093" s="15">
        <f t="shared" si="1422"/>
        <v>0</v>
      </c>
      <c r="AK7093" s="14"/>
      <c r="AL7093" s="14"/>
      <c r="AM7093" s="14"/>
      <c r="AN7093" s="14"/>
      <c r="AO7093" s="14"/>
      <c r="AP7093" s="14"/>
      <c r="AQ7093" s="14"/>
      <c r="AR7093" s="14"/>
      <c r="AS7093" s="14"/>
      <c r="AT7093" s="14"/>
      <c r="AU7093" s="14"/>
      <c r="AV7093" s="14"/>
      <c r="AW7093" s="15">
        <f t="shared" si="1423"/>
        <v>0</v>
      </c>
      <c r="AX7093" s="16"/>
    </row>
    <row r="7094" spans="1:50" ht="22.5" x14ac:dyDescent="0.2">
      <c r="A7094" s="2"/>
      <c r="B7094" s="3" t="s">
        <v>1</v>
      </c>
      <c r="C7094" s="3" t="s">
        <v>2</v>
      </c>
      <c r="D7094" s="3" t="s">
        <v>3</v>
      </c>
      <c r="E7094" s="337" t="s">
        <v>4</v>
      </c>
      <c r="F7094" s="337" t="s">
        <v>5</v>
      </c>
      <c r="G7094" s="3" t="s">
        <v>6</v>
      </c>
      <c r="H7094" s="3" t="s">
        <v>7</v>
      </c>
      <c r="I7094" s="3" t="s">
        <v>8</v>
      </c>
      <c r="J7094" s="337" t="s">
        <v>9</v>
      </c>
      <c r="K7094" s="4" t="s">
        <v>10</v>
      </c>
      <c r="L7094" s="4" t="s">
        <v>11</v>
      </c>
      <c r="M7094" s="4" t="s">
        <v>12</v>
      </c>
      <c r="N7094" s="4" t="s">
        <v>13</v>
      </c>
      <c r="O7094" s="4" t="s">
        <v>14</v>
      </c>
      <c r="P7094" s="4" t="s">
        <v>15</v>
      </c>
      <c r="Q7094" s="4" t="s">
        <v>16</v>
      </c>
      <c r="R7094" s="4" t="s">
        <v>17</v>
      </c>
      <c r="S7094" s="4" t="s">
        <v>18</v>
      </c>
      <c r="T7094" s="4" t="s">
        <v>19</v>
      </c>
      <c r="U7094" s="4" t="s">
        <v>20</v>
      </c>
      <c r="V7094" s="4" t="s">
        <v>21</v>
      </c>
      <c r="W7094" s="338" t="s">
        <v>22</v>
      </c>
      <c r="X7094" s="4" t="s">
        <v>23</v>
      </c>
      <c r="Y7094" s="4" t="s">
        <v>24</v>
      </c>
      <c r="Z7094" s="4" t="s">
        <v>25</v>
      </c>
      <c r="AA7094" s="4" t="s">
        <v>26</v>
      </c>
      <c r="AB7094" s="4" t="s">
        <v>27</v>
      </c>
      <c r="AC7094" s="4" t="s">
        <v>28</v>
      </c>
      <c r="AD7094" s="4" t="s">
        <v>29</v>
      </c>
      <c r="AE7094" s="4" t="s">
        <v>30</v>
      </c>
      <c r="AF7094" s="4" t="s">
        <v>31</v>
      </c>
      <c r="AG7094" s="4" t="s">
        <v>32</v>
      </c>
      <c r="AH7094" s="4" t="s">
        <v>33</v>
      </c>
      <c r="AI7094" s="4" t="s">
        <v>34</v>
      </c>
      <c r="AJ7094" s="338" t="s">
        <v>35</v>
      </c>
      <c r="AK7094" s="4" t="s">
        <v>4607</v>
      </c>
      <c r="AL7094" s="4" t="s">
        <v>4608</v>
      </c>
      <c r="AM7094" s="4" t="s">
        <v>4609</v>
      </c>
      <c r="AN7094" s="4" t="s">
        <v>4610</v>
      </c>
      <c r="AO7094" s="4" t="s">
        <v>4611</v>
      </c>
      <c r="AP7094" s="4" t="s">
        <v>4612</v>
      </c>
      <c r="AQ7094" s="4" t="s">
        <v>4613</v>
      </c>
      <c r="AR7094" s="4" t="s">
        <v>4614</v>
      </c>
      <c r="AS7094" s="4" t="s">
        <v>4615</v>
      </c>
      <c r="AT7094" s="4" t="s">
        <v>4616</v>
      </c>
      <c r="AU7094" s="4" t="s">
        <v>4617</v>
      </c>
      <c r="AV7094" s="4" t="s">
        <v>4618</v>
      </c>
      <c r="AW7094" s="338" t="s">
        <v>4619</v>
      </c>
      <c r="AX7094" s="6" t="s">
        <v>36</v>
      </c>
    </row>
    <row r="7095" spans="1:50" x14ac:dyDescent="0.2">
      <c r="B7095" s="7"/>
      <c r="C7095" s="8">
        <v>17143</v>
      </c>
      <c r="D7095" s="9" t="s">
        <v>1119</v>
      </c>
      <c r="E7095" s="10" t="str">
        <f t="shared" si="1418"/>
        <v>Calzada del Hueso No. 840_2</v>
      </c>
      <c r="F7095" s="10" t="str">
        <f t="shared" si="1419"/>
        <v>Moto Space</v>
      </c>
      <c r="G7095" s="8">
        <v>1</v>
      </c>
      <c r="H7095" s="11">
        <v>600</v>
      </c>
      <c r="I7095" s="12">
        <v>43344</v>
      </c>
      <c r="J7095" s="35">
        <f t="shared" si="1420"/>
        <v>0</v>
      </c>
      <c r="K7095" s="36"/>
      <c r="L7095" s="36"/>
      <c r="M7095" s="36"/>
      <c r="N7095" s="36"/>
      <c r="O7095" s="36"/>
      <c r="P7095" s="36"/>
      <c r="Q7095" s="36"/>
      <c r="R7095" s="36"/>
      <c r="S7095" s="36"/>
      <c r="T7095" s="36"/>
      <c r="U7095" s="36"/>
      <c r="V7095" s="36"/>
      <c r="W7095" s="15">
        <f t="shared" si="1421"/>
        <v>0</v>
      </c>
      <c r="X7095" s="36"/>
      <c r="Y7095" s="36"/>
      <c r="Z7095" s="36"/>
      <c r="AA7095" s="36"/>
      <c r="AB7095" s="36"/>
      <c r="AC7095" s="36"/>
      <c r="AD7095" s="36"/>
      <c r="AE7095" s="36"/>
      <c r="AF7095" s="36"/>
      <c r="AG7095" s="36"/>
      <c r="AH7095" s="36"/>
      <c r="AI7095" s="36"/>
      <c r="AJ7095" s="15">
        <f t="shared" si="1422"/>
        <v>0</v>
      </c>
      <c r="AK7095" s="14">
        <v>150</v>
      </c>
      <c r="AL7095" s="14">
        <v>150</v>
      </c>
      <c r="AM7095" s="14">
        <v>150</v>
      </c>
      <c r="AN7095" s="14">
        <v>150</v>
      </c>
      <c r="AO7095" s="14"/>
      <c r="AP7095" s="14"/>
      <c r="AQ7095" s="14"/>
      <c r="AR7095" s="14"/>
      <c r="AS7095" s="14"/>
      <c r="AT7095" s="14"/>
      <c r="AU7095" s="14"/>
      <c r="AV7095" s="14"/>
      <c r="AW7095" s="15">
        <f t="shared" si="1423"/>
        <v>600</v>
      </c>
      <c r="AX7095" s="16"/>
    </row>
    <row r="7096" spans="1:50" x14ac:dyDescent="0.2">
      <c r="B7096" s="7"/>
      <c r="C7096" s="8">
        <v>17144</v>
      </c>
      <c r="D7096" s="9" t="s">
        <v>103</v>
      </c>
      <c r="E7096" s="10" t="str">
        <f t="shared" si="1418"/>
        <v>Rancho La Cuchilla No. 41</v>
      </c>
      <c r="F7096" s="10" t="str">
        <f t="shared" si="1419"/>
        <v>Arriaga Lemus</v>
      </c>
      <c r="G7096" s="8">
        <v>1</v>
      </c>
      <c r="H7096" s="11">
        <v>400</v>
      </c>
      <c r="I7096" s="12">
        <v>43345</v>
      </c>
      <c r="J7096" s="35">
        <f t="shared" si="1420"/>
        <v>0</v>
      </c>
      <c r="K7096" s="36"/>
      <c r="L7096" s="36"/>
      <c r="M7096" s="36"/>
      <c r="N7096" s="36"/>
      <c r="O7096" s="36"/>
      <c r="P7096" s="36"/>
      <c r="Q7096" s="36"/>
      <c r="R7096" s="36"/>
      <c r="S7096" s="36"/>
      <c r="T7096" s="36"/>
      <c r="U7096" s="36"/>
      <c r="V7096" s="36"/>
      <c r="W7096" s="15">
        <f t="shared" si="1421"/>
        <v>0</v>
      </c>
      <c r="X7096" s="36"/>
      <c r="Y7096" s="36"/>
      <c r="Z7096" s="36"/>
      <c r="AA7096" s="36"/>
      <c r="AB7096" s="36"/>
      <c r="AC7096" s="36"/>
      <c r="AD7096" s="36"/>
      <c r="AE7096" s="36"/>
      <c r="AF7096" s="36"/>
      <c r="AG7096" s="36"/>
      <c r="AH7096" s="36"/>
      <c r="AI7096" s="36"/>
      <c r="AJ7096" s="15">
        <f t="shared" si="1422"/>
        <v>0</v>
      </c>
      <c r="AK7096" s="14"/>
      <c r="AL7096" s="14"/>
      <c r="AM7096" s="14"/>
      <c r="AN7096" s="14"/>
      <c r="AO7096" s="14"/>
      <c r="AP7096" s="14"/>
      <c r="AQ7096" s="14"/>
      <c r="AR7096" s="14">
        <v>400</v>
      </c>
      <c r="AS7096" s="14"/>
      <c r="AT7096" s="14"/>
      <c r="AU7096" s="14"/>
      <c r="AV7096" s="14"/>
      <c r="AW7096" s="15">
        <f t="shared" si="1423"/>
        <v>400</v>
      </c>
      <c r="AX7096" s="16"/>
    </row>
    <row r="7097" spans="1:50" x14ac:dyDescent="0.2">
      <c r="B7097" s="7"/>
      <c r="C7097" s="8">
        <v>17145</v>
      </c>
      <c r="D7097" s="9" t="s">
        <v>574</v>
      </c>
      <c r="E7097" s="10" t="str">
        <f t="shared" si="1418"/>
        <v xml:space="preserve">Rancho Upácuaro No. 94 </v>
      </c>
      <c r="F7097" s="10" t="str">
        <f t="shared" si="1419"/>
        <v>Juárez Patiño</v>
      </c>
      <c r="G7097" s="8">
        <v>1</v>
      </c>
      <c r="H7097" s="11">
        <v>300</v>
      </c>
      <c r="I7097" s="12">
        <v>43345</v>
      </c>
      <c r="J7097" s="35">
        <f t="shared" si="1420"/>
        <v>0</v>
      </c>
      <c r="K7097" s="36"/>
      <c r="L7097" s="36"/>
      <c r="M7097" s="36"/>
      <c r="N7097" s="36"/>
      <c r="O7097" s="36"/>
      <c r="P7097" s="36"/>
      <c r="Q7097" s="36"/>
      <c r="R7097" s="36"/>
      <c r="S7097" s="36"/>
      <c r="T7097" s="36"/>
      <c r="U7097" s="36"/>
      <c r="V7097" s="36"/>
      <c r="W7097" s="15">
        <f t="shared" si="1421"/>
        <v>0</v>
      </c>
      <c r="X7097" s="36"/>
      <c r="Y7097" s="36"/>
      <c r="Z7097" s="36"/>
      <c r="AA7097" s="36"/>
      <c r="AB7097" s="36"/>
      <c r="AC7097" s="36"/>
      <c r="AD7097" s="36"/>
      <c r="AE7097" s="36"/>
      <c r="AF7097" s="36"/>
      <c r="AG7097" s="36"/>
      <c r="AH7097" s="36"/>
      <c r="AI7097" s="36"/>
      <c r="AJ7097" s="15">
        <f t="shared" si="1422"/>
        <v>0</v>
      </c>
      <c r="AK7097" s="14"/>
      <c r="AL7097" s="14"/>
      <c r="AM7097" s="14"/>
      <c r="AN7097" s="14"/>
      <c r="AO7097" s="14"/>
      <c r="AP7097" s="14"/>
      <c r="AQ7097" s="14"/>
      <c r="AR7097" s="14"/>
      <c r="AS7097" s="14">
        <v>300</v>
      </c>
      <c r="AT7097" s="14"/>
      <c r="AU7097" s="14"/>
      <c r="AV7097" s="14"/>
      <c r="AW7097" s="15">
        <f t="shared" si="1423"/>
        <v>300</v>
      </c>
      <c r="AX7097" s="16"/>
    </row>
    <row r="7098" spans="1:50" x14ac:dyDescent="0.2">
      <c r="B7098" s="7"/>
      <c r="C7098" s="8">
        <v>17146</v>
      </c>
      <c r="D7098" s="9" t="s">
        <v>97</v>
      </c>
      <c r="E7098" s="10" t="str">
        <f t="shared" si="1418"/>
        <v>Rancho La Cuchilla No. 78</v>
      </c>
      <c r="F7098" s="10" t="str">
        <f t="shared" si="1419"/>
        <v>García</v>
      </c>
      <c r="G7098" s="8">
        <v>1</v>
      </c>
      <c r="H7098" s="11">
        <v>400</v>
      </c>
      <c r="I7098" s="12">
        <v>43345</v>
      </c>
      <c r="J7098" s="35">
        <f t="shared" si="1420"/>
        <v>0</v>
      </c>
      <c r="K7098" s="36"/>
      <c r="L7098" s="36"/>
      <c r="M7098" s="36"/>
      <c r="N7098" s="36"/>
      <c r="O7098" s="36"/>
      <c r="P7098" s="36"/>
      <c r="Q7098" s="36"/>
      <c r="R7098" s="36"/>
      <c r="S7098" s="36"/>
      <c r="T7098" s="36"/>
      <c r="U7098" s="36"/>
      <c r="V7098" s="36"/>
      <c r="W7098" s="15">
        <f t="shared" si="1421"/>
        <v>0</v>
      </c>
      <c r="X7098" s="36"/>
      <c r="Y7098" s="36"/>
      <c r="Z7098" s="36"/>
      <c r="AA7098" s="36"/>
      <c r="AB7098" s="36"/>
      <c r="AC7098" s="36"/>
      <c r="AD7098" s="36"/>
      <c r="AE7098" s="36"/>
      <c r="AF7098" s="36"/>
      <c r="AG7098" s="36"/>
      <c r="AH7098" s="36"/>
      <c r="AI7098" s="36"/>
      <c r="AJ7098" s="15">
        <f t="shared" si="1422"/>
        <v>0</v>
      </c>
      <c r="AK7098" s="14"/>
      <c r="AL7098" s="14"/>
      <c r="AM7098" s="14"/>
      <c r="AN7098" s="14"/>
      <c r="AO7098" s="14"/>
      <c r="AP7098" s="14"/>
      <c r="AQ7098" s="14"/>
      <c r="AR7098" s="14"/>
      <c r="AS7098" s="14">
        <v>400</v>
      </c>
      <c r="AT7098" s="14"/>
      <c r="AU7098" s="14"/>
      <c r="AV7098" s="14"/>
      <c r="AW7098" s="15">
        <f t="shared" si="1423"/>
        <v>400</v>
      </c>
      <c r="AX7098" s="16"/>
    </row>
    <row r="7099" spans="1:50" x14ac:dyDescent="0.2">
      <c r="B7099" s="7"/>
      <c r="C7099" s="8">
        <v>17147</v>
      </c>
      <c r="D7099" s="9" t="s">
        <v>983</v>
      </c>
      <c r="E7099" s="10" t="str">
        <f t="shared" si="1418"/>
        <v>Rancho Landero No. 93</v>
      </c>
      <c r="F7099" s="10" t="str">
        <f t="shared" si="1419"/>
        <v>Ortega López</v>
      </c>
      <c r="G7099" s="8">
        <v>1</v>
      </c>
      <c r="H7099" s="11">
        <v>800</v>
      </c>
      <c r="I7099" s="12">
        <v>43345</v>
      </c>
      <c r="J7099" s="35">
        <f t="shared" si="1420"/>
        <v>0</v>
      </c>
      <c r="K7099" s="36"/>
      <c r="L7099" s="36"/>
      <c r="M7099" s="36"/>
      <c r="N7099" s="36"/>
      <c r="O7099" s="36"/>
      <c r="P7099" s="36"/>
      <c r="Q7099" s="36"/>
      <c r="R7099" s="36"/>
      <c r="S7099" s="36"/>
      <c r="T7099" s="36"/>
      <c r="U7099" s="36"/>
      <c r="V7099" s="36"/>
      <c r="W7099" s="15">
        <f t="shared" si="1421"/>
        <v>0</v>
      </c>
      <c r="X7099" s="36"/>
      <c r="Y7099" s="36"/>
      <c r="Z7099" s="36"/>
      <c r="AA7099" s="36"/>
      <c r="AB7099" s="36"/>
      <c r="AC7099" s="36"/>
      <c r="AD7099" s="36"/>
      <c r="AE7099" s="36"/>
      <c r="AF7099" s="36"/>
      <c r="AG7099" s="36"/>
      <c r="AH7099" s="36"/>
      <c r="AI7099" s="36"/>
      <c r="AJ7099" s="15">
        <f t="shared" si="1422"/>
        <v>0</v>
      </c>
      <c r="AK7099" s="14"/>
      <c r="AL7099" s="14"/>
      <c r="AM7099" s="14"/>
      <c r="AN7099" s="14"/>
      <c r="AO7099" s="14"/>
      <c r="AP7099" s="14"/>
      <c r="AQ7099" s="14">
        <v>400</v>
      </c>
      <c r="AR7099" s="14">
        <v>400</v>
      </c>
      <c r="AS7099" s="14"/>
      <c r="AT7099" s="14"/>
      <c r="AU7099" s="14"/>
      <c r="AV7099" s="14"/>
      <c r="AW7099" s="15">
        <f t="shared" si="1423"/>
        <v>800</v>
      </c>
      <c r="AX7099" s="16"/>
    </row>
    <row r="7100" spans="1:50" x14ac:dyDescent="0.2">
      <c r="B7100" s="7"/>
      <c r="C7100" s="8">
        <v>17148</v>
      </c>
      <c r="D7100" s="9" t="s">
        <v>44</v>
      </c>
      <c r="E7100" s="10" t="str">
        <f t="shared" si="1418"/>
        <v>Rancho Landero No. 14</v>
      </c>
      <c r="F7100" s="10" t="str">
        <f t="shared" si="1419"/>
        <v xml:space="preserve">Castrejón  </v>
      </c>
      <c r="G7100" s="8">
        <v>1</v>
      </c>
      <c r="H7100" s="11">
        <v>1600</v>
      </c>
      <c r="I7100" s="12">
        <v>43345</v>
      </c>
      <c r="J7100" s="35">
        <f t="shared" si="1420"/>
        <v>0</v>
      </c>
      <c r="K7100" s="36"/>
      <c r="L7100" s="36"/>
      <c r="M7100" s="36"/>
      <c r="N7100" s="36"/>
      <c r="O7100" s="36"/>
      <c r="P7100" s="36"/>
      <c r="Q7100" s="36"/>
      <c r="R7100" s="36"/>
      <c r="S7100" s="36"/>
      <c r="T7100" s="36"/>
      <c r="U7100" s="36"/>
      <c r="V7100" s="36"/>
      <c r="W7100" s="15">
        <f t="shared" si="1421"/>
        <v>0</v>
      </c>
      <c r="X7100" s="36"/>
      <c r="Y7100" s="36"/>
      <c r="Z7100" s="36"/>
      <c r="AA7100" s="36"/>
      <c r="AB7100" s="36"/>
      <c r="AC7100" s="36"/>
      <c r="AD7100" s="36"/>
      <c r="AE7100" s="36"/>
      <c r="AF7100" s="36"/>
      <c r="AG7100" s="36"/>
      <c r="AH7100" s="36"/>
      <c r="AI7100" s="36"/>
      <c r="AJ7100" s="15">
        <f t="shared" si="1422"/>
        <v>0</v>
      </c>
      <c r="AK7100" s="14"/>
      <c r="AL7100" s="14"/>
      <c r="AM7100" s="14"/>
      <c r="AN7100" s="14"/>
      <c r="AO7100" s="14"/>
      <c r="AP7100" s="14"/>
      <c r="AQ7100" s="14"/>
      <c r="AR7100" s="14"/>
      <c r="AS7100" s="14">
        <v>400</v>
      </c>
      <c r="AT7100" s="14">
        <v>400</v>
      </c>
      <c r="AU7100" s="14">
        <v>400</v>
      </c>
      <c r="AV7100" s="14">
        <v>400</v>
      </c>
      <c r="AW7100" s="15">
        <f t="shared" si="1423"/>
        <v>1600</v>
      </c>
      <c r="AX7100" s="16"/>
    </row>
    <row r="7101" spans="1:50" x14ac:dyDescent="0.2">
      <c r="B7101" s="7"/>
      <c r="C7101" s="8">
        <v>17149</v>
      </c>
      <c r="D7101" s="9" t="s">
        <v>608</v>
      </c>
      <c r="E7101" s="10" t="str">
        <f t="shared" si="1418"/>
        <v>Rancho Upácuaro No. 146</v>
      </c>
      <c r="F7101" s="10" t="str">
        <f t="shared" si="1419"/>
        <v>Islas</v>
      </c>
      <c r="G7101" s="8">
        <v>1</v>
      </c>
      <c r="H7101" s="11">
        <v>1200</v>
      </c>
      <c r="I7101" s="12">
        <v>43345</v>
      </c>
      <c r="J7101" s="35">
        <f t="shared" si="1420"/>
        <v>0</v>
      </c>
      <c r="K7101" s="36"/>
      <c r="L7101" s="36"/>
      <c r="M7101" s="36"/>
      <c r="N7101" s="36"/>
      <c r="O7101" s="36"/>
      <c r="P7101" s="36"/>
      <c r="Q7101" s="36"/>
      <c r="R7101" s="36"/>
      <c r="S7101" s="36"/>
      <c r="T7101" s="36"/>
      <c r="U7101" s="36"/>
      <c r="V7101" s="36"/>
      <c r="W7101" s="15">
        <f t="shared" si="1421"/>
        <v>0</v>
      </c>
      <c r="X7101" s="36"/>
      <c r="Y7101" s="36"/>
      <c r="Z7101" s="36"/>
      <c r="AA7101" s="36"/>
      <c r="AB7101" s="36"/>
      <c r="AC7101" s="36"/>
      <c r="AD7101" s="36"/>
      <c r="AE7101" s="36"/>
      <c r="AF7101" s="36"/>
      <c r="AG7101" s="36"/>
      <c r="AH7101" s="36"/>
      <c r="AI7101" s="36"/>
      <c r="AJ7101" s="15">
        <f t="shared" si="1422"/>
        <v>0</v>
      </c>
      <c r="AK7101" s="14"/>
      <c r="AL7101" s="14"/>
      <c r="AM7101" s="14"/>
      <c r="AN7101" s="14"/>
      <c r="AO7101" s="14"/>
      <c r="AP7101" s="14">
        <v>400</v>
      </c>
      <c r="AQ7101" s="14">
        <v>400</v>
      </c>
      <c r="AR7101" s="14">
        <v>400</v>
      </c>
      <c r="AS7101" s="14"/>
      <c r="AT7101" s="14"/>
      <c r="AU7101" s="14"/>
      <c r="AV7101" s="14"/>
      <c r="AW7101" s="15">
        <f t="shared" si="1423"/>
        <v>1200</v>
      </c>
      <c r="AX7101" s="16"/>
    </row>
    <row r="7102" spans="1:50" x14ac:dyDescent="0.2">
      <c r="B7102" s="7"/>
      <c r="C7102" s="8">
        <v>17150</v>
      </c>
      <c r="D7102" s="9" t="s">
        <v>100</v>
      </c>
      <c r="E7102" s="10" t="str">
        <f t="shared" ref="E7102:E7145" si="1424">IF(D7102=0,"",VLOOKUP(D7102,BASE,2,FALSE))</f>
        <v>Rancho Upácuaro No. 32</v>
      </c>
      <c r="F7102" s="10" t="str">
        <f t="shared" ref="F7102:F7145" si="1425">IF(D7102=0,"",VLOOKUP(D7102,BASE,3,FALSE))</f>
        <v>Sairafi Carmen</v>
      </c>
      <c r="G7102" s="8">
        <v>1</v>
      </c>
      <c r="H7102" s="11">
        <v>400</v>
      </c>
      <c r="I7102" s="12">
        <v>43345</v>
      </c>
      <c r="J7102" s="35">
        <f t="shared" ref="J7102:J7145" si="1426">IF(G7102=1,SUM(W7102,AJ7102,AW7102,-H7102),0)</f>
        <v>0</v>
      </c>
      <c r="K7102" s="36"/>
      <c r="L7102" s="36"/>
      <c r="M7102" s="36"/>
      <c r="N7102" s="36"/>
      <c r="O7102" s="36"/>
      <c r="P7102" s="36"/>
      <c r="Q7102" s="36"/>
      <c r="R7102" s="36"/>
      <c r="S7102" s="36"/>
      <c r="T7102" s="36"/>
      <c r="U7102" s="36"/>
      <c r="V7102" s="36"/>
      <c r="W7102" s="15">
        <f t="shared" ref="W7102:W7145" si="1427">SUM(K7102:V7102)</f>
        <v>0</v>
      </c>
      <c r="X7102" s="36"/>
      <c r="Y7102" s="36"/>
      <c r="Z7102" s="36"/>
      <c r="AA7102" s="36"/>
      <c r="AB7102" s="36"/>
      <c r="AC7102" s="36"/>
      <c r="AD7102" s="36"/>
      <c r="AE7102" s="36"/>
      <c r="AF7102" s="36"/>
      <c r="AG7102" s="36"/>
      <c r="AH7102" s="36"/>
      <c r="AI7102" s="36"/>
      <c r="AJ7102" s="15">
        <f t="shared" ref="AJ7102:AJ7145" si="1428">SUM(X7102:AI7102)</f>
        <v>0</v>
      </c>
      <c r="AK7102" s="14"/>
      <c r="AL7102" s="14"/>
      <c r="AM7102" s="14"/>
      <c r="AN7102" s="14"/>
      <c r="AO7102" s="14"/>
      <c r="AP7102" s="14"/>
      <c r="AQ7102" s="14"/>
      <c r="AR7102" s="14"/>
      <c r="AS7102" s="14">
        <v>400</v>
      </c>
      <c r="AT7102" s="14"/>
      <c r="AU7102" s="14"/>
      <c r="AV7102" s="14"/>
      <c r="AW7102" s="15">
        <f t="shared" ref="AW7102:AW7145" si="1429">SUM(AK7102:AV7102)</f>
        <v>400</v>
      </c>
      <c r="AX7102" s="16"/>
    </row>
    <row r="7103" spans="1:50" x14ac:dyDescent="0.2">
      <c r="B7103" s="7"/>
      <c r="C7103" s="8">
        <v>17151</v>
      </c>
      <c r="D7103" s="9" t="s">
        <v>238</v>
      </c>
      <c r="E7103" s="10" t="str">
        <f t="shared" si="1424"/>
        <v>Rancho La Cuchilla No. 43, B</v>
      </c>
      <c r="F7103" s="10" t="str">
        <f t="shared" si="1425"/>
        <v>Luna Albertano</v>
      </c>
      <c r="G7103" s="8">
        <v>1</v>
      </c>
      <c r="H7103" s="11">
        <v>125</v>
      </c>
      <c r="I7103" s="12">
        <v>43345</v>
      </c>
      <c r="J7103" s="35">
        <f t="shared" si="1426"/>
        <v>0</v>
      </c>
      <c r="K7103" s="36"/>
      <c r="L7103" s="36"/>
      <c r="M7103" s="36"/>
      <c r="N7103" s="36"/>
      <c r="O7103" s="36"/>
      <c r="P7103" s="36"/>
      <c r="Q7103" s="36"/>
      <c r="R7103" s="36"/>
      <c r="S7103" s="36"/>
      <c r="T7103" s="36"/>
      <c r="U7103" s="36"/>
      <c r="V7103" s="36"/>
      <c r="W7103" s="15">
        <f t="shared" si="1427"/>
        <v>0</v>
      </c>
      <c r="X7103" s="36"/>
      <c r="Y7103" s="36"/>
      <c r="Z7103" s="36"/>
      <c r="AA7103" s="36"/>
      <c r="AB7103" s="36"/>
      <c r="AC7103" s="36"/>
      <c r="AD7103" s="36"/>
      <c r="AE7103" s="36"/>
      <c r="AF7103" s="36"/>
      <c r="AG7103" s="36"/>
      <c r="AH7103" s="36"/>
      <c r="AI7103" s="36"/>
      <c r="AJ7103" s="15">
        <f t="shared" si="1428"/>
        <v>0</v>
      </c>
      <c r="AK7103" s="14"/>
      <c r="AL7103" s="14"/>
      <c r="AM7103" s="14"/>
      <c r="AN7103" s="14"/>
      <c r="AO7103" s="14"/>
      <c r="AP7103" s="14"/>
      <c r="AQ7103" s="14"/>
      <c r="AR7103" s="14"/>
      <c r="AS7103" s="14">
        <v>125</v>
      </c>
      <c r="AT7103" s="14"/>
      <c r="AU7103" s="14"/>
      <c r="AV7103" s="14"/>
      <c r="AW7103" s="15">
        <f t="shared" si="1429"/>
        <v>125</v>
      </c>
      <c r="AX7103" s="16"/>
    </row>
    <row r="7104" spans="1:50" x14ac:dyDescent="0.2">
      <c r="B7104" s="7"/>
      <c r="C7104" s="8">
        <v>17152</v>
      </c>
      <c r="D7104" s="9" t="s">
        <v>162</v>
      </c>
      <c r="E7104" s="10" t="str">
        <f t="shared" si="1424"/>
        <v>Rancho La Cuchilla No. 20</v>
      </c>
      <c r="F7104" s="10" t="str">
        <f t="shared" si="1425"/>
        <v>Sánchez López</v>
      </c>
      <c r="G7104" s="8">
        <v>1</v>
      </c>
      <c r="H7104" s="11">
        <v>800</v>
      </c>
      <c r="I7104" s="12">
        <v>43345</v>
      </c>
      <c r="J7104" s="35">
        <f t="shared" si="1426"/>
        <v>0</v>
      </c>
      <c r="K7104" s="36"/>
      <c r="L7104" s="36"/>
      <c r="M7104" s="36"/>
      <c r="N7104" s="36"/>
      <c r="O7104" s="36"/>
      <c r="P7104" s="36"/>
      <c r="Q7104" s="36"/>
      <c r="R7104" s="36"/>
      <c r="S7104" s="36"/>
      <c r="T7104" s="36"/>
      <c r="U7104" s="36"/>
      <c r="V7104" s="36"/>
      <c r="W7104" s="15">
        <f t="shared" si="1427"/>
        <v>0</v>
      </c>
      <c r="X7104" s="36"/>
      <c r="Y7104" s="36"/>
      <c r="Z7104" s="36"/>
      <c r="AA7104" s="36"/>
      <c r="AB7104" s="36"/>
      <c r="AC7104" s="36"/>
      <c r="AD7104" s="36"/>
      <c r="AE7104" s="36"/>
      <c r="AF7104" s="36"/>
      <c r="AG7104" s="36"/>
      <c r="AH7104" s="36"/>
      <c r="AI7104" s="36"/>
      <c r="AJ7104" s="15">
        <f t="shared" si="1428"/>
        <v>0</v>
      </c>
      <c r="AK7104" s="14"/>
      <c r="AL7104" s="14"/>
      <c r="AM7104" s="14"/>
      <c r="AN7104" s="14"/>
      <c r="AO7104" s="14"/>
      <c r="AP7104" s="14"/>
      <c r="AQ7104" s="14"/>
      <c r="AR7104" s="14"/>
      <c r="AS7104" s="14">
        <v>400</v>
      </c>
      <c r="AT7104" s="14">
        <v>400</v>
      </c>
      <c r="AU7104" s="14"/>
      <c r="AV7104" s="14"/>
      <c r="AW7104" s="15">
        <f t="shared" si="1429"/>
        <v>800</v>
      </c>
      <c r="AX7104" s="16"/>
    </row>
    <row r="7105" spans="2:50" x14ac:dyDescent="0.2">
      <c r="B7105" s="7"/>
      <c r="C7105" s="8">
        <v>17153</v>
      </c>
      <c r="D7105" s="9" t="s">
        <v>800</v>
      </c>
      <c r="E7105" s="10" t="str">
        <f t="shared" si="1424"/>
        <v>Rancho Upácuaro No. 14</v>
      </c>
      <c r="F7105" s="10" t="str">
        <f t="shared" si="1425"/>
        <v>Castillo Hernández</v>
      </c>
      <c r="G7105" s="8">
        <v>1</v>
      </c>
      <c r="H7105" s="11">
        <v>1200</v>
      </c>
      <c r="I7105" s="12">
        <v>43345</v>
      </c>
      <c r="J7105" s="35">
        <f t="shared" si="1426"/>
        <v>0</v>
      </c>
      <c r="K7105" s="36"/>
      <c r="L7105" s="36"/>
      <c r="M7105" s="36"/>
      <c r="N7105" s="36"/>
      <c r="O7105" s="36"/>
      <c r="P7105" s="36"/>
      <c r="Q7105" s="36"/>
      <c r="R7105" s="36"/>
      <c r="S7105" s="36"/>
      <c r="T7105" s="36"/>
      <c r="U7105" s="36"/>
      <c r="V7105" s="36"/>
      <c r="W7105" s="15">
        <f t="shared" si="1427"/>
        <v>0</v>
      </c>
      <c r="X7105" s="36"/>
      <c r="Y7105" s="36"/>
      <c r="Z7105" s="36"/>
      <c r="AA7105" s="36"/>
      <c r="AB7105" s="36"/>
      <c r="AC7105" s="36"/>
      <c r="AD7105" s="36"/>
      <c r="AE7105" s="36"/>
      <c r="AF7105" s="36"/>
      <c r="AG7105" s="36"/>
      <c r="AH7105" s="36"/>
      <c r="AI7105" s="36"/>
      <c r="AJ7105" s="15">
        <f t="shared" si="1428"/>
        <v>0</v>
      </c>
      <c r="AK7105" s="14"/>
      <c r="AL7105" s="14"/>
      <c r="AM7105" s="14"/>
      <c r="AN7105" s="14"/>
      <c r="AO7105" s="14"/>
      <c r="AP7105" s="14">
        <v>400</v>
      </c>
      <c r="AQ7105" s="14">
        <v>400</v>
      </c>
      <c r="AR7105" s="14">
        <v>400</v>
      </c>
      <c r="AS7105" s="14"/>
      <c r="AT7105" s="14"/>
      <c r="AU7105" s="14"/>
      <c r="AV7105" s="14"/>
      <c r="AW7105" s="15">
        <f t="shared" si="1429"/>
        <v>1200</v>
      </c>
      <c r="AX7105" s="16"/>
    </row>
    <row r="7106" spans="2:50" x14ac:dyDescent="0.2">
      <c r="B7106" s="7"/>
      <c r="C7106" s="8">
        <v>17154</v>
      </c>
      <c r="D7106" s="9" t="s">
        <v>84</v>
      </c>
      <c r="E7106" s="10" t="str">
        <f t="shared" si="1424"/>
        <v>Rancho La Cuchilla No. 139</v>
      </c>
      <c r="F7106" s="10" t="str">
        <f t="shared" si="1425"/>
        <v>Garcia</v>
      </c>
      <c r="G7106" s="8">
        <v>1</v>
      </c>
      <c r="H7106" s="11">
        <v>200</v>
      </c>
      <c r="I7106" s="12">
        <v>43345</v>
      </c>
      <c r="J7106" s="35">
        <f t="shared" si="1426"/>
        <v>0</v>
      </c>
      <c r="K7106" s="36"/>
      <c r="L7106" s="36"/>
      <c r="M7106" s="36"/>
      <c r="N7106" s="36"/>
      <c r="O7106" s="36"/>
      <c r="P7106" s="36"/>
      <c r="Q7106" s="36"/>
      <c r="R7106" s="36"/>
      <c r="S7106" s="36"/>
      <c r="T7106" s="36"/>
      <c r="U7106" s="36"/>
      <c r="V7106" s="36"/>
      <c r="W7106" s="15">
        <f t="shared" si="1427"/>
        <v>0</v>
      </c>
      <c r="X7106" s="36"/>
      <c r="Y7106" s="36"/>
      <c r="Z7106" s="36"/>
      <c r="AA7106" s="36"/>
      <c r="AB7106" s="36"/>
      <c r="AC7106" s="36"/>
      <c r="AD7106" s="36"/>
      <c r="AE7106" s="36"/>
      <c r="AF7106" s="36"/>
      <c r="AG7106" s="36"/>
      <c r="AH7106" s="36"/>
      <c r="AI7106" s="36"/>
      <c r="AJ7106" s="15">
        <f t="shared" si="1428"/>
        <v>0</v>
      </c>
      <c r="AK7106" s="14"/>
      <c r="AL7106" s="14"/>
      <c r="AM7106" s="14"/>
      <c r="AN7106" s="14"/>
      <c r="AO7106" s="14"/>
      <c r="AP7106" s="14"/>
      <c r="AQ7106" s="14"/>
      <c r="AR7106" s="14"/>
      <c r="AS7106" s="14">
        <v>200</v>
      </c>
      <c r="AT7106" s="14"/>
      <c r="AU7106" s="14"/>
      <c r="AV7106" s="14"/>
      <c r="AW7106" s="15">
        <f t="shared" si="1429"/>
        <v>200</v>
      </c>
      <c r="AX7106" s="16"/>
    </row>
    <row r="7107" spans="2:50" x14ac:dyDescent="0.2">
      <c r="B7107" s="7"/>
      <c r="C7107" s="8">
        <v>17155</v>
      </c>
      <c r="D7107" s="9" t="s">
        <v>797</v>
      </c>
      <c r="E7107" s="10" t="str">
        <f t="shared" si="1424"/>
        <v>Rancho Recoveco No. 195</v>
      </c>
      <c r="F7107" s="10" t="str">
        <f t="shared" si="1425"/>
        <v>Sandoval</v>
      </c>
      <c r="G7107" s="8">
        <v>1</v>
      </c>
      <c r="H7107" s="11">
        <v>250</v>
      </c>
      <c r="I7107" s="12">
        <v>43345</v>
      </c>
      <c r="J7107" s="35">
        <f t="shared" si="1426"/>
        <v>0</v>
      </c>
      <c r="K7107" s="36"/>
      <c r="L7107" s="36"/>
      <c r="M7107" s="36"/>
      <c r="N7107" s="36"/>
      <c r="O7107" s="36"/>
      <c r="P7107" s="36"/>
      <c r="Q7107" s="36"/>
      <c r="R7107" s="36"/>
      <c r="S7107" s="36"/>
      <c r="T7107" s="36"/>
      <c r="U7107" s="36"/>
      <c r="V7107" s="36"/>
      <c r="W7107" s="15">
        <f t="shared" si="1427"/>
        <v>0</v>
      </c>
      <c r="X7107" s="36"/>
      <c r="Y7107" s="36"/>
      <c r="Z7107" s="36"/>
      <c r="AA7107" s="36"/>
      <c r="AB7107" s="36"/>
      <c r="AC7107" s="36"/>
      <c r="AD7107" s="36"/>
      <c r="AE7107" s="36"/>
      <c r="AF7107" s="36"/>
      <c r="AG7107" s="36"/>
      <c r="AH7107" s="36"/>
      <c r="AI7107" s="36"/>
      <c r="AJ7107" s="15">
        <f t="shared" si="1428"/>
        <v>0</v>
      </c>
      <c r="AK7107" s="14"/>
      <c r="AL7107" s="14"/>
      <c r="AM7107" s="14"/>
      <c r="AN7107" s="14"/>
      <c r="AO7107" s="14"/>
      <c r="AP7107" s="14"/>
      <c r="AQ7107" s="14"/>
      <c r="AR7107" s="14"/>
      <c r="AS7107" s="14">
        <v>250</v>
      </c>
      <c r="AT7107" s="14"/>
      <c r="AU7107" s="14"/>
      <c r="AV7107" s="14"/>
      <c r="AW7107" s="15">
        <f t="shared" si="1429"/>
        <v>250</v>
      </c>
      <c r="AX7107" s="16"/>
    </row>
    <row r="7108" spans="2:50" x14ac:dyDescent="0.2">
      <c r="B7108" s="7"/>
      <c r="C7108" s="8">
        <v>17156</v>
      </c>
      <c r="D7108" s="9" t="s">
        <v>514</v>
      </c>
      <c r="E7108" s="10" t="str">
        <f t="shared" si="1424"/>
        <v>Rancho Upácuaro No. 114</v>
      </c>
      <c r="F7108" s="10" t="str">
        <f t="shared" si="1425"/>
        <v>Hernández Cornejo</v>
      </c>
      <c r="G7108" s="8">
        <v>1</v>
      </c>
      <c r="H7108" s="11">
        <v>400</v>
      </c>
      <c r="I7108" s="12">
        <v>43345</v>
      </c>
      <c r="J7108" s="35">
        <f t="shared" si="1426"/>
        <v>0</v>
      </c>
      <c r="K7108" s="36"/>
      <c r="L7108" s="36"/>
      <c r="M7108" s="36"/>
      <c r="N7108" s="36"/>
      <c r="O7108" s="36"/>
      <c r="P7108" s="36"/>
      <c r="Q7108" s="36"/>
      <c r="R7108" s="36"/>
      <c r="S7108" s="36"/>
      <c r="T7108" s="36"/>
      <c r="U7108" s="36"/>
      <c r="V7108" s="36"/>
      <c r="W7108" s="15">
        <f t="shared" si="1427"/>
        <v>0</v>
      </c>
      <c r="X7108" s="36"/>
      <c r="Y7108" s="36"/>
      <c r="Z7108" s="36"/>
      <c r="AA7108" s="36"/>
      <c r="AB7108" s="36"/>
      <c r="AC7108" s="36"/>
      <c r="AD7108" s="36"/>
      <c r="AE7108" s="36"/>
      <c r="AF7108" s="36"/>
      <c r="AG7108" s="36"/>
      <c r="AH7108" s="36"/>
      <c r="AI7108" s="36"/>
      <c r="AJ7108" s="15">
        <f t="shared" si="1428"/>
        <v>0</v>
      </c>
      <c r="AK7108" s="14"/>
      <c r="AL7108" s="14"/>
      <c r="AM7108" s="14"/>
      <c r="AN7108" s="14"/>
      <c r="AO7108" s="14"/>
      <c r="AP7108" s="14"/>
      <c r="AQ7108" s="14"/>
      <c r="AR7108" s="14">
        <v>400</v>
      </c>
      <c r="AS7108" s="14"/>
      <c r="AT7108" s="14"/>
      <c r="AU7108" s="14"/>
      <c r="AV7108" s="14"/>
      <c r="AW7108" s="15">
        <f t="shared" si="1429"/>
        <v>400</v>
      </c>
      <c r="AX7108" s="16"/>
    </row>
    <row r="7109" spans="2:50" x14ac:dyDescent="0.2">
      <c r="B7109" s="7"/>
      <c r="C7109" s="8">
        <v>17157</v>
      </c>
      <c r="D7109" s="9" t="s">
        <v>810</v>
      </c>
      <c r="E7109" s="10" t="str">
        <f t="shared" si="1424"/>
        <v>Rancho La Cuchilla No. 90</v>
      </c>
      <c r="F7109" s="10" t="str">
        <f t="shared" si="1425"/>
        <v>Porras Fuentes</v>
      </c>
      <c r="G7109" s="8">
        <v>1</v>
      </c>
      <c r="H7109" s="11">
        <v>200</v>
      </c>
      <c r="I7109" s="12">
        <v>43345</v>
      </c>
      <c r="J7109" s="35">
        <f t="shared" si="1426"/>
        <v>0</v>
      </c>
      <c r="K7109" s="36"/>
      <c r="L7109" s="36"/>
      <c r="M7109" s="36"/>
      <c r="N7109" s="36"/>
      <c r="O7109" s="36"/>
      <c r="P7109" s="36"/>
      <c r="Q7109" s="36"/>
      <c r="R7109" s="36"/>
      <c r="S7109" s="36"/>
      <c r="T7109" s="36"/>
      <c r="U7109" s="36"/>
      <c r="V7109" s="36"/>
      <c r="W7109" s="15">
        <f t="shared" si="1427"/>
        <v>0</v>
      </c>
      <c r="X7109" s="36"/>
      <c r="Y7109" s="36"/>
      <c r="Z7109" s="36"/>
      <c r="AA7109" s="36"/>
      <c r="AB7109" s="36"/>
      <c r="AC7109" s="36"/>
      <c r="AD7109" s="36"/>
      <c r="AE7109" s="36"/>
      <c r="AF7109" s="36"/>
      <c r="AG7109" s="36"/>
      <c r="AH7109" s="36"/>
      <c r="AI7109" s="36"/>
      <c r="AJ7109" s="15">
        <f t="shared" si="1428"/>
        <v>0</v>
      </c>
      <c r="AK7109" s="14"/>
      <c r="AL7109" s="14"/>
      <c r="AM7109" s="14"/>
      <c r="AN7109" s="14"/>
      <c r="AO7109" s="14"/>
      <c r="AP7109" s="14"/>
      <c r="AQ7109" s="14"/>
      <c r="AR7109" s="14"/>
      <c r="AS7109" s="14">
        <v>200</v>
      </c>
      <c r="AT7109" s="14"/>
      <c r="AU7109" s="14"/>
      <c r="AV7109" s="14"/>
      <c r="AW7109" s="15">
        <f t="shared" si="1429"/>
        <v>200</v>
      </c>
      <c r="AX7109" s="16"/>
    </row>
    <row r="7110" spans="2:50" x14ac:dyDescent="0.2">
      <c r="B7110" s="7"/>
      <c r="C7110" s="8">
        <v>17158</v>
      </c>
      <c r="D7110" s="9" t="s">
        <v>416</v>
      </c>
      <c r="E7110" s="10" t="str">
        <f t="shared" si="1424"/>
        <v>Rancho La Cuchilla No. 112, PB</v>
      </c>
      <c r="F7110" s="10" t="str">
        <f t="shared" si="1425"/>
        <v>Soreque</v>
      </c>
      <c r="G7110" s="8">
        <v>1</v>
      </c>
      <c r="H7110" s="11">
        <v>200</v>
      </c>
      <c r="I7110" s="12">
        <v>43345</v>
      </c>
      <c r="J7110" s="35">
        <f t="shared" si="1426"/>
        <v>0</v>
      </c>
      <c r="K7110" s="36"/>
      <c r="L7110" s="36"/>
      <c r="M7110" s="36"/>
      <c r="N7110" s="36"/>
      <c r="O7110" s="36"/>
      <c r="P7110" s="36"/>
      <c r="Q7110" s="36"/>
      <c r="R7110" s="36"/>
      <c r="S7110" s="36"/>
      <c r="T7110" s="36"/>
      <c r="U7110" s="36"/>
      <c r="V7110" s="36"/>
      <c r="W7110" s="15">
        <f t="shared" si="1427"/>
        <v>0</v>
      </c>
      <c r="X7110" s="36"/>
      <c r="Y7110" s="36"/>
      <c r="Z7110" s="36"/>
      <c r="AA7110" s="36"/>
      <c r="AB7110" s="36"/>
      <c r="AC7110" s="36"/>
      <c r="AD7110" s="36"/>
      <c r="AE7110" s="36"/>
      <c r="AF7110" s="36"/>
      <c r="AG7110" s="36"/>
      <c r="AH7110" s="36"/>
      <c r="AI7110" s="36"/>
      <c r="AJ7110" s="15">
        <f t="shared" si="1428"/>
        <v>0</v>
      </c>
      <c r="AK7110" s="14"/>
      <c r="AL7110" s="14"/>
      <c r="AM7110" s="14"/>
      <c r="AN7110" s="14"/>
      <c r="AO7110" s="14"/>
      <c r="AP7110" s="14"/>
      <c r="AQ7110" s="14"/>
      <c r="AR7110" s="14"/>
      <c r="AS7110" s="14">
        <v>200</v>
      </c>
      <c r="AT7110" s="14"/>
      <c r="AU7110" s="14"/>
      <c r="AV7110" s="14"/>
      <c r="AW7110" s="15">
        <f t="shared" si="1429"/>
        <v>200</v>
      </c>
      <c r="AX7110" s="16"/>
    </row>
    <row r="7111" spans="2:50" x14ac:dyDescent="0.2">
      <c r="B7111" s="7"/>
      <c r="C7111" s="8">
        <v>17159</v>
      </c>
      <c r="D7111" s="9" t="s">
        <v>944</v>
      </c>
      <c r="E7111" s="10" t="str">
        <f t="shared" si="1424"/>
        <v>Rancho Upácuaro No. 104</v>
      </c>
      <c r="F7111" s="10" t="str">
        <f t="shared" si="1425"/>
        <v>Jiménez Almazo</v>
      </c>
      <c r="G7111" s="8">
        <v>5</v>
      </c>
      <c r="H7111" s="11">
        <v>100</v>
      </c>
      <c r="I7111" s="12">
        <v>43345</v>
      </c>
      <c r="J7111" s="35">
        <f t="shared" si="1426"/>
        <v>0</v>
      </c>
      <c r="K7111" s="36"/>
      <c r="L7111" s="36"/>
      <c r="M7111" s="36"/>
      <c r="N7111" s="36"/>
      <c r="O7111" s="36"/>
      <c r="P7111" s="36"/>
      <c r="Q7111" s="36"/>
      <c r="R7111" s="36"/>
      <c r="S7111" s="36"/>
      <c r="T7111" s="36"/>
      <c r="U7111" s="36"/>
      <c r="V7111" s="36"/>
      <c r="W7111" s="15">
        <f t="shared" si="1427"/>
        <v>0</v>
      </c>
      <c r="X7111" s="36"/>
      <c r="Y7111" s="36"/>
      <c r="Z7111" s="36"/>
      <c r="AA7111" s="36"/>
      <c r="AB7111" s="36"/>
      <c r="AC7111" s="36"/>
      <c r="AD7111" s="36"/>
      <c r="AE7111" s="36"/>
      <c r="AF7111" s="36"/>
      <c r="AG7111" s="36"/>
      <c r="AH7111" s="36"/>
      <c r="AI7111" s="36"/>
      <c r="AJ7111" s="15">
        <f t="shared" si="1428"/>
        <v>0</v>
      </c>
      <c r="AK7111" s="14"/>
      <c r="AL7111" s="14"/>
      <c r="AM7111" s="14"/>
      <c r="AN7111" s="14"/>
      <c r="AO7111" s="14"/>
      <c r="AP7111" s="14"/>
      <c r="AQ7111" s="14"/>
      <c r="AR7111" s="14"/>
      <c r="AS7111" s="14"/>
      <c r="AT7111" s="14"/>
      <c r="AU7111" s="14"/>
      <c r="AV7111" s="14"/>
      <c r="AW7111" s="15">
        <f t="shared" si="1429"/>
        <v>0</v>
      </c>
      <c r="AX7111" s="16"/>
    </row>
    <row r="7112" spans="2:50" x14ac:dyDescent="0.2">
      <c r="B7112" s="7"/>
      <c r="C7112" s="8">
        <v>17160</v>
      </c>
      <c r="D7112" s="9" t="s">
        <v>262</v>
      </c>
      <c r="E7112" s="10" t="str">
        <f t="shared" si="1424"/>
        <v>Rancho Recoveco No. 1</v>
      </c>
      <c r="F7112" s="10" t="str">
        <f t="shared" si="1425"/>
        <v>Díaz</v>
      </c>
      <c r="G7112" s="8">
        <v>1</v>
      </c>
      <c r="H7112" s="11">
        <v>300</v>
      </c>
      <c r="I7112" s="12">
        <v>43345</v>
      </c>
      <c r="J7112" s="35">
        <f t="shared" si="1426"/>
        <v>0</v>
      </c>
      <c r="K7112" s="36"/>
      <c r="L7112" s="36"/>
      <c r="M7112" s="36"/>
      <c r="N7112" s="36"/>
      <c r="O7112" s="36"/>
      <c r="P7112" s="36"/>
      <c r="Q7112" s="36"/>
      <c r="R7112" s="36"/>
      <c r="S7112" s="36"/>
      <c r="T7112" s="36"/>
      <c r="U7112" s="36"/>
      <c r="V7112" s="36"/>
      <c r="W7112" s="15">
        <f t="shared" si="1427"/>
        <v>0</v>
      </c>
      <c r="X7112" s="36"/>
      <c r="Y7112" s="36"/>
      <c r="Z7112" s="36"/>
      <c r="AA7112" s="36"/>
      <c r="AB7112" s="36"/>
      <c r="AC7112" s="36"/>
      <c r="AD7112" s="36"/>
      <c r="AE7112" s="36"/>
      <c r="AF7112" s="36"/>
      <c r="AG7112" s="36"/>
      <c r="AH7112" s="36"/>
      <c r="AI7112" s="36"/>
      <c r="AJ7112" s="15">
        <f t="shared" si="1428"/>
        <v>0</v>
      </c>
      <c r="AK7112" s="14"/>
      <c r="AL7112" s="14"/>
      <c r="AM7112" s="14"/>
      <c r="AN7112" s="14"/>
      <c r="AO7112" s="14"/>
      <c r="AP7112" s="14"/>
      <c r="AQ7112" s="14"/>
      <c r="AR7112" s="14"/>
      <c r="AS7112" s="14">
        <v>300</v>
      </c>
      <c r="AT7112" s="14"/>
      <c r="AU7112" s="14"/>
      <c r="AV7112" s="14"/>
      <c r="AW7112" s="15">
        <f t="shared" si="1429"/>
        <v>300</v>
      </c>
      <c r="AX7112" s="16"/>
    </row>
    <row r="7113" spans="2:50" x14ac:dyDescent="0.2">
      <c r="B7113" s="7"/>
      <c r="C7113" s="8">
        <v>17161</v>
      </c>
      <c r="D7113" s="9" t="s">
        <v>523</v>
      </c>
      <c r="E7113" s="10" t="str">
        <f t="shared" si="1424"/>
        <v>Rancho Estanzuela No. 139</v>
      </c>
      <c r="F7113" s="10" t="str">
        <f t="shared" si="1425"/>
        <v xml:space="preserve">Ortiz   </v>
      </c>
      <c r="G7113" s="8">
        <v>1</v>
      </c>
      <c r="H7113" s="11">
        <v>400</v>
      </c>
      <c r="I7113" s="12">
        <v>43345</v>
      </c>
      <c r="J7113" s="35">
        <f t="shared" si="1426"/>
        <v>0</v>
      </c>
      <c r="K7113" s="36"/>
      <c r="L7113" s="36"/>
      <c r="M7113" s="36"/>
      <c r="N7113" s="36"/>
      <c r="O7113" s="36"/>
      <c r="P7113" s="36"/>
      <c r="Q7113" s="36"/>
      <c r="R7113" s="36"/>
      <c r="S7113" s="36"/>
      <c r="T7113" s="36"/>
      <c r="U7113" s="36"/>
      <c r="V7113" s="36"/>
      <c r="W7113" s="15">
        <f t="shared" si="1427"/>
        <v>0</v>
      </c>
      <c r="X7113" s="36"/>
      <c r="Y7113" s="36"/>
      <c r="Z7113" s="36"/>
      <c r="AA7113" s="36"/>
      <c r="AB7113" s="36"/>
      <c r="AC7113" s="36"/>
      <c r="AD7113" s="36"/>
      <c r="AE7113" s="36"/>
      <c r="AF7113" s="36"/>
      <c r="AG7113" s="36"/>
      <c r="AH7113" s="36"/>
      <c r="AI7113" s="36"/>
      <c r="AJ7113" s="15">
        <f t="shared" si="1428"/>
        <v>0</v>
      </c>
      <c r="AK7113" s="14"/>
      <c r="AL7113" s="14"/>
      <c r="AM7113" s="14"/>
      <c r="AN7113" s="14"/>
      <c r="AO7113" s="14"/>
      <c r="AP7113" s="14"/>
      <c r="AQ7113" s="14"/>
      <c r="AR7113" s="14">
        <v>400</v>
      </c>
      <c r="AS7113" s="14"/>
      <c r="AT7113" s="14"/>
      <c r="AU7113" s="14"/>
      <c r="AV7113" s="14"/>
      <c r="AW7113" s="15">
        <f t="shared" si="1429"/>
        <v>400</v>
      </c>
      <c r="AX7113" s="16"/>
    </row>
    <row r="7114" spans="2:50" x14ac:dyDescent="0.2">
      <c r="B7114" s="7"/>
      <c r="C7114" s="8">
        <v>17162</v>
      </c>
      <c r="D7114" s="9" t="s">
        <v>640</v>
      </c>
      <c r="E7114" s="10" t="str">
        <f t="shared" si="1424"/>
        <v>Rancho Estopila No. 22, A</v>
      </c>
      <c r="F7114" s="10" t="str">
        <f t="shared" si="1425"/>
        <v>Ayala Carranza</v>
      </c>
      <c r="G7114" s="8">
        <v>1</v>
      </c>
      <c r="H7114" s="11">
        <v>200</v>
      </c>
      <c r="I7114" s="12">
        <v>43345</v>
      </c>
      <c r="J7114" s="35">
        <f t="shared" si="1426"/>
        <v>0</v>
      </c>
      <c r="K7114" s="36"/>
      <c r="L7114" s="36"/>
      <c r="M7114" s="36"/>
      <c r="N7114" s="36"/>
      <c r="O7114" s="36"/>
      <c r="P7114" s="36"/>
      <c r="Q7114" s="36"/>
      <c r="R7114" s="36"/>
      <c r="S7114" s="36"/>
      <c r="T7114" s="36"/>
      <c r="U7114" s="36"/>
      <c r="V7114" s="36"/>
      <c r="W7114" s="15">
        <f t="shared" si="1427"/>
        <v>0</v>
      </c>
      <c r="X7114" s="36"/>
      <c r="Y7114" s="36"/>
      <c r="Z7114" s="36"/>
      <c r="AA7114" s="36"/>
      <c r="AB7114" s="36"/>
      <c r="AC7114" s="36"/>
      <c r="AD7114" s="36"/>
      <c r="AE7114" s="36"/>
      <c r="AF7114" s="36"/>
      <c r="AG7114" s="36"/>
      <c r="AH7114" s="36"/>
      <c r="AI7114" s="36"/>
      <c r="AJ7114" s="15">
        <f t="shared" si="1428"/>
        <v>0</v>
      </c>
      <c r="AK7114" s="14"/>
      <c r="AL7114" s="14"/>
      <c r="AM7114" s="14"/>
      <c r="AN7114" s="14"/>
      <c r="AO7114" s="14"/>
      <c r="AP7114" s="14"/>
      <c r="AQ7114" s="14"/>
      <c r="AR7114" s="14">
        <v>200</v>
      </c>
      <c r="AS7114" s="14"/>
      <c r="AT7114" s="14"/>
      <c r="AU7114" s="14"/>
      <c r="AV7114" s="14"/>
      <c r="AW7114" s="15">
        <f t="shared" si="1429"/>
        <v>200</v>
      </c>
      <c r="AX7114" s="16"/>
    </row>
    <row r="7115" spans="2:50" x14ac:dyDescent="0.2">
      <c r="B7115" s="7"/>
      <c r="C7115" s="8">
        <v>17163</v>
      </c>
      <c r="D7115" s="9" t="s">
        <v>455</v>
      </c>
      <c r="E7115" s="10" t="str">
        <f t="shared" si="1424"/>
        <v>Rancho Zinamba No. 38</v>
      </c>
      <c r="F7115" s="10" t="str">
        <f t="shared" si="1425"/>
        <v>Ramírez Díaz</v>
      </c>
      <c r="G7115" s="8">
        <v>1</v>
      </c>
      <c r="H7115" s="11">
        <v>400</v>
      </c>
      <c r="I7115" s="12">
        <v>43345</v>
      </c>
      <c r="J7115" s="35">
        <f t="shared" si="1426"/>
        <v>0</v>
      </c>
      <c r="K7115" s="36"/>
      <c r="L7115" s="36"/>
      <c r="M7115" s="36"/>
      <c r="N7115" s="36"/>
      <c r="O7115" s="36"/>
      <c r="P7115" s="36"/>
      <c r="Q7115" s="36"/>
      <c r="R7115" s="36"/>
      <c r="S7115" s="36"/>
      <c r="T7115" s="36"/>
      <c r="U7115" s="36"/>
      <c r="V7115" s="36"/>
      <c r="W7115" s="15">
        <f t="shared" si="1427"/>
        <v>0</v>
      </c>
      <c r="X7115" s="36"/>
      <c r="Y7115" s="36"/>
      <c r="Z7115" s="36"/>
      <c r="AA7115" s="36"/>
      <c r="AB7115" s="36"/>
      <c r="AC7115" s="36"/>
      <c r="AD7115" s="36"/>
      <c r="AE7115" s="36"/>
      <c r="AF7115" s="36"/>
      <c r="AG7115" s="36"/>
      <c r="AH7115" s="36"/>
      <c r="AI7115" s="36"/>
      <c r="AJ7115" s="15">
        <f t="shared" si="1428"/>
        <v>0</v>
      </c>
      <c r="AK7115" s="14"/>
      <c r="AL7115" s="14"/>
      <c r="AM7115" s="14"/>
      <c r="AN7115" s="14"/>
      <c r="AO7115" s="14"/>
      <c r="AP7115" s="14"/>
      <c r="AQ7115" s="14"/>
      <c r="AR7115" s="14"/>
      <c r="AS7115" s="14">
        <v>400</v>
      </c>
      <c r="AT7115" s="14"/>
      <c r="AU7115" s="14"/>
      <c r="AV7115" s="14"/>
      <c r="AW7115" s="15">
        <f t="shared" si="1429"/>
        <v>400</v>
      </c>
      <c r="AX7115" s="16"/>
    </row>
    <row r="7116" spans="2:50" x14ac:dyDescent="0.2">
      <c r="B7116" s="7"/>
      <c r="C7116" s="8">
        <v>17164</v>
      </c>
      <c r="D7116" s="9" t="s">
        <v>743</v>
      </c>
      <c r="E7116" s="10" t="str">
        <f t="shared" si="1424"/>
        <v>Rancho Upácuaro No. 106</v>
      </c>
      <c r="F7116" s="10" t="str">
        <f t="shared" si="1425"/>
        <v>Hernández Sánchez</v>
      </c>
      <c r="G7116" s="8">
        <v>1</v>
      </c>
      <c r="H7116" s="11">
        <v>1200</v>
      </c>
      <c r="I7116" s="12">
        <v>43345</v>
      </c>
      <c r="J7116" s="35">
        <f t="shared" si="1426"/>
        <v>0</v>
      </c>
      <c r="K7116" s="36"/>
      <c r="L7116" s="36"/>
      <c r="M7116" s="36"/>
      <c r="N7116" s="36"/>
      <c r="O7116" s="36"/>
      <c r="P7116" s="36"/>
      <c r="Q7116" s="36"/>
      <c r="R7116" s="36"/>
      <c r="S7116" s="36"/>
      <c r="T7116" s="36"/>
      <c r="U7116" s="36"/>
      <c r="V7116" s="36"/>
      <c r="W7116" s="15">
        <f t="shared" si="1427"/>
        <v>0</v>
      </c>
      <c r="X7116" s="36"/>
      <c r="Y7116" s="36"/>
      <c r="Z7116" s="36"/>
      <c r="AA7116" s="36"/>
      <c r="AB7116" s="36"/>
      <c r="AC7116" s="36"/>
      <c r="AD7116" s="36"/>
      <c r="AE7116" s="36"/>
      <c r="AF7116" s="36"/>
      <c r="AG7116" s="36"/>
      <c r="AH7116" s="36"/>
      <c r="AI7116" s="36"/>
      <c r="AJ7116" s="15">
        <f t="shared" si="1428"/>
        <v>0</v>
      </c>
      <c r="AK7116" s="14"/>
      <c r="AL7116" s="14"/>
      <c r="AM7116" s="14"/>
      <c r="AN7116" s="14"/>
      <c r="AO7116" s="14"/>
      <c r="AP7116" s="14">
        <v>400</v>
      </c>
      <c r="AQ7116" s="14">
        <v>400</v>
      </c>
      <c r="AR7116" s="14">
        <v>400</v>
      </c>
      <c r="AS7116" s="14"/>
      <c r="AT7116" s="14"/>
      <c r="AU7116" s="14"/>
      <c r="AV7116" s="14"/>
      <c r="AW7116" s="15">
        <f t="shared" si="1429"/>
        <v>1200</v>
      </c>
      <c r="AX7116" s="16"/>
    </row>
    <row r="7117" spans="2:50" x14ac:dyDescent="0.2">
      <c r="B7117" s="7"/>
      <c r="C7117" s="8">
        <v>17165</v>
      </c>
      <c r="D7117" s="9" t="s">
        <v>292</v>
      </c>
      <c r="E7117" s="10" t="str">
        <f t="shared" si="1424"/>
        <v>Rancho Upácuaro No. 140</v>
      </c>
      <c r="F7117" s="10" t="str">
        <f t="shared" si="1425"/>
        <v>Gozain</v>
      </c>
      <c r="G7117" s="8">
        <v>1</v>
      </c>
      <c r="H7117" s="11">
        <v>400</v>
      </c>
      <c r="I7117" s="12">
        <v>43345</v>
      </c>
      <c r="J7117" s="35">
        <f t="shared" si="1426"/>
        <v>0</v>
      </c>
      <c r="K7117" s="36"/>
      <c r="L7117" s="36"/>
      <c r="M7117" s="36"/>
      <c r="N7117" s="36"/>
      <c r="O7117" s="36"/>
      <c r="P7117" s="36"/>
      <c r="Q7117" s="36"/>
      <c r="R7117" s="36"/>
      <c r="S7117" s="36"/>
      <c r="T7117" s="36"/>
      <c r="U7117" s="36"/>
      <c r="V7117" s="36"/>
      <c r="W7117" s="15">
        <f t="shared" si="1427"/>
        <v>0</v>
      </c>
      <c r="X7117" s="36"/>
      <c r="Y7117" s="36"/>
      <c r="Z7117" s="36"/>
      <c r="AA7117" s="36"/>
      <c r="AB7117" s="36"/>
      <c r="AC7117" s="36"/>
      <c r="AD7117" s="36"/>
      <c r="AE7117" s="36"/>
      <c r="AF7117" s="36"/>
      <c r="AG7117" s="36"/>
      <c r="AH7117" s="36"/>
      <c r="AI7117" s="36"/>
      <c r="AJ7117" s="15">
        <f t="shared" si="1428"/>
        <v>0</v>
      </c>
      <c r="AK7117" s="14"/>
      <c r="AL7117" s="14"/>
      <c r="AM7117" s="14"/>
      <c r="AN7117" s="14"/>
      <c r="AO7117" s="14"/>
      <c r="AP7117" s="14"/>
      <c r="AQ7117" s="14"/>
      <c r="AR7117" s="14"/>
      <c r="AS7117" s="14">
        <v>400</v>
      </c>
      <c r="AT7117" s="14"/>
      <c r="AU7117" s="14"/>
      <c r="AV7117" s="14"/>
      <c r="AW7117" s="15">
        <f t="shared" si="1429"/>
        <v>400</v>
      </c>
      <c r="AX7117" s="16"/>
    </row>
    <row r="7118" spans="2:50" x14ac:dyDescent="0.2">
      <c r="B7118" s="7"/>
      <c r="C7118" s="8">
        <v>17166</v>
      </c>
      <c r="D7118" s="9" t="s">
        <v>387</v>
      </c>
      <c r="E7118" s="10" t="str">
        <f t="shared" si="1424"/>
        <v>Rancho Upácuaro No. 69</v>
      </c>
      <c r="F7118" s="10" t="str">
        <f t="shared" si="1425"/>
        <v>Gómez</v>
      </c>
      <c r="G7118" s="8">
        <v>4</v>
      </c>
      <c r="H7118" s="11">
        <v>250</v>
      </c>
      <c r="I7118" s="12">
        <v>43345</v>
      </c>
      <c r="J7118" s="35">
        <f t="shared" si="1426"/>
        <v>0</v>
      </c>
      <c r="K7118" s="36"/>
      <c r="L7118" s="36"/>
      <c r="M7118" s="36"/>
      <c r="N7118" s="36"/>
      <c r="O7118" s="36"/>
      <c r="P7118" s="36"/>
      <c r="Q7118" s="36"/>
      <c r="R7118" s="36"/>
      <c r="S7118" s="36"/>
      <c r="T7118" s="36"/>
      <c r="U7118" s="36"/>
      <c r="V7118" s="36"/>
      <c r="W7118" s="15">
        <f t="shared" si="1427"/>
        <v>0</v>
      </c>
      <c r="X7118" s="36"/>
      <c r="Y7118" s="36"/>
      <c r="Z7118" s="36"/>
      <c r="AA7118" s="36"/>
      <c r="AB7118" s="36"/>
      <c r="AC7118" s="36"/>
      <c r="AD7118" s="36"/>
      <c r="AE7118" s="36"/>
      <c r="AF7118" s="36"/>
      <c r="AG7118" s="36"/>
      <c r="AH7118" s="36"/>
      <c r="AI7118" s="36"/>
      <c r="AJ7118" s="15">
        <f t="shared" si="1428"/>
        <v>0</v>
      </c>
      <c r="AK7118" s="14"/>
      <c r="AL7118" s="14"/>
      <c r="AM7118" s="14"/>
      <c r="AN7118" s="14"/>
      <c r="AO7118" s="14"/>
      <c r="AP7118" s="14"/>
      <c r="AQ7118" s="14"/>
      <c r="AR7118" s="14"/>
      <c r="AS7118" s="14"/>
      <c r="AT7118" s="14"/>
      <c r="AU7118" s="14"/>
      <c r="AV7118" s="14"/>
      <c r="AW7118" s="15">
        <f t="shared" si="1429"/>
        <v>0</v>
      </c>
      <c r="AX7118" s="16" t="s">
        <v>5573</v>
      </c>
    </row>
    <row r="7119" spans="2:50" x14ac:dyDescent="0.2">
      <c r="B7119" s="7"/>
      <c r="C7119" s="8">
        <v>17166</v>
      </c>
      <c r="D7119" s="9" t="s">
        <v>387</v>
      </c>
      <c r="E7119" s="10" t="str">
        <f t="shared" si="1424"/>
        <v>Rancho Upácuaro No. 69</v>
      </c>
      <c r="F7119" s="10" t="str">
        <f t="shared" si="1425"/>
        <v>Gómez</v>
      </c>
      <c r="G7119" s="8">
        <v>5</v>
      </c>
      <c r="H7119" s="11">
        <v>50</v>
      </c>
      <c r="I7119" s="12">
        <v>43345</v>
      </c>
      <c r="J7119" s="35">
        <f t="shared" si="1426"/>
        <v>0</v>
      </c>
      <c r="K7119" s="36"/>
      <c r="L7119" s="36"/>
      <c r="M7119" s="36"/>
      <c r="N7119" s="36"/>
      <c r="O7119" s="36"/>
      <c r="P7119" s="36"/>
      <c r="Q7119" s="36"/>
      <c r="R7119" s="36"/>
      <c r="S7119" s="36"/>
      <c r="T7119" s="36"/>
      <c r="U7119" s="36"/>
      <c r="V7119" s="36"/>
      <c r="W7119" s="15">
        <f t="shared" si="1427"/>
        <v>0</v>
      </c>
      <c r="X7119" s="36"/>
      <c r="Y7119" s="36"/>
      <c r="Z7119" s="36"/>
      <c r="AA7119" s="36"/>
      <c r="AB7119" s="36"/>
      <c r="AC7119" s="36"/>
      <c r="AD7119" s="36"/>
      <c r="AE7119" s="36"/>
      <c r="AF7119" s="36"/>
      <c r="AG7119" s="36"/>
      <c r="AH7119" s="36"/>
      <c r="AI7119" s="36"/>
      <c r="AJ7119" s="15">
        <f t="shared" si="1428"/>
        <v>0</v>
      </c>
      <c r="AK7119" s="14"/>
      <c r="AL7119" s="14"/>
      <c r="AM7119" s="14"/>
      <c r="AN7119" s="14"/>
      <c r="AO7119" s="14"/>
      <c r="AP7119" s="14"/>
      <c r="AQ7119" s="14"/>
      <c r="AR7119" s="14"/>
      <c r="AS7119" s="14"/>
      <c r="AT7119" s="14"/>
      <c r="AU7119" s="14"/>
      <c r="AV7119" s="14"/>
      <c r="AW7119" s="15">
        <f t="shared" si="1429"/>
        <v>0</v>
      </c>
      <c r="AX7119" s="16"/>
    </row>
    <row r="7120" spans="2:50" x14ac:dyDescent="0.2">
      <c r="B7120" s="7"/>
      <c r="C7120" s="8">
        <v>17167</v>
      </c>
      <c r="D7120" s="9" t="s">
        <v>794</v>
      </c>
      <c r="E7120" s="10" t="str">
        <f t="shared" si="1424"/>
        <v>Rancho Landero No. 18</v>
      </c>
      <c r="F7120" s="10" t="str">
        <f t="shared" si="1425"/>
        <v>Rosado</v>
      </c>
      <c r="G7120" s="8">
        <v>1</v>
      </c>
      <c r="H7120" s="11">
        <v>300</v>
      </c>
      <c r="I7120" s="12">
        <v>43345</v>
      </c>
      <c r="J7120" s="35">
        <f t="shared" si="1426"/>
        <v>0</v>
      </c>
      <c r="K7120" s="36"/>
      <c r="L7120" s="36"/>
      <c r="M7120" s="36"/>
      <c r="N7120" s="36"/>
      <c r="O7120" s="36"/>
      <c r="P7120" s="36"/>
      <c r="Q7120" s="36"/>
      <c r="R7120" s="36"/>
      <c r="S7120" s="36"/>
      <c r="T7120" s="36"/>
      <c r="U7120" s="36"/>
      <c r="V7120" s="36"/>
      <c r="W7120" s="15">
        <f t="shared" si="1427"/>
        <v>0</v>
      </c>
      <c r="X7120" s="36"/>
      <c r="Y7120" s="36"/>
      <c r="Z7120" s="36"/>
      <c r="AA7120" s="36"/>
      <c r="AB7120" s="36"/>
      <c r="AC7120" s="36"/>
      <c r="AD7120" s="36"/>
      <c r="AE7120" s="36"/>
      <c r="AF7120" s="36"/>
      <c r="AG7120" s="36"/>
      <c r="AH7120" s="36"/>
      <c r="AI7120" s="36"/>
      <c r="AJ7120" s="15">
        <f t="shared" si="1428"/>
        <v>0</v>
      </c>
      <c r="AK7120" s="14"/>
      <c r="AL7120" s="14"/>
      <c r="AM7120" s="14"/>
      <c r="AN7120" s="14"/>
      <c r="AO7120" s="14"/>
      <c r="AP7120" s="14"/>
      <c r="AQ7120" s="14"/>
      <c r="AR7120" s="14">
        <v>300</v>
      </c>
      <c r="AS7120" s="14"/>
      <c r="AT7120" s="14"/>
      <c r="AU7120" s="14"/>
      <c r="AV7120" s="14"/>
      <c r="AW7120" s="15">
        <f t="shared" si="1429"/>
        <v>300</v>
      </c>
      <c r="AX7120" s="16"/>
    </row>
    <row r="7121" spans="2:50" x14ac:dyDescent="0.2">
      <c r="B7121" s="7"/>
      <c r="C7121" s="8">
        <v>17168</v>
      </c>
      <c r="D7121" s="9" t="s">
        <v>226</v>
      </c>
      <c r="E7121" s="10" t="str">
        <f t="shared" si="1424"/>
        <v>Rancho Landero No. 31</v>
      </c>
      <c r="F7121" s="10" t="str">
        <f t="shared" si="1425"/>
        <v>Díaz Hernández</v>
      </c>
      <c r="G7121" s="8">
        <v>1</v>
      </c>
      <c r="H7121" s="11">
        <v>200</v>
      </c>
      <c r="I7121" s="12">
        <v>43345</v>
      </c>
      <c r="J7121" s="35">
        <f t="shared" si="1426"/>
        <v>0</v>
      </c>
      <c r="K7121" s="36"/>
      <c r="L7121" s="36"/>
      <c r="M7121" s="36"/>
      <c r="N7121" s="36"/>
      <c r="O7121" s="36"/>
      <c r="P7121" s="36"/>
      <c r="Q7121" s="36"/>
      <c r="R7121" s="36"/>
      <c r="S7121" s="36"/>
      <c r="T7121" s="36"/>
      <c r="U7121" s="36"/>
      <c r="V7121" s="36"/>
      <c r="W7121" s="15">
        <f t="shared" si="1427"/>
        <v>0</v>
      </c>
      <c r="X7121" s="36"/>
      <c r="Y7121" s="36"/>
      <c r="Z7121" s="36"/>
      <c r="AA7121" s="36"/>
      <c r="AB7121" s="36"/>
      <c r="AC7121" s="36"/>
      <c r="AD7121" s="36"/>
      <c r="AE7121" s="36"/>
      <c r="AF7121" s="36"/>
      <c r="AG7121" s="36"/>
      <c r="AH7121" s="36"/>
      <c r="AI7121" s="36"/>
      <c r="AJ7121" s="15">
        <f t="shared" si="1428"/>
        <v>0</v>
      </c>
      <c r="AK7121" s="14"/>
      <c r="AL7121" s="14"/>
      <c r="AM7121" s="14"/>
      <c r="AN7121" s="14"/>
      <c r="AO7121" s="14"/>
      <c r="AP7121" s="14"/>
      <c r="AQ7121" s="14"/>
      <c r="AR7121" s="14"/>
      <c r="AS7121" s="14">
        <v>200</v>
      </c>
      <c r="AT7121" s="14"/>
      <c r="AU7121" s="14"/>
      <c r="AV7121" s="14"/>
      <c r="AW7121" s="15">
        <f t="shared" si="1429"/>
        <v>200</v>
      </c>
      <c r="AX7121" s="16"/>
    </row>
    <row r="7122" spans="2:50" x14ac:dyDescent="0.2">
      <c r="B7122" s="7"/>
      <c r="C7122" s="8">
        <v>17169</v>
      </c>
      <c r="D7122" s="9" t="s">
        <v>395</v>
      </c>
      <c r="E7122" s="10" t="str">
        <f t="shared" si="1424"/>
        <v>Rancho Landero No. 7</v>
      </c>
      <c r="F7122" s="10" t="str">
        <f t="shared" si="1425"/>
        <v>Robles</v>
      </c>
      <c r="G7122" s="8">
        <v>1</v>
      </c>
      <c r="H7122" s="11">
        <v>200</v>
      </c>
      <c r="I7122" s="12">
        <v>43345</v>
      </c>
      <c r="J7122" s="35">
        <f t="shared" si="1426"/>
        <v>0</v>
      </c>
      <c r="K7122" s="36"/>
      <c r="L7122" s="36"/>
      <c r="M7122" s="36"/>
      <c r="N7122" s="36"/>
      <c r="O7122" s="36"/>
      <c r="P7122" s="36"/>
      <c r="Q7122" s="36"/>
      <c r="R7122" s="36"/>
      <c r="S7122" s="36"/>
      <c r="T7122" s="36"/>
      <c r="U7122" s="36"/>
      <c r="V7122" s="36"/>
      <c r="W7122" s="15">
        <f t="shared" si="1427"/>
        <v>0</v>
      </c>
      <c r="X7122" s="36"/>
      <c r="Y7122" s="36"/>
      <c r="Z7122" s="36"/>
      <c r="AA7122" s="36"/>
      <c r="AB7122" s="36"/>
      <c r="AC7122" s="36"/>
      <c r="AD7122" s="36"/>
      <c r="AE7122" s="36"/>
      <c r="AF7122" s="36"/>
      <c r="AG7122" s="36"/>
      <c r="AH7122" s="36"/>
      <c r="AI7122" s="36"/>
      <c r="AJ7122" s="15">
        <f t="shared" si="1428"/>
        <v>0</v>
      </c>
      <c r="AK7122" s="14"/>
      <c r="AL7122" s="14"/>
      <c r="AM7122" s="14"/>
      <c r="AN7122" s="14"/>
      <c r="AO7122" s="14"/>
      <c r="AP7122" s="14"/>
      <c r="AQ7122" s="14"/>
      <c r="AR7122" s="14"/>
      <c r="AS7122" s="14">
        <v>200</v>
      </c>
      <c r="AT7122" s="14"/>
      <c r="AU7122" s="14"/>
      <c r="AV7122" s="14"/>
      <c r="AW7122" s="15">
        <f t="shared" si="1429"/>
        <v>200</v>
      </c>
      <c r="AX7122" s="16"/>
    </row>
    <row r="7123" spans="2:50" x14ac:dyDescent="0.2">
      <c r="B7123" s="7"/>
      <c r="C7123" s="8">
        <v>17170</v>
      </c>
      <c r="D7123" s="9" t="s">
        <v>620</v>
      </c>
      <c r="E7123" s="10" t="str">
        <f t="shared" si="1424"/>
        <v>Rancho La Cuchilla No. 32</v>
      </c>
      <c r="F7123" s="10" t="str">
        <f t="shared" si="1425"/>
        <v>Hernández</v>
      </c>
      <c r="G7123" s="8">
        <v>1</v>
      </c>
      <c r="H7123" s="11">
        <v>400</v>
      </c>
      <c r="I7123" s="12">
        <v>43345</v>
      </c>
      <c r="J7123" s="35">
        <f t="shared" si="1426"/>
        <v>0</v>
      </c>
      <c r="K7123" s="36"/>
      <c r="L7123" s="36"/>
      <c r="M7123" s="36"/>
      <c r="N7123" s="36"/>
      <c r="O7123" s="36"/>
      <c r="P7123" s="36"/>
      <c r="Q7123" s="36"/>
      <c r="R7123" s="36"/>
      <c r="S7123" s="36"/>
      <c r="T7123" s="36"/>
      <c r="U7123" s="36"/>
      <c r="V7123" s="36"/>
      <c r="W7123" s="15">
        <f t="shared" si="1427"/>
        <v>0</v>
      </c>
      <c r="X7123" s="36"/>
      <c r="Y7123" s="36"/>
      <c r="Z7123" s="36"/>
      <c r="AA7123" s="36"/>
      <c r="AB7123" s="36"/>
      <c r="AC7123" s="36"/>
      <c r="AD7123" s="36"/>
      <c r="AE7123" s="36"/>
      <c r="AF7123" s="36"/>
      <c r="AG7123" s="36"/>
      <c r="AH7123" s="36"/>
      <c r="AI7123" s="36"/>
      <c r="AJ7123" s="15">
        <f t="shared" si="1428"/>
        <v>0</v>
      </c>
      <c r="AK7123" s="14"/>
      <c r="AL7123" s="14"/>
      <c r="AM7123" s="14"/>
      <c r="AN7123" s="14"/>
      <c r="AO7123" s="14"/>
      <c r="AP7123" s="14"/>
      <c r="AQ7123" s="14"/>
      <c r="AR7123" s="14">
        <v>400</v>
      </c>
      <c r="AS7123" s="14"/>
      <c r="AT7123" s="14"/>
      <c r="AU7123" s="14"/>
      <c r="AV7123" s="14"/>
      <c r="AW7123" s="15">
        <f t="shared" si="1429"/>
        <v>400</v>
      </c>
      <c r="AX7123" s="16"/>
    </row>
    <row r="7124" spans="2:50" x14ac:dyDescent="0.2">
      <c r="B7124" s="7"/>
      <c r="C7124" s="8">
        <v>17171</v>
      </c>
      <c r="D7124" s="9" t="s">
        <v>186</v>
      </c>
      <c r="E7124" s="10" t="str">
        <f t="shared" si="1424"/>
        <v>Rancho Upácuaro No. 100</v>
      </c>
      <c r="F7124" s="10" t="str">
        <f t="shared" si="1425"/>
        <v>Valdez</v>
      </c>
      <c r="G7124" s="8">
        <v>1</v>
      </c>
      <c r="H7124" s="11">
        <v>400</v>
      </c>
      <c r="I7124" s="12">
        <v>43345</v>
      </c>
      <c r="J7124" s="35">
        <f t="shared" si="1426"/>
        <v>0</v>
      </c>
      <c r="K7124" s="36"/>
      <c r="L7124" s="36"/>
      <c r="M7124" s="36"/>
      <c r="N7124" s="36"/>
      <c r="O7124" s="36"/>
      <c r="P7124" s="36"/>
      <c r="Q7124" s="36"/>
      <c r="R7124" s="36"/>
      <c r="S7124" s="36"/>
      <c r="T7124" s="36"/>
      <c r="U7124" s="36"/>
      <c r="V7124" s="36"/>
      <c r="W7124" s="15">
        <f t="shared" si="1427"/>
        <v>0</v>
      </c>
      <c r="X7124" s="36"/>
      <c r="Y7124" s="36"/>
      <c r="Z7124" s="36"/>
      <c r="AA7124" s="36"/>
      <c r="AB7124" s="36"/>
      <c r="AC7124" s="36"/>
      <c r="AD7124" s="36"/>
      <c r="AE7124" s="36"/>
      <c r="AF7124" s="36"/>
      <c r="AG7124" s="36"/>
      <c r="AH7124" s="36"/>
      <c r="AI7124" s="36"/>
      <c r="AJ7124" s="15">
        <f t="shared" si="1428"/>
        <v>0</v>
      </c>
      <c r="AK7124" s="14"/>
      <c r="AL7124" s="14"/>
      <c r="AM7124" s="14"/>
      <c r="AN7124" s="14"/>
      <c r="AO7124" s="14"/>
      <c r="AP7124" s="14"/>
      <c r="AQ7124" s="14"/>
      <c r="AR7124" s="14">
        <v>400</v>
      </c>
      <c r="AS7124" s="14"/>
      <c r="AT7124" s="14"/>
      <c r="AU7124" s="14"/>
      <c r="AV7124" s="14"/>
      <c r="AW7124" s="15">
        <f t="shared" si="1429"/>
        <v>400</v>
      </c>
      <c r="AX7124" s="16"/>
    </row>
    <row r="7125" spans="2:50" x14ac:dyDescent="0.2">
      <c r="B7125" s="7"/>
      <c r="C7125" s="8">
        <v>17172</v>
      </c>
      <c r="D7125" s="9" t="s">
        <v>171</v>
      </c>
      <c r="E7125" s="10" t="str">
        <f t="shared" si="1424"/>
        <v>Rancho La Cuchilla No. 72</v>
      </c>
      <c r="F7125" s="10" t="str">
        <f t="shared" si="1425"/>
        <v>Ortiz González</v>
      </c>
      <c r="G7125" s="8">
        <v>1</v>
      </c>
      <c r="H7125" s="11">
        <v>400</v>
      </c>
      <c r="I7125" s="12">
        <v>43345</v>
      </c>
      <c r="J7125" s="35">
        <f t="shared" si="1426"/>
        <v>0</v>
      </c>
      <c r="K7125" s="36"/>
      <c r="L7125" s="36"/>
      <c r="M7125" s="36"/>
      <c r="N7125" s="36"/>
      <c r="O7125" s="36"/>
      <c r="P7125" s="36"/>
      <c r="Q7125" s="36"/>
      <c r="R7125" s="36"/>
      <c r="S7125" s="36"/>
      <c r="T7125" s="36"/>
      <c r="U7125" s="36"/>
      <c r="V7125" s="36"/>
      <c r="W7125" s="15">
        <f t="shared" si="1427"/>
        <v>0</v>
      </c>
      <c r="X7125" s="36"/>
      <c r="Y7125" s="36"/>
      <c r="Z7125" s="36"/>
      <c r="AA7125" s="36"/>
      <c r="AB7125" s="36"/>
      <c r="AC7125" s="36"/>
      <c r="AD7125" s="36"/>
      <c r="AE7125" s="36"/>
      <c r="AF7125" s="36"/>
      <c r="AG7125" s="36"/>
      <c r="AH7125" s="36"/>
      <c r="AI7125" s="36"/>
      <c r="AJ7125" s="15">
        <f t="shared" si="1428"/>
        <v>0</v>
      </c>
      <c r="AK7125" s="14"/>
      <c r="AL7125" s="14"/>
      <c r="AM7125" s="14"/>
      <c r="AN7125" s="14"/>
      <c r="AO7125" s="14"/>
      <c r="AP7125" s="14"/>
      <c r="AQ7125" s="14"/>
      <c r="AR7125" s="14"/>
      <c r="AS7125" s="14">
        <v>400</v>
      </c>
      <c r="AT7125" s="14"/>
      <c r="AU7125" s="14"/>
      <c r="AV7125" s="14"/>
      <c r="AW7125" s="15">
        <f t="shared" si="1429"/>
        <v>400</v>
      </c>
      <c r="AX7125" s="16"/>
    </row>
    <row r="7126" spans="2:50" x14ac:dyDescent="0.2">
      <c r="B7126" s="7"/>
      <c r="C7126" s="8">
        <v>17173</v>
      </c>
      <c r="D7126" s="9" t="s">
        <v>150</v>
      </c>
      <c r="E7126" s="10" t="str">
        <f t="shared" si="1424"/>
        <v>Rancho La Cuchilla No. 33</v>
      </c>
      <c r="F7126" s="10" t="str">
        <f t="shared" si="1425"/>
        <v>Tanús</v>
      </c>
      <c r="G7126" s="8">
        <v>1</v>
      </c>
      <c r="H7126" s="11">
        <v>400</v>
      </c>
      <c r="I7126" s="12">
        <v>43345</v>
      </c>
      <c r="J7126" s="35">
        <f t="shared" si="1426"/>
        <v>0</v>
      </c>
      <c r="K7126" s="36"/>
      <c r="L7126" s="36"/>
      <c r="M7126" s="36"/>
      <c r="N7126" s="36"/>
      <c r="O7126" s="36"/>
      <c r="P7126" s="36"/>
      <c r="Q7126" s="36"/>
      <c r="R7126" s="36"/>
      <c r="S7126" s="36"/>
      <c r="T7126" s="36"/>
      <c r="U7126" s="36"/>
      <c r="V7126" s="36"/>
      <c r="W7126" s="15">
        <f t="shared" si="1427"/>
        <v>0</v>
      </c>
      <c r="X7126" s="36"/>
      <c r="Y7126" s="36"/>
      <c r="Z7126" s="36"/>
      <c r="AA7126" s="36"/>
      <c r="AB7126" s="36"/>
      <c r="AC7126" s="36"/>
      <c r="AD7126" s="36"/>
      <c r="AE7126" s="36"/>
      <c r="AF7126" s="36"/>
      <c r="AG7126" s="36"/>
      <c r="AH7126" s="36"/>
      <c r="AI7126" s="36"/>
      <c r="AJ7126" s="15">
        <f t="shared" si="1428"/>
        <v>0</v>
      </c>
      <c r="AK7126" s="14"/>
      <c r="AL7126" s="14"/>
      <c r="AM7126" s="14"/>
      <c r="AN7126" s="14"/>
      <c r="AO7126" s="14"/>
      <c r="AP7126" s="14"/>
      <c r="AQ7126" s="14"/>
      <c r="AR7126" s="14"/>
      <c r="AS7126" s="14">
        <v>400</v>
      </c>
      <c r="AT7126" s="14"/>
      <c r="AU7126" s="14"/>
      <c r="AV7126" s="14"/>
      <c r="AW7126" s="15">
        <f t="shared" si="1429"/>
        <v>400</v>
      </c>
      <c r="AX7126" s="16"/>
    </row>
    <row r="7127" spans="2:50" x14ac:dyDescent="0.2">
      <c r="B7127" s="7"/>
      <c r="C7127" s="8">
        <v>17174</v>
      </c>
      <c r="D7127" s="9" t="s">
        <v>407</v>
      </c>
      <c r="E7127" s="10" t="str">
        <f t="shared" si="1424"/>
        <v>Rancho Estanzuela No. 99</v>
      </c>
      <c r="F7127" s="10" t="str">
        <f t="shared" si="1425"/>
        <v>García López</v>
      </c>
      <c r="G7127" s="8">
        <v>1</v>
      </c>
      <c r="H7127" s="11">
        <v>400</v>
      </c>
      <c r="I7127" s="12">
        <v>43345</v>
      </c>
      <c r="J7127" s="35">
        <f t="shared" si="1426"/>
        <v>0</v>
      </c>
      <c r="K7127" s="36"/>
      <c r="L7127" s="36"/>
      <c r="M7127" s="36"/>
      <c r="N7127" s="36"/>
      <c r="O7127" s="36"/>
      <c r="P7127" s="36"/>
      <c r="Q7127" s="36"/>
      <c r="R7127" s="36"/>
      <c r="S7127" s="36"/>
      <c r="T7127" s="36"/>
      <c r="U7127" s="36"/>
      <c r="V7127" s="36"/>
      <c r="W7127" s="15">
        <f t="shared" si="1427"/>
        <v>0</v>
      </c>
      <c r="X7127" s="36"/>
      <c r="Y7127" s="36"/>
      <c r="Z7127" s="36"/>
      <c r="AA7127" s="36"/>
      <c r="AB7127" s="36"/>
      <c r="AC7127" s="36"/>
      <c r="AD7127" s="36"/>
      <c r="AE7127" s="36"/>
      <c r="AF7127" s="36"/>
      <c r="AG7127" s="36"/>
      <c r="AH7127" s="36"/>
      <c r="AI7127" s="36"/>
      <c r="AJ7127" s="15">
        <f t="shared" si="1428"/>
        <v>0</v>
      </c>
      <c r="AK7127" s="14"/>
      <c r="AL7127" s="14"/>
      <c r="AM7127" s="14"/>
      <c r="AN7127" s="14"/>
      <c r="AO7127" s="14"/>
      <c r="AP7127" s="14"/>
      <c r="AQ7127" s="14"/>
      <c r="AR7127" s="14"/>
      <c r="AS7127" s="14">
        <v>400</v>
      </c>
      <c r="AT7127" s="14"/>
      <c r="AU7127" s="14"/>
      <c r="AV7127" s="14"/>
      <c r="AW7127" s="15">
        <f t="shared" si="1429"/>
        <v>400</v>
      </c>
      <c r="AX7127" s="16"/>
    </row>
    <row r="7128" spans="2:50" x14ac:dyDescent="0.2">
      <c r="B7128" s="7"/>
      <c r="C7128" s="8">
        <v>17175</v>
      </c>
      <c r="D7128" s="9" t="s">
        <v>479</v>
      </c>
      <c r="E7128" s="10" t="str">
        <f t="shared" si="1424"/>
        <v>Rancho Zinamba No. 68</v>
      </c>
      <c r="F7128" s="10" t="str">
        <f t="shared" si="1425"/>
        <v>Rivera Villicaña</v>
      </c>
      <c r="G7128" s="8">
        <v>1</v>
      </c>
      <c r="H7128" s="11">
        <v>300</v>
      </c>
      <c r="I7128" s="12">
        <v>43345</v>
      </c>
      <c r="J7128" s="35">
        <f t="shared" si="1426"/>
        <v>0</v>
      </c>
      <c r="K7128" s="36"/>
      <c r="L7128" s="36"/>
      <c r="M7128" s="36"/>
      <c r="N7128" s="36"/>
      <c r="O7128" s="36"/>
      <c r="P7128" s="36"/>
      <c r="Q7128" s="36"/>
      <c r="R7128" s="36"/>
      <c r="S7128" s="36"/>
      <c r="T7128" s="36"/>
      <c r="U7128" s="36"/>
      <c r="V7128" s="36"/>
      <c r="W7128" s="15">
        <f t="shared" si="1427"/>
        <v>0</v>
      </c>
      <c r="X7128" s="36"/>
      <c r="Y7128" s="36"/>
      <c r="Z7128" s="36"/>
      <c r="AA7128" s="36"/>
      <c r="AB7128" s="36"/>
      <c r="AC7128" s="36"/>
      <c r="AD7128" s="36"/>
      <c r="AE7128" s="36"/>
      <c r="AF7128" s="36"/>
      <c r="AG7128" s="36"/>
      <c r="AH7128" s="36"/>
      <c r="AI7128" s="36"/>
      <c r="AJ7128" s="15">
        <f t="shared" si="1428"/>
        <v>0</v>
      </c>
      <c r="AK7128" s="14"/>
      <c r="AL7128" s="14"/>
      <c r="AM7128" s="14"/>
      <c r="AN7128" s="14"/>
      <c r="AO7128" s="14"/>
      <c r="AP7128" s="14"/>
      <c r="AQ7128" s="14"/>
      <c r="AR7128" s="14"/>
      <c r="AS7128" s="14">
        <v>300</v>
      </c>
      <c r="AT7128" s="14"/>
      <c r="AU7128" s="14"/>
      <c r="AV7128" s="14"/>
      <c r="AW7128" s="15">
        <f t="shared" si="1429"/>
        <v>300</v>
      </c>
      <c r="AX7128" s="16"/>
    </row>
    <row r="7129" spans="2:50" x14ac:dyDescent="0.2">
      <c r="B7129" s="7"/>
      <c r="C7129" s="8">
        <v>17176</v>
      </c>
      <c r="D7129" s="9" t="s">
        <v>791</v>
      </c>
      <c r="E7129" s="10" t="str">
        <f t="shared" si="1424"/>
        <v>Rancho Upácuaro No. 116</v>
      </c>
      <c r="F7129" s="10" t="str">
        <f t="shared" si="1425"/>
        <v>Zenteno</v>
      </c>
      <c r="G7129" s="8">
        <v>1</v>
      </c>
      <c r="H7129" s="11">
        <v>400</v>
      </c>
      <c r="I7129" s="12">
        <v>43345</v>
      </c>
      <c r="J7129" s="35">
        <f t="shared" si="1426"/>
        <v>0</v>
      </c>
      <c r="K7129" s="36"/>
      <c r="L7129" s="36"/>
      <c r="M7129" s="36"/>
      <c r="N7129" s="36"/>
      <c r="O7129" s="36"/>
      <c r="P7129" s="36"/>
      <c r="Q7129" s="36"/>
      <c r="R7129" s="36"/>
      <c r="S7129" s="36"/>
      <c r="T7129" s="36"/>
      <c r="U7129" s="36"/>
      <c r="V7129" s="36"/>
      <c r="W7129" s="15">
        <f t="shared" si="1427"/>
        <v>0</v>
      </c>
      <c r="X7129" s="36"/>
      <c r="Y7129" s="36"/>
      <c r="Z7129" s="36"/>
      <c r="AA7129" s="36"/>
      <c r="AB7129" s="36"/>
      <c r="AC7129" s="36"/>
      <c r="AD7129" s="36"/>
      <c r="AE7129" s="36"/>
      <c r="AF7129" s="36"/>
      <c r="AG7129" s="36"/>
      <c r="AH7129" s="36"/>
      <c r="AI7129" s="36"/>
      <c r="AJ7129" s="15">
        <f t="shared" si="1428"/>
        <v>0</v>
      </c>
      <c r="AK7129" s="14"/>
      <c r="AL7129" s="14"/>
      <c r="AM7129" s="14"/>
      <c r="AN7129" s="14"/>
      <c r="AO7129" s="14"/>
      <c r="AP7129" s="14"/>
      <c r="AQ7129" s="14"/>
      <c r="AR7129" s="14"/>
      <c r="AS7129" s="14">
        <v>400</v>
      </c>
      <c r="AT7129" s="14"/>
      <c r="AU7129" s="14"/>
      <c r="AV7129" s="14"/>
      <c r="AW7129" s="15">
        <f t="shared" si="1429"/>
        <v>400</v>
      </c>
      <c r="AX7129" s="16"/>
    </row>
    <row r="7130" spans="2:50" x14ac:dyDescent="0.2">
      <c r="B7130" s="7"/>
      <c r="C7130" s="8">
        <v>17177</v>
      </c>
      <c r="D7130" s="9" t="s">
        <v>622</v>
      </c>
      <c r="E7130" s="10" t="str">
        <f t="shared" si="1424"/>
        <v>Rancho Recoveco No. 175</v>
      </c>
      <c r="F7130" s="10" t="str">
        <f t="shared" si="1425"/>
        <v>Ramírez</v>
      </c>
      <c r="G7130" s="8">
        <v>1</v>
      </c>
      <c r="H7130" s="11">
        <v>1600</v>
      </c>
      <c r="I7130" s="12">
        <v>43345</v>
      </c>
      <c r="J7130" s="35">
        <f t="shared" si="1426"/>
        <v>0</v>
      </c>
      <c r="K7130" s="36"/>
      <c r="L7130" s="36"/>
      <c r="M7130" s="36"/>
      <c r="N7130" s="36"/>
      <c r="O7130" s="36"/>
      <c r="P7130" s="36"/>
      <c r="Q7130" s="36"/>
      <c r="R7130" s="36"/>
      <c r="S7130" s="36"/>
      <c r="T7130" s="36"/>
      <c r="U7130" s="36"/>
      <c r="V7130" s="36"/>
      <c r="W7130" s="15">
        <f t="shared" si="1427"/>
        <v>0</v>
      </c>
      <c r="X7130" s="36"/>
      <c r="Y7130" s="36"/>
      <c r="Z7130" s="36"/>
      <c r="AA7130" s="36"/>
      <c r="AB7130" s="36"/>
      <c r="AC7130" s="36"/>
      <c r="AD7130" s="36"/>
      <c r="AE7130" s="36"/>
      <c r="AF7130" s="36"/>
      <c r="AG7130" s="36"/>
      <c r="AH7130" s="36"/>
      <c r="AI7130" s="36"/>
      <c r="AJ7130" s="15">
        <f t="shared" si="1428"/>
        <v>0</v>
      </c>
      <c r="AK7130" s="14"/>
      <c r="AL7130" s="14"/>
      <c r="AM7130" s="14"/>
      <c r="AN7130" s="14"/>
      <c r="AO7130" s="14"/>
      <c r="AP7130" s="14">
        <v>400</v>
      </c>
      <c r="AQ7130" s="14">
        <v>400</v>
      </c>
      <c r="AR7130" s="14">
        <v>400</v>
      </c>
      <c r="AS7130" s="14">
        <v>400</v>
      </c>
      <c r="AT7130" s="14"/>
      <c r="AU7130" s="14"/>
      <c r="AV7130" s="14"/>
      <c r="AW7130" s="15">
        <f t="shared" si="1429"/>
        <v>1600</v>
      </c>
      <c r="AX7130" s="16"/>
    </row>
    <row r="7131" spans="2:50" x14ac:dyDescent="0.2">
      <c r="B7131" s="7"/>
      <c r="C7131" s="8">
        <v>17178</v>
      </c>
      <c r="D7131" s="9" t="s">
        <v>132</v>
      </c>
      <c r="E7131" s="10" t="str">
        <f t="shared" si="1424"/>
        <v>Rancho La Cuchilla No. 129</v>
      </c>
      <c r="F7131" s="10" t="str">
        <f t="shared" si="1425"/>
        <v>Gamboa Rueda</v>
      </c>
      <c r="G7131" s="8">
        <v>1</v>
      </c>
      <c r="H7131" s="11">
        <v>400</v>
      </c>
      <c r="I7131" s="12">
        <v>43345</v>
      </c>
      <c r="J7131" s="35">
        <f t="shared" si="1426"/>
        <v>0</v>
      </c>
      <c r="K7131" s="36"/>
      <c r="L7131" s="36"/>
      <c r="M7131" s="36"/>
      <c r="N7131" s="36"/>
      <c r="O7131" s="36"/>
      <c r="P7131" s="36"/>
      <c r="Q7131" s="36"/>
      <c r="R7131" s="36"/>
      <c r="S7131" s="36"/>
      <c r="T7131" s="36"/>
      <c r="U7131" s="36"/>
      <c r="V7131" s="36"/>
      <c r="W7131" s="15">
        <f t="shared" si="1427"/>
        <v>0</v>
      </c>
      <c r="X7131" s="36"/>
      <c r="Y7131" s="36"/>
      <c r="Z7131" s="36"/>
      <c r="AA7131" s="36"/>
      <c r="AB7131" s="36"/>
      <c r="AC7131" s="36"/>
      <c r="AD7131" s="36"/>
      <c r="AE7131" s="36"/>
      <c r="AF7131" s="36"/>
      <c r="AG7131" s="36"/>
      <c r="AH7131" s="36"/>
      <c r="AI7131" s="36"/>
      <c r="AJ7131" s="15">
        <f t="shared" si="1428"/>
        <v>0</v>
      </c>
      <c r="AK7131" s="14"/>
      <c r="AL7131" s="14"/>
      <c r="AM7131" s="14"/>
      <c r="AN7131" s="14"/>
      <c r="AO7131" s="14"/>
      <c r="AP7131" s="14">
        <v>200</v>
      </c>
      <c r="AQ7131" s="14">
        <v>200</v>
      </c>
      <c r="AR7131" s="14"/>
      <c r="AS7131" s="14"/>
      <c r="AT7131" s="14"/>
      <c r="AU7131" s="14"/>
      <c r="AV7131" s="14"/>
      <c r="AW7131" s="15">
        <f t="shared" si="1429"/>
        <v>400</v>
      </c>
      <c r="AX7131" s="16"/>
    </row>
    <row r="7132" spans="2:50" x14ac:dyDescent="0.2">
      <c r="B7132" s="7"/>
      <c r="C7132" s="8">
        <v>17179</v>
      </c>
      <c r="D7132" s="9" t="s">
        <v>509</v>
      </c>
      <c r="E7132" s="10" t="str">
        <f t="shared" si="1424"/>
        <v>Rancho La Cuchilla No. 77</v>
      </c>
      <c r="F7132" s="10" t="str">
        <f t="shared" si="1425"/>
        <v>Loperena</v>
      </c>
      <c r="G7132" s="8">
        <v>3</v>
      </c>
      <c r="H7132" s="11">
        <v>400</v>
      </c>
      <c r="I7132" s="12">
        <v>43345</v>
      </c>
      <c r="J7132" s="35">
        <f t="shared" si="1426"/>
        <v>0</v>
      </c>
      <c r="K7132" s="36"/>
      <c r="L7132" s="36"/>
      <c r="M7132" s="36"/>
      <c r="N7132" s="36"/>
      <c r="O7132" s="36"/>
      <c r="P7132" s="36"/>
      <c r="Q7132" s="36"/>
      <c r="R7132" s="36"/>
      <c r="S7132" s="36"/>
      <c r="T7132" s="36"/>
      <c r="U7132" s="36"/>
      <c r="V7132" s="36"/>
      <c r="W7132" s="15">
        <f t="shared" si="1427"/>
        <v>0</v>
      </c>
      <c r="X7132" s="36"/>
      <c r="Y7132" s="36"/>
      <c r="Z7132" s="36"/>
      <c r="AA7132" s="36"/>
      <c r="AB7132" s="36"/>
      <c r="AC7132" s="36"/>
      <c r="AD7132" s="36"/>
      <c r="AE7132" s="36"/>
      <c r="AF7132" s="36"/>
      <c r="AG7132" s="36"/>
      <c r="AH7132" s="36"/>
      <c r="AI7132" s="36"/>
      <c r="AJ7132" s="15">
        <f t="shared" si="1428"/>
        <v>0</v>
      </c>
      <c r="AK7132" s="14"/>
      <c r="AL7132" s="14"/>
      <c r="AM7132" s="14"/>
      <c r="AN7132" s="14"/>
      <c r="AO7132" s="14"/>
      <c r="AP7132" s="14"/>
      <c r="AQ7132" s="14"/>
      <c r="AR7132" s="14"/>
      <c r="AS7132" s="14"/>
      <c r="AT7132" s="14"/>
      <c r="AU7132" s="14"/>
      <c r="AV7132" s="14"/>
      <c r="AW7132" s="15">
        <f t="shared" si="1429"/>
        <v>0</v>
      </c>
      <c r="AX7132" s="16"/>
    </row>
    <row r="7133" spans="2:50" x14ac:dyDescent="0.2">
      <c r="B7133" s="7"/>
      <c r="C7133" s="8">
        <v>17180</v>
      </c>
      <c r="D7133" s="9" t="s">
        <v>631</v>
      </c>
      <c r="E7133" s="10" t="str">
        <f t="shared" si="1424"/>
        <v>Rancho Romeral No. 10, B</v>
      </c>
      <c r="F7133" s="10" t="str">
        <f t="shared" si="1425"/>
        <v>López Castellano</v>
      </c>
      <c r="G7133" s="8">
        <v>1</v>
      </c>
      <c r="H7133" s="11">
        <v>600</v>
      </c>
      <c r="I7133" s="12">
        <v>43345</v>
      </c>
      <c r="J7133" s="35">
        <f t="shared" si="1426"/>
        <v>0</v>
      </c>
      <c r="K7133" s="36"/>
      <c r="L7133" s="36"/>
      <c r="M7133" s="36"/>
      <c r="N7133" s="36"/>
      <c r="O7133" s="36"/>
      <c r="P7133" s="36"/>
      <c r="Q7133" s="36"/>
      <c r="R7133" s="36"/>
      <c r="S7133" s="36"/>
      <c r="T7133" s="36"/>
      <c r="U7133" s="36"/>
      <c r="V7133" s="36"/>
      <c r="W7133" s="15">
        <f t="shared" si="1427"/>
        <v>0</v>
      </c>
      <c r="X7133" s="36"/>
      <c r="Y7133" s="36"/>
      <c r="Z7133" s="36"/>
      <c r="AA7133" s="36"/>
      <c r="AB7133" s="36"/>
      <c r="AC7133" s="36"/>
      <c r="AD7133" s="36"/>
      <c r="AE7133" s="36"/>
      <c r="AF7133" s="36"/>
      <c r="AG7133" s="36"/>
      <c r="AH7133" s="36"/>
      <c r="AI7133" s="36"/>
      <c r="AJ7133" s="15">
        <f t="shared" si="1428"/>
        <v>0</v>
      </c>
      <c r="AK7133" s="14"/>
      <c r="AL7133" s="14"/>
      <c r="AM7133" s="14"/>
      <c r="AN7133" s="14"/>
      <c r="AO7133" s="14"/>
      <c r="AP7133" s="14"/>
      <c r="AQ7133" s="14"/>
      <c r="AR7133" s="14">
        <v>300</v>
      </c>
      <c r="AS7133" s="14">
        <v>300</v>
      </c>
      <c r="AT7133" s="14"/>
      <c r="AU7133" s="14"/>
      <c r="AV7133" s="14"/>
      <c r="AW7133" s="15">
        <f t="shared" si="1429"/>
        <v>600</v>
      </c>
      <c r="AX7133" s="16"/>
    </row>
    <row r="7134" spans="2:50" x14ac:dyDescent="0.2">
      <c r="B7134" s="7"/>
      <c r="C7134" s="8">
        <v>17181</v>
      </c>
      <c r="D7134" s="9" t="s">
        <v>583</v>
      </c>
      <c r="E7134" s="10" t="str">
        <f t="shared" si="1424"/>
        <v>Rancho La Cuchilla No. 111</v>
      </c>
      <c r="F7134" s="10" t="str">
        <f t="shared" si="1425"/>
        <v>García Santos Ofelia</v>
      </c>
      <c r="G7134" s="8">
        <v>1</v>
      </c>
      <c r="H7134" s="11">
        <v>200</v>
      </c>
      <c r="I7134" s="12">
        <v>43345</v>
      </c>
      <c r="J7134" s="35">
        <f t="shared" si="1426"/>
        <v>0</v>
      </c>
      <c r="K7134" s="36"/>
      <c r="L7134" s="36"/>
      <c r="M7134" s="36"/>
      <c r="N7134" s="36"/>
      <c r="O7134" s="36"/>
      <c r="P7134" s="36"/>
      <c r="Q7134" s="36"/>
      <c r="R7134" s="36"/>
      <c r="S7134" s="36"/>
      <c r="T7134" s="36"/>
      <c r="U7134" s="36"/>
      <c r="V7134" s="36"/>
      <c r="W7134" s="15">
        <f t="shared" si="1427"/>
        <v>0</v>
      </c>
      <c r="X7134" s="36"/>
      <c r="Y7134" s="36"/>
      <c r="Z7134" s="36"/>
      <c r="AA7134" s="36"/>
      <c r="AB7134" s="36"/>
      <c r="AC7134" s="36"/>
      <c r="AD7134" s="36"/>
      <c r="AE7134" s="36"/>
      <c r="AF7134" s="36"/>
      <c r="AG7134" s="36"/>
      <c r="AH7134" s="36"/>
      <c r="AI7134" s="36"/>
      <c r="AJ7134" s="15">
        <f t="shared" si="1428"/>
        <v>0</v>
      </c>
      <c r="AK7134" s="14"/>
      <c r="AL7134" s="14"/>
      <c r="AM7134" s="14"/>
      <c r="AN7134" s="14"/>
      <c r="AO7134" s="14"/>
      <c r="AP7134" s="14"/>
      <c r="AQ7134" s="14"/>
      <c r="AR7134" s="14">
        <v>200</v>
      </c>
      <c r="AS7134" s="14"/>
      <c r="AT7134" s="14"/>
      <c r="AU7134" s="14"/>
      <c r="AV7134" s="14"/>
      <c r="AW7134" s="15">
        <f t="shared" si="1429"/>
        <v>200</v>
      </c>
      <c r="AX7134" s="16"/>
    </row>
    <row r="7135" spans="2:50" x14ac:dyDescent="0.2">
      <c r="B7135" s="7"/>
      <c r="C7135" s="8">
        <v>17182</v>
      </c>
      <c r="D7135" s="9" t="s">
        <v>313</v>
      </c>
      <c r="E7135" s="10" t="str">
        <f t="shared" si="1424"/>
        <v>Rancho La Cuchilla No. 87</v>
      </c>
      <c r="F7135" s="10" t="str">
        <f t="shared" si="1425"/>
        <v>Villanueva S.</v>
      </c>
      <c r="G7135" s="8">
        <v>1</v>
      </c>
      <c r="H7135" s="11">
        <v>400</v>
      </c>
      <c r="I7135" s="12">
        <v>43345</v>
      </c>
      <c r="J7135" s="35">
        <f t="shared" si="1426"/>
        <v>0</v>
      </c>
      <c r="K7135" s="36"/>
      <c r="L7135" s="36"/>
      <c r="M7135" s="36"/>
      <c r="N7135" s="36"/>
      <c r="O7135" s="36"/>
      <c r="P7135" s="36"/>
      <c r="Q7135" s="36"/>
      <c r="R7135" s="36"/>
      <c r="S7135" s="36"/>
      <c r="T7135" s="36"/>
      <c r="U7135" s="36"/>
      <c r="V7135" s="36"/>
      <c r="W7135" s="15">
        <f t="shared" si="1427"/>
        <v>0</v>
      </c>
      <c r="X7135" s="36"/>
      <c r="Y7135" s="36"/>
      <c r="Z7135" s="36"/>
      <c r="AA7135" s="36"/>
      <c r="AB7135" s="36"/>
      <c r="AC7135" s="36"/>
      <c r="AD7135" s="36"/>
      <c r="AE7135" s="36"/>
      <c r="AF7135" s="36"/>
      <c r="AG7135" s="36"/>
      <c r="AH7135" s="36"/>
      <c r="AI7135" s="36"/>
      <c r="AJ7135" s="15">
        <f t="shared" si="1428"/>
        <v>0</v>
      </c>
      <c r="AK7135" s="14"/>
      <c r="AL7135" s="14"/>
      <c r="AM7135" s="14"/>
      <c r="AN7135" s="14"/>
      <c r="AO7135" s="14"/>
      <c r="AP7135" s="14"/>
      <c r="AQ7135" s="14"/>
      <c r="AR7135" s="14"/>
      <c r="AS7135" s="14">
        <v>400</v>
      </c>
      <c r="AT7135" s="14"/>
      <c r="AU7135" s="14"/>
      <c r="AV7135" s="14"/>
      <c r="AW7135" s="15">
        <f t="shared" si="1429"/>
        <v>400</v>
      </c>
      <c r="AX7135" s="16"/>
    </row>
    <row r="7136" spans="2:50" x14ac:dyDescent="0.2">
      <c r="B7136" s="7"/>
      <c r="C7136" s="8">
        <v>17183</v>
      </c>
      <c r="D7136" s="9" t="s">
        <v>313</v>
      </c>
      <c r="E7136" s="10" t="str">
        <f t="shared" si="1424"/>
        <v>Rancho La Cuchilla No. 87</v>
      </c>
      <c r="F7136" s="10" t="str">
        <f t="shared" si="1425"/>
        <v>Villanueva S.</v>
      </c>
      <c r="G7136" s="8">
        <v>4</v>
      </c>
      <c r="H7136" s="11">
        <v>200</v>
      </c>
      <c r="I7136" s="12">
        <v>43345</v>
      </c>
      <c r="J7136" s="35">
        <f t="shared" si="1426"/>
        <v>0</v>
      </c>
      <c r="K7136" s="36"/>
      <c r="L7136" s="36"/>
      <c r="M7136" s="36"/>
      <c r="N7136" s="36"/>
      <c r="O7136" s="36"/>
      <c r="P7136" s="36"/>
      <c r="Q7136" s="36"/>
      <c r="R7136" s="36"/>
      <c r="S7136" s="36"/>
      <c r="T7136" s="36"/>
      <c r="U7136" s="36"/>
      <c r="V7136" s="36"/>
      <c r="W7136" s="15">
        <f t="shared" si="1427"/>
        <v>0</v>
      </c>
      <c r="X7136" s="36"/>
      <c r="Y7136" s="36"/>
      <c r="Z7136" s="36"/>
      <c r="AA7136" s="36"/>
      <c r="AB7136" s="36"/>
      <c r="AC7136" s="36"/>
      <c r="AD7136" s="36"/>
      <c r="AE7136" s="36"/>
      <c r="AF7136" s="36"/>
      <c r="AG7136" s="36"/>
      <c r="AH7136" s="36"/>
      <c r="AI7136" s="36"/>
      <c r="AJ7136" s="15">
        <f t="shared" si="1428"/>
        <v>0</v>
      </c>
      <c r="AK7136" s="14"/>
      <c r="AL7136" s="14"/>
      <c r="AM7136" s="14"/>
      <c r="AN7136" s="14"/>
      <c r="AO7136" s="14"/>
      <c r="AP7136" s="14"/>
      <c r="AQ7136" s="14"/>
      <c r="AR7136" s="14"/>
      <c r="AS7136" s="14"/>
      <c r="AT7136" s="14"/>
      <c r="AU7136" s="14"/>
      <c r="AV7136" s="14"/>
      <c r="AW7136" s="15">
        <f t="shared" si="1429"/>
        <v>0</v>
      </c>
      <c r="AX7136" s="16" t="s">
        <v>5574</v>
      </c>
    </row>
    <row r="7137" spans="2:50" x14ac:dyDescent="0.2">
      <c r="B7137" s="7"/>
      <c r="C7137" s="8">
        <v>17184</v>
      </c>
      <c r="D7137" s="9" t="s">
        <v>678</v>
      </c>
      <c r="E7137" s="10" t="str">
        <f t="shared" si="1424"/>
        <v>Rancho Upácuaro No. 76</v>
      </c>
      <c r="F7137" s="10" t="str">
        <f t="shared" si="1425"/>
        <v>Ruiz de San Pedro</v>
      </c>
      <c r="G7137" s="8">
        <v>1</v>
      </c>
      <c r="H7137" s="11">
        <v>400</v>
      </c>
      <c r="I7137" s="12">
        <v>43345</v>
      </c>
      <c r="J7137" s="35">
        <f t="shared" si="1426"/>
        <v>0</v>
      </c>
      <c r="K7137" s="36"/>
      <c r="L7137" s="36"/>
      <c r="M7137" s="36"/>
      <c r="N7137" s="36"/>
      <c r="O7137" s="36"/>
      <c r="P7137" s="36"/>
      <c r="Q7137" s="36"/>
      <c r="R7137" s="36"/>
      <c r="S7137" s="36"/>
      <c r="T7137" s="36"/>
      <c r="U7137" s="36"/>
      <c r="V7137" s="36"/>
      <c r="W7137" s="15">
        <f t="shared" si="1427"/>
        <v>0</v>
      </c>
      <c r="X7137" s="36"/>
      <c r="Y7137" s="36"/>
      <c r="Z7137" s="36"/>
      <c r="AA7137" s="36"/>
      <c r="AB7137" s="36"/>
      <c r="AC7137" s="36"/>
      <c r="AD7137" s="36"/>
      <c r="AE7137" s="36"/>
      <c r="AF7137" s="36"/>
      <c r="AG7137" s="36"/>
      <c r="AH7137" s="36"/>
      <c r="AI7137" s="36"/>
      <c r="AJ7137" s="15">
        <f t="shared" si="1428"/>
        <v>0</v>
      </c>
      <c r="AK7137" s="14"/>
      <c r="AL7137" s="14"/>
      <c r="AM7137" s="14"/>
      <c r="AN7137" s="14"/>
      <c r="AO7137" s="14"/>
      <c r="AP7137" s="14"/>
      <c r="AQ7137" s="14"/>
      <c r="AR7137" s="14"/>
      <c r="AS7137" s="14">
        <v>400</v>
      </c>
      <c r="AT7137" s="14"/>
      <c r="AU7137" s="14"/>
      <c r="AV7137" s="14"/>
      <c r="AW7137" s="15">
        <f t="shared" si="1429"/>
        <v>400</v>
      </c>
      <c r="AX7137" s="16"/>
    </row>
    <row r="7138" spans="2:50" x14ac:dyDescent="0.2">
      <c r="B7138" s="7"/>
      <c r="C7138" s="8">
        <v>17185</v>
      </c>
      <c r="D7138" s="9" t="s">
        <v>774</v>
      </c>
      <c r="E7138" s="10" t="str">
        <f t="shared" si="1424"/>
        <v>Rancho Landero No. 40</v>
      </c>
      <c r="F7138" s="10" t="str">
        <f t="shared" si="1425"/>
        <v>Almaguer Mireles</v>
      </c>
      <c r="G7138" s="8">
        <v>1</v>
      </c>
      <c r="H7138" s="11">
        <v>400</v>
      </c>
      <c r="I7138" s="12">
        <v>43345</v>
      </c>
      <c r="J7138" s="35">
        <f t="shared" si="1426"/>
        <v>0</v>
      </c>
      <c r="K7138" s="36"/>
      <c r="L7138" s="36"/>
      <c r="M7138" s="36"/>
      <c r="N7138" s="36"/>
      <c r="O7138" s="36"/>
      <c r="P7138" s="36"/>
      <c r="Q7138" s="36"/>
      <c r="R7138" s="36"/>
      <c r="S7138" s="36"/>
      <c r="T7138" s="36"/>
      <c r="U7138" s="36"/>
      <c r="V7138" s="36"/>
      <c r="W7138" s="15">
        <f t="shared" si="1427"/>
        <v>0</v>
      </c>
      <c r="X7138" s="36"/>
      <c r="Y7138" s="36"/>
      <c r="Z7138" s="36"/>
      <c r="AA7138" s="36"/>
      <c r="AB7138" s="36"/>
      <c r="AC7138" s="36"/>
      <c r="AD7138" s="36"/>
      <c r="AE7138" s="36"/>
      <c r="AF7138" s="36"/>
      <c r="AG7138" s="36"/>
      <c r="AH7138" s="36"/>
      <c r="AI7138" s="36"/>
      <c r="AJ7138" s="15">
        <f t="shared" si="1428"/>
        <v>0</v>
      </c>
      <c r="AK7138" s="14"/>
      <c r="AL7138" s="14"/>
      <c r="AM7138" s="14"/>
      <c r="AN7138" s="14"/>
      <c r="AO7138" s="14"/>
      <c r="AP7138" s="14"/>
      <c r="AQ7138" s="14">
        <v>400</v>
      </c>
      <c r="AR7138" s="14"/>
      <c r="AS7138" s="14"/>
      <c r="AT7138" s="14"/>
      <c r="AU7138" s="14"/>
      <c r="AV7138" s="14"/>
      <c r="AW7138" s="15">
        <f t="shared" si="1429"/>
        <v>400</v>
      </c>
      <c r="AX7138" s="16"/>
    </row>
    <row r="7139" spans="2:50" x14ac:dyDescent="0.2">
      <c r="B7139" s="7"/>
      <c r="C7139" s="8">
        <v>17185</v>
      </c>
      <c r="D7139" s="9" t="s">
        <v>774</v>
      </c>
      <c r="E7139" s="10" t="str">
        <f t="shared" si="1424"/>
        <v>Rancho Landero No. 40</v>
      </c>
      <c r="F7139" s="10" t="str">
        <f t="shared" si="1425"/>
        <v>Almaguer Mireles</v>
      </c>
      <c r="G7139" s="8">
        <v>5</v>
      </c>
      <c r="H7139" s="11">
        <v>50</v>
      </c>
      <c r="I7139" s="12">
        <v>43345</v>
      </c>
      <c r="J7139" s="35">
        <f t="shared" si="1426"/>
        <v>0</v>
      </c>
      <c r="K7139" s="36"/>
      <c r="L7139" s="36"/>
      <c r="M7139" s="36"/>
      <c r="N7139" s="36"/>
      <c r="O7139" s="36"/>
      <c r="P7139" s="36"/>
      <c r="Q7139" s="36"/>
      <c r="R7139" s="36"/>
      <c r="S7139" s="36"/>
      <c r="T7139" s="36"/>
      <c r="U7139" s="36"/>
      <c r="V7139" s="36"/>
      <c r="W7139" s="15">
        <f t="shared" si="1427"/>
        <v>0</v>
      </c>
      <c r="X7139" s="36"/>
      <c r="Y7139" s="36"/>
      <c r="Z7139" s="36"/>
      <c r="AA7139" s="36"/>
      <c r="AB7139" s="36"/>
      <c r="AC7139" s="36"/>
      <c r="AD7139" s="36"/>
      <c r="AE7139" s="36"/>
      <c r="AF7139" s="36"/>
      <c r="AG7139" s="36"/>
      <c r="AH7139" s="36"/>
      <c r="AI7139" s="36"/>
      <c r="AJ7139" s="15">
        <f t="shared" si="1428"/>
        <v>0</v>
      </c>
      <c r="AK7139" s="14"/>
      <c r="AL7139" s="14"/>
      <c r="AM7139" s="14"/>
      <c r="AN7139" s="14"/>
      <c r="AO7139" s="14"/>
      <c r="AP7139" s="14"/>
      <c r="AQ7139" s="14"/>
      <c r="AR7139" s="14"/>
      <c r="AS7139" s="14"/>
      <c r="AT7139" s="14"/>
      <c r="AU7139" s="14"/>
      <c r="AV7139" s="14"/>
      <c r="AW7139" s="15">
        <f t="shared" si="1429"/>
        <v>0</v>
      </c>
      <c r="AX7139" s="16"/>
    </row>
    <row r="7140" spans="2:50" x14ac:dyDescent="0.2">
      <c r="B7140" s="7"/>
      <c r="C7140" s="8">
        <v>17186</v>
      </c>
      <c r="D7140" s="9" t="s">
        <v>774</v>
      </c>
      <c r="E7140" s="10" t="str">
        <f t="shared" si="1424"/>
        <v>Rancho Landero No. 40</v>
      </c>
      <c r="F7140" s="10" t="str">
        <f t="shared" si="1425"/>
        <v>Almaguer Mireles</v>
      </c>
      <c r="G7140" s="8">
        <v>4</v>
      </c>
      <c r="H7140" s="11">
        <v>200</v>
      </c>
      <c r="I7140" s="12">
        <v>43345</v>
      </c>
      <c r="J7140" s="35">
        <f t="shared" si="1426"/>
        <v>0</v>
      </c>
      <c r="K7140" s="36"/>
      <c r="L7140" s="36"/>
      <c r="M7140" s="36"/>
      <c r="N7140" s="36"/>
      <c r="O7140" s="36"/>
      <c r="P7140" s="36"/>
      <c r="Q7140" s="36"/>
      <c r="R7140" s="36"/>
      <c r="S7140" s="36"/>
      <c r="T7140" s="36"/>
      <c r="U7140" s="36"/>
      <c r="V7140" s="36"/>
      <c r="W7140" s="15">
        <f t="shared" si="1427"/>
        <v>0</v>
      </c>
      <c r="X7140" s="36"/>
      <c r="Y7140" s="36"/>
      <c r="Z7140" s="36"/>
      <c r="AA7140" s="36"/>
      <c r="AB7140" s="36"/>
      <c r="AC7140" s="36"/>
      <c r="AD7140" s="36"/>
      <c r="AE7140" s="36"/>
      <c r="AF7140" s="36"/>
      <c r="AG7140" s="36"/>
      <c r="AH7140" s="36"/>
      <c r="AI7140" s="36"/>
      <c r="AJ7140" s="15">
        <f t="shared" si="1428"/>
        <v>0</v>
      </c>
      <c r="AK7140" s="14"/>
      <c r="AL7140" s="14"/>
      <c r="AM7140" s="14"/>
      <c r="AN7140" s="14"/>
      <c r="AO7140" s="14"/>
      <c r="AP7140" s="14"/>
      <c r="AQ7140" s="14"/>
      <c r="AR7140" s="14"/>
      <c r="AS7140" s="14"/>
      <c r="AT7140" s="14"/>
      <c r="AU7140" s="14"/>
      <c r="AV7140" s="14"/>
      <c r="AW7140" s="15">
        <f t="shared" si="1429"/>
        <v>0</v>
      </c>
      <c r="AX7140" s="16" t="s">
        <v>5575</v>
      </c>
    </row>
    <row r="7141" spans="2:50" x14ac:dyDescent="0.2">
      <c r="B7141" s="7"/>
      <c r="C7141" s="8">
        <v>17187</v>
      </c>
      <c r="D7141" s="9" t="s">
        <v>512</v>
      </c>
      <c r="E7141" s="10" t="str">
        <f t="shared" si="1424"/>
        <v>Rancho Landero No. 35</v>
      </c>
      <c r="F7141" s="10" t="str">
        <f t="shared" si="1425"/>
        <v>Loperena</v>
      </c>
      <c r="G7141" s="8">
        <v>1</v>
      </c>
      <c r="H7141" s="11">
        <v>1800</v>
      </c>
      <c r="I7141" s="12">
        <v>43345</v>
      </c>
      <c r="J7141" s="35">
        <f t="shared" si="1426"/>
        <v>0</v>
      </c>
      <c r="K7141" s="36"/>
      <c r="L7141" s="36"/>
      <c r="M7141" s="36"/>
      <c r="N7141" s="36"/>
      <c r="O7141" s="36"/>
      <c r="P7141" s="36"/>
      <c r="Q7141" s="36"/>
      <c r="R7141" s="36"/>
      <c r="S7141" s="36"/>
      <c r="T7141" s="36"/>
      <c r="U7141" s="36"/>
      <c r="V7141" s="36"/>
      <c r="W7141" s="15">
        <f t="shared" si="1427"/>
        <v>0</v>
      </c>
      <c r="X7141" s="36"/>
      <c r="Y7141" s="36"/>
      <c r="Z7141" s="36"/>
      <c r="AA7141" s="36"/>
      <c r="AB7141" s="36"/>
      <c r="AC7141" s="36"/>
      <c r="AD7141" s="36"/>
      <c r="AE7141" s="36"/>
      <c r="AF7141" s="36"/>
      <c r="AG7141" s="36"/>
      <c r="AH7141" s="36"/>
      <c r="AI7141" s="36"/>
      <c r="AJ7141" s="15">
        <f t="shared" si="1428"/>
        <v>0</v>
      </c>
      <c r="AK7141" s="14"/>
      <c r="AL7141" s="14"/>
      <c r="AM7141" s="14"/>
      <c r="AN7141" s="14">
        <v>300</v>
      </c>
      <c r="AO7141" s="14">
        <v>300</v>
      </c>
      <c r="AP7141" s="14">
        <v>300</v>
      </c>
      <c r="AQ7141" s="14">
        <v>300</v>
      </c>
      <c r="AR7141" s="14">
        <v>300</v>
      </c>
      <c r="AS7141" s="14">
        <v>300</v>
      </c>
      <c r="AT7141" s="14"/>
      <c r="AU7141" s="14"/>
      <c r="AV7141" s="14"/>
      <c r="AW7141" s="15">
        <f t="shared" si="1429"/>
        <v>1800</v>
      </c>
      <c r="AX7141" s="16"/>
    </row>
    <row r="7142" spans="2:50" x14ac:dyDescent="0.2">
      <c r="B7142" s="7"/>
      <c r="C7142" s="8">
        <v>17188</v>
      </c>
      <c r="D7142" s="9" t="s">
        <v>497</v>
      </c>
      <c r="E7142" s="10" t="str">
        <f t="shared" si="1424"/>
        <v>Rancho La Cuchilla No. 94</v>
      </c>
      <c r="F7142" s="10" t="str">
        <f t="shared" si="1425"/>
        <v>Sánchez Márquez</v>
      </c>
      <c r="G7142" s="8">
        <v>1</v>
      </c>
      <c r="H7142" s="11">
        <v>800</v>
      </c>
      <c r="I7142" s="12">
        <v>43345</v>
      </c>
      <c r="J7142" s="35">
        <f t="shared" si="1426"/>
        <v>0</v>
      </c>
      <c r="K7142" s="36"/>
      <c r="L7142" s="36"/>
      <c r="M7142" s="36"/>
      <c r="N7142" s="36"/>
      <c r="O7142" s="36"/>
      <c r="P7142" s="36"/>
      <c r="Q7142" s="36"/>
      <c r="R7142" s="36"/>
      <c r="S7142" s="36"/>
      <c r="T7142" s="36"/>
      <c r="U7142" s="36"/>
      <c r="V7142" s="36"/>
      <c r="W7142" s="15">
        <f t="shared" si="1427"/>
        <v>0</v>
      </c>
      <c r="X7142" s="36"/>
      <c r="Y7142" s="36"/>
      <c r="Z7142" s="36"/>
      <c r="AA7142" s="36"/>
      <c r="AB7142" s="36"/>
      <c r="AC7142" s="36"/>
      <c r="AD7142" s="36"/>
      <c r="AE7142" s="36"/>
      <c r="AF7142" s="36"/>
      <c r="AG7142" s="36"/>
      <c r="AH7142" s="36"/>
      <c r="AI7142" s="36"/>
      <c r="AJ7142" s="15">
        <f t="shared" si="1428"/>
        <v>0</v>
      </c>
      <c r="AK7142" s="14"/>
      <c r="AL7142" s="14"/>
      <c r="AM7142" s="14"/>
      <c r="AN7142" s="14"/>
      <c r="AO7142" s="14"/>
      <c r="AP7142" s="14"/>
      <c r="AQ7142" s="14"/>
      <c r="AR7142" s="14">
        <v>400</v>
      </c>
      <c r="AS7142" s="14">
        <v>400</v>
      </c>
      <c r="AT7142" s="14"/>
      <c r="AU7142" s="14"/>
      <c r="AV7142" s="14"/>
      <c r="AW7142" s="15">
        <f t="shared" si="1429"/>
        <v>800</v>
      </c>
      <c r="AX7142" s="16"/>
    </row>
    <row r="7143" spans="2:50" x14ac:dyDescent="0.2">
      <c r="B7143" s="7"/>
      <c r="C7143" s="8">
        <v>17189</v>
      </c>
      <c r="D7143" s="9" t="s">
        <v>589</v>
      </c>
      <c r="E7143" s="10" t="str">
        <f t="shared" si="1424"/>
        <v>Rancho La Cuchilla No. 149</v>
      </c>
      <c r="F7143" s="10" t="str">
        <f t="shared" si="1425"/>
        <v>Montes Irineos</v>
      </c>
      <c r="G7143" s="8">
        <v>1</v>
      </c>
      <c r="H7143" s="11">
        <v>400</v>
      </c>
      <c r="I7143" s="12">
        <v>43345</v>
      </c>
      <c r="J7143" s="35">
        <f t="shared" si="1426"/>
        <v>0</v>
      </c>
      <c r="K7143" s="36"/>
      <c r="L7143" s="36"/>
      <c r="M7143" s="36"/>
      <c r="N7143" s="36"/>
      <c r="O7143" s="36"/>
      <c r="P7143" s="36"/>
      <c r="Q7143" s="36"/>
      <c r="R7143" s="36"/>
      <c r="S7143" s="36"/>
      <c r="T7143" s="36"/>
      <c r="U7143" s="36"/>
      <c r="V7143" s="36"/>
      <c r="W7143" s="15">
        <f t="shared" si="1427"/>
        <v>0</v>
      </c>
      <c r="X7143" s="36"/>
      <c r="Y7143" s="36"/>
      <c r="Z7143" s="36"/>
      <c r="AA7143" s="36"/>
      <c r="AB7143" s="36"/>
      <c r="AC7143" s="36"/>
      <c r="AD7143" s="36"/>
      <c r="AE7143" s="36"/>
      <c r="AF7143" s="36"/>
      <c r="AG7143" s="36"/>
      <c r="AH7143" s="36"/>
      <c r="AI7143" s="36"/>
      <c r="AJ7143" s="15">
        <f t="shared" si="1428"/>
        <v>0</v>
      </c>
      <c r="AK7143" s="14"/>
      <c r="AL7143" s="14"/>
      <c r="AM7143" s="14"/>
      <c r="AN7143" s="14"/>
      <c r="AO7143" s="14"/>
      <c r="AP7143" s="14"/>
      <c r="AQ7143" s="14">
        <v>400</v>
      </c>
      <c r="AR7143" s="14"/>
      <c r="AS7143" s="14"/>
      <c r="AT7143" s="14"/>
      <c r="AU7143" s="14"/>
      <c r="AV7143" s="14"/>
      <c r="AW7143" s="15">
        <f t="shared" si="1429"/>
        <v>400</v>
      </c>
      <c r="AX7143" s="16"/>
    </row>
    <row r="7144" spans="2:50" x14ac:dyDescent="0.2">
      <c r="B7144" s="7"/>
      <c r="C7144" s="8">
        <v>17190</v>
      </c>
      <c r="D7144" s="9" t="s">
        <v>766</v>
      </c>
      <c r="E7144" s="10" t="str">
        <f t="shared" si="1424"/>
        <v>Rancho Landero No. 88</v>
      </c>
      <c r="F7144" s="10" t="str">
        <f t="shared" si="1425"/>
        <v>Torres Raúl</v>
      </c>
      <c r="G7144" s="8">
        <v>1</v>
      </c>
      <c r="H7144" s="11">
        <v>1200</v>
      </c>
      <c r="I7144" s="12">
        <v>43345</v>
      </c>
      <c r="J7144" s="35">
        <f t="shared" si="1426"/>
        <v>0</v>
      </c>
      <c r="K7144" s="36"/>
      <c r="L7144" s="36"/>
      <c r="M7144" s="36"/>
      <c r="N7144" s="36"/>
      <c r="O7144" s="36"/>
      <c r="P7144" s="36"/>
      <c r="Q7144" s="36"/>
      <c r="R7144" s="36"/>
      <c r="S7144" s="36"/>
      <c r="T7144" s="36"/>
      <c r="U7144" s="36"/>
      <c r="V7144" s="36"/>
      <c r="W7144" s="15">
        <f t="shared" si="1427"/>
        <v>0</v>
      </c>
      <c r="X7144" s="36"/>
      <c r="Y7144" s="36"/>
      <c r="Z7144" s="36"/>
      <c r="AA7144" s="36"/>
      <c r="AB7144" s="36"/>
      <c r="AC7144" s="36"/>
      <c r="AD7144" s="36"/>
      <c r="AE7144" s="36"/>
      <c r="AF7144" s="36"/>
      <c r="AG7144" s="36"/>
      <c r="AH7144" s="36"/>
      <c r="AI7144" s="36"/>
      <c r="AJ7144" s="15">
        <f t="shared" si="1428"/>
        <v>0</v>
      </c>
      <c r="AK7144" s="14"/>
      <c r="AL7144" s="14"/>
      <c r="AM7144" s="14"/>
      <c r="AN7144" s="14"/>
      <c r="AO7144" s="14"/>
      <c r="AP7144" s="14"/>
      <c r="AQ7144" s="14"/>
      <c r="AR7144" s="14"/>
      <c r="AS7144" s="14">
        <v>400</v>
      </c>
      <c r="AT7144" s="14">
        <v>400</v>
      </c>
      <c r="AU7144" s="14">
        <v>400</v>
      </c>
      <c r="AV7144" s="14"/>
      <c r="AW7144" s="15">
        <f t="shared" si="1429"/>
        <v>1200</v>
      </c>
      <c r="AX7144" s="16"/>
    </row>
    <row r="7145" spans="2:50" x14ac:dyDescent="0.2">
      <c r="B7145" s="7"/>
      <c r="C7145" s="8">
        <v>17191</v>
      </c>
      <c r="D7145" s="9" t="s">
        <v>864</v>
      </c>
      <c r="E7145" s="10" t="str">
        <f t="shared" si="1424"/>
        <v>Rancho Upácuaro No. 40</v>
      </c>
      <c r="F7145" s="10" t="str">
        <f t="shared" si="1425"/>
        <v>López Ramírez</v>
      </c>
      <c r="G7145" s="8">
        <v>1</v>
      </c>
      <c r="H7145" s="11">
        <v>1200</v>
      </c>
      <c r="I7145" s="12">
        <v>43345</v>
      </c>
      <c r="J7145" s="35">
        <f t="shared" si="1426"/>
        <v>0</v>
      </c>
      <c r="K7145" s="36"/>
      <c r="L7145" s="36"/>
      <c r="M7145" s="36"/>
      <c r="N7145" s="36"/>
      <c r="O7145" s="36"/>
      <c r="P7145" s="36"/>
      <c r="Q7145" s="36"/>
      <c r="R7145" s="36"/>
      <c r="S7145" s="36"/>
      <c r="T7145" s="36"/>
      <c r="U7145" s="36"/>
      <c r="V7145" s="36"/>
      <c r="W7145" s="15">
        <f t="shared" si="1427"/>
        <v>0</v>
      </c>
      <c r="X7145" s="36"/>
      <c r="Y7145" s="36"/>
      <c r="Z7145" s="36"/>
      <c r="AA7145" s="36"/>
      <c r="AB7145" s="36"/>
      <c r="AC7145" s="36"/>
      <c r="AD7145" s="36"/>
      <c r="AE7145" s="36"/>
      <c r="AF7145" s="36"/>
      <c r="AG7145" s="36"/>
      <c r="AH7145" s="36"/>
      <c r="AI7145" s="36"/>
      <c r="AJ7145" s="15">
        <f t="shared" si="1428"/>
        <v>0</v>
      </c>
      <c r="AK7145" s="14"/>
      <c r="AL7145" s="14"/>
      <c r="AM7145" s="14"/>
      <c r="AN7145" s="14"/>
      <c r="AO7145" s="14">
        <v>300</v>
      </c>
      <c r="AP7145" s="14">
        <v>300</v>
      </c>
      <c r="AQ7145" s="14">
        <v>300</v>
      </c>
      <c r="AR7145" s="14">
        <v>300</v>
      </c>
      <c r="AS7145" s="14"/>
      <c r="AT7145" s="14"/>
      <c r="AU7145" s="14"/>
      <c r="AV7145" s="14"/>
      <c r="AW7145" s="15">
        <f t="shared" si="1429"/>
        <v>1200</v>
      </c>
      <c r="AX7145" s="16"/>
    </row>
    <row r="7146" spans="2:50" x14ac:dyDescent="0.2">
      <c r="B7146" s="7"/>
      <c r="C7146" s="8">
        <v>17192</v>
      </c>
      <c r="D7146" s="9" t="s">
        <v>223</v>
      </c>
      <c r="E7146" s="10" t="str">
        <f t="shared" si="1418"/>
        <v>Rancho Landero No. 26</v>
      </c>
      <c r="F7146" s="10" t="str">
        <f t="shared" si="1419"/>
        <v>Balderas Martínez</v>
      </c>
      <c r="G7146" s="8">
        <v>1</v>
      </c>
      <c r="H7146" s="11">
        <v>400</v>
      </c>
      <c r="I7146" s="12">
        <v>43345</v>
      </c>
      <c r="J7146" s="35">
        <f t="shared" si="1420"/>
        <v>0</v>
      </c>
      <c r="K7146" s="36"/>
      <c r="L7146" s="36"/>
      <c r="M7146" s="36"/>
      <c r="N7146" s="36"/>
      <c r="O7146" s="36"/>
      <c r="P7146" s="36"/>
      <c r="Q7146" s="36"/>
      <c r="R7146" s="36"/>
      <c r="S7146" s="36"/>
      <c r="T7146" s="36"/>
      <c r="U7146" s="36"/>
      <c r="V7146" s="36"/>
      <c r="W7146" s="15">
        <f t="shared" si="1421"/>
        <v>0</v>
      </c>
      <c r="X7146" s="36"/>
      <c r="Y7146" s="36"/>
      <c r="Z7146" s="36"/>
      <c r="AA7146" s="36"/>
      <c r="AB7146" s="36"/>
      <c r="AC7146" s="36"/>
      <c r="AD7146" s="36"/>
      <c r="AE7146" s="36"/>
      <c r="AF7146" s="36"/>
      <c r="AG7146" s="36"/>
      <c r="AH7146" s="36"/>
      <c r="AI7146" s="36"/>
      <c r="AJ7146" s="15">
        <f t="shared" si="1422"/>
        <v>0</v>
      </c>
      <c r="AK7146" s="14"/>
      <c r="AL7146" s="14"/>
      <c r="AM7146" s="14"/>
      <c r="AN7146" s="14"/>
      <c r="AO7146" s="14"/>
      <c r="AP7146" s="14">
        <v>200</v>
      </c>
      <c r="AQ7146" s="14">
        <v>200</v>
      </c>
      <c r="AR7146" s="14"/>
      <c r="AS7146" s="14"/>
      <c r="AT7146" s="14"/>
      <c r="AU7146" s="14"/>
      <c r="AV7146" s="14"/>
      <c r="AW7146" s="15">
        <f t="shared" si="1423"/>
        <v>400</v>
      </c>
      <c r="AX7146" s="16"/>
    </row>
    <row r="7147" spans="2:50" x14ac:dyDescent="0.2">
      <c r="B7147" s="7"/>
      <c r="C7147" s="8">
        <v>17193</v>
      </c>
      <c r="D7147" s="9" t="s">
        <v>1017</v>
      </c>
      <c r="E7147" s="10" t="str">
        <f t="shared" si="1418"/>
        <v>Rancho Estanzuela No. 119, 3</v>
      </c>
      <c r="F7147" s="10" t="str">
        <f t="shared" si="1419"/>
        <v>Montecillo</v>
      </c>
      <c r="G7147" s="8">
        <v>1</v>
      </c>
      <c r="H7147" s="11">
        <v>500</v>
      </c>
      <c r="I7147" s="12">
        <v>43345</v>
      </c>
      <c r="J7147" s="35">
        <f t="shared" si="1420"/>
        <v>0</v>
      </c>
      <c r="K7147" s="36"/>
      <c r="L7147" s="36"/>
      <c r="M7147" s="36"/>
      <c r="N7147" s="36"/>
      <c r="O7147" s="36"/>
      <c r="P7147" s="36"/>
      <c r="Q7147" s="36"/>
      <c r="R7147" s="36"/>
      <c r="S7147" s="36"/>
      <c r="T7147" s="36"/>
      <c r="U7147" s="36"/>
      <c r="V7147" s="36"/>
      <c r="W7147" s="15">
        <f t="shared" si="1421"/>
        <v>0</v>
      </c>
      <c r="X7147" s="36"/>
      <c r="Y7147" s="36"/>
      <c r="Z7147" s="36"/>
      <c r="AA7147" s="36"/>
      <c r="AB7147" s="36"/>
      <c r="AC7147" s="36"/>
      <c r="AD7147" s="36"/>
      <c r="AE7147" s="36"/>
      <c r="AF7147" s="36"/>
      <c r="AG7147" s="36"/>
      <c r="AH7147" s="36"/>
      <c r="AI7147" s="36"/>
      <c r="AJ7147" s="15">
        <f t="shared" si="1422"/>
        <v>0</v>
      </c>
      <c r="AK7147" s="14"/>
      <c r="AL7147" s="14"/>
      <c r="AM7147" s="14"/>
      <c r="AN7147" s="14"/>
      <c r="AO7147" s="14"/>
      <c r="AP7147" s="14"/>
      <c r="AQ7147" s="14">
        <v>250</v>
      </c>
      <c r="AR7147" s="14">
        <v>250</v>
      </c>
      <c r="AS7147" s="14"/>
      <c r="AT7147" s="14"/>
      <c r="AU7147" s="14"/>
      <c r="AV7147" s="14"/>
      <c r="AW7147" s="15">
        <f t="shared" si="1423"/>
        <v>500</v>
      </c>
      <c r="AX7147" s="316">
        <f>SUM(H7095:H7147)</f>
        <v>26925</v>
      </c>
    </row>
    <row r="7148" spans="2:50" x14ac:dyDescent="0.2">
      <c r="B7148" s="7"/>
      <c r="C7148" s="8">
        <v>17194</v>
      </c>
      <c r="D7148" s="397" t="s">
        <v>595</v>
      </c>
      <c r="E7148" s="10" t="str">
        <f t="shared" si="1418"/>
        <v>Rancho Upácuaro No. 62</v>
      </c>
      <c r="F7148" s="10" t="str">
        <f t="shared" si="1419"/>
        <v>Jiménez Escutia</v>
      </c>
      <c r="G7148" s="8">
        <v>3</v>
      </c>
      <c r="H7148" s="315">
        <v>200</v>
      </c>
      <c r="I7148" s="12">
        <v>43346</v>
      </c>
      <c r="J7148" s="35">
        <f t="shared" si="1420"/>
        <v>0</v>
      </c>
      <c r="K7148" s="36"/>
      <c r="L7148" s="36"/>
      <c r="M7148" s="36"/>
      <c r="N7148" s="36"/>
      <c r="O7148" s="36"/>
      <c r="P7148" s="36"/>
      <c r="Q7148" s="36"/>
      <c r="R7148" s="36"/>
      <c r="S7148" s="36"/>
      <c r="T7148" s="36"/>
      <c r="U7148" s="36"/>
      <c r="V7148" s="36"/>
      <c r="W7148" s="15">
        <f t="shared" si="1421"/>
        <v>0</v>
      </c>
      <c r="X7148" s="36"/>
      <c r="Y7148" s="36"/>
      <c r="Z7148" s="36"/>
      <c r="AA7148" s="36"/>
      <c r="AB7148" s="36"/>
      <c r="AC7148" s="36"/>
      <c r="AD7148" s="36"/>
      <c r="AE7148" s="36"/>
      <c r="AF7148" s="36"/>
      <c r="AG7148" s="36"/>
      <c r="AH7148" s="36"/>
      <c r="AI7148" s="36"/>
      <c r="AJ7148" s="15">
        <f t="shared" si="1422"/>
        <v>0</v>
      </c>
      <c r="AK7148" s="14"/>
      <c r="AL7148" s="14"/>
      <c r="AM7148" s="14"/>
      <c r="AN7148" s="14"/>
      <c r="AO7148" s="14"/>
      <c r="AP7148" s="14"/>
      <c r="AQ7148" s="14"/>
      <c r="AR7148" s="14"/>
      <c r="AS7148" s="14"/>
      <c r="AT7148" s="14"/>
      <c r="AU7148" s="14"/>
      <c r="AV7148" s="14"/>
      <c r="AW7148" s="15">
        <f t="shared" si="1423"/>
        <v>0</v>
      </c>
      <c r="AX7148" s="16"/>
    </row>
    <row r="7149" spans="2:50" x14ac:dyDescent="0.2">
      <c r="B7149" s="7"/>
      <c r="C7149" s="8">
        <v>17195</v>
      </c>
      <c r="D7149" s="9" t="s">
        <v>1460</v>
      </c>
      <c r="E7149" s="10" t="str">
        <f t="shared" ref="E7149:E7150" si="1430">IF(D7149=0,"",VLOOKUP(D7149,BASE,2,FALSE))</f>
        <v>Rancho Zinamba No. 56</v>
      </c>
      <c r="F7149" s="10" t="str">
        <f t="shared" ref="F7149:F7150" si="1431">IF(D7149=0,"",VLOOKUP(D7149,BASE,3,FALSE))</f>
        <v>Aguado</v>
      </c>
      <c r="G7149" s="8">
        <v>1</v>
      </c>
      <c r="H7149" s="11">
        <v>300</v>
      </c>
      <c r="I7149" s="12">
        <v>43346</v>
      </c>
      <c r="J7149" s="35">
        <f t="shared" ref="J7149:J7150" si="1432">IF(G7149=1,SUM(W7149,AJ7149,AW7149,-H7149),0)</f>
        <v>0</v>
      </c>
      <c r="K7149" s="36"/>
      <c r="L7149" s="36"/>
      <c r="M7149" s="36"/>
      <c r="N7149" s="36"/>
      <c r="O7149" s="36"/>
      <c r="P7149" s="36"/>
      <c r="Q7149" s="36"/>
      <c r="R7149" s="36"/>
      <c r="S7149" s="36"/>
      <c r="T7149" s="36"/>
      <c r="U7149" s="36"/>
      <c r="V7149" s="36"/>
      <c r="W7149" s="15">
        <f t="shared" ref="W7149:W7150" si="1433">SUM(K7149:V7149)</f>
        <v>0</v>
      </c>
      <c r="X7149" s="36"/>
      <c r="Y7149" s="36"/>
      <c r="Z7149" s="36"/>
      <c r="AA7149" s="36"/>
      <c r="AB7149" s="36"/>
      <c r="AC7149" s="36"/>
      <c r="AD7149" s="36"/>
      <c r="AE7149" s="36"/>
      <c r="AF7149" s="36"/>
      <c r="AG7149" s="36"/>
      <c r="AH7149" s="36"/>
      <c r="AI7149" s="36"/>
      <c r="AJ7149" s="15">
        <f t="shared" ref="AJ7149:AJ7150" si="1434">SUM(X7149:AI7149)</f>
        <v>0</v>
      </c>
      <c r="AK7149" s="14"/>
      <c r="AL7149" s="14"/>
      <c r="AM7149" s="14"/>
      <c r="AN7149" s="14"/>
      <c r="AO7149" s="14"/>
      <c r="AP7149" s="14"/>
      <c r="AQ7149" s="14"/>
      <c r="AR7149" s="14"/>
      <c r="AS7149" s="14">
        <v>300</v>
      </c>
      <c r="AT7149" s="14"/>
      <c r="AU7149" s="14"/>
      <c r="AV7149" s="14"/>
      <c r="AW7149" s="15">
        <f t="shared" ref="AW7149:AW7150" si="1435">SUM(AK7149:AV7149)</f>
        <v>300</v>
      </c>
      <c r="AX7149" s="16"/>
    </row>
    <row r="7150" spans="2:50" x14ac:dyDescent="0.2">
      <c r="B7150" s="7"/>
      <c r="C7150" s="8">
        <v>17196</v>
      </c>
      <c r="D7150" s="9" t="s">
        <v>205</v>
      </c>
      <c r="E7150" s="10" t="str">
        <f t="shared" si="1430"/>
        <v>Rancho Landero No. 1, A</v>
      </c>
      <c r="F7150" s="10" t="str">
        <f t="shared" si="1431"/>
        <v>Ebysos</v>
      </c>
      <c r="G7150" s="8">
        <v>1</v>
      </c>
      <c r="H7150" s="11">
        <v>600</v>
      </c>
      <c r="I7150" s="12">
        <v>43347</v>
      </c>
      <c r="J7150" s="35">
        <f t="shared" si="1432"/>
        <v>0</v>
      </c>
      <c r="K7150" s="36"/>
      <c r="L7150" s="36"/>
      <c r="M7150" s="36"/>
      <c r="N7150" s="36"/>
      <c r="O7150" s="36"/>
      <c r="P7150" s="36"/>
      <c r="Q7150" s="36"/>
      <c r="R7150" s="36"/>
      <c r="S7150" s="36"/>
      <c r="T7150" s="36"/>
      <c r="U7150" s="36"/>
      <c r="V7150" s="36"/>
      <c r="W7150" s="15">
        <f t="shared" si="1433"/>
        <v>0</v>
      </c>
      <c r="X7150" s="36"/>
      <c r="Y7150" s="36"/>
      <c r="Z7150" s="36"/>
      <c r="AA7150" s="36"/>
      <c r="AB7150" s="36"/>
      <c r="AC7150" s="36"/>
      <c r="AD7150" s="36"/>
      <c r="AE7150" s="36"/>
      <c r="AF7150" s="36"/>
      <c r="AG7150" s="36"/>
      <c r="AH7150" s="36"/>
      <c r="AI7150" s="36"/>
      <c r="AJ7150" s="15">
        <f t="shared" si="1434"/>
        <v>0</v>
      </c>
      <c r="AK7150" s="14"/>
      <c r="AL7150" s="14"/>
      <c r="AM7150" s="14"/>
      <c r="AN7150" s="14"/>
      <c r="AO7150" s="14"/>
      <c r="AP7150" s="14"/>
      <c r="AQ7150" s="14"/>
      <c r="AR7150" s="14">
        <v>600</v>
      </c>
      <c r="AS7150" s="14"/>
      <c r="AT7150" s="14"/>
      <c r="AU7150" s="14"/>
      <c r="AV7150" s="14"/>
      <c r="AW7150" s="15">
        <f t="shared" si="1435"/>
        <v>600</v>
      </c>
      <c r="AX7150" s="16"/>
    </row>
    <row r="7151" spans="2:50" x14ac:dyDescent="0.2">
      <c r="B7151" s="7" t="s">
        <v>4983</v>
      </c>
      <c r="C7151" s="8">
        <v>17197</v>
      </c>
      <c r="D7151" s="9" t="s">
        <v>211</v>
      </c>
      <c r="E7151" s="10" t="str">
        <f t="shared" ref="E7151:E7187" si="1436">IF(D7151=0,"",VLOOKUP(D7151,BASE,2,FALSE))</f>
        <v>Rancho Upácuaro No. 46</v>
      </c>
      <c r="F7151" s="10" t="str">
        <f t="shared" ref="F7151:F7187" si="1437">IF(D7151=0,"",VLOOKUP(D7151,BASE,3,FALSE))</f>
        <v>Fuentes</v>
      </c>
      <c r="G7151" s="8">
        <v>1</v>
      </c>
      <c r="H7151" s="11">
        <v>300</v>
      </c>
      <c r="I7151" s="12">
        <v>43347</v>
      </c>
      <c r="J7151" s="35">
        <f t="shared" ref="J7151:J7187" si="1438">IF(G7151=1,SUM(W7151,AJ7151,AW7151,-H7151),0)</f>
        <v>0</v>
      </c>
      <c r="K7151" s="36"/>
      <c r="L7151" s="36"/>
      <c r="M7151" s="36"/>
      <c r="N7151" s="36"/>
      <c r="O7151" s="36"/>
      <c r="P7151" s="36"/>
      <c r="Q7151" s="36"/>
      <c r="R7151" s="36"/>
      <c r="S7151" s="36"/>
      <c r="T7151" s="36"/>
      <c r="U7151" s="36"/>
      <c r="V7151" s="36"/>
      <c r="W7151" s="15">
        <f t="shared" ref="W7151:W7187" si="1439">SUM(K7151:V7151)</f>
        <v>0</v>
      </c>
      <c r="X7151" s="36"/>
      <c r="Y7151" s="36"/>
      <c r="Z7151" s="36"/>
      <c r="AA7151" s="36"/>
      <c r="AB7151" s="36"/>
      <c r="AC7151" s="36"/>
      <c r="AD7151" s="36"/>
      <c r="AE7151" s="36"/>
      <c r="AF7151" s="36"/>
      <c r="AG7151" s="36"/>
      <c r="AH7151" s="36"/>
      <c r="AI7151" s="36"/>
      <c r="AJ7151" s="15">
        <f t="shared" ref="AJ7151:AJ7187" si="1440">SUM(X7151:AI7151)</f>
        <v>0</v>
      </c>
      <c r="AK7151" s="14"/>
      <c r="AL7151" s="14"/>
      <c r="AM7151" s="14"/>
      <c r="AN7151" s="14"/>
      <c r="AO7151" s="14"/>
      <c r="AP7151" s="14"/>
      <c r="AQ7151" s="14"/>
      <c r="AR7151" s="14"/>
      <c r="AS7151" s="14">
        <v>300</v>
      </c>
      <c r="AT7151" s="14"/>
      <c r="AU7151" s="14"/>
      <c r="AV7151" s="14"/>
      <c r="AW7151" s="15">
        <f t="shared" ref="AW7151:AW7187" si="1441">SUM(AK7151:AV7151)</f>
        <v>300</v>
      </c>
      <c r="AX7151" s="16"/>
    </row>
    <row r="7152" spans="2:50" x14ac:dyDescent="0.2">
      <c r="B7152" s="7"/>
      <c r="C7152" s="8">
        <v>17198</v>
      </c>
      <c r="D7152" s="9" t="s">
        <v>980</v>
      </c>
      <c r="E7152" s="10" t="str">
        <f t="shared" si="1436"/>
        <v>Rancho Estanzuela No. 141</v>
      </c>
      <c r="F7152" s="10" t="str">
        <f t="shared" si="1437"/>
        <v>Castillo Toledano</v>
      </c>
      <c r="G7152" s="8">
        <v>1</v>
      </c>
      <c r="H7152" s="11">
        <v>400</v>
      </c>
      <c r="I7152" s="12">
        <v>43347</v>
      </c>
      <c r="J7152" s="35">
        <f t="shared" si="1438"/>
        <v>0</v>
      </c>
      <c r="K7152" s="36"/>
      <c r="L7152" s="36"/>
      <c r="M7152" s="36"/>
      <c r="N7152" s="36"/>
      <c r="O7152" s="36"/>
      <c r="P7152" s="36"/>
      <c r="Q7152" s="36"/>
      <c r="R7152" s="36"/>
      <c r="S7152" s="36"/>
      <c r="T7152" s="36"/>
      <c r="U7152" s="36"/>
      <c r="V7152" s="36"/>
      <c r="W7152" s="15">
        <f t="shared" si="1439"/>
        <v>0</v>
      </c>
      <c r="X7152" s="36"/>
      <c r="Y7152" s="36"/>
      <c r="Z7152" s="36"/>
      <c r="AA7152" s="36"/>
      <c r="AB7152" s="36"/>
      <c r="AC7152" s="36"/>
      <c r="AD7152" s="36"/>
      <c r="AE7152" s="36"/>
      <c r="AF7152" s="36"/>
      <c r="AG7152" s="36"/>
      <c r="AH7152" s="36"/>
      <c r="AI7152" s="36"/>
      <c r="AJ7152" s="15">
        <f t="shared" si="1440"/>
        <v>0</v>
      </c>
      <c r="AK7152" s="14"/>
      <c r="AL7152" s="14"/>
      <c r="AM7152" s="14"/>
      <c r="AN7152" s="14"/>
      <c r="AO7152" s="14"/>
      <c r="AP7152" s="14"/>
      <c r="AQ7152" s="14"/>
      <c r="AR7152" s="14">
        <v>400</v>
      </c>
      <c r="AS7152" s="14"/>
      <c r="AT7152" s="14"/>
      <c r="AU7152" s="14"/>
      <c r="AV7152" s="14"/>
      <c r="AW7152" s="15">
        <f t="shared" si="1441"/>
        <v>400</v>
      </c>
      <c r="AX7152" s="16"/>
    </row>
    <row r="7153" spans="2:50" x14ac:dyDescent="0.2">
      <c r="B7153" s="7"/>
      <c r="C7153" s="8">
        <v>17199</v>
      </c>
      <c r="D7153" s="9"/>
      <c r="E7153" s="10" t="str">
        <f t="shared" si="1436"/>
        <v/>
      </c>
      <c r="F7153" s="10" t="str">
        <f t="shared" si="1437"/>
        <v/>
      </c>
      <c r="G7153" s="8">
        <v>8</v>
      </c>
      <c r="H7153" s="11"/>
      <c r="I7153" s="12"/>
      <c r="J7153" s="35">
        <f t="shared" si="1438"/>
        <v>0</v>
      </c>
      <c r="K7153" s="36"/>
      <c r="L7153" s="36"/>
      <c r="M7153" s="36"/>
      <c r="N7153" s="36"/>
      <c r="O7153" s="36"/>
      <c r="P7153" s="36"/>
      <c r="Q7153" s="36"/>
      <c r="R7153" s="36"/>
      <c r="S7153" s="36"/>
      <c r="T7153" s="36"/>
      <c r="U7153" s="36"/>
      <c r="V7153" s="36"/>
      <c r="W7153" s="15">
        <f t="shared" si="1439"/>
        <v>0</v>
      </c>
      <c r="X7153" s="36"/>
      <c r="Y7153" s="36"/>
      <c r="Z7153" s="36"/>
      <c r="AA7153" s="36"/>
      <c r="AB7153" s="36"/>
      <c r="AC7153" s="36"/>
      <c r="AD7153" s="36"/>
      <c r="AE7153" s="36"/>
      <c r="AF7153" s="36"/>
      <c r="AG7153" s="36"/>
      <c r="AH7153" s="36"/>
      <c r="AI7153" s="36"/>
      <c r="AJ7153" s="15">
        <f t="shared" si="1440"/>
        <v>0</v>
      </c>
      <c r="AK7153" s="14"/>
      <c r="AL7153" s="14"/>
      <c r="AM7153" s="14"/>
      <c r="AN7153" s="14"/>
      <c r="AO7153" s="14"/>
      <c r="AP7153" s="14"/>
      <c r="AQ7153" s="14"/>
      <c r="AR7153" s="14"/>
      <c r="AS7153" s="14"/>
      <c r="AT7153" s="14"/>
      <c r="AU7153" s="14"/>
      <c r="AV7153" s="14"/>
      <c r="AW7153" s="15">
        <f t="shared" si="1441"/>
        <v>0</v>
      </c>
      <c r="AX7153" s="16"/>
    </row>
    <row r="7154" spans="2:50" x14ac:dyDescent="0.2">
      <c r="B7154" s="7"/>
      <c r="C7154" s="8">
        <v>17200</v>
      </c>
      <c r="D7154" s="9" t="s">
        <v>611</v>
      </c>
      <c r="E7154" s="10" t="str">
        <f t="shared" ref="E7154:E7158" si="1442">IF(D7154=0,"",VLOOKUP(D7154,BASE,2,FALSE))</f>
        <v>Rancho Estanzuela No. 47</v>
      </c>
      <c r="F7154" s="10" t="str">
        <f t="shared" ref="F7154:F7158" si="1443">IF(D7154=0,"",VLOOKUP(D7154,BASE,3,FALSE))</f>
        <v>Bussey García</v>
      </c>
      <c r="G7154" s="8">
        <v>3</v>
      </c>
      <c r="H7154" s="11">
        <v>200</v>
      </c>
      <c r="I7154" s="12">
        <v>43347</v>
      </c>
      <c r="J7154" s="35">
        <f t="shared" ref="J7154:J7158" si="1444">IF(G7154=1,SUM(W7154,AJ7154,AW7154,-H7154),0)</f>
        <v>0</v>
      </c>
      <c r="K7154" s="36"/>
      <c r="L7154" s="36"/>
      <c r="M7154" s="36"/>
      <c r="N7154" s="36"/>
      <c r="O7154" s="36"/>
      <c r="P7154" s="36"/>
      <c r="Q7154" s="36"/>
      <c r="R7154" s="36"/>
      <c r="S7154" s="36"/>
      <c r="T7154" s="36"/>
      <c r="U7154" s="36"/>
      <c r="V7154" s="36"/>
      <c r="W7154" s="15">
        <f t="shared" ref="W7154:W7158" si="1445">SUM(K7154:V7154)</f>
        <v>0</v>
      </c>
      <c r="X7154" s="36"/>
      <c r="Y7154" s="36"/>
      <c r="Z7154" s="36"/>
      <c r="AA7154" s="36"/>
      <c r="AB7154" s="36"/>
      <c r="AC7154" s="36"/>
      <c r="AD7154" s="36"/>
      <c r="AE7154" s="36"/>
      <c r="AF7154" s="36"/>
      <c r="AG7154" s="36"/>
      <c r="AH7154" s="36"/>
      <c r="AI7154" s="36"/>
      <c r="AJ7154" s="15">
        <f t="shared" ref="AJ7154:AJ7158" si="1446">SUM(X7154:AI7154)</f>
        <v>0</v>
      </c>
      <c r="AK7154" s="14"/>
      <c r="AL7154" s="14"/>
      <c r="AM7154" s="14"/>
      <c r="AN7154" s="14"/>
      <c r="AO7154" s="14"/>
      <c r="AP7154" s="14"/>
      <c r="AQ7154" s="14"/>
      <c r="AR7154" s="14"/>
      <c r="AS7154" s="14"/>
      <c r="AT7154" s="14"/>
      <c r="AU7154" s="14"/>
      <c r="AV7154" s="14"/>
      <c r="AW7154" s="15">
        <f t="shared" ref="AW7154:AW7158" si="1447">SUM(AK7154:AV7154)</f>
        <v>0</v>
      </c>
      <c r="AX7154" s="16"/>
    </row>
    <row r="7155" spans="2:50" x14ac:dyDescent="0.2">
      <c r="B7155" s="7"/>
      <c r="C7155" s="8">
        <v>17201</v>
      </c>
      <c r="D7155" s="9" t="s">
        <v>1340</v>
      </c>
      <c r="E7155" s="10" t="str">
        <f t="shared" si="1442"/>
        <v>Rancho Estanzuela No. 73</v>
      </c>
      <c r="F7155" s="10" t="str">
        <f t="shared" si="1443"/>
        <v>Salcedo García</v>
      </c>
      <c r="G7155" s="8">
        <v>1</v>
      </c>
      <c r="H7155" s="11">
        <v>800</v>
      </c>
      <c r="I7155" s="12">
        <v>43347</v>
      </c>
      <c r="J7155" s="35">
        <f t="shared" si="1444"/>
        <v>0</v>
      </c>
      <c r="K7155" s="36"/>
      <c r="L7155" s="36"/>
      <c r="M7155" s="36"/>
      <c r="N7155" s="36"/>
      <c r="O7155" s="36"/>
      <c r="P7155" s="36"/>
      <c r="Q7155" s="36"/>
      <c r="R7155" s="36"/>
      <c r="S7155" s="36"/>
      <c r="T7155" s="36"/>
      <c r="U7155" s="36"/>
      <c r="V7155" s="36"/>
      <c r="W7155" s="15">
        <f t="shared" si="1445"/>
        <v>0</v>
      </c>
      <c r="X7155" s="36"/>
      <c r="Y7155" s="36"/>
      <c r="Z7155" s="36"/>
      <c r="AA7155" s="36"/>
      <c r="AB7155" s="36"/>
      <c r="AC7155" s="36"/>
      <c r="AD7155" s="36"/>
      <c r="AE7155" s="36"/>
      <c r="AF7155" s="36"/>
      <c r="AG7155" s="36"/>
      <c r="AH7155" s="36"/>
      <c r="AI7155" s="36"/>
      <c r="AJ7155" s="15">
        <f t="shared" si="1446"/>
        <v>0</v>
      </c>
      <c r="AK7155" s="14"/>
      <c r="AL7155" s="14"/>
      <c r="AM7155" s="14"/>
      <c r="AN7155" s="14"/>
      <c r="AO7155" s="14"/>
      <c r="AP7155" s="14">
        <v>400</v>
      </c>
      <c r="AQ7155" s="14">
        <v>400</v>
      </c>
      <c r="AR7155" s="14"/>
      <c r="AS7155" s="14"/>
      <c r="AT7155" s="14"/>
      <c r="AU7155" s="14"/>
      <c r="AV7155" s="14"/>
      <c r="AW7155" s="15">
        <f t="shared" si="1447"/>
        <v>800</v>
      </c>
      <c r="AX7155" s="16"/>
    </row>
    <row r="7156" spans="2:50" x14ac:dyDescent="0.2">
      <c r="B7156" s="7"/>
      <c r="C7156" s="8">
        <v>17202</v>
      </c>
      <c r="D7156" s="9" t="s">
        <v>177</v>
      </c>
      <c r="E7156" s="10" t="str">
        <f t="shared" si="1442"/>
        <v>Rancho Landero No. 71</v>
      </c>
      <c r="F7156" s="10" t="str">
        <f t="shared" si="1443"/>
        <v xml:space="preserve">Luna  </v>
      </c>
      <c r="G7156" s="8">
        <v>1</v>
      </c>
      <c r="H7156" s="11">
        <v>800</v>
      </c>
      <c r="I7156" s="12">
        <v>43348</v>
      </c>
      <c r="J7156" s="35">
        <f t="shared" si="1444"/>
        <v>0</v>
      </c>
      <c r="K7156" s="36"/>
      <c r="L7156" s="36"/>
      <c r="M7156" s="36"/>
      <c r="N7156" s="36"/>
      <c r="O7156" s="36"/>
      <c r="P7156" s="36"/>
      <c r="Q7156" s="36"/>
      <c r="R7156" s="36"/>
      <c r="S7156" s="36"/>
      <c r="T7156" s="36"/>
      <c r="U7156" s="36"/>
      <c r="V7156" s="36"/>
      <c r="W7156" s="15">
        <f t="shared" si="1445"/>
        <v>0</v>
      </c>
      <c r="X7156" s="36"/>
      <c r="Y7156" s="36"/>
      <c r="Z7156" s="36"/>
      <c r="AA7156" s="36"/>
      <c r="AB7156" s="36"/>
      <c r="AC7156" s="36"/>
      <c r="AD7156" s="36"/>
      <c r="AE7156" s="36"/>
      <c r="AF7156" s="36"/>
      <c r="AG7156" s="36"/>
      <c r="AH7156" s="36"/>
      <c r="AI7156" s="36"/>
      <c r="AJ7156" s="15">
        <f t="shared" si="1446"/>
        <v>0</v>
      </c>
      <c r="AK7156" s="14"/>
      <c r="AL7156" s="14"/>
      <c r="AM7156" s="14"/>
      <c r="AN7156" s="14"/>
      <c r="AO7156" s="14"/>
      <c r="AP7156" s="14"/>
      <c r="AQ7156" s="14"/>
      <c r="AR7156" s="14">
        <v>400</v>
      </c>
      <c r="AS7156" s="14">
        <v>400</v>
      </c>
      <c r="AT7156" s="14"/>
      <c r="AU7156" s="14"/>
      <c r="AV7156" s="14"/>
      <c r="AW7156" s="15">
        <f t="shared" si="1447"/>
        <v>800</v>
      </c>
      <c r="AX7156" s="16"/>
    </row>
    <row r="7157" spans="2:50" x14ac:dyDescent="0.2">
      <c r="B7157" s="7"/>
      <c r="C7157" s="8">
        <v>17203</v>
      </c>
      <c r="D7157" s="9" t="s">
        <v>806</v>
      </c>
      <c r="E7157" s="10" t="str">
        <f t="shared" si="1442"/>
        <v>Rancho Estanzuela No. 130, A</v>
      </c>
      <c r="F7157" s="10" t="str">
        <f t="shared" si="1443"/>
        <v>Colegio Carmel</v>
      </c>
      <c r="G7157" s="8">
        <v>3</v>
      </c>
      <c r="H7157" s="11">
        <v>200</v>
      </c>
      <c r="I7157" s="12">
        <v>43348</v>
      </c>
      <c r="J7157" s="35">
        <f t="shared" si="1444"/>
        <v>0</v>
      </c>
      <c r="K7157" s="36"/>
      <c r="L7157" s="36"/>
      <c r="M7157" s="36"/>
      <c r="N7157" s="36"/>
      <c r="O7157" s="36"/>
      <c r="P7157" s="36"/>
      <c r="Q7157" s="36"/>
      <c r="R7157" s="36"/>
      <c r="S7157" s="36"/>
      <c r="T7157" s="36"/>
      <c r="U7157" s="36"/>
      <c r="V7157" s="36"/>
      <c r="W7157" s="15">
        <f t="shared" si="1445"/>
        <v>0</v>
      </c>
      <c r="X7157" s="36"/>
      <c r="Y7157" s="36"/>
      <c r="Z7157" s="36"/>
      <c r="AA7157" s="36"/>
      <c r="AB7157" s="36"/>
      <c r="AC7157" s="36"/>
      <c r="AD7157" s="36"/>
      <c r="AE7157" s="36"/>
      <c r="AF7157" s="36"/>
      <c r="AG7157" s="36"/>
      <c r="AH7157" s="36"/>
      <c r="AI7157" s="36"/>
      <c r="AJ7157" s="15">
        <f t="shared" si="1446"/>
        <v>0</v>
      </c>
      <c r="AK7157" s="14"/>
      <c r="AL7157" s="14"/>
      <c r="AM7157" s="14"/>
      <c r="AN7157" s="14"/>
      <c r="AO7157" s="14"/>
      <c r="AP7157" s="14"/>
      <c r="AQ7157" s="14"/>
      <c r="AR7157" s="14"/>
      <c r="AS7157" s="14"/>
      <c r="AT7157" s="14"/>
      <c r="AU7157" s="14"/>
      <c r="AV7157" s="14"/>
      <c r="AW7157" s="15">
        <f t="shared" si="1447"/>
        <v>0</v>
      </c>
      <c r="AX7157" s="16"/>
    </row>
    <row r="7158" spans="2:50" x14ac:dyDescent="0.2">
      <c r="B7158" s="7"/>
      <c r="C7158" s="8">
        <v>17204</v>
      </c>
      <c r="D7158" s="9" t="s">
        <v>598</v>
      </c>
      <c r="E7158" s="10" t="str">
        <f t="shared" si="1442"/>
        <v>Rancho Estanzuela No. 21</v>
      </c>
      <c r="F7158" s="10" t="str">
        <f t="shared" si="1443"/>
        <v>Morales</v>
      </c>
      <c r="G7158" s="8">
        <v>1</v>
      </c>
      <c r="H7158" s="11">
        <v>1200</v>
      </c>
      <c r="I7158" s="12">
        <v>43349</v>
      </c>
      <c r="J7158" s="35">
        <f t="shared" si="1444"/>
        <v>0</v>
      </c>
      <c r="K7158" s="36"/>
      <c r="L7158" s="36"/>
      <c r="M7158" s="36"/>
      <c r="N7158" s="36"/>
      <c r="O7158" s="36"/>
      <c r="P7158" s="36"/>
      <c r="Q7158" s="36"/>
      <c r="R7158" s="36"/>
      <c r="S7158" s="36"/>
      <c r="T7158" s="36"/>
      <c r="U7158" s="36"/>
      <c r="V7158" s="36"/>
      <c r="W7158" s="15">
        <f t="shared" si="1445"/>
        <v>0</v>
      </c>
      <c r="X7158" s="36"/>
      <c r="Y7158" s="36"/>
      <c r="Z7158" s="36"/>
      <c r="AA7158" s="36"/>
      <c r="AB7158" s="36"/>
      <c r="AC7158" s="36"/>
      <c r="AD7158" s="36"/>
      <c r="AE7158" s="36"/>
      <c r="AF7158" s="36"/>
      <c r="AG7158" s="36"/>
      <c r="AH7158" s="36"/>
      <c r="AI7158" s="36"/>
      <c r="AJ7158" s="15">
        <f t="shared" si="1446"/>
        <v>0</v>
      </c>
      <c r="AK7158" s="14"/>
      <c r="AL7158" s="14"/>
      <c r="AM7158" s="14"/>
      <c r="AN7158" s="14"/>
      <c r="AO7158" s="14"/>
      <c r="AP7158" s="14"/>
      <c r="AQ7158" s="14"/>
      <c r="AR7158" s="14">
        <v>400</v>
      </c>
      <c r="AS7158" s="14">
        <v>400</v>
      </c>
      <c r="AT7158" s="14">
        <v>400</v>
      </c>
      <c r="AU7158" s="14"/>
      <c r="AV7158" s="14"/>
      <c r="AW7158" s="15">
        <f t="shared" si="1447"/>
        <v>1200</v>
      </c>
      <c r="AX7158" s="16"/>
    </row>
    <row r="7159" spans="2:50" x14ac:dyDescent="0.2">
      <c r="B7159" s="7"/>
      <c r="C7159" s="8">
        <v>17205</v>
      </c>
      <c r="D7159" s="9" t="s">
        <v>1110</v>
      </c>
      <c r="E7159" s="10" t="str">
        <f t="shared" si="1436"/>
        <v>Rancho Upácuaro No. 103</v>
      </c>
      <c r="F7159" s="10" t="str">
        <f t="shared" si="1437"/>
        <v>Alfaro</v>
      </c>
      <c r="G7159" s="8">
        <v>1</v>
      </c>
      <c r="H7159" s="11">
        <v>400</v>
      </c>
      <c r="I7159" s="12">
        <v>43350</v>
      </c>
      <c r="J7159" s="35">
        <f t="shared" si="1438"/>
        <v>0</v>
      </c>
      <c r="K7159" s="36"/>
      <c r="L7159" s="36"/>
      <c r="M7159" s="36"/>
      <c r="N7159" s="36"/>
      <c r="O7159" s="36"/>
      <c r="P7159" s="36"/>
      <c r="Q7159" s="36"/>
      <c r="R7159" s="36"/>
      <c r="S7159" s="36"/>
      <c r="T7159" s="36"/>
      <c r="U7159" s="36"/>
      <c r="V7159" s="36"/>
      <c r="W7159" s="15">
        <f t="shared" si="1439"/>
        <v>0</v>
      </c>
      <c r="X7159" s="36"/>
      <c r="Y7159" s="36"/>
      <c r="Z7159" s="36"/>
      <c r="AA7159" s="36"/>
      <c r="AB7159" s="36"/>
      <c r="AC7159" s="36"/>
      <c r="AD7159" s="36"/>
      <c r="AE7159" s="36"/>
      <c r="AF7159" s="36"/>
      <c r="AG7159" s="36"/>
      <c r="AH7159" s="36"/>
      <c r="AI7159" s="36"/>
      <c r="AJ7159" s="15">
        <f t="shared" si="1440"/>
        <v>0</v>
      </c>
      <c r="AK7159" s="14"/>
      <c r="AL7159" s="14"/>
      <c r="AM7159" s="14"/>
      <c r="AN7159" s="14"/>
      <c r="AO7159" s="14"/>
      <c r="AP7159" s="14"/>
      <c r="AQ7159" s="14"/>
      <c r="AR7159" s="14">
        <v>400</v>
      </c>
      <c r="AS7159" s="14"/>
      <c r="AT7159" s="14"/>
      <c r="AU7159" s="14"/>
      <c r="AV7159" s="14"/>
      <c r="AW7159" s="15">
        <f t="shared" si="1441"/>
        <v>400</v>
      </c>
      <c r="AX7159" s="16"/>
    </row>
    <row r="7160" spans="2:50" x14ac:dyDescent="0.2">
      <c r="B7160" s="7"/>
      <c r="C7160" s="8">
        <v>17206</v>
      </c>
      <c r="D7160" s="9" t="s">
        <v>562</v>
      </c>
      <c r="E7160" s="10" t="str">
        <f t="shared" si="1436"/>
        <v>Rancho Upácuaro No. 87</v>
      </c>
      <c r="F7160" s="10" t="str">
        <f t="shared" si="1437"/>
        <v>Rodríguez Parés</v>
      </c>
      <c r="G7160" s="8">
        <v>1</v>
      </c>
      <c r="H7160" s="11">
        <v>400</v>
      </c>
      <c r="I7160" s="12">
        <v>43352</v>
      </c>
      <c r="J7160" s="35">
        <f t="shared" si="1438"/>
        <v>0</v>
      </c>
      <c r="K7160" s="36"/>
      <c r="L7160" s="36"/>
      <c r="M7160" s="36"/>
      <c r="N7160" s="36"/>
      <c r="O7160" s="36"/>
      <c r="P7160" s="36"/>
      <c r="Q7160" s="36"/>
      <c r="R7160" s="36"/>
      <c r="S7160" s="36"/>
      <c r="T7160" s="36"/>
      <c r="U7160" s="36"/>
      <c r="V7160" s="36"/>
      <c r="W7160" s="15">
        <f t="shared" si="1439"/>
        <v>0</v>
      </c>
      <c r="X7160" s="36"/>
      <c r="Y7160" s="36"/>
      <c r="Z7160" s="36"/>
      <c r="AA7160" s="36"/>
      <c r="AB7160" s="36"/>
      <c r="AC7160" s="36"/>
      <c r="AD7160" s="36"/>
      <c r="AE7160" s="36"/>
      <c r="AF7160" s="36"/>
      <c r="AG7160" s="36"/>
      <c r="AH7160" s="36"/>
      <c r="AI7160" s="36"/>
      <c r="AJ7160" s="15">
        <f t="shared" si="1440"/>
        <v>0</v>
      </c>
      <c r="AK7160" s="14"/>
      <c r="AL7160" s="14"/>
      <c r="AM7160" s="14"/>
      <c r="AN7160" s="14"/>
      <c r="AO7160" s="14"/>
      <c r="AP7160" s="14"/>
      <c r="AQ7160" s="14"/>
      <c r="AR7160" s="14"/>
      <c r="AS7160" s="14">
        <v>400</v>
      </c>
      <c r="AT7160" s="14"/>
      <c r="AU7160" s="14"/>
      <c r="AV7160" s="14"/>
      <c r="AW7160" s="15">
        <f t="shared" si="1441"/>
        <v>400</v>
      </c>
      <c r="AX7160" s="16"/>
    </row>
    <row r="7161" spans="2:50" x14ac:dyDescent="0.2">
      <c r="B7161" s="7"/>
      <c r="C7161" s="8">
        <v>17207</v>
      </c>
      <c r="D7161" s="9" t="s">
        <v>141</v>
      </c>
      <c r="E7161" s="10" t="str">
        <f t="shared" si="1436"/>
        <v>Rancho Estanzuela No. 91</v>
      </c>
      <c r="F7161" s="10" t="str">
        <f t="shared" si="1437"/>
        <v>Lobato Hernàndez</v>
      </c>
      <c r="G7161" s="8">
        <v>1</v>
      </c>
      <c r="H7161" s="11">
        <v>1200</v>
      </c>
      <c r="I7161" s="12">
        <v>43352</v>
      </c>
      <c r="J7161" s="35">
        <f t="shared" si="1438"/>
        <v>0</v>
      </c>
      <c r="K7161" s="36"/>
      <c r="L7161" s="36"/>
      <c r="M7161" s="36"/>
      <c r="N7161" s="36"/>
      <c r="O7161" s="36"/>
      <c r="P7161" s="36"/>
      <c r="Q7161" s="36"/>
      <c r="R7161" s="36"/>
      <c r="S7161" s="36"/>
      <c r="T7161" s="36"/>
      <c r="U7161" s="36"/>
      <c r="V7161" s="36"/>
      <c r="W7161" s="15">
        <f t="shared" si="1439"/>
        <v>0</v>
      </c>
      <c r="X7161" s="36"/>
      <c r="Y7161" s="36"/>
      <c r="Z7161" s="36"/>
      <c r="AA7161" s="36"/>
      <c r="AB7161" s="36"/>
      <c r="AC7161" s="36"/>
      <c r="AD7161" s="36"/>
      <c r="AE7161" s="36"/>
      <c r="AF7161" s="36"/>
      <c r="AG7161" s="36"/>
      <c r="AH7161" s="36"/>
      <c r="AI7161" s="36"/>
      <c r="AJ7161" s="15">
        <f t="shared" si="1440"/>
        <v>0</v>
      </c>
      <c r="AK7161" s="14"/>
      <c r="AL7161" s="14"/>
      <c r="AM7161" s="14"/>
      <c r="AN7161" s="14"/>
      <c r="AO7161" s="14"/>
      <c r="AP7161" s="14"/>
      <c r="AQ7161" s="14">
        <v>400</v>
      </c>
      <c r="AR7161" s="14">
        <v>400</v>
      </c>
      <c r="AS7161" s="14">
        <v>400</v>
      </c>
      <c r="AT7161" s="14"/>
      <c r="AU7161" s="14"/>
      <c r="AV7161" s="14"/>
      <c r="AW7161" s="15">
        <f t="shared" si="1441"/>
        <v>1200</v>
      </c>
      <c r="AX7161" s="16"/>
    </row>
    <row r="7162" spans="2:50" x14ac:dyDescent="0.2">
      <c r="B7162" s="7"/>
      <c r="C7162" s="8">
        <v>17208</v>
      </c>
      <c r="D7162" s="9" t="s">
        <v>307</v>
      </c>
      <c r="E7162" s="10" t="str">
        <f t="shared" si="1436"/>
        <v>Rancho Landero No. 83</v>
      </c>
      <c r="F7162" s="10" t="str">
        <f t="shared" si="1437"/>
        <v>Aguilar</v>
      </c>
      <c r="G7162" s="8">
        <v>1</v>
      </c>
      <c r="H7162" s="11">
        <v>350</v>
      </c>
      <c r="I7162" s="12">
        <v>43352</v>
      </c>
      <c r="J7162" s="35">
        <f t="shared" si="1438"/>
        <v>0</v>
      </c>
      <c r="K7162" s="36"/>
      <c r="L7162" s="36"/>
      <c r="M7162" s="36"/>
      <c r="N7162" s="36"/>
      <c r="O7162" s="36"/>
      <c r="P7162" s="36"/>
      <c r="Q7162" s="36"/>
      <c r="R7162" s="36"/>
      <c r="S7162" s="36"/>
      <c r="T7162" s="36"/>
      <c r="U7162" s="36"/>
      <c r="V7162" s="36"/>
      <c r="W7162" s="15">
        <f t="shared" si="1439"/>
        <v>0</v>
      </c>
      <c r="X7162" s="36"/>
      <c r="Y7162" s="36"/>
      <c r="Z7162" s="36"/>
      <c r="AA7162" s="36"/>
      <c r="AB7162" s="36"/>
      <c r="AC7162" s="36"/>
      <c r="AD7162" s="36"/>
      <c r="AE7162" s="36"/>
      <c r="AF7162" s="36"/>
      <c r="AG7162" s="36"/>
      <c r="AH7162" s="36"/>
      <c r="AI7162" s="36"/>
      <c r="AJ7162" s="15">
        <f t="shared" si="1440"/>
        <v>0</v>
      </c>
      <c r="AK7162" s="14"/>
      <c r="AL7162" s="14"/>
      <c r="AM7162" s="14"/>
      <c r="AN7162" s="14"/>
      <c r="AO7162" s="14"/>
      <c r="AP7162" s="14"/>
      <c r="AQ7162" s="14"/>
      <c r="AR7162" s="14"/>
      <c r="AS7162" s="14">
        <v>350</v>
      </c>
      <c r="AT7162" s="14"/>
      <c r="AU7162" s="14"/>
      <c r="AV7162" s="14"/>
      <c r="AW7162" s="15">
        <f t="shared" si="1441"/>
        <v>350</v>
      </c>
      <c r="AX7162" s="16"/>
    </row>
    <row r="7163" spans="2:50" x14ac:dyDescent="0.2">
      <c r="B7163" s="7"/>
      <c r="C7163" s="8">
        <v>17209</v>
      </c>
      <c r="D7163" s="9" t="s">
        <v>467</v>
      </c>
      <c r="E7163" s="10" t="str">
        <f t="shared" si="1436"/>
        <v>Rancho Upácuaro No. 138</v>
      </c>
      <c r="F7163" s="10" t="str">
        <f t="shared" si="1437"/>
        <v>Ramírez Valencia</v>
      </c>
      <c r="G7163" s="8">
        <v>1</v>
      </c>
      <c r="H7163" s="11">
        <v>900</v>
      </c>
      <c r="I7163" s="12">
        <v>43352</v>
      </c>
      <c r="J7163" s="35">
        <f t="shared" si="1438"/>
        <v>0</v>
      </c>
      <c r="K7163" s="36"/>
      <c r="L7163" s="36"/>
      <c r="M7163" s="36"/>
      <c r="N7163" s="36"/>
      <c r="O7163" s="36"/>
      <c r="P7163" s="36"/>
      <c r="Q7163" s="36"/>
      <c r="R7163" s="36"/>
      <c r="S7163" s="36"/>
      <c r="T7163" s="36"/>
      <c r="U7163" s="36"/>
      <c r="V7163" s="36"/>
      <c r="W7163" s="15">
        <f t="shared" si="1439"/>
        <v>0</v>
      </c>
      <c r="X7163" s="36"/>
      <c r="Y7163" s="36"/>
      <c r="Z7163" s="36"/>
      <c r="AA7163" s="36"/>
      <c r="AB7163" s="36"/>
      <c r="AC7163" s="36"/>
      <c r="AD7163" s="36"/>
      <c r="AE7163" s="36"/>
      <c r="AF7163" s="36"/>
      <c r="AG7163" s="36"/>
      <c r="AH7163" s="36"/>
      <c r="AI7163" s="36"/>
      <c r="AJ7163" s="15">
        <f t="shared" si="1440"/>
        <v>0</v>
      </c>
      <c r="AK7163" s="14"/>
      <c r="AL7163" s="14"/>
      <c r="AM7163" s="14"/>
      <c r="AN7163" s="14"/>
      <c r="AO7163" s="14"/>
      <c r="AP7163" s="14"/>
      <c r="AQ7163" s="14"/>
      <c r="AR7163" s="14">
        <v>300</v>
      </c>
      <c r="AS7163" s="14">
        <v>300</v>
      </c>
      <c r="AT7163" s="14">
        <v>300</v>
      </c>
      <c r="AU7163" s="14"/>
      <c r="AV7163" s="14"/>
      <c r="AW7163" s="15">
        <f t="shared" si="1441"/>
        <v>900</v>
      </c>
      <c r="AX7163" s="16"/>
    </row>
    <row r="7164" spans="2:50" x14ac:dyDescent="0.2">
      <c r="B7164" s="7"/>
      <c r="C7164" s="8">
        <v>17210</v>
      </c>
      <c r="D7164" s="9" t="s">
        <v>247</v>
      </c>
      <c r="E7164" s="10" t="str">
        <f t="shared" si="1436"/>
        <v>Rancho Landero No. 91</v>
      </c>
      <c r="F7164" s="10" t="str">
        <f t="shared" si="1437"/>
        <v>Llaca</v>
      </c>
      <c r="G7164" s="8">
        <v>1</v>
      </c>
      <c r="H7164" s="11">
        <v>800</v>
      </c>
      <c r="I7164" s="12">
        <v>43352</v>
      </c>
      <c r="J7164" s="35">
        <f t="shared" si="1438"/>
        <v>0</v>
      </c>
      <c r="K7164" s="36"/>
      <c r="L7164" s="36"/>
      <c r="M7164" s="36"/>
      <c r="N7164" s="36"/>
      <c r="O7164" s="36"/>
      <c r="P7164" s="36"/>
      <c r="Q7164" s="36"/>
      <c r="R7164" s="36"/>
      <c r="S7164" s="36"/>
      <c r="T7164" s="36"/>
      <c r="U7164" s="36"/>
      <c r="V7164" s="36"/>
      <c r="W7164" s="15">
        <f t="shared" si="1439"/>
        <v>0</v>
      </c>
      <c r="X7164" s="36"/>
      <c r="Y7164" s="36"/>
      <c r="Z7164" s="36"/>
      <c r="AA7164" s="36"/>
      <c r="AB7164" s="36"/>
      <c r="AC7164" s="36"/>
      <c r="AD7164" s="36"/>
      <c r="AE7164" s="36"/>
      <c r="AF7164" s="36"/>
      <c r="AG7164" s="36"/>
      <c r="AH7164" s="36"/>
      <c r="AI7164" s="36"/>
      <c r="AJ7164" s="15">
        <f t="shared" si="1440"/>
        <v>0</v>
      </c>
      <c r="AK7164" s="14"/>
      <c r="AL7164" s="14"/>
      <c r="AM7164" s="14"/>
      <c r="AN7164" s="14"/>
      <c r="AO7164" s="14"/>
      <c r="AP7164" s="14"/>
      <c r="AQ7164" s="14"/>
      <c r="AR7164" s="14"/>
      <c r="AS7164" s="14">
        <v>400</v>
      </c>
      <c r="AT7164" s="14">
        <v>400</v>
      </c>
      <c r="AU7164" s="14"/>
      <c r="AV7164" s="14"/>
      <c r="AW7164" s="15">
        <f t="shared" si="1441"/>
        <v>800</v>
      </c>
      <c r="AX7164" s="16"/>
    </row>
    <row r="7165" spans="2:50" x14ac:dyDescent="0.2">
      <c r="B7165" s="7"/>
      <c r="C7165" s="8">
        <v>17211</v>
      </c>
      <c r="D7165" s="9" t="s">
        <v>823</v>
      </c>
      <c r="E7165" s="10" t="str">
        <f t="shared" si="1436"/>
        <v>Rancho La Cuchilla No. 122</v>
      </c>
      <c r="F7165" s="10" t="str">
        <f t="shared" si="1437"/>
        <v>Mendoza</v>
      </c>
      <c r="G7165" s="8">
        <v>1</v>
      </c>
      <c r="H7165" s="11">
        <v>400</v>
      </c>
      <c r="I7165" s="12">
        <v>43352</v>
      </c>
      <c r="J7165" s="35">
        <f t="shared" si="1438"/>
        <v>0</v>
      </c>
      <c r="K7165" s="36"/>
      <c r="L7165" s="36"/>
      <c r="M7165" s="36"/>
      <c r="N7165" s="36"/>
      <c r="O7165" s="36"/>
      <c r="P7165" s="36"/>
      <c r="Q7165" s="36"/>
      <c r="R7165" s="36"/>
      <c r="S7165" s="36"/>
      <c r="T7165" s="36"/>
      <c r="U7165" s="36"/>
      <c r="V7165" s="36"/>
      <c r="W7165" s="15">
        <f t="shared" si="1439"/>
        <v>0</v>
      </c>
      <c r="X7165" s="36"/>
      <c r="Y7165" s="36"/>
      <c r="Z7165" s="36"/>
      <c r="AA7165" s="36"/>
      <c r="AB7165" s="36"/>
      <c r="AC7165" s="36"/>
      <c r="AD7165" s="36"/>
      <c r="AE7165" s="36"/>
      <c r="AF7165" s="36"/>
      <c r="AG7165" s="36"/>
      <c r="AH7165" s="36"/>
      <c r="AI7165" s="36"/>
      <c r="AJ7165" s="15">
        <f t="shared" si="1440"/>
        <v>0</v>
      </c>
      <c r="AK7165" s="14"/>
      <c r="AL7165" s="14"/>
      <c r="AM7165" s="14"/>
      <c r="AN7165" s="14"/>
      <c r="AO7165" s="14"/>
      <c r="AP7165" s="14"/>
      <c r="AQ7165" s="14"/>
      <c r="AR7165" s="14">
        <v>200</v>
      </c>
      <c r="AS7165" s="14">
        <v>200</v>
      </c>
      <c r="AT7165" s="14"/>
      <c r="AU7165" s="14"/>
      <c r="AV7165" s="14"/>
      <c r="AW7165" s="15">
        <f t="shared" si="1441"/>
        <v>400</v>
      </c>
      <c r="AX7165" s="16"/>
    </row>
    <row r="7166" spans="2:50" x14ac:dyDescent="0.2">
      <c r="B7166" s="7"/>
      <c r="C7166" s="8">
        <v>17212</v>
      </c>
      <c r="D7166" s="9" t="s">
        <v>5576</v>
      </c>
      <c r="E7166" s="10" t="str">
        <f t="shared" si="1436"/>
        <v>Rancho Recoveco No. 174</v>
      </c>
      <c r="F7166" s="10" t="str">
        <f t="shared" si="1437"/>
        <v>Cruz Chavarría</v>
      </c>
      <c r="G7166" s="8">
        <v>1</v>
      </c>
      <c r="H7166" s="11">
        <v>400</v>
      </c>
      <c r="I7166" s="12">
        <v>43352</v>
      </c>
      <c r="J7166" s="35">
        <f t="shared" si="1438"/>
        <v>0</v>
      </c>
      <c r="K7166" s="36"/>
      <c r="L7166" s="36"/>
      <c r="M7166" s="36"/>
      <c r="N7166" s="36"/>
      <c r="O7166" s="36"/>
      <c r="P7166" s="36"/>
      <c r="Q7166" s="36"/>
      <c r="R7166" s="36"/>
      <c r="S7166" s="36"/>
      <c r="T7166" s="36"/>
      <c r="U7166" s="36"/>
      <c r="V7166" s="36"/>
      <c r="W7166" s="15">
        <f t="shared" si="1439"/>
        <v>0</v>
      </c>
      <c r="X7166" s="36"/>
      <c r="Y7166" s="36"/>
      <c r="Z7166" s="36"/>
      <c r="AA7166" s="36"/>
      <c r="AB7166" s="36"/>
      <c r="AC7166" s="36"/>
      <c r="AD7166" s="36"/>
      <c r="AE7166" s="36"/>
      <c r="AF7166" s="36"/>
      <c r="AG7166" s="36"/>
      <c r="AH7166" s="36"/>
      <c r="AI7166" s="36"/>
      <c r="AJ7166" s="15">
        <f t="shared" si="1440"/>
        <v>0</v>
      </c>
      <c r="AK7166" s="14"/>
      <c r="AL7166" s="14"/>
      <c r="AM7166" s="14"/>
      <c r="AN7166" s="14"/>
      <c r="AO7166" s="14"/>
      <c r="AP7166" s="14"/>
      <c r="AQ7166" s="14"/>
      <c r="AR7166" s="14"/>
      <c r="AS7166" s="14">
        <v>400</v>
      </c>
      <c r="AT7166" s="14"/>
      <c r="AU7166" s="14"/>
      <c r="AV7166" s="14"/>
      <c r="AW7166" s="15">
        <f t="shared" si="1441"/>
        <v>400</v>
      </c>
      <c r="AX7166" s="16"/>
    </row>
    <row r="7167" spans="2:50" x14ac:dyDescent="0.2">
      <c r="B7167" s="7"/>
      <c r="C7167" s="8">
        <v>17212</v>
      </c>
      <c r="D7167" s="9" t="s">
        <v>5576</v>
      </c>
      <c r="E7167" s="10" t="str">
        <f t="shared" si="1436"/>
        <v>Rancho Recoveco No. 174</v>
      </c>
      <c r="F7167" s="10" t="str">
        <f t="shared" si="1437"/>
        <v>Cruz Chavarría</v>
      </c>
      <c r="G7167" s="8">
        <v>4</v>
      </c>
      <c r="H7167" s="11">
        <v>200</v>
      </c>
      <c r="I7167" s="12">
        <v>43352</v>
      </c>
      <c r="J7167" s="35">
        <f t="shared" si="1438"/>
        <v>0</v>
      </c>
      <c r="K7167" s="36"/>
      <c r="L7167" s="36"/>
      <c r="M7167" s="36"/>
      <c r="N7167" s="36"/>
      <c r="O7167" s="36"/>
      <c r="P7167" s="36"/>
      <c r="Q7167" s="36"/>
      <c r="R7167" s="36"/>
      <c r="S7167" s="36"/>
      <c r="T7167" s="36"/>
      <c r="U7167" s="36"/>
      <c r="V7167" s="36"/>
      <c r="W7167" s="15">
        <f t="shared" si="1439"/>
        <v>0</v>
      </c>
      <c r="X7167" s="36"/>
      <c r="Y7167" s="36"/>
      <c r="Z7167" s="36"/>
      <c r="AA7167" s="36"/>
      <c r="AB7167" s="36"/>
      <c r="AC7167" s="36"/>
      <c r="AD7167" s="36"/>
      <c r="AE7167" s="36"/>
      <c r="AF7167" s="36"/>
      <c r="AG7167" s="36"/>
      <c r="AH7167" s="36"/>
      <c r="AI7167" s="36"/>
      <c r="AJ7167" s="15">
        <f t="shared" si="1440"/>
        <v>0</v>
      </c>
      <c r="AK7167" s="14"/>
      <c r="AL7167" s="14"/>
      <c r="AM7167" s="14"/>
      <c r="AN7167" s="14"/>
      <c r="AO7167" s="14"/>
      <c r="AP7167" s="14"/>
      <c r="AQ7167" s="14"/>
      <c r="AR7167" s="14"/>
      <c r="AS7167" s="14"/>
      <c r="AT7167" s="14"/>
      <c r="AU7167" s="14"/>
      <c r="AV7167" s="14"/>
      <c r="AW7167" s="15">
        <f t="shared" si="1441"/>
        <v>0</v>
      </c>
      <c r="AX7167" s="16" t="s">
        <v>5581</v>
      </c>
    </row>
    <row r="7168" spans="2:50" x14ac:dyDescent="0.2">
      <c r="B7168" s="7"/>
      <c r="C7168" s="8">
        <v>17212</v>
      </c>
      <c r="D7168" s="9" t="s">
        <v>5576</v>
      </c>
      <c r="E7168" s="10" t="str">
        <f t="shared" si="1436"/>
        <v>Rancho Recoveco No. 174</v>
      </c>
      <c r="F7168" s="10" t="str">
        <f t="shared" si="1437"/>
        <v>Cruz Chavarría</v>
      </c>
      <c r="G7168" s="8">
        <v>5</v>
      </c>
      <c r="H7168" s="11">
        <v>100</v>
      </c>
      <c r="I7168" s="12">
        <v>43352</v>
      </c>
      <c r="J7168" s="35">
        <f t="shared" si="1438"/>
        <v>0</v>
      </c>
      <c r="K7168" s="36"/>
      <c r="L7168" s="36"/>
      <c r="M7168" s="36"/>
      <c r="N7168" s="36"/>
      <c r="O7168" s="36"/>
      <c r="P7168" s="36"/>
      <c r="Q7168" s="36"/>
      <c r="R7168" s="36"/>
      <c r="S7168" s="36"/>
      <c r="T7168" s="36"/>
      <c r="U7168" s="36"/>
      <c r="V7168" s="36"/>
      <c r="W7168" s="15">
        <f t="shared" si="1439"/>
        <v>0</v>
      </c>
      <c r="X7168" s="36"/>
      <c r="Y7168" s="36"/>
      <c r="Z7168" s="36"/>
      <c r="AA7168" s="36"/>
      <c r="AB7168" s="36"/>
      <c r="AC7168" s="36"/>
      <c r="AD7168" s="36"/>
      <c r="AE7168" s="36"/>
      <c r="AF7168" s="36"/>
      <c r="AG7168" s="36"/>
      <c r="AH7168" s="36"/>
      <c r="AI7168" s="36"/>
      <c r="AJ7168" s="15">
        <f t="shared" si="1440"/>
        <v>0</v>
      </c>
      <c r="AK7168" s="14"/>
      <c r="AL7168" s="14"/>
      <c r="AM7168" s="14"/>
      <c r="AN7168" s="14"/>
      <c r="AO7168" s="14"/>
      <c r="AP7168" s="14"/>
      <c r="AQ7168" s="14"/>
      <c r="AR7168" s="14"/>
      <c r="AS7168" s="14"/>
      <c r="AT7168" s="14"/>
      <c r="AU7168" s="14"/>
      <c r="AV7168" s="14"/>
      <c r="AW7168" s="15">
        <f t="shared" si="1441"/>
        <v>0</v>
      </c>
      <c r="AX7168" s="16"/>
    </row>
    <row r="7169" spans="2:50" x14ac:dyDescent="0.2">
      <c r="B7169" s="7"/>
      <c r="C7169" s="8">
        <v>17213</v>
      </c>
      <c r="D7169" s="9" t="s">
        <v>719</v>
      </c>
      <c r="E7169" s="10" t="str">
        <f t="shared" si="1436"/>
        <v>Rancho Estanzuela No. 119, 1</v>
      </c>
      <c r="F7169" s="10" t="str">
        <f t="shared" si="1437"/>
        <v>Crespo</v>
      </c>
      <c r="G7169" s="8">
        <v>1</v>
      </c>
      <c r="H7169" s="11">
        <v>400</v>
      </c>
      <c r="I7169" s="12">
        <v>43352</v>
      </c>
      <c r="J7169" s="35">
        <f t="shared" si="1438"/>
        <v>0</v>
      </c>
      <c r="K7169" s="36"/>
      <c r="L7169" s="36"/>
      <c r="M7169" s="36"/>
      <c r="N7169" s="36"/>
      <c r="O7169" s="36"/>
      <c r="P7169" s="36"/>
      <c r="Q7169" s="36"/>
      <c r="R7169" s="36"/>
      <c r="S7169" s="36"/>
      <c r="T7169" s="36"/>
      <c r="U7169" s="36"/>
      <c r="V7169" s="36"/>
      <c r="W7169" s="15">
        <f t="shared" si="1439"/>
        <v>0</v>
      </c>
      <c r="X7169" s="36"/>
      <c r="Y7169" s="36"/>
      <c r="Z7169" s="36"/>
      <c r="AA7169" s="36"/>
      <c r="AB7169" s="36"/>
      <c r="AC7169" s="36"/>
      <c r="AD7169" s="36"/>
      <c r="AE7169" s="36"/>
      <c r="AF7169" s="36"/>
      <c r="AG7169" s="36"/>
      <c r="AH7169" s="36"/>
      <c r="AI7169" s="36"/>
      <c r="AJ7169" s="15">
        <f t="shared" si="1440"/>
        <v>0</v>
      </c>
      <c r="AK7169" s="14"/>
      <c r="AL7169" s="14"/>
      <c r="AM7169" s="14"/>
      <c r="AN7169" s="14"/>
      <c r="AO7169" s="14"/>
      <c r="AP7169" s="14"/>
      <c r="AQ7169" s="14"/>
      <c r="AR7169" s="14">
        <v>200</v>
      </c>
      <c r="AS7169" s="14">
        <v>200</v>
      </c>
      <c r="AT7169" s="14"/>
      <c r="AU7169" s="14"/>
      <c r="AV7169" s="14"/>
      <c r="AW7169" s="15">
        <f t="shared" si="1441"/>
        <v>400</v>
      </c>
      <c r="AX7169" s="16"/>
    </row>
    <row r="7170" spans="2:50" x14ac:dyDescent="0.2">
      <c r="B7170" s="7"/>
      <c r="C7170" s="8">
        <v>17214</v>
      </c>
      <c r="D7170" s="9" t="s">
        <v>241</v>
      </c>
      <c r="E7170" s="10" t="str">
        <f t="shared" si="1436"/>
        <v>Rancho La Cuchilla No. 81, A</v>
      </c>
      <c r="F7170" s="10" t="str">
        <f t="shared" si="1437"/>
        <v>Barrientos López</v>
      </c>
      <c r="G7170" s="8">
        <v>1</v>
      </c>
      <c r="H7170" s="11">
        <v>400</v>
      </c>
      <c r="I7170" s="12">
        <v>43352</v>
      </c>
      <c r="J7170" s="35">
        <f t="shared" si="1438"/>
        <v>0</v>
      </c>
      <c r="K7170" s="36"/>
      <c r="L7170" s="36"/>
      <c r="M7170" s="36"/>
      <c r="N7170" s="36"/>
      <c r="O7170" s="36"/>
      <c r="P7170" s="36"/>
      <c r="Q7170" s="36"/>
      <c r="R7170" s="36"/>
      <c r="S7170" s="36"/>
      <c r="T7170" s="36"/>
      <c r="U7170" s="36"/>
      <c r="V7170" s="36"/>
      <c r="W7170" s="15">
        <f t="shared" si="1439"/>
        <v>0</v>
      </c>
      <c r="X7170" s="36"/>
      <c r="Y7170" s="36"/>
      <c r="Z7170" s="36"/>
      <c r="AA7170" s="36"/>
      <c r="AB7170" s="36"/>
      <c r="AC7170" s="36"/>
      <c r="AD7170" s="36"/>
      <c r="AE7170" s="36"/>
      <c r="AF7170" s="36"/>
      <c r="AG7170" s="36"/>
      <c r="AH7170" s="36"/>
      <c r="AI7170" s="36"/>
      <c r="AJ7170" s="15">
        <f t="shared" si="1440"/>
        <v>0</v>
      </c>
      <c r="AK7170" s="14"/>
      <c r="AL7170" s="14"/>
      <c r="AM7170" s="14"/>
      <c r="AN7170" s="14"/>
      <c r="AO7170" s="14"/>
      <c r="AP7170" s="14"/>
      <c r="AQ7170" s="14"/>
      <c r="AR7170" s="14"/>
      <c r="AS7170" s="14">
        <v>400</v>
      </c>
      <c r="AT7170" s="14"/>
      <c r="AU7170" s="14"/>
      <c r="AV7170" s="14"/>
      <c r="AW7170" s="15">
        <f t="shared" si="1441"/>
        <v>400</v>
      </c>
      <c r="AX7170" s="16"/>
    </row>
    <row r="7171" spans="2:50" x14ac:dyDescent="0.2">
      <c r="B7171" s="7"/>
      <c r="C7171" s="8">
        <v>17215</v>
      </c>
      <c r="D7171" s="9" t="s">
        <v>202</v>
      </c>
      <c r="E7171" s="10" t="str">
        <f t="shared" si="1436"/>
        <v>Rancho Estanzuela No. 25</v>
      </c>
      <c r="F7171" s="10" t="str">
        <f t="shared" si="1437"/>
        <v>Contreras Figueroa</v>
      </c>
      <c r="G7171" s="8">
        <v>1</v>
      </c>
      <c r="H7171" s="11">
        <v>400</v>
      </c>
      <c r="I7171" s="12">
        <v>43352</v>
      </c>
      <c r="J7171" s="35">
        <f t="shared" si="1438"/>
        <v>0</v>
      </c>
      <c r="K7171" s="36"/>
      <c r="L7171" s="36"/>
      <c r="M7171" s="36"/>
      <c r="N7171" s="36"/>
      <c r="O7171" s="36"/>
      <c r="P7171" s="36"/>
      <c r="Q7171" s="36"/>
      <c r="R7171" s="36"/>
      <c r="S7171" s="36"/>
      <c r="T7171" s="36"/>
      <c r="U7171" s="36"/>
      <c r="V7171" s="36"/>
      <c r="W7171" s="15">
        <f t="shared" si="1439"/>
        <v>0</v>
      </c>
      <c r="X7171" s="36"/>
      <c r="Y7171" s="36"/>
      <c r="Z7171" s="36"/>
      <c r="AA7171" s="36"/>
      <c r="AB7171" s="36"/>
      <c r="AC7171" s="36"/>
      <c r="AD7171" s="36"/>
      <c r="AE7171" s="36"/>
      <c r="AF7171" s="36"/>
      <c r="AG7171" s="36"/>
      <c r="AH7171" s="36"/>
      <c r="AI7171" s="36"/>
      <c r="AJ7171" s="15">
        <f t="shared" si="1440"/>
        <v>0</v>
      </c>
      <c r="AK7171" s="14"/>
      <c r="AL7171" s="14"/>
      <c r="AM7171" s="14"/>
      <c r="AN7171" s="14"/>
      <c r="AO7171" s="14"/>
      <c r="AP7171" s="14"/>
      <c r="AQ7171" s="14"/>
      <c r="AR7171" s="14"/>
      <c r="AS7171" s="14">
        <v>400</v>
      </c>
      <c r="AT7171" s="14"/>
      <c r="AU7171" s="14"/>
      <c r="AV7171" s="14"/>
      <c r="AW7171" s="15">
        <f t="shared" si="1441"/>
        <v>400</v>
      </c>
      <c r="AX7171" s="16"/>
    </row>
    <row r="7172" spans="2:50" x14ac:dyDescent="0.2">
      <c r="B7172" s="7"/>
      <c r="C7172" s="8">
        <v>17216</v>
      </c>
      <c r="D7172" s="9" t="s">
        <v>425</v>
      </c>
      <c r="E7172" s="10" t="str">
        <f t="shared" si="1436"/>
        <v>Rancho La Cuchilla No. 120</v>
      </c>
      <c r="F7172" s="10" t="str">
        <f t="shared" si="1437"/>
        <v>Pozos Vilchis</v>
      </c>
      <c r="G7172" s="8">
        <v>1</v>
      </c>
      <c r="H7172" s="11">
        <v>400</v>
      </c>
      <c r="I7172" s="12">
        <v>43352</v>
      </c>
      <c r="J7172" s="35">
        <f t="shared" si="1438"/>
        <v>0</v>
      </c>
      <c r="K7172" s="36"/>
      <c r="L7172" s="36"/>
      <c r="M7172" s="36"/>
      <c r="N7172" s="36"/>
      <c r="O7172" s="36"/>
      <c r="P7172" s="36"/>
      <c r="Q7172" s="36"/>
      <c r="R7172" s="36"/>
      <c r="S7172" s="36"/>
      <c r="T7172" s="36"/>
      <c r="U7172" s="36"/>
      <c r="V7172" s="36"/>
      <c r="W7172" s="15">
        <f t="shared" si="1439"/>
        <v>0</v>
      </c>
      <c r="X7172" s="36"/>
      <c r="Y7172" s="36"/>
      <c r="Z7172" s="36"/>
      <c r="AA7172" s="36"/>
      <c r="AB7172" s="36"/>
      <c r="AC7172" s="36"/>
      <c r="AD7172" s="36"/>
      <c r="AE7172" s="36"/>
      <c r="AF7172" s="36"/>
      <c r="AG7172" s="36"/>
      <c r="AH7172" s="36"/>
      <c r="AI7172" s="36"/>
      <c r="AJ7172" s="15">
        <f t="shared" si="1440"/>
        <v>0</v>
      </c>
      <c r="AK7172" s="14"/>
      <c r="AL7172" s="14"/>
      <c r="AM7172" s="14"/>
      <c r="AN7172" s="14"/>
      <c r="AO7172" s="14"/>
      <c r="AP7172" s="14"/>
      <c r="AQ7172" s="14"/>
      <c r="AR7172" s="14"/>
      <c r="AS7172" s="14">
        <v>400</v>
      </c>
      <c r="AT7172" s="14"/>
      <c r="AU7172" s="14"/>
      <c r="AV7172" s="14"/>
      <c r="AW7172" s="15">
        <f t="shared" si="1441"/>
        <v>400</v>
      </c>
      <c r="AX7172" s="16"/>
    </row>
    <row r="7173" spans="2:50" x14ac:dyDescent="0.2">
      <c r="B7173" s="7"/>
      <c r="C7173" s="8">
        <v>17217</v>
      </c>
      <c r="D7173" s="9" t="s">
        <v>51</v>
      </c>
      <c r="E7173" s="10" t="str">
        <f t="shared" si="1436"/>
        <v>Rancho Landero No. 22</v>
      </c>
      <c r="F7173" s="10" t="str">
        <f t="shared" si="1437"/>
        <v>Reyes</v>
      </c>
      <c r="G7173" s="8">
        <v>1</v>
      </c>
      <c r="H7173" s="11">
        <v>750</v>
      </c>
      <c r="I7173" s="12">
        <v>43352</v>
      </c>
      <c r="J7173" s="35">
        <f t="shared" si="1438"/>
        <v>0</v>
      </c>
      <c r="K7173" s="36"/>
      <c r="L7173" s="36"/>
      <c r="M7173" s="36"/>
      <c r="N7173" s="36"/>
      <c r="O7173" s="36"/>
      <c r="P7173" s="36"/>
      <c r="Q7173" s="36"/>
      <c r="R7173" s="36"/>
      <c r="S7173" s="36"/>
      <c r="T7173" s="36"/>
      <c r="U7173" s="36"/>
      <c r="V7173" s="36"/>
      <c r="W7173" s="15">
        <f t="shared" si="1439"/>
        <v>0</v>
      </c>
      <c r="X7173" s="36"/>
      <c r="Y7173" s="36"/>
      <c r="Z7173" s="36"/>
      <c r="AA7173" s="36"/>
      <c r="AB7173" s="36"/>
      <c r="AC7173" s="36"/>
      <c r="AD7173" s="36"/>
      <c r="AE7173" s="36"/>
      <c r="AF7173" s="36"/>
      <c r="AG7173" s="36"/>
      <c r="AH7173" s="36"/>
      <c r="AI7173" s="36"/>
      <c r="AJ7173" s="15">
        <f t="shared" si="1440"/>
        <v>0</v>
      </c>
      <c r="AK7173" s="14"/>
      <c r="AL7173" s="14"/>
      <c r="AM7173" s="14"/>
      <c r="AN7173" s="14"/>
      <c r="AO7173" s="14"/>
      <c r="AP7173" s="14"/>
      <c r="AQ7173" s="14">
        <v>250</v>
      </c>
      <c r="AR7173" s="14">
        <v>250</v>
      </c>
      <c r="AS7173" s="14">
        <v>250</v>
      </c>
      <c r="AT7173" s="14"/>
      <c r="AU7173" s="14"/>
      <c r="AV7173" s="14"/>
      <c r="AW7173" s="15">
        <f t="shared" si="1441"/>
        <v>750</v>
      </c>
      <c r="AX7173" s="16"/>
    </row>
    <row r="7174" spans="2:50" x14ac:dyDescent="0.2">
      <c r="B7174" s="7"/>
      <c r="C7174" s="8">
        <v>17218</v>
      </c>
      <c r="D7174" s="9" t="s">
        <v>265</v>
      </c>
      <c r="E7174" s="10" t="str">
        <f t="shared" si="1436"/>
        <v>Rancho Upácuaro No. 85</v>
      </c>
      <c r="F7174" s="10" t="str">
        <f t="shared" si="1437"/>
        <v>Del Toro Huerta</v>
      </c>
      <c r="G7174" s="8">
        <v>1</v>
      </c>
      <c r="H7174" s="11">
        <v>400</v>
      </c>
      <c r="I7174" s="12">
        <v>43352</v>
      </c>
      <c r="J7174" s="35">
        <f t="shared" si="1438"/>
        <v>0</v>
      </c>
      <c r="K7174" s="36"/>
      <c r="L7174" s="36"/>
      <c r="M7174" s="36"/>
      <c r="N7174" s="36"/>
      <c r="O7174" s="36"/>
      <c r="P7174" s="36"/>
      <c r="Q7174" s="36"/>
      <c r="R7174" s="36"/>
      <c r="S7174" s="36"/>
      <c r="T7174" s="36"/>
      <c r="U7174" s="36"/>
      <c r="V7174" s="36"/>
      <c r="W7174" s="15">
        <f t="shared" si="1439"/>
        <v>0</v>
      </c>
      <c r="X7174" s="36"/>
      <c r="Y7174" s="36"/>
      <c r="Z7174" s="36"/>
      <c r="AA7174" s="36"/>
      <c r="AB7174" s="36"/>
      <c r="AC7174" s="36"/>
      <c r="AD7174" s="36"/>
      <c r="AE7174" s="36"/>
      <c r="AF7174" s="36"/>
      <c r="AG7174" s="36"/>
      <c r="AH7174" s="36"/>
      <c r="AI7174" s="36"/>
      <c r="AJ7174" s="15">
        <f t="shared" si="1440"/>
        <v>0</v>
      </c>
      <c r="AK7174" s="14"/>
      <c r="AL7174" s="14"/>
      <c r="AM7174" s="14"/>
      <c r="AN7174" s="14"/>
      <c r="AO7174" s="14"/>
      <c r="AP7174" s="14"/>
      <c r="AQ7174" s="14"/>
      <c r="AR7174" s="14"/>
      <c r="AS7174" s="14">
        <v>400</v>
      </c>
      <c r="AT7174" s="14"/>
      <c r="AU7174" s="14"/>
      <c r="AV7174" s="14"/>
      <c r="AW7174" s="15">
        <f t="shared" si="1441"/>
        <v>400</v>
      </c>
      <c r="AX7174" s="16"/>
    </row>
    <row r="7175" spans="2:50" x14ac:dyDescent="0.2">
      <c r="B7175" s="7"/>
      <c r="C7175" s="8">
        <v>17219</v>
      </c>
      <c r="D7175" s="9" t="s">
        <v>280</v>
      </c>
      <c r="E7175" s="10" t="str">
        <f t="shared" si="1436"/>
        <v>Rancho La Cuchilla No. 40</v>
      </c>
      <c r="F7175" s="10" t="str">
        <f t="shared" si="1437"/>
        <v>López Pico</v>
      </c>
      <c r="G7175" s="8">
        <v>1</v>
      </c>
      <c r="H7175" s="11">
        <v>400</v>
      </c>
      <c r="I7175" s="12">
        <v>43352</v>
      </c>
      <c r="J7175" s="35">
        <f t="shared" si="1438"/>
        <v>0</v>
      </c>
      <c r="K7175" s="36"/>
      <c r="L7175" s="36"/>
      <c r="M7175" s="36"/>
      <c r="N7175" s="36"/>
      <c r="O7175" s="36"/>
      <c r="P7175" s="36"/>
      <c r="Q7175" s="36"/>
      <c r="R7175" s="36"/>
      <c r="S7175" s="36"/>
      <c r="T7175" s="36"/>
      <c r="U7175" s="36"/>
      <c r="V7175" s="36"/>
      <c r="W7175" s="15">
        <f t="shared" si="1439"/>
        <v>0</v>
      </c>
      <c r="X7175" s="36"/>
      <c r="Y7175" s="36"/>
      <c r="Z7175" s="36"/>
      <c r="AA7175" s="36"/>
      <c r="AB7175" s="36"/>
      <c r="AC7175" s="36"/>
      <c r="AD7175" s="36"/>
      <c r="AE7175" s="36"/>
      <c r="AF7175" s="36"/>
      <c r="AG7175" s="36"/>
      <c r="AH7175" s="36"/>
      <c r="AI7175" s="36"/>
      <c r="AJ7175" s="15">
        <f t="shared" si="1440"/>
        <v>0</v>
      </c>
      <c r="AK7175" s="14"/>
      <c r="AL7175" s="14"/>
      <c r="AM7175" s="14"/>
      <c r="AN7175" s="14"/>
      <c r="AO7175" s="14"/>
      <c r="AP7175" s="14"/>
      <c r="AQ7175" s="14"/>
      <c r="AR7175" s="14"/>
      <c r="AS7175" s="14">
        <v>400</v>
      </c>
      <c r="AT7175" s="14"/>
      <c r="AU7175" s="14"/>
      <c r="AV7175" s="14"/>
      <c r="AW7175" s="15">
        <f t="shared" si="1441"/>
        <v>400</v>
      </c>
      <c r="AX7175" s="16"/>
    </row>
    <row r="7176" spans="2:50" x14ac:dyDescent="0.2">
      <c r="B7176" s="7"/>
      <c r="C7176" s="8">
        <v>17220</v>
      </c>
      <c r="D7176" s="9" t="s">
        <v>1103</v>
      </c>
      <c r="E7176" s="10" t="str">
        <f t="shared" si="1436"/>
        <v>Rancho Landero No. 86</v>
      </c>
      <c r="F7176" s="10" t="str">
        <f t="shared" si="1437"/>
        <v>Cuervo</v>
      </c>
      <c r="G7176" s="8">
        <v>1</v>
      </c>
      <c r="H7176" s="11">
        <v>200</v>
      </c>
      <c r="I7176" s="12">
        <v>43352</v>
      </c>
      <c r="J7176" s="35">
        <f t="shared" si="1438"/>
        <v>0</v>
      </c>
      <c r="K7176" s="36"/>
      <c r="L7176" s="36"/>
      <c r="M7176" s="36"/>
      <c r="N7176" s="36"/>
      <c r="O7176" s="36"/>
      <c r="P7176" s="36"/>
      <c r="Q7176" s="36"/>
      <c r="R7176" s="36"/>
      <c r="S7176" s="36"/>
      <c r="T7176" s="36"/>
      <c r="U7176" s="36"/>
      <c r="V7176" s="36"/>
      <c r="W7176" s="15">
        <f t="shared" si="1439"/>
        <v>0</v>
      </c>
      <c r="X7176" s="36"/>
      <c r="Y7176" s="36"/>
      <c r="Z7176" s="36"/>
      <c r="AA7176" s="36"/>
      <c r="AB7176" s="36"/>
      <c r="AC7176" s="36"/>
      <c r="AD7176" s="36"/>
      <c r="AE7176" s="36"/>
      <c r="AF7176" s="36"/>
      <c r="AG7176" s="36"/>
      <c r="AH7176" s="36"/>
      <c r="AI7176" s="36"/>
      <c r="AJ7176" s="15">
        <f t="shared" si="1440"/>
        <v>0</v>
      </c>
      <c r="AK7176" s="14"/>
      <c r="AL7176" s="14"/>
      <c r="AM7176" s="14"/>
      <c r="AN7176" s="14"/>
      <c r="AO7176" s="14"/>
      <c r="AP7176" s="14"/>
      <c r="AQ7176" s="14">
        <v>200</v>
      </c>
      <c r="AR7176" s="14"/>
      <c r="AS7176" s="14"/>
      <c r="AT7176" s="14"/>
      <c r="AU7176" s="14"/>
      <c r="AV7176" s="14"/>
      <c r="AW7176" s="15">
        <f t="shared" si="1441"/>
        <v>200</v>
      </c>
      <c r="AX7176" s="16"/>
    </row>
    <row r="7177" spans="2:50" x14ac:dyDescent="0.2">
      <c r="B7177" s="7"/>
      <c r="C7177" s="8">
        <v>17221</v>
      </c>
      <c r="D7177" s="9" t="s">
        <v>911</v>
      </c>
      <c r="E7177" s="10" t="str">
        <f t="shared" si="1436"/>
        <v>Rancho Estanzuela No. 19</v>
      </c>
      <c r="F7177" s="10" t="str">
        <f t="shared" si="1437"/>
        <v>Robles</v>
      </c>
      <c r="G7177" s="8">
        <v>1</v>
      </c>
      <c r="H7177" s="11">
        <v>400</v>
      </c>
      <c r="I7177" s="12">
        <v>43352</v>
      </c>
      <c r="J7177" s="35">
        <f t="shared" si="1438"/>
        <v>0</v>
      </c>
      <c r="K7177" s="36"/>
      <c r="L7177" s="36"/>
      <c r="M7177" s="36"/>
      <c r="N7177" s="36"/>
      <c r="O7177" s="36"/>
      <c r="P7177" s="36"/>
      <c r="Q7177" s="36"/>
      <c r="R7177" s="36"/>
      <c r="S7177" s="36"/>
      <c r="T7177" s="36"/>
      <c r="U7177" s="36"/>
      <c r="V7177" s="36"/>
      <c r="W7177" s="15">
        <f t="shared" si="1439"/>
        <v>0</v>
      </c>
      <c r="X7177" s="36"/>
      <c r="Y7177" s="36"/>
      <c r="Z7177" s="36"/>
      <c r="AA7177" s="36"/>
      <c r="AB7177" s="36"/>
      <c r="AC7177" s="36"/>
      <c r="AD7177" s="36"/>
      <c r="AE7177" s="36"/>
      <c r="AF7177" s="36"/>
      <c r="AG7177" s="36"/>
      <c r="AH7177" s="36"/>
      <c r="AI7177" s="36"/>
      <c r="AJ7177" s="15">
        <f t="shared" si="1440"/>
        <v>0</v>
      </c>
      <c r="AK7177" s="14"/>
      <c r="AL7177" s="14"/>
      <c r="AM7177" s="14"/>
      <c r="AN7177" s="14"/>
      <c r="AO7177" s="14"/>
      <c r="AP7177" s="14"/>
      <c r="AQ7177" s="14"/>
      <c r="AR7177" s="14"/>
      <c r="AS7177" s="14">
        <v>400</v>
      </c>
      <c r="AT7177" s="14"/>
      <c r="AU7177" s="14"/>
      <c r="AV7177" s="14"/>
      <c r="AW7177" s="15">
        <f t="shared" si="1441"/>
        <v>400</v>
      </c>
      <c r="AX7177" s="16"/>
    </row>
    <row r="7178" spans="2:50" x14ac:dyDescent="0.2">
      <c r="B7178" s="7"/>
      <c r="C7178" s="8">
        <v>17222</v>
      </c>
      <c r="D7178" s="9" t="s">
        <v>268</v>
      </c>
      <c r="E7178" s="10" t="str">
        <f t="shared" si="1436"/>
        <v>Rancho Landero No. 90</v>
      </c>
      <c r="F7178" s="10" t="str">
        <f t="shared" si="1437"/>
        <v>Córdova Reséndiz</v>
      </c>
      <c r="G7178" s="8">
        <v>1</v>
      </c>
      <c r="H7178" s="11">
        <v>300</v>
      </c>
      <c r="I7178" s="12">
        <v>43352</v>
      </c>
      <c r="J7178" s="35">
        <f t="shared" si="1438"/>
        <v>0</v>
      </c>
      <c r="K7178" s="36"/>
      <c r="L7178" s="36"/>
      <c r="M7178" s="36"/>
      <c r="N7178" s="36"/>
      <c r="O7178" s="36"/>
      <c r="P7178" s="36"/>
      <c r="Q7178" s="36"/>
      <c r="R7178" s="36"/>
      <c r="S7178" s="36"/>
      <c r="T7178" s="36"/>
      <c r="U7178" s="36"/>
      <c r="V7178" s="36"/>
      <c r="W7178" s="15">
        <f t="shared" si="1439"/>
        <v>0</v>
      </c>
      <c r="X7178" s="36"/>
      <c r="Y7178" s="36"/>
      <c r="Z7178" s="36"/>
      <c r="AA7178" s="36"/>
      <c r="AB7178" s="36"/>
      <c r="AC7178" s="36"/>
      <c r="AD7178" s="36"/>
      <c r="AE7178" s="36"/>
      <c r="AF7178" s="36"/>
      <c r="AG7178" s="36"/>
      <c r="AH7178" s="36"/>
      <c r="AI7178" s="36"/>
      <c r="AJ7178" s="15">
        <f t="shared" si="1440"/>
        <v>0</v>
      </c>
      <c r="AK7178" s="14"/>
      <c r="AL7178" s="14"/>
      <c r="AM7178" s="14"/>
      <c r="AN7178" s="14"/>
      <c r="AO7178" s="14"/>
      <c r="AP7178" s="14"/>
      <c r="AQ7178" s="14"/>
      <c r="AR7178" s="14"/>
      <c r="AS7178" s="14">
        <v>300</v>
      </c>
      <c r="AT7178" s="14"/>
      <c r="AU7178" s="14"/>
      <c r="AV7178" s="14"/>
      <c r="AW7178" s="15">
        <f t="shared" si="1441"/>
        <v>300</v>
      </c>
      <c r="AX7178" s="16"/>
    </row>
    <row r="7179" spans="2:50" x14ac:dyDescent="0.2">
      <c r="B7179" s="7"/>
      <c r="C7179" s="8">
        <v>17223</v>
      </c>
      <c r="D7179" s="9" t="s">
        <v>387</v>
      </c>
      <c r="E7179" s="10" t="str">
        <f t="shared" si="1436"/>
        <v>Rancho Upácuaro No. 69</v>
      </c>
      <c r="F7179" s="10" t="str">
        <f t="shared" si="1437"/>
        <v>Gómez</v>
      </c>
      <c r="G7179" s="8">
        <v>1</v>
      </c>
      <c r="H7179" s="11">
        <v>400</v>
      </c>
      <c r="I7179" s="12">
        <v>43352</v>
      </c>
      <c r="J7179" s="35">
        <f t="shared" si="1438"/>
        <v>0</v>
      </c>
      <c r="K7179" s="36"/>
      <c r="L7179" s="36"/>
      <c r="M7179" s="36"/>
      <c r="N7179" s="36"/>
      <c r="O7179" s="36"/>
      <c r="P7179" s="36"/>
      <c r="Q7179" s="36"/>
      <c r="R7179" s="36"/>
      <c r="S7179" s="36"/>
      <c r="T7179" s="36"/>
      <c r="U7179" s="36"/>
      <c r="V7179" s="36"/>
      <c r="W7179" s="15">
        <f t="shared" si="1439"/>
        <v>0</v>
      </c>
      <c r="X7179" s="36"/>
      <c r="Y7179" s="36"/>
      <c r="Z7179" s="36"/>
      <c r="AA7179" s="36"/>
      <c r="AB7179" s="36"/>
      <c r="AC7179" s="36"/>
      <c r="AD7179" s="36"/>
      <c r="AE7179" s="36"/>
      <c r="AF7179" s="36"/>
      <c r="AG7179" s="36"/>
      <c r="AH7179" s="36"/>
      <c r="AI7179" s="36"/>
      <c r="AJ7179" s="15">
        <f t="shared" si="1440"/>
        <v>0</v>
      </c>
      <c r="AK7179" s="14"/>
      <c r="AL7179" s="14"/>
      <c r="AM7179" s="14"/>
      <c r="AN7179" s="14"/>
      <c r="AO7179" s="14"/>
      <c r="AP7179" s="14"/>
      <c r="AQ7179" s="14"/>
      <c r="AR7179" s="14"/>
      <c r="AS7179" s="14">
        <v>400</v>
      </c>
      <c r="AT7179" s="14"/>
      <c r="AU7179" s="14"/>
      <c r="AV7179" s="14"/>
      <c r="AW7179" s="15">
        <f t="shared" si="1441"/>
        <v>400</v>
      </c>
      <c r="AX7179" s="16"/>
    </row>
    <row r="7180" spans="2:50" x14ac:dyDescent="0.2">
      <c r="B7180" s="7"/>
      <c r="C7180" s="8">
        <v>17224</v>
      </c>
      <c r="D7180" s="9" t="s">
        <v>328</v>
      </c>
      <c r="E7180" s="10" t="str">
        <f t="shared" si="1436"/>
        <v>Rancho La Cuchilla No. 130</v>
      </c>
      <c r="F7180" s="10" t="str">
        <f t="shared" si="1437"/>
        <v>Gonzalez</v>
      </c>
      <c r="G7180" s="8">
        <v>1</v>
      </c>
      <c r="H7180" s="11">
        <v>400</v>
      </c>
      <c r="I7180" s="12">
        <v>43352</v>
      </c>
      <c r="J7180" s="35">
        <f t="shared" si="1438"/>
        <v>0</v>
      </c>
      <c r="K7180" s="36"/>
      <c r="L7180" s="36"/>
      <c r="M7180" s="36"/>
      <c r="N7180" s="36"/>
      <c r="O7180" s="36"/>
      <c r="P7180" s="36"/>
      <c r="Q7180" s="36"/>
      <c r="R7180" s="36"/>
      <c r="S7180" s="36"/>
      <c r="T7180" s="36"/>
      <c r="U7180" s="36"/>
      <c r="V7180" s="36"/>
      <c r="W7180" s="15">
        <f t="shared" si="1439"/>
        <v>0</v>
      </c>
      <c r="X7180" s="36"/>
      <c r="Y7180" s="36"/>
      <c r="Z7180" s="36"/>
      <c r="AA7180" s="36"/>
      <c r="AB7180" s="36"/>
      <c r="AC7180" s="36"/>
      <c r="AD7180" s="36"/>
      <c r="AE7180" s="36"/>
      <c r="AF7180" s="36"/>
      <c r="AG7180" s="36"/>
      <c r="AH7180" s="36"/>
      <c r="AI7180" s="36"/>
      <c r="AJ7180" s="15">
        <f t="shared" si="1440"/>
        <v>0</v>
      </c>
      <c r="AK7180" s="14"/>
      <c r="AL7180" s="14"/>
      <c r="AM7180" s="14"/>
      <c r="AN7180" s="14"/>
      <c r="AO7180" s="14"/>
      <c r="AP7180" s="14"/>
      <c r="AQ7180" s="14"/>
      <c r="AR7180" s="14"/>
      <c r="AS7180" s="14">
        <v>400</v>
      </c>
      <c r="AT7180" s="14"/>
      <c r="AU7180" s="14"/>
      <c r="AV7180" s="14"/>
      <c r="AW7180" s="15">
        <f t="shared" si="1441"/>
        <v>400</v>
      </c>
      <c r="AX7180" s="16"/>
    </row>
    <row r="7181" spans="2:50" x14ac:dyDescent="0.2">
      <c r="B7181" s="7"/>
      <c r="C7181" s="8">
        <v>17225</v>
      </c>
      <c r="D7181" s="9" t="s">
        <v>129</v>
      </c>
      <c r="E7181" s="10" t="str">
        <f t="shared" si="1436"/>
        <v>Rancho Zinamba No. 44</v>
      </c>
      <c r="F7181" s="10" t="str">
        <f t="shared" si="1437"/>
        <v>Canales</v>
      </c>
      <c r="G7181" s="8">
        <v>1</v>
      </c>
      <c r="H7181" s="11">
        <v>400</v>
      </c>
      <c r="I7181" s="12">
        <v>43352</v>
      </c>
      <c r="J7181" s="35">
        <f t="shared" si="1438"/>
        <v>0</v>
      </c>
      <c r="K7181" s="36"/>
      <c r="L7181" s="36"/>
      <c r="M7181" s="36"/>
      <c r="N7181" s="36"/>
      <c r="O7181" s="36"/>
      <c r="P7181" s="36"/>
      <c r="Q7181" s="36"/>
      <c r="R7181" s="36"/>
      <c r="S7181" s="36"/>
      <c r="T7181" s="36"/>
      <c r="U7181" s="36"/>
      <c r="V7181" s="36"/>
      <c r="W7181" s="15">
        <f t="shared" si="1439"/>
        <v>0</v>
      </c>
      <c r="X7181" s="36"/>
      <c r="Y7181" s="36"/>
      <c r="Z7181" s="36"/>
      <c r="AA7181" s="36"/>
      <c r="AB7181" s="36"/>
      <c r="AC7181" s="36"/>
      <c r="AD7181" s="36"/>
      <c r="AE7181" s="36"/>
      <c r="AF7181" s="36"/>
      <c r="AG7181" s="36"/>
      <c r="AH7181" s="36"/>
      <c r="AI7181" s="36"/>
      <c r="AJ7181" s="15">
        <f t="shared" si="1440"/>
        <v>0</v>
      </c>
      <c r="AK7181" s="14"/>
      <c r="AL7181" s="14"/>
      <c r="AM7181" s="14"/>
      <c r="AN7181" s="14"/>
      <c r="AO7181" s="14"/>
      <c r="AP7181" s="14"/>
      <c r="AQ7181" s="14"/>
      <c r="AR7181" s="14"/>
      <c r="AS7181" s="14">
        <v>400</v>
      </c>
      <c r="AT7181" s="14"/>
      <c r="AU7181" s="14"/>
      <c r="AV7181" s="14"/>
      <c r="AW7181" s="15">
        <f t="shared" si="1441"/>
        <v>400</v>
      </c>
      <c r="AX7181" s="16"/>
    </row>
    <row r="7182" spans="2:50" x14ac:dyDescent="0.2">
      <c r="B7182" s="7"/>
      <c r="C7182" s="8">
        <v>17226</v>
      </c>
      <c r="D7182" s="9" t="s">
        <v>87</v>
      </c>
      <c r="E7182" s="10" t="str">
        <f t="shared" si="1436"/>
        <v>Rancho Zinamba No. 36</v>
      </c>
      <c r="F7182" s="10" t="str">
        <f t="shared" si="1437"/>
        <v>Rodríguez Ortiz</v>
      </c>
      <c r="G7182" s="8">
        <v>1</v>
      </c>
      <c r="H7182" s="11">
        <v>400</v>
      </c>
      <c r="I7182" s="12">
        <v>43352</v>
      </c>
      <c r="J7182" s="35">
        <f t="shared" si="1438"/>
        <v>0</v>
      </c>
      <c r="K7182" s="36"/>
      <c r="L7182" s="36"/>
      <c r="M7182" s="36"/>
      <c r="N7182" s="36"/>
      <c r="O7182" s="36"/>
      <c r="P7182" s="36"/>
      <c r="Q7182" s="36"/>
      <c r="R7182" s="36"/>
      <c r="S7182" s="36"/>
      <c r="T7182" s="36"/>
      <c r="U7182" s="36"/>
      <c r="V7182" s="36"/>
      <c r="W7182" s="15">
        <f t="shared" si="1439"/>
        <v>0</v>
      </c>
      <c r="X7182" s="36"/>
      <c r="Y7182" s="36"/>
      <c r="Z7182" s="36"/>
      <c r="AA7182" s="36"/>
      <c r="AB7182" s="36"/>
      <c r="AC7182" s="36"/>
      <c r="AD7182" s="36"/>
      <c r="AE7182" s="36"/>
      <c r="AF7182" s="36"/>
      <c r="AG7182" s="36"/>
      <c r="AH7182" s="36"/>
      <c r="AI7182" s="36"/>
      <c r="AJ7182" s="15">
        <f t="shared" si="1440"/>
        <v>0</v>
      </c>
      <c r="AK7182" s="14"/>
      <c r="AL7182" s="14"/>
      <c r="AM7182" s="14"/>
      <c r="AN7182" s="14"/>
      <c r="AO7182" s="14"/>
      <c r="AP7182" s="14"/>
      <c r="AQ7182" s="14"/>
      <c r="AR7182" s="14"/>
      <c r="AS7182" s="14">
        <v>400</v>
      </c>
      <c r="AT7182" s="14"/>
      <c r="AU7182" s="14"/>
      <c r="AV7182" s="14"/>
      <c r="AW7182" s="15">
        <f t="shared" si="1441"/>
        <v>400</v>
      </c>
      <c r="AX7182" s="16"/>
    </row>
    <row r="7183" spans="2:50" x14ac:dyDescent="0.2">
      <c r="B7183" s="7"/>
      <c r="C7183" s="8">
        <v>17227</v>
      </c>
      <c r="D7183" s="9" t="s">
        <v>652</v>
      </c>
      <c r="E7183" s="10" t="str">
        <f t="shared" si="1436"/>
        <v>Rancho Zinamba No. 74</v>
      </c>
      <c r="F7183" s="10" t="str">
        <f t="shared" si="1437"/>
        <v>García Castellanos</v>
      </c>
      <c r="G7183" s="8">
        <v>1</v>
      </c>
      <c r="H7183" s="11">
        <v>400</v>
      </c>
      <c r="I7183" s="12">
        <v>43352</v>
      </c>
      <c r="J7183" s="35">
        <f t="shared" si="1438"/>
        <v>0</v>
      </c>
      <c r="K7183" s="36"/>
      <c r="L7183" s="36"/>
      <c r="M7183" s="36"/>
      <c r="N7183" s="36"/>
      <c r="O7183" s="36"/>
      <c r="P7183" s="36"/>
      <c r="Q7183" s="36"/>
      <c r="R7183" s="36"/>
      <c r="S7183" s="36"/>
      <c r="T7183" s="36"/>
      <c r="U7183" s="36"/>
      <c r="V7183" s="36"/>
      <c r="W7183" s="15">
        <f t="shared" si="1439"/>
        <v>0</v>
      </c>
      <c r="X7183" s="36"/>
      <c r="Y7183" s="36"/>
      <c r="Z7183" s="36"/>
      <c r="AA7183" s="36"/>
      <c r="AB7183" s="36"/>
      <c r="AC7183" s="36"/>
      <c r="AD7183" s="36"/>
      <c r="AE7183" s="36"/>
      <c r="AF7183" s="36"/>
      <c r="AG7183" s="36"/>
      <c r="AH7183" s="36"/>
      <c r="AI7183" s="36"/>
      <c r="AJ7183" s="15">
        <f t="shared" si="1440"/>
        <v>0</v>
      </c>
      <c r="AK7183" s="14"/>
      <c r="AL7183" s="14"/>
      <c r="AM7183" s="14"/>
      <c r="AN7183" s="14"/>
      <c r="AO7183" s="14"/>
      <c r="AP7183" s="14"/>
      <c r="AQ7183" s="14"/>
      <c r="AR7183" s="14">
        <v>400</v>
      </c>
      <c r="AS7183" s="14"/>
      <c r="AT7183" s="14"/>
      <c r="AU7183" s="14"/>
      <c r="AV7183" s="14"/>
      <c r="AW7183" s="15">
        <f t="shared" si="1441"/>
        <v>400</v>
      </c>
      <c r="AX7183" s="16"/>
    </row>
    <row r="7184" spans="2:50" x14ac:dyDescent="0.2">
      <c r="B7184" s="7"/>
      <c r="C7184" s="8">
        <v>17228</v>
      </c>
      <c r="D7184" s="9" t="s">
        <v>550</v>
      </c>
      <c r="E7184" s="10" t="str">
        <f t="shared" si="1436"/>
        <v>Rancho Landero No. 89</v>
      </c>
      <c r="F7184" s="10" t="str">
        <f t="shared" si="1437"/>
        <v>Del Pozo Solís</v>
      </c>
      <c r="G7184" s="8">
        <v>1</v>
      </c>
      <c r="H7184" s="11">
        <v>500</v>
      </c>
      <c r="I7184" s="12">
        <v>43352</v>
      </c>
      <c r="J7184" s="35">
        <f t="shared" si="1438"/>
        <v>0</v>
      </c>
      <c r="K7184" s="36"/>
      <c r="L7184" s="36"/>
      <c r="M7184" s="36"/>
      <c r="N7184" s="36"/>
      <c r="O7184" s="36"/>
      <c r="P7184" s="36"/>
      <c r="Q7184" s="36"/>
      <c r="R7184" s="36"/>
      <c r="S7184" s="36"/>
      <c r="T7184" s="36"/>
      <c r="U7184" s="36"/>
      <c r="V7184" s="36"/>
      <c r="W7184" s="15">
        <f t="shared" si="1439"/>
        <v>0</v>
      </c>
      <c r="X7184" s="36"/>
      <c r="Y7184" s="36"/>
      <c r="Z7184" s="36"/>
      <c r="AA7184" s="36"/>
      <c r="AB7184" s="36"/>
      <c r="AC7184" s="36"/>
      <c r="AD7184" s="36"/>
      <c r="AE7184" s="36"/>
      <c r="AF7184" s="36"/>
      <c r="AG7184" s="36"/>
      <c r="AH7184" s="36"/>
      <c r="AI7184" s="36"/>
      <c r="AJ7184" s="15">
        <f t="shared" si="1440"/>
        <v>0</v>
      </c>
      <c r="AK7184" s="14"/>
      <c r="AL7184" s="14"/>
      <c r="AM7184" s="14"/>
      <c r="AN7184" s="14"/>
      <c r="AO7184" s="14"/>
      <c r="AP7184" s="14"/>
      <c r="AQ7184" s="14"/>
      <c r="AR7184" s="14">
        <v>250</v>
      </c>
      <c r="AS7184" s="14">
        <v>250</v>
      </c>
      <c r="AT7184" s="14"/>
      <c r="AU7184" s="14"/>
      <c r="AV7184" s="14"/>
      <c r="AW7184" s="15">
        <f t="shared" si="1441"/>
        <v>500</v>
      </c>
      <c r="AX7184" s="16"/>
    </row>
    <row r="7185" spans="1:50" x14ac:dyDescent="0.2">
      <c r="B7185" s="7"/>
      <c r="C7185" s="8">
        <v>17229</v>
      </c>
      <c r="D7185" s="9" t="s">
        <v>843</v>
      </c>
      <c r="E7185" s="10" t="str">
        <f t="shared" si="1436"/>
        <v>Rancho Landero No. 12</v>
      </c>
      <c r="F7185" s="10" t="str">
        <f t="shared" si="1437"/>
        <v>Guzmán Silva</v>
      </c>
      <c r="G7185" s="8">
        <v>1</v>
      </c>
      <c r="H7185" s="11">
        <v>400</v>
      </c>
      <c r="I7185" s="12">
        <v>43352</v>
      </c>
      <c r="J7185" s="35">
        <f t="shared" si="1438"/>
        <v>0</v>
      </c>
      <c r="K7185" s="36"/>
      <c r="L7185" s="36"/>
      <c r="M7185" s="36"/>
      <c r="N7185" s="36"/>
      <c r="O7185" s="36"/>
      <c r="P7185" s="36"/>
      <c r="Q7185" s="36"/>
      <c r="R7185" s="36"/>
      <c r="S7185" s="36"/>
      <c r="T7185" s="36"/>
      <c r="U7185" s="36"/>
      <c r="V7185" s="36"/>
      <c r="W7185" s="15">
        <f t="shared" si="1439"/>
        <v>0</v>
      </c>
      <c r="X7185" s="36"/>
      <c r="Y7185" s="36"/>
      <c r="Z7185" s="36"/>
      <c r="AA7185" s="36"/>
      <c r="AB7185" s="36"/>
      <c r="AC7185" s="36"/>
      <c r="AD7185" s="36"/>
      <c r="AE7185" s="36"/>
      <c r="AF7185" s="36"/>
      <c r="AG7185" s="36"/>
      <c r="AH7185" s="36"/>
      <c r="AI7185" s="36"/>
      <c r="AJ7185" s="15">
        <f t="shared" si="1440"/>
        <v>0</v>
      </c>
      <c r="AK7185" s="14"/>
      <c r="AL7185" s="14"/>
      <c r="AM7185" s="14"/>
      <c r="AN7185" s="14"/>
      <c r="AO7185" s="14"/>
      <c r="AP7185" s="14"/>
      <c r="AQ7185" s="14"/>
      <c r="AR7185" s="14"/>
      <c r="AS7185" s="14">
        <v>200</v>
      </c>
      <c r="AT7185" s="14">
        <v>200</v>
      </c>
      <c r="AU7185" s="14"/>
      <c r="AV7185" s="14"/>
      <c r="AW7185" s="15">
        <f t="shared" si="1441"/>
        <v>400</v>
      </c>
      <c r="AX7185" s="16"/>
    </row>
    <row r="7186" spans="1:50" x14ac:dyDescent="0.2">
      <c r="B7186" s="7"/>
      <c r="C7186" s="8">
        <v>17230</v>
      </c>
      <c r="D7186" s="9" t="s">
        <v>183</v>
      </c>
      <c r="E7186" s="10" t="str">
        <f t="shared" si="1436"/>
        <v>Rancho La Cuchilla No. 54</v>
      </c>
      <c r="F7186" s="10" t="str">
        <f t="shared" si="1437"/>
        <v>Mendoza León</v>
      </c>
      <c r="G7186" s="8">
        <v>1</v>
      </c>
      <c r="H7186" s="11">
        <v>400</v>
      </c>
      <c r="I7186" s="12">
        <v>43352</v>
      </c>
      <c r="J7186" s="35">
        <f t="shared" si="1438"/>
        <v>0</v>
      </c>
      <c r="K7186" s="36"/>
      <c r="L7186" s="36"/>
      <c r="M7186" s="36"/>
      <c r="N7186" s="36"/>
      <c r="O7186" s="36"/>
      <c r="P7186" s="36"/>
      <c r="Q7186" s="36"/>
      <c r="R7186" s="36"/>
      <c r="S7186" s="36"/>
      <c r="T7186" s="36"/>
      <c r="U7186" s="36"/>
      <c r="V7186" s="36"/>
      <c r="W7186" s="15">
        <f t="shared" si="1439"/>
        <v>0</v>
      </c>
      <c r="X7186" s="36"/>
      <c r="Y7186" s="36"/>
      <c r="Z7186" s="36"/>
      <c r="AA7186" s="36"/>
      <c r="AB7186" s="36"/>
      <c r="AC7186" s="36"/>
      <c r="AD7186" s="36"/>
      <c r="AE7186" s="36"/>
      <c r="AF7186" s="36"/>
      <c r="AG7186" s="36"/>
      <c r="AH7186" s="36"/>
      <c r="AI7186" s="36"/>
      <c r="AJ7186" s="15">
        <f t="shared" si="1440"/>
        <v>0</v>
      </c>
      <c r="AK7186" s="14"/>
      <c r="AL7186" s="14"/>
      <c r="AM7186" s="14"/>
      <c r="AN7186" s="14"/>
      <c r="AO7186" s="14"/>
      <c r="AP7186" s="14"/>
      <c r="AQ7186" s="14"/>
      <c r="AR7186" s="14">
        <v>400</v>
      </c>
      <c r="AS7186" s="14"/>
      <c r="AT7186" s="14"/>
      <c r="AU7186" s="14"/>
      <c r="AV7186" s="14"/>
      <c r="AW7186" s="15">
        <f t="shared" si="1441"/>
        <v>400</v>
      </c>
      <c r="AX7186" s="16"/>
    </row>
    <row r="7187" spans="1:50" x14ac:dyDescent="0.2">
      <c r="B7187" s="7"/>
      <c r="C7187" s="8">
        <v>17231</v>
      </c>
      <c r="D7187" s="9" t="s">
        <v>156</v>
      </c>
      <c r="E7187" s="10" t="str">
        <f t="shared" si="1436"/>
        <v>Rancho Zinamba No. 80</v>
      </c>
      <c r="F7187" s="10" t="str">
        <f t="shared" si="1437"/>
        <v>Vázquez</v>
      </c>
      <c r="G7187" s="8">
        <v>1</v>
      </c>
      <c r="H7187" s="11">
        <v>300</v>
      </c>
      <c r="I7187" s="12">
        <v>43352</v>
      </c>
      <c r="J7187" s="35">
        <f t="shared" si="1438"/>
        <v>0</v>
      </c>
      <c r="K7187" s="36"/>
      <c r="L7187" s="36"/>
      <c r="M7187" s="36"/>
      <c r="N7187" s="36"/>
      <c r="O7187" s="36"/>
      <c r="P7187" s="36"/>
      <c r="Q7187" s="36"/>
      <c r="R7187" s="36"/>
      <c r="S7187" s="36"/>
      <c r="T7187" s="36"/>
      <c r="U7187" s="36"/>
      <c r="V7187" s="36"/>
      <c r="W7187" s="15">
        <f t="shared" si="1439"/>
        <v>0</v>
      </c>
      <c r="X7187" s="36"/>
      <c r="Y7187" s="36"/>
      <c r="Z7187" s="36"/>
      <c r="AA7187" s="36"/>
      <c r="AB7187" s="36"/>
      <c r="AC7187" s="36"/>
      <c r="AD7187" s="36"/>
      <c r="AE7187" s="36"/>
      <c r="AF7187" s="36"/>
      <c r="AG7187" s="36"/>
      <c r="AH7187" s="36"/>
      <c r="AI7187" s="36"/>
      <c r="AJ7187" s="15">
        <f t="shared" si="1440"/>
        <v>0</v>
      </c>
      <c r="AK7187" s="14"/>
      <c r="AL7187" s="14"/>
      <c r="AM7187" s="14"/>
      <c r="AN7187" s="14"/>
      <c r="AO7187" s="14"/>
      <c r="AP7187" s="14"/>
      <c r="AQ7187" s="14"/>
      <c r="AR7187" s="14"/>
      <c r="AS7187" s="14">
        <v>300</v>
      </c>
      <c r="AT7187" s="14"/>
      <c r="AU7187" s="14"/>
      <c r="AV7187" s="14"/>
      <c r="AW7187" s="15">
        <f t="shared" si="1441"/>
        <v>300</v>
      </c>
      <c r="AX7187" s="16"/>
    </row>
    <row r="7188" spans="1:50" x14ac:dyDescent="0.2">
      <c r="B7188" s="7"/>
      <c r="C7188" s="8">
        <v>17232</v>
      </c>
      <c r="D7188" s="9" t="s">
        <v>452</v>
      </c>
      <c r="E7188" s="10" t="str">
        <f t="shared" ref="E7188:E7193" si="1448">IF(D7188=0,"",VLOOKUP(D7188,BASE,2,FALSE))</f>
        <v>Rancho Upácuaro No. 78</v>
      </c>
      <c r="F7188" s="10" t="str">
        <f t="shared" ref="F7188:F7193" si="1449">IF(D7188=0,"",VLOOKUP(D7188,BASE,3,FALSE))</f>
        <v>Villaseñor Carranza</v>
      </c>
      <c r="G7188" s="8">
        <v>5</v>
      </c>
      <c r="H7188" s="11">
        <v>50</v>
      </c>
      <c r="I7188" s="12">
        <v>43352</v>
      </c>
      <c r="J7188" s="35">
        <f t="shared" ref="J7188:J7193" si="1450">IF(G7188=1,SUM(W7188,AJ7188,AW7188,-H7188),0)</f>
        <v>0</v>
      </c>
      <c r="K7188" s="36"/>
      <c r="L7188" s="36"/>
      <c r="M7188" s="36"/>
      <c r="N7188" s="36"/>
      <c r="O7188" s="36"/>
      <c r="P7188" s="36"/>
      <c r="Q7188" s="36"/>
      <c r="R7188" s="36"/>
      <c r="S7188" s="36"/>
      <c r="T7188" s="36"/>
      <c r="U7188" s="36"/>
      <c r="V7188" s="36"/>
      <c r="W7188" s="15">
        <f t="shared" ref="W7188:W7193" si="1451">SUM(K7188:V7188)</f>
        <v>0</v>
      </c>
      <c r="X7188" s="36"/>
      <c r="Y7188" s="36"/>
      <c r="Z7188" s="36"/>
      <c r="AA7188" s="36"/>
      <c r="AB7188" s="36"/>
      <c r="AC7188" s="36"/>
      <c r="AD7188" s="36"/>
      <c r="AE7188" s="36"/>
      <c r="AF7188" s="36"/>
      <c r="AG7188" s="36"/>
      <c r="AH7188" s="36"/>
      <c r="AI7188" s="36"/>
      <c r="AJ7188" s="15">
        <f t="shared" ref="AJ7188:AJ7193" si="1452">SUM(X7188:AI7188)</f>
        <v>0</v>
      </c>
      <c r="AK7188" s="14"/>
      <c r="AL7188" s="14"/>
      <c r="AM7188" s="14"/>
      <c r="AN7188" s="14"/>
      <c r="AO7188" s="14"/>
      <c r="AP7188" s="14"/>
      <c r="AQ7188" s="14"/>
      <c r="AR7188" s="14"/>
      <c r="AS7188" s="14"/>
      <c r="AT7188" s="14"/>
      <c r="AU7188" s="14"/>
      <c r="AV7188" s="14"/>
      <c r="AW7188" s="15">
        <f t="shared" ref="AW7188:AW7193" si="1453">SUM(AK7188:AV7188)</f>
        <v>0</v>
      </c>
      <c r="AX7188" s="16"/>
    </row>
    <row r="7189" spans="1:50" x14ac:dyDescent="0.2">
      <c r="B7189" s="7"/>
      <c r="C7189" s="8">
        <v>17233</v>
      </c>
      <c r="D7189" s="9" t="s">
        <v>568</v>
      </c>
      <c r="E7189" s="10" t="str">
        <f t="shared" si="1448"/>
        <v>Rancho Landero No. 95</v>
      </c>
      <c r="F7189" s="10" t="str">
        <f t="shared" si="1449"/>
        <v>Rivas Rangel</v>
      </c>
      <c r="G7189" s="8">
        <v>1</v>
      </c>
      <c r="H7189" s="11">
        <v>400</v>
      </c>
      <c r="I7189" s="12">
        <v>43352</v>
      </c>
      <c r="J7189" s="35">
        <f t="shared" si="1450"/>
        <v>0</v>
      </c>
      <c r="K7189" s="36"/>
      <c r="L7189" s="36"/>
      <c r="M7189" s="36"/>
      <c r="N7189" s="36"/>
      <c r="O7189" s="36"/>
      <c r="P7189" s="36"/>
      <c r="Q7189" s="36"/>
      <c r="R7189" s="36"/>
      <c r="S7189" s="36"/>
      <c r="T7189" s="36"/>
      <c r="U7189" s="36"/>
      <c r="V7189" s="36"/>
      <c r="W7189" s="15">
        <f t="shared" si="1451"/>
        <v>0</v>
      </c>
      <c r="X7189" s="36"/>
      <c r="Y7189" s="36"/>
      <c r="Z7189" s="36"/>
      <c r="AA7189" s="36"/>
      <c r="AB7189" s="36"/>
      <c r="AC7189" s="36"/>
      <c r="AD7189" s="36"/>
      <c r="AE7189" s="36"/>
      <c r="AF7189" s="36"/>
      <c r="AG7189" s="36"/>
      <c r="AH7189" s="36"/>
      <c r="AI7189" s="36"/>
      <c r="AJ7189" s="15">
        <f t="shared" si="1452"/>
        <v>0</v>
      </c>
      <c r="AK7189" s="14"/>
      <c r="AL7189" s="14"/>
      <c r="AM7189" s="14"/>
      <c r="AN7189" s="14"/>
      <c r="AO7189" s="14"/>
      <c r="AP7189" s="14"/>
      <c r="AQ7189" s="14"/>
      <c r="AR7189" s="14"/>
      <c r="AS7189" s="14">
        <v>400</v>
      </c>
      <c r="AT7189" s="14"/>
      <c r="AU7189" s="14"/>
      <c r="AV7189" s="14"/>
      <c r="AW7189" s="15">
        <f t="shared" si="1453"/>
        <v>400</v>
      </c>
      <c r="AX7189" s="16"/>
    </row>
    <row r="7190" spans="1:50" x14ac:dyDescent="0.2">
      <c r="B7190" s="7"/>
      <c r="C7190" s="8">
        <v>17234</v>
      </c>
      <c r="D7190" s="9" t="s">
        <v>174</v>
      </c>
      <c r="E7190" s="10" t="str">
        <f t="shared" si="1448"/>
        <v>Rancho Upácuaro No. 18</v>
      </c>
      <c r="F7190" s="10" t="str">
        <f t="shared" si="1449"/>
        <v>Guzmán</v>
      </c>
      <c r="G7190" s="8">
        <v>1</v>
      </c>
      <c r="H7190" s="11">
        <v>300</v>
      </c>
      <c r="I7190" s="12">
        <v>43352</v>
      </c>
      <c r="J7190" s="35">
        <f t="shared" si="1450"/>
        <v>0</v>
      </c>
      <c r="K7190" s="36"/>
      <c r="L7190" s="36"/>
      <c r="M7190" s="36"/>
      <c r="N7190" s="36"/>
      <c r="O7190" s="36"/>
      <c r="P7190" s="36"/>
      <c r="Q7190" s="36"/>
      <c r="R7190" s="36"/>
      <c r="S7190" s="36"/>
      <c r="T7190" s="36"/>
      <c r="U7190" s="36"/>
      <c r="V7190" s="36"/>
      <c r="W7190" s="15">
        <f t="shared" si="1451"/>
        <v>0</v>
      </c>
      <c r="X7190" s="36"/>
      <c r="Y7190" s="36"/>
      <c r="Z7190" s="36"/>
      <c r="AA7190" s="36"/>
      <c r="AB7190" s="36"/>
      <c r="AC7190" s="36"/>
      <c r="AD7190" s="36"/>
      <c r="AE7190" s="36"/>
      <c r="AF7190" s="36"/>
      <c r="AG7190" s="36"/>
      <c r="AH7190" s="36"/>
      <c r="AI7190" s="36"/>
      <c r="AJ7190" s="15">
        <f t="shared" si="1452"/>
        <v>0</v>
      </c>
      <c r="AK7190" s="14"/>
      <c r="AL7190" s="14"/>
      <c r="AM7190" s="14"/>
      <c r="AN7190" s="14"/>
      <c r="AO7190" s="14"/>
      <c r="AP7190" s="14"/>
      <c r="AQ7190" s="14"/>
      <c r="AR7190" s="14"/>
      <c r="AS7190" s="14">
        <v>300</v>
      </c>
      <c r="AT7190" s="14"/>
      <c r="AU7190" s="14"/>
      <c r="AV7190" s="14"/>
      <c r="AW7190" s="15">
        <f t="shared" si="1453"/>
        <v>300</v>
      </c>
      <c r="AX7190" s="316">
        <f>SUM(H7148:H7190)</f>
        <v>18550</v>
      </c>
    </row>
    <row r="7191" spans="1:50" x14ac:dyDescent="0.2">
      <c r="B7191" s="7"/>
      <c r="C7191" s="8">
        <v>17235</v>
      </c>
      <c r="D7191" s="9" t="s">
        <v>1276</v>
      </c>
      <c r="E7191" s="10" t="str">
        <f t="shared" si="1448"/>
        <v>Rancho La Cuchilla No. 63</v>
      </c>
      <c r="F7191" s="10" t="str">
        <f t="shared" si="1449"/>
        <v>Díaz de la Rosa</v>
      </c>
      <c r="G7191" s="8">
        <v>1</v>
      </c>
      <c r="H7191" s="315">
        <v>200</v>
      </c>
      <c r="I7191" s="12">
        <v>43353</v>
      </c>
      <c r="J7191" s="35">
        <f t="shared" si="1450"/>
        <v>0</v>
      </c>
      <c r="K7191" s="36"/>
      <c r="L7191" s="36"/>
      <c r="M7191" s="36"/>
      <c r="N7191" s="36"/>
      <c r="O7191" s="36"/>
      <c r="P7191" s="36"/>
      <c r="Q7191" s="36"/>
      <c r="R7191" s="36"/>
      <c r="S7191" s="36"/>
      <c r="T7191" s="36"/>
      <c r="U7191" s="36"/>
      <c r="V7191" s="36"/>
      <c r="W7191" s="15">
        <f t="shared" si="1451"/>
        <v>0</v>
      </c>
      <c r="X7191" s="36"/>
      <c r="Y7191" s="36"/>
      <c r="Z7191" s="36"/>
      <c r="AA7191" s="36"/>
      <c r="AB7191" s="36"/>
      <c r="AC7191" s="36"/>
      <c r="AD7191" s="36"/>
      <c r="AE7191" s="36"/>
      <c r="AF7191" s="36"/>
      <c r="AG7191" s="36"/>
      <c r="AH7191" s="36"/>
      <c r="AI7191" s="36"/>
      <c r="AJ7191" s="15">
        <f t="shared" si="1452"/>
        <v>0</v>
      </c>
      <c r="AK7191" s="14"/>
      <c r="AL7191" s="14"/>
      <c r="AM7191" s="14"/>
      <c r="AN7191" s="14"/>
      <c r="AO7191" s="14"/>
      <c r="AP7191" s="14"/>
      <c r="AQ7191" s="14"/>
      <c r="AR7191" s="14"/>
      <c r="AS7191" s="14">
        <v>200</v>
      </c>
      <c r="AT7191" s="14"/>
      <c r="AU7191" s="14"/>
      <c r="AV7191" s="14"/>
      <c r="AW7191" s="15">
        <f t="shared" si="1453"/>
        <v>200</v>
      </c>
      <c r="AX7191" s="16"/>
    </row>
    <row r="7192" spans="1:50" x14ac:dyDescent="0.2">
      <c r="B7192" s="7"/>
      <c r="C7192" s="8">
        <v>17236</v>
      </c>
      <c r="D7192" s="9" t="s">
        <v>772</v>
      </c>
      <c r="E7192" s="10" t="str">
        <f t="shared" si="1448"/>
        <v>Rancho La Cuchilla No. 79</v>
      </c>
      <c r="F7192" s="10" t="str">
        <f t="shared" si="1449"/>
        <v>De la Rosa</v>
      </c>
      <c r="G7192" s="8">
        <v>1</v>
      </c>
      <c r="H7192" s="11">
        <v>200</v>
      </c>
      <c r="I7192" s="12">
        <v>43353</v>
      </c>
      <c r="J7192" s="35">
        <f t="shared" si="1450"/>
        <v>0</v>
      </c>
      <c r="K7192" s="36"/>
      <c r="L7192" s="36"/>
      <c r="M7192" s="36"/>
      <c r="N7192" s="36"/>
      <c r="O7192" s="36"/>
      <c r="P7192" s="36"/>
      <c r="Q7192" s="36"/>
      <c r="R7192" s="36"/>
      <c r="S7192" s="36"/>
      <c r="T7192" s="36"/>
      <c r="U7192" s="36"/>
      <c r="V7192" s="36"/>
      <c r="W7192" s="15">
        <f t="shared" si="1451"/>
        <v>0</v>
      </c>
      <c r="X7192" s="36"/>
      <c r="Y7192" s="36"/>
      <c r="Z7192" s="36"/>
      <c r="AA7192" s="36"/>
      <c r="AB7192" s="36"/>
      <c r="AC7192" s="36"/>
      <c r="AD7192" s="36"/>
      <c r="AE7192" s="36"/>
      <c r="AF7192" s="36"/>
      <c r="AG7192" s="36"/>
      <c r="AH7192" s="36"/>
      <c r="AI7192" s="36"/>
      <c r="AJ7192" s="15">
        <f t="shared" si="1452"/>
        <v>0</v>
      </c>
      <c r="AK7192" s="14"/>
      <c r="AL7192" s="14"/>
      <c r="AM7192" s="14"/>
      <c r="AN7192" s="14"/>
      <c r="AO7192" s="14"/>
      <c r="AP7192" s="14"/>
      <c r="AQ7192" s="14"/>
      <c r="AR7192" s="14"/>
      <c r="AS7192" s="14">
        <v>200</v>
      </c>
      <c r="AT7192" s="14"/>
      <c r="AU7192" s="14"/>
      <c r="AV7192" s="14"/>
      <c r="AW7192" s="15">
        <f t="shared" si="1453"/>
        <v>200</v>
      </c>
      <c r="AX7192" s="16"/>
    </row>
    <row r="7193" spans="1:50" x14ac:dyDescent="0.2">
      <c r="B7193" s="7"/>
      <c r="C7193" s="8">
        <v>17237</v>
      </c>
      <c r="D7193" s="9" t="s">
        <v>217</v>
      </c>
      <c r="E7193" s="10" t="str">
        <f t="shared" si="1448"/>
        <v>Rancho Recoveco No. 173</v>
      </c>
      <c r="F7193" s="10" t="str">
        <f t="shared" si="1449"/>
        <v>Velarde</v>
      </c>
      <c r="G7193" s="8">
        <v>1</v>
      </c>
      <c r="H7193" s="11">
        <v>600</v>
      </c>
      <c r="I7193" s="12">
        <v>43354</v>
      </c>
      <c r="J7193" s="35">
        <f t="shared" si="1450"/>
        <v>0</v>
      </c>
      <c r="K7193" s="36"/>
      <c r="L7193" s="36"/>
      <c r="M7193" s="36"/>
      <c r="N7193" s="36"/>
      <c r="O7193" s="36"/>
      <c r="P7193" s="36"/>
      <c r="Q7193" s="36"/>
      <c r="R7193" s="36"/>
      <c r="S7193" s="36"/>
      <c r="T7193" s="36"/>
      <c r="U7193" s="36"/>
      <c r="V7193" s="36"/>
      <c r="W7193" s="15">
        <f t="shared" si="1451"/>
        <v>0</v>
      </c>
      <c r="X7193" s="36"/>
      <c r="Y7193" s="36"/>
      <c r="Z7193" s="36"/>
      <c r="AA7193" s="36"/>
      <c r="AB7193" s="36"/>
      <c r="AC7193" s="36"/>
      <c r="AD7193" s="36"/>
      <c r="AE7193" s="36"/>
      <c r="AF7193" s="36"/>
      <c r="AG7193" s="36"/>
      <c r="AH7193" s="36"/>
      <c r="AI7193" s="36"/>
      <c r="AJ7193" s="15">
        <f t="shared" si="1452"/>
        <v>0</v>
      </c>
      <c r="AK7193" s="14"/>
      <c r="AL7193" s="14"/>
      <c r="AM7193" s="14"/>
      <c r="AN7193" s="14"/>
      <c r="AO7193" s="14"/>
      <c r="AP7193" s="14"/>
      <c r="AQ7193" s="14"/>
      <c r="AR7193" s="14">
        <v>300</v>
      </c>
      <c r="AS7193" s="14">
        <v>300</v>
      </c>
      <c r="AT7193" s="14"/>
      <c r="AU7193" s="14"/>
      <c r="AV7193" s="14"/>
      <c r="AW7193" s="15">
        <f t="shared" si="1453"/>
        <v>600</v>
      </c>
      <c r="AX7193" s="16"/>
    </row>
    <row r="7194" spans="1:50" x14ac:dyDescent="0.2">
      <c r="B7194" s="7"/>
      <c r="C7194" s="8">
        <v>17238</v>
      </c>
      <c r="D7194" s="9" t="s">
        <v>295</v>
      </c>
      <c r="E7194" s="10" t="str">
        <f t="shared" ref="E7194:E7227" si="1454">IF(D7194=0,"",VLOOKUP(D7194,BASE,2,FALSE))</f>
        <v>Rancho Landero No. 99</v>
      </c>
      <c r="F7194" s="10" t="str">
        <f t="shared" ref="F7194:F7227" si="1455">IF(D7194=0,"",VLOOKUP(D7194,BASE,3,FALSE))</f>
        <v>Rangel</v>
      </c>
      <c r="G7194" s="8">
        <v>5</v>
      </c>
      <c r="H7194" s="11">
        <v>50</v>
      </c>
      <c r="I7194" s="12">
        <v>43355</v>
      </c>
      <c r="J7194" s="35">
        <f t="shared" ref="J7194:J7227" si="1456">IF(G7194=1,SUM(W7194,AJ7194,AW7194,-H7194),0)</f>
        <v>0</v>
      </c>
      <c r="K7194" s="36"/>
      <c r="L7194" s="36"/>
      <c r="M7194" s="36"/>
      <c r="N7194" s="36"/>
      <c r="O7194" s="36"/>
      <c r="P7194" s="36"/>
      <c r="Q7194" s="36"/>
      <c r="R7194" s="36"/>
      <c r="S7194" s="36"/>
      <c r="T7194" s="36"/>
      <c r="U7194" s="36"/>
      <c r="V7194" s="36"/>
      <c r="W7194" s="15">
        <f t="shared" ref="W7194:W7227" si="1457">SUM(K7194:V7194)</f>
        <v>0</v>
      </c>
      <c r="X7194" s="36"/>
      <c r="Y7194" s="36"/>
      <c r="Z7194" s="36"/>
      <c r="AA7194" s="36"/>
      <c r="AB7194" s="36"/>
      <c r="AC7194" s="36"/>
      <c r="AD7194" s="36"/>
      <c r="AE7194" s="36"/>
      <c r="AF7194" s="36"/>
      <c r="AG7194" s="36"/>
      <c r="AH7194" s="36"/>
      <c r="AI7194" s="36"/>
      <c r="AJ7194" s="15">
        <f t="shared" ref="AJ7194:AJ7227" si="1458">SUM(X7194:AI7194)</f>
        <v>0</v>
      </c>
      <c r="AK7194" s="14"/>
      <c r="AL7194" s="14"/>
      <c r="AM7194" s="14"/>
      <c r="AN7194" s="14"/>
      <c r="AO7194" s="14"/>
      <c r="AP7194" s="14"/>
      <c r="AQ7194" s="14"/>
      <c r="AR7194" s="14"/>
      <c r="AS7194" s="14"/>
      <c r="AT7194" s="14"/>
      <c r="AU7194" s="14"/>
      <c r="AV7194" s="14"/>
      <c r="AW7194" s="15">
        <f t="shared" ref="AW7194:AW7227" si="1459">SUM(AK7194:AV7194)</f>
        <v>0</v>
      </c>
      <c r="AX7194" s="16"/>
    </row>
    <row r="7195" spans="1:50" x14ac:dyDescent="0.2">
      <c r="B7195" s="7"/>
      <c r="C7195" s="8">
        <v>17239</v>
      </c>
      <c r="D7195" s="9" t="s">
        <v>199</v>
      </c>
      <c r="E7195" s="10" t="str">
        <f t="shared" si="1454"/>
        <v>Rancho Estanzuela No. 135</v>
      </c>
      <c r="F7195" s="10" t="str">
        <f t="shared" si="1455"/>
        <v>Iglesias</v>
      </c>
      <c r="G7195" s="8">
        <v>1</v>
      </c>
      <c r="H7195" s="11">
        <v>800</v>
      </c>
      <c r="I7195" s="12">
        <v>43356</v>
      </c>
      <c r="J7195" s="35">
        <f t="shared" si="1456"/>
        <v>0</v>
      </c>
      <c r="K7195" s="36"/>
      <c r="L7195" s="36"/>
      <c r="M7195" s="36"/>
      <c r="N7195" s="36"/>
      <c r="O7195" s="36"/>
      <c r="P7195" s="36"/>
      <c r="Q7195" s="36"/>
      <c r="R7195" s="36"/>
      <c r="S7195" s="36"/>
      <c r="T7195" s="36"/>
      <c r="U7195" s="36"/>
      <c r="V7195" s="36"/>
      <c r="W7195" s="15">
        <f t="shared" si="1457"/>
        <v>0</v>
      </c>
      <c r="X7195" s="36"/>
      <c r="Y7195" s="36"/>
      <c r="Z7195" s="36"/>
      <c r="AA7195" s="36"/>
      <c r="AB7195" s="36"/>
      <c r="AC7195" s="36"/>
      <c r="AD7195" s="36"/>
      <c r="AE7195" s="36"/>
      <c r="AF7195" s="36"/>
      <c r="AG7195" s="36"/>
      <c r="AH7195" s="36"/>
      <c r="AI7195" s="36"/>
      <c r="AJ7195" s="15">
        <f t="shared" si="1458"/>
        <v>0</v>
      </c>
      <c r="AK7195" s="14"/>
      <c r="AL7195" s="14"/>
      <c r="AM7195" s="14"/>
      <c r="AN7195" s="14"/>
      <c r="AO7195" s="14"/>
      <c r="AP7195" s="14"/>
      <c r="AQ7195" s="14"/>
      <c r="AR7195" s="14">
        <v>400</v>
      </c>
      <c r="AS7195" s="14">
        <v>400</v>
      </c>
      <c r="AT7195" s="14"/>
      <c r="AU7195" s="14"/>
      <c r="AV7195" s="14"/>
      <c r="AW7195" s="15">
        <f t="shared" si="1459"/>
        <v>800</v>
      </c>
      <c r="AX7195" s="16"/>
    </row>
    <row r="7196" spans="1:50" x14ac:dyDescent="0.2">
      <c r="B7196" s="7"/>
      <c r="C7196" s="8">
        <v>17240</v>
      </c>
      <c r="D7196" s="9" t="s">
        <v>807</v>
      </c>
      <c r="E7196" s="10" t="str">
        <f t="shared" si="1454"/>
        <v>Rancho La Cuchilla No. 61</v>
      </c>
      <c r="F7196" s="10" t="str">
        <f t="shared" si="1455"/>
        <v>Rivera</v>
      </c>
      <c r="G7196" s="8">
        <v>1</v>
      </c>
      <c r="H7196" s="11">
        <v>400</v>
      </c>
      <c r="I7196" s="12">
        <v>43357</v>
      </c>
      <c r="J7196" s="35">
        <f t="shared" si="1456"/>
        <v>0</v>
      </c>
      <c r="K7196" s="36"/>
      <c r="L7196" s="36"/>
      <c r="M7196" s="36"/>
      <c r="N7196" s="36"/>
      <c r="O7196" s="36"/>
      <c r="P7196" s="36"/>
      <c r="Q7196" s="36"/>
      <c r="R7196" s="36"/>
      <c r="S7196" s="36"/>
      <c r="T7196" s="36"/>
      <c r="U7196" s="36"/>
      <c r="V7196" s="36"/>
      <c r="W7196" s="15">
        <f t="shared" si="1457"/>
        <v>0</v>
      </c>
      <c r="X7196" s="36"/>
      <c r="Y7196" s="36"/>
      <c r="Z7196" s="36"/>
      <c r="AA7196" s="36"/>
      <c r="AB7196" s="36"/>
      <c r="AC7196" s="36"/>
      <c r="AD7196" s="36"/>
      <c r="AE7196" s="36"/>
      <c r="AF7196" s="36"/>
      <c r="AG7196" s="36"/>
      <c r="AH7196" s="36"/>
      <c r="AI7196" s="36"/>
      <c r="AJ7196" s="15">
        <f t="shared" si="1458"/>
        <v>0</v>
      </c>
      <c r="AK7196" s="14"/>
      <c r="AL7196" s="14"/>
      <c r="AM7196" s="14"/>
      <c r="AN7196" s="14"/>
      <c r="AO7196" s="14"/>
      <c r="AP7196" s="14"/>
      <c r="AQ7196" s="14">
        <v>200</v>
      </c>
      <c r="AR7196" s="14">
        <v>200</v>
      </c>
      <c r="AS7196" s="14"/>
      <c r="AT7196" s="14"/>
      <c r="AU7196" s="14"/>
      <c r="AV7196" s="14"/>
      <c r="AW7196" s="15">
        <f t="shared" si="1459"/>
        <v>400</v>
      </c>
      <c r="AX7196" s="16"/>
    </row>
    <row r="7197" spans="1:50" x14ac:dyDescent="0.2">
      <c r="B7197" s="7"/>
      <c r="C7197" s="8">
        <v>17241</v>
      </c>
      <c r="D7197" s="9" t="s">
        <v>944</v>
      </c>
      <c r="E7197" s="10" t="str">
        <f t="shared" si="1454"/>
        <v>Rancho Upácuaro No. 104</v>
      </c>
      <c r="F7197" s="10" t="str">
        <f t="shared" si="1455"/>
        <v>Jiménez Almazo</v>
      </c>
      <c r="G7197" s="8">
        <v>1</v>
      </c>
      <c r="H7197" s="11">
        <v>1200</v>
      </c>
      <c r="I7197" s="12">
        <v>43357</v>
      </c>
      <c r="J7197" s="35">
        <f t="shared" si="1456"/>
        <v>0</v>
      </c>
      <c r="K7197" s="36"/>
      <c r="L7197" s="36"/>
      <c r="M7197" s="36"/>
      <c r="N7197" s="36"/>
      <c r="O7197" s="36"/>
      <c r="P7197" s="36"/>
      <c r="Q7197" s="36"/>
      <c r="R7197" s="36"/>
      <c r="S7197" s="36"/>
      <c r="T7197" s="36"/>
      <c r="U7197" s="36"/>
      <c r="V7197" s="36"/>
      <c r="W7197" s="15">
        <f t="shared" si="1457"/>
        <v>0</v>
      </c>
      <c r="X7197" s="36"/>
      <c r="Y7197" s="36"/>
      <c r="Z7197" s="36"/>
      <c r="AA7197" s="36"/>
      <c r="AB7197" s="36"/>
      <c r="AC7197" s="36"/>
      <c r="AD7197" s="36"/>
      <c r="AE7197" s="36"/>
      <c r="AF7197" s="36"/>
      <c r="AG7197" s="36"/>
      <c r="AH7197" s="36"/>
      <c r="AI7197" s="36"/>
      <c r="AJ7197" s="15">
        <f t="shared" si="1458"/>
        <v>0</v>
      </c>
      <c r="AK7197" s="14"/>
      <c r="AL7197" s="14"/>
      <c r="AM7197" s="14"/>
      <c r="AN7197" s="14"/>
      <c r="AO7197" s="14"/>
      <c r="AP7197" s="14">
        <v>400</v>
      </c>
      <c r="AQ7197" s="14">
        <v>400</v>
      </c>
      <c r="AR7197" s="14">
        <v>400</v>
      </c>
      <c r="AS7197" s="14"/>
      <c r="AT7197" s="14"/>
      <c r="AU7197" s="14"/>
      <c r="AV7197" s="14"/>
      <c r="AW7197" s="15">
        <f t="shared" si="1459"/>
        <v>1200</v>
      </c>
      <c r="AX7197" s="16"/>
    </row>
    <row r="7198" spans="1:50" x14ac:dyDescent="0.2">
      <c r="B7198" s="7"/>
      <c r="C7198" s="8">
        <v>17242</v>
      </c>
      <c r="D7198" s="9" t="s">
        <v>1095</v>
      </c>
      <c r="E7198" s="10" t="str">
        <f t="shared" si="1454"/>
        <v>Rancho La Cuchilla No. 35</v>
      </c>
      <c r="F7198" s="10" t="str">
        <f t="shared" si="1455"/>
        <v>Mendoza</v>
      </c>
      <c r="G7198" s="8">
        <v>1</v>
      </c>
      <c r="H7198" s="11">
        <v>1000</v>
      </c>
      <c r="I7198" s="12">
        <v>43357</v>
      </c>
      <c r="J7198" s="35">
        <f t="shared" si="1456"/>
        <v>0</v>
      </c>
      <c r="K7198" s="36"/>
      <c r="L7198" s="36"/>
      <c r="M7198" s="36"/>
      <c r="N7198" s="36"/>
      <c r="O7198" s="36"/>
      <c r="P7198" s="36"/>
      <c r="Q7198" s="36"/>
      <c r="R7198" s="36"/>
      <c r="S7198" s="36"/>
      <c r="T7198" s="36"/>
      <c r="U7198" s="36"/>
      <c r="V7198" s="36"/>
      <c r="W7198" s="15">
        <f t="shared" si="1457"/>
        <v>0</v>
      </c>
      <c r="X7198" s="36"/>
      <c r="Y7198" s="36"/>
      <c r="Z7198" s="36"/>
      <c r="AA7198" s="36"/>
      <c r="AB7198" s="36"/>
      <c r="AC7198" s="36"/>
      <c r="AD7198" s="36"/>
      <c r="AE7198" s="36"/>
      <c r="AF7198" s="36"/>
      <c r="AG7198" s="36"/>
      <c r="AH7198" s="36"/>
      <c r="AI7198" s="36"/>
      <c r="AJ7198" s="15">
        <f t="shared" si="1458"/>
        <v>0</v>
      </c>
      <c r="AK7198" s="14"/>
      <c r="AL7198" s="14"/>
      <c r="AM7198" s="14"/>
      <c r="AN7198" s="14"/>
      <c r="AO7198" s="14">
        <v>250</v>
      </c>
      <c r="AP7198" s="14">
        <v>250</v>
      </c>
      <c r="AQ7198" s="14">
        <v>250</v>
      </c>
      <c r="AR7198" s="14">
        <v>250</v>
      </c>
      <c r="AS7198" s="14"/>
      <c r="AT7198" s="14"/>
      <c r="AU7198" s="14"/>
      <c r="AV7198" s="14"/>
      <c r="AW7198" s="15">
        <f t="shared" si="1459"/>
        <v>1000</v>
      </c>
      <c r="AX7198" s="316"/>
    </row>
    <row r="7199" spans="1:50" x14ac:dyDescent="0.2">
      <c r="B7199" s="7"/>
      <c r="C7199" s="8">
        <v>17243</v>
      </c>
      <c r="D7199" s="9" t="s">
        <v>614</v>
      </c>
      <c r="E7199" s="10" t="str">
        <f t="shared" si="1454"/>
        <v>Rancho La Cuchilla No. 82</v>
      </c>
      <c r="F7199" s="10" t="str">
        <f t="shared" si="1455"/>
        <v>Cruz</v>
      </c>
      <c r="G7199" s="8">
        <v>1</v>
      </c>
      <c r="H7199" s="11">
        <v>1000</v>
      </c>
      <c r="I7199" s="12">
        <v>43357</v>
      </c>
      <c r="J7199" s="35">
        <f t="shared" si="1456"/>
        <v>0</v>
      </c>
      <c r="K7199" s="36"/>
      <c r="L7199" s="36"/>
      <c r="M7199" s="36"/>
      <c r="N7199" s="36"/>
      <c r="O7199" s="36"/>
      <c r="P7199" s="36"/>
      <c r="Q7199" s="36"/>
      <c r="R7199" s="36"/>
      <c r="S7199" s="36"/>
      <c r="T7199" s="36"/>
      <c r="U7199" s="36"/>
      <c r="V7199" s="36"/>
      <c r="W7199" s="15">
        <f t="shared" si="1457"/>
        <v>0</v>
      </c>
      <c r="X7199" s="36"/>
      <c r="Y7199" s="36"/>
      <c r="Z7199" s="36"/>
      <c r="AA7199" s="36"/>
      <c r="AB7199" s="36"/>
      <c r="AC7199" s="36"/>
      <c r="AD7199" s="36"/>
      <c r="AE7199" s="36"/>
      <c r="AF7199" s="36"/>
      <c r="AG7199" s="36"/>
      <c r="AH7199" s="36"/>
      <c r="AI7199" s="36"/>
      <c r="AJ7199" s="15">
        <f t="shared" si="1458"/>
        <v>0</v>
      </c>
      <c r="AK7199" s="14"/>
      <c r="AL7199" s="14"/>
      <c r="AM7199" s="14"/>
      <c r="AN7199" s="14"/>
      <c r="AO7199" s="14"/>
      <c r="AP7199" s="14"/>
      <c r="AQ7199" s="14">
        <v>400</v>
      </c>
      <c r="AR7199" s="14">
        <v>400</v>
      </c>
      <c r="AS7199" s="14">
        <v>200</v>
      </c>
      <c r="AT7199" s="14"/>
      <c r="AU7199" s="14"/>
      <c r="AV7199" s="14"/>
      <c r="AW7199" s="15">
        <f t="shared" si="1459"/>
        <v>1000</v>
      </c>
      <c r="AX7199" s="316">
        <f>SUM(H7191:H7199)</f>
        <v>5450</v>
      </c>
    </row>
    <row r="7200" spans="1:50" x14ac:dyDescent="0.2">
      <c r="A7200" s="320"/>
      <c r="B7200" s="7"/>
      <c r="C7200" s="8">
        <v>17244</v>
      </c>
      <c r="D7200" s="9" t="s">
        <v>977</v>
      </c>
      <c r="E7200" s="10" t="str">
        <f t="shared" si="1454"/>
        <v>Rancho Landero No. 34</v>
      </c>
      <c r="F7200" s="10" t="str">
        <f t="shared" si="1455"/>
        <v>Barro</v>
      </c>
      <c r="G7200" s="8">
        <v>1</v>
      </c>
      <c r="H7200" s="11">
        <v>2100</v>
      </c>
      <c r="I7200" s="12">
        <v>43358</v>
      </c>
      <c r="J7200" s="35">
        <f t="shared" si="1456"/>
        <v>0</v>
      </c>
      <c r="K7200" s="36"/>
      <c r="L7200" s="36"/>
      <c r="M7200" s="36"/>
      <c r="N7200" s="36"/>
      <c r="O7200" s="36"/>
      <c r="P7200" s="36"/>
      <c r="Q7200" s="36"/>
      <c r="R7200" s="36"/>
      <c r="S7200" s="36"/>
      <c r="T7200" s="36"/>
      <c r="U7200" s="36"/>
      <c r="V7200" s="36"/>
      <c r="W7200" s="15">
        <f t="shared" si="1457"/>
        <v>0</v>
      </c>
      <c r="X7200" s="36"/>
      <c r="Y7200" s="36"/>
      <c r="Z7200" s="36"/>
      <c r="AA7200" s="36"/>
      <c r="AB7200" s="36"/>
      <c r="AC7200" s="36"/>
      <c r="AD7200" s="36"/>
      <c r="AE7200" s="36"/>
      <c r="AF7200" s="36"/>
      <c r="AG7200" s="36"/>
      <c r="AH7200" s="36"/>
      <c r="AI7200" s="36"/>
      <c r="AJ7200" s="15">
        <f t="shared" si="1458"/>
        <v>0</v>
      </c>
      <c r="AK7200" s="14"/>
      <c r="AL7200" s="14"/>
      <c r="AM7200" s="14">
        <v>300</v>
      </c>
      <c r="AN7200" s="14">
        <v>300</v>
      </c>
      <c r="AO7200" s="14">
        <v>300</v>
      </c>
      <c r="AP7200" s="14">
        <v>300</v>
      </c>
      <c r="AQ7200" s="14">
        <v>300</v>
      </c>
      <c r="AR7200" s="14">
        <v>300</v>
      </c>
      <c r="AS7200" s="14">
        <v>300</v>
      </c>
      <c r="AT7200" s="14"/>
      <c r="AU7200" s="14"/>
      <c r="AV7200" s="14"/>
      <c r="AW7200" s="15">
        <f t="shared" si="1459"/>
        <v>2100</v>
      </c>
      <c r="AX7200" s="316">
        <f>SUM(H7191:H7200)</f>
        <v>7550</v>
      </c>
    </row>
    <row r="7201" spans="2:50" x14ac:dyDescent="0.2">
      <c r="B7201" s="7"/>
      <c r="C7201" s="8">
        <v>17245</v>
      </c>
      <c r="D7201" s="9" t="s">
        <v>186</v>
      </c>
      <c r="E7201" s="10" t="str">
        <f t="shared" si="1454"/>
        <v>Rancho Upácuaro No. 100</v>
      </c>
      <c r="F7201" s="10" t="str">
        <f t="shared" si="1455"/>
        <v>Valdez</v>
      </c>
      <c r="G7201" s="8">
        <v>1</v>
      </c>
      <c r="H7201" s="11">
        <v>400</v>
      </c>
      <c r="I7201" s="12">
        <v>43359</v>
      </c>
      <c r="J7201" s="35">
        <f t="shared" si="1456"/>
        <v>0</v>
      </c>
      <c r="K7201" s="36"/>
      <c r="L7201" s="36"/>
      <c r="M7201" s="36"/>
      <c r="N7201" s="36"/>
      <c r="O7201" s="36"/>
      <c r="P7201" s="36"/>
      <c r="Q7201" s="36"/>
      <c r="R7201" s="36"/>
      <c r="S7201" s="36"/>
      <c r="T7201" s="36"/>
      <c r="U7201" s="36"/>
      <c r="V7201" s="36"/>
      <c r="W7201" s="15">
        <f t="shared" si="1457"/>
        <v>0</v>
      </c>
      <c r="X7201" s="36"/>
      <c r="Y7201" s="36"/>
      <c r="Z7201" s="36"/>
      <c r="AA7201" s="36"/>
      <c r="AB7201" s="36"/>
      <c r="AC7201" s="36"/>
      <c r="AD7201" s="36"/>
      <c r="AE7201" s="36"/>
      <c r="AF7201" s="36"/>
      <c r="AG7201" s="36"/>
      <c r="AH7201" s="36"/>
      <c r="AI7201" s="36"/>
      <c r="AJ7201" s="15">
        <f t="shared" si="1458"/>
        <v>0</v>
      </c>
      <c r="AK7201" s="14"/>
      <c r="AL7201" s="14"/>
      <c r="AM7201" s="14"/>
      <c r="AN7201" s="14"/>
      <c r="AO7201" s="14"/>
      <c r="AP7201" s="14"/>
      <c r="AQ7201" s="14"/>
      <c r="AR7201" s="14"/>
      <c r="AS7201" s="14">
        <v>400</v>
      </c>
      <c r="AT7201" s="14"/>
      <c r="AU7201" s="14"/>
      <c r="AV7201" s="14"/>
      <c r="AW7201" s="15">
        <f t="shared" si="1459"/>
        <v>400</v>
      </c>
      <c r="AX7201" s="16"/>
    </row>
    <row r="7202" spans="2:50" x14ac:dyDescent="0.2">
      <c r="B7202" s="7"/>
      <c r="C7202" s="8">
        <v>17246</v>
      </c>
      <c r="D7202" s="9" t="s">
        <v>963</v>
      </c>
      <c r="E7202" s="10" t="str">
        <f t="shared" si="1454"/>
        <v>Rancho La Cuchilla No. 47</v>
      </c>
      <c r="F7202" s="10" t="str">
        <f t="shared" si="1455"/>
        <v>López</v>
      </c>
      <c r="G7202" s="8">
        <v>1</v>
      </c>
      <c r="H7202" s="11">
        <v>1200</v>
      </c>
      <c r="I7202" s="12">
        <v>43359</v>
      </c>
      <c r="J7202" s="35">
        <f t="shared" si="1456"/>
        <v>0</v>
      </c>
      <c r="K7202" s="36"/>
      <c r="L7202" s="36"/>
      <c r="M7202" s="36"/>
      <c r="N7202" s="36"/>
      <c r="O7202" s="36"/>
      <c r="P7202" s="36"/>
      <c r="Q7202" s="36"/>
      <c r="R7202" s="36"/>
      <c r="S7202" s="36"/>
      <c r="T7202" s="36"/>
      <c r="U7202" s="36"/>
      <c r="V7202" s="36"/>
      <c r="W7202" s="15">
        <f t="shared" si="1457"/>
        <v>0</v>
      </c>
      <c r="X7202" s="36"/>
      <c r="Y7202" s="36"/>
      <c r="Z7202" s="36"/>
      <c r="AA7202" s="36"/>
      <c r="AB7202" s="36"/>
      <c r="AC7202" s="36"/>
      <c r="AD7202" s="36"/>
      <c r="AE7202" s="36"/>
      <c r="AF7202" s="36"/>
      <c r="AG7202" s="36"/>
      <c r="AH7202" s="36"/>
      <c r="AI7202" s="36"/>
      <c r="AJ7202" s="15">
        <f t="shared" si="1458"/>
        <v>0</v>
      </c>
      <c r="AK7202" s="14"/>
      <c r="AL7202" s="14"/>
      <c r="AM7202" s="14"/>
      <c r="AN7202" s="14"/>
      <c r="AO7202" s="14">
        <v>300</v>
      </c>
      <c r="AP7202" s="14">
        <v>300</v>
      </c>
      <c r="AQ7202" s="14">
        <v>300</v>
      </c>
      <c r="AR7202" s="14">
        <v>300</v>
      </c>
      <c r="AS7202" s="14"/>
      <c r="AT7202" s="14"/>
      <c r="AU7202" s="14"/>
      <c r="AV7202" s="14"/>
      <c r="AW7202" s="15">
        <f t="shared" si="1459"/>
        <v>1200</v>
      </c>
      <c r="AX7202" s="16"/>
    </row>
    <row r="7203" spans="2:50" x14ac:dyDescent="0.2">
      <c r="B7203" s="7"/>
      <c r="C7203" s="8">
        <v>17247</v>
      </c>
      <c r="D7203" s="9" t="s">
        <v>310</v>
      </c>
      <c r="E7203" s="10" t="str">
        <f t="shared" si="1454"/>
        <v>Rancho Recoveco No. 181</v>
      </c>
      <c r="F7203" s="10" t="str">
        <f t="shared" si="1455"/>
        <v>Castillo</v>
      </c>
      <c r="G7203" s="8">
        <v>1</v>
      </c>
      <c r="H7203" s="11">
        <v>400</v>
      </c>
      <c r="I7203" s="12">
        <v>43359</v>
      </c>
      <c r="J7203" s="35">
        <f t="shared" si="1456"/>
        <v>0</v>
      </c>
      <c r="K7203" s="36"/>
      <c r="L7203" s="36"/>
      <c r="M7203" s="36"/>
      <c r="N7203" s="36"/>
      <c r="O7203" s="36"/>
      <c r="P7203" s="36"/>
      <c r="Q7203" s="36"/>
      <c r="R7203" s="36"/>
      <c r="S7203" s="36"/>
      <c r="T7203" s="36"/>
      <c r="U7203" s="36"/>
      <c r="V7203" s="36"/>
      <c r="W7203" s="15">
        <f t="shared" si="1457"/>
        <v>0</v>
      </c>
      <c r="X7203" s="36"/>
      <c r="Y7203" s="36"/>
      <c r="Z7203" s="36"/>
      <c r="AA7203" s="36"/>
      <c r="AB7203" s="36"/>
      <c r="AC7203" s="36"/>
      <c r="AD7203" s="36"/>
      <c r="AE7203" s="36"/>
      <c r="AF7203" s="36"/>
      <c r="AG7203" s="36"/>
      <c r="AH7203" s="36"/>
      <c r="AI7203" s="36"/>
      <c r="AJ7203" s="15">
        <f t="shared" si="1458"/>
        <v>0</v>
      </c>
      <c r="AK7203" s="14"/>
      <c r="AL7203" s="14"/>
      <c r="AM7203" s="14"/>
      <c r="AN7203" s="14"/>
      <c r="AO7203" s="14"/>
      <c r="AP7203" s="14"/>
      <c r="AQ7203" s="14"/>
      <c r="AR7203" s="14"/>
      <c r="AS7203" s="14">
        <v>400</v>
      </c>
      <c r="AT7203" s="14"/>
      <c r="AU7203" s="14"/>
      <c r="AV7203" s="14"/>
      <c r="AW7203" s="15">
        <f t="shared" si="1459"/>
        <v>400</v>
      </c>
      <c r="AX7203" s="16"/>
    </row>
    <row r="7204" spans="2:50" x14ac:dyDescent="0.2">
      <c r="B7204" s="7"/>
      <c r="C7204" s="8">
        <v>17248</v>
      </c>
      <c r="D7204" s="9" t="s">
        <v>874</v>
      </c>
      <c r="E7204" s="10" t="str">
        <f t="shared" si="1454"/>
        <v>Rancho Zinamba No. 46</v>
      </c>
      <c r="F7204" s="10" t="str">
        <f t="shared" si="1455"/>
        <v>Olguín</v>
      </c>
      <c r="G7204" s="8">
        <v>1</v>
      </c>
      <c r="H7204" s="11">
        <v>400</v>
      </c>
      <c r="I7204" s="12">
        <v>43359</v>
      </c>
      <c r="J7204" s="35">
        <f t="shared" si="1456"/>
        <v>0</v>
      </c>
      <c r="K7204" s="36"/>
      <c r="L7204" s="36"/>
      <c r="M7204" s="36"/>
      <c r="N7204" s="36"/>
      <c r="O7204" s="36"/>
      <c r="P7204" s="36"/>
      <c r="Q7204" s="36"/>
      <c r="R7204" s="36"/>
      <c r="S7204" s="36"/>
      <c r="T7204" s="36"/>
      <c r="U7204" s="36"/>
      <c r="V7204" s="36"/>
      <c r="W7204" s="15">
        <f t="shared" si="1457"/>
        <v>0</v>
      </c>
      <c r="X7204" s="36"/>
      <c r="Y7204" s="36"/>
      <c r="Z7204" s="36"/>
      <c r="AA7204" s="36"/>
      <c r="AB7204" s="36"/>
      <c r="AC7204" s="36"/>
      <c r="AD7204" s="36"/>
      <c r="AE7204" s="36"/>
      <c r="AF7204" s="36"/>
      <c r="AG7204" s="36"/>
      <c r="AH7204" s="36"/>
      <c r="AI7204" s="36"/>
      <c r="AJ7204" s="15">
        <f t="shared" si="1458"/>
        <v>0</v>
      </c>
      <c r="AK7204" s="14"/>
      <c r="AL7204" s="14"/>
      <c r="AM7204" s="14"/>
      <c r="AN7204" s="14"/>
      <c r="AO7204" s="14"/>
      <c r="AP7204" s="14"/>
      <c r="AQ7204" s="14"/>
      <c r="AR7204" s="14">
        <v>200</v>
      </c>
      <c r="AS7204" s="14">
        <v>200</v>
      </c>
      <c r="AT7204" s="14"/>
      <c r="AU7204" s="14"/>
      <c r="AV7204" s="14"/>
      <c r="AW7204" s="15">
        <f t="shared" si="1459"/>
        <v>400</v>
      </c>
      <c r="AX7204" s="16"/>
    </row>
    <row r="7205" spans="2:50" x14ac:dyDescent="0.2">
      <c r="B7205" s="7"/>
      <c r="C7205" s="8">
        <v>17249</v>
      </c>
      <c r="D7205" s="9" t="s">
        <v>331</v>
      </c>
      <c r="E7205" s="10" t="str">
        <f t="shared" si="1454"/>
        <v>Rancho Recoveco No. 197</v>
      </c>
      <c r="F7205" s="10" t="str">
        <f t="shared" si="1455"/>
        <v>Colín González</v>
      </c>
      <c r="G7205" s="8">
        <v>1</v>
      </c>
      <c r="H7205" s="11">
        <v>400</v>
      </c>
      <c r="I7205" s="12">
        <v>43359</v>
      </c>
      <c r="J7205" s="35">
        <f t="shared" si="1456"/>
        <v>0</v>
      </c>
      <c r="K7205" s="36"/>
      <c r="L7205" s="36"/>
      <c r="M7205" s="36"/>
      <c r="N7205" s="36"/>
      <c r="O7205" s="36"/>
      <c r="P7205" s="36"/>
      <c r="Q7205" s="36"/>
      <c r="R7205" s="36"/>
      <c r="S7205" s="36"/>
      <c r="T7205" s="36"/>
      <c r="U7205" s="36"/>
      <c r="V7205" s="36"/>
      <c r="W7205" s="15">
        <f t="shared" si="1457"/>
        <v>0</v>
      </c>
      <c r="X7205" s="36"/>
      <c r="Y7205" s="36"/>
      <c r="Z7205" s="36"/>
      <c r="AA7205" s="36"/>
      <c r="AB7205" s="36"/>
      <c r="AC7205" s="36"/>
      <c r="AD7205" s="36"/>
      <c r="AE7205" s="36"/>
      <c r="AF7205" s="36"/>
      <c r="AG7205" s="36"/>
      <c r="AH7205" s="36"/>
      <c r="AI7205" s="36"/>
      <c r="AJ7205" s="15">
        <f t="shared" si="1458"/>
        <v>0</v>
      </c>
      <c r="AK7205" s="14"/>
      <c r="AL7205" s="14"/>
      <c r="AM7205" s="14"/>
      <c r="AN7205" s="14"/>
      <c r="AO7205" s="14"/>
      <c r="AP7205" s="14"/>
      <c r="AQ7205" s="14"/>
      <c r="AR7205" s="14"/>
      <c r="AS7205" s="14">
        <v>400</v>
      </c>
      <c r="AT7205" s="14"/>
      <c r="AU7205" s="14"/>
      <c r="AV7205" s="14"/>
      <c r="AW7205" s="15">
        <f t="shared" si="1459"/>
        <v>400</v>
      </c>
      <c r="AX7205" s="16"/>
    </row>
    <row r="7206" spans="2:50" x14ac:dyDescent="0.2">
      <c r="B7206" s="7"/>
      <c r="C7206" s="8">
        <v>17250</v>
      </c>
      <c r="D7206" s="9" t="s">
        <v>696</v>
      </c>
      <c r="E7206" s="10" t="str">
        <f t="shared" si="1454"/>
        <v>Rancho Upácuaro No. 64</v>
      </c>
      <c r="F7206" s="10" t="str">
        <f t="shared" si="1455"/>
        <v>Méndez Oliva</v>
      </c>
      <c r="G7206" s="8">
        <v>1</v>
      </c>
      <c r="H7206" s="11">
        <v>300</v>
      </c>
      <c r="I7206" s="12">
        <v>43359</v>
      </c>
      <c r="J7206" s="35">
        <f t="shared" si="1456"/>
        <v>0</v>
      </c>
      <c r="K7206" s="36"/>
      <c r="L7206" s="36"/>
      <c r="M7206" s="36"/>
      <c r="N7206" s="36"/>
      <c r="O7206" s="36"/>
      <c r="P7206" s="36"/>
      <c r="Q7206" s="36"/>
      <c r="R7206" s="36"/>
      <c r="S7206" s="36"/>
      <c r="T7206" s="36"/>
      <c r="U7206" s="36"/>
      <c r="V7206" s="36"/>
      <c r="W7206" s="15">
        <f t="shared" si="1457"/>
        <v>0</v>
      </c>
      <c r="X7206" s="36"/>
      <c r="Y7206" s="36"/>
      <c r="Z7206" s="36"/>
      <c r="AA7206" s="36"/>
      <c r="AB7206" s="36"/>
      <c r="AC7206" s="36"/>
      <c r="AD7206" s="36"/>
      <c r="AE7206" s="36"/>
      <c r="AF7206" s="36"/>
      <c r="AG7206" s="36"/>
      <c r="AH7206" s="36"/>
      <c r="AI7206" s="36"/>
      <c r="AJ7206" s="15">
        <f t="shared" si="1458"/>
        <v>0</v>
      </c>
      <c r="AK7206" s="14"/>
      <c r="AL7206" s="14"/>
      <c r="AM7206" s="14"/>
      <c r="AN7206" s="14"/>
      <c r="AO7206" s="14"/>
      <c r="AP7206" s="14"/>
      <c r="AQ7206" s="14"/>
      <c r="AR7206" s="14"/>
      <c r="AS7206" s="14">
        <v>300</v>
      </c>
      <c r="AT7206" s="14"/>
      <c r="AU7206" s="14"/>
      <c r="AV7206" s="14"/>
      <c r="AW7206" s="15">
        <f t="shared" si="1459"/>
        <v>300</v>
      </c>
      <c r="AX7206" s="16"/>
    </row>
    <row r="7207" spans="2:50" x14ac:dyDescent="0.2">
      <c r="B7207" s="7"/>
      <c r="C7207" s="8">
        <v>17251</v>
      </c>
      <c r="D7207" s="9" t="s">
        <v>316</v>
      </c>
      <c r="E7207" s="10" t="str">
        <f t="shared" si="1454"/>
        <v>Rancho Estanzuela No. 147, 1</v>
      </c>
      <c r="F7207" s="10" t="str">
        <f t="shared" si="1455"/>
        <v>De la Rosa Enrique</v>
      </c>
      <c r="G7207" s="8">
        <v>1</v>
      </c>
      <c r="H7207" s="11">
        <v>200</v>
      </c>
      <c r="I7207" s="12">
        <v>43359</v>
      </c>
      <c r="J7207" s="35">
        <f t="shared" si="1456"/>
        <v>0</v>
      </c>
      <c r="K7207" s="36"/>
      <c r="L7207" s="36"/>
      <c r="M7207" s="36"/>
      <c r="N7207" s="36"/>
      <c r="O7207" s="36"/>
      <c r="P7207" s="36"/>
      <c r="Q7207" s="36"/>
      <c r="R7207" s="36"/>
      <c r="S7207" s="36"/>
      <c r="T7207" s="36"/>
      <c r="U7207" s="36"/>
      <c r="V7207" s="36"/>
      <c r="W7207" s="15">
        <f t="shared" si="1457"/>
        <v>0</v>
      </c>
      <c r="X7207" s="36"/>
      <c r="Y7207" s="36"/>
      <c r="Z7207" s="36"/>
      <c r="AA7207" s="36"/>
      <c r="AB7207" s="36"/>
      <c r="AC7207" s="36"/>
      <c r="AD7207" s="36"/>
      <c r="AE7207" s="36"/>
      <c r="AF7207" s="36"/>
      <c r="AG7207" s="36"/>
      <c r="AH7207" s="36"/>
      <c r="AI7207" s="36"/>
      <c r="AJ7207" s="15">
        <f t="shared" si="1458"/>
        <v>0</v>
      </c>
      <c r="AK7207" s="14"/>
      <c r="AL7207" s="14"/>
      <c r="AM7207" s="14"/>
      <c r="AN7207" s="14"/>
      <c r="AO7207" s="14"/>
      <c r="AP7207" s="14"/>
      <c r="AQ7207" s="14">
        <v>100</v>
      </c>
      <c r="AR7207" s="14">
        <v>100</v>
      </c>
      <c r="AS7207" s="14"/>
      <c r="AT7207" s="14"/>
      <c r="AU7207" s="14"/>
      <c r="AV7207" s="14"/>
      <c r="AW7207" s="15">
        <f t="shared" si="1459"/>
        <v>200</v>
      </c>
      <c r="AX7207" s="16"/>
    </row>
    <row r="7208" spans="2:50" x14ac:dyDescent="0.2">
      <c r="B7208" s="7"/>
      <c r="C7208" s="8">
        <v>17252</v>
      </c>
      <c r="D7208" s="9" t="s">
        <v>319</v>
      </c>
      <c r="E7208" s="10" t="str">
        <f t="shared" si="1454"/>
        <v>Rancho Estanzuela No. 147, 2</v>
      </c>
      <c r="F7208" s="10" t="str">
        <f t="shared" si="1455"/>
        <v>Figueroa</v>
      </c>
      <c r="G7208" s="8">
        <v>1</v>
      </c>
      <c r="H7208" s="11">
        <v>200</v>
      </c>
      <c r="I7208" s="12">
        <v>43359</v>
      </c>
      <c r="J7208" s="35">
        <f t="shared" si="1456"/>
        <v>0</v>
      </c>
      <c r="K7208" s="36"/>
      <c r="L7208" s="36"/>
      <c r="M7208" s="36"/>
      <c r="N7208" s="36"/>
      <c r="O7208" s="36"/>
      <c r="P7208" s="36"/>
      <c r="Q7208" s="36"/>
      <c r="R7208" s="36"/>
      <c r="S7208" s="36"/>
      <c r="T7208" s="36"/>
      <c r="U7208" s="36"/>
      <c r="V7208" s="36"/>
      <c r="W7208" s="15">
        <f t="shared" si="1457"/>
        <v>0</v>
      </c>
      <c r="X7208" s="36"/>
      <c r="Y7208" s="36"/>
      <c r="Z7208" s="36"/>
      <c r="AA7208" s="36"/>
      <c r="AB7208" s="36"/>
      <c r="AC7208" s="36"/>
      <c r="AD7208" s="36"/>
      <c r="AE7208" s="36"/>
      <c r="AF7208" s="36"/>
      <c r="AG7208" s="36"/>
      <c r="AH7208" s="36"/>
      <c r="AI7208" s="36"/>
      <c r="AJ7208" s="15">
        <f t="shared" si="1458"/>
        <v>0</v>
      </c>
      <c r="AK7208" s="14"/>
      <c r="AL7208" s="14"/>
      <c r="AM7208" s="14"/>
      <c r="AN7208" s="14"/>
      <c r="AO7208" s="14"/>
      <c r="AP7208" s="14"/>
      <c r="AQ7208" s="14">
        <v>100</v>
      </c>
      <c r="AR7208" s="14">
        <v>100</v>
      </c>
      <c r="AS7208" s="14"/>
      <c r="AT7208" s="14"/>
      <c r="AU7208" s="14"/>
      <c r="AV7208" s="14"/>
      <c r="AW7208" s="15">
        <f t="shared" si="1459"/>
        <v>200</v>
      </c>
      <c r="AX7208" s="16"/>
    </row>
    <row r="7209" spans="2:50" x14ac:dyDescent="0.2">
      <c r="B7209" s="7"/>
      <c r="C7209" s="8">
        <v>17253</v>
      </c>
      <c r="D7209" s="9" t="s">
        <v>159</v>
      </c>
      <c r="E7209" s="10" t="str">
        <f t="shared" si="1454"/>
        <v>Rancho Zinamba No. 24</v>
      </c>
      <c r="F7209" s="10" t="str">
        <f t="shared" si="1455"/>
        <v>Monroy García</v>
      </c>
      <c r="G7209" s="8">
        <v>1</v>
      </c>
      <c r="H7209" s="11">
        <v>400</v>
      </c>
      <c r="I7209" s="12">
        <v>43359</v>
      </c>
      <c r="J7209" s="35">
        <f t="shared" si="1456"/>
        <v>0</v>
      </c>
      <c r="K7209" s="36"/>
      <c r="L7209" s="36"/>
      <c r="M7209" s="36"/>
      <c r="N7209" s="36"/>
      <c r="O7209" s="36"/>
      <c r="P7209" s="36"/>
      <c r="Q7209" s="36"/>
      <c r="R7209" s="36"/>
      <c r="S7209" s="36"/>
      <c r="T7209" s="36"/>
      <c r="U7209" s="36"/>
      <c r="V7209" s="36"/>
      <c r="W7209" s="15">
        <f t="shared" si="1457"/>
        <v>0</v>
      </c>
      <c r="X7209" s="36"/>
      <c r="Y7209" s="36"/>
      <c r="Z7209" s="36"/>
      <c r="AA7209" s="36"/>
      <c r="AB7209" s="36"/>
      <c r="AC7209" s="36"/>
      <c r="AD7209" s="36"/>
      <c r="AE7209" s="36"/>
      <c r="AF7209" s="36"/>
      <c r="AG7209" s="36"/>
      <c r="AH7209" s="36"/>
      <c r="AI7209" s="36"/>
      <c r="AJ7209" s="15">
        <f t="shared" si="1458"/>
        <v>0</v>
      </c>
      <c r="AK7209" s="14"/>
      <c r="AL7209" s="14"/>
      <c r="AM7209" s="14"/>
      <c r="AN7209" s="14"/>
      <c r="AO7209" s="14"/>
      <c r="AP7209" s="14"/>
      <c r="AQ7209" s="14"/>
      <c r="AR7209" s="14"/>
      <c r="AS7209" s="14">
        <v>400</v>
      </c>
      <c r="AT7209" s="14"/>
      <c r="AU7209" s="14"/>
      <c r="AV7209" s="14"/>
      <c r="AW7209" s="15">
        <f t="shared" si="1459"/>
        <v>400</v>
      </c>
      <c r="AX7209" s="16"/>
    </row>
    <row r="7210" spans="2:50" x14ac:dyDescent="0.2">
      <c r="B7210" s="7"/>
      <c r="C7210" s="8">
        <v>17254</v>
      </c>
      <c r="D7210" s="9" t="s">
        <v>769</v>
      </c>
      <c r="E7210" s="10" t="str">
        <f t="shared" si="1454"/>
        <v>Rancho La Cuchilla No. 66</v>
      </c>
      <c r="F7210" s="10" t="str">
        <f t="shared" si="1455"/>
        <v>Prieto</v>
      </c>
      <c r="G7210" s="8">
        <v>1</v>
      </c>
      <c r="H7210" s="11">
        <v>400</v>
      </c>
      <c r="I7210" s="12">
        <v>43359</v>
      </c>
      <c r="J7210" s="35">
        <f t="shared" si="1456"/>
        <v>0</v>
      </c>
      <c r="K7210" s="36"/>
      <c r="L7210" s="36"/>
      <c r="M7210" s="36"/>
      <c r="N7210" s="36"/>
      <c r="O7210" s="36"/>
      <c r="P7210" s="36"/>
      <c r="Q7210" s="36"/>
      <c r="R7210" s="36"/>
      <c r="S7210" s="36"/>
      <c r="T7210" s="36"/>
      <c r="U7210" s="36"/>
      <c r="V7210" s="36"/>
      <c r="W7210" s="15">
        <f t="shared" si="1457"/>
        <v>0</v>
      </c>
      <c r="X7210" s="36"/>
      <c r="Y7210" s="36"/>
      <c r="Z7210" s="36"/>
      <c r="AA7210" s="36"/>
      <c r="AB7210" s="36"/>
      <c r="AC7210" s="36"/>
      <c r="AD7210" s="36"/>
      <c r="AE7210" s="36"/>
      <c r="AF7210" s="36"/>
      <c r="AG7210" s="36"/>
      <c r="AH7210" s="36"/>
      <c r="AI7210" s="36"/>
      <c r="AJ7210" s="15">
        <f t="shared" si="1458"/>
        <v>0</v>
      </c>
      <c r="AK7210" s="14"/>
      <c r="AL7210" s="14"/>
      <c r="AM7210" s="14"/>
      <c r="AN7210" s="14"/>
      <c r="AO7210" s="14"/>
      <c r="AP7210" s="14"/>
      <c r="AQ7210" s="14"/>
      <c r="AR7210" s="14"/>
      <c r="AS7210" s="14">
        <v>400</v>
      </c>
      <c r="AT7210" s="14"/>
      <c r="AU7210" s="14"/>
      <c r="AV7210" s="14"/>
      <c r="AW7210" s="15">
        <f t="shared" si="1459"/>
        <v>400</v>
      </c>
      <c r="AX7210" s="16"/>
    </row>
    <row r="7211" spans="2:50" x14ac:dyDescent="0.2">
      <c r="B7211" s="7"/>
      <c r="C7211" s="8">
        <v>17255</v>
      </c>
      <c r="D7211" s="9" t="s">
        <v>544</v>
      </c>
      <c r="E7211" s="10" t="str">
        <f t="shared" si="1454"/>
        <v>Rancho Estanzuela No. 89</v>
      </c>
      <c r="F7211" s="10" t="str">
        <f t="shared" si="1455"/>
        <v>Romero Ortiz</v>
      </c>
      <c r="G7211" s="8">
        <v>1</v>
      </c>
      <c r="H7211" s="11">
        <v>400</v>
      </c>
      <c r="I7211" s="12">
        <v>43359</v>
      </c>
      <c r="J7211" s="35">
        <f t="shared" si="1456"/>
        <v>0</v>
      </c>
      <c r="K7211" s="36"/>
      <c r="L7211" s="36"/>
      <c r="M7211" s="36"/>
      <c r="N7211" s="36"/>
      <c r="O7211" s="36"/>
      <c r="P7211" s="36"/>
      <c r="Q7211" s="36"/>
      <c r="R7211" s="36"/>
      <c r="S7211" s="36"/>
      <c r="T7211" s="36"/>
      <c r="U7211" s="36"/>
      <c r="V7211" s="36"/>
      <c r="W7211" s="15">
        <f t="shared" si="1457"/>
        <v>0</v>
      </c>
      <c r="X7211" s="36"/>
      <c r="Y7211" s="36"/>
      <c r="Z7211" s="36"/>
      <c r="AA7211" s="36"/>
      <c r="AB7211" s="36"/>
      <c r="AC7211" s="36"/>
      <c r="AD7211" s="36"/>
      <c r="AE7211" s="36"/>
      <c r="AF7211" s="36"/>
      <c r="AG7211" s="36"/>
      <c r="AH7211" s="36"/>
      <c r="AI7211" s="36"/>
      <c r="AJ7211" s="15">
        <f t="shared" si="1458"/>
        <v>0</v>
      </c>
      <c r="AK7211" s="14"/>
      <c r="AL7211" s="14"/>
      <c r="AM7211" s="14"/>
      <c r="AN7211" s="14"/>
      <c r="AO7211" s="14"/>
      <c r="AP7211" s="14"/>
      <c r="AQ7211" s="14"/>
      <c r="AR7211" s="14"/>
      <c r="AS7211" s="14">
        <v>400</v>
      </c>
      <c r="AT7211" s="14"/>
      <c r="AU7211" s="14"/>
      <c r="AV7211" s="14"/>
      <c r="AW7211" s="15">
        <f t="shared" si="1459"/>
        <v>400</v>
      </c>
      <c r="AX7211" s="16"/>
    </row>
    <row r="7212" spans="2:50" x14ac:dyDescent="0.2">
      <c r="B7212" s="7"/>
      <c r="C7212" s="8">
        <v>17256</v>
      </c>
      <c r="D7212" s="9" t="s">
        <v>602</v>
      </c>
      <c r="E7212" s="10" t="str">
        <f t="shared" si="1454"/>
        <v>Rancho Upácuaro No. 30</v>
      </c>
      <c r="F7212" s="10" t="str">
        <f t="shared" si="1455"/>
        <v>Dorantes</v>
      </c>
      <c r="G7212" s="8">
        <v>1</v>
      </c>
      <c r="H7212" s="11">
        <v>600</v>
      </c>
      <c r="I7212" s="12">
        <v>43359</v>
      </c>
      <c r="J7212" s="35">
        <f t="shared" si="1456"/>
        <v>0</v>
      </c>
      <c r="K7212" s="36"/>
      <c r="L7212" s="36"/>
      <c r="M7212" s="36"/>
      <c r="N7212" s="36"/>
      <c r="O7212" s="36"/>
      <c r="P7212" s="36"/>
      <c r="Q7212" s="36"/>
      <c r="R7212" s="36"/>
      <c r="S7212" s="36"/>
      <c r="T7212" s="36"/>
      <c r="U7212" s="36"/>
      <c r="V7212" s="36"/>
      <c r="W7212" s="15">
        <f t="shared" si="1457"/>
        <v>0</v>
      </c>
      <c r="X7212" s="36"/>
      <c r="Y7212" s="36"/>
      <c r="Z7212" s="36"/>
      <c r="AA7212" s="36"/>
      <c r="AB7212" s="36"/>
      <c r="AC7212" s="36"/>
      <c r="AD7212" s="36"/>
      <c r="AE7212" s="36"/>
      <c r="AF7212" s="36"/>
      <c r="AG7212" s="36"/>
      <c r="AH7212" s="36"/>
      <c r="AI7212" s="36"/>
      <c r="AJ7212" s="15">
        <f t="shared" si="1458"/>
        <v>0</v>
      </c>
      <c r="AK7212" s="14"/>
      <c r="AL7212" s="14"/>
      <c r="AM7212" s="14"/>
      <c r="AN7212" s="14"/>
      <c r="AO7212" s="14"/>
      <c r="AP7212" s="14"/>
      <c r="AQ7212" s="14">
        <v>200</v>
      </c>
      <c r="AR7212" s="14">
        <v>200</v>
      </c>
      <c r="AS7212" s="14">
        <v>200</v>
      </c>
      <c r="AT7212" s="14"/>
      <c r="AU7212" s="14"/>
      <c r="AV7212" s="14"/>
      <c r="AW7212" s="15">
        <f t="shared" si="1459"/>
        <v>600</v>
      </c>
      <c r="AX7212" s="16"/>
    </row>
    <row r="7213" spans="2:50" x14ac:dyDescent="0.2">
      <c r="B7213" s="7"/>
      <c r="C7213" s="8">
        <v>17257</v>
      </c>
      <c r="D7213" s="9" t="s">
        <v>977</v>
      </c>
      <c r="E7213" s="10" t="str">
        <f t="shared" si="1454"/>
        <v>Rancho Landero No. 34</v>
      </c>
      <c r="F7213" s="10" t="str">
        <f t="shared" si="1455"/>
        <v>Barro</v>
      </c>
      <c r="G7213" s="8">
        <v>4</v>
      </c>
      <c r="H7213" s="11">
        <v>200</v>
      </c>
      <c r="I7213" s="12">
        <v>43359</v>
      </c>
      <c r="J7213" s="35">
        <f t="shared" si="1456"/>
        <v>0</v>
      </c>
      <c r="K7213" s="36"/>
      <c r="L7213" s="36"/>
      <c r="M7213" s="36"/>
      <c r="N7213" s="36"/>
      <c r="O7213" s="36"/>
      <c r="P7213" s="36"/>
      <c r="Q7213" s="36"/>
      <c r="R7213" s="36"/>
      <c r="S7213" s="36"/>
      <c r="T7213" s="36"/>
      <c r="U7213" s="36"/>
      <c r="V7213" s="36"/>
      <c r="W7213" s="15">
        <f t="shared" si="1457"/>
        <v>0</v>
      </c>
      <c r="X7213" s="36"/>
      <c r="Y7213" s="36"/>
      <c r="Z7213" s="36"/>
      <c r="AA7213" s="36"/>
      <c r="AB7213" s="36"/>
      <c r="AC7213" s="36"/>
      <c r="AD7213" s="36"/>
      <c r="AE7213" s="36"/>
      <c r="AF7213" s="36"/>
      <c r="AG7213" s="36"/>
      <c r="AH7213" s="36"/>
      <c r="AI7213" s="36"/>
      <c r="AJ7213" s="15">
        <f t="shared" si="1458"/>
        <v>0</v>
      </c>
      <c r="AK7213" s="14"/>
      <c r="AL7213" s="14"/>
      <c r="AM7213" s="14"/>
      <c r="AN7213" s="14"/>
      <c r="AO7213" s="14"/>
      <c r="AP7213" s="14"/>
      <c r="AQ7213" s="14"/>
      <c r="AR7213" s="14"/>
      <c r="AS7213" s="14"/>
      <c r="AT7213" s="14"/>
      <c r="AU7213" s="14"/>
      <c r="AV7213" s="14"/>
      <c r="AW7213" s="15">
        <f t="shared" si="1459"/>
        <v>0</v>
      </c>
      <c r="AX7213" s="16" t="s">
        <v>5595</v>
      </c>
    </row>
    <row r="7214" spans="2:50" x14ac:dyDescent="0.2">
      <c r="B7214" s="7"/>
      <c r="C7214" s="8">
        <v>17257</v>
      </c>
      <c r="D7214" s="9" t="s">
        <v>977</v>
      </c>
      <c r="E7214" s="10" t="str">
        <f t="shared" si="1454"/>
        <v>Rancho Landero No. 34</v>
      </c>
      <c r="F7214" s="10" t="str">
        <f t="shared" si="1455"/>
        <v>Barro</v>
      </c>
      <c r="G7214" s="8">
        <v>5</v>
      </c>
      <c r="H7214" s="11">
        <v>50</v>
      </c>
      <c r="I7214" s="12">
        <v>43359</v>
      </c>
      <c r="J7214" s="35">
        <f t="shared" si="1456"/>
        <v>0</v>
      </c>
      <c r="K7214" s="36"/>
      <c r="L7214" s="36"/>
      <c r="M7214" s="36"/>
      <c r="N7214" s="36"/>
      <c r="O7214" s="36"/>
      <c r="P7214" s="36"/>
      <c r="Q7214" s="36"/>
      <c r="R7214" s="36"/>
      <c r="S7214" s="36"/>
      <c r="T7214" s="36"/>
      <c r="U7214" s="36"/>
      <c r="V7214" s="36"/>
      <c r="W7214" s="15">
        <f t="shared" si="1457"/>
        <v>0</v>
      </c>
      <c r="X7214" s="36"/>
      <c r="Y7214" s="36"/>
      <c r="Z7214" s="36"/>
      <c r="AA7214" s="36"/>
      <c r="AB7214" s="36"/>
      <c r="AC7214" s="36"/>
      <c r="AD7214" s="36"/>
      <c r="AE7214" s="36"/>
      <c r="AF7214" s="36"/>
      <c r="AG7214" s="36"/>
      <c r="AH7214" s="36"/>
      <c r="AI7214" s="36"/>
      <c r="AJ7214" s="15">
        <f t="shared" si="1458"/>
        <v>0</v>
      </c>
      <c r="AK7214" s="14"/>
      <c r="AL7214" s="14"/>
      <c r="AM7214" s="14"/>
      <c r="AN7214" s="14"/>
      <c r="AO7214" s="14"/>
      <c r="AP7214" s="14"/>
      <c r="AQ7214" s="14"/>
      <c r="AR7214" s="14"/>
      <c r="AS7214" s="14"/>
      <c r="AT7214" s="14"/>
      <c r="AU7214" s="14"/>
      <c r="AV7214" s="14"/>
      <c r="AW7214" s="15">
        <f t="shared" si="1459"/>
        <v>0</v>
      </c>
      <c r="AX7214" s="16"/>
    </row>
    <row r="7215" spans="2:50" x14ac:dyDescent="0.2">
      <c r="B7215" s="7"/>
      <c r="C7215" s="8">
        <v>17258</v>
      </c>
      <c r="D7215" s="9" t="s">
        <v>476</v>
      </c>
      <c r="E7215" s="10" t="str">
        <f t="shared" si="1454"/>
        <v>Rancho Upácuaro No. 33</v>
      </c>
      <c r="F7215" s="10" t="str">
        <f t="shared" si="1455"/>
        <v>Ulloa Miranda</v>
      </c>
      <c r="G7215" s="8">
        <v>1</v>
      </c>
      <c r="H7215" s="11">
        <v>400</v>
      </c>
      <c r="I7215" s="12">
        <v>43359</v>
      </c>
      <c r="J7215" s="35">
        <f t="shared" si="1456"/>
        <v>0</v>
      </c>
      <c r="K7215" s="36"/>
      <c r="L7215" s="36"/>
      <c r="M7215" s="36"/>
      <c r="N7215" s="36"/>
      <c r="O7215" s="36"/>
      <c r="P7215" s="36"/>
      <c r="Q7215" s="36"/>
      <c r="R7215" s="36"/>
      <c r="S7215" s="36"/>
      <c r="T7215" s="36"/>
      <c r="U7215" s="36"/>
      <c r="V7215" s="36"/>
      <c r="W7215" s="15">
        <f t="shared" si="1457"/>
        <v>0</v>
      </c>
      <c r="X7215" s="36"/>
      <c r="Y7215" s="36"/>
      <c r="Z7215" s="36"/>
      <c r="AA7215" s="36"/>
      <c r="AB7215" s="36"/>
      <c r="AC7215" s="36"/>
      <c r="AD7215" s="36"/>
      <c r="AE7215" s="36"/>
      <c r="AF7215" s="36"/>
      <c r="AG7215" s="36"/>
      <c r="AH7215" s="36"/>
      <c r="AI7215" s="36"/>
      <c r="AJ7215" s="15">
        <f t="shared" si="1458"/>
        <v>0</v>
      </c>
      <c r="AK7215" s="14"/>
      <c r="AL7215" s="14"/>
      <c r="AM7215" s="14"/>
      <c r="AN7215" s="14"/>
      <c r="AO7215" s="14"/>
      <c r="AP7215" s="14"/>
      <c r="AQ7215" s="14"/>
      <c r="AR7215" s="14"/>
      <c r="AS7215" s="14">
        <v>400</v>
      </c>
      <c r="AT7215" s="14"/>
      <c r="AU7215" s="14"/>
      <c r="AV7215" s="14"/>
      <c r="AW7215" s="15">
        <f t="shared" si="1459"/>
        <v>400</v>
      </c>
      <c r="AX7215" s="16"/>
    </row>
    <row r="7216" spans="2:50" x14ac:dyDescent="0.2">
      <c r="B7216" s="7"/>
      <c r="C7216" s="8">
        <v>17259</v>
      </c>
      <c r="D7216" s="9" t="s">
        <v>716</v>
      </c>
      <c r="E7216" s="10" t="str">
        <f t="shared" si="1454"/>
        <v>Rancho Landero No. 20</v>
      </c>
      <c r="F7216" s="10" t="str">
        <f t="shared" si="1455"/>
        <v>Velasco</v>
      </c>
      <c r="G7216" s="8">
        <v>1</v>
      </c>
      <c r="H7216" s="11">
        <v>900</v>
      </c>
      <c r="I7216" s="12">
        <v>43359</v>
      </c>
      <c r="J7216" s="35">
        <f t="shared" si="1456"/>
        <v>0</v>
      </c>
      <c r="K7216" s="36"/>
      <c r="L7216" s="36"/>
      <c r="M7216" s="36"/>
      <c r="N7216" s="36"/>
      <c r="O7216" s="36"/>
      <c r="P7216" s="36"/>
      <c r="Q7216" s="36"/>
      <c r="R7216" s="36"/>
      <c r="S7216" s="36"/>
      <c r="T7216" s="36"/>
      <c r="U7216" s="36"/>
      <c r="V7216" s="36"/>
      <c r="W7216" s="15">
        <f t="shared" si="1457"/>
        <v>0</v>
      </c>
      <c r="X7216" s="36"/>
      <c r="Y7216" s="36"/>
      <c r="Z7216" s="36"/>
      <c r="AA7216" s="36"/>
      <c r="AB7216" s="36"/>
      <c r="AC7216" s="36"/>
      <c r="AD7216" s="36"/>
      <c r="AE7216" s="36"/>
      <c r="AF7216" s="36"/>
      <c r="AG7216" s="36"/>
      <c r="AH7216" s="36"/>
      <c r="AI7216" s="36"/>
      <c r="AJ7216" s="15">
        <f t="shared" si="1458"/>
        <v>0</v>
      </c>
      <c r="AK7216" s="14"/>
      <c r="AL7216" s="14"/>
      <c r="AM7216" s="14"/>
      <c r="AN7216" s="14"/>
      <c r="AO7216" s="14"/>
      <c r="AP7216" s="14"/>
      <c r="AQ7216" s="14">
        <v>300</v>
      </c>
      <c r="AR7216" s="14">
        <v>300</v>
      </c>
      <c r="AS7216" s="14">
        <v>300</v>
      </c>
      <c r="AT7216" s="14"/>
      <c r="AU7216" s="14"/>
      <c r="AV7216" s="14"/>
      <c r="AW7216" s="15">
        <f t="shared" si="1459"/>
        <v>900</v>
      </c>
      <c r="AX7216" s="16"/>
    </row>
    <row r="7217" spans="2:52" x14ac:dyDescent="0.2">
      <c r="B7217" s="7"/>
      <c r="C7217" s="8">
        <v>17260</v>
      </c>
      <c r="D7217" s="9" t="s">
        <v>223</v>
      </c>
      <c r="E7217" s="10" t="str">
        <f t="shared" si="1454"/>
        <v>Rancho Landero No. 26</v>
      </c>
      <c r="F7217" s="10" t="str">
        <f t="shared" si="1455"/>
        <v>Balderas Martínez</v>
      </c>
      <c r="G7217" s="8">
        <v>1</v>
      </c>
      <c r="H7217" s="11">
        <v>400</v>
      </c>
      <c r="I7217" s="12">
        <v>43359</v>
      </c>
      <c r="J7217" s="35">
        <f t="shared" si="1456"/>
        <v>0</v>
      </c>
      <c r="K7217" s="36"/>
      <c r="L7217" s="36"/>
      <c r="M7217" s="36"/>
      <c r="N7217" s="36"/>
      <c r="O7217" s="36"/>
      <c r="P7217" s="36"/>
      <c r="Q7217" s="36"/>
      <c r="R7217" s="36"/>
      <c r="S7217" s="36"/>
      <c r="T7217" s="36"/>
      <c r="U7217" s="36"/>
      <c r="V7217" s="36"/>
      <c r="W7217" s="15">
        <f t="shared" si="1457"/>
        <v>0</v>
      </c>
      <c r="X7217" s="36"/>
      <c r="Y7217" s="36"/>
      <c r="Z7217" s="36"/>
      <c r="AA7217" s="36"/>
      <c r="AB7217" s="36"/>
      <c r="AC7217" s="36"/>
      <c r="AD7217" s="36"/>
      <c r="AE7217" s="36"/>
      <c r="AF7217" s="36"/>
      <c r="AG7217" s="36"/>
      <c r="AH7217" s="36"/>
      <c r="AI7217" s="36"/>
      <c r="AJ7217" s="15">
        <f t="shared" si="1458"/>
        <v>0</v>
      </c>
      <c r="AK7217" s="14"/>
      <c r="AL7217" s="14"/>
      <c r="AM7217" s="14"/>
      <c r="AN7217" s="14"/>
      <c r="AO7217" s="14"/>
      <c r="AP7217" s="14"/>
      <c r="AQ7217" s="14"/>
      <c r="AR7217" s="14">
        <v>200</v>
      </c>
      <c r="AS7217" s="14">
        <v>200</v>
      </c>
      <c r="AT7217" s="14"/>
      <c r="AU7217" s="14"/>
      <c r="AV7217" s="14"/>
      <c r="AW7217" s="15">
        <f t="shared" si="1459"/>
        <v>400</v>
      </c>
      <c r="AX7217" s="16"/>
    </row>
    <row r="7218" spans="2:52" x14ac:dyDescent="0.2">
      <c r="B7218" s="7"/>
      <c r="C7218" s="8">
        <v>17261</v>
      </c>
      <c r="D7218" s="9" t="s">
        <v>625</v>
      </c>
      <c r="E7218" s="10" t="str">
        <f t="shared" si="1454"/>
        <v>Rancho Upácuaro No. 60</v>
      </c>
      <c r="F7218" s="10" t="str">
        <f t="shared" si="1455"/>
        <v>Zavala</v>
      </c>
      <c r="G7218" s="8">
        <v>1</v>
      </c>
      <c r="H7218" s="11">
        <v>300</v>
      </c>
      <c r="I7218" s="12">
        <v>43359</v>
      </c>
      <c r="J7218" s="35">
        <f t="shared" si="1456"/>
        <v>0</v>
      </c>
      <c r="K7218" s="36"/>
      <c r="L7218" s="36"/>
      <c r="M7218" s="36"/>
      <c r="N7218" s="36"/>
      <c r="O7218" s="36"/>
      <c r="P7218" s="36"/>
      <c r="Q7218" s="36"/>
      <c r="R7218" s="36"/>
      <c r="S7218" s="36"/>
      <c r="T7218" s="36"/>
      <c r="U7218" s="36"/>
      <c r="V7218" s="36"/>
      <c r="W7218" s="15">
        <f t="shared" si="1457"/>
        <v>0</v>
      </c>
      <c r="X7218" s="36"/>
      <c r="Y7218" s="36"/>
      <c r="Z7218" s="36"/>
      <c r="AA7218" s="36"/>
      <c r="AB7218" s="36"/>
      <c r="AC7218" s="36"/>
      <c r="AD7218" s="36"/>
      <c r="AE7218" s="36"/>
      <c r="AF7218" s="36"/>
      <c r="AG7218" s="36"/>
      <c r="AH7218" s="36"/>
      <c r="AI7218" s="36"/>
      <c r="AJ7218" s="15">
        <f t="shared" si="1458"/>
        <v>0</v>
      </c>
      <c r="AK7218" s="14"/>
      <c r="AL7218" s="14"/>
      <c r="AM7218" s="14"/>
      <c r="AN7218" s="14"/>
      <c r="AO7218" s="14"/>
      <c r="AP7218" s="14"/>
      <c r="AQ7218" s="14"/>
      <c r="AR7218" s="14"/>
      <c r="AS7218" s="14">
        <v>300</v>
      </c>
      <c r="AT7218" s="14"/>
      <c r="AU7218" s="14"/>
      <c r="AV7218" s="14"/>
      <c r="AW7218" s="15">
        <f t="shared" si="1459"/>
        <v>300</v>
      </c>
      <c r="AX7218" s="16"/>
    </row>
    <row r="7219" spans="2:52" x14ac:dyDescent="0.2">
      <c r="B7219" s="7"/>
      <c r="C7219" s="8">
        <v>17262</v>
      </c>
      <c r="D7219" s="9" t="s">
        <v>295</v>
      </c>
      <c r="E7219" s="10" t="str">
        <f t="shared" si="1454"/>
        <v>Rancho Landero No. 99</v>
      </c>
      <c r="F7219" s="10" t="str">
        <f t="shared" si="1455"/>
        <v>Rangel</v>
      </c>
      <c r="G7219" s="8">
        <v>1</v>
      </c>
      <c r="H7219" s="11">
        <v>300</v>
      </c>
      <c r="I7219" s="12">
        <v>43359</v>
      </c>
      <c r="J7219" s="35">
        <f t="shared" si="1456"/>
        <v>0</v>
      </c>
      <c r="K7219" s="36"/>
      <c r="L7219" s="36"/>
      <c r="M7219" s="36"/>
      <c r="N7219" s="36"/>
      <c r="O7219" s="36"/>
      <c r="P7219" s="36"/>
      <c r="Q7219" s="36"/>
      <c r="R7219" s="36"/>
      <c r="S7219" s="36"/>
      <c r="T7219" s="36"/>
      <c r="U7219" s="36"/>
      <c r="V7219" s="36"/>
      <c r="W7219" s="15">
        <f t="shared" si="1457"/>
        <v>0</v>
      </c>
      <c r="X7219" s="36"/>
      <c r="Y7219" s="36"/>
      <c r="Z7219" s="36"/>
      <c r="AA7219" s="36"/>
      <c r="AB7219" s="36"/>
      <c r="AC7219" s="36"/>
      <c r="AD7219" s="36"/>
      <c r="AE7219" s="36"/>
      <c r="AF7219" s="36"/>
      <c r="AG7219" s="36"/>
      <c r="AH7219" s="36"/>
      <c r="AI7219" s="36"/>
      <c r="AJ7219" s="15">
        <f t="shared" si="1458"/>
        <v>0</v>
      </c>
      <c r="AK7219" s="14"/>
      <c r="AL7219" s="14"/>
      <c r="AM7219" s="14"/>
      <c r="AN7219" s="14"/>
      <c r="AO7219" s="14"/>
      <c r="AP7219" s="14">
        <v>300</v>
      </c>
      <c r="AQ7219" s="14"/>
      <c r="AR7219" s="14"/>
      <c r="AS7219" s="14"/>
      <c r="AT7219" s="14"/>
      <c r="AU7219" s="14"/>
      <c r="AV7219" s="14"/>
      <c r="AW7219" s="15">
        <f t="shared" si="1459"/>
        <v>300</v>
      </c>
      <c r="AX7219" s="16"/>
    </row>
    <row r="7220" spans="2:52" x14ac:dyDescent="0.2">
      <c r="B7220" s="7"/>
      <c r="C7220" s="8">
        <v>17263</v>
      </c>
      <c r="D7220" s="9" t="s">
        <v>893</v>
      </c>
      <c r="E7220" s="10" t="str">
        <f t="shared" si="1454"/>
        <v>Rancho Upácuaro No. 136</v>
      </c>
      <c r="F7220" s="10" t="str">
        <f t="shared" si="1455"/>
        <v>López Lena</v>
      </c>
      <c r="G7220" s="8">
        <v>1</v>
      </c>
      <c r="H7220" s="11">
        <v>300</v>
      </c>
      <c r="I7220" s="12">
        <v>43359</v>
      </c>
      <c r="J7220" s="35">
        <f t="shared" si="1456"/>
        <v>0</v>
      </c>
      <c r="K7220" s="36"/>
      <c r="L7220" s="36"/>
      <c r="M7220" s="36"/>
      <c r="N7220" s="36"/>
      <c r="O7220" s="36"/>
      <c r="P7220" s="36"/>
      <c r="Q7220" s="36"/>
      <c r="R7220" s="36"/>
      <c r="S7220" s="36"/>
      <c r="T7220" s="36"/>
      <c r="U7220" s="36"/>
      <c r="V7220" s="36"/>
      <c r="W7220" s="15">
        <f t="shared" si="1457"/>
        <v>0</v>
      </c>
      <c r="X7220" s="36"/>
      <c r="Y7220" s="36"/>
      <c r="Z7220" s="36"/>
      <c r="AA7220" s="36"/>
      <c r="AB7220" s="36"/>
      <c r="AC7220" s="36"/>
      <c r="AD7220" s="36"/>
      <c r="AE7220" s="36"/>
      <c r="AF7220" s="36"/>
      <c r="AG7220" s="36"/>
      <c r="AH7220" s="36"/>
      <c r="AI7220" s="36"/>
      <c r="AJ7220" s="15">
        <f t="shared" si="1458"/>
        <v>0</v>
      </c>
      <c r="AK7220" s="14"/>
      <c r="AL7220" s="14"/>
      <c r="AM7220" s="14"/>
      <c r="AN7220" s="14"/>
      <c r="AO7220" s="14"/>
      <c r="AP7220" s="14"/>
      <c r="AQ7220" s="14"/>
      <c r="AR7220" s="14">
        <v>300</v>
      </c>
      <c r="AS7220" s="14"/>
      <c r="AT7220" s="14"/>
      <c r="AU7220" s="14"/>
      <c r="AV7220" s="14"/>
      <c r="AW7220" s="15">
        <f t="shared" si="1459"/>
        <v>300</v>
      </c>
      <c r="AX7220" s="16"/>
    </row>
    <row r="7221" spans="2:52" x14ac:dyDescent="0.2">
      <c r="B7221" s="7"/>
      <c r="C7221" s="8">
        <v>17264</v>
      </c>
      <c r="D7221" s="9" t="s">
        <v>1198</v>
      </c>
      <c r="E7221" s="10" t="str">
        <f t="shared" si="1454"/>
        <v>Rancho Upácuaro No. 95</v>
      </c>
      <c r="F7221" s="10" t="str">
        <f t="shared" si="1455"/>
        <v>Flores</v>
      </c>
      <c r="G7221" s="8">
        <v>1</v>
      </c>
      <c r="H7221" s="11">
        <v>1600</v>
      </c>
      <c r="I7221" s="12">
        <v>43359</v>
      </c>
      <c r="J7221" s="35">
        <f t="shared" si="1456"/>
        <v>0</v>
      </c>
      <c r="K7221" s="36"/>
      <c r="L7221" s="36"/>
      <c r="M7221" s="36"/>
      <c r="N7221" s="36"/>
      <c r="O7221" s="36"/>
      <c r="P7221" s="36"/>
      <c r="Q7221" s="36"/>
      <c r="R7221" s="36"/>
      <c r="S7221" s="36"/>
      <c r="T7221" s="36"/>
      <c r="U7221" s="36"/>
      <c r="V7221" s="36"/>
      <c r="W7221" s="15">
        <f t="shared" si="1457"/>
        <v>0</v>
      </c>
      <c r="X7221" s="36"/>
      <c r="Y7221" s="36"/>
      <c r="Z7221" s="36"/>
      <c r="AA7221" s="36"/>
      <c r="AB7221" s="36"/>
      <c r="AC7221" s="36"/>
      <c r="AD7221" s="36"/>
      <c r="AE7221" s="36"/>
      <c r="AF7221" s="36"/>
      <c r="AG7221" s="36"/>
      <c r="AH7221" s="36"/>
      <c r="AI7221" s="36"/>
      <c r="AJ7221" s="15">
        <f t="shared" si="1458"/>
        <v>0</v>
      </c>
      <c r="AK7221" s="14">
        <v>400</v>
      </c>
      <c r="AL7221" s="14">
        <v>400</v>
      </c>
      <c r="AM7221" s="14">
        <v>400</v>
      </c>
      <c r="AN7221" s="14">
        <v>400</v>
      </c>
      <c r="AO7221" s="14"/>
      <c r="AP7221" s="14"/>
      <c r="AQ7221" s="14"/>
      <c r="AR7221" s="14"/>
      <c r="AS7221" s="14"/>
      <c r="AT7221" s="14"/>
      <c r="AU7221" s="14"/>
      <c r="AV7221" s="14"/>
      <c r="AW7221" s="15">
        <f t="shared" si="1459"/>
        <v>1600</v>
      </c>
      <c r="AX7221" s="16"/>
    </row>
    <row r="7222" spans="2:52" x14ac:dyDescent="0.2">
      <c r="B7222" s="7"/>
      <c r="C7222" s="8">
        <v>17265</v>
      </c>
      <c r="D7222" s="9" t="s">
        <v>94</v>
      </c>
      <c r="E7222" s="10" t="str">
        <f t="shared" si="1454"/>
        <v>Rancho Landero No. 42</v>
      </c>
      <c r="F7222" s="10" t="str">
        <f t="shared" si="1455"/>
        <v>Ávila Fidel</v>
      </c>
      <c r="G7222" s="8">
        <v>1</v>
      </c>
      <c r="H7222" s="11">
        <v>400</v>
      </c>
      <c r="I7222" s="12">
        <v>43359</v>
      </c>
      <c r="J7222" s="35">
        <f t="shared" si="1456"/>
        <v>0</v>
      </c>
      <c r="K7222" s="36"/>
      <c r="L7222" s="36"/>
      <c r="M7222" s="36"/>
      <c r="N7222" s="36"/>
      <c r="O7222" s="36"/>
      <c r="P7222" s="36"/>
      <c r="Q7222" s="36"/>
      <c r="R7222" s="36"/>
      <c r="S7222" s="36"/>
      <c r="T7222" s="36"/>
      <c r="U7222" s="36"/>
      <c r="V7222" s="36"/>
      <c r="W7222" s="15">
        <f t="shared" si="1457"/>
        <v>0</v>
      </c>
      <c r="X7222" s="36"/>
      <c r="Y7222" s="36"/>
      <c r="Z7222" s="36"/>
      <c r="AA7222" s="36"/>
      <c r="AB7222" s="36"/>
      <c r="AC7222" s="36"/>
      <c r="AD7222" s="36"/>
      <c r="AE7222" s="36"/>
      <c r="AF7222" s="36"/>
      <c r="AG7222" s="36"/>
      <c r="AH7222" s="36"/>
      <c r="AI7222" s="36"/>
      <c r="AJ7222" s="15">
        <f t="shared" si="1458"/>
        <v>0</v>
      </c>
      <c r="AK7222" s="14"/>
      <c r="AL7222" s="14"/>
      <c r="AM7222" s="14"/>
      <c r="AN7222" s="14"/>
      <c r="AO7222" s="14"/>
      <c r="AP7222" s="14"/>
      <c r="AQ7222" s="14"/>
      <c r="AR7222" s="14"/>
      <c r="AS7222" s="14">
        <v>400</v>
      </c>
      <c r="AT7222" s="14"/>
      <c r="AU7222" s="14"/>
      <c r="AV7222" s="14"/>
      <c r="AW7222" s="15">
        <f t="shared" si="1459"/>
        <v>400</v>
      </c>
      <c r="AX7222" s="16"/>
    </row>
    <row r="7223" spans="2:52" x14ac:dyDescent="0.2">
      <c r="B7223" s="7"/>
      <c r="C7223" s="8">
        <v>17266</v>
      </c>
      <c r="D7223" s="9" t="s">
        <v>476</v>
      </c>
      <c r="E7223" s="10" t="str">
        <f t="shared" si="1454"/>
        <v>Rancho Upácuaro No. 33</v>
      </c>
      <c r="F7223" s="10" t="str">
        <f t="shared" si="1455"/>
        <v>Ulloa Miranda</v>
      </c>
      <c r="G7223" s="8">
        <v>1</v>
      </c>
      <c r="H7223" s="11">
        <v>400</v>
      </c>
      <c r="I7223" s="12">
        <v>43359</v>
      </c>
      <c r="J7223" s="35">
        <f t="shared" si="1456"/>
        <v>0</v>
      </c>
      <c r="K7223" s="36"/>
      <c r="L7223" s="36"/>
      <c r="M7223" s="36"/>
      <c r="N7223" s="36"/>
      <c r="O7223" s="36"/>
      <c r="P7223" s="36"/>
      <c r="Q7223" s="36"/>
      <c r="R7223" s="36"/>
      <c r="S7223" s="36"/>
      <c r="T7223" s="36"/>
      <c r="U7223" s="36"/>
      <c r="V7223" s="36"/>
      <c r="W7223" s="15">
        <f t="shared" si="1457"/>
        <v>0</v>
      </c>
      <c r="X7223" s="36"/>
      <c r="Y7223" s="36"/>
      <c r="Z7223" s="36"/>
      <c r="AA7223" s="36"/>
      <c r="AB7223" s="36"/>
      <c r="AC7223" s="36"/>
      <c r="AD7223" s="36"/>
      <c r="AE7223" s="36"/>
      <c r="AF7223" s="36"/>
      <c r="AG7223" s="36"/>
      <c r="AH7223" s="36"/>
      <c r="AI7223" s="36"/>
      <c r="AJ7223" s="15">
        <f t="shared" si="1458"/>
        <v>0</v>
      </c>
      <c r="AK7223" s="14"/>
      <c r="AL7223" s="14"/>
      <c r="AM7223" s="14"/>
      <c r="AN7223" s="14"/>
      <c r="AO7223" s="14"/>
      <c r="AP7223" s="14"/>
      <c r="AQ7223" s="14"/>
      <c r="AR7223" s="14">
        <v>400</v>
      </c>
      <c r="AS7223" s="14"/>
      <c r="AT7223" s="14"/>
      <c r="AU7223" s="14"/>
      <c r="AV7223" s="14"/>
      <c r="AW7223" s="15">
        <f t="shared" si="1459"/>
        <v>400</v>
      </c>
      <c r="AX7223" s="16"/>
    </row>
    <row r="7224" spans="2:52" x14ac:dyDescent="0.2">
      <c r="B7224" s="7"/>
      <c r="C7224" s="8">
        <v>17267</v>
      </c>
      <c r="D7224" s="9" t="s">
        <v>277</v>
      </c>
      <c r="E7224" s="10" t="str">
        <f t="shared" si="1454"/>
        <v>Rancho Estanzuela No. 7, A</v>
      </c>
      <c r="F7224" s="10" t="str">
        <f t="shared" si="1455"/>
        <v>Herrera Izquierdo</v>
      </c>
      <c r="G7224" s="8">
        <v>1</v>
      </c>
      <c r="H7224" s="11">
        <v>200</v>
      </c>
      <c r="I7224" s="12">
        <v>43359</v>
      </c>
      <c r="J7224" s="35">
        <f t="shared" si="1456"/>
        <v>0</v>
      </c>
      <c r="K7224" s="36"/>
      <c r="L7224" s="36"/>
      <c r="M7224" s="36"/>
      <c r="N7224" s="36"/>
      <c r="O7224" s="36"/>
      <c r="P7224" s="36"/>
      <c r="Q7224" s="36"/>
      <c r="R7224" s="36"/>
      <c r="S7224" s="36"/>
      <c r="T7224" s="36"/>
      <c r="U7224" s="36"/>
      <c r="V7224" s="36"/>
      <c r="W7224" s="15">
        <f t="shared" si="1457"/>
        <v>0</v>
      </c>
      <c r="X7224" s="36"/>
      <c r="Y7224" s="36"/>
      <c r="Z7224" s="36"/>
      <c r="AA7224" s="36"/>
      <c r="AB7224" s="36"/>
      <c r="AC7224" s="36"/>
      <c r="AD7224" s="36"/>
      <c r="AE7224" s="36"/>
      <c r="AF7224" s="36"/>
      <c r="AG7224" s="36"/>
      <c r="AH7224" s="36"/>
      <c r="AI7224" s="36"/>
      <c r="AJ7224" s="15">
        <f t="shared" si="1458"/>
        <v>0</v>
      </c>
      <c r="AK7224" s="14"/>
      <c r="AL7224" s="14"/>
      <c r="AM7224" s="14"/>
      <c r="AN7224" s="14"/>
      <c r="AO7224" s="14"/>
      <c r="AP7224" s="14"/>
      <c r="AQ7224" s="14"/>
      <c r="AR7224" s="14"/>
      <c r="AS7224" s="14">
        <v>200</v>
      </c>
      <c r="AT7224" s="14"/>
      <c r="AU7224" s="14"/>
      <c r="AV7224" s="14"/>
      <c r="AW7224" s="15">
        <f t="shared" si="1459"/>
        <v>200</v>
      </c>
      <c r="AX7224" s="316">
        <f>SUM(H7201:H7224)</f>
        <v>10750</v>
      </c>
      <c r="AY7224" s="112">
        <f>SUM(H7191:H7224)</f>
        <v>18300</v>
      </c>
      <c r="AZ7224" s="112">
        <f>SUM(H7191:H7224)</f>
        <v>18300</v>
      </c>
    </row>
    <row r="7225" spans="2:52" x14ac:dyDescent="0.2">
      <c r="B7225" s="7"/>
      <c r="C7225" s="8">
        <v>17268</v>
      </c>
      <c r="D7225" s="9" t="s">
        <v>217</v>
      </c>
      <c r="E7225" s="10" t="str">
        <f t="shared" si="1454"/>
        <v>Rancho Recoveco No. 173</v>
      </c>
      <c r="F7225" s="10" t="str">
        <f t="shared" si="1455"/>
        <v>Velarde</v>
      </c>
      <c r="G7225" s="8">
        <v>1</v>
      </c>
      <c r="H7225" s="315">
        <v>900</v>
      </c>
      <c r="I7225" s="12">
        <v>43360</v>
      </c>
      <c r="J7225" s="35">
        <f t="shared" si="1456"/>
        <v>0</v>
      </c>
      <c r="K7225" s="36"/>
      <c r="L7225" s="36"/>
      <c r="M7225" s="36"/>
      <c r="N7225" s="36"/>
      <c r="O7225" s="36"/>
      <c r="P7225" s="36"/>
      <c r="Q7225" s="36"/>
      <c r="R7225" s="36"/>
      <c r="S7225" s="36"/>
      <c r="T7225" s="36"/>
      <c r="U7225" s="36"/>
      <c r="V7225" s="36"/>
      <c r="W7225" s="15">
        <f t="shared" si="1457"/>
        <v>0</v>
      </c>
      <c r="X7225" s="36"/>
      <c r="Y7225" s="36"/>
      <c r="Z7225" s="36"/>
      <c r="AA7225" s="36"/>
      <c r="AB7225" s="36"/>
      <c r="AC7225" s="36"/>
      <c r="AD7225" s="36"/>
      <c r="AE7225" s="36"/>
      <c r="AF7225" s="36"/>
      <c r="AG7225" s="36"/>
      <c r="AH7225" s="36"/>
      <c r="AI7225" s="36"/>
      <c r="AJ7225" s="15">
        <f t="shared" si="1458"/>
        <v>0</v>
      </c>
      <c r="AK7225" s="14"/>
      <c r="AL7225" s="14"/>
      <c r="AM7225" s="14"/>
      <c r="AN7225" s="14"/>
      <c r="AO7225" s="14"/>
      <c r="AP7225" s="14"/>
      <c r="AQ7225" s="14"/>
      <c r="AR7225" s="14"/>
      <c r="AS7225" s="14"/>
      <c r="AT7225" s="14">
        <v>300</v>
      </c>
      <c r="AU7225" s="14">
        <v>300</v>
      </c>
      <c r="AV7225" s="14">
        <v>300</v>
      </c>
      <c r="AW7225" s="15">
        <f t="shared" si="1459"/>
        <v>900</v>
      </c>
      <c r="AX7225" s="16"/>
      <c r="AY7225" s="112">
        <f>SUM(H7200:H7224)</f>
        <v>12850</v>
      </c>
    </row>
    <row r="7226" spans="2:52" x14ac:dyDescent="0.2">
      <c r="B7226" s="7"/>
      <c r="C7226" s="8">
        <v>17268</v>
      </c>
      <c r="D7226" s="9" t="s">
        <v>217</v>
      </c>
      <c r="E7226" s="10" t="str">
        <f t="shared" si="1454"/>
        <v>Rancho Recoveco No. 173</v>
      </c>
      <c r="F7226" s="10" t="str">
        <f t="shared" si="1455"/>
        <v>Velarde</v>
      </c>
      <c r="G7226" s="8">
        <v>4</v>
      </c>
      <c r="H7226" s="11">
        <v>200</v>
      </c>
      <c r="I7226" s="12">
        <v>43360</v>
      </c>
      <c r="J7226" s="35">
        <f t="shared" si="1456"/>
        <v>0</v>
      </c>
      <c r="K7226" s="36"/>
      <c r="L7226" s="36"/>
      <c r="M7226" s="36"/>
      <c r="N7226" s="36"/>
      <c r="O7226" s="36"/>
      <c r="P7226" s="36"/>
      <c r="Q7226" s="36"/>
      <c r="R7226" s="36"/>
      <c r="S7226" s="36"/>
      <c r="T7226" s="36"/>
      <c r="U7226" s="36"/>
      <c r="V7226" s="36"/>
      <c r="W7226" s="15">
        <f t="shared" si="1457"/>
        <v>0</v>
      </c>
      <c r="X7226" s="36"/>
      <c r="Y7226" s="36"/>
      <c r="Z7226" s="36"/>
      <c r="AA7226" s="36"/>
      <c r="AB7226" s="36"/>
      <c r="AC7226" s="36"/>
      <c r="AD7226" s="36"/>
      <c r="AE7226" s="36"/>
      <c r="AF7226" s="36"/>
      <c r="AG7226" s="36"/>
      <c r="AH7226" s="36"/>
      <c r="AI7226" s="36"/>
      <c r="AJ7226" s="15">
        <f t="shared" si="1458"/>
        <v>0</v>
      </c>
      <c r="AK7226" s="14"/>
      <c r="AL7226" s="14"/>
      <c r="AM7226" s="14"/>
      <c r="AN7226" s="14"/>
      <c r="AO7226" s="14"/>
      <c r="AP7226" s="14"/>
      <c r="AQ7226" s="14"/>
      <c r="AR7226" s="14"/>
      <c r="AS7226" s="14"/>
      <c r="AT7226" s="14"/>
      <c r="AU7226" s="14"/>
      <c r="AV7226" s="14"/>
      <c r="AW7226" s="15">
        <f t="shared" si="1459"/>
        <v>0</v>
      </c>
      <c r="AX7226" s="16" t="s">
        <v>5596</v>
      </c>
    </row>
    <row r="7227" spans="2:52" x14ac:dyDescent="0.2">
      <c r="B7227" s="7"/>
      <c r="C7227" s="8">
        <v>17269</v>
      </c>
      <c r="D7227" s="9" t="s">
        <v>879</v>
      </c>
      <c r="E7227" s="10" t="str">
        <f t="shared" si="1454"/>
        <v>Rancho Estopila No. 44_5</v>
      </c>
      <c r="F7227" s="10" t="str">
        <f t="shared" si="1455"/>
        <v>Maya</v>
      </c>
      <c r="G7227" s="8">
        <v>1</v>
      </c>
      <c r="H7227" s="11">
        <v>1200</v>
      </c>
      <c r="I7227" s="12">
        <v>43361</v>
      </c>
      <c r="J7227" s="35">
        <f t="shared" si="1456"/>
        <v>0</v>
      </c>
      <c r="K7227" s="36"/>
      <c r="L7227" s="36"/>
      <c r="M7227" s="36"/>
      <c r="N7227" s="36"/>
      <c r="O7227" s="36"/>
      <c r="P7227" s="36"/>
      <c r="Q7227" s="36"/>
      <c r="R7227" s="36"/>
      <c r="S7227" s="36"/>
      <c r="T7227" s="36"/>
      <c r="U7227" s="36"/>
      <c r="V7227" s="36"/>
      <c r="W7227" s="15">
        <f t="shared" si="1457"/>
        <v>0</v>
      </c>
      <c r="X7227" s="36"/>
      <c r="Y7227" s="36"/>
      <c r="Z7227" s="36"/>
      <c r="AA7227" s="36"/>
      <c r="AB7227" s="36"/>
      <c r="AC7227" s="36"/>
      <c r="AD7227" s="36"/>
      <c r="AE7227" s="36"/>
      <c r="AF7227" s="36"/>
      <c r="AG7227" s="36"/>
      <c r="AH7227" s="36"/>
      <c r="AI7227" s="36"/>
      <c r="AJ7227" s="15">
        <f t="shared" si="1458"/>
        <v>0</v>
      </c>
      <c r="AK7227" s="14"/>
      <c r="AL7227" s="14"/>
      <c r="AM7227" s="14"/>
      <c r="AN7227" s="14">
        <v>200</v>
      </c>
      <c r="AO7227" s="14">
        <v>200</v>
      </c>
      <c r="AP7227" s="14">
        <v>200</v>
      </c>
      <c r="AQ7227" s="14">
        <v>200</v>
      </c>
      <c r="AR7227" s="14">
        <v>200</v>
      </c>
      <c r="AS7227" s="14">
        <v>200</v>
      </c>
      <c r="AT7227" s="14"/>
      <c r="AU7227" s="14"/>
      <c r="AV7227" s="14"/>
      <c r="AW7227" s="15">
        <f t="shared" si="1459"/>
        <v>1200</v>
      </c>
      <c r="AX7227" s="16"/>
    </row>
    <row r="7228" spans="2:52" x14ac:dyDescent="0.2">
      <c r="B7228" s="7"/>
      <c r="C7228" s="8">
        <v>17270</v>
      </c>
      <c r="D7228" s="9" t="s">
        <v>346</v>
      </c>
      <c r="E7228" s="10" t="str">
        <f t="shared" ref="E7228:E7267" si="1460">IF(D7228=0,"",VLOOKUP(D7228,BASE,2,FALSE))</f>
        <v>Rancho Upácuaro No. 108</v>
      </c>
      <c r="F7228" s="10" t="str">
        <f t="shared" ref="F7228:F7267" si="1461">IF(D7228=0,"",VLOOKUP(D7228,BASE,3,FALSE))</f>
        <v>Mejía</v>
      </c>
      <c r="G7228" s="8">
        <v>1</v>
      </c>
      <c r="H7228" s="11">
        <v>300</v>
      </c>
      <c r="I7228" s="12">
        <v>43361</v>
      </c>
      <c r="J7228" s="35">
        <f t="shared" ref="J7228:J7267" si="1462">IF(G7228=1,SUM(W7228,AJ7228,AW7228,-H7228),0)</f>
        <v>0</v>
      </c>
      <c r="K7228" s="36"/>
      <c r="L7228" s="36"/>
      <c r="M7228" s="36"/>
      <c r="N7228" s="36"/>
      <c r="O7228" s="36"/>
      <c r="P7228" s="36"/>
      <c r="Q7228" s="36"/>
      <c r="R7228" s="36"/>
      <c r="S7228" s="36"/>
      <c r="T7228" s="36"/>
      <c r="U7228" s="36"/>
      <c r="V7228" s="36"/>
      <c r="W7228" s="15">
        <f t="shared" ref="W7228:W7267" si="1463">SUM(K7228:V7228)</f>
        <v>0</v>
      </c>
      <c r="X7228" s="36"/>
      <c r="Y7228" s="36"/>
      <c r="Z7228" s="36"/>
      <c r="AA7228" s="36"/>
      <c r="AB7228" s="36"/>
      <c r="AC7228" s="36"/>
      <c r="AD7228" s="36"/>
      <c r="AE7228" s="36"/>
      <c r="AF7228" s="36"/>
      <c r="AG7228" s="36"/>
      <c r="AH7228" s="36"/>
      <c r="AI7228" s="36"/>
      <c r="AJ7228" s="15">
        <f t="shared" ref="AJ7228:AJ7267" si="1464">SUM(X7228:AI7228)</f>
        <v>0</v>
      </c>
      <c r="AK7228" s="14"/>
      <c r="AL7228" s="14"/>
      <c r="AM7228" s="14"/>
      <c r="AN7228" s="14"/>
      <c r="AO7228" s="14"/>
      <c r="AP7228" s="14"/>
      <c r="AQ7228" s="14"/>
      <c r="AR7228" s="14"/>
      <c r="AS7228" s="14">
        <v>300</v>
      </c>
      <c r="AT7228" s="14"/>
      <c r="AU7228" s="14"/>
      <c r="AV7228" s="14"/>
      <c r="AW7228" s="15">
        <f t="shared" ref="AW7228:AW7267" si="1465">SUM(AK7228:AV7228)</f>
        <v>300</v>
      </c>
      <c r="AX7228" s="16"/>
    </row>
    <row r="7229" spans="2:52" x14ac:dyDescent="0.2">
      <c r="B7229" s="7"/>
      <c r="C7229" s="8">
        <v>17271</v>
      </c>
      <c r="D7229" s="9" t="s">
        <v>41</v>
      </c>
      <c r="E7229" s="10" t="str">
        <f t="shared" si="1460"/>
        <v>Rancho Landero No. 54, 2</v>
      </c>
      <c r="F7229" s="10" t="str">
        <f t="shared" si="1461"/>
        <v>Montemayor Santana</v>
      </c>
      <c r="G7229" s="8">
        <v>1</v>
      </c>
      <c r="H7229" s="11">
        <v>600</v>
      </c>
      <c r="I7229" s="12">
        <v>43362</v>
      </c>
      <c r="J7229" s="35">
        <f t="shared" si="1462"/>
        <v>0</v>
      </c>
      <c r="K7229" s="36"/>
      <c r="L7229" s="36"/>
      <c r="M7229" s="36"/>
      <c r="N7229" s="36"/>
      <c r="O7229" s="36"/>
      <c r="P7229" s="36"/>
      <c r="Q7229" s="36"/>
      <c r="R7229" s="36"/>
      <c r="S7229" s="36"/>
      <c r="T7229" s="36"/>
      <c r="U7229" s="36"/>
      <c r="V7229" s="36"/>
      <c r="W7229" s="15">
        <f t="shared" si="1463"/>
        <v>0</v>
      </c>
      <c r="X7229" s="36"/>
      <c r="Y7229" s="36"/>
      <c r="Z7229" s="36"/>
      <c r="AA7229" s="36"/>
      <c r="AB7229" s="36"/>
      <c r="AC7229" s="36"/>
      <c r="AD7229" s="36"/>
      <c r="AE7229" s="36"/>
      <c r="AF7229" s="36"/>
      <c r="AG7229" s="36"/>
      <c r="AH7229" s="36"/>
      <c r="AI7229" s="36"/>
      <c r="AJ7229" s="15">
        <f t="shared" si="1464"/>
        <v>0</v>
      </c>
      <c r="AK7229" s="14"/>
      <c r="AL7229" s="14"/>
      <c r="AM7229" s="14"/>
      <c r="AN7229" s="14">
        <v>200</v>
      </c>
      <c r="AO7229" s="14">
        <v>200</v>
      </c>
      <c r="AP7229" s="14">
        <v>200</v>
      </c>
      <c r="AQ7229" s="14"/>
      <c r="AR7229" s="14"/>
      <c r="AS7229" s="14"/>
      <c r="AT7229" s="14"/>
      <c r="AU7229" s="14"/>
      <c r="AV7229" s="14"/>
      <c r="AW7229" s="15">
        <f t="shared" si="1465"/>
        <v>600</v>
      </c>
      <c r="AX7229" s="16"/>
    </row>
    <row r="7230" spans="2:52" x14ac:dyDescent="0.2">
      <c r="B7230" s="7"/>
      <c r="C7230" s="8">
        <v>17272</v>
      </c>
      <c r="D7230" s="9" t="s">
        <v>909</v>
      </c>
      <c r="E7230" s="10" t="str">
        <f t="shared" ref="E7230:E7255" si="1466">IF(D7230=0,"",VLOOKUP(D7230,BASE,2,FALSE))</f>
        <v>Rancho La Cuchilla No. 44</v>
      </c>
      <c r="F7230" s="10" t="str">
        <f t="shared" ref="F7230:F7255" si="1467">IF(D7230=0,"",VLOOKUP(D7230,BASE,3,FALSE))</f>
        <v>García Osorio</v>
      </c>
      <c r="G7230" s="8">
        <v>1</v>
      </c>
      <c r="H7230" s="11">
        <v>700</v>
      </c>
      <c r="I7230" s="12">
        <v>43362</v>
      </c>
      <c r="J7230" s="35">
        <f t="shared" ref="J7230:J7255" si="1468">IF(G7230=1,SUM(W7230,AJ7230,AW7230,-H7230),0)</f>
        <v>0</v>
      </c>
      <c r="K7230" s="36"/>
      <c r="L7230" s="36"/>
      <c r="M7230" s="36"/>
      <c r="N7230" s="36"/>
      <c r="O7230" s="36"/>
      <c r="P7230" s="36"/>
      <c r="Q7230" s="36"/>
      <c r="R7230" s="36"/>
      <c r="S7230" s="36"/>
      <c r="T7230" s="36"/>
      <c r="U7230" s="36"/>
      <c r="V7230" s="36"/>
      <c r="W7230" s="15">
        <f t="shared" ref="W7230:W7255" si="1469">SUM(K7230:V7230)</f>
        <v>0</v>
      </c>
      <c r="X7230" s="36"/>
      <c r="Y7230" s="36"/>
      <c r="Z7230" s="36"/>
      <c r="AA7230" s="36"/>
      <c r="AB7230" s="36"/>
      <c r="AC7230" s="36"/>
      <c r="AD7230" s="36"/>
      <c r="AE7230" s="36"/>
      <c r="AF7230" s="36"/>
      <c r="AG7230" s="36"/>
      <c r="AH7230" s="36"/>
      <c r="AI7230" s="36"/>
      <c r="AJ7230" s="15">
        <f t="shared" ref="AJ7230:AJ7255" si="1470">SUM(X7230:AI7230)</f>
        <v>0</v>
      </c>
      <c r="AK7230" s="14"/>
      <c r="AL7230" s="14"/>
      <c r="AM7230" s="14"/>
      <c r="AN7230" s="14"/>
      <c r="AO7230" s="14"/>
      <c r="AP7230" s="14"/>
      <c r="AQ7230" s="14">
        <v>350</v>
      </c>
      <c r="AR7230" s="14">
        <v>350</v>
      </c>
      <c r="AS7230" s="14"/>
      <c r="AT7230" s="14"/>
      <c r="AU7230" s="14"/>
      <c r="AV7230" s="14"/>
      <c r="AW7230" s="15">
        <f t="shared" ref="AW7230:AW7255" si="1471">SUM(AK7230:AV7230)</f>
        <v>700</v>
      </c>
      <c r="AX7230" s="16"/>
    </row>
    <row r="7231" spans="2:52" x14ac:dyDescent="0.2">
      <c r="B7231" s="7"/>
      <c r="C7231" s="8">
        <v>17273</v>
      </c>
      <c r="D7231" s="9" t="s">
        <v>728</v>
      </c>
      <c r="E7231" s="10" t="str">
        <f t="shared" si="1466"/>
        <v>Rancho Estanzuela No. 77</v>
      </c>
      <c r="F7231" s="10" t="str">
        <f t="shared" si="1467"/>
        <v>De la Rosa Rico</v>
      </c>
      <c r="G7231" s="8">
        <v>1</v>
      </c>
      <c r="H7231" s="11">
        <v>400</v>
      </c>
      <c r="I7231" s="12">
        <v>43362</v>
      </c>
      <c r="J7231" s="35">
        <f t="shared" si="1468"/>
        <v>0</v>
      </c>
      <c r="K7231" s="36"/>
      <c r="L7231" s="36"/>
      <c r="M7231" s="36"/>
      <c r="N7231" s="36"/>
      <c r="O7231" s="36"/>
      <c r="P7231" s="36"/>
      <c r="Q7231" s="36"/>
      <c r="R7231" s="36"/>
      <c r="S7231" s="36"/>
      <c r="T7231" s="36"/>
      <c r="U7231" s="36"/>
      <c r="V7231" s="36"/>
      <c r="W7231" s="15">
        <f t="shared" si="1469"/>
        <v>0</v>
      </c>
      <c r="X7231" s="36"/>
      <c r="Y7231" s="36"/>
      <c r="Z7231" s="36"/>
      <c r="AA7231" s="36"/>
      <c r="AB7231" s="36"/>
      <c r="AC7231" s="36"/>
      <c r="AD7231" s="36"/>
      <c r="AE7231" s="36"/>
      <c r="AF7231" s="36"/>
      <c r="AG7231" s="36"/>
      <c r="AH7231" s="36"/>
      <c r="AI7231" s="36"/>
      <c r="AJ7231" s="15">
        <f t="shared" si="1470"/>
        <v>0</v>
      </c>
      <c r="AK7231" s="14"/>
      <c r="AL7231" s="14"/>
      <c r="AM7231" s="14"/>
      <c r="AN7231" s="14"/>
      <c r="AO7231" s="14"/>
      <c r="AP7231" s="14"/>
      <c r="AQ7231" s="14">
        <v>400</v>
      </c>
      <c r="AR7231" s="14"/>
      <c r="AS7231" s="14"/>
      <c r="AT7231" s="14"/>
      <c r="AU7231" s="14"/>
      <c r="AV7231" s="14"/>
      <c r="AW7231" s="15">
        <f t="shared" si="1471"/>
        <v>400</v>
      </c>
      <c r="AX7231" s="16"/>
    </row>
    <row r="7232" spans="2:52" x14ac:dyDescent="0.2">
      <c r="B7232" s="7"/>
      <c r="C7232" s="8">
        <v>17274</v>
      </c>
      <c r="D7232" s="9" t="s">
        <v>1154</v>
      </c>
      <c r="E7232" s="10" t="str">
        <f t="shared" si="1466"/>
        <v>Rancho La Cuchilla No. 112, PA</v>
      </c>
      <c r="F7232" s="10" t="str">
        <f t="shared" si="1467"/>
        <v>Villalpando Pineda</v>
      </c>
      <c r="G7232" s="8">
        <v>1</v>
      </c>
      <c r="H7232" s="11">
        <v>600</v>
      </c>
      <c r="I7232" s="12">
        <v>43363</v>
      </c>
      <c r="J7232" s="35">
        <f t="shared" si="1468"/>
        <v>0</v>
      </c>
      <c r="K7232" s="36"/>
      <c r="L7232" s="36"/>
      <c r="M7232" s="36"/>
      <c r="N7232" s="36"/>
      <c r="O7232" s="36"/>
      <c r="P7232" s="36"/>
      <c r="Q7232" s="36"/>
      <c r="R7232" s="36"/>
      <c r="S7232" s="36"/>
      <c r="T7232" s="36"/>
      <c r="U7232" s="36"/>
      <c r="V7232" s="36"/>
      <c r="W7232" s="15">
        <f t="shared" si="1469"/>
        <v>0</v>
      </c>
      <c r="X7232" s="36"/>
      <c r="Y7232" s="36"/>
      <c r="Z7232" s="36"/>
      <c r="AA7232" s="36"/>
      <c r="AB7232" s="36"/>
      <c r="AC7232" s="36"/>
      <c r="AD7232" s="36"/>
      <c r="AE7232" s="36"/>
      <c r="AF7232" s="36"/>
      <c r="AG7232" s="36"/>
      <c r="AH7232" s="36"/>
      <c r="AI7232" s="36"/>
      <c r="AJ7232" s="15">
        <f t="shared" si="1470"/>
        <v>0</v>
      </c>
      <c r="AK7232" s="14"/>
      <c r="AL7232" s="14"/>
      <c r="AM7232" s="14"/>
      <c r="AN7232" s="14"/>
      <c r="AO7232" s="14">
        <v>200</v>
      </c>
      <c r="AP7232" s="14">
        <v>200</v>
      </c>
      <c r="AQ7232" s="14">
        <v>200</v>
      </c>
      <c r="AR7232" s="14"/>
      <c r="AS7232" s="14"/>
      <c r="AT7232" s="14"/>
      <c r="AU7232" s="14"/>
      <c r="AV7232" s="14"/>
      <c r="AW7232" s="15">
        <f t="shared" si="1471"/>
        <v>600</v>
      </c>
      <c r="AX7232" s="16"/>
    </row>
    <row r="7233" spans="2:50" x14ac:dyDescent="0.2">
      <c r="B7233" s="7"/>
      <c r="C7233" s="8">
        <v>17275</v>
      </c>
      <c r="D7233" s="9" t="s">
        <v>220</v>
      </c>
      <c r="E7233" s="10" t="str">
        <f t="shared" si="1466"/>
        <v>Rancho Recoveco No. 3</v>
      </c>
      <c r="F7233" s="10" t="str">
        <f t="shared" si="1467"/>
        <v>Garduño</v>
      </c>
      <c r="G7233" s="8">
        <v>1</v>
      </c>
      <c r="H7233" s="11">
        <v>600</v>
      </c>
      <c r="I7233" s="12">
        <v>43364</v>
      </c>
      <c r="J7233" s="35">
        <f t="shared" si="1468"/>
        <v>0</v>
      </c>
      <c r="K7233" s="36"/>
      <c r="L7233" s="36"/>
      <c r="M7233" s="36"/>
      <c r="N7233" s="36"/>
      <c r="O7233" s="36"/>
      <c r="P7233" s="36"/>
      <c r="Q7233" s="36"/>
      <c r="R7233" s="36"/>
      <c r="S7233" s="36"/>
      <c r="T7233" s="36"/>
      <c r="U7233" s="36"/>
      <c r="V7233" s="36"/>
      <c r="W7233" s="15">
        <f t="shared" si="1469"/>
        <v>0</v>
      </c>
      <c r="X7233" s="36"/>
      <c r="Y7233" s="36"/>
      <c r="Z7233" s="36"/>
      <c r="AA7233" s="36"/>
      <c r="AB7233" s="36"/>
      <c r="AC7233" s="36"/>
      <c r="AD7233" s="36"/>
      <c r="AE7233" s="36"/>
      <c r="AF7233" s="36"/>
      <c r="AG7233" s="36"/>
      <c r="AH7233" s="36"/>
      <c r="AI7233" s="36"/>
      <c r="AJ7233" s="15">
        <f t="shared" si="1470"/>
        <v>0</v>
      </c>
      <c r="AK7233" s="14"/>
      <c r="AL7233" s="14"/>
      <c r="AM7233" s="14"/>
      <c r="AN7233" s="14"/>
      <c r="AO7233" s="14"/>
      <c r="AP7233" s="14"/>
      <c r="AQ7233" s="14"/>
      <c r="AR7233" s="14">
        <v>300</v>
      </c>
      <c r="AS7233" s="14">
        <v>300</v>
      </c>
      <c r="AT7233" s="14"/>
      <c r="AU7233" s="14"/>
      <c r="AV7233" s="14"/>
      <c r="AW7233" s="15">
        <f t="shared" si="1471"/>
        <v>600</v>
      </c>
      <c r="AX7233" s="16"/>
    </row>
    <row r="7234" spans="2:50" x14ac:dyDescent="0.2">
      <c r="B7234" s="7"/>
      <c r="C7234" s="8">
        <v>17276</v>
      </c>
      <c r="D7234" s="9" t="s">
        <v>1061</v>
      </c>
      <c r="E7234" s="10" t="str">
        <f t="shared" si="1466"/>
        <v>Rancho Estanzuela No. 103, A</v>
      </c>
      <c r="F7234" s="10" t="str">
        <f t="shared" si="1467"/>
        <v>Valencia Morentin</v>
      </c>
      <c r="G7234" s="8">
        <v>1</v>
      </c>
      <c r="H7234" s="11">
        <v>400</v>
      </c>
      <c r="I7234" s="12">
        <v>43364</v>
      </c>
      <c r="J7234" s="35">
        <f t="shared" si="1468"/>
        <v>0</v>
      </c>
      <c r="K7234" s="36"/>
      <c r="L7234" s="36"/>
      <c r="M7234" s="36"/>
      <c r="N7234" s="36"/>
      <c r="O7234" s="36"/>
      <c r="P7234" s="36"/>
      <c r="Q7234" s="36"/>
      <c r="R7234" s="36"/>
      <c r="S7234" s="36"/>
      <c r="T7234" s="36"/>
      <c r="U7234" s="36"/>
      <c r="V7234" s="36"/>
      <c r="W7234" s="15">
        <f t="shared" si="1469"/>
        <v>0</v>
      </c>
      <c r="X7234" s="36"/>
      <c r="Y7234" s="36"/>
      <c r="Z7234" s="36"/>
      <c r="AA7234" s="36"/>
      <c r="AB7234" s="36"/>
      <c r="AC7234" s="36"/>
      <c r="AD7234" s="36"/>
      <c r="AE7234" s="36"/>
      <c r="AF7234" s="36"/>
      <c r="AG7234" s="36"/>
      <c r="AH7234" s="36"/>
      <c r="AI7234" s="36"/>
      <c r="AJ7234" s="15">
        <f t="shared" si="1470"/>
        <v>0</v>
      </c>
      <c r="AK7234" s="14"/>
      <c r="AL7234" s="14"/>
      <c r="AM7234" s="14"/>
      <c r="AN7234" s="14"/>
      <c r="AO7234" s="14"/>
      <c r="AP7234" s="14">
        <v>200</v>
      </c>
      <c r="AQ7234" s="14">
        <v>200</v>
      </c>
      <c r="AR7234" s="14"/>
      <c r="AS7234" s="14"/>
      <c r="AT7234" s="14"/>
      <c r="AU7234" s="14"/>
      <c r="AV7234" s="14"/>
      <c r="AW7234" s="15">
        <f t="shared" si="1471"/>
        <v>400</v>
      </c>
      <c r="AX7234" s="16"/>
    </row>
    <row r="7235" spans="2:50" x14ac:dyDescent="0.2">
      <c r="B7235" s="7"/>
      <c r="C7235" s="8">
        <v>17277</v>
      </c>
      <c r="D7235" s="9" t="s">
        <v>1364</v>
      </c>
      <c r="E7235" s="10" t="str">
        <f t="shared" si="1466"/>
        <v>Calzada del Hueso No. 828</v>
      </c>
      <c r="F7235" s="10" t="str">
        <f t="shared" si="1467"/>
        <v>Cervantes, Miguel</v>
      </c>
      <c r="G7235" s="8">
        <v>1</v>
      </c>
      <c r="H7235" s="11">
        <v>300</v>
      </c>
      <c r="I7235" s="12">
        <v>43364</v>
      </c>
      <c r="J7235" s="35">
        <f t="shared" si="1468"/>
        <v>0</v>
      </c>
      <c r="K7235" s="36"/>
      <c r="L7235" s="36"/>
      <c r="M7235" s="36"/>
      <c r="N7235" s="36"/>
      <c r="O7235" s="36"/>
      <c r="P7235" s="36"/>
      <c r="Q7235" s="36"/>
      <c r="R7235" s="36"/>
      <c r="S7235" s="36"/>
      <c r="T7235" s="36"/>
      <c r="U7235" s="36"/>
      <c r="V7235" s="36"/>
      <c r="W7235" s="15">
        <f t="shared" si="1469"/>
        <v>0</v>
      </c>
      <c r="X7235" s="36"/>
      <c r="Y7235" s="36"/>
      <c r="Z7235" s="36"/>
      <c r="AA7235" s="36"/>
      <c r="AB7235" s="36"/>
      <c r="AC7235" s="36"/>
      <c r="AD7235" s="36"/>
      <c r="AE7235" s="36"/>
      <c r="AF7235" s="36"/>
      <c r="AG7235" s="36"/>
      <c r="AH7235" s="36"/>
      <c r="AI7235" s="36"/>
      <c r="AJ7235" s="15">
        <f t="shared" si="1470"/>
        <v>0</v>
      </c>
      <c r="AK7235" s="14"/>
      <c r="AL7235" s="14"/>
      <c r="AM7235" s="14"/>
      <c r="AN7235" s="14"/>
      <c r="AO7235" s="14">
        <v>150</v>
      </c>
      <c r="AP7235" s="14">
        <v>150</v>
      </c>
      <c r="AQ7235" s="14"/>
      <c r="AR7235" s="14"/>
      <c r="AS7235" s="14"/>
      <c r="AT7235" s="14"/>
      <c r="AU7235" s="14"/>
      <c r="AV7235" s="14"/>
      <c r="AW7235" s="15">
        <f t="shared" si="1471"/>
        <v>300</v>
      </c>
      <c r="AX7235" s="16"/>
    </row>
    <row r="7236" spans="2:50" x14ac:dyDescent="0.2">
      <c r="B7236" s="7"/>
      <c r="C7236" s="8">
        <v>17278</v>
      </c>
      <c r="D7236" s="9" t="s">
        <v>640</v>
      </c>
      <c r="E7236" s="10" t="str">
        <f t="shared" si="1466"/>
        <v>Rancho Estopila No. 22, A</v>
      </c>
      <c r="F7236" s="10" t="str">
        <f t="shared" si="1467"/>
        <v>Ayala Carranza</v>
      </c>
      <c r="G7236" s="8">
        <v>1</v>
      </c>
      <c r="H7236" s="11">
        <v>200</v>
      </c>
      <c r="I7236" s="12">
        <v>43366</v>
      </c>
      <c r="J7236" s="35">
        <f t="shared" si="1468"/>
        <v>0</v>
      </c>
      <c r="K7236" s="36"/>
      <c r="L7236" s="36"/>
      <c r="M7236" s="36"/>
      <c r="N7236" s="36"/>
      <c r="O7236" s="36"/>
      <c r="P7236" s="36"/>
      <c r="Q7236" s="36"/>
      <c r="R7236" s="36"/>
      <c r="S7236" s="36"/>
      <c r="T7236" s="36"/>
      <c r="U7236" s="36"/>
      <c r="V7236" s="36"/>
      <c r="W7236" s="15">
        <f t="shared" si="1469"/>
        <v>0</v>
      </c>
      <c r="X7236" s="36"/>
      <c r="Y7236" s="36"/>
      <c r="Z7236" s="36"/>
      <c r="AA7236" s="36"/>
      <c r="AB7236" s="36"/>
      <c r="AC7236" s="36"/>
      <c r="AD7236" s="36"/>
      <c r="AE7236" s="36"/>
      <c r="AF7236" s="36"/>
      <c r="AG7236" s="36"/>
      <c r="AH7236" s="36"/>
      <c r="AI7236" s="36"/>
      <c r="AJ7236" s="15">
        <f t="shared" si="1470"/>
        <v>0</v>
      </c>
      <c r="AK7236" s="14"/>
      <c r="AL7236" s="14"/>
      <c r="AM7236" s="14"/>
      <c r="AN7236" s="14"/>
      <c r="AO7236" s="14"/>
      <c r="AP7236" s="14"/>
      <c r="AQ7236" s="14"/>
      <c r="AR7236" s="14"/>
      <c r="AS7236" s="14">
        <v>200</v>
      </c>
      <c r="AT7236" s="14"/>
      <c r="AU7236" s="14"/>
      <c r="AV7236" s="14"/>
      <c r="AW7236" s="15">
        <f t="shared" si="1471"/>
        <v>200</v>
      </c>
      <c r="AX7236" s="16"/>
    </row>
    <row r="7237" spans="2:50" x14ac:dyDescent="0.2">
      <c r="B7237" s="7"/>
      <c r="C7237" s="8">
        <v>17279</v>
      </c>
      <c r="D7237" s="9" t="s">
        <v>646</v>
      </c>
      <c r="E7237" s="10" t="str">
        <f t="shared" si="1466"/>
        <v>Rancho Landero No. 84</v>
      </c>
      <c r="F7237" s="10" t="str">
        <f t="shared" si="1467"/>
        <v>Alcántara</v>
      </c>
      <c r="G7237" s="8">
        <v>1</v>
      </c>
      <c r="H7237" s="11">
        <v>600</v>
      </c>
      <c r="I7237" s="12">
        <v>43366</v>
      </c>
      <c r="J7237" s="35">
        <f t="shared" si="1468"/>
        <v>0</v>
      </c>
      <c r="K7237" s="36"/>
      <c r="L7237" s="36"/>
      <c r="M7237" s="36"/>
      <c r="N7237" s="36"/>
      <c r="O7237" s="36"/>
      <c r="P7237" s="36"/>
      <c r="Q7237" s="36"/>
      <c r="R7237" s="36"/>
      <c r="S7237" s="36"/>
      <c r="T7237" s="36"/>
      <c r="U7237" s="36"/>
      <c r="V7237" s="36"/>
      <c r="W7237" s="15">
        <f t="shared" si="1469"/>
        <v>0</v>
      </c>
      <c r="X7237" s="36"/>
      <c r="Y7237" s="36"/>
      <c r="Z7237" s="36"/>
      <c r="AA7237" s="36"/>
      <c r="AB7237" s="36"/>
      <c r="AC7237" s="36"/>
      <c r="AD7237" s="36"/>
      <c r="AE7237" s="36"/>
      <c r="AF7237" s="36"/>
      <c r="AG7237" s="36"/>
      <c r="AH7237" s="36"/>
      <c r="AI7237" s="36"/>
      <c r="AJ7237" s="15">
        <f t="shared" si="1470"/>
        <v>0</v>
      </c>
      <c r="AK7237" s="14"/>
      <c r="AL7237" s="14"/>
      <c r="AM7237" s="14"/>
      <c r="AN7237" s="14"/>
      <c r="AO7237" s="14"/>
      <c r="AP7237" s="14"/>
      <c r="AQ7237" s="14"/>
      <c r="AR7237" s="14"/>
      <c r="AS7237" s="14">
        <v>300</v>
      </c>
      <c r="AT7237" s="14">
        <v>300</v>
      </c>
      <c r="AU7237" s="14"/>
      <c r="AV7237" s="14"/>
      <c r="AW7237" s="15">
        <f t="shared" si="1471"/>
        <v>600</v>
      </c>
      <c r="AX7237" s="16"/>
    </row>
    <row r="7238" spans="2:50" x14ac:dyDescent="0.2">
      <c r="B7238" s="7"/>
      <c r="C7238" s="8">
        <v>17280</v>
      </c>
      <c r="D7238" s="9" t="s">
        <v>1039</v>
      </c>
      <c r="E7238" s="10" t="str">
        <f t="shared" si="1466"/>
        <v>Rancho Upácuaro No. 77</v>
      </c>
      <c r="F7238" s="10" t="str">
        <f t="shared" si="1467"/>
        <v>Alvarado</v>
      </c>
      <c r="G7238" s="8">
        <v>1</v>
      </c>
      <c r="H7238" s="11">
        <v>800</v>
      </c>
      <c r="I7238" s="12">
        <v>43366</v>
      </c>
      <c r="J7238" s="35">
        <f t="shared" si="1468"/>
        <v>0</v>
      </c>
      <c r="K7238" s="36"/>
      <c r="L7238" s="36"/>
      <c r="M7238" s="36"/>
      <c r="N7238" s="36"/>
      <c r="O7238" s="36"/>
      <c r="P7238" s="36"/>
      <c r="Q7238" s="36"/>
      <c r="R7238" s="36"/>
      <c r="S7238" s="36"/>
      <c r="T7238" s="36"/>
      <c r="U7238" s="36"/>
      <c r="V7238" s="36"/>
      <c r="W7238" s="15">
        <f t="shared" si="1469"/>
        <v>0</v>
      </c>
      <c r="X7238" s="36"/>
      <c r="Y7238" s="36"/>
      <c r="Z7238" s="36"/>
      <c r="AA7238" s="36"/>
      <c r="AB7238" s="36"/>
      <c r="AC7238" s="36"/>
      <c r="AD7238" s="36"/>
      <c r="AE7238" s="36"/>
      <c r="AF7238" s="36"/>
      <c r="AG7238" s="36"/>
      <c r="AH7238" s="36"/>
      <c r="AI7238" s="36"/>
      <c r="AJ7238" s="15">
        <f t="shared" si="1470"/>
        <v>0</v>
      </c>
      <c r="AK7238" s="14"/>
      <c r="AL7238" s="14"/>
      <c r="AM7238" s="14"/>
      <c r="AN7238" s="14"/>
      <c r="AO7238" s="14"/>
      <c r="AP7238" s="14"/>
      <c r="AQ7238" s="14"/>
      <c r="AR7238" s="14">
        <v>400</v>
      </c>
      <c r="AS7238" s="14">
        <v>400</v>
      </c>
      <c r="AT7238" s="14"/>
      <c r="AU7238" s="14"/>
      <c r="AV7238" s="14"/>
      <c r="AW7238" s="15">
        <f t="shared" si="1471"/>
        <v>800</v>
      </c>
      <c r="AX7238" s="16"/>
    </row>
    <row r="7239" spans="2:50" x14ac:dyDescent="0.2">
      <c r="B7239" s="7"/>
      <c r="C7239" s="8">
        <v>17281</v>
      </c>
      <c r="D7239" s="9" t="s">
        <v>817</v>
      </c>
      <c r="E7239" s="10" t="str">
        <f t="shared" si="1466"/>
        <v>Rancho Estanzuela No. 7, B</v>
      </c>
      <c r="F7239" s="10" t="str">
        <f t="shared" si="1467"/>
        <v>Camargo Romero</v>
      </c>
      <c r="G7239" s="8">
        <v>1</v>
      </c>
      <c r="H7239" s="11">
        <v>1000</v>
      </c>
      <c r="I7239" s="12">
        <v>43366</v>
      </c>
      <c r="J7239" s="35">
        <f t="shared" si="1468"/>
        <v>0</v>
      </c>
      <c r="K7239" s="36"/>
      <c r="L7239" s="36"/>
      <c r="M7239" s="36"/>
      <c r="N7239" s="36"/>
      <c r="O7239" s="36"/>
      <c r="P7239" s="36"/>
      <c r="Q7239" s="36"/>
      <c r="R7239" s="36"/>
      <c r="S7239" s="36"/>
      <c r="T7239" s="36"/>
      <c r="U7239" s="36"/>
      <c r="V7239" s="36"/>
      <c r="W7239" s="15">
        <f t="shared" si="1469"/>
        <v>0</v>
      </c>
      <c r="X7239" s="36"/>
      <c r="Y7239" s="36"/>
      <c r="Z7239" s="36"/>
      <c r="AA7239" s="36"/>
      <c r="AB7239" s="36"/>
      <c r="AC7239" s="36"/>
      <c r="AD7239" s="36"/>
      <c r="AE7239" s="36"/>
      <c r="AF7239" s="36"/>
      <c r="AG7239" s="36"/>
      <c r="AH7239" s="36"/>
      <c r="AI7239" s="36"/>
      <c r="AJ7239" s="15">
        <f t="shared" si="1470"/>
        <v>0</v>
      </c>
      <c r="AK7239" s="14"/>
      <c r="AL7239" s="14"/>
      <c r="AM7239" s="14"/>
      <c r="AN7239" s="14"/>
      <c r="AO7239" s="14"/>
      <c r="AP7239" s="14">
        <v>200</v>
      </c>
      <c r="AQ7239" s="14">
        <v>200</v>
      </c>
      <c r="AR7239" s="14">
        <v>200</v>
      </c>
      <c r="AS7239" s="14">
        <v>200</v>
      </c>
      <c r="AT7239" s="14">
        <v>200</v>
      </c>
      <c r="AU7239" s="14"/>
      <c r="AV7239" s="14"/>
      <c r="AW7239" s="15">
        <f t="shared" si="1471"/>
        <v>1000</v>
      </c>
      <c r="AX7239" s="16"/>
    </row>
    <row r="7240" spans="2:50" x14ac:dyDescent="0.2">
      <c r="B7240" s="7"/>
      <c r="C7240" s="8">
        <v>17282</v>
      </c>
      <c r="D7240" s="9" t="s">
        <v>286</v>
      </c>
      <c r="E7240" s="10" t="str">
        <f t="shared" si="1466"/>
        <v>Rancho Zinamba No. 20</v>
      </c>
      <c r="F7240" s="10" t="str">
        <f t="shared" si="1467"/>
        <v>Cruz Vallejo</v>
      </c>
      <c r="G7240" s="8">
        <v>1</v>
      </c>
      <c r="H7240" s="11">
        <v>400</v>
      </c>
      <c r="I7240" s="12">
        <v>43366</v>
      </c>
      <c r="J7240" s="35">
        <f t="shared" si="1468"/>
        <v>0</v>
      </c>
      <c r="K7240" s="36"/>
      <c r="L7240" s="36"/>
      <c r="M7240" s="36"/>
      <c r="N7240" s="36"/>
      <c r="O7240" s="36"/>
      <c r="P7240" s="36"/>
      <c r="Q7240" s="36"/>
      <c r="R7240" s="36"/>
      <c r="S7240" s="36"/>
      <c r="T7240" s="36"/>
      <c r="U7240" s="36"/>
      <c r="V7240" s="36"/>
      <c r="W7240" s="15">
        <f t="shared" si="1469"/>
        <v>0</v>
      </c>
      <c r="X7240" s="36"/>
      <c r="Y7240" s="36"/>
      <c r="Z7240" s="36"/>
      <c r="AA7240" s="36"/>
      <c r="AB7240" s="36"/>
      <c r="AC7240" s="36"/>
      <c r="AD7240" s="36"/>
      <c r="AE7240" s="36"/>
      <c r="AF7240" s="36"/>
      <c r="AG7240" s="36"/>
      <c r="AH7240" s="36"/>
      <c r="AI7240" s="36"/>
      <c r="AJ7240" s="15">
        <f t="shared" si="1470"/>
        <v>0</v>
      </c>
      <c r="AK7240" s="14"/>
      <c r="AL7240" s="14"/>
      <c r="AM7240" s="14"/>
      <c r="AN7240" s="14"/>
      <c r="AO7240" s="14"/>
      <c r="AP7240" s="14"/>
      <c r="AQ7240" s="14"/>
      <c r="AR7240" s="14"/>
      <c r="AS7240" s="14"/>
      <c r="AT7240" s="14">
        <v>400</v>
      </c>
      <c r="AU7240" s="14"/>
      <c r="AV7240" s="14"/>
      <c r="AW7240" s="15">
        <f t="shared" si="1471"/>
        <v>400</v>
      </c>
      <c r="AX7240" s="16"/>
    </row>
    <row r="7241" spans="2:50" x14ac:dyDescent="0.2">
      <c r="B7241" s="7"/>
      <c r="C7241" s="8">
        <v>17283</v>
      </c>
      <c r="D7241" s="9" t="s">
        <v>1100</v>
      </c>
      <c r="E7241" s="10" t="str">
        <f t="shared" si="1466"/>
        <v>Rancho Upácuaro No. 45</v>
      </c>
      <c r="F7241" s="10" t="str">
        <f t="shared" si="1467"/>
        <v>Enrique Vázquez</v>
      </c>
      <c r="G7241" s="8">
        <v>1</v>
      </c>
      <c r="H7241" s="11">
        <v>400</v>
      </c>
      <c r="I7241" s="12">
        <v>43366</v>
      </c>
      <c r="J7241" s="35">
        <f t="shared" si="1468"/>
        <v>0</v>
      </c>
      <c r="K7241" s="36"/>
      <c r="L7241" s="36"/>
      <c r="M7241" s="36"/>
      <c r="N7241" s="36"/>
      <c r="O7241" s="36"/>
      <c r="P7241" s="36"/>
      <c r="Q7241" s="36"/>
      <c r="R7241" s="36"/>
      <c r="S7241" s="36"/>
      <c r="T7241" s="36"/>
      <c r="U7241" s="36"/>
      <c r="V7241" s="36"/>
      <c r="W7241" s="15">
        <f t="shared" si="1469"/>
        <v>0</v>
      </c>
      <c r="X7241" s="36"/>
      <c r="Y7241" s="36"/>
      <c r="Z7241" s="36"/>
      <c r="AA7241" s="36"/>
      <c r="AB7241" s="36"/>
      <c r="AC7241" s="36"/>
      <c r="AD7241" s="36"/>
      <c r="AE7241" s="36"/>
      <c r="AF7241" s="36"/>
      <c r="AG7241" s="36"/>
      <c r="AH7241" s="36"/>
      <c r="AI7241" s="36"/>
      <c r="AJ7241" s="15">
        <f t="shared" si="1470"/>
        <v>0</v>
      </c>
      <c r="AK7241" s="14"/>
      <c r="AL7241" s="14"/>
      <c r="AM7241" s="14"/>
      <c r="AN7241" s="14"/>
      <c r="AO7241" s="14"/>
      <c r="AP7241" s="14"/>
      <c r="AQ7241" s="14"/>
      <c r="AR7241" s="14"/>
      <c r="AS7241" s="14">
        <v>100</v>
      </c>
      <c r="AT7241" s="14">
        <v>100</v>
      </c>
      <c r="AU7241" s="14">
        <v>100</v>
      </c>
      <c r="AV7241" s="14">
        <v>100</v>
      </c>
      <c r="AW7241" s="15">
        <f t="shared" si="1471"/>
        <v>400</v>
      </c>
      <c r="AX7241" s="16"/>
    </row>
    <row r="7242" spans="2:50" x14ac:dyDescent="0.2">
      <c r="B7242" s="7"/>
      <c r="C7242" s="8">
        <v>17284</v>
      </c>
      <c r="D7242" s="9" t="s">
        <v>189</v>
      </c>
      <c r="E7242" s="10" t="str">
        <f t="shared" si="1466"/>
        <v>Rancho La Cuchilla No. 42</v>
      </c>
      <c r="F7242" s="10" t="str">
        <f t="shared" si="1467"/>
        <v>Mac Kinney</v>
      </c>
      <c r="G7242" s="8">
        <v>1</v>
      </c>
      <c r="H7242" s="11">
        <v>400</v>
      </c>
      <c r="I7242" s="12">
        <v>43366</v>
      </c>
      <c r="J7242" s="35">
        <f t="shared" si="1468"/>
        <v>0</v>
      </c>
      <c r="K7242" s="36"/>
      <c r="L7242" s="36"/>
      <c r="M7242" s="36"/>
      <c r="N7242" s="36"/>
      <c r="O7242" s="36"/>
      <c r="P7242" s="36"/>
      <c r="Q7242" s="36"/>
      <c r="R7242" s="36"/>
      <c r="S7242" s="36"/>
      <c r="T7242" s="36"/>
      <c r="U7242" s="36"/>
      <c r="V7242" s="36"/>
      <c r="W7242" s="15">
        <f t="shared" si="1469"/>
        <v>0</v>
      </c>
      <c r="X7242" s="36"/>
      <c r="Y7242" s="36"/>
      <c r="Z7242" s="36"/>
      <c r="AA7242" s="36"/>
      <c r="AB7242" s="36"/>
      <c r="AC7242" s="36"/>
      <c r="AD7242" s="36"/>
      <c r="AE7242" s="36"/>
      <c r="AF7242" s="36"/>
      <c r="AG7242" s="36"/>
      <c r="AH7242" s="36"/>
      <c r="AI7242" s="36"/>
      <c r="AJ7242" s="15">
        <f t="shared" si="1470"/>
        <v>0</v>
      </c>
      <c r="AK7242" s="14"/>
      <c r="AL7242" s="14"/>
      <c r="AM7242" s="14"/>
      <c r="AN7242" s="14"/>
      <c r="AO7242" s="14"/>
      <c r="AP7242" s="14">
        <v>400</v>
      </c>
      <c r="AQ7242" s="14"/>
      <c r="AR7242" s="14"/>
      <c r="AS7242" s="14"/>
      <c r="AT7242" s="14"/>
      <c r="AU7242" s="14"/>
      <c r="AV7242" s="14"/>
      <c r="AW7242" s="15">
        <f t="shared" si="1471"/>
        <v>400</v>
      </c>
      <c r="AX7242" s="16"/>
    </row>
    <row r="7243" spans="2:50" x14ac:dyDescent="0.2">
      <c r="B7243" s="7"/>
      <c r="C7243" s="8">
        <v>17285</v>
      </c>
      <c r="D7243" s="9" t="s">
        <v>763</v>
      </c>
      <c r="E7243" s="10" t="str">
        <f t="shared" si="1466"/>
        <v>Rancho Estanzuela No. 79</v>
      </c>
      <c r="F7243" s="10" t="str">
        <f t="shared" si="1467"/>
        <v>Mendoza</v>
      </c>
      <c r="G7243" s="8">
        <v>1</v>
      </c>
      <c r="H7243" s="11">
        <v>400</v>
      </c>
      <c r="I7243" s="12">
        <v>43366</v>
      </c>
      <c r="J7243" s="35">
        <f t="shared" si="1468"/>
        <v>0</v>
      </c>
      <c r="K7243" s="36"/>
      <c r="L7243" s="36"/>
      <c r="M7243" s="36"/>
      <c r="N7243" s="36"/>
      <c r="O7243" s="36"/>
      <c r="P7243" s="36"/>
      <c r="Q7243" s="36"/>
      <c r="R7243" s="36"/>
      <c r="S7243" s="36"/>
      <c r="T7243" s="36"/>
      <c r="U7243" s="36"/>
      <c r="V7243" s="36"/>
      <c r="W7243" s="15">
        <f t="shared" si="1469"/>
        <v>0</v>
      </c>
      <c r="X7243" s="36"/>
      <c r="Y7243" s="36"/>
      <c r="Z7243" s="36"/>
      <c r="AA7243" s="36"/>
      <c r="AB7243" s="36"/>
      <c r="AC7243" s="36"/>
      <c r="AD7243" s="36"/>
      <c r="AE7243" s="36"/>
      <c r="AF7243" s="36"/>
      <c r="AG7243" s="36"/>
      <c r="AH7243" s="36"/>
      <c r="AI7243" s="36"/>
      <c r="AJ7243" s="15">
        <f t="shared" si="1470"/>
        <v>0</v>
      </c>
      <c r="AK7243" s="14"/>
      <c r="AL7243" s="14"/>
      <c r="AM7243" s="14"/>
      <c r="AN7243" s="14"/>
      <c r="AO7243" s="14"/>
      <c r="AP7243" s="14"/>
      <c r="AQ7243" s="14"/>
      <c r="AR7243" s="14">
        <v>200</v>
      </c>
      <c r="AS7243" s="14">
        <v>200</v>
      </c>
      <c r="AT7243" s="14"/>
      <c r="AU7243" s="14"/>
      <c r="AV7243" s="14"/>
      <c r="AW7243" s="15">
        <f t="shared" si="1471"/>
        <v>400</v>
      </c>
      <c r="AX7243" s="16"/>
    </row>
    <row r="7244" spans="2:50" x14ac:dyDescent="0.2">
      <c r="B7244" s="7"/>
      <c r="C7244" s="8">
        <v>17286</v>
      </c>
      <c r="D7244" s="9" t="s">
        <v>705</v>
      </c>
      <c r="E7244" s="10" t="str">
        <f t="shared" si="1466"/>
        <v>Rancho La Cuchilla No. 75</v>
      </c>
      <c r="F7244" s="10" t="str">
        <f t="shared" si="1467"/>
        <v>Sosa Lucio</v>
      </c>
      <c r="G7244" s="8">
        <v>1</v>
      </c>
      <c r="H7244" s="11">
        <v>300</v>
      </c>
      <c r="I7244" s="12">
        <v>43366</v>
      </c>
      <c r="J7244" s="35">
        <f t="shared" si="1468"/>
        <v>0</v>
      </c>
      <c r="K7244" s="36"/>
      <c r="L7244" s="36"/>
      <c r="M7244" s="36"/>
      <c r="N7244" s="36"/>
      <c r="O7244" s="36"/>
      <c r="P7244" s="36"/>
      <c r="Q7244" s="36"/>
      <c r="R7244" s="36"/>
      <c r="S7244" s="36"/>
      <c r="T7244" s="36"/>
      <c r="U7244" s="36"/>
      <c r="V7244" s="36"/>
      <c r="W7244" s="15">
        <f t="shared" si="1469"/>
        <v>0</v>
      </c>
      <c r="X7244" s="36"/>
      <c r="Y7244" s="36"/>
      <c r="Z7244" s="36"/>
      <c r="AA7244" s="36"/>
      <c r="AB7244" s="36"/>
      <c r="AC7244" s="36"/>
      <c r="AD7244" s="36"/>
      <c r="AE7244" s="36"/>
      <c r="AF7244" s="36"/>
      <c r="AG7244" s="36"/>
      <c r="AH7244" s="36"/>
      <c r="AI7244" s="36"/>
      <c r="AJ7244" s="15">
        <f t="shared" si="1470"/>
        <v>0</v>
      </c>
      <c r="AK7244" s="14"/>
      <c r="AL7244" s="14"/>
      <c r="AM7244" s="14"/>
      <c r="AN7244" s="14"/>
      <c r="AO7244" s="14"/>
      <c r="AP7244" s="14"/>
      <c r="AQ7244" s="14"/>
      <c r="AR7244" s="14"/>
      <c r="AS7244" s="14">
        <v>300</v>
      </c>
      <c r="AT7244" s="14"/>
      <c r="AU7244" s="14"/>
      <c r="AV7244" s="14"/>
      <c r="AW7244" s="15">
        <f t="shared" si="1471"/>
        <v>300</v>
      </c>
      <c r="AX7244" s="16"/>
    </row>
    <row r="7245" spans="2:50" x14ac:dyDescent="0.2">
      <c r="B7245" s="7"/>
      <c r="C7245" s="8">
        <v>17287</v>
      </c>
      <c r="D7245" s="9" t="s">
        <v>271</v>
      </c>
      <c r="E7245" s="10" t="str">
        <f t="shared" si="1466"/>
        <v>Rancho Landero No. 76</v>
      </c>
      <c r="F7245" s="10" t="str">
        <f t="shared" si="1467"/>
        <v>Ugarte</v>
      </c>
      <c r="G7245" s="8">
        <v>1</v>
      </c>
      <c r="H7245" s="11">
        <v>400</v>
      </c>
      <c r="I7245" s="12">
        <v>43366</v>
      </c>
      <c r="J7245" s="35">
        <f t="shared" si="1468"/>
        <v>0</v>
      </c>
      <c r="K7245" s="36"/>
      <c r="L7245" s="36"/>
      <c r="M7245" s="36"/>
      <c r="N7245" s="36"/>
      <c r="O7245" s="36"/>
      <c r="P7245" s="36"/>
      <c r="Q7245" s="36"/>
      <c r="R7245" s="36"/>
      <c r="S7245" s="36"/>
      <c r="T7245" s="36"/>
      <c r="U7245" s="36"/>
      <c r="V7245" s="36"/>
      <c r="W7245" s="15">
        <f t="shared" si="1469"/>
        <v>0</v>
      </c>
      <c r="X7245" s="36"/>
      <c r="Y7245" s="36"/>
      <c r="Z7245" s="36"/>
      <c r="AA7245" s="36"/>
      <c r="AB7245" s="36"/>
      <c r="AC7245" s="36"/>
      <c r="AD7245" s="36"/>
      <c r="AE7245" s="36"/>
      <c r="AF7245" s="36"/>
      <c r="AG7245" s="36"/>
      <c r="AH7245" s="36"/>
      <c r="AI7245" s="36"/>
      <c r="AJ7245" s="15">
        <f t="shared" si="1470"/>
        <v>0</v>
      </c>
      <c r="AK7245" s="14"/>
      <c r="AL7245" s="14"/>
      <c r="AM7245" s="14"/>
      <c r="AN7245" s="14"/>
      <c r="AO7245" s="14"/>
      <c r="AP7245" s="14"/>
      <c r="AQ7245" s="14"/>
      <c r="AR7245" s="14"/>
      <c r="AS7245" s="14">
        <v>400</v>
      </c>
      <c r="AT7245" s="14"/>
      <c r="AU7245" s="14"/>
      <c r="AV7245" s="14"/>
      <c r="AW7245" s="15">
        <f t="shared" si="1471"/>
        <v>400</v>
      </c>
      <c r="AX7245" s="16"/>
    </row>
    <row r="7246" spans="2:50" x14ac:dyDescent="0.2">
      <c r="B7246" s="7"/>
      <c r="C7246" s="8">
        <v>17288</v>
      </c>
      <c r="D7246" s="9" t="s">
        <v>123</v>
      </c>
      <c r="E7246" s="10" t="str">
        <f t="shared" si="1466"/>
        <v>Rancho Recoveco No. 175, B</v>
      </c>
      <c r="F7246" s="10" t="str">
        <f t="shared" si="1467"/>
        <v>García Calderón</v>
      </c>
      <c r="G7246" s="8">
        <v>1</v>
      </c>
      <c r="H7246" s="11">
        <v>250</v>
      </c>
      <c r="I7246" s="12">
        <v>43366</v>
      </c>
      <c r="J7246" s="35">
        <f t="shared" si="1468"/>
        <v>0</v>
      </c>
      <c r="K7246" s="36"/>
      <c r="L7246" s="36"/>
      <c r="M7246" s="36"/>
      <c r="N7246" s="36"/>
      <c r="O7246" s="36"/>
      <c r="P7246" s="36"/>
      <c r="Q7246" s="36"/>
      <c r="R7246" s="36"/>
      <c r="S7246" s="36"/>
      <c r="T7246" s="36"/>
      <c r="U7246" s="36"/>
      <c r="V7246" s="36"/>
      <c r="W7246" s="15">
        <f t="shared" si="1469"/>
        <v>0</v>
      </c>
      <c r="X7246" s="36"/>
      <c r="Y7246" s="36"/>
      <c r="Z7246" s="36"/>
      <c r="AA7246" s="36"/>
      <c r="AB7246" s="36"/>
      <c r="AC7246" s="36"/>
      <c r="AD7246" s="36"/>
      <c r="AE7246" s="36"/>
      <c r="AF7246" s="36"/>
      <c r="AG7246" s="36"/>
      <c r="AH7246" s="36"/>
      <c r="AI7246" s="36"/>
      <c r="AJ7246" s="15">
        <f t="shared" si="1470"/>
        <v>0</v>
      </c>
      <c r="AK7246" s="14"/>
      <c r="AL7246" s="14"/>
      <c r="AM7246" s="14"/>
      <c r="AN7246" s="14"/>
      <c r="AO7246" s="14"/>
      <c r="AP7246" s="14"/>
      <c r="AQ7246" s="14"/>
      <c r="AR7246" s="14"/>
      <c r="AS7246" s="14">
        <v>250</v>
      </c>
      <c r="AT7246" s="14"/>
      <c r="AU7246" s="14"/>
      <c r="AV7246" s="14"/>
      <c r="AW7246" s="15">
        <f t="shared" si="1471"/>
        <v>250</v>
      </c>
      <c r="AX7246" s="16"/>
    </row>
    <row r="7247" spans="2:50" x14ac:dyDescent="0.2">
      <c r="B7247" s="7"/>
      <c r="C7247" s="8">
        <v>17289</v>
      </c>
      <c r="D7247" s="9" t="s">
        <v>97</v>
      </c>
      <c r="E7247" s="10" t="str">
        <f t="shared" si="1466"/>
        <v>Rancho La Cuchilla No. 78</v>
      </c>
      <c r="F7247" s="10" t="str">
        <f t="shared" si="1467"/>
        <v>García</v>
      </c>
      <c r="G7247" s="8">
        <v>3</v>
      </c>
      <c r="H7247" s="11">
        <v>200</v>
      </c>
      <c r="I7247" s="12">
        <v>43366</v>
      </c>
      <c r="J7247" s="35">
        <f t="shared" si="1468"/>
        <v>0</v>
      </c>
      <c r="K7247" s="36"/>
      <c r="L7247" s="36"/>
      <c r="M7247" s="36"/>
      <c r="N7247" s="36"/>
      <c r="O7247" s="36"/>
      <c r="P7247" s="36"/>
      <c r="Q7247" s="36"/>
      <c r="R7247" s="36"/>
      <c r="S7247" s="36"/>
      <c r="T7247" s="36"/>
      <c r="U7247" s="36"/>
      <c r="V7247" s="36"/>
      <c r="W7247" s="15">
        <f t="shared" si="1469"/>
        <v>0</v>
      </c>
      <c r="X7247" s="36"/>
      <c r="Y7247" s="36"/>
      <c r="Z7247" s="36"/>
      <c r="AA7247" s="36"/>
      <c r="AB7247" s="36"/>
      <c r="AC7247" s="36"/>
      <c r="AD7247" s="36"/>
      <c r="AE7247" s="36"/>
      <c r="AF7247" s="36"/>
      <c r="AG7247" s="36"/>
      <c r="AH7247" s="36"/>
      <c r="AI7247" s="36"/>
      <c r="AJ7247" s="15">
        <f t="shared" si="1470"/>
        <v>0</v>
      </c>
      <c r="AK7247" s="14"/>
      <c r="AL7247" s="14"/>
      <c r="AM7247" s="14"/>
      <c r="AN7247" s="14"/>
      <c r="AO7247" s="14"/>
      <c r="AP7247" s="14"/>
      <c r="AQ7247" s="14"/>
      <c r="AR7247" s="14"/>
      <c r="AS7247" s="14"/>
      <c r="AT7247" s="14"/>
      <c r="AU7247" s="14"/>
      <c r="AV7247" s="14"/>
      <c r="AW7247" s="15">
        <f t="shared" si="1471"/>
        <v>0</v>
      </c>
      <c r="AX7247" s="16"/>
    </row>
    <row r="7248" spans="2:50" x14ac:dyDescent="0.2">
      <c r="B7248" s="7"/>
      <c r="C7248" s="8">
        <v>17290</v>
      </c>
      <c r="D7248" s="9" t="s">
        <v>728</v>
      </c>
      <c r="E7248" s="10" t="str">
        <f t="shared" si="1466"/>
        <v>Rancho Estanzuela No. 77</v>
      </c>
      <c r="F7248" s="10" t="str">
        <f t="shared" si="1467"/>
        <v>De la Rosa Rico</v>
      </c>
      <c r="G7248" s="8">
        <v>1</v>
      </c>
      <c r="H7248" s="11">
        <v>400</v>
      </c>
      <c r="I7248" s="12">
        <v>43366</v>
      </c>
      <c r="J7248" s="35">
        <f t="shared" si="1468"/>
        <v>0</v>
      </c>
      <c r="K7248" s="36"/>
      <c r="L7248" s="36"/>
      <c r="M7248" s="36"/>
      <c r="N7248" s="36"/>
      <c r="O7248" s="36"/>
      <c r="P7248" s="36"/>
      <c r="Q7248" s="36"/>
      <c r="R7248" s="36"/>
      <c r="S7248" s="36"/>
      <c r="T7248" s="36"/>
      <c r="U7248" s="36"/>
      <c r="V7248" s="36"/>
      <c r="W7248" s="15">
        <f t="shared" si="1469"/>
        <v>0</v>
      </c>
      <c r="X7248" s="36"/>
      <c r="Y7248" s="36"/>
      <c r="Z7248" s="36"/>
      <c r="AA7248" s="36"/>
      <c r="AB7248" s="36"/>
      <c r="AC7248" s="36"/>
      <c r="AD7248" s="36"/>
      <c r="AE7248" s="36"/>
      <c r="AF7248" s="36"/>
      <c r="AG7248" s="36"/>
      <c r="AH7248" s="36"/>
      <c r="AI7248" s="36"/>
      <c r="AJ7248" s="15">
        <f t="shared" si="1470"/>
        <v>0</v>
      </c>
      <c r="AK7248" s="14"/>
      <c r="AL7248" s="14"/>
      <c r="AM7248" s="14"/>
      <c r="AN7248" s="14"/>
      <c r="AO7248" s="14"/>
      <c r="AP7248" s="14"/>
      <c r="AQ7248" s="14"/>
      <c r="AR7248" s="14">
        <v>400</v>
      </c>
      <c r="AS7248" s="14"/>
      <c r="AT7248" s="14"/>
      <c r="AU7248" s="14"/>
      <c r="AV7248" s="14"/>
      <c r="AW7248" s="15">
        <f t="shared" si="1471"/>
        <v>400</v>
      </c>
      <c r="AX7248" s="16"/>
    </row>
    <row r="7249" spans="2:50" x14ac:dyDescent="0.2">
      <c r="B7249" s="7"/>
      <c r="C7249" s="8">
        <v>17291</v>
      </c>
      <c r="D7249" s="9" t="s">
        <v>404</v>
      </c>
      <c r="E7249" s="10" t="str">
        <f t="shared" si="1466"/>
        <v>Rancho La Cuchilla No. 89</v>
      </c>
      <c r="F7249" s="10" t="str">
        <f t="shared" si="1467"/>
        <v>Gálvez</v>
      </c>
      <c r="G7249" s="8">
        <v>1</v>
      </c>
      <c r="H7249" s="11">
        <v>400</v>
      </c>
      <c r="I7249" s="12">
        <v>43366</v>
      </c>
      <c r="J7249" s="35">
        <f t="shared" si="1468"/>
        <v>0</v>
      </c>
      <c r="K7249" s="36"/>
      <c r="L7249" s="36"/>
      <c r="M7249" s="36"/>
      <c r="N7249" s="36"/>
      <c r="O7249" s="36"/>
      <c r="P7249" s="36"/>
      <c r="Q7249" s="36"/>
      <c r="R7249" s="36"/>
      <c r="S7249" s="36"/>
      <c r="T7249" s="36"/>
      <c r="U7249" s="36"/>
      <c r="V7249" s="36"/>
      <c r="W7249" s="15">
        <f t="shared" si="1469"/>
        <v>0</v>
      </c>
      <c r="X7249" s="36"/>
      <c r="Y7249" s="36"/>
      <c r="Z7249" s="36"/>
      <c r="AA7249" s="36"/>
      <c r="AB7249" s="36"/>
      <c r="AC7249" s="36"/>
      <c r="AD7249" s="36"/>
      <c r="AE7249" s="36"/>
      <c r="AF7249" s="36"/>
      <c r="AG7249" s="36"/>
      <c r="AH7249" s="36"/>
      <c r="AI7249" s="36"/>
      <c r="AJ7249" s="15">
        <f t="shared" si="1470"/>
        <v>0</v>
      </c>
      <c r="AK7249" s="14"/>
      <c r="AL7249" s="14"/>
      <c r="AM7249" s="14"/>
      <c r="AN7249" s="14"/>
      <c r="AO7249" s="14"/>
      <c r="AP7249" s="14"/>
      <c r="AQ7249" s="14"/>
      <c r="AR7249" s="14"/>
      <c r="AS7249" s="14">
        <v>400</v>
      </c>
      <c r="AT7249" s="14"/>
      <c r="AU7249" s="14"/>
      <c r="AV7249" s="14"/>
      <c r="AW7249" s="15">
        <f t="shared" si="1471"/>
        <v>400</v>
      </c>
      <c r="AX7249" s="16"/>
    </row>
    <row r="7250" spans="2:50" x14ac:dyDescent="0.2">
      <c r="B7250" s="7"/>
      <c r="C7250" s="8">
        <v>17292</v>
      </c>
      <c r="D7250" s="9" t="s">
        <v>550</v>
      </c>
      <c r="E7250" s="10" t="str">
        <f t="shared" si="1466"/>
        <v>Rancho Landero No. 89</v>
      </c>
      <c r="F7250" s="10" t="str">
        <f t="shared" si="1467"/>
        <v>Del Pozo Solís</v>
      </c>
      <c r="G7250" s="8">
        <v>5</v>
      </c>
      <c r="H7250" s="11">
        <v>50</v>
      </c>
      <c r="I7250" s="12">
        <v>43366</v>
      </c>
      <c r="J7250" s="35">
        <f t="shared" si="1468"/>
        <v>0</v>
      </c>
      <c r="K7250" s="36"/>
      <c r="L7250" s="36"/>
      <c r="M7250" s="36"/>
      <c r="N7250" s="36"/>
      <c r="O7250" s="36"/>
      <c r="P7250" s="36"/>
      <c r="Q7250" s="36"/>
      <c r="R7250" s="36"/>
      <c r="S7250" s="36"/>
      <c r="T7250" s="36"/>
      <c r="U7250" s="36"/>
      <c r="V7250" s="36"/>
      <c r="W7250" s="15">
        <f t="shared" si="1469"/>
        <v>0</v>
      </c>
      <c r="X7250" s="36"/>
      <c r="Y7250" s="36"/>
      <c r="Z7250" s="36"/>
      <c r="AA7250" s="36"/>
      <c r="AB7250" s="36"/>
      <c r="AC7250" s="36"/>
      <c r="AD7250" s="36"/>
      <c r="AE7250" s="36"/>
      <c r="AF7250" s="36"/>
      <c r="AG7250" s="36"/>
      <c r="AH7250" s="36"/>
      <c r="AI7250" s="36"/>
      <c r="AJ7250" s="15">
        <f t="shared" si="1470"/>
        <v>0</v>
      </c>
      <c r="AK7250" s="14"/>
      <c r="AL7250" s="14"/>
      <c r="AM7250" s="14"/>
      <c r="AN7250" s="14"/>
      <c r="AO7250" s="14"/>
      <c r="AP7250" s="14"/>
      <c r="AQ7250" s="14"/>
      <c r="AR7250" s="14"/>
      <c r="AS7250" s="14"/>
      <c r="AT7250" s="14"/>
      <c r="AU7250" s="14"/>
      <c r="AV7250" s="14"/>
      <c r="AW7250" s="15">
        <f t="shared" si="1471"/>
        <v>0</v>
      </c>
      <c r="AX7250" s="16"/>
    </row>
    <row r="7251" spans="2:50" x14ac:dyDescent="0.2">
      <c r="B7251" s="7"/>
      <c r="C7251" s="8">
        <v>17293</v>
      </c>
      <c r="D7251" s="9" t="s">
        <v>268</v>
      </c>
      <c r="E7251" s="10" t="str">
        <f t="shared" si="1466"/>
        <v>Rancho Landero No. 90</v>
      </c>
      <c r="F7251" s="10" t="str">
        <f t="shared" si="1467"/>
        <v>Córdova Reséndiz</v>
      </c>
      <c r="G7251" s="8">
        <v>1</v>
      </c>
      <c r="H7251" s="11">
        <v>300</v>
      </c>
      <c r="I7251" s="12">
        <v>43366</v>
      </c>
      <c r="J7251" s="35">
        <f t="shared" si="1468"/>
        <v>0</v>
      </c>
      <c r="K7251" s="36"/>
      <c r="L7251" s="36"/>
      <c r="M7251" s="36"/>
      <c r="N7251" s="36"/>
      <c r="O7251" s="36"/>
      <c r="P7251" s="36"/>
      <c r="Q7251" s="36"/>
      <c r="R7251" s="36"/>
      <c r="S7251" s="36"/>
      <c r="T7251" s="36"/>
      <c r="U7251" s="36"/>
      <c r="V7251" s="36"/>
      <c r="W7251" s="15">
        <f t="shared" si="1469"/>
        <v>0</v>
      </c>
      <c r="X7251" s="36"/>
      <c r="Y7251" s="36"/>
      <c r="Z7251" s="36"/>
      <c r="AA7251" s="36"/>
      <c r="AB7251" s="36"/>
      <c r="AC7251" s="36"/>
      <c r="AD7251" s="36"/>
      <c r="AE7251" s="36"/>
      <c r="AF7251" s="36"/>
      <c r="AG7251" s="36"/>
      <c r="AH7251" s="36"/>
      <c r="AI7251" s="36"/>
      <c r="AJ7251" s="15">
        <f t="shared" si="1470"/>
        <v>0</v>
      </c>
      <c r="AK7251" s="14"/>
      <c r="AL7251" s="14"/>
      <c r="AM7251" s="14"/>
      <c r="AN7251" s="14"/>
      <c r="AO7251" s="14"/>
      <c r="AP7251" s="14"/>
      <c r="AQ7251" s="14"/>
      <c r="AR7251" s="14"/>
      <c r="AS7251" s="14"/>
      <c r="AT7251" s="14">
        <v>300</v>
      </c>
      <c r="AU7251" s="14"/>
      <c r="AV7251" s="14"/>
      <c r="AW7251" s="15">
        <f t="shared" si="1471"/>
        <v>300</v>
      </c>
      <c r="AX7251" s="16"/>
    </row>
    <row r="7252" spans="2:50" x14ac:dyDescent="0.2">
      <c r="B7252" s="7"/>
      <c r="C7252" s="8">
        <v>17293</v>
      </c>
      <c r="D7252" s="9" t="s">
        <v>268</v>
      </c>
      <c r="E7252" s="10" t="str">
        <f t="shared" si="1466"/>
        <v>Rancho Landero No. 90</v>
      </c>
      <c r="F7252" s="10" t="str">
        <f t="shared" si="1467"/>
        <v>Córdova Reséndiz</v>
      </c>
      <c r="G7252" s="8">
        <v>3</v>
      </c>
      <c r="H7252" s="11">
        <v>200</v>
      </c>
      <c r="I7252" s="12">
        <v>43366</v>
      </c>
      <c r="J7252" s="35">
        <f t="shared" si="1468"/>
        <v>0</v>
      </c>
      <c r="K7252" s="36"/>
      <c r="L7252" s="36"/>
      <c r="M7252" s="36"/>
      <c r="N7252" s="36"/>
      <c r="O7252" s="36"/>
      <c r="P7252" s="36"/>
      <c r="Q7252" s="36"/>
      <c r="R7252" s="36"/>
      <c r="S7252" s="36"/>
      <c r="T7252" s="36"/>
      <c r="U7252" s="36"/>
      <c r="V7252" s="36"/>
      <c r="W7252" s="15">
        <f t="shared" si="1469"/>
        <v>0</v>
      </c>
      <c r="X7252" s="36"/>
      <c r="Y7252" s="36"/>
      <c r="Z7252" s="36"/>
      <c r="AA7252" s="36"/>
      <c r="AB7252" s="36"/>
      <c r="AC7252" s="36"/>
      <c r="AD7252" s="36"/>
      <c r="AE7252" s="36"/>
      <c r="AF7252" s="36"/>
      <c r="AG7252" s="36"/>
      <c r="AH7252" s="36"/>
      <c r="AI7252" s="36"/>
      <c r="AJ7252" s="15">
        <f t="shared" si="1470"/>
        <v>0</v>
      </c>
      <c r="AK7252" s="14"/>
      <c r="AL7252" s="14"/>
      <c r="AM7252" s="14"/>
      <c r="AN7252" s="14"/>
      <c r="AO7252" s="14"/>
      <c r="AP7252" s="14"/>
      <c r="AQ7252" s="14"/>
      <c r="AR7252" s="14"/>
      <c r="AS7252" s="14"/>
      <c r="AT7252" s="14"/>
      <c r="AU7252" s="14"/>
      <c r="AV7252" s="14"/>
      <c r="AW7252" s="15">
        <f t="shared" si="1471"/>
        <v>0</v>
      </c>
      <c r="AX7252" s="16"/>
    </row>
    <row r="7253" spans="2:50" x14ac:dyDescent="0.2">
      <c r="B7253" s="7"/>
      <c r="C7253" s="8">
        <v>17294</v>
      </c>
      <c r="D7253" s="9" t="s">
        <v>617</v>
      </c>
      <c r="E7253" s="10" t="str">
        <f t="shared" si="1466"/>
        <v>Rancho Zinamba No. 50</v>
      </c>
      <c r="F7253" s="10" t="str">
        <f t="shared" si="1467"/>
        <v>Del Castillo</v>
      </c>
      <c r="G7253" s="8">
        <v>1</v>
      </c>
      <c r="H7253" s="11">
        <v>400</v>
      </c>
      <c r="I7253" s="12">
        <v>43366</v>
      </c>
      <c r="J7253" s="35">
        <f t="shared" si="1468"/>
        <v>0</v>
      </c>
      <c r="K7253" s="36"/>
      <c r="L7253" s="36"/>
      <c r="M7253" s="36"/>
      <c r="N7253" s="36"/>
      <c r="O7253" s="36"/>
      <c r="P7253" s="36"/>
      <c r="Q7253" s="36"/>
      <c r="R7253" s="36"/>
      <c r="S7253" s="36"/>
      <c r="T7253" s="36"/>
      <c r="U7253" s="36"/>
      <c r="V7253" s="36"/>
      <c r="W7253" s="15">
        <f t="shared" si="1469"/>
        <v>0</v>
      </c>
      <c r="X7253" s="36"/>
      <c r="Y7253" s="36"/>
      <c r="Z7253" s="36"/>
      <c r="AA7253" s="36"/>
      <c r="AB7253" s="36"/>
      <c r="AC7253" s="36"/>
      <c r="AD7253" s="36"/>
      <c r="AE7253" s="36"/>
      <c r="AF7253" s="36"/>
      <c r="AG7253" s="36"/>
      <c r="AH7253" s="36"/>
      <c r="AI7253" s="36"/>
      <c r="AJ7253" s="15">
        <f t="shared" si="1470"/>
        <v>0</v>
      </c>
      <c r="AK7253" s="14"/>
      <c r="AL7253" s="14"/>
      <c r="AM7253" s="14"/>
      <c r="AN7253" s="14"/>
      <c r="AO7253" s="14"/>
      <c r="AP7253" s="14"/>
      <c r="AQ7253" s="14"/>
      <c r="AR7253" s="14">
        <v>400</v>
      </c>
      <c r="AS7253" s="14"/>
      <c r="AT7253" s="14"/>
      <c r="AU7253" s="14"/>
      <c r="AV7253" s="14"/>
      <c r="AW7253" s="15">
        <f t="shared" si="1471"/>
        <v>400</v>
      </c>
      <c r="AX7253" s="16"/>
    </row>
    <row r="7254" spans="2:50" x14ac:dyDescent="0.2">
      <c r="B7254" s="7"/>
      <c r="C7254" s="8">
        <v>17295</v>
      </c>
      <c r="D7254" s="9" t="s">
        <v>62</v>
      </c>
      <c r="E7254" s="10" t="str">
        <f t="shared" si="1466"/>
        <v>Rancho Romeral No. 10, A</v>
      </c>
      <c r="F7254" s="10" t="str">
        <f t="shared" si="1467"/>
        <v>Casillas Álvarez</v>
      </c>
      <c r="G7254" s="8">
        <v>1</v>
      </c>
      <c r="H7254" s="11">
        <v>200</v>
      </c>
      <c r="I7254" s="12">
        <v>43366</v>
      </c>
      <c r="J7254" s="35">
        <f t="shared" si="1468"/>
        <v>0</v>
      </c>
      <c r="K7254" s="36"/>
      <c r="L7254" s="36"/>
      <c r="M7254" s="36"/>
      <c r="N7254" s="36"/>
      <c r="O7254" s="36"/>
      <c r="P7254" s="36"/>
      <c r="Q7254" s="36"/>
      <c r="R7254" s="36"/>
      <c r="S7254" s="36"/>
      <c r="T7254" s="36"/>
      <c r="U7254" s="36"/>
      <c r="V7254" s="36"/>
      <c r="W7254" s="15">
        <f t="shared" si="1469"/>
        <v>0</v>
      </c>
      <c r="X7254" s="36"/>
      <c r="Y7254" s="36"/>
      <c r="Z7254" s="36"/>
      <c r="AA7254" s="36"/>
      <c r="AB7254" s="36"/>
      <c r="AC7254" s="36"/>
      <c r="AD7254" s="36"/>
      <c r="AE7254" s="36"/>
      <c r="AF7254" s="36"/>
      <c r="AG7254" s="36"/>
      <c r="AH7254" s="36"/>
      <c r="AI7254" s="36"/>
      <c r="AJ7254" s="15">
        <f t="shared" si="1470"/>
        <v>0</v>
      </c>
      <c r="AK7254" s="14"/>
      <c r="AL7254" s="14"/>
      <c r="AM7254" s="14"/>
      <c r="AN7254" s="14"/>
      <c r="AO7254" s="14"/>
      <c r="AP7254" s="14"/>
      <c r="AQ7254" s="14"/>
      <c r="AR7254" s="14"/>
      <c r="AS7254" s="14"/>
      <c r="AT7254" s="14">
        <v>200</v>
      </c>
      <c r="AU7254" s="14"/>
      <c r="AV7254" s="14"/>
      <c r="AW7254" s="15">
        <f t="shared" si="1471"/>
        <v>200</v>
      </c>
      <c r="AX7254" s="16"/>
    </row>
    <row r="7255" spans="2:50" x14ac:dyDescent="0.2">
      <c r="B7255" s="7"/>
      <c r="C7255" s="8">
        <v>17296</v>
      </c>
      <c r="D7255" s="9" t="s">
        <v>274</v>
      </c>
      <c r="E7255" s="10" t="str">
        <f t="shared" si="1466"/>
        <v>Rancho Zinamba No. 82</v>
      </c>
      <c r="F7255" s="10" t="str">
        <f t="shared" si="1467"/>
        <v>Morán Carmona</v>
      </c>
      <c r="G7255" s="8">
        <v>1</v>
      </c>
      <c r="H7255" s="11">
        <v>1200</v>
      </c>
      <c r="I7255" s="12">
        <v>43366</v>
      </c>
      <c r="J7255" s="35">
        <f t="shared" si="1468"/>
        <v>0</v>
      </c>
      <c r="K7255" s="36"/>
      <c r="L7255" s="36"/>
      <c r="M7255" s="36"/>
      <c r="N7255" s="36"/>
      <c r="O7255" s="36"/>
      <c r="P7255" s="36"/>
      <c r="Q7255" s="36"/>
      <c r="R7255" s="36"/>
      <c r="S7255" s="36"/>
      <c r="T7255" s="36"/>
      <c r="U7255" s="36"/>
      <c r="V7255" s="36"/>
      <c r="W7255" s="15">
        <f t="shared" si="1469"/>
        <v>0</v>
      </c>
      <c r="X7255" s="36"/>
      <c r="Y7255" s="36"/>
      <c r="Z7255" s="36"/>
      <c r="AA7255" s="36"/>
      <c r="AB7255" s="36"/>
      <c r="AC7255" s="36"/>
      <c r="AD7255" s="36"/>
      <c r="AE7255" s="36"/>
      <c r="AF7255" s="36"/>
      <c r="AG7255" s="36"/>
      <c r="AH7255" s="36"/>
      <c r="AI7255" s="36"/>
      <c r="AJ7255" s="15">
        <f t="shared" si="1470"/>
        <v>0</v>
      </c>
      <c r="AK7255" s="14"/>
      <c r="AL7255" s="14"/>
      <c r="AM7255" s="14"/>
      <c r="AN7255" s="14"/>
      <c r="AO7255" s="14"/>
      <c r="AP7255" s="14"/>
      <c r="AQ7255" s="14">
        <v>200</v>
      </c>
      <c r="AR7255" s="14">
        <v>200</v>
      </c>
      <c r="AS7255" s="14">
        <v>200</v>
      </c>
      <c r="AT7255" s="14">
        <v>200</v>
      </c>
      <c r="AU7255" s="14">
        <v>200</v>
      </c>
      <c r="AV7255" s="14">
        <v>200</v>
      </c>
      <c r="AW7255" s="15">
        <f t="shared" si="1471"/>
        <v>1200</v>
      </c>
      <c r="AX7255" s="16"/>
    </row>
    <row r="7256" spans="2:50" x14ac:dyDescent="0.2">
      <c r="B7256" s="7"/>
      <c r="C7256" s="8">
        <v>17297</v>
      </c>
      <c r="D7256" s="9" t="s">
        <v>1017</v>
      </c>
      <c r="E7256" s="10" t="str">
        <f t="shared" si="1460"/>
        <v>Rancho Estanzuela No. 119, 3</v>
      </c>
      <c r="F7256" s="10" t="str">
        <f t="shared" si="1461"/>
        <v>Montecillo</v>
      </c>
      <c r="G7256" s="8">
        <v>1</v>
      </c>
      <c r="H7256" s="11">
        <v>250</v>
      </c>
      <c r="I7256" s="12">
        <v>43366</v>
      </c>
      <c r="J7256" s="35">
        <f t="shared" si="1462"/>
        <v>0</v>
      </c>
      <c r="K7256" s="36"/>
      <c r="L7256" s="36"/>
      <c r="M7256" s="36"/>
      <c r="N7256" s="36"/>
      <c r="O7256" s="36"/>
      <c r="P7256" s="36"/>
      <c r="Q7256" s="36"/>
      <c r="R7256" s="36"/>
      <c r="S7256" s="36"/>
      <c r="T7256" s="36"/>
      <c r="U7256" s="36"/>
      <c r="V7256" s="36"/>
      <c r="W7256" s="15">
        <f t="shared" si="1463"/>
        <v>0</v>
      </c>
      <c r="X7256" s="36"/>
      <c r="Y7256" s="36"/>
      <c r="Z7256" s="36"/>
      <c r="AA7256" s="36"/>
      <c r="AB7256" s="36"/>
      <c r="AC7256" s="36"/>
      <c r="AD7256" s="36"/>
      <c r="AE7256" s="36"/>
      <c r="AF7256" s="36"/>
      <c r="AG7256" s="36"/>
      <c r="AH7256" s="36"/>
      <c r="AI7256" s="36"/>
      <c r="AJ7256" s="15">
        <f t="shared" si="1464"/>
        <v>0</v>
      </c>
      <c r="AK7256" s="14"/>
      <c r="AL7256" s="14"/>
      <c r="AM7256" s="14"/>
      <c r="AN7256" s="14"/>
      <c r="AO7256" s="14"/>
      <c r="AP7256" s="14"/>
      <c r="AQ7256" s="14"/>
      <c r="AR7256" s="14"/>
      <c r="AS7256" s="14">
        <v>250</v>
      </c>
      <c r="AT7256" s="14"/>
      <c r="AU7256" s="14"/>
      <c r="AV7256" s="14"/>
      <c r="AW7256" s="15">
        <f t="shared" si="1465"/>
        <v>250</v>
      </c>
      <c r="AX7256" s="16"/>
    </row>
    <row r="7257" spans="2:50" x14ac:dyDescent="0.2">
      <c r="B7257" s="7"/>
      <c r="C7257" s="8">
        <v>17298</v>
      </c>
      <c r="D7257" s="9" t="s">
        <v>3178</v>
      </c>
      <c r="E7257" s="10" t="str">
        <f t="shared" si="1460"/>
        <v>Rancho La Cuchilla No. 103</v>
      </c>
      <c r="F7257" s="10" t="str">
        <f t="shared" si="1461"/>
        <v>Bernal</v>
      </c>
      <c r="G7257" s="8">
        <v>1</v>
      </c>
      <c r="H7257" s="11">
        <v>500</v>
      </c>
      <c r="I7257" s="12">
        <v>43366</v>
      </c>
      <c r="J7257" s="35">
        <f t="shared" si="1462"/>
        <v>0</v>
      </c>
      <c r="K7257" s="36"/>
      <c r="L7257" s="36"/>
      <c r="M7257" s="36"/>
      <c r="N7257" s="36"/>
      <c r="O7257" s="36"/>
      <c r="P7257" s="36"/>
      <c r="Q7257" s="36"/>
      <c r="R7257" s="36"/>
      <c r="S7257" s="36"/>
      <c r="T7257" s="36"/>
      <c r="U7257" s="36"/>
      <c r="V7257" s="36"/>
      <c r="W7257" s="15">
        <f t="shared" si="1463"/>
        <v>0</v>
      </c>
      <c r="X7257" s="36"/>
      <c r="Y7257" s="36"/>
      <c r="Z7257" s="36"/>
      <c r="AA7257" s="36"/>
      <c r="AB7257" s="36"/>
      <c r="AC7257" s="36"/>
      <c r="AD7257" s="36"/>
      <c r="AE7257" s="36"/>
      <c r="AF7257" s="36"/>
      <c r="AG7257" s="36"/>
      <c r="AH7257" s="36"/>
      <c r="AI7257" s="36"/>
      <c r="AJ7257" s="15">
        <f t="shared" si="1464"/>
        <v>0</v>
      </c>
      <c r="AK7257" s="14"/>
      <c r="AL7257" s="14"/>
      <c r="AM7257" s="14"/>
      <c r="AN7257" s="14"/>
      <c r="AO7257" s="14"/>
      <c r="AP7257" s="14"/>
      <c r="AQ7257" s="14"/>
      <c r="AR7257" s="14"/>
      <c r="AS7257" s="14"/>
      <c r="AT7257" s="14">
        <v>500</v>
      </c>
      <c r="AU7257" s="14"/>
      <c r="AV7257" s="14"/>
      <c r="AW7257" s="15">
        <f t="shared" si="1465"/>
        <v>500</v>
      </c>
      <c r="AX7257" s="16"/>
    </row>
    <row r="7258" spans="2:50" x14ac:dyDescent="0.2">
      <c r="B7258" s="7"/>
      <c r="C7258" s="8">
        <v>17299</v>
      </c>
      <c r="D7258" s="9" t="s">
        <v>1032</v>
      </c>
      <c r="E7258" s="10" t="str">
        <f t="shared" si="1460"/>
        <v>Rancho Estanzuela No. 157, 1</v>
      </c>
      <c r="F7258" s="10" t="str">
        <f t="shared" si="1461"/>
        <v>Anzures</v>
      </c>
      <c r="G7258" s="8">
        <v>1</v>
      </c>
      <c r="H7258" s="11">
        <v>300</v>
      </c>
      <c r="I7258" s="12">
        <v>43366</v>
      </c>
      <c r="J7258" s="35">
        <f t="shared" si="1462"/>
        <v>0</v>
      </c>
      <c r="K7258" s="36"/>
      <c r="L7258" s="36"/>
      <c r="M7258" s="36"/>
      <c r="N7258" s="36"/>
      <c r="O7258" s="36"/>
      <c r="P7258" s="36"/>
      <c r="Q7258" s="36"/>
      <c r="R7258" s="36"/>
      <c r="S7258" s="36"/>
      <c r="T7258" s="36"/>
      <c r="U7258" s="36"/>
      <c r="V7258" s="36"/>
      <c r="W7258" s="15">
        <f t="shared" si="1463"/>
        <v>0</v>
      </c>
      <c r="X7258" s="36"/>
      <c r="Y7258" s="36"/>
      <c r="Z7258" s="36"/>
      <c r="AA7258" s="36"/>
      <c r="AB7258" s="36"/>
      <c r="AC7258" s="36"/>
      <c r="AD7258" s="36"/>
      <c r="AE7258" s="36"/>
      <c r="AF7258" s="36"/>
      <c r="AG7258" s="36"/>
      <c r="AH7258" s="36"/>
      <c r="AI7258" s="36"/>
      <c r="AJ7258" s="15">
        <f t="shared" si="1464"/>
        <v>0</v>
      </c>
      <c r="AK7258" s="14"/>
      <c r="AL7258" s="14"/>
      <c r="AM7258" s="14"/>
      <c r="AN7258" s="14"/>
      <c r="AO7258" s="14"/>
      <c r="AP7258" s="14"/>
      <c r="AQ7258" s="14">
        <v>150</v>
      </c>
      <c r="AR7258" s="14">
        <v>150</v>
      </c>
      <c r="AS7258" s="14"/>
      <c r="AT7258" s="14"/>
      <c r="AU7258" s="14"/>
      <c r="AV7258" s="14"/>
      <c r="AW7258" s="15">
        <f t="shared" si="1465"/>
        <v>300</v>
      </c>
      <c r="AX7258" s="16"/>
    </row>
    <row r="7259" spans="2:50" x14ac:dyDescent="0.2">
      <c r="B7259" s="7"/>
      <c r="C7259" s="8">
        <v>17230</v>
      </c>
      <c r="D7259" s="9" t="s">
        <v>926</v>
      </c>
      <c r="E7259" s="10" t="str">
        <f t="shared" si="1460"/>
        <v>Rancho Estanzuela No. 157, 2</v>
      </c>
      <c r="F7259" s="10" t="str">
        <f t="shared" si="1461"/>
        <v>Arias</v>
      </c>
      <c r="G7259" s="8">
        <v>1</v>
      </c>
      <c r="H7259" s="11">
        <v>300</v>
      </c>
      <c r="I7259" s="12">
        <v>43366</v>
      </c>
      <c r="J7259" s="35">
        <f t="shared" si="1462"/>
        <v>0</v>
      </c>
      <c r="K7259" s="36"/>
      <c r="L7259" s="36"/>
      <c r="M7259" s="36"/>
      <c r="N7259" s="36"/>
      <c r="O7259" s="36"/>
      <c r="P7259" s="36"/>
      <c r="Q7259" s="36"/>
      <c r="R7259" s="36"/>
      <c r="S7259" s="36"/>
      <c r="T7259" s="36"/>
      <c r="U7259" s="36"/>
      <c r="V7259" s="36"/>
      <c r="W7259" s="15">
        <f t="shared" si="1463"/>
        <v>0</v>
      </c>
      <c r="X7259" s="36"/>
      <c r="Y7259" s="36"/>
      <c r="Z7259" s="36"/>
      <c r="AA7259" s="36"/>
      <c r="AB7259" s="36"/>
      <c r="AC7259" s="36"/>
      <c r="AD7259" s="36"/>
      <c r="AE7259" s="36"/>
      <c r="AF7259" s="36"/>
      <c r="AG7259" s="36"/>
      <c r="AH7259" s="36"/>
      <c r="AI7259" s="36"/>
      <c r="AJ7259" s="15">
        <f t="shared" si="1464"/>
        <v>0</v>
      </c>
      <c r="AK7259" s="14"/>
      <c r="AL7259" s="14"/>
      <c r="AM7259" s="14"/>
      <c r="AN7259" s="14"/>
      <c r="AO7259" s="14"/>
      <c r="AP7259" s="14"/>
      <c r="AQ7259" s="14">
        <v>150</v>
      </c>
      <c r="AR7259" s="14">
        <v>150</v>
      </c>
      <c r="AS7259" s="14"/>
      <c r="AT7259" s="14"/>
      <c r="AU7259" s="14"/>
      <c r="AV7259" s="14"/>
      <c r="AW7259" s="15">
        <f t="shared" si="1465"/>
        <v>300</v>
      </c>
      <c r="AX7259" s="16"/>
    </row>
    <row r="7260" spans="2:50" x14ac:dyDescent="0.2">
      <c r="B7260" s="7"/>
      <c r="C7260" s="8">
        <v>17231</v>
      </c>
      <c r="D7260" s="9" t="s">
        <v>929</v>
      </c>
      <c r="E7260" s="10" t="str">
        <f t="shared" si="1460"/>
        <v>Rancho Estanzuela No. 157, 3</v>
      </c>
      <c r="F7260" s="10" t="str">
        <f t="shared" si="1461"/>
        <v>Valdez</v>
      </c>
      <c r="G7260" s="8">
        <v>1</v>
      </c>
      <c r="H7260" s="11">
        <v>150</v>
      </c>
      <c r="I7260" s="12">
        <v>43366</v>
      </c>
      <c r="J7260" s="35">
        <f t="shared" si="1462"/>
        <v>0</v>
      </c>
      <c r="K7260" s="36"/>
      <c r="L7260" s="36"/>
      <c r="M7260" s="36"/>
      <c r="N7260" s="36"/>
      <c r="O7260" s="36"/>
      <c r="P7260" s="36"/>
      <c r="Q7260" s="36"/>
      <c r="R7260" s="36"/>
      <c r="S7260" s="36"/>
      <c r="T7260" s="36"/>
      <c r="U7260" s="36"/>
      <c r="V7260" s="36"/>
      <c r="W7260" s="15">
        <f t="shared" si="1463"/>
        <v>0</v>
      </c>
      <c r="X7260" s="36"/>
      <c r="Y7260" s="36"/>
      <c r="Z7260" s="36"/>
      <c r="AA7260" s="36"/>
      <c r="AB7260" s="36"/>
      <c r="AC7260" s="36"/>
      <c r="AD7260" s="36"/>
      <c r="AE7260" s="36"/>
      <c r="AF7260" s="36"/>
      <c r="AG7260" s="36"/>
      <c r="AH7260" s="36"/>
      <c r="AI7260" s="36"/>
      <c r="AJ7260" s="15">
        <f t="shared" si="1464"/>
        <v>0</v>
      </c>
      <c r="AK7260" s="14"/>
      <c r="AL7260" s="14"/>
      <c r="AM7260" s="14"/>
      <c r="AN7260" s="14"/>
      <c r="AO7260" s="14"/>
      <c r="AP7260" s="14"/>
      <c r="AQ7260" s="14"/>
      <c r="AR7260" s="14">
        <v>150</v>
      </c>
      <c r="AS7260" s="14"/>
      <c r="AT7260" s="14"/>
      <c r="AU7260" s="14"/>
      <c r="AV7260" s="14"/>
      <c r="AW7260" s="15">
        <f t="shared" si="1465"/>
        <v>150</v>
      </c>
      <c r="AX7260" s="16"/>
    </row>
    <row r="7261" spans="2:50" x14ac:dyDescent="0.2">
      <c r="B7261" s="7"/>
      <c r="C7261" s="8">
        <v>17302</v>
      </c>
      <c r="D7261" s="9" t="s">
        <v>103</v>
      </c>
      <c r="E7261" s="10" t="str">
        <f t="shared" si="1460"/>
        <v>Rancho La Cuchilla No. 41</v>
      </c>
      <c r="F7261" s="10" t="str">
        <f t="shared" si="1461"/>
        <v>Arriaga Lemus</v>
      </c>
      <c r="G7261" s="8">
        <v>1</v>
      </c>
      <c r="H7261" s="11">
        <v>400</v>
      </c>
      <c r="I7261" s="12">
        <v>43366</v>
      </c>
      <c r="J7261" s="35">
        <f t="shared" si="1462"/>
        <v>0</v>
      </c>
      <c r="K7261" s="36"/>
      <c r="L7261" s="36"/>
      <c r="M7261" s="36"/>
      <c r="N7261" s="36"/>
      <c r="O7261" s="36"/>
      <c r="P7261" s="36"/>
      <c r="Q7261" s="36"/>
      <c r="R7261" s="36"/>
      <c r="S7261" s="36"/>
      <c r="T7261" s="36"/>
      <c r="U7261" s="36"/>
      <c r="V7261" s="36"/>
      <c r="W7261" s="15">
        <f t="shared" si="1463"/>
        <v>0</v>
      </c>
      <c r="X7261" s="36"/>
      <c r="Y7261" s="36"/>
      <c r="Z7261" s="36"/>
      <c r="AA7261" s="36"/>
      <c r="AB7261" s="36"/>
      <c r="AC7261" s="36"/>
      <c r="AD7261" s="36"/>
      <c r="AE7261" s="36"/>
      <c r="AF7261" s="36"/>
      <c r="AG7261" s="36"/>
      <c r="AH7261" s="36"/>
      <c r="AI7261" s="36"/>
      <c r="AJ7261" s="15">
        <f t="shared" si="1464"/>
        <v>0</v>
      </c>
      <c r="AK7261" s="14"/>
      <c r="AL7261" s="14"/>
      <c r="AM7261" s="14"/>
      <c r="AN7261" s="14"/>
      <c r="AO7261" s="14"/>
      <c r="AP7261" s="14"/>
      <c r="AQ7261" s="14"/>
      <c r="AR7261" s="14"/>
      <c r="AS7261" s="14">
        <v>400</v>
      </c>
      <c r="AT7261" s="14"/>
      <c r="AU7261" s="14"/>
      <c r="AV7261" s="14"/>
      <c r="AW7261" s="15">
        <f t="shared" si="1465"/>
        <v>400</v>
      </c>
      <c r="AX7261" s="16"/>
    </row>
    <row r="7262" spans="2:50" x14ac:dyDescent="0.2">
      <c r="B7262" s="7"/>
      <c r="C7262" s="8">
        <v>17303</v>
      </c>
      <c r="D7262" s="9" t="s">
        <v>556</v>
      </c>
      <c r="E7262" s="10" t="str">
        <f t="shared" si="1460"/>
        <v>Rancho Zinamba No. 26</v>
      </c>
      <c r="F7262" s="10" t="str">
        <f t="shared" si="1461"/>
        <v>Ayala</v>
      </c>
      <c r="G7262" s="8">
        <v>1</v>
      </c>
      <c r="H7262" s="11">
        <v>400</v>
      </c>
      <c r="I7262" s="12">
        <v>43366</v>
      </c>
      <c r="J7262" s="35">
        <f t="shared" si="1462"/>
        <v>0</v>
      </c>
      <c r="K7262" s="36"/>
      <c r="L7262" s="36"/>
      <c r="M7262" s="36"/>
      <c r="N7262" s="36"/>
      <c r="O7262" s="36"/>
      <c r="P7262" s="36"/>
      <c r="Q7262" s="36"/>
      <c r="R7262" s="36"/>
      <c r="S7262" s="36"/>
      <c r="T7262" s="36"/>
      <c r="U7262" s="36"/>
      <c r="V7262" s="36"/>
      <c r="W7262" s="15">
        <f t="shared" si="1463"/>
        <v>0</v>
      </c>
      <c r="X7262" s="36"/>
      <c r="Y7262" s="36"/>
      <c r="Z7262" s="36"/>
      <c r="AA7262" s="36"/>
      <c r="AB7262" s="36"/>
      <c r="AC7262" s="36"/>
      <c r="AD7262" s="36"/>
      <c r="AE7262" s="36"/>
      <c r="AF7262" s="36"/>
      <c r="AG7262" s="36"/>
      <c r="AH7262" s="36"/>
      <c r="AI7262" s="36"/>
      <c r="AJ7262" s="15">
        <f t="shared" si="1464"/>
        <v>0</v>
      </c>
      <c r="AK7262" s="14"/>
      <c r="AL7262" s="14"/>
      <c r="AM7262" s="14"/>
      <c r="AN7262" s="14"/>
      <c r="AO7262" s="14"/>
      <c r="AP7262" s="14"/>
      <c r="AQ7262" s="14">
        <v>400</v>
      </c>
      <c r="AR7262" s="14"/>
      <c r="AS7262" s="14"/>
      <c r="AT7262" s="14"/>
      <c r="AU7262" s="14"/>
      <c r="AV7262" s="14"/>
      <c r="AW7262" s="15">
        <f t="shared" si="1465"/>
        <v>400</v>
      </c>
      <c r="AX7262" s="16"/>
    </row>
    <row r="7263" spans="2:50" x14ac:dyDescent="0.2">
      <c r="B7263" s="7"/>
      <c r="C7263" s="8">
        <v>17304</v>
      </c>
      <c r="D7263" s="9" t="s">
        <v>259</v>
      </c>
      <c r="E7263" s="10" t="str">
        <f t="shared" si="1460"/>
        <v>Rancho Estanzuela No. 55</v>
      </c>
      <c r="F7263" s="10" t="str">
        <f t="shared" si="1461"/>
        <v>Rodríguez Acevedo</v>
      </c>
      <c r="G7263" s="8">
        <v>1</v>
      </c>
      <c r="H7263" s="11">
        <v>400</v>
      </c>
      <c r="I7263" s="12">
        <v>43366</v>
      </c>
      <c r="J7263" s="35">
        <f t="shared" si="1462"/>
        <v>0</v>
      </c>
      <c r="K7263" s="36"/>
      <c r="L7263" s="36"/>
      <c r="M7263" s="36"/>
      <c r="N7263" s="36"/>
      <c r="O7263" s="36"/>
      <c r="P7263" s="36"/>
      <c r="Q7263" s="36"/>
      <c r="R7263" s="36"/>
      <c r="S7263" s="36"/>
      <c r="T7263" s="36"/>
      <c r="U7263" s="36"/>
      <c r="V7263" s="36"/>
      <c r="W7263" s="15">
        <f t="shared" si="1463"/>
        <v>0</v>
      </c>
      <c r="X7263" s="36"/>
      <c r="Y7263" s="36"/>
      <c r="Z7263" s="36"/>
      <c r="AA7263" s="36"/>
      <c r="AB7263" s="36"/>
      <c r="AC7263" s="36"/>
      <c r="AD7263" s="36"/>
      <c r="AE7263" s="36"/>
      <c r="AF7263" s="36"/>
      <c r="AG7263" s="36"/>
      <c r="AH7263" s="36"/>
      <c r="AI7263" s="36"/>
      <c r="AJ7263" s="15">
        <f t="shared" si="1464"/>
        <v>0</v>
      </c>
      <c r="AK7263" s="14"/>
      <c r="AL7263" s="14"/>
      <c r="AM7263" s="14"/>
      <c r="AN7263" s="14"/>
      <c r="AO7263" s="14"/>
      <c r="AP7263" s="14"/>
      <c r="AQ7263" s="14"/>
      <c r="AR7263" s="14"/>
      <c r="AS7263" s="14">
        <v>400</v>
      </c>
      <c r="AT7263" s="14"/>
      <c r="AU7263" s="14"/>
      <c r="AV7263" s="14"/>
      <c r="AW7263" s="15">
        <f t="shared" si="1465"/>
        <v>400</v>
      </c>
      <c r="AX7263" s="16"/>
    </row>
    <row r="7264" spans="2:50" x14ac:dyDescent="0.2">
      <c r="B7264" s="7"/>
      <c r="C7264" s="8">
        <v>17305</v>
      </c>
      <c r="D7264" s="9" t="s">
        <v>589</v>
      </c>
      <c r="E7264" s="10" t="str">
        <f t="shared" si="1460"/>
        <v>Rancho La Cuchilla No. 149</v>
      </c>
      <c r="F7264" s="10" t="str">
        <f t="shared" si="1461"/>
        <v>Montes Irineos</v>
      </c>
      <c r="G7264" s="8">
        <v>1</v>
      </c>
      <c r="H7264" s="11">
        <v>400</v>
      </c>
      <c r="I7264" s="12">
        <v>43366</v>
      </c>
      <c r="J7264" s="35">
        <f t="shared" si="1462"/>
        <v>0</v>
      </c>
      <c r="K7264" s="36"/>
      <c r="L7264" s="36"/>
      <c r="M7264" s="36"/>
      <c r="N7264" s="36"/>
      <c r="O7264" s="36"/>
      <c r="P7264" s="36"/>
      <c r="Q7264" s="36"/>
      <c r="R7264" s="36"/>
      <c r="S7264" s="36"/>
      <c r="T7264" s="36"/>
      <c r="U7264" s="36"/>
      <c r="V7264" s="36"/>
      <c r="W7264" s="15">
        <f t="shared" si="1463"/>
        <v>0</v>
      </c>
      <c r="X7264" s="36"/>
      <c r="Y7264" s="36"/>
      <c r="Z7264" s="36"/>
      <c r="AA7264" s="36"/>
      <c r="AB7264" s="36"/>
      <c r="AC7264" s="36"/>
      <c r="AD7264" s="36"/>
      <c r="AE7264" s="36"/>
      <c r="AF7264" s="36"/>
      <c r="AG7264" s="36"/>
      <c r="AH7264" s="36"/>
      <c r="AI7264" s="36"/>
      <c r="AJ7264" s="15">
        <f t="shared" si="1464"/>
        <v>0</v>
      </c>
      <c r="AK7264" s="14"/>
      <c r="AL7264" s="14"/>
      <c r="AM7264" s="14"/>
      <c r="AN7264" s="14"/>
      <c r="AO7264" s="14"/>
      <c r="AP7264" s="14"/>
      <c r="AQ7264" s="14"/>
      <c r="AR7264" s="14">
        <v>400</v>
      </c>
      <c r="AS7264" s="14"/>
      <c r="AT7264" s="14"/>
      <c r="AU7264" s="14"/>
      <c r="AV7264" s="14"/>
      <c r="AW7264" s="15">
        <f t="shared" si="1465"/>
        <v>400</v>
      </c>
      <c r="AX7264" s="16"/>
    </row>
    <row r="7265" spans="2:51" x14ac:dyDescent="0.2">
      <c r="B7265" s="7"/>
      <c r="C7265" s="8">
        <v>17306</v>
      </c>
      <c r="D7265" s="9" t="s">
        <v>547</v>
      </c>
      <c r="E7265" s="10" t="str">
        <f t="shared" si="1460"/>
        <v>Rancho Zinamba No. 72</v>
      </c>
      <c r="F7265" s="10" t="str">
        <f t="shared" si="1461"/>
        <v>Romo de Vivar</v>
      </c>
      <c r="G7265" s="8">
        <v>1</v>
      </c>
      <c r="H7265" s="11">
        <v>400</v>
      </c>
      <c r="I7265" s="12">
        <v>43366</v>
      </c>
      <c r="J7265" s="35">
        <f t="shared" si="1462"/>
        <v>0</v>
      </c>
      <c r="K7265" s="36"/>
      <c r="L7265" s="36"/>
      <c r="M7265" s="36"/>
      <c r="N7265" s="36"/>
      <c r="O7265" s="36"/>
      <c r="P7265" s="36"/>
      <c r="Q7265" s="36"/>
      <c r="R7265" s="36"/>
      <c r="S7265" s="36"/>
      <c r="T7265" s="36"/>
      <c r="U7265" s="36"/>
      <c r="V7265" s="36"/>
      <c r="W7265" s="15">
        <f t="shared" si="1463"/>
        <v>0</v>
      </c>
      <c r="X7265" s="36"/>
      <c r="Y7265" s="36"/>
      <c r="Z7265" s="36"/>
      <c r="AA7265" s="36"/>
      <c r="AB7265" s="36"/>
      <c r="AC7265" s="36"/>
      <c r="AD7265" s="36"/>
      <c r="AE7265" s="36"/>
      <c r="AF7265" s="36"/>
      <c r="AG7265" s="36"/>
      <c r="AH7265" s="36"/>
      <c r="AI7265" s="36"/>
      <c r="AJ7265" s="15">
        <f t="shared" si="1464"/>
        <v>0</v>
      </c>
      <c r="AK7265" s="14"/>
      <c r="AL7265" s="14"/>
      <c r="AM7265" s="14"/>
      <c r="AN7265" s="14"/>
      <c r="AO7265" s="14"/>
      <c r="AP7265" s="14"/>
      <c r="AQ7265" s="14">
        <v>200</v>
      </c>
      <c r="AR7265" s="14">
        <v>200</v>
      </c>
      <c r="AS7265" s="14"/>
      <c r="AT7265" s="14"/>
      <c r="AU7265" s="14"/>
      <c r="AV7265" s="14"/>
      <c r="AW7265" s="15">
        <f t="shared" si="1465"/>
        <v>400</v>
      </c>
      <c r="AX7265" s="316">
        <f>SUM(H7225:H7265)</f>
        <v>18200</v>
      </c>
    </row>
    <row r="7266" spans="2:51" x14ac:dyDescent="0.2">
      <c r="B7266" s="7"/>
      <c r="C7266" s="8">
        <v>17307</v>
      </c>
      <c r="D7266" s="9" t="s">
        <v>109</v>
      </c>
      <c r="E7266" s="10" t="str">
        <f t="shared" si="1460"/>
        <v>Rancho Estanzuela No. 31</v>
      </c>
      <c r="F7266" s="10" t="str">
        <f t="shared" si="1461"/>
        <v>Chávez Valdés</v>
      </c>
      <c r="G7266" s="8">
        <v>1</v>
      </c>
      <c r="H7266" s="315">
        <v>400</v>
      </c>
      <c r="I7266" s="12">
        <v>43367</v>
      </c>
      <c r="J7266" s="35">
        <f t="shared" si="1462"/>
        <v>0</v>
      </c>
      <c r="K7266" s="36"/>
      <c r="L7266" s="36"/>
      <c r="M7266" s="36"/>
      <c r="N7266" s="36"/>
      <c r="O7266" s="36"/>
      <c r="P7266" s="36"/>
      <c r="Q7266" s="36"/>
      <c r="R7266" s="36"/>
      <c r="S7266" s="36"/>
      <c r="T7266" s="36"/>
      <c r="U7266" s="36"/>
      <c r="V7266" s="36"/>
      <c r="W7266" s="15">
        <f t="shared" si="1463"/>
        <v>0</v>
      </c>
      <c r="X7266" s="36"/>
      <c r="Y7266" s="36"/>
      <c r="Z7266" s="36"/>
      <c r="AA7266" s="36"/>
      <c r="AB7266" s="36"/>
      <c r="AC7266" s="36"/>
      <c r="AD7266" s="36"/>
      <c r="AE7266" s="36"/>
      <c r="AF7266" s="36"/>
      <c r="AG7266" s="36"/>
      <c r="AH7266" s="36"/>
      <c r="AI7266" s="36"/>
      <c r="AJ7266" s="15">
        <f t="shared" si="1464"/>
        <v>0</v>
      </c>
      <c r="AK7266" s="14"/>
      <c r="AL7266" s="14"/>
      <c r="AM7266" s="14"/>
      <c r="AN7266" s="14"/>
      <c r="AO7266" s="14"/>
      <c r="AP7266" s="14"/>
      <c r="AQ7266" s="14">
        <v>400</v>
      </c>
      <c r="AR7266" s="14"/>
      <c r="AS7266" s="14"/>
      <c r="AT7266" s="14"/>
      <c r="AU7266" s="14"/>
      <c r="AV7266" s="14"/>
      <c r="AW7266" s="15">
        <f t="shared" si="1465"/>
        <v>400</v>
      </c>
      <c r="AX7266" s="16"/>
    </row>
    <row r="7267" spans="2:51" x14ac:dyDescent="0.2">
      <c r="B7267" s="7"/>
      <c r="C7267" s="8">
        <v>17308</v>
      </c>
      <c r="D7267" s="9" t="s">
        <v>458</v>
      </c>
      <c r="E7267" s="10" t="str">
        <f t="shared" si="1460"/>
        <v>Rancho Estanzuela No. 143, B</v>
      </c>
      <c r="F7267" s="10" t="str">
        <f t="shared" si="1461"/>
        <v>López</v>
      </c>
      <c r="G7267" s="8">
        <v>1</v>
      </c>
      <c r="H7267" s="11">
        <v>800</v>
      </c>
      <c r="I7267" s="12">
        <v>43367</v>
      </c>
      <c r="J7267" s="35">
        <f t="shared" si="1462"/>
        <v>0</v>
      </c>
      <c r="K7267" s="36"/>
      <c r="L7267" s="36"/>
      <c r="M7267" s="36"/>
      <c r="N7267" s="36"/>
      <c r="O7267" s="36"/>
      <c r="P7267" s="36"/>
      <c r="Q7267" s="36"/>
      <c r="R7267" s="36"/>
      <c r="S7267" s="36"/>
      <c r="T7267" s="36"/>
      <c r="U7267" s="36"/>
      <c r="V7267" s="36"/>
      <c r="W7267" s="15">
        <f t="shared" si="1463"/>
        <v>0</v>
      </c>
      <c r="X7267" s="36"/>
      <c r="Y7267" s="36"/>
      <c r="Z7267" s="36"/>
      <c r="AA7267" s="36"/>
      <c r="AB7267" s="36"/>
      <c r="AC7267" s="36"/>
      <c r="AD7267" s="36"/>
      <c r="AE7267" s="36"/>
      <c r="AF7267" s="36"/>
      <c r="AG7267" s="36"/>
      <c r="AH7267" s="36"/>
      <c r="AI7267" s="36"/>
      <c r="AJ7267" s="15">
        <f t="shared" si="1464"/>
        <v>0</v>
      </c>
      <c r="AK7267" s="14"/>
      <c r="AL7267" s="14"/>
      <c r="AM7267" s="14"/>
      <c r="AN7267" s="14"/>
      <c r="AO7267" s="14"/>
      <c r="AP7267" s="14"/>
      <c r="AQ7267" s="14">
        <v>400</v>
      </c>
      <c r="AR7267" s="14">
        <v>400</v>
      </c>
      <c r="AS7267" s="14"/>
      <c r="AT7267" s="14"/>
      <c r="AU7267" s="14"/>
      <c r="AV7267" s="14"/>
      <c r="AW7267" s="15">
        <f t="shared" si="1465"/>
        <v>800</v>
      </c>
      <c r="AX7267" s="16"/>
    </row>
    <row r="7268" spans="2:51" x14ac:dyDescent="0.2">
      <c r="B7268" s="7"/>
      <c r="C7268" s="8">
        <v>17309</v>
      </c>
      <c r="D7268" s="9" t="s">
        <v>214</v>
      </c>
      <c r="E7268" s="10" t="str">
        <f t="shared" ref="E7268:E7305" si="1472">IF(D7268=0,"",VLOOKUP(D7268,BASE,2,FALSE))</f>
        <v>Rancho Romeral No. 30</v>
      </c>
      <c r="F7268" s="10" t="str">
        <f t="shared" ref="F7268:F7305" si="1473">IF(D7268=0,"",VLOOKUP(D7268,BASE,3,FALSE))</f>
        <v>Osorio</v>
      </c>
      <c r="G7268" s="8">
        <v>4</v>
      </c>
      <c r="H7268" s="11">
        <v>150</v>
      </c>
      <c r="I7268" s="12">
        <v>43367</v>
      </c>
      <c r="J7268" s="35">
        <f t="shared" ref="J7268:J7305" si="1474">IF(G7268=1,SUM(W7268,AJ7268,AW7268,-H7268),0)</f>
        <v>0</v>
      </c>
      <c r="K7268" s="36"/>
      <c r="L7268" s="36"/>
      <c r="M7268" s="36"/>
      <c r="N7268" s="36"/>
      <c r="O7268" s="36"/>
      <c r="P7268" s="36"/>
      <c r="Q7268" s="36"/>
      <c r="R7268" s="36"/>
      <c r="S7268" s="36"/>
      <c r="T7268" s="36"/>
      <c r="U7268" s="36"/>
      <c r="V7268" s="36"/>
      <c r="W7268" s="15">
        <f t="shared" ref="W7268:W7305" si="1475">SUM(K7268:V7268)</f>
        <v>0</v>
      </c>
      <c r="X7268" s="36"/>
      <c r="Y7268" s="36"/>
      <c r="Z7268" s="36"/>
      <c r="AA7268" s="36"/>
      <c r="AB7268" s="36"/>
      <c r="AC7268" s="36"/>
      <c r="AD7268" s="36"/>
      <c r="AE7268" s="36"/>
      <c r="AF7268" s="36"/>
      <c r="AG7268" s="36"/>
      <c r="AH7268" s="36"/>
      <c r="AI7268" s="36"/>
      <c r="AJ7268" s="15">
        <f t="shared" ref="AJ7268:AJ7305" si="1476">SUM(X7268:AI7268)</f>
        <v>0</v>
      </c>
      <c r="AK7268" s="14"/>
      <c r="AL7268" s="14"/>
      <c r="AM7268" s="14"/>
      <c r="AN7268" s="14"/>
      <c r="AO7268" s="14"/>
      <c r="AP7268" s="14"/>
      <c r="AQ7268" s="14"/>
      <c r="AR7268" s="14"/>
      <c r="AS7268" s="14"/>
      <c r="AT7268" s="14"/>
      <c r="AU7268" s="14"/>
      <c r="AV7268" s="14"/>
      <c r="AW7268" s="15">
        <f t="shared" ref="AW7268:AW7305" si="1477">SUM(AK7268:AV7268)</f>
        <v>0</v>
      </c>
      <c r="AX7268" s="16" t="s">
        <v>5659</v>
      </c>
    </row>
    <row r="7269" spans="2:51" x14ac:dyDescent="0.2">
      <c r="B7269" s="7"/>
      <c r="C7269" s="8">
        <v>17310</v>
      </c>
      <c r="D7269" s="9" t="s">
        <v>373</v>
      </c>
      <c r="E7269" s="10" t="str">
        <f t="shared" si="1472"/>
        <v>Rancho Upácuaro No. 118</v>
      </c>
      <c r="F7269" s="10" t="str">
        <f t="shared" si="1473"/>
        <v>Siegrist</v>
      </c>
      <c r="G7269" s="8">
        <v>1</v>
      </c>
      <c r="H7269" s="11">
        <v>800</v>
      </c>
      <c r="I7269" s="12">
        <v>43367</v>
      </c>
      <c r="J7269" s="35">
        <f t="shared" si="1474"/>
        <v>0</v>
      </c>
      <c r="K7269" s="36"/>
      <c r="L7269" s="36"/>
      <c r="M7269" s="36"/>
      <c r="N7269" s="36"/>
      <c r="O7269" s="36"/>
      <c r="P7269" s="36"/>
      <c r="Q7269" s="36"/>
      <c r="R7269" s="36"/>
      <c r="S7269" s="36"/>
      <c r="T7269" s="36"/>
      <c r="U7269" s="36"/>
      <c r="V7269" s="36"/>
      <c r="W7269" s="15">
        <f t="shared" si="1475"/>
        <v>0</v>
      </c>
      <c r="X7269" s="36"/>
      <c r="Y7269" s="36"/>
      <c r="Z7269" s="36"/>
      <c r="AA7269" s="36"/>
      <c r="AB7269" s="36"/>
      <c r="AC7269" s="36"/>
      <c r="AD7269" s="36"/>
      <c r="AE7269" s="36"/>
      <c r="AF7269" s="36"/>
      <c r="AG7269" s="36"/>
      <c r="AH7269" s="36"/>
      <c r="AI7269" s="36"/>
      <c r="AJ7269" s="15">
        <f t="shared" si="1476"/>
        <v>0</v>
      </c>
      <c r="AK7269" s="14"/>
      <c r="AL7269" s="14"/>
      <c r="AM7269" s="14"/>
      <c r="AN7269" s="14"/>
      <c r="AO7269" s="14"/>
      <c r="AP7269" s="14"/>
      <c r="AQ7269" s="14">
        <v>400</v>
      </c>
      <c r="AR7269" s="14">
        <v>400</v>
      </c>
      <c r="AS7269" s="14"/>
      <c r="AT7269" s="14"/>
      <c r="AU7269" s="14"/>
      <c r="AV7269" s="14"/>
      <c r="AW7269" s="15">
        <f t="shared" si="1477"/>
        <v>800</v>
      </c>
      <c r="AX7269" s="16"/>
    </row>
    <row r="7270" spans="2:51" x14ac:dyDescent="0.2">
      <c r="B7270" s="7"/>
      <c r="C7270" s="8">
        <v>17311</v>
      </c>
      <c r="D7270" s="9" t="s">
        <v>1112</v>
      </c>
      <c r="E7270" s="10" t="str">
        <f t="shared" si="1472"/>
        <v>Rancho La Cuchilla No. 27</v>
      </c>
      <c r="F7270" s="10" t="str">
        <f t="shared" si="1473"/>
        <v>Montoya</v>
      </c>
      <c r="G7270" s="8">
        <v>3</v>
      </c>
      <c r="H7270" s="11">
        <v>400</v>
      </c>
      <c r="I7270" s="12">
        <v>43367</v>
      </c>
      <c r="J7270" s="35">
        <f t="shared" si="1474"/>
        <v>0</v>
      </c>
      <c r="K7270" s="36"/>
      <c r="L7270" s="36"/>
      <c r="M7270" s="36"/>
      <c r="N7270" s="36"/>
      <c r="O7270" s="36"/>
      <c r="P7270" s="36"/>
      <c r="Q7270" s="36"/>
      <c r="R7270" s="36"/>
      <c r="S7270" s="36"/>
      <c r="T7270" s="36"/>
      <c r="U7270" s="36"/>
      <c r="V7270" s="36"/>
      <c r="W7270" s="15">
        <f t="shared" si="1475"/>
        <v>0</v>
      </c>
      <c r="X7270" s="36"/>
      <c r="Y7270" s="36"/>
      <c r="Z7270" s="36"/>
      <c r="AA7270" s="36"/>
      <c r="AB7270" s="36"/>
      <c r="AC7270" s="36"/>
      <c r="AD7270" s="36"/>
      <c r="AE7270" s="36"/>
      <c r="AF7270" s="36"/>
      <c r="AG7270" s="36"/>
      <c r="AH7270" s="36"/>
      <c r="AI7270" s="36"/>
      <c r="AJ7270" s="15">
        <f t="shared" si="1476"/>
        <v>0</v>
      </c>
      <c r="AK7270" s="14"/>
      <c r="AL7270" s="14"/>
      <c r="AM7270" s="14"/>
      <c r="AN7270" s="14"/>
      <c r="AO7270" s="14"/>
      <c r="AP7270" s="14"/>
      <c r="AQ7270" s="14"/>
      <c r="AR7270" s="14"/>
      <c r="AS7270" s="14"/>
      <c r="AT7270" s="14"/>
      <c r="AU7270" s="14"/>
      <c r="AV7270" s="14"/>
      <c r="AW7270" s="15">
        <f t="shared" si="1477"/>
        <v>0</v>
      </c>
      <c r="AX7270" s="16"/>
    </row>
    <row r="7271" spans="2:51" x14ac:dyDescent="0.2">
      <c r="B7271" s="7"/>
      <c r="C7271" s="8">
        <v>17312</v>
      </c>
      <c r="D7271" s="9" t="s">
        <v>526</v>
      </c>
      <c r="E7271" s="10" t="str">
        <f t="shared" si="1472"/>
        <v>Rancho Landero No. 62</v>
      </c>
      <c r="F7271" s="10" t="str">
        <f t="shared" si="1473"/>
        <v>Narvaez Sara</v>
      </c>
      <c r="G7271" s="8">
        <v>1</v>
      </c>
      <c r="H7271" s="11">
        <v>600</v>
      </c>
      <c r="I7271" s="12" t="s">
        <v>5660</v>
      </c>
      <c r="J7271" s="35">
        <f t="shared" si="1474"/>
        <v>0</v>
      </c>
      <c r="K7271" s="36"/>
      <c r="L7271" s="36"/>
      <c r="M7271" s="36"/>
      <c r="N7271" s="36"/>
      <c r="O7271" s="36"/>
      <c r="P7271" s="36"/>
      <c r="Q7271" s="36"/>
      <c r="R7271" s="36"/>
      <c r="S7271" s="36"/>
      <c r="T7271" s="36"/>
      <c r="U7271" s="36"/>
      <c r="V7271" s="36"/>
      <c r="W7271" s="15">
        <f t="shared" si="1475"/>
        <v>0</v>
      </c>
      <c r="X7271" s="36"/>
      <c r="Y7271" s="36"/>
      <c r="Z7271" s="36"/>
      <c r="AA7271" s="36"/>
      <c r="AB7271" s="36"/>
      <c r="AC7271" s="36"/>
      <c r="AD7271" s="36"/>
      <c r="AE7271" s="36"/>
      <c r="AF7271" s="36"/>
      <c r="AG7271" s="36"/>
      <c r="AH7271" s="36"/>
      <c r="AI7271" s="36"/>
      <c r="AJ7271" s="15">
        <f t="shared" si="1476"/>
        <v>0</v>
      </c>
      <c r="AK7271" s="14"/>
      <c r="AL7271" s="14"/>
      <c r="AM7271" s="14"/>
      <c r="AN7271" s="14"/>
      <c r="AO7271" s="14"/>
      <c r="AP7271" s="14"/>
      <c r="AQ7271" s="14"/>
      <c r="AR7271" s="14">
        <v>300</v>
      </c>
      <c r="AS7271" s="14">
        <v>300</v>
      </c>
      <c r="AT7271" s="14"/>
      <c r="AU7271" s="14"/>
      <c r="AV7271" s="14"/>
      <c r="AW7271" s="15">
        <f t="shared" si="1477"/>
        <v>600</v>
      </c>
      <c r="AX7271" s="16"/>
    </row>
    <row r="7272" spans="2:51" x14ac:dyDescent="0.2">
      <c r="B7272" s="7"/>
      <c r="C7272" s="8">
        <v>17313</v>
      </c>
      <c r="D7272" s="9" t="s">
        <v>1026</v>
      </c>
      <c r="E7272" s="10" t="str">
        <f t="shared" si="1472"/>
        <v>Rancho Estanzuela No. 119, 2</v>
      </c>
      <c r="F7272" s="10" t="str">
        <f t="shared" si="1473"/>
        <v>Lòpez Tovar</v>
      </c>
      <c r="G7272" s="8">
        <v>1</v>
      </c>
      <c r="H7272" s="11">
        <v>600</v>
      </c>
      <c r="I7272" s="12">
        <v>43369</v>
      </c>
      <c r="J7272" s="35">
        <f t="shared" si="1474"/>
        <v>0</v>
      </c>
      <c r="K7272" s="36"/>
      <c r="L7272" s="36"/>
      <c r="M7272" s="36"/>
      <c r="N7272" s="36"/>
      <c r="O7272" s="36"/>
      <c r="P7272" s="36"/>
      <c r="Q7272" s="36"/>
      <c r="R7272" s="36"/>
      <c r="S7272" s="36"/>
      <c r="T7272" s="36"/>
      <c r="U7272" s="36"/>
      <c r="V7272" s="36"/>
      <c r="W7272" s="15">
        <f t="shared" si="1475"/>
        <v>0</v>
      </c>
      <c r="X7272" s="36"/>
      <c r="Y7272" s="36"/>
      <c r="Z7272" s="36"/>
      <c r="AA7272" s="36"/>
      <c r="AB7272" s="36"/>
      <c r="AC7272" s="36"/>
      <c r="AD7272" s="36"/>
      <c r="AE7272" s="36"/>
      <c r="AF7272" s="36"/>
      <c r="AG7272" s="36"/>
      <c r="AH7272" s="36"/>
      <c r="AI7272" s="36"/>
      <c r="AJ7272" s="15">
        <f t="shared" si="1476"/>
        <v>0</v>
      </c>
      <c r="AK7272" s="14"/>
      <c r="AL7272" s="14"/>
      <c r="AM7272" s="14"/>
      <c r="AN7272" s="14"/>
      <c r="AO7272" s="14"/>
      <c r="AP7272" s="14"/>
      <c r="AQ7272" s="14">
        <v>200</v>
      </c>
      <c r="AR7272" s="14">
        <v>200</v>
      </c>
      <c r="AS7272" s="14">
        <v>200</v>
      </c>
      <c r="AT7272" s="14"/>
      <c r="AU7272" s="14"/>
      <c r="AV7272" s="14"/>
      <c r="AW7272" s="15">
        <f t="shared" si="1477"/>
        <v>600</v>
      </c>
      <c r="AX7272" s="16"/>
    </row>
    <row r="7273" spans="2:51" x14ac:dyDescent="0.2">
      <c r="B7273" s="7"/>
      <c r="C7273" s="8">
        <v>17313</v>
      </c>
      <c r="D7273" s="9" t="s">
        <v>1026</v>
      </c>
      <c r="E7273" s="10" t="str">
        <f t="shared" si="1472"/>
        <v>Rancho Estanzuela No. 119, 2</v>
      </c>
      <c r="F7273" s="10" t="str">
        <f t="shared" si="1473"/>
        <v>Lòpez Tovar</v>
      </c>
      <c r="G7273" s="8">
        <v>4</v>
      </c>
      <c r="H7273" s="11">
        <v>400</v>
      </c>
      <c r="I7273" s="12">
        <v>43369</v>
      </c>
      <c r="J7273" s="35">
        <f t="shared" si="1474"/>
        <v>0</v>
      </c>
      <c r="K7273" s="36"/>
      <c r="L7273" s="36"/>
      <c r="M7273" s="36"/>
      <c r="N7273" s="36"/>
      <c r="O7273" s="36"/>
      <c r="P7273" s="36"/>
      <c r="Q7273" s="36"/>
      <c r="R7273" s="36"/>
      <c r="S7273" s="36"/>
      <c r="T7273" s="36"/>
      <c r="U7273" s="36"/>
      <c r="V7273" s="36"/>
      <c r="W7273" s="15">
        <f t="shared" si="1475"/>
        <v>0</v>
      </c>
      <c r="X7273" s="36"/>
      <c r="Y7273" s="36"/>
      <c r="Z7273" s="36"/>
      <c r="AA7273" s="36"/>
      <c r="AB7273" s="36"/>
      <c r="AC7273" s="36"/>
      <c r="AD7273" s="36"/>
      <c r="AE7273" s="36"/>
      <c r="AF7273" s="36"/>
      <c r="AG7273" s="36"/>
      <c r="AH7273" s="36"/>
      <c r="AI7273" s="36"/>
      <c r="AJ7273" s="15">
        <f t="shared" si="1476"/>
        <v>0</v>
      </c>
      <c r="AK7273" s="14"/>
      <c r="AL7273" s="14"/>
      <c r="AM7273" s="14"/>
      <c r="AN7273" s="14"/>
      <c r="AO7273" s="14"/>
      <c r="AP7273" s="14"/>
      <c r="AQ7273" s="14"/>
      <c r="AR7273" s="14"/>
      <c r="AS7273" s="14"/>
      <c r="AT7273" s="14"/>
      <c r="AU7273" s="14"/>
      <c r="AV7273" s="14"/>
      <c r="AW7273" s="15">
        <f t="shared" si="1477"/>
        <v>0</v>
      </c>
      <c r="AX7273" s="16" t="s">
        <v>5661</v>
      </c>
    </row>
    <row r="7274" spans="2:51" x14ac:dyDescent="0.2">
      <c r="B7274" s="7"/>
      <c r="C7274" s="8">
        <v>17314</v>
      </c>
      <c r="D7274" s="9" t="s">
        <v>376</v>
      </c>
      <c r="E7274" s="10" t="str">
        <f t="shared" si="1472"/>
        <v>Rancho Estanzuela No. 33</v>
      </c>
      <c r="F7274" s="10" t="str">
        <f t="shared" si="1473"/>
        <v>Arauz</v>
      </c>
      <c r="G7274" s="8">
        <v>1</v>
      </c>
      <c r="H7274" s="11">
        <v>2400</v>
      </c>
      <c r="I7274" s="12">
        <v>43369</v>
      </c>
      <c r="J7274" s="35">
        <f t="shared" si="1474"/>
        <v>0</v>
      </c>
      <c r="K7274" s="36"/>
      <c r="L7274" s="36"/>
      <c r="M7274" s="36"/>
      <c r="N7274" s="36"/>
      <c r="O7274" s="36"/>
      <c r="P7274" s="36"/>
      <c r="Q7274" s="36"/>
      <c r="R7274" s="36"/>
      <c r="S7274" s="36"/>
      <c r="T7274" s="36"/>
      <c r="U7274" s="36"/>
      <c r="V7274" s="36"/>
      <c r="W7274" s="15">
        <f t="shared" si="1475"/>
        <v>0</v>
      </c>
      <c r="X7274" s="36"/>
      <c r="Y7274" s="36"/>
      <c r="Z7274" s="36"/>
      <c r="AA7274" s="36"/>
      <c r="AB7274" s="36"/>
      <c r="AC7274" s="36"/>
      <c r="AD7274" s="36"/>
      <c r="AE7274" s="36"/>
      <c r="AF7274" s="36"/>
      <c r="AG7274" s="36"/>
      <c r="AH7274" s="36"/>
      <c r="AI7274" s="36"/>
      <c r="AJ7274" s="15">
        <f t="shared" si="1476"/>
        <v>0</v>
      </c>
      <c r="AK7274" s="14"/>
      <c r="AL7274" s="14"/>
      <c r="AM7274" s="14"/>
      <c r="AN7274" s="14"/>
      <c r="AO7274" s="14"/>
      <c r="AP7274" s="14"/>
      <c r="AQ7274" s="14">
        <v>400</v>
      </c>
      <c r="AR7274" s="14">
        <v>400</v>
      </c>
      <c r="AS7274" s="14">
        <v>400</v>
      </c>
      <c r="AT7274" s="14">
        <v>400</v>
      </c>
      <c r="AU7274" s="14">
        <v>400</v>
      </c>
      <c r="AV7274" s="14">
        <v>400</v>
      </c>
      <c r="AW7274" s="15">
        <f t="shared" si="1477"/>
        <v>2400</v>
      </c>
      <c r="AX7274" s="16"/>
    </row>
    <row r="7275" spans="2:51" x14ac:dyDescent="0.2">
      <c r="B7275" s="7"/>
      <c r="C7275" s="8">
        <v>17315</v>
      </c>
      <c r="D7275" s="9" t="s">
        <v>922</v>
      </c>
      <c r="E7275" s="10" t="str">
        <f t="shared" si="1472"/>
        <v>Rancho Estanzuela No. 75</v>
      </c>
      <c r="F7275" s="10" t="str">
        <f t="shared" si="1473"/>
        <v>Candela Pons</v>
      </c>
      <c r="G7275" s="8">
        <v>1</v>
      </c>
      <c r="H7275" s="11">
        <v>750</v>
      </c>
      <c r="I7275" s="12">
        <v>43371</v>
      </c>
      <c r="J7275" s="35">
        <f t="shared" si="1474"/>
        <v>0</v>
      </c>
      <c r="K7275" s="36"/>
      <c r="L7275" s="36"/>
      <c r="M7275" s="36"/>
      <c r="N7275" s="36"/>
      <c r="O7275" s="36"/>
      <c r="P7275" s="36"/>
      <c r="Q7275" s="36"/>
      <c r="R7275" s="36"/>
      <c r="S7275" s="36"/>
      <c r="T7275" s="36"/>
      <c r="U7275" s="36"/>
      <c r="V7275" s="36"/>
      <c r="W7275" s="15">
        <f t="shared" si="1475"/>
        <v>0</v>
      </c>
      <c r="X7275" s="36"/>
      <c r="Y7275" s="36"/>
      <c r="Z7275" s="36"/>
      <c r="AA7275" s="36"/>
      <c r="AB7275" s="36"/>
      <c r="AC7275" s="36"/>
      <c r="AD7275" s="36"/>
      <c r="AE7275" s="36"/>
      <c r="AF7275" s="36"/>
      <c r="AG7275" s="36"/>
      <c r="AH7275" s="36"/>
      <c r="AI7275" s="36"/>
      <c r="AJ7275" s="15">
        <f t="shared" si="1476"/>
        <v>0</v>
      </c>
      <c r="AK7275" s="14"/>
      <c r="AL7275" s="14"/>
      <c r="AM7275" s="14"/>
      <c r="AN7275" s="14"/>
      <c r="AO7275" s="14"/>
      <c r="AP7275" s="14"/>
      <c r="AQ7275" s="14">
        <v>250</v>
      </c>
      <c r="AR7275" s="14">
        <v>250</v>
      </c>
      <c r="AS7275" s="14">
        <v>250</v>
      </c>
      <c r="AT7275" s="14"/>
      <c r="AU7275" s="14"/>
      <c r="AV7275" s="14"/>
      <c r="AW7275" s="15">
        <f t="shared" si="1477"/>
        <v>750</v>
      </c>
      <c r="AX7275" s="16"/>
      <c r="AY7275" s="112">
        <f>SUM(H7266:H7275)</f>
        <v>7300</v>
      </c>
    </row>
    <row r="7276" spans="2:51" x14ac:dyDescent="0.2">
      <c r="B7276" s="7"/>
      <c r="C7276" s="8">
        <v>17316</v>
      </c>
      <c r="D7276" s="9" t="s">
        <v>678</v>
      </c>
      <c r="E7276" s="10" t="str">
        <f t="shared" si="1472"/>
        <v>Rancho Upácuaro No. 76</v>
      </c>
      <c r="F7276" s="10" t="str">
        <f t="shared" si="1473"/>
        <v>Ruiz de San Pedro</v>
      </c>
      <c r="G7276" s="8">
        <v>1</v>
      </c>
      <c r="H7276" s="315">
        <v>400</v>
      </c>
      <c r="I7276" s="12">
        <v>43373</v>
      </c>
      <c r="J7276" s="35">
        <f t="shared" si="1474"/>
        <v>0</v>
      </c>
      <c r="K7276" s="36"/>
      <c r="L7276" s="36"/>
      <c r="M7276" s="36"/>
      <c r="N7276" s="36"/>
      <c r="O7276" s="36"/>
      <c r="P7276" s="36"/>
      <c r="Q7276" s="36"/>
      <c r="R7276" s="36"/>
      <c r="S7276" s="36"/>
      <c r="T7276" s="36"/>
      <c r="U7276" s="36"/>
      <c r="V7276" s="36"/>
      <c r="W7276" s="15">
        <f t="shared" si="1475"/>
        <v>0</v>
      </c>
      <c r="X7276" s="36"/>
      <c r="Y7276" s="36"/>
      <c r="Z7276" s="36"/>
      <c r="AA7276" s="36"/>
      <c r="AB7276" s="36"/>
      <c r="AC7276" s="36"/>
      <c r="AD7276" s="36"/>
      <c r="AE7276" s="36"/>
      <c r="AF7276" s="36"/>
      <c r="AG7276" s="36"/>
      <c r="AH7276" s="36"/>
      <c r="AI7276" s="36"/>
      <c r="AJ7276" s="15">
        <f t="shared" si="1476"/>
        <v>0</v>
      </c>
      <c r="AK7276" s="14"/>
      <c r="AL7276" s="14"/>
      <c r="AM7276" s="14"/>
      <c r="AN7276" s="14"/>
      <c r="AO7276" s="14"/>
      <c r="AP7276" s="14"/>
      <c r="AQ7276" s="14"/>
      <c r="AR7276" s="14"/>
      <c r="AS7276" s="14"/>
      <c r="AT7276" s="14">
        <v>400</v>
      </c>
      <c r="AU7276" s="14"/>
      <c r="AV7276" s="14"/>
      <c r="AW7276" s="15">
        <f t="shared" si="1477"/>
        <v>400</v>
      </c>
      <c r="AX7276" s="16"/>
    </row>
    <row r="7277" spans="2:51" x14ac:dyDescent="0.2">
      <c r="B7277" s="7"/>
      <c r="C7277" s="8">
        <v>17317</v>
      </c>
      <c r="D7277" s="9" t="s">
        <v>794</v>
      </c>
      <c r="E7277" s="10" t="str">
        <f t="shared" si="1472"/>
        <v>Rancho Landero No. 18</v>
      </c>
      <c r="F7277" s="10" t="str">
        <f t="shared" si="1473"/>
        <v>Rosado</v>
      </c>
      <c r="G7277" s="8">
        <v>1</v>
      </c>
      <c r="H7277" s="11">
        <v>300</v>
      </c>
      <c r="I7277" s="12">
        <v>43373</v>
      </c>
      <c r="J7277" s="35">
        <f t="shared" si="1474"/>
        <v>0</v>
      </c>
      <c r="K7277" s="36"/>
      <c r="L7277" s="36"/>
      <c r="M7277" s="36"/>
      <c r="N7277" s="36"/>
      <c r="O7277" s="36"/>
      <c r="P7277" s="36"/>
      <c r="Q7277" s="36"/>
      <c r="R7277" s="36"/>
      <c r="S7277" s="36"/>
      <c r="T7277" s="36"/>
      <c r="U7277" s="36"/>
      <c r="V7277" s="36"/>
      <c r="W7277" s="15">
        <f t="shared" si="1475"/>
        <v>0</v>
      </c>
      <c r="X7277" s="36"/>
      <c r="Y7277" s="36"/>
      <c r="Z7277" s="36"/>
      <c r="AA7277" s="36"/>
      <c r="AB7277" s="36"/>
      <c r="AC7277" s="36"/>
      <c r="AD7277" s="36"/>
      <c r="AE7277" s="36"/>
      <c r="AF7277" s="36"/>
      <c r="AG7277" s="36"/>
      <c r="AH7277" s="36"/>
      <c r="AI7277" s="36"/>
      <c r="AJ7277" s="15">
        <f t="shared" si="1476"/>
        <v>0</v>
      </c>
      <c r="AK7277" s="14"/>
      <c r="AL7277" s="14"/>
      <c r="AM7277" s="14"/>
      <c r="AN7277" s="14"/>
      <c r="AO7277" s="14"/>
      <c r="AP7277" s="14"/>
      <c r="AQ7277" s="14"/>
      <c r="AR7277" s="14"/>
      <c r="AS7277" s="14">
        <v>300</v>
      </c>
      <c r="AT7277" s="14"/>
      <c r="AU7277" s="14"/>
      <c r="AV7277" s="14"/>
      <c r="AW7277" s="15">
        <f t="shared" si="1477"/>
        <v>300</v>
      </c>
      <c r="AX7277" s="16"/>
    </row>
    <row r="7278" spans="2:51" x14ac:dyDescent="0.2">
      <c r="B7278" s="7"/>
      <c r="C7278" s="8">
        <v>17318</v>
      </c>
      <c r="D7278" s="9" t="s">
        <v>437</v>
      </c>
      <c r="E7278" s="10" t="str">
        <f t="shared" si="1472"/>
        <v>Rancho Upácuaro No. 47</v>
      </c>
      <c r="F7278" s="10" t="str">
        <f t="shared" si="1473"/>
        <v>Flores Muñoz</v>
      </c>
      <c r="G7278" s="8">
        <v>1</v>
      </c>
      <c r="H7278" s="11">
        <v>400</v>
      </c>
      <c r="I7278" s="12">
        <v>43373</v>
      </c>
      <c r="J7278" s="35">
        <f t="shared" si="1474"/>
        <v>0</v>
      </c>
      <c r="K7278" s="36"/>
      <c r="L7278" s="36"/>
      <c r="M7278" s="36"/>
      <c r="N7278" s="36"/>
      <c r="O7278" s="36"/>
      <c r="P7278" s="36"/>
      <c r="Q7278" s="36"/>
      <c r="R7278" s="36"/>
      <c r="S7278" s="36"/>
      <c r="T7278" s="36"/>
      <c r="U7278" s="36"/>
      <c r="V7278" s="36"/>
      <c r="W7278" s="15">
        <f t="shared" si="1475"/>
        <v>0</v>
      </c>
      <c r="X7278" s="36"/>
      <c r="Y7278" s="36"/>
      <c r="Z7278" s="36"/>
      <c r="AA7278" s="36"/>
      <c r="AB7278" s="36"/>
      <c r="AC7278" s="36"/>
      <c r="AD7278" s="36"/>
      <c r="AE7278" s="36"/>
      <c r="AF7278" s="36"/>
      <c r="AG7278" s="36"/>
      <c r="AH7278" s="36"/>
      <c r="AI7278" s="36"/>
      <c r="AJ7278" s="15">
        <f t="shared" si="1476"/>
        <v>0</v>
      </c>
      <c r="AK7278" s="14"/>
      <c r="AL7278" s="14"/>
      <c r="AM7278" s="14"/>
      <c r="AN7278" s="14"/>
      <c r="AO7278" s="14"/>
      <c r="AP7278" s="14"/>
      <c r="AQ7278" s="14"/>
      <c r="AR7278" s="14"/>
      <c r="AS7278" s="14">
        <v>400</v>
      </c>
      <c r="AT7278" s="14"/>
      <c r="AU7278" s="14"/>
      <c r="AV7278" s="14"/>
      <c r="AW7278" s="15">
        <f t="shared" si="1477"/>
        <v>400</v>
      </c>
      <c r="AX7278" s="16"/>
    </row>
    <row r="7279" spans="2:51" x14ac:dyDescent="0.2">
      <c r="B7279" s="7"/>
      <c r="C7279" s="8">
        <v>17318</v>
      </c>
      <c r="D7279" s="9" t="s">
        <v>437</v>
      </c>
      <c r="E7279" s="10" t="str">
        <f t="shared" si="1472"/>
        <v>Rancho Upácuaro No. 47</v>
      </c>
      <c r="F7279" s="10" t="str">
        <f t="shared" si="1473"/>
        <v>Flores Muñoz</v>
      </c>
      <c r="G7279" s="8">
        <v>5</v>
      </c>
      <c r="H7279" s="11">
        <v>50</v>
      </c>
      <c r="I7279" s="12">
        <v>43373</v>
      </c>
      <c r="J7279" s="35">
        <f t="shared" si="1474"/>
        <v>0</v>
      </c>
      <c r="K7279" s="36"/>
      <c r="L7279" s="36"/>
      <c r="M7279" s="36"/>
      <c r="N7279" s="36"/>
      <c r="O7279" s="36"/>
      <c r="P7279" s="36"/>
      <c r="Q7279" s="36"/>
      <c r="R7279" s="36"/>
      <c r="S7279" s="36"/>
      <c r="T7279" s="36"/>
      <c r="U7279" s="36"/>
      <c r="V7279" s="36"/>
      <c r="W7279" s="15">
        <f t="shared" si="1475"/>
        <v>0</v>
      </c>
      <c r="X7279" s="36"/>
      <c r="Y7279" s="36"/>
      <c r="Z7279" s="36"/>
      <c r="AA7279" s="36"/>
      <c r="AB7279" s="36"/>
      <c r="AC7279" s="36"/>
      <c r="AD7279" s="36"/>
      <c r="AE7279" s="36"/>
      <c r="AF7279" s="36"/>
      <c r="AG7279" s="36"/>
      <c r="AH7279" s="36"/>
      <c r="AI7279" s="36"/>
      <c r="AJ7279" s="15">
        <f t="shared" si="1476"/>
        <v>0</v>
      </c>
      <c r="AK7279" s="14"/>
      <c r="AL7279" s="14"/>
      <c r="AM7279" s="14"/>
      <c r="AN7279" s="14"/>
      <c r="AO7279" s="14"/>
      <c r="AP7279" s="14"/>
      <c r="AQ7279" s="14"/>
      <c r="AR7279" s="14"/>
      <c r="AS7279" s="14"/>
      <c r="AT7279" s="14"/>
      <c r="AU7279" s="14"/>
      <c r="AV7279" s="14"/>
      <c r="AW7279" s="15">
        <f t="shared" si="1477"/>
        <v>0</v>
      </c>
      <c r="AX7279" s="16"/>
    </row>
    <row r="7280" spans="2:51" x14ac:dyDescent="0.2">
      <c r="B7280" s="7"/>
      <c r="C7280" s="8">
        <v>17319</v>
      </c>
      <c r="D7280" s="9" t="s">
        <v>183</v>
      </c>
      <c r="E7280" s="10" t="str">
        <f t="shared" si="1472"/>
        <v>Rancho La Cuchilla No. 54</v>
      </c>
      <c r="F7280" s="10" t="str">
        <f t="shared" si="1473"/>
        <v>Mendoza León</v>
      </c>
      <c r="G7280" s="8">
        <v>1</v>
      </c>
      <c r="H7280" s="11">
        <v>400</v>
      </c>
      <c r="I7280" s="12">
        <v>43373</v>
      </c>
      <c r="J7280" s="35">
        <f t="shared" si="1474"/>
        <v>0</v>
      </c>
      <c r="K7280" s="36"/>
      <c r="L7280" s="36"/>
      <c r="M7280" s="36"/>
      <c r="N7280" s="36"/>
      <c r="O7280" s="36"/>
      <c r="P7280" s="36"/>
      <c r="Q7280" s="36"/>
      <c r="R7280" s="36"/>
      <c r="S7280" s="36"/>
      <c r="T7280" s="36"/>
      <c r="U7280" s="36"/>
      <c r="V7280" s="36"/>
      <c r="W7280" s="15">
        <f t="shared" si="1475"/>
        <v>0</v>
      </c>
      <c r="X7280" s="36"/>
      <c r="Y7280" s="36"/>
      <c r="Z7280" s="36"/>
      <c r="AA7280" s="36"/>
      <c r="AB7280" s="36"/>
      <c r="AC7280" s="36"/>
      <c r="AD7280" s="36"/>
      <c r="AE7280" s="36"/>
      <c r="AF7280" s="36"/>
      <c r="AG7280" s="36"/>
      <c r="AH7280" s="36"/>
      <c r="AI7280" s="36"/>
      <c r="AJ7280" s="15">
        <f t="shared" si="1476"/>
        <v>0</v>
      </c>
      <c r="AK7280" s="14"/>
      <c r="AL7280" s="14"/>
      <c r="AM7280" s="14"/>
      <c r="AN7280" s="14"/>
      <c r="AO7280" s="14"/>
      <c r="AP7280" s="14"/>
      <c r="AQ7280" s="14"/>
      <c r="AR7280" s="14"/>
      <c r="AS7280" s="14">
        <v>400</v>
      </c>
      <c r="AT7280" s="14"/>
      <c r="AU7280" s="14"/>
      <c r="AV7280" s="14"/>
      <c r="AW7280" s="15">
        <f t="shared" si="1477"/>
        <v>400</v>
      </c>
      <c r="AX7280" s="16"/>
    </row>
    <row r="7281" spans="2:50" x14ac:dyDescent="0.2">
      <c r="B7281" s="7"/>
      <c r="C7281" s="8">
        <v>17320</v>
      </c>
      <c r="D7281" s="9" t="s">
        <v>1073</v>
      </c>
      <c r="E7281" s="10" t="str">
        <f t="shared" si="1472"/>
        <v>Rancho Upácuaro No. 96</v>
      </c>
      <c r="F7281" s="10" t="str">
        <f t="shared" si="1473"/>
        <v>Daza Gutiérrez</v>
      </c>
      <c r="G7281" s="8">
        <v>1</v>
      </c>
      <c r="H7281" s="11">
        <v>400</v>
      </c>
      <c r="I7281" s="12">
        <v>43373</v>
      </c>
      <c r="J7281" s="35">
        <f t="shared" si="1474"/>
        <v>0</v>
      </c>
      <c r="K7281" s="36"/>
      <c r="L7281" s="36"/>
      <c r="M7281" s="36"/>
      <c r="N7281" s="36"/>
      <c r="O7281" s="36"/>
      <c r="P7281" s="36"/>
      <c r="Q7281" s="36"/>
      <c r="R7281" s="36"/>
      <c r="S7281" s="36"/>
      <c r="T7281" s="36"/>
      <c r="U7281" s="36"/>
      <c r="V7281" s="36"/>
      <c r="W7281" s="15">
        <f t="shared" si="1475"/>
        <v>0</v>
      </c>
      <c r="X7281" s="36"/>
      <c r="Y7281" s="36"/>
      <c r="Z7281" s="36"/>
      <c r="AA7281" s="36"/>
      <c r="AB7281" s="36"/>
      <c r="AC7281" s="36"/>
      <c r="AD7281" s="36"/>
      <c r="AE7281" s="36"/>
      <c r="AF7281" s="36"/>
      <c r="AG7281" s="36"/>
      <c r="AH7281" s="36"/>
      <c r="AI7281" s="36"/>
      <c r="AJ7281" s="15">
        <f t="shared" si="1476"/>
        <v>0</v>
      </c>
      <c r="AK7281" s="14"/>
      <c r="AL7281" s="14"/>
      <c r="AM7281" s="14"/>
      <c r="AN7281" s="14"/>
      <c r="AO7281" s="14"/>
      <c r="AP7281" s="14"/>
      <c r="AQ7281" s="14"/>
      <c r="AR7281" s="14"/>
      <c r="AS7281" s="14">
        <v>400</v>
      </c>
      <c r="AT7281" s="14"/>
      <c r="AU7281" s="14"/>
      <c r="AV7281" s="14"/>
      <c r="AW7281" s="15">
        <f t="shared" si="1477"/>
        <v>400</v>
      </c>
      <c r="AX7281" s="16"/>
    </row>
    <row r="7282" spans="2:50" x14ac:dyDescent="0.2">
      <c r="B7282" s="7"/>
      <c r="C7282" s="8">
        <v>17321</v>
      </c>
      <c r="D7282" s="9" t="s">
        <v>965</v>
      </c>
      <c r="E7282" s="10" t="str">
        <f t="shared" si="1472"/>
        <v>Rancho La Cuchilla No. 52</v>
      </c>
      <c r="F7282" s="10" t="str">
        <f t="shared" si="1473"/>
        <v>Velázquez</v>
      </c>
      <c r="G7282" s="8">
        <v>1</v>
      </c>
      <c r="H7282" s="11">
        <v>800</v>
      </c>
      <c r="I7282" s="12">
        <v>43373</v>
      </c>
      <c r="J7282" s="35">
        <f t="shared" si="1474"/>
        <v>0</v>
      </c>
      <c r="K7282" s="36"/>
      <c r="L7282" s="36"/>
      <c r="M7282" s="36"/>
      <c r="N7282" s="36"/>
      <c r="O7282" s="36"/>
      <c r="P7282" s="36"/>
      <c r="Q7282" s="36"/>
      <c r="R7282" s="36"/>
      <c r="S7282" s="36"/>
      <c r="T7282" s="36"/>
      <c r="U7282" s="36"/>
      <c r="V7282" s="36"/>
      <c r="W7282" s="15">
        <f t="shared" si="1475"/>
        <v>0</v>
      </c>
      <c r="X7282" s="36"/>
      <c r="Y7282" s="36"/>
      <c r="Z7282" s="36"/>
      <c r="AA7282" s="36"/>
      <c r="AB7282" s="36"/>
      <c r="AC7282" s="36"/>
      <c r="AD7282" s="36"/>
      <c r="AE7282" s="36"/>
      <c r="AF7282" s="36"/>
      <c r="AG7282" s="36"/>
      <c r="AH7282" s="36"/>
      <c r="AI7282" s="36"/>
      <c r="AJ7282" s="15">
        <f t="shared" si="1476"/>
        <v>0</v>
      </c>
      <c r="AK7282" s="14"/>
      <c r="AL7282" s="14"/>
      <c r="AM7282" s="14"/>
      <c r="AN7282" s="14"/>
      <c r="AO7282" s="14">
        <v>400</v>
      </c>
      <c r="AP7282" s="14">
        <v>400</v>
      </c>
      <c r="AQ7282" s="14"/>
      <c r="AR7282" s="14"/>
      <c r="AS7282" s="14"/>
      <c r="AT7282" s="14"/>
      <c r="AU7282" s="14"/>
      <c r="AV7282" s="14"/>
      <c r="AW7282" s="15">
        <f t="shared" si="1477"/>
        <v>800</v>
      </c>
      <c r="AX7282" s="16"/>
    </row>
    <row r="7283" spans="2:50" x14ac:dyDescent="0.2">
      <c r="B7283" s="7"/>
      <c r="C7283" s="8">
        <v>17322</v>
      </c>
      <c r="D7283" s="9" t="s">
        <v>595</v>
      </c>
      <c r="E7283" s="10" t="str">
        <f t="shared" si="1472"/>
        <v>Rancho Upácuaro No. 62</v>
      </c>
      <c r="F7283" s="10" t="str">
        <f t="shared" si="1473"/>
        <v>Jiménez Escutia</v>
      </c>
      <c r="G7283" s="8">
        <v>3</v>
      </c>
      <c r="H7283" s="11">
        <v>200</v>
      </c>
      <c r="I7283" s="12">
        <v>43373</v>
      </c>
      <c r="J7283" s="35">
        <f t="shared" si="1474"/>
        <v>0</v>
      </c>
      <c r="K7283" s="36"/>
      <c r="L7283" s="36"/>
      <c r="M7283" s="36"/>
      <c r="N7283" s="36"/>
      <c r="O7283" s="36"/>
      <c r="P7283" s="36"/>
      <c r="Q7283" s="36"/>
      <c r="R7283" s="36"/>
      <c r="S7283" s="36"/>
      <c r="T7283" s="36"/>
      <c r="U7283" s="36"/>
      <c r="V7283" s="36"/>
      <c r="W7283" s="15">
        <f t="shared" si="1475"/>
        <v>0</v>
      </c>
      <c r="X7283" s="36"/>
      <c r="Y7283" s="36"/>
      <c r="Z7283" s="36"/>
      <c r="AA7283" s="36"/>
      <c r="AB7283" s="36"/>
      <c r="AC7283" s="36"/>
      <c r="AD7283" s="36"/>
      <c r="AE7283" s="36"/>
      <c r="AF7283" s="36"/>
      <c r="AG7283" s="36"/>
      <c r="AH7283" s="36"/>
      <c r="AI7283" s="36"/>
      <c r="AJ7283" s="15">
        <f t="shared" si="1476"/>
        <v>0</v>
      </c>
      <c r="AK7283" s="14"/>
      <c r="AL7283" s="14"/>
      <c r="AM7283" s="14"/>
      <c r="AN7283" s="14"/>
      <c r="AO7283" s="14"/>
      <c r="AP7283" s="14"/>
      <c r="AQ7283" s="14"/>
      <c r="AR7283" s="14"/>
      <c r="AS7283" s="14"/>
      <c r="AT7283" s="14"/>
      <c r="AU7283" s="14"/>
      <c r="AV7283" s="14"/>
      <c r="AW7283" s="15">
        <f t="shared" si="1477"/>
        <v>0</v>
      </c>
      <c r="AX7283" s="16"/>
    </row>
    <row r="7284" spans="2:50" x14ac:dyDescent="0.2">
      <c r="B7284" s="7"/>
      <c r="C7284" s="8">
        <v>17323</v>
      </c>
      <c r="D7284" s="9" t="s">
        <v>310</v>
      </c>
      <c r="E7284" s="10" t="str">
        <f t="shared" si="1472"/>
        <v>Rancho Recoveco No. 181</v>
      </c>
      <c r="F7284" s="10" t="str">
        <f t="shared" si="1473"/>
        <v>Castillo</v>
      </c>
      <c r="G7284" s="8">
        <v>4</v>
      </c>
      <c r="H7284" s="11">
        <v>200</v>
      </c>
      <c r="I7284" s="12">
        <v>43373</v>
      </c>
      <c r="J7284" s="35">
        <f t="shared" si="1474"/>
        <v>0</v>
      </c>
      <c r="K7284" s="36"/>
      <c r="L7284" s="36"/>
      <c r="M7284" s="36"/>
      <c r="N7284" s="36"/>
      <c r="O7284" s="36"/>
      <c r="P7284" s="36"/>
      <c r="Q7284" s="36"/>
      <c r="R7284" s="36"/>
      <c r="S7284" s="36"/>
      <c r="T7284" s="36"/>
      <c r="U7284" s="36"/>
      <c r="V7284" s="36"/>
      <c r="W7284" s="15">
        <f t="shared" si="1475"/>
        <v>0</v>
      </c>
      <c r="X7284" s="36"/>
      <c r="Y7284" s="36"/>
      <c r="Z7284" s="36"/>
      <c r="AA7284" s="36"/>
      <c r="AB7284" s="36"/>
      <c r="AC7284" s="36"/>
      <c r="AD7284" s="36"/>
      <c r="AE7284" s="36"/>
      <c r="AF7284" s="36"/>
      <c r="AG7284" s="36"/>
      <c r="AH7284" s="36"/>
      <c r="AI7284" s="36"/>
      <c r="AJ7284" s="15">
        <f t="shared" si="1476"/>
        <v>0</v>
      </c>
      <c r="AK7284" s="14"/>
      <c r="AL7284" s="14"/>
      <c r="AM7284" s="14"/>
      <c r="AN7284" s="14"/>
      <c r="AO7284" s="14"/>
      <c r="AP7284" s="14"/>
      <c r="AQ7284" s="14"/>
      <c r="AR7284" s="14"/>
      <c r="AS7284" s="14"/>
      <c r="AT7284" s="14"/>
      <c r="AU7284" s="14"/>
      <c r="AV7284" s="14"/>
      <c r="AW7284" s="15">
        <f t="shared" si="1477"/>
        <v>0</v>
      </c>
      <c r="AX7284" s="16" t="s">
        <v>5662</v>
      </c>
    </row>
    <row r="7285" spans="2:50" x14ac:dyDescent="0.2">
      <c r="B7285" s="7"/>
      <c r="C7285" s="8">
        <v>17323</v>
      </c>
      <c r="D7285" s="9" t="s">
        <v>310</v>
      </c>
      <c r="E7285" s="10" t="str">
        <f t="shared" si="1472"/>
        <v>Rancho Recoveco No. 181</v>
      </c>
      <c r="F7285" s="10" t="str">
        <f t="shared" si="1473"/>
        <v>Castillo</v>
      </c>
      <c r="G7285" s="8">
        <v>5</v>
      </c>
      <c r="H7285" s="11">
        <v>50</v>
      </c>
      <c r="I7285" s="12">
        <v>43373</v>
      </c>
      <c r="J7285" s="35">
        <f t="shared" si="1474"/>
        <v>0</v>
      </c>
      <c r="K7285" s="36"/>
      <c r="L7285" s="36"/>
      <c r="M7285" s="36"/>
      <c r="N7285" s="36"/>
      <c r="O7285" s="36"/>
      <c r="P7285" s="36"/>
      <c r="Q7285" s="36"/>
      <c r="R7285" s="36"/>
      <c r="S7285" s="36"/>
      <c r="T7285" s="36"/>
      <c r="U7285" s="36"/>
      <c r="V7285" s="36"/>
      <c r="W7285" s="15">
        <f t="shared" si="1475"/>
        <v>0</v>
      </c>
      <c r="X7285" s="36"/>
      <c r="Y7285" s="36"/>
      <c r="Z7285" s="36"/>
      <c r="AA7285" s="36"/>
      <c r="AB7285" s="36"/>
      <c r="AC7285" s="36"/>
      <c r="AD7285" s="36"/>
      <c r="AE7285" s="36"/>
      <c r="AF7285" s="36"/>
      <c r="AG7285" s="36"/>
      <c r="AH7285" s="36"/>
      <c r="AI7285" s="36"/>
      <c r="AJ7285" s="15">
        <f t="shared" si="1476"/>
        <v>0</v>
      </c>
      <c r="AK7285" s="14"/>
      <c r="AL7285" s="14"/>
      <c r="AM7285" s="14"/>
      <c r="AN7285" s="14"/>
      <c r="AO7285" s="14"/>
      <c r="AP7285" s="14"/>
      <c r="AQ7285" s="14"/>
      <c r="AR7285" s="14"/>
      <c r="AS7285" s="14"/>
      <c r="AT7285" s="14"/>
      <c r="AU7285" s="14"/>
      <c r="AV7285" s="14"/>
      <c r="AW7285" s="15">
        <f t="shared" si="1477"/>
        <v>0</v>
      </c>
      <c r="AX7285" s="16"/>
    </row>
    <row r="7286" spans="2:50" x14ac:dyDescent="0.2">
      <c r="B7286" s="7"/>
      <c r="C7286" s="8">
        <v>17324</v>
      </c>
      <c r="D7286" s="9" t="s">
        <v>479</v>
      </c>
      <c r="E7286" s="10" t="str">
        <f t="shared" si="1472"/>
        <v>Rancho Zinamba No. 68</v>
      </c>
      <c r="F7286" s="10" t="str">
        <f t="shared" si="1473"/>
        <v>Rivera Villicaña</v>
      </c>
      <c r="G7286" s="8">
        <v>1</v>
      </c>
      <c r="H7286" s="11">
        <v>300</v>
      </c>
      <c r="I7286" s="12">
        <v>43373</v>
      </c>
      <c r="J7286" s="35">
        <f t="shared" si="1474"/>
        <v>0</v>
      </c>
      <c r="K7286" s="36"/>
      <c r="L7286" s="36"/>
      <c r="M7286" s="36"/>
      <c r="N7286" s="36"/>
      <c r="O7286" s="36"/>
      <c r="P7286" s="36"/>
      <c r="Q7286" s="36"/>
      <c r="R7286" s="36"/>
      <c r="S7286" s="36"/>
      <c r="T7286" s="36"/>
      <c r="U7286" s="36"/>
      <c r="V7286" s="36"/>
      <c r="W7286" s="15">
        <f t="shared" si="1475"/>
        <v>0</v>
      </c>
      <c r="X7286" s="36"/>
      <c r="Y7286" s="36"/>
      <c r="Z7286" s="36"/>
      <c r="AA7286" s="36"/>
      <c r="AB7286" s="36"/>
      <c r="AC7286" s="36"/>
      <c r="AD7286" s="36"/>
      <c r="AE7286" s="36"/>
      <c r="AF7286" s="36"/>
      <c r="AG7286" s="36"/>
      <c r="AH7286" s="36"/>
      <c r="AI7286" s="36"/>
      <c r="AJ7286" s="15">
        <f t="shared" si="1476"/>
        <v>0</v>
      </c>
      <c r="AK7286" s="14"/>
      <c r="AL7286" s="14"/>
      <c r="AM7286" s="14"/>
      <c r="AN7286" s="14"/>
      <c r="AO7286" s="14"/>
      <c r="AP7286" s="14"/>
      <c r="AQ7286" s="14"/>
      <c r="AR7286" s="14"/>
      <c r="AS7286" s="14"/>
      <c r="AT7286" s="14">
        <v>300</v>
      </c>
      <c r="AU7286" s="14"/>
      <c r="AV7286" s="14"/>
      <c r="AW7286" s="15">
        <f t="shared" si="1477"/>
        <v>300</v>
      </c>
      <c r="AX7286" s="16"/>
    </row>
    <row r="7287" spans="2:50" x14ac:dyDescent="0.2">
      <c r="B7287" s="7"/>
      <c r="C7287" s="8">
        <v>17325</v>
      </c>
      <c r="D7287" s="9" t="s">
        <v>473</v>
      </c>
      <c r="E7287" s="10" t="str">
        <f t="shared" si="1472"/>
        <v>Rancho Zinamba No. 14</v>
      </c>
      <c r="F7287" s="10" t="str">
        <f t="shared" si="1473"/>
        <v>Gutiérrez García</v>
      </c>
      <c r="G7287" s="8">
        <v>1</v>
      </c>
      <c r="H7287" s="11">
        <v>400</v>
      </c>
      <c r="I7287" s="12">
        <v>43373</v>
      </c>
      <c r="J7287" s="35">
        <f t="shared" si="1474"/>
        <v>0</v>
      </c>
      <c r="K7287" s="36"/>
      <c r="L7287" s="36"/>
      <c r="M7287" s="36"/>
      <c r="N7287" s="36"/>
      <c r="O7287" s="36"/>
      <c r="P7287" s="36"/>
      <c r="Q7287" s="36"/>
      <c r="R7287" s="36"/>
      <c r="S7287" s="36"/>
      <c r="T7287" s="36"/>
      <c r="U7287" s="36"/>
      <c r="V7287" s="36"/>
      <c r="W7287" s="15">
        <f t="shared" si="1475"/>
        <v>0</v>
      </c>
      <c r="X7287" s="36"/>
      <c r="Y7287" s="36"/>
      <c r="Z7287" s="36"/>
      <c r="AA7287" s="36"/>
      <c r="AB7287" s="36"/>
      <c r="AC7287" s="36"/>
      <c r="AD7287" s="36"/>
      <c r="AE7287" s="36"/>
      <c r="AF7287" s="36"/>
      <c r="AG7287" s="36"/>
      <c r="AH7287" s="36"/>
      <c r="AI7287" s="36"/>
      <c r="AJ7287" s="15">
        <f t="shared" si="1476"/>
        <v>0</v>
      </c>
      <c r="AK7287" s="14"/>
      <c r="AL7287" s="14"/>
      <c r="AM7287" s="14"/>
      <c r="AN7287" s="14"/>
      <c r="AO7287" s="14"/>
      <c r="AP7287" s="14"/>
      <c r="AQ7287" s="14"/>
      <c r="AR7287" s="14"/>
      <c r="AS7287" s="14">
        <v>400</v>
      </c>
      <c r="AT7287" s="14"/>
      <c r="AU7287" s="14"/>
      <c r="AV7287" s="14"/>
      <c r="AW7287" s="15">
        <f t="shared" si="1477"/>
        <v>400</v>
      </c>
      <c r="AX7287" s="16"/>
    </row>
    <row r="7288" spans="2:50" x14ac:dyDescent="0.2">
      <c r="B7288" s="7"/>
      <c r="C7288" s="8">
        <v>17325</v>
      </c>
      <c r="D7288" s="9" t="s">
        <v>473</v>
      </c>
      <c r="E7288" s="10" t="str">
        <f t="shared" si="1472"/>
        <v>Rancho Zinamba No. 14</v>
      </c>
      <c r="F7288" s="10" t="str">
        <f t="shared" si="1473"/>
        <v>Gutiérrez García</v>
      </c>
      <c r="G7288" s="8">
        <v>5</v>
      </c>
      <c r="H7288" s="11">
        <v>50</v>
      </c>
      <c r="I7288" s="12">
        <v>43373</v>
      </c>
      <c r="J7288" s="35">
        <f t="shared" si="1474"/>
        <v>0</v>
      </c>
      <c r="K7288" s="36"/>
      <c r="L7288" s="36"/>
      <c r="M7288" s="36"/>
      <c r="N7288" s="36"/>
      <c r="O7288" s="36"/>
      <c r="P7288" s="36"/>
      <c r="Q7288" s="36"/>
      <c r="R7288" s="36"/>
      <c r="S7288" s="36"/>
      <c r="T7288" s="36"/>
      <c r="U7288" s="36"/>
      <c r="V7288" s="36"/>
      <c r="W7288" s="15">
        <f t="shared" si="1475"/>
        <v>0</v>
      </c>
      <c r="X7288" s="36"/>
      <c r="Y7288" s="36"/>
      <c r="Z7288" s="36"/>
      <c r="AA7288" s="36"/>
      <c r="AB7288" s="36"/>
      <c r="AC7288" s="36"/>
      <c r="AD7288" s="36"/>
      <c r="AE7288" s="36"/>
      <c r="AF7288" s="36"/>
      <c r="AG7288" s="36"/>
      <c r="AH7288" s="36"/>
      <c r="AI7288" s="36"/>
      <c r="AJ7288" s="15">
        <f t="shared" si="1476"/>
        <v>0</v>
      </c>
      <c r="AK7288" s="14"/>
      <c r="AL7288" s="14"/>
      <c r="AM7288" s="14"/>
      <c r="AN7288" s="14"/>
      <c r="AO7288" s="14"/>
      <c r="AP7288" s="14"/>
      <c r="AQ7288" s="14"/>
      <c r="AR7288" s="14"/>
      <c r="AS7288" s="14"/>
      <c r="AT7288" s="14"/>
      <c r="AU7288" s="14"/>
      <c r="AV7288" s="14"/>
      <c r="AW7288" s="15">
        <f t="shared" si="1477"/>
        <v>0</v>
      </c>
      <c r="AX7288" s="16"/>
    </row>
    <row r="7289" spans="2:50" x14ac:dyDescent="0.2">
      <c r="B7289" s="7"/>
      <c r="C7289" s="8">
        <v>17326</v>
      </c>
      <c r="D7289" s="9" t="s">
        <v>882</v>
      </c>
      <c r="E7289" s="10" t="str">
        <f t="shared" si="1472"/>
        <v>Rancho Upácuaro No. 54</v>
      </c>
      <c r="F7289" s="10" t="str">
        <f t="shared" si="1473"/>
        <v>García Rueda</v>
      </c>
      <c r="G7289" s="8">
        <v>1</v>
      </c>
      <c r="H7289" s="11">
        <v>400</v>
      </c>
      <c r="I7289" s="12">
        <v>43373</v>
      </c>
      <c r="J7289" s="35">
        <f t="shared" si="1474"/>
        <v>0</v>
      </c>
      <c r="K7289" s="36"/>
      <c r="L7289" s="36"/>
      <c r="M7289" s="36"/>
      <c r="N7289" s="36"/>
      <c r="O7289" s="36"/>
      <c r="P7289" s="36"/>
      <c r="Q7289" s="36"/>
      <c r="R7289" s="36"/>
      <c r="S7289" s="36"/>
      <c r="T7289" s="36"/>
      <c r="U7289" s="36"/>
      <c r="V7289" s="36"/>
      <c r="W7289" s="15">
        <f t="shared" si="1475"/>
        <v>0</v>
      </c>
      <c r="X7289" s="36"/>
      <c r="Y7289" s="36"/>
      <c r="Z7289" s="36"/>
      <c r="AA7289" s="36"/>
      <c r="AB7289" s="36"/>
      <c r="AC7289" s="36"/>
      <c r="AD7289" s="36"/>
      <c r="AE7289" s="36"/>
      <c r="AF7289" s="36"/>
      <c r="AG7289" s="36"/>
      <c r="AH7289" s="36"/>
      <c r="AI7289" s="36"/>
      <c r="AJ7289" s="15">
        <f t="shared" si="1476"/>
        <v>0</v>
      </c>
      <c r="AK7289" s="14"/>
      <c r="AL7289" s="14"/>
      <c r="AM7289" s="14"/>
      <c r="AN7289" s="14"/>
      <c r="AO7289" s="14"/>
      <c r="AP7289" s="14"/>
      <c r="AQ7289" s="14"/>
      <c r="AR7289" s="14"/>
      <c r="AS7289" s="14"/>
      <c r="AT7289" s="14">
        <v>200</v>
      </c>
      <c r="AU7289" s="14">
        <v>200</v>
      </c>
      <c r="AV7289" s="14"/>
      <c r="AW7289" s="15">
        <f t="shared" si="1477"/>
        <v>400</v>
      </c>
      <c r="AX7289" s="16"/>
    </row>
    <row r="7290" spans="2:50" x14ac:dyDescent="0.2">
      <c r="B7290" s="7"/>
      <c r="C7290" s="8">
        <v>17327</v>
      </c>
      <c r="D7290" s="9" t="s">
        <v>538</v>
      </c>
      <c r="E7290" s="10" t="str">
        <f t="shared" si="1472"/>
        <v>Rancho Landero No. 73</v>
      </c>
      <c r="F7290" s="10" t="str">
        <f t="shared" si="1473"/>
        <v>Islas Palacios</v>
      </c>
      <c r="G7290" s="8">
        <v>1</v>
      </c>
      <c r="H7290" s="11">
        <v>800</v>
      </c>
      <c r="I7290" s="12">
        <v>43373</v>
      </c>
      <c r="J7290" s="35">
        <f t="shared" si="1474"/>
        <v>0</v>
      </c>
      <c r="K7290" s="36"/>
      <c r="L7290" s="36"/>
      <c r="M7290" s="36"/>
      <c r="N7290" s="36"/>
      <c r="O7290" s="36"/>
      <c r="P7290" s="36"/>
      <c r="Q7290" s="36"/>
      <c r="R7290" s="36"/>
      <c r="S7290" s="36"/>
      <c r="T7290" s="36"/>
      <c r="U7290" s="36"/>
      <c r="V7290" s="36"/>
      <c r="W7290" s="15">
        <f t="shared" si="1475"/>
        <v>0</v>
      </c>
      <c r="X7290" s="36"/>
      <c r="Y7290" s="36"/>
      <c r="Z7290" s="36"/>
      <c r="AA7290" s="36"/>
      <c r="AB7290" s="36"/>
      <c r="AC7290" s="36"/>
      <c r="AD7290" s="36"/>
      <c r="AE7290" s="36"/>
      <c r="AF7290" s="36"/>
      <c r="AG7290" s="36"/>
      <c r="AH7290" s="36"/>
      <c r="AI7290" s="36"/>
      <c r="AJ7290" s="15">
        <f t="shared" si="1476"/>
        <v>0</v>
      </c>
      <c r="AK7290" s="14"/>
      <c r="AL7290" s="14"/>
      <c r="AM7290" s="14"/>
      <c r="AN7290" s="14"/>
      <c r="AO7290" s="14"/>
      <c r="AP7290" s="14"/>
      <c r="AQ7290" s="14"/>
      <c r="AR7290" s="14">
        <v>400</v>
      </c>
      <c r="AS7290" s="14">
        <v>400</v>
      </c>
      <c r="AT7290" s="14"/>
      <c r="AU7290" s="14"/>
      <c r="AV7290" s="14"/>
      <c r="AW7290" s="15">
        <f t="shared" si="1477"/>
        <v>800</v>
      </c>
      <c r="AX7290" s="16"/>
    </row>
    <row r="7291" spans="2:50" x14ac:dyDescent="0.2">
      <c r="B7291" s="7"/>
      <c r="C7291" s="8">
        <v>17328</v>
      </c>
      <c r="D7291" s="9" t="s">
        <v>112</v>
      </c>
      <c r="E7291" s="10" t="str">
        <f t="shared" si="1472"/>
        <v>Rancho Estanzuela No. 129</v>
      </c>
      <c r="F7291" s="10" t="str">
        <f t="shared" si="1473"/>
        <v>Sta. María Mendoza</v>
      </c>
      <c r="G7291" s="8">
        <v>1</v>
      </c>
      <c r="H7291" s="11">
        <v>500</v>
      </c>
      <c r="I7291" s="12">
        <v>43373</v>
      </c>
      <c r="J7291" s="35">
        <f t="shared" si="1474"/>
        <v>0</v>
      </c>
      <c r="K7291" s="36"/>
      <c r="L7291" s="36"/>
      <c r="M7291" s="36"/>
      <c r="N7291" s="36"/>
      <c r="O7291" s="36"/>
      <c r="P7291" s="36"/>
      <c r="Q7291" s="36"/>
      <c r="R7291" s="36"/>
      <c r="S7291" s="36"/>
      <c r="T7291" s="36"/>
      <c r="U7291" s="36"/>
      <c r="V7291" s="36"/>
      <c r="W7291" s="15">
        <f t="shared" si="1475"/>
        <v>0</v>
      </c>
      <c r="X7291" s="36"/>
      <c r="Y7291" s="36"/>
      <c r="Z7291" s="36"/>
      <c r="AA7291" s="36"/>
      <c r="AB7291" s="36"/>
      <c r="AC7291" s="36"/>
      <c r="AD7291" s="36"/>
      <c r="AE7291" s="36"/>
      <c r="AF7291" s="36"/>
      <c r="AG7291" s="36"/>
      <c r="AH7291" s="36"/>
      <c r="AI7291" s="36"/>
      <c r="AJ7291" s="15">
        <f t="shared" si="1476"/>
        <v>0</v>
      </c>
      <c r="AK7291" s="14"/>
      <c r="AL7291" s="14"/>
      <c r="AM7291" s="14"/>
      <c r="AN7291" s="14"/>
      <c r="AO7291" s="14"/>
      <c r="AP7291" s="14"/>
      <c r="AQ7291" s="14"/>
      <c r="AR7291" s="14">
        <v>250</v>
      </c>
      <c r="AS7291" s="14">
        <v>250</v>
      </c>
      <c r="AT7291" s="14"/>
      <c r="AU7291" s="14"/>
      <c r="AV7291" s="14"/>
      <c r="AW7291" s="15">
        <f t="shared" si="1477"/>
        <v>500</v>
      </c>
      <c r="AX7291" s="16"/>
    </row>
    <row r="7292" spans="2:50" x14ac:dyDescent="0.2">
      <c r="B7292" s="7"/>
      <c r="C7292" s="8">
        <v>17329</v>
      </c>
      <c r="D7292" s="9" t="s">
        <v>556</v>
      </c>
      <c r="E7292" s="10" t="str">
        <f t="shared" si="1472"/>
        <v>Rancho Zinamba No. 26</v>
      </c>
      <c r="F7292" s="10" t="str">
        <f t="shared" si="1473"/>
        <v>Ayala</v>
      </c>
      <c r="G7292" s="8">
        <v>1</v>
      </c>
      <c r="H7292" s="11">
        <v>400</v>
      </c>
      <c r="I7292" s="12">
        <v>43373</v>
      </c>
      <c r="J7292" s="35">
        <f t="shared" si="1474"/>
        <v>0</v>
      </c>
      <c r="K7292" s="36"/>
      <c r="L7292" s="36"/>
      <c r="M7292" s="36"/>
      <c r="N7292" s="36"/>
      <c r="O7292" s="36"/>
      <c r="P7292" s="36"/>
      <c r="Q7292" s="36"/>
      <c r="R7292" s="36"/>
      <c r="S7292" s="36"/>
      <c r="T7292" s="36"/>
      <c r="U7292" s="36"/>
      <c r="V7292" s="36"/>
      <c r="W7292" s="15">
        <f t="shared" si="1475"/>
        <v>0</v>
      </c>
      <c r="X7292" s="36"/>
      <c r="Y7292" s="36"/>
      <c r="Z7292" s="36"/>
      <c r="AA7292" s="36"/>
      <c r="AB7292" s="36"/>
      <c r="AC7292" s="36"/>
      <c r="AD7292" s="36"/>
      <c r="AE7292" s="36"/>
      <c r="AF7292" s="36"/>
      <c r="AG7292" s="36"/>
      <c r="AH7292" s="36"/>
      <c r="AI7292" s="36"/>
      <c r="AJ7292" s="15">
        <f t="shared" si="1476"/>
        <v>0</v>
      </c>
      <c r="AK7292" s="14"/>
      <c r="AL7292" s="14"/>
      <c r="AM7292" s="14"/>
      <c r="AN7292" s="14"/>
      <c r="AO7292" s="14"/>
      <c r="AP7292" s="14"/>
      <c r="AQ7292" s="14"/>
      <c r="AR7292" s="14">
        <v>400</v>
      </c>
      <c r="AS7292" s="14"/>
      <c r="AT7292" s="14"/>
      <c r="AU7292" s="14"/>
      <c r="AV7292" s="14"/>
      <c r="AW7292" s="15">
        <f t="shared" si="1477"/>
        <v>400</v>
      </c>
      <c r="AX7292" s="16"/>
    </row>
    <row r="7293" spans="2:50" x14ac:dyDescent="0.2">
      <c r="B7293" s="7"/>
      <c r="C7293" s="8">
        <v>17330</v>
      </c>
      <c r="D7293" s="9" t="s">
        <v>541</v>
      </c>
      <c r="E7293" s="10" t="str">
        <f t="shared" si="1472"/>
        <v>Rancho Estanzuela No. 103, B</v>
      </c>
      <c r="F7293" s="10" t="str">
        <f t="shared" si="1473"/>
        <v>Olivares Flores</v>
      </c>
      <c r="G7293" s="8">
        <v>1</v>
      </c>
      <c r="H7293" s="11">
        <v>800</v>
      </c>
      <c r="I7293" s="12">
        <v>43373</v>
      </c>
      <c r="J7293" s="35">
        <f t="shared" si="1474"/>
        <v>0</v>
      </c>
      <c r="K7293" s="36"/>
      <c r="L7293" s="36"/>
      <c r="M7293" s="36"/>
      <c r="N7293" s="36"/>
      <c r="O7293" s="36"/>
      <c r="P7293" s="36"/>
      <c r="Q7293" s="36"/>
      <c r="R7293" s="36"/>
      <c r="S7293" s="36"/>
      <c r="T7293" s="36"/>
      <c r="U7293" s="36"/>
      <c r="V7293" s="36"/>
      <c r="W7293" s="15">
        <f t="shared" si="1475"/>
        <v>0</v>
      </c>
      <c r="X7293" s="36"/>
      <c r="Y7293" s="36"/>
      <c r="Z7293" s="36"/>
      <c r="AA7293" s="36"/>
      <c r="AB7293" s="36"/>
      <c r="AC7293" s="36"/>
      <c r="AD7293" s="36"/>
      <c r="AE7293" s="36"/>
      <c r="AF7293" s="36"/>
      <c r="AG7293" s="36"/>
      <c r="AH7293" s="36"/>
      <c r="AI7293" s="36"/>
      <c r="AJ7293" s="15">
        <f t="shared" si="1476"/>
        <v>0</v>
      </c>
      <c r="AK7293" s="14"/>
      <c r="AL7293" s="14"/>
      <c r="AM7293" s="14"/>
      <c r="AN7293" s="14"/>
      <c r="AO7293" s="14"/>
      <c r="AP7293" s="14"/>
      <c r="AQ7293" s="14"/>
      <c r="AR7293" s="14"/>
      <c r="AS7293" s="14">
        <v>400</v>
      </c>
      <c r="AT7293" s="14">
        <v>400</v>
      </c>
      <c r="AU7293" s="14"/>
      <c r="AV7293" s="14"/>
      <c r="AW7293" s="15">
        <f t="shared" si="1477"/>
        <v>800</v>
      </c>
      <c r="AX7293" s="16"/>
    </row>
    <row r="7294" spans="2:50" x14ac:dyDescent="0.2">
      <c r="B7294" s="7"/>
      <c r="C7294" s="8">
        <v>17331</v>
      </c>
      <c r="D7294" s="9" t="s">
        <v>443</v>
      </c>
      <c r="E7294" s="10" t="str">
        <f t="shared" ref="E7294:E7302" si="1478">IF(D7294=0,"",VLOOKUP(D7294,BASE,2,FALSE))</f>
        <v>Rancho Landero No. 11</v>
      </c>
      <c r="F7294" s="10" t="str">
        <f t="shared" ref="F7294:F7302" si="1479">IF(D7294=0,"",VLOOKUP(D7294,BASE,3,FALSE))</f>
        <v>Reyes Robles</v>
      </c>
      <c r="G7294" s="8">
        <v>5</v>
      </c>
      <c r="H7294" s="11">
        <v>50</v>
      </c>
      <c r="I7294" s="12">
        <v>43373</v>
      </c>
      <c r="J7294" s="35">
        <f t="shared" ref="J7294:J7302" si="1480">IF(G7294=1,SUM(W7294,AJ7294,AW7294,-H7294),0)</f>
        <v>0</v>
      </c>
      <c r="K7294" s="36"/>
      <c r="L7294" s="36"/>
      <c r="M7294" s="36"/>
      <c r="N7294" s="36"/>
      <c r="O7294" s="36"/>
      <c r="P7294" s="36"/>
      <c r="Q7294" s="36"/>
      <c r="R7294" s="36"/>
      <c r="S7294" s="36"/>
      <c r="T7294" s="36"/>
      <c r="U7294" s="36"/>
      <c r="V7294" s="36"/>
      <c r="W7294" s="15">
        <f t="shared" ref="W7294:W7302" si="1481">SUM(K7294:V7294)</f>
        <v>0</v>
      </c>
      <c r="X7294" s="36"/>
      <c r="Y7294" s="36"/>
      <c r="Z7294" s="36"/>
      <c r="AA7294" s="36"/>
      <c r="AB7294" s="36"/>
      <c r="AC7294" s="36"/>
      <c r="AD7294" s="36"/>
      <c r="AE7294" s="36"/>
      <c r="AF7294" s="36"/>
      <c r="AG7294" s="36"/>
      <c r="AH7294" s="36"/>
      <c r="AI7294" s="36"/>
      <c r="AJ7294" s="15">
        <f t="shared" ref="AJ7294:AJ7302" si="1482">SUM(X7294:AI7294)</f>
        <v>0</v>
      </c>
      <c r="AK7294" s="14"/>
      <c r="AL7294" s="14"/>
      <c r="AM7294" s="14"/>
      <c r="AN7294" s="14"/>
      <c r="AO7294" s="14"/>
      <c r="AP7294" s="14"/>
      <c r="AQ7294" s="14"/>
      <c r="AR7294" s="14"/>
      <c r="AS7294" s="14"/>
      <c r="AT7294" s="14"/>
      <c r="AU7294" s="14"/>
      <c r="AV7294" s="14"/>
      <c r="AW7294" s="15">
        <f t="shared" ref="AW7294:AW7302" si="1483">SUM(AK7294:AV7294)</f>
        <v>0</v>
      </c>
      <c r="AX7294" s="16"/>
    </row>
    <row r="7295" spans="2:50" x14ac:dyDescent="0.2">
      <c r="B7295" s="7"/>
      <c r="C7295" s="8">
        <v>17332</v>
      </c>
      <c r="D7295" s="9" t="s">
        <v>325</v>
      </c>
      <c r="E7295" s="10" t="str">
        <f t="shared" si="1478"/>
        <v>Rancho Upácuaro No. 120</v>
      </c>
      <c r="F7295" s="10" t="str">
        <f t="shared" si="1479"/>
        <v>Rayas Rivera</v>
      </c>
      <c r="G7295" s="8">
        <v>1</v>
      </c>
      <c r="H7295" s="11">
        <v>400</v>
      </c>
      <c r="I7295" s="12">
        <v>43373</v>
      </c>
      <c r="J7295" s="35">
        <f t="shared" si="1480"/>
        <v>0</v>
      </c>
      <c r="K7295" s="36"/>
      <c r="L7295" s="36"/>
      <c r="M7295" s="36"/>
      <c r="N7295" s="36"/>
      <c r="O7295" s="36"/>
      <c r="P7295" s="36"/>
      <c r="Q7295" s="36"/>
      <c r="R7295" s="36"/>
      <c r="S7295" s="36"/>
      <c r="T7295" s="36"/>
      <c r="U7295" s="36"/>
      <c r="V7295" s="36"/>
      <c r="W7295" s="15">
        <f t="shared" si="1481"/>
        <v>0</v>
      </c>
      <c r="X7295" s="36"/>
      <c r="Y7295" s="36"/>
      <c r="Z7295" s="36"/>
      <c r="AA7295" s="36"/>
      <c r="AB7295" s="36"/>
      <c r="AC7295" s="36"/>
      <c r="AD7295" s="36"/>
      <c r="AE7295" s="36"/>
      <c r="AF7295" s="36"/>
      <c r="AG7295" s="36"/>
      <c r="AH7295" s="36"/>
      <c r="AI7295" s="36"/>
      <c r="AJ7295" s="15">
        <f t="shared" si="1482"/>
        <v>0</v>
      </c>
      <c r="AK7295" s="14"/>
      <c r="AL7295" s="14"/>
      <c r="AM7295" s="14"/>
      <c r="AN7295" s="14"/>
      <c r="AO7295" s="14"/>
      <c r="AP7295" s="14"/>
      <c r="AQ7295" s="14"/>
      <c r="AR7295" s="14"/>
      <c r="AS7295" s="14"/>
      <c r="AT7295" s="14">
        <v>400</v>
      </c>
      <c r="AU7295" s="14"/>
      <c r="AV7295" s="14"/>
      <c r="AW7295" s="15">
        <f t="shared" si="1483"/>
        <v>400</v>
      </c>
      <c r="AX7295" s="16"/>
    </row>
    <row r="7296" spans="2:50" x14ac:dyDescent="0.2">
      <c r="B7296" s="7"/>
      <c r="C7296" s="8">
        <v>17333</v>
      </c>
      <c r="D7296" s="9" t="s">
        <v>589</v>
      </c>
      <c r="E7296" s="10" t="str">
        <f t="shared" si="1478"/>
        <v>Rancho La Cuchilla No. 149</v>
      </c>
      <c r="F7296" s="10" t="str">
        <f t="shared" si="1479"/>
        <v>Montes Irineos</v>
      </c>
      <c r="G7296" s="8">
        <v>1</v>
      </c>
      <c r="H7296" s="11">
        <v>800</v>
      </c>
      <c r="I7296" s="12">
        <v>43373</v>
      </c>
      <c r="J7296" s="35">
        <f t="shared" si="1480"/>
        <v>0</v>
      </c>
      <c r="K7296" s="36"/>
      <c r="L7296" s="36"/>
      <c r="M7296" s="36"/>
      <c r="N7296" s="36"/>
      <c r="O7296" s="36"/>
      <c r="P7296" s="36"/>
      <c r="Q7296" s="36"/>
      <c r="R7296" s="36"/>
      <c r="S7296" s="36"/>
      <c r="T7296" s="36"/>
      <c r="U7296" s="36"/>
      <c r="V7296" s="36"/>
      <c r="W7296" s="15">
        <f t="shared" si="1481"/>
        <v>0</v>
      </c>
      <c r="X7296" s="36"/>
      <c r="Y7296" s="36"/>
      <c r="Z7296" s="36"/>
      <c r="AA7296" s="36"/>
      <c r="AB7296" s="36"/>
      <c r="AC7296" s="36"/>
      <c r="AD7296" s="36"/>
      <c r="AE7296" s="36"/>
      <c r="AF7296" s="36"/>
      <c r="AG7296" s="36"/>
      <c r="AH7296" s="36"/>
      <c r="AI7296" s="36"/>
      <c r="AJ7296" s="15">
        <f t="shared" si="1482"/>
        <v>0</v>
      </c>
      <c r="AK7296" s="14"/>
      <c r="AL7296" s="14"/>
      <c r="AM7296" s="14"/>
      <c r="AN7296" s="14"/>
      <c r="AO7296" s="14"/>
      <c r="AP7296" s="14"/>
      <c r="AQ7296" s="14"/>
      <c r="AR7296" s="14"/>
      <c r="AS7296" s="14">
        <v>400</v>
      </c>
      <c r="AT7296" s="14">
        <v>400</v>
      </c>
      <c r="AU7296" s="14"/>
      <c r="AV7296" s="14"/>
      <c r="AW7296" s="15">
        <f t="shared" si="1483"/>
        <v>800</v>
      </c>
      <c r="AX7296" s="16"/>
    </row>
    <row r="7297" spans="2:51" x14ac:dyDescent="0.2">
      <c r="B7297" s="7"/>
      <c r="C7297" s="8">
        <v>17334</v>
      </c>
      <c r="D7297" s="9" t="s">
        <v>580</v>
      </c>
      <c r="E7297" s="10" t="str">
        <f t="shared" si="1478"/>
        <v>Rancho La Cuchilla No. 59</v>
      </c>
      <c r="F7297" s="10" t="str">
        <f t="shared" si="1479"/>
        <v>Ortega Vega</v>
      </c>
      <c r="G7297" s="8">
        <v>1</v>
      </c>
      <c r="H7297" s="11">
        <v>450</v>
      </c>
      <c r="I7297" s="12">
        <v>43373</v>
      </c>
      <c r="J7297" s="35">
        <f t="shared" si="1480"/>
        <v>0</v>
      </c>
      <c r="K7297" s="36"/>
      <c r="L7297" s="36"/>
      <c r="M7297" s="36"/>
      <c r="N7297" s="36"/>
      <c r="O7297" s="36"/>
      <c r="P7297" s="36"/>
      <c r="Q7297" s="36"/>
      <c r="R7297" s="36"/>
      <c r="S7297" s="36"/>
      <c r="T7297" s="36"/>
      <c r="U7297" s="36"/>
      <c r="V7297" s="36"/>
      <c r="W7297" s="15">
        <f t="shared" si="1481"/>
        <v>0</v>
      </c>
      <c r="X7297" s="36"/>
      <c r="Y7297" s="36"/>
      <c r="Z7297" s="36"/>
      <c r="AA7297" s="36"/>
      <c r="AB7297" s="36"/>
      <c r="AC7297" s="36"/>
      <c r="AD7297" s="36"/>
      <c r="AE7297" s="36"/>
      <c r="AF7297" s="36"/>
      <c r="AG7297" s="36"/>
      <c r="AH7297" s="36"/>
      <c r="AI7297" s="36"/>
      <c r="AJ7297" s="15">
        <f t="shared" si="1482"/>
        <v>0</v>
      </c>
      <c r="AK7297" s="14"/>
      <c r="AL7297" s="14"/>
      <c r="AM7297" s="14"/>
      <c r="AN7297" s="14"/>
      <c r="AO7297" s="14"/>
      <c r="AP7297" s="14"/>
      <c r="AQ7297" s="14"/>
      <c r="AR7297" s="14"/>
      <c r="AS7297" s="14"/>
      <c r="AT7297" s="14">
        <v>150</v>
      </c>
      <c r="AU7297" s="14">
        <v>150</v>
      </c>
      <c r="AV7297" s="14">
        <v>150</v>
      </c>
      <c r="AW7297" s="15">
        <f t="shared" si="1483"/>
        <v>450</v>
      </c>
      <c r="AX7297" s="16"/>
    </row>
    <row r="7298" spans="2:51" x14ac:dyDescent="0.2">
      <c r="B7298" s="7"/>
      <c r="C7298" s="8">
        <v>17335</v>
      </c>
      <c r="D7298" s="9" t="s">
        <v>129</v>
      </c>
      <c r="E7298" s="10" t="str">
        <f t="shared" si="1478"/>
        <v>Rancho Zinamba No. 44</v>
      </c>
      <c r="F7298" s="10" t="str">
        <f t="shared" si="1479"/>
        <v>Canales</v>
      </c>
      <c r="G7298" s="8">
        <v>1</v>
      </c>
      <c r="H7298" s="11">
        <v>400</v>
      </c>
      <c r="I7298" s="12">
        <v>43373</v>
      </c>
      <c r="J7298" s="35">
        <f t="shared" si="1480"/>
        <v>0</v>
      </c>
      <c r="K7298" s="36"/>
      <c r="L7298" s="36"/>
      <c r="M7298" s="36"/>
      <c r="N7298" s="36"/>
      <c r="O7298" s="36"/>
      <c r="P7298" s="36"/>
      <c r="Q7298" s="36"/>
      <c r="R7298" s="36"/>
      <c r="S7298" s="36"/>
      <c r="T7298" s="36"/>
      <c r="U7298" s="36"/>
      <c r="V7298" s="36"/>
      <c r="W7298" s="15">
        <f t="shared" si="1481"/>
        <v>0</v>
      </c>
      <c r="X7298" s="36"/>
      <c r="Y7298" s="36"/>
      <c r="Z7298" s="36"/>
      <c r="AA7298" s="36"/>
      <c r="AB7298" s="36"/>
      <c r="AC7298" s="36"/>
      <c r="AD7298" s="36"/>
      <c r="AE7298" s="36"/>
      <c r="AF7298" s="36"/>
      <c r="AG7298" s="36"/>
      <c r="AH7298" s="36"/>
      <c r="AI7298" s="36"/>
      <c r="AJ7298" s="15">
        <f t="shared" si="1482"/>
        <v>0</v>
      </c>
      <c r="AK7298" s="14"/>
      <c r="AL7298" s="14"/>
      <c r="AM7298" s="14"/>
      <c r="AN7298" s="14"/>
      <c r="AO7298" s="14"/>
      <c r="AP7298" s="14"/>
      <c r="AQ7298" s="14"/>
      <c r="AR7298" s="14"/>
      <c r="AS7298" s="14"/>
      <c r="AT7298" s="14">
        <v>400</v>
      </c>
      <c r="AU7298" s="14"/>
      <c r="AV7298" s="14"/>
      <c r="AW7298" s="15">
        <f t="shared" si="1483"/>
        <v>400</v>
      </c>
      <c r="AX7298" s="16"/>
    </row>
    <row r="7299" spans="2:51" x14ac:dyDescent="0.2">
      <c r="B7299" s="7"/>
      <c r="C7299" s="8">
        <v>17336</v>
      </c>
      <c r="D7299" s="9" t="s">
        <v>520</v>
      </c>
      <c r="E7299" s="10" t="str">
        <f t="shared" si="1478"/>
        <v>Rancho Landero No. 38</v>
      </c>
      <c r="F7299" s="10" t="str">
        <f t="shared" si="1479"/>
        <v>Sánchez Peña</v>
      </c>
      <c r="G7299" s="8">
        <v>1</v>
      </c>
      <c r="H7299" s="11">
        <v>800</v>
      </c>
      <c r="I7299" s="12">
        <v>43373</v>
      </c>
      <c r="J7299" s="35">
        <f t="shared" si="1480"/>
        <v>0</v>
      </c>
      <c r="K7299" s="36"/>
      <c r="L7299" s="36"/>
      <c r="M7299" s="36"/>
      <c r="N7299" s="36"/>
      <c r="O7299" s="36"/>
      <c r="P7299" s="36"/>
      <c r="Q7299" s="36"/>
      <c r="R7299" s="36"/>
      <c r="S7299" s="36"/>
      <c r="T7299" s="36"/>
      <c r="U7299" s="36"/>
      <c r="V7299" s="36"/>
      <c r="W7299" s="15">
        <f t="shared" si="1481"/>
        <v>0</v>
      </c>
      <c r="X7299" s="36"/>
      <c r="Y7299" s="36"/>
      <c r="Z7299" s="36"/>
      <c r="AA7299" s="36"/>
      <c r="AB7299" s="36"/>
      <c r="AC7299" s="36"/>
      <c r="AD7299" s="36"/>
      <c r="AE7299" s="36"/>
      <c r="AF7299" s="36"/>
      <c r="AG7299" s="36"/>
      <c r="AH7299" s="36"/>
      <c r="AI7299" s="36"/>
      <c r="AJ7299" s="15">
        <f t="shared" si="1482"/>
        <v>0</v>
      </c>
      <c r="AK7299" s="14"/>
      <c r="AL7299" s="14"/>
      <c r="AM7299" s="14"/>
      <c r="AN7299" s="14"/>
      <c r="AO7299" s="14"/>
      <c r="AP7299" s="14"/>
      <c r="AQ7299" s="14"/>
      <c r="AR7299" s="14"/>
      <c r="AS7299" s="14">
        <v>400</v>
      </c>
      <c r="AT7299" s="14">
        <v>400</v>
      </c>
      <c r="AU7299" s="14"/>
      <c r="AV7299" s="14"/>
      <c r="AW7299" s="15">
        <f t="shared" si="1483"/>
        <v>800</v>
      </c>
      <c r="AX7299" s="16"/>
    </row>
    <row r="7300" spans="2:51" x14ac:dyDescent="0.2">
      <c r="B7300" s="7"/>
      <c r="C7300" s="8">
        <v>17337</v>
      </c>
      <c r="D7300" s="9" t="s">
        <v>301</v>
      </c>
      <c r="E7300" s="10" t="str">
        <f t="shared" si="1478"/>
        <v>Rancho Upácuaro No. 51, 2</v>
      </c>
      <c r="F7300" s="10" t="str">
        <f t="shared" si="1479"/>
        <v>Santoyo</v>
      </c>
      <c r="G7300" s="8">
        <v>1</v>
      </c>
      <c r="H7300" s="11">
        <v>400</v>
      </c>
      <c r="I7300" s="12">
        <v>43373</v>
      </c>
      <c r="J7300" s="35">
        <f t="shared" si="1480"/>
        <v>0</v>
      </c>
      <c r="K7300" s="36"/>
      <c r="L7300" s="36"/>
      <c r="M7300" s="36"/>
      <c r="N7300" s="36"/>
      <c r="O7300" s="36"/>
      <c r="P7300" s="36"/>
      <c r="Q7300" s="36"/>
      <c r="R7300" s="36"/>
      <c r="S7300" s="36"/>
      <c r="T7300" s="36"/>
      <c r="U7300" s="36"/>
      <c r="V7300" s="36"/>
      <c r="W7300" s="15">
        <f t="shared" si="1481"/>
        <v>0</v>
      </c>
      <c r="X7300" s="36"/>
      <c r="Y7300" s="36"/>
      <c r="Z7300" s="36"/>
      <c r="AA7300" s="36"/>
      <c r="AB7300" s="36"/>
      <c r="AC7300" s="36"/>
      <c r="AD7300" s="36"/>
      <c r="AE7300" s="36"/>
      <c r="AF7300" s="36"/>
      <c r="AG7300" s="36"/>
      <c r="AH7300" s="36"/>
      <c r="AI7300" s="36"/>
      <c r="AJ7300" s="15">
        <f t="shared" si="1482"/>
        <v>0</v>
      </c>
      <c r="AK7300" s="14"/>
      <c r="AL7300" s="14"/>
      <c r="AM7300" s="14"/>
      <c r="AN7300" s="14"/>
      <c r="AO7300" s="14"/>
      <c r="AP7300" s="14"/>
      <c r="AQ7300" s="14"/>
      <c r="AR7300" s="14"/>
      <c r="AS7300" s="14">
        <v>200</v>
      </c>
      <c r="AT7300" s="14">
        <v>200</v>
      </c>
      <c r="AU7300" s="14"/>
      <c r="AV7300" s="14"/>
      <c r="AW7300" s="15">
        <f t="shared" si="1483"/>
        <v>400</v>
      </c>
      <c r="AX7300" s="16"/>
    </row>
    <row r="7301" spans="2:51" x14ac:dyDescent="0.2">
      <c r="B7301" s="7"/>
      <c r="C7301" s="8">
        <v>17338</v>
      </c>
      <c r="D7301" s="9" t="s">
        <v>893</v>
      </c>
      <c r="E7301" s="10" t="str">
        <f t="shared" si="1478"/>
        <v>Rancho Upácuaro No. 136</v>
      </c>
      <c r="F7301" s="10" t="str">
        <f t="shared" si="1479"/>
        <v>López Lena</v>
      </c>
      <c r="G7301" s="8">
        <v>1</v>
      </c>
      <c r="H7301" s="11">
        <v>400</v>
      </c>
      <c r="I7301" s="12">
        <v>43373</v>
      </c>
      <c r="J7301" s="35">
        <f t="shared" si="1480"/>
        <v>0</v>
      </c>
      <c r="K7301" s="36"/>
      <c r="L7301" s="36"/>
      <c r="M7301" s="36"/>
      <c r="N7301" s="36"/>
      <c r="O7301" s="36"/>
      <c r="P7301" s="36"/>
      <c r="Q7301" s="36"/>
      <c r="R7301" s="36"/>
      <c r="S7301" s="36"/>
      <c r="T7301" s="36"/>
      <c r="U7301" s="36"/>
      <c r="V7301" s="36"/>
      <c r="W7301" s="15">
        <f t="shared" si="1481"/>
        <v>0</v>
      </c>
      <c r="X7301" s="36"/>
      <c r="Y7301" s="36"/>
      <c r="Z7301" s="36"/>
      <c r="AA7301" s="36"/>
      <c r="AB7301" s="36"/>
      <c r="AC7301" s="36"/>
      <c r="AD7301" s="36"/>
      <c r="AE7301" s="36"/>
      <c r="AF7301" s="36"/>
      <c r="AG7301" s="36"/>
      <c r="AH7301" s="36"/>
      <c r="AI7301" s="36"/>
      <c r="AJ7301" s="15">
        <f t="shared" si="1482"/>
        <v>0</v>
      </c>
      <c r="AK7301" s="14"/>
      <c r="AL7301" s="14"/>
      <c r="AM7301" s="14"/>
      <c r="AN7301" s="14"/>
      <c r="AO7301" s="14"/>
      <c r="AP7301" s="14"/>
      <c r="AQ7301" s="14"/>
      <c r="AR7301" s="14"/>
      <c r="AS7301" s="14">
        <v>400</v>
      </c>
      <c r="AT7301" s="14"/>
      <c r="AU7301" s="14"/>
      <c r="AV7301" s="14"/>
      <c r="AW7301" s="15">
        <f t="shared" si="1483"/>
        <v>400</v>
      </c>
      <c r="AX7301" s="16"/>
    </row>
    <row r="7302" spans="2:51" x14ac:dyDescent="0.2">
      <c r="B7302" s="7"/>
      <c r="C7302" s="8">
        <v>17339</v>
      </c>
      <c r="D7302" s="9" t="s">
        <v>628</v>
      </c>
      <c r="E7302" s="10" t="str">
        <f t="shared" si="1478"/>
        <v>Rancho Landero No. 51</v>
      </c>
      <c r="F7302" s="10" t="str">
        <f t="shared" si="1479"/>
        <v>H. Robles Tamayo</v>
      </c>
      <c r="G7302" s="8">
        <v>1</v>
      </c>
      <c r="H7302" s="11">
        <v>800</v>
      </c>
      <c r="I7302" s="12">
        <v>43373</v>
      </c>
      <c r="J7302" s="35">
        <f t="shared" si="1480"/>
        <v>0</v>
      </c>
      <c r="K7302" s="36"/>
      <c r="L7302" s="36"/>
      <c r="M7302" s="36"/>
      <c r="N7302" s="36"/>
      <c r="O7302" s="36"/>
      <c r="P7302" s="36"/>
      <c r="Q7302" s="36"/>
      <c r="R7302" s="36"/>
      <c r="S7302" s="36"/>
      <c r="T7302" s="36"/>
      <c r="U7302" s="36"/>
      <c r="V7302" s="36"/>
      <c r="W7302" s="15">
        <f t="shared" si="1481"/>
        <v>0</v>
      </c>
      <c r="X7302" s="36"/>
      <c r="Y7302" s="36"/>
      <c r="Z7302" s="36"/>
      <c r="AA7302" s="36"/>
      <c r="AB7302" s="36"/>
      <c r="AC7302" s="36"/>
      <c r="AD7302" s="36"/>
      <c r="AE7302" s="36"/>
      <c r="AF7302" s="36"/>
      <c r="AG7302" s="36"/>
      <c r="AH7302" s="36"/>
      <c r="AI7302" s="36"/>
      <c r="AJ7302" s="15">
        <f t="shared" si="1482"/>
        <v>0</v>
      </c>
      <c r="AK7302" s="14"/>
      <c r="AL7302" s="14"/>
      <c r="AM7302" s="14"/>
      <c r="AN7302" s="14"/>
      <c r="AO7302" s="14"/>
      <c r="AP7302" s="14"/>
      <c r="AQ7302" s="14"/>
      <c r="AR7302" s="14"/>
      <c r="AS7302" s="14">
        <v>400</v>
      </c>
      <c r="AT7302" s="14">
        <v>400</v>
      </c>
      <c r="AU7302" s="14"/>
      <c r="AV7302" s="14"/>
      <c r="AW7302" s="15">
        <f t="shared" si="1483"/>
        <v>800</v>
      </c>
      <c r="AX7302" s="16"/>
    </row>
    <row r="7303" spans="2:51" x14ac:dyDescent="0.2">
      <c r="B7303" s="7"/>
      <c r="C7303" s="8">
        <v>17340</v>
      </c>
      <c r="D7303" s="9" t="s">
        <v>109</v>
      </c>
      <c r="E7303" s="10" t="str">
        <f t="shared" si="1472"/>
        <v>Rancho Estanzuela No. 31</v>
      </c>
      <c r="F7303" s="10" t="str">
        <f t="shared" si="1473"/>
        <v>Chávez Valdés</v>
      </c>
      <c r="G7303" s="8">
        <v>1</v>
      </c>
      <c r="H7303" s="11">
        <v>400</v>
      </c>
      <c r="I7303" s="12">
        <v>43373</v>
      </c>
      <c r="J7303" s="35">
        <f t="shared" si="1474"/>
        <v>0</v>
      </c>
      <c r="K7303" s="36"/>
      <c r="L7303" s="36"/>
      <c r="M7303" s="36"/>
      <c r="N7303" s="36"/>
      <c r="O7303" s="36"/>
      <c r="P7303" s="36"/>
      <c r="Q7303" s="36"/>
      <c r="R7303" s="36"/>
      <c r="S7303" s="36"/>
      <c r="T7303" s="36"/>
      <c r="U7303" s="36"/>
      <c r="V7303" s="36"/>
      <c r="W7303" s="15">
        <f t="shared" si="1475"/>
        <v>0</v>
      </c>
      <c r="X7303" s="36"/>
      <c r="Y7303" s="36"/>
      <c r="Z7303" s="36"/>
      <c r="AA7303" s="36"/>
      <c r="AB7303" s="36"/>
      <c r="AC7303" s="36"/>
      <c r="AD7303" s="36"/>
      <c r="AE7303" s="36"/>
      <c r="AF7303" s="36"/>
      <c r="AG7303" s="36"/>
      <c r="AH7303" s="36"/>
      <c r="AI7303" s="36"/>
      <c r="AJ7303" s="15">
        <f t="shared" si="1476"/>
        <v>0</v>
      </c>
      <c r="AK7303" s="14"/>
      <c r="AL7303" s="14"/>
      <c r="AM7303" s="14"/>
      <c r="AN7303" s="14"/>
      <c r="AO7303" s="14"/>
      <c r="AP7303" s="14"/>
      <c r="AQ7303" s="14"/>
      <c r="AR7303" s="14">
        <v>400</v>
      </c>
      <c r="AS7303" s="14"/>
      <c r="AT7303" s="14"/>
      <c r="AU7303" s="14"/>
      <c r="AV7303" s="14"/>
      <c r="AW7303" s="15">
        <f t="shared" si="1477"/>
        <v>400</v>
      </c>
      <c r="AX7303" s="16"/>
    </row>
    <row r="7304" spans="2:51" x14ac:dyDescent="0.2">
      <c r="B7304" s="7"/>
      <c r="C7304" s="8">
        <v>17341</v>
      </c>
      <c r="D7304" s="9" t="s">
        <v>803</v>
      </c>
      <c r="E7304" s="10" t="str">
        <f t="shared" si="1472"/>
        <v>Rancho La Cuchilla No. 36</v>
      </c>
      <c r="F7304" s="10" t="str">
        <f t="shared" si="1473"/>
        <v>Castillo</v>
      </c>
      <c r="G7304" s="8">
        <v>1</v>
      </c>
      <c r="H7304" s="11">
        <v>400</v>
      </c>
      <c r="I7304" s="12">
        <v>43373</v>
      </c>
      <c r="J7304" s="35">
        <f t="shared" si="1474"/>
        <v>0</v>
      </c>
      <c r="K7304" s="36"/>
      <c r="L7304" s="36"/>
      <c r="M7304" s="36"/>
      <c r="N7304" s="36"/>
      <c r="O7304" s="36"/>
      <c r="P7304" s="36"/>
      <c r="Q7304" s="36"/>
      <c r="R7304" s="36"/>
      <c r="S7304" s="36"/>
      <c r="T7304" s="36"/>
      <c r="U7304" s="36"/>
      <c r="V7304" s="36"/>
      <c r="W7304" s="15">
        <f t="shared" si="1475"/>
        <v>0</v>
      </c>
      <c r="X7304" s="36"/>
      <c r="Y7304" s="36"/>
      <c r="Z7304" s="36"/>
      <c r="AA7304" s="36"/>
      <c r="AB7304" s="36"/>
      <c r="AC7304" s="36"/>
      <c r="AD7304" s="36"/>
      <c r="AE7304" s="36"/>
      <c r="AF7304" s="36"/>
      <c r="AG7304" s="36"/>
      <c r="AH7304" s="36"/>
      <c r="AI7304" s="36"/>
      <c r="AJ7304" s="15">
        <f t="shared" si="1476"/>
        <v>0</v>
      </c>
      <c r="AK7304" s="14"/>
      <c r="AL7304" s="14"/>
      <c r="AM7304" s="14"/>
      <c r="AN7304" s="14"/>
      <c r="AO7304" s="14"/>
      <c r="AP7304" s="14"/>
      <c r="AQ7304" s="14"/>
      <c r="AR7304" s="14"/>
      <c r="AS7304" s="14">
        <v>400</v>
      </c>
      <c r="AT7304" s="14"/>
      <c r="AU7304" s="14"/>
      <c r="AV7304" s="14"/>
      <c r="AW7304" s="15">
        <f t="shared" si="1477"/>
        <v>400</v>
      </c>
      <c r="AX7304" s="16"/>
    </row>
    <row r="7305" spans="2:51" x14ac:dyDescent="0.2">
      <c r="B7305" s="7"/>
      <c r="C7305" s="8">
        <v>17342</v>
      </c>
      <c r="D7305" s="9" t="s">
        <v>577</v>
      </c>
      <c r="E7305" s="10" t="str">
        <f t="shared" si="1472"/>
        <v>Rancho La Cuchilla No. 46</v>
      </c>
      <c r="F7305" s="10" t="str">
        <f t="shared" si="1473"/>
        <v>Cruz López</v>
      </c>
      <c r="G7305" s="8">
        <v>3</v>
      </c>
      <c r="H7305" s="11">
        <v>200</v>
      </c>
      <c r="I7305" s="12">
        <v>43373</v>
      </c>
      <c r="J7305" s="35">
        <f t="shared" si="1474"/>
        <v>0</v>
      </c>
      <c r="K7305" s="36"/>
      <c r="L7305" s="36"/>
      <c r="M7305" s="36"/>
      <c r="N7305" s="36"/>
      <c r="O7305" s="36"/>
      <c r="P7305" s="36"/>
      <c r="Q7305" s="36"/>
      <c r="R7305" s="36"/>
      <c r="S7305" s="36"/>
      <c r="T7305" s="36"/>
      <c r="U7305" s="36"/>
      <c r="V7305" s="36"/>
      <c r="W7305" s="15">
        <f t="shared" si="1475"/>
        <v>0</v>
      </c>
      <c r="X7305" s="36"/>
      <c r="Y7305" s="36"/>
      <c r="Z7305" s="36"/>
      <c r="AA7305" s="36"/>
      <c r="AB7305" s="36"/>
      <c r="AC7305" s="36"/>
      <c r="AD7305" s="36"/>
      <c r="AE7305" s="36"/>
      <c r="AF7305" s="36"/>
      <c r="AG7305" s="36"/>
      <c r="AH7305" s="36"/>
      <c r="AI7305" s="36"/>
      <c r="AJ7305" s="15">
        <f t="shared" si="1476"/>
        <v>0</v>
      </c>
      <c r="AK7305" s="14"/>
      <c r="AL7305" s="14"/>
      <c r="AM7305" s="14"/>
      <c r="AN7305" s="14"/>
      <c r="AO7305" s="14"/>
      <c r="AP7305" s="14"/>
      <c r="AQ7305" s="14"/>
      <c r="AR7305" s="14"/>
      <c r="AS7305" s="14"/>
      <c r="AT7305" s="14"/>
      <c r="AU7305" s="14"/>
      <c r="AV7305" s="14"/>
      <c r="AW7305" s="15">
        <f t="shared" si="1477"/>
        <v>0</v>
      </c>
      <c r="AX7305" s="16"/>
    </row>
    <row r="7306" spans="2:51" x14ac:dyDescent="0.2">
      <c r="B7306" s="7"/>
      <c r="C7306" s="8">
        <v>17343</v>
      </c>
      <c r="D7306" s="9" t="s">
        <v>1142</v>
      </c>
      <c r="E7306" s="10" t="str">
        <f t="shared" ref="E7306:E7311" si="1484">IF(D7306=0,"",VLOOKUP(D7306,BASE,2,FALSE))</f>
        <v>Rancho La Cuchilla No. 49</v>
      </c>
      <c r="F7306" s="10" t="str">
        <f t="shared" ref="F7306:F7311" si="1485">IF(D7306=0,"",VLOOKUP(D7306,BASE,3,FALSE))</f>
        <v>Orozco Castelazo</v>
      </c>
      <c r="G7306" s="8">
        <v>1</v>
      </c>
      <c r="H7306" s="11">
        <v>800</v>
      </c>
      <c r="I7306" s="12">
        <v>43373</v>
      </c>
      <c r="J7306" s="35">
        <f t="shared" ref="J7306:J7311" si="1486">IF(G7306=1,SUM(W7306,AJ7306,AW7306,-H7306),0)</f>
        <v>0</v>
      </c>
      <c r="K7306" s="36"/>
      <c r="L7306" s="36"/>
      <c r="M7306" s="36"/>
      <c r="N7306" s="36"/>
      <c r="O7306" s="36"/>
      <c r="P7306" s="36"/>
      <c r="Q7306" s="36"/>
      <c r="R7306" s="36"/>
      <c r="S7306" s="36"/>
      <c r="T7306" s="36"/>
      <c r="U7306" s="36"/>
      <c r="V7306" s="36"/>
      <c r="W7306" s="15">
        <f t="shared" ref="W7306:W7311" si="1487">SUM(K7306:V7306)</f>
        <v>0</v>
      </c>
      <c r="X7306" s="36"/>
      <c r="Y7306" s="36"/>
      <c r="Z7306" s="36"/>
      <c r="AA7306" s="36"/>
      <c r="AB7306" s="36"/>
      <c r="AC7306" s="36"/>
      <c r="AD7306" s="36"/>
      <c r="AE7306" s="36"/>
      <c r="AF7306" s="36"/>
      <c r="AG7306" s="36"/>
      <c r="AH7306" s="36"/>
      <c r="AI7306" s="36"/>
      <c r="AJ7306" s="15">
        <f t="shared" ref="AJ7306:AJ7311" si="1488">SUM(X7306:AI7306)</f>
        <v>0</v>
      </c>
      <c r="AK7306" s="14"/>
      <c r="AL7306" s="14"/>
      <c r="AM7306" s="14"/>
      <c r="AN7306" s="14"/>
      <c r="AO7306" s="14"/>
      <c r="AP7306" s="14"/>
      <c r="AQ7306" s="14"/>
      <c r="AR7306" s="14"/>
      <c r="AS7306" s="14">
        <v>400</v>
      </c>
      <c r="AT7306" s="14">
        <v>400</v>
      </c>
      <c r="AU7306" s="14"/>
      <c r="AV7306" s="14"/>
      <c r="AW7306" s="15">
        <f t="shared" ref="AW7306:AW7311" si="1489">SUM(AK7306:AV7306)</f>
        <v>800</v>
      </c>
      <c r="AX7306" s="16"/>
    </row>
    <row r="7307" spans="2:51" x14ac:dyDescent="0.2">
      <c r="B7307" s="7"/>
      <c r="C7307" s="8">
        <v>17344</v>
      </c>
      <c r="D7307" s="9" t="s">
        <v>109</v>
      </c>
      <c r="E7307" s="10" t="str">
        <f t="shared" si="1484"/>
        <v>Rancho Estanzuela No. 31</v>
      </c>
      <c r="F7307" s="10" t="str">
        <f t="shared" si="1485"/>
        <v>Chávez Valdés</v>
      </c>
      <c r="G7307" s="8">
        <v>1</v>
      </c>
      <c r="H7307" s="11">
        <v>400</v>
      </c>
      <c r="I7307" s="12">
        <v>43373</v>
      </c>
      <c r="J7307" s="35">
        <f t="shared" si="1486"/>
        <v>0</v>
      </c>
      <c r="K7307" s="36"/>
      <c r="L7307" s="36"/>
      <c r="M7307" s="36"/>
      <c r="N7307" s="36"/>
      <c r="O7307" s="36"/>
      <c r="P7307" s="36"/>
      <c r="Q7307" s="36"/>
      <c r="R7307" s="36"/>
      <c r="S7307" s="36"/>
      <c r="T7307" s="36"/>
      <c r="U7307" s="36"/>
      <c r="V7307" s="36"/>
      <c r="W7307" s="15">
        <f t="shared" si="1487"/>
        <v>0</v>
      </c>
      <c r="X7307" s="36"/>
      <c r="Y7307" s="36"/>
      <c r="Z7307" s="36"/>
      <c r="AA7307" s="36"/>
      <c r="AB7307" s="36"/>
      <c r="AC7307" s="36"/>
      <c r="AD7307" s="36"/>
      <c r="AE7307" s="36"/>
      <c r="AF7307" s="36"/>
      <c r="AG7307" s="36"/>
      <c r="AH7307" s="36"/>
      <c r="AI7307" s="36"/>
      <c r="AJ7307" s="15">
        <f t="shared" si="1488"/>
        <v>0</v>
      </c>
      <c r="AK7307" s="14"/>
      <c r="AL7307" s="14"/>
      <c r="AM7307" s="14"/>
      <c r="AN7307" s="14"/>
      <c r="AO7307" s="14"/>
      <c r="AP7307" s="14"/>
      <c r="AQ7307" s="14"/>
      <c r="AR7307" s="14"/>
      <c r="AS7307" s="14">
        <v>400</v>
      </c>
      <c r="AT7307" s="14"/>
      <c r="AU7307" s="14"/>
      <c r="AV7307" s="14"/>
      <c r="AW7307" s="15">
        <f t="shared" si="1489"/>
        <v>400</v>
      </c>
      <c r="AX7307" s="16"/>
    </row>
    <row r="7308" spans="2:51" x14ac:dyDescent="0.2">
      <c r="B7308" s="7"/>
      <c r="C7308" s="8">
        <v>17345</v>
      </c>
      <c r="D7308" s="9" t="s">
        <v>44</v>
      </c>
      <c r="E7308" s="10" t="str">
        <f t="shared" si="1484"/>
        <v>Rancho Landero No. 14</v>
      </c>
      <c r="F7308" s="10" t="str">
        <f t="shared" si="1485"/>
        <v xml:space="preserve">Castrejón  </v>
      </c>
      <c r="G7308" s="8">
        <v>4</v>
      </c>
      <c r="H7308" s="11">
        <v>200</v>
      </c>
      <c r="I7308" s="12">
        <v>43373</v>
      </c>
      <c r="J7308" s="35">
        <f t="shared" si="1486"/>
        <v>0</v>
      </c>
      <c r="K7308" s="36"/>
      <c r="L7308" s="36"/>
      <c r="M7308" s="36"/>
      <c r="N7308" s="36"/>
      <c r="O7308" s="36"/>
      <c r="P7308" s="36"/>
      <c r="Q7308" s="36"/>
      <c r="R7308" s="36"/>
      <c r="S7308" s="36"/>
      <c r="T7308" s="36"/>
      <c r="U7308" s="36"/>
      <c r="V7308" s="36"/>
      <c r="W7308" s="15">
        <f t="shared" si="1487"/>
        <v>0</v>
      </c>
      <c r="X7308" s="36"/>
      <c r="Y7308" s="36"/>
      <c r="Z7308" s="36"/>
      <c r="AA7308" s="36"/>
      <c r="AB7308" s="36"/>
      <c r="AC7308" s="36"/>
      <c r="AD7308" s="36"/>
      <c r="AE7308" s="36"/>
      <c r="AF7308" s="36"/>
      <c r="AG7308" s="36"/>
      <c r="AH7308" s="36"/>
      <c r="AI7308" s="36"/>
      <c r="AJ7308" s="15">
        <f t="shared" si="1488"/>
        <v>0</v>
      </c>
      <c r="AK7308" s="14"/>
      <c r="AL7308" s="14"/>
      <c r="AM7308" s="14"/>
      <c r="AN7308" s="14"/>
      <c r="AO7308" s="14"/>
      <c r="AP7308" s="14"/>
      <c r="AQ7308" s="14"/>
      <c r="AR7308" s="14"/>
      <c r="AS7308" s="14"/>
      <c r="AT7308" s="14"/>
      <c r="AU7308" s="14"/>
      <c r="AV7308" s="14"/>
      <c r="AW7308" s="15">
        <f t="shared" si="1489"/>
        <v>0</v>
      </c>
      <c r="AX7308" s="16" t="s">
        <v>5663</v>
      </c>
      <c r="AY7308" s="112">
        <f>SUM(H7276:H7309)</f>
        <v>13800</v>
      </c>
    </row>
    <row r="7309" spans="2:51" x14ac:dyDescent="0.2">
      <c r="B7309" s="7"/>
      <c r="C7309" s="8">
        <v>17345</v>
      </c>
      <c r="D7309" s="9" t="s">
        <v>44</v>
      </c>
      <c r="E7309" s="10" t="str">
        <f t="shared" si="1484"/>
        <v>Rancho Landero No. 14</v>
      </c>
      <c r="F7309" s="10" t="str">
        <f t="shared" si="1485"/>
        <v xml:space="preserve">Castrejón  </v>
      </c>
      <c r="G7309" s="8">
        <v>5</v>
      </c>
      <c r="H7309" s="11">
        <v>50</v>
      </c>
      <c r="I7309" s="12">
        <v>43373</v>
      </c>
      <c r="J7309" s="35">
        <f t="shared" si="1486"/>
        <v>0</v>
      </c>
      <c r="K7309" s="36"/>
      <c r="L7309" s="36"/>
      <c r="M7309" s="36"/>
      <c r="N7309" s="36"/>
      <c r="O7309" s="36"/>
      <c r="P7309" s="36"/>
      <c r="Q7309" s="36"/>
      <c r="R7309" s="36"/>
      <c r="S7309" s="36"/>
      <c r="T7309" s="36"/>
      <c r="U7309" s="36"/>
      <c r="V7309" s="36"/>
      <c r="W7309" s="15">
        <f t="shared" si="1487"/>
        <v>0</v>
      </c>
      <c r="X7309" s="36"/>
      <c r="Y7309" s="36"/>
      <c r="Z7309" s="36"/>
      <c r="AA7309" s="36"/>
      <c r="AB7309" s="36"/>
      <c r="AC7309" s="36"/>
      <c r="AD7309" s="36"/>
      <c r="AE7309" s="36"/>
      <c r="AF7309" s="36"/>
      <c r="AG7309" s="36"/>
      <c r="AH7309" s="36"/>
      <c r="AI7309" s="36"/>
      <c r="AJ7309" s="15">
        <f t="shared" si="1488"/>
        <v>0</v>
      </c>
      <c r="AK7309" s="14"/>
      <c r="AL7309" s="14"/>
      <c r="AM7309" s="14"/>
      <c r="AN7309" s="14"/>
      <c r="AO7309" s="14"/>
      <c r="AP7309" s="14"/>
      <c r="AQ7309" s="14"/>
      <c r="AR7309" s="14"/>
      <c r="AS7309" s="14"/>
      <c r="AT7309" s="14"/>
      <c r="AU7309" s="14"/>
      <c r="AV7309" s="14"/>
      <c r="AW7309" s="15">
        <f t="shared" si="1489"/>
        <v>0</v>
      </c>
      <c r="AX7309" s="316">
        <f>SUM(H7266:H7309)</f>
        <v>21100</v>
      </c>
      <c r="AY7309" s="112">
        <f>SUM(H7095:H7309)</f>
        <v>103075</v>
      </c>
    </row>
    <row r="7310" spans="2:51" x14ac:dyDescent="0.2">
      <c r="B7310" s="7"/>
      <c r="C7310" s="8"/>
      <c r="D7310" s="9" t="s">
        <v>806</v>
      </c>
      <c r="E7310" s="10" t="str">
        <f t="shared" si="1484"/>
        <v>Rancho Estanzuela No. 130, A</v>
      </c>
      <c r="F7310" s="10" t="str">
        <f t="shared" si="1485"/>
        <v>Colegio Carmel</v>
      </c>
      <c r="G7310" s="8">
        <v>1</v>
      </c>
      <c r="H7310" s="11">
        <v>11000</v>
      </c>
      <c r="I7310" s="12">
        <v>43363</v>
      </c>
      <c r="J7310" s="35">
        <f t="shared" si="1486"/>
        <v>0</v>
      </c>
      <c r="K7310" s="36"/>
      <c r="L7310" s="36"/>
      <c r="M7310" s="36"/>
      <c r="N7310" s="36"/>
      <c r="O7310" s="36"/>
      <c r="P7310" s="36"/>
      <c r="Q7310" s="36"/>
      <c r="R7310" s="36"/>
      <c r="S7310" s="36"/>
      <c r="T7310" s="36"/>
      <c r="U7310" s="36"/>
      <c r="V7310" s="36"/>
      <c r="W7310" s="15">
        <f t="shared" si="1487"/>
        <v>0</v>
      </c>
      <c r="X7310" s="36"/>
      <c r="Y7310" s="36"/>
      <c r="Z7310" s="36"/>
      <c r="AA7310" s="36"/>
      <c r="AB7310" s="36"/>
      <c r="AC7310" s="36"/>
      <c r="AD7310" s="36"/>
      <c r="AE7310" s="36"/>
      <c r="AF7310" s="36"/>
      <c r="AG7310" s="36"/>
      <c r="AH7310" s="36"/>
      <c r="AI7310" s="36"/>
      <c r="AJ7310" s="15">
        <f t="shared" si="1488"/>
        <v>0</v>
      </c>
      <c r="AK7310" s="14"/>
      <c r="AL7310" s="14"/>
      <c r="AM7310" s="14"/>
      <c r="AN7310" s="14"/>
      <c r="AO7310" s="14"/>
      <c r="AP7310" s="14"/>
      <c r="AQ7310" s="14"/>
      <c r="AR7310" s="14"/>
      <c r="AS7310" s="14">
        <v>11000</v>
      </c>
      <c r="AT7310" s="14"/>
      <c r="AU7310" s="14"/>
      <c r="AV7310" s="14"/>
      <c r="AW7310" s="15">
        <f t="shared" si="1489"/>
        <v>11000</v>
      </c>
      <c r="AX7310" s="16"/>
    </row>
    <row r="7311" spans="2:51" x14ac:dyDescent="0.2">
      <c r="B7311" s="7"/>
      <c r="C7311" s="8"/>
      <c r="D7311" s="9"/>
      <c r="E7311" s="10" t="str">
        <f t="shared" si="1484"/>
        <v/>
      </c>
      <c r="F7311" s="10" t="str">
        <f t="shared" si="1485"/>
        <v/>
      </c>
      <c r="G7311" s="8"/>
      <c r="H7311" s="11"/>
      <c r="I7311" s="12"/>
      <c r="J7311" s="35">
        <f t="shared" si="1486"/>
        <v>0</v>
      </c>
      <c r="K7311" s="36"/>
      <c r="L7311" s="36"/>
      <c r="M7311" s="36"/>
      <c r="N7311" s="36"/>
      <c r="O7311" s="36"/>
      <c r="P7311" s="36"/>
      <c r="Q7311" s="36"/>
      <c r="R7311" s="36"/>
      <c r="S7311" s="36"/>
      <c r="T7311" s="36"/>
      <c r="U7311" s="36"/>
      <c r="V7311" s="36"/>
      <c r="W7311" s="15">
        <f t="shared" si="1487"/>
        <v>0</v>
      </c>
      <c r="X7311" s="36"/>
      <c r="Y7311" s="36"/>
      <c r="Z7311" s="36"/>
      <c r="AA7311" s="36"/>
      <c r="AB7311" s="36"/>
      <c r="AC7311" s="36"/>
      <c r="AD7311" s="36"/>
      <c r="AE7311" s="36"/>
      <c r="AF7311" s="36"/>
      <c r="AG7311" s="36"/>
      <c r="AH7311" s="36"/>
      <c r="AI7311" s="36"/>
      <c r="AJ7311" s="15">
        <f t="shared" si="1488"/>
        <v>0</v>
      </c>
      <c r="AK7311" s="14"/>
      <c r="AL7311" s="14"/>
      <c r="AM7311" s="14"/>
      <c r="AN7311" s="14"/>
      <c r="AO7311" s="14"/>
      <c r="AP7311" s="14"/>
      <c r="AQ7311" s="14"/>
      <c r="AR7311" s="14"/>
      <c r="AS7311" s="14"/>
      <c r="AT7311" s="14"/>
      <c r="AU7311" s="14"/>
      <c r="AV7311" s="14"/>
      <c r="AW7311" s="15">
        <f t="shared" si="1489"/>
        <v>0</v>
      </c>
      <c r="AX7311" s="16"/>
    </row>
    <row r="7312" spans="2:51" x14ac:dyDescent="0.2">
      <c r="B7312" s="7"/>
      <c r="C7312" s="8"/>
      <c r="D7312" s="9"/>
      <c r="E7312" s="10" t="str">
        <f t="shared" ref="E7312:E7316" si="1490">IF(D7312=0,"",VLOOKUP(D7312,BASE,2,FALSE))</f>
        <v/>
      </c>
      <c r="F7312" s="10" t="str">
        <f t="shared" ref="F7312:F7316" si="1491">IF(D7312=0,"",VLOOKUP(D7312,BASE,3,FALSE))</f>
        <v/>
      </c>
      <c r="G7312" s="8"/>
      <c r="H7312" s="11"/>
      <c r="I7312" s="12"/>
      <c r="J7312" s="35">
        <f t="shared" ref="J7312:J7316" si="1492">IF(G7312=1,SUM(W7312,AJ7312,AW7312,-H7312),0)</f>
        <v>0</v>
      </c>
      <c r="K7312" s="36"/>
      <c r="L7312" s="36"/>
      <c r="M7312" s="36"/>
      <c r="N7312" s="36"/>
      <c r="O7312" s="36"/>
      <c r="P7312" s="36"/>
      <c r="Q7312" s="36"/>
      <c r="R7312" s="36"/>
      <c r="S7312" s="36"/>
      <c r="T7312" s="36"/>
      <c r="U7312" s="36"/>
      <c r="V7312" s="36"/>
      <c r="W7312" s="15">
        <f t="shared" ref="W7312:W7316" si="1493">SUM(K7312:V7312)</f>
        <v>0</v>
      </c>
      <c r="X7312" s="36"/>
      <c r="Y7312" s="36"/>
      <c r="Z7312" s="36"/>
      <c r="AA7312" s="36"/>
      <c r="AB7312" s="36"/>
      <c r="AC7312" s="36"/>
      <c r="AD7312" s="36"/>
      <c r="AE7312" s="36"/>
      <c r="AF7312" s="36"/>
      <c r="AG7312" s="36"/>
      <c r="AH7312" s="36"/>
      <c r="AI7312" s="36"/>
      <c r="AJ7312" s="15">
        <f t="shared" ref="AJ7312:AJ7316" si="1494">SUM(X7312:AI7312)</f>
        <v>0</v>
      </c>
      <c r="AK7312" s="14"/>
      <c r="AL7312" s="14"/>
      <c r="AM7312" s="14"/>
      <c r="AN7312" s="14"/>
      <c r="AO7312" s="14"/>
      <c r="AP7312" s="14"/>
      <c r="AQ7312" s="14"/>
      <c r="AR7312" s="14"/>
      <c r="AS7312" s="14"/>
      <c r="AT7312" s="14"/>
      <c r="AU7312" s="14"/>
      <c r="AV7312" s="14"/>
      <c r="AW7312" s="15">
        <f t="shared" ref="AW7312:AW7316" si="1495">SUM(AK7312:AV7312)</f>
        <v>0</v>
      </c>
      <c r="AX7312" s="16"/>
    </row>
    <row r="7313" spans="1:52" ht="22.5" x14ac:dyDescent="0.2">
      <c r="A7313" s="2"/>
      <c r="B7313" s="3" t="s">
        <v>1</v>
      </c>
      <c r="C7313" s="3" t="s">
        <v>2</v>
      </c>
      <c r="D7313" s="3" t="s">
        <v>3</v>
      </c>
      <c r="E7313" s="337" t="s">
        <v>4</v>
      </c>
      <c r="F7313" s="337" t="s">
        <v>5</v>
      </c>
      <c r="G7313" s="3" t="s">
        <v>6</v>
      </c>
      <c r="H7313" s="3" t="s">
        <v>7</v>
      </c>
      <c r="I7313" s="3" t="s">
        <v>8</v>
      </c>
      <c r="J7313" s="337" t="s">
        <v>9</v>
      </c>
      <c r="K7313" s="4" t="s">
        <v>10</v>
      </c>
      <c r="L7313" s="4" t="s">
        <v>11</v>
      </c>
      <c r="M7313" s="4" t="s">
        <v>12</v>
      </c>
      <c r="N7313" s="4" t="s">
        <v>13</v>
      </c>
      <c r="O7313" s="4" t="s">
        <v>14</v>
      </c>
      <c r="P7313" s="4" t="s">
        <v>15</v>
      </c>
      <c r="Q7313" s="4" t="s">
        <v>16</v>
      </c>
      <c r="R7313" s="4" t="s">
        <v>17</v>
      </c>
      <c r="S7313" s="4" t="s">
        <v>18</v>
      </c>
      <c r="T7313" s="4" t="s">
        <v>19</v>
      </c>
      <c r="U7313" s="4" t="s">
        <v>20</v>
      </c>
      <c r="V7313" s="4" t="s">
        <v>21</v>
      </c>
      <c r="W7313" s="338" t="s">
        <v>22</v>
      </c>
      <c r="X7313" s="4" t="s">
        <v>23</v>
      </c>
      <c r="Y7313" s="4" t="s">
        <v>24</v>
      </c>
      <c r="Z7313" s="4" t="s">
        <v>25</v>
      </c>
      <c r="AA7313" s="4" t="s">
        <v>26</v>
      </c>
      <c r="AB7313" s="4" t="s">
        <v>27</v>
      </c>
      <c r="AC7313" s="4" t="s">
        <v>28</v>
      </c>
      <c r="AD7313" s="4" t="s">
        <v>29</v>
      </c>
      <c r="AE7313" s="4" t="s">
        <v>30</v>
      </c>
      <c r="AF7313" s="4" t="s">
        <v>31</v>
      </c>
      <c r="AG7313" s="4" t="s">
        <v>32</v>
      </c>
      <c r="AH7313" s="4" t="s">
        <v>33</v>
      </c>
      <c r="AI7313" s="4" t="s">
        <v>34</v>
      </c>
      <c r="AJ7313" s="338" t="s">
        <v>35</v>
      </c>
      <c r="AK7313" s="4" t="s">
        <v>4607</v>
      </c>
      <c r="AL7313" s="4" t="s">
        <v>4608</v>
      </c>
      <c r="AM7313" s="4" t="s">
        <v>4609</v>
      </c>
      <c r="AN7313" s="4" t="s">
        <v>4610</v>
      </c>
      <c r="AO7313" s="4" t="s">
        <v>4611</v>
      </c>
      <c r="AP7313" s="4" t="s">
        <v>4612</v>
      </c>
      <c r="AQ7313" s="4" t="s">
        <v>4613</v>
      </c>
      <c r="AR7313" s="4" t="s">
        <v>4614</v>
      </c>
      <c r="AS7313" s="4" t="s">
        <v>4615</v>
      </c>
      <c r="AT7313" s="4" t="s">
        <v>4616</v>
      </c>
      <c r="AU7313" s="4" t="s">
        <v>4617</v>
      </c>
      <c r="AV7313" s="4" t="s">
        <v>4618</v>
      </c>
      <c r="AW7313" s="338" t="s">
        <v>4619</v>
      </c>
      <c r="AX7313" s="6" t="s">
        <v>36</v>
      </c>
    </row>
    <row r="7314" spans="1:52" x14ac:dyDescent="0.2">
      <c r="B7314" s="7"/>
      <c r="C7314" s="8">
        <v>17346</v>
      </c>
      <c r="D7314" s="9" t="s">
        <v>174</v>
      </c>
      <c r="E7314" s="10" t="str">
        <f t="shared" si="1490"/>
        <v>Rancho Upácuaro No. 18</v>
      </c>
      <c r="F7314" s="10" t="str">
        <f t="shared" si="1491"/>
        <v>Guzmán</v>
      </c>
      <c r="G7314" s="8">
        <v>1</v>
      </c>
      <c r="H7314" s="11">
        <v>300</v>
      </c>
      <c r="I7314" s="12">
        <v>43374</v>
      </c>
      <c r="J7314" s="35">
        <f t="shared" si="1492"/>
        <v>0</v>
      </c>
      <c r="K7314" s="36"/>
      <c r="L7314" s="36"/>
      <c r="M7314" s="36"/>
      <c r="N7314" s="36"/>
      <c r="O7314" s="36"/>
      <c r="P7314" s="36"/>
      <c r="Q7314" s="36"/>
      <c r="R7314" s="36"/>
      <c r="S7314" s="36"/>
      <c r="T7314" s="36"/>
      <c r="U7314" s="36"/>
      <c r="V7314" s="36"/>
      <c r="W7314" s="15">
        <f t="shared" si="1493"/>
        <v>0</v>
      </c>
      <c r="X7314" s="36"/>
      <c r="Y7314" s="36"/>
      <c r="Z7314" s="36"/>
      <c r="AA7314" s="36"/>
      <c r="AB7314" s="36"/>
      <c r="AC7314" s="36"/>
      <c r="AD7314" s="36"/>
      <c r="AE7314" s="36"/>
      <c r="AF7314" s="36"/>
      <c r="AG7314" s="36"/>
      <c r="AH7314" s="36"/>
      <c r="AI7314" s="36"/>
      <c r="AJ7314" s="15">
        <f t="shared" si="1494"/>
        <v>0</v>
      </c>
      <c r="AK7314" s="14"/>
      <c r="AL7314" s="14"/>
      <c r="AM7314" s="14"/>
      <c r="AN7314" s="14"/>
      <c r="AO7314" s="14"/>
      <c r="AP7314" s="14"/>
      <c r="AQ7314" s="14"/>
      <c r="AR7314" s="14"/>
      <c r="AS7314" s="14"/>
      <c r="AT7314" s="14">
        <v>300</v>
      </c>
      <c r="AU7314" s="14"/>
      <c r="AV7314" s="14"/>
      <c r="AW7314" s="15">
        <f t="shared" si="1495"/>
        <v>300</v>
      </c>
      <c r="AX7314" s="16"/>
    </row>
    <row r="7315" spans="1:52" x14ac:dyDescent="0.2">
      <c r="B7315" s="7"/>
      <c r="C7315" s="8">
        <v>17347</v>
      </c>
      <c r="D7315" s="9" t="s">
        <v>352</v>
      </c>
      <c r="E7315" s="10" t="str">
        <f t="shared" si="1490"/>
        <v>Rancho La Cuchilla No. 21</v>
      </c>
      <c r="F7315" s="10" t="str">
        <f t="shared" si="1491"/>
        <v>Solórzano Calderón</v>
      </c>
      <c r="G7315" s="8">
        <v>1</v>
      </c>
      <c r="H7315" s="11">
        <v>1200</v>
      </c>
      <c r="I7315" s="12">
        <v>43375</v>
      </c>
      <c r="J7315" s="35">
        <f t="shared" si="1492"/>
        <v>0</v>
      </c>
      <c r="K7315" s="36"/>
      <c r="L7315" s="36"/>
      <c r="M7315" s="36"/>
      <c r="N7315" s="36"/>
      <c r="O7315" s="36"/>
      <c r="P7315" s="36"/>
      <c r="Q7315" s="36"/>
      <c r="R7315" s="36"/>
      <c r="S7315" s="36"/>
      <c r="T7315" s="36"/>
      <c r="U7315" s="36"/>
      <c r="V7315" s="36"/>
      <c r="W7315" s="15">
        <f t="shared" si="1493"/>
        <v>0</v>
      </c>
      <c r="X7315" s="36"/>
      <c r="Y7315" s="36"/>
      <c r="Z7315" s="36"/>
      <c r="AA7315" s="36"/>
      <c r="AB7315" s="36"/>
      <c r="AC7315" s="36"/>
      <c r="AD7315" s="36"/>
      <c r="AE7315" s="36"/>
      <c r="AF7315" s="36"/>
      <c r="AG7315" s="36"/>
      <c r="AH7315" s="36"/>
      <c r="AI7315" s="36"/>
      <c r="AJ7315" s="15">
        <f t="shared" si="1494"/>
        <v>0</v>
      </c>
      <c r="AK7315" s="14"/>
      <c r="AL7315" s="14"/>
      <c r="AM7315" s="14"/>
      <c r="AN7315" s="14"/>
      <c r="AO7315" s="14"/>
      <c r="AP7315" s="14"/>
      <c r="AQ7315" s="14"/>
      <c r="AR7315" s="14"/>
      <c r="AS7315" s="14">
        <v>400</v>
      </c>
      <c r="AT7315" s="14">
        <v>400</v>
      </c>
      <c r="AU7315" s="14">
        <v>400</v>
      </c>
      <c r="AV7315" s="14"/>
      <c r="AW7315" s="15">
        <f t="shared" si="1495"/>
        <v>1200</v>
      </c>
      <c r="AX7315" s="16"/>
    </row>
    <row r="7316" spans="1:52" x14ac:dyDescent="0.2">
      <c r="B7316" s="7"/>
      <c r="C7316" s="8">
        <v>17348</v>
      </c>
      <c r="D7316" s="9" t="s">
        <v>1181</v>
      </c>
      <c r="E7316" s="10" t="str">
        <f t="shared" si="1490"/>
        <v>Rancho Upácuaro No. 31</v>
      </c>
      <c r="F7316" s="10" t="str">
        <f t="shared" si="1491"/>
        <v>Gallardo Ávila</v>
      </c>
      <c r="G7316" s="8">
        <v>1</v>
      </c>
      <c r="H7316" s="11">
        <v>600</v>
      </c>
      <c r="I7316" s="12">
        <v>43375</v>
      </c>
      <c r="J7316" s="35">
        <f t="shared" si="1492"/>
        <v>0</v>
      </c>
      <c r="K7316" s="36"/>
      <c r="L7316" s="36"/>
      <c r="M7316" s="36"/>
      <c r="N7316" s="36"/>
      <c r="O7316" s="36"/>
      <c r="P7316" s="36"/>
      <c r="Q7316" s="36"/>
      <c r="R7316" s="36"/>
      <c r="S7316" s="36"/>
      <c r="T7316" s="36"/>
      <c r="U7316" s="36"/>
      <c r="V7316" s="36"/>
      <c r="W7316" s="15">
        <f t="shared" si="1493"/>
        <v>0</v>
      </c>
      <c r="X7316" s="36"/>
      <c r="Y7316" s="36"/>
      <c r="Z7316" s="36"/>
      <c r="AA7316" s="36"/>
      <c r="AB7316" s="36"/>
      <c r="AC7316" s="36"/>
      <c r="AD7316" s="36"/>
      <c r="AE7316" s="36"/>
      <c r="AF7316" s="36"/>
      <c r="AG7316" s="36"/>
      <c r="AH7316" s="36"/>
      <c r="AI7316" s="36"/>
      <c r="AJ7316" s="15">
        <f t="shared" si="1494"/>
        <v>0</v>
      </c>
      <c r="AK7316" s="14"/>
      <c r="AL7316" s="14"/>
      <c r="AM7316" s="14"/>
      <c r="AN7316" s="14"/>
      <c r="AO7316" s="14"/>
      <c r="AP7316" s="14"/>
      <c r="AQ7316" s="14">
        <v>200</v>
      </c>
      <c r="AR7316" s="14">
        <v>200</v>
      </c>
      <c r="AS7316" s="14">
        <v>200</v>
      </c>
      <c r="AT7316" s="14"/>
      <c r="AU7316" s="14"/>
      <c r="AV7316" s="14"/>
      <c r="AW7316" s="15">
        <f t="shared" si="1495"/>
        <v>600</v>
      </c>
      <c r="AX7316" s="16"/>
    </row>
    <row r="7317" spans="1:52" x14ac:dyDescent="0.2">
      <c r="B7317" s="7" t="s">
        <v>4983</v>
      </c>
      <c r="C7317" s="8">
        <v>17349</v>
      </c>
      <c r="D7317" s="9" t="s">
        <v>1089</v>
      </c>
      <c r="E7317" s="10" t="str">
        <f t="shared" ref="E7317:E7369" si="1496">IF(D7317=0,"",VLOOKUP(D7317,BASE,2,FALSE))</f>
        <v>Rancho Upácuaro No. 10</v>
      </c>
      <c r="F7317" s="10" t="str">
        <f t="shared" ref="F7317:F7369" si="1497">IF(D7317=0,"",VLOOKUP(D7317,BASE,3,FALSE))</f>
        <v>Montes de Oca</v>
      </c>
      <c r="G7317" s="8">
        <v>1</v>
      </c>
      <c r="H7317" s="11">
        <v>1200</v>
      </c>
      <c r="I7317" s="12">
        <v>43375</v>
      </c>
      <c r="J7317" s="35">
        <f t="shared" ref="J7317:J7369" si="1498">IF(G7317=1,SUM(W7317,AJ7317,AW7317,-H7317),0)</f>
        <v>0</v>
      </c>
      <c r="K7317" s="36"/>
      <c r="L7317" s="36"/>
      <c r="M7317" s="36"/>
      <c r="N7317" s="36"/>
      <c r="O7317" s="36"/>
      <c r="P7317" s="36"/>
      <c r="Q7317" s="36"/>
      <c r="R7317" s="36"/>
      <c r="S7317" s="36"/>
      <c r="T7317" s="36"/>
      <c r="U7317" s="36"/>
      <c r="V7317" s="36"/>
      <c r="W7317" s="15">
        <f t="shared" ref="W7317:W7369" si="1499">SUM(K7317:V7317)</f>
        <v>0</v>
      </c>
      <c r="X7317" s="36"/>
      <c r="Y7317" s="36"/>
      <c r="Z7317" s="36"/>
      <c r="AA7317" s="36"/>
      <c r="AB7317" s="36"/>
      <c r="AC7317" s="36"/>
      <c r="AD7317" s="36"/>
      <c r="AE7317" s="36"/>
      <c r="AF7317" s="36"/>
      <c r="AG7317" s="36"/>
      <c r="AH7317" s="36"/>
      <c r="AI7317" s="36"/>
      <c r="AJ7317" s="15">
        <f t="shared" ref="AJ7317:AJ7369" si="1500">SUM(X7317:AI7317)</f>
        <v>0</v>
      </c>
      <c r="AK7317" s="14"/>
      <c r="AL7317" s="14"/>
      <c r="AM7317" s="14"/>
      <c r="AN7317" s="14"/>
      <c r="AO7317" s="14"/>
      <c r="AP7317" s="14">
        <v>300</v>
      </c>
      <c r="AQ7317" s="14">
        <v>300</v>
      </c>
      <c r="AR7317" s="14">
        <v>300</v>
      </c>
      <c r="AS7317" s="14">
        <v>300</v>
      </c>
      <c r="AT7317" s="14"/>
      <c r="AU7317" s="14"/>
      <c r="AV7317" s="14"/>
      <c r="AW7317" s="15">
        <f t="shared" ref="AW7317:AW7369" si="1501">SUM(AK7317:AV7317)</f>
        <v>1200</v>
      </c>
      <c r="AX7317" s="16"/>
    </row>
    <row r="7318" spans="1:52" x14ac:dyDescent="0.2">
      <c r="B7318" s="7"/>
      <c r="C7318" s="8">
        <v>17350</v>
      </c>
      <c r="D7318" s="9" t="s">
        <v>1460</v>
      </c>
      <c r="E7318" s="10" t="str">
        <f t="shared" si="1496"/>
        <v>Rancho Zinamba No. 56</v>
      </c>
      <c r="F7318" s="10" t="str">
        <f t="shared" si="1497"/>
        <v>Aguado</v>
      </c>
      <c r="G7318" s="8">
        <v>1</v>
      </c>
      <c r="H7318" s="11">
        <v>300</v>
      </c>
      <c r="I7318" s="12">
        <v>43375</v>
      </c>
      <c r="J7318" s="35">
        <f t="shared" si="1498"/>
        <v>0</v>
      </c>
      <c r="K7318" s="36"/>
      <c r="L7318" s="36"/>
      <c r="M7318" s="36"/>
      <c r="N7318" s="36"/>
      <c r="O7318" s="36"/>
      <c r="P7318" s="36"/>
      <c r="Q7318" s="36"/>
      <c r="R7318" s="36"/>
      <c r="S7318" s="36"/>
      <c r="T7318" s="36"/>
      <c r="U7318" s="36"/>
      <c r="V7318" s="36"/>
      <c r="W7318" s="15">
        <f t="shared" si="1499"/>
        <v>0</v>
      </c>
      <c r="X7318" s="36"/>
      <c r="Y7318" s="36"/>
      <c r="Z7318" s="36"/>
      <c r="AA7318" s="36"/>
      <c r="AB7318" s="36"/>
      <c r="AC7318" s="36"/>
      <c r="AD7318" s="36"/>
      <c r="AE7318" s="36"/>
      <c r="AF7318" s="36"/>
      <c r="AG7318" s="36"/>
      <c r="AH7318" s="36"/>
      <c r="AI7318" s="36"/>
      <c r="AJ7318" s="15">
        <f t="shared" si="1500"/>
        <v>0</v>
      </c>
      <c r="AK7318" s="14"/>
      <c r="AL7318" s="14"/>
      <c r="AM7318" s="14"/>
      <c r="AN7318" s="14"/>
      <c r="AO7318" s="14"/>
      <c r="AP7318" s="14"/>
      <c r="AQ7318" s="14"/>
      <c r="AR7318" s="14"/>
      <c r="AS7318" s="14"/>
      <c r="AT7318" s="14">
        <v>300</v>
      </c>
      <c r="AU7318" s="14"/>
      <c r="AV7318" s="14"/>
      <c r="AW7318" s="15">
        <f t="shared" si="1501"/>
        <v>300</v>
      </c>
      <c r="AX7318" s="16"/>
    </row>
    <row r="7319" spans="1:52" x14ac:dyDescent="0.2">
      <c r="B7319" s="7"/>
      <c r="C7319" s="8">
        <v>17351</v>
      </c>
      <c r="D7319" s="9" t="s">
        <v>950</v>
      </c>
      <c r="E7319" s="10" t="str">
        <f t="shared" si="1496"/>
        <v>Rancho La Cuchilla No. 93</v>
      </c>
      <c r="F7319" s="10" t="str">
        <f t="shared" si="1497"/>
        <v>Alcántara Silva</v>
      </c>
      <c r="G7319" s="8">
        <v>1</v>
      </c>
      <c r="H7319" s="11">
        <v>2000</v>
      </c>
      <c r="I7319" s="12">
        <v>43376</v>
      </c>
      <c r="J7319" s="35">
        <f t="shared" si="1498"/>
        <v>0</v>
      </c>
      <c r="K7319" s="36"/>
      <c r="L7319" s="36"/>
      <c r="M7319" s="36"/>
      <c r="N7319" s="36"/>
      <c r="O7319" s="36"/>
      <c r="P7319" s="36"/>
      <c r="Q7319" s="36"/>
      <c r="R7319" s="36"/>
      <c r="S7319" s="36"/>
      <c r="T7319" s="36"/>
      <c r="U7319" s="36"/>
      <c r="V7319" s="36"/>
      <c r="W7319" s="15">
        <f t="shared" si="1499"/>
        <v>0</v>
      </c>
      <c r="X7319" s="36"/>
      <c r="Y7319" s="36"/>
      <c r="Z7319" s="36"/>
      <c r="AA7319" s="36"/>
      <c r="AB7319" s="36"/>
      <c r="AC7319" s="36"/>
      <c r="AD7319" s="36"/>
      <c r="AE7319" s="36"/>
      <c r="AF7319" s="36"/>
      <c r="AG7319" s="36"/>
      <c r="AH7319" s="36"/>
      <c r="AI7319" s="36"/>
      <c r="AJ7319" s="15">
        <f t="shared" si="1500"/>
        <v>0</v>
      </c>
      <c r="AK7319" s="14"/>
      <c r="AL7319" s="14"/>
      <c r="AM7319" s="14"/>
      <c r="AN7319" s="14"/>
      <c r="AO7319" s="14">
        <v>400</v>
      </c>
      <c r="AP7319" s="14">
        <v>400</v>
      </c>
      <c r="AQ7319" s="14">
        <v>400</v>
      </c>
      <c r="AR7319" s="14">
        <v>400</v>
      </c>
      <c r="AS7319" s="14">
        <v>400</v>
      </c>
      <c r="AT7319" s="14"/>
      <c r="AU7319" s="14"/>
      <c r="AV7319" s="14"/>
      <c r="AW7319" s="15">
        <f t="shared" si="1501"/>
        <v>2000</v>
      </c>
      <c r="AX7319" s="16"/>
    </row>
    <row r="7320" spans="1:52" x14ac:dyDescent="0.2">
      <c r="B7320" s="7"/>
      <c r="C7320" s="8">
        <v>17352</v>
      </c>
      <c r="D7320" s="9" t="s">
        <v>205</v>
      </c>
      <c r="E7320" s="10" t="str">
        <f t="shared" ref="E7320:E7335" si="1502">IF(D7320=0,"",VLOOKUP(D7320,BASE,2,FALSE))</f>
        <v>Rancho Landero No. 1, A</v>
      </c>
      <c r="F7320" s="10" t="str">
        <f t="shared" ref="F7320:F7335" si="1503">IF(D7320=0,"",VLOOKUP(D7320,BASE,3,FALSE))</f>
        <v>Ebysos</v>
      </c>
      <c r="G7320" s="8">
        <v>1</v>
      </c>
      <c r="H7320" s="11">
        <v>600</v>
      </c>
      <c r="I7320" s="12">
        <v>43377</v>
      </c>
      <c r="J7320" s="35">
        <f t="shared" ref="J7320:J7335" si="1504">IF(G7320=1,SUM(W7320,AJ7320,AW7320,-H7320),0)</f>
        <v>0</v>
      </c>
      <c r="K7320" s="36"/>
      <c r="L7320" s="36"/>
      <c r="M7320" s="36"/>
      <c r="N7320" s="36"/>
      <c r="O7320" s="36"/>
      <c r="P7320" s="36"/>
      <c r="Q7320" s="36"/>
      <c r="R7320" s="36"/>
      <c r="S7320" s="36"/>
      <c r="T7320" s="36"/>
      <c r="U7320" s="36"/>
      <c r="V7320" s="36"/>
      <c r="W7320" s="15">
        <f t="shared" ref="W7320:W7335" si="1505">SUM(K7320:V7320)</f>
        <v>0</v>
      </c>
      <c r="X7320" s="36"/>
      <c r="Y7320" s="36"/>
      <c r="Z7320" s="36"/>
      <c r="AA7320" s="36"/>
      <c r="AB7320" s="36"/>
      <c r="AC7320" s="36"/>
      <c r="AD7320" s="36"/>
      <c r="AE7320" s="36"/>
      <c r="AF7320" s="36"/>
      <c r="AG7320" s="36"/>
      <c r="AH7320" s="36"/>
      <c r="AI7320" s="36"/>
      <c r="AJ7320" s="15">
        <f t="shared" ref="AJ7320:AJ7335" si="1506">SUM(X7320:AI7320)</f>
        <v>0</v>
      </c>
      <c r="AK7320" s="14"/>
      <c r="AL7320" s="14"/>
      <c r="AM7320" s="14"/>
      <c r="AN7320" s="14"/>
      <c r="AO7320" s="14"/>
      <c r="AP7320" s="14"/>
      <c r="AQ7320" s="14"/>
      <c r="AR7320" s="14"/>
      <c r="AS7320" s="14">
        <v>600</v>
      </c>
      <c r="AT7320" s="14"/>
      <c r="AU7320" s="14"/>
      <c r="AV7320" s="14"/>
      <c r="AW7320" s="15">
        <f t="shared" ref="AW7320:AW7335" si="1507">SUM(AK7320:AV7320)</f>
        <v>600</v>
      </c>
      <c r="AX7320" s="16"/>
    </row>
    <row r="7321" spans="1:52" x14ac:dyDescent="0.2">
      <c r="B7321" s="7"/>
      <c r="C7321" s="8">
        <v>17353</v>
      </c>
      <c r="D7321" s="9" t="s">
        <v>871</v>
      </c>
      <c r="E7321" s="10" t="str">
        <f t="shared" si="1502"/>
        <v>Rancho Upácuaro No. 68</v>
      </c>
      <c r="F7321" s="10" t="str">
        <f t="shared" si="1503"/>
        <v>Colin Guerrero</v>
      </c>
      <c r="G7321" s="8">
        <v>1</v>
      </c>
      <c r="H7321" s="11">
        <v>200</v>
      </c>
      <c r="I7321" s="12">
        <v>43377</v>
      </c>
      <c r="J7321" s="35">
        <f t="shared" si="1504"/>
        <v>0</v>
      </c>
      <c r="K7321" s="36"/>
      <c r="L7321" s="36"/>
      <c r="M7321" s="36"/>
      <c r="N7321" s="36"/>
      <c r="O7321" s="36"/>
      <c r="P7321" s="36"/>
      <c r="Q7321" s="36"/>
      <c r="R7321" s="36"/>
      <c r="S7321" s="36"/>
      <c r="T7321" s="36"/>
      <c r="U7321" s="36"/>
      <c r="V7321" s="36"/>
      <c r="W7321" s="15">
        <f t="shared" si="1505"/>
        <v>0</v>
      </c>
      <c r="X7321" s="36"/>
      <c r="Y7321" s="36"/>
      <c r="Z7321" s="36"/>
      <c r="AA7321" s="36"/>
      <c r="AB7321" s="36"/>
      <c r="AC7321" s="36"/>
      <c r="AD7321" s="36"/>
      <c r="AE7321" s="36"/>
      <c r="AF7321" s="36"/>
      <c r="AG7321" s="36"/>
      <c r="AH7321" s="36"/>
      <c r="AI7321" s="36"/>
      <c r="AJ7321" s="15">
        <f t="shared" si="1506"/>
        <v>0</v>
      </c>
      <c r="AK7321" s="14"/>
      <c r="AL7321" s="14"/>
      <c r="AM7321" s="14"/>
      <c r="AN7321" s="14"/>
      <c r="AO7321" s="14"/>
      <c r="AP7321" s="14"/>
      <c r="AQ7321" s="14"/>
      <c r="AR7321" s="14"/>
      <c r="AS7321" s="14"/>
      <c r="AT7321" s="14">
        <v>200</v>
      </c>
      <c r="AU7321" s="14"/>
      <c r="AV7321" s="14"/>
      <c r="AW7321" s="15">
        <f t="shared" si="1507"/>
        <v>200</v>
      </c>
      <c r="AX7321" s="16"/>
    </row>
    <row r="7322" spans="1:52" x14ac:dyDescent="0.2">
      <c r="B7322" s="7"/>
      <c r="C7322" s="8">
        <v>17354</v>
      </c>
      <c r="D7322" s="9" t="s">
        <v>1364</v>
      </c>
      <c r="E7322" s="10" t="str">
        <f t="shared" si="1502"/>
        <v>Calzada del Hueso No. 828</v>
      </c>
      <c r="F7322" s="10" t="str">
        <f t="shared" si="1503"/>
        <v>Cervantes, Miguel</v>
      </c>
      <c r="G7322" s="8">
        <v>1</v>
      </c>
      <c r="H7322" s="11">
        <v>300</v>
      </c>
      <c r="I7322" s="12">
        <v>43377</v>
      </c>
      <c r="J7322" s="35">
        <f t="shared" si="1504"/>
        <v>0</v>
      </c>
      <c r="K7322" s="36"/>
      <c r="L7322" s="36"/>
      <c r="M7322" s="36"/>
      <c r="N7322" s="36"/>
      <c r="O7322" s="36"/>
      <c r="P7322" s="36"/>
      <c r="Q7322" s="36"/>
      <c r="R7322" s="36"/>
      <c r="S7322" s="36"/>
      <c r="T7322" s="36"/>
      <c r="U7322" s="36"/>
      <c r="V7322" s="36"/>
      <c r="W7322" s="15">
        <f t="shared" si="1505"/>
        <v>0</v>
      </c>
      <c r="X7322" s="36"/>
      <c r="Y7322" s="36"/>
      <c r="Z7322" s="36"/>
      <c r="AA7322" s="36"/>
      <c r="AB7322" s="36"/>
      <c r="AC7322" s="36"/>
      <c r="AD7322" s="36"/>
      <c r="AE7322" s="36"/>
      <c r="AF7322" s="36"/>
      <c r="AG7322" s="36"/>
      <c r="AH7322" s="36"/>
      <c r="AI7322" s="36"/>
      <c r="AJ7322" s="15">
        <f t="shared" si="1506"/>
        <v>0</v>
      </c>
      <c r="AK7322" s="14"/>
      <c r="AL7322" s="14"/>
      <c r="AM7322" s="14"/>
      <c r="AN7322" s="14"/>
      <c r="AO7322" s="14"/>
      <c r="AP7322" s="14"/>
      <c r="AQ7322" s="14">
        <v>150</v>
      </c>
      <c r="AR7322" s="14">
        <v>150</v>
      </c>
      <c r="AS7322" s="14"/>
      <c r="AT7322" s="14"/>
      <c r="AU7322" s="14"/>
      <c r="AV7322" s="14"/>
      <c r="AW7322" s="15">
        <f t="shared" si="1507"/>
        <v>300</v>
      </c>
      <c r="AX7322" s="16"/>
    </row>
    <row r="7323" spans="1:52" x14ac:dyDescent="0.2">
      <c r="B7323" s="7"/>
      <c r="C7323" s="8">
        <v>17355</v>
      </c>
      <c r="D7323" s="9" t="s">
        <v>494</v>
      </c>
      <c r="E7323" s="10" t="str">
        <f t="shared" si="1502"/>
        <v>Rancho Landero No. 2, B</v>
      </c>
      <c r="F7323" s="10" t="str">
        <f t="shared" si="1503"/>
        <v>Pack Mail</v>
      </c>
      <c r="G7323" s="8">
        <v>1</v>
      </c>
      <c r="H7323" s="11">
        <v>300</v>
      </c>
      <c r="I7323" s="12">
        <v>43377</v>
      </c>
      <c r="J7323" s="35">
        <f t="shared" si="1504"/>
        <v>0</v>
      </c>
      <c r="K7323" s="36"/>
      <c r="L7323" s="36"/>
      <c r="M7323" s="36"/>
      <c r="N7323" s="36"/>
      <c r="O7323" s="36"/>
      <c r="P7323" s="36"/>
      <c r="Q7323" s="36"/>
      <c r="R7323" s="36"/>
      <c r="S7323" s="36"/>
      <c r="T7323" s="36"/>
      <c r="U7323" s="36"/>
      <c r="V7323" s="36"/>
      <c r="W7323" s="15">
        <f t="shared" si="1505"/>
        <v>0</v>
      </c>
      <c r="X7323" s="36"/>
      <c r="Y7323" s="36"/>
      <c r="Z7323" s="36"/>
      <c r="AA7323" s="36"/>
      <c r="AB7323" s="36"/>
      <c r="AC7323" s="36"/>
      <c r="AD7323" s="36"/>
      <c r="AE7323" s="36"/>
      <c r="AF7323" s="36"/>
      <c r="AG7323" s="36"/>
      <c r="AH7323" s="36"/>
      <c r="AI7323" s="36"/>
      <c r="AJ7323" s="15">
        <f t="shared" si="1506"/>
        <v>0</v>
      </c>
      <c r="AK7323" s="14"/>
      <c r="AL7323" s="14"/>
      <c r="AM7323" s="14"/>
      <c r="AN7323" s="14"/>
      <c r="AO7323" s="14"/>
      <c r="AP7323" s="14"/>
      <c r="AQ7323" s="14"/>
      <c r="AR7323" s="14"/>
      <c r="AS7323" s="14">
        <v>150</v>
      </c>
      <c r="AT7323" s="14">
        <v>150</v>
      </c>
      <c r="AU7323" s="14"/>
      <c r="AV7323" s="14"/>
      <c r="AW7323" s="15">
        <f t="shared" si="1507"/>
        <v>300</v>
      </c>
      <c r="AX7323" s="16"/>
    </row>
    <row r="7324" spans="1:52" x14ac:dyDescent="0.2">
      <c r="B7324" s="7"/>
      <c r="C7324" s="8">
        <v>17356</v>
      </c>
      <c r="D7324" s="9" t="s">
        <v>831</v>
      </c>
      <c r="E7324" s="10" t="str">
        <f t="shared" si="1502"/>
        <v>Rancho Upácuaro No. 80</v>
      </c>
      <c r="F7324" s="10" t="str">
        <f t="shared" si="1503"/>
        <v>De los Ríos</v>
      </c>
      <c r="G7324" s="8">
        <v>4</v>
      </c>
      <c r="H7324" s="11">
        <v>200</v>
      </c>
      <c r="I7324" s="12">
        <v>43377</v>
      </c>
      <c r="J7324" s="35">
        <f t="shared" si="1504"/>
        <v>0</v>
      </c>
      <c r="K7324" s="36"/>
      <c r="L7324" s="36"/>
      <c r="M7324" s="36"/>
      <c r="N7324" s="36"/>
      <c r="O7324" s="36"/>
      <c r="P7324" s="36"/>
      <c r="Q7324" s="36"/>
      <c r="R7324" s="36"/>
      <c r="S7324" s="36"/>
      <c r="T7324" s="36"/>
      <c r="U7324" s="36"/>
      <c r="V7324" s="36"/>
      <c r="W7324" s="15">
        <f t="shared" si="1505"/>
        <v>0</v>
      </c>
      <c r="X7324" s="36"/>
      <c r="Y7324" s="36"/>
      <c r="Z7324" s="36"/>
      <c r="AA7324" s="36"/>
      <c r="AB7324" s="36"/>
      <c r="AC7324" s="36"/>
      <c r="AD7324" s="36"/>
      <c r="AE7324" s="36"/>
      <c r="AF7324" s="36"/>
      <c r="AG7324" s="36"/>
      <c r="AH7324" s="36"/>
      <c r="AI7324" s="36"/>
      <c r="AJ7324" s="15">
        <f t="shared" si="1506"/>
        <v>0</v>
      </c>
      <c r="AK7324" s="14"/>
      <c r="AL7324" s="14"/>
      <c r="AM7324" s="14"/>
      <c r="AN7324" s="14"/>
      <c r="AO7324" s="14"/>
      <c r="AP7324" s="14"/>
      <c r="AQ7324" s="14"/>
      <c r="AR7324" s="14"/>
      <c r="AS7324" s="14"/>
      <c r="AT7324" s="14"/>
      <c r="AU7324" s="14"/>
      <c r="AV7324" s="14"/>
      <c r="AW7324" s="15">
        <f t="shared" si="1507"/>
        <v>0</v>
      </c>
      <c r="AX7324" s="16" t="s">
        <v>5676</v>
      </c>
    </row>
    <row r="7325" spans="1:52" x14ac:dyDescent="0.2">
      <c r="B7325" s="7" t="s">
        <v>4983</v>
      </c>
      <c r="C7325" s="8">
        <v>17357</v>
      </c>
      <c r="D7325" s="9" t="s">
        <v>211</v>
      </c>
      <c r="E7325" s="10" t="str">
        <f t="shared" si="1502"/>
        <v>Rancho Upácuaro No. 46</v>
      </c>
      <c r="F7325" s="10" t="str">
        <f t="shared" si="1503"/>
        <v>Fuentes</v>
      </c>
      <c r="G7325" s="318">
        <v>1</v>
      </c>
      <c r="H7325" s="11">
        <v>300</v>
      </c>
      <c r="I7325" s="12">
        <v>43377</v>
      </c>
      <c r="J7325" s="35">
        <f t="shared" si="1504"/>
        <v>0</v>
      </c>
      <c r="K7325" s="36"/>
      <c r="L7325" s="36"/>
      <c r="M7325" s="36"/>
      <c r="N7325" s="36"/>
      <c r="O7325" s="36"/>
      <c r="P7325" s="36"/>
      <c r="Q7325" s="36"/>
      <c r="R7325" s="36"/>
      <c r="S7325" s="36"/>
      <c r="T7325" s="36"/>
      <c r="U7325" s="36"/>
      <c r="V7325" s="36"/>
      <c r="W7325" s="15">
        <f t="shared" si="1505"/>
        <v>0</v>
      </c>
      <c r="X7325" s="36"/>
      <c r="Y7325" s="36"/>
      <c r="Z7325" s="36"/>
      <c r="AA7325" s="36"/>
      <c r="AB7325" s="36"/>
      <c r="AC7325" s="36"/>
      <c r="AD7325" s="36"/>
      <c r="AE7325" s="36"/>
      <c r="AF7325" s="36"/>
      <c r="AG7325" s="36"/>
      <c r="AH7325" s="36"/>
      <c r="AI7325" s="36"/>
      <c r="AJ7325" s="15">
        <f t="shared" si="1506"/>
        <v>0</v>
      </c>
      <c r="AK7325" s="14"/>
      <c r="AL7325" s="14"/>
      <c r="AM7325" s="14"/>
      <c r="AN7325" s="14"/>
      <c r="AO7325" s="14"/>
      <c r="AP7325" s="14"/>
      <c r="AQ7325" s="14"/>
      <c r="AR7325" s="14"/>
      <c r="AS7325" s="14"/>
      <c r="AT7325" s="14">
        <v>300</v>
      </c>
      <c r="AU7325" s="14"/>
      <c r="AV7325" s="14"/>
      <c r="AW7325" s="15">
        <f t="shared" si="1507"/>
        <v>300</v>
      </c>
      <c r="AX7325" s="16"/>
      <c r="AY7325" s="112">
        <f>SUM(H7314:H7325)</f>
        <v>7500</v>
      </c>
      <c r="AZ7325">
        <v>6000</v>
      </c>
    </row>
    <row r="7326" spans="1:52" x14ac:dyDescent="0.2">
      <c r="B7326" s="7"/>
      <c r="C7326" s="8">
        <v>17358</v>
      </c>
      <c r="D7326" s="9" t="s">
        <v>514</v>
      </c>
      <c r="E7326" s="10" t="str">
        <f t="shared" si="1502"/>
        <v>Rancho Upácuaro No. 114</v>
      </c>
      <c r="F7326" s="10" t="str">
        <f t="shared" si="1503"/>
        <v>Hernández Cornejo</v>
      </c>
      <c r="G7326" s="8">
        <v>1</v>
      </c>
      <c r="H7326" s="11">
        <v>400</v>
      </c>
      <c r="I7326" s="12">
        <v>43380</v>
      </c>
      <c r="J7326" s="35">
        <f t="shared" si="1504"/>
        <v>0</v>
      </c>
      <c r="K7326" s="36"/>
      <c r="L7326" s="36"/>
      <c r="M7326" s="36"/>
      <c r="N7326" s="36"/>
      <c r="O7326" s="36"/>
      <c r="P7326" s="36"/>
      <c r="Q7326" s="36"/>
      <c r="R7326" s="36"/>
      <c r="S7326" s="36"/>
      <c r="T7326" s="36"/>
      <c r="U7326" s="36"/>
      <c r="V7326" s="36"/>
      <c r="W7326" s="15">
        <f t="shared" si="1505"/>
        <v>0</v>
      </c>
      <c r="X7326" s="36"/>
      <c r="Y7326" s="36"/>
      <c r="Z7326" s="36"/>
      <c r="AA7326" s="36"/>
      <c r="AB7326" s="36"/>
      <c r="AC7326" s="36"/>
      <c r="AD7326" s="36"/>
      <c r="AE7326" s="36"/>
      <c r="AF7326" s="36"/>
      <c r="AG7326" s="36"/>
      <c r="AH7326" s="36"/>
      <c r="AI7326" s="36"/>
      <c r="AJ7326" s="15">
        <f t="shared" si="1506"/>
        <v>0</v>
      </c>
      <c r="AK7326" s="14"/>
      <c r="AL7326" s="14"/>
      <c r="AM7326" s="14"/>
      <c r="AN7326" s="14"/>
      <c r="AO7326" s="14"/>
      <c r="AP7326" s="14"/>
      <c r="AQ7326" s="14"/>
      <c r="AR7326" s="14"/>
      <c r="AS7326" s="14">
        <v>400</v>
      </c>
      <c r="AT7326" s="14"/>
      <c r="AU7326" s="14"/>
      <c r="AV7326" s="14"/>
      <c r="AW7326" s="15">
        <f t="shared" si="1507"/>
        <v>400</v>
      </c>
      <c r="AX7326" s="16"/>
    </row>
    <row r="7327" spans="1:52" x14ac:dyDescent="0.2">
      <c r="B7327" s="7"/>
      <c r="C7327" s="8">
        <v>17359</v>
      </c>
      <c r="D7327" s="9" t="s">
        <v>265</v>
      </c>
      <c r="E7327" s="10" t="str">
        <f t="shared" si="1502"/>
        <v>Rancho Upácuaro No. 85</v>
      </c>
      <c r="F7327" s="10" t="str">
        <f t="shared" si="1503"/>
        <v>Del Toro Huerta</v>
      </c>
      <c r="G7327" s="8">
        <v>1</v>
      </c>
      <c r="H7327" s="11">
        <v>400</v>
      </c>
      <c r="I7327" s="12">
        <v>43380</v>
      </c>
      <c r="J7327" s="35">
        <f t="shared" si="1504"/>
        <v>0</v>
      </c>
      <c r="K7327" s="36"/>
      <c r="L7327" s="36"/>
      <c r="M7327" s="36"/>
      <c r="N7327" s="36"/>
      <c r="O7327" s="36"/>
      <c r="P7327" s="36"/>
      <c r="Q7327" s="36"/>
      <c r="R7327" s="36"/>
      <c r="S7327" s="36"/>
      <c r="T7327" s="36"/>
      <c r="U7327" s="36"/>
      <c r="V7327" s="36"/>
      <c r="W7327" s="15">
        <f t="shared" si="1505"/>
        <v>0</v>
      </c>
      <c r="X7327" s="36"/>
      <c r="Y7327" s="36"/>
      <c r="Z7327" s="36"/>
      <c r="AA7327" s="36"/>
      <c r="AB7327" s="36"/>
      <c r="AC7327" s="36"/>
      <c r="AD7327" s="36"/>
      <c r="AE7327" s="36"/>
      <c r="AF7327" s="36"/>
      <c r="AG7327" s="36"/>
      <c r="AH7327" s="36"/>
      <c r="AI7327" s="36"/>
      <c r="AJ7327" s="15">
        <f t="shared" si="1506"/>
        <v>0</v>
      </c>
      <c r="AK7327" s="14"/>
      <c r="AL7327" s="14"/>
      <c r="AM7327" s="14"/>
      <c r="AN7327" s="14"/>
      <c r="AO7327" s="14"/>
      <c r="AP7327" s="14"/>
      <c r="AQ7327" s="14"/>
      <c r="AR7327" s="14"/>
      <c r="AS7327" s="14">
        <v>400</v>
      </c>
      <c r="AT7327" s="14"/>
      <c r="AU7327" s="14"/>
      <c r="AV7327" s="14"/>
      <c r="AW7327" s="15">
        <f t="shared" si="1507"/>
        <v>400</v>
      </c>
      <c r="AX7327" s="16"/>
    </row>
    <row r="7328" spans="1:52" x14ac:dyDescent="0.2">
      <c r="B7328" s="7"/>
      <c r="C7328" s="8">
        <v>17360</v>
      </c>
      <c r="D7328" s="9" t="s">
        <v>238</v>
      </c>
      <c r="E7328" s="10" t="str">
        <f t="shared" si="1502"/>
        <v>Rancho La Cuchilla No. 43, B</v>
      </c>
      <c r="F7328" s="10" t="str">
        <f t="shared" si="1503"/>
        <v>Luna Albertano</v>
      </c>
      <c r="G7328" s="8">
        <v>1</v>
      </c>
      <c r="H7328" s="11">
        <v>125</v>
      </c>
      <c r="I7328" s="12">
        <v>43380</v>
      </c>
      <c r="J7328" s="35">
        <f t="shared" si="1504"/>
        <v>0</v>
      </c>
      <c r="K7328" s="36"/>
      <c r="L7328" s="36"/>
      <c r="M7328" s="36"/>
      <c r="N7328" s="36"/>
      <c r="O7328" s="36"/>
      <c r="P7328" s="36"/>
      <c r="Q7328" s="36"/>
      <c r="R7328" s="36"/>
      <c r="S7328" s="36"/>
      <c r="T7328" s="36"/>
      <c r="U7328" s="36"/>
      <c r="V7328" s="36"/>
      <c r="W7328" s="15">
        <f t="shared" si="1505"/>
        <v>0</v>
      </c>
      <c r="X7328" s="36"/>
      <c r="Y7328" s="36"/>
      <c r="Z7328" s="36"/>
      <c r="AA7328" s="36"/>
      <c r="AB7328" s="36"/>
      <c r="AC7328" s="36"/>
      <c r="AD7328" s="36"/>
      <c r="AE7328" s="36"/>
      <c r="AF7328" s="36"/>
      <c r="AG7328" s="36"/>
      <c r="AH7328" s="36"/>
      <c r="AI7328" s="36"/>
      <c r="AJ7328" s="15">
        <f t="shared" si="1506"/>
        <v>0</v>
      </c>
      <c r="AK7328" s="14"/>
      <c r="AL7328" s="14"/>
      <c r="AM7328" s="14"/>
      <c r="AN7328" s="14"/>
      <c r="AO7328" s="14"/>
      <c r="AP7328" s="14"/>
      <c r="AQ7328" s="14"/>
      <c r="AR7328" s="14"/>
      <c r="AS7328" s="14"/>
      <c r="AT7328" s="14">
        <v>125</v>
      </c>
      <c r="AU7328" s="14"/>
      <c r="AV7328" s="14"/>
      <c r="AW7328" s="15">
        <f t="shared" si="1507"/>
        <v>125</v>
      </c>
      <c r="AX7328" s="16"/>
    </row>
    <row r="7329" spans="2:50" x14ac:dyDescent="0.2">
      <c r="B7329" s="7"/>
      <c r="C7329" s="8">
        <v>17361</v>
      </c>
      <c r="D7329" s="9" t="s">
        <v>425</v>
      </c>
      <c r="E7329" s="10" t="str">
        <f t="shared" si="1502"/>
        <v>Rancho La Cuchilla No. 120</v>
      </c>
      <c r="F7329" s="10" t="str">
        <f t="shared" si="1503"/>
        <v>Pozos Vilchis</v>
      </c>
      <c r="G7329" s="8">
        <v>1</v>
      </c>
      <c r="H7329" s="11">
        <v>400</v>
      </c>
      <c r="I7329" s="12" t="s">
        <v>5677</v>
      </c>
      <c r="J7329" s="35">
        <f t="shared" si="1504"/>
        <v>0</v>
      </c>
      <c r="K7329" s="36"/>
      <c r="L7329" s="36"/>
      <c r="M7329" s="36"/>
      <c r="N7329" s="36"/>
      <c r="O7329" s="36"/>
      <c r="P7329" s="36"/>
      <c r="Q7329" s="36"/>
      <c r="R7329" s="36"/>
      <c r="S7329" s="36"/>
      <c r="T7329" s="36"/>
      <c r="U7329" s="36"/>
      <c r="V7329" s="36"/>
      <c r="W7329" s="15">
        <f t="shared" si="1505"/>
        <v>0</v>
      </c>
      <c r="X7329" s="36"/>
      <c r="Y7329" s="36"/>
      <c r="Z7329" s="36"/>
      <c r="AA7329" s="36"/>
      <c r="AB7329" s="36"/>
      <c r="AC7329" s="36"/>
      <c r="AD7329" s="36"/>
      <c r="AE7329" s="36"/>
      <c r="AF7329" s="36"/>
      <c r="AG7329" s="36"/>
      <c r="AH7329" s="36"/>
      <c r="AI7329" s="36"/>
      <c r="AJ7329" s="15">
        <f t="shared" si="1506"/>
        <v>0</v>
      </c>
      <c r="AK7329" s="14"/>
      <c r="AL7329" s="14"/>
      <c r="AM7329" s="14"/>
      <c r="AN7329" s="14"/>
      <c r="AO7329" s="14"/>
      <c r="AP7329" s="14"/>
      <c r="AQ7329" s="14"/>
      <c r="AR7329" s="14"/>
      <c r="AS7329" s="14"/>
      <c r="AT7329" s="14">
        <v>400</v>
      </c>
      <c r="AU7329" s="14"/>
      <c r="AV7329" s="14"/>
      <c r="AW7329" s="15">
        <f t="shared" si="1507"/>
        <v>400</v>
      </c>
      <c r="AX7329" s="16"/>
    </row>
    <row r="7330" spans="2:50" x14ac:dyDescent="0.2">
      <c r="B7330" s="7"/>
      <c r="C7330" s="8">
        <v>17362</v>
      </c>
      <c r="D7330" s="9" t="s">
        <v>785</v>
      </c>
      <c r="E7330" s="10" t="str">
        <f t="shared" si="1502"/>
        <v>Rancho Estanzuela No. 61</v>
      </c>
      <c r="F7330" s="10" t="str">
        <f t="shared" si="1503"/>
        <v>González Almazán</v>
      </c>
      <c r="G7330" s="8">
        <v>1</v>
      </c>
      <c r="H7330" s="11">
        <v>400</v>
      </c>
      <c r="I7330" s="12">
        <v>43380</v>
      </c>
      <c r="J7330" s="35">
        <f t="shared" si="1504"/>
        <v>0</v>
      </c>
      <c r="K7330" s="36"/>
      <c r="L7330" s="36"/>
      <c r="M7330" s="36"/>
      <c r="N7330" s="36"/>
      <c r="O7330" s="36"/>
      <c r="P7330" s="36"/>
      <c r="Q7330" s="36"/>
      <c r="R7330" s="36"/>
      <c r="S7330" s="36"/>
      <c r="T7330" s="36"/>
      <c r="U7330" s="36"/>
      <c r="V7330" s="36"/>
      <c r="W7330" s="15">
        <f t="shared" si="1505"/>
        <v>0</v>
      </c>
      <c r="X7330" s="36"/>
      <c r="Y7330" s="36"/>
      <c r="Z7330" s="36"/>
      <c r="AA7330" s="36"/>
      <c r="AB7330" s="36"/>
      <c r="AC7330" s="36"/>
      <c r="AD7330" s="36"/>
      <c r="AE7330" s="36"/>
      <c r="AF7330" s="36"/>
      <c r="AG7330" s="36"/>
      <c r="AH7330" s="36"/>
      <c r="AI7330" s="36"/>
      <c r="AJ7330" s="15">
        <f t="shared" si="1506"/>
        <v>0</v>
      </c>
      <c r="AK7330" s="14"/>
      <c r="AL7330" s="14"/>
      <c r="AM7330" s="14"/>
      <c r="AN7330" s="14"/>
      <c r="AO7330" s="14"/>
      <c r="AP7330" s="14"/>
      <c r="AQ7330" s="14"/>
      <c r="AR7330" s="14">
        <v>200</v>
      </c>
      <c r="AS7330" s="14">
        <v>200</v>
      </c>
      <c r="AT7330" s="14"/>
      <c r="AU7330" s="14"/>
      <c r="AV7330" s="14"/>
      <c r="AW7330" s="15">
        <f t="shared" si="1507"/>
        <v>400</v>
      </c>
      <c r="AX7330" s="16"/>
    </row>
    <row r="7331" spans="2:50" x14ac:dyDescent="0.2">
      <c r="B7331" s="7"/>
      <c r="C7331" s="8">
        <v>17363</v>
      </c>
      <c r="D7331" s="9"/>
      <c r="E7331" s="10" t="str">
        <f t="shared" si="1502"/>
        <v/>
      </c>
      <c r="F7331" s="10" t="str">
        <f t="shared" si="1503"/>
        <v/>
      </c>
      <c r="G7331" s="8">
        <v>8</v>
      </c>
      <c r="H7331" s="11"/>
      <c r="I7331" s="12"/>
      <c r="J7331" s="35">
        <f t="shared" si="1504"/>
        <v>0</v>
      </c>
      <c r="K7331" s="36"/>
      <c r="L7331" s="36"/>
      <c r="M7331" s="36"/>
      <c r="N7331" s="36"/>
      <c r="O7331" s="36"/>
      <c r="P7331" s="36"/>
      <c r="Q7331" s="36"/>
      <c r="R7331" s="36"/>
      <c r="S7331" s="36"/>
      <c r="T7331" s="36"/>
      <c r="U7331" s="36"/>
      <c r="V7331" s="36"/>
      <c r="W7331" s="15">
        <f t="shared" si="1505"/>
        <v>0</v>
      </c>
      <c r="X7331" s="36"/>
      <c r="Y7331" s="36"/>
      <c r="Z7331" s="36"/>
      <c r="AA7331" s="36"/>
      <c r="AB7331" s="36"/>
      <c r="AC7331" s="36"/>
      <c r="AD7331" s="36"/>
      <c r="AE7331" s="36"/>
      <c r="AF7331" s="36"/>
      <c r="AG7331" s="36"/>
      <c r="AH7331" s="36"/>
      <c r="AI7331" s="36"/>
      <c r="AJ7331" s="15">
        <f t="shared" si="1506"/>
        <v>0</v>
      </c>
      <c r="AK7331" s="14"/>
      <c r="AL7331" s="14"/>
      <c r="AM7331" s="14"/>
      <c r="AN7331" s="14"/>
      <c r="AO7331" s="14"/>
      <c r="AP7331" s="14"/>
      <c r="AQ7331" s="14"/>
      <c r="AR7331" s="14"/>
      <c r="AS7331" s="14"/>
      <c r="AT7331" s="14"/>
      <c r="AU7331" s="14"/>
      <c r="AV7331" s="14"/>
      <c r="AW7331" s="15">
        <f t="shared" si="1507"/>
        <v>0</v>
      </c>
      <c r="AX7331" s="16"/>
    </row>
    <row r="7332" spans="2:50" x14ac:dyDescent="0.2">
      <c r="B7332" s="7"/>
      <c r="C7332" s="8">
        <v>17364</v>
      </c>
      <c r="D7332" s="9" t="s">
        <v>416</v>
      </c>
      <c r="E7332" s="10" t="str">
        <f t="shared" si="1502"/>
        <v>Rancho La Cuchilla No. 112, PB</v>
      </c>
      <c r="F7332" s="10" t="str">
        <f t="shared" si="1503"/>
        <v>Soreque</v>
      </c>
      <c r="G7332" s="8">
        <v>7</v>
      </c>
      <c r="H7332" s="11">
        <v>200</v>
      </c>
      <c r="I7332" s="12">
        <v>43380</v>
      </c>
      <c r="J7332" s="35">
        <f t="shared" si="1504"/>
        <v>0</v>
      </c>
      <c r="K7332" s="36"/>
      <c r="L7332" s="36"/>
      <c r="M7332" s="36"/>
      <c r="N7332" s="36"/>
      <c r="O7332" s="36"/>
      <c r="P7332" s="36"/>
      <c r="Q7332" s="36"/>
      <c r="R7332" s="36"/>
      <c r="S7332" s="36"/>
      <c r="T7332" s="36"/>
      <c r="U7332" s="36"/>
      <c r="V7332" s="36"/>
      <c r="W7332" s="15">
        <f t="shared" si="1505"/>
        <v>0</v>
      </c>
      <c r="X7332" s="36"/>
      <c r="Y7332" s="36"/>
      <c r="Z7332" s="36"/>
      <c r="AA7332" s="36"/>
      <c r="AB7332" s="36"/>
      <c r="AC7332" s="36"/>
      <c r="AD7332" s="36"/>
      <c r="AE7332" s="36"/>
      <c r="AF7332" s="36"/>
      <c r="AG7332" s="36"/>
      <c r="AH7332" s="36"/>
      <c r="AI7332" s="36"/>
      <c r="AJ7332" s="15">
        <f t="shared" si="1506"/>
        <v>0</v>
      </c>
      <c r="AK7332" s="14"/>
      <c r="AL7332" s="14"/>
      <c r="AM7332" s="14"/>
      <c r="AN7332" s="14"/>
      <c r="AO7332" s="14"/>
      <c r="AP7332" s="14"/>
      <c r="AQ7332" s="14"/>
      <c r="AR7332" s="14"/>
      <c r="AS7332" s="14"/>
      <c r="AT7332" s="14">
        <v>200</v>
      </c>
      <c r="AU7332" s="14"/>
      <c r="AV7332" s="14"/>
      <c r="AW7332" s="15">
        <f t="shared" si="1507"/>
        <v>200</v>
      </c>
      <c r="AX7332" s="16"/>
    </row>
    <row r="7333" spans="2:50" x14ac:dyDescent="0.2">
      <c r="B7333" s="7"/>
      <c r="C7333" s="8">
        <v>17365</v>
      </c>
      <c r="D7333" s="9" t="s">
        <v>100</v>
      </c>
      <c r="E7333" s="10" t="str">
        <f t="shared" si="1502"/>
        <v>Rancho Upácuaro No. 32</v>
      </c>
      <c r="F7333" s="10" t="str">
        <f t="shared" si="1503"/>
        <v>Sairafi Carmen</v>
      </c>
      <c r="G7333" s="8">
        <v>1</v>
      </c>
      <c r="H7333" s="11">
        <v>400</v>
      </c>
      <c r="I7333" s="12">
        <v>43380</v>
      </c>
      <c r="J7333" s="35">
        <f t="shared" si="1504"/>
        <v>0</v>
      </c>
      <c r="K7333" s="36"/>
      <c r="L7333" s="36"/>
      <c r="M7333" s="36"/>
      <c r="N7333" s="36"/>
      <c r="O7333" s="36"/>
      <c r="P7333" s="36"/>
      <c r="Q7333" s="36"/>
      <c r="R7333" s="36"/>
      <c r="S7333" s="36"/>
      <c r="T7333" s="36"/>
      <c r="U7333" s="36"/>
      <c r="V7333" s="36"/>
      <c r="W7333" s="15">
        <f t="shared" si="1505"/>
        <v>0</v>
      </c>
      <c r="X7333" s="36"/>
      <c r="Y7333" s="36"/>
      <c r="Z7333" s="36"/>
      <c r="AA7333" s="36"/>
      <c r="AB7333" s="36"/>
      <c r="AC7333" s="36"/>
      <c r="AD7333" s="36"/>
      <c r="AE7333" s="36"/>
      <c r="AF7333" s="36"/>
      <c r="AG7333" s="36"/>
      <c r="AH7333" s="36"/>
      <c r="AI7333" s="36"/>
      <c r="AJ7333" s="15">
        <f t="shared" si="1506"/>
        <v>0</v>
      </c>
      <c r="AK7333" s="14"/>
      <c r="AL7333" s="14"/>
      <c r="AM7333" s="14"/>
      <c r="AN7333" s="14"/>
      <c r="AO7333" s="14"/>
      <c r="AP7333" s="14"/>
      <c r="AQ7333" s="14"/>
      <c r="AR7333" s="14"/>
      <c r="AS7333" s="14"/>
      <c r="AT7333" s="14">
        <v>400</v>
      </c>
      <c r="AU7333" s="14"/>
      <c r="AV7333" s="14"/>
      <c r="AW7333" s="15">
        <f t="shared" si="1507"/>
        <v>400</v>
      </c>
      <c r="AX7333" s="16"/>
    </row>
    <row r="7334" spans="2:50" x14ac:dyDescent="0.2">
      <c r="B7334" s="7"/>
      <c r="C7334" s="8">
        <v>17366</v>
      </c>
      <c r="D7334" s="9" t="s">
        <v>5576</v>
      </c>
      <c r="E7334" s="10" t="str">
        <f t="shared" si="1502"/>
        <v>Rancho Recoveco No. 174</v>
      </c>
      <c r="F7334" s="10" t="str">
        <f t="shared" si="1503"/>
        <v>Cruz Chavarría</v>
      </c>
      <c r="G7334" s="8">
        <v>1</v>
      </c>
      <c r="H7334" s="11">
        <v>400</v>
      </c>
      <c r="I7334" s="12">
        <v>43380</v>
      </c>
      <c r="J7334" s="35">
        <f t="shared" si="1504"/>
        <v>0</v>
      </c>
      <c r="K7334" s="36"/>
      <c r="L7334" s="36"/>
      <c r="M7334" s="36"/>
      <c r="N7334" s="36"/>
      <c r="O7334" s="36"/>
      <c r="P7334" s="36"/>
      <c r="Q7334" s="36"/>
      <c r="R7334" s="36"/>
      <c r="S7334" s="36"/>
      <c r="T7334" s="36"/>
      <c r="U7334" s="36"/>
      <c r="V7334" s="36"/>
      <c r="W7334" s="15">
        <f t="shared" si="1505"/>
        <v>0</v>
      </c>
      <c r="X7334" s="36"/>
      <c r="Y7334" s="36"/>
      <c r="Z7334" s="36"/>
      <c r="AA7334" s="36"/>
      <c r="AB7334" s="36"/>
      <c r="AC7334" s="36"/>
      <c r="AD7334" s="36"/>
      <c r="AE7334" s="36"/>
      <c r="AF7334" s="36"/>
      <c r="AG7334" s="36"/>
      <c r="AH7334" s="36"/>
      <c r="AI7334" s="36"/>
      <c r="AJ7334" s="15">
        <f t="shared" si="1506"/>
        <v>0</v>
      </c>
      <c r="AK7334" s="14"/>
      <c r="AL7334" s="14"/>
      <c r="AM7334" s="14"/>
      <c r="AN7334" s="14"/>
      <c r="AO7334" s="14"/>
      <c r="AP7334" s="14"/>
      <c r="AQ7334" s="14"/>
      <c r="AR7334" s="14"/>
      <c r="AS7334" s="14"/>
      <c r="AT7334" s="14">
        <v>400</v>
      </c>
      <c r="AU7334" s="14"/>
      <c r="AV7334" s="14"/>
      <c r="AW7334" s="15">
        <f t="shared" si="1507"/>
        <v>400</v>
      </c>
      <c r="AX7334" s="16"/>
    </row>
    <row r="7335" spans="2:50" x14ac:dyDescent="0.2">
      <c r="B7335" s="7"/>
      <c r="C7335" s="8">
        <v>17367</v>
      </c>
      <c r="D7335" s="9" t="s">
        <v>5576</v>
      </c>
      <c r="E7335" s="10" t="str">
        <f t="shared" si="1502"/>
        <v>Rancho Recoveco No. 174</v>
      </c>
      <c r="F7335" s="10" t="str">
        <f t="shared" si="1503"/>
        <v>Cruz Chavarría</v>
      </c>
      <c r="G7335" s="8">
        <v>4</v>
      </c>
      <c r="H7335" s="11">
        <v>400</v>
      </c>
      <c r="I7335" s="12">
        <v>43380</v>
      </c>
      <c r="J7335" s="35">
        <f t="shared" si="1504"/>
        <v>0</v>
      </c>
      <c r="K7335" s="36"/>
      <c r="L7335" s="36"/>
      <c r="M7335" s="36"/>
      <c r="N7335" s="36"/>
      <c r="O7335" s="36"/>
      <c r="P7335" s="36"/>
      <c r="Q7335" s="36"/>
      <c r="R7335" s="36"/>
      <c r="S7335" s="36"/>
      <c r="T7335" s="36"/>
      <c r="U7335" s="36"/>
      <c r="V7335" s="36"/>
      <c r="W7335" s="15">
        <f t="shared" si="1505"/>
        <v>0</v>
      </c>
      <c r="X7335" s="36"/>
      <c r="Y7335" s="36"/>
      <c r="Z7335" s="36"/>
      <c r="AA7335" s="36"/>
      <c r="AB7335" s="36"/>
      <c r="AC7335" s="36"/>
      <c r="AD7335" s="36"/>
      <c r="AE7335" s="36"/>
      <c r="AF7335" s="36"/>
      <c r="AG7335" s="36"/>
      <c r="AH7335" s="36"/>
      <c r="AI7335" s="36"/>
      <c r="AJ7335" s="15">
        <f t="shared" si="1506"/>
        <v>0</v>
      </c>
      <c r="AK7335" s="14"/>
      <c r="AL7335" s="14"/>
      <c r="AM7335" s="14"/>
      <c r="AN7335" s="14"/>
      <c r="AO7335" s="14"/>
      <c r="AP7335" s="14"/>
      <c r="AQ7335" s="14"/>
      <c r="AR7335" s="14"/>
      <c r="AS7335" s="14"/>
      <c r="AT7335" s="14"/>
      <c r="AU7335" s="14"/>
      <c r="AV7335" s="14"/>
      <c r="AW7335" s="15">
        <f t="shared" si="1507"/>
        <v>0</v>
      </c>
      <c r="AX7335" s="16" t="s">
        <v>5678</v>
      </c>
    </row>
    <row r="7336" spans="2:50" x14ac:dyDescent="0.2">
      <c r="B7336" s="7"/>
      <c r="C7336" s="8">
        <v>17368</v>
      </c>
      <c r="D7336" s="9" t="s">
        <v>84</v>
      </c>
      <c r="E7336" s="10" t="str">
        <f t="shared" si="1496"/>
        <v>Rancho La Cuchilla No. 139</v>
      </c>
      <c r="F7336" s="10" t="str">
        <f t="shared" si="1497"/>
        <v>Garcia</v>
      </c>
      <c r="G7336" s="8">
        <v>1</v>
      </c>
      <c r="H7336" s="11">
        <v>200</v>
      </c>
      <c r="I7336" s="12">
        <v>43380</v>
      </c>
      <c r="J7336" s="35">
        <f t="shared" si="1498"/>
        <v>0</v>
      </c>
      <c r="K7336" s="36"/>
      <c r="L7336" s="36"/>
      <c r="M7336" s="36"/>
      <c r="N7336" s="36"/>
      <c r="O7336" s="36"/>
      <c r="P7336" s="36"/>
      <c r="Q7336" s="36"/>
      <c r="R7336" s="36"/>
      <c r="S7336" s="36"/>
      <c r="T7336" s="36"/>
      <c r="U7336" s="36"/>
      <c r="V7336" s="36"/>
      <c r="W7336" s="15">
        <f t="shared" si="1499"/>
        <v>0</v>
      </c>
      <c r="X7336" s="36"/>
      <c r="Y7336" s="36"/>
      <c r="Z7336" s="36"/>
      <c r="AA7336" s="36"/>
      <c r="AB7336" s="36"/>
      <c r="AC7336" s="36"/>
      <c r="AD7336" s="36"/>
      <c r="AE7336" s="36"/>
      <c r="AF7336" s="36"/>
      <c r="AG7336" s="36"/>
      <c r="AH7336" s="36"/>
      <c r="AI7336" s="36"/>
      <c r="AJ7336" s="15">
        <f t="shared" si="1500"/>
        <v>0</v>
      </c>
      <c r="AK7336" s="14"/>
      <c r="AL7336" s="14"/>
      <c r="AM7336" s="14"/>
      <c r="AN7336" s="14"/>
      <c r="AO7336" s="14"/>
      <c r="AP7336" s="14"/>
      <c r="AQ7336" s="14"/>
      <c r="AR7336" s="14"/>
      <c r="AS7336" s="14"/>
      <c r="AT7336" s="14">
        <v>200</v>
      </c>
      <c r="AU7336" s="14"/>
      <c r="AV7336" s="14"/>
      <c r="AW7336" s="15">
        <f t="shared" si="1501"/>
        <v>200</v>
      </c>
      <c r="AX7336" s="16"/>
    </row>
    <row r="7337" spans="2:50" x14ac:dyDescent="0.2">
      <c r="B7337" s="7"/>
      <c r="C7337" s="8">
        <v>17369</v>
      </c>
      <c r="D7337" s="9" t="s">
        <v>791</v>
      </c>
      <c r="E7337" s="10" t="str">
        <f t="shared" si="1496"/>
        <v>Rancho Upácuaro No. 116</v>
      </c>
      <c r="F7337" s="10" t="str">
        <f t="shared" si="1497"/>
        <v>Zenteno</v>
      </c>
      <c r="G7337" s="8">
        <v>1</v>
      </c>
      <c r="H7337" s="11">
        <v>400</v>
      </c>
      <c r="I7337" s="12">
        <v>43380</v>
      </c>
      <c r="J7337" s="35">
        <f t="shared" si="1498"/>
        <v>0</v>
      </c>
      <c r="K7337" s="36"/>
      <c r="L7337" s="36"/>
      <c r="M7337" s="36"/>
      <c r="N7337" s="36"/>
      <c r="O7337" s="36"/>
      <c r="P7337" s="36"/>
      <c r="Q7337" s="36"/>
      <c r="R7337" s="36"/>
      <c r="S7337" s="36"/>
      <c r="T7337" s="36"/>
      <c r="U7337" s="36"/>
      <c r="V7337" s="36"/>
      <c r="W7337" s="15">
        <f t="shared" si="1499"/>
        <v>0</v>
      </c>
      <c r="X7337" s="36"/>
      <c r="Y7337" s="36"/>
      <c r="Z7337" s="36"/>
      <c r="AA7337" s="36"/>
      <c r="AB7337" s="36"/>
      <c r="AC7337" s="36"/>
      <c r="AD7337" s="36"/>
      <c r="AE7337" s="36"/>
      <c r="AF7337" s="36"/>
      <c r="AG7337" s="36"/>
      <c r="AH7337" s="36"/>
      <c r="AI7337" s="36"/>
      <c r="AJ7337" s="15">
        <f t="shared" si="1500"/>
        <v>0</v>
      </c>
      <c r="AK7337" s="14"/>
      <c r="AL7337" s="14"/>
      <c r="AM7337" s="14"/>
      <c r="AN7337" s="14"/>
      <c r="AO7337" s="14"/>
      <c r="AP7337" s="14"/>
      <c r="AQ7337" s="14"/>
      <c r="AR7337" s="14"/>
      <c r="AS7337" s="14"/>
      <c r="AT7337" s="14">
        <v>400</v>
      </c>
      <c r="AU7337" s="14"/>
      <c r="AV7337" s="14"/>
      <c r="AW7337" s="15">
        <f t="shared" si="1501"/>
        <v>400</v>
      </c>
      <c r="AX7337" s="16"/>
    </row>
    <row r="7338" spans="2:50" x14ac:dyDescent="0.2">
      <c r="B7338" s="7"/>
      <c r="C7338" s="8">
        <v>17370</v>
      </c>
      <c r="D7338" s="9" t="s">
        <v>322</v>
      </c>
      <c r="E7338" s="10" t="str">
        <f t="shared" si="1496"/>
        <v>Rancho Zinamba No. 8</v>
      </c>
      <c r="F7338" s="10" t="str">
        <f t="shared" si="1497"/>
        <v>Florido</v>
      </c>
      <c r="G7338" s="8">
        <v>1</v>
      </c>
      <c r="H7338" s="11">
        <v>400</v>
      </c>
      <c r="I7338" s="12">
        <v>43380</v>
      </c>
      <c r="J7338" s="35">
        <f t="shared" si="1498"/>
        <v>0</v>
      </c>
      <c r="K7338" s="36"/>
      <c r="L7338" s="36"/>
      <c r="M7338" s="36"/>
      <c r="N7338" s="36"/>
      <c r="O7338" s="36"/>
      <c r="P7338" s="36"/>
      <c r="Q7338" s="36"/>
      <c r="R7338" s="36"/>
      <c r="S7338" s="36"/>
      <c r="T7338" s="36"/>
      <c r="U7338" s="36"/>
      <c r="V7338" s="36"/>
      <c r="W7338" s="15">
        <f t="shared" si="1499"/>
        <v>0</v>
      </c>
      <c r="X7338" s="36"/>
      <c r="Y7338" s="36"/>
      <c r="Z7338" s="36"/>
      <c r="AA7338" s="36"/>
      <c r="AB7338" s="36"/>
      <c r="AC7338" s="36"/>
      <c r="AD7338" s="36"/>
      <c r="AE7338" s="36"/>
      <c r="AF7338" s="36"/>
      <c r="AG7338" s="36"/>
      <c r="AH7338" s="36"/>
      <c r="AI7338" s="36"/>
      <c r="AJ7338" s="15">
        <f t="shared" si="1500"/>
        <v>0</v>
      </c>
      <c r="AK7338" s="14"/>
      <c r="AL7338" s="14"/>
      <c r="AM7338" s="14"/>
      <c r="AN7338" s="14"/>
      <c r="AO7338" s="14"/>
      <c r="AP7338" s="14"/>
      <c r="AQ7338" s="14"/>
      <c r="AR7338" s="14"/>
      <c r="AS7338" s="14">
        <v>400</v>
      </c>
      <c r="AT7338" s="14"/>
      <c r="AU7338" s="14"/>
      <c r="AV7338" s="14"/>
      <c r="AW7338" s="15">
        <f t="shared" si="1501"/>
        <v>400</v>
      </c>
      <c r="AX7338" s="16"/>
    </row>
    <row r="7339" spans="2:50" x14ac:dyDescent="0.2">
      <c r="B7339" s="7"/>
      <c r="C7339" s="8">
        <v>17371</v>
      </c>
      <c r="D7339" s="9" t="s">
        <v>523</v>
      </c>
      <c r="E7339" s="10" t="str">
        <f t="shared" si="1496"/>
        <v>Rancho Estanzuela No. 139</v>
      </c>
      <c r="F7339" s="10" t="str">
        <f t="shared" si="1497"/>
        <v xml:space="preserve">Ortiz   </v>
      </c>
      <c r="G7339" s="8">
        <v>1</v>
      </c>
      <c r="H7339" s="11">
        <v>400</v>
      </c>
      <c r="I7339" s="12">
        <v>43380</v>
      </c>
      <c r="J7339" s="35">
        <f t="shared" si="1498"/>
        <v>0</v>
      </c>
      <c r="K7339" s="36"/>
      <c r="L7339" s="36"/>
      <c r="M7339" s="36"/>
      <c r="N7339" s="36"/>
      <c r="O7339" s="36"/>
      <c r="P7339" s="36"/>
      <c r="Q7339" s="36"/>
      <c r="R7339" s="36"/>
      <c r="S7339" s="36"/>
      <c r="T7339" s="36"/>
      <c r="U7339" s="36"/>
      <c r="V7339" s="36"/>
      <c r="W7339" s="15">
        <f t="shared" si="1499"/>
        <v>0</v>
      </c>
      <c r="X7339" s="36"/>
      <c r="Y7339" s="36"/>
      <c r="Z7339" s="36"/>
      <c r="AA7339" s="36"/>
      <c r="AB7339" s="36"/>
      <c r="AC7339" s="36"/>
      <c r="AD7339" s="36"/>
      <c r="AE7339" s="36"/>
      <c r="AF7339" s="36"/>
      <c r="AG7339" s="36"/>
      <c r="AH7339" s="36"/>
      <c r="AI7339" s="36"/>
      <c r="AJ7339" s="15">
        <f t="shared" si="1500"/>
        <v>0</v>
      </c>
      <c r="AK7339" s="14"/>
      <c r="AL7339" s="14"/>
      <c r="AM7339" s="14"/>
      <c r="AN7339" s="14"/>
      <c r="AO7339" s="14"/>
      <c r="AP7339" s="14"/>
      <c r="AQ7339" s="14"/>
      <c r="AR7339" s="14"/>
      <c r="AS7339" s="14">
        <v>400</v>
      </c>
      <c r="AT7339" s="14"/>
      <c r="AU7339" s="14"/>
      <c r="AV7339" s="14"/>
      <c r="AW7339" s="15">
        <f t="shared" si="1501"/>
        <v>400</v>
      </c>
      <c r="AX7339" s="16"/>
    </row>
    <row r="7340" spans="2:50" x14ac:dyDescent="0.2">
      <c r="B7340" s="7"/>
      <c r="C7340" s="8">
        <v>17372</v>
      </c>
      <c r="D7340" s="9" t="s">
        <v>238</v>
      </c>
      <c r="E7340" s="10" t="str">
        <f t="shared" si="1496"/>
        <v>Rancho La Cuchilla No. 43, B</v>
      </c>
      <c r="F7340" s="10" t="str">
        <f t="shared" si="1497"/>
        <v>Luna Albertano</v>
      </c>
      <c r="G7340" s="8">
        <v>4</v>
      </c>
      <c r="H7340" s="11">
        <v>200</v>
      </c>
      <c r="I7340" s="12">
        <v>43380</v>
      </c>
      <c r="J7340" s="35">
        <f t="shared" si="1498"/>
        <v>0</v>
      </c>
      <c r="K7340" s="36"/>
      <c r="L7340" s="36"/>
      <c r="M7340" s="36"/>
      <c r="N7340" s="36"/>
      <c r="O7340" s="36"/>
      <c r="P7340" s="36"/>
      <c r="Q7340" s="36"/>
      <c r="R7340" s="36"/>
      <c r="S7340" s="36"/>
      <c r="T7340" s="36"/>
      <c r="U7340" s="36"/>
      <c r="V7340" s="36"/>
      <c r="W7340" s="15">
        <f t="shared" si="1499"/>
        <v>0</v>
      </c>
      <c r="X7340" s="36"/>
      <c r="Y7340" s="36"/>
      <c r="Z7340" s="36"/>
      <c r="AA7340" s="36"/>
      <c r="AB7340" s="36"/>
      <c r="AC7340" s="36"/>
      <c r="AD7340" s="36"/>
      <c r="AE7340" s="36"/>
      <c r="AF7340" s="36"/>
      <c r="AG7340" s="36"/>
      <c r="AH7340" s="36"/>
      <c r="AI7340" s="36"/>
      <c r="AJ7340" s="15">
        <f t="shared" si="1500"/>
        <v>0</v>
      </c>
      <c r="AK7340" s="14"/>
      <c r="AL7340" s="14"/>
      <c r="AM7340" s="14"/>
      <c r="AN7340" s="14"/>
      <c r="AO7340" s="14"/>
      <c r="AP7340" s="14"/>
      <c r="AQ7340" s="14"/>
      <c r="AR7340" s="14"/>
      <c r="AS7340" s="14"/>
      <c r="AT7340" s="14"/>
      <c r="AU7340" s="14"/>
      <c r="AV7340" s="14"/>
      <c r="AW7340" s="15">
        <f t="shared" si="1501"/>
        <v>0</v>
      </c>
      <c r="AX7340" s="16" t="s">
        <v>5679</v>
      </c>
    </row>
    <row r="7341" spans="2:50" x14ac:dyDescent="0.2">
      <c r="B7341" s="7"/>
      <c r="C7341" s="8">
        <v>17373</v>
      </c>
      <c r="D7341" s="9" t="s">
        <v>562</v>
      </c>
      <c r="E7341" s="10" t="str">
        <f t="shared" si="1496"/>
        <v>Rancho Upácuaro No. 87</v>
      </c>
      <c r="F7341" s="10" t="str">
        <f t="shared" si="1497"/>
        <v>Rodríguez Parés</v>
      </c>
      <c r="G7341" s="8">
        <v>1</v>
      </c>
      <c r="H7341" s="11">
        <v>400</v>
      </c>
      <c r="I7341" s="12">
        <v>43380</v>
      </c>
      <c r="J7341" s="35">
        <f t="shared" si="1498"/>
        <v>0</v>
      </c>
      <c r="K7341" s="36"/>
      <c r="L7341" s="36"/>
      <c r="M7341" s="36"/>
      <c r="N7341" s="36"/>
      <c r="O7341" s="36"/>
      <c r="P7341" s="36"/>
      <c r="Q7341" s="36"/>
      <c r="R7341" s="36"/>
      <c r="S7341" s="36"/>
      <c r="T7341" s="36"/>
      <c r="U7341" s="36"/>
      <c r="V7341" s="36"/>
      <c r="W7341" s="15">
        <f t="shared" si="1499"/>
        <v>0</v>
      </c>
      <c r="X7341" s="36"/>
      <c r="Y7341" s="36"/>
      <c r="Z7341" s="36"/>
      <c r="AA7341" s="36"/>
      <c r="AB7341" s="36"/>
      <c r="AC7341" s="36"/>
      <c r="AD7341" s="36"/>
      <c r="AE7341" s="36"/>
      <c r="AF7341" s="36"/>
      <c r="AG7341" s="36"/>
      <c r="AH7341" s="36"/>
      <c r="AI7341" s="36"/>
      <c r="AJ7341" s="15">
        <f t="shared" si="1500"/>
        <v>0</v>
      </c>
      <c r="AK7341" s="14"/>
      <c r="AL7341" s="14"/>
      <c r="AM7341" s="14"/>
      <c r="AN7341" s="14"/>
      <c r="AO7341" s="14"/>
      <c r="AP7341" s="14"/>
      <c r="AQ7341" s="14"/>
      <c r="AR7341" s="14"/>
      <c r="AS7341" s="14"/>
      <c r="AT7341" s="14">
        <v>400</v>
      </c>
      <c r="AU7341" s="14"/>
      <c r="AV7341" s="14"/>
      <c r="AW7341" s="15">
        <f t="shared" si="1501"/>
        <v>400</v>
      </c>
      <c r="AX7341" s="16"/>
    </row>
    <row r="7342" spans="2:50" x14ac:dyDescent="0.2">
      <c r="B7342" s="7"/>
      <c r="C7342" s="8">
        <v>17374</v>
      </c>
      <c r="D7342" s="9" t="s">
        <v>331</v>
      </c>
      <c r="E7342" s="10" t="str">
        <f t="shared" si="1496"/>
        <v>Rancho Recoveco No. 197</v>
      </c>
      <c r="F7342" s="10" t="str">
        <f t="shared" si="1497"/>
        <v>Colín González</v>
      </c>
      <c r="G7342" s="8">
        <v>1</v>
      </c>
      <c r="H7342" s="11">
        <v>400</v>
      </c>
      <c r="I7342" s="12">
        <v>43380</v>
      </c>
      <c r="J7342" s="35">
        <f t="shared" si="1498"/>
        <v>0</v>
      </c>
      <c r="K7342" s="36"/>
      <c r="L7342" s="36"/>
      <c r="M7342" s="36"/>
      <c r="N7342" s="36"/>
      <c r="O7342" s="36"/>
      <c r="P7342" s="36"/>
      <c r="Q7342" s="36"/>
      <c r="R7342" s="36"/>
      <c r="S7342" s="36"/>
      <c r="T7342" s="36"/>
      <c r="U7342" s="36"/>
      <c r="V7342" s="36"/>
      <c r="W7342" s="15">
        <f t="shared" si="1499"/>
        <v>0</v>
      </c>
      <c r="X7342" s="36"/>
      <c r="Y7342" s="36"/>
      <c r="Z7342" s="36"/>
      <c r="AA7342" s="36"/>
      <c r="AB7342" s="36"/>
      <c r="AC7342" s="36"/>
      <c r="AD7342" s="36"/>
      <c r="AE7342" s="36"/>
      <c r="AF7342" s="36"/>
      <c r="AG7342" s="36"/>
      <c r="AH7342" s="36"/>
      <c r="AI7342" s="36"/>
      <c r="AJ7342" s="15">
        <f t="shared" si="1500"/>
        <v>0</v>
      </c>
      <c r="AK7342" s="14"/>
      <c r="AL7342" s="14"/>
      <c r="AM7342" s="14"/>
      <c r="AN7342" s="14"/>
      <c r="AO7342" s="14"/>
      <c r="AP7342" s="14"/>
      <c r="AQ7342" s="14"/>
      <c r="AR7342" s="14"/>
      <c r="AS7342" s="14"/>
      <c r="AT7342" s="14">
        <v>400</v>
      </c>
      <c r="AU7342" s="14"/>
      <c r="AV7342" s="14"/>
      <c r="AW7342" s="15">
        <f t="shared" si="1501"/>
        <v>400</v>
      </c>
      <c r="AX7342" s="16"/>
    </row>
    <row r="7343" spans="2:50" x14ac:dyDescent="0.2">
      <c r="B7343" s="7"/>
      <c r="C7343" s="8">
        <v>17375</v>
      </c>
      <c r="D7343" s="9" t="s">
        <v>271</v>
      </c>
      <c r="E7343" s="10" t="str">
        <f t="shared" si="1496"/>
        <v>Rancho Landero No. 76</v>
      </c>
      <c r="F7343" s="10" t="str">
        <f t="shared" si="1497"/>
        <v>Ugarte</v>
      </c>
      <c r="G7343" s="8">
        <v>1</v>
      </c>
      <c r="H7343" s="11">
        <v>400</v>
      </c>
      <c r="I7343" s="12">
        <v>43380</v>
      </c>
      <c r="J7343" s="35">
        <f t="shared" si="1498"/>
        <v>0</v>
      </c>
      <c r="K7343" s="36"/>
      <c r="L7343" s="36"/>
      <c r="M7343" s="36"/>
      <c r="N7343" s="36"/>
      <c r="O7343" s="36"/>
      <c r="P7343" s="36"/>
      <c r="Q7343" s="36"/>
      <c r="R7343" s="36"/>
      <c r="S7343" s="36"/>
      <c r="T7343" s="36"/>
      <c r="U7343" s="36"/>
      <c r="V7343" s="36"/>
      <c r="W7343" s="15">
        <f t="shared" si="1499"/>
        <v>0</v>
      </c>
      <c r="X7343" s="36"/>
      <c r="Y7343" s="36"/>
      <c r="Z7343" s="36"/>
      <c r="AA7343" s="36"/>
      <c r="AB7343" s="36"/>
      <c r="AC7343" s="36"/>
      <c r="AD7343" s="36"/>
      <c r="AE7343" s="36"/>
      <c r="AF7343" s="36"/>
      <c r="AG7343" s="36"/>
      <c r="AH7343" s="36"/>
      <c r="AI7343" s="36"/>
      <c r="AJ7343" s="15">
        <f t="shared" si="1500"/>
        <v>0</v>
      </c>
      <c r="AK7343" s="14"/>
      <c r="AL7343" s="14"/>
      <c r="AM7343" s="14"/>
      <c r="AN7343" s="14"/>
      <c r="AO7343" s="14"/>
      <c r="AP7343" s="14"/>
      <c r="AQ7343" s="14"/>
      <c r="AR7343" s="14"/>
      <c r="AS7343" s="14"/>
      <c r="AT7343" s="14">
        <v>400</v>
      </c>
      <c r="AU7343" s="14"/>
      <c r="AV7343" s="14"/>
      <c r="AW7343" s="15">
        <f t="shared" si="1501"/>
        <v>400</v>
      </c>
      <c r="AX7343" s="16"/>
    </row>
    <row r="7344" spans="2:50" x14ac:dyDescent="0.2">
      <c r="B7344" s="7"/>
      <c r="C7344" s="8">
        <v>17376</v>
      </c>
      <c r="D7344" s="9" t="s">
        <v>434</v>
      </c>
      <c r="E7344" s="10" t="str">
        <f t="shared" si="1496"/>
        <v>Rancho La Cuchilla No. 55</v>
      </c>
      <c r="F7344" s="10" t="str">
        <f t="shared" si="1497"/>
        <v>López Velázquez</v>
      </c>
      <c r="G7344" s="8">
        <v>1</v>
      </c>
      <c r="H7344" s="11">
        <v>1200</v>
      </c>
      <c r="I7344" s="12">
        <v>43380</v>
      </c>
      <c r="J7344" s="35">
        <f t="shared" si="1498"/>
        <v>0</v>
      </c>
      <c r="K7344" s="36"/>
      <c r="L7344" s="36"/>
      <c r="M7344" s="36"/>
      <c r="N7344" s="36"/>
      <c r="O7344" s="36"/>
      <c r="P7344" s="36"/>
      <c r="Q7344" s="36"/>
      <c r="R7344" s="36"/>
      <c r="S7344" s="36"/>
      <c r="T7344" s="36"/>
      <c r="U7344" s="36"/>
      <c r="V7344" s="36"/>
      <c r="W7344" s="15">
        <f t="shared" si="1499"/>
        <v>0</v>
      </c>
      <c r="X7344" s="36"/>
      <c r="Y7344" s="36"/>
      <c r="Z7344" s="36"/>
      <c r="AA7344" s="36"/>
      <c r="AB7344" s="36"/>
      <c r="AC7344" s="36"/>
      <c r="AD7344" s="36"/>
      <c r="AE7344" s="36"/>
      <c r="AF7344" s="36"/>
      <c r="AG7344" s="36"/>
      <c r="AH7344" s="36"/>
      <c r="AI7344" s="36"/>
      <c r="AJ7344" s="15">
        <f t="shared" si="1500"/>
        <v>0</v>
      </c>
      <c r="AK7344" s="14"/>
      <c r="AL7344" s="14"/>
      <c r="AM7344" s="14"/>
      <c r="AN7344" s="14"/>
      <c r="AO7344" s="14"/>
      <c r="AP7344" s="14"/>
      <c r="AQ7344" s="14"/>
      <c r="AR7344" s="14"/>
      <c r="AS7344" s="14"/>
      <c r="AT7344" s="14">
        <v>400</v>
      </c>
      <c r="AU7344" s="14">
        <v>400</v>
      </c>
      <c r="AV7344" s="14">
        <v>400</v>
      </c>
      <c r="AW7344" s="15">
        <f t="shared" si="1501"/>
        <v>1200</v>
      </c>
      <c r="AX7344" s="16"/>
    </row>
    <row r="7345" spans="2:50" x14ac:dyDescent="0.2">
      <c r="B7345" s="7"/>
      <c r="C7345" s="8">
        <v>17377</v>
      </c>
      <c r="D7345" s="9" t="s">
        <v>328</v>
      </c>
      <c r="E7345" s="10" t="str">
        <f t="shared" si="1496"/>
        <v>Rancho La Cuchilla No. 130</v>
      </c>
      <c r="F7345" s="10" t="str">
        <f t="shared" si="1497"/>
        <v>Gonzalez</v>
      </c>
      <c r="G7345" s="8">
        <v>1</v>
      </c>
      <c r="H7345" s="11">
        <v>400</v>
      </c>
      <c r="I7345" s="12">
        <v>43380</v>
      </c>
      <c r="J7345" s="35">
        <f t="shared" si="1498"/>
        <v>0</v>
      </c>
      <c r="K7345" s="36"/>
      <c r="L7345" s="36"/>
      <c r="M7345" s="36"/>
      <c r="N7345" s="36"/>
      <c r="O7345" s="36"/>
      <c r="P7345" s="36"/>
      <c r="Q7345" s="36"/>
      <c r="R7345" s="36"/>
      <c r="S7345" s="36"/>
      <c r="T7345" s="36"/>
      <c r="U7345" s="36"/>
      <c r="V7345" s="36"/>
      <c r="W7345" s="15">
        <f t="shared" si="1499"/>
        <v>0</v>
      </c>
      <c r="X7345" s="36"/>
      <c r="Y7345" s="36"/>
      <c r="Z7345" s="36"/>
      <c r="AA7345" s="36"/>
      <c r="AB7345" s="36"/>
      <c r="AC7345" s="36"/>
      <c r="AD7345" s="36"/>
      <c r="AE7345" s="36"/>
      <c r="AF7345" s="36"/>
      <c r="AG7345" s="36"/>
      <c r="AH7345" s="36"/>
      <c r="AI7345" s="36"/>
      <c r="AJ7345" s="15">
        <f t="shared" si="1500"/>
        <v>0</v>
      </c>
      <c r="AK7345" s="14"/>
      <c r="AL7345" s="14"/>
      <c r="AM7345" s="14"/>
      <c r="AN7345" s="14"/>
      <c r="AO7345" s="14"/>
      <c r="AP7345" s="14"/>
      <c r="AQ7345" s="14"/>
      <c r="AR7345" s="14"/>
      <c r="AS7345" s="14"/>
      <c r="AT7345" s="14">
        <v>400</v>
      </c>
      <c r="AU7345" s="14"/>
      <c r="AV7345" s="14"/>
      <c r="AW7345" s="15">
        <f t="shared" si="1501"/>
        <v>400</v>
      </c>
      <c r="AX7345" s="16"/>
    </row>
    <row r="7346" spans="2:50" x14ac:dyDescent="0.2">
      <c r="B7346" s="7"/>
      <c r="C7346" s="8">
        <v>17378</v>
      </c>
      <c r="D7346" s="9" t="s">
        <v>97</v>
      </c>
      <c r="E7346" s="10" t="str">
        <f t="shared" si="1496"/>
        <v>Rancho La Cuchilla No. 78</v>
      </c>
      <c r="F7346" s="10" t="str">
        <f t="shared" si="1497"/>
        <v>García</v>
      </c>
      <c r="G7346" s="8">
        <v>1</v>
      </c>
      <c r="H7346" s="11">
        <v>400</v>
      </c>
      <c r="I7346" s="12">
        <v>43380</v>
      </c>
      <c r="J7346" s="35">
        <f t="shared" si="1498"/>
        <v>0</v>
      </c>
      <c r="K7346" s="36"/>
      <c r="L7346" s="36"/>
      <c r="M7346" s="36"/>
      <c r="N7346" s="36"/>
      <c r="O7346" s="36"/>
      <c r="P7346" s="36"/>
      <c r="Q7346" s="36"/>
      <c r="R7346" s="36"/>
      <c r="S7346" s="36"/>
      <c r="T7346" s="36"/>
      <c r="U7346" s="36"/>
      <c r="V7346" s="36"/>
      <c r="W7346" s="15">
        <f t="shared" si="1499"/>
        <v>0</v>
      </c>
      <c r="X7346" s="36"/>
      <c r="Y7346" s="36"/>
      <c r="Z7346" s="36"/>
      <c r="AA7346" s="36"/>
      <c r="AB7346" s="36"/>
      <c r="AC7346" s="36"/>
      <c r="AD7346" s="36"/>
      <c r="AE7346" s="36"/>
      <c r="AF7346" s="36"/>
      <c r="AG7346" s="36"/>
      <c r="AH7346" s="36"/>
      <c r="AI7346" s="36"/>
      <c r="AJ7346" s="15">
        <f t="shared" si="1500"/>
        <v>0</v>
      </c>
      <c r="AK7346" s="14"/>
      <c r="AL7346" s="14"/>
      <c r="AM7346" s="14"/>
      <c r="AN7346" s="14"/>
      <c r="AO7346" s="14"/>
      <c r="AP7346" s="14"/>
      <c r="AQ7346" s="14"/>
      <c r="AR7346" s="14"/>
      <c r="AS7346" s="14"/>
      <c r="AT7346" s="14">
        <v>400</v>
      </c>
      <c r="AU7346" s="14"/>
      <c r="AV7346" s="14"/>
      <c r="AW7346" s="15">
        <f t="shared" si="1501"/>
        <v>400</v>
      </c>
      <c r="AX7346" s="16"/>
    </row>
    <row r="7347" spans="2:50" x14ac:dyDescent="0.2">
      <c r="B7347" s="7"/>
      <c r="C7347" s="8">
        <v>17379</v>
      </c>
      <c r="D7347" s="9" t="s">
        <v>1017</v>
      </c>
      <c r="E7347" s="10" t="str">
        <f t="shared" si="1496"/>
        <v>Rancho Estanzuela No. 119, 3</v>
      </c>
      <c r="F7347" s="10" t="str">
        <f t="shared" si="1497"/>
        <v>Montecillo</v>
      </c>
      <c r="G7347" s="8">
        <v>1</v>
      </c>
      <c r="H7347" s="11">
        <v>250</v>
      </c>
      <c r="I7347" s="12">
        <v>43380</v>
      </c>
      <c r="J7347" s="35">
        <f t="shared" si="1498"/>
        <v>0</v>
      </c>
      <c r="K7347" s="36"/>
      <c r="L7347" s="36"/>
      <c r="M7347" s="36"/>
      <c r="N7347" s="36"/>
      <c r="O7347" s="36"/>
      <c r="P7347" s="36"/>
      <c r="Q7347" s="36"/>
      <c r="R7347" s="36"/>
      <c r="S7347" s="36"/>
      <c r="T7347" s="36"/>
      <c r="U7347" s="36"/>
      <c r="V7347" s="36"/>
      <c r="W7347" s="15">
        <f t="shared" si="1499"/>
        <v>0</v>
      </c>
      <c r="X7347" s="36"/>
      <c r="Y7347" s="36"/>
      <c r="Z7347" s="36"/>
      <c r="AA7347" s="36"/>
      <c r="AB7347" s="36"/>
      <c r="AC7347" s="36"/>
      <c r="AD7347" s="36"/>
      <c r="AE7347" s="36"/>
      <c r="AF7347" s="36"/>
      <c r="AG7347" s="36"/>
      <c r="AH7347" s="36"/>
      <c r="AI7347" s="36"/>
      <c r="AJ7347" s="15">
        <f t="shared" si="1500"/>
        <v>0</v>
      </c>
      <c r="AK7347" s="14"/>
      <c r="AL7347" s="14"/>
      <c r="AM7347" s="14"/>
      <c r="AN7347" s="14"/>
      <c r="AO7347" s="14"/>
      <c r="AP7347" s="14"/>
      <c r="AQ7347" s="14"/>
      <c r="AR7347" s="14"/>
      <c r="AS7347" s="14"/>
      <c r="AT7347" s="14">
        <v>250</v>
      </c>
      <c r="AU7347" s="14"/>
      <c r="AV7347" s="14"/>
      <c r="AW7347" s="15">
        <f t="shared" si="1501"/>
        <v>250</v>
      </c>
      <c r="AX7347" s="16"/>
    </row>
    <row r="7348" spans="2:50" x14ac:dyDescent="0.2">
      <c r="B7348" s="7"/>
      <c r="C7348" s="8">
        <v>17380</v>
      </c>
      <c r="D7348" s="9" t="s">
        <v>965</v>
      </c>
      <c r="E7348" s="10" t="str">
        <f t="shared" si="1496"/>
        <v>Rancho La Cuchilla No. 52</v>
      </c>
      <c r="F7348" s="10" t="str">
        <f t="shared" si="1497"/>
        <v>Velázquez</v>
      </c>
      <c r="G7348" s="8">
        <v>1</v>
      </c>
      <c r="H7348" s="11">
        <v>800</v>
      </c>
      <c r="I7348" s="12">
        <v>43380</v>
      </c>
      <c r="J7348" s="35">
        <f t="shared" si="1498"/>
        <v>0</v>
      </c>
      <c r="K7348" s="36"/>
      <c r="L7348" s="36"/>
      <c r="M7348" s="36"/>
      <c r="N7348" s="36"/>
      <c r="O7348" s="36"/>
      <c r="P7348" s="36"/>
      <c r="Q7348" s="36"/>
      <c r="R7348" s="36"/>
      <c r="S7348" s="36"/>
      <c r="T7348" s="36"/>
      <c r="U7348" s="36"/>
      <c r="V7348" s="36"/>
      <c r="W7348" s="15">
        <f t="shared" si="1499"/>
        <v>0</v>
      </c>
      <c r="X7348" s="36"/>
      <c r="Y7348" s="36"/>
      <c r="Z7348" s="36"/>
      <c r="AA7348" s="36"/>
      <c r="AB7348" s="36"/>
      <c r="AC7348" s="36"/>
      <c r="AD7348" s="36"/>
      <c r="AE7348" s="36"/>
      <c r="AF7348" s="36"/>
      <c r="AG7348" s="36"/>
      <c r="AH7348" s="36"/>
      <c r="AI7348" s="36"/>
      <c r="AJ7348" s="15">
        <f t="shared" si="1500"/>
        <v>0</v>
      </c>
      <c r="AK7348" s="14"/>
      <c r="AL7348" s="14"/>
      <c r="AM7348" s="14"/>
      <c r="AN7348" s="14"/>
      <c r="AO7348" s="14"/>
      <c r="AP7348" s="14"/>
      <c r="AQ7348" s="14">
        <v>400</v>
      </c>
      <c r="AR7348" s="14">
        <v>400</v>
      </c>
      <c r="AS7348" s="14"/>
      <c r="AT7348" s="14"/>
      <c r="AU7348" s="14"/>
      <c r="AV7348" s="14"/>
      <c r="AW7348" s="15">
        <f t="shared" si="1501"/>
        <v>800</v>
      </c>
      <c r="AX7348" s="16"/>
    </row>
    <row r="7349" spans="2:50" x14ac:dyDescent="0.2">
      <c r="B7349" s="7"/>
      <c r="C7349" s="8">
        <v>17381</v>
      </c>
      <c r="D7349" s="9" t="s">
        <v>226</v>
      </c>
      <c r="E7349" s="10" t="str">
        <f t="shared" si="1496"/>
        <v>Rancho Landero No. 31</v>
      </c>
      <c r="F7349" s="10" t="str">
        <f t="shared" si="1497"/>
        <v>Díaz Hernández</v>
      </c>
      <c r="G7349" s="8">
        <v>1</v>
      </c>
      <c r="H7349" s="11">
        <v>200</v>
      </c>
      <c r="I7349" s="12">
        <v>43380</v>
      </c>
      <c r="J7349" s="35">
        <f t="shared" si="1498"/>
        <v>0</v>
      </c>
      <c r="K7349" s="36"/>
      <c r="L7349" s="36"/>
      <c r="M7349" s="36"/>
      <c r="N7349" s="36"/>
      <c r="O7349" s="36"/>
      <c r="P7349" s="36"/>
      <c r="Q7349" s="36"/>
      <c r="R7349" s="36"/>
      <c r="S7349" s="36"/>
      <c r="T7349" s="36"/>
      <c r="U7349" s="36"/>
      <c r="V7349" s="36"/>
      <c r="W7349" s="15">
        <f t="shared" si="1499"/>
        <v>0</v>
      </c>
      <c r="X7349" s="36"/>
      <c r="Y7349" s="36"/>
      <c r="Z7349" s="36"/>
      <c r="AA7349" s="36"/>
      <c r="AB7349" s="36"/>
      <c r="AC7349" s="36"/>
      <c r="AD7349" s="36"/>
      <c r="AE7349" s="36"/>
      <c r="AF7349" s="36"/>
      <c r="AG7349" s="36"/>
      <c r="AH7349" s="36"/>
      <c r="AI7349" s="36"/>
      <c r="AJ7349" s="15">
        <f t="shared" si="1500"/>
        <v>0</v>
      </c>
      <c r="AK7349" s="14"/>
      <c r="AL7349" s="14"/>
      <c r="AM7349" s="14"/>
      <c r="AN7349" s="14"/>
      <c r="AO7349" s="14"/>
      <c r="AP7349" s="14"/>
      <c r="AQ7349" s="14"/>
      <c r="AR7349" s="14"/>
      <c r="AS7349" s="14"/>
      <c r="AT7349" s="14">
        <v>200</v>
      </c>
      <c r="AU7349" s="14"/>
      <c r="AV7349" s="14"/>
      <c r="AW7349" s="15">
        <f t="shared" si="1501"/>
        <v>200</v>
      </c>
      <c r="AX7349" s="16"/>
    </row>
    <row r="7350" spans="2:50" x14ac:dyDescent="0.2">
      <c r="B7350" s="7"/>
      <c r="C7350" s="8">
        <v>17382</v>
      </c>
      <c r="D7350" s="9" t="s">
        <v>171</v>
      </c>
      <c r="E7350" s="10" t="str">
        <f t="shared" si="1496"/>
        <v>Rancho La Cuchilla No. 72</v>
      </c>
      <c r="F7350" s="10" t="str">
        <f t="shared" si="1497"/>
        <v>Ortiz González</v>
      </c>
      <c r="G7350" s="8">
        <v>1</v>
      </c>
      <c r="H7350" s="11">
        <v>400</v>
      </c>
      <c r="I7350" s="12">
        <v>43380</v>
      </c>
      <c r="J7350" s="35">
        <f t="shared" si="1498"/>
        <v>0</v>
      </c>
      <c r="K7350" s="36"/>
      <c r="L7350" s="36"/>
      <c r="M7350" s="36"/>
      <c r="N7350" s="36"/>
      <c r="O7350" s="36"/>
      <c r="P7350" s="36"/>
      <c r="Q7350" s="36"/>
      <c r="R7350" s="36"/>
      <c r="S7350" s="36"/>
      <c r="T7350" s="36"/>
      <c r="U7350" s="36"/>
      <c r="V7350" s="36"/>
      <c r="W7350" s="15">
        <f t="shared" si="1499"/>
        <v>0</v>
      </c>
      <c r="X7350" s="36"/>
      <c r="Y7350" s="36"/>
      <c r="Z7350" s="36"/>
      <c r="AA7350" s="36"/>
      <c r="AB7350" s="36"/>
      <c r="AC7350" s="36"/>
      <c r="AD7350" s="36"/>
      <c r="AE7350" s="36"/>
      <c r="AF7350" s="36"/>
      <c r="AG7350" s="36"/>
      <c r="AH7350" s="36"/>
      <c r="AI7350" s="36"/>
      <c r="AJ7350" s="15">
        <f t="shared" si="1500"/>
        <v>0</v>
      </c>
      <c r="AK7350" s="14"/>
      <c r="AL7350" s="14"/>
      <c r="AM7350" s="14"/>
      <c r="AN7350" s="14"/>
      <c r="AO7350" s="14"/>
      <c r="AP7350" s="14"/>
      <c r="AQ7350" s="14"/>
      <c r="AR7350" s="14"/>
      <c r="AS7350" s="14"/>
      <c r="AT7350" s="14">
        <v>400</v>
      </c>
      <c r="AU7350" s="14"/>
      <c r="AV7350" s="14"/>
      <c r="AW7350" s="15">
        <f t="shared" si="1501"/>
        <v>400</v>
      </c>
      <c r="AX7350" s="16"/>
    </row>
    <row r="7351" spans="2:50" x14ac:dyDescent="0.2">
      <c r="B7351" s="7"/>
      <c r="C7351" s="8">
        <v>17383</v>
      </c>
      <c r="D7351" s="9" t="s">
        <v>292</v>
      </c>
      <c r="E7351" s="10" t="str">
        <f t="shared" si="1496"/>
        <v>Rancho Upácuaro No. 140</v>
      </c>
      <c r="F7351" s="10" t="str">
        <f t="shared" si="1497"/>
        <v>Gozain</v>
      </c>
      <c r="G7351" s="8">
        <v>1</v>
      </c>
      <c r="H7351" s="11">
        <v>400</v>
      </c>
      <c r="I7351" s="12">
        <v>43380</v>
      </c>
      <c r="J7351" s="35">
        <f t="shared" si="1498"/>
        <v>0</v>
      </c>
      <c r="K7351" s="36"/>
      <c r="L7351" s="36"/>
      <c r="M7351" s="36"/>
      <c r="N7351" s="36"/>
      <c r="O7351" s="36"/>
      <c r="P7351" s="36"/>
      <c r="Q7351" s="36"/>
      <c r="R7351" s="36"/>
      <c r="S7351" s="36"/>
      <c r="T7351" s="36"/>
      <c r="U7351" s="36"/>
      <c r="V7351" s="36"/>
      <c r="W7351" s="15">
        <f t="shared" si="1499"/>
        <v>0</v>
      </c>
      <c r="X7351" s="36"/>
      <c r="Y7351" s="36"/>
      <c r="Z7351" s="36"/>
      <c r="AA7351" s="36"/>
      <c r="AB7351" s="36"/>
      <c r="AC7351" s="36"/>
      <c r="AD7351" s="36"/>
      <c r="AE7351" s="36"/>
      <c r="AF7351" s="36"/>
      <c r="AG7351" s="36"/>
      <c r="AH7351" s="36"/>
      <c r="AI7351" s="36"/>
      <c r="AJ7351" s="15">
        <f t="shared" si="1500"/>
        <v>0</v>
      </c>
      <c r="AK7351" s="14"/>
      <c r="AL7351" s="14"/>
      <c r="AM7351" s="14"/>
      <c r="AN7351" s="14"/>
      <c r="AO7351" s="14"/>
      <c r="AP7351" s="14"/>
      <c r="AQ7351" s="14"/>
      <c r="AR7351" s="14"/>
      <c r="AS7351" s="14"/>
      <c r="AT7351" s="14">
        <v>400</v>
      </c>
      <c r="AU7351" s="14"/>
      <c r="AV7351" s="14"/>
      <c r="AW7351" s="15">
        <f t="shared" si="1501"/>
        <v>400</v>
      </c>
      <c r="AX7351" s="16"/>
    </row>
    <row r="7352" spans="2:50" x14ac:dyDescent="0.2">
      <c r="B7352" s="7"/>
      <c r="C7352" s="8">
        <v>17384</v>
      </c>
      <c r="D7352" s="9" t="s">
        <v>620</v>
      </c>
      <c r="E7352" s="10" t="str">
        <f t="shared" si="1496"/>
        <v>Rancho La Cuchilla No. 32</v>
      </c>
      <c r="F7352" s="10" t="str">
        <f t="shared" si="1497"/>
        <v>Hernández</v>
      </c>
      <c r="G7352" s="8">
        <v>1</v>
      </c>
      <c r="H7352" s="11">
        <v>400</v>
      </c>
      <c r="I7352" s="12">
        <v>43380</v>
      </c>
      <c r="J7352" s="35">
        <f t="shared" si="1498"/>
        <v>0</v>
      </c>
      <c r="K7352" s="36"/>
      <c r="L7352" s="36"/>
      <c r="M7352" s="36"/>
      <c r="N7352" s="36"/>
      <c r="O7352" s="36"/>
      <c r="P7352" s="36"/>
      <c r="Q7352" s="36"/>
      <c r="R7352" s="36"/>
      <c r="S7352" s="36"/>
      <c r="T7352" s="36"/>
      <c r="U7352" s="36"/>
      <c r="V7352" s="36"/>
      <c r="W7352" s="15">
        <f t="shared" si="1499"/>
        <v>0</v>
      </c>
      <c r="X7352" s="36"/>
      <c r="Y7352" s="36"/>
      <c r="Z7352" s="36"/>
      <c r="AA7352" s="36"/>
      <c r="AB7352" s="36"/>
      <c r="AC7352" s="36"/>
      <c r="AD7352" s="36"/>
      <c r="AE7352" s="36"/>
      <c r="AF7352" s="36"/>
      <c r="AG7352" s="36"/>
      <c r="AH7352" s="36"/>
      <c r="AI7352" s="36"/>
      <c r="AJ7352" s="15">
        <f t="shared" si="1500"/>
        <v>0</v>
      </c>
      <c r="AK7352" s="14"/>
      <c r="AL7352" s="14"/>
      <c r="AM7352" s="14"/>
      <c r="AN7352" s="14"/>
      <c r="AO7352" s="14"/>
      <c r="AP7352" s="14"/>
      <c r="AQ7352" s="14"/>
      <c r="AR7352" s="14"/>
      <c r="AS7352" s="14">
        <v>400</v>
      </c>
      <c r="AT7352" s="14"/>
      <c r="AU7352" s="14"/>
      <c r="AV7352" s="14"/>
      <c r="AW7352" s="15">
        <f t="shared" si="1501"/>
        <v>400</v>
      </c>
      <c r="AX7352" s="16"/>
    </row>
    <row r="7353" spans="2:50" x14ac:dyDescent="0.2">
      <c r="B7353" s="7"/>
      <c r="C7353" s="8">
        <v>17385</v>
      </c>
      <c r="D7353" s="9" t="s">
        <v>488</v>
      </c>
      <c r="E7353" s="10" t="str">
        <f t="shared" si="1496"/>
        <v>Rancho Landero No. 85</v>
      </c>
      <c r="F7353" s="10" t="str">
        <f t="shared" si="1497"/>
        <v>Martínez Olague</v>
      </c>
      <c r="G7353" s="8">
        <v>1</v>
      </c>
      <c r="H7353" s="11">
        <v>400</v>
      </c>
      <c r="I7353" s="12">
        <v>43380</v>
      </c>
      <c r="J7353" s="35">
        <f t="shared" si="1498"/>
        <v>0</v>
      </c>
      <c r="K7353" s="36"/>
      <c r="L7353" s="36"/>
      <c r="M7353" s="36"/>
      <c r="N7353" s="36"/>
      <c r="O7353" s="36"/>
      <c r="P7353" s="36"/>
      <c r="Q7353" s="36"/>
      <c r="R7353" s="36"/>
      <c r="S7353" s="36"/>
      <c r="T7353" s="36"/>
      <c r="U7353" s="36"/>
      <c r="V7353" s="36"/>
      <c r="W7353" s="15">
        <f t="shared" si="1499"/>
        <v>0</v>
      </c>
      <c r="X7353" s="36"/>
      <c r="Y7353" s="36"/>
      <c r="Z7353" s="36"/>
      <c r="AA7353" s="36"/>
      <c r="AB7353" s="36"/>
      <c r="AC7353" s="36"/>
      <c r="AD7353" s="36"/>
      <c r="AE7353" s="36"/>
      <c r="AF7353" s="36"/>
      <c r="AG7353" s="36"/>
      <c r="AH7353" s="36"/>
      <c r="AI7353" s="36"/>
      <c r="AJ7353" s="15">
        <f t="shared" si="1500"/>
        <v>0</v>
      </c>
      <c r="AK7353" s="14"/>
      <c r="AL7353" s="14"/>
      <c r="AM7353" s="14"/>
      <c r="AN7353" s="14"/>
      <c r="AO7353" s="14"/>
      <c r="AP7353" s="14"/>
      <c r="AQ7353" s="14"/>
      <c r="AR7353" s="14"/>
      <c r="AS7353" s="14">
        <v>400</v>
      </c>
      <c r="AT7353" s="14"/>
      <c r="AU7353" s="14"/>
      <c r="AV7353" s="14"/>
      <c r="AW7353" s="15">
        <f t="shared" si="1501"/>
        <v>400</v>
      </c>
      <c r="AX7353" s="16"/>
    </row>
    <row r="7354" spans="2:50" x14ac:dyDescent="0.2">
      <c r="B7354" s="7"/>
      <c r="C7354" s="8">
        <v>17386</v>
      </c>
      <c r="D7354" s="9" t="s">
        <v>123</v>
      </c>
      <c r="E7354" s="10" t="str">
        <f t="shared" si="1496"/>
        <v>Rancho Recoveco No. 175, B</v>
      </c>
      <c r="F7354" s="10" t="str">
        <f t="shared" si="1497"/>
        <v>García Calderón</v>
      </c>
      <c r="G7354" s="8">
        <v>1</v>
      </c>
      <c r="H7354" s="11">
        <v>250</v>
      </c>
      <c r="I7354" s="12">
        <v>43380</v>
      </c>
      <c r="J7354" s="35">
        <f t="shared" si="1498"/>
        <v>0</v>
      </c>
      <c r="K7354" s="36"/>
      <c r="L7354" s="36"/>
      <c r="M7354" s="36"/>
      <c r="N7354" s="36"/>
      <c r="O7354" s="36"/>
      <c r="P7354" s="36"/>
      <c r="Q7354" s="36"/>
      <c r="R7354" s="36"/>
      <c r="S7354" s="36"/>
      <c r="T7354" s="36"/>
      <c r="U7354" s="36"/>
      <c r="V7354" s="36"/>
      <c r="W7354" s="15">
        <f t="shared" si="1499"/>
        <v>0</v>
      </c>
      <c r="X7354" s="36"/>
      <c r="Y7354" s="36"/>
      <c r="Z7354" s="36"/>
      <c r="AA7354" s="36"/>
      <c r="AB7354" s="36"/>
      <c r="AC7354" s="36"/>
      <c r="AD7354" s="36"/>
      <c r="AE7354" s="36"/>
      <c r="AF7354" s="36"/>
      <c r="AG7354" s="36"/>
      <c r="AH7354" s="36"/>
      <c r="AI7354" s="36"/>
      <c r="AJ7354" s="15">
        <f t="shared" si="1500"/>
        <v>0</v>
      </c>
      <c r="AK7354" s="14"/>
      <c r="AL7354" s="14"/>
      <c r="AM7354" s="14"/>
      <c r="AN7354" s="14"/>
      <c r="AO7354" s="14"/>
      <c r="AP7354" s="14"/>
      <c r="AQ7354" s="14"/>
      <c r="AR7354" s="14"/>
      <c r="AS7354" s="14"/>
      <c r="AT7354" s="14">
        <v>250</v>
      </c>
      <c r="AU7354" s="14"/>
      <c r="AV7354" s="14"/>
      <c r="AW7354" s="15">
        <f t="shared" si="1501"/>
        <v>250</v>
      </c>
      <c r="AX7354" s="16"/>
    </row>
    <row r="7355" spans="2:50" x14ac:dyDescent="0.2">
      <c r="B7355" s="7"/>
      <c r="C7355" s="8">
        <v>17387</v>
      </c>
      <c r="D7355" s="9" t="s">
        <v>571</v>
      </c>
      <c r="E7355" s="10" t="str">
        <f t="shared" si="1496"/>
        <v>Rancho Estanzuela No. 15, A</v>
      </c>
      <c r="F7355" s="10" t="str">
        <f t="shared" si="1497"/>
        <v>González</v>
      </c>
      <c r="G7355" s="8">
        <v>1</v>
      </c>
      <c r="H7355" s="11">
        <v>200</v>
      </c>
      <c r="I7355" s="12">
        <v>43380</v>
      </c>
      <c r="J7355" s="35">
        <f t="shared" si="1498"/>
        <v>0</v>
      </c>
      <c r="K7355" s="36"/>
      <c r="L7355" s="36"/>
      <c r="M7355" s="36"/>
      <c r="N7355" s="36"/>
      <c r="O7355" s="36"/>
      <c r="P7355" s="36"/>
      <c r="Q7355" s="36"/>
      <c r="R7355" s="36"/>
      <c r="S7355" s="36"/>
      <c r="T7355" s="36"/>
      <c r="U7355" s="36"/>
      <c r="V7355" s="36"/>
      <c r="W7355" s="15">
        <f t="shared" si="1499"/>
        <v>0</v>
      </c>
      <c r="X7355" s="36"/>
      <c r="Y7355" s="36"/>
      <c r="Z7355" s="36"/>
      <c r="AA7355" s="36"/>
      <c r="AB7355" s="36"/>
      <c r="AC7355" s="36"/>
      <c r="AD7355" s="36"/>
      <c r="AE7355" s="36"/>
      <c r="AF7355" s="36"/>
      <c r="AG7355" s="36"/>
      <c r="AH7355" s="36"/>
      <c r="AI7355" s="36"/>
      <c r="AJ7355" s="15">
        <f t="shared" si="1500"/>
        <v>0</v>
      </c>
      <c r="AK7355" s="14"/>
      <c r="AL7355" s="14"/>
      <c r="AM7355" s="14"/>
      <c r="AN7355" s="14"/>
      <c r="AO7355" s="14"/>
      <c r="AP7355" s="14"/>
      <c r="AQ7355" s="14"/>
      <c r="AR7355" s="14"/>
      <c r="AS7355" s="14">
        <v>200</v>
      </c>
      <c r="AT7355" s="14"/>
      <c r="AU7355" s="14"/>
      <c r="AV7355" s="14"/>
      <c r="AW7355" s="15">
        <f t="shared" si="1501"/>
        <v>200</v>
      </c>
      <c r="AX7355" s="16"/>
    </row>
    <row r="7356" spans="2:50" x14ac:dyDescent="0.2">
      <c r="B7356" s="7"/>
      <c r="C7356" s="8">
        <v>17388</v>
      </c>
      <c r="D7356" s="9" t="s">
        <v>313</v>
      </c>
      <c r="E7356" s="10" t="str">
        <f t="shared" si="1496"/>
        <v>Rancho La Cuchilla No. 87</v>
      </c>
      <c r="F7356" s="10" t="str">
        <f t="shared" si="1497"/>
        <v>Villanueva S.</v>
      </c>
      <c r="G7356" s="8">
        <v>1</v>
      </c>
      <c r="H7356" s="11">
        <v>400</v>
      </c>
      <c r="I7356" s="12">
        <v>43380</v>
      </c>
      <c r="J7356" s="35">
        <f t="shared" si="1498"/>
        <v>0</v>
      </c>
      <c r="K7356" s="36"/>
      <c r="L7356" s="36"/>
      <c r="M7356" s="36"/>
      <c r="N7356" s="36"/>
      <c r="O7356" s="36"/>
      <c r="P7356" s="36"/>
      <c r="Q7356" s="36"/>
      <c r="R7356" s="36"/>
      <c r="S7356" s="36"/>
      <c r="T7356" s="36"/>
      <c r="U7356" s="36"/>
      <c r="V7356" s="36"/>
      <c r="W7356" s="15">
        <f t="shared" si="1499"/>
        <v>0</v>
      </c>
      <c r="X7356" s="36"/>
      <c r="Y7356" s="36"/>
      <c r="Z7356" s="36"/>
      <c r="AA7356" s="36"/>
      <c r="AB7356" s="36"/>
      <c r="AC7356" s="36"/>
      <c r="AD7356" s="36"/>
      <c r="AE7356" s="36"/>
      <c r="AF7356" s="36"/>
      <c r="AG7356" s="36"/>
      <c r="AH7356" s="36"/>
      <c r="AI7356" s="36"/>
      <c r="AJ7356" s="15">
        <f t="shared" si="1500"/>
        <v>0</v>
      </c>
      <c r="AK7356" s="14"/>
      <c r="AL7356" s="14"/>
      <c r="AM7356" s="14"/>
      <c r="AN7356" s="14"/>
      <c r="AO7356" s="14"/>
      <c r="AP7356" s="14"/>
      <c r="AQ7356" s="14"/>
      <c r="AR7356" s="14"/>
      <c r="AS7356" s="14"/>
      <c r="AT7356" s="14">
        <v>400</v>
      </c>
      <c r="AU7356" s="14"/>
      <c r="AV7356" s="14"/>
      <c r="AW7356" s="15">
        <f t="shared" si="1501"/>
        <v>400</v>
      </c>
      <c r="AX7356" s="16"/>
    </row>
    <row r="7357" spans="2:50" x14ac:dyDescent="0.2">
      <c r="B7357" s="7"/>
      <c r="C7357" s="8">
        <v>17389</v>
      </c>
      <c r="D7357" s="9" t="s">
        <v>661</v>
      </c>
      <c r="E7357" s="10" t="str">
        <f t="shared" si="1496"/>
        <v>Rancho Landero No. 101</v>
      </c>
      <c r="F7357" s="10" t="str">
        <f t="shared" si="1497"/>
        <v>Ramírez</v>
      </c>
      <c r="G7357" s="8">
        <v>5</v>
      </c>
      <c r="H7357" s="11">
        <v>50</v>
      </c>
      <c r="I7357" s="12">
        <v>43380</v>
      </c>
      <c r="J7357" s="35">
        <f t="shared" si="1498"/>
        <v>0</v>
      </c>
      <c r="K7357" s="36"/>
      <c r="L7357" s="36"/>
      <c r="M7357" s="36"/>
      <c r="N7357" s="36"/>
      <c r="O7357" s="36"/>
      <c r="P7357" s="36"/>
      <c r="Q7357" s="36"/>
      <c r="R7357" s="36"/>
      <c r="S7357" s="36"/>
      <c r="T7357" s="36"/>
      <c r="U7357" s="36"/>
      <c r="V7357" s="36"/>
      <c r="W7357" s="15">
        <f t="shared" si="1499"/>
        <v>0</v>
      </c>
      <c r="X7357" s="36"/>
      <c r="Y7357" s="36"/>
      <c r="Z7357" s="36"/>
      <c r="AA7357" s="36"/>
      <c r="AB7357" s="36"/>
      <c r="AC7357" s="36"/>
      <c r="AD7357" s="36"/>
      <c r="AE7357" s="36"/>
      <c r="AF7357" s="36"/>
      <c r="AG7357" s="36"/>
      <c r="AH7357" s="36"/>
      <c r="AI7357" s="36"/>
      <c r="AJ7357" s="15">
        <f t="shared" si="1500"/>
        <v>0</v>
      </c>
      <c r="AK7357" s="14"/>
      <c r="AL7357" s="14"/>
      <c r="AM7357" s="14"/>
      <c r="AN7357" s="14"/>
      <c r="AO7357" s="14"/>
      <c r="AP7357" s="14"/>
      <c r="AQ7357" s="14"/>
      <c r="AR7357" s="14"/>
      <c r="AS7357" s="14"/>
      <c r="AT7357" s="14"/>
      <c r="AU7357" s="14"/>
      <c r="AV7357" s="14"/>
      <c r="AW7357" s="15">
        <f t="shared" si="1501"/>
        <v>0</v>
      </c>
      <c r="AX7357" s="16"/>
    </row>
    <row r="7358" spans="2:50" x14ac:dyDescent="0.2">
      <c r="B7358" s="7"/>
      <c r="C7358" s="8">
        <v>17390</v>
      </c>
      <c r="D7358" s="9" t="s">
        <v>661</v>
      </c>
      <c r="E7358" s="10" t="str">
        <f t="shared" si="1496"/>
        <v>Rancho Landero No. 101</v>
      </c>
      <c r="F7358" s="10" t="str">
        <f t="shared" si="1497"/>
        <v>Ramírez</v>
      </c>
      <c r="G7358" s="8">
        <v>4</v>
      </c>
      <c r="H7358" s="11">
        <v>200</v>
      </c>
      <c r="I7358" s="12">
        <v>43380</v>
      </c>
      <c r="J7358" s="35">
        <f t="shared" si="1498"/>
        <v>0</v>
      </c>
      <c r="K7358" s="36"/>
      <c r="L7358" s="36"/>
      <c r="M7358" s="36"/>
      <c r="N7358" s="36"/>
      <c r="O7358" s="36"/>
      <c r="P7358" s="36"/>
      <c r="Q7358" s="36"/>
      <c r="R7358" s="36"/>
      <c r="S7358" s="36"/>
      <c r="T7358" s="36"/>
      <c r="U7358" s="36"/>
      <c r="V7358" s="36"/>
      <c r="W7358" s="15">
        <f t="shared" si="1499"/>
        <v>0</v>
      </c>
      <c r="X7358" s="36"/>
      <c r="Y7358" s="36"/>
      <c r="Z7358" s="36"/>
      <c r="AA7358" s="36"/>
      <c r="AB7358" s="36"/>
      <c r="AC7358" s="36"/>
      <c r="AD7358" s="36"/>
      <c r="AE7358" s="36"/>
      <c r="AF7358" s="36"/>
      <c r="AG7358" s="36"/>
      <c r="AH7358" s="36"/>
      <c r="AI7358" s="36"/>
      <c r="AJ7358" s="15">
        <f t="shared" si="1500"/>
        <v>0</v>
      </c>
      <c r="AK7358" s="14"/>
      <c r="AL7358" s="14"/>
      <c r="AM7358" s="14"/>
      <c r="AN7358" s="14"/>
      <c r="AO7358" s="14"/>
      <c r="AP7358" s="14"/>
      <c r="AQ7358" s="14"/>
      <c r="AR7358" s="14"/>
      <c r="AS7358" s="14"/>
      <c r="AT7358" s="14"/>
      <c r="AU7358" s="14"/>
      <c r="AV7358" s="14"/>
      <c r="AW7358" s="15">
        <f t="shared" si="1501"/>
        <v>0</v>
      </c>
      <c r="AX7358" s="16" t="s">
        <v>5680</v>
      </c>
    </row>
    <row r="7359" spans="2:50" x14ac:dyDescent="0.2">
      <c r="B7359" s="7"/>
      <c r="C7359" s="8">
        <v>17391</v>
      </c>
      <c r="D7359" s="9" t="s">
        <v>407</v>
      </c>
      <c r="E7359" s="10" t="str">
        <f t="shared" si="1496"/>
        <v>Rancho Estanzuela No. 99</v>
      </c>
      <c r="F7359" s="10" t="str">
        <f t="shared" si="1497"/>
        <v>García López</v>
      </c>
      <c r="G7359" s="8">
        <v>1</v>
      </c>
      <c r="H7359" s="11">
        <v>400</v>
      </c>
      <c r="I7359" s="12">
        <v>43380</v>
      </c>
      <c r="J7359" s="35">
        <f t="shared" si="1498"/>
        <v>0</v>
      </c>
      <c r="K7359" s="36"/>
      <c r="L7359" s="36"/>
      <c r="M7359" s="36"/>
      <c r="N7359" s="36"/>
      <c r="O7359" s="36"/>
      <c r="P7359" s="36"/>
      <c r="Q7359" s="36"/>
      <c r="R7359" s="36"/>
      <c r="S7359" s="36"/>
      <c r="T7359" s="36"/>
      <c r="U7359" s="36"/>
      <c r="V7359" s="36"/>
      <c r="W7359" s="15">
        <f t="shared" si="1499"/>
        <v>0</v>
      </c>
      <c r="X7359" s="36"/>
      <c r="Y7359" s="36"/>
      <c r="Z7359" s="36"/>
      <c r="AA7359" s="36"/>
      <c r="AB7359" s="36"/>
      <c r="AC7359" s="36"/>
      <c r="AD7359" s="36"/>
      <c r="AE7359" s="36"/>
      <c r="AF7359" s="36"/>
      <c r="AG7359" s="36"/>
      <c r="AH7359" s="36"/>
      <c r="AI7359" s="36"/>
      <c r="AJ7359" s="15">
        <f>SUM(X7359:AI7359)</f>
        <v>0</v>
      </c>
      <c r="AK7359" s="14"/>
      <c r="AL7359" s="14"/>
      <c r="AM7359" s="14"/>
      <c r="AN7359" s="14"/>
      <c r="AO7359" s="14"/>
      <c r="AP7359" s="14"/>
      <c r="AQ7359" s="14"/>
      <c r="AR7359" s="14"/>
      <c r="AS7359" s="14"/>
      <c r="AT7359" s="14">
        <v>400</v>
      </c>
      <c r="AU7359" s="14"/>
      <c r="AV7359" s="14"/>
      <c r="AW7359" s="15">
        <f t="shared" si="1501"/>
        <v>400</v>
      </c>
      <c r="AX7359" s="16"/>
    </row>
    <row r="7360" spans="2:50" x14ac:dyDescent="0.2">
      <c r="B7360" s="7"/>
      <c r="C7360" s="8">
        <v>17392</v>
      </c>
      <c r="D7360" s="9" t="s">
        <v>395</v>
      </c>
      <c r="E7360" s="10" t="str">
        <f t="shared" si="1496"/>
        <v>Rancho Landero No. 7</v>
      </c>
      <c r="F7360" s="10" t="str">
        <f t="shared" si="1497"/>
        <v>Robles</v>
      </c>
      <c r="G7360" s="8">
        <v>1</v>
      </c>
      <c r="H7360" s="11">
        <v>200</v>
      </c>
      <c r="I7360" s="12">
        <v>43380</v>
      </c>
      <c r="J7360" s="35">
        <f t="shared" si="1498"/>
        <v>0</v>
      </c>
      <c r="K7360" s="36"/>
      <c r="L7360" s="36"/>
      <c r="M7360" s="36"/>
      <c r="N7360" s="36"/>
      <c r="O7360" s="36"/>
      <c r="P7360" s="36"/>
      <c r="Q7360" s="36"/>
      <c r="R7360" s="36"/>
      <c r="S7360" s="36"/>
      <c r="T7360" s="36"/>
      <c r="U7360" s="36"/>
      <c r="V7360" s="36"/>
      <c r="W7360" s="15">
        <f t="shared" si="1499"/>
        <v>0</v>
      </c>
      <c r="X7360" s="36"/>
      <c r="Y7360" s="36"/>
      <c r="Z7360" s="36"/>
      <c r="AA7360" s="36"/>
      <c r="AB7360" s="36"/>
      <c r="AC7360" s="36"/>
      <c r="AD7360" s="36"/>
      <c r="AE7360" s="36"/>
      <c r="AF7360" s="36"/>
      <c r="AG7360" s="36"/>
      <c r="AH7360" s="36"/>
      <c r="AI7360" s="36"/>
      <c r="AJ7360" s="15">
        <f t="shared" si="1500"/>
        <v>0</v>
      </c>
      <c r="AK7360" s="14"/>
      <c r="AL7360" s="14"/>
      <c r="AM7360" s="14"/>
      <c r="AN7360" s="14"/>
      <c r="AO7360" s="14"/>
      <c r="AP7360" s="14"/>
      <c r="AQ7360" s="14"/>
      <c r="AR7360" s="14"/>
      <c r="AS7360" s="14"/>
      <c r="AT7360" s="14">
        <v>200</v>
      </c>
      <c r="AU7360" s="14"/>
      <c r="AV7360" s="14"/>
      <c r="AW7360" s="15">
        <f t="shared" si="1501"/>
        <v>200</v>
      </c>
      <c r="AX7360" s="16"/>
    </row>
    <row r="7361" spans="2:50" x14ac:dyDescent="0.2">
      <c r="B7361" s="7"/>
      <c r="C7361" s="8">
        <v>17393</v>
      </c>
      <c r="D7361" s="9" t="s">
        <v>944</v>
      </c>
      <c r="E7361" s="10" t="str">
        <f t="shared" si="1496"/>
        <v>Rancho Upácuaro No. 104</v>
      </c>
      <c r="F7361" s="10" t="str">
        <f t="shared" si="1497"/>
        <v>Jiménez Almazo</v>
      </c>
      <c r="G7361" s="8">
        <v>3</v>
      </c>
      <c r="H7361" s="11">
        <v>200</v>
      </c>
      <c r="I7361" s="12">
        <v>43380</v>
      </c>
      <c r="J7361" s="35">
        <f t="shared" si="1498"/>
        <v>0</v>
      </c>
      <c r="K7361" s="36"/>
      <c r="L7361" s="36"/>
      <c r="M7361" s="36"/>
      <c r="N7361" s="36"/>
      <c r="O7361" s="36"/>
      <c r="P7361" s="36"/>
      <c r="Q7361" s="36"/>
      <c r="R7361" s="36"/>
      <c r="S7361" s="36"/>
      <c r="T7361" s="36"/>
      <c r="U7361" s="36"/>
      <c r="V7361" s="36"/>
      <c r="W7361" s="15">
        <f t="shared" si="1499"/>
        <v>0</v>
      </c>
      <c r="X7361" s="36"/>
      <c r="Y7361" s="36"/>
      <c r="Z7361" s="36"/>
      <c r="AA7361" s="36"/>
      <c r="AB7361" s="36"/>
      <c r="AC7361" s="36"/>
      <c r="AD7361" s="36"/>
      <c r="AE7361" s="36"/>
      <c r="AF7361" s="36"/>
      <c r="AG7361" s="36"/>
      <c r="AH7361" s="36"/>
      <c r="AI7361" s="36"/>
      <c r="AJ7361" s="15">
        <f t="shared" si="1500"/>
        <v>0</v>
      </c>
      <c r="AK7361" s="14"/>
      <c r="AL7361" s="14"/>
      <c r="AM7361" s="14"/>
      <c r="AN7361" s="14"/>
      <c r="AO7361" s="14"/>
      <c r="AP7361" s="14"/>
      <c r="AQ7361" s="14"/>
      <c r="AR7361" s="14"/>
      <c r="AS7361" s="14"/>
      <c r="AT7361" s="14"/>
      <c r="AU7361" s="14"/>
      <c r="AV7361" s="14"/>
      <c r="AW7361" s="15">
        <f t="shared" si="1501"/>
        <v>0</v>
      </c>
      <c r="AX7361" s="16"/>
    </row>
    <row r="7362" spans="2:50" x14ac:dyDescent="0.2">
      <c r="B7362" s="7"/>
      <c r="C7362" s="8">
        <v>17394</v>
      </c>
      <c r="D7362" s="9" t="s">
        <v>150</v>
      </c>
      <c r="E7362" s="10" t="str">
        <f t="shared" si="1496"/>
        <v>Rancho La Cuchilla No. 33</v>
      </c>
      <c r="F7362" s="10" t="str">
        <f t="shared" si="1497"/>
        <v>Tanús</v>
      </c>
      <c r="G7362" s="8">
        <v>1</v>
      </c>
      <c r="H7362" s="11">
        <v>400</v>
      </c>
      <c r="I7362" s="12">
        <v>43380</v>
      </c>
      <c r="J7362" s="35">
        <f t="shared" si="1498"/>
        <v>0</v>
      </c>
      <c r="K7362" s="36"/>
      <c r="L7362" s="36"/>
      <c r="M7362" s="36"/>
      <c r="N7362" s="36"/>
      <c r="O7362" s="36"/>
      <c r="P7362" s="36"/>
      <c r="Q7362" s="36"/>
      <c r="R7362" s="36"/>
      <c r="S7362" s="36"/>
      <c r="T7362" s="36"/>
      <c r="U7362" s="36"/>
      <c r="V7362" s="36"/>
      <c r="W7362" s="15">
        <f t="shared" si="1499"/>
        <v>0</v>
      </c>
      <c r="X7362" s="36"/>
      <c r="Y7362" s="36"/>
      <c r="Z7362" s="36"/>
      <c r="AA7362" s="36"/>
      <c r="AB7362" s="36"/>
      <c r="AC7362" s="36"/>
      <c r="AD7362" s="36"/>
      <c r="AE7362" s="36"/>
      <c r="AF7362" s="36"/>
      <c r="AG7362" s="36"/>
      <c r="AH7362" s="36"/>
      <c r="AI7362" s="36"/>
      <c r="AJ7362" s="15">
        <f t="shared" si="1500"/>
        <v>0</v>
      </c>
      <c r="AK7362" s="14"/>
      <c r="AL7362" s="14"/>
      <c r="AM7362" s="14"/>
      <c r="AN7362" s="14"/>
      <c r="AO7362" s="14"/>
      <c r="AP7362" s="14"/>
      <c r="AQ7362" s="14"/>
      <c r="AR7362" s="14"/>
      <c r="AS7362" s="14"/>
      <c r="AT7362" s="14">
        <v>400</v>
      </c>
      <c r="AU7362" s="14"/>
      <c r="AV7362" s="14"/>
      <c r="AW7362" s="15">
        <f t="shared" si="1501"/>
        <v>400</v>
      </c>
      <c r="AX7362" s="16"/>
    </row>
    <row r="7363" spans="2:50" x14ac:dyDescent="0.2">
      <c r="B7363" s="7"/>
      <c r="C7363" s="8">
        <v>17395</v>
      </c>
      <c r="D7363" s="9" t="s">
        <v>387</v>
      </c>
      <c r="E7363" s="10" t="str">
        <f t="shared" si="1496"/>
        <v>Rancho Upácuaro No. 69</v>
      </c>
      <c r="F7363" s="10" t="str">
        <f t="shared" si="1497"/>
        <v>Gómez</v>
      </c>
      <c r="G7363" s="8">
        <v>1</v>
      </c>
      <c r="H7363" s="11">
        <v>400</v>
      </c>
      <c r="I7363" s="12">
        <v>43380</v>
      </c>
      <c r="J7363" s="35">
        <f t="shared" si="1498"/>
        <v>0</v>
      </c>
      <c r="K7363" s="36"/>
      <c r="L7363" s="36"/>
      <c r="M7363" s="36"/>
      <c r="N7363" s="36"/>
      <c r="O7363" s="36"/>
      <c r="P7363" s="36"/>
      <c r="Q7363" s="36"/>
      <c r="R7363" s="36"/>
      <c r="S7363" s="36"/>
      <c r="T7363" s="36"/>
      <c r="U7363" s="36"/>
      <c r="V7363" s="36"/>
      <c r="W7363" s="15">
        <f t="shared" si="1499"/>
        <v>0</v>
      </c>
      <c r="X7363" s="36"/>
      <c r="Y7363" s="36"/>
      <c r="Z7363" s="36"/>
      <c r="AA7363" s="36"/>
      <c r="AB7363" s="36"/>
      <c r="AC7363" s="36"/>
      <c r="AD7363" s="36"/>
      <c r="AE7363" s="36"/>
      <c r="AF7363" s="36"/>
      <c r="AG7363" s="36"/>
      <c r="AH7363" s="36"/>
      <c r="AI7363" s="36"/>
      <c r="AJ7363" s="15">
        <f t="shared" si="1500"/>
        <v>0</v>
      </c>
      <c r="AK7363" s="14"/>
      <c r="AL7363" s="14"/>
      <c r="AM7363" s="14"/>
      <c r="AN7363" s="14"/>
      <c r="AO7363" s="14"/>
      <c r="AP7363" s="14"/>
      <c r="AQ7363" s="14"/>
      <c r="AR7363" s="14"/>
      <c r="AS7363" s="14"/>
      <c r="AT7363" s="14">
        <v>400</v>
      </c>
      <c r="AU7363" s="14"/>
      <c r="AV7363" s="14"/>
      <c r="AW7363" s="15">
        <f t="shared" si="1501"/>
        <v>400</v>
      </c>
      <c r="AX7363" s="16"/>
    </row>
    <row r="7364" spans="2:50" x14ac:dyDescent="0.2">
      <c r="B7364" s="7"/>
      <c r="C7364" s="8">
        <v>17396</v>
      </c>
      <c r="D7364" s="9" t="s">
        <v>834</v>
      </c>
      <c r="E7364" s="10" t="str">
        <f t="shared" si="1496"/>
        <v>Rancho Upácuaro No. 110</v>
      </c>
      <c r="F7364" s="10" t="str">
        <f t="shared" si="1497"/>
        <v>Ruiz Mijangos</v>
      </c>
      <c r="G7364" s="8">
        <v>1</v>
      </c>
      <c r="H7364" s="11">
        <v>300</v>
      </c>
      <c r="I7364" s="12">
        <v>43380</v>
      </c>
      <c r="J7364" s="35">
        <f t="shared" si="1498"/>
        <v>0</v>
      </c>
      <c r="K7364" s="36"/>
      <c r="L7364" s="36"/>
      <c r="M7364" s="36"/>
      <c r="N7364" s="36"/>
      <c r="O7364" s="36"/>
      <c r="P7364" s="36"/>
      <c r="Q7364" s="36"/>
      <c r="R7364" s="36"/>
      <c r="S7364" s="36"/>
      <c r="T7364" s="36"/>
      <c r="U7364" s="36"/>
      <c r="V7364" s="36"/>
      <c r="W7364" s="15">
        <f t="shared" si="1499"/>
        <v>0</v>
      </c>
      <c r="X7364" s="36"/>
      <c r="Y7364" s="36"/>
      <c r="Z7364" s="36"/>
      <c r="AA7364" s="36"/>
      <c r="AB7364" s="36"/>
      <c r="AC7364" s="36"/>
      <c r="AD7364" s="36"/>
      <c r="AE7364" s="36"/>
      <c r="AF7364" s="36"/>
      <c r="AG7364" s="36"/>
      <c r="AH7364" s="36"/>
      <c r="AI7364" s="36"/>
      <c r="AJ7364" s="15">
        <f t="shared" si="1500"/>
        <v>0</v>
      </c>
      <c r="AK7364" s="14"/>
      <c r="AL7364" s="14"/>
      <c r="AM7364" s="14"/>
      <c r="AN7364" s="14"/>
      <c r="AO7364" s="14"/>
      <c r="AP7364" s="14"/>
      <c r="AQ7364" s="14"/>
      <c r="AR7364" s="14"/>
      <c r="AS7364" s="14">
        <v>300</v>
      </c>
      <c r="AT7364" s="14"/>
      <c r="AU7364" s="14"/>
      <c r="AV7364" s="14"/>
      <c r="AW7364" s="15">
        <f t="shared" si="1501"/>
        <v>300</v>
      </c>
      <c r="AX7364" s="16"/>
    </row>
    <row r="7365" spans="2:50" x14ac:dyDescent="0.2">
      <c r="B7365" s="7"/>
      <c r="C7365" s="8">
        <v>17397</v>
      </c>
      <c r="D7365" s="9" t="s">
        <v>874</v>
      </c>
      <c r="E7365" s="10" t="str">
        <f t="shared" si="1496"/>
        <v>Rancho Zinamba No. 46</v>
      </c>
      <c r="F7365" s="10" t="str">
        <f t="shared" si="1497"/>
        <v>Olguín</v>
      </c>
      <c r="G7365" s="8">
        <v>1</v>
      </c>
      <c r="H7365" s="11">
        <v>200</v>
      </c>
      <c r="I7365" s="12">
        <v>43380</v>
      </c>
      <c r="J7365" s="35">
        <f t="shared" si="1498"/>
        <v>0</v>
      </c>
      <c r="K7365" s="36"/>
      <c r="L7365" s="36"/>
      <c r="M7365" s="36"/>
      <c r="N7365" s="36"/>
      <c r="O7365" s="36"/>
      <c r="P7365" s="36"/>
      <c r="Q7365" s="36"/>
      <c r="R7365" s="36"/>
      <c r="S7365" s="36"/>
      <c r="T7365" s="36"/>
      <c r="U7365" s="36"/>
      <c r="V7365" s="36"/>
      <c r="W7365" s="15">
        <f t="shared" si="1499"/>
        <v>0</v>
      </c>
      <c r="X7365" s="36"/>
      <c r="Y7365" s="36"/>
      <c r="Z7365" s="36"/>
      <c r="AA7365" s="36"/>
      <c r="AB7365" s="36"/>
      <c r="AC7365" s="36"/>
      <c r="AD7365" s="36"/>
      <c r="AE7365" s="36"/>
      <c r="AF7365" s="36"/>
      <c r="AG7365" s="36"/>
      <c r="AH7365" s="36"/>
      <c r="AI7365" s="36"/>
      <c r="AJ7365" s="15">
        <f t="shared" si="1500"/>
        <v>0</v>
      </c>
      <c r="AK7365" s="14"/>
      <c r="AL7365" s="14"/>
      <c r="AM7365" s="14"/>
      <c r="AN7365" s="14"/>
      <c r="AO7365" s="14"/>
      <c r="AP7365" s="14"/>
      <c r="AQ7365" s="14"/>
      <c r="AR7365" s="14"/>
      <c r="AS7365" s="14"/>
      <c r="AT7365" s="14">
        <v>200</v>
      </c>
      <c r="AU7365" s="14"/>
      <c r="AV7365" s="14"/>
      <c r="AW7365" s="15">
        <f t="shared" si="1501"/>
        <v>200</v>
      </c>
      <c r="AX7365" s="16"/>
    </row>
    <row r="7366" spans="2:50" x14ac:dyDescent="0.2">
      <c r="B7366" s="7"/>
      <c r="C7366" s="8">
        <v>17398</v>
      </c>
      <c r="D7366" s="9" t="s">
        <v>911</v>
      </c>
      <c r="E7366" s="10" t="str">
        <f t="shared" si="1496"/>
        <v>Rancho Estanzuela No. 19</v>
      </c>
      <c r="F7366" s="10" t="str">
        <f t="shared" si="1497"/>
        <v>Robles</v>
      </c>
      <c r="G7366" s="8">
        <v>1</v>
      </c>
      <c r="H7366" s="11">
        <v>400</v>
      </c>
      <c r="I7366" s="12">
        <v>43380</v>
      </c>
      <c r="J7366" s="35">
        <f t="shared" si="1498"/>
        <v>0</v>
      </c>
      <c r="K7366" s="36"/>
      <c r="L7366" s="36"/>
      <c r="M7366" s="36"/>
      <c r="N7366" s="36"/>
      <c r="O7366" s="36"/>
      <c r="P7366" s="36"/>
      <c r="Q7366" s="36"/>
      <c r="R7366" s="36"/>
      <c r="S7366" s="36"/>
      <c r="T7366" s="36"/>
      <c r="U7366" s="36"/>
      <c r="V7366" s="36"/>
      <c r="W7366" s="15">
        <f t="shared" si="1499"/>
        <v>0</v>
      </c>
      <c r="X7366" s="36"/>
      <c r="Y7366" s="36"/>
      <c r="Z7366" s="36"/>
      <c r="AA7366" s="36"/>
      <c r="AB7366" s="36"/>
      <c r="AC7366" s="36"/>
      <c r="AD7366" s="36"/>
      <c r="AE7366" s="36"/>
      <c r="AF7366" s="36"/>
      <c r="AG7366" s="36"/>
      <c r="AH7366" s="36"/>
      <c r="AI7366" s="36"/>
      <c r="AJ7366" s="15">
        <f t="shared" si="1500"/>
        <v>0</v>
      </c>
      <c r="AK7366" s="14"/>
      <c r="AL7366" s="14"/>
      <c r="AM7366" s="14"/>
      <c r="AN7366" s="14"/>
      <c r="AO7366" s="14"/>
      <c r="AP7366" s="14"/>
      <c r="AQ7366" s="14"/>
      <c r="AR7366" s="14"/>
      <c r="AS7366" s="14"/>
      <c r="AT7366" s="14">
        <v>400</v>
      </c>
      <c r="AU7366" s="14"/>
      <c r="AV7366" s="14"/>
      <c r="AW7366" s="15">
        <f t="shared" si="1501"/>
        <v>400</v>
      </c>
      <c r="AX7366" s="316">
        <f>SUM(H7326:H7366)</f>
        <v>14375</v>
      </c>
    </row>
    <row r="7367" spans="2:50" x14ac:dyDescent="0.2">
      <c r="B7367" s="7"/>
      <c r="C7367" s="8">
        <v>17399</v>
      </c>
      <c r="D7367" s="9" t="s">
        <v>205</v>
      </c>
      <c r="E7367" s="10" t="str">
        <f t="shared" si="1496"/>
        <v>Rancho Landero No. 1, A</v>
      </c>
      <c r="F7367" s="10" t="str">
        <f t="shared" si="1497"/>
        <v>Ebysos</v>
      </c>
      <c r="G7367" s="8">
        <v>5</v>
      </c>
      <c r="H7367" s="315">
        <v>50</v>
      </c>
      <c r="I7367" s="12">
        <v>43381</v>
      </c>
      <c r="J7367" s="35">
        <f t="shared" si="1498"/>
        <v>0</v>
      </c>
      <c r="K7367" s="36"/>
      <c r="L7367" s="36"/>
      <c r="M7367" s="36"/>
      <c r="N7367" s="36"/>
      <c r="O7367" s="36"/>
      <c r="P7367" s="36"/>
      <c r="Q7367" s="36"/>
      <c r="R7367" s="36"/>
      <c r="S7367" s="36"/>
      <c r="T7367" s="36"/>
      <c r="U7367" s="36"/>
      <c r="V7367" s="36"/>
      <c r="W7367" s="15">
        <f t="shared" si="1499"/>
        <v>0</v>
      </c>
      <c r="X7367" s="36"/>
      <c r="Y7367" s="36"/>
      <c r="Z7367" s="36"/>
      <c r="AA7367" s="36"/>
      <c r="AB7367" s="36"/>
      <c r="AC7367" s="36"/>
      <c r="AD7367" s="36"/>
      <c r="AE7367" s="36"/>
      <c r="AF7367" s="36"/>
      <c r="AG7367" s="36"/>
      <c r="AH7367" s="36"/>
      <c r="AI7367" s="36"/>
      <c r="AJ7367" s="15">
        <f t="shared" si="1500"/>
        <v>0</v>
      </c>
      <c r="AK7367" s="14"/>
      <c r="AL7367" s="14"/>
      <c r="AM7367" s="14"/>
      <c r="AN7367" s="14"/>
      <c r="AO7367" s="14"/>
      <c r="AP7367" s="14"/>
      <c r="AQ7367" s="14"/>
      <c r="AR7367" s="14"/>
      <c r="AS7367" s="14"/>
      <c r="AT7367" s="14"/>
      <c r="AU7367" s="14"/>
      <c r="AV7367" s="14"/>
      <c r="AW7367" s="15">
        <f t="shared" si="1501"/>
        <v>0</v>
      </c>
      <c r="AX7367" s="16"/>
    </row>
    <row r="7368" spans="2:50" x14ac:dyDescent="0.2">
      <c r="B7368" s="7"/>
      <c r="C7368" s="8">
        <v>17400</v>
      </c>
      <c r="D7368" s="9" t="s">
        <v>485</v>
      </c>
      <c r="E7368" s="10" t="str">
        <f t="shared" si="1496"/>
        <v>Rancho Estanzuela No. 111</v>
      </c>
      <c r="F7368" s="10" t="str">
        <f t="shared" si="1497"/>
        <v>Flores Pérez</v>
      </c>
      <c r="G7368" s="8">
        <v>1</v>
      </c>
      <c r="H7368" s="11">
        <v>800</v>
      </c>
      <c r="I7368" s="12">
        <v>43381</v>
      </c>
      <c r="J7368" s="35">
        <f t="shared" si="1498"/>
        <v>0</v>
      </c>
      <c r="K7368" s="36"/>
      <c r="L7368" s="36"/>
      <c r="M7368" s="36"/>
      <c r="N7368" s="36"/>
      <c r="O7368" s="36"/>
      <c r="P7368" s="36"/>
      <c r="Q7368" s="36"/>
      <c r="R7368" s="36"/>
      <c r="S7368" s="36"/>
      <c r="T7368" s="36"/>
      <c r="U7368" s="36"/>
      <c r="V7368" s="36"/>
      <c r="W7368" s="15">
        <f t="shared" si="1499"/>
        <v>0</v>
      </c>
      <c r="X7368" s="36"/>
      <c r="Y7368" s="36"/>
      <c r="Z7368" s="36"/>
      <c r="AA7368" s="36"/>
      <c r="AB7368" s="36"/>
      <c r="AC7368" s="36"/>
      <c r="AD7368" s="36"/>
      <c r="AE7368" s="36"/>
      <c r="AF7368" s="36"/>
      <c r="AG7368" s="36"/>
      <c r="AH7368" s="36"/>
      <c r="AI7368" s="36"/>
      <c r="AJ7368" s="15">
        <f t="shared" si="1500"/>
        <v>0</v>
      </c>
      <c r="AK7368" s="14"/>
      <c r="AL7368" s="14"/>
      <c r="AM7368" s="14"/>
      <c r="AN7368" s="14"/>
      <c r="AO7368" s="14"/>
      <c r="AP7368" s="14"/>
      <c r="AQ7368" s="14"/>
      <c r="AR7368" s="14">
        <v>400</v>
      </c>
      <c r="AS7368" s="14">
        <v>400</v>
      </c>
      <c r="AT7368" s="14"/>
      <c r="AU7368" s="14"/>
      <c r="AV7368" s="14"/>
      <c r="AW7368" s="15">
        <f t="shared" si="1501"/>
        <v>800</v>
      </c>
      <c r="AX7368" s="16"/>
    </row>
    <row r="7369" spans="2:50" x14ac:dyDescent="0.2">
      <c r="B7369" s="7"/>
      <c r="C7369" s="8">
        <v>17401</v>
      </c>
      <c r="D7369" s="9" t="s">
        <v>690</v>
      </c>
      <c r="E7369" s="10" t="str">
        <f t="shared" si="1496"/>
        <v>Rancho Estanzuela No. 121</v>
      </c>
      <c r="F7369" s="10" t="str">
        <f t="shared" si="1497"/>
        <v>López López</v>
      </c>
      <c r="G7369" s="8">
        <v>1</v>
      </c>
      <c r="H7369" s="11">
        <v>400</v>
      </c>
      <c r="I7369" s="12">
        <v>43381</v>
      </c>
      <c r="J7369" s="35">
        <f t="shared" si="1498"/>
        <v>0</v>
      </c>
      <c r="K7369" s="36"/>
      <c r="L7369" s="36"/>
      <c r="M7369" s="36"/>
      <c r="N7369" s="36"/>
      <c r="O7369" s="36"/>
      <c r="P7369" s="36"/>
      <c r="Q7369" s="36"/>
      <c r="R7369" s="36"/>
      <c r="S7369" s="36"/>
      <c r="T7369" s="36"/>
      <c r="U7369" s="36"/>
      <c r="V7369" s="36"/>
      <c r="W7369" s="15">
        <f t="shared" si="1499"/>
        <v>0</v>
      </c>
      <c r="X7369" s="36"/>
      <c r="Y7369" s="36"/>
      <c r="Z7369" s="36"/>
      <c r="AA7369" s="36"/>
      <c r="AB7369" s="36"/>
      <c r="AC7369" s="36"/>
      <c r="AD7369" s="36"/>
      <c r="AE7369" s="36"/>
      <c r="AF7369" s="36"/>
      <c r="AG7369" s="36"/>
      <c r="AH7369" s="36"/>
      <c r="AI7369" s="36"/>
      <c r="AJ7369" s="15">
        <f t="shared" si="1500"/>
        <v>0</v>
      </c>
      <c r="AK7369" s="14"/>
      <c r="AL7369" s="14"/>
      <c r="AM7369" s="14"/>
      <c r="AN7369" s="14"/>
      <c r="AO7369" s="14"/>
      <c r="AP7369" s="14"/>
      <c r="AQ7369" s="14"/>
      <c r="AR7369" s="14"/>
      <c r="AS7369" s="14"/>
      <c r="AT7369" s="14">
        <v>400</v>
      </c>
      <c r="AU7369" s="14"/>
      <c r="AV7369" s="14"/>
      <c r="AW7369" s="15">
        <f t="shared" si="1501"/>
        <v>400</v>
      </c>
      <c r="AX7369" s="16"/>
    </row>
    <row r="7370" spans="2:50" x14ac:dyDescent="0.2">
      <c r="B7370" s="7"/>
      <c r="C7370" s="8">
        <v>17402</v>
      </c>
      <c r="D7370" s="9" t="s">
        <v>298</v>
      </c>
      <c r="E7370" s="10" t="str">
        <f t="shared" ref="E7370:E7468" si="1508">IF(D7370=0,"",VLOOKUP(D7370,BASE,2,FALSE))</f>
        <v>Rancho Landero No. 94</v>
      </c>
      <c r="F7370" s="10" t="str">
        <f t="shared" ref="F7370:F7468" si="1509">IF(D7370=0,"",VLOOKUP(D7370,BASE,3,FALSE))</f>
        <v>Medina</v>
      </c>
      <c r="G7370" s="8">
        <v>1</v>
      </c>
      <c r="H7370" s="11">
        <v>600</v>
      </c>
      <c r="I7370" s="12">
        <v>43383</v>
      </c>
      <c r="J7370" s="35">
        <f t="shared" ref="J7370:J7468" si="1510">IF(G7370=1,SUM(W7370,AJ7370,AW7370,-H7370),0)</f>
        <v>0</v>
      </c>
      <c r="K7370" s="36"/>
      <c r="L7370" s="36"/>
      <c r="M7370" s="36"/>
      <c r="N7370" s="36"/>
      <c r="O7370" s="36"/>
      <c r="P7370" s="36"/>
      <c r="Q7370" s="36"/>
      <c r="R7370" s="36"/>
      <c r="S7370" s="36"/>
      <c r="T7370" s="36"/>
      <c r="U7370" s="36"/>
      <c r="V7370" s="36"/>
      <c r="W7370" s="15">
        <f t="shared" ref="W7370:W7468" si="1511">SUM(K7370:V7370)</f>
        <v>0</v>
      </c>
      <c r="X7370" s="36"/>
      <c r="Y7370" s="36"/>
      <c r="Z7370" s="36"/>
      <c r="AA7370" s="36"/>
      <c r="AB7370" s="36"/>
      <c r="AC7370" s="36"/>
      <c r="AD7370" s="36"/>
      <c r="AE7370" s="36"/>
      <c r="AF7370" s="36"/>
      <c r="AG7370" s="36"/>
      <c r="AH7370" s="36"/>
      <c r="AI7370" s="36"/>
      <c r="AJ7370" s="15">
        <f t="shared" ref="AJ7370:AJ7468" si="1512">SUM(X7370:AI7370)</f>
        <v>0</v>
      </c>
      <c r="AK7370" s="14"/>
      <c r="AL7370" s="14"/>
      <c r="AM7370" s="14"/>
      <c r="AN7370" s="14"/>
      <c r="AO7370" s="14"/>
      <c r="AP7370" s="14">
        <v>200</v>
      </c>
      <c r="AQ7370" s="14">
        <v>200</v>
      </c>
      <c r="AR7370" s="14">
        <v>200</v>
      </c>
      <c r="AS7370" s="14"/>
      <c r="AT7370" s="14"/>
      <c r="AU7370" s="14"/>
      <c r="AV7370" s="14"/>
      <c r="AW7370" s="15">
        <f t="shared" ref="AW7370:AW7468" si="1513">SUM(AK7370:AV7370)</f>
        <v>600</v>
      </c>
      <c r="AX7370" s="16"/>
    </row>
    <row r="7371" spans="2:50" x14ac:dyDescent="0.2">
      <c r="B7371" s="7"/>
      <c r="C7371" s="8">
        <v>17403</v>
      </c>
      <c r="D7371" s="9" t="s">
        <v>1119</v>
      </c>
      <c r="E7371" s="10" t="str">
        <f t="shared" si="1508"/>
        <v>Calzada del Hueso No. 840_2</v>
      </c>
      <c r="F7371" s="10" t="str">
        <f t="shared" si="1509"/>
        <v>Moto Space</v>
      </c>
      <c r="G7371" s="8">
        <v>1</v>
      </c>
      <c r="H7371" s="11">
        <v>300</v>
      </c>
      <c r="I7371" s="12">
        <v>43383</v>
      </c>
      <c r="J7371" s="35">
        <f t="shared" si="1510"/>
        <v>0</v>
      </c>
      <c r="K7371" s="36"/>
      <c r="L7371" s="36"/>
      <c r="M7371" s="36"/>
      <c r="N7371" s="36"/>
      <c r="O7371" s="36"/>
      <c r="P7371" s="36"/>
      <c r="Q7371" s="36"/>
      <c r="R7371" s="36"/>
      <c r="S7371" s="36"/>
      <c r="T7371" s="36"/>
      <c r="U7371" s="36"/>
      <c r="V7371" s="36"/>
      <c r="W7371" s="15">
        <f t="shared" si="1511"/>
        <v>0</v>
      </c>
      <c r="X7371" s="36"/>
      <c r="Y7371" s="36"/>
      <c r="Z7371" s="36"/>
      <c r="AA7371" s="36"/>
      <c r="AB7371" s="36"/>
      <c r="AC7371" s="36"/>
      <c r="AD7371" s="36"/>
      <c r="AE7371" s="36"/>
      <c r="AF7371" s="36"/>
      <c r="AG7371" s="36"/>
      <c r="AH7371" s="36"/>
      <c r="AI7371" s="36"/>
      <c r="AJ7371" s="15">
        <f t="shared" si="1512"/>
        <v>0</v>
      </c>
      <c r="AK7371" s="14"/>
      <c r="AL7371" s="14"/>
      <c r="AM7371" s="14"/>
      <c r="AN7371" s="14"/>
      <c r="AO7371" s="14">
        <v>150</v>
      </c>
      <c r="AP7371" s="14"/>
      <c r="AQ7371" s="14"/>
      <c r="AR7371" s="14"/>
      <c r="AS7371" s="14"/>
      <c r="AT7371" s="14">
        <v>150</v>
      </c>
      <c r="AU7371" s="14"/>
      <c r="AV7371" s="14"/>
      <c r="AW7371" s="15">
        <f t="shared" si="1513"/>
        <v>300</v>
      </c>
      <c r="AX7371" s="16"/>
    </row>
    <row r="7372" spans="2:50" x14ac:dyDescent="0.2">
      <c r="B7372" s="7"/>
      <c r="C7372" s="8">
        <v>17404</v>
      </c>
      <c r="D7372" s="9" t="s">
        <v>693</v>
      </c>
      <c r="E7372" s="10" t="str">
        <f t="shared" si="1508"/>
        <v>Rancho Romeral No. 9, B</v>
      </c>
      <c r="F7372" s="10" t="str">
        <f t="shared" si="1509"/>
        <v>Morales Macías</v>
      </c>
      <c r="G7372" s="8">
        <v>4</v>
      </c>
      <c r="H7372" s="11">
        <v>200</v>
      </c>
      <c r="I7372" s="12">
        <v>43383</v>
      </c>
      <c r="J7372" s="35">
        <f t="shared" si="1510"/>
        <v>0</v>
      </c>
      <c r="K7372" s="36"/>
      <c r="L7372" s="36"/>
      <c r="M7372" s="36"/>
      <c r="N7372" s="36"/>
      <c r="O7372" s="36"/>
      <c r="P7372" s="36"/>
      <c r="Q7372" s="36"/>
      <c r="R7372" s="36"/>
      <c r="S7372" s="36"/>
      <c r="T7372" s="36"/>
      <c r="U7372" s="36"/>
      <c r="V7372" s="36"/>
      <c r="W7372" s="15">
        <f t="shared" si="1511"/>
        <v>0</v>
      </c>
      <c r="X7372" s="36"/>
      <c r="Y7372" s="36"/>
      <c r="Z7372" s="36"/>
      <c r="AA7372" s="36"/>
      <c r="AB7372" s="36"/>
      <c r="AC7372" s="36"/>
      <c r="AD7372" s="36"/>
      <c r="AE7372" s="36"/>
      <c r="AF7372" s="36"/>
      <c r="AG7372" s="36"/>
      <c r="AH7372" s="36"/>
      <c r="AI7372" s="36"/>
      <c r="AJ7372" s="15">
        <f t="shared" si="1512"/>
        <v>0</v>
      </c>
      <c r="AK7372" s="14"/>
      <c r="AL7372" s="14"/>
      <c r="AM7372" s="14"/>
      <c r="AN7372" s="14"/>
      <c r="AO7372" s="14"/>
      <c r="AP7372" s="14"/>
      <c r="AQ7372" s="14"/>
      <c r="AR7372" s="14"/>
      <c r="AS7372" s="14"/>
      <c r="AT7372" s="14"/>
      <c r="AU7372" s="14"/>
      <c r="AV7372" s="14"/>
      <c r="AW7372" s="15">
        <f t="shared" si="1513"/>
        <v>0</v>
      </c>
      <c r="AX7372" s="16" t="s">
        <v>5682</v>
      </c>
    </row>
    <row r="7373" spans="2:50" x14ac:dyDescent="0.2">
      <c r="B7373" s="7"/>
      <c r="C7373" s="8">
        <v>17405</v>
      </c>
      <c r="D7373" s="9" t="s">
        <v>195</v>
      </c>
      <c r="E7373" s="10" t="str">
        <f t="shared" ref="E7373:E7392" si="1514">IF(D7373=0,"",VLOOKUP(D7373,BASE,2,FALSE))</f>
        <v>Rancho Estanzuela No. 100</v>
      </c>
      <c r="F7373" s="10" t="str">
        <f t="shared" ref="F7373:F7392" si="1515">IF(D7373=0,"",VLOOKUP(D7373,BASE,3,FALSE))</f>
        <v>Arias Monter</v>
      </c>
      <c r="G7373" s="8">
        <v>1</v>
      </c>
      <c r="H7373" s="11">
        <v>1600</v>
      </c>
      <c r="I7373" s="12">
        <v>43383</v>
      </c>
      <c r="J7373" s="35">
        <f t="shared" ref="J7373:J7392" si="1516">IF(G7373=1,SUM(W7373,AJ7373,AW7373,-H7373),0)</f>
        <v>0</v>
      </c>
      <c r="K7373" s="36"/>
      <c r="L7373" s="36"/>
      <c r="M7373" s="36"/>
      <c r="N7373" s="36"/>
      <c r="O7373" s="36"/>
      <c r="P7373" s="36"/>
      <c r="Q7373" s="36"/>
      <c r="R7373" s="36"/>
      <c r="S7373" s="36"/>
      <c r="T7373" s="36"/>
      <c r="U7373" s="36"/>
      <c r="V7373" s="36"/>
      <c r="W7373" s="15">
        <f t="shared" ref="W7373:W7392" si="1517">SUM(K7373:V7373)</f>
        <v>0</v>
      </c>
      <c r="X7373" s="36"/>
      <c r="Y7373" s="36"/>
      <c r="Z7373" s="36"/>
      <c r="AA7373" s="36"/>
      <c r="AB7373" s="36"/>
      <c r="AC7373" s="36"/>
      <c r="AD7373" s="36"/>
      <c r="AE7373" s="36"/>
      <c r="AF7373" s="36"/>
      <c r="AG7373" s="36"/>
      <c r="AH7373" s="36"/>
      <c r="AI7373" s="36"/>
      <c r="AJ7373" s="15">
        <f t="shared" ref="AJ7373:AJ7392" si="1518">SUM(X7373:AI7373)</f>
        <v>0</v>
      </c>
      <c r="AK7373" s="14"/>
      <c r="AL7373" s="14"/>
      <c r="AM7373" s="14"/>
      <c r="AN7373" s="14"/>
      <c r="AO7373" s="14"/>
      <c r="AP7373" s="14"/>
      <c r="AQ7373" s="14"/>
      <c r="AR7373" s="14"/>
      <c r="AS7373" s="14">
        <v>400</v>
      </c>
      <c r="AT7373" s="14">
        <v>400</v>
      </c>
      <c r="AU7373" s="14">
        <v>400</v>
      </c>
      <c r="AV7373" s="14">
        <v>400</v>
      </c>
      <c r="AW7373" s="15">
        <f t="shared" ref="AW7373:AW7392" si="1519">SUM(AK7373:AV7373)</f>
        <v>1600</v>
      </c>
      <c r="AX7373" s="16"/>
    </row>
    <row r="7374" spans="2:50" x14ac:dyDescent="0.2">
      <c r="B7374" s="7"/>
      <c r="C7374" s="8">
        <v>17406</v>
      </c>
      <c r="D7374" s="9" t="s">
        <v>1110</v>
      </c>
      <c r="E7374" s="10" t="str">
        <f t="shared" si="1514"/>
        <v>Rancho Upácuaro No. 103</v>
      </c>
      <c r="F7374" s="10" t="str">
        <f t="shared" si="1515"/>
        <v>Alfaro</v>
      </c>
      <c r="G7374" s="8">
        <v>1</v>
      </c>
      <c r="H7374" s="11">
        <v>400</v>
      </c>
      <c r="I7374" s="12">
        <v>43383</v>
      </c>
      <c r="J7374" s="35">
        <f t="shared" si="1516"/>
        <v>0</v>
      </c>
      <c r="K7374" s="36"/>
      <c r="L7374" s="36"/>
      <c r="M7374" s="36"/>
      <c r="N7374" s="36"/>
      <c r="O7374" s="36"/>
      <c r="P7374" s="36"/>
      <c r="Q7374" s="36"/>
      <c r="R7374" s="36"/>
      <c r="S7374" s="36"/>
      <c r="T7374" s="36"/>
      <c r="U7374" s="36"/>
      <c r="V7374" s="36"/>
      <c r="W7374" s="15">
        <f t="shared" si="1517"/>
        <v>0</v>
      </c>
      <c r="X7374" s="36"/>
      <c r="Y7374" s="36"/>
      <c r="Z7374" s="36"/>
      <c r="AA7374" s="36"/>
      <c r="AB7374" s="36"/>
      <c r="AC7374" s="36"/>
      <c r="AD7374" s="36"/>
      <c r="AE7374" s="36"/>
      <c r="AF7374" s="36"/>
      <c r="AG7374" s="36"/>
      <c r="AH7374" s="36"/>
      <c r="AI7374" s="36"/>
      <c r="AJ7374" s="15">
        <f t="shared" si="1518"/>
        <v>0</v>
      </c>
      <c r="AK7374" s="14"/>
      <c r="AL7374" s="14"/>
      <c r="AM7374" s="14"/>
      <c r="AN7374" s="14"/>
      <c r="AO7374" s="14"/>
      <c r="AP7374" s="14"/>
      <c r="AQ7374" s="14"/>
      <c r="AR7374" s="14"/>
      <c r="AS7374" s="14">
        <v>400</v>
      </c>
      <c r="AT7374" s="14"/>
      <c r="AU7374" s="14"/>
      <c r="AV7374" s="14"/>
      <c r="AW7374" s="15">
        <f t="shared" si="1519"/>
        <v>400</v>
      </c>
      <c r="AX7374" s="16"/>
    </row>
    <row r="7375" spans="2:50" x14ac:dyDescent="0.2">
      <c r="B7375" s="7"/>
      <c r="C7375" s="8">
        <v>17407</v>
      </c>
      <c r="D7375" s="9" t="s">
        <v>464</v>
      </c>
      <c r="E7375" s="10" t="str">
        <f t="shared" si="1514"/>
        <v>Rancho La Cuchilla No. 68</v>
      </c>
      <c r="F7375" s="10" t="str">
        <f t="shared" si="1515"/>
        <v>Montesinos</v>
      </c>
      <c r="G7375" s="8">
        <v>1</v>
      </c>
      <c r="H7375" s="11">
        <v>800</v>
      </c>
      <c r="I7375" s="12">
        <v>43384</v>
      </c>
      <c r="J7375" s="35">
        <f t="shared" si="1516"/>
        <v>0</v>
      </c>
      <c r="K7375" s="36"/>
      <c r="L7375" s="36"/>
      <c r="M7375" s="36"/>
      <c r="N7375" s="36"/>
      <c r="O7375" s="36"/>
      <c r="P7375" s="36"/>
      <c r="Q7375" s="36"/>
      <c r="R7375" s="36"/>
      <c r="S7375" s="36"/>
      <c r="T7375" s="36"/>
      <c r="U7375" s="36"/>
      <c r="V7375" s="36"/>
      <c r="W7375" s="15">
        <f t="shared" si="1517"/>
        <v>0</v>
      </c>
      <c r="X7375" s="36"/>
      <c r="Y7375" s="36"/>
      <c r="Z7375" s="36"/>
      <c r="AA7375" s="36"/>
      <c r="AB7375" s="36"/>
      <c r="AC7375" s="36"/>
      <c r="AD7375" s="36"/>
      <c r="AE7375" s="36"/>
      <c r="AF7375" s="36"/>
      <c r="AG7375" s="36"/>
      <c r="AH7375" s="36"/>
      <c r="AI7375" s="36"/>
      <c r="AJ7375" s="15">
        <f t="shared" si="1518"/>
        <v>0</v>
      </c>
      <c r="AK7375" s="14"/>
      <c r="AL7375" s="14"/>
      <c r="AM7375" s="14"/>
      <c r="AN7375" s="14"/>
      <c r="AO7375" s="14"/>
      <c r="AP7375" s="14"/>
      <c r="AQ7375" s="14">
        <v>200</v>
      </c>
      <c r="AR7375" s="14">
        <v>200</v>
      </c>
      <c r="AS7375" s="14">
        <v>200</v>
      </c>
      <c r="AT7375" s="14">
        <v>200</v>
      </c>
      <c r="AU7375" s="14"/>
      <c r="AV7375" s="14"/>
      <c r="AW7375" s="15">
        <f t="shared" si="1519"/>
        <v>800</v>
      </c>
      <c r="AX7375" s="16"/>
    </row>
    <row r="7376" spans="2:50" x14ac:dyDescent="0.2">
      <c r="B7376" s="7"/>
      <c r="C7376" s="8">
        <v>17408</v>
      </c>
      <c r="D7376" s="9" t="s">
        <v>944</v>
      </c>
      <c r="E7376" s="10" t="str">
        <f t="shared" si="1514"/>
        <v>Rancho Upácuaro No. 104</v>
      </c>
      <c r="F7376" s="10" t="str">
        <f t="shared" si="1515"/>
        <v>Jiménez Almazo</v>
      </c>
      <c r="G7376" s="8">
        <v>5</v>
      </c>
      <c r="H7376" s="11">
        <v>100</v>
      </c>
      <c r="I7376" s="12">
        <v>43385</v>
      </c>
      <c r="J7376" s="35">
        <f t="shared" si="1516"/>
        <v>0</v>
      </c>
      <c r="K7376" s="36"/>
      <c r="L7376" s="36"/>
      <c r="M7376" s="36"/>
      <c r="N7376" s="36"/>
      <c r="O7376" s="36"/>
      <c r="P7376" s="36"/>
      <c r="Q7376" s="36"/>
      <c r="R7376" s="36"/>
      <c r="S7376" s="36"/>
      <c r="T7376" s="36"/>
      <c r="U7376" s="36"/>
      <c r="V7376" s="36"/>
      <c r="W7376" s="15">
        <f t="shared" si="1517"/>
        <v>0</v>
      </c>
      <c r="X7376" s="36"/>
      <c r="Y7376" s="36"/>
      <c r="Z7376" s="36"/>
      <c r="AA7376" s="36"/>
      <c r="AB7376" s="36"/>
      <c r="AC7376" s="36"/>
      <c r="AD7376" s="36"/>
      <c r="AE7376" s="36"/>
      <c r="AF7376" s="36"/>
      <c r="AG7376" s="36"/>
      <c r="AH7376" s="36"/>
      <c r="AI7376" s="36"/>
      <c r="AJ7376" s="15">
        <f t="shared" si="1518"/>
        <v>0</v>
      </c>
      <c r="AK7376" s="14"/>
      <c r="AL7376" s="14"/>
      <c r="AM7376" s="14"/>
      <c r="AN7376" s="14"/>
      <c r="AO7376" s="14"/>
      <c r="AP7376" s="14"/>
      <c r="AQ7376" s="14"/>
      <c r="AR7376" s="14"/>
      <c r="AS7376" s="14"/>
      <c r="AT7376" s="14"/>
      <c r="AU7376" s="14"/>
      <c r="AV7376" s="14"/>
      <c r="AW7376" s="15">
        <f t="shared" si="1519"/>
        <v>0</v>
      </c>
      <c r="AX7376" s="16"/>
    </row>
    <row r="7377" spans="2:50" x14ac:dyDescent="0.2">
      <c r="B7377" s="7"/>
      <c r="C7377" s="8">
        <v>17409</v>
      </c>
      <c r="D7377" s="9" t="s">
        <v>346</v>
      </c>
      <c r="E7377" s="10" t="str">
        <f t="shared" si="1514"/>
        <v>Rancho Upácuaro No. 108</v>
      </c>
      <c r="F7377" s="10" t="str">
        <f t="shared" si="1515"/>
        <v>Mejía</v>
      </c>
      <c r="G7377" s="8">
        <v>1</v>
      </c>
      <c r="H7377" s="11">
        <v>300</v>
      </c>
      <c r="I7377" s="12">
        <v>43385</v>
      </c>
      <c r="J7377" s="35">
        <f t="shared" si="1516"/>
        <v>0</v>
      </c>
      <c r="K7377" s="36"/>
      <c r="L7377" s="36"/>
      <c r="M7377" s="36"/>
      <c r="N7377" s="36"/>
      <c r="O7377" s="36"/>
      <c r="P7377" s="36"/>
      <c r="Q7377" s="36"/>
      <c r="R7377" s="36"/>
      <c r="S7377" s="36"/>
      <c r="T7377" s="36"/>
      <c r="U7377" s="36"/>
      <c r="V7377" s="36"/>
      <c r="W7377" s="15">
        <f t="shared" si="1517"/>
        <v>0</v>
      </c>
      <c r="X7377" s="36"/>
      <c r="Y7377" s="36"/>
      <c r="Z7377" s="36"/>
      <c r="AA7377" s="36"/>
      <c r="AB7377" s="36"/>
      <c r="AC7377" s="36"/>
      <c r="AD7377" s="36"/>
      <c r="AE7377" s="36"/>
      <c r="AF7377" s="36"/>
      <c r="AG7377" s="36"/>
      <c r="AH7377" s="36"/>
      <c r="AI7377" s="36"/>
      <c r="AJ7377" s="15">
        <f t="shared" si="1518"/>
        <v>0</v>
      </c>
      <c r="AK7377" s="14"/>
      <c r="AL7377" s="14"/>
      <c r="AM7377" s="14"/>
      <c r="AN7377" s="14"/>
      <c r="AO7377" s="14"/>
      <c r="AP7377" s="14"/>
      <c r="AQ7377" s="14"/>
      <c r="AR7377" s="14"/>
      <c r="AS7377" s="14"/>
      <c r="AT7377" s="14">
        <v>300</v>
      </c>
      <c r="AU7377" s="14"/>
      <c r="AV7377" s="14"/>
      <c r="AW7377" s="15">
        <f t="shared" si="1519"/>
        <v>300</v>
      </c>
      <c r="AX7377" s="316">
        <f>SUM(H7367:H7377)</f>
        <v>5550</v>
      </c>
    </row>
    <row r="7378" spans="2:50" x14ac:dyDescent="0.2">
      <c r="B7378" s="7"/>
      <c r="C7378" s="8">
        <v>17410</v>
      </c>
      <c r="D7378" s="9" t="s">
        <v>1463</v>
      </c>
      <c r="E7378" s="10" t="str">
        <f t="shared" si="1514"/>
        <v>Rancho Zinamba No. 58</v>
      </c>
      <c r="F7378" s="10" t="str">
        <f t="shared" si="1515"/>
        <v>Almaraz Morales</v>
      </c>
      <c r="G7378" s="8">
        <v>7</v>
      </c>
      <c r="H7378" s="11">
        <v>11200</v>
      </c>
      <c r="I7378" s="12">
        <v>43385</v>
      </c>
      <c r="J7378" s="35">
        <f t="shared" si="1516"/>
        <v>0</v>
      </c>
      <c r="K7378" s="36"/>
      <c r="L7378" s="36"/>
      <c r="M7378" s="36"/>
      <c r="N7378" s="36"/>
      <c r="O7378" s="36"/>
      <c r="P7378" s="36"/>
      <c r="Q7378" s="36"/>
      <c r="R7378" s="36"/>
      <c r="S7378" s="36"/>
      <c r="T7378" s="36"/>
      <c r="U7378" s="36"/>
      <c r="V7378" s="36"/>
      <c r="W7378" s="15">
        <f t="shared" si="1517"/>
        <v>0</v>
      </c>
      <c r="X7378" s="36"/>
      <c r="Y7378" s="36"/>
      <c r="Z7378" s="36"/>
      <c r="AA7378" s="36"/>
      <c r="AB7378" s="36"/>
      <c r="AC7378" s="36"/>
      <c r="AD7378" s="36"/>
      <c r="AE7378" s="36"/>
      <c r="AF7378" s="36"/>
      <c r="AG7378" s="36"/>
      <c r="AH7378" s="36"/>
      <c r="AI7378" s="36"/>
      <c r="AJ7378" s="15">
        <f t="shared" si="1518"/>
        <v>0</v>
      </c>
      <c r="AK7378" s="14"/>
      <c r="AL7378" s="14"/>
      <c r="AM7378" s="14"/>
      <c r="AN7378" s="14"/>
      <c r="AO7378" s="14"/>
      <c r="AP7378" s="14"/>
      <c r="AQ7378" s="14"/>
      <c r="AR7378" s="14"/>
      <c r="AS7378" s="14"/>
      <c r="AT7378" s="14"/>
      <c r="AU7378" s="14"/>
      <c r="AV7378" s="14"/>
      <c r="AW7378" s="15">
        <f t="shared" si="1519"/>
        <v>0</v>
      </c>
      <c r="AX7378" s="16" t="s">
        <v>5683</v>
      </c>
    </row>
    <row r="7379" spans="2:50" x14ac:dyDescent="0.2">
      <c r="B7379" s="7"/>
      <c r="C7379" s="8">
        <v>17411</v>
      </c>
      <c r="D7379" s="9" t="s">
        <v>971</v>
      </c>
      <c r="E7379" s="10" t="str">
        <f t="shared" si="1514"/>
        <v>Rancho La Cuchilla No. 53</v>
      </c>
      <c r="F7379" s="10" t="str">
        <f t="shared" si="1515"/>
        <v>Rivera Hernández</v>
      </c>
      <c r="G7379" s="8">
        <v>3</v>
      </c>
      <c r="H7379" s="315">
        <v>200</v>
      </c>
      <c r="I7379" s="12">
        <v>43387</v>
      </c>
      <c r="J7379" s="35">
        <f t="shared" si="1516"/>
        <v>0</v>
      </c>
      <c r="K7379" s="36"/>
      <c r="L7379" s="36"/>
      <c r="M7379" s="36"/>
      <c r="N7379" s="36"/>
      <c r="O7379" s="36"/>
      <c r="P7379" s="36"/>
      <c r="Q7379" s="36"/>
      <c r="R7379" s="36"/>
      <c r="S7379" s="36"/>
      <c r="T7379" s="36"/>
      <c r="U7379" s="36"/>
      <c r="V7379" s="36"/>
      <c r="W7379" s="15">
        <f t="shared" si="1517"/>
        <v>0</v>
      </c>
      <c r="X7379" s="36"/>
      <c r="Y7379" s="36"/>
      <c r="Z7379" s="36"/>
      <c r="AA7379" s="36"/>
      <c r="AB7379" s="36"/>
      <c r="AC7379" s="36"/>
      <c r="AD7379" s="36"/>
      <c r="AE7379" s="36"/>
      <c r="AF7379" s="36"/>
      <c r="AG7379" s="36"/>
      <c r="AH7379" s="36"/>
      <c r="AI7379" s="36"/>
      <c r="AJ7379" s="15">
        <f t="shared" si="1518"/>
        <v>0</v>
      </c>
      <c r="AK7379" s="14"/>
      <c r="AL7379" s="14"/>
      <c r="AM7379" s="14"/>
      <c r="AN7379" s="14"/>
      <c r="AO7379" s="14"/>
      <c r="AP7379" s="14"/>
      <c r="AQ7379" s="14"/>
      <c r="AR7379" s="14"/>
      <c r="AS7379" s="14"/>
      <c r="AT7379" s="14"/>
      <c r="AU7379" s="14"/>
      <c r="AV7379" s="14"/>
      <c r="AW7379" s="15">
        <f t="shared" si="1519"/>
        <v>0</v>
      </c>
      <c r="AX7379" s="16"/>
    </row>
    <row r="7380" spans="2:50" x14ac:dyDescent="0.2">
      <c r="B7380" s="7"/>
      <c r="C7380" s="8">
        <v>17412</v>
      </c>
      <c r="D7380" s="9" t="s">
        <v>602</v>
      </c>
      <c r="E7380" s="10" t="str">
        <f t="shared" si="1514"/>
        <v>Rancho Upácuaro No. 30</v>
      </c>
      <c r="F7380" s="10" t="str">
        <f t="shared" si="1515"/>
        <v>Dorantes</v>
      </c>
      <c r="G7380" s="8">
        <v>1</v>
      </c>
      <c r="H7380" s="11">
        <v>400</v>
      </c>
      <c r="I7380" s="12">
        <v>43387</v>
      </c>
      <c r="J7380" s="35">
        <f t="shared" si="1516"/>
        <v>0</v>
      </c>
      <c r="K7380" s="36"/>
      <c r="L7380" s="36"/>
      <c r="M7380" s="36"/>
      <c r="N7380" s="36"/>
      <c r="O7380" s="36"/>
      <c r="P7380" s="36"/>
      <c r="Q7380" s="36"/>
      <c r="R7380" s="36"/>
      <c r="S7380" s="36"/>
      <c r="T7380" s="36"/>
      <c r="U7380" s="36"/>
      <c r="V7380" s="36"/>
      <c r="W7380" s="15">
        <f t="shared" si="1517"/>
        <v>0</v>
      </c>
      <c r="X7380" s="36"/>
      <c r="Y7380" s="36"/>
      <c r="Z7380" s="36"/>
      <c r="AA7380" s="36"/>
      <c r="AB7380" s="36"/>
      <c r="AC7380" s="36"/>
      <c r="AD7380" s="36"/>
      <c r="AE7380" s="36"/>
      <c r="AF7380" s="36"/>
      <c r="AG7380" s="36"/>
      <c r="AH7380" s="36"/>
      <c r="AI7380" s="36"/>
      <c r="AJ7380" s="15">
        <f t="shared" si="1518"/>
        <v>0</v>
      </c>
      <c r="AK7380" s="14"/>
      <c r="AL7380" s="14"/>
      <c r="AM7380" s="14"/>
      <c r="AN7380" s="14"/>
      <c r="AO7380" s="14"/>
      <c r="AP7380" s="14"/>
      <c r="AQ7380" s="14"/>
      <c r="AR7380" s="14"/>
      <c r="AS7380" s="14"/>
      <c r="AT7380" s="14">
        <v>200</v>
      </c>
      <c r="AU7380" s="14">
        <v>200</v>
      </c>
      <c r="AV7380" s="14"/>
      <c r="AW7380" s="15">
        <f t="shared" si="1519"/>
        <v>400</v>
      </c>
      <c r="AX7380" s="16"/>
    </row>
    <row r="7381" spans="2:50" x14ac:dyDescent="0.2">
      <c r="B7381" s="7"/>
      <c r="C7381" s="8">
        <v>17413</v>
      </c>
      <c r="D7381" s="9" t="s">
        <v>1103</v>
      </c>
      <c r="E7381" s="10" t="str">
        <f t="shared" si="1514"/>
        <v>Rancho Landero No. 86</v>
      </c>
      <c r="F7381" s="10" t="str">
        <f t="shared" si="1515"/>
        <v>Cuervo</v>
      </c>
      <c r="G7381" s="8">
        <v>1</v>
      </c>
      <c r="H7381" s="11">
        <v>200</v>
      </c>
      <c r="I7381" s="12">
        <v>43387</v>
      </c>
      <c r="J7381" s="35">
        <f t="shared" si="1516"/>
        <v>0</v>
      </c>
      <c r="K7381" s="36"/>
      <c r="L7381" s="36"/>
      <c r="M7381" s="36"/>
      <c r="N7381" s="36"/>
      <c r="O7381" s="36"/>
      <c r="P7381" s="36"/>
      <c r="Q7381" s="36"/>
      <c r="R7381" s="36"/>
      <c r="S7381" s="36"/>
      <c r="T7381" s="36"/>
      <c r="U7381" s="36"/>
      <c r="V7381" s="36"/>
      <c r="W7381" s="15">
        <f t="shared" si="1517"/>
        <v>0</v>
      </c>
      <c r="X7381" s="36"/>
      <c r="Y7381" s="36"/>
      <c r="Z7381" s="36"/>
      <c r="AA7381" s="36"/>
      <c r="AB7381" s="36"/>
      <c r="AC7381" s="36"/>
      <c r="AD7381" s="36"/>
      <c r="AE7381" s="36"/>
      <c r="AF7381" s="36"/>
      <c r="AG7381" s="36"/>
      <c r="AH7381" s="36"/>
      <c r="AI7381" s="36"/>
      <c r="AJ7381" s="15">
        <f t="shared" si="1518"/>
        <v>0</v>
      </c>
      <c r="AK7381" s="14"/>
      <c r="AL7381" s="14"/>
      <c r="AM7381" s="14"/>
      <c r="AN7381" s="14"/>
      <c r="AO7381" s="14"/>
      <c r="AP7381" s="14"/>
      <c r="AQ7381" s="14"/>
      <c r="AR7381" s="14"/>
      <c r="AS7381" s="14"/>
      <c r="AT7381" s="14">
        <v>200</v>
      </c>
      <c r="AU7381" s="14"/>
      <c r="AV7381" s="14"/>
      <c r="AW7381" s="15">
        <f t="shared" si="1519"/>
        <v>200</v>
      </c>
      <c r="AX7381" s="16"/>
    </row>
    <row r="7382" spans="2:50" x14ac:dyDescent="0.2">
      <c r="B7382" s="7"/>
      <c r="C7382" s="8">
        <v>17414</v>
      </c>
      <c r="D7382" s="9" t="s">
        <v>696</v>
      </c>
      <c r="E7382" s="10" t="str">
        <f t="shared" si="1514"/>
        <v>Rancho Upácuaro No. 64</v>
      </c>
      <c r="F7382" s="10" t="str">
        <f t="shared" si="1515"/>
        <v>Méndez Oliva</v>
      </c>
      <c r="G7382" s="8">
        <v>1</v>
      </c>
      <c r="H7382" s="11">
        <v>300</v>
      </c>
      <c r="I7382" s="12">
        <v>43387</v>
      </c>
      <c r="J7382" s="35">
        <f t="shared" si="1516"/>
        <v>0</v>
      </c>
      <c r="K7382" s="36"/>
      <c r="L7382" s="36"/>
      <c r="M7382" s="36"/>
      <c r="N7382" s="36"/>
      <c r="O7382" s="36"/>
      <c r="P7382" s="36"/>
      <c r="Q7382" s="36"/>
      <c r="R7382" s="36"/>
      <c r="S7382" s="36"/>
      <c r="T7382" s="36"/>
      <c r="U7382" s="36"/>
      <c r="V7382" s="36"/>
      <c r="W7382" s="15">
        <f t="shared" si="1517"/>
        <v>0</v>
      </c>
      <c r="X7382" s="36"/>
      <c r="Y7382" s="36"/>
      <c r="Z7382" s="36"/>
      <c r="AA7382" s="36"/>
      <c r="AB7382" s="36"/>
      <c r="AC7382" s="36"/>
      <c r="AD7382" s="36"/>
      <c r="AE7382" s="36"/>
      <c r="AF7382" s="36"/>
      <c r="AG7382" s="36"/>
      <c r="AH7382" s="36"/>
      <c r="AI7382" s="36"/>
      <c r="AJ7382" s="15">
        <f t="shared" si="1518"/>
        <v>0</v>
      </c>
      <c r="AK7382" s="14"/>
      <c r="AL7382" s="14"/>
      <c r="AM7382" s="14"/>
      <c r="AN7382" s="14"/>
      <c r="AO7382" s="14"/>
      <c r="AP7382" s="14"/>
      <c r="AQ7382" s="14"/>
      <c r="AR7382" s="14"/>
      <c r="AS7382" s="14"/>
      <c r="AT7382" s="14">
        <v>300</v>
      </c>
      <c r="AU7382" s="14"/>
      <c r="AV7382" s="14"/>
      <c r="AW7382" s="15">
        <f t="shared" si="1519"/>
        <v>300</v>
      </c>
      <c r="AX7382" s="16"/>
    </row>
    <row r="7383" spans="2:50" x14ac:dyDescent="0.2">
      <c r="B7383" s="7"/>
      <c r="C7383" s="8">
        <v>17415</v>
      </c>
      <c r="D7383" s="9" t="s">
        <v>277</v>
      </c>
      <c r="E7383" s="10" t="str">
        <f t="shared" si="1514"/>
        <v>Rancho Estanzuela No. 7, A</v>
      </c>
      <c r="F7383" s="10" t="str">
        <f t="shared" si="1515"/>
        <v>Herrera Izquierdo</v>
      </c>
      <c r="G7383" s="8">
        <v>1</v>
      </c>
      <c r="H7383" s="11">
        <v>200</v>
      </c>
      <c r="I7383" s="12">
        <v>43387</v>
      </c>
      <c r="J7383" s="35">
        <f t="shared" si="1516"/>
        <v>0</v>
      </c>
      <c r="K7383" s="36"/>
      <c r="L7383" s="36"/>
      <c r="M7383" s="36"/>
      <c r="N7383" s="36"/>
      <c r="O7383" s="36"/>
      <c r="P7383" s="36"/>
      <c r="Q7383" s="36"/>
      <c r="R7383" s="36"/>
      <c r="S7383" s="36"/>
      <c r="T7383" s="36"/>
      <c r="U7383" s="36"/>
      <c r="V7383" s="36"/>
      <c r="W7383" s="15">
        <f t="shared" si="1517"/>
        <v>0</v>
      </c>
      <c r="X7383" s="36"/>
      <c r="Y7383" s="36"/>
      <c r="Z7383" s="36"/>
      <c r="AA7383" s="36"/>
      <c r="AB7383" s="36"/>
      <c r="AC7383" s="36"/>
      <c r="AD7383" s="36"/>
      <c r="AE7383" s="36"/>
      <c r="AF7383" s="36"/>
      <c r="AG7383" s="36"/>
      <c r="AH7383" s="36"/>
      <c r="AI7383" s="36"/>
      <c r="AJ7383" s="15">
        <f t="shared" si="1518"/>
        <v>0</v>
      </c>
      <c r="AK7383" s="14"/>
      <c r="AL7383" s="14"/>
      <c r="AM7383" s="14"/>
      <c r="AN7383" s="14"/>
      <c r="AO7383" s="14"/>
      <c r="AP7383" s="14"/>
      <c r="AQ7383" s="14"/>
      <c r="AR7383" s="14"/>
      <c r="AS7383" s="14"/>
      <c r="AT7383" s="14">
        <v>200</v>
      </c>
      <c r="AU7383" s="14"/>
      <c r="AV7383" s="14"/>
      <c r="AW7383" s="15">
        <f t="shared" si="1519"/>
        <v>200</v>
      </c>
      <c r="AX7383" s="16"/>
    </row>
    <row r="7384" spans="2:50" x14ac:dyDescent="0.2">
      <c r="B7384" s="7"/>
      <c r="C7384" s="8">
        <v>17416</v>
      </c>
      <c r="D7384" s="9" t="s">
        <v>177</v>
      </c>
      <c r="E7384" s="10" t="str">
        <f t="shared" si="1514"/>
        <v>Rancho Landero No. 71</v>
      </c>
      <c r="F7384" s="10" t="str">
        <f t="shared" si="1515"/>
        <v xml:space="preserve">Luna  </v>
      </c>
      <c r="G7384" s="8">
        <v>1</v>
      </c>
      <c r="H7384" s="11">
        <v>400</v>
      </c>
      <c r="I7384" s="12">
        <v>43387</v>
      </c>
      <c r="J7384" s="35">
        <f t="shared" si="1516"/>
        <v>0</v>
      </c>
      <c r="K7384" s="36"/>
      <c r="L7384" s="36"/>
      <c r="M7384" s="36"/>
      <c r="N7384" s="36"/>
      <c r="O7384" s="36"/>
      <c r="P7384" s="36"/>
      <c r="Q7384" s="36"/>
      <c r="R7384" s="36"/>
      <c r="S7384" s="36"/>
      <c r="T7384" s="36"/>
      <c r="U7384" s="36"/>
      <c r="V7384" s="36"/>
      <c r="W7384" s="15">
        <f t="shared" si="1517"/>
        <v>0</v>
      </c>
      <c r="X7384" s="36"/>
      <c r="Y7384" s="36"/>
      <c r="Z7384" s="36"/>
      <c r="AA7384" s="36"/>
      <c r="AB7384" s="36"/>
      <c r="AC7384" s="36"/>
      <c r="AD7384" s="36"/>
      <c r="AE7384" s="36"/>
      <c r="AF7384" s="36"/>
      <c r="AG7384" s="36"/>
      <c r="AH7384" s="36"/>
      <c r="AI7384" s="36"/>
      <c r="AJ7384" s="15">
        <f t="shared" si="1518"/>
        <v>0</v>
      </c>
      <c r="AK7384" s="14"/>
      <c r="AL7384" s="14"/>
      <c r="AM7384" s="14"/>
      <c r="AN7384" s="14"/>
      <c r="AO7384" s="14"/>
      <c r="AP7384" s="14"/>
      <c r="AQ7384" s="14"/>
      <c r="AR7384" s="14"/>
      <c r="AS7384" s="14"/>
      <c r="AT7384" s="14">
        <v>400</v>
      </c>
      <c r="AU7384" s="14"/>
      <c r="AV7384" s="14"/>
      <c r="AW7384" s="15">
        <f t="shared" si="1519"/>
        <v>400</v>
      </c>
      <c r="AX7384" s="16"/>
    </row>
    <row r="7385" spans="2:50" x14ac:dyDescent="0.2">
      <c r="B7385" s="7"/>
      <c r="C7385" s="8">
        <v>17417</v>
      </c>
      <c r="D7385" s="9" t="s">
        <v>586</v>
      </c>
      <c r="E7385" s="10" t="str">
        <f t="shared" si="1514"/>
        <v>Rancho Estanzuela No. 161, 1</v>
      </c>
      <c r="F7385" s="10" t="str">
        <f t="shared" si="1515"/>
        <v>Guevara</v>
      </c>
      <c r="G7385" s="8">
        <v>1</v>
      </c>
      <c r="H7385" s="11">
        <v>400</v>
      </c>
      <c r="I7385" s="12">
        <v>43387</v>
      </c>
      <c r="J7385" s="35">
        <f t="shared" si="1516"/>
        <v>0</v>
      </c>
      <c r="K7385" s="36"/>
      <c r="L7385" s="36"/>
      <c r="M7385" s="36"/>
      <c r="N7385" s="36"/>
      <c r="O7385" s="36"/>
      <c r="P7385" s="36"/>
      <c r="Q7385" s="36"/>
      <c r="R7385" s="36"/>
      <c r="S7385" s="36"/>
      <c r="T7385" s="36"/>
      <c r="U7385" s="36"/>
      <c r="V7385" s="36"/>
      <c r="W7385" s="15">
        <f t="shared" si="1517"/>
        <v>0</v>
      </c>
      <c r="X7385" s="36"/>
      <c r="Y7385" s="36"/>
      <c r="Z7385" s="36"/>
      <c r="AA7385" s="36"/>
      <c r="AB7385" s="36"/>
      <c r="AC7385" s="36"/>
      <c r="AD7385" s="36"/>
      <c r="AE7385" s="36"/>
      <c r="AF7385" s="36"/>
      <c r="AG7385" s="36"/>
      <c r="AH7385" s="36"/>
      <c r="AI7385" s="36"/>
      <c r="AJ7385" s="15">
        <f t="shared" si="1518"/>
        <v>0</v>
      </c>
      <c r="AK7385" s="14"/>
      <c r="AL7385" s="14"/>
      <c r="AM7385" s="14"/>
      <c r="AN7385" s="14"/>
      <c r="AO7385" s="14"/>
      <c r="AP7385" s="14"/>
      <c r="AQ7385" s="14"/>
      <c r="AR7385" s="14">
        <v>200</v>
      </c>
      <c r="AS7385" s="14">
        <v>200</v>
      </c>
      <c r="AT7385" s="14"/>
      <c r="AU7385" s="14"/>
      <c r="AV7385" s="14"/>
      <c r="AW7385" s="15">
        <f t="shared" si="1519"/>
        <v>400</v>
      </c>
      <c r="AX7385" s="16"/>
    </row>
    <row r="7386" spans="2:50" x14ac:dyDescent="0.2">
      <c r="B7386" s="7"/>
      <c r="C7386" s="8">
        <v>17418</v>
      </c>
      <c r="D7386" s="9" t="s">
        <v>307</v>
      </c>
      <c r="E7386" s="10" t="str">
        <f t="shared" si="1514"/>
        <v>Rancho Landero No. 83</v>
      </c>
      <c r="F7386" s="10" t="str">
        <f t="shared" si="1515"/>
        <v>Aguilar</v>
      </c>
      <c r="G7386" s="8">
        <v>1</v>
      </c>
      <c r="H7386" s="11">
        <v>350</v>
      </c>
      <c r="I7386" s="12">
        <v>43387</v>
      </c>
      <c r="J7386" s="35">
        <f t="shared" si="1516"/>
        <v>0</v>
      </c>
      <c r="K7386" s="36"/>
      <c r="L7386" s="36"/>
      <c r="M7386" s="36"/>
      <c r="N7386" s="36"/>
      <c r="O7386" s="36"/>
      <c r="P7386" s="36"/>
      <c r="Q7386" s="36"/>
      <c r="R7386" s="36"/>
      <c r="S7386" s="36"/>
      <c r="T7386" s="36"/>
      <c r="U7386" s="36"/>
      <c r="V7386" s="36"/>
      <c r="W7386" s="15">
        <f t="shared" si="1517"/>
        <v>0</v>
      </c>
      <c r="X7386" s="36"/>
      <c r="Y7386" s="36"/>
      <c r="Z7386" s="36"/>
      <c r="AA7386" s="36"/>
      <c r="AB7386" s="36"/>
      <c r="AC7386" s="36"/>
      <c r="AD7386" s="36"/>
      <c r="AE7386" s="36"/>
      <c r="AF7386" s="36"/>
      <c r="AG7386" s="36"/>
      <c r="AH7386" s="36"/>
      <c r="AI7386" s="36"/>
      <c r="AJ7386" s="15">
        <f t="shared" si="1518"/>
        <v>0</v>
      </c>
      <c r="AK7386" s="14"/>
      <c r="AL7386" s="14"/>
      <c r="AM7386" s="14"/>
      <c r="AN7386" s="14"/>
      <c r="AO7386" s="14"/>
      <c r="AP7386" s="14"/>
      <c r="AQ7386" s="14"/>
      <c r="AR7386" s="14"/>
      <c r="AS7386" s="14"/>
      <c r="AT7386" s="14">
        <v>350</v>
      </c>
      <c r="AU7386" s="14"/>
      <c r="AV7386" s="14"/>
      <c r="AW7386" s="15">
        <f t="shared" si="1519"/>
        <v>350</v>
      </c>
      <c r="AX7386" s="16"/>
    </row>
    <row r="7387" spans="2:50" x14ac:dyDescent="0.2">
      <c r="B7387" s="7"/>
      <c r="C7387" s="8">
        <v>17419</v>
      </c>
      <c r="D7387" s="9" t="s">
        <v>687</v>
      </c>
      <c r="E7387" s="10" t="str">
        <f t="shared" si="1514"/>
        <v>Rancho Upácuaro No. 21</v>
      </c>
      <c r="F7387" s="10" t="str">
        <f t="shared" si="1515"/>
        <v>Fierro Betancourt</v>
      </c>
      <c r="G7387" s="8">
        <v>1</v>
      </c>
      <c r="H7387" s="11">
        <v>400</v>
      </c>
      <c r="I7387" s="12">
        <v>43387</v>
      </c>
      <c r="J7387" s="35">
        <f t="shared" si="1516"/>
        <v>0</v>
      </c>
      <c r="K7387" s="36"/>
      <c r="L7387" s="36"/>
      <c r="M7387" s="36"/>
      <c r="N7387" s="36"/>
      <c r="O7387" s="36"/>
      <c r="P7387" s="36"/>
      <c r="Q7387" s="36"/>
      <c r="R7387" s="36"/>
      <c r="S7387" s="36"/>
      <c r="T7387" s="36"/>
      <c r="U7387" s="36"/>
      <c r="V7387" s="36"/>
      <c r="W7387" s="15">
        <f t="shared" si="1517"/>
        <v>0</v>
      </c>
      <c r="X7387" s="36"/>
      <c r="Y7387" s="36"/>
      <c r="Z7387" s="36"/>
      <c r="AA7387" s="36"/>
      <c r="AB7387" s="36"/>
      <c r="AC7387" s="36"/>
      <c r="AD7387" s="36"/>
      <c r="AE7387" s="36"/>
      <c r="AF7387" s="36"/>
      <c r="AG7387" s="36"/>
      <c r="AH7387" s="36"/>
      <c r="AI7387" s="36"/>
      <c r="AJ7387" s="15">
        <f t="shared" si="1518"/>
        <v>0</v>
      </c>
      <c r="AK7387" s="14"/>
      <c r="AL7387" s="14"/>
      <c r="AM7387" s="14"/>
      <c r="AN7387" s="14"/>
      <c r="AO7387" s="14"/>
      <c r="AP7387" s="14"/>
      <c r="AQ7387" s="14"/>
      <c r="AR7387" s="14"/>
      <c r="AS7387" s="14"/>
      <c r="AT7387" s="14">
        <v>200</v>
      </c>
      <c r="AU7387" s="14">
        <v>200</v>
      </c>
      <c r="AV7387" s="14"/>
      <c r="AW7387" s="15">
        <f t="shared" si="1519"/>
        <v>400</v>
      </c>
      <c r="AX7387" s="16"/>
    </row>
    <row r="7388" spans="2:50" x14ac:dyDescent="0.2">
      <c r="B7388" s="7"/>
      <c r="C7388" s="8">
        <v>17420</v>
      </c>
      <c r="D7388" s="9" t="s">
        <v>280</v>
      </c>
      <c r="E7388" s="10" t="str">
        <f t="shared" si="1514"/>
        <v>Rancho La Cuchilla No. 40</v>
      </c>
      <c r="F7388" s="10" t="str">
        <f t="shared" si="1515"/>
        <v>López Pico</v>
      </c>
      <c r="G7388" s="8">
        <v>1</v>
      </c>
      <c r="H7388" s="11">
        <v>400</v>
      </c>
      <c r="I7388" s="12">
        <v>43387</v>
      </c>
      <c r="J7388" s="35">
        <f t="shared" si="1516"/>
        <v>0</v>
      </c>
      <c r="K7388" s="36"/>
      <c r="L7388" s="36"/>
      <c r="M7388" s="36"/>
      <c r="N7388" s="36"/>
      <c r="O7388" s="36"/>
      <c r="P7388" s="36"/>
      <c r="Q7388" s="36"/>
      <c r="R7388" s="36"/>
      <c r="S7388" s="36"/>
      <c r="T7388" s="36"/>
      <c r="U7388" s="36"/>
      <c r="V7388" s="36"/>
      <c r="W7388" s="15">
        <f t="shared" si="1517"/>
        <v>0</v>
      </c>
      <c r="X7388" s="36"/>
      <c r="Y7388" s="36"/>
      <c r="Z7388" s="36"/>
      <c r="AA7388" s="36"/>
      <c r="AB7388" s="36"/>
      <c r="AC7388" s="36"/>
      <c r="AD7388" s="36"/>
      <c r="AE7388" s="36"/>
      <c r="AF7388" s="36"/>
      <c r="AG7388" s="36"/>
      <c r="AH7388" s="36"/>
      <c r="AI7388" s="36"/>
      <c r="AJ7388" s="15">
        <f t="shared" si="1518"/>
        <v>0</v>
      </c>
      <c r="AK7388" s="14"/>
      <c r="AL7388" s="14"/>
      <c r="AM7388" s="14"/>
      <c r="AN7388" s="14"/>
      <c r="AO7388" s="14"/>
      <c r="AP7388" s="14"/>
      <c r="AQ7388" s="14"/>
      <c r="AR7388" s="14"/>
      <c r="AS7388" s="14"/>
      <c r="AT7388" s="14">
        <v>400</v>
      </c>
      <c r="AU7388" s="14"/>
      <c r="AV7388" s="14"/>
      <c r="AW7388" s="15">
        <f t="shared" si="1519"/>
        <v>400</v>
      </c>
      <c r="AX7388" s="16"/>
    </row>
    <row r="7389" spans="2:50" x14ac:dyDescent="0.2">
      <c r="B7389" s="7"/>
      <c r="C7389" s="8">
        <v>17421</v>
      </c>
      <c r="D7389" s="9" t="s">
        <v>553</v>
      </c>
      <c r="E7389" s="10" t="str">
        <f t="shared" si="1514"/>
        <v>Rancho Landero No. 100</v>
      </c>
      <c r="F7389" s="10" t="str">
        <f t="shared" si="1515"/>
        <v>Meingüer Gómez</v>
      </c>
      <c r="G7389" s="8">
        <v>1</v>
      </c>
      <c r="H7389" s="11">
        <v>1200</v>
      </c>
      <c r="I7389" s="12">
        <v>43387</v>
      </c>
      <c r="J7389" s="35">
        <f t="shared" si="1516"/>
        <v>0</v>
      </c>
      <c r="K7389" s="36"/>
      <c r="L7389" s="36"/>
      <c r="M7389" s="36"/>
      <c r="N7389" s="36"/>
      <c r="O7389" s="36"/>
      <c r="P7389" s="36"/>
      <c r="Q7389" s="36"/>
      <c r="R7389" s="36"/>
      <c r="S7389" s="36"/>
      <c r="T7389" s="36"/>
      <c r="U7389" s="36"/>
      <c r="V7389" s="36"/>
      <c r="W7389" s="15">
        <f t="shared" si="1517"/>
        <v>0</v>
      </c>
      <c r="X7389" s="36"/>
      <c r="Y7389" s="36"/>
      <c r="Z7389" s="36"/>
      <c r="AA7389" s="36"/>
      <c r="AB7389" s="36"/>
      <c r="AC7389" s="36"/>
      <c r="AD7389" s="36"/>
      <c r="AE7389" s="36"/>
      <c r="AF7389" s="36"/>
      <c r="AG7389" s="36"/>
      <c r="AH7389" s="36"/>
      <c r="AI7389" s="36"/>
      <c r="AJ7389" s="15">
        <f t="shared" si="1518"/>
        <v>0</v>
      </c>
      <c r="AK7389" s="14"/>
      <c r="AL7389" s="14"/>
      <c r="AM7389" s="14"/>
      <c r="AN7389" s="14"/>
      <c r="AO7389" s="14"/>
      <c r="AP7389" s="14"/>
      <c r="AQ7389" s="14"/>
      <c r="AR7389" s="14"/>
      <c r="AS7389" s="14">
        <v>400</v>
      </c>
      <c r="AT7389" s="14">
        <v>400</v>
      </c>
      <c r="AU7389" s="14">
        <v>400</v>
      </c>
      <c r="AV7389" s="14"/>
      <c r="AW7389" s="15">
        <f t="shared" si="1519"/>
        <v>1200</v>
      </c>
      <c r="AX7389" s="16"/>
    </row>
    <row r="7390" spans="2:50" x14ac:dyDescent="0.2">
      <c r="B7390" s="7"/>
      <c r="C7390" s="8">
        <v>17422</v>
      </c>
      <c r="D7390" s="9" t="s">
        <v>413</v>
      </c>
      <c r="E7390" s="10" t="str">
        <f t="shared" si="1514"/>
        <v>Rancho Upácuaro No. 79</v>
      </c>
      <c r="F7390" s="10" t="str">
        <f t="shared" si="1515"/>
        <v>Macías</v>
      </c>
      <c r="G7390" s="8">
        <v>1</v>
      </c>
      <c r="H7390" s="11">
        <v>400</v>
      </c>
      <c r="I7390" s="12">
        <v>43387</v>
      </c>
      <c r="J7390" s="35">
        <f t="shared" si="1516"/>
        <v>0</v>
      </c>
      <c r="K7390" s="36"/>
      <c r="L7390" s="36"/>
      <c r="M7390" s="36"/>
      <c r="N7390" s="36"/>
      <c r="O7390" s="36"/>
      <c r="P7390" s="36"/>
      <c r="Q7390" s="36"/>
      <c r="R7390" s="36"/>
      <c r="S7390" s="36"/>
      <c r="T7390" s="36"/>
      <c r="U7390" s="36"/>
      <c r="V7390" s="36"/>
      <c r="W7390" s="15">
        <f t="shared" si="1517"/>
        <v>0</v>
      </c>
      <c r="X7390" s="36"/>
      <c r="Y7390" s="36"/>
      <c r="Z7390" s="36"/>
      <c r="AA7390" s="36"/>
      <c r="AB7390" s="36"/>
      <c r="AC7390" s="36"/>
      <c r="AD7390" s="36"/>
      <c r="AE7390" s="36"/>
      <c r="AF7390" s="36"/>
      <c r="AG7390" s="36"/>
      <c r="AH7390" s="36"/>
      <c r="AI7390" s="36"/>
      <c r="AJ7390" s="15">
        <f t="shared" si="1518"/>
        <v>0</v>
      </c>
      <c r="AK7390" s="14"/>
      <c r="AL7390" s="14"/>
      <c r="AM7390" s="14"/>
      <c r="AN7390" s="14"/>
      <c r="AO7390" s="14"/>
      <c r="AP7390" s="14"/>
      <c r="AQ7390" s="14"/>
      <c r="AR7390" s="14"/>
      <c r="AS7390" s="14"/>
      <c r="AT7390" s="14">
        <v>400</v>
      </c>
      <c r="AU7390" s="14"/>
      <c r="AV7390" s="14"/>
      <c r="AW7390" s="15">
        <f t="shared" si="1519"/>
        <v>400</v>
      </c>
      <c r="AX7390" s="16"/>
    </row>
    <row r="7391" spans="2:50" x14ac:dyDescent="0.2">
      <c r="B7391" s="7"/>
      <c r="C7391" s="8">
        <v>17423</v>
      </c>
      <c r="D7391" s="9" t="s">
        <v>625</v>
      </c>
      <c r="E7391" s="10" t="str">
        <f t="shared" si="1514"/>
        <v>Rancho Upácuaro No. 60</v>
      </c>
      <c r="F7391" s="10" t="str">
        <f t="shared" si="1515"/>
        <v>Zavala</v>
      </c>
      <c r="G7391" s="8">
        <v>1</v>
      </c>
      <c r="H7391" s="11">
        <v>300</v>
      </c>
      <c r="I7391" s="12">
        <v>43387</v>
      </c>
      <c r="J7391" s="35">
        <f t="shared" si="1516"/>
        <v>0</v>
      </c>
      <c r="K7391" s="36"/>
      <c r="L7391" s="36"/>
      <c r="M7391" s="36"/>
      <c r="N7391" s="36"/>
      <c r="O7391" s="36"/>
      <c r="P7391" s="36"/>
      <c r="Q7391" s="36"/>
      <c r="R7391" s="36"/>
      <c r="S7391" s="36"/>
      <c r="T7391" s="36"/>
      <c r="U7391" s="36"/>
      <c r="V7391" s="36"/>
      <c r="W7391" s="15">
        <f t="shared" si="1517"/>
        <v>0</v>
      </c>
      <c r="X7391" s="36"/>
      <c r="Y7391" s="36"/>
      <c r="Z7391" s="36"/>
      <c r="AA7391" s="36"/>
      <c r="AB7391" s="36"/>
      <c r="AC7391" s="36"/>
      <c r="AD7391" s="36"/>
      <c r="AE7391" s="36"/>
      <c r="AF7391" s="36"/>
      <c r="AG7391" s="36"/>
      <c r="AH7391" s="36"/>
      <c r="AI7391" s="36"/>
      <c r="AJ7391" s="15">
        <f t="shared" si="1518"/>
        <v>0</v>
      </c>
      <c r="AK7391" s="14"/>
      <c r="AL7391" s="14"/>
      <c r="AM7391" s="14"/>
      <c r="AN7391" s="14"/>
      <c r="AO7391" s="14"/>
      <c r="AP7391" s="14"/>
      <c r="AQ7391" s="14"/>
      <c r="AR7391" s="14"/>
      <c r="AS7391" s="14"/>
      <c r="AT7391" s="14">
        <v>300</v>
      </c>
      <c r="AU7391" s="14"/>
      <c r="AV7391" s="14"/>
      <c r="AW7391" s="15">
        <f t="shared" si="1519"/>
        <v>300</v>
      </c>
      <c r="AX7391" s="16"/>
    </row>
    <row r="7392" spans="2:50" x14ac:dyDescent="0.2">
      <c r="B7392" s="7"/>
      <c r="C7392" s="8">
        <v>17424</v>
      </c>
      <c r="D7392" s="9" t="s">
        <v>758</v>
      </c>
      <c r="E7392" s="10" t="str">
        <f t="shared" si="1514"/>
        <v>Rancho Upácuaro No. 52</v>
      </c>
      <c r="F7392" s="10" t="str">
        <f t="shared" si="1515"/>
        <v>Velázquez V.</v>
      </c>
      <c r="G7392" s="8">
        <v>1</v>
      </c>
      <c r="H7392" s="11">
        <v>1200</v>
      </c>
      <c r="I7392" s="12">
        <v>43387</v>
      </c>
      <c r="J7392" s="35">
        <f t="shared" si="1516"/>
        <v>0</v>
      </c>
      <c r="K7392" s="36"/>
      <c r="L7392" s="36"/>
      <c r="M7392" s="36"/>
      <c r="N7392" s="36"/>
      <c r="O7392" s="36"/>
      <c r="P7392" s="36"/>
      <c r="Q7392" s="36"/>
      <c r="R7392" s="36"/>
      <c r="S7392" s="36"/>
      <c r="T7392" s="36"/>
      <c r="U7392" s="36"/>
      <c r="V7392" s="36"/>
      <c r="W7392" s="15">
        <f t="shared" si="1517"/>
        <v>0</v>
      </c>
      <c r="X7392" s="36"/>
      <c r="Y7392" s="36"/>
      <c r="Z7392" s="36"/>
      <c r="AA7392" s="36"/>
      <c r="AB7392" s="36"/>
      <c r="AC7392" s="36"/>
      <c r="AD7392" s="36"/>
      <c r="AE7392" s="36"/>
      <c r="AF7392" s="36"/>
      <c r="AG7392" s="36"/>
      <c r="AH7392" s="36"/>
      <c r="AI7392" s="36"/>
      <c r="AJ7392" s="15">
        <f t="shared" si="1518"/>
        <v>0</v>
      </c>
      <c r="AK7392" s="14"/>
      <c r="AL7392" s="14"/>
      <c r="AM7392" s="14"/>
      <c r="AN7392" s="14"/>
      <c r="AO7392" s="14">
        <v>150</v>
      </c>
      <c r="AP7392" s="14">
        <v>150</v>
      </c>
      <c r="AQ7392" s="14">
        <v>150</v>
      </c>
      <c r="AR7392" s="14">
        <v>150</v>
      </c>
      <c r="AS7392" s="14">
        <v>150</v>
      </c>
      <c r="AT7392" s="14">
        <v>150</v>
      </c>
      <c r="AU7392" s="14">
        <v>150</v>
      </c>
      <c r="AV7392" s="14">
        <v>150</v>
      </c>
      <c r="AW7392" s="15">
        <f t="shared" si="1519"/>
        <v>1200</v>
      </c>
      <c r="AX7392" s="16"/>
    </row>
    <row r="7393" spans="2:50" x14ac:dyDescent="0.2">
      <c r="B7393" s="7"/>
      <c r="C7393" s="8">
        <v>17425</v>
      </c>
      <c r="D7393" s="9" t="s">
        <v>810</v>
      </c>
      <c r="E7393" s="10" t="str">
        <f t="shared" si="1508"/>
        <v>Rancho La Cuchilla No. 90</v>
      </c>
      <c r="F7393" s="10" t="str">
        <f t="shared" si="1509"/>
        <v>Porras Fuentes</v>
      </c>
      <c r="G7393" s="8">
        <v>1</v>
      </c>
      <c r="H7393" s="11">
        <v>200</v>
      </c>
      <c r="I7393" s="12">
        <v>43387</v>
      </c>
      <c r="J7393" s="35">
        <f t="shared" si="1510"/>
        <v>0</v>
      </c>
      <c r="K7393" s="36"/>
      <c r="L7393" s="36"/>
      <c r="M7393" s="36"/>
      <c r="N7393" s="36"/>
      <c r="O7393" s="36"/>
      <c r="P7393" s="36"/>
      <c r="Q7393" s="36"/>
      <c r="R7393" s="36"/>
      <c r="S7393" s="36"/>
      <c r="T7393" s="36"/>
      <c r="U7393" s="36"/>
      <c r="V7393" s="36"/>
      <c r="W7393" s="15">
        <f t="shared" si="1511"/>
        <v>0</v>
      </c>
      <c r="X7393" s="36"/>
      <c r="Y7393" s="36"/>
      <c r="Z7393" s="36"/>
      <c r="AA7393" s="36"/>
      <c r="AB7393" s="36"/>
      <c r="AC7393" s="36"/>
      <c r="AD7393" s="36"/>
      <c r="AE7393" s="36"/>
      <c r="AF7393" s="36"/>
      <c r="AG7393" s="36"/>
      <c r="AH7393" s="36"/>
      <c r="AI7393" s="36"/>
      <c r="AJ7393" s="15">
        <f t="shared" si="1512"/>
        <v>0</v>
      </c>
      <c r="AK7393" s="14"/>
      <c r="AL7393" s="14"/>
      <c r="AM7393" s="14"/>
      <c r="AN7393" s="14"/>
      <c r="AO7393" s="14"/>
      <c r="AP7393" s="14"/>
      <c r="AQ7393" s="14"/>
      <c r="AR7393" s="14"/>
      <c r="AS7393" s="14"/>
      <c r="AT7393" s="14">
        <v>200</v>
      </c>
      <c r="AU7393" s="14"/>
      <c r="AV7393" s="14"/>
      <c r="AW7393" s="15">
        <f t="shared" si="1513"/>
        <v>200</v>
      </c>
      <c r="AX7393" s="16"/>
    </row>
    <row r="7394" spans="2:50" x14ac:dyDescent="0.2">
      <c r="B7394" s="7"/>
      <c r="C7394" s="8">
        <v>17426</v>
      </c>
      <c r="D7394" s="9" t="s">
        <v>156</v>
      </c>
      <c r="E7394" s="10" t="str">
        <f t="shared" si="1508"/>
        <v>Rancho Zinamba No. 80</v>
      </c>
      <c r="F7394" s="10" t="str">
        <f t="shared" si="1509"/>
        <v>Vázquez</v>
      </c>
      <c r="G7394" s="8">
        <v>1</v>
      </c>
      <c r="H7394" s="11">
        <v>300</v>
      </c>
      <c r="I7394" s="12">
        <v>43387</v>
      </c>
      <c r="J7394" s="35">
        <f t="shared" si="1510"/>
        <v>0</v>
      </c>
      <c r="K7394" s="36"/>
      <c r="L7394" s="36"/>
      <c r="M7394" s="36"/>
      <c r="N7394" s="36"/>
      <c r="O7394" s="36"/>
      <c r="P7394" s="36"/>
      <c r="Q7394" s="36"/>
      <c r="R7394" s="36"/>
      <c r="S7394" s="36"/>
      <c r="T7394" s="36"/>
      <c r="U7394" s="36"/>
      <c r="V7394" s="36"/>
      <c r="W7394" s="15">
        <f t="shared" si="1511"/>
        <v>0</v>
      </c>
      <c r="X7394" s="36"/>
      <c r="Y7394" s="36"/>
      <c r="Z7394" s="36"/>
      <c r="AA7394" s="36"/>
      <c r="AB7394" s="36"/>
      <c r="AC7394" s="36"/>
      <c r="AD7394" s="36"/>
      <c r="AE7394" s="36"/>
      <c r="AF7394" s="36"/>
      <c r="AG7394" s="36"/>
      <c r="AH7394" s="36"/>
      <c r="AI7394" s="36"/>
      <c r="AJ7394" s="15">
        <f t="shared" si="1512"/>
        <v>0</v>
      </c>
      <c r="AK7394" s="14"/>
      <c r="AL7394" s="14"/>
      <c r="AM7394" s="14"/>
      <c r="AN7394" s="14"/>
      <c r="AO7394" s="14"/>
      <c r="AP7394" s="14"/>
      <c r="AQ7394" s="14"/>
      <c r="AR7394" s="14"/>
      <c r="AS7394" s="14"/>
      <c r="AT7394" s="14">
        <v>300</v>
      </c>
      <c r="AU7394" s="14"/>
      <c r="AV7394" s="14"/>
      <c r="AW7394" s="15">
        <f t="shared" si="1513"/>
        <v>300</v>
      </c>
      <c r="AX7394" s="16"/>
    </row>
    <row r="7395" spans="2:50" x14ac:dyDescent="0.2">
      <c r="B7395" s="7"/>
      <c r="C7395" s="8">
        <v>17426</v>
      </c>
      <c r="D7395" s="9" t="s">
        <v>156</v>
      </c>
      <c r="E7395" s="10" t="str">
        <f t="shared" si="1508"/>
        <v>Rancho Zinamba No. 80</v>
      </c>
      <c r="F7395" s="10" t="str">
        <f t="shared" si="1509"/>
        <v>Vázquez</v>
      </c>
      <c r="G7395" s="8">
        <v>5</v>
      </c>
      <c r="H7395" s="11">
        <v>50</v>
      </c>
      <c r="I7395" s="12">
        <v>43387</v>
      </c>
      <c r="J7395" s="35">
        <f t="shared" si="1510"/>
        <v>0</v>
      </c>
      <c r="K7395" s="36"/>
      <c r="L7395" s="36"/>
      <c r="M7395" s="36"/>
      <c r="N7395" s="36"/>
      <c r="O7395" s="36"/>
      <c r="P7395" s="36"/>
      <c r="Q7395" s="36"/>
      <c r="R7395" s="36"/>
      <c r="S7395" s="36"/>
      <c r="T7395" s="36"/>
      <c r="U7395" s="36"/>
      <c r="V7395" s="36"/>
      <c r="W7395" s="15">
        <f t="shared" si="1511"/>
        <v>0</v>
      </c>
      <c r="X7395" s="36"/>
      <c r="Y7395" s="36"/>
      <c r="Z7395" s="36"/>
      <c r="AA7395" s="36"/>
      <c r="AB7395" s="36"/>
      <c r="AC7395" s="36"/>
      <c r="AD7395" s="36"/>
      <c r="AE7395" s="36"/>
      <c r="AF7395" s="36"/>
      <c r="AG7395" s="36"/>
      <c r="AH7395" s="36"/>
      <c r="AI7395" s="36"/>
      <c r="AJ7395" s="15">
        <f t="shared" si="1512"/>
        <v>0</v>
      </c>
      <c r="AK7395" s="14"/>
      <c r="AL7395" s="14"/>
      <c r="AM7395" s="14"/>
      <c r="AN7395" s="14"/>
      <c r="AO7395" s="14"/>
      <c r="AP7395" s="14"/>
      <c r="AQ7395" s="14"/>
      <c r="AR7395" s="14"/>
      <c r="AS7395" s="14"/>
      <c r="AT7395" s="14"/>
      <c r="AU7395" s="14"/>
      <c r="AV7395" s="14"/>
      <c r="AW7395" s="15">
        <f t="shared" si="1513"/>
        <v>0</v>
      </c>
      <c r="AX7395" s="16"/>
    </row>
    <row r="7396" spans="2:50" x14ac:dyDescent="0.2">
      <c r="B7396" s="7"/>
      <c r="C7396" s="8">
        <v>17427</v>
      </c>
      <c r="D7396" s="9" t="s">
        <v>831</v>
      </c>
      <c r="E7396" s="10" t="str">
        <f t="shared" si="1508"/>
        <v>Rancho Upácuaro No. 80</v>
      </c>
      <c r="F7396" s="10" t="str">
        <f t="shared" si="1509"/>
        <v>De los Ríos</v>
      </c>
      <c r="G7396" s="8">
        <v>1</v>
      </c>
      <c r="H7396" s="11">
        <v>800</v>
      </c>
      <c r="I7396" s="12">
        <v>43387</v>
      </c>
      <c r="J7396" s="35">
        <f t="shared" si="1510"/>
        <v>0</v>
      </c>
      <c r="K7396" s="36"/>
      <c r="L7396" s="36"/>
      <c r="M7396" s="36"/>
      <c r="N7396" s="36"/>
      <c r="O7396" s="36"/>
      <c r="P7396" s="36"/>
      <c r="Q7396" s="36"/>
      <c r="R7396" s="36"/>
      <c r="S7396" s="36"/>
      <c r="T7396" s="36"/>
      <c r="U7396" s="36"/>
      <c r="V7396" s="36"/>
      <c r="W7396" s="15">
        <f t="shared" si="1511"/>
        <v>0</v>
      </c>
      <c r="X7396" s="36"/>
      <c r="Y7396" s="36"/>
      <c r="Z7396" s="36"/>
      <c r="AA7396" s="36"/>
      <c r="AB7396" s="36"/>
      <c r="AC7396" s="36"/>
      <c r="AD7396" s="36"/>
      <c r="AE7396" s="36"/>
      <c r="AF7396" s="36"/>
      <c r="AG7396" s="36"/>
      <c r="AH7396" s="36"/>
      <c r="AI7396" s="36"/>
      <c r="AJ7396" s="15">
        <f t="shared" si="1512"/>
        <v>0</v>
      </c>
      <c r="AK7396" s="14"/>
      <c r="AL7396" s="14"/>
      <c r="AM7396" s="14"/>
      <c r="AN7396" s="14"/>
      <c r="AO7396" s="14"/>
      <c r="AP7396" s="14"/>
      <c r="AQ7396" s="14"/>
      <c r="AR7396" s="14"/>
      <c r="AS7396" s="14">
        <v>400</v>
      </c>
      <c r="AT7396" s="14">
        <v>400</v>
      </c>
      <c r="AU7396" s="14"/>
      <c r="AV7396" s="14"/>
      <c r="AW7396" s="15">
        <f t="shared" si="1513"/>
        <v>800</v>
      </c>
      <c r="AX7396" s="16"/>
    </row>
    <row r="7397" spans="2:50" x14ac:dyDescent="0.2">
      <c r="B7397" s="7"/>
      <c r="C7397" s="8">
        <v>17428</v>
      </c>
      <c r="D7397" s="9" t="s">
        <v>455</v>
      </c>
      <c r="E7397" s="10" t="str">
        <f t="shared" si="1508"/>
        <v>Rancho Zinamba No. 38</v>
      </c>
      <c r="F7397" s="10" t="str">
        <f t="shared" si="1509"/>
        <v>Ramírez Díaz</v>
      </c>
      <c r="G7397" s="8">
        <v>1</v>
      </c>
      <c r="H7397" s="11">
        <v>400</v>
      </c>
      <c r="I7397" s="12">
        <v>43387</v>
      </c>
      <c r="J7397" s="35">
        <f t="shared" si="1510"/>
        <v>0</v>
      </c>
      <c r="K7397" s="36"/>
      <c r="L7397" s="36"/>
      <c r="M7397" s="36"/>
      <c r="N7397" s="36"/>
      <c r="O7397" s="36"/>
      <c r="P7397" s="36"/>
      <c r="Q7397" s="36"/>
      <c r="R7397" s="36"/>
      <c r="S7397" s="36"/>
      <c r="T7397" s="36"/>
      <c r="U7397" s="36"/>
      <c r="V7397" s="36"/>
      <c r="W7397" s="15">
        <f t="shared" si="1511"/>
        <v>0</v>
      </c>
      <c r="X7397" s="36"/>
      <c r="Y7397" s="36"/>
      <c r="Z7397" s="36"/>
      <c r="AA7397" s="36"/>
      <c r="AB7397" s="36"/>
      <c r="AC7397" s="36"/>
      <c r="AD7397" s="36"/>
      <c r="AE7397" s="36"/>
      <c r="AF7397" s="36"/>
      <c r="AG7397" s="36"/>
      <c r="AH7397" s="36"/>
      <c r="AI7397" s="36"/>
      <c r="AJ7397" s="15">
        <f t="shared" si="1512"/>
        <v>0</v>
      </c>
      <c r="AK7397" s="14"/>
      <c r="AL7397" s="14"/>
      <c r="AM7397" s="14"/>
      <c r="AN7397" s="14"/>
      <c r="AO7397" s="14"/>
      <c r="AP7397" s="14"/>
      <c r="AQ7397" s="14"/>
      <c r="AR7397" s="14"/>
      <c r="AS7397" s="14"/>
      <c r="AT7397" s="14">
        <v>400</v>
      </c>
      <c r="AU7397" s="14"/>
      <c r="AV7397" s="14"/>
      <c r="AW7397" s="15">
        <f t="shared" si="1513"/>
        <v>400</v>
      </c>
      <c r="AX7397" s="16"/>
    </row>
    <row r="7398" spans="2:50" x14ac:dyDescent="0.2">
      <c r="B7398" s="7"/>
      <c r="C7398" s="8">
        <v>17429</v>
      </c>
      <c r="D7398" s="9" t="s">
        <v>262</v>
      </c>
      <c r="E7398" s="10" t="str">
        <f t="shared" si="1508"/>
        <v>Rancho Recoveco No. 1</v>
      </c>
      <c r="F7398" s="10" t="str">
        <f t="shared" si="1509"/>
        <v>Díaz</v>
      </c>
      <c r="G7398" s="8">
        <v>1</v>
      </c>
      <c r="H7398" s="11">
        <v>300</v>
      </c>
      <c r="I7398" s="12">
        <v>43387</v>
      </c>
      <c r="J7398" s="35">
        <f t="shared" si="1510"/>
        <v>0</v>
      </c>
      <c r="K7398" s="36"/>
      <c r="L7398" s="36"/>
      <c r="M7398" s="36"/>
      <c r="N7398" s="36"/>
      <c r="O7398" s="36"/>
      <c r="P7398" s="36"/>
      <c r="Q7398" s="36"/>
      <c r="R7398" s="36"/>
      <c r="S7398" s="36"/>
      <c r="T7398" s="36"/>
      <c r="U7398" s="36"/>
      <c r="V7398" s="36"/>
      <c r="W7398" s="15">
        <f t="shared" si="1511"/>
        <v>0</v>
      </c>
      <c r="X7398" s="36"/>
      <c r="Y7398" s="36"/>
      <c r="Z7398" s="36"/>
      <c r="AA7398" s="36"/>
      <c r="AB7398" s="36"/>
      <c r="AC7398" s="36"/>
      <c r="AD7398" s="36"/>
      <c r="AE7398" s="36"/>
      <c r="AF7398" s="36"/>
      <c r="AG7398" s="36"/>
      <c r="AH7398" s="36"/>
      <c r="AI7398" s="36"/>
      <c r="AJ7398" s="15">
        <f t="shared" si="1512"/>
        <v>0</v>
      </c>
      <c r="AK7398" s="14"/>
      <c r="AL7398" s="14"/>
      <c r="AM7398" s="14"/>
      <c r="AN7398" s="14"/>
      <c r="AO7398" s="14"/>
      <c r="AP7398" s="14"/>
      <c r="AQ7398" s="14"/>
      <c r="AR7398" s="14"/>
      <c r="AS7398" s="14"/>
      <c r="AT7398" s="14">
        <v>300</v>
      </c>
      <c r="AU7398" s="14"/>
      <c r="AV7398" s="14"/>
      <c r="AW7398" s="15">
        <f t="shared" si="1513"/>
        <v>300</v>
      </c>
      <c r="AX7398" s="16"/>
    </row>
    <row r="7399" spans="2:50" x14ac:dyDescent="0.2">
      <c r="B7399" s="7"/>
      <c r="C7399" s="8">
        <v>17430</v>
      </c>
      <c r="D7399" s="9" t="s">
        <v>722</v>
      </c>
      <c r="E7399" s="10" t="str">
        <f t="shared" si="1508"/>
        <v>Rancho Estanzuela No. 71</v>
      </c>
      <c r="F7399" s="10" t="str">
        <f t="shared" si="1509"/>
        <v>Soriano</v>
      </c>
      <c r="G7399" s="8">
        <v>4</v>
      </c>
      <c r="H7399" s="11">
        <v>200</v>
      </c>
      <c r="I7399" s="12">
        <v>43387</v>
      </c>
      <c r="J7399" s="35">
        <f t="shared" si="1510"/>
        <v>0</v>
      </c>
      <c r="K7399" s="36"/>
      <c r="L7399" s="36"/>
      <c r="M7399" s="36"/>
      <c r="N7399" s="36"/>
      <c r="O7399" s="36"/>
      <c r="P7399" s="36"/>
      <c r="Q7399" s="36"/>
      <c r="R7399" s="36"/>
      <c r="S7399" s="36"/>
      <c r="T7399" s="36"/>
      <c r="U7399" s="36"/>
      <c r="V7399" s="36"/>
      <c r="W7399" s="15">
        <f t="shared" si="1511"/>
        <v>0</v>
      </c>
      <c r="X7399" s="36"/>
      <c r="Y7399" s="36"/>
      <c r="Z7399" s="36"/>
      <c r="AA7399" s="36"/>
      <c r="AB7399" s="36"/>
      <c r="AC7399" s="36"/>
      <c r="AD7399" s="36"/>
      <c r="AE7399" s="36"/>
      <c r="AF7399" s="36"/>
      <c r="AG7399" s="36"/>
      <c r="AH7399" s="36"/>
      <c r="AI7399" s="36"/>
      <c r="AJ7399" s="15">
        <f t="shared" si="1512"/>
        <v>0</v>
      </c>
      <c r="AK7399" s="14"/>
      <c r="AL7399" s="14"/>
      <c r="AM7399" s="14"/>
      <c r="AN7399" s="14"/>
      <c r="AO7399" s="14"/>
      <c r="AP7399" s="14"/>
      <c r="AQ7399" s="14"/>
      <c r="AR7399" s="14"/>
      <c r="AS7399" s="14"/>
      <c r="AT7399" s="14"/>
      <c r="AU7399" s="14"/>
      <c r="AV7399" s="14"/>
      <c r="AW7399" s="15">
        <f t="shared" si="1513"/>
        <v>0</v>
      </c>
      <c r="AX7399" s="16" t="s">
        <v>5681</v>
      </c>
    </row>
    <row r="7400" spans="2:50" x14ac:dyDescent="0.2">
      <c r="B7400" s="7"/>
      <c r="C7400" s="8">
        <v>17431</v>
      </c>
      <c r="D7400" s="9" t="s">
        <v>814</v>
      </c>
      <c r="E7400" s="10" t="str">
        <f t="shared" si="1508"/>
        <v>Rancho Landero No. 47</v>
      </c>
      <c r="F7400" s="10" t="str">
        <f t="shared" si="1509"/>
        <v>García González</v>
      </c>
      <c r="G7400" s="8">
        <v>1</v>
      </c>
      <c r="H7400" s="11">
        <v>800</v>
      </c>
      <c r="I7400" s="12">
        <v>43387</v>
      </c>
      <c r="J7400" s="35">
        <f t="shared" si="1510"/>
        <v>0</v>
      </c>
      <c r="K7400" s="36"/>
      <c r="L7400" s="36"/>
      <c r="M7400" s="36"/>
      <c r="N7400" s="36"/>
      <c r="O7400" s="36"/>
      <c r="P7400" s="36"/>
      <c r="Q7400" s="36"/>
      <c r="R7400" s="36"/>
      <c r="S7400" s="36"/>
      <c r="T7400" s="36"/>
      <c r="U7400" s="36"/>
      <c r="V7400" s="36"/>
      <c r="W7400" s="15">
        <f t="shared" si="1511"/>
        <v>0</v>
      </c>
      <c r="X7400" s="36"/>
      <c r="Y7400" s="36"/>
      <c r="Z7400" s="36"/>
      <c r="AA7400" s="36"/>
      <c r="AB7400" s="36"/>
      <c r="AC7400" s="36"/>
      <c r="AD7400" s="36"/>
      <c r="AE7400" s="36"/>
      <c r="AF7400" s="36"/>
      <c r="AG7400" s="36"/>
      <c r="AH7400" s="36"/>
      <c r="AI7400" s="36"/>
      <c r="AJ7400" s="15">
        <f t="shared" si="1512"/>
        <v>0</v>
      </c>
      <c r="AK7400" s="14"/>
      <c r="AL7400" s="14"/>
      <c r="AM7400" s="14"/>
      <c r="AN7400" s="14"/>
      <c r="AO7400" s="14"/>
      <c r="AP7400" s="14"/>
      <c r="AQ7400" s="14"/>
      <c r="AR7400" s="14">
        <v>400</v>
      </c>
      <c r="AS7400" s="14">
        <v>400</v>
      </c>
      <c r="AT7400" s="14"/>
      <c r="AU7400" s="14"/>
      <c r="AV7400" s="14"/>
      <c r="AW7400" s="15">
        <f t="shared" si="1513"/>
        <v>800</v>
      </c>
      <c r="AX7400" s="16"/>
    </row>
    <row r="7401" spans="2:50" x14ac:dyDescent="0.2">
      <c r="B7401" s="7"/>
      <c r="C7401" s="8">
        <v>17432</v>
      </c>
      <c r="D7401" s="9" t="s">
        <v>1260</v>
      </c>
      <c r="E7401" s="10" t="str">
        <f t="shared" si="1508"/>
        <v>Rancho La Cuchilla No. 11</v>
      </c>
      <c r="F7401" s="10" t="str">
        <f t="shared" si="1509"/>
        <v>Santiago</v>
      </c>
      <c r="G7401" s="8">
        <v>1</v>
      </c>
      <c r="H7401" s="11">
        <v>800</v>
      </c>
      <c r="I7401" s="12">
        <v>43387</v>
      </c>
      <c r="J7401" s="35">
        <f t="shared" si="1510"/>
        <v>0</v>
      </c>
      <c r="K7401" s="36"/>
      <c r="L7401" s="36"/>
      <c r="M7401" s="36"/>
      <c r="N7401" s="36"/>
      <c r="O7401" s="36"/>
      <c r="P7401" s="36"/>
      <c r="Q7401" s="36"/>
      <c r="R7401" s="36"/>
      <c r="S7401" s="36"/>
      <c r="T7401" s="36"/>
      <c r="U7401" s="36"/>
      <c r="V7401" s="36"/>
      <c r="W7401" s="15">
        <f t="shared" si="1511"/>
        <v>0</v>
      </c>
      <c r="X7401" s="36"/>
      <c r="Y7401" s="36"/>
      <c r="Z7401" s="36"/>
      <c r="AA7401" s="36"/>
      <c r="AB7401" s="36"/>
      <c r="AC7401" s="36"/>
      <c r="AD7401" s="36"/>
      <c r="AE7401" s="36"/>
      <c r="AF7401" s="36"/>
      <c r="AG7401" s="36"/>
      <c r="AH7401" s="36"/>
      <c r="AI7401" s="36"/>
      <c r="AJ7401" s="15">
        <f t="shared" si="1512"/>
        <v>0</v>
      </c>
      <c r="AK7401" s="14"/>
      <c r="AL7401" s="14"/>
      <c r="AM7401" s="14"/>
      <c r="AN7401" s="14"/>
      <c r="AO7401" s="14"/>
      <c r="AP7401" s="14"/>
      <c r="AQ7401" s="14"/>
      <c r="AR7401" s="14">
        <v>400</v>
      </c>
      <c r="AS7401" s="14">
        <v>400</v>
      </c>
      <c r="AT7401" s="14"/>
      <c r="AU7401" s="14"/>
      <c r="AV7401" s="14"/>
      <c r="AW7401" s="15">
        <f t="shared" si="1513"/>
        <v>800</v>
      </c>
      <c r="AX7401" s="16"/>
    </row>
    <row r="7402" spans="2:50" x14ac:dyDescent="0.2">
      <c r="B7402" s="7"/>
      <c r="C7402" s="8">
        <v>17433</v>
      </c>
      <c r="D7402" s="9" t="s">
        <v>568</v>
      </c>
      <c r="E7402" s="10" t="str">
        <f t="shared" si="1508"/>
        <v>Rancho Landero No. 95</v>
      </c>
      <c r="F7402" s="10" t="str">
        <f t="shared" si="1509"/>
        <v>Rivas Rangel</v>
      </c>
      <c r="G7402" s="8">
        <v>1</v>
      </c>
      <c r="H7402" s="11">
        <v>400</v>
      </c>
      <c r="I7402" s="12">
        <v>43387</v>
      </c>
      <c r="J7402" s="35">
        <f t="shared" si="1510"/>
        <v>0</v>
      </c>
      <c r="K7402" s="36"/>
      <c r="L7402" s="36"/>
      <c r="M7402" s="36"/>
      <c r="N7402" s="36"/>
      <c r="O7402" s="36"/>
      <c r="P7402" s="36"/>
      <c r="Q7402" s="36"/>
      <c r="R7402" s="36"/>
      <c r="S7402" s="36"/>
      <c r="T7402" s="36"/>
      <c r="U7402" s="36"/>
      <c r="V7402" s="36"/>
      <c r="W7402" s="15">
        <f t="shared" si="1511"/>
        <v>0</v>
      </c>
      <c r="X7402" s="36"/>
      <c r="Y7402" s="36"/>
      <c r="Z7402" s="36"/>
      <c r="AA7402" s="36"/>
      <c r="AB7402" s="36"/>
      <c r="AC7402" s="36"/>
      <c r="AD7402" s="36"/>
      <c r="AE7402" s="36"/>
      <c r="AF7402" s="36"/>
      <c r="AG7402" s="36"/>
      <c r="AH7402" s="36"/>
      <c r="AI7402" s="36"/>
      <c r="AJ7402" s="15">
        <f t="shared" si="1512"/>
        <v>0</v>
      </c>
      <c r="AK7402" s="14"/>
      <c r="AL7402" s="14"/>
      <c r="AM7402" s="14"/>
      <c r="AN7402" s="14"/>
      <c r="AO7402" s="14"/>
      <c r="AP7402" s="14"/>
      <c r="AQ7402" s="14"/>
      <c r="AR7402" s="14"/>
      <c r="AS7402" s="14"/>
      <c r="AT7402" s="14">
        <v>400</v>
      </c>
      <c r="AU7402" s="14"/>
      <c r="AV7402" s="14"/>
      <c r="AW7402" s="15">
        <f t="shared" si="1513"/>
        <v>400</v>
      </c>
      <c r="AX7402" s="16"/>
    </row>
    <row r="7403" spans="2:50" x14ac:dyDescent="0.2">
      <c r="B7403" s="7"/>
      <c r="C7403" s="8">
        <v>17434</v>
      </c>
      <c r="D7403" s="9" t="s">
        <v>574</v>
      </c>
      <c r="E7403" s="10" t="str">
        <f t="shared" si="1508"/>
        <v xml:space="preserve">Rancho Upácuaro No. 94 </v>
      </c>
      <c r="F7403" s="10" t="str">
        <f t="shared" si="1509"/>
        <v>Juárez Patiño</v>
      </c>
      <c r="G7403" s="8">
        <v>1</v>
      </c>
      <c r="H7403" s="11">
        <v>300</v>
      </c>
      <c r="I7403" s="12">
        <v>43387</v>
      </c>
      <c r="J7403" s="35">
        <f t="shared" si="1510"/>
        <v>0</v>
      </c>
      <c r="K7403" s="36"/>
      <c r="L7403" s="36"/>
      <c r="M7403" s="36"/>
      <c r="N7403" s="36"/>
      <c r="O7403" s="36"/>
      <c r="P7403" s="36"/>
      <c r="Q7403" s="36"/>
      <c r="R7403" s="36"/>
      <c r="S7403" s="36"/>
      <c r="T7403" s="36"/>
      <c r="U7403" s="36"/>
      <c r="V7403" s="36"/>
      <c r="W7403" s="15">
        <f t="shared" si="1511"/>
        <v>0</v>
      </c>
      <c r="X7403" s="36"/>
      <c r="Y7403" s="36"/>
      <c r="Z7403" s="36"/>
      <c r="AA7403" s="36"/>
      <c r="AB7403" s="36"/>
      <c r="AC7403" s="36"/>
      <c r="AD7403" s="36"/>
      <c r="AE7403" s="36"/>
      <c r="AF7403" s="36"/>
      <c r="AG7403" s="36"/>
      <c r="AH7403" s="36"/>
      <c r="AI7403" s="36"/>
      <c r="AJ7403" s="15">
        <f t="shared" si="1512"/>
        <v>0</v>
      </c>
      <c r="AK7403" s="14"/>
      <c r="AL7403" s="14"/>
      <c r="AM7403" s="14"/>
      <c r="AN7403" s="14"/>
      <c r="AO7403" s="14"/>
      <c r="AP7403" s="14"/>
      <c r="AQ7403" s="14"/>
      <c r="AR7403" s="14"/>
      <c r="AS7403" s="14"/>
      <c r="AT7403" s="14">
        <v>300</v>
      </c>
      <c r="AU7403" s="14"/>
      <c r="AV7403" s="14"/>
      <c r="AW7403" s="15">
        <f t="shared" si="1513"/>
        <v>300</v>
      </c>
      <c r="AX7403" s="16"/>
    </row>
    <row r="7404" spans="2:50" x14ac:dyDescent="0.2">
      <c r="B7404" s="7"/>
      <c r="C7404" s="8">
        <v>17434</v>
      </c>
      <c r="D7404" s="9" t="s">
        <v>574</v>
      </c>
      <c r="E7404" s="10" t="str">
        <f t="shared" si="1508"/>
        <v xml:space="preserve">Rancho Upácuaro No. 94 </v>
      </c>
      <c r="F7404" s="10" t="str">
        <f t="shared" si="1509"/>
        <v>Juárez Patiño</v>
      </c>
      <c r="G7404" s="8">
        <v>5</v>
      </c>
      <c r="H7404" s="11">
        <v>50</v>
      </c>
      <c r="I7404" s="12">
        <v>43387</v>
      </c>
      <c r="J7404" s="35">
        <f t="shared" si="1510"/>
        <v>0</v>
      </c>
      <c r="K7404" s="36"/>
      <c r="L7404" s="36"/>
      <c r="M7404" s="36"/>
      <c r="N7404" s="36"/>
      <c r="O7404" s="36"/>
      <c r="P7404" s="36"/>
      <c r="Q7404" s="36"/>
      <c r="R7404" s="36"/>
      <c r="S7404" s="36"/>
      <c r="T7404" s="36"/>
      <c r="U7404" s="36"/>
      <c r="V7404" s="36"/>
      <c r="W7404" s="15">
        <f t="shared" si="1511"/>
        <v>0</v>
      </c>
      <c r="X7404" s="36"/>
      <c r="Y7404" s="36"/>
      <c r="Z7404" s="36"/>
      <c r="AA7404" s="36"/>
      <c r="AB7404" s="36"/>
      <c r="AC7404" s="36"/>
      <c r="AD7404" s="36"/>
      <c r="AE7404" s="36"/>
      <c r="AF7404" s="36"/>
      <c r="AG7404" s="36"/>
      <c r="AH7404" s="36"/>
      <c r="AI7404" s="36"/>
      <c r="AJ7404" s="15">
        <f t="shared" si="1512"/>
        <v>0</v>
      </c>
      <c r="AK7404" s="14"/>
      <c r="AL7404" s="14"/>
      <c r="AM7404" s="14"/>
      <c r="AN7404" s="14"/>
      <c r="AO7404" s="14"/>
      <c r="AP7404" s="14"/>
      <c r="AQ7404" s="14"/>
      <c r="AR7404" s="14"/>
      <c r="AS7404" s="14"/>
      <c r="AT7404" s="14"/>
      <c r="AU7404" s="14"/>
      <c r="AV7404" s="14"/>
      <c r="AW7404" s="15">
        <f t="shared" si="1513"/>
        <v>0</v>
      </c>
      <c r="AX7404" s="16"/>
    </row>
    <row r="7405" spans="2:50" x14ac:dyDescent="0.2">
      <c r="B7405" s="7"/>
      <c r="C7405" s="8">
        <v>17435</v>
      </c>
      <c r="D7405" s="9" t="s">
        <v>1148</v>
      </c>
      <c r="E7405" s="10" t="str">
        <f t="shared" si="1508"/>
        <v>Rancho La Cuchilla No. 118</v>
      </c>
      <c r="F7405" s="10" t="str">
        <f t="shared" si="1509"/>
        <v>Astorga Ruiz</v>
      </c>
      <c r="G7405" s="8">
        <v>1</v>
      </c>
      <c r="H7405" s="11">
        <v>1600</v>
      </c>
      <c r="I7405" s="12">
        <v>43387</v>
      </c>
      <c r="J7405" s="35">
        <f t="shared" si="1510"/>
        <v>0</v>
      </c>
      <c r="K7405" s="36"/>
      <c r="L7405" s="36"/>
      <c r="M7405" s="36"/>
      <c r="N7405" s="36"/>
      <c r="O7405" s="36"/>
      <c r="P7405" s="36"/>
      <c r="Q7405" s="36"/>
      <c r="R7405" s="36"/>
      <c r="S7405" s="36"/>
      <c r="T7405" s="36"/>
      <c r="U7405" s="36"/>
      <c r="V7405" s="36"/>
      <c r="W7405" s="15">
        <f t="shared" si="1511"/>
        <v>0</v>
      </c>
      <c r="X7405" s="36"/>
      <c r="Y7405" s="36"/>
      <c r="Z7405" s="36"/>
      <c r="AA7405" s="36"/>
      <c r="AB7405" s="36"/>
      <c r="AC7405" s="36"/>
      <c r="AD7405" s="36"/>
      <c r="AE7405" s="36"/>
      <c r="AF7405" s="36"/>
      <c r="AG7405" s="36"/>
      <c r="AH7405" s="36"/>
      <c r="AI7405" s="36"/>
      <c r="AJ7405" s="15">
        <f t="shared" si="1512"/>
        <v>0</v>
      </c>
      <c r="AK7405" s="14"/>
      <c r="AL7405" s="14"/>
      <c r="AM7405" s="14"/>
      <c r="AN7405" s="14"/>
      <c r="AO7405" s="14"/>
      <c r="AP7405" s="14"/>
      <c r="AQ7405" s="14">
        <v>400</v>
      </c>
      <c r="AR7405" s="14">
        <v>400</v>
      </c>
      <c r="AS7405" s="14">
        <v>400</v>
      </c>
      <c r="AT7405" s="14">
        <v>400</v>
      </c>
      <c r="AU7405" s="14"/>
      <c r="AV7405" s="14"/>
      <c r="AW7405" s="15">
        <f t="shared" si="1513"/>
        <v>1600</v>
      </c>
      <c r="AX7405" s="16"/>
    </row>
    <row r="7406" spans="2:50" x14ac:dyDescent="0.2">
      <c r="B7406" s="7"/>
      <c r="C7406" s="8">
        <v>17436</v>
      </c>
      <c r="D7406" s="9" t="s">
        <v>126</v>
      </c>
      <c r="E7406" s="10" t="str">
        <f t="shared" si="1508"/>
        <v>Rancho Estanzuela No. 65</v>
      </c>
      <c r="F7406" s="10" t="str">
        <f t="shared" si="1509"/>
        <v>López Becerril</v>
      </c>
      <c r="G7406" s="8">
        <v>1</v>
      </c>
      <c r="H7406" s="11">
        <v>400</v>
      </c>
      <c r="I7406" s="12">
        <v>43387</v>
      </c>
      <c r="J7406" s="35">
        <f t="shared" si="1510"/>
        <v>0</v>
      </c>
      <c r="K7406" s="36"/>
      <c r="L7406" s="36"/>
      <c r="M7406" s="36"/>
      <c r="N7406" s="36"/>
      <c r="O7406" s="36"/>
      <c r="P7406" s="36"/>
      <c r="Q7406" s="36"/>
      <c r="R7406" s="36"/>
      <c r="S7406" s="36"/>
      <c r="T7406" s="36"/>
      <c r="U7406" s="36"/>
      <c r="V7406" s="36"/>
      <c r="W7406" s="15">
        <f t="shared" si="1511"/>
        <v>0</v>
      </c>
      <c r="X7406" s="36"/>
      <c r="Y7406" s="36"/>
      <c r="Z7406" s="36"/>
      <c r="AA7406" s="36"/>
      <c r="AB7406" s="36"/>
      <c r="AC7406" s="36"/>
      <c r="AD7406" s="36"/>
      <c r="AE7406" s="36"/>
      <c r="AF7406" s="36"/>
      <c r="AG7406" s="36"/>
      <c r="AH7406" s="36"/>
      <c r="AI7406" s="36"/>
      <c r="AJ7406" s="15">
        <f t="shared" si="1512"/>
        <v>0</v>
      </c>
      <c r="AK7406" s="14"/>
      <c r="AL7406" s="14"/>
      <c r="AM7406" s="14"/>
      <c r="AN7406" s="14"/>
      <c r="AO7406" s="14"/>
      <c r="AP7406" s="14"/>
      <c r="AQ7406" s="14"/>
      <c r="AR7406" s="14"/>
      <c r="AS7406" s="14">
        <v>400</v>
      </c>
      <c r="AT7406" s="14"/>
      <c r="AU7406" s="14"/>
      <c r="AV7406" s="14"/>
      <c r="AW7406" s="15">
        <f t="shared" si="1513"/>
        <v>400</v>
      </c>
      <c r="AX7406" s="16"/>
    </row>
    <row r="7407" spans="2:50" x14ac:dyDescent="0.2">
      <c r="B7407" s="7"/>
      <c r="C7407" s="8">
        <v>17437</v>
      </c>
      <c r="D7407" s="9" t="s">
        <v>62</v>
      </c>
      <c r="E7407" s="10" t="str">
        <f t="shared" si="1508"/>
        <v>Rancho Romeral No. 10, A</v>
      </c>
      <c r="F7407" s="10" t="str">
        <f t="shared" si="1509"/>
        <v>Casillas Álvarez</v>
      </c>
      <c r="G7407" s="8">
        <v>1</v>
      </c>
      <c r="H7407" s="11">
        <v>200</v>
      </c>
      <c r="I7407" s="12">
        <v>43387</v>
      </c>
      <c r="J7407" s="35">
        <f t="shared" si="1510"/>
        <v>0</v>
      </c>
      <c r="K7407" s="36"/>
      <c r="L7407" s="36"/>
      <c r="M7407" s="36"/>
      <c r="N7407" s="36"/>
      <c r="O7407" s="36"/>
      <c r="P7407" s="36"/>
      <c r="Q7407" s="36"/>
      <c r="R7407" s="36"/>
      <c r="S7407" s="36"/>
      <c r="T7407" s="36"/>
      <c r="U7407" s="36"/>
      <c r="V7407" s="36"/>
      <c r="W7407" s="15">
        <f t="shared" si="1511"/>
        <v>0</v>
      </c>
      <c r="X7407" s="36"/>
      <c r="Y7407" s="36"/>
      <c r="Z7407" s="36"/>
      <c r="AA7407" s="36"/>
      <c r="AB7407" s="36"/>
      <c r="AC7407" s="36"/>
      <c r="AD7407" s="36"/>
      <c r="AE7407" s="36"/>
      <c r="AF7407" s="36"/>
      <c r="AG7407" s="36"/>
      <c r="AH7407" s="36"/>
      <c r="AI7407" s="36"/>
      <c r="AJ7407" s="15">
        <f t="shared" si="1512"/>
        <v>0</v>
      </c>
      <c r="AK7407" s="14"/>
      <c r="AL7407" s="14"/>
      <c r="AM7407" s="14"/>
      <c r="AN7407" s="14"/>
      <c r="AO7407" s="14"/>
      <c r="AP7407" s="14"/>
      <c r="AQ7407" s="14"/>
      <c r="AR7407" s="14"/>
      <c r="AS7407" s="14"/>
      <c r="AT7407" s="14"/>
      <c r="AU7407" s="14">
        <v>200</v>
      </c>
      <c r="AV7407" s="14"/>
      <c r="AW7407" s="15">
        <f t="shared" si="1513"/>
        <v>200</v>
      </c>
      <c r="AX7407" s="16"/>
    </row>
    <row r="7408" spans="2:50" x14ac:dyDescent="0.2">
      <c r="B7408" s="7"/>
      <c r="C7408" s="8">
        <v>17438</v>
      </c>
      <c r="D7408" s="9" t="s">
        <v>583</v>
      </c>
      <c r="E7408" s="10" t="str">
        <f t="shared" si="1508"/>
        <v>Rancho La Cuchilla No. 111</v>
      </c>
      <c r="F7408" s="10" t="str">
        <f t="shared" si="1509"/>
        <v>García Santos Ofelia</v>
      </c>
      <c r="G7408" s="8">
        <v>1</v>
      </c>
      <c r="H7408" s="11">
        <v>400</v>
      </c>
      <c r="I7408" s="12">
        <v>43387</v>
      </c>
      <c r="J7408" s="35">
        <f t="shared" si="1510"/>
        <v>0</v>
      </c>
      <c r="K7408" s="36"/>
      <c r="L7408" s="36"/>
      <c r="M7408" s="36"/>
      <c r="N7408" s="36"/>
      <c r="O7408" s="36"/>
      <c r="P7408" s="36"/>
      <c r="Q7408" s="36"/>
      <c r="R7408" s="36"/>
      <c r="S7408" s="36"/>
      <c r="T7408" s="36"/>
      <c r="U7408" s="36"/>
      <c r="V7408" s="36"/>
      <c r="W7408" s="15">
        <f t="shared" si="1511"/>
        <v>0</v>
      </c>
      <c r="X7408" s="36"/>
      <c r="Y7408" s="36"/>
      <c r="Z7408" s="36"/>
      <c r="AA7408" s="36"/>
      <c r="AB7408" s="36"/>
      <c r="AC7408" s="36"/>
      <c r="AD7408" s="36"/>
      <c r="AE7408" s="36"/>
      <c r="AF7408" s="36"/>
      <c r="AG7408" s="36"/>
      <c r="AH7408" s="36"/>
      <c r="AI7408" s="36"/>
      <c r="AJ7408" s="15">
        <f t="shared" si="1512"/>
        <v>0</v>
      </c>
      <c r="AK7408" s="14"/>
      <c r="AL7408" s="14"/>
      <c r="AM7408" s="14"/>
      <c r="AN7408" s="14"/>
      <c r="AO7408" s="14"/>
      <c r="AP7408" s="14"/>
      <c r="AQ7408" s="14"/>
      <c r="AR7408" s="14"/>
      <c r="AS7408" s="14">
        <v>200</v>
      </c>
      <c r="AT7408" s="14">
        <v>200</v>
      </c>
      <c r="AU7408" s="14"/>
      <c r="AV7408" s="14"/>
      <c r="AW7408" s="15">
        <f t="shared" si="1513"/>
        <v>400</v>
      </c>
      <c r="AX7408" s="16"/>
    </row>
    <row r="7409" spans="2:53" x14ac:dyDescent="0.2">
      <c r="B7409" s="7"/>
      <c r="C7409" s="8">
        <v>17439</v>
      </c>
      <c r="D7409" s="9" t="s">
        <v>355</v>
      </c>
      <c r="E7409" s="10" t="str">
        <f t="shared" si="1508"/>
        <v>Rancho Estanzuela No. 11, A</v>
      </c>
      <c r="F7409" s="10" t="str">
        <f t="shared" si="1509"/>
        <v>Evans González</v>
      </c>
      <c r="G7409" s="8">
        <v>1</v>
      </c>
      <c r="H7409" s="11">
        <v>900</v>
      </c>
      <c r="I7409" s="12">
        <v>43387</v>
      </c>
      <c r="J7409" s="35">
        <f t="shared" si="1510"/>
        <v>0</v>
      </c>
      <c r="K7409" s="36"/>
      <c r="L7409" s="36"/>
      <c r="M7409" s="36"/>
      <c r="N7409" s="36"/>
      <c r="O7409" s="36"/>
      <c r="P7409" s="36"/>
      <c r="Q7409" s="36"/>
      <c r="R7409" s="36"/>
      <c r="S7409" s="36"/>
      <c r="T7409" s="36"/>
      <c r="U7409" s="36"/>
      <c r="V7409" s="36"/>
      <c r="W7409" s="15">
        <f t="shared" si="1511"/>
        <v>0</v>
      </c>
      <c r="X7409" s="36"/>
      <c r="Y7409" s="36"/>
      <c r="Z7409" s="36"/>
      <c r="AA7409" s="36"/>
      <c r="AB7409" s="36"/>
      <c r="AC7409" s="36"/>
      <c r="AD7409" s="36"/>
      <c r="AE7409" s="36"/>
      <c r="AF7409" s="36"/>
      <c r="AG7409" s="36"/>
      <c r="AH7409" s="36"/>
      <c r="AI7409" s="36"/>
      <c r="AJ7409" s="15">
        <f t="shared" si="1512"/>
        <v>0</v>
      </c>
      <c r="AK7409" s="14"/>
      <c r="AL7409" s="14"/>
      <c r="AM7409" s="14"/>
      <c r="AN7409" s="14"/>
      <c r="AO7409" s="14"/>
      <c r="AP7409" s="14"/>
      <c r="AQ7409" s="14"/>
      <c r="AR7409" s="14"/>
      <c r="AS7409" s="14"/>
      <c r="AT7409" s="14">
        <v>300</v>
      </c>
      <c r="AU7409" s="14">
        <v>300</v>
      </c>
      <c r="AV7409" s="14">
        <v>300</v>
      </c>
      <c r="AW7409" s="15">
        <f t="shared" si="1513"/>
        <v>900</v>
      </c>
      <c r="AX7409" s="16"/>
    </row>
    <row r="7410" spans="2:53" x14ac:dyDescent="0.2">
      <c r="B7410" s="7"/>
      <c r="C7410" s="8">
        <v>17439</v>
      </c>
      <c r="D7410" s="9" t="s">
        <v>355</v>
      </c>
      <c r="E7410" s="10" t="str">
        <f t="shared" si="1508"/>
        <v>Rancho Estanzuela No. 11, A</v>
      </c>
      <c r="F7410" s="10" t="str">
        <f t="shared" si="1509"/>
        <v>Evans González</v>
      </c>
      <c r="G7410" s="8">
        <v>5</v>
      </c>
      <c r="H7410" s="11">
        <v>50</v>
      </c>
      <c r="I7410" s="12">
        <v>43387</v>
      </c>
      <c r="J7410" s="35">
        <f t="shared" si="1510"/>
        <v>0</v>
      </c>
      <c r="K7410" s="36"/>
      <c r="L7410" s="36"/>
      <c r="M7410" s="36"/>
      <c r="N7410" s="36"/>
      <c r="O7410" s="36"/>
      <c r="P7410" s="36"/>
      <c r="Q7410" s="36"/>
      <c r="R7410" s="36"/>
      <c r="S7410" s="36"/>
      <c r="T7410" s="36"/>
      <c r="U7410" s="36"/>
      <c r="V7410" s="36"/>
      <c r="W7410" s="15">
        <f t="shared" si="1511"/>
        <v>0</v>
      </c>
      <c r="X7410" s="36"/>
      <c r="Y7410" s="36"/>
      <c r="Z7410" s="36"/>
      <c r="AA7410" s="36"/>
      <c r="AB7410" s="36"/>
      <c r="AC7410" s="36"/>
      <c r="AD7410" s="36"/>
      <c r="AE7410" s="36"/>
      <c r="AF7410" s="36"/>
      <c r="AG7410" s="36"/>
      <c r="AH7410" s="36"/>
      <c r="AI7410" s="36"/>
      <c r="AJ7410" s="15">
        <f t="shared" si="1512"/>
        <v>0</v>
      </c>
      <c r="AK7410" s="14"/>
      <c r="AL7410" s="14"/>
      <c r="AM7410" s="14"/>
      <c r="AN7410" s="14"/>
      <c r="AO7410" s="14"/>
      <c r="AP7410" s="14"/>
      <c r="AQ7410" s="14"/>
      <c r="AR7410" s="14"/>
      <c r="AS7410" s="14"/>
      <c r="AT7410" s="14"/>
      <c r="AU7410" s="14"/>
      <c r="AV7410" s="14"/>
      <c r="AW7410" s="15">
        <f t="shared" si="1513"/>
        <v>0</v>
      </c>
      <c r="AX7410" s="16"/>
    </row>
    <row r="7411" spans="2:53" x14ac:dyDescent="0.2">
      <c r="B7411" s="7"/>
      <c r="C7411" s="8">
        <v>17440</v>
      </c>
      <c r="D7411" s="9" t="s">
        <v>202</v>
      </c>
      <c r="E7411" s="10" t="str">
        <f t="shared" si="1508"/>
        <v>Rancho Estanzuela No. 25</v>
      </c>
      <c r="F7411" s="10" t="str">
        <f t="shared" si="1509"/>
        <v>Contreras Figueroa</v>
      </c>
      <c r="G7411" s="8">
        <v>1</v>
      </c>
      <c r="H7411" s="11">
        <v>400</v>
      </c>
      <c r="I7411" s="12">
        <v>43387</v>
      </c>
      <c r="J7411" s="35">
        <f t="shared" si="1510"/>
        <v>0</v>
      </c>
      <c r="K7411" s="36"/>
      <c r="L7411" s="36"/>
      <c r="M7411" s="36"/>
      <c r="N7411" s="36"/>
      <c r="O7411" s="36"/>
      <c r="P7411" s="36"/>
      <c r="Q7411" s="36"/>
      <c r="R7411" s="36"/>
      <c r="S7411" s="36"/>
      <c r="T7411" s="36"/>
      <c r="U7411" s="36"/>
      <c r="V7411" s="36"/>
      <c r="W7411" s="15">
        <f t="shared" si="1511"/>
        <v>0</v>
      </c>
      <c r="X7411" s="36"/>
      <c r="Y7411" s="36"/>
      <c r="Z7411" s="36"/>
      <c r="AA7411" s="36"/>
      <c r="AB7411" s="36"/>
      <c r="AC7411" s="36"/>
      <c r="AD7411" s="36"/>
      <c r="AE7411" s="36"/>
      <c r="AF7411" s="36"/>
      <c r="AG7411" s="36"/>
      <c r="AH7411" s="36"/>
      <c r="AI7411" s="36"/>
      <c r="AJ7411" s="15">
        <f t="shared" si="1512"/>
        <v>0</v>
      </c>
      <c r="AK7411" s="14"/>
      <c r="AL7411" s="14"/>
      <c r="AM7411" s="14"/>
      <c r="AN7411" s="14"/>
      <c r="AO7411" s="14"/>
      <c r="AP7411" s="14"/>
      <c r="AQ7411" s="14"/>
      <c r="AR7411" s="14"/>
      <c r="AS7411" s="14"/>
      <c r="AT7411" s="14">
        <v>400</v>
      </c>
      <c r="AU7411" s="14"/>
      <c r="AV7411" s="14"/>
      <c r="AW7411" s="15">
        <f t="shared" si="1513"/>
        <v>400</v>
      </c>
      <c r="AX7411" s="16"/>
    </row>
    <row r="7412" spans="2:53" x14ac:dyDescent="0.2">
      <c r="B7412" s="7"/>
      <c r="C7412" s="8">
        <v>17441</v>
      </c>
      <c r="D7412" s="9" t="s">
        <v>617</v>
      </c>
      <c r="E7412" s="10" t="str">
        <f t="shared" si="1508"/>
        <v>Rancho Zinamba No. 50</v>
      </c>
      <c r="F7412" s="10" t="str">
        <f t="shared" si="1509"/>
        <v>Del Castillo</v>
      </c>
      <c r="G7412" s="8">
        <v>1</v>
      </c>
      <c r="H7412" s="11">
        <v>400</v>
      </c>
      <c r="I7412" s="12">
        <v>43387</v>
      </c>
      <c r="J7412" s="35">
        <f t="shared" si="1510"/>
        <v>0</v>
      </c>
      <c r="K7412" s="36"/>
      <c r="L7412" s="36"/>
      <c r="M7412" s="36"/>
      <c r="N7412" s="36"/>
      <c r="O7412" s="36"/>
      <c r="P7412" s="36"/>
      <c r="Q7412" s="36"/>
      <c r="R7412" s="36"/>
      <c r="S7412" s="36"/>
      <c r="T7412" s="36"/>
      <c r="U7412" s="36"/>
      <c r="V7412" s="36"/>
      <c r="W7412" s="15">
        <f t="shared" si="1511"/>
        <v>0</v>
      </c>
      <c r="X7412" s="36"/>
      <c r="Y7412" s="36"/>
      <c r="Z7412" s="36"/>
      <c r="AA7412" s="36"/>
      <c r="AB7412" s="36"/>
      <c r="AC7412" s="36"/>
      <c r="AD7412" s="36"/>
      <c r="AE7412" s="36"/>
      <c r="AF7412" s="36"/>
      <c r="AG7412" s="36"/>
      <c r="AH7412" s="36"/>
      <c r="AI7412" s="36"/>
      <c r="AJ7412" s="15">
        <f t="shared" si="1512"/>
        <v>0</v>
      </c>
      <c r="AK7412" s="14"/>
      <c r="AL7412" s="14"/>
      <c r="AM7412" s="14"/>
      <c r="AN7412" s="14"/>
      <c r="AO7412" s="14"/>
      <c r="AP7412" s="14"/>
      <c r="AQ7412" s="14"/>
      <c r="AR7412" s="14"/>
      <c r="AS7412" s="14">
        <v>400</v>
      </c>
      <c r="AT7412" s="14"/>
      <c r="AU7412" s="14"/>
      <c r="AV7412" s="14"/>
      <c r="AW7412" s="15">
        <f t="shared" si="1513"/>
        <v>400</v>
      </c>
      <c r="AX7412" s="16"/>
    </row>
    <row r="7413" spans="2:53" x14ac:dyDescent="0.2">
      <c r="B7413" s="7"/>
      <c r="C7413" s="8">
        <v>17442</v>
      </c>
      <c r="D7413" s="9" t="s">
        <v>401</v>
      </c>
      <c r="E7413" s="10" t="str">
        <f t="shared" si="1508"/>
        <v>Rancho Landero No. 68</v>
      </c>
      <c r="F7413" s="10" t="str">
        <f t="shared" si="1509"/>
        <v>Moreno</v>
      </c>
      <c r="G7413" s="8">
        <v>1</v>
      </c>
      <c r="H7413" s="11">
        <v>1200</v>
      </c>
      <c r="I7413" s="12">
        <v>43387</v>
      </c>
      <c r="J7413" s="35">
        <f t="shared" si="1510"/>
        <v>0</v>
      </c>
      <c r="K7413" s="36"/>
      <c r="L7413" s="36"/>
      <c r="M7413" s="36"/>
      <c r="N7413" s="36"/>
      <c r="O7413" s="36"/>
      <c r="P7413" s="36"/>
      <c r="Q7413" s="36"/>
      <c r="R7413" s="36"/>
      <c r="S7413" s="36"/>
      <c r="T7413" s="36"/>
      <c r="U7413" s="36"/>
      <c r="V7413" s="36"/>
      <c r="W7413" s="15">
        <f t="shared" si="1511"/>
        <v>0</v>
      </c>
      <c r="X7413" s="36"/>
      <c r="Y7413" s="36"/>
      <c r="Z7413" s="36"/>
      <c r="AA7413" s="36"/>
      <c r="AB7413" s="36"/>
      <c r="AC7413" s="36"/>
      <c r="AD7413" s="36"/>
      <c r="AE7413" s="36"/>
      <c r="AF7413" s="36"/>
      <c r="AG7413" s="36"/>
      <c r="AH7413" s="36"/>
      <c r="AI7413" s="36"/>
      <c r="AJ7413" s="15">
        <f t="shared" si="1512"/>
        <v>0</v>
      </c>
      <c r="AK7413" s="14"/>
      <c r="AL7413" s="14"/>
      <c r="AM7413" s="14"/>
      <c r="AN7413" s="14"/>
      <c r="AO7413" s="14"/>
      <c r="AP7413" s="14"/>
      <c r="AQ7413" s="14">
        <v>400</v>
      </c>
      <c r="AR7413" s="14">
        <v>400</v>
      </c>
      <c r="AS7413" s="14">
        <v>400</v>
      </c>
      <c r="AT7413" s="14"/>
      <c r="AU7413" s="14"/>
      <c r="AV7413" s="14"/>
      <c r="AW7413" s="15">
        <f t="shared" si="1513"/>
        <v>1200</v>
      </c>
      <c r="AX7413" s="16"/>
    </row>
    <row r="7414" spans="2:53" x14ac:dyDescent="0.2">
      <c r="B7414" s="7"/>
      <c r="C7414" s="8">
        <v>17443</v>
      </c>
      <c r="D7414" s="9" t="s">
        <v>208</v>
      </c>
      <c r="E7414" s="10" t="str">
        <f t="shared" si="1508"/>
        <v>Rancho La Cuchilla No. 29</v>
      </c>
      <c r="F7414" s="10" t="str">
        <f t="shared" si="1509"/>
        <v>Vega Sánchez C.</v>
      </c>
      <c r="G7414" s="8">
        <v>5</v>
      </c>
      <c r="H7414" s="11">
        <v>100</v>
      </c>
      <c r="I7414" s="12">
        <v>43387</v>
      </c>
      <c r="J7414" s="35">
        <f t="shared" si="1510"/>
        <v>0</v>
      </c>
      <c r="K7414" s="36"/>
      <c r="L7414" s="36"/>
      <c r="M7414" s="36"/>
      <c r="N7414" s="36"/>
      <c r="O7414" s="36"/>
      <c r="P7414" s="36"/>
      <c r="Q7414" s="36"/>
      <c r="R7414" s="36"/>
      <c r="S7414" s="36"/>
      <c r="T7414" s="36"/>
      <c r="U7414" s="36"/>
      <c r="V7414" s="36"/>
      <c r="W7414" s="15">
        <f t="shared" si="1511"/>
        <v>0</v>
      </c>
      <c r="X7414" s="36"/>
      <c r="Y7414" s="36"/>
      <c r="Z7414" s="36"/>
      <c r="AA7414" s="36"/>
      <c r="AB7414" s="36"/>
      <c r="AC7414" s="36"/>
      <c r="AD7414" s="36"/>
      <c r="AE7414" s="36"/>
      <c r="AF7414" s="36"/>
      <c r="AG7414" s="36"/>
      <c r="AH7414" s="36"/>
      <c r="AI7414" s="36"/>
      <c r="AJ7414" s="15">
        <f t="shared" si="1512"/>
        <v>0</v>
      </c>
      <c r="AK7414" s="14"/>
      <c r="AL7414" s="14"/>
      <c r="AM7414" s="14"/>
      <c r="AN7414" s="14"/>
      <c r="AO7414" s="14"/>
      <c r="AP7414" s="14"/>
      <c r="AQ7414" s="14"/>
      <c r="AR7414" s="14"/>
      <c r="AS7414" s="14"/>
      <c r="AT7414" s="14"/>
      <c r="AU7414" s="14"/>
      <c r="AV7414" s="14"/>
      <c r="AW7414" s="15">
        <f t="shared" si="1513"/>
        <v>0</v>
      </c>
      <c r="AX7414" s="16"/>
    </row>
    <row r="7415" spans="2:53" x14ac:dyDescent="0.2">
      <c r="B7415" s="7"/>
      <c r="C7415" s="8">
        <v>17444</v>
      </c>
      <c r="D7415" s="9" t="s">
        <v>87</v>
      </c>
      <c r="E7415" s="10" t="str">
        <f t="shared" si="1508"/>
        <v>Rancho Zinamba No. 36</v>
      </c>
      <c r="F7415" s="10" t="str">
        <f t="shared" si="1509"/>
        <v>Rodríguez Ortiz</v>
      </c>
      <c r="G7415" s="8">
        <v>1</v>
      </c>
      <c r="H7415" s="11">
        <v>400</v>
      </c>
      <c r="I7415" s="12">
        <v>43387</v>
      </c>
      <c r="J7415" s="35">
        <f t="shared" si="1510"/>
        <v>0</v>
      </c>
      <c r="K7415" s="36"/>
      <c r="L7415" s="36"/>
      <c r="M7415" s="36"/>
      <c r="N7415" s="36"/>
      <c r="O7415" s="36"/>
      <c r="P7415" s="36"/>
      <c r="Q7415" s="36"/>
      <c r="R7415" s="36"/>
      <c r="S7415" s="36"/>
      <c r="T7415" s="36"/>
      <c r="U7415" s="36"/>
      <c r="V7415" s="36"/>
      <c r="W7415" s="15">
        <f t="shared" si="1511"/>
        <v>0</v>
      </c>
      <c r="X7415" s="36"/>
      <c r="Y7415" s="36"/>
      <c r="Z7415" s="36"/>
      <c r="AA7415" s="36"/>
      <c r="AB7415" s="36"/>
      <c r="AC7415" s="36"/>
      <c r="AD7415" s="36"/>
      <c r="AE7415" s="36"/>
      <c r="AF7415" s="36"/>
      <c r="AG7415" s="36"/>
      <c r="AH7415" s="36"/>
      <c r="AI7415" s="36"/>
      <c r="AJ7415" s="15">
        <f t="shared" si="1512"/>
        <v>0</v>
      </c>
      <c r="AK7415" s="14"/>
      <c r="AL7415" s="14"/>
      <c r="AM7415" s="14"/>
      <c r="AN7415" s="14"/>
      <c r="AO7415" s="14"/>
      <c r="AP7415" s="14"/>
      <c r="AQ7415" s="14"/>
      <c r="AR7415" s="14"/>
      <c r="AS7415" s="14"/>
      <c r="AT7415" s="14">
        <v>400</v>
      </c>
      <c r="AU7415" s="14"/>
      <c r="AV7415" s="14"/>
      <c r="AW7415" s="15">
        <f t="shared" si="1513"/>
        <v>400</v>
      </c>
      <c r="AX7415" s="16"/>
    </row>
    <row r="7416" spans="2:53" x14ac:dyDescent="0.2">
      <c r="B7416" s="7"/>
      <c r="C7416" s="8">
        <v>17445</v>
      </c>
      <c r="D7416" s="9" t="s">
        <v>655</v>
      </c>
      <c r="E7416" s="10" t="str">
        <f t="shared" si="1508"/>
        <v>Rancho La Cuchilla No. 115</v>
      </c>
      <c r="F7416" s="10" t="str">
        <f t="shared" si="1509"/>
        <v>Alfaro</v>
      </c>
      <c r="G7416" s="8">
        <v>1</v>
      </c>
      <c r="H7416" s="11">
        <v>2000</v>
      </c>
      <c r="I7416" s="12">
        <v>43387</v>
      </c>
      <c r="J7416" s="35">
        <f t="shared" si="1510"/>
        <v>0</v>
      </c>
      <c r="K7416" s="36"/>
      <c r="L7416" s="36"/>
      <c r="M7416" s="36"/>
      <c r="N7416" s="36"/>
      <c r="O7416" s="36"/>
      <c r="P7416" s="36"/>
      <c r="Q7416" s="36"/>
      <c r="R7416" s="36"/>
      <c r="S7416" s="36"/>
      <c r="T7416" s="36"/>
      <c r="U7416" s="36"/>
      <c r="V7416" s="36"/>
      <c r="W7416" s="15">
        <f t="shared" si="1511"/>
        <v>0</v>
      </c>
      <c r="X7416" s="36"/>
      <c r="Y7416" s="36"/>
      <c r="Z7416" s="36"/>
      <c r="AA7416" s="36"/>
      <c r="AB7416" s="36"/>
      <c r="AC7416" s="36"/>
      <c r="AD7416" s="36"/>
      <c r="AE7416" s="36"/>
      <c r="AF7416" s="36"/>
      <c r="AG7416" s="36"/>
      <c r="AH7416" s="36"/>
      <c r="AI7416" s="36"/>
      <c r="AJ7416" s="15">
        <f t="shared" si="1512"/>
        <v>0</v>
      </c>
      <c r="AK7416" s="14">
        <v>400</v>
      </c>
      <c r="AL7416" s="14">
        <v>400</v>
      </c>
      <c r="AM7416" s="14">
        <v>400</v>
      </c>
      <c r="AN7416" s="14">
        <v>400</v>
      </c>
      <c r="AO7416" s="14">
        <v>400</v>
      </c>
      <c r="AP7416" s="14"/>
      <c r="AQ7416" s="14"/>
      <c r="AR7416" s="14"/>
      <c r="AS7416" s="14"/>
      <c r="AT7416" s="14"/>
      <c r="AU7416" s="14"/>
      <c r="AV7416" s="14"/>
      <c r="AW7416" s="15">
        <f t="shared" si="1513"/>
        <v>2000</v>
      </c>
      <c r="AX7416" s="16"/>
    </row>
    <row r="7417" spans="2:53" x14ac:dyDescent="0.2">
      <c r="B7417" s="7"/>
      <c r="C7417" s="8">
        <v>17446</v>
      </c>
      <c r="D7417" s="9" t="s">
        <v>295</v>
      </c>
      <c r="E7417" s="10" t="str">
        <f t="shared" si="1508"/>
        <v>Rancho Landero No. 99</v>
      </c>
      <c r="F7417" s="10" t="str">
        <f t="shared" si="1509"/>
        <v>Rangel</v>
      </c>
      <c r="G7417" s="8">
        <v>1</v>
      </c>
      <c r="H7417" s="11">
        <v>300</v>
      </c>
      <c r="I7417" s="12">
        <v>43387</v>
      </c>
      <c r="J7417" s="35">
        <f t="shared" si="1510"/>
        <v>0</v>
      </c>
      <c r="K7417" s="36"/>
      <c r="L7417" s="36"/>
      <c r="M7417" s="36"/>
      <c r="N7417" s="36"/>
      <c r="O7417" s="36"/>
      <c r="P7417" s="36"/>
      <c r="Q7417" s="36"/>
      <c r="R7417" s="36"/>
      <c r="S7417" s="36"/>
      <c r="T7417" s="36"/>
      <c r="U7417" s="36"/>
      <c r="V7417" s="36"/>
      <c r="W7417" s="15">
        <f t="shared" si="1511"/>
        <v>0</v>
      </c>
      <c r="X7417" s="36"/>
      <c r="Y7417" s="36"/>
      <c r="Z7417" s="36"/>
      <c r="AA7417" s="36"/>
      <c r="AB7417" s="36"/>
      <c r="AC7417" s="36"/>
      <c r="AD7417" s="36"/>
      <c r="AE7417" s="36"/>
      <c r="AF7417" s="36"/>
      <c r="AG7417" s="36"/>
      <c r="AH7417" s="36"/>
      <c r="AI7417" s="36"/>
      <c r="AJ7417" s="15">
        <f t="shared" si="1512"/>
        <v>0</v>
      </c>
      <c r="AK7417" s="14"/>
      <c r="AL7417" s="14"/>
      <c r="AM7417" s="14"/>
      <c r="AN7417" s="14"/>
      <c r="AO7417" s="14"/>
      <c r="AP7417" s="14"/>
      <c r="AQ7417" s="14">
        <v>300</v>
      </c>
      <c r="AR7417" s="14"/>
      <c r="AS7417" s="14"/>
      <c r="AT7417" s="14"/>
      <c r="AU7417" s="14"/>
      <c r="AV7417" s="14"/>
      <c r="AW7417" s="15">
        <f t="shared" si="1513"/>
        <v>300</v>
      </c>
      <c r="AX7417" s="16"/>
    </row>
    <row r="7418" spans="2:53" x14ac:dyDescent="0.2">
      <c r="B7418" s="7"/>
      <c r="C7418" s="8">
        <v>17447</v>
      </c>
      <c r="D7418" s="9" t="s">
        <v>168</v>
      </c>
      <c r="E7418" s="10" t="str">
        <f t="shared" si="1508"/>
        <v>Rancho Upácuaro No. 73, A</v>
      </c>
      <c r="F7418" s="10" t="str">
        <f t="shared" si="1509"/>
        <v>Ortega</v>
      </c>
      <c r="G7418" s="8">
        <v>1</v>
      </c>
      <c r="H7418" s="11">
        <v>400</v>
      </c>
      <c r="I7418" s="12">
        <v>43387</v>
      </c>
      <c r="J7418" s="35">
        <f t="shared" si="1510"/>
        <v>0</v>
      </c>
      <c r="K7418" s="36"/>
      <c r="L7418" s="36"/>
      <c r="M7418" s="36"/>
      <c r="N7418" s="36"/>
      <c r="O7418" s="36"/>
      <c r="P7418" s="36"/>
      <c r="Q7418" s="36"/>
      <c r="R7418" s="36"/>
      <c r="S7418" s="36"/>
      <c r="T7418" s="36"/>
      <c r="U7418" s="36"/>
      <c r="V7418" s="36"/>
      <c r="W7418" s="15">
        <f t="shared" si="1511"/>
        <v>0</v>
      </c>
      <c r="X7418" s="36"/>
      <c r="Y7418" s="36"/>
      <c r="Z7418" s="36"/>
      <c r="AA7418" s="36"/>
      <c r="AB7418" s="36"/>
      <c r="AC7418" s="36"/>
      <c r="AD7418" s="36"/>
      <c r="AE7418" s="36"/>
      <c r="AF7418" s="36"/>
      <c r="AG7418" s="36"/>
      <c r="AH7418" s="36"/>
      <c r="AI7418" s="36"/>
      <c r="AJ7418" s="15">
        <f t="shared" si="1512"/>
        <v>0</v>
      </c>
      <c r="AK7418" s="14"/>
      <c r="AL7418" s="14"/>
      <c r="AM7418" s="14"/>
      <c r="AN7418" s="14"/>
      <c r="AO7418" s="14"/>
      <c r="AP7418" s="14"/>
      <c r="AQ7418" s="14"/>
      <c r="AR7418" s="14"/>
      <c r="AS7418" s="14">
        <v>200</v>
      </c>
      <c r="AT7418" s="14">
        <v>200</v>
      </c>
      <c r="AU7418" s="14"/>
      <c r="AV7418" s="14"/>
      <c r="AW7418" s="15">
        <f t="shared" si="1513"/>
        <v>400</v>
      </c>
      <c r="AX7418" s="16"/>
    </row>
    <row r="7419" spans="2:53" x14ac:dyDescent="0.2">
      <c r="B7419" s="7"/>
      <c r="C7419" s="8">
        <v>17448</v>
      </c>
      <c r="D7419" s="9" t="s">
        <v>94</v>
      </c>
      <c r="E7419" s="10" t="str">
        <f t="shared" si="1508"/>
        <v>Rancho Landero No. 42</v>
      </c>
      <c r="F7419" s="10" t="str">
        <f t="shared" si="1509"/>
        <v>Ávila Fidel</v>
      </c>
      <c r="G7419" s="8">
        <v>1</v>
      </c>
      <c r="H7419" s="11">
        <v>400</v>
      </c>
      <c r="I7419" s="12">
        <v>43387</v>
      </c>
      <c r="J7419" s="35">
        <f t="shared" si="1510"/>
        <v>0</v>
      </c>
      <c r="K7419" s="36"/>
      <c r="L7419" s="36"/>
      <c r="M7419" s="36"/>
      <c r="N7419" s="36"/>
      <c r="O7419" s="36"/>
      <c r="P7419" s="36"/>
      <c r="Q7419" s="36"/>
      <c r="R7419" s="36"/>
      <c r="S7419" s="36"/>
      <c r="T7419" s="36"/>
      <c r="U7419" s="36"/>
      <c r="V7419" s="36"/>
      <c r="W7419" s="15">
        <f t="shared" si="1511"/>
        <v>0</v>
      </c>
      <c r="X7419" s="36"/>
      <c r="Y7419" s="36"/>
      <c r="Z7419" s="36"/>
      <c r="AA7419" s="36"/>
      <c r="AB7419" s="36"/>
      <c r="AC7419" s="36"/>
      <c r="AD7419" s="36"/>
      <c r="AE7419" s="36"/>
      <c r="AF7419" s="36"/>
      <c r="AG7419" s="36"/>
      <c r="AH7419" s="36"/>
      <c r="AI7419" s="36"/>
      <c r="AJ7419" s="15">
        <f t="shared" si="1512"/>
        <v>0</v>
      </c>
      <c r="AK7419" s="14"/>
      <c r="AL7419" s="14"/>
      <c r="AM7419" s="14"/>
      <c r="AN7419" s="14"/>
      <c r="AO7419" s="14"/>
      <c r="AP7419" s="14"/>
      <c r="AQ7419" s="14"/>
      <c r="AR7419" s="14"/>
      <c r="AS7419" s="14"/>
      <c r="AT7419" s="14">
        <v>400</v>
      </c>
      <c r="AU7419" s="14"/>
      <c r="AV7419" s="14"/>
      <c r="AW7419" s="15">
        <f t="shared" si="1513"/>
        <v>400</v>
      </c>
      <c r="AX7419" s="16"/>
    </row>
    <row r="7420" spans="2:53" x14ac:dyDescent="0.2">
      <c r="B7420" s="7"/>
      <c r="C7420" s="8">
        <v>17449</v>
      </c>
      <c r="D7420" s="9" t="s">
        <v>716</v>
      </c>
      <c r="E7420" s="10" t="str">
        <f t="shared" si="1508"/>
        <v>Rancho Landero No. 20</v>
      </c>
      <c r="F7420" s="10" t="str">
        <f t="shared" si="1509"/>
        <v>Velasco</v>
      </c>
      <c r="G7420" s="8">
        <v>1</v>
      </c>
      <c r="H7420" s="11">
        <v>300</v>
      </c>
      <c r="I7420" s="12">
        <v>43387</v>
      </c>
      <c r="J7420" s="35">
        <f t="shared" si="1510"/>
        <v>0</v>
      </c>
      <c r="K7420" s="36"/>
      <c r="L7420" s="36"/>
      <c r="M7420" s="36"/>
      <c r="N7420" s="36"/>
      <c r="O7420" s="36"/>
      <c r="P7420" s="36"/>
      <c r="Q7420" s="36"/>
      <c r="R7420" s="36"/>
      <c r="S7420" s="36"/>
      <c r="T7420" s="36"/>
      <c r="U7420" s="36"/>
      <c r="V7420" s="36"/>
      <c r="W7420" s="15">
        <f t="shared" si="1511"/>
        <v>0</v>
      </c>
      <c r="X7420" s="36"/>
      <c r="Y7420" s="36"/>
      <c r="Z7420" s="36"/>
      <c r="AA7420" s="36"/>
      <c r="AB7420" s="36"/>
      <c r="AC7420" s="36"/>
      <c r="AD7420" s="36"/>
      <c r="AE7420" s="36"/>
      <c r="AF7420" s="36"/>
      <c r="AG7420" s="36"/>
      <c r="AH7420" s="36"/>
      <c r="AI7420" s="36"/>
      <c r="AJ7420" s="15">
        <f t="shared" si="1512"/>
        <v>0</v>
      </c>
      <c r="AK7420" s="14"/>
      <c r="AL7420" s="14"/>
      <c r="AM7420" s="14"/>
      <c r="AN7420" s="14"/>
      <c r="AO7420" s="14"/>
      <c r="AP7420" s="14"/>
      <c r="AQ7420" s="14"/>
      <c r="AR7420" s="14"/>
      <c r="AS7420" s="14"/>
      <c r="AT7420" s="14">
        <v>300</v>
      </c>
      <c r="AU7420" s="14"/>
      <c r="AV7420" s="14"/>
      <c r="AW7420" s="15">
        <f t="shared" si="1513"/>
        <v>300</v>
      </c>
      <c r="AX7420" s="16"/>
    </row>
    <row r="7421" spans="2:53" x14ac:dyDescent="0.2">
      <c r="B7421" s="7"/>
      <c r="C7421" s="8">
        <v>17450</v>
      </c>
      <c r="D7421" s="9" t="s">
        <v>384</v>
      </c>
      <c r="E7421" s="10" t="str">
        <f t="shared" si="1508"/>
        <v>Rancho Zinamba No. 88</v>
      </c>
      <c r="F7421" s="10" t="str">
        <f t="shared" si="1509"/>
        <v>Martínez</v>
      </c>
      <c r="G7421" s="8">
        <v>1</v>
      </c>
      <c r="H7421" s="11">
        <v>300</v>
      </c>
      <c r="I7421" s="12">
        <v>43387</v>
      </c>
      <c r="J7421" s="35">
        <f t="shared" si="1510"/>
        <v>0</v>
      </c>
      <c r="K7421" s="36"/>
      <c r="L7421" s="36"/>
      <c r="M7421" s="36"/>
      <c r="N7421" s="36"/>
      <c r="O7421" s="36"/>
      <c r="P7421" s="36"/>
      <c r="Q7421" s="36"/>
      <c r="R7421" s="36"/>
      <c r="S7421" s="36"/>
      <c r="T7421" s="36"/>
      <c r="U7421" s="36"/>
      <c r="V7421" s="36"/>
      <c r="W7421" s="15">
        <f t="shared" si="1511"/>
        <v>0</v>
      </c>
      <c r="X7421" s="36"/>
      <c r="Y7421" s="36"/>
      <c r="Z7421" s="36"/>
      <c r="AA7421" s="36"/>
      <c r="AB7421" s="36"/>
      <c r="AC7421" s="36"/>
      <c r="AD7421" s="36"/>
      <c r="AE7421" s="36"/>
      <c r="AF7421" s="36"/>
      <c r="AG7421" s="36"/>
      <c r="AH7421" s="36"/>
      <c r="AI7421" s="36"/>
      <c r="AJ7421" s="15">
        <f t="shared" si="1512"/>
        <v>0</v>
      </c>
      <c r="AK7421" s="14"/>
      <c r="AL7421" s="14"/>
      <c r="AM7421" s="14"/>
      <c r="AN7421" s="14"/>
      <c r="AO7421" s="14"/>
      <c r="AP7421" s="14"/>
      <c r="AQ7421" s="14"/>
      <c r="AR7421" s="14"/>
      <c r="AS7421" s="14"/>
      <c r="AT7421" s="14">
        <v>300</v>
      </c>
      <c r="AU7421" s="14"/>
      <c r="AV7421" s="14"/>
      <c r="AW7421" s="15">
        <f t="shared" si="1513"/>
        <v>300</v>
      </c>
      <c r="AX7421" s="16"/>
    </row>
    <row r="7422" spans="2:53" x14ac:dyDescent="0.2">
      <c r="B7422" s="7"/>
      <c r="C7422" s="8">
        <v>17451</v>
      </c>
      <c r="D7422" s="9" t="s">
        <v>192</v>
      </c>
      <c r="E7422" s="10" t="str">
        <f t="shared" si="1508"/>
        <v>Rancho Landero No. 77</v>
      </c>
      <c r="F7422" s="10" t="str">
        <f t="shared" si="1509"/>
        <v>Muñoz</v>
      </c>
      <c r="G7422" s="8">
        <v>1</v>
      </c>
      <c r="H7422" s="11">
        <v>800</v>
      </c>
      <c r="I7422" s="12">
        <v>43387</v>
      </c>
      <c r="J7422" s="35">
        <f t="shared" si="1510"/>
        <v>0</v>
      </c>
      <c r="K7422" s="36"/>
      <c r="L7422" s="36"/>
      <c r="M7422" s="36"/>
      <c r="N7422" s="36"/>
      <c r="O7422" s="36"/>
      <c r="P7422" s="36"/>
      <c r="Q7422" s="36"/>
      <c r="R7422" s="36"/>
      <c r="S7422" s="36"/>
      <c r="T7422" s="36"/>
      <c r="U7422" s="36"/>
      <c r="V7422" s="36"/>
      <c r="W7422" s="15">
        <f t="shared" si="1511"/>
        <v>0</v>
      </c>
      <c r="X7422" s="36"/>
      <c r="Y7422" s="36"/>
      <c r="Z7422" s="36"/>
      <c r="AA7422" s="36"/>
      <c r="AB7422" s="36"/>
      <c r="AC7422" s="36"/>
      <c r="AD7422" s="36"/>
      <c r="AE7422" s="36"/>
      <c r="AF7422" s="36"/>
      <c r="AG7422" s="36"/>
      <c r="AH7422" s="36"/>
      <c r="AI7422" s="36"/>
      <c r="AJ7422" s="15">
        <f t="shared" si="1512"/>
        <v>0</v>
      </c>
      <c r="AK7422" s="14"/>
      <c r="AL7422" s="14"/>
      <c r="AM7422" s="14"/>
      <c r="AN7422" s="14"/>
      <c r="AO7422" s="14"/>
      <c r="AP7422" s="14"/>
      <c r="AQ7422" s="14"/>
      <c r="AR7422" s="14"/>
      <c r="AS7422" s="14">
        <v>400</v>
      </c>
      <c r="AT7422" s="14">
        <v>400</v>
      </c>
      <c r="AU7422" s="14"/>
      <c r="AV7422" s="14"/>
      <c r="AW7422" s="15">
        <f t="shared" si="1513"/>
        <v>800</v>
      </c>
      <c r="AX7422" s="316">
        <f>SUM(H7379:H7422)</f>
        <v>21500</v>
      </c>
      <c r="AY7422">
        <v>5550</v>
      </c>
      <c r="AZ7422">
        <v>21500</v>
      </c>
      <c r="BA7422">
        <f>SUM(AY7422:AZ7422)</f>
        <v>27050</v>
      </c>
    </row>
    <row r="7423" spans="2:53" x14ac:dyDescent="0.2">
      <c r="B7423" s="7"/>
      <c r="C7423" s="8">
        <v>17452</v>
      </c>
      <c r="D7423" s="9" t="s">
        <v>5687</v>
      </c>
      <c r="E7423" s="10" t="str">
        <f t="shared" si="1508"/>
        <v>Rancho Upácuaro No. 94 PA</v>
      </c>
      <c r="F7423" s="10" t="str">
        <f t="shared" si="1509"/>
        <v>Ponce</v>
      </c>
      <c r="G7423" s="8">
        <v>1</v>
      </c>
      <c r="H7423" s="315">
        <v>100</v>
      </c>
      <c r="I7423" s="12">
        <v>43388</v>
      </c>
      <c r="J7423" s="35">
        <f t="shared" si="1510"/>
        <v>0</v>
      </c>
      <c r="K7423" s="36"/>
      <c r="L7423" s="36"/>
      <c r="M7423" s="36"/>
      <c r="N7423" s="36"/>
      <c r="O7423" s="36"/>
      <c r="P7423" s="36"/>
      <c r="Q7423" s="36"/>
      <c r="R7423" s="36"/>
      <c r="S7423" s="36"/>
      <c r="T7423" s="36"/>
      <c r="U7423" s="36"/>
      <c r="V7423" s="36"/>
      <c r="W7423" s="15">
        <f t="shared" si="1511"/>
        <v>0</v>
      </c>
      <c r="X7423" s="36"/>
      <c r="Y7423" s="36"/>
      <c r="Z7423" s="36"/>
      <c r="AA7423" s="36"/>
      <c r="AB7423" s="36"/>
      <c r="AC7423" s="36"/>
      <c r="AD7423" s="36"/>
      <c r="AE7423" s="36"/>
      <c r="AF7423" s="36"/>
      <c r="AG7423" s="36"/>
      <c r="AH7423" s="36"/>
      <c r="AI7423" s="36"/>
      <c r="AJ7423" s="15">
        <f t="shared" si="1512"/>
        <v>0</v>
      </c>
      <c r="AK7423" s="14"/>
      <c r="AL7423" s="14"/>
      <c r="AM7423" s="14"/>
      <c r="AN7423" s="14"/>
      <c r="AO7423" s="14"/>
      <c r="AP7423" s="14"/>
      <c r="AQ7423" s="14"/>
      <c r="AR7423" s="14"/>
      <c r="AS7423" s="14"/>
      <c r="AT7423" s="14">
        <v>100</v>
      </c>
      <c r="AU7423" s="14"/>
      <c r="AV7423" s="14"/>
      <c r="AW7423" s="15">
        <f t="shared" si="1513"/>
        <v>100</v>
      </c>
      <c r="AX7423" s="16"/>
    </row>
    <row r="7424" spans="2:53" x14ac:dyDescent="0.2">
      <c r="B7424" s="7"/>
      <c r="C7424" s="8">
        <v>17453</v>
      </c>
      <c r="D7424" s="9" t="s">
        <v>328</v>
      </c>
      <c r="E7424" s="10" t="str">
        <f t="shared" si="1508"/>
        <v>Rancho La Cuchilla No. 130</v>
      </c>
      <c r="F7424" s="10" t="str">
        <f t="shared" si="1509"/>
        <v>Gonzalez</v>
      </c>
      <c r="G7424" s="8">
        <v>3</v>
      </c>
      <c r="H7424" s="11">
        <v>300</v>
      </c>
      <c r="I7424" s="12">
        <v>43388</v>
      </c>
      <c r="J7424" s="35">
        <f t="shared" si="1510"/>
        <v>0</v>
      </c>
      <c r="K7424" s="36"/>
      <c r="L7424" s="36"/>
      <c r="M7424" s="36"/>
      <c r="N7424" s="36"/>
      <c r="O7424" s="36"/>
      <c r="P7424" s="36"/>
      <c r="Q7424" s="36"/>
      <c r="R7424" s="36"/>
      <c r="S7424" s="36"/>
      <c r="T7424" s="36"/>
      <c r="U7424" s="36"/>
      <c r="V7424" s="36"/>
      <c r="W7424" s="15">
        <f t="shared" si="1511"/>
        <v>0</v>
      </c>
      <c r="X7424" s="36"/>
      <c r="Y7424" s="36"/>
      <c r="Z7424" s="36"/>
      <c r="AA7424" s="36"/>
      <c r="AB7424" s="36"/>
      <c r="AC7424" s="36"/>
      <c r="AD7424" s="36"/>
      <c r="AE7424" s="36"/>
      <c r="AF7424" s="36"/>
      <c r="AG7424" s="36"/>
      <c r="AH7424" s="36"/>
      <c r="AI7424" s="36"/>
      <c r="AJ7424" s="15">
        <f t="shared" si="1512"/>
        <v>0</v>
      </c>
      <c r="AK7424" s="14"/>
      <c r="AL7424" s="14"/>
      <c r="AM7424" s="14"/>
      <c r="AN7424" s="14"/>
      <c r="AO7424" s="14"/>
      <c r="AP7424" s="14"/>
      <c r="AQ7424" s="14"/>
      <c r="AR7424" s="14"/>
      <c r="AS7424" s="14"/>
      <c r="AT7424" s="14"/>
      <c r="AU7424" s="14"/>
      <c r="AV7424" s="14"/>
      <c r="AW7424" s="15">
        <f t="shared" si="1513"/>
        <v>0</v>
      </c>
      <c r="AX7424" s="16"/>
    </row>
    <row r="7425" spans="2:50" x14ac:dyDescent="0.2">
      <c r="B7425" s="7" t="s">
        <v>4983</v>
      </c>
      <c r="C7425" s="8">
        <v>17454</v>
      </c>
      <c r="D7425" s="9" t="s">
        <v>996</v>
      </c>
      <c r="E7425" s="10" t="str">
        <f t="shared" ref="E7425:E7434" si="1520">IF(D7425=0,"",VLOOKUP(D7425,BASE,2,FALSE))</f>
        <v>Rancho Upácuaro No. 15</v>
      </c>
      <c r="F7425" s="10" t="str">
        <f t="shared" ref="F7425:F7434" si="1521">IF(D7425=0,"",VLOOKUP(D7425,BASE,3,FALSE))</f>
        <v>Aguirre</v>
      </c>
      <c r="G7425" s="8">
        <v>1</v>
      </c>
      <c r="H7425" s="11">
        <v>2400</v>
      </c>
      <c r="I7425" s="12">
        <v>43393</v>
      </c>
      <c r="J7425" s="35">
        <f t="shared" ref="J7425:J7434" si="1522">IF(G7425=1,SUM(W7425,AJ7425,AW7425,-H7425),0)</f>
        <v>0</v>
      </c>
      <c r="K7425" s="36"/>
      <c r="L7425" s="36"/>
      <c r="M7425" s="36"/>
      <c r="N7425" s="36"/>
      <c r="O7425" s="36"/>
      <c r="P7425" s="36"/>
      <c r="Q7425" s="36"/>
      <c r="R7425" s="36"/>
      <c r="S7425" s="36"/>
      <c r="T7425" s="36"/>
      <c r="U7425" s="36"/>
      <c r="V7425" s="36"/>
      <c r="W7425" s="15">
        <f t="shared" ref="W7425:W7434" si="1523">SUM(K7425:V7425)</f>
        <v>0</v>
      </c>
      <c r="X7425" s="36"/>
      <c r="Y7425" s="36"/>
      <c r="Z7425" s="36"/>
      <c r="AA7425" s="36"/>
      <c r="AB7425" s="36"/>
      <c r="AC7425" s="36"/>
      <c r="AD7425" s="36"/>
      <c r="AE7425" s="36"/>
      <c r="AF7425" s="36"/>
      <c r="AG7425" s="36"/>
      <c r="AH7425" s="36"/>
      <c r="AI7425" s="36"/>
      <c r="AJ7425" s="15">
        <f t="shared" ref="AJ7425:AJ7434" si="1524">SUM(X7425:AI7425)</f>
        <v>0</v>
      </c>
      <c r="AK7425" s="14"/>
      <c r="AL7425" s="14"/>
      <c r="AM7425" s="14"/>
      <c r="AN7425" s="14"/>
      <c r="AO7425" s="14"/>
      <c r="AP7425" s="14"/>
      <c r="AQ7425" s="14">
        <v>400</v>
      </c>
      <c r="AR7425" s="14">
        <v>400</v>
      </c>
      <c r="AS7425" s="14">
        <v>400</v>
      </c>
      <c r="AT7425" s="14">
        <v>400</v>
      </c>
      <c r="AU7425" s="14">
        <v>400</v>
      </c>
      <c r="AV7425" s="14">
        <v>400</v>
      </c>
      <c r="AW7425" s="15">
        <f t="shared" ref="AW7425:AW7434" si="1525">SUM(AK7425:AV7425)</f>
        <v>2400</v>
      </c>
      <c r="AX7425" s="16"/>
    </row>
    <row r="7426" spans="2:50" x14ac:dyDescent="0.2">
      <c r="B7426" s="7"/>
      <c r="C7426" s="8">
        <v>17455</v>
      </c>
      <c r="D7426" s="9" t="s">
        <v>728</v>
      </c>
      <c r="E7426" s="10" t="str">
        <f t="shared" si="1520"/>
        <v>Rancho Estanzuela No. 77</v>
      </c>
      <c r="F7426" s="10" t="str">
        <f t="shared" si="1521"/>
        <v>De la Rosa Rico</v>
      </c>
      <c r="G7426" s="318">
        <v>1</v>
      </c>
      <c r="H7426" s="11">
        <v>400</v>
      </c>
      <c r="I7426" s="12">
        <v>43394</v>
      </c>
      <c r="J7426" s="35">
        <f t="shared" si="1522"/>
        <v>0</v>
      </c>
      <c r="K7426" s="36"/>
      <c r="L7426" s="36"/>
      <c r="M7426" s="36"/>
      <c r="N7426" s="36"/>
      <c r="O7426" s="36"/>
      <c r="P7426" s="36"/>
      <c r="Q7426" s="36"/>
      <c r="R7426" s="36"/>
      <c r="S7426" s="36"/>
      <c r="T7426" s="36"/>
      <c r="U7426" s="36"/>
      <c r="V7426" s="36"/>
      <c r="W7426" s="15">
        <f t="shared" si="1523"/>
        <v>0</v>
      </c>
      <c r="X7426" s="36"/>
      <c r="Y7426" s="36"/>
      <c r="Z7426" s="36"/>
      <c r="AA7426" s="36"/>
      <c r="AB7426" s="36"/>
      <c r="AC7426" s="36"/>
      <c r="AD7426" s="36"/>
      <c r="AE7426" s="36"/>
      <c r="AF7426" s="36"/>
      <c r="AG7426" s="36"/>
      <c r="AH7426" s="36"/>
      <c r="AI7426" s="36"/>
      <c r="AJ7426" s="15">
        <f t="shared" si="1524"/>
        <v>0</v>
      </c>
      <c r="AK7426" s="14"/>
      <c r="AL7426" s="14"/>
      <c r="AM7426" s="14"/>
      <c r="AN7426" s="14"/>
      <c r="AO7426" s="14"/>
      <c r="AP7426" s="14"/>
      <c r="AQ7426" s="14"/>
      <c r="AR7426" s="14"/>
      <c r="AS7426" s="14">
        <v>400</v>
      </c>
      <c r="AT7426" s="14"/>
      <c r="AU7426" s="14"/>
      <c r="AV7426" s="14"/>
      <c r="AW7426" s="15">
        <f t="shared" si="1525"/>
        <v>400</v>
      </c>
      <c r="AX7426" s="16"/>
    </row>
    <row r="7427" spans="2:50" x14ac:dyDescent="0.2">
      <c r="B7427" s="7"/>
      <c r="C7427" s="8">
        <v>17456</v>
      </c>
      <c r="D7427" s="9" t="s">
        <v>577</v>
      </c>
      <c r="E7427" s="10" t="str">
        <f t="shared" si="1520"/>
        <v>Rancho La Cuchilla No. 46</v>
      </c>
      <c r="F7427" s="10" t="str">
        <f t="shared" si="1521"/>
        <v>Cruz López</v>
      </c>
      <c r="G7427" s="8">
        <v>1</v>
      </c>
      <c r="H7427" s="11">
        <v>1200</v>
      </c>
      <c r="I7427" s="12">
        <v>43394</v>
      </c>
      <c r="J7427" s="35">
        <f t="shared" si="1522"/>
        <v>0</v>
      </c>
      <c r="K7427" s="36"/>
      <c r="L7427" s="36"/>
      <c r="M7427" s="36"/>
      <c r="N7427" s="36"/>
      <c r="O7427" s="36"/>
      <c r="P7427" s="36"/>
      <c r="Q7427" s="36"/>
      <c r="R7427" s="36"/>
      <c r="S7427" s="36"/>
      <c r="T7427" s="36"/>
      <c r="U7427" s="36"/>
      <c r="V7427" s="36"/>
      <c r="W7427" s="15">
        <f t="shared" si="1523"/>
        <v>0</v>
      </c>
      <c r="X7427" s="36"/>
      <c r="Y7427" s="36"/>
      <c r="Z7427" s="36"/>
      <c r="AA7427" s="36"/>
      <c r="AB7427" s="36"/>
      <c r="AC7427" s="36"/>
      <c r="AD7427" s="36"/>
      <c r="AE7427" s="36"/>
      <c r="AF7427" s="36"/>
      <c r="AG7427" s="36"/>
      <c r="AH7427" s="36"/>
      <c r="AI7427" s="36"/>
      <c r="AJ7427" s="15">
        <f t="shared" si="1524"/>
        <v>0</v>
      </c>
      <c r="AK7427" s="14"/>
      <c r="AL7427" s="14"/>
      <c r="AM7427" s="14"/>
      <c r="AN7427" s="14"/>
      <c r="AO7427" s="14"/>
      <c r="AP7427" s="14"/>
      <c r="AQ7427" s="14"/>
      <c r="AR7427" s="14"/>
      <c r="AS7427" s="14"/>
      <c r="AT7427" s="14">
        <v>400</v>
      </c>
      <c r="AU7427" s="14">
        <v>400</v>
      </c>
      <c r="AV7427" s="14">
        <v>400</v>
      </c>
      <c r="AW7427" s="15">
        <f t="shared" si="1525"/>
        <v>1200</v>
      </c>
      <c r="AX7427" s="16"/>
    </row>
    <row r="7428" spans="2:50" x14ac:dyDescent="0.2">
      <c r="B7428" s="7"/>
      <c r="C7428" s="8">
        <v>17457</v>
      </c>
      <c r="D7428" s="9" t="s">
        <v>259</v>
      </c>
      <c r="E7428" s="10" t="str">
        <f t="shared" si="1520"/>
        <v>Rancho Estanzuela No. 55</v>
      </c>
      <c r="F7428" s="10" t="str">
        <f t="shared" si="1521"/>
        <v>Rodríguez Acevedo</v>
      </c>
      <c r="G7428" s="8">
        <v>1</v>
      </c>
      <c r="H7428" s="11">
        <v>400</v>
      </c>
      <c r="I7428" s="12">
        <v>43394</v>
      </c>
      <c r="J7428" s="35">
        <f t="shared" si="1522"/>
        <v>0</v>
      </c>
      <c r="K7428" s="36"/>
      <c r="L7428" s="36"/>
      <c r="M7428" s="36"/>
      <c r="N7428" s="36"/>
      <c r="O7428" s="36"/>
      <c r="P7428" s="36"/>
      <c r="Q7428" s="36"/>
      <c r="R7428" s="36"/>
      <c r="S7428" s="36"/>
      <c r="T7428" s="36"/>
      <c r="U7428" s="36"/>
      <c r="V7428" s="36"/>
      <c r="W7428" s="15">
        <f t="shared" si="1523"/>
        <v>0</v>
      </c>
      <c r="X7428" s="36"/>
      <c r="Y7428" s="36"/>
      <c r="Z7428" s="36"/>
      <c r="AA7428" s="36"/>
      <c r="AB7428" s="36"/>
      <c r="AC7428" s="36"/>
      <c r="AD7428" s="36"/>
      <c r="AE7428" s="36"/>
      <c r="AF7428" s="36"/>
      <c r="AG7428" s="36"/>
      <c r="AH7428" s="36"/>
      <c r="AI7428" s="36"/>
      <c r="AJ7428" s="15">
        <f t="shared" si="1524"/>
        <v>0</v>
      </c>
      <c r="AK7428" s="14"/>
      <c r="AL7428" s="14"/>
      <c r="AM7428" s="14"/>
      <c r="AN7428" s="14"/>
      <c r="AO7428" s="14"/>
      <c r="AP7428" s="14"/>
      <c r="AQ7428" s="14"/>
      <c r="AR7428" s="14"/>
      <c r="AS7428" s="14"/>
      <c r="AT7428" s="14">
        <v>400</v>
      </c>
      <c r="AU7428" s="14"/>
      <c r="AV7428" s="14"/>
      <c r="AW7428" s="15">
        <f t="shared" si="1525"/>
        <v>400</v>
      </c>
      <c r="AX7428" s="16"/>
    </row>
    <row r="7429" spans="2:50" x14ac:dyDescent="0.2">
      <c r="B7429" s="7"/>
      <c r="C7429" s="8">
        <v>17458</v>
      </c>
      <c r="D7429" s="9" t="s">
        <v>960</v>
      </c>
      <c r="E7429" s="10" t="str">
        <f t="shared" si="1520"/>
        <v>Rancho Landero No. 28</v>
      </c>
      <c r="F7429" s="10" t="str">
        <f t="shared" si="1521"/>
        <v>Hernàndez Orteales</v>
      </c>
      <c r="G7429" s="8">
        <v>1</v>
      </c>
      <c r="H7429" s="11">
        <v>800</v>
      </c>
      <c r="I7429" s="12">
        <v>43394</v>
      </c>
      <c r="J7429" s="35">
        <f t="shared" si="1522"/>
        <v>0</v>
      </c>
      <c r="K7429" s="36"/>
      <c r="L7429" s="36"/>
      <c r="M7429" s="36"/>
      <c r="N7429" s="36"/>
      <c r="O7429" s="36"/>
      <c r="P7429" s="36"/>
      <c r="Q7429" s="36"/>
      <c r="R7429" s="36"/>
      <c r="S7429" s="36"/>
      <c r="T7429" s="36"/>
      <c r="U7429" s="36"/>
      <c r="V7429" s="36"/>
      <c r="W7429" s="15">
        <f t="shared" si="1523"/>
        <v>0</v>
      </c>
      <c r="X7429" s="36"/>
      <c r="Y7429" s="36"/>
      <c r="Z7429" s="36"/>
      <c r="AA7429" s="36"/>
      <c r="AB7429" s="36"/>
      <c r="AC7429" s="36"/>
      <c r="AD7429" s="36"/>
      <c r="AE7429" s="36"/>
      <c r="AF7429" s="36"/>
      <c r="AG7429" s="36"/>
      <c r="AH7429" s="36"/>
      <c r="AI7429" s="36"/>
      <c r="AJ7429" s="15">
        <f t="shared" si="1524"/>
        <v>0</v>
      </c>
      <c r="AK7429" s="14">
        <v>400</v>
      </c>
      <c r="AL7429" s="14"/>
      <c r="AM7429" s="14"/>
      <c r="AN7429" s="14"/>
      <c r="AO7429" s="14"/>
      <c r="AP7429" s="14"/>
      <c r="AQ7429" s="14"/>
      <c r="AR7429" s="14"/>
      <c r="AS7429" s="14"/>
      <c r="AT7429" s="14">
        <v>400</v>
      </c>
      <c r="AU7429" s="14"/>
      <c r="AV7429" s="14"/>
      <c r="AW7429" s="15">
        <f t="shared" si="1525"/>
        <v>800</v>
      </c>
      <c r="AX7429" s="16"/>
    </row>
    <row r="7430" spans="2:50" x14ac:dyDescent="0.2">
      <c r="B7430" s="7"/>
      <c r="C7430" s="8">
        <v>17458</v>
      </c>
      <c r="D7430" s="9" t="s">
        <v>960</v>
      </c>
      <c r="E7430" s="10" t="str">
        <f t="shared" si="1520"/>
        <v>Rancho Landero No. 28</v>
      </c>
      <c r="F7430" s="10" t="str">
        <f t="shared" si="1521"/>
        <v>Hernàndez Orteales</v>
      </c>
      <c r="G7430" s="8">
        <v>4</v>
      </c>
      <c r="H7430" s="11">
        <v>400</v>
      </c>
      <c r="I7430" s="12">
        <v>43394</v>
      </c>
      <c r="J7430" s="35">
        <f t="shared" si="1522"/>
        <v>0</v>
      </c>
      <c r="K7430" s="36"/>
      <c r="L7430" s="36"/>
      <c r="M7430" s="36"/>
      <c r="N7430" s="36"/>
      <c r="O7430" s="36"/>
      <c r="P7430" s="36"/>
      <c r="Q7430" s="36"/>
      <c r="R7430" s="36"/>
      <c r="S7430" s="36"/>
      <c r="T7430" s="36"/>
      <c r="U7430" s="36"/>
      <c r="V7430" s="36"/>
      <c r="W7430" s="15">
        <f t="shared" si="1523"/>
        <v>0</v>
      </c>
      <c r="X7430" s="36"/>
      <c r="Y7430" s="36"/>
      <c r="Z7430" s="36"/>
      <c r="AA7430" s="36"/>
      <c r="AB7430" s="36"/>
      <c r="AC7430" s="36"/>
      <c r="AD7430" s="36"/>
      <c r="AE7430" s="36"/>
      <c r="AF7430" s="36"/>
      <c r="AG7430" s="36"/>
      <c r="AH7430" s="36"/>
      <c r="AI7430" s="36"/>
      <c r="AJ7430" s="15">
        <f t="shared" si="1524"/>
        <v>0</v>
      </c>
      <c r="AK7430" s="14"/>
      <c r="AL7430" s="14"/>
      <c r="AM7430" s="14"/>
      <c r="AN7430" s="14"/>
      <c r="AO7430" s="14"/>
      <c r="AP7430" s="14"/>
      <c r="AQ7430" s="14"/>
      <c r="AR7430" s="14"/>
      <c r="AS7430" s="14"/>
      <c r="AT7430" s="14"/>
      <c r="AU7430" s="14"/>
      <c r="AV7430" s="14"/>
      <c r="AW7430" s="15">
        <f t="shared" si="1525"/>
        <v>0</v>
      </c>
      <c r="AX7430" s="16" t="s">
        <v>5686</v>
      </c>
    </row>
    <row r="7431" spans="2:50" x14ac:dyDescent="0.2">
      <c r="B7431" s="7"/>
      <c r="C7431" s="8">
        <v>17459</v>
      </c>
      <c r="D7431" s="9" t="s">
        <v>404</v>
      </c>
      <c r="E7431" s="10" t="str">
        <f t="shared" si="1520"/>
        <v>Rancho La Cuchilla No. 89</v>
      </c>
      <c r="F7431" s="10" t="str">
        <f t="shared" si="1521"/>
        <v>Gálvez</v>
      </c>
      <c r="G7431" s="8">
        <v>1</v>
      </c>
      <c r="H7431" s="11">
        <v>400</v>
      </c>
      <c r="I7431" s="12">
        <v>43394</v>
      </c>
      <c r="J7431" s="35">
        <f t="shared" si="1522"/>
        <v>0</v>
      </c>
      <c r="K7431" s="36"/>
      <c r="L7431" s="36"/>
      <c r="M7431" s="36"/>
      <c r="N7431" s="36"/>
      <c r="O7431" s="36"/>
      <c r="P7431" s="36"/>
      <c r="Q7431" s="36"/>
      <c r="R7431" s="36"/>
      <c r="S7431" s="36"/>
      <c r="T7431" s="36"/>
      <c r="U7431" s="36"/>
      <c r="V7431" s="36"/>
      <c r="W7431" s="15">
        <f t="shared" si="1523"/>
        <v>0</v>
      </c>
      <c r="X7431" s="36"/>
      <c r="Y7431" s="36"/>
      <c r="Z7431" s="36"/>
      <c r="AA7431" s="36"/>
      <c r="AB7431" s="36"/>
      <c r="AC7431" s="36"/>
      <c r="AD7431" s="36"/>
      <c r="AE7431" s="36"/>
      <c r="AF7431" s="36"/>
      <c r="AG7431" s="36"/>
      <c r="AH7431" s="36"/>
      <c r="AI7431" s="36"/>
      <c r="AJ7431" s="15">
        <f t="shared" si="1524"/>
        <v>0</v>
      </c>
      <c r="AK7431" s="14"/>
      <c r="AL7431" s="14"/>
      <c r="AM7431" s="14"/>
      <c r="AN7431" s="14"/>
      <c r="AO7431" s="14"/>
      <c r="AP7431" s="14"/>
      <c r="AQ7431" s="14"/>
      <c r="AR7431" s="14"/>
      <c r="AS7431" s="14"/>
      <c r="AT7431" s="14">
        <v>400</v>
      </c>
      <c r="AU7431" s="14"/>
      <c r="AV7431" s="14"/>
      <c r="AW7431" s="15">
        <f t="shared" si="1525"/>
        <v>400</v>
      </c>
      <c r="AX7431" s="16"/>
    </row>
    <row r="7432" spans="2:50" x14ac:dyDescent="0.2">
      <c r="B7432" s="7"/>
      <c r="C7432" s="8">
        <v>17460</v>
      </c>
      <c r="D7432" s="9" t="s">
        <v>250</v>
      </c>
      <c r="E7432" s="10" t="str">
        <f t="shared" si="1520"/>
        <v>Rancho La Cuchilla No. 74</v>
      </c>
      <c r="F7432" s="10" t="str">
        <f t="shared" si="1521"/>
        <v>Gil</v>
      </c>
      <c r="G7432" s="8">
        <v>1</v>
      </c>
      <c r="H7432" s="11">
        <v>400</v>
      </c>
      <c r="I7432" s="12">
        <v>43394</v>
      </c>
      <c r="J7432" s="35">
        <f t="shared" si="1522"/>
        <v>0</v>
      </c>
      <c r="K7432" s="36"/>
      <c r="L7432" s="36"/>
      <c r="M7432" s="36"/>
      <c r="N7432" s="36"/>
      <c r="O7432" s="36"/>
      <c r="P7432" s="36"/>
      <c r="Q7432" s="36"/>
      <c r="R7432" s="36"/>
      <c r="S7432" s="36"/>
      <c r="T7432" s="36"/>
      <c r="U7432" s="36"/>
      <c r="V7432" s="36"/>
      <c r="W7432" s="15">
        <f t="shared" si="1523"/>
        <v>0</v>
      </c>
      <c r="X7432" s="36"/>
      <c r="Y7432" s="36"/>
      <c r="Z7432" s="36"/>
      <c r="AA7432" s="36"/>
      <c r="AB7432" s="36"/>
      <c r="AC7432" s="36"/>
      <c r="AD7432" s="36"/>
      <c r="AE7432" s="36"/>
      <c r="AF7432" s="36"/>
      <c r="AG7432" s="36"/>
      <c r="AH7432" s="36"/>
      <c r="AI7432" s="36"/>
      <c r="AJ7432" s="15">
        <f t="shared" si="1524"/>
        <v>0</v>
      </c>
      <c r="AK7432" s="14"/>
      <c r="AL7432" s="14"/>
      <c r="AM7432" s="14"/>
      <c r="AN7432" s="14"/>
      <c r="AO7432" s="14"/>
      <c r="AP7432" s="14"/>
      <c r="AQ7432" s="14"/>
      <c r="AR7432" s="14"/>
      <c r="AS7432" s="14"/>
      <c r="AT7432" s="14">
        <v>400</v>
      </c>
      <c r="AU7432" s="14"/>
      <c r="AV7432" s="14"/>
      <c r="AW7432" s="15">
        <f t="shared" si="1525"/>
        <v>400</v>
      </c>
      <c r="AX7432" s="16"/>
    </row>
    <row r="7433" spans="2:50" x14ac:dyDescent="0.2">
      <c r="B7433" s="7"/>
      <c r="C7433" s="8">
        <v>17461</v>
      </c>
      <c r="D7433" s="9" t="s">
        <v>544</v>
      </c>
      <c r="E7433" s="10" t="str">
        <f t="shared" si="1520"/>
        <v>Rancho Estanzuela No. 89</v>
      </c>
      <c r="F7433" s="10" t="str">
        <f t="shared" si="1521"/>
        <v>Romero Ortiz</v>
      </c>
      <c r="G7433" s="8">
        <v>1</v>
      </c>
      <c r="H7433" s="11">
        <v>400</v>
      </c>
      <c r="I7433" s="12">
        <v>43394</v>
      </c>
      <c r="J7433" s="35">
        <f t="shared" si="1522"/>
        <v>0</v>
      </c>
      <c r="K7433" s="36"/>
      <c r="L7433" s="36"/>
      <c r="M7433" s="36"/>
      <c r="N7433" s="36"/>
      <c r="O7433" s="36"/>
      <c r="P7433" s="36"/>
      <c r="Q7433" s="36"/>
      <c r="R7433" s="36"/>
      <c r="S7433" s="36"/>
      <c r="T7433" s="36"/>
      <c r="U7433" s="36"/>
      <c r="V7433" s="36"/>
      <c r="W7433" s="15">
        <f t="shared" si="1523"/>
        <v>0</v>
      </c>
      <c r="X7433" s="36"/>
      <c r="Y7433" s="36"/>
      <c r="Z7433" s="36"/>
      <c r="AA7433" s="36"/>
      <c r="AB7433" s="36"/>
      <c r="AC7433" s="36"/>
      <c r="AD7433" s="36"/>
      <c r="AE7433" s="36"/>
      <c r="AF7433" s="36"/>
      <c r="AG7433" s="36"/>
      <c r="AH7433" s="36"/>
      <c r="AI7433" s="36"/>
      <c r="AJ7433" s="15">
        <f t="shared" si="1524"/>
        <v>0</v>
      </c>
      <c r="AK7433" s="14"/>
      <c r="AL7433" s="14"/>
      <c r="AM7433" s="14"/>
      <c r="AN7433" s="14"/>
      <c r="AO7433" s="14"/>
      <c r="AP7433" s="14"/>
      <c r="AQ7433" s="14"/>
      <c r="AR7433" s="14"/>
      <c r="AS7433" s="14"/>
      <c r="AT7433" s="14">
        <v>400</v>
      </c>
      <c r="AU7433" s="14"/>
      <c r="AV7433" s="14"/>
      <c r="AW7433" s="15">
        <f t="shared" si="1525"/>
        <v>400</v>
      </c>
      <c r="AX7433" s="16"/>
    </row>
    <row r="7434" spans="2:50" x14ac:dyDescent="0.2">
      <c r="B7434" s="7"/>
      <c r="C7434" s="8">
        <v>17462</v>
      </c>
      <c r="D7434" s="9" t="s">
        <v>235</v>
      </c>
      <c r="E7434" s="10" t="str">
        <f t="shared" si="1520"/>
        <v>Rancho La Cuchilla No. 43, A</v>
      </c>
      <c r="F7434" s="10" t="str">
        <f t="shared" si="1521"/>
        <v>De la Rosa</v>
      </c>
      <c r="G7434" s="8">
        <v>1</v>
      </c>
      <c r="H7434" s="11">
        <v>400</v>
      </c>
      <c r="I7434" s="12">
        <v>43394</v>
      </c>
      <c r="J7434" s="35">
        <f t="shared" si="1522"/>
        <v>0</v>
      </c>
      <c r="K7434" s="36"/>
      <c r="L7434" s="36"/>
      <c r="M7434" s="36"/>
      <c r="N7434" s="36"/>
      <c r="O7434" s="36"/>
      <c r="P7434" s="36"/>
      <c r="Q7434" s="36"/>
      <c r="R7434" s="36"/>
      <c r="S7434" s="36"/>
      <c r="T7434" s="36"/>
      <c r="U7434" s="36"/>
      <c r="V7434" s="36"/>
      <c r="W7434" s="15">
        <f t="shared" si="1523"/>
        <v>0</v>
      </c>
      <c r="X7434" s="36"/>
      <c r="Y7434" s="36"/>
      <c r="Z7434" s="36"/>
      <c r="AA7434" s="36"/>
      <c r="AB7434" s="36"/>
      <c r="AC7434" s="36"/>
      <c r="AD7434" s="36"/>
      <c r="AE7434" s="36"/>
      <c r="AF7434" s="36"/>
      <c r="AG7434" s="36"/>
      <c r="AH7434" s="36"/>
      <c r="AI7434" s="36"/>
      <c r="AJ7434" s="15">
        <f t="shared" si="1524"/>
        <v>0</v>
      </c>
      <c r="AK7434" s="14"/>
      <c r="AL7434" s="14"/>
      <c r="AM7434" s="14"/>
      <c r="AN7434" s="14"/>
      <c r="AO7434" s="14"/>
      <c r="AP7434" s="14"/>
      <c r="AQ7434" s="14"/>
      <c r="AR7434" s="14">
        <v>400</v>
      </c>
      <c r="AS7434" s="14"/>
      <c r="AT7434" s="14"/>
      <c r="AU7434" s="14"/>
      <c r="AV7434" s="14"/>
      <c r="AW7434" s="15">
        <f t="shared" si="1525"/>
        <v>400</v>
      </c>
      <c r="AX7434" s="16"/>
    </row>
    <row r="7435" spans="2:50" x14ac:dyDescent="0.2">
      <c r="B7435" s="7"/>
      <c r="C7435" s="8">
        <v>17463</v>
      </c>
      <c r="D7435" s="9" t="s">
        <v>159</v>
      </c>
      <c r="E7435" s="10" t="str">
        <f t="shared" si="1508"/>
        <v>Rancho Zinamba No. 24</v>
      </c>
      <c r="F7435" s="10" t="str">
        <f t="shared" si="1509"/>
        <v>Monroy García</v>
      </c>
      <c r="G7435" s="8">
        <v>1</v>
      </c>
      <c r="H7435" s="11">
        <v>400</v>
      </c>
      <c r="I7435" s="12">
        <v>43394</v>
      </c>
      <c r="J7435" s="35">
        <f t="shared" si="1510"/>
        <v>0</v>
      </c>
      <c r="K7435" s="36"/>
      <c r="L7435" s="36"/>
      <c r="M7435" s="36"/>
      <c r="N7435" s="36"/>
      <c r="O7435" s="36"/>
      <c r="P7435" s="36"/>
      <c r="Q7435" s="36"/>
      <c r="R7435" s="36"/>
      <c r="S7435" s="36"/>
      <c r="T7435" s="36"/>
      <c r="U7435" s="36"/>
      <c r="V7435" s="36"/>
      <c r="W7435" s="15">
        <f t="shared" si="1511"/>
        <v>0</v>
      </c>
      <c r="X7435" s="36"/>
      <c r="Y7435" s="36"/>
      <c r="Z7435" s="36"/>
      <c r="AA7435" s="36"/>
      <c r="AB7435" s="36"/>
      <c r="AC7435" s="36"/>
      <c r="AD7435" s="36"/>
      <c r="AE7435" s="36"/>
      <c r="AF7435" s="36"/>
      <c r="AG7435" s="36"/>
      <c r="AH7435" s="36"/>
      <c r="AI7435" s="36"/>
      <c r="AJ7435" s="15">
        <f t="shared" si="1512"/>
        <v>0</v>
      </c>
      <c r="AK7435" s="14"/>
      <c r="AL7435" s="14"/>
      <c r="AM7435" s="14"/>
      <c r="AN7435" s="14"/>
      <c r="AO7435" s="14"/>
      <c r="AP7435" s="14"/>
      <c r="AQ7435" s="14"/>
      <c r="AR7435" s="14"/>
      <c r="AS7435" s="14"/>
      <c r="AT7435" s="14">
        <v>400</v>
      </c>
      <c r="AU7435" s="14"/>
      <c r="AV7435" s="14"/>
      <c r="AW7435" s="15">
        <f t="shared" si="1513"/>
        <v>400</v>
      </c>
      <c r="AX7435" s="16"/>
    </row>
    <row r="7436" spans="2:50" x14ac:dyDescent="0.2">
      <c r="B7436" s="7"/>
      <c r="C7436" s="8">
        <v>17464</v>
      </c>
      <c r="D7436" s="9" t="s">
        <v>740</v>
      </c>
      <c r="E7436" s="10" t="str">
        <f t="shared" si="1508"/>
        <v>Rancho Upácuaro No. 65</v>
      </c>
      <c r="F7436" s="10" t="str">
        <f t="shared" si="1509"/>
        <v>Cruz González</v>
      </c>
      <c r="G7436" s="8">
        <v>1</v>
      </c>
      <c r="H7436" s="11">
        <v>1200</v>
      </c>
      <c r="I7436" s="12">
        <v>43394</v>
      </c>
      <c r="J7436" s="35">
        <f t="shared" si="1510"/>
        <v>0</v>
      </c>
      <c r="K7436" s="36"/>
      <c r="L7436" s="36"/>
      <c r="M7436" s="36"/>
      <c r="N7436" s="36"/>
      <c r="O7436" s="36"/>
      <c r="P7436" s="36"/>
      <c r="Q7436" s="36"/>
      <c r="R7436" s="36"/>
      <c r="S7436" s="36"/>
      <c r="T7436" s="36"/>
      <c r="U7436" s="36"/>
      <c r="V7436" s="36"/>
      <c r="W7436" s="15">
        <f t="shared" si="1511"/>
        <v>0</v>
      </c>
      <c r="X7436" s="36"/>
      <c r="Y7436" s="36"/>
      <c r="Z7436" s="36"/>
      <c r="AA7436" s="36"/>
      <c r="AB7436" s="36"/>
      <c r="AC7436" s="36"/>
      <c r="AD7436" s="36"/>
      <c r="AE7436" s="36"/>
      <c r="AF7436" s="36"/>
      <c r="AG7436" s="36"/>
      <c r="AH7436" s="36"/>
      <c r="AI7436" s="36"/>
      <c r="AJ7436" s="15">
        <f t="shared" si="1512"/>
        <v>0</v>
      </c>
      <c r="AK7436" s="14"/>
      <c r="AL7436" s="14"/>
      <c r="AM7436" s="14"/>
      <c r="AN7436" s="14"/>
      <c r="AO7436" s="14"/>
      <c r="AP7436" s="14"/>
      <c r="AQ7436" s="14"/>
      <c r="AR7436" s="14">
        <v>400</v>
      </c>
      <c r="AS7436" s="14">
        <v>400</v>
      </c>
      <c r="AT7436" s="14">
        <v>400</v>
      </c>
      <c r="AU7436" s="14"/>
      <c r="AV7436" s="14"/>
      <c r="AW7436" s="15">
        <f t="shared" si="1513"/>
        <v>1200</v>
      </c>
      <c r="AX7436" s="16"/>
    </row>
    <row r="7437" spans="2:50" x14ac:dyDescent="0.2">
      <c r="B7437" s="7"/>
      <c r="C7437" s="8">
        <v>17465</v>
      </c>
      <c r="D7437" s="9" t="s">
        <v>740</v>
      </c>
      <c r="E7437" s="10" t="str">
        <f t="shared" ref="E7437:E7440" si="1526">IF(D7437=0,"",VLOOKUP(D7437,BASE,2,FALSE))</f>
        <v>Rancho Upácuaro No. 65</v>
      </c>
      <c r="F7437" s="10" t="str">
        <f t="shared" ref="F7437:F7440" si="1527">IF(D7437=0,"",VLOOKUP(D7437,BASE,3,FALSE))</f>
        <v>Cruz González</v>
      </c>
      <c r="G7437" s="8">
        <v>3</v>
      </c>
      <c r="H7437" s="11">
        <v>200</v>
      </c>
      <c r="I7437" s="12">
        <v>43394</v>
      </c>
      <c r="J7437" s="35">
        <f t="shared" ref="J7437:J7440" si="1528">IF(G7437=1,SUM(W7437,AJ7437,AW7437,-H7437),0)</f>
        <v>0</v>
      </c>
      <c r="K7437" s="36"/>
      <c r="L7437" s="36"/>
      <c r="M7437" s="36"/>
      <c r="N7437" s="36"/>
      <c r="O7437" s="36"/>
      <c r="P7437" s="36"/>
      <c r="Q7437" s="36"/>
      <c r="R7437" s="36"/>
      <c r="S7437" s="36"/>
      <c r="T7437" s="36"/>
      <c r="U7437" s="36"/>
      <c r="V7437" s="36"/>
      <c r="W7437" s="15">
        <f t="shared" ref="W7437:W7440" si="1529">SUM(K7437:V7437)</f>
        <v>0</v>
      </c>
      <c r="X7437" s="36"/>
      <c r="Y7437" s="36"/>
      <c r="Z7437" s="36"/>
      <c r="AA7437" s="36"/>
      <c r="AB7437" s="36"/>
      <c r="AC7437" s="36"/>
      <c r="AD7437" s="36"/>
      <c r="AE7437" s="36"/>
      <c r="AF7437" s="36"/>
      <c r="AG7437" s="36"/>
      <c r="AH7437" s="36"/>
      <c r="AI7437" s="36"/>
      <c r="AJ7437" s="15">
        <f t="shared" ref="AJ7437:AJ7440" si="1530">SUM(X7437:AI7437)</f>
        <v>0</v>
      </c>
      <c r="AK7437" s="14"/>
      <c r="AL7437" s="14"/>
      <c r="AM7437" s="14"/>
      <c r="AN7437" s="14"/>
      <c r="AO7437" s="14"/>
      <c r="AP7437" s="14"/>
      <c r="AQ7437" s="14"/>
      <c r="AR7437" s="14"/>
      <c r="AS7437" s="14"/>
      <c r="AT7437" s="14"/>
      <c r="AU7437" s="14"/>
      <c r="AV7437" s="14"/>
      <c r="AW7437" s="15">
        <f t="shared" ref="AW7437:AW7440" si="1531">SUM(AK7437:AV7437)</f>
        <v>0</v>
      </c>
      <c r="AX7437" s="16"/>
    </row>
    <row r="7438" spans="2:50" x14ac:dyDescent="0.2">
      <c r="B7438" s="7"/>
      <c r="C7438" s="8">
        <v>17466</v>
      </c>
      <c r="D7438" s="9" t="s">
        <v>437</v>
      </c>
      <c r="E7438" s="10" t="str">
        <f t="shared" si="1526"/>
        <v>Rancho Upácuaro No. 47</v>
      </c>
      <c r="F7438" s="10" t="str">
        <f t="shared" si="1527"/>
        <v>Flores Muñoz</v>
      </c>
      <c r="G7438" s="8">
        <v>1</v>
      </c>
      <c r="H7438" s="11">
        <v>400</v>
      </c>
      <c r="I7438" s="12">
        <v>43394</v>
      </c>
      <c r="J7438" s="35">
        <f t="shared" si="1528"/>
        <v>0</v>
      </c>
      <c r="K7438" s="36"/>
      <c r="L7438" s="36"/>
      <c r="M7438" s="36"/>
      <c r="N7438" s="36"/>
      <c r="O7438" s="36"/>
      <c r="P7438" s="36"/>
      <c r="Q7438" s="36"/>
      <c r="R7438" s="36"/>
      <c r="S7438" s="36"/>
      <c r="T7438" s="36"/>
      <c r="U7438" s="36"/>
      <c r="V7438" s="36"/>
      <c r="W7438" s="15">
        <f t="shared" si="1529"/>
        <v>0</v>
      </c>
      <c r="X7438" s="36"/>
      <c r="Y7438" s="36"/>
      <c r="Z7438" s="36"/>
      <c r="AA7438" s="36"/>
      <c r="AB7438" s="36"/>
      <c r="AC7438" s="36"/>
      <c r="AD7438" s="36"/>
      <c r="AE7438" s="36"/>
      <c r="AF7438" s="36"/>
      <c r="AG7438" s="36"/>
      <c r="AH7438" s="36"/>
      <c r="AI7438" s="36"/>
      <c r="AJ7438" s="15">
        <f t="shared" si="1530"/>
        <v>0</v>
      </c>
      <c r="AK7438" s="14"/>
      <c r="AL7438" s="14"/>
      <c r="AM7438" s="14"/>
      <c r="AN7438" s="14"/>
      <c r="AO7438" s="14"/>
      <c r="AP7438" s="14"/>
      <c r="AQ7438" s="14"/>
      <c r="AR7438" s="14"/>
      <c r="AS7438" s="14"/>
      <c r="AT7438" s="14">
        <v>400</v>
      </c>
      <c r="AU7438" s="14"/>
      <c r="AV7438" s="14"/>
      <c r="AW7438" s="15">
        <f t="shared" si="1531"/>
        <v>400</v>
      </c>
      <c r="AX7438" s="316">
        <f>SUM(H7426:H7438)</f>
        <v>7000</v>
      </c>
    </row>
    <row r="7439" spans="2:50" x14ac:dyDescent="0.2">
      <c r="B7439" s="7"/>
      <c r="C7439" s="8">
        <v>17467</v>
      </c>
      <c r="D7439" s="9" t="s">
        <v>485</v>
      </c>
      <c r="E7439" s="10" t="str">
        <f t="shared" si="1526"/>
        <v>Rancho Estanzuela No. 111</v>
      </c>
      <c r="F7439" s="10" t="str">
        <f t="shared" si="1527"/>
        <v>Flores Pérez</v>
      </c>
      <c r="G7439" s="8">
        <v>5</v>
      </c>
      <c r="H7439" s="315">
        <v>50</v>
      </c>
      <c r="I7439" s="12">
        <v>43395</v>
      </c>
      <c r="J7439" s="35">
        <f t="shared" si="1528"/>
        <v>0</v>
      </c>
      <c r="K7439" s="36"/>
      <c r="L7439" s="36"/>
      <c r="M7439" s="36"/>
      <c r="N7439" s="36"/>
      <c r="O7439" s="36"/>
      <c r="P7439" s="36"/>
      <c r="Q7439" s="36"/>
      <c r="R7439" s="36"/>
      <c r="S7439" s="36"/>
      <c r="T7439" s="36"/>
      <c r="U7439" s="36"/>
      <c r="V7439" s="36"/>
      <c r="W7439" s="15">
        <f t="shared" si="1529"/>
        <v>0</v>
      </c>
      <c r="X7439" s="36"/>
      <c r="Y7439" s="36"/>
      <c r="Z7439" s="36"/>
      <c r="AA7439" s="36"/>
      <c r="AB7439" s="36"/>
      <c r="AC7439" s="36"/>
      <c r="AD7439" s="36"/>
      <c r="AE7439" s="36"/>
      <c r="AF7439" s="36"/>
      <c r="AG7439" s="36"/>
      <c r="AH7439" s="36"/>
      <c r="AI7439" s="36"/>
      <c r="AJ7439" s="15">
        <f t="shared" si="1530"/>
        <v>0</v>
      </c>
      <c r="AK7439" s="14"/>
      <c r="AL7439" s="14"/>
      <c r="AM7439" s="14"/>
      <c r="AN7439" s="14"/>
      <c r="AO7439" s="14"/>
      <c r="AP7439" s="14"/>
      <c r="AQ7439" s="14"/>
      <c r="AR7439" s="14"/>
      <c r="AS7439" s="14"/>
      <c r="AT7439" s="14"/>
      <c r="AU7439" s="14"/>
      <c r="AV7439" s="14"/>
      <c r="AW7439" s="15">
        <f t="shared" si="1531"/>
        <v>0</v>
      </c>
      <c r="AX7439" s="16"/>
    </row>
    <row r="7440" spans="2:50" x14ac:dyDescent="0.2">
      <c r="B7440" s="7"/>
      <c r="C7440" s="8">
        <v>17467</v>
      </c>
      <c r="D7440" s="9" t="s">
        <v>485</v>
      </c>
      <c r="E7440" s="10" t="str">
        <f t="shared" si="1526"/>
        <v>Rancho Estanzuela No. 111</v>
      </c>
      <c r="F7440" s="10" t="str">
        <f t="shared" si="1527"/>
        <v>Flores Pérez</v>
      </c>
      <c r="G7440" s="8">
        <v>7</v>
      </c>
      <c r="H7440" s="11">
        <v>60</v>
      </c>
      <c r="I7440" s="12">
        <v>43395</v>
      </c>
      <c r="J7440" s="35">
        <f t="shared" si="1528"/>
        <v>0</v>
      </c>
      <c r="K7440" s="36"/>
      <c r="L7440" s="36"/>
      <c r="M7440" s="36"/>
      <c r="N7440" s="36"/>
      <c r="O7440" s="36"/>
      <c r="P7440" s="36"/>
      <c r="Q7440" s="36"/>
      <c r="R7440" s="36"/>
      <c r="S7440" s="36"/>
      <c r="T7440" s="36"/>
      <c r="U7440" s="36"/>
      <c r="V7440" s="36"/>
      <c r="W7440" s="15">
        <f t="shared" si="1529"/>
        <v>0</v>
      </c>
      <c r="X7440" s="36"/>
      <c r="Y7440" s="36"/>
      <c r="Z7440" s="36"/>
      <c r="AA7440" s="36"/>
      <c r="AB7440" s="36"/>
      <c r="AC7440" s="36"/>
      <c r="AD7440" s="36"/>
      <c r="AE7440" s="36"/>
      <c r="AF7440" s="36"/>
      <c r="AG7440" s="36"/>
      <c r="AH7440" s="36"/>
      <c r="AI7440" s="36"/>
      <c r="AJ7440" s="15">
        <f t="shared" si="1530"/>
        <v>0</v>
      </c>
      <c r="AK7440" s="14"/>
      <c r="AL7440" s="14"/>
      <c r="AM7440" s="14"/>
      <c r="AN7440" s="14"/>
      <c r="AO7440" s="14"/>
      <c r="AP7440" s="14"/>
      <c r="AQ7440" s="14"/>
      <c r="AR7440" s="14"/>
      <c r="AS7440" s="14"/>
      <c r="AT7440" s="14"/>
      <c r="AU7440" s="14"/>
      <c r="AV7440" s="14"/>
      <c r="AW7440" s="15">
        <f t="shared" si="1531"/>
        <v>0</v>
      </c>
      <c r="AX7440" s="16" t="s">
        <v>5688</v>
      </c>
    </row>
    <row r="7441" spans="2:50" x14ac:dyDescent="0.2">
      <c r="B7441" s="7"/>
      <c r="C7441" s="8">
        <v>17468</v>
      </c>
      <c r="D7441" s="9" t="s">
        <v>485</v>
      </c>
      <c r="E7441" s="10" t="str">
        <f t="shared" ref="E7441:E7467" si="1532">IF(D7441=0,"",VLOOKUP(D7441,BASE,2,FALSE))</f>
        <v>Rancho Estanzuela No. 111</v>
      </c>
      <c r="F7441" s="10" t="str">
        <f t="shared" ref="F7441:F7467" si="1533">IF(D7441=0,"",VLOOKUP(D7441,BASE,3,FALSE))</f>
        <v>Flores Pérez</v>
      </c>
      <c r="G7441" s="8">
        <v>1</v>
      </c>
      <c r="H7441" s="11">
        <v>400</v>
      </c>
      <c r="I7441" s="12">
        <v>43395</v>
      </c>
      <c r="J7441" s="35">
        <f t="shared" ref="J7441:J7467" si="1534">IF(G7441=1,SUM(W7441,AJ7441,AW7441,-H7441),0)</f>
        <v>0</v>
      </c>
      <c r="K7441" s="36"/>
      <c r="L7441" s="36"/>
      <c r="M7441" s="36"/>
      <c r="N7441" s="36"/>
      <c r="O7441" s="36"/>
      <c r="P7441" s="36"/>
      <c r="Q7441" s="36"/>
      <c r="R7441" s="36"/>
      <c r="S7441" s="36"/>
      <c r="T7441" s="36"/>
      <c r="U7441" s="36"/>
      <c r="V7441" s="36"/>
      <c r="W7441" s="15">
        <f t="shared" ref="W7441:W7467" si="1535">SUM(K7441:V7441)</f>
        <v>0</v>
      </c>
      <c r="X7441" s="36"/>
      <c r="Y7441" s="36"/>
      <c r="Z7441" s="36"/>
      <c r="AA7441" s="36"/>
      <c r="AB7441" s="36"/>
      <c r="AC7441" s="36"/>
      <c r="AD7441" s="36"/>
      <c r="AE7441" s="36"/>
      <c r="AF7441" s="36"/>
      <c r="AG7441" s="36"/>
      <c r="AH7441" s="36"/>
      <c r="AI7441" s="36"/>
      <c r="AJ7441" s="15">
        <f t="shared" ref="AJ7441:AJ7467" si="1536">SUM(X7441:AI7441)</f>
        <v>0</v>
      </c>
      <c r="AK7441" s="14"/>
      <c r="AL7441" s="14"/>
      <c r="AM7441" s="14"/>
      <c r="AN7441" s="14"/>
      <c r="AO7441" s="14"/>
      <c r="AP7441" s="14"/>
      <c r="AQ7441" s="14"/>
      <c r="AR7441" s="14"/>
      <c r="AS7441" s="14"/>
      <c r="AT7441" s="14">
        <v>400</v>
      </c>
      <c r="AU7441" s="14"/>
      <c r="AV7441" s="14"/>
      <c r="AW7441" s="15">
        <f t="shared" ref="AW7441:AW7467" si="1537">SUM(AK7441:AV7441)</f>
        <v>400</v>
      </c>
      <c r="AX7441" s="16"/>
    </row>
    <row r="7442" spans="2:50" x14ac:dyDescent="0.2">
      <c r="B7442" s="7"/>
      <c r="C7442" s="8">
        <v>17469</v>
      </c>
      <c r="D7442" s="9" t="s">
        <v>669</v>
      </c>
      <c r="E7442" s="10" t="str">
        <f t="shared" si="1532"/>
        <v>Rancho Landero No. 24</v>
      </c>
      <c r="F7442" s="10" t="str">
        <f t="shared" si="1533"/>
        <v>Vázquez Peralta</v>
      </c>
      <c r="G7442" s="8">
        <v>7</v>
      </c>
      <c r="H7442" s="11">
        <v>60</v>
      </c>
      <c r="I7442" s="12">
        <v>43395</v>
      </c>
      <c r="J7442" s="35">
        <f t="shared" si="1534"/>
        <v>0</v>
      </c>
      <c r="K7442" s="36"/>
      <c r="L7442" s="36"/>
      <c r="M7442" s="36"/>
      <c r="N7442" s="36"/>
      <c r="O7442" s="36"/>
      <c r="P7442" s="36"/>
      <c r="Q7442" s="36"/>
      <c r="R7442" s="36"/>
      <c r="S7442" s="36"/>
      <c r="T7442" s="36"/>
      <c r="U7442" s="36"/>
      <c r="V7442" s="36"/>
      <c r="W7442" s="15">
        <f t="shared" si="1535"/>
        <v>0</v>
      </c>
      <c r="X7442" s="36"/>
      <c r="Y7442" s="36"/>
      <c r="Z7442" s="36"/>
      <c r="AA7442" s="36"/>
      <c r="AB7442" s="36"/>
      <c r="AC7442" s="36"/>
      <c r="AD7442" s="36"/>
      <c r="AE7442" s="36"/>
      <c r="AF7442" s="36"/>
      <c r="AG7442" s="36"/>
      <c r="AH7442" s="36"/>
      <c r="AI7442" s="36"/>
      <c r="AJ7442" s="15">
        <f t="shared" si="1536"/>
        <v>0</v>
      </c>
      <c r="AK7442" s="14"/>
      <c r="AL7442" s="14"/>
      <c r="AM7442" s="14"/>
      <c r="AN7442" s="14"/>
      <c r="AO7442" s="14"/>
      <c r="AP7442" s="14"/>
      <c r="AQ7442" s="14"/>
      <c r="AR7442" s="14"/>
      <c r="AS7442" s="14"/>
      <c r="AT7442" s="14"/>
      <c r="AU7442" s="14"/>
      <c r="AV7442" s="14"/>
      <c r="AW7442" s="15">
        <f t="shared" si="1537"/>
        <v>0</v>
      </c>
      <c r="AX7442" s="16" t="s">
        <v>5688</v>
      </c>
    </row>
    <row r="7443" spans="2:50" x14ac:dyDescent="0.2">
      <c r="B7443" s="7"/>
      <c r="C7443" s="8">
        <v>17470</v>
      </c>
      <c r="D7443" s="9" t="s">
        <v>220</v>
      </c>
      <c r="E7443" s="10" t="str">
        <f t="shared" si="1532"/>
        <v>Rancho Recoveco No. 3</v>
      </c>
      <c r="F7443" s="10" t="str">
        <f t="shared" si="1533"/>
        <v>Garduño</v>
      </c>
      <c r="G7443" s="8">
        <v>1</v>
      </c>
      <c r="H7443" s="11">
        <v>300</v>
      </c>
      <c r="I7443" s="12">
        <v>43397</v>
      </c>
      <c r="J7443" s="35">
        <f t="shared" si="1534"/>
        <v>0</v>
      </c>
      <c r="K7443" s="36"/>
      <c r="L7443" s="36"/>
      <c r="M7443" s="36"/>
      <c r="N7443" s="36"/>
      <c r="O7443" s="36"/>
      <c r="P7443" s="36"/>
      <c r="Q7443" s="36"/>
      <c r="R7443" s="36"/>
      <c r="S7443" s="36"/>
      <c r="T7443" s="36"/>
      <c r="U7443" s="36"/>
      <c r="V7443" s="36"/>
      <c r="W7443" s="15">
        <f t="shared" si="1535"/>
        <v>0</v>
      </c>
      <c r="X7443" s="36"/>
      <c r="Y7443" s="36"/>
      <c r="Z7443" s="36"/>
      <c r="AA7443" s="36"/>
      <c r="AB7443" s="36"/>
      <c r="AC7443" s="36"/>
      <c r="AD7443" s="36"/>
      <c r="AE7443" s="36"/>
      <c r="AF7443" s="36"/>
      <c r="AG7443" s="36"/>
      <c r="AH7443" s="36"/>
      <c r="AI7443" s="36"/>
      <c r="AJ7443" s="15">
        <f t="shared" si="1536"/>
        <v>0</v>
      </c>
      <c r="AK7443" s="14"/>
      <c r="AL7443" s="14"/>
      <c r="AM7443" s="14"/>
      <c r="AN7443" s="14"/>
      <c r="AO7443" s="14"/>
      <c r="AP7443" s="14"/>
      <c r="AQ7443" s="14"/>
      <c r="AR7443" s="14"/>
      <c r="AS7443" s="14"/>
      <c r="AT7443" s="14">
        <v>300</v>
      </c>
      <c r="AU7443" s="14"/>
      <c r="AV7443" s="14"/>
      <c r="AW7443" s="15">
        <f t="shared" si="1537"/>
        <v>300</v>
      </c>
      <c r="AX7443" s="16"/>
    </row>
    <row r="7444" spans="2:50" x14ac:dyDescent="0.2">
      <c r="B7444" s="7"/>
      <c r="C7444" s="8">
        <v>17471</v>
      </c>
      <c r="D7444" s="9" t="s">
        <v>1331</v>
      </c>
      <c r="E7444" s="10" t="str">
        <f t="shared" si="1532"/>
        <v>Rancho Estanzuela No. 43</v>
      </c>
      <c r="F7444" s="10" t="str">
        <f t="shared" si="1533"/>
        <v>Granados</v>
      </c>
      <c r="G7444" s="8">
        <v>1</v>
      </c>
      <c r="H7444" s="11">
        <v>800</v>
      </c>
      <c r="I7444" s="12">
        <v>43397</v>
      </c>
      <c r="J7444" s="35">
        <f t="shared" si="1534"/>
        <v>0</v>
      </c>
      <c r="K7444" s="36"/>
      <c r="L7444" s="36"/>
      <c r="M7444" s="36"/>
      <c r="N7444" s="36"/>
      <c r="O7444" s="36"/>
      <c r="P7444" s="36"/>
      <c r="Q7444" s="36"/>
      <c r="R7444" s="36"/>
      <c r="S7444" s="36"/>
      <c r="T7444" s="36"/>
      <c r="U7444" s="36"/>
      <c r="V7444" s="36"/>
      <c r="W7444" s="15">
        <f t="shared" si="1535"/>
        <v>0</v>
      </c>
      <c r="X7444" s="36"/>
      <c r="Y7444" s="36"/>
      <c r="Z7444" s="36"/>
      <c r="AA7444" s="36"/>
      <c r="AB7444" s="36"/>
      <c r="AC7444" s="36"/>
      <c r="AD7444" s="36"/>
      <c r="AE7444" s="36"/>
      <c r="AF7444" s="36"/>
      <c r="AG7444" s="36"/>
      <c r="AH7444" s="36"/>
      <c r="AI7444" s="36"/>
      <c r="AJ7444" s="15">
        <f t="shared" si="1536"/>
        <v>0</v>
      </c>
      <c r="AK7444" s="14"/>
      <c r="AL7444" s="14"/>
      <c r="AM7444" s="14"/>
      <c r="AN7444" s="14"/>
      <c r="AO7444" s="14"/>
      <c r="AP7444" s="14"/>
      <c r="AQ7444" s="14">
        <v>200</v>
      </c>
      <c r="AR7444" s="14">
        <v>200</v>
      </c>
      <c r="AS7444" s="14">
        <v>200</v>
      </c>
      <c r="AT7444" s="14">
        <v>200</v>
      </c>
      <c r="AU7444" s="14"/>
      <c r="AV7444" s="14"/>
      <c r="AW7444" s="15">
        <f t="shared" si="1537"/>
        <v>800</v>
      </c>
      <c r="AX7444" s="16"/>
    </row>
    <row r="7445" spans="2:50" x14ac:dyDescent="0.2">
      <c r="B7445" s="7"/>
      <c r="C7445" s="8">
        <v>17472</v>
      </c>
      <c r="D7445" s="9" t="s">
        <v>1174</v>
      </c>
      <c r="E7445" s="10" t="str">
        <f t="shared" si="1532"/>
        <v>Rancho Upácuaro No. 61</v>
      </c>
      <c r="F7445" s="10" t="str">
        <f t="shared" si="1533"/>
        <v>Campos Granados</v>
      </c>
      <c r="G7445" s="8">
        <v>1</v>
      </c>
      <c r="H7445" s="11">
        <v>1600</v>
      </c>
      <c r="I7445" s="12">
        <v>43398</v>
      </c>
      <c r="J7445" s="35">
        <f t="shared" si="1534"/>
        <v>0</v>
      </c>
      <c r="K7445" s="36"/>
      <c r="L7445" s="36"/>
      <c r="M7445" s="36"/>
      <c r="N7445" s="36"/>
      <c r="O7445" s="36"/>
      <c r="P7445" s="36"/>
      <c r="Q7445" s="36"/>
      <c r="R7445" s="36"/>
      <c r="S7445" s="36"/>
      <c r="T7445" s="36"/>
      <c r="U7445" s="36"/>
      <c r="V7445" s="36"/>
      <c r="W7445" s="15">
        <f t="shared" si="1535"/>
        <v>0</v>
      </c>
      <c r="X7445" s="36"/>
      <c r="Y7445" s="36"/>
      <c r="Z7445" s="36"/>
      <c r="AA7445" s="36"/>
      <c r="AB7445" s="36"/>
      <c r="AC7445" s="36"/>
      <c r="AD7445" s="36"/>
      <c r="AE7445" s="36"/>
      <c r="AF7445" s="36"/>
      <c r="AG7445" s="36"/>
      <c r="AH7445" s="36"/>
      <c r="AI7445" s="36"/>
      <c r="AJ7445" s="15">
        <f t="shared" si="1536"/>
        <v>0</v>
      </c>
      <c r="AK7445" s="14"/>
      <c r="AL7445" s="14"/>
      <c r="AM7445" s="14"/>
      <c r="AN7445" s="14"/>
      <c r="AO7445" s="14"/>
      <c r="AP7445" s="14"/>
      <c r="AQ7445" s="14">
        <v>400</v>
      </c>
      <c r="AR7445" s="14">
        <v>400</v>
      </c>
      <c r="AS7445" s="14">
        <v>400</v>
      </c>
      <c r="AT7445" s="14">
        <v>400</v>
      </c>
      <c r="AU7445" s="14"/>
      <c r="AV7445" s="14"/>
      <c r="AW7445" s="15">
        <f t="shared" si="1537"/>
        <v>1600</v>
      </c>
      <c r="AX7445" s="16"/>
    </row>
    <row r="7446" spans="2:50" x14ac:dyDescent="0.2">
      <c r="B7446" s="7"/>
      <c r="C7446" s="8">
        <v>17473</v>
      </c>
      <c r="D7446" s="9" t="s">
        <v>482</v>
      </c>
      <c r="E7446" s="10" t="str">
        <f t="shared" si="1532"/>
        <v>Rancho Estopila No. 22, B</v>
      </c>
      <c r="F7446" s="10" t="str">
        <f t="shared" si="1533"/>
        <v xml:space="preserve">Carranza Díaz </v>
      </c>
      <c r="G7446" s="8">
        <v>1</v>
      </c>
      <c r="H7446" s="11">
        <v>1400</v>
      </c>
      <c r="I7446" s="12">
        <v>43400</v>
      </c>
      <c r="J7446" s="35">
        <f t="shared" si="1534"/>
        <v>0</v>
      </c>
      <c r="K7446" s="36"/>
      <c r="L7446" s="36"/>
      <c r="M7446" s="36"/>
      <c r="N7446" s="36"/>
      <c r="O7446" s="36"/>
      <c r="P7446" s="36"/>
      <c r="Q7446" s="36"/>
      <c r="R7446" s="36"/>
      <c r="S7446" s="36"/>
      <c r="T7446" s="36"/>
      <c r="U7446" s="36"/>
      <c r="V7446" s="36"/>
      <c r="W7446" s="15">
        <f t="shared" si="1535"/>
        <v>0</v>
      </c>
      <c r="X7446" s="36"/>
      <c r="Y7446" s="36"/>
      <c r="Z7446" s="36"/>
      <c r="AA7446" s="36"/>
      <c r="AB7446" s="36"/>
      <c r="AC7446" s="36"/>
      <c r="AD7446" s="36"/>
      <c r="AE7446" s="36"/>
      <c r="AF7446" s="36"/>
      <c r="AG7446" s="36"/>
      <c r="AH7446" s="36"/>
      <c r="AI7446" s="36"/>
      <c r="AJ7446" s="15">
        <f t="shared" si="1536"/>
        <v>0</v>
      </c>
      <c r="AK7446" s="14"/>
      <c r="AL7446" s="14"/>
      <c r="AM7446" s="14"/>
      <c r="AN7446" s="14"/>
      <c r="AO7446" s="14"/>
      <c r="AP7446" s="14">
        <v>200</v>
      </c>
      <c r="AQ7446" s="14">
        <v>200</v>
      </c>
      <c r="AR7446" s="14">
        <v>200</v>
      </c>
      <c r="AS7446" s="14">
        <v>200</v>
      </c>
      <c r="AT7446" s="14">
        <v>200</v>
      </c>
      <c r="AU7446" s="14">
        <v>200</v>
      </c>
      <c r="AV7446" s="14">
        <v>200</v>
      </c>
      <c r="AW7446" s="15">
        <f t="shared" si="1537"/>
        <v>1400</v>
      </c>
      <c r="AX7446" s="16"/>
    </row>
    <row r="7447" spans="2:50" x14ac:dyDescent="0.2">
      <c r="B7447" s="7"/>
      <c r="C7447" s="8">
        <v>17474</v>
      </c>
      <c r="D7447" s="9" t="s">
        <v>325</v>
      </c>
      <c r="E7447" s="10" t="str">
        <f t="shared" si="1532"/>
        <v>Rancho Upácuaro No. 120</v>
      </c>
      <c r="F7447" s="10" t="str">
        <f t="shared" si="1533"/>
        <v>Rayas Rivera</v>
      </c>
      <c r="G7447" s="8">
        <v>1</v>
      </c>
      <c r="H7447" s="11">
        <v>400</v>
      </c>
      <c r="I7447" s="12">
        <v>43401</v>
      </c>
      <c r="J7447" s="35">
        <f t="shared" si="1534"/>
        <v>0</v>
      </c>
      <c r="K7447" s="36"/>
      <c r="L7447" s="36"/>
      <c r="M7447" s="36"/>
      <c r="N7447" s="36"/>
      <c r="O7447" s="36"/>
      <c r="P7447" s="36"/>
      <c r="Q7447" s="36"/>
      <c r="R7447" s="36"/>
      <c r="S7447" s="36"/>
      <c r="T7447" s="36"/>
      <c r="U7447" s="36"/>
      <c r="V7447" s="36"/>
      <c r="W7447" s="15">
        <f t="shared" si="1535"/>
        <v>0</v>
      </c>
      <c r="X7447" s="36"/>
      <c r="Y7447" s="36"/>
      <c r="Z7447" s="36"/>
      <c r="AA7447" s="36"/>
      <c r="AB7447" s="36"/>
      <c r="AC7447" s="36"/>
      <c r="AD7447" s="36"/>
      <c r="AE7447" s="36"/>
      <c r="AF7447" s="36"/>
      <c r="AG7447" s="36"/>
      <c r="AH7447" s="36"/>
      <c r="AI7447" s="36"/>
      <c r="AJ7447" s="15">
        <f t="shared" si="1536"/>
        <v>0</v>
      </c>
      <c r="AK7447" s="14"/>
      <c r="AL7447" s="14"/>
      <c r="AM7447" s="14"/>
      <c r="AN7447" s="14"/>
      <c r="AO7447" s="14"/>
      <c r="AP7447" s="14"/>
      <c r="AQ7447" s="14"/>
      <c r="AR7447" s="14"/>
      <c r="AS7447" s="14"/>
      <c r="AT7447" s="14"/>
      <c r="AU7447" s="14">
        <v>400</v>
      </c>
      <c r="AV7447" s="14"/>
      <c r="AW7447" s="15">
        <f t="shared" si="1537"/>
        <v>400</v>
      </c>
      <c r="AX7447" s="16"/>
    </row>
    <row r="7448" spans="2:50" x14ac:dyDescent="0.2">
      <c r="B7448" s="7"/>
      <c r="C7448" s="8">
        <v>17475</v>
      </c>
      <c r="D7448" s="9" t="s">
        <v>241</v>
      </c>
      <c r="E7448" s="10" t="str">
        <f t="shared" si="1532"/>
        <v>Rancho La Cuchilla No. 81, A</v>
      </c>
      <c r="F7448" s="10" t="str">
        <f t="shared" si="1533"/>
        <v>Barrientos López</v>
      </c>
      <c r="G7448" s="8">
        <v>1</v>
      </c>
      <c r="H7448" s="11">
        <v>400</v>
      </c>
      <c r="I7448" s="12">
        <v>43401</v>
      </c>
      <c r="J7448" s="35">
        <f t="shared" si="1534"/>
        <v>0</v>
      </c>
      <c r="K7448" s="36"/>
      <c r="L7448" s="36"/>
      <c r="M7448" s="36"/>
      <c r="N7448" s="36"/>
      <c r="O7448" s="36"/>
      <c r="P7448" s="36"/>
      <c r="Q7448" s="36"/>
      <c r="R7448" s="36"/>
      <c r="S7448" s="36"/>
      <c r="T7448" s="36"/>
      <c r="U7448" s="36"/>
      <c r="V7448" s="36"/>
      <c r="W7448" s="15">
        <f t="shared" si="1535"/>
        <v>0</v>
      </c>
      <c r="X7448" s="36"/>
      <c r="Y7448" s="36"/>
      <c r="Z7448" s="36"/>
      <c r="AA7448" s="36"/>
      <c r="AB7448" s="36"/>
      <c r="AC7448" s="36"/>
      <c r="AD7448" s="36"/>
      <c r="AE7448" s="36"/>
      <c r="AF7448" s="36"/>
      <c r="AG7448" s="36"/>
      <c r="AH7448" s="36"/>
      <c r="AI7448" s="36"/>
      <c r="AJ7448" s="15">
        <f t="shared" si="1536"/>
        <v>0</v>
      </c>
      <c r="AK7448" s="14"/>
      <c r="AL7448" s="14"/>
      <c r="AM7448" s="14"/>
      <c r="AN7448" s="14"/>
      <c r="AO7448" s="14"/>
      <c r="AP7448" s="14"/>
      <c r="AQ7448" s="14"/>
      <c r="AR7448" s="14"/>
      <c r="AS7448" s="14"/>
      <c r="AT7448" s="14">
        <v>400</v>
      </c>
      <c r="AU7448" s="14"/>
      <c r="AV7448" s="14"/>
      <c r="AW7448" s="15">
        <f t="shared" si="1537"/>
        <v>400</v>
      </c>
      <c r="AX7448" s="16"/>
    </row>
    <row r="7449" spans="2:50" x14ac:dyDescent="0.2">
      <c r="B7449" s="7"/>
      <c r="C7449" s="8">
        <v>17476</v>
      </c>
      <c r="D7449" s="9" t="s">
        <v>763</v>
      </c>
      <c r="E7449" s="10" t="str">
        <f t="shared" si="1532"/>
        <v>Rancho Estanzuela No. 79</v>
      </c>
      <c r="F7449" s="10" t="str">
        <f t="shared" si="1533"/>
        <v>Mendoza</v>
      </c>
      <c r="G7449" s="8">
        <v>1</v>
      </c>
      <c r="H7449" s="11">
        <v>600</v>
      </c>
      <c r="I7449" s="12">
        <v>43401</v>
      </c>
      <c r="J7449" s="35">
        <f t="shared" si="1534"/>
        <v>0</v>
      </c>
      <c r="K7449" s="36"/>
      <c r="L7449" s="36"/>
      <c r="M7449" s="36"/>
      <c r="N7449" s="36"/>
      <c r="O7449" s="36"/>
      <c r="P7449" s="36"/>
      <c r="Q7449" s="36"/>
      <c r="R7449" s="36"/>
      <c r="S7449" s="36"/>
      <c r="T7449" s="36"/>
      <c r="U7449" s="36"/>
      <c r="V7449" s="36"/>
      <c r="W7449" s="15">
        <f t="shared" si="1535"/>
        <v>0</v>
      </c>
      <c r="X7449" s="36"/>
      <c r="Y7449" s="36"/>
      <c r="Z7449" s="36"/>
      <c r="AA7449" s="36"/>
      <c r="AB7449" s="36"/>
      <c r="AC7449" s="36"/>
      <c r="AD7449" s="36"/>
      <c r="AE7449" s="36"/>
      <c r="AF7449" s="36"/>
      <c r="AG7449" s="36"/>
      <c r="AH7449" s="36"/>
      <c r="AI7449" s="36"/>
      <c r="AJ7449" s="15">
        <f t="shared" si="1536"/>
        <v>0</v>
      </c>
      <c r="AK7449" s="14"/>
      <c r="AL7449" s="14"/>
      <c r="AM7449" s="14"/>
      <c r="AN7449" s="14"/>
      <c r="AO7449" s="14"/>
      <c r="AP7449" s="14"/>
      <c r="AQ7449" s="14"/>
      <c r="AR7449" s="14"/>
      <c r="AS7449" s="14"/>
      <c r="AT7449" s="14">
        <v>200</v>
      </c>
      <c r="AU7449" s="14">
        <v>200</v>
      </c>
      <c r="AV7449" s="14">
        <v>200</v>
      </c>
      <c r="AW7449" s="15">
        <f t="shared" si="1537"/>
        <v>600</v>
      </c>
      <c r="AX7449" s="16"/>
    </row>
    <row r="7450" spans="2:50" x14ac:dyDescent="0.2">
      <c r="B7450" s="7"/>
      <c r="C7450" s="8">
        <v>17477</v>
      </c>
      <c r="D7450" s="9" t="s">
        <v>1154</v>
      </c>
      <c r="E7450" s="10" t="str">
        <f t="shared" si="1532"/>
        <v>Rancho La Cuchilla No. 112, PA</v>
      </c>
      <c r="F7450" s="10" t="str">
        <f t="shared" si="1533"/>
        <v>Villalpando Pineda</v>
      </c>
      <c r="G7450" s="8">
        <v>1</v>
      </c>
      <c r="H7450" s="11">
        <v>200</v>
      </c>
      <c r="I7450" s="12" t="s">
        <v>5689</v>
      </c>
      <c r="J7450" s="35">
        <f t="shared" si="1534"/>
        <v>0</v>
      </c>
      <c r="K7450" s="36"/>
      <c r="L7450" s="36"/>
      <c r="M7450" s="36"/>
      <c r="N7450" s="36"/>
      <c r="O7450" s="36"/>
      <c r="P7450" s="36"/>
      <c r="Q7450" s="36"/>
      <c r="R7450" s="36"/>
      <c r="S7450" s="36"/>
      <c r="T7450" s="36"/>
      <c r="U7450" s="36"/>
      <c r="V7450" s="36"/>
      <c r="W7450" s="15">
        <f t="shared" si="1535"/>
        <v>0</v>
      </c>
      <c r="X7450" s="36"/>
      <c r="Y7450" s="36"/>
      <c r="Z7450" s="36"/>
      <c r="AA7450" s="36"/>
      <c r="AB7450" s="36"/>
      <c r="AC7450" s="36"/>
      <c r="AD7450" s="36"/>
      <c r="AE7450" s="36"/>
      <c r="AF7450" s="36"/>
      <c r="AG7450" s="36"/>
      <c r="AH7450" s="36"/>
      <c r="AI7450" s="36"/>
      <c r="AJ7450" s="15">
        <f t="shared" si="1536"/>
        <v>0</v>
      </c>
      <c r="AK7450" s="14"/>
      <c r="AL7450" s="14"/>
      <c r="AM7450" s="14"/>
      <c r="AN7450" s="14"/>
      <c r="AO7450" s="14"/>
      <c r="AP7450" s="14"/>
      <c r="AQ7450" s="14"/>
      <c r="AR7450" s="14">
        <v>200</v>
      </c>
      <c r="AS7450" s="14"/>
      <c r="AT7450" s="14"/>
      <c r="AU7450" s="14"/>
      <c r="AV7450" s="14"/>
      <c r="AW7450" s="15">
        <f t="shared" si="1537"/>
        <v>200</v>
      </c>
      <c r="AX7450" s="16"/>
    </row>
    <row r="7451" spans="2:50" x14ac:dyDescent="0.2">
      <c r="B7451" s="7"/>
      <c r="C7451" s="8">
        <v>17477</v>
      </c>
      <c r="D7451" s="9" t="s">
        <v>1154</v>
      </c>
      <c r="E7451" s="10" t="str">
        <f t="shared" si="1532"/>
        <v>Rancho La Cuchilla No. 112, PA</v>
      </c>
      <c r="F7451" s="10" t="str">
        <f t="shared" si="1533"/>
        <v>Villalpando Pineda</v>
      </c>
      <c r="G7451" s="8">
        <v>5</v>
      </c>
      <c r="H7451" s="11">
        <v>50</v>
      </c>
      <c r="I7451" s="12">
        <v>43401</v>
      </c>
      <c r="J7451" s="35">
        <f t="shared" si="1534"/>
        <v>0</v>
      </c>
      <c r="K7451" s="36"/>
      <c r="L7451" s="36"/>
      <c r="M7451" s="36"/>
      <c r="N7451" s="36"/>
      <c r="O7451" s="36"/>
      <c r="P7451" s="36"/>
      <c r="Q7451" s="36"/>
      <c r="R7451" s="36"/>
      <c r="S7451" s="36"/>
      <c r="T7451" s="36"/>
      <c r="U7451" s="36"/>
      <c r="V7451" s="36"/>
      <c r="W7451" s="15">
        <f t="shared" si="1535"/>
        <v>0</v>
      </c>
      <c r="X7451" s="36"/>
      <c r="Y7451" s="36"/>
      <c r="Z7451" s="36"/>
      <c r="AA7451" s="36"/>
      <c r="AB7451" s="36"/>
      <c r="AC7451" s="36"/>
      <c r="AD7451" s="36"/>
      <c r="AE7451" s="36"/>
      <c r="AF7451" s="36"/>
      <c r="AG7451" s="36"/>
      <c r="AH7451" s="36"/>
      <c r="AI7451" s="36"/>
      <c r="AJ7451" s="15">
        <f t="shared" si="1536"/>
        <v>0</v>
      </c>
      <c r="AK7451" s="14"/>
      <c r="AL7451" s="14"/>
      <c r="AM7451" s="14"/>
      <c r="AN7451" s="14"/>
      <c r="AO7451" s="14"/>
      <c r="AP7451" s="14"/>
      <c r="AQ7451" s="14"/>
      <c r="AR7451" s="14"/>
      <c r="AS7451" s="14"/>
      <c r="AT7451" s="14"/>
      <c r="AU7451" s="14"/>
      <c r="AV7451" s="14"/>
      <c r="AW7451" s="15">
        <f t="shared" si="1537"/>
        <v>0</v>
      </c>
      <c r="AX7451" s="16"/>
    </row>
    <row r="7452" spans="2:50" x14ac:dyDescent="0.2">
      <c r="B7452" s="7"/>
      <c r="C7452" s="8">
        <v>17478</v>
      </c>
      <c r="D7452" s="9" t="s">
        <v>310</v>
      </c>
      <c r="E7452" s="10" t="str">
        <f t="shared" si="1532"/>
        <v>Rancho Recoveco No. 181</v>
      </c>
      <c r="F7452" s="10" t="str">
        <f t="shared" si="1533"/>
        <v>Castillo</v>
      </c>
      <c r="G7452" s="8">
        <v>1</v>
      </c>
      <c r="H7452" s="11">
        <v>400</v>
      </c>
      <c r="I7452" s="12">
        <v>43401</v>
      </c>
      <c r="J7452" s="35">
        <f t="shared" si="1534"/>
        <v>0</v>
      </c>
      <c r="K7452" s="36"/>
      <c r="L7452" s="36"/>
      <c r="M7452" s="36"/>
      <c r="N7452" s="36"/>
      <c r="O7452" s="36"/>
      <c r="P7452" s="36"/>
      <c r="Q7452" s="36"/>
      <c r="R7452" s="36"/>
      <c r="S7452" s="36"/>
      <c r="T7452" s="36"/>
      <c r="U7452" s="36"/>
      <c r="V7452" s="36"/>
      <c r="W7452" s="15">
        <f t="shared" si="1535"/>
        <v>0</v>
      </c>
      <c r="X7452" s="36"/>
      <c r="Y7452" s="36"/>
      <c r="Z7452" s="36"/>
      <c r="AA7452" s="36"/>
      <c r="AB7452" s="36"/>
      <c r="AC7452" s="36"/>
      <c r="AD7452" s="36"/>
      <c r="AE7452" s="36"/>
      <c r="AF7452" s="36"/>
      <c r="AG7452" s="36"/>
      <c r="AH7452" s="36"/>
      <c r="AI7452" s="36"/>
      <c r="AJ7452" s="15">
        <f t="shared" si="1536"/>
        <v>0</v>
      </c>
      <c r="AK7452" s="14"/>
      <c r="AL7452" s="14"/>
      <c r="AM7452" s="14"/>
      <c r="AN7452" s="14"/>
      <c r="AO7452" s="14"/>
      <c r="AP7452" s="14"/>
      <c r="AQ7452" s="14"/>
      <c r="AR7452" s="14"/>
      <c r="AS7452" s="14"/>
      <c r="AT7452" s="14">
        <v>400</v>
      </c>
      <c r="AU7452" s="14"/>
      <c r="AV7452" s="14"/>
      <c r="AW7452" s="15">
        <f t="shared" si="1537"/>
        <v>400</v>
      </c>
      <c r="AX7452" s="16"/>
    </row>
    <row r="7453" spans="2:50" x14ac:dyDescent="0.2">
      <c r="B7453" s="7"/>
      <c r="C7453" s="8">
        <v>17479</v>
      </c>
      <c r="D7453" s="9" t="s">
        <v>672</v>
      </c>
      <c r="E7453" s="10" t="str">
        <f t="shared" si="1532"/>
        <v>Rancho Estanzuela No. 11, B</v>
      </c>
      <c r="F7453" s="10" t="str">
        <f t="shared" si="1533"/>
        <v>Gómez Miguel</v>
      </c>
      <c r="G7453" s="8">
        <v>1</v>
      </c>
      <c r="H7453" s="11">
        <v>600</v>
      </c>
      <c r="I7453" s="12">
        <v>43401</v>
      </c>
      <c r="J7453" s="35">
        <f t="shared" si="1534"/>
        <v>0</v>
      </c>
      <c r="K7453" s="36"/>
      <c r="L7453" s="36"/>
      <c r="M7453" s="36"/>
      <c r="N7453" s="36"/>
      <c r="O7453" s="36"/>
      <c r="P7453" s="36"/>
      <c r="Q7453" s="36"/>
      <c r="R7453" s="36"/>
      <c r="S7453" s="36"/>
      <c r="T7453" s="36"/>
      <c r="U7453" s="36"/>
      <c r="V7453" s="36"/>
      <c r="W7453" s="15">
        <f t="shared" si="1535"/>
        <v>0</v>
      </c>
      <c r="X7453" s="36"/>
      <c r="Y7453" s="36"/>
      <c r="Z7453" s="36"/>
      <c r="AA7453" s="36"/>
      <c r="AB7453" s="36"/>
      <c r="AC7453" s="36"/>
      <c r="AD7453" s="36"/>
      <c r="AE7453" s="36"/>
      <c r="AF7453" s="36"/>
      <c r="AG7453" s="36"/>
      <c r="AH7453" s="36"/>
      <c r="AI7453" s="36"/>
      <c r="AJ7453" s="15">
        <f t="shared" si="1536"/>
        <v>0</v>
      </c>
      <c r="AK7453" s="14"/>
      <c r="AL7453" s="14"/>
      <c r="AM7453" s="14"/>
      <c r="AN7453" s="14"/>
      <c r="AO7453" s="14"/>
      <c r="AP7453" s="14"/>
      <c r="AQ7453" s="14"/>
      <c r="AR7453" s="14">
        <v>200</v>
      </c>
      <c r="AS7453" s="14">
        <v>200</v>
      </c>
      <c r="AT7453" s="14">
        <v>200</v>
      </c>
      <c r="AU7453" s="14"/>
      <c r="AV7453" s="14"/>
      <c r="AW7453" s="15">
        <f t="shared" si="1537"/>
        <v>600</v>
      </c>
      <c r="AX7453" s="16"/>
    </row>
    <row r="7454" spans="2:50" x14ac:dyDescent="0.2">
      <c r="B7454" s="7"/>
      <c r="C7454" s="8">
        <v>17480</v>
      </c>
      <c r="D7454" s="9" t="s">
        <v>280</v>
      </c>
      <c r="E7454" s="10" t="str">
        <f t="shared" si="1532"/>
        <v>Rancho La Cuchilla No. 40</v>
      </c>
      <c r="F7454" s="10" t="str">
        <f t="shared" si="1533"/>
        <v>López Pico</v>
      </c>
      <c r="G7454" s="8">
        <v>7</v>
      </c>
      <c r="H7454" s="11">
        <v>80</v>
      </c>
      <c r="I7454" s="12">
        <v>43401</v>
      </c>
      <c r="J7454" s="35">
        <f t="shared" si="1534"/>
        <v>0</v>
      </c>
      <c r="K7454" s="36"/>
      <c r="L7454" s="36"/>
      <c r="M7454" s="36"/>
      <c r="N7454" s="36"/>
      <c r="O7454" s="36"/>
      <c r="P7454" s="36"/>
      <c r="Q7454" s="36"/>
      <c r="R7454" s="36"/>
      <c r="S7454" s="36"/>
      <c r="T7454" s="36"/>
      <c r="U7454" s="36"/>
      <c r="V7454" s="36"/>
      <c r="W7454" s="15">
        <f t="shared" si="1535"/>
        <v>0</v>
      </c>
      <c r="X7454" s="36"/>
      <c r="Y7454" s="36"/>
      <c r="Z7454" s="36"/>
      <c r="AA7454" s="36"/>
      <c r="AB7454" s="36"/>
      <c r="AC7454" s="36"/>
      <c r="AD7454" s="36"/>
      <c r="AE7454" s="36"/>
      <c r="AF7454" s="36"/>
      <c r="AG7454" s="36"/>
      <c r="AH7454" s="36"/>
      <c r="AI7454" s="36"/>
      <c r="AJ7454" s="15">
        <f t="shared" si="1536"/>
        <v>0</v>
      </c>
      <c r="AK7454" s="14"/>
      <c r="AL7454" s="14"/>
      <c r="AM7454" s="14"/>
      <c r="AN7454" s="14"/>
      <c r="AO7454" s="14"/>
      <c r="AP7454" s="14"/>
      <c r="AQ7454" s="14"/>
      <c r="AR7454" s="14"/>
      <c r="AS7454" s="14"/>
      <c r="AT7454" s="14"/>
      <c r="AU7454" s="14"/>
      <c r="AV7454" s="14"/>
      <c r="AW7454" s="15">
        <f t="shared" si="1537"/>
        <v>0</v>
      </c>
      <c r="AX7454" s="16" t="s">
        <v>5690</v>
      </c>
    </row>
    <row r="7455" spans="2:50" x14ac:dyDescent="0.2">
      <c r="B7455" s="7"/>
      <c r="C7455" s="8">
        <v>17481</v>
      </c>
      <c r="D7455" s="9" t="s">
        <v>349</v>
      </c>
      <c r="E7455" s="10" t="str">
        <f t="shared" si="1532"/>
        <v>Rancho La Cuchilla No. 15</v>
      </c>
      <c r="F7455" s="10" t="str">
        <f t="shared" si="1533"/>
        <v>Guerrero Ponce</v>
      </c>
      <c r="G7455" s="8">
        <v>1</v>
      </c>
      <c r="H7455" s="11">
        <v>600</v>
      </c>
      <c r="I7455" s="12">
        <v>43401</v>
      </c>
      <c r="J7455" s="35">
        <f t="shared" si="1534"/>
        <v>0</v>
      </c>
      <c r="K7455" s="36"/>
      <c r="L7455" s="36"/>
      <c r="M7455" s="36"/>
      <c r="N7455" s="36"/>
      <c r="O7455" s="36"/>
      <c r="P7455" s="36"/>
      <c r="Q7455" s="36"/>
      <c r="R7455" s="36"/>
      <c r="S7455" s="36"/>
      <c r="T7455" s="36"/>
      <c r="U7455" s="36"/>
      <c r="V7455" s="36"/>
      <c r="W7455" s="15">
        <f t="shared" si="1535"/>
        <v>0</v>
      </c>
      <c r="X7455" s="36"/>
      <c r="Y7455" s="36"/>
      <c r="Z7455" s="36"/>
      <c r="AA7455" s="36"/>
      <c r="AB7455" s="36"/>
      <c r="AC7455" s="36"/>
      <c r="AD7455" s="36"/>
      <c r="AE7455" s="36"/>
      <c r="AF7455" s="36"/>
      <c r="AG7455" s="36"/>
      <c r="AH7455" s="36"/>
      <c r="AI7455" s="36"/>
      <c r="AJ7455" s="15">
        <f t="shared" si="1536"/>
        <v>0</v>
      </c>
      <c r="AK7455" s="14"/>
      <c r="AL7455" s="14"/>
      <c r="AM7455" s="14"/>
      <c r="AN7455" s="14"/>
      <c r="AO7455" s="14"/>
      <c r="AP7455" s="14"/>
      <c r="AQ7455" s="14">
        <v>300</v>
      </c>
      <c r="AR7455" s="14">
        <v>300</v>
      </c>
      <c r="AS7455" s="14"/>
      <c r="AT7455" s="14"/>
      <c r="AU7455" s="14"/>
      <c r="AV7455" s="14"/>
      <c r="AW7455" s="15">
        <f t="shared" si="1537"/>
        <v>600</v>
      </c>
      <c r="AX7455" s="16"/>
    </row>
    <row r="7456" spans="2:50" x14ac:dyDescent="0.2">
      <c r="B7456" s="7"/>
      <c r="C7456" s="8">
        <v>17482</v>
      </c>
      <c r="D7456" s="9" t="s">
        <v>731</v>
      </c>
      <c r="E7456" s="10" t="str">
        <f t="shared" si="1532"/>
        <v>Rancho Estanzuela No. 133</v>
      </c>
      <c r="F7456" s="10" t="str">
        <f t="shared" si="1533"/>
        <v>Hernández Salazar</v>
      </c>
      <c r="G7456" s="8">
        <v>1</v>
      </c>
      <c r="H7456" s="11">
        <v>600</v>
      </c>
      <c r="I7456" s="12">
        <v>43401</v>
      </c>
      <c r="J7456" s="35">
        <f t="shared" si="1534"/>
        <v>0</v>
      </c>
      <c r="K7456" s="36"/>
      <c r="L7456" s="36"/>
      <c r="M7456" s="36"/>
      <c r="N7456" s="36"/>
      <c r="O7456" s="36"/>
      <c r="P7456" s="36"/>
      <c r="Q7456" s="36"/>
      <c r="R7456" s="36"/>
      <c r="S7456" s="36"/>
      <c r="T7456" s="36"/>
      <c r="U7456" s="36"/>
      <c r="V7456" s="36"/>
      <c r="W7456" s="15">
        <f t="shared" si="1535"/>
        <v>0</v>
      </c>
      <c r="X7456" s="36"/>
      <c r="Y7456" s="36"/>
      <c r="Z7456" s="36"/>
      <c r="AA7456" s="36"/>
      <c r="AB7456" s="36"/>
      <c r="AC7456" s="36"/>
      <c r="AD7456" s="36"/>
      <c r="AE7456" s="36"/>
      <c r="AF7456" s="36"/>
      <c r="AG7456" s="36"/>
      <c r="AH7456" s="36"/>
      <c r="AI7456" s="36"/>
      <c r="AJ7456" s="15">
        <f t="shared" si="1536"/>
        <v>0</v>
      </c>
      <c r="AK7456" s="14"/>
      <c r="AL7456" s="14"/>
      <c r="AM7456" s="14"/>
      <c r="AN7456" s="14"/>
      <c r="AO7456" s="14"/>
      <c r="AP7456" s="14"/>
      <c r="AQ7456" s="14"/>
      <c r="AR7456" s="14"/>
      <c r="AS7456" s="14"/>
      <c r="AT7456" s="14">
        <v>300</v>
      </c>
      <c r="AU7456" s="14">
        <v>300</v>
      </c>
      <c r="AV7456" s="14"/>
      <c r="AW7456" s="15">
        <f t="shared" si="1537"/>
        <v>600</v>
      </c>
      <c r="AX7456" s="16"/>
    </row>
    <row r="7457" spans="2:50" x14ac:dyDescent="0.2">
      <c r="B7457" s="7"/>
      <c r="C7457" s="8">
        <v>17483</v>
      </c>
      <c r="D7457" s="9" t="s">
        <v>725</v>
      </c>
      <c r="E7457" s="10" t="str">
        <f t="shared" si="1532"/>
        <v>Rancho Zinamba No. 34</v>
      </c>
      <c r="F7457" s="10" t="str">
        <f t="shared" si="1533"/>
        <v>Torres Zavala</v>
      </c>
      <c r="G7457" s="8">
        <v>1</v>
      </c>
      <c r="H7457" s="11">
        <v>800</v>
      </c>
      <c r="I7457" s="12">
        <v>43401</v>
      </c>
      <c r="J7457" s="35">
        <f t="shared" si="1534"/>
        <v>0</v>
      </c>
      <c r="K7457" s="36"/>
      <c r="L7457" s="36"/>
      <c r="M7457" s="36"/>
      <c r="N7457" s="36"/>
      <c r="O7457" s="36"/>
      <c r="P7457" s="36"/>
      <c r="Q7457" s="36"/>
      <c r="R7457" s="36"/>
      <c r="S7457" s="36"/>
      <c r="T7457" s="36"/>
      <c r="U7457" s="36"/>
      <c r="V7457" s="36"/>
      <c r="W7457" s="15">
        <f t="shared" si="1535"/>
        <v>0</v>
      </c>
      <c r="X7457" s="36"/>
      <c r="Y7457" s="36"/>
      <c r="Z7457" s="36"/>
      <c r="AA7457" s="36"/>
      <c r="AB7457" s="36"/>
      <c r="AC7457" s="36"/>
      <c r="AD7457" s="36"/>
      <c r="AE7457" s="36"/>
      <c r="AF7457" s="36"/>
      <c r="AG7457" s="36"/>
      <c r="AH7457" s="36"/>
      <c r="AI7457" s="36"/>
      <c r="AJ7457" s="15">
        <f t="shared" si="1536"/>
        <v>0</v>
      </c>
      <c r="AK7457" s="14"/>
      <c r="AL7457" s="14"/>
      <c r="AM7457" s="14"/>
      <c r="AN7457" s="14"/>
      <c r="AO7457" s="14"/>
      <c r="AP7457" s="14"/>
      <c r="AQ7457" s="14"/>
      <c r="AR7457" s="14"/>
      <c r="AS7457" s="14">
        <v>400</v>
      </c>
      <c r="AT7457" s="14">
        <v>400</v>
      </c>
      <c r="AU7457" s="14"/>
      <c r="AV7457" s="14"/>
      <c r="AW7457" s="15">
        <f t="shared" si="1537"/>
        <v>800</v>
      </c>
      <c r="AX7457" s="16"/>
    </row>
    <row r="7458" spans="2:50" x14ac:dyDescent="0.2">
      <c r="B7458" s="7"/>
      <c r="C7458" s="8">
        <v>17484</v>
      </c>
      <c r="D7458" s="9" t="s">
        <v>725</v>
      </c>
      <c r="E7458" s="10" t="str">
        <f t="shared" si="1532"/>
        <v>Rancho Zinamba No. 34</v>
      </c>
      <c r="F7458" s="10" t="str">
        <f t="shared" si="1533"/>
        <v>Torres Zavala</v>
      </c>
      <c r="G7458" s="8">
        <v>7</v>
      </c>
      <c r="H7458" s="11">
        <v>20</v>
      </c>
      <c r="I7458" s="12">
        <v>43401</v>
      </c>
      <c r="J7458" s="35">
        <f t="shared" si="1534"/>
        <v>0</v>
      </c>
      <c r="K7458" s="36"/>
      <c r="L7458" s="36"/>
      <c r="M7458" s="36"/>
      <c r="N7458" s="36"/>
      <c r="O7458" s="36"/>
      <c r="P7458" s="36"/>
      <c r="Q7458" s="36"/>
      <c r="R7458" s="36"/>
      <c r="S7458" s="36"/>
      <c r="T7458" s="36"/>
      <c r="U7458" s="36"/>
      <c r="V7458" s="36"/>
      <c r="W7458" s="15">
        <f t="shared" si="1535"/>
        <v>0</v>
      </c>
      <c r="X7458" s="36"/>
      <c r="Y7458" s="36"/>
      <c r="Z7458" s="36"/>
      <c r="AA7458" s="36"/>
      <c r="AB7458" s="36"/>
      <c r="AC7458" s="36"/>
      <c r="AD7458" s="36"/>
      <c r="AE7458" s="36"/>
      <c r="AF7458" s="36"/>
      <c r="AG7458" s="36"/>
      <c r="AH7458" s="36"/>
      <c r="AI7458" s="36"/>
      <c r="AJ7458" s="15">
        <f t="shared" si="1536"/>
        <v>0</v>
      </c>
      <c r="AK7458" s="14"/>
      <c r="AL7458" s="14"/>
      <c r="AM7458" s="14"/>
      <c r="AN7458" s="14"/>
      <c r="AO7458" s="14"/>
      <c r="AP7458" s="14"/>
      <c r="AQ7458" s="14"/>
      <c r="AR7458" s="14"/>
      <c r="AS7458" s="14"/>
      <c r="AT7458" s="14"/>
      <c r="AU7458" s="14"/>
      <c r="AV7458" s="14"/>
      <c r="AW7458" s="15">
        <f t="shared" si="1537"/>
        <v>0</v>
      </c>
      <c r="AX7458" s="16" t="s">
        <v>5691</v>
      </c>
    </row>
    <row r="7459" spans="2:50" x14ac:dyDescent="0.2">
      <c r="B7459" s="7"/>
      <c r="C7459" s="8">
        <v>17485</v>
      </c>
      <c r="D7459" s="9" t="s">
        <v>746</v>
      </c>
      <c r="E7459" s="10" t="str">
        <f t="shared" si="1532"/>
        <v>Rancho La Cuchilla No. 12</v>
      </c>
      <c r="F7459" s="10" t="str">
        <f t="shared" si="1533"/>
        <v>Rivera Flores</v>
      </c>
      <c r="G7459" s="8">
        <v>1</v>
      </c>
      <c r="H7459" s="11">
        <v>1400</v>
      </c>
      <c r="I7459" s="12">
        <v>43401</v>
      </c>
      <c r="J7459" s="35">
        <f t="shared" si="1534"/>
        <v>0</v>
      </c>
      <c r="K7459" s="36"/>
      <c r="L7459" s="36"/>
      <c r="M7459" s="36"/>
      <c r="N7459" s="36"/>
      <c r="O7459" s="36"/>
      <c r="P7459" s="36"/>
      <c r="Q7459" s="36"/>
      <c r="R7459" s="36"/>
      <c r="S7459" s="36"/>
      <c r="T7459" s="36"/>
      <c r="U7459" s="36"/>
      <c r="V7459" s="36"/>
      <c r="W7459" s="15">
        <f t="shared" si="1535"/>
        <v>0</v>
      </c>
      <c r="X7459" s="36"/>
      <c r="Y7459" s="36"/>
      <c r="Z7459" s="36"/>
      <c r="AA7459" s="36"/>
      <c r="AB7459" s="36"/>
      <c r="AC7459" s="36"/>
      <c r="AD7459" s="36"/>
      <c r="AE7459" s="36"/>
      <c r="AF7459" s="36"/>
      <c r="AG7459" s="36"/>
      <c r="AH7459" s="36"/>
      <c r="AI7459" s="36"/>
      <c r="AJ7459" s="15">
        <f t="shared" si="1536"/>
        <v>0</v>
      </c>
      <c r="AK7459" s="14"/>
      <c r="AL7459" s="14"/>
      <c r="AM7459" s="14"/>
      <c r="AN7459" s="14"/>
      <c r="AO7459" s="14"/>
      <c r="AP7459" s="14"/>
      <c r="AQ7459" s="14"/>
      <c r="AR7459" s="14"/>
      <c r="AS7459" s="14">
        <v>350</v>
      </c>
      <c r="AT7459" s="14">
        <v>350</v>
      </c>
      <c r="AU7459" s="14">
        <v>350</v>
      </c>
      <c r="AV7459" s="14">
        <v>350</v>
      </c>
      <c r="AW7459" s="15">
        <f t="shared" si="1537"/>
        <v>1400</v>
      </c>
      <c r="AX7459" s="16"/>
    </row>
    <row r="7460" spans="2:50" x14ac:dyDescent="0.2">
      <c r="B7460" s="7"/>
      <c r="C7460" s="8">
        <v>17486</v>
      </c>
      <c r="D7460" s="9" t="s">
        <v>48</v>
      </c>
      <c r="E7460" s="10" t="str">
        <f t="shared" si="1532"/>
        <v>Rancho La Cuchilla No. 110</v>
      </c>
      <c r="F7460" s="10" t="str">
        <f t="shared" si="1533"/>
        <v>Domínguez Canudas</v>
      </c>
      <c r="G7460" s="8">
        <v>1</v>
      </c>
      <c r="H7460" s="11">
        <v>1200</v>
      </c>
      <c r="I7460" s="12">
        <v>43401</v>
      </c>
      <c r="J7460" s="35">
        <f t="shared" si="1534"/>
        <v>0</v>
      </c>
      <c r="K7460" s="36"/>
      <c r="L7460" s="36"/>
      <c r="M7460" s="36"/>
      <c r="N7460" s="36"/>
      <c r="O7460" s="36"/>
      <c r="P7460" s="36"/>
      <c r="Q7460" s="36"/>
      <c r="R7460" s="36"/>
      <c r="S7460" s="36"/>
      <c r="T7460" s="36"/>
      <c r="U7460" s="36"/>
      <c r="V7460" s="36"/>
      <c r="W7460" s="15">
        <f t="shared" si="1535"/>
        <v>0</v>
      </c>
      <c r="X7460" s="36"/>
      <c r="Y7460" s="36"/>
      <c r="Z7460" s="36"/>
      <c r="AA7460" s="36"/>
      <c r="AB7460" s="36"/>
      <c r="AC7460" s="36"/>
      <c r="AD7460" s="36"/>
      <c r="AE7460" s="36"/>
      <c r="AF7460" s="36"/>
      <c r="AG7460" s="36"/>
      <c r="AH7460" s="36"/>
      <c r="AI7460" s="36"/>
      <c r="AJ7460" s="15">
        <f t="shared" si="1536"/>
        <v>0</v>
      </c>
      <c r="AK7460" s="14"/>
      <c r="AL7460" s="14"/>
      <c r="AM7460" s="14"/>
      <c r="AN7460" s="14"/>
      <c r="AO7460" s="14"/>
      <c r="AP7460" s="14"/>
      <c r="AQ7460" s="14"/>
      <c r="AR7460" s="14"/>
      <c r="AS7460" s="14">
        <v>400</v>
      </c>
      <c r="AT7460" s="14">
        <v>400</v>
      </c>
      <c r="AU7460" s="14">
        <v>400</v>
      </c>
      <c r="AV7460" s="14"/>
      <c r="AW7460" s="15">
        <f t="shared" si="1537"/>
        <v>1200</v>
      </c>
      <c r="AX7460" s="16" t="s">
        <v>5692</v>
      </c>
    </row>
    <row r="7461" spans="2:50" x14ac:dyDescent="0.2">
      <c r="B7461" s="7"/>
      <c r="C7461" s="8">
        <v>17487</v>
      </c>
      <c r="D7461" s="9" t="s">
        <v>48</v>
      </c>
      <c r="E7461" s="10" t="str">
        <f t="shared" si="1532"/>
        <v>Rancho La Cuchilla No. 110</v>
      </c>
      <c r="F7461" s="10" t="str">
        <f t="shared" si="1533"/>
        <v>Domínguez Canudas</v>
      </c>
      <c r="G7461" s="8">
        <v>7</v>
      </c>
      <c r="H7461" s="11">
        <v>20</v>
      </c>
      <c r="I7461" s="12">
        <v>43401</v>
      </c>
      <c r="J7461" s="35">
        <f t="shared" si="1534"/>
        <v>0</v>
      </c>
      <c r="K7461" s="36"/>
      <c r="L7461" s="36"/>
      <c r="M7461" s="36"/>
      <c r="N7461" s="36"/>
      <c r="O7461" s="36"/>
      <c r="P7461" s="36"/>
      <c r="Q7461" s="36"/>
      <c r="R7461" s="36"/>
      <c r="S7461" s="36"/>
      <c r="T7461" s="36"/>
      <c r="U7461" s="36"/>
      <c r="V7461" s="36"/>
      <c r="W7461" s="15">
        <f t="shared" si="1535"/>
        <v>0</v>
      </c>
      <c r="X7461" s="36"/>
      <c r="Y7461" s="36"/>
      <c r="Z7461" s="36"/>
      <c r="AA7461" s="36"/>
      <c r="AB7461" s="36"/>
      <c r="AC7461" s="36"/>
      <c r="AD7461" s="36"/>
      <c r="AE7461" s="36"/>
      <c r="AF7461" s="36"/>
      <c r="AG7461" s="36"/>
      <c r="AH7461" s="36"/>
      <c r="AI7461" s="36"/>
      <c r="AJ7461" s="15">
        <f t="shared" si="1536"/>
        <v>0</v>
      </c>
      <c r="AK7461" s="14"/>
      <c r="AL7461" s="14"/>
      <c r="AM7461" s="14"/>
      <c r="AN7461" s="14"/>
      <c r="AO7461" s="14"/>
      <c r="AP7461" s="14"/>
      <c r="AQ7461" s="14"/>
      <c r="AR7461" s="14"/>
      <c r="AS7461" s="14"/>
      <c r="AT7461" s="14"/>
      <c r="AU7461" s="14"/>
      <c r="AV7461" s="14"/>
      <c r="AW7461" s="15">
        <f t="shared" si="1537"/>
        <v>0</v>
      </c>
      <c r="AX7461" s="16" t="s">
        <v>5691</v>
      </c>
    </row>
    <row r="7462" spans="2:50" x14ac:dyDescent="0.2">
      <c r="B7462" s="7"/>
      <c r="C7462" s="8">
        <v>17488</v>
      </c>
      <c r="D7462" s="9" t="s">
        <v>803</v>
      </c>
      <c r="E7462" s="10" t="str">
        <f t="shared" si="1532"/>
        <v>Rancho La Cuchilla No. 36</v>
      </c>
      <c r="F7462" s="10" t="str">
        <f t="shared" si="1533"/>
        <v>Castillo</v>
      </c>
      <c r="G7462" s="8">
        <v>1</v>
      </c>
      <c r="H7462" s="11">
        <v>400</v>
      </c>
      <c r="I7462" s="12">
        <v>43401</v>
      </c>
      <c r="J7462" s="35">
        <f t="shared" si="1534"/>
        <v>0</v>
      </c>
      <c r="K7462" s="36"/>
      <c r="L7462" s="36"/>
      <c r="M7462" s="36"/>
      <c r="N7462" s="36"/>
      <c r="O7462" s="36"/>
      <c r="P7462" s="36"/>
      <c r="Q7462" s="36"/>
      <c r="R7462" s="36"/>
      <c r="S7462" s="36"/>
      <c r="T7462" s="36"/>
      <c r="U7462" s="36"/>
      <c r="V7462" s="36"/>
      <c r="W7462" s="15">
        <f t="shared" si="1535"/>
        <v>0</v>
      </c>
      <c r="X7462" s="36"/>
      <c r="Y7462" s="36"/>
      <c r="Z7462" s="36"/>
      <c r="AA7462" s="36"/>
      <c r="AB7462" s="36"/>
      <c r="AC7462" s="36"/>
      <c r="AD7462" s="36"/>
      <c r="AE7462" s="36"/>
      <c r="AF7462" s="36"/>
      <c r="AG7462" s="36"/>
      <c r="AH7462" s="36"/>
      <c r="AI7462" s="36"/>
      <c r="AJ7462" s="15">
        <f t="shared" si="1536"/>
        <v>0</v>
      </c>
      <c r="AK7462" s="14"/>
      <c r="AL7462" s="14"/>
      <c r="AM7462" s="14"/>
      <c r="AN7462" s="14"/>
      <c r="AO7462" s="14"/>
      <c r="AP7462" s="14"/>
      <c r="AQ7462" s="14"/>
      <c r="AR7462" s="14"/>
      <c r="AS7462" s="14"/>
      <c r="AT7462" s="14">
        <v>400</v>
      </c>
      <c r="AU7462" s="14"/>
      <c r="AV7462" s="14"/>
      <c r="AW7462" s="15">
        <f t="shared" si="1537"/>
        <v>400</v>
      </c>
      <c r="AX7462" s="16"/>
    </row>
    <row r="7463" spans="2:50" x14ac:dyDescent="0.2">
      <c r="B7463" s="7"/>
      <c r="C7463" s="8">
        <v>17489</v>
      </c>
      <c r="D7463" s="9" t="s">
        <v>126</v>
      </c>
      <c r="E7463" s="10" t="str">
        <f t="shared" si="1532"/>
        <v>Rancho Estanzuela No. 65</v>
      </c>
      <c r="F7463" s="10" t="str">
        <f t="shared" si="1533"/>
        <v>López Becerril</v>
      </c>
      <c r="G7463" s="8">
        <v>1</v>
      </c>
      <c r="H7463" s="11">
        <v>800</v>
      </c>
      <c r="I7463" s="12">
        <v>43401</v>
      </c>
      <c r="J7463" s="35">
        <f t="shared" si="1534"/>
        <v>0</v>
      </c>
      <c r="K7463" s="36"/>
      <c r="L7463" s="36"/>
      <c r="M7463" s="36"/>
      <c r="N7463" s="36"/>
      <c r="O7463" s="36"/>
      <c r="P7463" s="36"/>
      <c r="Q7463" s="36"/>
      <c r="R7463" s="36"/>
      <c r="S7463" s="36"/>
      <c r="T7463" s="36"/>
      <c r="U7463" s="36"/>
      <c r="V7463" s="36"/>
      <c r="W7463" s="15">
        <f t="shared" si="1535"/>
        <v>0</v>
      </c>
      <c r="X7463" s="36"/>
      <c r="Y7463" s="36"/>
      <c r="Z7463" s="36"/>
      <c r="AA7463" s="36"/>
      <c r="AB7463" s="36"/>
      <c r="AC7463" s="36"/>
      <c r="AD7463" s="36"/>
      <c r="AE7463" s="36"/>
      <c r="AF7463" s="36"/>
      <c r="AG7463" s="36"/>
      <c r="AH7463" s="36"/>
      <c r="AI7463" s="36"/>
      <c r="AJ7463" s="15">
        <f t="shared" si="1536"/>
        <v>0</v>
      </c>
      <c r="AK7463" s="14"/>
      <c r="AL7463" s="14"/>
      <c r="AM7463" s="14"/>
      <c r="AN7463" s="14"/>
      <c r="AO7463" s="14"/>
      <c r="AP7463" s="14"/>
      <c r="AQ7463" s="14"/>
      <c r="AR7463" s="14"/>
      <c r="AS7463" s="14"/>
      <c r="AT7463" s="14">
        <v>400</v>
      </c>
      <c r="AU7463" s="14">
        <v>400</v>
      </c>
      <c r="AV7463" s="14"/>
      <c r="AW7463" s="15">
        <f t="shared" si="1537"/>
        <v>800</v>
      </c>
      <c r="AX7463" s="16"/>
    </row>
    <row r="7464" spans="2:50" x14ac:dyDescent="0.2">
      <c r="B7464" s="7"/>
      <c r="C7464" s="8">
        <v>17490</v>
      </c>
      <c r="D7464" s="9" t="s">
        <v>126</v>
      </c>
      <c r="E7464" s="10" t="str">
        <f t="shared" si="1532"/>
        <v>Rancho Estanzuela No. 65</v>
      </c>
      <c r="F7464" s="10" t="str">
        <f t="shared" si="1533"/>
        <v>López Becerril</v>
      </c>
      <c r="G7464" s="8">
        <v>7</v>
      </c>
      <c r="H7464" s="11">
        <v>60</v>
      </c>
      <c r="I7464" s="12">
        <v>43401</v>
      </c>
      <c r="J7464" s="35">
        <f t="shared" si="1534"/>
        <v>0</v>
      </c>
      <c r="K7464" s="36"/>
      <c r="L7464" s="36"/>
      <c r="M7464" s="36"/>
      <c r="N7464" s="36"/>
      <c r="O7464" s="36"/>
      <c r="P7464" s="36"/>
      <c r="Q7464" s="36"/>
      <c r="R7464" s="36"/>
      <c r="S7464" s="36"/>
      <c r="T7464" s="36"/>
      <c r="U7464" s="36"/>
      <c r="V7464" s="36"/>
      <c r="W7464" s="15">
        <f t="shared" si="1535"/>
        <v>0</v>
      </c>
      <c r="X7464" s="36"/>
      <c r="Y7464" s="36"/>
      <c r="Z7464" s="36"/>
      <c r="AA7464" s="36"/>
      <c r="AB7464" s="36"/>
      <c r="AC7464" s="36"/>
      <c r="AD7464" s="36"/>
      <c r="AE7464" s="36"/>
      <c r="AF7464" s="36"/>
      <c r="AG7464" s="36"/>
      <c r="AH7464" s="36"/>
      <c r="AI7464" s="36"/>
      <c r="AJ7464" s="15">
        <f t="shared" si="1536"/>
        <v>0</v>
      </c>
      <c r="AK7464" s="14"/>
      <c r="AL7464" s="14"/>
      <c r="AM7464" s="14"/>
      <c r="AN7464" s="14"/>
      <c r="AO7464" s="14"/>
      <c r="AP7464" s="14"/>
      <c r="AQ7464" s="14"/>
      <c r="AR7464" s="14"/>
      <c r="AS7464" s="14"/>
      <c r="AT7464" s="14"/>
      <c r="AU7464" s="14"/>
      <c r="AV7464" s="14"/>
      <c r="AW7464" s="15">
        <f t="shared" si="1537"/>
        <v>0</v>
      </c>
      <c r="AX7464" s="16" t="s">
        <v>5688</v>
      </c>
    </row>
    <row r="7465" spans="2:50" x14ac:dyDescent="0.2">
      <c r="B7465" s="7"/>
      <c r="C7465" s="8">
        <v>17491</v>
      </c>
      <c r="D7465" s="9" t="s">
        <v>373</v>
      </c>
      <c r="E7465" s="10" t="str">
        <f t="shared" si="1532"/>
        <v>Rancho Upácuaro No. 118</v>
      </c>
      <c r="F7465" s="10" t="str">
        <f t="shared" si="1533"/>
        <v>Siegrist</v>
      </c>
      <c r="G7465" s="8">
        <v>5</v>
      </c>
      <c r="H7465" s="11">
        <v>50</v>
      </c>
      <c r="I7465" s="12">
        <v>43401</v>
      </c>
      <c r="J7465" s="35">
        <f t="shared" si="1534"/>
        <v>0</v>
      </c>
      <c r="K7465" s="36"/>
      <c r="L7465" s="36"/>
      <c r="M7465" s="36"/>
      <c r="N7465" s="36"/>
      <c r="O7465" s="36"/>
      <c r="P7465" s="36"/>
      <c r="Q7465" s="36"/>
      <c r="R7465" s="36"/>
      <c r="S7465" s="36"/>
      <c r="T7465" s="36"/>
      <c r="U7465" s="36"/>
      <c r="V7465" s="36"/>
      <c r="W7465" s="15">
        <f t="shared" si="1535"/>
        <v>0</v>
      </c>
      <c r="X7465" s="36"/>
      <c r="Y7465" s="36"/>
      <c r="Z7465" s="36"/>
      <c r="AA7465" s="36"/>
      <c r="AB7465" s="36"/>
      <c r="AC7465" s="36"/>
      <c r="AD7465" s="36"/>
      <c r="AE7465" s="36"/>
      <c r="AF7465" s="36"/>
      <c r="AG7465" s="36"/>
      <c r="AH7465" s="36"/>
      <c r="AI7465" s="36"/>
      <c r="AJ7465" s="15">
        <f t="shared" si="1536"/>
        <v>0</v>
      </c>
      <c r="AK7465" s="14"/>
      <c r="AL7465" s="14"/>
      <c r="AM7465" s="14"/>
      <c r="AN7465" s="14"/>
      <c r="AO7465" s="14"/>
      <c r="AP7465" s="14"/>
      <c r="AQ7465" s="14"/>
      <c r="AR7465" s="14"/>
      <c r="AS7465" s="14"/>
      <c r="AT7465" s="14"/>
      <c r="AU7465" s="14"/>
      <c r="AV7465" s="14"/>
      <c r="AW7465" s="15">
        <f t="shared" si="1537"/>
        <v>0</v>
      </c>
      <c r="AX7465" s="16"/>
    </row>
    <row r="7466" spans="2:50" x14ac:dyDescent="0.2">
      <c r="B7466" s="7"/>
      <c r="C7466" s="8">
        <v>17492</v>
      </c>
      <c r="D7466" s="9" t="s">
        <v>699</v>
      </c>
      <c r="E7466" s="10" t="str">
        <f t="shared" si="1532"/>
        <v>Rancho La Cuchilla No. 18</v>
      </c>
      <c r="F7466" s="10" t="str">
        <f t="shared" si="1533"/>
        <v>Aldana Sánchez</v>
      </c>
      <c r="G7466" s="8">
        <v>1</v>
      </c>
      <c r="H7466" s="11">
        <v>800</v>
      </c>
      <c r="I7466" s="12">
        <v>43401</v>
      </c>
      <c r="J7466" s="35">
        <f t="shared" si="1534"/>
        <v>0</v>
      </c>
      <c r="K7466" s="36"/>
      <c r="L7466" s="36"/>
      <c r="M7466" s="36"/>
      <c r="N7466" s="36"/>
      <c r="O7466" s="36"/>
      <c r="P7466" s="36"/>
      <c r="Q7466" s="36"/>
      <c r="R7466" s="36"/>
      <c r="S7466" s="36"/>
      <c r="T7466" s="36"/>
      <c r="U7466" s="36"/>
      <c r="V7466" s="36"/>
      <c r="W7466" s="15">
        <f t="shared" si="1535"/>
        <v>0</v>
      </c>
      <c r="X7466" s="36"/>
      <c r="Y7466" s="36"/>
      <c r="Z7466" s="36"/>
      <c r="AA7466" s="36"/>
      <c r="AB7466" s="36"/>
      <c r="AC7466" s="36"/>
      <c r="AD7466" s="36"/>
      <c r="AE7466" s="36"/>
      <c r="AF7466" s="36"/>
      <c r="AG7466" s="36"/>
      <c r="AH7466" s="36"/>
      <c r="AI7466" s="36"/>
      <c r="AJ7466" s="15">
        <f t="shared" si="1536"/>
        <v>0</v>
      </c>
      <c r="AK7466" s="14"/>
      <c r="AL7466" s="14"/>
      <c r="AM7466" s="14"/>
      <c r="AN7466" s="14"/>
      <c r="AO7466" s="14"/>
      <c r="AP7466" s="14"/>
      <c r="AQ7466" s="14"/>
      <c r="AR7466" s="14"/>
      <c r="AS7466" s="14">
        <v>400</v>
      </c>
      <c r="AT7466" s="14">
        <v>400</v>
      </c>
      <c r="AU7466" s="14"/>
      <c r="AV7466" s="14"/>
      <c r="AW7466" s="15">
        <f t="shared" si="1537"/>
        <v>800</v>
      </c>
      <c r="AX7466" s="16"/>
    </row>
    <row r="7467" spans="2:50" x14ac:dyDescent="0.2">
      <c r="B7467" s="7"/>
      <c r="C7467" s="8">
        <v>17493</v>
      </c>
      <c r="D7467" s="9" t="s">
        <v>699</v>
      </c>
      <c r="E7467" s="10" t="str">
        <f t="shared" si="1532"/>
        <v>Rancho La Cuchilla No. 18</v>
      </c>
      <c r="F7467" s="10" t="str">
        <f t="shared" si="1533"/>
        <v>Aldana Sánchez</v>
      </c>
      <c r="G7467" s="8">
        <v>7</v>
      </c>
      <c r="H7467" s="11">
        <v>20</v>
      </c>
      <c r="I7467" s="12">
        <v>43401</v>
      </c>
      <c r="J7467" s="35">
        <f t="shared" si="1534"/>
        <v>0</v>
      </c>
      <c r="K7467" s="36"/>
      <c r="L7467" s="36"/>
      <c r="M7467" s="36"/>
      <c r="N7467" s="36"/>
      <c r="O7467" s="36"/>
      <c r="P7467" s="36"/>
      <c r="Q7467" s="36"/>
      <c r="R7467" s="36"/>
      <c r="S7467" s="36"/>
      <c r="T7467" s="36"/>
      <c r="U7467" s="36"/>
      <c r="V7467" s="36"/>
      <c r="W7467" s="15">
        <f t="shared" si="1535"/>
        <v>0</v>
      </c>
      <c r="X7467" s="36"/>
      <c r="Y7467" s="36"/>
      <c r="Z7467" s="36"/>
      <c r="AA7467" s="36"/>
      <c r="AB7467" s="36"/>
      <c r="AC7467" s="36"/>
      <c r="AD7467" s="36"/>
      <c r="AE7467" s="36"/>
      <c r="AF7467" s="36"/>
      <c r="AG7467" s="36"/>
      <c r="AH7467" s="36"/>
      <c r="AI7467" s="36"/>
      <c r="AJ7467" s="15">
        <f t="shared" si="1536"/>
        <v>0</v>
      </c>
      <c r="AK7467" s="14"/>
      <c r="AL7467" s="14"/>
      <c r="AM7467" s="14"/>
      <c r="AN7467" s="14"/>
      <c r="AO7467" s="14"/>
      <c r="AP7467" s="14"/>
      <c r="AQ7467" s="14"/>
      <c r="AR7467" s="14"/>
      <c r="AS7467" s="14"/>
      <c r="AT7467" s="14"/>
      <c r="AU7467" s="14"/>
      <c r="AV7467" s="14"/>
      <c r="AW7467" s="15">
        <f t="shared" si="1537"/>
        <v>0</v>
      </c>
      <c r="AX7467" s="16" t="s">
        <v>5691</v>
      </c>
    </row>
    <row r="7468" spans="2:50" x14ac:dyDescent="0.2">
      <c r="B7468" s="7"/>
      <c r="C7468" s="8">
        <v>17494</v>
      </c>
      <c r="D7468" s="9" t="s">
        <v>909</v>
      </c>
      <c r="E7468" s="10" t="str">
        <f t="shared" si="1508"/>
        <v>Rancho La Cuchilla No. 44</v>
      </c>
      <c r="F7468" s="10" t="str">
        <f t="shared" si="1509"/>
        <v>García Osorio</v>
      </c>
      <c r="G7468" s="8">
        <v>1</v>
      </c>
      <c r="H7468" s="11">
        <v>700</v>
      </c>
      <c r="I7468" s="12">
        <v>43401</v>
      </c>
      <c r="J7468" s="35">
        <f t="shared" si="1510"/>
        <v>0</v>
      </c>
      <c r="K7468" s="36"/>
      <c r="L7468" s="36"/>
      <c r="M7468" s="36"/>
      <c r="N7468" s="36"/>
      <c r="O7468" s="36"/>
      <c r="P7468" s="36"/>
      <c r="Q7468" s="36"/>
      <c r="R7468" s="36"/>
      <c r="S7468" s="36"/>
      <c r="T7468" s="36"/>
      <c r="U7468" s="36"/>
      <c r="V7468" s="36"/>
      <c r="W7468" s="15">
        <f t="shared" si="1511"/>
        <v>0</v>
      </c>
      <c r="X7468" s="36"/>
      <c r="Y7468" s="36"/>
      <c r="Z7468" s="36"/>
      <c r="AA7468" s="36"/>
      <c r="AB7468" s="36"/>
      <c r="AC7468" s="36"/>
      <c r="AD7468" s="36"/>
      <c r="AE7468" s="36"/>
      <c r="AF7468" s="36"/>
      <c r="AG7468" s="36"/>
      <c r="AH7468" s="36"/>
      <c r="AI7468" s="36"/>
      <c r="AJ7468" s="15">
        <f t="shared" si="1512"/>
        <v>0</v>
      </c>
      <c r="AK7468" s="14"/>
      <c r="AL7468" s="14"/>
      <c r="AM7468" s="14"/>
      <c r="AN7468" s="14"/>
      <c r="AO7468" s="14"/>
      <c r="AP7468" s="14"/>
      <c r="AQ7468" s="14"/>
      <c r="AR7468" s="14"/>
      <c r="AS7468" s="14">
        <v>350</v>
      </c>
      <c r="AT7468" s="14">
        <v>350</v>
      </c>
      <c r="AU7468" s="14"/>
      <c r="AV7468" s="14"/>
      <c r="AW7468" s="15">
        <f t="shared" si="1513"/>
        <v>700</v>
      </c>
      <c r="AX7468" s="16"/>
    </row>
    <row r="7469" spans="2:50" x14ac:dyDescent="0.2">
      <c r="B7469" s="7"/>
      <c r="C7469" s="8">
        <v>17495</v>
      </c>
      <c r="D7469" s="9" t="s">
        <v>192</v>
      </c>
      <c r="E7469" s="10" t="str">
        <f t="shared" ref="E7469:E7492" si="1538">IF(D7469=0,"",VLOOKUP(D7469,BASE,2,FALSE))</f>
        <v>Rancho Landero No. 77</v>
      </c>
      <c r="F7469" s="10" t="str">
        <f t="shared" ref="F7469:F7492" si="1539">IF(D7469=0,"",VLOOKUP(D7469,BASE,3,FALSE))</f>
        <v>Muñoz</v>
      </c>
      <c r="G7469" s="8">
        <v>7</v>
      </c>
      <c r="H7469" s="11">
        <v>40</v>
      </c>
      <c r="I7469" s="12">
        <v>43401</v>
      </c>
      <c r="J7469" s="35">
        <f t="shared" ref="J7469:J7492" si="1540">IF(G7469=1,SUM(W7469,AJ7469,AW7469,-H7469),0)</f>
        <v>0</v>
      </c>
      <c r="K7469" s="36"/>
      <c r="L7469" s="36"/>
      <c r="M7469" s="36"/>
      <c r="N7469" s="36"/>
      <c r="O7469" s="36"/>
      <c r="P7469" s="36"/>
      <c r="Q7469" s="36"/>
      <c r="R7469" s="36"/>
      <c r="S7469" s="36"/>
      <c r="T7469" s="36"/>
      <c r="U7469" s="36"/>
      <c r="V7469" s="36"/>
      <c r="W7469" s="15">
        <f t="shared" ref="W7469:W7492" si="1541">SUM(K7469:V7469)</f>
        <v>0</v>
      </c>
      <c r="X7469" s="36"/>
      <c r="Y7469" s="36"/>
      <c r="Z7469" s="36"/>
      <c r="AA7469" s="36"/>
      <c r="AB7469" s="36"/>
      <c r="AC7469" s="36"/>
      <c r="AD7469" s="36"/>
      <c r="AE7469" s="36"/>
      <c r="AF7469" s="36"/>
      <c r="AG7469" s="36"/>
      <c r="AH7469" s="36"/>
      <c r="AI7469" s="36"/>
      <c r="AJ7469" s="15">
        <f t="shared" ref="AJ7469:AJ7492" si="1542">SUM(X7469:AI7469)</f>
        <v>0</v>
      </c>
      <c r="AK7469" s="14"/>
      <c r="AL7469" s="14"/>
      <c r="AM7469" s="14"/>
      <c r="AN7469" s="14"/>
      <c r="AO7469" s="14"/>
      <c r="AP7469" s="14"/>
      <c r="AQ7469" s="14"/>
      <c r="AR7469" s="14"/>
      <c r="AS7469" s="14"/>
      <c r="AT7469" s="14"/>
      <c r="AU7469" s="14"/>
      <c r="AV7469" s="14"/>
      <c r="AW7469" s="15">
        <f t="shared" ref="AW7469:AW7492" si="1543">SUM(AK7469:AV7469)</f>
        <v>0</v>
      </c>
      <c r="AX7469" s="16" t="s">
        <v>5693</v>
      </c>
    </row>
    <row r="7470" spans="2:50" x14ac:dyDescent="0.2">
      <c r="B7470" s="7"/>
      <c r="C7470" s="8">
        <v>17496</v>
      </c>
      <c r="D7470" s="9" t="s">
        <v>879</v>
      </c>
      <c r="E7470" s="10" t="str">
        <f t="shared" si="1538"/>
        <v>Rancho Estopila No. 44_5</v>
      </c>
      <c r="F7470" s="10" t="str">
        <f t="shared" si="1539"/>
        <v>Maya</v>
      </c>
      <c r="G7470" s="8">
        <v>1</v>
      </c>
      <c r="H7470" s="11">
        <v>200</v>
      </c>
      <c r="I7470" s="12">
        <v>43401</v>
      </c>
      <c r="J7470" s="35">
        <f t="shared" si="1540"/>
        <v>0</v>
      </c>
      <c r="K7470" s="36"/>
      <c r="L7470" s="36"/>
      <c r="M7470" s="36"/>
      <c r="N7470" s="36"/>
      <c r="O7470" s="36"/>
      <c r="P7470" s="36"/>
      <c r="Q7470" s="36"/>
      <c r="R7470" s="36"/>
      <c r="S7470" s="36"/>
      <c r="T7470" s="36"/>
      <c r="U7470" s="36"/>
      <c r="V7470" s="36"/>
      <c r="W7470" s="15">
        <f t="shared" si="1541"/>
        <v>0</v>
      </c>
      <c r="X7470" s="36"/>
      <c r="Y7470" s="36"/>
      <c r="Z7470" s="36"/>
      <c r="AA7470" s="36"/>
      <c r="AB7470" s="36"/>
      <c r="AC7470" s="36"/>
      <c r="AD7470" s="36"/>
      <c r="AE7470" s="36"/>
      <c r="AF7470" s="36"/>
      <c r="AG7470" s="36"/>
      <c r="AH7470" s="36"/>
      <c r="AI7470" s="36"/>
      <c r="AJ7470" s="15">
        <f t="shared" si="1542"/>
        <v>0</v>
      </c>
      <c r="AK7470" s="14"/>
      <c r="AL7470" s="14"/>
      <c r="AM7470" s="14"/>
      <c r="AN7470" s="14"/>
      <c r="AO7470" s="14"/>
      <c r="AP7470" s="14"/>
      <c r="AQ7470" s="14"/>
      <c r="AR7470" s="14"/>
      <c r="AS7470" s="14"/>
      <c r="AT7470" s="14">
        <v>200</v>
      </c>
      <c r="AU7470" s="14"/>
      <c r="AV7470" s="14"/>
      <c r="AW7470" s="15">
        <f t="shared" si="1543"/>
        <v>200</v>
      </c>
      <c r="AX7470" s="16"/>
    </row>
    <row r="7471" spans="2:50" x14ac:dyDescent="0.2">
      <c r="B7471" s="7"/>
      <c r="C7471" s="8">
        <v>17496</v>
      </c>
      <c r="D7471" s="9" t="s">
        <v>879</v>
      </c>
      <c r="E7471" s="10" t="str">
        <f t="shared" si="1538"/>
        <v>Rancho Estopila No. 44_5</v>
      </c>
      <c r="F7471" s="10" t="str">
        <f t="shared" si="1539"/>
        <v>Maya</v>
      </c>
      <c r="G7471" s="8">
        <v>5</v>
      </c>
      <c r="H7471" s="11">
        <v>50</v>
      </c>
      <c r="I7471" s="12">
        <v>43401</v>
      </c>
      <c r="J7471" s="35">
        <f t="shared" si="1540"/>
        <v>0</v>
      </c>
      <c r="K7471" s="36"/>
      <c r="L7471" s="36"/>
      <c r="M7471" s="36"/>
      <c r="N7471" s="36"/>
      <c r="O7471" s="36"/>
      <c r="P7471" s="36"/>
      <c r="Q7471" s="36"/>
      <c r="R7471" s="36"/>
      <c r="S7471" s="36"/>
      <c r="T7471" s="36"/>
      <c r="U7471" s="36"/>
      <c r="V7471" s="36"/>
      <c r="W7471" s="15">
        <f t="shared" si="1541"/>
        <v>0</v>
      </c>
      <c r="X7471" s="36"/>
      <c r="Y7471" s="36"/>
      <c r="Z7471" s="36"/>
      <c r="AA7471" s="36"/>
      <c r="AB7471" s="36"/>
      <c r="AC7471" s="36"/>
      <c r="AD7471" s="36"/>
      <c r="AE7471" s="36"/>
      <c r="AF7471" s="36"/>
      <c r="AG7471" s="36"/>
      <c r="AH7471" s="36"/>
      <c r="AI7471" s="36"/>
      <c r="AJ7471" s="15">
        <f t="shared" si="1542"/>
        <v>0</v>
      </c>
      <c r="AK7471" s="14"/>
      <c r="AL7471" s="14"/>
      <c r="AM7471" s="14"/>
      <c r="AN7471" s="14"/>
      <c r="AO7471" s="14"/>
      <c r="AP7471" s="14"/>
      <c r="AQ7471" s="14"/>
      <c r="AR7471" s="14"/>
      <c r="AS7471" s="14"/>
      <c r="AT7471" s="14"/>
      <c r="AU7471" s="14"/>
      <c r="AV7471" s="14"/>
      <c r="AW7471" s="15">
        <f t="shared" si="1543"/>
        <v>0</v>
      </c>
      <c r="AX7471" s="16"/>
    </row>
    <row r="7472" spans="2:50" x14ac:dyDescent="0.2">
      <c r="B7472" s="7"/>
      <c r="C7472" s="8">
        <v>17497</v>
      </c>
      <c r="D7472" s="9" t="s">
        <v>879</v>
      </c>
      <c r="E7472" s="10" t="str">
        <f t="shared" si="1538"/>
        <v>Rancho Estopila No. 44_5</v>
      </c>
      <c r="F7472" s="10" t="str">
        <f t="shared" si="1539"/>
        <v>Maya</v>
      </c>
      <c r="G7472" s="8">
        <v>7</v>
      </c>
      <c r="H7472" s="11">
        <v>20</v>
      </c>
      <c r="I7472" s="12">
        <v>43401</v>
      </c>
      <c r="J7472" s="35">
        <f t="shared" si="1540"/>
        <v>0</v>
      </c>
      <c r="K7472" s="36"/>
      <c r="L7472" s="36"/>
      <c r="M7472" s="36"/>
      <c r="N7472" s="36"/>
      <c r="O7472" s="36"/>
      <c r="P7472" s="36"/>
      <c r="Q7472" s="36"/>
      <c r="R7472" s="36"/>
      <c r="S7472" s="36"/>
      <c r="T7472" s="36"/>
      <c r="U7472" s="36"/>
      <c r="V7472" s="36"/>
      <c r="W7472" s="15">
        <f t="shared" si="1541"/>
        <v>0</v>
      </c>
      <c r="X7472" s="36"/>
      <c r="Y7472" s="36"/>
      <c r="Z7472" s="36"/>
      <c r="AA7472" s="36"/>
      <c r="AB7472" s="36"/>
      <c r="AC7472" s="36"/>
      <c r="AD7472" s="36"/>
      <c r="AE7472" s="36"/>
      <c r="AF7472" s="36"/>
      <c r="AG7472" s="36"/>
      <c r="AH7472" s="36"/>
      <c r="AI7472" s="36"/>
      <c r="AJ7472" s="15">
        <f t="shared" si="1542"/>
        <v>0</v>
      </c>
      <c r="AK7472" s="14"/>
      <c r="AL7472" s="14"/>
      <c r="AM7472" s="14"/>
      <c r="AN7472" s="14"/>
      <c r="AO7472" s="14"/>
      <c r="AP7472" s="14"/>
      <c r="AQ7472" s="14"/>
      <c r="AR7472" s="14"/>
      <c r="AS7472" s="14"/>
      <c r="AT7472" s="14"/>
      <c r="AU7472" s="14"/>
      <c r="AV7472" s="14"/>
      <c r="AW7472" s="15">
        <f t="shared" si="1543"/>
        <v>0</v>
      </c>
      <c r="AX7472" s="16" t="s">
        <v>5691</v>
      </c>
    </row>
    <row r="7473" spans="2:51" x14ac:dyDescent="0.2">
      <c r="B7473" s="7"/>
      <c r="C7473" s="8">
        <v>17498</v>
      </c>
      <c r="D7473" s="9" t="s">
        <v>820</v>
      </c>
      <c r="E7473" s="10" t="str">
        <f t="shared" si="1538"/>
        <v>Rancho Zinamba No. 84</v>
      </c>
      <c r="F7473" s="10" t="str">
        <f t="shared" si="1539"/>
        <v>Lobato</v>
      </c>
      <c r="G7473" s="8">
        <v>1</v>
      </c>
      <c r="H7473" s="11">
        <v>900</v>
      </c>
      <c r="I7473" s="12">
        <v>43401</v>
      </c>
      <c r="J7473" s="35">
        <f t="shared" si="1540"/>
        <v>0</v>
      </c>
      <c r="K7473" s="36"/>
      <c r="L7473" s="36"/>
      <c r="M7473" s="36"/>
      <c r="N7473" s="36"/>
      <c r="O7473" s="36"/>
      <c r="P7473" s="36"/>
      <c r="Q7473" s="36"/>
      <c r="R7473" s="36"/>
      <c r="S7473" s="36"/>
      <c r="T7473" s="36"/>
      <c r="U7473" s="36"/>
      <c r="V7473" s="36"/>
      <c r="W7473" s="15">
        <f t="shared" si="1541"/>
        <v>0</v>
      </c>
      <c r="X7473" s="36"/>
      <c r="Y7473" s="36"/>
      <c r="Z7473" s="36"/>
      <c r="AA7473" s="36"/>
      <c r="AB7473" s="36"/>
      <c r="AC7473" s="36"/>
      <c r="AD7473" s="36"/>
      <c r="AE7473" s="36"/>
      <c r="AF7473" s="36"/>
      <c r="AG7473" s="36"/>
      <c r="AH7473" s="36"/>
      <c r="AI7473" s="36"/>
      <c r="AJ7473" s="15">
        <f t="shared" si="1542"/>
        <v>0</v>
      </c>
      <c r="AK7473" s="14"/>
      <c r="AL7473" s="14"/>
      <c r="AM7473" s="14"/>
      <c r="AN7473" s="14"/>
      <c r="AO7473" s="14"/>
      <c r="AP7473" s="14"/>
      <c r="AQ7473" s="14"/>
      <c r="AR7473" s="14">
        <v>300</v>
      </c>
      <c r="AS7473" s="14">
        <v>300</v>
      </c>
      <c r="AT7473" s="14">
        <v>300</v>
      </c>
      <c r="AU7473" s="14"/>
      <c r="AV7473" s="14"/>
      <c r="AW7473" s="15">
        <f t="shared" si="1543"/>
        <v>900</v>
      </c>
      <c r="AX7473" s="16"/>
    </row>
    <row r="7474" spans="2:51" x14ac:dyDescent="0.2">
      <c r="B7474" s="7"/>
      <c r="C7474" s="8">
        <v>17498</v>
      </c>
      <c r="D7474" s="9" t="s">
        <v>820</v>
      </c>
      <c r="E7474" s="10" t="str">
        <f t="shared" si="1538"/>
        <v>Rancho Zinamba No. 84</v>
      </c>
      <c r="F7474" s="10" t="str">
        <f t="shared" si="1539"/>
        <v>Lobato</v>
      </c>
      <c r="G7474" s="8">
        <v>7</v>
      </c>
      <c r="H7474" s="11">
        <v>60</v>
      </c>
      <c r="I7474" s="12">
        <v>43401</v>
      </c>
      <c r="J7474" s="35">
        <f t="shared" si="1540"/>
        <v>0</v>
      </c>
      <c r="K7474" s="36"/>
      <c r="L7474" s="36"/>
      <c r="M7474" s="36"/>
      <c r="N7474" s="36"/>
      <c r="O7474" s="36"/>
      <c r="P7474" s="36"/>
      <c r="Q7474" s="36"/>
      <c r="R7474" s="36"/>
      <c r="S7474" s="36"/>
      <c r="T7474" s="36"/>
      <c r="U7474" s="36"/>
      <c r="V7474" s="36"/>
      <c r="W7474" s="15">
        <f t="shared" si="1541"/>
        <v>0</v>
      </c>
      <c r="X7474" s="36"/>
      <c r="Y7474" s="36"/>
      <c r="Z7474" s="36"/>
      <c r="AA7474" s="36"/>
      <c r="AB7474" s="36"/>
      <c r="AC7474" s="36"/>
      <c r="AD7474" s="36"/>
      <c r="AE7474" s="36"/>
      <c r="AF7474" s="36"/>
      <c r="AG7474" s="36"/>
      <c r="AH7474" s="36"/>
      <c r="AI7474" s="36"/>
      <c r="AJ7474" s="15">
        <f t="shared" si="1542"/>
        <v>0</v>
      </c>
      <c r="AK7474" s="14"/>
      <c r="AL7474" s="14"/>
      <c r="AM7474" s="14"/>
      <c r="AN7474" s="14"/>
      <c r="AO7474" s="14"/>
      <c r="AP7474" s="14"/>
      <c r="AQ7474" s="14"/>
      <c r="AR7474" s="14"/>
      <c r="AS7474" s="14"/>
      <c r="AT7474" s="14"/>
      <c r="AU7474" s="14"/>
      <c r="AV7474" s="14"/>
      <c r="AW7474" s="15">
        <f t="shared" si="1543"/>
        <v>0</v>
      </c>
      <c r="AX7474" s="16" t="s">
        <v>5694</v>
      </c>
      <c r="AY7474" s="112">
        <f>SUM(H7439:H7474)</f>
        <v>16140</v>
      </c>
    </row>
    <row r="7475" spans="2:51" x14ac:dyDescent="0.2">
      <c r="B7475" s="7"/>
      <c r="C7475" s="8"/>
      <c r="D7475" s="9"/>
      <c r="E7475" s="10" t="str">
        <f t="shared" si="1538"/>
        <v/>
      </c>
      <c r="F7475" s="10" t="str">
        <f t="shared" si="1539"/>
        <v/>
      </c>
      <c r="G7475" s="8"/>
      <c r="H7475" s="11"/>
      <c r="I7475" s="12"/>
      <c r="J7475" s="35">
        <f t="shared" si="1540"/>
        <v>0</v>
      </c>
      <c r="K7475" s="36"/>
      <c r="L7475" s="36"/>
      <c r="M7475" s="36"/>
      <c r="N7475" s="36"/>
      <c r="O7475" s="36"/>
      <c r="P7475" s="36"/>
      <c r="Q7475" s="36"/>
      <c r="R7475" s="36"/>
      <c r="S7475" s="36"/>
      <c r="T7475" s="36"/>
      <c r="U7475" s="36"/>
      <c r="V7475" s="36"/>
      <c r="W7475" s="15">
        <f t="shared" si="1541"/>
        <v>0</v>
      </c>
      <c r="X7475" s="36"/>
      <c r="Y7475" s="36"/>
      <c r="Z7475" s="36"/>
      <c r="AA7475" s="36"/>
      <c r="AB7475" s="36"/>
      <c r="AC7475" s="36"/>
      <c r="AD7475" s="36"/>
      <c r="AE7475" s="36"/>
      <c r="AF7475" s="36"/>
      <c r="AG7475" s="36"/>
      <c r="AH7475" s="36"/>
      <c r="AI7475" s="36"/>
      <c r="AJ7475" s="15">
        <f t="shared" si="1542"/>
        <v>0</v>
      </c>
      <c r="AK7475" s="14"/>
      <c r="AL7475" s="14"/>
      <c r="AM7475" s="14"/>
      <c r="AN7475" s="14"/>
      <c r="AO7475" s="14"/>
      <c r="AP7475" s="14"/>
      <c r="AQ7475" s="14"/>
      <c r="AR7475" s="14"/>
      <c r="AS7475" s="14"/>
      <c r="AT7475" s="14"/>
      <c r="AU7475" s="14"/>
      <c r="AV7475" s="14"/>
      <c r="AW7475" s="15">
        <f t="shared" si="1543"/>
        <v>0</v>
      </c>
      <c r="AX7475" s="16"/>
    </row>
    <row r="7476" spans="2:51" x14ac:dyDescent="0.2">
      <c r="B7476" s="7"/>
      <c r="C7476" s="8"/>
      <c r="D7476" s="9"/>
      <c r="E7476" s="10" t="str">
        <f t="shared" si="1538"/>
        <v/>
      </c>
      <c r="F7476" s="10" t="str">
        <f t="shared" si="1539"/>
        <v/>
      </c>
      <c r="G7476" s="8"/>
      <c r="H7476" s="11"/>
      <c r="I7476" s="12"/>
      <c r="J7476" s="35">
        <f t="shared" si="1540"/>
        <v>0</v>
      </c>
      <c r="K7476" s="36"/>
      <c r="L7476" s="36"/>
      <c r="M7476" s="36"/>
      <c r="N7476" s="36"/>
      <c r="O7476" s="36"/>
      <c r="P7476" s="36"/>
      <c r="Q7476" s="36"/>
      <c r="R7476" s="36"/>
      <c r="S7476" s="36"/>
      <c r="T7476" s="36"/>
      <c r="U7476" s="36"/>
      <c r="V7476" s="36"/>
      <c r="W7476" s="15">
        <f t="shared" si="1541"/>
        <v>0</v>
      </c>
      <c r="X7476" s="36"/>
      <c r="Y7476" s="36"/>
      <c r="Z7476" s="36"/>
      <c r="AA7476" s="36"/>
      <c r="AB7476" s="36"/>
      <c r="AC7476" s="36"/>
      <c r="AD7476" s="36"/>
      <c r="AE7476" s="36"/>
      <c r="AF7476" s="36"/>
      <c r="AG7476" s="36"/>
      <c r="AH7476" s="36"/>
      <c r="AI7476" s="36"/>
      <c r="AJ7476" s="15">
        <f t="shared" si="1542"/>
        <v>0</v>
      </c>
      <c r="AK7476" s="14"/>
      <c r="AL7476" s="14"/>
      <c r="AM7476" s="14"/>
      <c r="AN7476" s="14"/>
      <c r="AO7476" s="14"/>
      <c r="AP7476" s="14"/>
      <c r="AQ7476" s="14"/>
      <c r="AR7476" s="14"/>
      <c r="AS7476" s="14"/>
      <c r="AT7476" s="14"/>
      <c r="AU7476" s="14"/>
      <c r="AV7476" s="14"/>
      <c r="AW7476" s="15">
        <f t="shared" si="1543"/>
        <v>0</v>
      </c>
      <c r="AX7476" s="16"/>
    </row>
    <row r="7477" spans="2:51" x14ac:dyDescent="0.2">
      <c r="B7477" s="7"/>
      <c r="C7477" s="8"/>
      <c r="D7477" s="9"/>
      <c r="E7477" s="10" t="str">
        <f t="shared" ref="E7477:E7491" si="1544">IF(D7477=0,"",VLOOKUP(D7477,BASE,2,FALSE))</f>
        <v/>
      </c>
      <c r="F7477" s="10" t="str">
        <f t="shared" ref="F7477:F7491" si="1545">IF(D7477=0,"",VLOOKUP(D7477,BASE,3,FALSE))</f>
        <v/>
      </c>
      <c r="G7477" s="8"/>
      <c r="H7477" s="11"/>
      <c r="I7477" s="12"/>
      <c r="J7477" s="35">
        <f t="shared" ref="J7477:J7491" si="1546">IF(G7477=1,SUM(W7477,AJ7477,AW7477,-H7477),0)</f>
        <v>0</v>
      </c>
      <c r="K7477" s="36"/>
      <c r="L7477" s="36"/>
      <c r="M7477" s="36"/>
      <c r="N7477" s="36"/>
      <c r="O7477" s="36"/>
      <c r="P7477" s="36"/>
      <c r="Q7477" s="36"/>
      <c r="R7477" s="36"/>
      <c r="S7477" s="36"/>
      <c r="T7477" s="36"/>
      <c r="U7477" s="36"/>
      <c r="V7477" s="36"/>
      <c r="W7477" s="15">
        <f t="shared" ref="W7477:W7491" si="1547">SUM(K7477:V7477)</f>
        <v>0</v>
      </c>
      <c r="X7477" s="36"/>
      <c r="Y7477" s="36"/>
      <c r="Z7477" s="36"/>
      <c r="AA7477" s="36"/>
      <c r="AB7477" s="36"/>
      <c r="AC7477" s="36"/>
      <c r="AD7477" s="36"/>
      <c r="AE7477" s="36"/>
      <c r="AF7477" s="36"/>
      <c r="AG7477" s="36"/>
      <c r="AH7477" s="36"/>
      <c r="AI7477" s="36"/>
      <c r="AJ7477" s="15">
        <f t="shared" ref="AJ7477:AJ7491" si="1548">SUM(X7477:AI7477)</f>
        <v>0</v>
      </c>
      <c r="AK7477" s="14"/>
      <c r="AL7477" s="14"/>
      <c r="AM7477" s="14"/>
      <c r="AN7477" s="14"/>
      <c r="AO7477" s="14"/>
      <c r="AP7477" s="14"/>
      <c r="AQ7477" s="14"/>
      <c r="AR7477" s="14"/>
      <c r="AS7477" s="14"/>
      <c r="AT7477" s="14"/>
      <c r="AU7477" s="14"/>
      <c r="AV7477" s="14"/>
      <c r="AW7477" s="15">
        <f t="shared" ref="AW7477:AW7491" si="1549">SUM(AK7477:AV7477)</f>
        <v>0</v>
      </c>
      <c r="AX7477" s="16"/>
    </row>
    <row r="7478" spans="2:51" x14ac:dyDescent="0.2">
      <c r="B7478" s="7"/>
      <c r="C7478" s="8"/>
      <c r="D7478" s="9"/>
      <c r="E7478" s="10" t="str">
        <f t="shared" si="1544"/>
        <v/>
      </c>
      <c r="F7478" s="10" t="str">
        <f t="shared" si="1545"/>
        <v/>
      </c>
      <c r="G7478" s="8"/>
      <c r="H7478" s="11"/>
      <c r="I7478" s="12"/>
      <c r="J7478" s="35">
        <f t="shared" si="1546"/>
        <v>0</v>
      </c>
      <c r="K7478" s="36"/>
      <c r="L7478" s="36"/>
      <c r="M7478" s="36"/>
      <c r="N7478" s="36"/>
      <c r="O7478" s="36"/>
      <c r="P7478" s="36"/>
      <c r="Q7478" s="36"/>
      <c r="R7478" s="36"/>
      <c r="S7478" s="36"/>
      <c r="T7478" s="36"/>
      <c r="U7478" s="36"/>
      <c r="V7478" s="36"/>
      <c r="W7478" s="15">
        <f t="shared" si="1547"/>
        <v>0</v>
      </c>
      <c r="X7478" s="36"/>
      <c r="Y7478" s="36"/>
      <c r="Z7478" s="36"/>
      <c r="AA7478" s="36"/>
      <c r="AB7478" s="36"/>
      <c r="AC7478" s="36"/>
      <c r="AD7478" s="36"/>
      <c r="AE7478" s="36"/>
      <c r="AF7478" s="36"/>
      <c r="AG7478" s="36"/>
      <c r="AH7478" s="36"/>
      <c r="AI7478" s="36"/>
      <c r="AJ7478" s="15">
        <f t="shared" si="1548"/>
        <v>0</v>
      </c>
      <c r="AK7478" s="14"/>
      <c r="AL7478" s="14"/>
      <c r="AM7478" s="14"/>
      <c r="AN7478" s="14"/>
      <c r="AO7478" s="14"/>
      <c r="AP7478" s="14"/>
      <c r="AQ7478" s="14"/>
      <c r="AR7478" s="14"/>
      <c r="AS7478" s="14"/>
      <c r="AT7478" s="14"/>
      <c r="AU7478" s="14"/>
      <c r="AV7478" s="14"/>
      <c r="AW7478" s="15">
        <f t="shared" si="1549"/>
        <v>0</v>
      </c>
      <c r="AX7478" s="16"/>
    </row>
    <row r="7479" spans="2:51" x14ac:dyDescent="0.2">
      <c r="B7479" s="7"/>
      <c r="C7479" s="8"/>
      <c r="D7479" s="9"/>
      <c r="E7479" s="10" t="str">
        <f t="shared" si="1544"/>
        <v/>
      </c>
      <c r="F7479" s="10" t="str">
        <f t="shared" si="1545"/>
        <v/>
      </c>
      <c r="G7479" s="8"/>
      <c r="H7479" s="11"/>
      <c r="I7479" s="12"/>
      <c r="J7479" s="35">
        <f t="shared" si="1546"/>
        <v>0</v>
      </c>
      <c r="K7479" s="36"/>
      <c r="L7479" s="36"/>
      <c r="M7479" s="36"/>
      <c r="N7479" s="36"/>
      <c r="O7479" s="36"/>
      <c r="P7479" s="36"/>
      <c r="Q7479" s="36"/>
      <c r="R7479" s="36"/>
      <c r="S7479" s="36"/>
      <c r="T7479" s="36"/>
      <c r="U7479" s="36"/>
      <c r="V7479" s="36"/>
      <c r="W7479" s="15">
        <f t="shared" si="1547"/>
        <v>0</v>
      </c>
      <c r="X7479" s="36"/>
      <c r="Y7479" s="36"/>
      <c r="Z7479" s="36"/>
      <c r="AA7479" s="36"/>
      <c r="AB7479" s="36"/>
      <c r="AC7479" s="36"/>
      <c r="AD7479" s="36"/>
      <c r="AE7479" s="36"/>
      <c r="AF7479" s="36"/>
      <c r="AG7479" s="36"/>
      <c r="AH7479" s="36"/>
      <c r="AI7479" s="36"/>
      <c r="AJ7479" s="15">
        <f t="shared" si="1548"/>
        <v>0</v>
      </c>
      <c r="AK7479" s="14"/>
      <c r="AL7479" s="14"/>
      <c r="AM7479" s="14"/>
      <c r="AN7479" s="14"/>
      <c r="AO7479" s="14"/>
      <c r="AP7479" s="14"/>
      <c r="AQ7479" s="14"/>
      <c r="AR7479" s="14"/>
      <c r="AS7479" s="14"/>
      <c r="AT7479" s="14"/>
      <c r="AU7479" s="14"/>
      <c r="AV7479" s="14"/>
      <c r="AW7479" s="15">
        <f t="shared" si="1549"/>
        <v>0</v>
      </c>
      <c r="AX7479" s="16"/>
    </row>
    <row r="7480" spans="2:51" x14ac:dyDescent="0.2">
      <c r="B7480" s="7"/>
      <c r="C7480" s="8"/>
      <c r="D7480" s="9"/>
      <c r="E7480" s="10" t="str">
        <f t="shared" ref="E7480:E7486" si="1550">IF(D7480=0,"",VLOOKUP(D7480,BASE,2,FALSE))</f>
        <v/>
      </c>
      <c r="F7480" s="10" t="str">
        <f t="shared" ref="F7480:F7486" si="1551">IF(D7480=0,"",VLOOKUP(D7480,BASE,3,FALSE))</f>
        <v/>
      </c>
      <c r="G7480" s="8"/>
      <c r="H7480" s="11"/>
      <c r="I7480" s="12"/>
      <c r="J7480" s="35">
        <f t="shared" ref="J7480:J7486" si="1552">IF(G7480=1,SUM(W7480,AJ7480,AW7480,-H7480),0)</f>
        <v>0</v>
      </c>
      <c r="K7480" s="36"/>
      <c r="L7480" s="36"/>
      <c r="M7480" s="36"/>
      <c r="N7480" s="36"/>
      <c r="O7480" s="36"/>
      <c r="P7480" s="36"/>
      <c r="Q7480" s="36"/>
      <c r="R7480" s="36"/>
      <c r="S7480" s="36"/>
      <c r="T7480" s="36"/>
      <c r="U7480" s="36"/>
      <c r="V7480" s="36"/>
      <c r="W7480" s="15">
        <f t="shared" ref="W7480:W7486" si="1553">SUM(K7480:V7480)</f>
        <v>0</v>
      </c>
      <c r="X7480" s="36"/>
      <c r="Y7480" s="36"/>
      <c r="Z7480" s="36"/>
      <c r="AA7480" s="36"/>
      <c r="AB7480" s="36"/>
      <c r="AC7480" s="36"/>
      <c r="AD7480" s="36"/>
      <c r="AE7480" s="36"/>
      <c r="AF7480" s="36"/>
      <c r="AG7480" s="36"/>
      <c r="AH7480" s="36"/>
      <c r="AI7480" s="36"/>
      <c r="AJ7480" s="15">
        <f t="shared" ref="AJ7480:AJ7486" si="1554">SUM(X7480:AI7480)</f>
        <v>0</v>
      </c>
      <c r="AK7480" s="14"/>
      <c r="AL7480" s="14"/>
      <c r="AM7480" s="14"/>
      <c r="AN7480" s="14"/>
      <c r="AO7480" s="14"/>
      <c r="AP7480" s="14"/>
      <c r="AQ7480" s="14"/>
      <c r="AR7480" s="14"/>
      <c r="AS7480" s="14"/>
      <c r="AT7480" s="14"/>
      <c r="AU7480" s="14"/>
      <c r="AV7480" s="14"/>
      <c r="AW7480" s="15">
        <f t="shared" ref="AW7480:AW7486" si="1555">SUM(AK7480:AV7480)</f>
        <v>0</v>
      </c>
      <c r="AX7480" s="16"/>
    </row>
    <row r="7481" spans="2:51" x14ac:dyDescent="0.2">
      <c r="B7481" s="7"/>
      <c r="C7481" s="8"/>
      <c r="D7481" s="9"/>
      <c r="E7481" s="10" t="str">
        <f t="shared" si="1550"/>
        <v/>
      </c>
      <c r="F7481" s="10" t="str">
        <f t="shared" si="1551"/>
        <v/>
      </c>
      <c r="G7481" s="8"/>
      <c r="H7481" s="11"/>
      <c r="I7481" s="12"/>
      <c r="J7481" s="35">
        <f t="shared" si="1552"/>
        <v>0</v>
      </c>
      <c r="K7481" s="36"/>
      <c r="L7481" s="36"/>
      <c r="M7481" s="36"/>
      <c r="N7481" s="36"/>
      <c r="O7481" s="36"/>
      <c r="P7481" s="36"/>
      <c r="Q7481" s="36"/>
      <c r="R7481" s="36"/>
      <c r="S7481" s="36"/>
      <c r="T7481" s="36"/>
      <c r="U7481" s="36"/>
      <c r="V7481" s="36"/>
      <c r="W7481" s="15">
        <f t="shared" si="1553"/>
        <v>0</v>
      </c>
      <c r="X7481" s="36"/>
      <c r="Y7481" s="36"/>
      <c r="Z7481" s="36"/>
      <c r="AA7481" s="36"/>
      <c r="AB7481" s="36"/>
      <c r="AC7481" s="36"/>
      <c r="AD7481" s="36"/>
      <c r="AE7481" s="36"/>
      <c r="AF7481" s="36"/>
      <c r="AG7481" s="36"/>
      <c r="AH7481" s="36"/>
      <c r="AI7481" s="36"/>
      <c r="AJ7481" s="15">
        <f t="shared" si="1554"/>
        <v>0</v>
      </c>
      <c r="AK7481" s="14"/>
      <c r="AL7481" s="14"/>
      <c r="AM7481" s="14"/>
      <c r="AN7481" s="14"/>
      <c r="AO7481" s="14"/>
      <c r="AP7481" s="14"/>
      <c r="AQ7481" s="14"/>
      <c r="AR7481" s="14"/>
      <c r="AS7481" s="14"/>
      <c r="AT7481" s="14"/>
      <c r="AU7481" s="14"/>
      <c r="AV7481" s="14"/>
      <c r="AW7481" s="15">
        <f t="shared" si="1555"/>
        <v>0</v>
      </c>
      <c r="AX7481" s="16"/>
    </row>
    <row r="7482" spans="2:51" x14ac:dyDescent="0.2">
      <c r="B7482" s="7"/>
      <c r="C7482" s="8"/>
      <c r="D7482" s="9"/>
      <c r="E7482" s="10" t="str">
        <f t="shared" si="1550"/>
        <v/>
      </c>
      <c r="F7482" s="10" t="str">
        <f t="shared" si="1551"/>
        <v/>
      </c>
      <c r="G7482" s="8"/>
      <c r="H7482" s="11"/>
      <c r="I7482" s="12"/>
      <c r="J7482" s="35">
        <f t="shared" si="1552"/>
        <v>0</v>
      </c>
      <c r="K7482" s="36"/>
      <c r="L7482" s="36"/>
      <c r="M7482" s="36"/>
      <c r="N7482" s="36"/>
      <c r="O7482" s="36"/>
      <c r="P7482" s="36"/>
      <c r="Q7482" s="36"/>
      <c r="R7482" s="36"/>
      <c r="S7482" s="36"/>
      <c r="T7482" s="36"/>
      <c r="U7482" s="36"/>
      <c r="V7482" s="36"/>
      <c r="W7482" s="15">
        <f t="shared" si="1553"/>
        <v>0</v>
      </c>
      <c r="X7482" s="36"/>
      <c r="Y7482" s="36"/>
      <c r="Z7482" s="36"/>
      <c r="AA7482" s="36"/>
      <c r="AB7482" s="36"/>
      <c r="AC7482" s="36"/>
      <c r="AD7482" s="36"/>
      <c r="AE7482" s="36"/>
      <c r="AF7482" s="36"/>
      <c r="AG7482" s="36"/>
      <c r="AH7482" s="36"/>
      <c r="AI7482" s="36"/>
      <c r="AJ7482" s="15">
        <f t="shared" si="1554"/>
        <v>0</v>
      </c>
      <c r="AK7482" s="14"/>
      <c r="AL7482" s="14"/>
      <c r="AM7482" s="14"/>
      <c r="AN7482" s="14"/>
      <c r="AO7482" s="14"/>
      <c r="AP7482" s="14"/>
      <c r="AQ7482" s="14"/>
      <c r="AR7482" s="14"/>
      <c r="AS7482" s="14"/>
      <c r="AT7482" s="14"/>
      <c r="AU7482" s="14"/>
      <c r="AV7482" s="14"/>
      <c r="AW7482" s="15">
        <f t="shared" si="1555"/>
        <v>0</v>
      </c>
      <c r="AX7482" s="16"/>
    </row>
    <row r="7483" spans="2:51" x14ac:dyDescent="0.2">
      <c r="B7483" s="7"/>
      <c r="C7483" s="8"/>
      <c r="D7483" s="9"/>
      <c r="E7483" s="10" t="str">
        <f t="shared" si="1550"/>
        <v/>
      </c>
      <c r="F7483" s="10" t="str">
        <f t="shared" si="1551"/>
        <v/>
      </c>
      <c r="G7483" s="8"/>
      <c r="H7483" s="11"/>
      <c r="I7483" s="12"/>
      <c r="J7483" s="35">
        <f t="shared" si="1552"/>
        <v>0</v>
      </c>
      <c r="K7483" s="36"/>
      <c r="L7483" s="36"/>
      <c r="M7483" s="36"/>
      <c r="N7483" s="36"/>
      <c r="O7483" s="36"/>
      <c r="P7483" s="36"/>
      <c r="Q7483" s="36"/>
      <c r="R7483" s="36"/>
      <c r="S7483" s="36"/>
      <c r="T7483" s="36"/>
      <c r="U7483" s="36"/>
      <c r="V7483" s="36"/>
      <c r="W7483" s="15">
        <f t="shared" si="1553"/>
        <v>0</v>
      </c>
      <c r="X7483" s="36"/>
      <c r="Y7483" s="36"/>
      <c r="Z7483" s="36"/>
      <c r="AA7483" s="36"/>
      <c r="AB7483" s="36"/>
      <c r="AC7483" s="36"/>
      <c r="AD7483" s="36"/>
      <c r="AE7483" s="36"/>
      <c r="AF7483" s="36"/>
      <c r="AG7483" s="36"/>
      <c r="AH7483" s="36"/>
      <c r="AI7483" s="36"/>
      <c r="AJ7483" s="15">
        <f t="shared" si="1554"/>
        <v>0</v>
      </c>
      <c r="AK7483" s="14"/>
      <c r="AL7483" s="14"/>
      <c r="AM7483" s="14"/>
      <c r="AN7483" s="14"/>
      <c r="AO7483" s="14"/>
      <c r="AP7483" s="14"/>
      <c r="AQ7483" s="14"/>
      <c r="AR7483" s="14"/>
      <c r="AS7483" s="14"/>
      <c r="AT7483" s="14"/>
      <c r="AU7483" s="14"/>
      <c r="AV7483" s="14"/>
      <c r="AW7483" s="15">
        <f t="shared" si="1555"/>
        <v>0</v>
      </c>
      <c r="AX7483" s="16"/>
    </row>
    <row r="7484" spans="2:51" x14ac:dyDescent="0.2">
      <c r="B7484" s="7"/>
      <c r="C7484" s="8"/>
      <c r="D7484" s="9"/>
      <c r="E7484" s="10" t="str">
        <f t="shared" si="1550"/>
        <v/>
      </c>
      <c r="F7484" s="10" t="str">
        <f t="shared" si="1551"/>
        <v/>
      </c>
      <c r="G7484" s="8"/>
      <c r="H7484" s="11"/>
      <c r="I7484" s="12"/>
      <c r="J7484" s="35">
        <f t="shared" si="1552"/>
        <v>0</v>
      </c>
      <c r="K7484" s="36"/>
      <c r="L7484" s="36"/>
      <c r="M7484" s="36"/>
      <c r="N7484" s="36"/>
      <c r="O7484" s="36"/>
      <c r="P7484" s="36"/>
      <c r="Q7484" s="36"/>
      <c r="R7484" s="36"/>
      <c r="S7484" s="36"/>
      <c r="T7484" s="36"/>
      <c r="U7484" s="36"/>
      <c r="V7484" s="36"/>
      <c r="W7484" s="15">
        <f t="shared" si="1553"/>
        <v>0</v>
      </c>
      <c r="X7484" s="36"/>
      <c r="Y7484" s="36"/>
      <c r="Z7484" s="36"/>
      <c r="AA7484" s="36"/>
      <c r="AB7484" s="36"/>
      <c r="AC7484" s="36"/>
      <c r="AD7484" s="36"/>
      <c r="AE7484" s="36"/>
      <c r="AF7484" s="36"/>
      <c r="AG7484" s="36"/>
      <c r="AH7484" s="36"/>
      <c r="AI7484" s="36"/>
      <c r="AJ7484" s="15">
        <f t="shared" si="1554"/>
        <v>0</v>
      </c>
      <c r="AK7484" s="14"/>
      <c r="AL7484" s="14"/>
      <c r="AM7484" s="14"/>
      <c r="AN7484" s="14"/>
      <c r="AO7484" s="14"/>
      <c r="AP7484" s="14"/>
      <c r="AQ7484" s="14"/>
      <c r="AR7484" s="14"/>
      <c r="AS7484" s="14"/>
      <c r="AT7484" s="14"/>
      <c r="AU7484" s="14"/>
      <c r="AV7484" s="14"/>
      <c r="AW7484" s="15">
        <f t="shared" si="1555"/>
        <v>0</v>
      </c>
      <c r="AX7484" s="16"/>
    </row>
    <row r="7485" spans="2:51" x14ac:dyDescent="0.2">
      <c r="B7485" s="7"/>
      <c r="C7485" s="8"/>
      <c r="D7485" s="9"/>
      <c r="E7485" s="10" t="str">
        <f t="shared" si="1550"/>
        <v/>
      </c>
      <c r="F7485" s="10" t="str">
        <f t="shared" si="1551"/>
        <v/>
      </c>
      <c r="G7485" s="8"/>
      <c r="H7485" s="11"/>
      <c r="I7485" s="12"/>
      <c r="J7485" s="35">
        <f t="shared" si="1552"/>
        <v>0</v>
      </c>
      <c r="K7485" s="36"/>
      <c r="L7485" s="36"/>
      <c r="M7485" s="36"/>
      <c r="N7485" s="36"/>
      <c r="O7485" s="36"/>
      <c r="P7485" s="36"/>
      <c r="Q7485" s="36"/>
      <c r="R7485" s="36"/>
      <c r="S7485" s="36"/>
      <c r="T7485" s="36"/>
      <c r="U7485" s="36"/>
      <c r="V7485" s="36"/>
      <c r="W7485" s="15">
        <f t="shared" si="1553"/>
        <v>0</v>
      </c>
      <c r="X7485" s="36"/>
      <c r="Y7485" s="36"/>
      <c r="Z7485" s="36"/>
      <c r="AA7485" s="36"/>
      <c r="AB7485" s="36"/>
      <c r="AC7485" s="36"/>
      <c r="AD7485" s="36"/>
      <c r="AE7485" s="36"/>
      <c r="AF7485" s="36"/>
      <c r="AG7485" s="36"/>
      <c r="AH7485" s="36"/>
      <c r="AI7485" s="36"/>
      <c r="AJ7485" s="15">
        <f t="shared" si="1554"/>
        <v>0</v>
      </c>
      <c r="AK7485" s="14"/>
      <c r="AL7485" s="14"/>
      <c r="AM7485" s="14"/>
      <c r="AN7485" s="14"/>
      <c r="AO7485" s="14"/>
      <c r="AP7485" s="14"/>
      <c r="AQ7485" s="14"/>
      <c r="AR7485" s="14"/>
      <c r="AS7485" s="14"/>
      <c r="AT7485" s="14"/>
      <c r="AU7485" s="14"/>
      <c r="AV7485" s="14"/>
      <c r="AW7485" s="15">
        <f t="shared" si="1555"/>
        <v>0</v>
      </c>
      <c r="AX7485" s="16"/>
    </row>
    <row r="7486" spans="2:51" x14ac:dyDescent="0.2">
      <c r="B7486" s="7"/>
      <c r="C7486" s="8"/>
      <c r="D7486" s="9"/>
      <c r="E7486" s="10" t="str">
        <f t="shared" si="1550"/>
        <v/>
      </c>
      <c r="F7486" s="10" t="str">
        <f t="shared" si="1551"/>
        <v/>
      </c>
      <c r="G7486" s="8"/>
      <c r="H7486" s="11"/>
      <c r="I7486" s="12"/>
      <c r="J7486" s="35">
        <f t="shared" si="1552"/>
        <v>0</v>
      </c>
      <c r="K7486" s="36"/>
      <c r="L7486" s="36"/>
      <c r="M7486" s="36"/>
      <c r="N7486" s="36"/>
      <c r="O7486" s="36"/>
      <c r="P7486" s="36"/>
      <c r="Q7486" s="36"/>
      <c r="R7486" s="36"/>
      <c r="S7486" s="36"/>
      <c r="T7486" s="36"/>
      <c r="U7486" s="36"/>
      <c r="V7486" s="36"/>
      <c r="W7486" s="15">
        <f t="shared" si="1553"/>
        <v>0</v>
      </c>
      <c r="X7486" s="36"/>
      <c r="Y7486" s="36"/>
      <c r="Z7486" s="36"/>
      <c r="AA7486" s="36"/>
      <c r="AB7486" s="36"/>
      <c r="AC7486" s="36"/>
      <c r="AD7486" s="36"/>
      <c r="AE7486" s="36"/>
      <c r="AF7486" s="36"/>
      <c r="AG7486" s="36"/>
      <c r="AH7486" s="36"/>
      <c r="AI7486" s="36"/>
      <c r="AJ7486" s="15">
        <f t="shared" si="1554"/>
        <v>0</v>
      </c>
      <c r="AK7486" s="14"/>
      <c r="AL7486" s="14"/>
      <c r="AM7486" s="14"/>
      <c r="AN7486" s="14"/>
      <c r="AO7486" s="14"/>
      <c r="AP7486" s="14"/>
      <c r="AQ7486" s="14"/>
      <c r="AR7486" s="14"/>
      <c r="AS7486" s="14"/>
      <c r="AT7486" s="14"/>
      <c r="AU7486" s="14"/>
      <c r="AV7486" s="14"/>
      <c r="AW7486" s="15">
        <f t="shared" si="1555"/>
        <v>0</v>
      </c>
      <c r="AX7486" s="16"/>
    </row>
    <row r="7487" spans="2:51" x14ac:dyDescent="0.2">
      <c r="B7487" s="7"/>
      <c r="C7487" s="8"/>
      <c r="D7487" s="9"/>
      <c r="E7487" s="10" t="str">
        <f t="shared" si="1544"/>
        <v/>
      </c>
      <c r="F7487" s="10" t="str">
        <f t="shared" si="1545"/>
        <v/>
      </c>
      <c r="G7487" s="8"/>
      <c r="H7487" s="11"/>
      <c r="I7487" s="12"/>
      <c r="J7487" s="35">
        <f t="shared" si="1546"/>
        <v>0</v>
      </c>
      <c r="K7487" s="36"/>
      <c r="L7487" s="36"/>
      <c r="M7487" s="36"/>
      <c r="N7487" s="36"/>
      <c r="O7487" s="36"/>
      <c r="P7487" s="36"/>
      <c r="Q7487" s="36"/>
      <c r="R7487" s="36"/>
      <c r="S7487" s="36"/>
      <c r="T7487" s="36"/>
      <c r="U7487" s="36"/>
      <c r="V7487" s="36"/>
      <c r="W7487" s="15">
        <f t="shared" si="1547"/>
        <v>0</v>
      </c>
      <c r="X7487" s="36"/>
      <c r="Y7487" s="36"/>
      <c r="Z7487" s="36"/>
      <c r="AA7487" s="36"/>
      <c r="AB7487" s="36"/>
      <c r="AC7487" s="36"/>
      <c r="AD7487" s="36"/>
      <c r="AE7487" s="36"/>
      <c r="AF7487" s="36"/>
      <c r="AG7487" s="36"/>
      <c r="AH7487" s="36"/>
      <c r="AI7487" s="36"/>
      <c r="AJ7487" s="15">
        <f t="shared" si="1548"/>
        <v>0</v>
      </c>
      <c r="AK7487" s="14"/>
      <c r="AL7487" s="14"/>
      <c r="AM7487" s="14"/>
      <c r="AN7487" s="14"/>
      <c r="AO7487" s="14"/>
      <c r="AP7487" s="14"/>
      <c r="AQ7487" s="14"/>
      <c r="AR7487" s="14"/>
      <c r="AS7487" s="14"/>
      <c r="AT7487" s="14"/>
      <c r="AU7487" s="14"/>
      <c r="AV7487" s="14"/>
      <c r="AW7487" s="15">
        <f t="shared" si="1549"/>
        <v>0</v>
      </c>
      <c r="AX7487" s="16"/>
    </row>
    <row r="7488" spans="2:51" x14ac:dyDescent="0.2">
      <c r="B7488" s="7"/>
      <c r="C7488" s="8"/>
      <c r="D7488" s="9"/>
      <c r="E7488" s="10" t="str">
        <f t="shared" si="1544"/>
        <v/>
      </c>
      <c r="F7488" s="10" t="str">
        <f t="shared" si="1545"/>
        <v/>
      </c>
      <c r="G7488" s="8"/>
      <c r="H7488" s="11"/>
      <c r="I7488" s="12"/>
      <c r="J7488" s="35">
        <f t="shared" si="1546"/>
        <v>0</v>
      </c>
      <c r="K7488" s="36"/>
      <c r="L7488" s="36"/>
      <c r="M7488" s="36"/>
      <c r="N7488" s="36"/>
      <c r="O7488" s="36"/>
      <c r="P7488" s="36"/>
      <c r="Q7488" s="36"/>
      <c r="R7488" s="36"/>
      <c r="S7488" s="36"/>
      <c r="T7488" s="36"/>
      <c r="U7488" s="36"/>
      <c r="V7488" s="36"/>
      <c r="W7488" s="15">
        <f t="shared" si="1547"/>
        <v>0</v>
      </c>
      <c r="X7488" s="36"/>
      <c r="Y7488" s="36"/>
      <c r="Z7488" s="36"/>
      <c r="AA7488" s="36"/>
      <c r="AB7488" s="36"/>
      <c r="AC7488" s="36"/>
      <c r="AD7488" s="36"/>
      <c r="AE7488" s="36"/>
      <c r="AF7488" s="36"/>
      <c r="AG7488" s="36"/>
      <c r="AH7488" s="36"/>
      <c r="AI7488" s="36"/>
      <c r="AJ7488" s="15">
        <f t="shared" si="1548"/>
        <v>0</v>
      </c>
      <c r="AK7488" s="14"/>
      <c r="AL7488" s="14"/>
      <c r="AM7488" s="14"/>
      <c r="AN7488" s="14"/>
      <c r="AO7488" s="14"/>
      <c r="AP7488" s="14"/>
      <c r="AQ7488" s="14"/>
      <c r="AR7488" s="14"/>
      <c r="AS7488" s="14"/>
      <c r="AT7488" s="14"/>
      <c r="AU7488" s="14"/>
      <c r="AV7488" s="14"/>
      <c r="AW7488" s="15">
        <f t="shared" si="1549"/>
        <v>0</v>
      </c>
      <c r="AX7488" s="16"/>
    </row>
    <row r="7489" spans="2:50" x14ac:dyDescent="0.2">
      <c r="B7489" s="7"/>
      <c r="C7489" s="8"/>
      <c r="D7489" s="9"/>
      <c r="E7489" s="10" t="str">
        <f t="shared" si="1544"/>
        <v/>
      </c>
      <c r="F7489" s="10" t="str">
        <f t="shared" si="1545"/>
        <v/>
      </c>
      <c r="G7489" s="8"/>
      <c r="H7489" s="11"/>
      <c r="I7489" s="12"/>
      <c r="J7489" s="35">
        <f t="shared" si="1546"/>
        <v>0</v>
      </c>
      <c r="K7489" s="36"/>
      <c r="L7489" s="36"/>
      <c r="M7489" s="36"/>
      <c r="N7489" s="36"/>
      <c r="O7489" s="36"/>
      <c r="P7489" s="36"/>
      <c r="Q7489" s="36"/>
      <c r="R7489" s="36"/>
      <c r="S7489" s="36"/>
      <c r="T7489" s="36"/>
      <c r="U7489" s="36"/>
      <c r="V7489" s="36"/>
      <c r="W7489" s="15">
        <f t="shared" si="1547"/>
        <v>0</v>
      </c>
      <c r="X7489" s="36"/>
      <c r="Y7489" s="36"/>
      <c r="Z7489" s="36"/>
      <c r="AA7489" s="36"/>
      <c r="AB7489" s="36"/>
      <c r="AC7489" s="36"/>
      <c r="AD7489" s="36"/>
      <c r="AE7489" s="36"/>
      <c r="AF7489" s="36"/>
      <c r="AG7489" s="36"/>
      <c r="AH7489" s="36"/>
      <c r="AI7489" s="36"/>
      <c r="AJ7489" s="15">
        <f t="shared" si="1548"/>
        <v>0</v>
      </c>
      <c r="AK7489" s="14"/>
      <c r="AL7489" s="14"/>
      <c r="AM7489" s="14"/>
      <c r="AN7489" s="14"/>
      <c r="AO7489" s="14"/>
      <c r="AP7489" s="14"/>
      <c r="AQ7489" s="14"/>
      <c r="AR7489" s="14"/>
      <c r="AS7489" s="14"/>
      <c r="AT7489" s="14"/>
      <c r="AU7489" s="14"/>
      <c r="AV7489" s="14"/>
      <c r="AW7489" s="15">
        <f t="shared" si="1549"/>
        <v>0</v>
      </c>
      <c r="AX7489" s="16"/>
    </row>
    <row r="7490" spans="2:50" x14ac:dyDescent="0.2">
      <c r="B7490" s="7"/>
      <c r="C7490" s="8"/>
      <c r="D7490" s="9"/>
      <c r="E7490" s="10" t="str">
        <f t="shared" si="1544"/>
        <v/>
      </c>
      <c r="F7490" s="10" t="str">
        <f t="shared" si="1545"/>
        <v/>
      </c>
      <c r="G7490" s="8"/>
      <c r="H7490" s="11"/>
      <c r="I7490" s="12"/>
      <c r="J7490" s="35">
        <f t="shared" si="1546"/>
        <v>0</v>
      </c>
      <c r="K7490" s="36"/>
      <c r="L7490" s="36"/>
      <c r="M7490" s="36"/>
      <c r="N7490" s="36"/>
      <c r="O7490" s="36"/>
      <c r="P7490" s="36"/>
      <c r="Q7490" s="36"/>
      <c r="R7490" s="36"/>
      <c r="S7490" s="36"/>
      <c r="T7490" s="36"/>
      <c r="U7490" s="36"/>
      <c r="V7490" s="36"/>
      <c r="W7490" s="15">
        <f t="shared" si="1547"/>
        <v>0</v>
      </c>
      <c r="X7490" s="36"/>
      <c r="Y7490" s="36"/>
      <c r="Z7490" s="36"/>
      <c r="AA7490" s="36"/>
      <c r="AB7490" s="36"/>
      <c r="AC7490" s="36"/>
      <c r="AD7490" s="36"/>
      <c r="AE7490" s="36"/>
      <c r="AF7490" s="36"/>
      <c r="AG7490" s="36"/>
      <c r="AH7490" s="36"/>
      <c r="AI7490" s="36"/>
      <c r="AJ7490" s="15">
        <f t="shared" si="1548"/>
        <v>0</v>
      </c>
      <c r="AK7490" s="14"/>
      <c r="AL7490" s="14"/>
      <c r="AM7490" s="14"/>
      <c r="AN7490" s="14"/>
      <c r="AO7490" s="14"/>
      <c r="AP7490" s="14"/>
      <c r="AQ7490" s="14"/>
      <c r="AR7490" s="14"/>
      <c r="AS7490" s="14"/>
      <c r="AT7490" s="14"/>
      <c r="AU7490" s="14"/>
      <c r="AV7490" s="14"/>
      <c r="AW7490" s="15">
        <f t="shared" si="1549"/>
        <v>0</v>
      </c>
      <c r="AX7490" s="16"/>
    </row>
    <row r="7491" spans="2:50" x14ac:dyDescent="0.2">
      <c r="B7491" s="7"/>
      <c r="C7491" s="8"/>
      <c r="D7491" s="9"/>
      <c r="E7491" s="10" t="str">
        <f t="shared" si="1544"/>
        <v/>
      </c>
      <c r="F7491" s="10" t="str">
        <f t="shared" si="1545"/>
        <v/>
      </c>
      <c r="G7491" s="8"/>
      <c r="H7491" s="11"/>
      <c r="I7491" s="12"/>
      <c r="J7491" s="35">
        <f t="shared" si="1546"/>
        <v>0</v>
      </c>
      <c r="K7491" s="36"/>
      <c r="L7491" s="36"/>
      <c r="M7491" s="36"/>
      <c r="N7491" s="36"/>
      <c r="O7491" s="36"/>
      <c r="P7491" s="36"/>
      <c r="Q7491" s="36"/>
      <c r="R7491" s="36"/>
      <c r="S7491" s="36"/>
      <c r="T7491" s="36"/>
      <c r="U7491" s="36"/>
      <c r="V7491" s="36"/>
      <c r="W7491" s="15">
        <f t="shared" si="1547"/>
        <v>0</v>
      </c>
      <c r="X7491" s="36"/>
      <c r="Y7491" s="36"/>
      <c r="Z7491" s="36"/>
      <c r="AA7491" s="36"/>
      <c r="AB7491" s="36"/>
      <c r="AC7491" s="36"/>
      <c r="AD7491" s="36"/>
      <c r="AE7491" s="36"/>
      <c r="AF7491" s="36"/>
      <c r="AG7491" s="36"/>
      <c r="AH7491" s="36"/>
      <c r="AI7491" s="36"/>
      <c r="AJ7491" s="15">
        <f t="shared" si="1548"/>
        <v>0</v>
      </c>
      <c r="AK7491" s="14"/>
      <c r="AL7491" s="14"/>
      <c r="AM7491" s="14"/>
      <c r="AN7491" s="14"/>
      <c r="AO7491" s="14"/>
      <c r="AP7491" s="14"/>
      <c r="AQ7491" s="14"/>
      <c r="AR7491" s="14"/>
      <c r="AS7491" s="14"/>
      <c r="AT7491" s="14"/>
      <c r="AU7491" s="14"/>
      <c r="AV7491" s="14"/>
      <c r="AW7491" s="15">
        <f t="shared" si="1549"/>
        <v>0</v>
      </c>
      <c r="AX7491" s="16"/>
    </row>
    <row r="7492" spans="2:50" x14ac:dyDescent="0.2">
      <c r="B7492" s="7"/>
      <c r="C7492" s="8"/>
      <c r="D7492" s="9"/>
      <c r="E7492" s="10" t="str">
        <f t="shared" si="1538"/>
        <v/>
      </c>
      <c r="F7492" s="10" t="str">
        <f t="shared" si="1539"/>
        <v/>
      </c>
      <c r="G7492" s="8"/>
      <c r="H7492" s="11"/>
      <c r="I7492" s="12"/>
      <c r="J7492" s="35">
        <f t="shared" si="1540"/>
        <v>0</v>
      </c>
      <c r="K7492" s="36"/>
      <c r="L7492" s="36"/>
      <c r="M7492" s="36"/>
      <c r="N7492" s="36"/>
      <c r="O7492" s="36"/>
      <c r="P7492" s="36"/>
      <c r="Q7492" s="36"/>
      <c r="R7492" s="36"/>
      <c r="S7492" s="36"/>
      <c r="T7492" s="36"/>
      <c r="U7492" s="36"/>
      <c r="V7492" s="36"/>
      <c r="W7492" s="15">
        <f t="shared" si="1541"/>
        <v>0</v>
      </c>
      <c r="X7492" s="36"/>
      <c r="Y7492" s="36"/>
      <c r="Z7492" s="36"/>
      <c r="AA7492" s="36"/>
      <c r="AB7492" s="36"/>
      <c r="AC7492" s="36"/>
      <c r="AD7492" s="36"/>
      <c r="AE7492" s="36"/>
      <c r="AF7492" s="36"/>
      <c r="AG7492" s="36"/>
      <c r="AH7492" s="36"/>
      <c r="AI7492" s="36"/>
      <c r="AJ7492" s="15">
        <f t="shared" si="1542"/>
        <v>0</v>
      </c>
      <c r="AK7492" s="14"/>
      <c r="AL7492" s="14"/>
      <c r="AM7492" s="14"/>
      <c r="AN7492" s="14"/>
      <c r="AO7492" s="14"/>
      <c r="AP7492" s="14"/>
      <c r="AQ7492" s="14"/>
      <c r="AR7492" s="14"/>
      <c r="AS7492" s="14"/>
      <c r="AT7492" s="14"/>
      <c r="AU7492" s="14"/>
      <c r="AV7492" s="14"/>
      <c r="AW7492" s="15">
        <f t="shared" si="1543"/>
        <v>0</v>
      </c>
      <c r="AX7492" s="16"/>
    </row>
    <row r="7493" spans="2:50" x14ac:dyDescent="0.2">
      <c r="B7493" s="7"/>
      <c r="C7493" s="8"/>
      <c r="D7493" s="9"/>
      <c r="E7493" s="10" t="str">
        <f t="shared" si="842"/>
        <v/>
      </c>
      <c r="F7493" s="10" t="str">
        <f t="shared" si="843"/>
        <v/>
      </c>
      <c r="G7493" s="8"/>
      <c r="H7493" s="11"/>
      <c r="I7493" s="12"/>
      <c r="J7493" s="35">
        <f t="shared" si="844"/>
        <v>0</v>
      </c>
      <c r="K7493" s="36"/>
      <c r="L7493" s="36"/>
      <c r="M7493" s="36"/>
      <c r="N7493" s="36"/>
      <c r="O7493" s="36"/>
      <c r="P7493" s="36"/>
      <c r="Q7493" s="36"/>
      <c r="R7493" s="36"/>
      <c r="S7493" s="36"/>
      <c r="T7493" s="36"/>
      <c r="U7493" s="36"/>
      <c r="V7493" s="36"/>
      <c r="W7493" s="15">
        <f t="shared" si="845"/>
        <v>0</v>
      </c>
      <c r="X7493" s="36"/>
      <c r="Y7493" s="36"/>
      <c r="Z7493" s="36"/>
      <c r="AA7493" s="36"/>
      <c r="AB7493" s="36"/>
      <c r="AC7493" s="36"/>
      <c r="AD7493" s="36"/>
      <c r="AE7493" s="36"/>
      <c r="AF7493" s="36"/>
      <c r="AG7493" s="36"/>
      <c r="AH7493" s="36"/>
      <c r="AI7493" s="36"/>
      <c r="AJ7493" s="15">
        <f t="shared" si="846"/>
        <v>0</v>
      </c>
      <c r="AK7493" s="14"/>
      <c r="AL7493" s="14"/>
      <c r="AM7493" s="14"/>
      <c r="AN7493" s="14"/>
      <c r="AO7493" s="14"/>
      <c r="AP7493" s="14"/>
      <c r="AQ7493" s="14"/>
      <c r="AR7493" s="14"/>
      <c r="AS7493" s="14"/>
      <c r="AT7493" s="14"/>
      <c r="AU7493" s="14"/>
      <c r="AV7493" s="14"/>
      <c r="AW7493" s="15">
        <f t="shared" si="847"/>
        <v>0</v>
      </c>
      <c r="AX7493" s="16"/>
    </row>
    <row r="7494" spans="2:50" x14ac:dyDescent="0.2">
      <c r="B7494" s="415" t="s">
        <v>3866</v>
      </c>
      <c r="C7494" s="415"/>
      <c r="D7494" s="415"/>
      <c r="E7494" s="415"/>
      <c r="F7494" s="415"/>
      <c r="G7494" s="415"/>
      <c r="H7494" s="415"/>
      <c r="I7494" s="415"/>
      <c r="J7494" s="415"/>
      <c r="K7494" s="415"/>
      <c r="L7494" s="415"/>
      <c r="M7494" s="415"/>
      <c r="N7494" s="415"/>
      <c r="O7494" s="415"/>
      <c r="P7494" s="415"/>
      <c r="Q7494" s="415"/>
      <c r="R7494" s="415"/>
      <c r="S7494" s="415"/>
      <c r="T7494" s="415"/>
      <c r="U7494" s="415"/>
      <c r="V7494" s="415"/>
      <c r="W7494" s="415"/>
    </row>
    <row r="7495" spans="2:50" x14ac:dyDescent="0.2">
      <c r="B7495" s="415"/>
      <c r="C7495" s="415"/>
      <c r="D7495" s="415"/>
      <c r="E7495" s="415"/>
      <c r="F7495" s="415"/>
      <c r="G7495" s="415"/>
      <c r="H7495" s="415"/>
      <c r="I7495" s="415"/>
      <c r="J7495" s="415"/>
      <c r="K7495" s="415"/>
      <c r="L7495" s="415"/>
      <c r="M7495" s="415"/>
      <c r="N7495" s="415"/>
      <c r="O7495" s="415"/>
      <c r="P7495" s="415"/>
      <c r="Q7495" s="415"/>
      <c r="R7495" s="415"/>
      <c r="S7495" s="415"/>
      <c r="T7495" s="415"/>
      <c r="U7495" s="415"/>
      <c r="V7495" s="415"/>
      <c r="W7495" s="415"/>
    </row>
    <row r="7496" spans="2:50" x14ac:dyDescent="0.2">
      <c r="B7496" s="415"/>
      <c r="C7496" s="415"/>
      <c r="D7496" s="415"/>
      <c r="E7496" s="415"/>
      <c r="F7496" s="415"/>
      <c r="G7496" s="415"/>
      <c r="H7496" s="415"/>
      <c r="I7496" s="415"/>
      <c r="J7496" s="415"/>
      <c r="K7496" s="415"/>
      <c r="L7496" s="415"/>
      <c r="M7496" s="415"/>
      <c r="N7496" s="415"/>
      <c r="O7496" s="415"/>
      <c r="P7496" s="415"/>
      <c r="Q7496" s="415"/>
      <c r="R7496" s="415"/>
      <c r="S7496" s="415"/>
      <c r="T7496" s="415"/>
      <c r="U7496" s="415"/>
      <c r="V7496" s="415"/>
      <c r="W7496" s="415"/>
    </row>
    <row r="7497" spans="2:50" x14ac:dyDescent="0.2">
      <c r="B7497" s="415"/>
      <c r="C7497" s="415"/>
      <c r="D7497" s="415"/>
      <c r="E7497" s="415"/>
      <c r="F7497" s="415"/>
      <c r="G7497" s="415"/>
      <c r="H7497" s="415"/>
      <c r="I7497" s="415"/>
      <c r="J7497" s="415"/>
      <c r="K7497" s="415"/>
      <c r="L7497" s="415"/>
      <c r="M7497" s="415"/>
      <c r="N7497" s="415"/>
      <c r="O7497" s="415"/>
      <c r="P7497" s="415"/>
      <c r="Q7497" s="415"/>
      <c r="R7497" s="415"/>
      <c r="S7497" s="415"/>
      <c r="T7497" s="415"/>
      <c r="U7497" s="415"/>
      <c r="V7497" s="415"/>
      <c r="W7497" s="415"/>
    </row>
  </sheetData>
  <autoFilter ref="B3:Y7497"/>
  <mergeCells count="1">
    <mergeCell ref="B7494:W7497"/>
  </mergeCells>
  <conditionalFormatting sqref="J4:J22 J2407:J2508 J2557:J2560 J2549 J2551:J2552 J2977:J3045 J3047:J3217 J3219:J3243 J3245 J3247:J3491 J3493:J3785 J3787:J3908 J3940:J4044 J4046:J4146 J4177 J4184:J4228 J4230:J4279 J4315:J4362 J4364:J4366 J4385:J4570 J4572:J4727 J4738:J4844 J4853:J4887 J4368:J4383 J4889:J5005 J5039:J5091 J5093:J5220 J5279:J5473 J5476:J5478 J5483:J5691 J5693:J5895 J5897:J5901 J5903:J6106 J6108:J6110 J6112:J6361 J6363:J6523 J6525:J6714 J6716:J6826 J6828:J6905 J6907:J7060 J7062:J7093 J7095:J7312 J7314:J7493">
    <cfRule type="cellIs" dxfId="176" priority="231" operator="notEqual">
      <formula>0</formula>
    </cfRule>
  </conditionalFormatting>
  <conditionalFormatting sqref="J25:J273">
    <cfRule type="cellIs" dxfId="175" priority="230" operator="notEqual">
      <formula>0</formula>
    </cfRule>
  </conditionalFormatting>
  <conditionalFormatting sqref="J276:J431">
    <cfRule type="cellIs" dxfId="174" priority="229" operator="notEqual">
      <formula>0</formula>
    </cfRule>
  </conditionalFormatting>
  <conditionalFormatting sqref="J434:J588">
    <cfRule type="cellIs" dxfId="173" priority="228" operator="notEqual">
      <formula>0</formula>
    </cfRule>
  </conditionalFormatting>
  <conditionalFormatting sqref="J591:J784">
    <cfRule type="cellIs" dxfId="172" priority="227" operator="notEqual">
      <formula>0</formula>
    </cfRule>
  </conditionalFormatting>
  <conditionalFormatting sqref="J787:J1017">
    <cfRule type="cellIs" dxfId="171" priority="226" operator="notEqual">
      <formula>0</formula>
    </cfRule>
  </conditionalFormatting>
  <conditionalFormatting sqref="J1020:J1422">
    <cfRule type="cellIs" dxfId="170" priority="225" operator="notEqual">
      <formula>0</formula>
    </cfRule>
  </conditionalFormatting>
  <conditionalFormatting sqref="J1425:J1805">
    <cfRule type="cellIs" dxfId="169" priority="224" operator="notEqual">
      <formula>0</formula>
    </cfRule>
  </conditionalFormatting>
  <conditionalFormatting sqref="J1807:J2081">
    <cfRule type="cellIs" dxfId="168" priority="223" operator="notEqual">
      <formula>0</formula>
    </cfRule>
  </conditionalFormatting>
  <conditionalFormatting sqref="J2083:J2341">
    <cfRule type="cellIs" dxfId="167" priority="222" operator="notEqual">
      <formula>0</formula>
    </cfRule>
  </conditionalFormatting>
  <conditionalFormatting sqref="J2343:J2406">
    <cfRule type="cellIs" dxfId="166" priority="221" operator="notEqual">
      <formula>0</formula>
    </cfRule>
  </conditionalFormatting>
  <conditionalFormatting sqref="J2509">
    <cfRule type="cellIs" dxfId="165" priority="219" operator="notEqual">
      <formula>0</formula>
    </cfRule>
  </conditionalFormatting>
  <conditionalFormatting sqref="J2510">
    <cfRule type="cellIs" dxfId="164" priority="218" operator="notEqual">
      <formula>0</formula>
    </cfRule>
  </conditionalFormatting>
  <conditionalFormatting sqref="J2511">
    <cfRule type="cellIs" dxfId="163" priority="217" operator="notEqual">
      <formula>0</formula>
    </cfRule>
  </conditionalFormatting>
  <conditionalFormatting sqref="J2512">
    <cfRule type="cellIs" dxfId="162" priority="216" operator="notEqual">
      <formula>0</formula>
    </cfRule>
  </conditionalFormatting>
  <conditionalFormatting sqref="J2513">
    <cfRule type="cellIs" dxfId="161" priority="215" operator="notEqual">
      <formula>0</formula>
    </cfRule>
  </conditionalFormatting>
  <conditionalFormatting sqref="J2514">
    <cfRule type="cellIs" dxfId="160" priority="214" operator="notEqual">
      <formula>0</formula>
    </cfRule>
  </conditionalFormatting>
  <conditionalFormatting sqref="J2515">
    <cfRule type="cellIs" dxfId="159" priority="213" operator="notEqual">
      <formula>0</formula>
    </cfRule>
  </conditionalFormatting>
  <conditionalFormatting sqref="J2516">
    <cfRule type="cellIs" dxfId="158" priority="212" operator="notEqual">
      <formula>0</formula>
    </cfRule>
  </conditionalFormatting>
  <conditionalFormatting sqref="J2517">
    <cfRule type="cellIs" dxfId="157" priority="211" operator="notEqual">
      <formula>0</formula>
    </cfRule>
  </conditionalFormatting>
  <conditionalFormatting sqref="J2518">
    <cfRule type="cellIs" dxfId="156" priority="210" operator="notEqual">
      <formula>0</formula>
    </cfRule>
  </conditionalFormatting>
  <conditionalFormatting sqref="J2519">
    <cfRule type="cellIs" dxfId="155" priority="209" operator="notEqual">
      <formula>0</formula>
    </cfRule>
  </conditionalFormatting>
  <conditionalFormatting sqref="J2520">
    <cfRule type="cellIs" dxfId="154" priority="208" operator="notEqual">
      <formula>0</formula>
    </cfRule>
  </conditionalFormatting>
  <conditionalFormatting sqref="J2521">
    <cfRule type="cellIs" dxfId="153" priority="207" operator="notEqual">
      <formula>0</formula>
    </cfRule>
  </conditionalFormatting>
  <conditionalFormatting sqref="J2522">
    <cfRule type="cellIs" dxfId="152" priority="206" operator="notEqual">
      <formula>0</formula>
    </cfRule>
  </conditionalFormatting>
  <conditionalFormatting sqref="J2523">
    <cfRule type="cellIs" dxfId="151" priority="205" operator="notEqual">
      <formula>0</formula>
    </cfRule>
  </conditionalFormatting>
  <conditionalFormatting sqref="J2524">
    <cfRule type="cellIs" dxfId="150" priority="204" operator="notEqual">
      <formula>0</formula>
    </cfRule>
  </conditionalFormatting>
  <conditionalFormatting sqref="J2525">
    <cfRule type="cellIs" dxfId="149" priority="203" operator="notEqual">
      <formula>0</formula>
    </cfRule>
  </conditionalFormatting>
  <conditionalFormatting sqref="J2526">
    <cfRule type="cellIs" dxfId="148" priority="202" operator="notEqual">
      <formula>0</formula>
    </cfRule>
  </conditionalFormatting>
  <conditionalFormatting sqref="J2527">
    <cfRule type="cellIs" dxfId="147" priority="201" operator="notEqual">
      <formula>0</formula>
    </cfRule>
  </conditionalFormatting>
  <conditionalFormatting sqref="J2528">
    <cfRule type="cellIs" dxfId="146" priority="200" operator="notEqual">
      <formula>0</formula>
    </cfRule>
  </conditionalFormatting>
  <conditionalFormatting sqref="J2529">
    <cfRule type="cellIs" dxfId="145" priority="199" operator="notEqual">
      <formula>0</formula>
    </cfRule>
  </conditionalFormatting>
  <conditionalFormatting sqref="J2530">
    <cfRule type="cellIs" dxfId="144" priority="198" operator="notEqual">
      <formula>0</formula>
    </cfRule>
  </conditionalFormatting>
  <conditionalFormatting sqref="J2531">
    <cfRule type="cellIs" dxfId="143" priority="197" operator="notEqual">
      <formula>0</formula>
    </cfRule>
  </conditionalFormatting>
  <conditionalFormatting sqref="J2532">
    <cfRule type="cellIs" dxfId="142" priority="196" operator="notEqual">
      <formula>0</formula>
    </cfRule>
  </conditionalFormatting>
  <conditionalFormatting sqref="J2533">
    <cfRule type="cellIs" dxfId="141" priority="195" operator="notEqual">
      <formula>0</formula>
    </cfRule>
  </conditionalFormatting>
  <conditionalFormatting sqref="J2534">
    <cfRule type="cellIs" dxfId="140" priority="194" operator="notEqual">
      <formula>0</formula>
    </cfRule>
  </conditionalFormatting>
  <conditionalFormatting sqref="J2535">
    <cfRule type="cellIs" dxfId="139" priority="193" operator="notEqual">
      <formula>0</formula>
    </cfRule>
  </conditionalFormatting>
  <conditionalFormatting sqref="J2536">
    <cfRule type="cellIs" dxfId="138" priority="192" operator="notEqual">
      <formula>0</formula>
    </cfRule>
  </conditionalFormatting>
  <conditionalFormatting sqref="J2537">
    <cfRule type="cellIs" dxfId="137" priority="191" operator="notEqual">
      <formula>0</formula>
    </cfRule>
  </conditionalFormatting>
  <conditionalFormatting sqref="J2538:J2548">
    <cfRule type="cellIs" dxfId="136" priority="190" operator="notEqual">
      <formula>0</formula>
    </cfRule>
  </conditionalFormatting>
  <conditionalFormatting sqref="J2553">
    <cfRule type="cellIs" dxfId="135" priority="188" operator="notEqual">
      <formula>0</formula>
    </cfRule>
  </conditionalFormatting>
  <conditionalFormatting sqref="J2555">
    <cfRule type="cellIs" dxfId="134" priority="184" operator="notEqual">
      <formula>0</formula>
    </cfRule>
  </conditionalFormatting>
  <conditionalFormatting sqref="J2554">
    <cfRule type="cellIs" dxfId="133" priority="186" operator="notEqual">
      <formula>0</formula>
    </cfRule>
  </conditionalFormatting>
  <conditionalFormatting sqref="J2575">
    <cfRule type="cellIs" dxfId="132" priority="147" operator="notEqual">
      <formula>0</formula>
    </cfRule>
  </conditionalFormatting>
  <conditionalFormatting sqref="J2576">
    <cfRule type="cellIs" dxfId="131" priority="146" operator="notEqual">
      <formula>0</formula>
    </cfRule>
  </conditionalFormatting>
  <conditionalFormatting sqref="J2577">
    <cfRule type="cellIs" dxfId="130" priority="145" operator="notEqual">
      <formula>0</formula>
    </cfRule>
  </conditionalFormatting>
  <conditionalFormatting sqref="J2578">
    <cfRule type="cellIs" dxfId="129" priority="144" operator="notEqual">
      <formula>0</formula>
    </cfRule>
  </conditionalFormatting>
  <conditionalFormatting sqref="J2567">
    <cfRule type="cellIs" dxfId="128" priority="143" operator="notEqual">
      <formula>0</formula>
    </cfRule>
  </conditionalFormatting>
  <conditionalFormatting sqref="J2579">
    <cfRule type="cellIs" dxfId="127" priority="142" operator="notEqual">
      <formula>0</formula>
    </cfRule>
  </conditionalFormatting>
  <conditionalFormatting sqref="J2724">
    <cfRule type="cellIs" dxfId="126" priority="141" operator="notEqual">
      <formula>0</formula>
    </cfRule>
  </conditionalFormatting>
  <conditionalFormatting sqref="J2725">
    <cfRule type="cellIs" dxfId="125" priority="140" operator="notEqual">
      <formula>0</formula>
    </cfRule>
  </conditionalFormatting>
  <conditionalFormatting sqref="J2726">
    <cfRule type="cellIs" dxfId="124" priority="139" operator="notEqual">
      <formula>0</formula>
    </cfRule>
  </conditionalFormatting>
  <conditionalFormatting sqref="J2727">
    <cfRule type="cellIs" dxfId="123" priority="138" operator="notEqual">
      <formula>0</formula>
    </cfRule>
  </conditionalFormatting>
  <conditionalFormatting sqref="J2728">
    <cfRule type="cellIs" dxfId="122" priority="137" operator="notEqual">
      <formula>0</formula>
    </cfRule>
  </conditionalFormatting>
  <conditionalFormatting sqref="J2729">
    <cfRule type="cellIs" dxfId="121" priority="136" operator="notEqual">
      <formula>0</formula>
    </cfRule>
  </conditionalFormatting>
  <conditionalFormatting sqref="J2730">
    <cfRule type="cellIs" dxfId="120" priority="135" operator="notEqual">
      <formula>0</formula>
    </cfRule>
  </conditionalFormatting>
  <conditionalFormatting sqref="J2731">
    <cfRule type="cellIs" dxfId="119" priority="134" operator="notEqual">
      <formula>0</formula>
    </cfRule>
  </conditionalFormatting>
  <conditionalFormatting sqref="J2732">
    <cfRule type="cellIs" dxfId="118" priority="133" operator="notEqual">
      <formula>0</formula>
    </cfRule>
  </conditionalFormatting>
  <conditionalFormatting sqref="J2733">
    <cfRule type="cellIs" dxfId="117" priority="132" operator="notEqual">
      <formula>0</formula>
    </cfRule>
  </conditionalFormatting>
  <conditionalFormatting sqref="J2734">
    <cfRule type="cellIs" dxfId="116" priority="131" operator="notEqual">
      <formula>0</formula>
    </cfRule>
  </conditionalFormatting>
  <conditionalFormatting sqref="J2736">
    <cfRule type="cellIs" dxfId="115" priority="129" operator="notEqual">
      <formula>0</formula>
    </cfRule>
  </conditionalFormatting>
  <conditionalFormatting sqref="J2739">
    <cfRule type="cellIs" dxfId="114" priority="128" operator="notEqual">
      <formula>0</formula>
    </cfRule>
  </conditionalFormatting>
  <conditionalFormatting sqref="J2550">
    <cfRule type="cellIs" dxfId="113" priority="163" operator="notEqual">
      <formula>0</formula>
    </cfRule>
  </conditionalFormatting>
  <conditionalFormatting sqref="J2556">
    <cfRule type="cellIs" dxfId="112" priority="161" operator="notEqual">
      <formula>0</formula>
    </cfRule>
  </conditionalFormatting>
  <conditionalFormatting sqref="J2580:J2723 J2741:J2778 J2780:J2847">
    <cfRule type="cellIs" dxfId="111" priority="160" operator="notEqual">
      <formula>0</formula>
    </cfRule>
  </conditionalFormatting>
  <conditionalFormatting sqref="J2562">
    <cfRule type="cellIs" dxfId="110" priority="159" operator="notEqual">
      <formula>0</formula>
    </cfRule>
  </conditionalFormatting>
  <conditionalFormatting sqref="J2563">
    <cfRule type="cellIs" dxfId="109" priority="158" operator="notEqual">
      <formula>0</formula>
    </cfRule>
  </conditionalFormatting>
  <conditionalFormatting sqref="J2564">
    <cfRule type="cellIs" dxfId="108" priority="157" operator="notEqual">
      <formula>0</formula>
    </cfRule>
  </conditionalFormatting>
  <conditionalFormatting sqref="J2565">
    <cfRule type="cellIs" dxfId="107" priority="156" operator="notEqual">
      <formula>0</formula>
    </cfRule>
  </conditionalFormatting>
  <conditionalFormatting sqref="J2566">
    <cfRule type="cellIs" dxfId="106" priority="155" operator="notEqual">
      <formula>0</formula>
    </cfRule>
  </conditionalFormatting>
  <conditionalFormatting sqref="J2568">
    <cfRule type="cellIs" dxfId="105" priority="154" operator="notEqual">
      <formula>0</formula>
    </cfRule>
  </conditionalFormatting>
  <conditionalFormatting sqref="J2569">
    <cfRule type="cellIs" dxfId="104" priority="153" operator="notEqual">
      <formula>0</formula>
    </cfRule>
  </conditionalFormatting>
  <conditionalFormatting sqref="J2570">
    <cfRule type="cellIs" dxfId="103" priority="152" operator="notEqual">
      <formula>0</formula>
    </cfRule>
  </conditionalFormatting>
  <conditionalFormatting sqref="J2571">
    <cfRule type="cellIs" dxfId="102" priority="151" operator="notEqual">
      <formula>0</formula>
    </cfRule>
  </conditionalFormatting>
  <conditionalFormatting sqref="J2572">
    <cfRule type="cellIs" dxfId="101" priority="150" operator="notEqual">
      <formula>0</formula>
    </cfRule>
  </conditionalFormatting>
  <conditionalFormatting sqref="J2573">
    <cfRule type="cellIs" dxfId="100" priority="149" operator="notEqual">
      <formula>0</formula>
    </cfRule>
  </conditionalFormatting>
  <conditionalFormatting sqref="J2574">
    <cfRule type="cellIs" dxfId="99" priority="148" operator="notEqual">
      <formula>0</formula>
    </cfRule>
  </conditionalFormatting>
  <conditionalFormatting sqref="J2735">
    <cfRule type="cellIs" dxfId="98" priority="130" operator="notEqual">
      <formula>0</formula>
    </cfRule>
  </conditionalFormatting>
  <conditionalFormatting sqref="J2740">
    <cfRule type="cellIs" dxfId="97" priority="127" operator="notEqual">
      <formula>0</formula>
    </cfRule>
  </conditionalFormatting>
  <conditionalFormatting sqref="J2737">
    <cfRule type="cellIs" dxfId="96" priority="126" operator="notEqual">
      <formula>0</formula>
    </cfRule>
  </conditionalFormatting>
  <conditionalFormatting sqref="J2738">
    <cfRule type="cellIs" dxfId="95" priority="125" operator="notEqual">
      <formula>0</formula>
    </cfRule>
  </conditionalFormatting>
  <conditionalFormatting sqref="J2848:J2975">
    <cfRule type="cellIs" dxfId="94" priority="124" operator="notEqual">
      <formula>0</formula>
    </cfRule>
  </conditionalFormatting>
  <conditionalFormatting sqref="J3046">
    <cfRule type="cellIs" dxfId="93" priority="122" operator="notEqual">
      <formula>0</formula>
    </cfRule>
  </conditionalFormatting>
  <conditionalFormatting sqref="J3218">
    <cfRule type="cellIs" dxfId="92" priority="121" operator="notEqual">
      <formula>0</formula>
    </cfRule>
  </conditionalFormatting>
  <conditionalFormatting sqref="J3244">
    <cfRule type="cellIs" dxfId="91" priority="120" operator="notEqual">
      <formula>0</formula>
    </cfRule>
  </conditionalFormatting>
  <conditionalFormatting sqref="J3909:J3939">
    <cfRule type="cellIs" dxfId="90" priority="119" operator="notEqual">
      <formula>0</formula>
    </cfRule>
  </conditionalFormatting>
  <conditionalFormatting sqref="J4147">
    <cfRule type="cellIs" dxfId="89" priority="118" operator="notEqual">
      <formula>0</formula>
    </cfRule>
  </conditionalFormatting>
  <conditionalFormatting sqref="J4148">
    <cfRule type="cellIs" dxfId="88" priority="117" operator="notEqual">
      <formula>0</formula>
    </cfRule>
  </conditionalFormatting>
  <conditionalFormatting sqref="J4149">
    <cfRule type="cellIs" dxfId="87" priority="116" operator="notEqual">
      <formula>0</formula>
    </cfRule>
  </conditionalFormatting>
  <conditionalFormatting sqref="J4150">
    <cfRule type="cellIs" dxfId="86" priority="115" operator="notEqual">
      <formula>0</formula>
    </cfRule>
  </conditionalFormatting>
  <conditionalFormatting sqref="J4151">
    <cfRule type="cellIs" dxfId="85" priority="114" operator="notEqual">
      <formula>0</formula>
    </cfRule>
  </conditionalFormatting>
  <conditionalFormatting sqref="J4152">
    <cfRule type="cellIs" dxfId="84" priority="113" operator="notEqual">
      <formula>0</formula>
    </cfRule>
  </conditionalFormatting>
  <conditionalFormatting sqref="J4153">
    <cfRule type="cellIs" dxfId="83" priority="112" operator="notEqual">
      <formula>0</formula>
    </cfRule>
  </conditionalFormatting>
  <conditionalFormatting sqref="J4154">
    <cfRule type="cellIs" dxfId="82" priority="111" operator="notEqual">
      <formula>0</formula>
    </cfRule>
  </conditionalFormatting>
  <conditionalFormatting sqref="J4155">
    <cfRule type="cellIs" dxfId="81" priority="110" operator="notEqual">
      <formula>0</formula>
    </cfRule>
  </conditionalFormatting>
  <conditionalFormatting sqref="J4156">
    <cfRule type="cellIs" dxfId="80" priority="109" operator="notEqual">
      <formula>0</formula>
    </cfRule>
  </conditionalFormatting>
  <conditionalFormatting sqref="J4157">
    <cfRule type="cellIs" dxfId="79" priority="108" operator="notEqual">
      <formula>0</formula>
    </cfRule>
  </conditionalFormatting>
  <conditionalFormatting sqref="J4176">
    <cfRule type="cellIs" dxfId="78" priority="94" operator="notEqual">
      <formula>0</formula>
    </cfRule>
  </conditionalFormatting>
  <conditionalFormatting sqref="J4167">
    <cfRule type="cellIs" dxfId="77" priority="95" operator="notEqual">
      <formula>0</formula>
    </cfRule>
  </conditionalFormatting>
  <conditionalFormatting sqref="J4166">
    <cfRule type="cellIs" dxfId="76" priority="96" operator="notEqual">
      <formula>0</formula>
    </cfRule>
  </conditionalFormatting>
  <conditionalFormatting sqref="J4159">
    <cfRule type="cellIs" dxfId="75" priority="104" operator="notEqual">
      <formula>0</formula>
    </cfRule>
  </conditionalFormatting>
  <conditionalFormatting sqref="J4158">
    <cfRule type="cellIs" dxfId="74" priority="103" operator="notEqual">
      <formula>0</formula>
    </cfRule>
  </conditionalFormatting>
  <conditionalFormatting sqref="J4160">
    <cfRule type="cellIs" dxfId="73" priority="102" operator="notEqual">
      <formula>0</formula>
    </cfRule>
  </conditionalFormatting>
  <conditionalFormatting sqref="J4161">
    <cfRule type="cellIs" dxfId="72" priority="101" operator="notEqual">
      <formula>0</formula>
    </cfRule>
  </conditionalFormatting>
  <conditionalFormatting sqref="J4162">
    <cfRule type="cellIs" dxfId="71" priority="100" operator="notEqual">
      <formula>0</formula>
    </cfRule>
  </conditionalFormatting>
  <conditionalFormatting sqref="J4163">
    <cfRule type="cellIs" dxfId="70" priority="99" operator="notEqual">
      <formula>0</formula>
    </cfRule>
  </conditionalFormatting>
  <conditionalFormatting sqref="J4164">
    <cfRule type="cellIs" dxfId="69" priority="98" operator="notEqual">
      <formula>0</formula>
    </cfRule>
  </conditionalFormatting>
  <conditionalFormatting sqref="J4165">
    <cfRule type="cellIs" dxfId="68" priority="97" operator="notEqual">
      <formula>0</formula>
    </cfRule>
  </conditionalFormatting>
  <conditionalFormatting sqref="J4169">
    <cfRule type="cellIs" dxfId="67" priority="85" operator="notEqual">
      <formula>0</formula>
    </cfRule>
  </conditionalFormatting>
  <conditionalFormatting sqref="J4170">
    <cfRule type="cellIs" dxfId="66" priority="84" operator="notEqual">
      <formula>0</formula>
    </cfRule>
  </conditionalFormatting>
  <conditionalFormatting sqref="J4168">
    <cfRule type="cellIs" dxfId="65" priority="93" operator="notEqual">
      <formula>0</formula>
    </cfRule>
  </conditionalFormatting>
  <conditionalFormatting sqref="J4175">
    <cfRule type="cellIs" dxfId="64" priority="91" operator="notEqual">
      <formula>0</formula>
    </cfRule>
  </conditionalFormatting>
  <conditionalFormatting sqref="J4174">
    <cfRule type="cellIs" dxfId="63" priority="90" operator="notEqual">
      <formula>0</formula>
    </cfRule>
  </conditionalFormatting>
  <conditionalFormatting sqref="J4173">
    <cfRule type="cellIs" dxfId="62" priority="89" operator="notEqual">
      <formula>0</formula>
    </cfRule>
  </conditionalFormatting>
  <conditionalFormatting sqref="J4172">
    <cfRule type="cellIs" dxfId="61" priority="88" operator="notEqual">
      <formula>0</formula>
    </cfRule>
  </conditionalFormatting>
  <conditionalFormatting sqref="J4171">
    <cfRule type="cellIs" dxfId="60" priority="87" operator="notEqual">
      <formula>0</formula>
    </cfRule>
  </conditionalFormatting>
  <conditionalFormatting sqref="J4178:J4183">
    <cfRule type="cellIs" dxfId="59" priority="83" operator="notEqual">
      <formula>0</formula>
    </cfRule>
  </conditionalFormatting>
  <conditionalFormatting sqref="J4280:J4314">
    <cfRule type="cellIs" dxfId="58" priority="82" operator="notEqual">
      <formula>0</formula>
    </cfRule>
  </conditionalFormatting>
  <conditionalFormatting sqref="J4363">
    <cfRule type="cellIs" dxfId="57" priority="80" operator="notEqual">
      <formula>0</formula>
    </cfRule>
  </conditionalFormatting>
  <conditionalFormatting sqref="J4728">
    <cfRule type="cellIs" dxfId="56" priority="79" operator="notEqual">
      <formula>0</formula>
    </cfRule>
  </conditionalFormatting>
  <conditionalFormatting sqref="J4729">
    <cfRule type="cellIs" dxfId="55" priority="78" operator="notEqual">
      <formula>0</formula>
    </cfRule>
  </conditionalFormatting>
  <conditionalFormatting sqref="J4730">
    <cfRule type="cellIs" dxfId="54" priority="77" operator="notEqual">
      <formula>0</formula>
    </cfRule>
  </conditionalFormatting>
  <conditionalFormatting sqref="J4731">
    <cfRule type="cellIs" dxfId="53" priority="76" operator="notEqual">
      <formula>0</formula>
    </cfRule>
  </conditionalFormatting>
  <conditionalFormatting sqref="J4732">
    <cfRule type="cellIs" dxfId="52" priority="75" operator="notEqual">
      <formula>0</formula>
    </cfRule>
  </conditionalFormatting>
  <conditionalFormatting sqref="J4734">
    <cfRule type="cellIs" dxfId="51" priority="74" operator="notEqual">
      <formula>0</formula>
    </cfRule>
  </conditionalFormatting>
  <conditionalFormatting sqref="J4735">
    <cfRule type="cellIs" dxfId="50" priority="73" operator="notEqual">
      <formula>0</formula>
    </cfRule>
  </conditionalFormatting>
  <conditionalFormatting sqref="J4736">
    <cfRule type="cellIs" dxfId="49" priority="72" operator="notEqual">
      <formula>0</formula>
    </cfRule>
  </conditionalFormatting>
  <conditionalFormatting sqref="J4733">
    <cfRule type="cellIs" dxfId="48" priority="70" operator="notEqual">
      <formula>0</formula>
    </cfRule>
  </conditionalFormatting>
  <conditionalFormatting sqref="J4845:J4852">
    <cfRule type="cellIs" dxfId="47" priority="68" operator="notEqual">
      <formula>0</formula>
    </cfRule>
  </conditionalFormatting>
  <conditionalFormatting sqref="J4367">
    <cfRule type="cellIs" dxfId="46" priority="67" operator="notEqual">
      <formula>0</formula>
    </cfRule>
  </conditionalFormatting>
  <conditionalFormatting sqref="J5006">
    <cfRule type="cellIs" dxfId="45" priority="66" operator="notEqual">
      <formula>0</formula>
    </cfRule>
  </conditionalFormatting>
  <conditionalFormatting sqref="J5007">
    <cfRule type="cellIs" dxfId="44" priority="65" operator="notEqual">
      <formula>0</formula>
    </cfRule>
  </conditionalFormatting>
  <conditionalFormatting sqref="J5008">
    <cfRule type="cellIs" dxfId="43" priority="64" operator="notEqual">
      <formula>0</formula>
    </cfRule>
  </conditionalFormatting>
  <conditionalFormatting sqref="J5009">
    <cfRule type="cellIs" dxfId="42" priority="63" operator="notEqual">
      <formula>0</formula>
    </cfRule>
  </conditionalFormatting>
  <conditionalFormatting sqref="J5011">
    <cfRule type="cellIs" dxfId="41" priority="61" operator="notEqual">
      <formula>0</formula>
    </cfRule>
  </conditionalFormatting>
  <conditionalFormatting sqref="J5013">
    <cfRule type="cellIs" dxfId="40" priority="60" operator="notEqual">
      <formula>0</formula>
    </cfRule>
  </conditionalFormatting>
  <conditionalFormatting sqref="J5010">
    <cfRule type="cellIs" dxfId="39" priority="57" operator="notEqual">
      <formula>0</formula>
    </cfRule>
  </conditionalFormatting>
  <conditionalFormatting sqref="J5012">
    <cfRule type="cellIs" dxfId="38" priority="56" operator="notEqual">
      <formula>0</formula>
    </cfRule>
  </conditionalFormatting>
  <conditionalFormatting sqref="J5014">
    <cfRule type="cellIs" dxfId="37" priority="55" operator="notEqual">
      <formula>0</formula>
    </cfRule>
  </conditionalFormatting>
  <conditionalFormatting sqref="J5015">
    <cfRule type="cellIs" dxfId="36" priority="54" operator="notEqual">
      <formula>0</formula>
    </cfRule>
  </conditionalFormatting>
  <conditionalFormatting sqref="J5016">
    <cfRule type="cellIs" dxfId="35" priority="53" operator="notEqual">
      <formula>0</formula>
    </cfRule>
  </conditionalFormatting>
  <conditionalFormatting sqref="J5017">
    <cfRule type="cellIs" dxfId="34" priority="52" operator="notEqual">
      <formula>0</formula>
    </cfRule>
  </conditionalFormatting>
  <conditionalFormatting sqref="J5018">
    <cfRule type="cellIs" dxfId="33" priority="51" operator="notEqual">
      <formula>0</formula>
    </cfRule>
  </conditionalFormatting>
  <conditionalFormatting sqref="J5019">
    <cfRule type="cellIs" dxfId="32" priority="50" operator="notEqual">
      <formula>0</formula>
    </cfRule>
  </conditionalFormatting>
  <conditionalFormatting sqref="J5020">
    <cfRule type="cellIs" dxfId="31" priority="49" operator="notEqual">
      <formula>0</formula>
    </cfRule>
  </conditionalFormatting>
  <conditionalFormatting sqref="J5021">
    <cfRule type="cellIs" dxfId="30" priority="48" operator="notEqual">
      <formula>0</formula>
    </cfRule>
  </conditionalFormatting>
  <conditionalFormatting sqref="J5022">
    <cfRule type="cellIs" dxfId="29" priority="47" operator="notEqual">
      <formula>0</formula>
    </cfRule>
  </conditionalFormatting>
  <conditionalFormatting sqref="J5023">
    <cfRule type="cellIs" dxfId="28" priority="46" operator="notEqual">
      <formula>0</formula>
    </cfRule>
  </conditionalFormatting>
  <conditionalFormatting sqref="J5024">
    <cfRule type="cellIs" dxfId="27" priority="45" operator="notEqual">
      <formula>0</formula>
    </cfRule>
  </conditionalFormatting>
  <conditionalFormatting sqref="J5025">
    <cfRule type="cellIs" dxfId="26" priority="38" operator="notEqual">
      <formula>0</formula>
    </cfRule>
  </conditionalFormatting>
  <conditionalFormatting sqref="J5026">
    <cfRule type="cellIs" dxfId="25" priority="36" operator="notEqual">
      <formula>0</formula>
    </cfRule>
  </conditionalFormatting>
  <conditionalFormatting sqref="J5027">
    <cfRule type="cellIs" dxfId="24" priority="35" operator="notEqual">
      <formula>0</formula>
    </cfRule>
  </conditionalFormatting>
  <conditionalFormatting sqref="J5028">
    <cfRule type="cellIs" dxfId="23" priority="34" operator="notEqual">
      <formula>0</formula>
    </cfRule>
  </conditionalFormatting>
  <conditionalFormatting sqref="J5029">
    <cfRule type="cellIs" dxfId="22" priority="33" operator="notEqual">
      <formula>0</formula>
    </cfRule>
  </conditionalFormatting>
  <conditionalFormatting sqref="J5030">
    <cfRule type="cellIs" dxfId="21" priority="32" operator="notEqual">
      <formula>0</formula>
    </cfRule>
  </conditionalFormatting>
  <conditionalFormatting sqref="J5031">
    <cfRule type="cellIs" dxfId="20" priority="31" operator="notEqual">
      <formula>0</formula>
    </cfRule>
  </conditionalFormatting>
  <conditionalFormatting sqref="J5032">
    <cfRule type="cellIs" dxfId="19" priority="30" operator="notEqual">
      <formula>0</formula>
    </cfRule>
  </conditionalFormatting>
  <conditionalFormatting sqref="J5033">
    <cfRule type="cellIs" dxfId="18" priority="29" operator="notEqual">
      <formula>0</formula>
    </cfRule>
  </conditionalFormatting>
  <conditionalFormatting sqref="J5034">
    <cfRule type="cellIs" dxfId="17" priority="28" operator="notEqual">
      <formula>0</formula>
    </cfRule>
  </conditionalFormatting>
  <conditionalFormatting sqref="J5035">
    <cfRule type="cellIs" dxfId="16" priority="27" operator="notEqual">
      <formula>0</formula>
    </cfRule>
  </conditionalFormatting>
  <conditionalFormatting sqref="J5036">
    <cfRule type="cellIs" dxfId="15" priority="26" operator="notEqual">
      <formula>0</formula>
    </cfRule>
  </conditionalFormatting>
  <conditionalFormatting sqref="J5037">
    <cfRule type="cellIs" dxfId="14" priority="25" operator="notEqual">
      <formula>0</formula>
    </cfRule>
  </conditionalFormatting>
  <conditionalFormatting sqref="J5038">
    <cfRule type="cellIs" dxfId="13" priority="23" operator="notEqual">
      <formula>0</formula>
    </cfRule>
  </conditionalFormatting>
  <conditionalFormatting sqref="J5222:J5268 J5272 J5274:J5277">
    <cfRule type="cellIs" dxfId="12" priority="22" operator="notEqual">
      <formula>0</formula>
    </cfRule>
  </conditionalFormatting>
  <conditionalFormatting sqref="J5221">
    <cfRule type="cellIs" dxfId="11" priority="21" operator="notEqual">
      <formula>0</formula>
    </cfRule>
  </conditionalFormatting>
  <conditionalFormatting sqref="J5269:J5271">
    <cfRule type="cellIs" dxfId="10" priority="19" operator="notEqual">
      <formula>0</formula>
    </cfRule>
  </conditionalFormatting>
  <conditionalFormatting sqref="J5273">
    <cfRule type="cellIs" dxfId="9" priority="17" operator="notEqual">
      <formula>0</formula>
    </cfRule>
  </conditionalFormatting>
  <conditionalFormatting sqref="J5474">
    <cfRule type="cellIs" dxfId="8" priority="16" operator="notEqual">
      <formula>0</formula>
    </cfRule>
  </conditionalFormatting>
  <conditionalFormatting sqref="J5475">
    <cfRule type="cellIs" dxfId="7" priority="15" operator="notEqual">
      <formula>0</formula>
    </cfRule>
  </conditionalFormatting>
  <conditionalFormatting sqref="J5480">
    <cfRule type="cellIs" dxfId="6" priority="11" operator="notEqual">
      <formula>0</formula>
    </cfRule>
  </conditionalFormatting>
  <conditionalFormatting sqref="J5481">
    <cfRule type="cellIs" dxfId="5" priority="10" operator="notEqual">
      <formula>0</formula>
    </cfRule>
  </conditionalFormatting>
  <conditionalFormatting sqref="J5482">
    <cfRule type="cellIs" dxfId="4" priority="9" operator="notEqual">
      <formula>0</formula>
    </cfRule>
  </conditionalFormatting>
  <conditionalFormatting sqref="J5896">
    <cfRule type="cellIs" dxfId="3" priority="4" operator="notEqual">
      <formula>0</formula>
    </cfRule>
  </conditionalFormatting>
  <conditionalFormatting sqref="J6107">
    <cfRule type="cellIs" dxfId="2" priority="3" operator="notEqual">
      <formula>0</formula>
    </cfRule>
  </conditionalFormatting>
  <conditionalFormatting sqref="J6827">
    <cfRule type="cellIs" dxfId="1" priority="2" operator="notEqual">
      <formula>0</formula>
    </cfRule>
  </conditionalFormatting>
  <conditionalFormatting sqref="J7061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4136"/>
  <sheetViews>
    <sheetView showGridLines="0" zoomScaleNormal="100" workbookViewId="0">
      <pane ySplit="3" topLeftCell="A3971" activePane="bottomLeft" state="frozen"/>
      <selection pane="bottomLeft" activeCell="C3989" sqref="C3989"/>
    </sheetView>
  </sheetViews>
  <sheetFormatPr baseColWidth="10" defaultRowHeight="12.75" x14ac:dyDescent="0.2"/>
  <cols>
    <col min="2" max="2" width="8.85546875" customWidth="1"/>
    <col min="4" max="4" width="49.42578125" customWidth="1"/>
    <col min="5" max="5" width="70.5703125" customWidth="1"/>
    <col min="6" max="8" width="10.7109375" customWidth="1"/>
  </cols>
  <sheetData>
    <row r="3" spans="2:8" ht="18" customHeight="1" x14ac:dyDescent="0.2">
      <c r="B3" s="255" t="s">
        <v>1850</v>
      </c>
      <c r="C3" s="255" t="s">
        <v>1851</v>
      </c>
      <c r="D3" s="256" t="s">
        <v>1852</v>
      </c>
      <c r="E3" s="256" t="s">
        <v>1853</v>
      </c>
      <c r="F3" s="257" t="s">
        <v>1854</v>
      </c>
      <c r="G3" s="257" t="s">
        <v>1855</v>
      </c>
      <c r="H3" s="257" t="s">
        <v>1856</v>
      </c>
    </row>
    <row r="4" spans="2:8" x14ac:dyDescent="0.2">
      <c r="B4" s="258" t="s">
        <v>1859</v>
      </c>
      <c r="C4" s="259">
        <v>42370</v>
      </c>
      <c r="D4" s="260" t="s">
        <v>1910</v>
      </c>
      <c r="E4" s="260" t="s">
        <v>1945</v>
      </c>
      <c r="F4" s="261">
        <v>1000</v>
      </c>
      <c r="G4" s="261"/>
      <c r="H4" s="261">
        <f>SUM(F4:G4)</f>
        <v>1000</v>
      </c>
    </row>
    <row r="5" spans="2:8" x14ac:dyDescent="0.2">
      <c r="B5" s="262" t="s">
        <v>1862</v>
      </c>
      <c r="C5" s="263">
        <v>42371</v>
      </c>
      <c r="D5" s="264" t="s">
        <v>1938</v>
      </c>
      <c r="E5" s="264" t="s">
        <v>1946</v>
      </c>
      <c r="F5" s="265">
        <v>750</v>
      </c>
      <c r="G5" s="265"/>
      <c r="H5" s="265">
        <f t="shared" ref="H5:H68" si="0">SUM(F5:G5)</f>
        <v>750</v>
      </c>
    </row>
    <row r="6" spans="2:8" x14ac:dyDescent="0.2">
      <c r="B6" s="262" t="s">
        <v>1870</v>
      </c>
      <c r="C6" s="263">
        <v>42371</v>
      </c>
      <c r="D6" s="264" t="s">
        <v>1938</v>
      </c>
      <c r="E6" s="264" t="s">
        <v>1947</v>
      </c>
      <c r="F6" s="265">
        <v>400</v>
      </c>
      <c r="G6" s="265"/>
      <c r="H6" s="265">
        <f t="shared" si="0"/>
        <v>400</v>
      </c>
    </row>
    <row r="7" spans="2:8" x14ac:dyDescent="0.2">
      <c r="B7" s="262" t="s">
        <v>1866</v>
      </c>
      <c r="C7" s="263">
        <v>42372</v>
      </c>
      <c r="D7" s="264" t="s">
        <v>1903</v>
      </c>
      <c r="E7" s="264" t="s">
        <v>1934</v>
      </c>
      <c r="F7" s="265">
        <v>65</v>
      </c>
      <c r="G7" s="265"/>
      <c r="H7" s="265">
        <f t="shared" si="0"/>
        <v>65</v>
      </c>
    </row>
    <row r="8" spans="2:8" x14ac:dyDescent="0.2">
      <c r="B8" s="262" t="s">
        <v>1866</v>
      </c>
      <c r="C8" s="263">
        <v>42373</v>
      </c>
      <c r="D8" s="264" t="s">
        <v>1890</v>
      </c>
      <c r="E8" s="264" t="s">
        <v>1900</v>
      </c>
      <c r="F8" s="265">
        <v>110</v>
      </c>
      <c r="G8" s="265"/>
      <c r="H8" s="265">
        <f t="shared" si="0"/>
        <v>110</v>
      </c>
    </row>
    <row r="9" spans="2:8" x14ac:dyDescent="0.2">
      <c r="B9" s="262" t="s">
        <v>1879</v>
      </c>
      <c r="C9" s="263">
        <v>42373</v>
      </c>
      <c r="D9" s="264" t="s">
        <v>1938</v>
      </c>
      <c r="E9" s="264" t="s">
        <v>1948</v>
      </c>
      <c r="F9" s="265">
        <v>450</v>
      </c>
      <c r="G9" s="265"/>
      <c r="H9" s="265">
        <f t="shared" si="0"/>
        <v>450</v>
      </c>
    </row>
    <row r="10" spans="2:8" x14ac:dyDescent="0.2">
      <c r="B10" s="262" t="s">
        <v>1870</v>
      </c>
      <c r="C10" s="263">
        <v>42373</v>
      </c>
      <c r="D10" s="264" t="s">
        <v>1892</v>
      </c>
      <c r="E10" s="264" t="s">
        <v>1949</v>
      </c>
      <c r="F10" s="265">
        <v>1200</v>
      </c>
      <c r="G10" s="265"/>
      <c r="H10" s="265">
        <f t="shared" si="0"/>
        <v>1200</v>
      </c>
    </row>
    <row r="11" spans="2:8" x14ac:dyDescent="0.2">
      <c r="B11" s="262" t="s">
        <v>1861</v>
      </c>
      <c r="C11" s="263">
        <v>42374</v>
      </c>
      <c r="D11" s="264" t="s">
        <v>1893</v>
      </c>
      <c r="E11" s="264" t="s">
        <v>1950</v>
      </c>
      <c r="F11" s="265">
        <v>376.5</v>
      </c>
      <c r="G11" s="265"/>
      <c r="H11" s="265">
        <f t="shared" si="0"/>
        <v>376.5</v>
      </c>
    </row>
    <row r="12" spans="2:8" x14ac:dyDescent="0.2">
      <c r="B12" s="262" t="s">
        <v>1861</v>
      </c>
      <c r="C12" s="263">
        <v>42374</v>
      </c>
      <c r="D12" s="264" t="s">
        <v>1925</v>
      </c>
      <c r="E12" s="264" t="s">
        <v>1950</v>
      </c>
      <c r="F12" s="265">
        <v>2.59</v>
      </c>
      <c r="G12" s="265">
        <v>0.41</v>
      </c>
      <c r="H12" s="265">
        <f t="shared" si="0"/>
        <v>3</v>
      </c>
    </row>
    <row r="13" spans="2:8" x14ac:dyDescent="0.2">
      <c r="B13" s="262" t="s">
        <v>1870</v>
      </c>
      <c r="C13" s="263">
        <v>42374</v>
      </c>
      <c r="D13" s="264" t="s">
        <v>1892</v>
      </c>
      <c r="E13" s="264" t="s">
        <v>1951</v>
      </c>
      <c r="F13" s="265">
        <v>350</v>
      </c>
      <c r="G13" s="265"/>
      <c r="H13" s="265">
        <f t="shared" si="0"/>
        <v>350</v>
      </c>
    </row>
    <row r="14" spans="2:8" x14ac:dyDescent="0.2">
      <c r="B14" s="262" t="s">
        <v>1862</v>
      </c>
      <c r="C14" s="263">
        <v>42374</v>
      </c>
      <c r="D14" s="264" t="s">
        <v>1892</v>
      </c>
      <c r="E14" s="264" t="s">
        <v>1952</v>
      </c>
      <c r="F14" s="265">
        <v>1500</v>
      </c>
      <c r="G14" s="265"/>
      <c r="H14" s="265">
        <f t="shared" si="0"/>
        <v>1500</v>
      </c>
    </row>
    <row r="15" spans="2:8" x14ac:dyDescent="0.2">
      <c r="B15" s="262" t="s">
        <v>1871</v>
      </c>
      <c r="C15" s="263">
        <v>42375</v>
      </c>
      <c r="D15" s="264" t="s">
        <v>2081</v>
      </c>
      <c r="E15" s="264" t="s">
        <v>1953</v>
      </c>
      <c r="F15" s="265">
        <v>1000</v>
      </c>
      <c r="G15" s="265"/>
      <c r="H15" s="265">
        <f t="shared" si="0"/>
        <v>1000</v>
      </c>
    </row>
    <row r="16" spans="2:8" x14ac:dyDescent="0.2">
      <c r="B16" s="262" t="s">
        <v>1821</v>
      </c>
      <c r="C16" s="263">
        <v>42376</v>
      </c>
      <c r="D16" s="264" t="s">
        <v>1892</v>
      </c>
      <c r="E16" s="264" t="s">
        <v>1954</v>
      </c>
      <c r="F16" s="265">
        <v>600</v>
      </c>
      <c r="G16" s="265"/>
      <c r="H16" s="265">
        <f t="shared" si="0"/>
        <v>600</v>
      </c>
    </row>
    <row r="17" spans="2:8" x14ac:dyDescent="0.2">
      <c r="B17" s="262" t="s">
        <v>1861</v>
      </c>
      <c r="C17" s="263">
        <v>42376</v>
      </c>
      <c r="D17" s="264" t="s">
        <v>1919</v>
      </c>
      <c r="E17" s="264" t="s">
        <v>1955</v>
      </c>
      <c r="F17" s="265">
        <v>245</v>
      </c>
      <c r="G17" s="265"/>
      <c r="H17" s="265">
        <f t="shared" si="0"/>
        <v>245</v>
      </c>
    </row>
    <row r="18" spans="2:8" x14ac:dyDescent="0.2">
      <c r="B18" s="262" t="s">
        <v>1859</v>
      </c>
      <c r="C18" s="263">
        <v>42377</v>
      </c>
      <c r="D18" s="264" t="s">
        <v>1910</v>
      </c>
      <c r="E18" s="264" t="s">
        <v>1956</v>
      </c>
      <c r="F18" s="265">
        <v>1000</v>
      </c>
      <c r="G18" s="265"/>
      <c r="H18" s="265">
        <f t="shared" si="0"/>
        <v>1000</v>
      </c>
    </row>
    <row r="19" spans="2:8" x14ac:dyDescent="0.2">
      <c r="B19" s="262" t="s">
        <v>1821</v>
      </c>
      <c r="C19" s="263">
        <v>42377</v>
      </c>
      <c r="D19" s="264" t="s">
        <v>1938</v>
      </c>
      <c r="E19" s="264" t="s">
        <v>1957</v>
      </c>
      <c r="F19" s="265">
        <v>25</v>
      </c>
      <c r="G19" s="265"/>
      <c r="H19" s="265">
        <f t="shared" si="0"/>
        <v>25</v>
      </c>
    </row>
    <row r="20" spans="2:8" x14ac:dyDescent="0.2">
      <c r="B20" s="262" t="s">
        <v>1865</v>
      </c>
      <c r="C20" s="263">
        <v>42377</v>
      </c>
      <c r="D20" s="264" t="s">
        <v>1937</v>
      </c>
      <c r="E20" s="264" t="s">
        <v>1958</v>
      </c>
      <c r="F20" s="265">
        <v>1200</v>
      </c>
      <c r="G20" s="265"/>
      <c r="H20" s="265">
        <f t="shared" si="0"/>
        <v>1200</v>
      </c>
    </row>
    <row r="21" spans="2:8" x14ac:dyDescent="0.2">
      <c r="B21" s="262" t="s">
        <v>1865</v>
      </c>
      <c r="C21" s="263">
        <v>42377</v>
      </c>
      <c r="D21" s="264" t="s">
        <v>1937</v>
      </c>
      <c r="E21" s="264" t="s">
        <v>1959</v>
      </c>
      <c r="F21" s="265">
        <v>500</v>
      </c>
      <c r="G21" s="265"/>
      <c r="H21" s="265">
        <f t="shared" si="0"/>
        <v>500</v>
      </c>
    </row>
    <row r="22" spans="2:8" x14ac:dyDescent="0.2">
      <c r="B22" s="262" t="s">
        <v>1865</v>
      </c>
      <c r="C22" s="263">
        <v>42380</v>
      </c>
      <c r="D22" s="264" t="s">
        <v>1937</v>
      </c>
      <c r="E22" s="264" t="s">
        <v>1960</v>
      </c>
      <c r="F22" s="265">
        <v>300</v>
      </c>
      <c r="G22" s="265"/>
      <c r="H22" s="265">
        <f t="shared" si="0"/>
        <v>300</v>
      </c>
    </row>
    <row r="23" spans="2:8" x14ac:dyDescent="0.2">
      <c r="B23" s="262" t="s">
        <v>1884</v>
      </c>
      <c r="C23" s="263">
        <v>42380</v>
      </c>
      <c r="D23" s="264" t="s">
        <v>1961</v>
      </c>
      <c r="E23" s="264" t="s">
        <v>1962</v>
      </c>
      <c r="F23" s="265">
        <v>500</v>
      </c>
      <c r="G23" s="265"/>
      <c r="H23" s="265">
        <f t="shared" si="0"/>
        <v>500</v>
      </c>
    </row>
    <row r="24" spans="2:8" x14ac:dyDescent="0.2">
      <c r="B24" s="262" t="s">
        <v>1857</v>
      </c>
      <c r="C24" s="263">
        <v>42380</v>
      </c>
      <c r="D24" s="264" t="s">
        <v>1872</v>
      </c>
      <c r="E24" s="264" t="s">
        <v>1963</v>
      </c>
      <c r="F24" s="265">
        <v>450</v>
      </c>
      <c r="G24" s="265"/>
      <c r="H24" s="265">
        <f t="shared" si="0"/>
        <v>450</v>
      </c>
    </row>
    <row r="25" spans="2:8" x14ac:dyDescent="0.2">
      <c r="B25" s="262" t="s">
        <v>1866</v>
      </c>
      <c r="C25" s="263">
        <v>42380</v>
      </c>
      <c r="D25" s="264" t="s">
        <v>1890</v>
      </c>
      <c r="E25" s="264" t="s">
        <v>1904</v>
      </c>
      <c r="F25" s="265">
        <v>142</v>
      </c>
      <c r="G25" s="265"/>
      <c r="H25" s="265">
        <f t="shared" si="0"/>
        <v>142</v>
      </c>
    </row>
    <row r="26" spans="2:8" x14ac:dyDescent="0.2">
      <c r="B26" s="262" t="s">
        <v>1867</v>
      </c>
      <c r="C26" s="263">
        <v>42381</v>
      </c>
      <c r="D26" s="264" t="s">
        <v>1894</v>
      </c>
      <c r="E26" s="264" t="s">
        <v>1964</v>
      </c>
      <c r="F26" s="265">
        <v>1073</v>
      </c>
      <c r="G26" s="265"/>
      <c r="H26" s="265">
        <f t="shared" si="0"/>
        <v>1073</v>
      </c>
    </row>
    <row r="27" spans="2:8" x14ac:dyDescent="0.2">
      <c r="B27" s="262" t="s">
        <v>1790</v>
      </c>
      <c r="C27" s="263">
        <v>42381</v>
      </c>
      <c r="D27" s="264" t="s">
        <v>1909</v>
      </c>
      <c r="E27" s="264" t="s">
        <v>1965</v>
      </c>
      <c r="F27" s="265"/>
      <c r="G27" s="265">
        <v>1760</v>
      </c>
      <c r="H27" s="265">
        <f t="shared" si="0"/>
        <v>1760</v>
      </c>
    </row>
    <row r="28" spans="2:8" x14ac:dyDescent="0.2">
      <c r="B28" s="262" t="s">
        <v>1805</v>
      </c>
      <c r="C28" s="263">
        <v>42381</v>
      </c>
      <c r="D28" s="264" t="s">
        <v>1888</v>
      </c>
      <c r="E28" s="264" t="s">
        <v>1966</v>
      </c>
      <c r="F28" s="265">
        <v>1055.17</v>
      </c>
      <c r="G28" s="265">
        <v>168.83</v>
      </c>
      <c r="H28" s="265">
        <f t="shared" si="0"/>
        <v>1224</v>
      </c>
    </row>
    <row r="29" spans="2:8" x14ac:dyDescent="0.2">
      <c r="B29" s="262" t="s">
        <v>1866</v>
      </c>
      <c r="C29" s="263">
        <v>42381</v>
      </c>
      <c r="D29" s="264" t="s">
        <v>1967</v>
      </c>
      <c r="E29" s="264" t="s">
        <v>1916</v>
      </c>
      <c r="F29" s="265">
        <v>40.5</v>
      </c>
      <c r="G29" s="265"/>
      <c r="H29" s="265">
        <f t="shared" si="0"/>
        <v>40.5</v>
      </c>
    </row>
    <row r="30" spans="2:8" x14ac:dyDescent="0.2">
      <c r="B30" s="262" t="s">
        <v>1859</v>
      </c>
      <c r="C30" s="263">
        <v>42383</v>
      </c>
      <c r="D30" s="264" t="s">
        <v>1910</v>
      </c>
      <c r="E30" s="264" t="s">
        <v>1968</v>
      </c>
      <c r="F30" s="265">
        <v>1000</v>
      </c>
      <c r="G30" s="265"/>
      <c r="H30" s="265">
        <f t="shared" si="0"/>
        <v>1000</v>
      </c>
    </row>
    <row r="31" spans="2:8" x14ac:dyDescent="0.2">
      <c r="B31" s="262" t="s">
        <v>1805</v>
      </c>
      <c r="C31" s="263">
        <v>42384</v>
      </c>
      <c r="D31" s="264" t="s">
        <v>1918</v>
      </c>
      <c r="E31" s="264" t="s">
        <v>1929</v>
      </c>
      <c r="F31" s="265">
        <v>90</v>
      </c>
      <c r="G31" s="265"/>
      <c r="H31" s="265">
        <f t="shared" si="0"/>
        <v>90</v>
      </c>
    </row>
    <row r="32" spans="2:8" x14ac:dyDescent="0.2">
      <c r="B32" s="262" t="s">
        <v>1866</v>
      </c>
      <c r="C32" s="263">
        <v>42384</v>
      </c>
      <c r="D32" s="264" t="s">
        <v>1903</v>
      </c>
      <c r="E32" s="264" t="s">
        <v>1969</v>
      </c>
      <c r="F32" s="265">
        <v>66.709999999999994</v>
      </c>
      <c r="G32" s="265">
        <v>7.79</v>
      </c>
      <c r="H32" s="265">
        <f t="shared" si="0"/>
        <v>74.5</v>
      </c>
    </row>
    <row r="33" spans="2:8" x14ac:dyDescent="0.2">
      <c r="B33" s="262" t="s">
        <v>1859</v>
      </c>
      <c r="C33" s="263">
        <v>42384</v>
      </c>
      <c r="D33" s="264" t="s">
        <v>1912</v>
      </c>
      <c r="E33" s="264" t="s">
        <v>1970</v>
      </c>
      <c r="F33" s="265">
        <v>170.93</v>
      </c>
      <c r="G33" s="265">
        <v>26.47</v>
      </c>
      <c r="H33" s="265">
        <f t="shared" si="0"/>
        <v>197.4</v>
      </c>
    </row>
    <row r="34" spans="2:8" x14ac:dyDescent="0.2">
      <c r="B34" s="262" t="s">
        <v>1866</v>
      </c>
      <c r="C34" s="263">
        <v>42384</v>
      </c>
      <c r="D34" s="264" t="s">
        <v>1890</v>
      </c>
      <c r="E34" s="264" t="s">
        <v>1900</v>
      </c>
      <c r="F34" s="265">
        <v>110</v>
      </c>
      <c r="G34" s="265"/>
      <c r="H34" s="265">
        <f t="shared" si="0"/>
        <v>110</v>
      </c>
    </row>
    <row r="35" spans="2:8" x14ac:dyDescent="0.2">
      <c r="B35" s="262" t="s">
        <v>1884</v>
      </c>
      <c r="C35" s="263">
        <v>42384</v>
      </c>
      <c r="D35" s="264" t="s">
        <v>1873</v>
      </c>
      <c r="E35" s="264" t="s">
        <v>1971</v>
      </c>
      <c r="F35" s="265">
        <v>450</v>
      </c>
      <c r="G35" s="265"/>
      <c r="H35" s="265">
        <f t="shared" si="0"/>
        <v>450</v>
      </c>
    </row>
    <row r="36" spans="2:8" x14ac:dyDescent="0.2">
      <c r="B36" s="262" t="s">
        <v>1577</v>
      </c>
      <c r="C36" s="263">
        <v>42384</v>
      </c>
      <c r="D36" s="264" t="s">
        <v>1886</v>
      </c>
      <c r="E36" s="264" t="s">
        <v>1972</v>
      </c>
      <c r="F36" s="265">
        <v>3200</v>
      </c>
      <c r="G36" s="265"/>
      <c r="H36" s="265">
        <f t="shared" si="0"/>
        <v>3200</v>
      </c>
    </row>
    <row r="37" spans="2:8" x14ac:dyDescent="0.2">
      <c r="B37" s="262" t="s">
        <v>1577</v>
      </c>
      <c r="C37" s="263">
        <v>42384</v>
      </c>
      <c r="D37" s="264" t="s">
        <v>1899</v>
      </c>
      <c r="E37" s="264" t="s">
        <v>1973</v>
      </c>
      <c r="F37" s="265">
        <v>29000</v>
      </c>
      <c r="G37" s="265"/>
      <c r="H37" s="265">
        <f t="shared" si="0"/>
        <v>29000</v>
      </c>
    </row>
    <row r="38" spans="2:8" x14ac:dyDescent="0.2">
      <c r="B38" s="262" t="s">
        <v>1859</v>
      </c>
      <c r="C38" s="263">
        <v>42384</v>
      </c>
      <c r="D38" s="264" t="s">
        <v>1911</v>
      </c>
      <c r="E38" s="264" t="s">
        <v>1935</v>
      </c>
      <c r="F38" s="265">
        <v>4000</v>
      </c>
      <c r="G38" s="265"/>
      <c r="H38" s="265">
        <f t="shared" si="0"/>
        <v>4000</v>
      </c>
    </row>
    <row r="39" spans="2:8" x14ac:dyDescent="0.2">
      <c r="B39" s="262" t="s">
        <v>1865</v>
      </c>
      <c r="C39" s="263">
        <v>42386</v>
      </c>
      <c r="D39" s="264" t="s">
        <v>1974</v>
      </c>
      <c r="E39" s="264" t="s">
        <v>1975</v>
      </c>
      <c r="F39" s="265">
        <v>350</v>
      </c>
      <c r="G39" s="265"/>
      <c r="H39" s="265">
        <f t="shared" si="0"/>
        <v>350</v>
      </c>
    </row>
    <row r="40" spans="2:8" x14ac:dyDescent="0.2">
      <c r="B40" s="262" t="s">
        <v>1875</v>
      </c>
      <c r="C40" s="263">
        <v>42386</v>
      </c>
      <c r="D40" s="264" t="s">
        <v>1893</v>
      </c>
      <c r="E40" s="264" t="s">
        <v>1895</v>
      </c>
      <c r="F40" s="265">
        <v>248.43</v>
      </c>
      <c r="G40" s="265">
        <v>39.770000000000003</v>
      </c>
      <c r="H40" s="265">
        <f t="shared" si="0"/>
        <v>288.2</v>
      </c>
    </row>
    <row r="41" spans="2:8" x14ac:dyDescent="0.2">
      <c r="B41" s="262" t="s">
        <v>1866</v>
      </c>
      <c r="C41" s="263">
        <v>42387</v>
      </c>
      <c r="D41" s="264" t="s">
        <v>1890</v>
      </c>
      <c r="E41" s="264" t="s">
        <v>1913</v>
      </c>
      <c r="F41" s="265">
        <v>180</v>
      </c>
      <c r="G41" s="265"/>
      <c r="H41" s="265">
        <f t="shared" si="0"/>
        <v>180</v>
      </c>
    </row>
    <row r="42" spans="2:8" x14ac:dyDescent="0.2">
      <c r="B42" s="262" t="s">
        <v>1866</v>
      </c>
      <c r="C42" s="263">
        <v>42387</v>
      </c>
      <c r="D42" s="264" t="s">
        <v>1903</v>
      </c>
      <c r="E42" s="264" t="s">
        <v>1976</v>
      </c>
      <c r="F42" s="265">
        <v>22.41</v>
      </c>
      <c r="G42" s="265">
        <v>3.59</v>
      </c>
      <c r="H42" s="265">
        <f t="shared" si="0"/>
        <v>26</v>
      </c>
    </row>
    <row r="43" spans="2:8" x14ac:dyDescent="0.2">
      <c r="B43" s="262" t="s">
        <v>1866</v>
      </c>
      <c r="C43" s="263">
        <v>42387</v>
      </c>
      <c r="D43" s="264" t="s">
        <v>1903</v>
      </c>
      <c r="E43" s="264" t="s">
        <v>1976</v>
      </c>
      <c r="F43" s="265">
        <v>39.22</v>
      </c>
      <c r="G43" s="265">
        <v>6.28</v>
      </c>
      <c r="H43" s="265">
        <f t="shared" si="0"/>
        <v>45.5</v>
      </c>
    </row>
    <row r="44" spans="2:8" x14ac:dyDescent="0.2">
      <c r="B44" s="262" t="s">
        <v>1859</v>
      </c>
      <c r="C44" s="263">
        <v>42388</v>
      </c>
      <c r="D44" s="264" t="s">
        <v>1977</v>
      </c>
      <c r="E44" s="264" t="s">
        <v>1978</v>
      </c>
      <c r="F44" s="265">
        <v>263.2</v>
      </c>
      <c r="G44" s="265"/>
      <c r="H44" s="265">
        <f t="shared" si="0"/>
        <v>263.2</v>
      </c>
    </row>
    <row r="45" spans="2:8" x14ac:dyDescent="0.2">
      <c r="B45" s="262" t="s">
        <v>1859</v>
      </c>
      <c r="C45" s="263">
        <v>42388</v>
      </c>
      <c r="D45" s="264" t="s">
        <v>1979</v>
      </c>
      <c r="E45" s="264" t="s">
        <v>1980</v>
      </c>
      <c r="F45" s="265">
        <v>41.5</v>
      </c>
      <c r="G45" s="265"/>
      <c r="H45" s="265">
        <f t="shared" si="0"/>
        <v>41.5</v>
      </c>
    </row>
    <row r="46" spans="2:8" x14ac:dyDescent="0.2">
      <c r="B46" s="262" t="s">
        <v>1859</v>
      </c>
      <c r="C46" s="263">
        <v>42388</v>
      </c>
      <c r="D46" s="264" t="s">
        <v>1921</v>
      </c>
      <c r="E46" s="264" t="s">
        <v>1930</v>
      </c>
      <c r="F46" s="265">
        <v>20</v>
      </c>
      <c r="G46" s="265"/>
      <c r="H46" s="265">
        <f t="shared" si="0"/>
        <v>20</v>
      </c>
    </row>
    <row r="47" spans="2:8" x14ac:dyDescent="0.2">
      <c r="B47" s="262" t="s">
        <v>1861</v>
      </c>
      <c r="C47" s="263">
        <v>42389</v>
      </c>
      <c r="D47" s="264" t="s">
        <v>1981</v>
      </c>
      <c r="E47" s="264" t="s">
        <v>1982</v>
      </c>
      <c r="F47" s="265">
        <v>345</v>
      </c>
      <c r="G47" s="265"/>
      <c r="H47" s="265">
        <f t="shared" si="0"/>
        <v>345</v>
      </c>
    </row>
    <row r="48" spans="2:8" x14ac:dyDescent="0.2">
      <c r="B48" s="262" t="s">
        <v>1857</v>
      </c>
      <c r="C48" s="263">
        <v>42390</v>
      </c>
      <c r="D48" s="264" t="s">
        <v>1872</v>
      </c>
      <c r="E48" s="264" t="s">
        <v>1983</v>
      </c>
      <c r="F48" s="265">
        <v>700</v>
      </c>
      <c r="G48" s="265"/>
      <c r="H48" s="265">
        <f t="shared" si="0"/>
        <v>700</v>
      </c>
    </row>
    <row r="49" spans="2:8" x14ac:dyDescent="0.2">
      <c r="B49" s="262" t="s">
        <v>1859</v>
      </c>
      <c r="C49" s="263">
        <v>42390</v>
      </c>
      <c r="D49" s="264" t="s">
        <v>1912</v>
      </c>
      <c r="E49" s="264" t="s">
        <v>1984</v>
      </c>
      <c r="F49" s="265">
        <v>86.59</v>
      </c>
      <c r="G49" s="265">
        <v>13.41</v>
      </c>
      <c r="H49" s="265">
        <f t="shared" si="0"/>
        <v>100</v>
      </c>
    </row>
    <row r="50" spans="2:8" x14ac:dyDescent="0.2">
      <c r="B50" s="262" t="s">
        <v>1857</v>
      </c>
      <c r="C50" s="263">
        <v>42391</v>
      </c>
      <c r="D50" s="264" t="s">
        <v>1985</v>
      </c>
      <c r="E50" s="264" t="s">
        <v>1986</v>
      </c>
      <c r="F50" s="265">
        <v>110</v>
      </c>
      <c r="G50" s="265">
        <v>17.600000000000001</v>
      </c>
      <c r="H50" s="265">
        <f t="shared" si="0"/>
        <v>127.6</v>
      </c>
    </row>
    <row r="51" spans="2:8" x14ac:dyDescent="0.2">
      <c r="B51" s="262" t="s">
        <v>1857</v>
      </c>
      <c r="C51" s="263">
        <v>42391</v>
      </c>
      <c r="D51" s="264" t="s">
        <v>1907</v>
      </c>
      <c r="E51" s="264" t="s">
        <v>1987</v>
      </c>
      <c r="F51" s="265">
        <v>60</v>
      </c>
      <c r="G51" s="265"/>
      <c r="H51" s="265">
        <f t="shared" si="0"/>
        <v>60</v>
      </c>
    </row>
    <row r="52" spans="2:8" x14ac:dyDescent="0.2">
      <c r="B52" s="262" t="s">
        <v>1860</v>
      </c>
      <c r="C52" s="263">
        <v>42391</v>
      </c>
      <c r="D52" s="264" t="s">
        <v>1926</v>
      </c>
      <c r="E52" s="264" t="s">
        <v>1988</v>
      </c>
      <c r="F52" s="265">
        <v>1204</v>
      </c>
      <c r="G52" s="265"/>
      <c r="H52" s="265">
        <f t="shared" si="0"/>
        <v>1204</v>
      </c>
    </row>
    <row r="53" spans="2:8" x14ac:dyDescent="0.2">
      <c r="B53" s="262" t="s">
        <v>1857</v>
      </c>
      <c r="C53" s="263">
        <v>42391</v>
      </c>
      <c r="D53" s="264" t="s">
        <v>1989</v>
      </c>
      <c r="E53" s="264" t="s">
        <v>1990</v>
      </c>
      <c r="F53" s="265">
        <v>7</v>
      </c>
      <c r="G53" s="265"/>
      <c r="H53" s="265">
        <f t="shared" si="0"/>
        <v>7</v>
      </c>
    </row>
    <row r="54" spans="2:8" x14ac:dyDescent="0.2">
      <c r="B54" s="262" t="s">
        <v>1859</v>
      </c>
      <c r="C54" s="263">
        <v>42391</v>
      </c>
      <c r="D54" s="264" t="s">
        <v>1910</v>
      </c>
      <c r="E54" s="264" t="s">
        <v>1991</v>
      </c>
      <c r="F54" s="265">
        <v>1000</v>
      </c>
      <c r="G54" s="265"/>
      <c r="H54" s="265">
        <f t="shared" si="0"/>
        <v>1000</v>
      </c>
    </row>
    <row r="55" spans="2:8" x14ac:dyDescent="0.2">
      <c r="B55" s="262" t="s">
        <v>1861</v>
      </c>
      <c r="C55" s="263">
        <v>42391</v>
      </c>
      <c r="D55" s="264" t="s">
        <v>1992</v>
      </c>
      <c r="E55" s="264" t="s">
        <v>1993</v>
      </c>
      <c r="F55" s="265">
        <v>275.86</v>
      </c>
      <c r="G55" s="265">
        <v>44.14</v>
      </c>
      <c r="H55" s="265">
        <f t="shared" si="0"/>
        <v>320</v>
      </c>
    </row>
    <row r="56" spans="2:8" x14ac:dyDescent="0.2">
      <c r="B56" s="262" t="s">
        <v>1861</v>
      </c>
      <c r="C56" s="263">
        <v>42391</v>
      </c>
      <c r="D56" s="264" t="s">
        <v>1994</v>
      </c>
      <c r="E56" s="264" t="s">
        <v>1995</v>
      </c>
      <c r="F56" s="265">
        <v>40</v>
      </c>
      <c r="G56" s="265"/>
      <c r="H56" s="265">
        <f t="shared" si="0"/>
        <v>40</v>
      </c>
    </row>
    <row r="57" spans="2:8" x14ac:dyDescent="0.2">
      <c r="B57" s="262" t="s">
        <v>1866</v>
      </c>
      <c r="C57" s="263">
        <v>42391</v>
      </c>
      <c r="D57" s="264" t="s">
        <v>1890</v>
      </c>
      <c r="E57" s="264" t="s">
        <v>1913</v>
      </c>
      <c r="F57" s="265">
        <v>175</v>
      </c>
      <c r="G57" s="265"/>
      <c r="H57" s="265">
        <f t="shared" si="0"/>
        <v>175</v>
      </c>
    </row>
    <row r="58" spans="2:8" x14ac:dyDescent="0.2">
      <c r="B58" s="262" t="s">
        <v>1860</v>
      </c>
      <c r="C58" s="263">
        <v>42391</v>
      </c>
      <c r="D58" s="264" t="s">
        <v>1893</v>
      </c>
      <c r="E58" s="264" t="s">
        <v>1908</v>
      </c>
      <c r="F58" s="265">
        <v>371.86</v>
      </c>
      <c r="G58" s="265">
        <v>35.67</v>
      </c>
      <c r="H58" s="265">
        <f t="shared" si="0"/>
        <v>407.53000000000003</v>
      </c>
    </row>
    <row r="59" spans="2:8" x14ac:dyDescent="0.2">
      <c r="B59" s="262" t="s">
        <v>1860</v>
      </c>
      <c r="C59" s="263">
        <v>42391</v>
      </c>
      <c r="D59" s="264" t="s">
        <v>1918</v>
      </c>
      <c r="E59" s="264" t="s">
        <v>1996</v>
      </c>
      <c r="F59" s="265">
        <v>15</v>
      </c>
      <c r="G59" s="265"/>
      <c r="H59" s="265">
        <f t="shared" si="0"/>
        <v>15</v>
      </c>
    </row>
    <row r="60" spans="2:8" x14ac:dyDescent="0.2">
      <c r="B60" s="262" t="s">
        <v>1865</v>
      </c>
      <c r="C60" s="263">
        <v>42392</v>
      </c>
      <c r="D60" s="264" t="s">
        <v>1905</v>
      </c>
      <c r="E60" s="264" t="s">
        <v>1997</v>
      </c>
      <c r="F60" s="265">
        <v>230</v>
      </c>
      <c r="G60" s="265"/>
      <c r="H60" s="265">
        <f t="shared" si="0"/>
        <v>230</v>
      </c>
    </row>
    <row r="61" spans="2:8" x14ac:dyDescent="0.2">
      <c r="B61" s="262" t="s">
        <v>1871</v>
      </c>
      <c r="C61" s="263">
        <v>42392</v>
      </c>
      <c r="D61" s="264" t="s">
        <v>1889</v>
      </c>
      <c r="E61" s="264" t="s">
        <v>1998</v>
      </c>
      <c r="F61" s="265">
        <v>120</v>
      </c>
      <c r="G61" s="265"/>
      <c r="H61" s="265">
        <f t="shared" si="0"/>
        <v>120</v>
      </c>
    </row>
    <row r="62" spans="2:8" x14ac:dyDescent="0.2">
      <c r="B62" s="262" t="s">
        <v>1884</v>
      </c>
      <c r="C62" s="263">
        <v>42392</v>
      </c>
      <c r="D62" s="264" t="s">
        <v>1896</v>
      </c>
      <c r="E62" s="264" t="s">
        <v>1999</v>
      </c>
      <c r="F62" s="265">
        <v>100</v>
      </c>
      <c r="G62" s="265"/>
      <c r="H62" s="265">
        <f t="shared" si="0"/>
        <v>100</v>
      </c>
    </row>
    <row r="63" spans="2:8" x14ac:dyDescent="0.2">
      <c r="B63" s="262" t="s">
        <v>1865</v>
      </c>
      <c r="C63" s="263">
        <v>42392</v>
      </c>
      <c r="D63" s="264" t="s">
        <v>1872</v>
      </c>
      <c r="E63" s="264" t="s">
        <v>2000</v>
      </c>
      <c r="F63" s="265">
        <v>750</v>
      </c>
      <c r="G63" s="265"/>
      <c r="H63" s="265">
        <f t="shared" si="0"/>
        <v>750</v>
      </c>
    </row>
    <row r="64" spans="2:8" x14ac:dyDescent="0.2">
      <c r="B64" s="262" t="s">
        <v>1884</v>
      </c>
      <c r="C64" s="263">
        <v>42393</v>
      </c>
      <c r="D64" s="264" t="s">
        <v>1915</v>
      </c>
      <c r="E64" s="264" t="s">
        <v>2001</v>
      </c>
      <c r="F64" s="265">
        <v>500</v>
      </c>
      <c r="G64" s="265"/>
      <c r="H64" s="265">
        <f t="shared" si="0"/>
        <v>500</v>
      </c>
    </row>
    <row r="65" spans="2:8" x14ac:dyDescent="0.2">
      <c r="B65" s="262" t="s">
        <v>1860</v>
      </c>
      <c r="C65" s="263">
        <v>42394</v>
      </c>
      <c r="D65" s="264" t="s">
        <v>1891</v>
      </c>
      <c r="E65" s="264" t="s">
        <v>1944</v>
      </c>
      <c r="F65" s="265">
        <v>17.07</v>
      </c>
      <c r="G65" s="265">
        <v>2.73</v>
      </c>
      <c r="H65" s="265">
        <f t="shared" si="0"/>
        <v>19.8</v>
      </c>
    </row>
    <row r="66" spans="2:8" x14ac:dyDescent="0.2">
      <c r="B66" s="262" t="s">
        <v>1866</v>
      </c>
      <c r="C66" s="263">
        <v>42394</v>
      </c>
      <c r="D66" s="264" t="s">
        <v>1903</v>
      </c>
      <c r="E66" s="264" t="s">
        <v>2002</v>
      </c>
      <c r="F66" s="265">
        <v>62.07</v>
      </c>
      <c r="G66" s="265">
        <v>9.93</v>
      </c>
      <c r="H66" s="265">
        <f t="shared" si="0"/>
        <v>72</v>
      </c>
    </row>
    <row r="67" spans="2:8" x14ac:dyDescent="0.2">
      <c r="B67" s="262" t="s">
        <v>1866</v>
      </c>
      <c r="C67" s="263">
        <v>42394</v>
      </c>
      <c r="D67" s="264" t="s">
        <v>1890</v>
      </c>
      <c r="E67" s="264" t="s">
        <v>1900</v>
      </c>
      <c r="F67" s="265">
        <v>110</v>
      </c>
      <c r="G67" s="265"/>
      <c r="H67" s="265">
        <f t="shared" si="0"/>
        <v>110</v>
      </c>
    </row>
    <row r="68" spans="2:8" x14ac:dyDescent="0.2">
      <c r="B68" s="262" t="s">
        <v>1821</v>
      </c>
      <c r="C68" s="263">
        <v>42394</v>
      </c>
      <c r="D68" s="264" t="s">
        <v>1938</v>
      </c>
      <c r="E68" s="264" t="s">
        <v>2003</v>
      </c>
      <c r="F68" s="265">
        <v>2750</v>
      </c>
      <c r="G68" s="265"/>
      <c r="H68" s="265">
        <f t="shared" si="0"/>
        <v>2750</v>
      </c>
    </row>
    <row r="69" spans="2:8" x14ac:dyDescent="0.2">
      <c r="B69" s="262" t="s">
        <v>1870</v>
      </c>
      <c r="C69" s="263">
        <v>42394</v>
      </c>
      <c r="D69" s="264" t="s">
        <v>1938</v>
      </c>
      <c r="E69" s="264" t="s">
        <v>2004</v>
      </c>
      <c r="F69" s="265">
        <v>500</v>
      </c>
      <c r="G69" s="265"/>
      <c r="H69" s="265">
        <f t="shared" ref="H69:H132" si="1">SUM(F69:G69)</f>
        <v>500</v>
      </c>
    </row>
    <row r="70" spans="2:8" x14ac:dyDescent="0.2">
      <c r="B70" s="262" t="s">
        <v>1879</v>
      </c>
      <c r="C70" s="263">
        <v>42394</v>
      </c>
      <c r="D70" s="264" t="s">
        <v>1938</v>
      </c>
      <c r="E70" s="264" t="s">
        <v>1978</v>
      </c>
      <c r="F70" s="265">
        <v>550</v>
      </c>
      <c r="G70" s="265"/>
      <c r="H70" s="265">
        <f t="shared" si="1"/>
        <v>550</v>
      </c>
    </row>
    <row r="71" spans="2:8" x14ac:dyDescent="0.2">
      <c r="B71" s="262" t="s">
        <v>1860</v>
      </c>
      <c r="C71" s="263">
        <v>42396</v>
      </c>
      <c r="D71" s="264" t="s">
        <v>1891</v>
      </c>
      <c r="E71" s="264" t="s">
        <v>2005</v>
      </c>
      <c r="F71" s="265">
        <v>97.24</v>
      </c>
      <c r="G71" s="265">
        <v>15.56</v>
      </c>
      <c r="H71" s="265">
        <f t="shared" si="1"/>
        <v>112.8</v>
      </c>
    </row>
    <row r="72" spans="2:8" x14ac:dyDescent="0.2">
      <c r="B72" s="262" t="s">
        <v>1879</v>
      </c>
      <c r="C72" s="263">
        <v>42397</v>
      </c>
      <c r="D72" s="264" t="s">
        <v>1938</v>
      </c>
      <c r="E72" s="264" t="s">
        <v>2006</v>
      </c>
      <c r="F72" s="265">
        <v>700</v>
      </c>
      <c r="G72" s="265"/>
      <c r="H72" s="265">
        <f t="shared" si="1"/>
        <v>700</v>
      </c>
    </row>
    <row r="73" spans="2:8" x14ac:dyDescent="0.2">
      <c r="B73" s="262" t="s">
        <v>1862</v>
      </c>
      <c r="C73" s="263">
        <v>42397</v>
      </c>
      <c r="D73" s="264" t="s">
        <v>1938</v>
      </c>
      <c r="E73" s="264" t="s">
        <v>2007</v>
      </c>
      <c r="F73" s="265">
        <v>5970</v>
      </c>
      <c r="G73" s="265"/>
      <c r="H73" s="265">
        <f t="shared" si="1"/>
        <v>5970</v>
      </c>
    </row>
    <row r="74" spans="2:8" x14ac:dyDescent="0.2">
      <c r="B74" s="262" t="s">
        <v>1866</v>
      </c>
      <c r="C74" s="263">
        <v>42398</v>
      </c>
      <c r="D74" s="264" t="s">
        <v>1911</v>
      </c>
      <c r="E74" s="264" t="s">
        <v>2008</v>
      </c>
      <c r="F74" s="265">
        <v>41</v>
      </c>
      <c r="G74" s="265"/>
      <c r="H74" s="265">
        <f t="shared" si="1"/>
        <v>41</v>
      </c>
    </row>
    <row r="75" spans="2:8" x14ac:dyDescent="0.2">
      <c r="B75" s="262" t="s">
        <v>1863</v>
      </c>
      <c r="C75" s="263">
        <v>42398</v>
      </c>
      <c r="D75" s="264" t="s">
        <v>2009</v>
      </c>
      <c r="E75" s="264" t="s">
        <v>2010</v>
      </c>
      <c r="F75" s="265">
        <v>500</v>
      </c>
      <c r="G75" s="265"/>
      <c r="H75" s="265">
        <f t="shared" si="1"/>
        <v>500</v>
      </c>
    </row>
    <row r="76" spans="2:8" x14ac:dyDescent="0.2">
      <c r="B76" s="262" t="s">
        <v>1861</v>
      </c>
      <c r="C76" s="263">
        <v>42398</v>
      </c>
      <c r="D76" s="264" t="s">
        <v>2011</v>
      </c>
      <c r="E76" s="264" t="s">
        <v>2012</v>
      </c>
      <c r="F76" s="265">
        <v>5</v>
      </c>
      <c r="G76" s="265"/>
      <c r="H76" s="265">
        <f t="shared" si="1"/>
        <v>5</v>
      </c>
    </row>
    <row r="77" spans="2:8" x14ac:dyDescent="0.2">
      <c r="B77" s="262" t="s">
        <v>1861</v>
      </c>
      <c r="C77" s="263">
        <v>42398</v>
      </c>
      <c r="D77" s="264" t="s">
        <v>1893</v>
      </c>
      <c r="E77" s="264" t="s">
        <v>2013</v>
      </c>
      <c r="F77" s="265">
        <v>108.8</v>
      </c>
      <c r="G77" s="265"/>
      <c r="H77" s="265">
        <f t="shared" si="1"/>
        <v>108.8</v>
      </c>
    </row>
    <row r="78" spans="2:8" x14ac:dyDescent="0.2">
      <c r="B78" s="262" t="s">
        <v>1884</v>
      </c>
      <c r="C78" s="263">
        <v>42398</v>
      </c>
      <c r="D78" s="264" t="s">
        <v>2081</v>
      </c>
      <c r="E78" s="264" t="s">
        <v>2014</v>
      </c>
      <c r="F78" s="265">
        <v>350</v>
      </c>
      <c r="G78" s="265"/>
      <c r="H78" s="265">
        <f t="shared" si="1"/>
        <v>350</v>
      </c>
    </row>
    <row r="79" spans="2:8" x14ac:dyDescent="0.2">
      <c r="B79" s="262" t="s">
        <v>1859</v>
      </c>
      <c r="C79" s="263">
        <v>42398</v>
      </c>
      <c r="D79" s="264" t="s">
        <v>1910</v>
      </c>
      <c r="E79" s="264" t="s">
        <v>2015</v>
      </c>
      <c r="F79" s="265">
        <v>1000</v>
      </c>
      <c r="G79" s="265"/>
      <c r="H79" s="265">
        <f t="shared" si="1"/>
        <v>1000</v>
      </c>
    </row>
    <row r="80" spans="2:8" x14ac:dyDescent="0.2">
      <c r="B80" s="262" t="s">
        <v>1881</v>
      </c>
      <c r="C80" s="263">
        <v>42398</v>
      </c>
      <c r="D80" s="264" t="s">
        <v>2081</v>
      </c>
      <c r="E80" s="264" t="s">
        <v>2016</v>
      </c>
      <c r="F80" s="265">
        <v>500</v>
      </c>
      <c r="G80" s="265"/>
      <c r="H80" s="265">
        <f t="shared" si="1"/>
        <v>500</v>
      </c>
    </row>
    <row r="81" spans="2:8" x14ac:dyDescent="0.2">
      <c r="B81" s="262" t="s">
        <v>1866</v>
      </c>
      <c r="C81" s="263">
        <v>42395</v>
      </c>
      <c r="D81" s="264" t="s">
        <v>1890</v>
      </c>
      <c r="E81" s="264" t="s">
        <v>1900</v>
      </c>
      <c r="F81" s="265">
        <v>110</v>
      </c>
      <c r="G81" s="265"/>
      <c r="H81" s="265">
        <f t="shared" si="1"/>
        <v>110</v>
      </c>
    </row>
    <row r="82" spans="2:8" x14ac:dyDescent="0.2">
      <c r="B82" s="262" t="s">
        <v>1881</v>
      </c>
      <c r="C82" s="263">
        <v>42398</v>
      </c>
      <c r="D82" s="264" t="s">
        <v>2017</v>
      </c>
      <c r="E82" s="264" t="s">
        <v>2018</v>
      </c>
      <c r="F82" s="265">
        <v>680</v>
      </c>
      <c r="G82" s="265"/>
      <c r="H82" s="265">
        <f t="shared" si="1"/>
        <v>680</v>
      </c>
    </row>
    <row r="83" spans="2:8" x14ac:dyDescent="0.2">
      <c r="B83" s="262" t="s">
        <v>1863</v>
      </c>
      <c r="C83" s="263">
        <v>42398</v>
      </c>
      <c r="D83" s="264" t="s">
        <v>1943</v>
      </c>
      <c r="E83" s="264" t="s">
        <v>2019</v>
      </c>
      <c r="F83" s="265">
        <v>250</v>
      </c>
      <c r="G83" s="265"/>
      <c r="H83" s="265">
        <f t="shared" si="1"/>
        <v>250</v>
      </c>
    </row>
    <row r="84" spans="2:8" x14ac:dyDescent="0.2">
      <c r="B84" s="262" t="s">
        <v>1863</v>
      </c>
      <c r="C84" s="263">
        <v>42398</v>
      </c>
      <c r="D84" s="264" t="s">
        <v>1943</v>
      </c>
      <c r="E84" s="264" t="s">
        <v>2019</v>
      </c>
      <c r="F84" s="265">
        <v>100</v>
      </c>
      <c r="G84" s="265"/>
      <c r="H84" s="265">
        <f t="shared" si="1"/>
        <v>100</v>
      </c>
    </row>
    <row r="85" spans="2:8" x14ac:dyDescent="0.2">
      <c r="B85" s="262" t="s">
        <v>1861</v>
      </c>
      <c r="C85" s="263">
        <v>42399</v>
      </c>
      <c r="D85" s="264" t="s">
        <v>1898</v>
      </c>
      <c r="E85" s="264" t="s">
        <v>2020</v>
      </c>
      <c r="F85" s="265">
        <v>160</v>
      </c>
      <c r="G85" s="265"/>
      <c r="H85" s="265">
        <f t="shared" si="1"/>
        <v>160</v>
      </c>
    </row>
    <row r="86" spans="2:8" x14ac:dyDescent="0.2">
      <c r="B86" s="262" t="s">
        <v>1861</v>
      </c>
      <c r="C86" s="263">
        <v>42399</v>
      </c>
      <c r="D86" s="264" t="s">
        <v>1898</v>
      </c>
      <c r="E86" s="264" t="s">
        <v>2021</v>
      </c>
      <c r="F86" s="265">
        <v>35</v>
      </c>
      <c r="G86" s="265"/>
      <c r="H86" s="265">
        <f t="shared" si="1"/>
        <v>35</v>
      </c>
    </row>
    <row r="87" spans="2:8" x14ac:dyDescent="0.2">
      <c r="B87" s="262" t="s">
        <v>1863</v>
      </c>
      <c r="C87" s="263">
        <v>42399</v>
      </c>
      <c r="D87" s="264" t="s">
        <v>1943</v>
      </c>
      <c r="E87" s="264" t="s">
        <v>2019</v>
      </c>
      <c r="F87" s="265">
        <v>400</v>
      </c>
      <c r="G87" s="265"/>
      <c r="H87" s="265">
        <f t="shared" si="1"/>
        <v>400</v>
      </c>
    </row>
    <row r="88" spans="2:8" x14ac:dyDescent="0.2">
      <c r="B88" s="262" t="s">
        <v>1863</v>
      </c>
      <c r="C88" s="263">
        <v>42399</v>
      </c>
      <c r="D88" s="264" t="s">
        <v>2009</v>
      </c>
      <c r="E88" s="264" t="s">
        <v>2022</v>
      </c>
      <c r="F88" s="265">
        <v>500</v>
      </c>
      <c r="G88" s="265"/>
      <c r="H88" s="265">
        <f t="shared" si="1"/>
        <v>500</v>
      </c>
    </row>
    <row r="89" spans="2:8" x14ac:dyDescent="0.2">
      <c r="B89" s="262" t="s">
        <v>1884</v>
      </c>
      <c r="C89" s="263">
        <v>42400</v>
      </c>
      <c r="D89" s="264" t="s">
        <v>1873</v>
      </c>
      <c r="E89" s="264" t="s">
        <v>2023</v>
      </c>
      <c r="F89" s="265">
        <v>450</v>
      </c>
      <c r="G89" s="265"/>
      <c r="H89" s="265">
        <f t="shared" si="1"/>
        <v>450</v>
      </c>
    </row>
    <row r="90" spans="2:8" x14ac:dyDescent="0.2">
      <c r="B90" s="262" t="s">
        <v>1884</v>
      </c>
      <c r="C90" s="263">
        <v>42400</v>
      </c>
      <c r="D90" s="264" t="s">
        <v>1873</v>
      </c>
      <c r="E90" s="264" t="s">
        <v>2024</v>
      </c>
      <c r="F90" s="265">
        <v>100</v>
      </c>
      <c r="G90" s="265"/>
      <c r="H90" s="265">
        <f t="shared" si="1"/>
        <v>100</v>
      </c>
    </row>
    <row r="91" spans="2:8" x14ac:dyDescent="0.2">
      <c r="B91" s="262" t="s">
        <v>1884</v>
      </c>
      <c r="C91" s="263">
        <v>42400</v>
      </c>
      <c r="D91" s="264" t="s">
        <v>1896</v>
      </c>
      <c r="E91" s="264" t="s">
        <v>2025</v>
      </c>
      <c r="F91" s="265">
        <v>650</v>
      </c>
      <c r="G91" s="265"/>
      <c r="H91" s="265">
        <f t="shared" si="1"/>
        <v>650</v>
      </c>
    </row>
    <row r="92" spans="2:8" x14ac:dyDescent="0.2">
      <c r="B92" s="262" t="s">
        <v>1884</v>
      </c>
      <c r="C92" s="263">
        <v>42400</v>
      </c>
      <c r="D92" s="264" t="s">
        <v>1896</v>
      </c>
      <c r="E92" s="264" t="s">
        <v>2026</v>
      </c>
      <c r="F92" s="265">
        <v>100</v>
      </c>
      <c r="G92" s="265"/>
      <c r="H92" s="265">
        <f t="shared" si="1"/>
        <v>100</v>
      </c>
    </row>
    <row r="93" spans="2:8" x14ac:dyDescent="0.2">
      <c r="B93" s="262" t="s">
        <v>1577</v>
      </c>
      <c r="C93" s="263">
        <v>42400</v>
      </c>
      <c r="D93" s="264" t="s">
        <v>1886</v>
      </c>
      <c r="E93" s="264" t="s">
        <v>2027</v>
      </c>
      <c r="F93" s="265">
        <v>2700</v>
      </c>
      <c r="G93" s="265"/>
      <c r="H93" s="265">
        <f t="shared" si="1"/>
        <v>2700</v>
      </c>
    </row>
    <row r="94" spans="2:8" x14ac:dyDescent="0.2">
      <c r="B94" s="262" t="s">
        <v>1577</v>
      </c>
      <c r="C94" s="263">
        <v>42400</v>
      </c>
      <c r="D94" s="264" t="s">
        <v>1899</v>
      </c>
      <c r="E94" s="264" t="s">
        <v>2028</v>
      </c>
      <c r="F94" s="265">
        <v>29000</v>
      </c>
      <c r="G94" s="265"/>
      <c r="H94" s="265">
        <f t="shared" si="1"/>
        <v>29000</v>
      </c>
    </row>
    <row r="95" spans="2:8" x14ac:dyDescent="0.2">
      <c r="B95" s="262" t="s">
        <v>1859</v>
      </c>
      <c r="C95" s="263">
        <v>42400</v>
      </c>
      <c r="D95" s="264" t="s">
        <v>1911</v>
      </c>
      <c r="E95" s="264" t="s">
        <v>1931</v>
      </c>
      <c r="F95" s="265">
        <v>4000</v>
      </c>
      <c r="G95" s="265"/>
      <c r="H95" s="265">
        <f t="shared" si="1"/>
        <v>4000</v>
      </c>
    </row>
    <row r="96" spans="2:8" x14ac:dyDescent="0.2">
      <c r="B96" s="266" t="s">
        <v>1790</v>
      </c>
      <c r="C96" s="327">
        <v>0</v>
      </c>
      <c r="D96" s="268" t="s">
        <v>1909</v>
      </c>
      <c r="E96" s="268" t="s">
        <v>2029</v>
      </c>
      <c r="F96" s="269"/>
      <c r="G96" s="269">
        <v>-1760</v>
      </c>
      <c r="H96" s="269">
        <f t="shared" si="1"/>
        <v>-1760</v>
      </c>
    </row>
    <row r="97" spans="2:8" ht="18" customHeight="1" x14ac:dyDescent="0.2">
      <c r="B97" s="270" t="s">
        <v>1850</v>
      </c>
      <c r="C97" s="270" t="s">
        <v>1851</v>
      </c>
      <c r="D97" s="271" t="s">
        <v>1852</v>
      </c>
      <c r="E97" s="271" t="s">
        <v>1853</v>
      </c>
      <c r="F97" s="272" t="s">
        <v>1854</v>
      </c>
      <c r="G97" s="272" t="s">
        <v>1855</v>
      </c>
      <c r="H97" s="257" t="s">
        <v>1856</v>
      </c>
    </row>
    <row r="98" spans="2:8" x14ac:dyDescent="0.2">
      <c r="B98" s="258" t="s">
        <v>1866</v>
      </c>
      <c r="C98" s="259">
        <v>42402</v>
      </c>
      <c r="D98" s="260" t="s">
        <v>2030</v>
      </c>
      <c r="E98" s="260" t="s">
        <v>1923</v>
      </c>
      <c r="F98" s="261">
        <v>81.03</v>
      </c>
      <c r="G98" s="261">
        <v>12.97</v>
      </c>
      <c r="H98" s="261">
        <f t="shared" si="1"/>
        <v>94</v>
      </c>
    </row>
    <row r="99" spans="2:8" x14ac:dyDescent="0.2">
      <c r="B99" s="262" t="s">
        <v>1865</v>
      </c>
      <c r="C99" s="263">
        <v>42402</v>
      </c>
      <c r="D99" s="264" t="s">
        <v>1937</v>
      </c>
      <c r="E99" s="264" t="s">
        <v>2031</v>
      </c>
      <c r="F99" s="265">
        <v>1000</v>
      </c>
      <c r="G99" s="265"/>
      <c r="H99" s="265">
        <f t="shared" si="1"/>
        <v>1000</v>
      </c>
    </row>
    <row r="100" spans="2:8" x14ac:dyDescent="0.2">
      <c r="B100" s="262" t="s">
        <v>1863</v>
      </c>
      <c r="C100" s="263">
        <v>42402</v>
      </c>
      <c r="D100" s="264" t="s">
        <v>2032</v>
      </c>
      <c r="E100" s="264" t="s">
        <v>2033</v>
      </c>
      <c r="F100" s="265">
        <v>150</v>
      </c>
      <c r="G100" s="265"/>
      <c r="H100" s="265">
        <f t="shared" si="1"/>
        <v>150</v>
      </c>
    </row>
    <row r="101" spans="2:8" x14ac:dyDescent="0.2">
      <c r="B101" s="262" t="s">
        <v>1879</v>
      </c>
      <c r="C101" s="263">
        <v>42402</v>
      </c>
      <c r="D101" s="264" t="s">
        <v>1938</v>
      </c>
      <c r="E101" s="264" t="s">
        <v>2034</v>
      </c>
      <c r="F101" s="265">
        <v>350</v>
      </c>
      <c r="G101" s="265"/>
      <c r="H101" s="265">
        <f t="shared" si="1"/>
        <v>350</v>
      </c>
    </row>
    <row r="102" spans="2:8" x14ac:dyDescent="0.2">
      <c r="B102" s="262" t="s">
        <v>1862</v>
      </c>
      <c r="C102" s="263">
        <v>42402</v>
      </c>
      <c r="D102" s="264" t="s">
        <v>1892</v>
      </c>
      <c r="E102" s="264" t="s">
        <v>2035</v>
      </c>
      <c r="F102" s="265">
        <v>200</v>
      </c>
      <c r="G102" s="265"/>
      <c r="H102" s="265">
        <f t="shared" si="1"/>
        <v>200</v>
      </c>
    </row>
    <row r="103" spans="2:8" x14ac:dyDescent="0.2">
      <c r="B103" s="262" t="s">
        <v>1870</v>
      </c>
      <c r="C103" s="263">
        <v>42402</v>
      </c>
      <c r="D103" s="264" t="s">
        <v>1892</v>
      </c>
      <c r="E103" s="264" t="s">
        <v>2036</v>
      </c>
      <c r="F103" s="265">
        <v>500</v>
      </c>
      <c r="G103" s="265"/>
      <c r="H103" s="265">
        <f t="shared" si="1"/>
        <v>500</v>
      </c>
    </row>
    <row r="104" spans="2:8" x14ac:dyDescent="0.2">
      <c r="B104" s="262" t="s">
        <v>1866</v>
      </c>
      <c r="C104" s="263">
        <v>42403</v>
      </c>
      <c r="D104" s="264" t="s">
        <v>1903</v>
      </c>
      <c r="E104" s="264" t="s">
        <v>2037</v>
      </c>
      <c r="F104" s="265">
        <v>31.97</v>
      </c>
      <c r="G104" s="265">
        <v>3.03</v>
      </c>
      <c r="H104" s="265">
        <f t="shared" si="1"/>
        <v>35</v>
      </c>
    </row>
    <row r="105" spans="2:8" x14ac:dyDescent="0.2">
      <c r="B105" s="262" t="s">
        <v>1865</v>
      </c>
      <c r="C105" s="263">
        <v>42403</v>
      </c>
      <c r="D105" s="264" t="s">
        <v>1937</v>
      </c>
      <c r="E105" s="264" t="s">
        <v>2038</v>
      </c>
      <c r="F105" s="265">
        <v>1000</v>
      </c>
      <c r="G105" s="265"/>
      <c r="H105" s="265">
        <f t="shared" si="1"/>
        <v>1000</v>
      </c>
    </row>
    <row r="106" spans="2:8" x14ac:dyDescent="0.2">
      <c r="B106" s="262" t="s">
        <v>1884</v>
      </c>
      <c r="C106" s="263">
        <v>42403</v>
      </c>
      <c r="D106" s="264" t="s">
        <v>2741</v>
      </c>
      <c r="E106" s="264" t="s">
        <v>2039</v>
      </c>
      <c r="F106" s="265">
        <v>143.30000000000001</v>
      </c>
      <c r="G106" s="265"/>
      <c r="H106" s="265">
        <f t="shared" si="1"/>
        <v>143.30000000000001</v>
      </c>
    </row>
    <row r="107" spans="2:8" x14ac:dyDescent="0.2">
      <c r="B107" s="262" t="s">
        <v>1821</v>
      </c>
      <c r="C107" s="263">
        <v>42403</v>
      </c>
      <c r="D107" s="264" t="s">
        <v>1938</v>
      </c>
      <c r="E107" s="264" t="s">
        <v>2040</v>
      </c>
      <c r="F107" s="265">
        <v>250</v>
      </c>
      <c r="G107" s="265"/>
      <c r="H107" s="265">
        <f t="shared" si="1"/>
        <v>250</v>
      </c>
    </row>
    <row r="108" spans="2:8" x14ac:dyDescent="0.2">
      <c r="B108" s="262" t="s">
        <v>1879</v>
      </c>
      <c r="C108" s="263">
        <v>42403</v>
      </c>
      <c r="D108" s="264" t="s">
        <v>1938</v>
      </c>
      <c r="E108" s="264" t="s">
        <v>2041</v>
      </c>
      <c r="F108" s="265">
        <v>350</v>
      </c>
      <c r="G108" s="265"/>
      <c r="H108" s="265">
        <f t="shared" si="1"/>
        <v>350</v>
      </c>
    </row>
    <row r="109" spans="2:8" x14ac:dyDescent="0.2">
      <c r="B109" s="262" t="s">
        <v>1821</v>
      </c>
      <c r="C109" s="263">
        <v>42404</v>
      </c>
      <c r="D109" s="264" t="s">
        <v>1874</v>
      </c>
      <c r="E109" s="264" t="s">
        <v>2042</v>
      </c>
      <c r="F109" s="265">
        <v>5000</v>
      </c>
      <c r="G109" s="265"/>
      <c r="H109" s="265">
        <f t="shared" si="1"/>
        <v>5000</v>
      </c>
    </row>
    <row r="110" spans="2:8" x14ac:dyDescent="0.2">
      <c r="B110" s="262" t="s">
        <v>1865</v>
      </c>
      <c r="C110" s="263">
        <v>42404</v>
      </c>
      <c r="D110" s="264" t="s">
        <v>2043</v>
      </c>
      <c r="E110" s="264" t="s">
        <v>2044</v>
      </c>
      <c r="F110" s="265">
        <v>300</v>
      </c>
      <c r="G110" s="265"/>
      <c r="H110" s="265">
        <f t="shared" si="1"/>
        <v>300</v>
      </c>
    </row>
    <row r="111" spans="2:8" x14ac:dyDescent="0.2">
      <c r="B111" s="262" t="s">
        <v>1866</v>
      </c>
      <c r="C111" s="263">
        <v>42404</v>
      </c>
      <c r="D111" s="264" t="s">
        <v>1903</v>
      </c>
      <c r="E111" s="264" t="s">
        <v>2045</v>
      </c>
      <c r="F111" s="265">
        <v>45.47</v>
      </c>
      <c r="G111" s="265">
        <v>3.03</v>
      </c>
      <c r="H111" s="265">
        <f t="shared" si="1"/>
        <v>48.5</v>
      </c>
    </row>
    <row r="112" spans="2:8" x14ac:dyDescent="0.2">
      <c r="B112" s="262" t="s">
        <v>1861</v>
      </c>
      <c r="C112" s="263">
        <v>42404</v>
      </c>
      <c r="D112" s="264" t="s">
        <v>1898</v>
      </c>
      <c r="E112" s="264" t="s">
        <v>2046</v>
      </c>
      <c r="F112" s="265">
        <v>180</v>
      </c>
      <c r="G112" s="265"/>
      <c r="H112" s="265">
        <f t="shared" si="1"/>
        <v>180</v>
      </c>
    </row>
    <row r="113" spans="2:8" x14ac:dyDescent="0.2">
      <c r="B113" s="262" t="s">
        <v>1861</v>
      </c>
      <c r="C113" s="263">
        <v>42404</v>
      </c>
      <c r="D113" s="264" t="s">
        <v>1898</v>
      </c>
      <c r="E113" s="264" t="s">
        <v>2021</v>
      </c>
      <c r="F113" s="265">
        <v>35</v>
      </c>
      <c r="G113" s="265"/>
      <c r="H113" s="265">
        <f t="shared" si="1"/>
        <v>35</v>
      </c>
    </row>
    <row r="114" spans="2:8" x14ac:dyDescent="0.2">
      <c r="B114" s="262" t="s">
        <v>1861</v>
      </c>
      <c r="C114" s="263">
        <v>42404</v>
      </c>
      <c r="D114" s="264" t="s">
        <v>1898</v>
      </c>
      <c r="E114" s="264" t="s">
        <v>2047</v>
      </c>
      <c r="F114" s="265">
        <v>130</v>
      </c>
      <c r="G114" s="265"/>
      <c r="H114" s="265">
        <f t="shared" si="1"/>
        <v>130</v>
      </c>
    </row>
    <row r="115" spans="2:8" x14ac:dyDescent="0.2">
      <c r="B115" s="262" t="s">
        <v>1884</v>
      </c>
      <c r="C115" s="263">
        <v>42404</v>
      </c>
      <c r="D115" s="264" t="s">
        <v>1911</v>
      </c>
      <c r="E115" s="264" t="s">
        <v>2048</v>
      </c>
      <c r="F115" s="265">
        <v>88</v>
      </c>
      <c r="G115" s="265"/>
      <c r="H115" s="265">
        <f t="shared" si="1"/>
        <v>88</v>
      </c>
    </row>
    <row r="116" spans="2:8" x14ac:dyDescent="0.2">
      <c r="B116" s="262" t="s">
        <v>1859</v>
      </c>
      <c r="C116" s="263">
        <v>42405</v>
      </c>
      <c r="D116" s="264" t="s">
        <v>1910</v>
      </c>
      <c r="E116" s="264" t="s">
        <v>2049</v>
      </c>
      <c r="F116" s="265">
        <v>1000</v>
      </c>
      <c r="G116" s="265"/>
      <c r="H116" s="265">
        <f t="shared" si="1"/>
        <v>1000</v>
      </c>
    </row>
    <row r="117" spans="2:8" x14ac:dyDescent="0.2">
      <c r="B117" s="262" t="s">
        <v>1866</v>
      </c>
      <c r="C117" s="263">
        <v>42405</v>
      </c>
      <c r="D117" s="264" t="s">
        <v>1890</v>
      </c>
      <c r="E117" s="264" t="s">
        <v>1913</v>
      </c>
      <c r="F117" s="265">
        <v>192</v>
      </c>
      <c r="G117" s="265"/>
      <c r="H117" s="265">
        <f t="shared" si="1"/>
        <v>192</v>
      </c>
    </row>
    <row r="118" spans="2:8" x14ac:dyDescent="0.2">
      <c r="B118" s="262" t="s">
        <v>1865</v>
      </c>
      <c r="C118" s="263">
        <v>42405</v>
      </c>
      <c r="D118" s="264" t="s">
        <v>2050</v>
      </c>
      <c r="E118" s="264" t="s">
        <v>2051</v>
      </c>
      <c r="F118" s="265">
        <v>520</v>
      </c>
      <c r="G118" s="265"/>
      <c r="H118" s="265">
        <f t="shared" si="1"/>
        <v>520</v>
      </c>
    </row>
    <row r="119" spans="2:8" x14ac:dyDescent="0.2">
      <c r="B119" s="262" t="s">
        <v>1884</v>
      </c>
      <c r="C119" s="263">
        <v>42406</v>
      </c>
      <c r="D119" s="264" t="s">
        <v>1889</v>
      </c>
      <c r="E119" s="264" t="s">
        <v>2052</v>
      </c>
      <c r="F119" s="265">
        <v>350</v>
      </c>
      <c r="G119" s="265"/>
      <c r="H119" s="265">
        <f t="shared" si="1"/>
        <v>350</v>
      </c>
    </row>
    <row r="120" spans="2:8" x14ac:dyDescent="0.2">
      <c r="B120" s="262" t="s">
        <v>1866</v>
      </c>
      <c r="C120" s="263">
        <v>42407</v>
      </c>
      <c r="D120" s="264" t="s">
        <v>1911</v>
      </c>
      <c r="E120" s="264" t="s">
        <v>2053</v>
      </c>
      <c r="F120" s="265">
        <v>120</v>
      </c>
      <c r="G120" s="265"/>
      <c r="H120" s="265">
        <f t="shared" si="1"/>
        <v>120</v>
      </c>
    </row>
    <row r="121" spans="2:8" x14ac:dyDescent="0.2">
      <c r="B121" s="262" t="s">
        <v>1884</v>
      </c>
      <c r="C121" s="263">
        <v>42408</v>
      </c>
      <c r="D121" s="264" t="s">
        <v>1927</v>
      </c>
      <c r="E121" s="264" t="s">
        <v>2054</v>
      </c>
      <c r="F121" s="265">
        <v>500</v>
      </c>
      <c r="G121" s="265"/>
      <c r="H121" s="265">
        <f t="shared" si="1"/>
        <v>500</v>
      </c>
    </row>
    <row r="122" spans="2:8" x14ac:dyDescent="0.2">
      <c r="B122" s="262" t="s">
        <v>1870</v>
      </c>
      <c r="C122" s="263">
        <v>42408</v>
      </c>
      <c r="D122" s="264" t="s">
        <v>1938</v>
      </c>
      <c r="E122" s="264" t="s">
        <v>2055</v>
      </c>
      <c r="F122" s="265">
        <v>1400</v>
      </c>
      <c r="G122" s="265"/>
      <c r="H122" s="265">
        <f t="shared" si="1"/>
        <v>1400</v>
      </c>
    </row>
    <row r="123" spans="2:8" x14ac:dyDescent="0.2">
      <c r="B123" s="262" t="s">
        <v>1866</v>
      </c>
      <c r="C123" s="263">
        <v>42408</v>
      </c>
      <c r="D123" s="264" t="s">
        <v>1890</v>
      </c>
      <c r="E123" s="264" t="s">
        <v>1900</v>
      </c>
      <c r="F123" s="265">
        <v>110</v>
      </c>
      <c r="G123" s="265"/>
      <c r="H123" s="265">
        <f t="shared" si="1"/>
        <v>110</v>
      </c>
    </row>
    <row r="124" spans="2:8" x14ac:dyDescent="0.2">
      <c r="B124" s="262" t="s">
        <v>1884</v>
      </c>
      <c r="C124" s="263">
        <v>42408</v>
      </c>
      <c r="D124" s="264" t="s">
        <v>2056</v>
      </c>
      <c r="E124" s="264" t="s">
        <v>2057</v>
      </c>
      <c r="F124" s="265">
        <v>250</v>
      </c>
      <c r="G124" s="265"/>
      <c r="H124" s="265">
        <f t="shared" si="1"/>
        <v>250</v>
      </c>
    </row>
    <row r="125" spans="2:8" x14ac:dyDescent="0.2">
      <c r="B125" s="262" t="s">
        <v>1884</v>
      </c>
      <c r="C125" s="263">
        <v>42409</v>
      </c>
      <c r="D125" s="264" t="s">
        <v>2058</v>
      </c>
      <c r="E125" s="264" t="s">
        <v>2059</v>
      </c>
      <c r="F125" s="265">
        <v>320</v>
      </c>
      <c r="G125" s="265"/>
      <c r="H125" s="265">
        <f t="shared" si="1"/>
        <v>320</v>
      </c>
    </row>
    <row r="126" spans="2:8" x14ac:dyDescent="0.2">
      <c r="B126" s="262" t="s">
        <v>1790</v>
      </c>
      <c r="C126" s="263">
        <v>42409</v>
      </c>
      <c r="D126" s="264" t="s">
        <v>1909</v>
      </c>
      <c r="E126" s="264" t="s">
        <v>2060</v>
      </c>
      <c r="F126" s="265"/>
      <c r="G126" s="265">
        <v>1760</v>
      </c>
      <c r="H126" s="265">
        <f t="shared" si="1"/>
        <v>1760</v>
      </c>
    </row>
    <row r="127" spans="2:8" x14ac:dyDescent="0.2">
      <c r="B127" s="262" t="s">
        <v>1805</v>
      </c>
      <c r="C127" s="263">
        <v>42409</v>
      </c>
      <c r="D127" s="264" t="s">
        <v>1888</v>
      </c>
      <c r="E127" s="264" t="s">
        <v>2061</v>
      </c>
      <c r="F127" s="265">
        <v>1055.17</v>
      </c>
      <c r="G127" s="265">
        <v>168.83</v>
      </c>
      <c r="H127" s="265">
        <f t="shared" si="1"/>
        <v>1224</v>
      </c>
    </row>
    <row r="128" spans="2:8" x14ac:dyDescent="0.2">
      <c r="B128" s="262" t="s">
        <v>1884</v>
      </c>
      <c r="C128" s="263">
        <v>42409</v>
      </c>
      <c r="D128" s="264" t="s">
        <v>2062</v>
      </c>
      <c r="E128" s="264" t="s">
        <v>2063</v>
      </c>
      <c r="F128" s="265">
        <v>45</v>
      </c>
      <c r="G128" s="265"/>
      <c r="H128" s="265">
        <f t="shared" si="1"/>
        <v>45</v>
      </c>
    </row>
    <row r="129" spans="2:8" x14ac:dyDescent="0.2">
      <c r="B129" s="262" t="s">
        <v>1859</v>
      </c>
      <c r="C129" s="263">
        <v>42409</v>
      </c>
      <c r="D129" s="264" t="s">
        <v>1928</v>
      </c>
      <c r="E129" s="264" t="s">
        <v>2064</v>
      </c>
      <c r="F129" s="265">
        <v>100</v>
      </c>
      <c r="G129" s="265"/>
      <c r="H129" s="265">
        <f t="shared" si="1"/>
        <v>100</v>
      </c>
    </row>
    <row r="130" spans="2:8" x14ac:dyDescent="0.2">
      <c r="B130" s="262" t="s">
        <v>1867</v>
      </c>
      <c r="C130" s="263">
        <v>42409</v>
      </c>
      <c r="D130" s="264" t="s">
        <v>1894</v>
      </c>
      <c r="E130" s="264" t="s">
        <v>2065</v>
      </c>
      <c r="F130" s="265">
        <v>997</v>
      </c>
      <c r="G130" s="265"/>
      <c r="H130" s="265">
        <f t="shared" si="1"/>
        <v>997</v>
      </c>
    </row>
    <row r="131" spans="2:8" x14ac:dyDescent="0.2">
      <c r="B131" s="262" t="s">
        <v>1865</v>
      </c>
      <c r="C131" s="263">
        <v>42409</v>
      </c>
      <c r="D131" s="264" t="s">
        <v>1937</v>
      </c>
      <c r="E131" s="264" t="s">
        <v>2066</v>
      </c>
      <c r="F131" s="265">
        <v>1000</v>
      </c>
      <c r="G131" s="265"/>
      <c r="H131" s="265">
        <f t="shared" si="1"/>
        <v>1000</v>
      </c>
    </row>
    <row r="132" spans="2:8" x14ac:dyDescent="0.2">
      <c r="B132" s="262" t="s">
        <v>1861</v>
      </c>
      <c r="C132" s="263">
        <v>42409</v>
      </c>
      <c r="D132" s="264" t="s">
        <v>2067</v>
      </c>
      <c r="E132" s="264" t="s">
        <v>2068</v>
      </c>
      <c r="F132" s="265">
        <v>225</v>
      </c>
      <c r="G132" s="265"/>
      <c r="H132" s="265">
        <f t="shared" si="1"/>
        <v>225</v>
      </c>
    </row>
    <row r="133" spans="2:8" x14ac:dyDescent="0.2">
      <c r="B133" s="262" t="s">
        <v>1877</v>
      </c>
      <c r="C133" s="263">
        <v>42409</v>
      </c>
      <c r="D133" s="264" t="s">
        <v>1940</v>
      </c>
      <c r="E133" s="264" t="s">
        <v>2069</v>
      </c>
      <c r="F133" s="265">
        <v>250</v>
      </c>
      <c r="G133" s="265"/>
      <c r="H133" s="265">
        <f t="shared" ref="H133:H196" si="2">SUM(F133:G133)</f>
        <v>250</v>
      </c>
    </row>
    <row r="134" spans="2:8" x14ac:dyDescent="0.2">
      <c r="B134" s="262" t="s">
        <v>1859</v>
      </c>
      <c r="C134" s="263">
        <v>42409</v>
      </c>
      <c r="D134" s="264" t="s">
        <v>1924</v>
      </c>
      <c r="E134" s="264" t="s">
        <v>1941</v>
      </c>
      <c r="F134" s="265">
        <v>227.91</v>
      </c>
      <c r="G134" s="265">
        <v>35.29</v>
      </c>
      <c r="H134" s="265">
        <f t="shared" si="2"/>
        <v>263.2</v>
      </c>
    </row>
    <row r="135" spans="2:8" x14ac:dyDescent="0.2">
      <c r="B135" s="262" t="s">
        <v>1884</v>
      </c>
      <c r="C135" s="263">
        <v>42410</v>
      </c>
      <c r="D135" s="264" t="s">
        <v>2032</v>
      </c>
      <c r="E135" s="264" t="s">
        <v>2070</v>
      </c>
      <c r="F135" s="265">
        <v>250</v>
      </c>
      <c r="G135" s="265"/>
      <c r="H135" s="265">
        <f t="shared" si="2"/>
        <v>250</v>
      </c>
    </row>
    <row r="136" spans="2:8" x14ac:dyDescent="0.2">
      <c r="B136" s="262" t="s">
        <v>1863</v>
      </c>
      <c r="C136" s="263">
        <v>42410</v>
      </c>
      <c r="D136" s="264" t="s">
        <v>2071</v>
      </c>
      <c r="E136" s="264" t="s">
        <v>2072</v>
      </c>
      <c r="F136" s="265">
        <v>5000</v>
      </c>
      <c r="G136" s="265"/>
      <c r="H136" s="265">
        <f t="shared" si="2"/>
        <v>5000</v>
      </c>
    </row>
    <row r="137" spans="2:8" x14ac:dyDescent="0.2">
      <c r="B137" s="262" t="s">
        <v>1863</v>
      </c>
      <c r="C137" s="263">
        <v>42410</v>
      </c>
      <c r="D137" s="264" t="s">
        <v>2071</v>
      </c>
      <c r="E137" s="264" t="s">
        <v>2073</v>
      </c>
      <c r="F137" s="265">
        <v>1000</v>
      </c>
      <c r="G137" s="265"/>
      <c r="H137" s="265">
        <f t="shared" si="2"/>
        <v>1000</v>
      </c>
    </row>
    <row r="138" spans="2:8" x14ac:dyDescent="0.2">
      <c r="B138" s="262" t="s">
        <v>1884</v>
      </c>
      <c r="C138" s="263">
        <v>42410</v>
      </c>
      <c r="D138" s="264" t="s">
        <v>2081</v>
      </c>
      <c r="E138" s="264" t="s">
        <v>2074</v>
      </c>
      <c r="F138" s="265">
        <v>300</v>
      </c>
      <c r="G138" s="265"/>
      <c r="H138" s="265">
        <f t="shared" si="2"/>
        <v>300</v>
      </c>
    </row>
    <row r="139" spans="2:8" x14ac:dyDescent="0.2">
      <c r="B139" s="262" t="s">
        <v>1860</v>
      </c>
      <c r="C139" s="263">
        <v>42411</v>
      </c>
      <c r="D139" s="264" t="s">
        <v>1891</v>
      </c>
      <c r="E139" s="264" t="s">
        <v>2075</v>
      </c>
      <c r="F139" s="265">
        <v>30.95</v>
      </c>
      <c r="G139" s="265">
        <v>4.95</v>
      </c>
      <c r="H139" s="265">
        <f t="shared" si="2"/>
        <v>35.9</v>
      </c>
    </row>
    <row r="140" spans="2:8" x14ac:dyDescent="0.2">
      <c r="B140" s="262" t="s">
        <v>1866</v>
      </c>
      <c r="C140" s="263">
        <v>42411</v>
      </c>
      <c r="D140" s="264" t="s">
        <v>1903</v>
      </c>
      <c r="E140" s="264" t="s">
        <v>2076</v>
      </c>
      <c r="F140" s="265">
        <v>53.02</v>
      </c>
      <c r="G140" s="265">
        <v>8.48</v>
      </c>
      <c r="H140" s="265">
        <f t="shared" si="2"/>
        <v>61.5</v>
      </c>
    </row>
    <row r="141" spans="2:8" x14ac:dyDescent="0.2">
      <c r="B141" s="262" t="s">
        <v>1859</v>
      </c>
      <c r="C141" s="263">
        <v>42411</v>
      </c>
      <c r="D141" s="264" t="s">
        <v>1910</v>
      </c>
      <c r="E141" s="264" t="s">
        <v>2077</v>
      </c>
      <c r="F141" s="265">
        <v>1000</v>
      </c>
      <c r="G141" s="265"/>
      <c r="H141" s="265">
        <f t="shared" si="2"/>
        <v>1000</v>
      </c>
    </row>
    <row r="142" spans="2:8" x14ac:dyDescent="0.2">
      <c r="B142" s="262" t="s">
        <v>1865</v>
      </c>
      <c r="C142" s="263">
        <v>42411</v>
      </c>
      <c r="D142" s="264" t="s">
        <v>1938</v>
      </c>
      <c r="E142" s="264" t="s">
        <v>2078</v>
      </c>
      <c r="F142" s="265">
        <v>2000</v>
      </c>
      <c r="G142" s="265"/>
      <c r="H142" s="265">
        <f t="shared" si="2"/>
        <v>2000</v>
      </c>
    </row>
    <row r="143" spans="2:8" x14ac:dyDescent="0.2">
      <c r="B143" s="262" t="s">
        <v>1860</v>
      </c>
      <c r="C143" s="263">
        <v>42411</v>
      </c>
      <c r="D143" s="264" t="s">
        <v>1891</v>
      </c>
      <c r="E143" s="264" t="s">
        <v>1908</v>
      </c>
      <c r="F143" s="265">
        <v>647.76</v>
      </c>
      <c r="G143" s="265">
        <v>103.64</v>
      </c>
      <c r="H143" s="265">
        <f t="shared" si="2"/>
        <v>751.4</v>
      </c>
    </row>
    <row r="144" spans="2:8" x14ac:dyDescent="0.2">
      <c r="B144" s="262" t="s">
        <v>1875</v>
      </c>
      <c r="C144" s="263">
        <v>42412</v>
      </c>
      <c r="D144" s="264" t="s">
        <v>1893</v>
      </c>
      <c r="E144" s="264" t="s">
        <v>2079</v>
      </c>
      <c r="F144" s="265">
        <v>233</v>
      </c>
      <c r="G144" s="265">
        <v>37.299999999999997</v>
      </c>
      <c r="H144" s="265">
        <f t="shared" si="2"/>
        <v>270.3</v>
      </c>
    </row>
    <row r="145" spans="2:8" x14ac:dyDescent="0.2">
      <c r="B145" s="262" t="s">
        <v>1875</v>
      </c>
      <c r="C145" s="263">
        <v>42412</v>
      </c>
      <c r="D145" s="264" t="s">
        <v>1925</v>
      </c>
      <c r="E145" s="264" t="s">
        <v>2080</v>
      </c>
      <c r="F145" s="265">
        <v>55</v>
      </c>
      <c r="G145" s="265"/>
      <c r="H145" s="265">
        <f t="shared" si="2"/>
        <v>55</v>
      </c>
    </row>
    <row r="146" spans="2:8" x14ac:dyDescent="0.2">
      <c r="B146" s="262" t="s">
        <v>1884</v>
      </c>
      <c r="C146" s="263">
        <v>42412</v>
      </c>
      <c r="D146" s="264" t="s">
        <v>2081</v>
      </c>
      <c r="E146" s="264" t="s">
        <v>2082</v>
      </c>
      <c r="F146" s="265">
        <v>250</v>
      </c>
      <c r="G146" s="265"/>
      <c r="H146" s="265">
        <f t="shared" si="2"/>
        <v>250</v>
      </c>
    </row>
    <row r="147" spans="2:8" x14ac:dyDescent="0.2">
      <c r="B147" s="262" t="s">
        <v>1865</v>
      </c>
      <c r="C147" s="263">
        <v>42412</v>
      </c>
      <c r="D147" s="264" t="s">
        <v>1937</v>
      </c>
      <c r="E147" s="264" t="s">
        <v>2083</v>
      </c>
      <c r="F147" s="265">
        <v>2000</v>
      </c>
      <c r="G147" s="265"/>
      <c r="H147" s="265">
        <f t="shared" si="2"/>
        <v>2000</v>
      </c>
    </row>
    <row r="148" spans="2:8" x14ac:dyDescent="0.2">
      <c r="B148" s="262" t="s">
        <v>1884</v>
      </c>
      <c r="C148" s="263">
        <v>42412</v>
      </c>
      <c r="D148" s="264" t="s">
        <v>2081</v>
      </c>
      <c r="E148" s="264" t="s">
        <v>2084</v>
      </c>
      <c r="F148" s="265">
        <v>350</v>
      </c>
      <c r="G148" s="265"/>
      <c r="H148" s="265">
        <f t="shared" si="2"/>
        <v>350</v>
      </c>
    </row>
    <row r="149" spans="2:8" x14ac:dyDescent="0.2">
      <c r="B149" s="262" t="s">
        <v>1884</v>
      </c>
      <c r="C149" s="263">
        <v>42414</v>
      </c>
      <c r="D149" s="264" t="s">
        <v>1896</v>
      </c>
      <c r="E149" s="264" t="s">
        <v>2026</v>
      </c>
      <c r="F149" s="265">
        <v>100</v>
      </c>
      <c r="G149" s="265"/>
      <c r="H149" s="265">
        <f t="shared" si="2"/>
        <v>100</v>
      </c>
    </row>
    <row r="150" spans="2:8" x14ac:dyDescent="0.2">
      <c r="B150" s="262" t="s">
        <v>1866</v>
      </c>
      <c r="C150" s="263">
        <v>42414</v>
      </c>
      <c r="D150" s="264" t="s">
        <v>1903</v>
      </c>
      <c r="E150" s="264" t="s">
        <v>2085</v>
      </c>
      <c r="F150" s="265">
        <v>90</v>
      </c>
      <c r="G150" s="265"/>
      <c r="H150" s="265">
        <f t="shared" si="2"/>
        <v>90</v>
      </c>
    </row>
    <row r="151" spans="2:8" x14ac:dyDescent="0.2">
      <c r="B151" s="262" t="s">
        <v>1884</v>
      </c>
      <c r="C151" s="263">
        <v>42414</v>
      </c>
      <c r="D151" s="264" t="s">
        <v>2741</v>
      </c>
      <c r="E151" s="264" t="s">
        <v>2086</v>
      </c>
      <c r="F151" s="265">
        <v>202.52</v>
      </c>
      <c r="G151" s="265"/>
      <c r="H151" s="265">
        <f t="shared" si="2"/>
        <v>202.52</v>
      </c>
    </row>
    <row r="152" spans="2:8" x14ac:dyDescent="0.2">
      <c r="B152" s="262" t="s">
        <v>1884</v>
      </c>
      <c r="C152" s="263">
        <v>42415</v>
      </c>
      <c r="D152" s="264" t="s">
        <v>1873</v>
      </c>
      <c r="E152" s="264" t="s">
        <v>2087</v>
      </c>
      <c r="F152" s="265">
        <v>450</v>
      </c>
      <c r="G152" s="265"/>
      <c r="H152" s="265">
        <f t="shared" si="2"/>
        <v>450</v>
      </c>
    </row>
    <row r="153" spans="2:8" x14ac:dyDescent="0.2">
      <c r="B153" s="262" t="s">
        <v>1866</v>
      </c>
      <c r="C153" s="263">
        <v>42415</v>
      </c>
      <c r="D153" s="264" t="s">
        <v>1890</v>
      </c>
      <c r="E153" s="264" t="s">
        <v>1936</v>
      </c>
      <c r="F153" s="265">
        <v>190</v>
      </c>
      <c r="G153" s="265"/>
      <c r="H153" s="265">
        <f t="shared" si="2"/>
        <v>190</v>
      </c>
    </row>
    <row r="154" spans="2:8" x14ac:dyDescent="0.2">
      <c r="B154" s="262" t="s">
        <v>1863</v>
      </c>
      <c r="C154" s="263">
        <v>42415</v>
      </c>
      <c r="D154" s="264" t="s">
        <v>1889</v>
      </c>
      <c r="E154" s="264" t="s">
        <v>2088</v>
      </c>
      <c r="F154" s="265">
        <v>385</v>
      </c>
      <c r="G154" s="265"/>
      <c r="H154" s="265">
        <f t="shared" si="2"/>
        <v>385</v>
      </c>
    </row>
    <row r="155" spans="2:8" x14ac:dyDescent="0.2">
      <c r="B155" s="262" t="s">
        <v>1866</v>
      </c>
      <c r="C155" s="263">
        <v>42415</v>
      </c>
      <c r="D155" s="264" t="s">
        <v>1903</v>
      </c>
      <c r="E155" s="264" t="s">
        <v>2089</v>
      </c>
      <c r="F155" s="265">
        <v>30.5</v>
      </c>
      <c r="G155" s="265"/>
      <c r="H155" s="265">
        <f t="shared" si="2"/>
        <v>30.5</v>
      </c>
    </row>
    <row r="156" spans="2:8" x14ac:dyDescent="0.2">
      <c r="B156" s="262" t="s">
        <v>1879</v>
      </c>
      <c r="C156" s="263">
        <v>42415</v>
      </c>
      <c r="D156" s="264" t="s">
        <v>1938</v>
      </c>
      <c r="E156" s="264" t="s">
        <v>2090</v>
      </c>
      <c r="F156" s="265">
        <v>350</v>
      </c>
      <c r="G156" s="265"/>
      <c r="H156" s="265">
        <f t="shared" si="2"/>
        <v>350</v>
      </c>
    </row>
    <row r="157" spans="2:8" x14ac:dyDescent="0.2">
      <c r="B157" s="262" t="s">
        <v>1577</v>
      </c>
      <c r="C157" s="263">
        <v>42415</v>
      </c>
      <c r="D157" s="264" t="s">
        <v>1886</v>
      </c>
      <c r="E157" s="264" t="s">
        <v>2091</v>
      </c>
      <c r="F157" s="265">
        <v>2700</v>
      </c>
      <c r="G157" s="265"/>
      <c r="H157" s="265">
        <f t="shared" si="2"/>
        <v>2700</v>
      </c>
    </row>
    <row r="158" spans="2:8" x14ac:dyDescent="0.2">
      <c r="B158" s="262" t="s">
        <v>1577</v>
      </c>
      <c r="C158" s="263">
        <v>42415</v>
      </c>
      <c r="D158" s="264" t="s">
        <v>1899</v>
      </c>
      <c r="E158" s="264" t="s">
        <v>2092</v>
      </c>
      <c r="F158" s="265">
        <v>29000</v>
      </c>
      <c r="G158" s="265"/>
      <c r="H158" s="265">
        <f t="shared" si="2"/>
        <v>29000</v>
      </c>
    </row>
    <row r="159" spans="2:8" x14ac:dyDescent="0.2">
      <c r="B159" s="262" t="s">
        <v>1859</v>
      </c>
      <c r="C159" s="263">
        <v>42415</v>
      </c>
      <c r="D159" s="264" t="s">
        <v>1911</v>
      </c>
      <c r="E159" s="264" t="s">
        <v>1935</v>
      </c>
      <c r="F159" s="265">
        <v>4000</v>
      </c>
      <c r="G159" s="265"/>
      <c r="H159" s="265">
        <f t="shared" si="2"/>
        <v>4000</v>
      </c>
    </row>
    <row r="160" spans="2:8" x14ac:dyDescent="0.2">
      <c r="B160" s="262" t="s">
        <v>1879</v>
      </c>
      <c r="C160" s="263">
        <v>42416</v>
      </c>
      <c r="D160" s="264" t="s">
        <v>1938</v>
      </c>
      <c r="E160" s="264" t="s">
        <v>2093</v>
      </c>
      <c r="F160" s="265">
        <v>550</v>
      </c>
      <c r="G160" s="265"/>
      <c r="H160" s="265">
        <f t="shared" si="2"/>
        <v>550</v>
      </c>
    </row>
    <row r="161" spans="2:8" x14ac:dyDescent="0.2">
      <c r="B161" s="262" t="s">
        <v>1884</v>
      </c>
      <c r="C161" s="263">
        <v>42416</v>
      </c>
      <c r="D161" s="264" t="s">
        <v>1889</v>
      </c>
      <c r="E161" s="264" t="s">
        <v>2094</v>
      </c>
      <c r="F161" s="265">
        <v>400</v>
      </c>
      <c r="G161" s="265"/>
      <c r="H161" s="265">
        <f t="shared" si="2"/>
        <v>400</v>
      </c>
    </row>
    <row r="162" spans="2:8" x14ac:dyDescent="0.2">
      <c r="B162" s="262" t="s">
        <v>1884</v>
      </c>
      <c r="C162" s="263">
        <v>42416</v>
      </c>
      <c r="D162" s="264" t="s">
        <v>1889</v>
      </c>
      <c r="E162" s="264" t="s">
        <v>2095</v>
      </c>
      <c r="F162" s="265">
        <v>250</v>
      </c>
      <c r="G162" s="265"/>
      <c r="H162" s="265">
        <f t="shared" si="2"/>
        <v>250</v>
      </c>
    </row>
    <row r="163" spans="2:8" x14ac:dyDescent="0.2">
      <c r="B163" s="262" t="s">
        <v>1870</v>
      </c>
      <c r="C163" s="263">
        <v>42416</v>
      </c>
      <c r="D163" s="264" t="s">
        <v>1938</v>
      </c>
      <c r="E163" s="264" t="s">
        <v>2096</v>
      </c>
      <c r="F163" s="265">
        <v>400</v>
      </c>
      <c r="G163" s="265"/>
      <c r="H163" s="265">
        <f t="shared" si="2"/>
        <v>400</v>
      </c>
    </row>
    <row r="164" spans="2:8" x14ac:dyDescent="0.2">
      <c r="B164" s="262" t="s">
        <v>1884</v>
      </c>
      <c r="C164" s="263">
        <v>42417</v>
      </c>
      <c r="D164" s="264" t="s">
        <v>1915</v>
      </c>
      <c r="E164" s="264" t="s">
        <v>2097</v>
      </c>
      <c r="F164" s="265">
        <v>500</v>
      </c>
      <c r="G164" s="265"/>
      <c r="H164" s="265">
        <f t="shared" si="2"/>
        <v>500</v>
      </c>
    </row>
    <row r="165" spans="2:8" x14ac:dyDescent="0.2">
      <c r="B165" s="262" t="s">
        <v>1884</v>
      </c>
      <c r="C165" s="263">
        <v>42417</v>
      </c>
      <c r="D165" s="264" t="s">
        <v>1915</v>
      </c>
      <c r="E165" s="264" t="s">
        <v>2097</v>
      </c>
      <c r="F165" s="265">
        <v>500</v>
      </c>
      <c r="G165" s="265"/>
      <c r="H165" s="265">
        <f t="shared" si="2"/>
        <v>500</v>
      </c>
    </row>
    <row r="166" spans="2:8" x14ac:dyDescent="0.2">
      <c r="B166" s="262" t="s">
        <v>1860</v>
      </c>
      <c r="C166" s="263">
        <v>42417</v>
      </c>
      <c r="D166" s="264" t="s">
        <v>1891</v>
      </c>
      <c r="E166" s="264" t="s">
        <v>2098</v>
      </c>
      <c r="F166" s="265">
        <v>269.66000000000003</v>
      </c>
      <c r="G166" s="265">
        <v>43.14</v>
      </c>
      <c r="H166" s="265">
        <f t="shared" si="2"/>
        <v>312.8</v>
      </c>
    </row>
    <row r="167" spans="2:8" x14ac:dyDescent="0.2">
      <c r="B167" s="262" t="s">
        <v>1860</v>
      </c>
      <c r="C167" s="263">
        <v>42417</v>
      </c>
      <c r="D167" s="264" t="s">
        <v>1891</v>
      </c>
      <c r="E167" s="264" t="s">
        <v>2099</v>
      </c>
      <c r="F167" s="265">
        <v>772.24</v>
      </c>
      <c r="G167" s="265">
        <v>123.56</v>
      </c>
      <c r="H167" s="265">
        <f t="shared" si="2"/>
        <v>895.8</v>
      </c>
    </row>
    <row r="168" spans="2:8" x14ac:dyDescent="0.2">
      <c r="B168" s="262" t="s">
        <v>1859</v>
      </c>
      <c r="C168" s="263">
        <v>42418</v>
      </c>
      <c r="D168" s="264" t="s">
        <v>1919</v>
      </c>
      <c r="E168" s="264" t="s">
        <v>2100</v>
      </c>
      <c r="F168" s="265">
        <v>273</v>
      </c>
      <c r="G168" s="265"/>
      <c r="H168" s="265">
        <f t="shared" si="2"/>
        <v>273</v>
      </c>
    </row>
    <row r="169" spans="2:8" x14ac:dyDescent="0.2">
      <c r="B169" s="262" t="s">
        <v>1859</v>
      </c>
      <c r="C169" s="263">
        <v>42418</v>
      </c>
      <c r="D169" s="264" t="s">
        <v>1919</v>
      </c>
      <c r="E169" s="264" t="s">
        <v>1917</v>
      </c>
      <c r="F169" s="265">
        <v>40</v>
      </c>
      <c r="G169" s="265"/>
      <c r="H169" s="265">
        <f t="shared" si="2"/>
        <v>40</v>
      </c>
    </row>
    <row r="170" spans="2:8" x14ac:dyDescent="0.2">
      <c r="B170" s="262" t="s">
        <v>1884</v>
      </c>
      <c r="C170" s="263">
        <v>42418</v>
      </c>
      <c r="D170" s="264" t="s">
        <v>1889</v>
      </c>
      <c r="E170" s="264" t="s">
        <v>2101</v>
      </c>
      <c r="F170" s="265">
        <v>300</v>
      </c>
      <c r="G170" s="265"/>
      <c r="H170" s="265">
        <f t="shared" si="2"/>
        <v>300</v>
      </c>
    </row>
    <row r="171" spans="2:8" x14ac:dyDescent="0.2">
      <c r="B171" s="262" t="s">
        <v>1884</v>
      </c>
      <c r="C171" s="263">
        <v>42418</v>
      </c>
      <c r="D171" s="264" t="s">
        <v>1896</v>
      </c>
      <c r="E171" s="264" t="s">
        <v>1933</v>
      </c>
      <c r="F171" s="265">
        <v>150</v>
      </c>
      <c r="G171" s="265"/>
      <c r="H171" s="265">
        <f t="shared" si="2"/>
        <v>150</v>
      </c>
    </row>
    <row r="172" spans="2:8" x14ac:dyDescent="0.2">
      <c r="B172" s="262" t="s">
        <v>1870</v>
      </c>
      <c r="C172" s="263">
        <v>42419</v>
      </c>
      <c r="D172" s="264" t="s">
        <v>1938</v>
      </c>
      <c r="E172" s="264" t="s">
        <v>2102</v>
      </c>
      <c r="F172" s="265">
        <v>100</v>
      </c>
      <c r="G172" s="265"/>
      <c r="H172" s="265">
        <f t="shared" si="2"/>
        <v>100</v>
      </c>
    </row>
    <row r="173" spans="2:8" x14ac:dyDescent="0.2">
      <c r="B173" s="262" t="s">
        <v>1884</v>
      </c>
      <c r="C173" s="263">
        <v>42419</v>
      </c>
      <c r="D173" s="264" t="s">
        <v>2103</v>
      </c>
      <c r="E173" s="264" t="s">
        <v>2104</v>
      </c>
      <c r="F173" s="265">
        <v>350</v>
      </c>
      <c r="G173" s="265"/>
      <c r="H173" s="265">
        <f t="shared" si="2"/>
        <v>350</v>
      </c>
    </row>
    <row r="174" spans="2:8" x14ac:dyDescent="0.2">
      <c r="B174" s="262" t="s">
        <v>1879</v>
      </c>
      <c r="C174" s="263">
        <v>42419</v>
      </c>
      <c r="D174" s="264" t="s">
        <v>1938</v>
      </c>
      <c r="E174" s="264" t="s">
        <v>2105</v>
      </c>
      <c r="F174" s="265">
        <v>350</v>
      </c>
      <c r="G174" s="265"/>
      <c r="H174" s="265">
        <f t="shared" si="2"/>
        <v>350</v>
      </c>
    </row>
    <row r="175" spans="2:8" x14ac:dyDescent="0.2">
      <c r="B175" s="262" t="s">
        <v>1870</v>
      </c>
      <c r="C175" s="263">
        <v>42419</v>
      </c>
      <c r="D175" s="264" t="s">
        <v>1938</v>
      </c>
      <c r="E175" s="264" t="s">
        <v>2106</v>
      </c>
      <c r="F175" s="265">
        <v>1500</v>
      </c>
      <c r="G175" s="265"/>
      <c r="H175" s="265">
        <f t="shared" si="2"/>
        <v>1500</v>
      </c>
    </row>
    <row r="176" spans="2:8" x14ac:dyDescent="0.2">
      <c r="B176" s="262" t="s">
        <v>1866</v>
      </c>
      <c r="C176" s="263">
        <v>42419</v>
      </c>
      <c r="D176" s="264" t="s">
        <v>1890</v>
      </c>
      <c r="E176" s="264" t="s">
        <v>1914</v>
      </c>
      <c r="F176" s="265">
        <v>110</v>
      </c>
      <c r="G176" s="265"/>
      <c r="H176" s="265">
        <f t="shared" si="2"/>
        <v>110</v>
      </c>
    </row>
    <row r="177" spans="2:8" x14ac:dyDescent="0.2">
      <c r="B177" s="262" t="s">
        <v>1859</v>
      </c>
      <c r="C177" s="263">
        <v>42419</v>
      </c>
      <c r="D177" s="264" t="s">
        <v>1910</v>
      </c>
      <c r="E177" s="264" t="s">
        <v>2107</v>
      </c>
      <c r="F177" s="265">
        <v>1000</v>
      </c>
      <c r="G177" s="265"/>
      <c r="H177" s="265">
        <f t="shared" si="2"/>
        <v>1000</v>
      </c>
    </row>
    <row r="178" spans="2:8" x14ac:dyDescent="0.2">
      <c r="B178" s="262" t="s">
        <v>1859</v>
      </c>
      <c r="C178" s="263">
        <v>42419</v>
      </c>
      <c r="D178" s="264" t="s">
        <v>1910</v>
      </c>
      <c r="E178" s="264" t="s">
        <v>2108</v>
      </c>
      <c r="F178" s="265">
        <v>400</v>
      </c>
      <c r="G178" s="265"/>
      <c r="H178" s="265">
        <f t="shared" si="2"/>
        <v>400</v>
      </c>
    </row>
    <row r="179" spans="2:8" x14ac:dyDescent="0.2">
      <c r="B179" s="262" t="s">
        <v>1875</v>
      </c>
      <c r="C179" s="263">
        <v>42419</v>
      </c>
      <c r="D179" s="264" t="s">
        <v>1893</v>
      </c>
      <c r="E179" s="264" t="s">
        <v>2109</v>
      </c>
      <c r="F179" s="265">
        <v>421.33</v>
      </c>
      <c r="G179" s="265">
        <v>67.459999999999994</v>
      </c>
      <c r="H179" s="265">
        <f t="shared" si="2"/>
        <v>488.78999999999996</v>
      </c>
    </row>
    <row r="180" spans="2:8" x14ac:dyDescent="0.2">
      <c r="B180" s="262" t="s">
        <v>1875</v>
      </c>
      <c r="C180" s="263">
        <v>42419</v>
      </c>
      <c r="D180" s="264" t="s">
        <v>1925</v>
      </c>
      <c r="E180" s="264" t="s">
        <v>2110</v>
      </c>
      <c r="F180" s="265">
        <v>20</v>
      </c>
      <c r="G180" s="265"/>
      <c r="H180" s="265">
        <f t="shared" si="2"/>
        <v>20</v>
      </c>
    </row>
    <row r="181" spans="2:8" x14ac:dyDescent="0.2">
      <c r="B181" s="262" t="s">
        <v>1859</v>
      </c>
      <c r="C181" s="263">
        <v>42420</v>
      </c>
      <c r="D181" s="264" t="s">
        <v>1924</v>
      </c>
      <c r="E181" s="264" t="s">
        <v>2111</v>
      </c>
      <c r="F181" s="265">
        <v>227.91</v>
      </c>
      <c r="G181" s="265">
        <v>35.29</v>
      </c>
      <c r="H181" s="265">
        <f t="shared" si="2"/>
        <v>263.2</v>
      </c>
    </row>
    <row r="182" spans="2:8" x14ac:dyDescent="0.2">
      <c r="B182" s="262" t="s">
        <v>1866</v>
      </c>
      <c r="C182" s="263">
        <v>42421</v>
      </c>
      <c r="D182" s="264" t="s">
        <v>1903</v>
      </c>
      <c r="E182" s="264" t="s">
        <v>2053</v>
      </c>
      <c r="F182" s="265">
        <v>63</v>
      </c>
      <c r="G182" s="265"/>
      <c r="H182" s="265">
        <f t="shared" si="2"/>
        <v>63</v>
      </c>
    </row>
    <row r="183" spans="2:8" x14ac:dyDescent="0.2">
      <c r="B183" s="262" t="s">
        <v>1860</v>
      </c>
      <c r="C183" s="263">
        <v>42421</v>
      </c>
      <c r="D183" s="264" t="s">
        <v>1891</v>
      </c>
      <c r="E183" s="264" t="s">
        <v>2112</v>
      </c>
      <c r="F183" s="265">
        <v>68.28</v>
      </c>
      <c r="G183" s="265">
        <v>10.92</v>
      </c>
      <c r="H183" s="265">
        <f t="shared" si="2"/>
        <v>79.2</v>
      </c>
    </row>
    <row r="184" spans="2:8" x14ac:dyDescent="0.2">
      <c r="B184" s="262" t="s">
        <v>1866</v>
      </c>
      <c r="C184" s="263">
        <v>42422</v>
      </c>
      <c r="D184" s="264" t="s">
        <v>1890</v>
      </c>
      <c r="E184" s="264" t="s">
        <v>1900</v>
      </c>
      <c r="F184" s="265">
        <v>110</v>
      </c>
      <c r="G184" s="265"/>
      <c r="H184" s="265">
        <f t="shared" si="2"/>
        <v>110</v>
      </c>
    </row>
    <row r="185" spans="2:8" x14ac:dyDescent="0.2">
      <c r="B185" s="262" t="s">
        <v>1859</v>
      </c>
      <c r="C185" s="263">
        <v>42422</v>
      </c>
      <c r="D185" s="264" t="s">
        <v>1597</v>
      </c>
      <c r="E185" s="264" t="s">
        <v>2113</v>
      </c>
      <c r="F185" s="265">
        <v>20</v>
      </c>
      <c r="G185" s="265"/>
      <c r="H185" s="265">
        <f t="shared" si="2"/>
        <v>20</v>
      </c>
    </row>
    <row r="186" spans="2:8" x14ac:dyDescent="0.2">
      <c r="B186" s="262" t="s">
        <v>1865</v>
      </c>
      <c r="C186" s="263">
        <v>42424</v>
      </c>
      <c r="D186" s="264" t="s">
        <v>1937</v>
      </c>
      <c r="E186" s="264" t="s">
        <v>2114</v>
      </c>
      <c r="F186" s="265">
        <v>1200</v>
      </c>
      <c r="G186" s="265"/>
      <c r="H186" s="265">
        <f t="shared" si="2"/>
        <v>1200</v>
      </c>
    </row>
    <row r="187" spans="2:8" x14ac:dyDescent="0.2">
      <c r="B187" s="262" t="s">
        <v>1862</v>
      </c>
      <c r="C187" s="263">
        <v>42424</v>
      </c>
      <c r="D187" s="264" t="s">
        <v>1938</v>
      </c>
      <c r="E187" s="264" t="s">
        <v>2115</v>
      </c>
      <c r="F187" s="265">
        <v>360</v>
      </c>
      <c r="G187" s="265"/>
      <c r="H187" s="265">
        <f t="shared" si="2"/>
        <v>360</v>
      </c>
    </row>
    <row r="188" spans="2:8" x14ac:dyDescent="0.2">
      <c r="B188" s="262" t="s">
        <v>1865</v>
      </c>
      <c r="C188" s="263">
        <v>42425</v>
      </c>
      <c r="D188" s="264" t="s">
        <v>1937</v>
      </c>
      <c r="E188" s="264" t="s">
        <v>2116</v>
      </c>
      <c r="F188" s="265">
        <v>1500</v>
      </c>
      <c r="G188" s="265"/>
      <c r="H188" s="265">
        <f t="shared" si="2"/>
        <v>1500</v>
      </c>
    </row>
    <row r="189" spans="2:8" x14ac:dyDescent="0.2">
      <c r="B189" s="262" t="s">
        <v>1865</v>
      </c>
      <c r="C189" s="263">
        <v>42425</v>
      </c>
      <c r="D189" s="264" t="s">
        <v>1937</v>
      </c>
      <c r="E189" s="264" t="s">
        <v>2117</v>
      </c>
      <c r="F189" s="265">
        <v>400</v>
      </c>
      <c r="G189" s="265"/>
      <c r="H189" s="265">
        <f t="shared" si="2"/>
        <v>400</v>
      </c>
    </row>
    <row r="190" spans="2:8" x14ac:dyDescent="0.2">
      <c r="B190" s="262" t="s">
        <v>1866</v>
      </c>
      <c r="C190" s="263">
        <v>42426</v>
      </c>
      <c r="D190" s="264" t="s">
        <v>1890</v>
      </c>
      <c r="E190" s="264" t="s">
        <v>1900</v>
      </c>
      <c r="F190" s="265">
        <v>110</v>
      </c>
      <c r="G190" s="265"/>
      <c r="H190" s="265">
        <f t="shared" si="2"/>
        <v>110</v>
      </c>
    </row>
    <row r="191" spans="2:8" x14ac:dyDescent="0.2">
      <c r="B191" s="262" t="s">
        <v>1859</v>
      </c>
      <c r="C191" s="263">
        <v>43522</v>
      </c>
      <c r="D191" s="264" t="s">
        <v>1910</v>
      </c>
      <c r="E191" s="264" t="s">
        <v>2118</v>
      </c>
      <c r="F191" s="265">
        <v>1000</v>
      </c>
      <c r="G191" s="265"/>
      <c r="H191" s="265">
        <f t="shared" si="2"/>
        <v>1000</v>
      </c>
    </row>
    <row r="192" spans="2:8" x14ac:dyDescent="0.2">
      <c r="B192" s="262" t="s">
        <v>1884</v>
      </c>
      <c r="C192" s="263">
        <v>43522</v>
      </c>
      <c r="D192" s="264" t="s">
        <v>1906</v>
      </c>
      <c r="E192" s="264" t="s">
        <v>2119</v>
      </c>
      <c r="F192" s="265">
        <v>925</v>
      </c>
      <c r="G192" s="265"/>
      <c r="H192" s="265">
        <f t="shared" si="2"/>
        <v>925</v>
      </c>
    </row>
    <row r="193" spans="2:8" x14ac:dyDescent="0.2">
      <c r="B193" s="262" t="s">
        <v>1884</v>
      </c>
      <c r="C193" s="263">
        <v>42428</v>
      </c>
      <c r="D193" s="264" t="s">
        <v>1896</v>
      </c>
      <c r="E193" s="264" t="s">
        <v>2120</v>
      </c>
      <c r="F193" s="265">
        <v>100</v>
      </c>
      <c r="G193" s="265"/>
      <c r="H193" s="265">
        <f t="shared" si="2"/>
        <v>100</v>
      </c>
    </row>
    <row r="194" spans="2:8" x14ac:dyDescent="0.2">
      <c r="B194" s="262" t="s">
        <v>1884</v>
      </c>
      <c r="C194" s="263">
        <v>42429</v>
      </c>
      <c r="D194" s="264" t="s">
        <v>1873</v>
      </c>
      <c r="E194" s="264" t="s">
        <v>2121</v>
      </c>
      <c r="F194" s="265">
        <v>450</v>
      </c>
      <c r="G194" s="265"/>
      <c r="H194" s="265">
        <f t="shared" si="2"/>
        <v>450</v>
      </c>
    </row>
    <row r="195" spans="2:8" x14ac:dyDescent="0.2">
      <c r="B195" s="262" t="s">
        <v>1884</v>
      </c>
      <c r="C195" s="263">
        <v>42429</v>
      </c>
      <c r="D195" s="264" t="s">
        <v>1896</v>
      </c>
      <c r="E195" s="264" t="s">
        <v>2122</v>
      </c>
      <c r="F195" s="265">
        <v>650</v>
      </c>
      <c r="G195" s="265"/>
      <c r="H195" s="265">
        <f t="shared" si="2"/>
        <v>650</v>
      </c>
    </row>
    <row r="196" spans="2:8" x14ac:dyDescent="0.2">
      <c r="B196" s="262" t="s">
        <v>1866</v>
      </c>
      <c r="C196" s="263">
        <v>42429</v>
      </c>
      <c r="D196" s="264" t="s">
        <v>1890</v>
      </c>
      <c r="E196" s="264" t="s">
        <v>1900</v>
      </c>
      <c r="F196" s="265">
        <v>110</v>
      </c>
      <c r="G196" s="265"/>
      <c r="H196" s="265">
        <f t="shared" si="2"/>
        <v>110</v>
      </c>
    </row>
    <row r="197" spans="2:8" x14ac:dyDescent="0.2">
      <c r="B197" s="262" t="s">
        <v>1866</v>
      </c>
      <c r="C197" s="263">
        <v>42429</v>
      </c>
      <c r="D197" s="264" t="s">
        <v>1903</v>
      </c>
      <c r="E197" s="264" t="s">
        <v>2123</v>
      </c>
      <c r="F197" s="265">
        <v>39.659999999999997</v>
      </c>
      <c r="G197" s="265">
        <v>6.34</v>
      </c>
      <c r="H197" s="265">
        <f t="shared" ref="H197:H260" si="3">SUM(F197:G197)</f>
        <v>46</v>
      </c>
    </row>
    <row r="198" spans="2:8" x14ac:dyDescent="0.2">
      <c r="B198" s="262" t="s">
        <v>1866</v>
      </c>
      <c r="C198" s="263">
        <v>42429</v>
      </c>
      <c r="D198" s="264" t="s">
        <v>1903</v>
      </c>
      <c r="E198" s="264" t="s">
        <v>2123</v>
      </c>
      <c r="F198" s="265">
        <v>90.95</v>
      </c>
      <c r="G198" s="265">
        <v>14.55</v>
      </c>
      <c r="H198" s="265">
        <f t="shared" si="3"/>
        <v>105.5</v>
      </c>
    </row>
    <row r="199" spans="2:8" x14ac:dyDescent="0.2">
      <c r="B199" s="262" t="s">
        <v>1859</v>
      </c>
      <c r="C199" s="263">
        <v>42429</v>
      </c>
      <c r="D199" s="264" t="s">
        <v>1910</v>
      </c>
      <c r="E199" s="264" t="s">
        <v>2124</v>
      </c>
      <c r="F199" s="265">
        <v>800</v>
      </c>
      <c r="G199" s="265"/>
      <c r="H199" s="265">
        <f t="shared" si="3"/>
        <v>800</v>
      </c>
    </row>
    <row r="200" spans="2:8" x14ac:dyDescent="0.2">
      <c r="B200" s="262" t="s">
        <v>1577</v>
      </c>
      <c r="C200" s="263">
        <v>42429</v>
      </c>
      <c r="D200" s="264" t="s">
        <v>1886</v>
      </c>
      <c r="E200" s="264" t="s">
        <v>2091</v>
      </c>
      <c r="F200" s="265">
        <v>2700</v>
      </c>
      <c r="G200" s="265"/>
      <c r="H200" s="265">
        <f t="shared" si="3"/>
        <v>2700</v>
      </c>
    </row>
    <row r="201" spans="2:8" x14ac:dyDescent="0.2">
      <c r="B201" s="262" t="s">
        <v>1577</v>
      </c>
      <c r="C201" s="263">
        <v>42429</v>
      </c>
      <c r="D201" s="264" t="s">
        <v>1899</v>
      </c>
      <c r="E201" s="264" t="s">
        <v>2092</v>
      </c>
      <c r="F201" s="265">
        <v>29000</v>
      </c>
      <c r="G201" s="265"/>
      <c r="H201" s="265">
        <f t="shared" si="3"/>
        <v>29000</v>
      </c>
    </row>
    <row r="202" spans="2:8" x14ac:dyDescent="0.2">
      <c r="B202" s="262" t="s">
        <v>1859</v>
      </c>
      <c r="C202" s="263">
        <v>42429</v>
      </c>
      <c r="D202" s="264" t="s">
        <v>1911</v>
      </c>
      <c r="E202" s="264" t="s">
        <v>1935</v>
      </c>
      <c r="F202" s="265">
        <v>4000</v>
      </c>
      <c r="G202" s="265"/>
      <c r="H202" s="265">
        <f t="shared" si="3"/>
        <v>4000</v>
      </c>
    </row>
    <row r="203" spans="2:8" x14ac:dyDescent="0.2">
      <c r="B203" s="262" t="s">
        <v>1790</v>
      </c>
      <c r="C203" s="326">
        <v>42419</v>
      </c>
      <c r="D203" s="264" t="s">
        <v>1909</v>
      </c>
      <c r="E203" s="264" t="s">
        <v>2029</v>
      </c>
      <c r="F203" s="265"/>
      <c r="G203" s="265">
        <v>-1760</v>
      </c>
      <c r="H203" s="265">
        <f t="shared" si="3"/>
        <v>-1760</v>
      </c>
    </row>
    <row r="204" spans="2:8" x14ac:dyDescent="0.2">
      <c r="B204" s="266" t="s">
        <v>1887</v>
      </c>
      <c r="C204" s="267">
        <v>42419</v>
      </c>
      <c r="D204" s="268" t="s">
        <v>1538</v>
      </c>
      <c r="E204" s="268" t="s">
        <v>1536</v>
      </c>
      <c r="F204" s="269">
        <v>-0.28999999999999998</v>
      </c>
      <c r="G204" s="269"/>
      <c r="H204" s="269">
        <f t="shared" si="3"/>
        <v>-0.28999999999999998</v>
      </c>
    </row>
    <row r="205" spans="2:8" ht="18" customHeight="1" x14ac:dyDescent="0.2">
      <c r="B205" s="270" t="s">
        <v>1850</v>
      </c>
      <c r="C205" s="270" t="s">
        <v>1851</v>
      </c>
      <c r="D205" s="271" t="s">
        <v>1852</v>
      </c>
      <c r="E205" s="271" t="s">
        <v>1853</v>
      </c>
      <c r="F205" s="272" t="s">
        <v>1854</v>
      </c>
      <c r="G205" s="272" t="s">
        <v>1855</v>
      </c>
      <c r="H205" s="257" t="s">
        <v>1856</v>
      </c>
    </row>
    <row r="206" spans="2:8" x14ac:dyDescent="0.2">
      <c r="B206" s="258" t="s">
        <v>1879</v>
      </c>
      <c r="C206" s="259">
        <v>42431</v>
      </c>
      <c r="D206" s="260" t="s">
        <v>1938</v>
      </c>
      <c r="E206" s="260" t="s">
        <v>2125</v>
      </c>
      <c r="F206" s="261">
        <v>700</v>
      </c>
      <c r="G206" s="261"/>
      <c r="H206" s="261">
        <f t="shared" si="3"/>
        <v>700</v>
      </c>
    </row>
    <row r="207" spans="2:8" x14ac:dyDescent="0.2">
      <c r="B207" s="262" t="s">
        <v>1884</v>
      </c>
      <c r="C207" s="263">
        <v>42432</v>
      </c>
      <c r="D207" s="264" t="s">
        <v>2126</v>
      </c>
      <c r="E207" s="264" t="s">
        <v>2127</v>
      </c>
      <c r="F207" s="265">
        <v>200</v>
      </c>
      <c r="G207" s="265"/>
      <c r="H207" s="265">
        <f t="shared" si="3"/>
        <v>200</v>
      </c>
    </row>
    <row r="208" spans="2:8" x14ac:dyDescent="0.2">
      <c r="B208" s="262" t="s">
        <v>1860</v>
      </c>
      <c r="C208" s="263">
        <v>42432</v>
      </c>
      <c r="D208" s="264" t="s">
        <v>1926</v>
      </c>
      <c r="E208" s="264" t="s">
        <v>2128</v>
      </c>
      <c r="F208" s="265">
        <v>130</v>
      </c>
      <c r="G208" s="265"/>
      <c r="H208" s="265">
        <f t="shared" si="3"/>
        <v>130</v>
      </c>
    </row>
    <row r="209" spans="2:8" x14ac:dyDescent="0.2">
      <c r="B209" s="262" t="s">
        <v>1884</v>
      </c>
      <c r="C209" s="263">
        <v>42432</v>
      </c>
      <c r="D209" s="264" t="s">
        <v>1911</v>
      </c>
      <c r="E209" s="264" t="s">
        <v>2129</v>
      </c>
      <c r="F209" s="265">
        <v>60</v>
      </c>
      <c r="G209" s="265"/>
      <c r="H209" s="265">
        <f t="shared" si="3"/>
        <v>60</v>
      </c>
    </row>
    <row r="210" spans="2:8" x14ac:dyDescent="0.2">
      <c r="B210" s="262" t="s">
        <v>1860</v>
      </c>
      <c r="C210" s="263">
        <v>42432</v>
      </c>
      <c r="D210" s="264" t="s">
        <v>1891</v>
      </c>
      <c r="E210" s="264" t="s">
        <v>2130</v>
      </c>
      <c r="F210" s="265">
        <v>219</v>
      </c>
      <c r="G210" s="265"/>
      <c r="H210" s="265">
        <f t="shared" si="3"/>
        <v>219</v>
      </c>
    </row>
    <row r="211" spans="2:8" x14ac:dyDescent="0.2">
      <c r="B211" s="262" t="s">
        <v>1884</v>
      </c>
      <c r="C211" s="263">
        <v>42433</v>
      </c>
      <c r="D211" s="264" t="s">
        <v>1915</v>
      </c>
      <c r="E211" s="264" t="s">
        <v>2131</v>
      </c>
      <c r="F211" s="265">
        <v>400</v>
      </c>
      <c r="G211" s="265"/>
      <c r="H211" s="265">
        <f t="shared" si="3"/>
        <v>400</v>
      </c>
    </row>
    <row r="212" spans="2:8" x14ac:dyDescent="0.2">
      <c r="B212" s="262" t="s">
        <v>1866</v>
      </c>
      <c r="C212" s="263">
        <v>42433</v>
      </c>
      <c r="D212" s="264" t="s">
        <v>1903</v>
      </c>
      <c r="E212" s="264" t="s">
        <v>2132</v>
      </c>
      <c r="F212" s="265">
        <v>73.900000000000006</v>
      </c>
      <c r="G212" s="265"/>
      <c r="H212" s="265">
        <f t="shared" si="3"/>
        <v>73.900000000000006</v>
      </c>
    </row>
    <row r="213" spans="2:8" x14ac:dyDescent="0.2">
      <c r="B213" s="262" t="s">
        <v>1866</v>
      </c>
      <c r="C213" s="263">
        <v>42404</v>
      </c>
      <c r="D213" s="264" t="s">
        <v>1890</v>
      </c>
      <c r="E213" s="264" t="s">
        <v>1900</v>
      </c>
      <c r="F213" s="265">
        <v>110</v>
      </c>
      <c r="G213" s="265"/>
      <c r="H213" s="265">
        <f t="shared" si="3"/>
        <v>110</v>
      </c>
    </row>
    <row r="214" spans="2:8" x14ac:dyDescent="0.2">
      <c r="B214" s="262" t="s">
        <v>1860</v>
      </c>
      <c r="C214" s="263">
        <v>42433</v>
      </c>
      <c r="D214" s="264" t="s">
        <v>1926</v>
      </c>
      <c r="E214" s="264" t="s">
        <v>2133</v>
      </c>
      <c r="F214" s="265">
        <v>161</v>
      </c>
      <c r="G214" s="265"/>
      <c r="H214" s="265">
        <f t="shared" si="3"/>
        <v>161</v>
      </c>
    </row>
    <row r="215" spans="2:8" x14ac:dyDescent="0.2">
      <c r="B215" s="262" t="s">
        <v>1866</v>
      </c>
      <c r="C215" s="263">
        <v>42433</v>
      </c>
      <c r="D215" s="264" t="s">
        <v>1890</v>
      </c>
      <c r="E215" s="264" t="s">
        <v>1902</v>
      </c>
      <c r="F215" s="265">
        <v>40</v>
      </c>
      <c r="G215" s="265"/>
      <c r="H215" s="265">
        <f t="shared" si="3"/>
        <v>40</v>
      </c>
    </row>
    <row r="216" spans="2:8" x14ac:dyDescent="0.2">
      <c r="B216" s="262" t="s">
        <v>1867</v>
      </c>
      <c r="C216" s="263">
        <v>42433</v>
      </c>
      <c r="D216" s="264" t="s">
        <v>1894</v>
      </c>
      <c r="E216" s="264" t="s">
        <v>2134</v>
      </c>
      <c r="F216" s="265">
        <v>984</v>
      </c>
      <c r="G216" s="265"/>
      <c r="H216" s="265">
        <f t="shared" si="3"/>
        <v>984</v>
      </c>
    </row>
    <row r="217" spans="2:8" x14ac:dyDescent="0.2">
      <c r="B217" s="262" t="s">
        <v>1884</v>
      </c>
      <c r="C217" s="263">
        <v>42433</v>
      </c>
      <c r="D217" s="264" t="s">
        <v>2135</v>
      </c>
      <c r="E217" s="264" t="s">
        <v>2136</v>
      </c>
      <c r="F217" s="265">
        <v>20</v>
      </c>
      <c r="G217" s="265"/>
      <c r="H217" s="265">
        <f t="shared" si="3"/>
        <v>20</v>
      </c>
    </row>
    <row r="218" spans="2:8" x14ac:dyDescent="0.2">
      <c r="B218" s="262" t="s">
        <v>1859</v>
      </c>
      <c r="C218" s="263">
        <v>42433</v>
      </c>
      <c r="D218" s="264" t="s">
        <v>1910</v>
      </c>
      <c r="E218" s="264" t="s">
        <v>2137</v>
      </c>
      <c r="F218" s="265">
        <v>1000</v>
      </c>
      <c r="G218" s="265"/>
      <c r="H218" s="265">
        <f t="shared" si="3"/>
        <v>1000</v>
      </c>
    </row>
    <row r="219" spans="2:8" x14ac:dyDescent="0.2">
      <c r="B219" s="262" t="s">
        <v>1884</v>
      </c>
      <c r="C219" s="263">
        <v>42433</v>
      </c>
      <c r="D219" s="264" t="s">
        <v>1878</v>
      </c>
      <c r="E219" s="264" t="s">
        <v>2138</v>
      </c>
      <c r="F219" s="265">
        <v>70</v>
      </c>
      <c r="G219" s="265"/>
      <c r="H219" s="265">
        <f t="shared" si="3"/>
        <v>70</v>
      </c>
    </row>
    <row r="220" spans="2:8" x14ac:dyDescent="0.2">
      <c r="B220" s="262" t="s">
        <v>1865</v>
      </c>
      <c r="C220" s="263">
        <v>42433</v>
      </c>
      <c r="D220" s="264" t="s">
        <v>1937</v>
      </c>
      <c r="E220" s="264" t="s">
        <v>2139</v>
      </c>
      <c r="F220" s="265">
        <v>900</v>
      </c>
      <c r="G220" s="265"/>
      <c r="H220" s="265">
        <f t="shared" si="3"/>
        <v>900</v>
      </c>
    </row>
    <row r="221" spans="2:8" x14ac:dyDescent="0.2">
      <c r="B221" s="262" t="s">
        <v>1884</v>
      </c>
      <c r="C221" s="263">
        <v>42434</v>
      </c>
      <c r="D221" s="264" t="s">
        <v>1915</v>
      </c>
      <c r="E221" s="264" t="s">
        <v>2131</v>
      </c>
      <c r="F221" s="265">
        <v>400</v>
      </c>
      <c r="G221" s="265"/>
      <c r="H221" s="265">
        <f t="shared" si="3"/>
        <v>400</v>
      </c>
    </row>
    <row r="222" spans="2:8" x14ac:dyDescent="0.2">
      <c r="B222" s="262" t="s">
        <v>1861</v>
      </c>
      <c r="C222" s="263">
        <v>42434</v>
      </c>
      <c r="D222" s="264" t="s">
        <v>1981</v>
      </c>
      <c r="E222" s="264" t="s">
        <v>2140</v>
      </c>
      <c r="F222" s="265">
        <v>330</v>
      </c>
      <c r="G222" s="265"/>
      <c r="H222" s="265">
        <f t="shared" si="3"/>
        <v>330</v>
      </c>
    </row>
    <row r="223" spans="2:8" x14ac:dyDescent="0.2">
      <c r="B223" s="262" t="s">
        <v>1861</v>
      </c>
      <c r="C223" s="263">
        <v>42435</v>
      </c>
      <c r="D223" s="264" t="s">
        <v>1898</v>
      </c>
      <c r="E223" s="264" t="s">
        <v>2141</v>
      </c>
      <c r="F223" s="265">
        <v>72</v>
      </c>
      <c r="G223" s="265"/>
      <c r="H223" s="265">
        <f t="shared" si="3"/>
        <v>72</v>
      </c>
    </row>
    <row r="224" spans="2:8" x14ac:dyDescent="0.2">
      <c r="B224" s="262" t="s">
        <v>1884</v>
      </c>
      <c r="C224" s="263">
        <v>42435</v>
      </c>
      <c r="D224" s="264" t="s">
        <v>1896</v>
      </c>
      <c r="E224" s="264" t="s">
        <v>2142</v>
      </c>
      <c r="F224" s="265">
        <v>150</v>
      </c>
      <c r="G224" s="265"/>
      <c r="H224" s="265">
        <f t="shared" si="3"/>
        <v>150</v>
      </c>
    </row>
    <row r="225" spans="2:8" x14ac:dyDescent="0.2">
      <c r="B225" s="262" t="s">
        <v>1884</v>
      </c>
      <c r="C225" s="263">
        <v>42435</v>
      </c>
      <c r="D225" s="264" t="s">
        <v>1903</v>
      </c>
      <c r="E225" s="264" t="s">
        <v>2143</v>
      </c>
      <c r="F225" s="265">
        <v>150</v>
      </c>
      <c r="G225" s="265"/>
      <c r="H225" s="265">
        <f t="shared" si="3"/>
        <v>150</v>
      </c>
    </row>
    <row r="226" spans="2:8" x14ac:dyDescent="0.2">
      <c r="B226" s="262" t="s">
        <v>1870</v>
      </c>
      <c r="C226" s="263">
        <v>42436</v>
      </c>
      <c r="D226" s="264" t="s">
        <v>1938</v>
      </c>
      <c r="E226" s="264" t="s">
        <v>2144</v>
      </c>
      <c r="F226" s="265">
        <v>600</v>
      </c>
      <c r="G226" s="265"/>
      <c r="H226" s="265">
        <f t="shared" si="3"/>
        <v>600</v>
      </c>
    </row>
    <row r="227" spans="2:8" x14ac:dyDescent="0.2">
      <c r="B227" s="262" t="s">
        <v>1862</v>
      </c>
      <c r="C227" s="263">
        <v>42436</v>
      </c>
      <c r="D227" s="264" t="s">
        <v>1938</v>
      </c>
      <c r="E227" s="264" t="s">
        <v>2145</v>
      </c>
      <c r="F227" s="265">
        <v>2050</v>
      </c>
      <c r="G227" s="265"/>
      <c r="H227" s="265">
        <f t="shared" si="3"/>
        <v>2050</v>
      </c>
    </row>
    <row r="228" spans="2:8" x14ac:dyDescent="0.2">
      <c r="B228" s="262" t="s">
        <v>1884</v>
      </c>
      <c r="C228" s="263">
        <v>42436</v>
      </c>
      <c r="D228" s="264" t="s">
        <v>1912</v>
      </c>
      <c r="E228" s="264" t="s">
        <v>2146</v>
      </c>
      <c r="F228" s="265">
        <v>263.2</v>
      </c>
      <c r="G228" s="265"/>
      <c r="H228" s="265">
        <f t="shared" si="3"/>
        <v>263.2</v>
      </c>
    </row>
    <row r="229" spans="2:8" x14ac:dyDescent="0.2">
      <c r="B229" s="262" t="s">
        <v>1862</v>
      </c>
      <c r="C229" s="263">
        <v>42436</v>
      </c>
      <c r="D229" s="264" t="s">
        <v>2147</v>
      </c>
      <c r="E229" s="264" t="s">
        <v>2148</v>
      </c>
      <c r="F229" s="265">
        <v>5861.21</v>
      </c>
      <c r="G229" s="265">
        <v>937.79</v>
      </c>
      <c r="H229" s="265">
        <f t="shared" si="3"/>
        <v>6799</v>
      </c>
    </row>
    <row r="230" spans="2:8" x14ac:dyDescent="0.2">
      <c r="B230" s="262" t="s">
        <v>1884</v>
      </c>
      <c r="C230" s="263">
        <v>42436</v>
      </c>
      <c r="D230" s="264" t="s">
        <v>1918</v>
      </c>
      <c r="E230" s="264" t="s">
        <v>2149</v>
      </c>
      <c r="F230" s="265">
        <v>25</v>
      </c>
      <c r="G230" s="265"/>
      <c r="H230" s="265">
        <f t="shared" si="3"/>
        <v>25</v>
      </c>
    </row>
    <row r="231" spans="2:8" x14ac:dyDescent="0.2">
      <c r="B231" s="262" t="s">
        <v>1866</v>
      </c>
      <c r="C231" s="263">
        <v>42436</v>
      </c>
      <c r="D231" s="264" t="s">
        <v>1911</v>
      </c>
      <c r="E231" s="264" t="s">
        <v>2150</v>
      </c>
      <c r="F231" s="265">
        <v>30</v>
      </c>
      <c r="G231" s="265"/>
      <c r="H231" s="265">
        <f t="shared" si="3"/>
        <v>30</v>
      </c>
    </row>
    <row r="232" spans="2:8" x14ac:dyDescent="0.2">
      <c r="B232" s="262" t="s">
        <v>1866</v>
      </c>
      <c r="C232" s="263">
        <v>42436</v>
      </c>
      <c r="D232" s="264" t="s">
        <v>1903</v>
      </c>
      <c r="E232" s="264" t="s">
        <v>2143</v>
      </c>
      <c r="F232" s="265">
        <v>72</v>
      </c>
      <c r="G232" s="265"/>
      <c r="H232" s="265">
        <f t="shared" si="3"/>
        <v>72</v>
      </c>
    </row>
    <row r="233" spans="2:8" x14ac:dyDescent="0.2">
      <c r="B233" s="262" t="s">
        <v>1790</v>
      </c>
      <c r="C233" s="263">
        <v>42438</v>
      </c>
      <c r="D233" s="264" t="s">
        <v>1909</v>
      </c>
      <c r="E233" s="264" t="s">
        <v>2151</v>
      </c>
      <c r="F233" s="265"/>
      <c r="G233" s="265">
        <v>1760</v>
      </c>
      <c r="H233" s="265">
        <f t="shared" si="3"/>
        <v>1760</v>
      </c>
    </row>
    <row r="234" spans="2:8" x14ac:dyDescent="0.2">
      <c r="B234" s="262" t="s">
        <v>1805</v>
      </c>
      <c r="C234" s="263">
        <v>42438</v>
      </c>
      <c r="D234" s="264" t="s">
        <v>1888</v>
      </c>
      <c r="E234" s="264" t="s">
        <v>2152</v>
      </c>
      <c r="F234" s="265">
        <v>1055.17</v>
      </c>
      <c r="G234" s="265">
        <v>168.83</v>
      </c>
      <c r="H234" s="265">
        <f t="shared" si="3"/>
        <v>1224</v>
      </c>
    </row>
    <row r="235" spans="2:8" x14ac:dyDescent="0.2">
      <c r="B235" s="262" t="s">
        <v>1805</v>
      </c>
      <c r="C235" s="263">
        <v>42438</v>
      </c>
      <c r="D235" s="264" t="s">
        <v>1911</v>
      </c>
      <c r="E235" s="264" t="s">
        <v>2153</v>
      </c>
      <c r="F235" s="265">
        <v>100</v>
      </c>
      <c r="G235" s="265"/>
      <c r="H235" s="265">
        <f t="shared" si="3"/>
        <v>100</v>
      </c>
    </row>
    <row r="236" spans="2:8" x14ac:dyDescent="0.2">
      <c r="B236" s="262" t="s">
        <v>1866</v>
      </c>
      <c r="C236" s="263">
        <v>42438</v>
      </c>
      <c r="D236" s="264" t="s">
        <v>1890</v>
      </c>
      <c r="E236" s="264" t="s">
        <v>1900</v>
      </c>
      <c r="F236" s="265">
        <v>110</v>
      </c>
      <c r="G236" s="265"/>
      <c r="H236" s="265">
        <f t="shared" si="3"/>
        <v>110</v>
      </c>
    </row>
    <row r="237" spans="2:8" x14ac:dyDescent="0.2">
      <c r="B237" s="262" t="s">
        <v>1860</v>
      </c>
      <c r="C237" s="263">
        <v>42438</v>
      </c>
      <c r="D237" s="264" t="s">
        <v>1926</v>
      </c>
      <c r="E237" s="264" t="s">
        <v>2154</v>
      </c>
      <c r="F237" s="265">
        <v>180</v>
      </c>
      <c r="G237" s="265"/>
      <c r="H237" s="265">
        <f t="shared" si="3"/>
        <v>180</v>
      </c>
    </row>
    <row r="238" spans="2:8" x14ac:dyDescent="0.2">
      <c r="B238" s="262" t="s">
        <v>1884</v>
      </c>
      <c r="C238" s="263">
        <v>42439</v>
      </c>
      <c r="D238" s="264" t="s">
        <v>2032</v>
      </c>
      <c r="E238" s="264" t="s">
        <v>2155</v>
      </c>
      <c r="F238" s="265">
        <v>450</v>
      </c>
      <c r="G238" s="265"/>
      <c r="H238" s="265">
        <f t="shared" si="3"/>
        <v>450</v>
      </c>
    </row>
    <row r="239" spans="2:8" x14ac:dyDescent="0.2">
      <c r="B239" s="262" t="s">
        <v>1884</v>
      </c>
      <c r="C239" s="263">
        <v>42439</v>
      </c>
      <c r="D239" s="264" t="s">
        <v>2156</v>
      </c>
      <c r="E239" s="264" t="s">
        <v>2157</v>
      </c>
      <c r="F239" s="265">
        <v>300</v>
      </c>
      <c r="G239" s="265"/>
      <c r="H239" s="265">
        <f t="shared" si="3"/>
        <v>300</v>
      </c>
    </row>
    <row r="240" spans="2:8" x14ac:dyDescent="0.2">
      <c r="B240" s="262" t="s">
        <v>1884</v>
      </c>
      <c r="C240" s="263">
        <v>42439</v>
      </c>
      <c r="D240" s="264" t="s">
        <v>2158</v>
      </c>
      <c r="E240" s="264" t="s">
        <v>2159</v>
      </c>
      <c r="F240" s="265">
        <v>2000</v>
      </c>
      <c r="G240" s="265"/>
      <c r="H240" s="265">
        <f t="shared" si="3"/>
        <v>2000</v>
      </c>
    </row>
    <row r="241" spans="2:8" x14ac:dyDescent="0.2">
      <c r="B241" s="262" t="s">
        <v>1884</v>
      </c>
      <c r="C241" s="263">
        <v>42439</v>
      </c>
      <c r="D241" s="264" t="s">
        <v>2160</v>
      </c>
      <c r="E241" s="264" t="s">
        <v>2161</v>
      </c>
      <c r="F241" s="265">
        <v>99.22</v>
      </c>
      <c r="G241" s="265"/>
      <c r="H241" s="265">
        <f t="shared" si="3"/>
        <v>99.22</v>
      </c>
    </row>
    <row r="242" spans="2:8" x14ac:dyDescent="0.2">
      <c r="B242" s="262" t="s">
        <v>1884</v>
      </c>
      <c r="C242" s="263">
        <v>42439</v>
      </c>
      <c r="D242" s="264" t="s">
        <v>2162</v>
      </c>
      <c r="E242" s="264" t="s">
        <v>2163</v>
      </c>
      <c r="F242" s="265">
        <v>5</v>
      </c>
      <c r="G242" s="265"/>
      <c r="H242" s="265">
        <f t="shared" si="3"/>
        <v>5</v>
      </c>
    </row>
    <row r="243" spans="2:8" x14ac:dyDescent="0.2">
      <c r="B243" s="262" t="s">
        <v>1859</v>
      </c>
      <c r="C243" s="263">
        <v>42440</v>
      </c>
      <c r="D243" s="264" t="s">
        <v>1910</v>
      </c>
      <c r="E243" s="264" t="s">
        <v>2164</v>
      </c>
      <c r="F243" s="265">
        <v>1000</v>
      </c>
      <c r="G243" s="265"/>
      <c r="H243" s="265">
        <f t="shared" si="3"/>
        <v>1000</v>
      </c>
    </row>
    <row r="244" spans="2:8" x14ac:dyDescent="0.2">
      <c r="B244" s="262" t="s">
        <v>1866</v>
      </c>
      <c r="C244" s="263">
        <v>42440</v>
      </c>
      <c r="D244" s="264" t="s">
        <v>1890</v>
      </c>
      <c r="E244" s="264" t="s">
        <v>1901</v>
      </c>
      <c r="F244" s="265">
        <v>80</v>
      </c>
      <c r="G244" s="265"/>
      <c r="H244" s="265">
        <f t="shared" si="3"/>
        <v>80</v>
      </c>
    </row>
    <row r="245" spans="2:8" x14ac:dyDescent="0.2">
      <c r="B245" s="262" t="s">
        <v>1860</v>
      </c>
      <c r="C245" s="263">
        <v>42440</v>
      </c>
      <c r="D245" s="264" t="s">
        <v>2165</v>
      </c>
      <c r="E245" s="264" t="s">
        <v>1944</v>
      </c>
      <c r="F245" s="265">
        <v>31</v>
      </c>
      <c r="G245" s="265"/>
      <c r="H245" s="265">
        <f t="shared" si="3"/>
        <v>31</v>
      </c>
    </row>
    <row r="246" spans="2:8" x14ac:dyDescent="0.2">
      <c r="B246" s="262" t="s">
        <v>1865</v>
      </c>
      <c r="C246" s="263">
        <v>42440</v>
      </c>
      <c r="D246" s="264" t="s">
        <v>2166</v>
      </c>
      <c r="E246" s="264" t="s">
        <v>2167</v>
      </c>
      <c r="F246" s="265">
        <v>115.65</v>
      </c>
      <c r="G246" s="265">
        <v>18.350000000000001</v>
      </c>
      <c r="H246" s="265">
        <f t="shared" si="3"/>
        <v>134</v>
      </c>
    </row>
    <row r="247" spans="2:8" x14ac:dyDescent="0.2">
      <c r="B247" s="262" t="s">
        <v>1884</v>
      </c>
      <c r="C247" s="263">
        <v>42440</v>
      </c>
      <c r="D247" s="264" t="s">
        <v>1912</v>
      </c>
      <c r="E247" s="264" t="s">
        <v>2168</v>
      </c>
      <c r="F247" s="265">
        <v>227.91</v>
      </c>
      <c r="G247" s="265">
        <v>35.29</v>
      </c>
      <c r="H247" s="265">
        <f t="shared" si="3"/>
        <v>263.2</v>
      </c>
    </row>
    <row r="248" spans="2:8" x14ac:dyDescent="0.2">
      <c r="B248" s="262">
        <v>0</v>
      </c>
      <c r="C248" s="263">
        <v>42440</v>
      </c>
      <c r="D248" s="264" t="s">
        <v>1938</v>
      </c>
      <c r="E248" s="264" t="s">
        <v>2169</v>
      </c>
      <c r="F248" s="265">
        <v>1050</v>
      </c>
      <c r="G248" s="265"/>
      <c r="H248" s="265">
        <f t="shared" si="3"/>
        <v>1050</v>
      </c>
    </row>
    <row r="249" spans="2:8" x14ac:dyDescent="0.2">
      <c r="B249" s="262" t="s">
        <v>1862</v>
      </c>
      <c r="C249" s="263">
        <v>42440</v>
      </c>
      <c r="D249" s="264" t="s">
        <v>1938</v>
      </c>
      <c r="E249" s="264" t="s">
        <v>2170</v>
      </c>
      <c r="F249" s="265">
        <v>1000</v>
      </c>
      <c r="G249" s="265"/>
      <c r="H249" s="265">
        <f t="shared" si="3"/>
        <v>1000</v>
      </c>
    </row>
    <row r="250" spans="2:8" x14ac:dyDescent="0.2">
      <c r="B250" s="262" t="s">
        <v>1865</v>
      </c>
      <c r="C250" s="263">
        <v>42440</v>
      </c>
      <c r="D250" s="264" t="s">
        <v>1937</v>
      </c>
      <c r="E250" s="264" t="s">
        <v>2171</v>
      </c>
      <c r="F250" s="265">
        <v>2900</v>
      </c>
      <c r="G250" s="265"/>
      <c r="H250" s="265">
        <f t="shared" si="3"/>
        <v>2900</v>
      </c>
    </row>
    <row r="251" spans="2:8" x14ac:dyDescent="0.2">
      <c r="B251" s="262" t="s">
        <v>1865</v>
      </c>
      <c r="C251" s="263">
        <v>42440</v>
      </c>
      <c r="D251" s="264" t="s">
        <v>1937</v>
      </c>
      <c r="E251" s="264" t="s">
        <v>2172</v>
      </c>
      <c r="F251" s="265">
        <v>600</v>
      </c>
      <c r="G251" s="265"/>
      <c r="H251" s="265">
        <f t="shared" si="3"/>
        <v>600</v>
      </c>
    </row>
    <row r="252" spans="2:8" x14ac:dyDescent="0.2">
      <c r="B252" s="262" t="s">
        <v>1884</v>
      </c>
      <c r="C252" s="263">
        <v>42441</v>
      </c>
      <c r="D252" s="264" t="s">
        <v>1915</v>
      </c>
      <c r="E252" s="264" t="s">
        <v>2173</v>
      </c>
      <c r="F252" s="265">
        <v>500</v>
      </c>
      <c r="G252" s="265"/>
      <c r="H252" s="265">
        <f t="shared" si="3"/>
        <v>500</v>
      </c>
    </row>
    <row r="253" spans="2:8" x14ac:dyDescent="0.2">
      <c r="B253" s="262" t="s">
        <v>1884</v>
      </c>
      <c r="C253" s="263">
        <v>42441</v>
      </c>
      <c r="D253" s="264" t="s">
        <v>1915</v>
      </c>
      <c r="E253" s="264" t="s">
        <v>2173</v>
      </c>
      <c r="F253" s="265">
        <v>500</v>
      </c>
      <c r="G253" s="265"/>
      <c r="H253" s="265">
        <f t="shared" si="3"/>
        <v>500</v>
      </c>
    </row>
    <row r="254" spans="2:8" x14ac:dyDescent="0.2">
      <c r="B254" s="262" t="s">
        <v>1884</v>
      </c>
      <c r="C254" s="263">
        <v>42441</v>
      </c>
      <c r="D254" s="264" t="s">
        <v>1897</v>
      </c>
      <c r="E254" s="264" t="s">
        <v>2174</v>
      </c>
      <c r="F254" s="265">
        <v>500</v>
      </c>
      <c r="G254" s="265"/>
      <c r="H254" s="265">
        <f t="shared" si="3"/>
        <v>500</v>
      </c>
    </row>
    <row r="255" spans="2:8" x14ac:dyDescent="0.2">
      <c r="B255" s="262" t="s">
        <v>1884</v>
      </c>
      <c r="C255" s="263">
        <v>42441</v>
      </c>
      <c r="D255" s="264" t="s">
        <v>1897</v>
      </c>
      <c r="E255" s="264" t="s">
        <v>2175</v>
      </c>
      <c r="F255" s="265">
        <v>200</v>
      </c>
      <c r="G255" s="265"/>
      <c r="H255" s="265">
        <f t="shared" si="3"/>
        <v>200</v>
      </c>
    </row>
    <row r="256" spans="2:8" x14ac:dyDescent="0.2">
      <c r="B256" s="262" t="s">
        <v>1870</v>
      </c>
      <c r="C256" s="263">
        <v>42441</v>
      </c>
      <c r="D256" s="264" t="s">
        <v>1938</v>
      </c>
      <c r="E256" s="264" t="s">
        <v>2176</v>
      </c>
      <c r="F256" s="265">
        <v>800</v>
      </c>
      <c r="G256" s="265"/>
      <c r="H256" s="265">
        <f t="shared" si="3"/>
        <v>800</v>
      </c>
    </row>
    <row r="257" spans="2:8" x14ac:dyDescent="0.2">
      <c r="B257" s="262" t="s">
        <v>1870</v>
      </c>
      <c r="C257" s="263">
        <v>42441</v>
      </c>
      <c r="D257" s="264" t="s">
        <v>1938</v>
      </c>
      <c r="E257" s="264" t="s">
        <v>2177</v>
      </c>
      <c r="F257" s="265">
        <v>800</v>
      </c>
      <c r="G257" s="265"/>
      <c r="H257" s="265">
        <f t="shared" si="3"/>
        <v>800</v>
      </c>
    </row>
    <row r="258" spans="2:8" x14ac:dyDescent="0.2">
      <c r="B258" s="262" t="s">
        <v>1884</v>
      </c>
      <c r="C258" s="263">
        <v>42441</v>
      </c>
      <c r="D258" s="264" t="s">
        <v>2158</v>
      </c>
      <c r="E258" s="264" t="s">
        <v>3440</v>
      </c>
      <c r="F258" s="265">
        <v>2300</v>
      </c>
      <c r="G258" s="265"/>
      <c r="H258" s="265">
        <f t="shared" si="3"/>
        <v>2300</v>
      </c>
    </row>
    <row r="259" spans="2:8" x14ac:dyDescent="0.2">
      <c r="B259" s="262" t="s">
        <v>1884</v>
      </c>
      <c r="C259" s="263">
        <v>42441</v>
      </c>
      <c r="D259" s="264" t="s">
        <v>1896</v>
      </c>
      <c r="E259" s="264" t="s">
        <v>2178</v>
      </c>
      <c r="F259" s="265">
        <v>100</v>
      </c>
      <c r="G259" s="265"/>
      <c r="H259" s="265">
        <f t="shared" si="3"/>
        <v>100</v>
      </c>
    </row>
    <row r="260" spans="2:8" x14ac:dyDescent="0.2">
      <c r="B260" s="262" t="s">
        <v>1875</v>
      </c>
      <c r="C260" s="263">
        <v>42442</v>
      </c>
      <c r="D260" s="264" t="s">
        <v>1893</v>
      </c>
      <c r="E260" s="264" t="s">
        <v>2179</v>
      </c>
      <c r="F260" s="265">
        <v>79.5</v>
      </c>
      <c r="G260" s="265"/>
      <c r="H260" s="265">
        <f t="shared" si="3"/>
        <v>79.5</v>
      </c>
    </row>
    <row r="261" spans="2:8" x14ac:dyDescent="0.2">
      <c r="B261" s="262" t="s">
        <v>1866</v>
      </c>
      <c r="C261" s="263">
        <v>42442</v>
      </c>
      <c r="D261" s="264" t="s">
        <v>1903</v>
      </c>
      <c r="E261" s="264" t="s">
        <v>2180</v>
      </c>
      <c r="F261" s="265">
        <v>115.5</v>
      </c>
      <c r="G261" s="265"/>
      <c r="H261" s="265">
        <f t="shared" ref="H261:H324" si="4">SUM(F261:G261)</f>
        <v>115.5</v>
      </c>
    </row>
    <row r="262" spans="2:8" x14ac:dyDescent="0.2">
      <c r="B262" s="262" t="s">
        <v>1884</v>
      </c>
      <c r="C262" s="263">
        <v>42443</v>
      </c>
      <c r="D262" s="264" t="s">
        <v>1919</v>
      </c>
      <c r="E262" s="264" t="s">
        <v>1920</v>
      </c>
      <c r="F262" s="265">
        <v>128</v>
      </c>
      <c r="G262" s="265"/>
      <c r="H262" s="265">
        <f t="shared" si="4"/>
        <v>128</v>
      </c>
    </row>
    <row r="263" spans="2:8" x14ac:dyDescent="0.2">
      <c r="B263" s="262" t="s">
        <v>1884</v>
      </c>
      <c r="C263" s="263">
        <v>42443</v>
      </c>
      <c r="D263" s="264" t="s">
        <v>1918</v>
      </c>
      <c r="E263" s="264" t="s">
        <v>2181</v>
      </c>
      <c r="F263" s="265">
        <v>30</v>
      </c>
      <c r="G263" s="265"/>
      <c r="H263" s="265">
        <f t="shared" si="4"/>
        <v>30</v>
      </c>
    </row>
    <row r="264" spans="2:8" x14ac:dyDescent="0.2">
      <c r="B264" s="262" t="s">
        <v>1866</v>
      </c>
      <c r="C264" s="263">
        <v>42443</v>
      </c>
      <c r="D264" s="264" t="s">
        <v>1890</v>
      </c>
      <c r="E264" s="264" t="s">
        <v>1904</v>
      </c>
      <c r="F264" s="265">
        <v>142</v>
      </c>
      <c r="G264" s="265"/>
      <c r="H264" s="265">
        <f t="shared" si="4"/>
        <v>142</v>
      </c>
    </row>
    <row r="265" spans="2:8" x14ac:dyDescent="0.2">
      <c r="B265" s="262" t="s">
        <v>1884</v>
      </c>
      <c r="C265" s="263">
        <v>42444</v>
      </c>
      <c r="D265" s="264" t="s">
        <v>1873</v>
      </c>
      <c r="E265" s="264" t="s">
        <v>2182</v>
      </c>
      <c r="F265" s="265">
        <v>450</v>
      </c>
      <c r="G265" s="265"/>
      <c r="H265" s="265">
        <f t="shared" si="4"/>
        <v>450</v>
      </c>
    </row>
    <row r="266" spans="2:8" x14ac:dyDescent="0.2">
      <c r="B266" s="262" t="s">
        <v>1863</v>
      </c>
      <c r="C266" s="263">
        <v>42444</v>
      </c>
      <c r="D266" s="264" t="s">
        <v>2009</v>
      </c>
      <c r="E266" s="264" t="s">
        <v>2183</v>
      </c>
      <c r="F266" s="265">
        <v>1500</v>
      </c>
      <c r="G266" s="265"/>
      <c r="H266" s="265">
        <f t="shared" si="4"/>
        <v>1500</v>
      </c>
    </row>
    <row r="267" spans="2:8" x14ac:dyDescent="0.2">
      <c r="B267" s="262" t="s">
        <v>1577</v>
      </c>
      <c r="C267" s="263">
        <v>42444</v>
      </c>
      <c r="D267" s="264" t="s">
        <v>1886</v>
      </c>
      <c r="E267" s="264" t="s">
        <v>2184</v>
      </c>
      <c r="F267" s="265">
        <v>2700</v>
      </c>
      <c r="G267" s="265"/>
      <c r="H267" s="265">
        <f t="shared" si="4"/>
        <v>2700</v>
      </c>
    </row>
    <row r="268" spans="2:8" x14ac:dyDescent="0.2">
      <c r="B268" s="262" t="s">
        <v>1577</v>
      </c>
      <c r="C268" s="263">
        <v>42444</v>
      </c>
      <c r="D268" s="264" t="s">
        <v>1899</v>
      </c>
      <c r="E268" s="264" t="s">
        <v>2185</v>
      </c>
      <c r="F268" s="265">
        <v>29000</v>
      </c>
      <c r="G268" s="265"/>
      <c r="H268" s="265">
        <f t="shared" si="4"/>
        <v>29000</v>
      </c>
    </row>
    <row r="269" spans="2:8" x14ac:dyDescent="0.2">
      <c r="B269" s="262" t="s">
        <v>1884</v>
      </c>
      <c r="C269" s="263">
        <v>42444</v>
      </c>
      <c r="D269" s="264" t="s">
        <v>1911</v>
      </c>
      <c r="E269" s="264" t="s">
        <v>1935</v>
      </c>
      <c r="F269" s="265">
        <v>4000</v>
      </c>
      <c r="G269" s="265"/>
      <c r="H269" s="265">
        <f t="shared" si="4"/>
        <v>4000</v>
      </c>
    </row>
    <row r="270" spans="2:8" x14ac:dyDescent="0.2">
      <c r="B270" s="262" t="s">
        <v>1863</v>
      </c>
      <c r="C270" s="263">
        <v>42445</v>
      </c>
      <c r="D270" s="264" t="s">
        <v>2186</v>
      </c>
      <c r="E270" s="264" t="s">
        <v>2187</v>
      </c>
      <c r="F270" s="265">
        <v>500</v>
      </c>
      <c r="G270" s="265"/>
      <c r="H270" s="265">
        <f t="shared" si="4"/>
        <v>500</v>
      </c>
    </row>
    <row r="271" spans="2:8" x14ac:dyDescent="0.2">
      <c r="B271" s="262" t="s">
        <v>1875</v>
      </c>
      <c r="C271" s="263">
        <v>42445</v>
      </c>
      <c r="D271" s="264" t="s">
        <v>2741</v>
      </c>
      <c r="E271" s="264" t="s">
        <v>2109</v>
      </c>
      <c r="F271" s="265">
        <v>216.81</v>
      </c>
      <c r="G271" s="265">
        <v>34.69</v>
      </c>
      <c r="H271" s="265">
        <f t="shared" si="4"/>
        <v>251.5</v>
      </c>
    </row>
    <row r="272" spans="2:8" x14ac:dyDescent="0.2">
      <c r="B272" s="262" t="s">
        <v>1860</v>
      </c>
      <c r="C272" s="263">
        <v>42445</v>
      </c>
      <c r="D272" s="264" t="s">
        <v>1891</v>
      </c>
      <c r="E272" s="264" t="s">
        <v>2188</v>
      </c>
      <c r="F272" s="265">
        <v>847.33</v>
      </c>
      <c r="G272" s="265">
        <v>135.57</v>
      </c>
      <c r="H272" s="265">
        <f t="shared" si="4"/>
        <v>982.90000000000009</v>
      </c>
    </row>
    <row r="273" spans="2:8" x14ac:dyDescent="0.2">
      <c r="B273" s="262" t="s">
        <v>1861</v>
      </c>
      <c r="C273" s="263">
        <v>42446</v>
      </c>
      <c r="D273" s="264" t="s">
        <v>2189</v>
      </c>
      <c r="E273" s="264" t="s">
        <v>2190</v>
      </c>
      <c r="F273" s="265">
        <v>1451.71</v>
      </c>
      <c r="G273" s="265">
        <v>232.29</v>
      </c>
      <c r="H273" s="265">
        <f t="shared" si="4"/>
        <v>1684</v>
      </c>
    </row>
    <row r="274" spans="2:8" x14ac:dyDescent="0.2">
      <c r="B274" s="262" t="s">
        <v>1861</v>
      </c>
      <c r="C274" s="263">
        <v>42446</v>
      </c>
      <c r="D274" s="264" t="s">
        <v>2189</v>
      </c>
      <c r="E274" s="264" t="s">
        <v>2191</v>
      </c>
      <c r="F274" s="265">
        <v>252</v>
      </c>
      <c r="G274" s="265"/>
      <c r="H274" s="265">
        <f t="shared" si="4"/>
        <v>252</v>
      </c>
    </row>
    <row r="275" spans="2:8" x14ac:dyDescent="0.2">
      <c r="B275" s="262" t="s">
        <v>1861</v>
      </c>
      <c r="C275" s="263">
        <v>42446</v>
      </c>
      <c r="D275" s="264" t="s">
        <v>2192</v>
      </c>
      <c r="E275" s="264" t="s">
        <v>2193</v>
      </c>
      <c r="F275" s="265">
        <v>31.03</v>
      </c>
      <c r="G275" s="265">
        <v>4.97</v>
      </c>
      <c r="H275" s="265">
        <f t="shared" si="4"/>
        <v>36</v>
      </c>
    </row>
    <row r="276" spans="2:8" x14ac:dyDescent="0.2">
      <c r="B276" s="262" t="s">
        <v>1861</v>
      </c>
      <c r="C276" s="263">
        <v>42446</v>
      </c>
      <c r="D276" s="264" t="s">
        <v>2194</v>
      </c>
      <c r="E276" s="264" t="s">
        <v>2195</v>
      </c>
      <c r="F276" s="265">
        <v>80</v>
      </c>
      <c r="G276" s="265"/>
      <c r="H276" s="265">
        <f t="shared" si="4"/>
        <v>80</v>
      </c>
    </row>
    <row r="277" spans="2:8" x14ac:dyDescent="0.2">
      <c r="B277" s="262" t="s">
        <v>1884</v>
      </c>
      <c r="C277" s="263">
        <v>42447</v>
      </c>
      <c r="D277" s="264" t="s">
        <v>2147</v>
      </c>
      <c r="E277" s="264" t="s">
        <v>2196</v>
      </c>
      <c r="F277" s="265">
        <v>3647.01</v>
      </c>
      <c r="G277" s="265"/>
      <c r="H277" s="265">
        <f t="shared" si="4"/>
        <v>3647.01</v>
      </c>
    </row>
    <row r="278" spans="2:8" x14ac:dyDescent="0.2">
      <c r="B278" s="262" t="s">
        <v>1870</v>
      </c>
      <c r="C278" s="263">
        <v>42447</v>
      </c>
      <c r="D278" s="264" t="s">
        <v>1892</v>
      </c>
      <c r="E278" s="264" t="s">
        <v>2197</v>
      </c>
      <c r="F278" s="265">
        <v>500</v>
      </c>
      <c r="G278" s="265"/>
      <c r="H278" s="265">
        <f t="shared" si="4"/>
        <v>500</v>
      </c>
    </row>
    <row r="279" spans="2:8" x14ac:dyDescent="0.2">
      <c r="B279" s="262" t="s">
        <v>1866</v>
      </c>
      <c r="C279" s="263">
        <v>42447</v>
      </c>
      <c r="D279" s="264" t="s">
        <v>1890</v>
      </c>
      <c r="E279" s="264" t="s">
        <v>1901</v>
      </c>
      <c r="F279" s="265">
        <v>76</v>
      </c>
      <c r="G279" s="265"/>
      <c r="H279" s="265">
        <f t="shared" si="4"/>
        <v>76</v>
      </c>
    </row>
    <row r="280" spans="2:8" x14ac:dyDescent="0.2">
      <c r="B280" s="262" t="s">
        <v>1863</v>
      </c>
      <c r="C280" s="263">
        <v>42447</v>
      </c>
      <c r="D280" s="264" t="s">
        <v>1878</v>
      </c>
      <c r="E280" s="264" t="s">
        <v>2198</v>
      </c>
      <c r="F280" s="265">
        <v>200</v>
      </c>
      <c r="G280" s="265"/>
      <c r="H280" s="265">
        <f t="shared" si="4"/>
        <v>200</v>
      </c>
    </row>
    <row r="281" spans="2:8" x14ac:dyDescent="0.2">
      <c r="B281" s="262" t="s">
        <v>1859</v>
      </c>
      <c r="C281" s="263">
        <v>42447</v>
      </c>
      <c r="D281" s="264" t="s">
        <v>1910</v>
      </c>
      <c r="E281" s="264" t="s">
        <v>2199</v>
      </c>
      <c r="F281" s="265">
        <v>1000</v>
      </c>
      <c r="G281" s="265"/>
      <c r="H281" s="265">
        <f t="shared" si="4"/>
        <v>1000</v>
      </c>
    </row>
    <row r="282" spans="2:8" x14ac:dyDescent="0.2">
      <c r="B282" s="262" t="s">
        <v>1884</v>
      </c>
      <c r="C282" s="263">
        <v>42448</v>
      </c>
      <c r="D282" s="264" t="s">
        <v>2200</v>
      </c>
      <c r="E282" s="264" t="s">
        <v>1941</v>
      </c>
      <c r="F282" s="265">
        <v>170.93</v>
      </c>
      <c r="G282" s="265">
        <v>26.47</v>
      </c>
      <c r="H282" s="265">
        <f t="shared" si="4"/>
        <v>197.4</v>
      </c>
    </row>
    <row r="283" spans="2:8" x14ac:dyDescent="0.2">
      <c r="B283" s="262" t="s">
        <v>1866</v>
      </c>
      <c r="C283" s="263">
        <v>42449</v>
      </c>
      <c r="D283" s="264" t="s">
        <v>1903</v>
      </c>
      <c r="E283" s="264" t="s">
        <v>2201</v>
      </c>
      <c r="F283" s="265">
        <v>80.5</v>
      </c>
      <c r="G283" s="265"/>
      <c r="H283" s="265">
        <f t="shared" si="4"/>
        <v>80.5</v>
      </c>
    </row>
    <row r="284" spans="2:8" x14ac:dyDescent="0.2">
      <c r="B284" s="262" t="s">
        <v>1884</v>
      </c>
      <c r="C284" s="263">
        <v>42449</v>
      </c>
      <c r="D284" s="264" t="s">
        <v>1896</v>
      </c>
      <c r="E284" s="264" t="s">
        <v>2142</v>
      </c>
      <c r="F284" s="265">
        <v>100</v>
      </c>
      <c r="G284" s="265"/>
      <c r="H284" s="265">
        <f t="shared" si="4"/>
        <v>100</v>
      </c>
    </row>
    <row r="285" spans="2:8" x14ac:dyDescent="0.2">
      <c r="B285" s="262" t="s">
        <v>1866</v>
      </c>
      <c r="C285" s="263">
        <v>42450</v>
      </c>
      <c r="D285" s="264" t="s">
        <v>1890</v>
      </c>
      <c r="E285" s="264" t="s">
        <v>1913</v>
      </c>
      <c r="F285" s="265">
        <v>175</v>
      </c>
      <c r="G285" s="265"/>
      <c r="H285" s="265">
        <f t="shared" si="4"/>
        <v>175</v>
      </c>
    </row>
    <row r="286" spans="2:8" x14ac:dyDescent="0.2">
      <c r="B286" s="262" t="s">
        <v>1860</v>
      </c>
      <c r="C286" s="263">
        <v>42450</v>
      </c>
      <c r="D286" s="264" t="s">
        <v>1891</v>
      </c>
      <c r="E286" s="264" t="s">
        <v>2202</v>
      </c>
      <c r="F286" s="265">
        <v>258.45</v>
      </c>
      <c r="G286" s="265">
        <v>41.35</v>
      </c>
      <c r="H286" s="265">
        <f t="shared" si="4"/>
        <v>299.8</v>
      </c>
    </row>
    <row r="287" spans="2:8" x14ac:dyDescent="0.2">
      <c r="B287" s="262" t="s">
        <v>1884</v>
      </c>
      <c r="C287" s="263">
        <v>42450</v>
      </c>
      <c r="D287" s="264" t="s">
        <v>2158</v>
      </c>
      <c r="E287" s="264" t="s">
        <v>2203</v>
      </c>
      <c r="F287" s="265">
        <v>1600</v>
      </c>
      <c r="G287" s="265"/>
      <c r="H287" s="265">
        <f t="shared" si="4"/>
        <v>1600</v>
      </c>
    </row>
    <row r="288" spans="2:8" x14ac:dyDescent="0.2">
      <c r="B288" s="262" t="s">
        <v>1863</v>
      </c>
      <c r="C288" s="263">
        <v>42451</v>
      </c>
      <c r="D288" s="264" t="s">
        <v>2186</v>
      </c>
      <c r="E288" s="264" t="s">
        <v>2204</v>
      </c>
      <c r="F288" s="265">
        <v>400</v>
      </c>
      <c r="G288" s="265"/>
      <c r="H288" s="265">
        <f t="shared" si="4"/>
        <v>400</v>
      </c>
    </row>
    <row r="289" spans="2:8" x14ac:dyDescent="0.2">
      <c r="B289" s="262" t="s">
        <v>1870</v>
      </c>
      <c r="C289" s="263">
        <v>42452</v>
      </c>
      <c r="D289" s="264" t="s">
        <v>1938</v>
      </c>
      <c r="E289" s="264" t="s">
        <v>2205</v>
      </c>
      <c r="F289" s="265">
        <v>600</v>
      </c>
      <c r="G289" s="265"/>
      <c r="H289" s="265">
        <f t="shared" si="4"/>
        <v>600</v>
      </c>
    </row>
    <row r="290" spans="2:8" x14ac:dyDescent="0.2">
      <c r="B290" s="262" t="s">
        <v>1863</v>
      </c>
      <c r="C290" s="263">
        <v>42452</v>
      </c>
      <c r="D290" s="264" t="s">
        <v>1906</v>
      </c>
      <c r="E290" s="264" t="s">
        <v>2206</v>
      </c>
      <c r="F290" s="265">
        <v>160</v>
      </c>
      <c r="G290" s="265"/>
      <c r="H290" s="265">
        <f t="shared" si="4"/>
        <v>160</v>
      </c>
    </row>
    <row r="291" spans="2:8" x14ac:dyDescent="0.2">
      <c r="B291" s="354" t="s">
        <v>1577</v>
      </c>
      <c r="C291" s="355">
        <v>42452</v>
      </c>
      <c r="D291" s="356" t="s">
        <v>1899</v>
      </c>
      <c r="E291" s="356" t="s">
        <v>2207</v>
      </c>
      <c r="F291" s="344">
        <v>1000</v>
      </c>
      <c r="G291" s="344"/>
      <c r="H291" s="344">
        <f t="shared" si="4"/>
        <v>1000</v>
      </c>
    </row>
    <row r="292" spans="2:8" x14ac:dyDescent="0.2">
      <c r="B292" s="262" t="s">
        <v>1877</v>
      </c>
      <c r="C292" s="263">
        <v>42452</v>
      </c>
      <c r="D292" s="264" t="s">
        <v>1940</v>
      </c>
      <c r="E292" s="264" t="s">
        <v>2208</v>
      </c>
      <c r="F292" s="265">
        <v>150</v>
      </c>
      <c r="G292" s="265"/>
      <c r="H292" s="265">
        <f t="shared" si="4"/>
        <v>150</v>
      </c>
    </row>
    <row r="293" spans="2:8" x14ac:dyDescent="0.2">
      <c r="B293" s="262" t="s">
        <v>1863</v>
      </c>
      <c r="C293" s="263">
        <v>42453</v>
      </c>
      <c r="D293" s="264" t="s">
        <v>2009</v>
      </c>
      <c r="E293" s="264" t="s">
        <v>2209</v>
      </c>
      <c r="F293" s="265">
        <v>1500</v>
      </c>
      <c r="G293" s="265"/>
      <c r="H293" s="265">
        <f t="shared" si="4"/>
        <v>1500</v>
      </c>
    </row>
    <row r="294" spans="2:8" x14ac:dyDescent="0.2">
      <c r="B294" s="262" t="s">
        <v>1866</v>
      </c>
      <c r="C294" s="263">
        <v>42453</v>
      </c>
      <c r="D294" s="264" t="s">
        <v>1890</v>
      </c>
      <c r="E294" s="264" t="s">
        <v>1913</v>
      </c>
      <c r="F294" s="265">
        <v>192</v>
      </c>
      <c r="G294" s="265"/>
      <c r="H294" s="265">
        <f t="shared" si="4"/>
        <v>192</v>
      </c>
    </row>
    <row r="295" spans="2:8" x14ac:dyDescent="0.2">
      <c r="B295" s="262" t="s">
        <v>1884</v>
      </c>
      <c r="C295" s="263">
        <v>42453</v>
      </c>
      <c r="D295" s="264" t="s">
        <v>2210</v>
      </c>
      <c r="E295" s="264" t="s">
        <v>2211</v>
      </c>
      <c r="F295" s="265">
        <v>400</v>
      </c>
      <c r="G295" s="265"/>
      <c r="H295" s="265">
        <f t="shared" si="4"/>
        <v>400</v>
      </c>
    </row>
    <row r="296" spans="2:8" x14ac:dyDescent="0.2">
      <c r="B296" s="262" t="s">
        <v>1884</v>
      </c>
      <c r="C296" s="263">
        <v>42453</v>
      </c>
      <c r="D296" s="264" t="s">
        <v>2212</v>
      </c>
      <c r="E296" s="264" t="s">
        <v>2213</v>
      </c>
      <c r="F296" s="265">
        <v>170.93</v>
      </c>
      <c r="G296" s="265">
        <v>26.47</v>
      </c>
      <c r="H296" s="265">
        <f t="shared" si="4"/>
        <v>197.4</v>
      </c>
    </row>
    <row r="297" spans="2:8" x14ac:dyDescent="0.2">
      <c r="B297" s="262" t="s">
        <v>1859</v>
      </c>
      <c r="C297" s="263">
        <v>42454</v>
      </c>
      <c r="D297" s="264" t="s">
        <v>1910</v>
      </c>
      <c r="E297" s="264" t="s">
        <v>2214</v>
      </c>
      <c r="F297" s="265">
        <v>1000</v>
      </c>
      <c r="G297" s="265"/>
      <c r="H297" s="265">
        <f t="shared" si="4"/>
        <v>1000</v>
      </c>
    </row>
    <row r="298" spans="2:8" x14ac:dyDescent="0.2">
      <c r="B298" s="262" t="s">
        <v>1884</v>
      </c>
      <c r="C298" s="263">
        <v>42456</v>
      </c>
      <c r="D298" s="264" t="s">
        <v>1915</v>
      </c>
      <c r="E298" s="264" t="s">
        <v>2215</v>
      </c>
      <c r="F298" s="265">
        <v>500</v>
      </c>
      <c r="G298" s="265"/>
      <c r="H298" s="265">
        <f t="shared" si="4"/>
        <v>500</v>
      </c>
    </row>
    <row r="299" spans="2:8" x14ac:dyDescent="0.2">
      <c r="B299" s="262" t="s">
        <v>1866</v>
      </c>
      <c r="C299" s="263">
        <v>42456</v>
      </c>
      <c r="D299" s="264" t="s">
        <v>1903</v>
      </c>
      <c r="E299" s="264" t="s">
        <v>2201</v>
      </c>
      <c r="F299" s="265">
        <v>24</v>
      </c>
      <c r="G299" s="265"/>
      <c r="H299" s="265">
        <f t="shared" si="4"/>
        <v>24</v>
      </c>
    </row>
    <row r="300" spans="2:8" x14ac:dyDescent="0.2">
      <c r="B300" s="262" t="s">
        <v>1866</v>
      </c>
      <c r="C300" s="263">
        <v>42456</v>
      </c>
      <c r="D300" s="264" t="s">
        <v>1903</v>
      </c>
      <c r="E300" s="264" t="s">
        <v>2201</v>
      </c>
      <c r="F300" s="265">
        <v>54.5</v>
      </c>
      <c r="G300" s="265"/>
      <c r="H300" s="265">
        <f t="shared" si="4"/>
        <v>54.5</v>
      </c>
    </row>
    <row r="301" spans="2:8" x14ac:dyDescent="0.2">
      <c r="B301" s="262" t="s">
        <v>1884</v>
      </c>
      <c r="C301" s="263">
        <v>42456</v>
      </c>
      <c r="D301" s="264" t="s">
        <v>1896</v>
      </c>
      <c r="E301" s="264" t="s">
        <v>2142</v>
      </c>
      <c r="F301" s="265">
        <v>100</v>
      </c>
      <c r="G301" s="265"/>
      <c r="H301" s="265">
        <f t="shared" si="4"/>
        <v>100</v>
      </c>
    </row>
    <row r="302" spans="2:8" x14ac:dyDescent="0.2">
      <c r="B302" s="262" t="s">
        <v>1866</v>
      </c>
      <c r="C302" s="263">
        <v>42457</v>
      </c>
      <c r="D302" s="264" t="s">
        <v>1890</v>
      </c>
      <c r="E302" s="264" t="s">
        <v>1900</v>
      </c>
      <c r="F302" s="265">
        <v>110</v>
      </c>
      <c r="G302" s="265"/>
      <c r="H302" s="265">
        <f t="shared" si="4"/>
        <v>110</v>
      </c>
    </row>
    <row r="303" spans="2:8" x14ac:dyDescent="0.2">
      <c r="B303" s="262" t="s">
        <v>1863</v>
      </c>
      <c r="C303" s="263">
        <v>42458</v>
      </c>
      <c r="D303" s="264" t="s">
        <v>2009</v>
      </c>
      <c r="E303" s="264" t="s">
        <v>2216</v>
      </c>
      <c r="F303" s="265">
        <v>500</v>
      </c>
      <c r="G303" s="265"/>
      <c r="H303" s="265">
        <f t="shared" si="4"/>
        <v>500</v>
      </c>
    </row>
    <row r="304" spans="2:8" x14ac:dyDescent="0.2">
      <c r="B304" s="262" t="s">
        <v>1863</v>
      </c>
      <c r="C304" s="263">
        <v>42459</v>
      </c>
      <c r="D304" s="264" t="s">
        <v>2186</v>
      </c>
      <c r="E304" s="264" t="s">
        <v>2217</v>
      </c>
      <c r="F304" s="265">
        <v>750</v>
      </c>
      <c r="G304" s="265"/>
      <c r="H304" s="265">
        <f t="shared" si="4"/>
        <v>750</v>
      </c>
    </row>
    <row r="305" spans="2:8" x14ac:dyDescent="0.2">
      <c r="B305" s="262" t="s">
        <v>1870</v>
      </c>
      <c r="C305" s="263">
        <v>42459</v>
      </c>
      <c r="D305" s="264" t="s">
        <v>1892</v>
      </c>
      <c r="E305" s="264" t="s">
        <v>2218</v>
      </c>
      <c r="F305" s="265">
        <v>2800</v>
      </c>
      <c r="G305" s="265"/>
      <c r="H305" s="265">
        <f t="shared" si="4"/>
        <v>2800</v>
      </c>
    </row>
    <row r="306" spans="2:8" x14ac:dyDescent="0.2">
      <c r="B306" s="262" t="s">
        <v>1859</v>
      </c>
      <c r="C306" s="263">
        <v>42460</v>
      </c>
      <c r="D306" s="264" t="s">
        <v>1910</v>
      </c>
      <c r="E306" s="264" t="s">
        <v>2219</v>
      </c>
      <c r="F306" s="265">
        <v>400</v>
      </c>
      <c r="G306" s="265"/>
      <c r="H306" s="265">
        <f t="shared" si="4"/>
        <v>400</v>
      </c>
    </row>
    <row r="307" spans="2:8" x14ac:dyDescent="0.2">
      <c r="B307" s="262" t="s">
        <v>1884</v>
      </c>
      <c r="C307" s="263">
        <v>42460</v>
      </c>
      <c r="D307" s="264" t="s">
        <v>1873</v>
      </c>
      <c r="E307" s="264" t="s">
        <v>2220</v>
      </c>
      <c r="F307" s="265">
        <v>450</v>
      </c>
      <c r="G307" s="265"/>
      <c r="H307" s="265">
        <f t="shared" si="4"/>
        <v>450</v>
      </c>
    </row>
    <row r="308" spans="2:8" x14ac:dyDescent="0.2">
      <c r="B308" s="262" t="s">
        <v>1884</v>
      </c>
      <c r="C308" s="263">
        <v>42460</v>
      </c>
      <c r="D308" s="264" t="s">
        <v>1896</v>
      </c>
      <c r="E308" s="264" t="s">
        <v>2221</v>
      </c>
      <c r="F308" s="265">
        <v>650</v>
      </c>
      <c r="G308" s="265"/>
      <c r="H308" s="265">
        <f t="shared" si="4"/>
        <v>650</v>
      </c>
    </row>
    <row r="309" spans="2:8" x14ac:dyDescent="0.2">
      <c r="B309" s="262" t="s">
        <v>1863</v>
      </c>
      <c r="C309" s="263">
        <v>42460</v>
      </c>
      <c r="D309" s="264" t="s">
        <v>2222</v>
      </c>
      <c r="E309" s="264" t="s">
        <v>2223</v>
      </c>
      <c r="F309" s="265">
        <v>500</v>
      </c>
      <c r="G309" s="265"/>
      <c r="H309" s="265">
        <f t="shared" si="4"/>
        <v>500</v>
      </c>
    </row>
    <row r="310" spans="2:8" x14ac:dyDescent="0.2">
      <c r="B310" s="262" t="s">
        <v>1859</v>
      </c>
      <c r="C310" s="263">
        <v>42460</v>
      </c>
      <c r="D310" s="264" t="s">
        <v>1910</v>
      </c>
      <c r="E310" s="264" t="s">
        <v>2224</v>
      </c>
      <c r="F310" s="265">
        <v>1000</v>
      </c>
      <c r="G310" s="265"/>
      <c r="H310" s="265">
        <f t="shared" si="4"/>
        <v>1000</v>
      </c>
    </row>
    <row r="311" spans="2:8" x14ac:dyDescent="0.2">
      <c r="B311" s="262" t="s">
        <v>1884</v>
      </c>
      <c r="C311" s="263">
        <v>42460</v>
      </c>
      <c r="D311" s="264" t="s">
        <v>1889</v>
      </c>
      <c r="E311" s="264" t="s">
        <v>2225</v>
      </c>
      <c r="F311" s="265">
        <v>350</v>
      </c>
      <c r="G311" s="265"/>
      <c r="H311" s="265">
        <f t="shared" si="4"/>
        <v>350</v>
      </c>
    </row>
    <row r="312" spans="2:8" x14ac:dyDescent="0.2">
      <c r="B312" s="262" t="s">
        <v>1884</v>
      </c>
      <c r="C312" s="263">
        <v>42460</v>
      </c>
      <c r="D312" s="264" t="s">
        <v>1873</v>
      </c>
      <c r="E312" s="264" t="s">
        <v>2226</v>
      </c>
      <c r="F312" s="265">
        <v>100</v>
      </c>
      <c r="G312" s="265"/>
      <c r="H312" s="265">
        <f t="shared" si="4"/>
        <v>100</v>
      </c>
    </row>
    <row r="313" spans="2:8" x14ac:dyDescent="0.2">
      <c r="B313" s="262" t="s">
        <v>1577</v>
      </c>
      <c r="C313" s="263">
        <v>42460</v>
      </c>
      <c r="D313" s="264" t="s">
        <v>1886</v>
      </c>
      <c r="E313" s="264" t="s">
        <v>2227</v>
      </c>
      <c r="F313" s="265">
        <v>2700</v>
      </c>
      <c r="G313" s="265"/>
      <c r="H313" s="265">
        <f t="shared" si="4"/>
        <v>2700</v>
      </c>
    </row>
    <row r="314" spans="2:8" x14ac:dyDescent="0.2">
      <c r="B314" s="262" t="s">
        <v>1859</v>
      </c>
      <c r="C314" s="263">
        <v>42460</v>
      </c>
      <c r="D314" s="264" t="s">
        <v>1911</v>
      </c>
      <c r="E314" s="264" t="s">
        <v>1935</v>
      </c>
      <c r="F314" s="265">
        <v>4000</v>
      </c>
      <c r="G314" s="265"/>
      <c r="H314" s="265">
        <f t="shared" si="4"/>
        <v>4000</v>
      </c>
    </row>
    <row r="315" spans="2:8" x14ac:dyDescent="0.2">
      <c r="B315" s="262" t="s">
        <v>1790</v>
      </c>
      <c r="C315" s="263">
        <v>42438</v>
      </c>
      <c r="D315" s="264" t="s">
        <v>1909</v>
      </c>
      <c r="E315" s="264" t="s">
        <v>2228</v>
      </c>
      <c r="F315" s="265"/>
      <c r="G315" s="265">
        <v>-1760</v>
      </c>
      <c r="H315" s="265">
        <f t="shared" si="4"/>
        <v>-1760</v>
      </c>
    </row>
    <row r="316" spans="2:8" x14ac:dyDescent="0.2">
      <c r="B316" s="262" t="s">
        <v>1887</v>
      </c>
      <c r="C316" s="263">
        <v>42431</v>
      </c>
      <c r="D316" s="264" t="s">
        <v>1534</v>
      </c>
      <c r="E316" s="264" t="s">
        <v>1536</v>
      </c>
      <c r="F316" s="265">
        <v>-0.36</v>
      </c>
      <c r="G316" s="265"/>
      <c r="H316" s="265">
        <f t="shared" si="4"/>
        <v>-0.36</v>
      </c>
    </row>
    <row r="317" spans="2:8" x14ac:dyDescent="0.2">
      <c r="B317" s="262" t="s">
        <v>1887</v>
      </c>
      <c r="C317" s="263">
        <v>42437</v>
      </c>
      <c r="D317" s="264" t="s">
        <v>1534</v>
      </c>
      <c r="E317" s="264" t="s">
        <v>1536</v>
      </c>
      <c r="F317" s="265">
        <v>-0.46</v>
      </c>
      <c r="G317" s="265"/>
      <c r="H317" s="265">
        <f t="shared" si="4"/>
        <v>-0.46</v>
      </c>
    </row>
    <row r="318" spans="2:8" x14ac:dyDescent="0.2">
      <c r="B318" s="262" t="s">
        <v>1887</v>
      </c>
      <c r="C318" s="263">
        <v>42438</v>
      </c>
      <c r="D318" s="264" t="s">
        <v>1538</v>
      </c>
      <c r="E318" s="264" t="s">
        <v>1536</v>
      </c>
      <c r="F318" s="265">
        <v>-0.28999999999999998</v>
      </c>
      <c r="G318" s="265"/>
      <c r="H318" s="265">
        <f t="shared" si="4"/>
        <v>-0.28999999999999998</v>
      </c>
    </row>
    <row r="319" spans="2:8" x14ac:dyDescent="0.2">
      <c r="B319" s="262" t="s">
        <v>1887</v>
      </c>
      <c r="C319" s="263">
        <v>42460</v>
      </c>
      <c r="D319" s="264" t="s">
        <v>1597</v>
      </c>
      <c r="E319" s="264" t="s">
        <v>2229</v>
      </c>
      <c r="F319" s="265">
        <v>14</v>
      </c>
      <c r="G319" s="265"/>
      <c r="H319" s="265">
        <f t="shared" si="4"/>
        <v>14</v>
      </c>
    </row>
    <row r="320" spans="2:8" x14ac:dyDescent="0.2">
      <c r="B320" s="266" t="s">
        <v>1790</v>
      </c>
      <c r="C320" s="267">
        <v>42460</v>
      </c>
      <c r="D320" s="268" t="s">
        <v>1597</v>
      </c>
      <c r="E320" s="268" t="s">
        <v>2230</v>
      </c>
      <c r="F320" s="269"/>
      <c r="G320" s="269">
        <v>2.2400000000000002</v>
      </c>
      <c r="H320" s="269">
        <f t="shared" si="4"/>
        <v>2.2400000000000002</v>
      </c>
    </row>
    <row r="321" spans="2:8" ht="18" customHeight="1" x14ac:dyDescent="0.2">
      <c r="B321" s="270" t="s">
        <v>1850</v>
      </c>
      <c r="C321" s="270" t="s">
        <v>1851</v>
      </c>
      <c r="D321" s="271" t="s">
        <v>1852</v>
      </c>
      <c r="E321" s="271" t="s">
        <v>1853</v>
      </c>
      <c r="F321" s="272" t="s">
        <v>1854</v>
      </c>
      <c r="G321" s="272" t="s">
        <v>1855</v>
      </c>
      <c r="H321" s="257" t="s">
        <v>1856</v>
      </c>
    </row>
    <row r="322" spans="2:8" x14ac:dyDescent="0.2">
      <c r="B322" s="357" t="s">
        <v>1577</v>
      </c>
      <c r="C322" s="358">
        <v>42461</v>
      </c>
      <c r="D322" s="359" t="s">
        <v>1899</v>
      </c>
      <c r="E322" s="359" t="s">
        <v>2231</v>
      </c>
      <c r="F322" s="360">
        <v>28000</v>
      </c>
      <c r="G322" s="360"/>
      <c r="H322" s="360">
        <f t="shared" si="4"/>
        <v>28000</v>
      </c>
    </row>
    <row r="323" spans="2:8" x14ac:dyDescent="0.2">
      <c r="B323" s="262" t="s">
        <v>1864</v>
      </c>
      <c r="C323" s="263">
        <v>42461</v>
      </c>
      <c r="D323" s="264" t="s">
        <v>1910</v>
      </c>
      <c r="E323" s="264" t="s">
        <v>2232</v>
      </c>
      <c r="F323" s="265">
        <v>400</v>
      </c>
      <c r="G323" s="265"/>
      <c r="H323" s="265">
        <f t="shared" si="4"/>
        <v>400</v>
      </c>
    </row>
    <row r="324" spans="2:8" x14ac:dyDescent="0.2">
      <c r="B324" s="262" t="s">
        <v>1866</v>
      </c>
      <c r="C324" s="263">
        <v>42463</v>
      </c>
      <c r="D324" s="264" t="s">
        <v>1903</v>
      </c>
      <c r="E324" s="264" t="s">
        <v>2233</v>
      </c>
      <c r="F324" s="265">
        <v>103</v>
      </c>
      <c r="G324" s="265"/>
      <c r="H324" s="265">
        <f t="shared" si="4"/>
        <v>103</v>
      </c>
    </row>
    <row r="325" spans="2:8" x14ac:dyDescent="0.2">
      <c r="B325" s="262" t="s">
        <v>1884</v>
      </c>
      <c r="C325" s="263">
        <v>42463</v>
      </c>
      <c r="D325" s="264" t="s">
        <v>2250</v>
      </c>
      <c r="E325" s="264" t="s">
        <v>2234</v>
      </c>
      <c r="F325" s="265">
        <v>100</v>
      </c>
      <c r="G325" s="265"/>
      <c r="H325" s="265">
        <f t="shared" ref="H325:H388" si="5">SUM(F325:G325)</f>
        <v>100</v>
      </c>
    </row>
    <row r="326" spans="2:8" x14ac:dyDescent="0.2">
      <c r="B326" s="262" t="s">
        <v>1866</v>
      </c>
      <c r="C326" s="263">
        <v>38811</v>
      </c>
      <c r="D326" s="264" t="s">
        <v>1890</v>
      </c>
      <c r="E326" s="264" t="s">
        <v>1913</v>
      </c>
      <c r="F326" s="265">
        <v>175</v>
      </c>
      <c r="G326" s="265"/>
      <c r="H326" s="265">
        <f t="shared" si="5"/>
        <v>175</v>
      </c>
    </row>
    <row r="327" spans="2:8" x14ac:dyDescent="0.2">
      <c r="B327" s="262" t="s">
        <v>1879</v>
      </c>
      <c r="C327" s="263">
        <v>42464</v>
      </c>
      <c r="D327" s="264" t="s">
        <v>1938</v>
      </c>
      <c r="E327" s="264" t="s">
        <v>2235</v>
      </c>
      <c r="F327" s="265">
        <v>450</v>
      </c>
      <c r="G327" s="265"/>
      <c r="H327" s="265">
        <f t="shared" si="5"/>
        <v>450</v>
      </c>
    </row>
    <row r="328" spans="2:8" x14ac:dyDescent="0.2">
      <c r="B328" s="262" t="s">
        <v>1879</v>
      </c>
      <c r="C328" s="263">
        <v>42464</v>
      </c>
      <c r="D328" s="264" t="s">
        <v>1938</v>
      </c>
      <c r="E328" s="264" t="s">
        <v>2236</v>
      </c>
      <c r="F328" s="265">
        <v>350</v>
      </c>
      <c r="G328" s="265"/>
      <c r="H328" s="265">
        <f t="shared" si="5"/>
        <v>350</v>
      </c>
    </row>
    <row r="329" spans="2:8" x14ac:dyDescent="0.2">
      <c r="B329" s="262" t="s">
        <v>1884</v>
      </c>
      <c r="C329" s="263">
        <v>42464</v>
      </c>
      <c r="D329" s="264" t="s">
        <v>1898</v>
      </c>
      <c r="E329" s="264" t="s">
        <v>2237</v>
      </c>
      <c r="F329" s="265">
        <v>180</v>
      </c>
      <c r="G329" s="265"/>
      <c r="H329" s="265">
        <f t="shared" si="5"/>
        <v>180</v>
      </c>
    </row>
    <row r="330" spans="2:8" x14ac:dyDescent="0.2">
      <c r="B330" s="262" t="s">
        <v>1884</v>
      </c>
      <c r="C330" s="263">
        <v>42464</v>
      </c>
      <c r="D330" s="264" t="s">
        <v>2238</v>
      </c>
      <c r="E330" s="264" t="s">
        <v>2239</v>
      </c>
      <c r="F330" s="265">
        <v>207</v>
      </c>
      <c r="G330" s="265"/>
      <c r="H330" s="265">
        <f t="shared" si="5"/>
        <v>207</v>
      </c>
    </row>
    <row r="331" spans="2:8" x14ac:dyDescent="0.2">
      <c r="B331" s="262" t="s">
        <v>1884</v>
      </c>
      <c r="C331" s="263">
        <v>42464</v>
      </c>
      <c r="D331" s="264" t="s">
        <v>1918</v>
      </c>
      <c r="E331" s="264" t="s">
        <v>2240</v>
      </c>
      <c r="F331" s="265">
        <v>34</v>
      </c>
      <c r="G331" s="265"/>
      <c r="H331" s="265">
        <f t="shared" si="5"/>
        <v>34</v>
      </c>
    </row>
    <row r="332" spans="2:8" x14ac:dyDescent="0.2">
      <c r="B332" s="262" t="s">
        <v>1870</v>
      </c>
      <c r="C332" s="263">
        <v>42465</v>
      </c>
      <c r="D332" s="264" t="s">
        <v>1892</v>
      </c>
      <c r="E332" s="264" t="s">
        <v>2241</v>
      </c>
      <c r="F332" s="265">
        <v>360</v>
      </c>
      <c r="G332" s="265"/>
      <c r="H332" s="265">
        <f t="shared" si="5"/>
        <v>360</v>
      </c>
    </row>
    <row r="333" spans="2:8" x14ac:dyDescent="0.2">
      <c r="B333" s="262" t="s">
        <v>1866</v>
      </c>
      <c r="C333" s="263">
        <v>42465</v>
      </c>
      <c r="D333" s="264" t="s">
        <v>1890</v>
      </c>
      <c r="E333" s="264" t="s">
        <v>1932</v>
      </c>
      <c r="F333" s="265">
        <v>145</v>
      </c>
      <c r="G333" s="265"/>
      <c r="H333" s="265">
        <f t="shared" si="5"/>
        <v>145</v>
      </c>
    </row>
    <row r="334" spans="2:8" x14ac:dyDescent="0.2">
      <c r="B334" s="262" t="s">
        <v>1861</v>
      </c>
      <c r="C334" s="263">
        <v>42465</v>
      </c>
      <c r="D334" s="264" t="s">
        <v>1906</v>
      </c>
      <c r="E334" s="264" t="s">
        <v>2242</v>
      </c>
      <c r="F334" s="265">
        <v>100</v>
      </c>
      <c r="G334" s="265"/>
      <c r="H334" s="265">
        <f t="shared" si="5"/>
        <v>100</v>
      </c>
    </row>
    <row r="335" spans="2:8" x14ac:dyDescent="0.2">
      <c r="B335" s="262" t="s">
        <v>1870</v>
      </c>
      <c r="C335" s="263">
        <v>42466</v>
      </c>
      <c r="D335" s="264" t="s">
        <v>1892</v>
      </c>
      <c r="E335" s="264" t="s">
        <v>2243</v>
      </c>
      <c r="F335" s="265">
        <v>1200</v>
      </c>
      <c r="G335" s="265"/>
      <c r="H335" s="265">
        <f t="shared" si="5"/>
        <v>1200</v>
      </c>
    </row>
    <row r="336" spans="2:8" x14ac:dyDescent="0.2">
      <c r="B336" s="262" t="s">
        <v>1860</v>
      </c>
      <c r="C336" s="263">
        <v>42467</v>
      </c>
      <c r="D336" s="264" t="s">
        <v>1891</v>
      </c>
      <c r="E336" s="264" t="s">
        <v>2244</v>
      </c>
      <c r="F336" s="265">
        <v>319.75</v>
      </c>
      <c r="G336" s="265"/>
      <c r="H336" s="265">
        <f t="shared" si="5"/>
        <v>319.75</v>
      </c>
    </row>
    <row r="337" spans="2:8" x14ac:dyDescent="0.2">
      <c r="B337" s="262" t="s">
        <v>1863</v>
      </c>
      <c r="C337" s="263">
        <v>42467</v>
      </c>
      <c r="D337" s="264" t="s">
        <v>2222</v>
      </c>
      <c r="E337" s="264" t="s">
        <v>2245</v>
      </c>
      <c r="F337" s="265">
        <v>360</v>
      </c>
      <c r="G337" s="265"/>
      <c r="H337" s="265">
        <f t="shared" si="5"/>
        <v>360</v>
      </c>
    </row>
    <row r="338" spans="2:8" x14ac:dyDescent="0.2">
      <c r="B338" s="262" t="s">
        <v>1884</v>
      </c>
      <c r="C338" s="263">
        <v>42467</v>
      </c>
      <c r="D338" s="264" t="s">
        <v>1919</v>
      </c>
      <c r="E338" s="264" t="s">
        <v>2246</v>
      </c>
      <c r="F338" s="265">
        <v>163</v>
      </c>
      <c r="G338" s="265"/>
      <c r="H338" s="265">
        <f t="shared" si="5"/>
        <v>163</v>
      </c>
    </row>
    <row r="339" spans="2:8" x14ac:dyDescent="0.2">
      <c r="B339" s="262" t="s">
        <v>1884</v>
      </c>
      <c r="C339" s="263">
        <v>42467</v>
      </c>
      <c r="D339" s="264" t="s">
        <v>1919</v>
      </c>
      <c r="E339" s="264" t="s">
        <v>2246</v>
      </c>
      <c r="F339" s="265">
        <v>29</v>
      </c>
      <c r="G339" s="265"/>
      <c r="H339" s="265">
        <f t="shared" si="5"/>
        <v>29</v>
      </c>
    </row>
    <row r="340" spans="2:8" x14ac:dyDescent="0.2">
      <c r="B340" s="262" t="s">
        <v>1870</v>
      </c>
      <c r="C340" s="263">
        <v>42467</v>
      </c>
      <c r="D340" s="264" t="s">
        <v>1892</v>
      </c>
      <c r="E340" s="264" t="s">
        <v>2247</v>
      </c>
      <c r="F340" s="265">
        <v>440</v>
      </c>
      <c r="G340" s="265"/>
      <c r="H340" s="265">
        <f t="shared" si="5"/>
        <v>440</v>
      </c>
    </row>
    <row r="341" spans="2:8" x14ac:dyDescent="0.2">
      <c r="B341" s="262" t="s">
        <v>1867</v>
      </c>
      <c r="C341" s="263">
        <v>42467</v>
      </c>
      <c r="D341" s="264" t="s">
        <v>1894</v>
      </c>
      <c r="E341" s="264" t="s">
        <v>2248</v>
      </c>
      <c r="F341" s="265">
        <v>991</v>
      </c>
      <c r="G341" s="265"/>
      <c r="H341" s="265">
        <f t="shared" si="5"/>
        <v>991</v>
      </c>
    </row>
    <row r="342" spans="2:8" x14ac:dyDescent="0.2">
      <c r="B342" s="262" t="s">
        <v>1859</v>
      </c>
      <c r="C342" s="263">
        <v>42468</v>
      </c>
      <c r="D342" s="264" t="s">
        <v>1910</v>
      </c>
      <c r="E342" s="264" t="s">
        <v>2249</v>
      </c>
      <c r="F342" s="265">
        <v>1000</v>
      </c>
      <c r="G342" s="265"/>
      <c r="H342" s="265">
        <f t="shared" si="5"/>
        <v>1000</v>
      </c>
    </row>
    <row r="343" spans="2:8" x14ac:dyDescent="0.2">
      <c r="B343" s="262" t="s">
        <v>1884</v>
      </c>
      <c r="C343" s="263">
        <v>42470</v>
      </c>
      <c r="D343" s="264" t="s">
        <v>2250</v>
      </c>
      <c r="E343" s="264" t="s">
        <v>2142</v>
      </c>
      <c r="F343" s="265">
        <v>100</v>
      </c>
      <c r="G343" s="265"/>
      <c r="H343" s="265">
        <f t="shared" si="5"/>
        <v>100</v>
      </c>
    </row>
    <row r="344" spans="2:8" x14ac:dyDescent="0.2">
      <c r="B344" s="262" t="s">
        <v>1866</v>
      </c>
      <c r="C344" s="263">
        <v>42470</v>
      </c>
      <c r="D344" s="264" t="s">
        <v>1903</v>
      </c>
      <c r="E344" s="264" t="s">
        <v>2251</v>
      </c>
      <c r="F344" s="265">
        <v>87</v>
      </c>
      <c r="G344" s="265"/>
      <c r="H344" s="265">
        <f t="shared" si="5"/>
        <v>87</v>
      </c>
    </row>
    <row r="345" spans="2:8" x14ac:dyDescent="0.2">
      <c r="B345" s="262" t="s">
        <v>1866</v>
      </c>
      <c r="C345" s="263">
        <v>42470</v>
      </c>
      <c r="D345" s="264" t="s">
        <v>1903</v>
      </c>
      <c r="E345" s="264" t="s">
        <v>2251</v>
      </c>
      <c r="F345" s="265">
        <v>120.2</v>
      </c>
      <c r="G345" s="265"/>
      <c r="H345" s="265">
        <f t="shared" si="5"/>
        <v>120.2</v>
      </c>
    </row>
    <row r="346" spans="2:8" x14ac:dyDescent="0.2">
      <c r="B346" s="262" t="s">
        <v>1866</v>
      </c>
      <c r="C346" s="263">
        <v>42471</v>
      </c>
      <c r="D346" s="264" t="s">
        <v>1890</v>
      </c>
      <c r="E346" s="264" t="s">
        <v>1900</v>
      </c>
      <c r="F346" s="265">
        <v>110</v>
      </c>
      <c r="G346" s="265"/>
      <c r="H346" s="265">
        <f t="shared" si="5"/>
        <v>110</v>
      </c>
    </row>
    <row r="347" spans="2:8" x14ac:dyDescent="0.2">
      <c r="B347" s="262" t="s">
        <v>1884</v>
      </c>
      <c r="C347" s="263">
        <v>42471</v>
      </c>
      <c r="D347" s="264" t="s">
        <v>1918</v>
      </c>
      <c r="E347" s="264" t="s">
        <v>2252</v>
      </c>
      <c r="F347" s="265">
        <v>56</v>
      </c>
      <c r="G347" s="265"/>
      <c r="H347" s="265">
        <f t="shared" si="5"/>
        <v>56</v>
      </c>
    </row>
    <row r="348" spans="2:8" x14ac:dyDescent="0.2">
      <c r="B348" s="262" t="s">
        <v>1884</v>
      </c>
      <c r="C348" s="263">
        <v>42471</v>
      </c>
      <c r="D348" s="264" t="s">
        <v>2253</v>
      </c>
      <c r="E348" s="264" t="s">
        <v>2254</v>
      </c>
      <c r="F348" s="265">
        <v>73.5</v>
      </c>
      <c r="G348" s="265"/>
      <c r="H348" s="265">
        <f t="shared" si="5"/>
        <v>73.5</v>
      </c>
    </row>
    <row r="349" spans="2:8" x14ac:dyDescent="0.2">
      <c r="B349" s="262" t="s">
        <v>1871</v>
      </c>
      <c r="C349" s="263">
        <v>42471</v>
      </c>
      <c r="D349" s="264" t="s">
        <v>2156</v>
      </c>
      <c r="E349" s="264" t="s">
        <v>2255</v>
      </c>
      <c r="F349" s="265">
        <v>511</v>
      </c>
      <c r="G349" s="265"/>
      <c r="H349" s="265">
        <f t="shared" si="5"/>
        <v>511</v>
      </c>
    </row>
    <row r="350" spans="2:8" x14ac:dyDescent="0.2">
      <c r="B350" s="262" t="s">
        <v>1870</v>
      </c>
      <c r="C350" s="263">
        <v>42471</v>
      </c>
      <c r="D350" s="264" t="s">
        <v>1892</v>
      </c>
      <c r="E350" s="264" t="s">
        <v>2256</v>
      </c>
      <c r="F350" s="265">
        <v>600</v>
      </c>
      <c r="G350" s="265"/>
      <c r="H350" s="265">
        <f t="shared" si="5"/>
        <v>600</v>
      </c>
    </row>
    <row r="351" spans="2:8" x14ac:dyDescent="0.2">
      <c r="B351" s="262" t="s">
        <v>1857</v>
      </c>
      <c r="C351" s="263">
        <v>42473</v>
      </c>
      <c r="D351" s="264" t="s">
        <v>1872</v>
      </c>
      <c r="E351" s="264" t="s">
        <v>2257</v>
      </c>
      <c r="F351" s="265">
        <v>550</v>
      </c>
      <c r="G351" s="265"/>
      <c r="H351" s="265">
        <f t="shared" si="5"/>
        <v>550</v>
      </c>
    </row>
    <row r="352" spans="2:8" x14ac:dyDescent="0.2">
      <c r="B352" s="262" t="s">
        <v>1870</v>
      </c>
      <c r="C352" s="263">
        <v>42473</v>
      </c>
      <c r="D352" s="264" t="s">
        <v>1892</v>
      </c>
      <c r="E352" s="264" t="s">
        <v>2258</v>
      </c>
      <c r="F352" s="265">
        <v>600</v>
      </c>
      <c r="G352" s="265"/>
      <c r="H352" s="265">
        <f t="shared" si="5"/>
        <v>600</v>
      </c>
    </row>
    <row r="353" spans="2:8" x14ac:dyDescent="0.2">
      <c r="B353" s="262" t="s">
        <v>1805</v>
      </c>
      <c r="C353" s="263">
        <v>42474</v>
      </c>
      <c r="D353" s="264" t="s">
        <v>1911</v>
      </c>
      <c r="E353" s="264" t="s">
        <v>2111</v>
      </c>
      <c r="F353" s="265">
        <v>263.2</v>
      </c>
      <c r="G353" s="265"/>
      <c r="H353" s="265">
        <f t="shared" si="5"/>
        <v>263.2</v>
      </c>
    </row>
    <row r="354" spans="2:8" x14ac:dyDescent="0.2">
      <c r="B354" s="262" t="s">
        <v>1805</v>
      </c>
      <c r="C354" s="263">
        <v>42474</v>
      </c>
      <c r="D354" s="264" t="s">
        <v>1918</v>
      </c>
      <c r="E354" s="264" t="s">
        <v>2259</v>
      </c>
      <c r="F354" s="265">
        <v>120</v>
      </c>
      <c r="G354" s="265"/>
      <c r="H354" s="265">
        <f t="shared" si="5"/>
        <v>120</v>
      </c>
    </row>
    <row r="355" spans="2:8" x14ac:dyDescent="0.2">
      <c r="B355" s="262" t="s">
        <v>1790</v>
      </c>
      <c r="C355" s="325">
        <v>42474</v>
      </c>
      <c r="D355" s="264" t="s">
        <v>1909</v>
      </c>
      <c r="E355" s="264" t="s">
        <v>2260</v>
      </c>
      <c r="F355" s="265"/>
      <c r="G355" s="265">
        <v>1760</v>
      </c>
      <c r="H355" s="265">
        <f t="shared" si="5"/>
        <v>1760</v>
      </c>
    </row>
    <row r="356" spans="2:8" x14ac:dyDescent="0.2">
      <c r="B356" s="262" t="s">
        <v>1805</v>
      </c>
      <c r="C356" s="263">
        <v>42474</v>
      </c>
      <c r="D356" s="264" t="s">
        <v>1888</v>
      </c>
      <c r="E356" s="264" t="s">
        <v>2261</v>
      </c>
      <c r="F356" s="265">
        <v>1055.17</v>
      </c>
      <c r="G356" s="265">
        <v>168.83</v>
      </c>
      <c r="H356" s="265">
        <f t="shared" si="5"/>
        <v>1224</v>
      </c>
    </row>
    <row r="357" spans="2:8" x14ac:dyDescent="0.2">
      <c r="B357" s="262" t="s">
        <v>1805</v>
      </c>
      <c r="C357" s="263">
        <v>42474</v>
      </c>
      <c r="D357" s="264" t="s">
        <v>2262</v>
      </c>
      <c r="E357" s="264" t="s">
        <v>2263</v>
      </c>
      <c r="F357" s="265">
        <v>76</v>
      </c>
      <c r="G357" s="265"/>
      <c r="H357" s="265">
        <f t="shared" si="5"/>
        <v>76</v>
      </c>
    </row>
    <row r="358" spans="2:8" x14ac:dyDescent="0.2">
      <c r="B358" s="262" t="s">
        <v>1859</v>
      </c>
      <c r="C358" s="263">
        <v>42475</v>
      </c>
      <c r="D358" s="264" t="s">
        <v>1910</v>
      </c>
      <c r="E358" s="264" t="s">
        <v>2264</v>
      </c>
      <c r="F358" s="265">
        <v>1000</v>
      </c>
      <c r="G358" s="265"/>
      <c r="H358" s="265">
        <f t="shared" si="5"/>
        <v>1000</v>
      </c>
    </row>
    <row r="359" spans="2:8" x14ac:dyDescent="0.2">
      <c r="B359" s="262" t="s">
        <v>1884</v>
      </c>
      <c r="C359" s="263">
        <v>42475</v>
      </c>
      <c r="D359" s="264" t="s">
        <v>1873</v>
      </c>
      <c r="E359" s="264" t="s">
        <v>2265</v>
      </c>
      <c r="F359" s="265">
        <v>450</v>
      </c>
      <c r="G359" s="265"/>
      <c r="H359" s="265">
        <f t="shared" si="5"/>
        <v>450</v>
      </c>
    </row>
    <row r="360" spans="2:8" x14ac:dyDescent="0.2">
      <c r="B360" s="262" t="s">
        <v>1866</v>
      </c>
      <c r="C360" s="263">
        <v>42475</v>
      </c>
      <c r="D360" s="264" t="s">
        <v>1890</v>
      </c>
      <c r="E360" s="264" t="s">
        <v>1904</v>
      </c>
      <c r="F360" s="265">
        <v>185</v>
      </c>
      <c r="G360" s="265"/>
      <c r="H360" s="265">
        <f t="shared" si="5"/>
        <v>185</v>
      </c>
    </row>
    <row r="361" spans="2:8" x14ac:dyDescent="0.2">
      <c r="B361" s="262" t="s">
        <v>1577</v>
      </c>
      <c r="C361" s="263">
        <v>42475</v>
      </c>
      <c r="D361" s="264" t="s">
        <v>1886</v>
      </c>
      <c r="E361" s="264" t="s">
        <v>2266</v>
      </c>
      <c r="F361" s="265">
        <v>2700</v>
      </c>
      <c r="G361" s="265"/>
      <c r="H361" s="265">
        <f t="shared" si="5"/>
        <v>2700</v>
      </c>
    </row>
    <row r="362" spans="2:8" x14ac:dyDescent="0.2">
      <c r="B362" s="262" t="s">
        <v>1577</v>
      </c>
      <c r="C362" s="263">
        <v>42475</v>
      </c>
      <c r="D362" s="264" t="s">
        <v>1899</v>
      </c>
      <c r="E362" s="264" t="s">
        <v>2267</v>
      </c>
      <c r="F362" s="265">
        <v>29000</v>
      </c>
      <c r="G362" s="265"/>
      <c r="H362" s="265">
        <f t="shared" si="5"/>
        <v>29000</v>
      </c>
    </row>
    <row r="363" spans="2:8" x14ac:dyDescent="0.2">
      <c r="B363" s="262" t="s">
        <v>1859</v>
      </c>
      <c r="C363" s="263">
        <v>42475</v>
      </c>
      <c r="D363" s="264" t="s">
        <v>1911</v>
      </c>
      <c r="E363" s="264" t="s">
        <v>1935</v>
      </c>
      <c r="F363" s="265">
        <v>4000</v>
      </c>
      <c r="G363" s="265"/>
      <c r="H363" s="265">
        <f t="shared" si="5"/>
        <v>4000</v>
      </c>
    </row>
    <row r="364" spans="2:8" x14ac:dyDescent="0.2">
      <c r="B364" s="262" t="s">
        <v>1870</v>
      </c>
      <c r="C364" s="263">
        <v>42476</v>
      </c>
      <c r="D364" s="264" t="s">
        <v>1892</v>
      </c>
      <c r="E364" s="264" t="s">
        <v>2268</v>
      </c>
      <c r="F364" s="265">
        <v>1400</v>
      </c>
      <c r="G364" s="265"/>
      <c r="H364" s="265">
        <f t="shared" si="5"/>
        <v>1400</v>
      </c>
    </row>
    <row r="365" spans="2:8" x14ac:dyDescent="0.2">
      <c r="B365" s="262" t="s">
        <v>1884</v>
      </c>
      <c r="C365" s="263">
        <v>42477</v>
      </c>
      <c r="D365" s="264" t="s">
        <v>2250</v>
      </c>
      <c r="E365" s="264" t="s">
        <v>2142</v>
      </c>
      <c r="F365" s="265">
        <v>100</v>
      </c>
      <c r="G365" s="265"/>
      <c r="H365" s="265">
        <f t="shared" si="5"/>
        <v>100</v>
      </c>
    </row>
    <row r="366" spans="2:8" x14ac:dyDescent="0.2">
      <c r="B366" s="262" t="s">
        <v>1884</v>
      </c>
      <c r="C366" s="263">
        <v>42477</v>
      </c>
      <c r="D366" s="264" t="s">
        <v>2269</v>
      </c>
      <c r="E366" s="264" t="s">
        <v>2270</v>
      </c>
      <c r="F366" s="265">
        <v>5</v>
      </c>
      <c r="G366" s="265"/>
      <c r="H366" s="265">
        <f t="shared" si="5"/>
        <v>5</v>
      </c>
    </row>
    <row r="367" spans="2:8" x14ac:dyDescent="0.2">
      <c r="B367" s="262" t="s">
        <v>1884</v>
      </c>
      <c r="C367" s="263">
        <v>42477</v>
      </c>
      <c r="D367" s="264" t="s">
        <v>1903</v>
      </c>
      <c r="E367" s="264" t="s">
        <v>2251</v>
      </c>
      <c r="F367" s="265">
        <v>139</v>
      </c>
      <c r="G367" s="265"/>
      <c r="H367" s="265">
        <f t="shared" si="5"/>
        <v>139</v>
      </c>
    </row>
    <row r="368" spans="2:8" x14ac:dyDescent="0.2">
      <c r="B368" s="262" t="s">
        <v>1884</v>
      </c>
      <c r="C368" s="263">
        <v>42477</v>
      </c>
      <c r="D368" s="264" t="s">
        <v>1873</v>
      </c>
      <c r="E368" s="264" t="s">
        <v>2271</v>
      </c>
      <c r="F368" s="265">
        <v>100</v>
      </c>
      <c r="G368" s="265"/>
      <c r="H368" s="265">
        <f t="shared" si="5"/>
        <v>100</v>
      </c>
    </row>
    <row r="369" spans="2:8" x14ac:dyDescent="0.2">
      <c r="B369" s="262" t="s">
        <v>1884</v>
      </c>
      <c r="C369" s="263">
        <v>42477</v>
      </c>
      <c r="D369" s="264" t="s">
        <v>1915</v>
      </c>
      <c r="E369" s="264" t="s">
        <v>2272</v>
      </c>
      <c r="F369" s="265">
        <v>500</v>
      </c>
      <c r="G369" s="265"/>
      <c r="H369" s="265">
        <f t="shared" si="5"/>
        <v>500</v>
      </c>
    </row>
    <row r="370" spans="2:8" x14ac:dyDescent="0.2">
      <c r="B370" s="262" t="s">
        <v>1866</v>
      </c>
      <c r="C370" s="263">
        <v>42478</v>
      </c>
      <c r="D370" s="264" t="s">
        <v>1890</v>
      </c>
      <c r="E370" s="264" t="s">
        <v>1900</v>
      </c>
      <c r="F370" s="265">
        <v>110</v>
      </c>
      <c r="G370" s="265"/>
      <c r="H370" s="265">
        <f t="shared" si="5"/>
        <v>110</v>
      </c>
    </row>
    <row r="371" spans="2:8" x14ac:dyDescent="0.2">
      <c r="B371" s="262" t="s">
        <v>1884</v>
      </c>
      <c r="C371" s="263">
        <v>42478</v>
      </c>
      <c r="D371" s="264" t="s">
        <v>2273</v>
      </c>
      <c r="E371" s="264" t="s">
        <v>1955</v>
      </c>
      <c r="F371" s="265">
        <v>287</v>
      </c>
      <c r="G371" s="265"/>
      <c r="H371" s="265">
        <f t="shared" si="5"/>
        <v>287</v>
      </c>
    </row>
    <row r="372" spans="2:8" x14ac:dyDescent="0.2">
      <c r="B372" s="262" t="s">
        <v>1875</v>
      </c>
      <c r="C372" s="263">
        <v>42479</v>
      </c>
      <c r="D372" s="264" t="s">
        <v>2274</v>
      </c>
      <c r="E372" s="264" t="s">
        <v>1942</v>
      </c>
      <c r="F372" s="265">
        <v>329.6</v>
      </c>
      <c r="G372" s="265"/>
      <c r="H372" s="265">
        <f t="shared" si="5"/>
        <v>329.6</v>
      </c>
    </row>
    <row r="373" spans="2:8" x14ac:dyDescent="0.2">
      <c r="B373" s="262" t="s">
        <v>1875</v>
      </c>
      <c r="C373" s="263">
        <v>42479</v>
      </c>
      <c r="D373" s="264" t="s">
        <v>2274</v>
      </c>
      <c r="E373" s="264" t="s">
        <v>1942</v>
      </c>
      <c r="F373" s="265">
        <v>19.5</v>
      </c>
      <c r="G373" s="265"/>
      <c r="H373" s="265">
        <f t="shared" si="5"/>
        <v>19.5</v>
      </c>
    </row>
    <row r="374" spans="2:8" x14ac:dyDescent="0.2">
      <c r="B374" s="262" t="s">
        <v>1884</v>
      </c>
      <c r="C374" s="263">
        <v>42481</v>
      </c>
      <c r="D374" s="264" t="s">
        <v>1912</v>
      </c>
      <c r="E374" s="264" t="s">
        <v>2168</v>
      </c>
      <c r="F374" s="265">
        <v>227.91</v>
      </c>
      <c r="G374" s="265">
        <v>35.29</v>
      </c>
      <c r="H374" s="265">
        <f t="shared" si="5"/>
        <v>263.2</v>
      </c>
    </row>
    <row r="375" spans="2:8" x14ac:dyDescent="0.2">
      <c r="B375" s="262" t="s">
        <v>1884</v>
      </c>
      <c r="C375" s="263">
        <v>42481</v>
      </c>
      <c r="D375" s="264" t="s">
        <v>1893</v>
      </c>
      <c r="E375" s="264" t="s">
        <v>2275</v>
      </c>
      <c r="F375" s="265">
        <v>112.92</v>
      </c>
      <c r="G375" s="265"/>
      <c r="H375" s="265">
        <f t="shared" si="5"/>
        <v>112.92</v>
      </c>
    </row>
    <row r="376" spans="2:8" x14ac:dyDescent="0.2">
      <c r="B376" s="262" t="s">
        <v>1884</v>
      </c>
      <c r="C376" s="263">
        <v>42481</v>
      </c>
      <c r="D376" s="264" t="s">
        <v>1925</v>
      </c>
      <c r="E376" s="264" t="s">
        <v>2276</v>
      </c>
      <c r="F376" s="265">
        <v>5</v>
      </c>
      <c r="G376" s="265"/>
      <c r="H376" s="265">
        <f t="shared" si="5"/>
        <v>5</v>
      </c>
    </row>
    <row r="377" spans="2:8" x14ac:dyDescent="0.2">
      <c r="B377" s="262" t="s">
        <v>1859</v>
      </c>
      <c r="C377" s="263">
        <v>42482</v>
      </c>
      <c r="D377" s="264" t="s">
        <v>1910</v>
      </c>
      <c r="E377" s="264" t="s">
        <v>2277</v>
      </c>
      <c r="F377" s="265">
        <v>1000</v>
      </c>
      <c r="G377" s="265"/>
      <c r="H377" s="265">
        <f t="shared" si="5"/>
        <v>1000</v>
      </c>
    </row>
    <row r="378" spans="2:8" x14ac:dyDescent="0.2">
      <c r="B378" s="262" t="s">
        <v>1866</v>
      </c>
      <c r="C378" s="263">
        <v>42482</v>
      </c>
      <c r="D378" s="264" t="s">
        <v>1890</v>
      </c>
      <c r="E378" s="264" t="s">
        <v>1904</v>
      </c>
      <c r="F378" s="265">
        <v>142</v>
      </c>
      <c r="G378" s="265"/>
      <c r="H378" s="265">
        <f t="shared" si="5"/>
        <v>142</v>
      </c>
    </row>
    <row r="379" spans="2:8" x14ac:dyDescent="0.2">
      <c r="B379" s="262" t="s">
        <v>1866</v>
      </c>
      <c r="C379" s="263">
        <v>42484</v>
      </c>
      <c r="D379" s="264" t="s">
        <v>1903</v>
      </c>
      <c r="E379" s="264" t="s">
        <v>2278</v>
      </c>
      <c r="F379" s="265">
        <v>48</v>
      </c>
      <c r="G379" s="265"/>
      <c r="H379" s="265">
        <f t="shared" si="5"/>
        <v>48</v>
      </c>
    </row>
    <row r="380" spans="2:8" x14ac:dyDescent="0.2">
      <c r="B380" s="262" t="s">
        <v>1884</v>
      </c>
      <c r="C380" s="263">
        <v>42484</v>
      </c>
      <c r="D380" s="264" t="s">
        <v>2279</v>
      </c>
      <c r="E380" s="264" t="s">
        <v>2142</v>
      </c>
      <c r="F380" s="265">
        <v>100</v>
      </c>
      <c r="G380" s="265"/>
      <c r="H380" s="265">
        <f t="shared" si="5"/>
        <v>100</v>
      </c>
    </row>
    <row r="381" spans="2:8" x14ac:dyDescent="0.2">
      <c r="B381" s="262" t="s">
        <v>1884</v>
      </c>
      <c r="C381" s="263">
        <v>42484</v>
      </c>
      <c r="D381" s="264" t="s">
        <v>2474</v>
      </c>
      <c r="E381" s="264" t="s">
        <v>2089</v>
      </c>
      <c r="F381" s="265">
        <v>111</v>
      </c>
      <c r="G381" s="265"/>
      <c r="H381" s="265">
        <f t="shared" si="5"/>
        <v>111</v>
      </c>
    </row>
    <row r="382" spans="2:8" x14ac:dyDescent="0.2">
      <c r="B382" s="262" t="s">
        <v>1866</v>
      </c>
      <c r="C382" s="263">
        <v>42485</v>
      </c>
      <c r="D382" s="264" t="s">
        <v>1890</v>
      </c>
      <c r="E382" s="264" t="s">
        <v>1900</v>
      </c>
      <c r="F382" s="265">
        <v>110</v>
      </c>
      <c r="G382" s="265"/>
      <c r="H382" s="265">
        <f t="shared" si="5"/>
        <v>110</v>
      </c>
    </row>
    <row r="383" spans="2:8" x14ac:dyDescent="0.2">
      <c r="B383" s="262" t="s">
        <v>1866</v>
      </c>
      <c r="C383" s="263">
        <v>42485</v>
      </c>
      <c r="D383" s="264" t="s">
        <v>1903</v>
      </c>
      <c r="E383" s="264" t="s">
        <v>2280</v>
      </c>
      <c r="F383" s="265">
        <v>149.19999999999999</v>
      </c>
      <c r="G383" s="265"/>
      <c r="H383" s="265">
        <f t="shared" si="5"/>
        <v>149.19999999999999</v>
      </c>
    </row>
    <row r="384" spans="2:8" x14ac:dyDescent="0.2">
      <c r="B384" s="262" t="s">
        <v>1870</v>
      </c>
      <c r="C384" s="263">
        <v>42486</v>
      </c>
      <c r="D384" s="264" t="s">
        <v>1892</v>
      </c>
      <c r="E384" s="264" t="s">
        <v>2281</v>
      </c>
      <c r="F384" s="265">
        <v>350</v>
      </c>
      <c r="G384" s="265"/>
      <c r="H384" s="265">
        <f t="shared" si="5"/>
        <v>350</v>
      </c>
    </row>
    <row r="385" spans="2:8" x14ac:dyDescent="0.2">
      <c r="B385" s="262" t="s">
        <v>1860</v>
      </c>
      <c r="C385" s="263">
        <v>42486</v>
      </c>
      <c r="D385" s="264" t="s">
        <v>1926</v>
      </c>
      <c r="E385" s="264" t="s">
        <v>2282</v>
      </c>
      <c r="F385" s="265">
        <v>180</v>
      </c>
      <c r="G385" s="265"/>
      <c r="H385" s="265">
        <f t="shared" si="5"/>
        <v>180</v>
      </c>
    </row>
    <row r="386" spans="2:8" x14ac:dyDescent="0.2">
      <c r="B386" s="262" t="s">
        <v>1860</v>
      </c>
      <c r="C386" s="263">
        <v>42486</v>
      </c>
      <c r="D386" s="264" t="s">
        <v>1926</v>
      </c>
      <c r="E386" s="264" t="s">
        <v>2283</v>
      </c>
      <c r="F386" s="265">
        <v>15</v>
      </c>
      <c r="G386" s="265"/>
      <c r="H386" s="265">
        <f t="shared" si="5"/>
        <v>15</v>
      </c>
    </row>
    <row r="387" spans="2:8" x14ac:dyDescent="0.2">
      <c r="B387" s="262" t="s">
        <v>1866</v>
      </c>
      <c r="C387" s="263">
        <v>42486</v>
      </c>
      <c r="D387" s="264" t="s">
        <v>1903</v>
      </c>
      <c r="E387" s="264" t="s">
        <v>2278</v>
      </c>
      <c r="F387" s="265">
        <v>21.5</v>
      </c>
      <c r="G387" s="265"/>
      <c r="H387" s="265">
        <f t="shared" si="5"/>
        <v>21.5</v>
      </c>
    </row>
    <row r="388" spans="2:8" x14ac:dyDescent="0.2">
      <c r="B388" s="262" t="s">
        <v>1865</v>
      </c>
      <c r="C388" s="263">
        <v>42486</v>
      </c>
      <c r="D388" s="264" t="s">
        <v>1937</v>
      </c>
      <c r="E388" s="264" t="s">
        <v>2284</v>
      </c>
      <c r="F388" s="265">
        <v>600</v>
      </c>
      <c r="G388" s="265"/>
      <c r="H388" s="265">
        <f t="shared" si="5"/>
        <v>600</v>
      </c>
    </row>
    <row r="389" spans="2:8" x14ac:dyDescent="0.2">
      <c r="B389" s="262" t="s">
        <v>1857</v>
      </c>
      <c r="C389" s="263">
        <v>42486</v>
      </c>
      <c r="D389" s="264" t="s">
        <v>1889</v>
      </c>
      <c r="E389" s="264" t="s">
        <v>2285</v>
      </c>
      <c r="F389" s="265">
        <v>350</v>
      </c>
      <c r="G389" s="265"/>
      <c r="H389" s="265">
        <f t="shared" ref="H389:H452" si="6">SUM(F389:G389)</f>
        <v>350</v>
      </c>
    </row>
    <row r="390" spans="2:8" x14ac:dyDescent="0.2">
      <c r="B390" s="262" t="s">
        <v>1870</v>
      </c>
      <c r="C390" s="263">
        <v>42486</v>
      </c>
      <c r="D390" s="264" t="s">
        <v>1892</v>
      </c>
      <c r="E390" s="264" t="s">
        <v>2286</v>
      </c>
      <c r="F390" s="265">
        <v>600</v>
      </c>
      <c r="G390" s="265"/>
      <c r="H390" s="265">
        <f t="shared" si="6"/>
        <v>600</v>
      </c>
    </row>
    <row r="391" spans="2:8" x14ac:dyDescent="0.2">
      <c r="B391" s="262" t="s">
        <v>1862</v>
      </c>
      <c r="C391" s="263">
        <v>42486</v>
      </c>
      <c r="D391" s="264" t="s">
        <v>2949</v>
      </c>
      <c r="E391" s="264" t="s">
        <v>2287</v>
      </c>
      <c r="F391" s="265">
        <v>1265.521</v>
      </c>
      <c r="G391" s="265">
        <v>202.48</v>
      </c>
      <c r="H391" s="265">
        <f t="shared" si="6"/>
        <v>1468.001</v>
      </c>
    </row>
    <row r="392" spans="2:8" x14ac:dyDescent="0.2">
      <c r="B392" s="262" t="s">
        <v>1875</v>
      </c>
      <c r="C392" s="263">
        <v>42488</v>
      </c>
      <c r="D392" s="264" t="s">
        <v>1893</v>
      </c>
      <c r="E392" s="264" t="s">
        <v>2109</v>
      </c>
      <c r="F392" s="265">
        <v>86.08</v>
      </c>
      <c r="G392" s="265">
        <v>9.52</v>
      </c>
      <c r="H392" s="265">
        <f t="shared" si="6"/>
        <v>95.6</v>
      </c>
    </row>
    <row r="393" spans="2:8" x14ac:dyDescent="0.2">
      <c r="B393" s="262" t="s">
        <v>1884</v>
      </c>
      <c r="C393" s="263">
        <v>42488</v>
      </c>
      <c r="D393" s="264" t="s">
        <v>2200</v>
      </c>
      <c r="E393" s="264" t="s">
        <v>2168</v>
      </c>
      <c r="F393" s="265">
        <v>227.91</v>
      </c>
      <c r="G393" s="265">
        <v>35.29</v>
      </c>
      <c r="H393" s="265">
        <f t="shared" si="6"/>
        <v>263.2</v>
      </c>
    </row>
    <row r="394" spans="2:8" x14ac:dyDescent="0.2">
      <c r="B394" s="262" t="s">
        <v>1884</v>
      </c>
      <c r="C394" s="263">
        <v>42488</v>
      </c>
      <c r="D394" s="264" t="s">
        <v>2288</v>
      </c>
      <c r="E394" s="264" t="s">
        <v>2289</v>
      </c>
      <c r="F394" s="265">
        <v>32</v>
      </c>
      <c r="G394" s="265"/>
      <c r="H394" s="265">
        <f t="shared" si="6"/>
        <v>32</v>
      </c>
    </row>
    <row r="395" spans="2:8" x14ac:dyDescent="0.2">
      <c r="B395" s="262" t="s">
        <v>1884</v>
      </c>
      <c r="C395" s="263">
        <v>42488</v>
      </c>
      <c r="D395" s="264" t="s">
        <v>1925</v>
      </c>
      <c r="E395" s="264" t="s">
        <v>2290</v>
      </c>
      <c r="F395" s="265">
        <v>20</v>
      </c>
      <c r="G395" s="265"/>
      <c r="H395" s="265">
        <f t="shared" si="6"/>
        <v>20</v>
      </c>
    </row>
    <row r="396" spans="2:8" x14ac:dyDescent="0.2">
      <c r="B396" s="262" t="s">
        <v>1857</v>
      </c>
      <c r="C396" s="263">
        <v>42488</v>
      </c>
      <c r="D396" s="264" t="s">
        <v>1872</v>
      </c>
      <c r="E396" s="264" t="s">
        <v>2291</v>
      </c>
      <c r="F396" s="265">
        <v>400</v>
      </c>
      <c r="G396" s="265"/>
      <c r="H396" s="265">
        <f t="shared" si="6"/>
        <v>400</v>
      </c>
    </row>
    <row r="397" spans="2:8" x14ac:dyDescent="0.2">
      <c r="B397" s="262" t="s">
        <v>1884</v>
      </c>
      <c r="C397" s="263">
        <v>42488</v>
      </c>
      <c r="D397" s="264" t="s">
        <v>2288</v>
      </c>
      <c r="E397" s="264" t="s">
        <v>2292</v>
      </c>
      <c r="F397" s="265">
        <v>140</v>
      </c>
      <c r="G397" s="265"/>
      <c r="H397" s="265">
        <f t="shared" si="6"/>
        <v>140</v>
      </c>
    </row>
    <row r="398" spans="2:8" x14ac:dyDescent="0.2">
      <c r="B398" s="262" t="s">
        <v>1884</v>
      </c>
      <c r="C398" s="263">
        <v>42488</v>
      </c>
      <c r="D398" s="264" t="s">
        <v>2156</v>
      </c>
      <c r="E398" s="264" t="s">
        <v>2293</v>
      </c>
      <c r="F398" s="265">
        <v>500</v>
      </c>
      <c r="G398" s="265"/>
      <c r="H398" s="265">
        <f t="shared" si="6"/>
        <v>500</v>
      </c>
    </row>
    <row r="399" spans="2:8" x14ac:dyDescent="0.2">
      <c r="B399" s="262" t="s">
        <v>1859</v>
      </c>
      <c r="C399" s="263">
        <v>42489</v>
      </c>
      <c r="D399" s="264" t="s">
        <v>1910</v>
      </c>
      <c r="E399" s="264" t="s">
        <v>2294</v>
      </c>
      <c r="F399" s="265">
        <v>1000</v>
      </c>
      <c r="G399" s="265"/>
      <c r="H399" s="265">
        <f t="shared" si="6"/>
        <v>1000</v>
      </c>
    </row>
    <row r="400" spans="2:8" x14ac:dyDescent="0.2">
      <c r="B400" s="262" t="s">
        <v>1866</v>
      </c>
      <c r="C400" s="263">
        <v>42489</v>
      </c>
      <c r="D400" s="264" t="s">
        <v>1890</v>
      </c>
      <c r="E400" s="264" t="s">
        <v>1913</v>
      </c>
      <c r="F400" s="265">
        <v>175</v>
      </c>
      <c r="G400" s="265"/>
      <c r="H400" s="265">
        <f t="shared" si="6"/>
        <v>175</v>
      </c>
    </row>
    <row r="401" spans="2:8" x14ac:dyDescent="0.2">
      <c r="B401" s="262" t="s">
        <v>1884</v>
      </c>
      <c r="C401" s="263">
        <v>42489</v>
      </c>
      <c r="D401" s="264" t="s">
        <v>1873</v>
      </c>
      <c r="E401" s="264" t="s">
        <v>2295</v>
      </c>
      <c r="F401" s="265">
        <v>100</v>
      </c>
      <c r="G401" s="265"/>
      <c r="H401" s="265">
        <f t="shared" si="6"/>
        <v>100</v>
      </c>
    </row>
    <row r="402" spans="2:8" x14ac:dyDescent="0.2">
      <c r="B402" s="262" t="s">
        <v>1884</v>
      </c>
      <c r="C402" s="263">
        <v>42489</v>
      </c>
      <c r="D402" s="264" t="s">
        <v>1873</v>
      </c>
      <c r="E402" s="264" t="s">
        <v>2296</v>
      </c>
      <c r="F402" s="265">
        <v>450</v>
      </c>
      <c r="G402" s="265"/>
      <c r="H402" s="265">
        <f t="shared" si="6"/>
        <v>450</v>
      </c>
    </row>
    <row r="403" spans="2:8" x14ac:dyDescent="0.2">
      <c r="B403" s="262" t="s">
        <v>1884</v>
      </c>
      <c r="C403" s="263">
        <v>42490</v>
      </c>
      <c r="D403" s="264" t="s">
        <v>1896</v>
      </c>
      <c r="E403" s="264" t="s">
        <v>2297</v>
      </c>
      <c r="F403" s="265">
        <v>650</v>
      </c>
      <c r="G403" s="265"/>
      <c r="H403" s="265">
        <f t="shared" si="6"/>
        <v>650</v>
      </c>
    </row>
    <row r="404" spans="2:8" x14ac:dyDescent="0.2">
      <c r="B404" s="262" t="s">
        <v>1884</v>
      </c>
      <c r="C404" s="263">
        <v>42490</v>
      </c>
      <c r="D404" s="264" t="s">
        <v>2250</v>
      </c>
      <c r="E404" s="264" t="s">
        <v>2298</v>
      </c>
      <c r="F404" s="265">
        <v>100</v>
      </c>
      <c r="G404" s="265"/>
      <c r="H404" s="265">
        <f t="shared" si="6"/>
        <v>100</v>
      </c>
    </row>
    <row r="405" spans="2:8" x14ac:dyDescent="0.2">
      <c r="B405" s="262" t="s">
        <v>1870</v>
      </c>
      <c r="C405" s="263">
        <v>42490</v>
      </c>
      <c r="D405" s="264" t="s">
        <v>1892</v>
      </c>
      <c r="E405" s="264" t="s">
        <v>2299</v>
      </c>
      <c r="F405" s="265">
        <v>200</v>
      </c>
      <c r="G405" s="265"/>
      <c r="H405" s="265">
        <f t="shared" si="6"/>
        <v>200</v>
      </c>
    </row>
    <row r="406" spans="2:8" x14ac:dyDescent="0.2">
      <c r="B406" s="262" t="s">
        <v>1870</v>
      </c>
      <c r="C406" s="263">
        <v>42490</v>
      </c>
      <c r="D406" s="264" t="s">
        <v>1892</v>
      </c>
      <c r="E406" s="264" t="s">
        <v>2300</v>
      </c>
      <c r="F406" s="265">
        <v>350</v>
      </c>
      <c r="G406" s="265"/>
      <c r="H406" s="265">
        <f t="shared" si="6"/>
        <v>350</v>
      </c>
    </row>
    <row r="407" spans="2:8" x14ac:dyDescent="0.2">
      <c r="B407" s="262" t="s">
        <v>1577</v>
      </c>
      <c r="C407" s="263">
        <v>42490</v>
      </c>
      <c r="D407" s="264" t="s">
        <v>1886</v>
      </c>
      <c r="E407" s="264" t="s">
        <v>2301</v>
      </c>
      <c r="F407" s="265">
        <v>2700</v>
      </c>
      <c r="G407" s="265"/>
      <c r="H407" s="265">
        <f t="shared" si="6"/>
        <v>2700</v>
      </c>
    </row>
    <row r="408" spans="2:8" x14ac:dyDescent="0.2">
      <c r="B408" s="354" t="s">
        <v>1577</v>
      </c>
      <c r="C408" s="355">
        <v>42490</v>
      </c>
      <c r="D408" s="356" t="s">
        <v>1899</v>
      </c>
      <c r="E408" s="356" t="s">
        <v>2302</v>
      </c>
      <c r="F408" s="344">
        <v>20000</v>
      </c>
      <c r="G408" s="344"/>
      <c r="H408" s="344">
        <f t="shared" si="6"/>
        <v>20000</v>
      </c>
    </row>
    <row r="409" spans="2:8" x14ac:dyDescent="0.2">
      <c r="B409" s="262" t="s">
        <v>1859</v>
      </c>
      <c r="C409" s="263">
        <v>42490</v>
      </c>
      <c r="D409" s="264" t="s">
        <v>1911</v>
      </c>
      <c r="E409" s="264" t="s">
        <v>1931</v>
      </c>
      <c r="F409" s="265">
        <v>4000</v>
      </c>
      <c r="G409" s="265"/>
      <c r="H409" s="265">
        <f t="shared" si="6"/>
        <v>4000</v>
      </c>
    </row>
    <row r="410" spans="2:8" x14ac:dyDescent="0.2">
      <c r="B410" s="262" t="s">
        <v>1790</v>
      </c>
      <c r="C410" s="263">
        <v>42480</v>
      </c>
      <c r="D410" s="264" t="s">
        <v>1909</v>
      </c>
      <c r="E410" s="264" t="s">
        <v>2303</v>
      </c>
      <c r="F410" s="265"/>
      <c r="G410" s="265">
        <v>-1760</v>
      </c>
      <c r="H410" s="265">
        <f t="shared" si="6"/>
        <v>-1760</v>
      </c>
    </row>
    <row r="411" spans="2:8" x14ac:dyDescent="0.2">
      <c r="B411" s="262" t="s">
        <v>1887</v>
      </c>
      <c r="C411" s="263">
        <v>42480</v>
      </c>
      <c r="D411" s="264" t="s">
        <v>1534</v>
      </c>
      <c r="E411" s="264" t="s">
        <v>1536</v>
      </c>
      <c r="F411" s="265">
        <v>-0.46</v>
      </c>
      <c r="G411" s="265"/>
      <c r="H411" s="265">
        <f t="shared" si="6"/>
        <v>-0.46</v>
      </c>
    </row>
    <row r="412" spans="2:8" x14ac:dyDescent="0.2">
      <c r="B412" s="262" t="s">
        <v>1887</v>
      </c>
      <c r="C412" s="263">
        <v>42489</v>
      </c>
      <c r="D412" s="264" t="s">
        <v>1597</v>
      </c>
      <c r="E412" s="264" t="s">
        <v>2304</v>
      </c>
      <c r="F412" s="265">
        <v>84</v>
      </c>
      <c r="G412" s="265"/>
      <c r="H412" s="265">
        <f t="shared" si="6"/>
        <v>84</v>
      </c>
    </row>
    <row r="413" spans="2:8" x14ac:dyDescent="0.2">
      <c r="B413" s="262" t="s">
        <v>2305</v>
      </c>
      <c r="C413" s="263">
        <v>42489</v>
      </c>
      <c r="D413" s="264" t="s">
        <v>1597</v>
      </c>
      <c r="E413" s="264" t="s">
        <v>2230</v>
      </c>
      <c r="F413" s="265"/>
      <c r="G413" s="265">
        <v>13.44</v>
      </c>
      <c r="H413" s="265">
        <f t="shared" si="6"/>
        <v>13.44</v>
      </c>
    </row>
    <row r="414" spans="2:8" x14ac:dyDescent="0.2">
      <c r="B414" s="266" t="s">
        <v>1790</v>
      </c>
      <c r="C414" s="324">
        <v>42486</v>
      </c>
      <c r="D414" s="268" t="s">
        <v>1909</v>
      </c>
      <c r="E414" s="268" t="s">
        <v>2306</v>
      </c>
      <c r="F414" s="269"/>
      <c r="G414" s="269"/>
      <c r="H414" s="269">
        <f t="shared" si="6"/>
        <v>0</v>
      </c>
    </row>
    <row r="415" spans="2:8" ht="18" customHeight="1" x14ac:dyDescent="0.2">
      <c r="B415" s="270" t="s">
        <v>1850</v>
      </c>
      <c r="C415" s="270" t="s">
        <v>1851</v>
      </c>
      <c r="D415" s="271" t="s">
        <v>1852</v>
      </c>
      <c r="E415" s="271" t="s">
        <v>1853</v>
      </c>
      <c r="F415" s="272" t="s">
        <v>1854</v>
      </c>
      <c r="G415" s="272" t="s">
        <v>1855</v>
      </c>
      <c r="H415" s="257" t="s">
        <v>1856</v>
      </c>
    </row>
    <row r="416" spans="2:8" x14ac:dyDescent="0.2">
      <c r="B416" s="258" t="s">
        <v>1866</v>
      </c>
      <c r="C416" s="259">
        <v>42491</v>
      </c>
      <c r="D416" s="260" t="s">
        <v>1903</v>
      </c>
      <c r="E416" s="260" t="s">
        <v>2278</v>
      </c>
      <c r="F416" s="261">
        <v>83</v>
      </c>
      <c r="G416" s="261"/>
      <c r="H416" s="261">
        <f t="shared" si="6"/>
        <v>83</v>
      </c>
    </row>
    <row r="417" spans="2:8" x14ac:dyDescent="0.2">
      <c r="B417" s="262" t="s">
        <v>1866</v>
      </c>
      <c r="C417" s="263">
        <v>42491</v>
      </c>
      <c r="D417" s="264" t="s">
        <v>1903</v>
      </c>
      <c r="E417" s="264" t="s">
        <v>2307</v>
      </c>
      <c r="F417" s="265">
        <v>91</v>
      </c>
      <c r="G417" s="265"/>
      <c r="H417" s="265">
        <f t="shared" si="6"/>
        <v>91</v>
      </c>
    </row>
    <row r="418" spans="2:8" x14ac:dyDescent="0.2">
      <c r="B418" s="354" t="s">
        <v>1577</v>
      </c>
      <c r="C418" s="355">
        <v>42492</v>
      </c>
      <c r="D418" s="356" t="s">
        <v>1899</v>
      </c>
      <c r="E418" s="356" t="s">
        <v>2308</v>
      </c>
      <c r="F418" s="344">
        <v>9000</v>
      </c>
      <c r="G418" s="344"/>
      <c r="H418" s="344">
        <f t="shared" si="6"/>
        <v>9000</v>
      </c>
    </row>
    <row r="419" spans="2:8" x14ac:dyDescent="0.2">
      <c r="B419" s="262" t="s">
        <v>1866</v>
      </c>
      <c r="C419" s="263">
        <v>42492</v>
      </c>
      <c r="D419" s="264" t="s">
        <v>1890</v>
      </c>
      <c r="E419" s="264" t="s">
        <v>1904</v>
      </c>
      <c r="F419" s="265">
        <v>142</v>
      </c>
      <c r="G419" s="265"/>
      <c r="H419" s="265">
        <f t="shared" si="6"/>
        <v>142</v>
      </c>
    </row>
    <row r="420" spans="2:8" x14ac:dyDescent="0.2">
      <c r="B420" s="262" t="s">
        <v>1875</v>
      </c>
      <c r="C420" s="263">
        <v>42493</v>
      </c>
      <c r="D420" s="264" t="s">
        <v>1893</v>
      </c>
      <c r="E420" s="264" t="s">
        <v>1942</v>
      </c>
      <c r="F420" s="265">
        <v>361</v>
      </c>
      <c r="G420" s="265"/>
      <c r="H420" s="265">
        <f t="shared" si="6"/>
        <v>361</v>
      </c>
    </row>
    <row r="421" spans="2:8" x14ac:dyDescent="0.2">
      <c r="B421" s="262" t="s">
        <v>1875</v>
      </c>
      <c r="C421" s="263">
        <v>42493</v>
      </c>
      <c r="D421" s="264" t="s">
        <v>1925</v>
      </c>
      <c r="E421" s="264" t="s">
        <v>1942</v>
      </c>
      <c r="F421" s="265">
        <v>5</v>
      </c>
      <c r="G421" s="265"/>
      <c r="H421" s="265">
        <f t="shared" si="6"/>
        <v>5</v>
      </c>
    </row>
    <row r="422" spans="2:8" x14ac:dyDescent="0.2">
      <c r="B422" s="262" t="s">
        <v>1867</v>
      </c>
      <c r="C422" s="263">
        <v>42493</v>
      </c>
      <c r="D422" s="264" t="s">
        <v>1894</v>
      </c>
      <c r="E422" s="264" t="s">
        <v>2309</v>
      </c>
      <c r="F422" s="265">
        <v>1054</v>
      </c>
      <c r="G422" s="265"/>
      <c r="H422" s="265">
        <f t="shared" si="6"/>
        <v>1054</v>
      </c>
    </row>
    <row r="423" spans="2:8" x14ac:dyDescent="0.2">
      <c r="B423" s="262" t="s">
        <v>1860</v>
      </c>
      <c r="C423" s="263">
        <v>42493</v>
      </c>
      <c r="D423" s="264" t="s">
        <v>2310</v>
      </c>
      <c r="E423" s="264" t="s">
        <v>2311</v>
      </c>
      <c r="F423" s="265">
        <v>950</v>
      </c>
      <c r="G423" s="265"/>
      <c r="H423" s="265">
        <f t="shared" si="6"/>
        <v>950</v>
      </c>
    </row>
    <row r="424" spans="2:8" x14ac:dyDescent="0.2">
      <c r="B424" s="262" t="s">
        <v>1860</v>
      </c>
      <c r="C424" s="263">
        <v>42494</v>
      </c>
      <c r="D424" s="264" t="s">
        <v>1891</v>
      </c>
      <c r="E424" s="264" t="s">
        <v>2312</v>
      </c>
      <c r="F424" s="265">
        <v>799</v>
      </c>
      <c r="G424" s="265"/>
      <c r="H424" s="265">
        <f t="shared" si="6"/>
        <v>799</v>
      </c>
    </row>
    <row r="425" spans="2:8" x14ac:dyDescent="0.2">
      <c r="B425" s="262" t="s">
        <v>1884</v>
      </c>
      <c r="C425" s="263">
        <v>42494</v>
      </c>
      <c r="D425" s="264" t="s">
        <v>2212</v>
      </c>
      <c r="E425" s="264" t="s">
        <v>2313</v>
      </c>
      <c r="F425" s="265">
        <v>227.91</v>
      </c>
      <c r="G425" s="265">
        <v>35.29</v>
      </c>
      <c r="H425" s="265">
        <f t="shared" si="6"/>
        <v>263.2</v>
      </c>
    </row>
    <row r="426" spans="2:8" x14ac:dyDescent="0.2">
      <c r="B426" s="262" t="s">
        <v>1862</v>
      </c>
      <c r="C426" s="263">
        <v>42495</v>
      </c>
      <c r="D426" s="264" t="s">
        <v>2949</v>
      </c>
      <c r="E426" s="264" t="s">
        <v>2314</v>
      </c>
      <c r="F426" s="265">
        <v>1100</v>
      </c>
      <c r="G426" s="265"/>
      <c r="H426" s="265">
        <f t="shared" si="6"/>
        <v>1100</v>
      </c>
    </row>
    <row r="427" spans="2:8" x14ac:dyDescent="0.2">
      <c r="B427" s="262" t="s">
        <v>1866</v>
      </c>
      <c r="C427" s="263">
        <v>42495</v>
      </c>
      <c r="D427" s="264" t="s">
        <v>2238</v>
      </c>
      <c r="E427" s="264" t="s">
        <v>2315</v>
      </c>
      <c r="F427" s="265">
        <v>47</v>
      </c>
      <c r="G427" s="265"/>
      <c r="H427" s="265">
        <f t="shared" si="6"/>
        <v>47</v>
      </c>
    </row>
    <row r="428" spans="2:8" x14ac:dyDescent="0.2">
      <c r="B428" s="262" t="s">
        <v>1884</v>
      </c>
      <c r="C428" s="263">
        <v>42495</v>
      </c>
      <c r="D428" s="264" t="s">
        <v>1915</v>
      </c>
      <c r="E428" s="264" t="s">
        <v>2316</v>
      </c>
      <c r="F428" s="265">
        <v>500</v>
      </c>
      <c r="G428" s="265"/>
      <c r="H428" s="265">
        <f t="shared" si="6"/>
        <v>500</v>
      </c>
    </row>
    <row r="429" spans="2:8" x14ac:dyDescent="0.2">
      <c r="B429" s="262" t="s">
        <v>1860</v>
      </c>
      <c r="C429" s="263">
        <v>42495</v>
      </c>
      <c r="D429" s="264" t="s">
        <v>1891</v>
      </c>
      <c r="E429" s="264" t="s">
        <v>2317</v>
      </c>
      <c r="F429" s="265">
        <v>1249.48</v>
      </c>
      <c r="G429" s="265">
        <v>199.92</v>
      </c>
      <c r="H429" s="265">
        <f t="shared" si="6"/>
        <v>1449.4</v>
      </c>
    </row>
    <row r="430" spans="2:8" x14ac:dyDescent="0.2">
      <c r="B430" s="262" t="s">
        <v>1866</v>
      </c>
      <c r="C430" s="263">
        <v>42496</v>
      </c>
      <c r="D430" s="264" t="s">
        <v>1903</v>
      </c>
      <c r="E430" s="264" t="s">
        <v>2318</v>
      </c>
      <c r="F430" s="265">
        <v>141</v>
      </c>
      <c r="G430" s="265"/>
      <c r="H430" s="265">
        <f t="shared" si="6"/>
        <v>141</v>
      </c>
    </row>
    <row r="431" spans="2:8" x14ac:dyDescent="0.2">
      <c r="B431" s="262" t="s">
        <v>1866</v>
      </c>
      <c r="C431" s="263">
        <v>42496</v>
      </c>
      <c r="D431" s="264" t="s">
        <v>1903</v>
      </c>
      <c r="E431" s="264" t="s">
        <v>2307</v>
      </c>
      <c r="F431" s="265">
        <v>56.5</v>
      </c>
      <c r="G431" s="265"/>
      <c r="H431" s="265">
        <f t="shared" si="6"/>
        <v>56.5</v>
      </c>
    </row>
    <row r="432" spans="2:8" x14ac:dyDescent="0.2">
      <c r="B432" s="262" t="s">
        <v>1857</v>
      </c>
      <c r="C432" s="263">
        <v>42496</v>
      </c>
      <c r="D432" s="264" t="s">
        <v>1872</v>
      </c>
      <c r="E432" s="264" t="s">
        <v>2319</v>
      </c>
      <c r="F432" s="265">
        <v>750</v>
      </c>
      <c r="G432" s="265"/>
      <c r="H432" s="265">
        <f t="shared" si="6"/>
        <v>750</v>
      </c>
    </row>
    <row r="433" spans="2:8" x14ac:dyDescent="0.2">
      <c r="B433" s="262" t="s">
        <v>1866</v>
      </c>
      <c r="C433" s="263">
        <v>42496</v>
      </c>
      <c r="D433" s="264" t="s">
        <v>1890</v>
      </c>
      <c r="E433" s="264" t="s">
        <v>1913</v>
      </c>
      <c r="F433" s="265">
        <v>175</v>
      </c>
      <c r="G433" s="265"/>
      <c r="H433" s="265">
        <f t="shared" si="6"/>
        <v>175</v>
      </c>
    </row>
    <row r="434" spans="2:8" x14ac:dyDescent="0.2">
      <c r="B434" s="262" t="s">
        <v>1859</v>
      </c>
      <c r="C434" s="263">
        <v>42496</v>
      </c>
      <c r="D434" s="264" t="s">
        <v>1910</v>
      </c>
      <c r="E434" s="264" t="s">
        <v>2320</v>
      </c>
      <c r="F434" s="265">
        <v>1000</v>
      </c>
      <c r="G434" s="265"/>
      <c r="H434" s="265">
        <f t="shared" si="6"/>
        <v>1000</v>
      </c>
    </row>
    <row r="435" spans="2:8" x14ac:dyDescent="0.2">
      <c r="B435" s="262" t="s">
        <v>1866</v>
      </c>
      <c r="C435" s="263">
        <v>42498</v>
      </c>
      <c r="D435" s="264" t="s">
        <v>1903</v>
      </c>
      <c r="E435" s="264" t="s">
        <v>2278</v>
      </c>
      <c r="F435" s="265">
        <v>81.5</v>
      </c>
      <c r="G435" s="265"/>
      <c r="H435" s="265">
        <f t="shared" si="6"/>
        <v>81.5</v>
      </c>
    </row>
    <row r="436" spans="2:8" x14ac:dyDescent="0.2">
      <c r="B436" s="262" t="s">
        <v>1884</v>
      </c>
      <c r="C436" s="263">
        <v>42498</v>
      </c>
      <c r="D436" s="264" t="s">
        <v>2250</v>
      </c>
      <c r="E436" s="264" t="s">
        <v>2321</v>
      </c>
      <c r="F436" s="265">
        <v>100</v>
      </c>
      <c r="G436" s="265"/>
      <c r="H436" s="265">
        <f t="shared" si="6"/>
        <v>100</v>
      </c>
    </row>
    <row r="437" spans="2:8" x14ac:dyDescent="0.2">
      <c r="B437" s="262" t="s">
        <v>1867</v>
      </c>
      <c r="C437" s="263">
        <v>42499</v>
      </c>
      <c r="D437" s="264" t="s">
        <v>2322</v>
      </c>
      <c r="E437" s="264" t="s">
        <v>2323</v>
      </c>
      <c r="F437" s="265">
        <v>50</v>
      </c>
      <c r="G437" s="265"/>
      <c r="H437" s="265">
        <f t="shared" si="6"/>
        <v>50</v>
      </c>
    </row>
    <row r="438" spans="2:8" x14ac:dyDescent="0.2">
      <c r="B438" s="262" t="s">
        <v>1866</v>
      </c>
      <c r="C438" s="263">
        <v>42499</v>
      </c>
      <c r="D438" s="264" t="s">
        <v>1890</v>
      </c>
      <c r="E438" s="264" t="s">
        <v>1904</v>
      </c>
      <c r="F438" s="265">
        <v>142</v>
      </c>
      <c r="G438" s="265"/>
      <c r="H438" s="265">
        <f t="shared" si="6"/>
        <v>142</v>
      </c>
    </row>
    <row r="439" spans="2:8" x14ac:dyDescent="0.2">
      <c r="B439" s="262" t="s">
        <v>1884</v>
      </c>
      <c r="C439" s="263">
        <v>42499</v>
      </c>
      <c r="D439" s="264" t="s">
        <v>1892</v>
      </c>
      <c r="E439" s="264" t="s">
        <v>2324</v>
      </c>
      <c r="F439" s="265">
        <v>300</v>
      </c>
      <c r="G439" s="265"/>
      <c r="H439" s="265">
        <f t="shared" si="6"/>
        <v>300</v>
      </c>
    </row>
    <row r="440" spans="2:8" x14ac:dyDescent="0.2">
      <c r="B440" s="262" t="s">
        <v>1884</v>
      </c>
      <c r="C440" s="263">
        <v>42499</v>
      </c>
      <c r="D440" s="264" t="s">
        <v>1892</v>
      </c>
      <c r="E440" s="264" t="s">
        <v>2325</v>
      </c>
      <c r="F440" s="265">
        <v>400</v>
      </c>
      <c r="G440" s="265"/>
      <c r="H440" s="265">
        <f t="shared" si="6"/>
        <v>400</v>
      </c>
    </row>
    <row r="441" spans="2:8" x14ac:dyDescent="0.2">
      <c r="B441" s="262" t="s">
        <v>1870</v>
      </c>
      <c r="C441" s="263">
        <v>42499</v>
      </c>
      <c r="D441" s="264" t="s">
        <v>1892</v>
      </c>
      <c r="E441" s="264" t="s">
        <v>2326</v>
      </c>
      <c r="F441" s="265">
        <v>700</v>
      </c>
      <c r="G441" s="265"/>
      <c r="H441" s="265">
        <f t="shared" si="6"/>
        <v>700</v>
      </c>
    </row>
    <row r="442" spans="2:8" x14ac:dyDescent="0.2">
      <c r="B442" s="262" t="s">
        <v>1884</v>
      </c>
      <c r="C442" s="263">
        <v>42499</v>
      </c>
      <c r="D442" s="264" t="s">
        <v>1906</v>
      </c>
      <c r="E442" s="264" t="s">
        <v>2327</v>
      </c>
      <c r="F442" s="265">
        <v>500</v>
      </c>
      <c r="G442" s="265"/>
      <c r="H442" s="265">
        <f t="shared" si="6"/>
        <v>500</v>
      </c>
    </row>
    <row r="443" spans="2:8" x14ac:dyDescent="0.2">
      <c r="B443" s="262" t="s">
        <v>1884</v>
      </c>
      <c r="C443" s="263">
        <v>42499</v>
      </c>
      <c r="D443" s="264" t="s">
        <v>2948</v>
      </c>
      <c r="E443" s="264" t="s">
        <v>2328</v>
      </c>
      <c r="F443" s="265">
        <v>300</v>
      </c>
      <c r="G443" s="265"/>
      <c r="H443" s="265">
        <f t="shared" si="6"/>
        <v>300</v>
      </c>
    </row>
    <row r="444" spans="2:8" x14ac:dyDescent="0.2">
      <c r="B444" s="262" t="s">
        <v>1860</v>
      </c>
      <c r="C444" s="263">
        <v>42499</v>
      </c>
      <c r="D444" s="264" t="s">
        <v>1926</v>
      </c>
      <c r="E444" s="264" t="s">
        <v>2329</v>
      </c>
      <c r="F444" s="265">
        <v>810</v>
      </c>
      <c r="G444" s="265"/>
      <c r="H444" s="265">
        <f t="shared" si="6"/>
        <v>810</v>
      </c>
    </row>
    <row r="445" spans="2:8" x14ac:dyDescent="0.2">
      <c r="B445" s="262" t="s">
        <v>1870</v>
      </c>
      <c r="C445" s="263">
        <v>42502</v>
      </c>
      <c r="D445" s="264" t="s">
        <v>1892</v>
      </c>
      <c r="E445" s="264" t="s">
        <v>3439</v>
      </c>
      <c r="F445" s="265">
        <v>1300</v>
      </c>
      <c r="G445" s="265"/>
      <c r="H445" s="265">
        <f t="shared" si="6"/>
        <v>1300</v>
      </c>
    </row>
    <row r="446" spans="2:8" x14ac:dyDescent="0.2">
      <c r="B446" s="262" t="s">
        <v>1884</v>
      </c>
      <c r="C446" s="263">
        <v>42502</v>
      </c>
      <c r="D446" s="264" t="s">
        <v>1919</v>
      </c>
      <c r="E446" s="264" t="s">
        <v>1955</v>
      </c>
      <c r="F446" s="265">
        <v>316</v>
      </c>
      <c r="G446" s="265"/>
      <c r="H446" s="265">
        <f t="shared" si="6"/>
        <v>316</v>
      </c>
    </row>
    <row r="447" spans="2:8" x14ac:dyDescent="0.2">
      <c r="B447" s="262" t="s">
        <v>1859</v>
      </c>
      <c r="C447" s="263">
        <v>42503</v>
      </c>
      <c r="D447" s="264" t="s">
        <v>1910</v>
      </c>
      <c r="E447" s="264" t="s">
        <v>2330</v>
      </c>
      <c r="F447" s="265">
        <v>1000</v>
      </c>
      <c r="G447" s="265"/>
      <c r="H447" s="265">
        <f t="shared" si="6"/>
        <v>1000</v>
      </c>
    </row>
    <row r="448" spans="2:8" x14ac:dyDescent="0.2">
      <c r="B448" s="262" t="s">
        <v>1866</v>
      </c>
      <c r="C448" s="263">
        <v>42503</v>
      </c>
      <c r="D448" s="264" t="s">
        <v>1903</v>
      </c>
      <c r="E448" s="264" t="s">
        <v>2331</v>
      </c>
      <c r="F448" s="265">
        <v>174</v>
      </c>
      <c r="G448" s="265"/>
      <c r="H448" s="265">
        <f t="shared" si="6"/>
        <v>174</v>
      </c>
    </row>
    <row r="449" spans="2:8" x14ac:dyDescent="0.2">
      <c r="B449" s="262" t="s">
        <v>1866</v>
      </c>
      <c r="C449" s="263">
        <v>42503</v>
      </c>
      <c r="D449" s="264" t="s">
        <v>1890</v>
      </c>
      <c r="E449" s="264" t="s">
        <v>1904</v>
      </c>
      <c r="F449" s="265">
        <v>142</v>
      </c>
      <c r="G449" s="265"/>
      <c r="H449" s="265">
        <f t="shared" si="6"/>
        <v>142</v>
      </c>
    </row>
    <row r="450" spans="2:8" x14ac:dyDescent="0.2">
      <c r="B450" s="262" t="s">
        <v>1857</v>
      </c>
      <c r="C450" s="263">
        <v>42503</v>
      </c>
      <c r="D450" s="264" t="s">
        <v>1872</v>
      </c>
      <c r="E450" s="264" t="s">
        <v>2332</v>
      </c>
      <c r="F450" s="265">
        <v>450</v>
      </c>
      <c r="G450" s="265"/>
      <c r="H450" s="265">
        <f t="shared" si="6"/>
        <v>450</v>
      </c>
    </row>
    <row r="451" spans="2:8" x14ac:dyDescent="0.2">
      <c r="B451" s="262" t="s">
        <v>1879</v>
      </c>
      <c r="C451" s="263">
        <v>42503</v>
      </c>
      <c r="D451" s="264" t="s">
        <v>1892</v>
      </c>
      <c r="E451" s="264" t="s">
        <v>2333</v>
      </c>
      <c r="F451" s="265">
        <v>350</v>
      </c>
      <c r="G451" s="265"/>
      <c r="H451" s="265">
        <f t="shared" si="6"/>
        <v>350</v>
      </c>
    </row>
    <row r="452" spans="2:8" x14ac:dyDescent="0.2">
      <c r="B452" s="262" t="s">
        <v>1884</v>
      </c>
      <c r="C452" s="263">
        <v>42505</v>
      </c>
      <c r="D452" s="264" t="s">
        <v>2250</v>
      </c>
      <c r="E452" s="264" t="s">
        <v>2321</v>
      </c>
      <c r="F452" s="265">
        <v>100</v>
      </c>
      <c r="G452" s="265"/>
      <c r="H452" s="265">
        <f t="shared" si="6"/>
        <v>100</v>
      </c>
    </row>
    <row r="453" spans="2:8" x14ac:dyDescent="0.2">
      <c r="B453" s="262" t="s">
        <v>1884</v>
      </c>
      <c r="C453" s="263">
        <v>42505</v>
      </c>
      <c r="D453" s="264" t="s">
        <v>1873</v>
      </c>
      <c r="E453" s="264" t="s">
        <v>2334</v>
      </c>
      <c r="F453" s="265">
        <v>450</v>
      </c>
      <c r="G453" s="265"/>
      <c r="H453" s="265">
        <f t="shared" ref="H453:H516" si="7">SUM(F453:G453)</f>
        <v>450</v>
      </c>
    </row>
    <row r="454" spans="2:8" x14ac:dyDescent="0.2">
      <c r="B454" s="262" t="s">
        <v>1866</v>
      </c>
      <c r="C454" s="263">
        <v>42505</v>
      </c>
      <c r="D454" s="264" t="s">
        <v>1903</v>
      </c>
      <c r="E454" s="264" t="s">
        <v>2278</v>
      </c>
      <c r="F454" s="265">
        <v>69.5</v>
      </c>
      <c r="G454" s="265"/>
      <c r="H454" s="265">
        <f t="shared" si="7"/>
        <v>69.5</v>
      </c>
    </row>
    <row r="455" spans="2:8" x14ac:dyDescent="0.2">
      <c r="B455" s="262" t="s">
        <v>1577</v>
      </c>
      <c r="C455" s="263">
        <v>42505</v>
      </c>
      <c r="D455" s="264" t="s">
        <v>1886</v>
      </c>
      <c r="E455" s="264" t="s">
        <v>2335</v>
      </c>
      <c r="F455" s="265">
        <v>2700</v>
      </c>
      <c r="G455" s="265"/>
      <c r="H455" s="265">
        <f t="shared" si="7"/>
        <v>2700</v>
      </c>
    </row>
    <row r="456" spans="2:8" x14ac:dyDescent="0.2">
      <c r="B456" s="262" t="s">
        <v>1577</v>
      </c>
      <c r="C456" s="263">
        <v>42505</v>
      </c>
      <c r="D456" s="264" t="s">
        <v>1899</v>
      </c>
      <c r="E456" s="264" t="s">
        <v>2335</v>
      </c>
      <c r="F456" s="265">
        <v>29000</v>
      </c>
      <c r="G456" s="265"/>
      <c r="H456" s="265">
        <f t="shared" si="7"/>
        <v>29000</v>
      </c>
    </row>
    <row r="457" spans="2:8" x14ac:dyDescent="0.2">
      <c r="B457" s="262" t="s">
        <v>1859</v>
      </c>
      <c r="C457" s="263">
        <v>42505</v>
      </c>
      <c r="D457" s="264" t="s">
        <v>1911</v>
      </c>
      <c r="E457" s="264" t="s">
        <v>2336</v>
      </c>
      <c r="F457" s="265">
        <v>4000</v>
      </c>
      <c r="G457" s="265"/>
      <c r="H457" s="265">
        <f t="shared" si="7"/>
        <v>4000</v>
      </c>
    </row>
    <row r="458" spans="2:8" x14ac:dyDescent="0.2">
      <c r="B458" s="262" t="s">
        <v>1805</v>
      </c>
      <c r="C458" s="263">
        <v>42506</v>
      </c>
      <c r="D458" s="264" t="s">
        <v>2337</v>
      </c>
      <c r="E458" s="264" t="s">
        <v>2338</v>
      </c>
      <c r="F458" s="265">
        <v>349</v>
      </c>
      <c r="G458" s="265"/>
      <c r="H458" s="265">
        <f t="shared" si="7"/>
        <v>349</v>
      </c>
    </row>
    <row r="459" spans="2:8" x14ac:dyDescent="0.2">
      <c r="B459" s="262" t="s">
        <v>1790</v>
      </c>
      <c r="C459" s="263">
        <v>42506</v>
      </c>
      <c r="D459" s="264" t="s">
        <v>1909</v>
      </c>
      <c r="E459" s="264" t="s">
        <v>2339</v>
      </c>
      <c r="F459" s="265"/>
      <c r="G459" s="265">
        <v>1760</v>
      </c>
      <c r="H459" s="265">
        <f t="shared" si="7"/>
        <v>1760</v>
      </c>
    </row>
    <row r="460" spans="2:8" x14ac:dyDescent="0.2">
      <c r="B460" s="262" t="s">
        <v>1805</v>
      </c>
      <c r="C460" s="263">
        <v>42506</v>
      </c>
      <c r="D460" s="264" t="s">
        <v>1888</v>
      </c>
      <c r="E460" s="264" t="s">
        <v>2340</v>
      </c>
      <c r="F460" s="265">
        <v>1224</v>
      </c>
      <c r="G460" s="265"/>
      <c r="H460" s="265">
        <f t="shared" si="7"/>
        <v>1224</v>
      </c>
    </row>
    <row r="461" spans="2:8" x14ac:dyDescent="0.2">
      <c r="B461" s="262" t="s">
        <v>1805</v>
      </c>
      <c r="C461" s="263">
        <v>42506</v>
      </c>
      <c r="D461" s="264" t="s">
        <v>1918</v>
      </c>
      <c r="E461" s="264" t="s">
        <v>2341</v>
      </c>
      <c r="F461" s="265">
        <v>131</v>
      </c>
      <c r="G461" s="265"/>
      <c r="H461" s="265">
        <f t="shared" si="7"/>
        <v>131</v>
      </c>
    </row>
    <row r="462" spans="2:8" x14ac:dyDescent="0.2">
      <c r="B462" s="262" t="s">
        <v>1879</v>
      </c>
      <c r="C462" s="263">
        <v>42506</v>
      </c>
      <c r="D462" s="264" t="s">
        <v>1892</v>
      </c>
      <c r="E462" s="264" t="s">
        <v>2342</v>
      </c>
      <c r="F462" s="265">
        <v>500</v>
      </c>
      <c r="G462" s="265"/>
      <c r="H462" s="265">
        <f t="shared" si="7"/>
        <v>500</v>
      </c>
    </row>
    <row r="463" spans="2:8" x14ac:dyDescent="0.2">
      <c r="B463" s="262" t="s">
        <v>1821</v>
      </c>
      <c r="C463" s="263">
        <v>42507</v>
      </c>
      <c r="D463" s="264" t="s">
        <v>1892</v>
      </c>
      <c r="E463" s="264" t="s">
        <v>2343</v>
      </c>
      <c r="F463" s="265">
        <v>3450</v>
      </c>
      <c r="G463" s="265"/>
      <c r="H463" s="265">
        <f t="shared" si="7"/>
        <v>3450</v>
      </c>
    </row>
    <row r="464" spans="2:8" x14ac:dyDescent="0.2">
      <c r="B464" s="262" t="s">
        <v>1866</v>
      </c>
      <c r="C464" s="263">
        <v>42508</v>
      </c>
      <c r="D464" s="264" t="s">
        <v>1890</v>
      </c>
      <c r="E464" s="264" t="s">
        <v>1932</v>
      </c>
      <c r="F464" s="265">
        <v>132</v>
      </c>
      <c r="G464" s="265"/>
      <c r="H464" s="265">
        <f t="shared" si="7"/>
        <v>132</v>
      </c>
    </row>
    <row r="465" spans="2:8" x14ac:dyDescent="0.2">
      <c r="B465" s="262" t="s">
        <v>1860</v>
      </c>
      <c r="C465" s="263">
        <v>42508</v>
      </c>
      <c r="D465" s="264" t="s">
        <v>1926</v>
      </c>
      <c r="E465" s="264" t="s">
        <v>2344</v>
      </c>
      <c r="F465" s="265">
        <v>67.5</v>
      </c>
      <c r="G465" s="265"/>
      <c r="H465" s="265">
        <f t="shared" si="7"/>
        <v>67.5</v>
      </c>
    </row>
    <row r="466" spans="2:8" x14ac:dyDescent="0.2">
      <c r="B466" s="262" t="s">
        <v>1884</v>
      </c>
      <c r="C466" s="263">
        <v>42509</v>
      </c>
      <c r="D466" s="264" t="s">
        <v>1918</v>
      </c>
      <c r="E466" s="264" t="s">
        <v>2345</v>
      </c>
      <c r="F466" s="265">
        <v>7</v>
      </c>
      <c r="G466" s="265"/>
      <c r="H466" s="265">
        <f t="shared" si="7"/>
        <v>7</v>
      </c>
    </row>
    <row r="467" spans="2:8" x14ac:dyDescent="0.2">
      <c r="B467" s="262" t="s">
        <v>1879</v>
      </c>
      <c r="C467" s="263">
        <v>42509</v>
      </c>
      <c r="D467" s="264" t="s">
        <v>1892</v>
      </c>
      <c r="E467" s="264" t="s">
        <v>2346</v>
      </c>
      <c r="F467" s="265">
        <v>650</v>
      </c>
      <c r="G467" s="265"/>
      <c r="H467" s="265">
        <f t="shared" si="7"/>
        <v>650</v>
      </c>
    </row>
    <row r="468" spans="2:8" x14ac:dyDescent="0.2">
      <c r="B468" s="262" t="s">
        <v>1884</v>
      </c>
      <c r="C468" s="263">
        <v>42510</v>
      </c>
      <c r="D468" s="264" t="s">
        <v>1889</v>
      </c>
      <c r="E468" s="264" t="s">
        <v>2347</v>
      </c>
      <c r="F468" s="265">
        <v>350</v>
      </c>
      <c r="G468" s="265"/>
      <c r="H468" s="265">
        <f t="shared" si="7"/>
        <v>350</v>
      </c>
    </row>
    <row r="469" spans="2:8" x14ac:dyDescent="0.2">
      <c r="B469" s="262" t="s">
        <v>1866</v>
      </c>
      <c r="C469" s="263">
        <v>42510</v>
      </c>
      <c r="D469" s="264" t="s">
        <v>1890</v>
      </c>
      <c r="E469" s="264" t="s">
        <v>1913</v>
      </c>
      <c r="F469" s="265">
        <v>175</v>
      </c>
      <c r="G469" s="265"/>
      <c r="H469" s="265">
        <f t="shared" si="7"/>
        <v>175</v>
      </c>
    </row>
    <row r="470" spans="2:8" x14ac:dyDescent="0.2">
      <c r="B470" s="262" t="s">
        <v>1863</v>
      </c>
      <c r="C470" s="263">
        <v>42510</v>
      </c>
      <c r="D470" s="264" t="s">
        <v>2348</v>
      </c>
      <c r="E470" s="264" t="s">
        <v>2349</v>
      </c>
      <c r="F470" s="265">
        <v>160</v>
      </c>
      <c r="G470" s="265"/>
      <c r="H470" s="265">
        <f t="shared" si="7"/>
        <v>160</v>
      </c>
    </row>
    <row r="471" spans="2:8" x14ac:dyDescent="0.2">
      <c r="B471" s="262" t="s">
        <v>1884</v>
      </c>
      <c r="C471" s="263">
        <v>42510</v>
      </c>
      <c r="D471" s="264" t="s">
        <v>1915</v>
      </c>
      <c r="E471" s="264" t="s">
        <v>2350</v>
      </c>
      <c r="F471" s="265">
        <v>500</v>
      </c>
      <c r="G471" s="265"/>
      <c r="H471" s="265">
        <f t="shared" si="7"/>
        <v>500</v>
      </c>
    </row>
    <row r="472" spans="2:8" x14ac:dyDescent="0.2">
      <c r="B472" s="262" t="s">
        <v>1859</v>
      </c>
      <c r="C472" s="263">
        <v>42510</v>
      </c>
      <c r="D472" s="264" t="s">
        <v>1910</v>
      </c>
      <c r="E472" s="264" t="s">
        <v>2351</v>
      </c>
      <c r="F472" s="265">
        <v>1000</v>
      </c>
      <c r="G472" s="265"/>
      <c r="H472" s="265">
        <f t="shared" si="7"/>
        <v>1000</v>
      </c>
    </row>
    <row r="473" spans="2:8" x14ac:dyDescent="0.2">
      <c r="B473" s="262" t="s">
        <v>1821</v>
      </c>
      <c r="C473" s="263">
        <v>42511</v>
      </c>
      <c r="D473" s="264" t="s">
        <v>1874</v>
      </c>
      <c r="E473" s="264" t="s">
        <v>2352</v>
      </c>
      <c r="F473" s="265">
        <v>3000</v>
      </c>
      <c r="G473" s="265"/>
      <c r="H473" s="265">
        <f t="shared" si="7"/>
        <v>3000</v>
      </c>
    </row>
    <row r="474" spans="2:8" x14ac:dyDescent="0.2">
      <c r="B474" s="262" t="s">
        <v>1884</v>
      </c>
      <c r="C474" s="263">
        <v>42511</v>
      </c>
      <c r="D474" s="264" t="s">
        <v>2058</v>
      </c>
      <c r="E474" s="264" t="s">
        <v>2353</v>
      </c>
      <c r="F474" s="265">
        <v>720</v>
      </c>
      <c r="G474" s="265"/>
      <c r="H474" s="265">
        <f t="shared" si="7"/>
        <v>720</v>
      </c>
    </row>
    <row r="475" spans="2:8" x14ac:dyDescent="0.2">
      <c r="B475" s="262" t="s">
        <v>1884</v>
      </c>
      <c r="C475" s="263">
        <v>42511</v>
      </c>
      <c r="D475" s="264" t="s">
        <v>1903</v>
      </c>
      <c r="E475" s="264" t="s">
        <v>2354</v>
      </c>
      <c r="F475" s="265">
        <v>64.5</v>
      </c>
      <c r="G475" s="265"/>
      <c r="H475" s="265">
        <f t="shared" si="7"/>
        <v>64.5</v>
      </c>
    </row>
    <row r="476" spans="2:8" x14ac:dyDescent="0.2">
      <c r="B476" s="262" t="s">
        <v>1884</v>
      </c>
      <c r="C476" s="263">
        <v>42512</v>
      </c>
      <c r="D476" s="264" t="s">
        <v>2250</v>
      </c>
      <c r="E476" s="264" t="s">
        <v>2355</v>
      </c>
      <c r="F476" s="265">
        <v>100</v>
      </c>
      <c r="G476" s="265"/>
      <c r="H476" s="265">
        <f t="shared" si="7"/>
        <v>100</v>
      </c>
    </row>
    <row r="477" spans="2:8" x14ac:dyDescent="0.2">
      <c r="B477" s="262" t="s">
        <v>1866</v>
      </c>
      <c r="C477" s="263">
        <v>42512</v>
      </c>
      <c r="D477" s="264" t="s">
        <v>1903</v>
      </c>
      <c r="E477" s="264" t="s">
        <v>2278</v>
      </c>
      <c r="F477" s="265">
        <v>84.4</v>
      </c>
      <c r="G477" s="265"/>
      <c r="H477" s="265">
        <f t="shared" si="7"/>
        <v>84.4</v>
      </c>
    </row>
    <row r="478" spans="2:8" x14ac:dyDescent="0.2">
      <c r="B478" s="262" t="s">
        <v>1866</v>
      </c>
      <c r="C478" s="263">
        <v>42513</v>
      </c>
      <c r="D478" s="264" t="s">
        <v>1890</v>
      </c>
      <c r="E478" s="264" t="s">
        <v>1904</v>
      </c>
      <c r="F478" s="265">
        <v>142</v>
      </c>
      <c r="G478" s="265"/>
      <c r="H478" s="265">
        <f t="shared" si="7"/>
        <v>142</v>
      </c>
    </row>
    <row r="479" spans="2:8" x14ac:dyDescent="0.2">
      <c r="B479" s="262" t="s">
        <v>1866</v>
      </c>
      <c r="C479" s="263">
        <v>42513</v>
      </c>
      <c r="D479" s="264" t="s">
        <v>1903</v>
      </c>
      <c r="E479" s="264" t="s">
        <v>2356</v>
      </c>
      <c r="F479" s="265">
        <v>65</v>
      </c>
      <c r="G479" s="265"/>
      <c r="H479" s="265">
        <f t="shared" si="7"/>
        <v>65</v>
      </c>
    </row>
    <row r="480" spans="2:8" x14ac:dyDescent="0.2">
      <c r="B480" s="262" t="s">
        <v>1860</v>
      </c>
      <c r="C480" s="263">
        <v>42514</v>
      </c>
      <c r="D480" s="264" t="s">
        <v>1926</v>
      </c>
      <c r="E480" s="264" t="s">
        <v>2357</v>
      </c>
      <c r="F480" s="265">
        <v>190</v>
      </c>
      <c r="G480" s="265"/>
      <c r="H480" s="265">
        <f t="shared" si="7"/>
        <v>190</v>
      </c>
    </row>
    <row r="481" spans="2:8" x14ac:dyDescent="0.2">
      <c r="B481" s="262" t="s">
        <v>1866</v>
      </c>
      <c r="C481" s="263">
        <v>42514</v>
      </c>
      <c r="D481" s="264" t="s">
        <v>1903</v>
      </c>
      <c r="E481" s="264" t="s">
        <v>2358</v>
      </c>
      <c r="F481" s="265">
        <v>79.400000000000006</v>
      </c>
      <c r="G481" s="265"/>
      <c r="H481" s="265">
        <f t="shared" si="7"/>
        <v>79.400000000000006</v>
      </c>
    </row>
    <row r="482" spans="2:8" x14ac:dyDescent="0.2">
      <c r="B482" s="262" t="s">
        <v>1870</v>
      </c>
      <c r="C482" s="263">
        <v>42514</v>
      </c>
      <c r="D482" s="264" t="s">
        <v>1892</v>
      </c>
      <c r="E482" s="264" t="s">
        <v>2359</v>
      </c>
      <c r="F482" s="265">
        <v>750</v>
      </c>
      <c r="G482" s="265"/>
      <c r="H482" s="265">
        <f t="shared" si="7"/>
        <v>750</v>
      </c>
    </row>
    <row r="483" spans="2:8" x14ac:dyDescent="0.2">
      <c r="B483" s="262" t="s">
        <v>1863</v>
      </c>
      <c r="C483" s="263">
        <v>42515</v>
      </c>
      <c r="D483" s="264" t="s">
        <v>1903</v>
      </c>
      <c r="E483" s="264" t="s">
        <v>2360</v>
      </c>
      <c r="F483" s="265">
        <v>155</v>
      </c>
      <c r="G483" s="265"/>
      <c r="H483" s="265">
        <f t="shared" si="7"/>
        <v>155</v>
      </c>
    </row>
    <row r="484" spans="2:8" x14ac:dyDescent="0.2">
      <c r="B484" s="262" t="s">
        <v>1870</v>
      </c>
      <c r="C484" s="263">
        <v>42515</v>
      </c>
      <c r="D484" s="264" t="s">
        <v>1892</v>
      </c>
      <c r="E484" s="264" t="s">
        <v>2361</v>
      </c>
      <c r="F484" s="265">
        <v>1400</v>
      </c>
      <c r="G484" s="265"/>
      <c r="H484" s="265">
        <f t="shared" si="7"/>
        <v>1400</v>
      </c>
    </row>
    <row r="485" spans="2:8" x14ac:dyDescent="0.2">
      <c r="B485" s="262" t="s">
        <v>1870</v>
      </c>
      <c r="C485" s="263">
        <v>42516</v>
      </c>
      <c r="D485" s="264" t="s">
        <v>1892</v>
      </c>
      <c r="E485" s="264" t="s">
        <v>2362</v>
      </c>
      <c r="F485" s="265">
        <v>600</v>
      </c>
      <c r="G485" s="265"/>
      <c r="H485" s="265">
        <f t="shared" si="7"/>
        <v>600</v>
      </c>
    </row>
    <row r="486" spans="2:8" x14ac:dyDescent="0.2">
      <c r="B486" s="262" t="s">
        <v>1863</v>
      </c>
      <c r="C486" s="263">
        <v>42516</v>
      </c>
      <c r="D486" s="264" t="s">
        <v>1906</v>
      </c>
      <c r="E486" s="264" t="s">
        <v>2363</v>
      </c>
      <c r="F486" s="265">
        <v>300</v>
      </c>
      <c r="G486" s="265"/>
      <c r="H486" s="265">
        <f t="shared" si="7"/>
        <v>300</v>
      </c>
    </row>
    <row r="487" spans="2:8" x14ac:dyDescent="0.2">
      <c r="B487" s="262" t="s">
        <v>1859</v>
      </c>
      <c r="C487" s="263">
        <v>42517</v>
      </c>
      <c r="D487" s="264" t="s">
        <v>1910</v>
      </c>
      <c r="E487" s="264" t="s">
        <v>2364</v>
      </c>
      <c r="F487" s="265">
        <v>1000</v>
      </c>
      <c r="G487" s="265"/>
      <c r="H487" s="265">
        <f t="shared" si="7"/>
        <v>1000</v>
      </c>
    </row>
    <row r="488" spans="2:8" x14ac:dyDescent="0.2">
      <c r="B488" s="262" t="s">
        <v>1866</v>
      </c>
      <c r="C488" s="263">
        <v>42517</v>
      </c>
      <c r="D488" s="264" t="s">
        <v>1890</v>
      </c>
      <c r="E488" s="264" t="s">
        <v>1904</v>
      </c>
      <c r="F488" s="265">
        <v>142</v>
      </c>
      <c r="G488" s="265"/>
      <c r="H488" s="265">
        <f t="shared" si="7"/>
        <v>142</v>
      </c>
    </row>
    <row r="489" spans="2:8" x14ac:dyDescent="0.2">
      <c r="B489" s="262" t="s">
        <v>1866</v>
      </c>
      <c r="C489" s="263">
        <v>42517</v>
      </c>
      <c r="D489" s="264" t="s">
        <v>1890</v>
      </c>
      <c r="E489" s="264" t="s">
        <v>1900</v>
      </c>
      <c r="F489" s="265">
        <v>120</v>
      </c>
      <c r="G489" s="265"/>
      <c r="H489" s="265">
        <f t="shared" si="7"/>
        <v>120</v>
      </c>
    </row>
    <row r="490" spans="2:8" x14ac:dyDescent="0.2">
      <c r="B490" s="262" t="s">
        <v>1884</v>
      </c>
      <c r="C490" s="263">
        <v>42518</v>
      </c>
      <c r="D490" s="264" t="s">
        <v>2365</v>
      </c>
      <c r="E490" s="264" t="s">
        <v>2366</v>
      </c>
      <c r="F490" s="265">
        <v>300</v>
      </c>
      <c r="G490" s="265"/>
      <c r="H490" s="265">
        <f t="shared" si="7"/>
        <v>300</v>
      </c>
    </row>
    <row r="491" spans="2:8" x14ac:dyDescent="0.2">
      <c r="B491" s="262" t="s">
        <v>1884</v>
      </c>
      <c r="C491" s="263">
        <v>42518</v>
      </c>
      <c r="D491" s="264" t="s">
        <v>2367</v>
      </c>
      <c r="E491" s="264" t="s">
        <v>2368</v>
      </c>
      <c r="F491" s="265">
        <v>200</v>
      </c>
      <c r="G491" s="265"/>
      <c r="H491" s="265">
        <f t="shared" si="7"/>
        <v>200</v>
      </c>
    </row>
    <row r="492" spans="2:8" x14ac:dyDescent="0.2">
      <c r="B492" s="262" t="s">
        <v>1866</v>
      </c>
      <c r="C492" s="263">
        <v>42519</v>
      </c>
      <c r="D492" s="264" t="s">
        <v>1903</v>
      </c>
      <c r="E492" s="264" t="s">
        <v>2278</v>
      </c>
      <c r="F492" s="265">
        <v>70</v>
      </c>
      <c r="G492" s="265"/>
      <c r="H492" s="265">
        <f t="shared" si="7"/>
        <v>70</v>
      </c>
    </row>
    <row r="493" spans="2:8" x14ac:dyDescent="0.2">
      <c r="B493" s="262" t="s">
        <v>1884</v>
      </c>
      <c r="C493" s="263">
        <v>42519</v>
      </c>
      <c r="D493" s="264" t="s">
        <v>2250</v>
      </c>
      <c r="E493" s="264" t="s">
        <v>2355</v>
      </c>
      <c r="F493" s="265">
        <v>100</v>
      </c>
      <c r="G493" s="265"/>
      <c r="H493" s="265">
        <f t="shared" si="7"/>
        <v>100</v>
      </c>
    </row>
    <row r="494" spans="2:8" x14ac:dyDescent="0.2">
      <c r="B494" s="262" t="s">
        <v>1884</v>
      </c>
      <c r="C494" s="263">
        <v>42520</v>
      </c>
      <c r="D494" s="264" t="s">
        <v>1915</v>
      </c>
      <c r="E494" s="264" t="s">
        <v>2369</v>
      </c>
      <c r="F494" s="265">
        <v>500</v>
      </c>
      <c r="G494" s="265"/>
      <c r="H494" s="265">
        <f t="shared" si="7"/>
        <v>500</v>
      </c>
    </row>
    <row r="495" spans="2:8" x14ac:dyDescent="0.2">
      <c r="B495" s="262" t="s">
        <v>1882</v>
      </c>
      <c r="C495" s="263">
        <v>42520</v>
      </c>
      <c r="D495" s="264" t="s">
        <v>1906</v>
      </c>
      <c r="E495" s="264" t="s">
        <v>2370</v>
      </c>
      <c r="F495" s="265">
        <v>100</v>
      </c>
      <c r="G495" s="265"/>
      <c r="H495" s="265">
        <f t="shared" si="7"/>
        <v>100</v>
      </c>
    </row>
    <row r="496" spans="2:8" x14ac:dyDescent="0.2">
      <c r="B496" s="262" t="s">
        <v>1863</v>
      </c>
      <c r="C496" s="263">
        <v>42520</v>
      </c>
      <c r="D496" s="264" t="s">
        <v>1903</v>
      </c>
      <c r="E496" s="264" t="s">
        <v>2371</v>
      </c>
      <c r="F496" s="265">
        <v>178</v>
      </c>
      <c r="G496" s="265"/>
      <c r="H496" s="265">
        <f t="shared" si="7"/>
        <v>178</v>
      </c>
    </row>
    <row r="497" spans="2:9" x14ac:dyDescent="0.2">
      <c r="B497" s="262" t="s">
        <v>1863</v>
      </c>
      <c r="C497" s="263">
        <v>42520</v>
      </c>
      <c r="D497" s="264" t="s">
        <v>1903</v>
      </c>
      <c r="E497" s="264" t="s">
        <v>2371</v>
      </c>
      <c r="F497" s="265">
        <v>30</v>
      </c>
      <c r="G497" s="265"/>
      <c r="H497" s="265">
        <f t="shared" si="7"/>
        <v>30</v>
      </c>
    </row>
    <row r="498" spans="2:9" x14ac:dyDescent="0.2">
      <c r="B498" s="262" t="s">
        <v>1879</v>
      </c>
      <c r="C498" s="263">
        <v>42520</v>
      </c>
      <c r="D498" s="264" t="s">
        <v>1892</v>
      </c>
      <c r="E498" s="264" t="s">
        <v>2372</v>
      </c>
      <c r="F498" s="265">
        <v>350</v>
      </c>
      <c r="G498" s="265"/>
      <c r="H498" s="265">
        <f t="shared" si="7"/>
        <v>350</v>
      </c>
    </row>
    <row r="499" spans="2:9" x14ac:dyDescent="0.2">
      <c r="B499" s="262" t="s">
        <v>1882</v>
      </c>
      <c r="C499" s="263">
        <v>42520</v>
      </c>
      <c r="D499" s="264" t="s">
        <v>1892</v>
      </c>
      <c r="E499" s="264" t="s">
        <v>2373</v>
      </c>
      <c r="F499" s="265">
        <v>200</v>
      </c>
      <c r="G499" s="265"/>
      <c r="H499" s="265">
        <f t="shared" si="7"/>
        <v>200</v>
      </c>
    </row>
    <row r="500" spans="2:9" x14ac:dyDescent="0.2">
      <c r="B500" s="262" t="s">
        <v>1858</v>
      </c>
      <c r="C500" s="263">
        <v>42520</v>
      </c>
      <c r="D500" s="264" t="s">
        <v>1897</v>
      </c>
      <c r="E500" s="264" t="s">
        <v>2374</v>
      </c>
      <c r="F500" s="265">
        <v>1250</v>
      </c>
      <c r="G500" s="265"/>
      <c r="H500" s="265">
        <f t="shared" si="7"/>
        <v>1250</v>
      </c>
    </row>
    <row r="501" spans="2:9" x14ac:dyDescent="0.2">
      <c r="B501" s="262" t="s">
        <v>1882</v>
      </c>
      <c r="C501" s="263">
        <v>42520</v>
      </c>
      <c r="D501" s="264" t="s">
        <v>1938</v>
      </c>
      <c r="E501" s="264" t="s">
        <v>2375</v>
      </c>
      <c r="F501" s="265">
        <v>120</v>
      </c>
      <c r="G501" s="265"/>
      <c r="H501" s="265">
        <f t="shared" si="7"/>
        <v>120</v>
      </c>
    </row>
    <row r="502" spans="2:9" x14ac:dyDescent="0.2">
      <c r="B502" s="262" t="s">
        <v>1884</v>
      </c>
      <c r="C502" s="263">
        <v>42520</v>
      </c>
      <c r="D502" s="264" t="s">
        <v>1896</v>
      </c>
      <c r="E502" s="264" t="s">
        <v>2376</v>
      </c>
      <c r="F502" s="265">
        <v>650</v>
      </c>
      <c r="G502" s="265"/>
      <c r="H502" s="265">
        <f t="shared" si="7"/>
        <v>650</v>
      </c>
    </row>
    <row r="503" spans="2:9" x14ac:dyDescent="0.2">
      <c r="B503" s="262" t="s">
        <v>1857</v>
      </c>
      <c r="C503" s="263">
        <v>42521</v>
      </c>
      <c r="D503" s="264" t="s">
        <v>1872</v>
      </c>
      <c r="E503" s="264" t="s">
        <v>2377</v>
      </c>
      <c r="F503" s="265">
        <v>400</v>
      </c>
      <c r="G503" s="265"/>
      <c r="H503" s="265">
        <f t="shared" si="7"/>
        <v>400</v>
      </c>
    </row>
    <row r="504" spans="2:9" x14ac:dyDescent="0.2">
      <c r="B504" s="262" t="s">
        <v>1884</v>
      </c>
      <c r="C504" s="263">
        <v>42521</v>
      </c>
      <c r="D504" s="264" t="s">
        <v>1903</v>
      </c>
      <c r="E504" s="264" t="s">
        <v>2378</v>
      </c>
      <c r="F504" s="265">
        <v>148</v>
      </c>
      <c r="G504" s="265"/>
      <c r="H504" s="265">
        <f t="shared" si="7"/>
        <v>148</v>
      </c>
    </row>
    <row r="505" spans="2:9" x14ac:dyDescent="0.2">
      <c r="B505" s="262" t="s">
        <v>1884</v>
      </c>
      <c r="C505" s="263">
        <v>42521</v>
      </c>
      <c r="D505" s="264" t="s">
        <v>1873</v>
      </c>
      <c r="E505" s="264" t="s">
        <v>2379</v>
      </c>
      <c r="F505" s="265">
        <v>450</v>
      </c>
      <c r="G505" s="265"/>
      <c r="H505" s="265">
        <f t="shared" si="7"/>
        <v>450</v>
      </c>
    </row>
    <row r="506" spans="2:9" x14ac:dyDescent="0.2">
      <c r="B506" s="262" t="s">
        <v>1859</v>
      </c>
      <c r="C506" s="263">
        <v>42521</v>
      </c>
      <c r="D506" s="264" t="s">
        <v>1910</v>
      </c>
      <c r="E506" s="264" t="s">
        <v>2380</v>
      </c>
      <c r="F506" s="265">
        <v>1000</v>
      </c>
      <c r="G506" s="265"/>
      <c r="H506" s="265">
        <f t="shared" si="7"/>
        <v>1000</v>
      </c>
    </row>
    <row r="507" spans="2:9" x14ac:dyDescent="0.2">
      <c r="B507" s="262" t="s">
        <v>1577</v>
      </c>
      <c r="C507" s="263">
        <v>42521</v>
      </c>
      <c r="D507" s="264" t="s">
        <v>1886</v>
      </c>
      <c r="E507" s="264" t="s">
        <v>2381</v>
      </c>
      <c r="F507" s="265">
        <v>2700</v>
      </c>
      <c r="G507" s="265"/>
      <c r="H507" s="265">
        <f t="shared" si="7"/>
        <v>2700</v>
      </c>
    </row>
    <row r="508" spans="2:9" x14ac:dyDescent="0.2">
      <c r="B508" s="262" t="s">
        <v>1577</v>
      </c>
      <c r="C508" s="263">
        <v>42521</v>
      </c>
      <c r="D508" s="264" t="s">
        <v>1899</v>
      </c>
      <c r="E508" s="264" t="s">
        <v>3037</v>
      </c>
      <c r="F508" s="265">
        <v>29000</v>
      </c>
      <c r="G508" s="265"/>
      <c r="H508" s="265">
        <f t="shared" si="7"/>
        <v>29000</v>
      </c>
    </row>
    <row r="509" spans="2:9" x14ac:dyDescent="0.2">
      <c r="B509" s="262" t="s">
        <v>1859</v>
      </c>
      <c r="C509" s="263">
        <v>42521</v>
      </c>
      <c r="D509" s="264" t="s">
        <v>1911</v>
      </c>
      <c r="E509" s="264" t="s">
        <v>1931</v>
      </c>
      <c r="F509" s="265">
        <v>4000</v>
      </c>
      <c r="G509" s="265"/>
      <c r="H509" s="265">
        <f t="shared" si="7"/>
        <v>4000</v>
      </c>
      <c r="I509" s="175">
        <f>SUM(H416:H509)</f>
        <v>122515.9</v>
      </c>
    </row>
    <row r="510" spans="2:9" x14ac:dyDescent="0.2">
      <c r="B510" s="262" t="s">
        <v>1887</v>
      </c>
      <c r="C510" s="263">
        <v>42493</v>
      </c>
      <c r="D510" s="264" t="s">
        <v>1534</v>
      </c>
      <c r="E510" s="264" t="s">
        <v>1536</v>
      </c>
      <c r="F510" s="265">
        <v>-0.46</v>
      </c>
      <c r="G510" s="265"/>
      <c r="H510" s="265">
        <f t="shared" si="7"/>
        <v>-0.46</v>
      </c>
    </row>
    <row r="511" spans="2:9" x14ac:dyDescent="0.2">
      <c r="B511" s="262" t="s">
        <v>1790</v>
      </c>
      <c r="C511" s="263">
        <v>42506</v>
      </c>
      <c r="D511" s="264" t="s">
        <v>1909</v>
      </c>
      <c r="E511" s="264" t="s">
        <v>2383</v>
      </c>
      <c r="F511" s="265"/>
      <c r="G511" s="265">
        <v>-1760</v>
      </c>
      <c r="H511" s="265">
        <f t="shared" si="7"/>
        <v>-1760</v>
      </c>
    </row>
    <row r="512" spans="2:9" x14ac:dyDescent="0.2">
      <c r="B512" s="262" t="s">
        <v>1887</v>
      </c>
      <c r="C512" s="263">
        <v>42521</v>
      </c>
      <c r="D512" s="264" t="s">
        <v>1597</v>
      </c>
      <c r="E512" s="264" t="s">
        <v>2229</v>
      </c>
      <c r="F512" s="265">
        <v>70</v>
      </c>
      <c r="G512" s="265"/>
      <c r="H512" s="265">
        <f t="shared" si="7"/>
        <v>70</v>
      </c>
    </row>
    <row r="513" spans="2:9" x14ac:dyDescent="0.2">
      <c r="B513" s="266" t="s">
        <v>1790</v>
      </c>
      <c r="C513" s="267">
        <v>42521</v>
      </c>
      <c r="D513" s="268" t="s">
        <v>1597</v>
      </c>
      <c r="E513" s="268" t="s">
        <v>2230</v>
      </c>
      <c r="F513" s="269"/>
      <c r="G513" s="269">
        <v>11.2</v>
      </c>
      <c r="H513" s="269">
        <f t="shared" si="7"/>
        <v>11.2</v>
      </c>
      <c r="I513" s="175">
        <f>SUM(H416:H513)</f>
        <v>120836.63999999998</v>
      </c>
    </row>
    <row r="514" spans="2:9" ht="18" customHeight="1" x14ac:dyDescent="0.2">
      <c r="B514" s="270" t="s">
        <v>1850</v>
      </c>
      <c r="C514" s="270" t="s">
        <v>1851</v>
      </c>
      <c r="D514" s="271" t="s">
        <v>1852</v>
      </c>
      <c r="E514" s="271" t="s">
        <v>1853</v>
      </c>
      <c r="F514" s="272" t="s">
        <v>1854</v>
      </c>
      <c r="G514" s="272" t="s">
        <v>1855</v>
      </c>
      <c r="H514" s="257" t="s">
        <v>1856</v>
      </c>
      <c r="I514" s="175"/>
    </row>
    <row r="515" spans="2:9" x14ac:dyDescent="0.2">
      <c r="B515" s="258" t="s">
        <v>1862</v>
      </c>
      <c r="C515" s="259">
        <v>42522</v>
      </c>
      <c r="D515" s="260" t="s">
        <v>1892</v>
      </c>
      <c r="E515" s="260" t="s">
        <v>2384</v>
      </c>
      <c r="F515" s="261">
        <v>3665</v>
      </c>
      <c r="G515" s="261"/>
      <c r="H515" s="261">
        <f t="shared" si="7"/>
        <v>3665</v>
      </c>
    </row>
    <row r="516" spans="2:9" x14ac:dyDescent="0.2">
      <c r="B516" s="262" t="s">
        <v>1882</v>
      </c>
      <c r="C516" s="263">
        <v>42522</v>
      </c>
      <c r="D516" s="264" t="s">
        <v>1906</v>
      </c>
      <c r="E516" s="264" t="s">
        <v>2385</v>
      </c>
      <c r="F516" s="265">
        <v>255</v>
      </c>
      <c r="G516" s="265"/>
      <c r="H516" s="265">
        <f t="shared" si="7"/>
        <v>255</v>
      </c>
    </row>
    <row r="517" spans="2:9" x14ac:dyDescent="0.2">
      <c r="B517" s="262" t="s">
        <v>1882</v>
      </c>
      <c r="C517" s="263">
        <v>42522</v>
      </c>
      <c r="D517" s="264" t="s">
        <v>2386</v>
      </c>
      <c r="E517" s="264" t="s">
        <v>2387</v>
      </c>
      <c r="F517" s="265">
        <v>40</v>
      </c>
      <c r="G517" s="265"/>
      <c r="H517" s="265">
        <f t="shared" ref="H517:H580" si="8">SUM(F517:G517)</f>
        <v>40</v>
      </c>
    </row>
    <row r="518" spans="2:9" x14ac:dyDescent="0.2">
      <c r="B518" s="262" t="s">
        <v>1882</v>
      </c>
      <c r="C518" s="263">
        <v>42522</v>
      </c>
      <c r="D518" s="264" t="s">
        <v>2386</v>
      </c>
      <c r="E518" s="264" t="s">
        <v>2387</v>
      </c>
      <c r="F518" s="265">
        <v>60</v>
      </c>
      <c r="G518" s="265"/>
      <c r="H518" s="265">
        <f t="shared" si="8"/>
        <v>60</v>
      </c>
    </row>
    <row r="519" spans="2:9" x14ac:dyDescent="0.2">
      <c r="B519" s="262" t="s">
        <v>1884</v>
      </c>
      <c r="C519" s="263">
        <v>42522</v>
      </c>
      <c r="D519" s="264" t="s">
        <v>1897</v>
      </c>
      <c r="E519" s="264" t="s">
        <v>2388</v>
      </c>
      <c r="F519" s="265">
        <v>100</v>
      </c>
      <c r="G519" s="265"/>
      <c r="H519" s="265">
        <f t="shared" si="8"/>
        <v>100</v>
      </c>
    </row>
    <row r="520" spans="2:9" x14ac:dyDescent="0.2">
      <c r="B520" s="262" t="s">
        <v>1875</v>
      </c>
      <c r="C520" s="263">
        <v>42523</v>
      </c>
      <c r="D520" s="264" t="s">
        <v>1893</v>
      </c>
      <c r="E520" s="264" t="s">
        <v>1942</v>
      </c>
      <c r="F520" s="265">
        <v>31.8</v>
      </c>
      <c r="G520" s="265"/>
      <c r="H520" s="265">
        <f t="shared" si="8"/>
        <v>31.8</v>
      </c>
    </row>
    <row r="521" spans="2:9" x14ac:dyDescent="0.2">
      <c r="B521" s="262" t="s">
        <v>1882</v>
      </c>
      <c r="C521" s="263">
        <v>42523</v>
      </c>
      <c r="D521" s="264" t="s">
        <v>1906</v>
      </c>
      <c r="E521" s="264" t="s">
        <v>2389</v>
      </c>
      <c r="F521" s="265">
        <v>255</v>
      </c>
      <c r="G521" s="265"/>
      <c r="H521" s="265">
        <f t="shared" si="8"/>
        <v>255</v>
      </c>
    </row>
    <row r="522" spans="2:9" x14ac:dyDescent="0.2">
      <c r="B522" s="262" t="s">
        <v>1866</v>
      </c>
      <c r="C522" s="263">
        <v>42524</v>
      </c>
      <c r="D522" s="264" t="s">
        <v>1890</v>
      </c>
      <c r="E522" s="264" t="s">
        <v>1904</v>
      </c>
      <c r="F522" s="265">
        <v>142</v>
      </c>
      <c r="G522" s="265"/>
      <c r="H522" s="265">
        <f t="shared" si="8"/>
        <v>142</v>
      </c>
    </row>
    <row r="523" spans="2:9" x14ac:dyDescent="0.2">
      <c r="B523" s="262" t="s">
        <v>1858</v>
      </c>
      <c r="C523" s="263">
        <v>42524</v>
      </c>
      <c r="D523" s="264" t="s">
        <v>2386</v>
      </c>
      <c r="E523" s="264" t="s">
        <v>2390</v>
      </c>
      <c r="F523" s="265">
        <v>90</v>
      </c>
      <c r="G523" s="265"/>
      <c r="H523" s="265">
        <f t="shared" si="8"/>
        <v>90</v>
      </c>
    </row>
    <row r="524" spans="2:9" x14ac:dyDescent="0.2">
      <c r="B524" s="262" t="s">
        <v>1866</v>
      </c>
      <c r="C524" s="263">
        <v>42524</v>
      </c>
      <c r="D524" s="264" t="s">
        <v>1890</v>
      </c>
      <c r="E524" s="264" t="s">
        <v>1904</v>
      </c>
      <c r="F524" s="265">
        <v>142</v>
      </c>
      <c r="G524" s="265"/>
      <c r="H524" s="265">
        <f t="shared" si="8"/>
        <v>142</v>
      </c>
    </row>
    <row r="525" spans="2:9" x14ac:dyDescent="0.2">
      <c r="B525" s="262" t="s">
        <v>1884</v>
      </c>
      <c r="C525" s="263">
        <v>42524</v>
      </c>
      <c r="D525" s="264" t="s">
        <v>2391</v>
      </c>
      <c r="E525" s="264" t="s">
        <v>2392</v>
      </c>
      <c r="F525" s="265">
        <v>197.4</v>
      </c>
      <c r="G525" s="265"/>
      <c r="H525" s="265">
        <f t="shared" si="8"/>
        <v>197.4</v>
      </c>
    </row>
    <row r="526" spans="2:9" x14ac:dyDescent="0.2">
      <c r="B526" s="262" t="s">
        <v>1875</v>
      </c>
      <c r="C526" s="263">
        <v>42525</v>
      </c>
      <c r="D526" s="264" t="s">
        <v>1893</v>
      </c>
      <c r="E526" s="264" t="s">
        <v>1942</v>
      </c>
      <c r="F526" s="265">
        <v>188.59</v>
      </c>
      <c r="G526" s="265">
        <v>30.19</v>
      </c>
      <c r="H526" s="265">
        <f t="shared" si="8"/>
        <v>218.78</v>
      </c>
    </row>
    <row r="527" spans="2:9" x14ac:dyDescent="0.2">
      <c r="B527" s="262" t="s">
        <v>1884</v>
      </c>
      <c r="C527" s="263">
        <v>42525</v>
      </c>
      <c r="D527" s="264" t="s">
        <v>1918</v>
      </c>
      <c r="E527" s="264" t="s">
        <v>2393</v>
      </c>
      <c r="F527" s="265">
        <v>15</v>
      </c>
      <c r="G527" s="265"/>
      <c r="H527" s="265">
        <f t="shared" si="8"/>
        <v>15</v>
      </c>
    </row>
    <row r="528" spans="2:9" x14ac:dyDescent="0.2">
      <c r="B528" s="262" t="s">
        <v>1860</v>
      </c>
      <c r="C528" s="263">
        <v>42525</v>
      </c>
      <c r="D528" s="264" t="s">
        <v>1893</v>
      </c>
      <c r="E528" s="264" t="s">
        <v>2394</v>
      </c>
      <c r="F528" s="265">
        <v>89</v>
      </c>
      <c r="G528" s="265"/>
      <c r="H528" s="265">
        <f t="shared" si="8"/>
        <v>89</v>
      </c>
    </row>
    <row r="529" spans="2:8" x14ac:dyDescent="0.2">
      <c r="B529" s="262" t="s">
        <v>1860</v>
      </c>
      <c r="C529" s="263">
        <v>42525</v>
      </c>
      <c r="D529" s="264" t="s">
        <v>1893</v>
      </c>
      <c r="E529" s="264" t="s">
        <v>2395</v>
      </c>
      <c r="F529" s="265">
        <v>5</v>
      </c>
      <c r="G529" s="265"/>
      <c r="H529" s="265">
        <f t="shared" si="8"/>
        <v>5</v>
      </c>
    </row>
    <row r="530" spans="2:8" x14ac:dyDescent="0.2">
      <c r="B530" s="262" t="s">
        <v>1884</v>
      </c>
      <c r="C530" s="263">
        <v>42526</v>
      </c>
      <c r="D530" s="264" t="s">
        <v>2386</v>
      </c>
      <c r="E530" s="264" t="s">
        <v>2396</v>
      </c>
      <c r="F530" s="265">
        <v>90</v>
      </c>
      <c r="G530" s="265"/>
      <c r="H530" s="265">
        <f t="shared" si="8"/>
        <v>90</v>
      </c>
    </row>
    <row r="531" spans="2:8" x14ac:dyDescent="0.2">
      <c r="B531" s="262" t="s">
        <v>1884</v>
      </c>
      <c r="C531" s="263">
        <v>42526</v>
      </c>
      <c r="D531" s="264" t="s">
        <v>2250</v>
      </c>
      <c r="E531" s="264" t="s">
        <v>2355</v>
      </c>
      <c r="F531" s="265">
        <v>100</v>
      </c>
      <c r="G531" s="265"/>
      <c r="H531" s="265">
        <f t="shared" si="8"/>
        <v>100</v>
      </c>
    </row>
    <row r="532" spans="2:8" x14ac:dyDescent="0.2">
      <c r="B532" s="262" t="s">
        <v>1866</v>
      </c>
      <c r="C532" s="263">
        <v>42527</v>
      </c>
      <c r="D532" s="264" t="s">
        <v>1890</v>
      </c>
      <c r="E532" s="264" t="s">
        <v>1901</v>
      </c>
      <c r="F532" s="265">
        <v>78</v>
      </c>
      <c r="G532" s="265"/>
      <c r="H532" s="265">
        <f t="shared" si="8"/>
        <v>78</v>
      </c>
    </row>
    <row r="533" spans="2:8" x14ac:dyDescent="0.2">
      <c r="B533" s="262" t="s">
        <v>1865</v>
      </c>
      <c r="C533" s="263">
        <v>42527</v>
      </c>
      <c r="D533" s="264" t="s">
        <v>1906</v>
      </c>
      <c r="E533" s="264" t="s">
        <v>2397</v>
      </c>
      <c r="F533" s="265">
        <v>190</v>
      </c>
      <c r="G533" s="265"/>
      <c r="H533" s="265">
        <f t="shared" si="8"/>
        <v>190</v>
      </c>
    </row>
    <row r="534" spans="2:8" x14ac:dyDescent="0.2">
      <c r="B534" s="262" t="s">
        <v>1862</v>
      </c>
      <c r="C534" s="263">
        <v>42527</v>
      </c>
      <c r="D534" s="264" t="s">
        <v>1892</v>
      </c>
      <c r="E534" s="264" t="s">
        <v>2398</v>
      </c>
      <c r="F534" s="265">
        <v>1636.07</v>
      </c>
      <c r="G534" s="265"/>
      <c r="H534" s="265">
        <f t="shared" si="8"/>
        <v>1636.07</v>
      </c>
    </row>
    <row r="535" spans="2:8" x14ac:dyDescent="0.2">
      <c r="B535" s="262" t="s">
        <v>1867</v>
      </c>
      <c r="C535" s="263">
        <v>42528</v>
      </c>
      <c r="D535" s="264" t="s">
        <v>1894</v>
      </c>
      <c r="E535" s="264" t="s">
        <v>2399</v>
      </c>
      <c r="F535" s="265">
        <v>1137</v>
      </c>
      <c r="G535" s="265"/>
      <c r="H535" s="265">
        <f t="shared" si="8"/>
        <v>1137</v>
      </c>
    </row>
    <row r="536" spans="2:8" x14ac:dyDescent="0.2">
      <c r="B536" s="262" t="s">
        <v>1860</v>
      </c>
      <c r="C536" s="263">
        <v>42528</v>
      </c>
      <c r="D536" s="264" t="s">
        <v>1926</v>
      </c>
      <c r="E536" s="264" t="s">
        <v>2400</v>
      </c>
      <c r="F536" s="265">
        <v>90</v>
      </c>
      <c r="G536" s="265"/>
      <c r="H536" s="265">
        <f t="shared" si="8"/>
        <v>90</v>
      </c>
    </row>
    <row r="537" spans="2:8" x14ac:dyDescent="0.2">
      <c r="B537" s="262" t="s">
        <v>1858</v>
      </c>
      <c r="C537" s="263">
        <v>42528</v>
      </c>
      <c r="D537" s="264" t="s">
        <v>2401</v>
      </c>
      <c r="E537" s="264" t="s">
        <v>2402</v>
      </c>
      <c r="F537" s="265">
        <v>37.5</v>
      </c>
      <c r="G537" s="265"/>
      <c r="H537" s="265">
        <f t="shared" si="8"/>
        <v>37.5</v>
      </c>
    </row>
    <row r="538" spans="2:8" x14ac:dyDescent="0.2">
      <c r="B538" s="262" t="s">
        <v>1858</v>
      </c>
      <c r="C538" s="263">
        <v>42528</v>
      </c>
      <c r="D538" s="264" t="s">
        <v>2401</v>
      </c>
      <c r="E538" s="264" t="s">
        <v>2403</v>
      </c>
      <c r="F538" s="265">
        <v>66</v>
      </c>
      <c r="G538" s="265"/>
      <c r="H538" s="265">
        <f t="shared" si="8"/>
        <v>66</v>
      </c>
    </row>
    <row r="539" spans="2:8" x14ac:dyDescent="0.2">
      <c r="B539" s="262" t="s">
        <v>1884</v>
      </c>
      <c r="C539" s="263">
        <v>42528</v>
      </c>
      <c r="D539" s="264" t="s">
        <v>1898</v>
      </c>
      <c r="E539" s="264" t="s">
        <v>2404</v>
      </c>
      <c r="F539" s="265">
        <v>88</v>
      </c>
      <c r="G539" s="265"/>
      <c r="H539" s="265">
        <f t="shared" si="8"/>
        <v>88</v>
      </c>
    </row>
    <row r="540" spans="2:8" x14ac:dyDescent="0.2">
      <c r="B540" s="262" t="s">
        <v>1884</v>
      </c>
      <c r="C540" s="263">
        <v>42528</v>
      </c>
      <c r="D540" s="264" t="s">
        <v>2386</v>
      </c>
      <c r="E540" s="264" t="s">
        <v>2405</v>
      </c>
      <c r="F540" s="265">
        <v>44</v>
      </c>
      <c r="G540" s="265"/>
      <c r="H540" s="265">
        <f t="shared" si="8"/>
        <v>44</v>
      </c>
    </row>
    <row r="541" spans="2:8" x14ac:dyDescent="0.2">
      <c r="B541" s="262" t="s">
        <v>1884</v>
      </c>
      <c r="C541" s="263">
        <v>42528</v>
      </c>
      <c r="D541" s="264" t="s">
        <v>2386</v>
      </c>
      <c r="E541" s="264" t="s">
        <v>2405</v>
      </c>
      <c r="F541" s="265">
        <v>67.2</v>
      </c>
      <c r="G541" s="265"/>
      <c r="H541" s="265">
        <f t="shared" si="8"/>
        <v>67.2</v>
      </c>
    </row>
    <row r="542" spans="2:8" x14ac:dyDescent="0.2">
      <c r="B542" s="262" t="s">
        <v>1858</v>
      </c>
      <c r="C542" s="263">
        <v>42529</v>
      </c>
      <c r="D542" s="264" t="s">
        <v>1897</v>
      </c>
      <c r="E542" s="264" t="s">
        <v>2406</v>
      </c>
      <c r="F542" s="265">
        <v>2900</v>
      </c>
      <c r="G542" s="265"/>
      <c r="H542" s="265">
        <f t="shared" si="8"/>
        <v>2900</v>
      </c>
    </row>
    <row r="543" spans="2:8" x14ac:dyDescent="0.2">
      <c r="B543" s="262" t="s">
        <v>1866</v>
      </c>
      <c r="C543" s="263">
        <v>42529</v>
      </c>
      <c r="D543" s="264" t="s">
        <v>1890</v>
      </c>
      <c r="E543" s="264" t="s">
        <v>1913</v>
      </c>
      <c r="F543" s="265">
        <v>175</v>
      </c>
      <c r="G543" s="265"/>
      <c r="H543" s="265">
        <f t="shared" si="8"/>
        <v>175</v>
      </c>
    </row>
    <row r="544" spans="2:8" x14ac:dyDescent="0.2">
      <c r="B544" s="262" t="s">
        <v>1858</v>
      </c>
      <c r="C544" s="263">
        <v>42529</v>
      </c>
      <c r="D544" s="264" t="s">
        <v>1897</v>
      </c>
      <c r="E544" s="264" t="s">
        <v>2407</v>
      </c>
      <c r="F544" s="265">
        <v>100</v>
      </c>
      <c r="G544" s="265"/>
      <c r="H544" s="265">
        <f t="shared" si="8"/>
        <v>100</v>
      </c>
    </row>
    <row r="545" spans="2:8" x14ac:dyDescent="0.2">
      <c r="B545" s="262" t="s">
        <v>1870</v>
      </c>
      <c r="C545" s="263">
        <v>42529</v>
      </c>
      <c r="D545" s="264" t="s">
        <v>1892</v>
      </c>
      <c r="E545" s="264" t="s">
        <v>2408</v>
      </c>
      <c r="F545" s="265">
        <v>420</v>
      </c>
      <c r="G545" s="265"/>
      <c r="H545" s="265">
        <f t="shared" si="8"/>
        <v>420</v>
      </c>
    </row>
    <row r="546" spans="2:8" x14ac:dyDescent="0.2">
      <c r="B546" s="262" t="s">
        <v>1860</v>
      </c>
      <c r="C546" s="263">
        <v>42529</v>
      </c>
      <c r="D546" s="264" t="s">
        <v>1926</v>
      </c>
      <c r="E546" s="264" t="s">
        <v>2409</v>
      </c>
      <c r="F546" s="265">
        <v>270</v>
      </c>
      <c r="G546" s="265"/>
      <c r="H546" s="265">
        <f t="shared" si="8"/>
        <v>270</v>
      </c>
    </row>
    <row r="547" spans="2:8" x14ac:dyDescent="0.2">
      <c r="B547" s="262" t="s">
        <v>1881</v>
      </c>
      <c r="C547" s="263">
        <v>42529</v>
      </c>
      <c r="D547" s="264" t="s">
        <v>2410</v>
      </c>
      <c r="E547" s="264" t="s">
        <v>2411</v>
      </c>
      <c r="F547" s="265">
        <v>86</v>
      </c>
      <c r="G547" s="265"/>
      <c r="H547" s="265">
        <f t="shared" si="8"/>
        <v>86</v>
      </c>
    </row>
    <row r="548" spans="2:8" x14ac:dyDescent="0.2">
      <c r="B548" s="262" t="s">
        <v>1860</v>
      </c>
      <c r="C548" s="263">
        <v>42529</v>
      </c>
      <c r="D548" s="264" t="s">
        <v>1926</v>
      </c>
      <c r="E548" s="264" t="s">
        <v>2409</v>
      </c>
      <c r="F548" s="265">
        <v>270</v>
      </c>
      <c r="G548" s="265"/>
      <c r="H548" s="265">
        <f t="shared" si="8"/>
        <v>270</v>
      </c>
    </row>
    <row r="549" spans="2:8" x14ac:dyDescent="0.2">
      <c r="B549" s="262" t="s">
        <v>1865</v>
      </c>
      <c r="C549" s="263">
        <v>42529</v>
      </c>
      <c r="D549" s="264" t="s">
        <v>1937</v>
      </c>
      <c r="E549" s="264" t="s">
        <v>2412</v>
      </c>
      <c r="F549" s="265">
        <v>600</v>
      </c>
      <c r="G549" s="265"/>
      <c r="H549" s="265">
        <f t="shared" si="8"/>
        <v>600</v>
      </c>
    </row>
    <row r="550" spans="2:8" x14ac:dyDescent="0.2">
      <c r="B550" s="262" t="s">
        <v>1860</v>
      </c>
      <c r="C550" s="263">
        <v>42529</v>
      </c>
      <c r="D550" s="264" t="s">
        <v>2413</v>
      </c>
      <c r="E550" s="264" t="s">
        <v>2414</v>
      </c>
      <c r="F550" s="265">
        <v>66.8</v>
      </c>
      <c r="G550" s="265"/>
      <c r="H550" s="265">
        <f t="shared" si="8"/>
        <v>66.8</v>
      </c>
    </row>
    <row r="551" spans="2:8" x14ac:dyDescent="0.2">
      <c r="B551" s="262" t="s">
        <v>1860</v>
      </c>
      <c r="C551" s="263">
        <v>42531</v>
      </c>
      <c r="D551" s="264" t="s">
        <v>1891</v>
      </c>
      <c r="E551" s="264" t="s">
        <v>2415</v>
      </c>
      <c r="F551" s="265">
        <v>172.5</v>
      </c>
      <c r="G551" s="265"/>
      <c r="H551" s="265">
        <f t="shared" si="8"/>
        <v>172.5</v>
      </c>
    </row>
    <row r="552" spans="2:8" x14ac:dyDescent="0.2">
      <c r="B552" s="262" t="s">
        <v>1866</v>
      </c>
      <c r="C552" s="263">
        <v>42531</v>
      </c>
      <c r="D552" s="264" t="s">
        <v>1890</v>
      </c>
      <c r="E552" s="264" t="s">
        <v>1913</v>
      </c>
      <c r="F552" s="265">
        <v>175</v>
      </c>
      <c r="G552" s="265"/>
      <c r="H552" s="265">
        <f t="shared" si="8"/>
        <v>175</v>
      </c>
    </row>
    <row r="553" spans="2:8" x14ac:dyDescent="0.2">
      <c r="B553" s="262" t="s">
        <v>1859</v>
      </c>
      <c r="C553" s="263">
        <v>42531</v>
      </c>
      <c r="D553" s="264" t="s">
        <v>1910</v>
      </c>
      <c r="E553" s="264" t="s">
        <v>2416</v>
      </c>
      <c r="F553" s="265">
        <v>1000</v>
      </c>
      <c r="G553" s="265"/>
      <c r="H553" s="265">
        <f t="shared" si="8"/>
        <v>1000</v>
      </c>
    </row>
    <row r="554" spans="2:8" x14ac:dyDescent="0.2">
      <c r="B554" s="262" t="s">
        <v>1884</v>
      </c>
      <c r="C554" s="263">
        <v>42531</v>
      </c>
      <c r="D554" s="264" t="s">
        <v>1910</v>
      </c>
      <c r="E554" s="264" t="s">
        <v>2417</v>
      </c>
      <c r="F554" s="265">
        <v>400</v>
      </c>
      <c r="G554" s="265"/>
      <c r="H554" s="265">
        <f t="shared" si="8"/>
        <v>400</v>
      </c>
    </row>
    <row r="555" spans="2:8" x14ac:dyDescent="0.2">
      <c r="B555" s="262" t="s">
        <v>1858</v>
      </c>
      <c r="C555" s="263">
        <v>42533</v>
      </c>
      <c r="D555" s="264" t="s">
        <v>1897</v>
      </c>
      <c r="E555" s="264" t="s">
        <v>2418</v>
      </c>
      <c r="F555" s="265">
        <v>350</v>
      </c>
      <c r="G555" s="265"/>
      <c r="H555" s="265">
        <f t="shared" si="8"/>
        <v>350</v>
      </c>
    </row>
    <row r="556" spans="2:8" x14ac:dyDescent="0.2">
      <c r="B556" s="262" t="s">
        <v>1884</v>
      </c>
      <c r="C556" s="263">
        <v>42533</v>
      </c>
      <c r="D556" s="264" t="s">
        <v>2419</v>
      </c>
      <c r="E556" s="264" t="s">
        <v>2420</v>
      </c>
      <c r="F556" s="265">
        <v>200</v>
      </c>
      <c r="G556" s="265"/>
      <c r="H556" s="265">
        <f t="shared" si="8"/>
        <v>200</v>
      </c>
    </row>
    <row r="557" spans="2:8" x14ac:dyDescent="0.2">
      <c r="B557" s="262" t="s">
        <v>1884</v>
      </c>
      <c r="C557" s="263">
        <v>42533</v>
      </c>
      <c r="D557" s="264" t="s">
        <v>2421</v>
      </c>
      <c r="E557" s="264" t="s">
        <v>2422</v>
      </c>
      <c r="F557" s="265">
        <v>350</v>
      </c>
      <c r="G557" s="265"/>
      <c r="H557" s="265">
        <f t="shared" si="8"/>
        <v>350</v>
      </c>
    </row>
    <row r="558" spans="2:8" x14ac:dyDescent="0.2">
      <c r="B558" s="262" t="s">
        <v>1884</v>
      </c>
      <c r="C558" s="263">
        <v>42533</v>
      </c>
      <c r="D558" s="264" t="s">
        <v>2419</v>
      </c>
      <c r="E558" s="264" t="s">
        <v>2423</v>
      </c>
      <c r="F558" s="265">
        <v>100</v>
      </c>
      <c r="G558" s="265"/>
      <c r="H558" s="265">
        <f t="shared" si="8"/>
        <v>100</v>
      </c>
    </row>
    <row r="559" spans="2:8" x14ac:dyDescent="0.2">
      <c r="B559" s="262" t="s">
        <v>1866</v>
      </c>
      <c r="C559" s="263">
        <v>42533</v>
      </c>
      <c r="D559" s="264" t="s">
        <v>2386</v>
      </c>
      <c r="E559" s="264" t="s">
        <v>2424</v>
      </c>
      <c r="F559" s="265">
        <v>143.5</v>
      </c>
      <c r="G559" s="265"/>
      <c r="H559" s="265">
        <f t="shared" si="8"/>
        <v>143.5</v>
      </c>
    </row>
    <row r="560" spans="2:8" x14ac:dyDescent="0.2">
      <c r="B560" s="262" t="s">
        <v>1866</v>
      </c>
      <c r="C560" s="263">
        <v>42534</v>
      </c>
      <c r="D560" s="264" t="s">
        <v>2425</v>
      </c>
      <c r="E560" s="264" t="s">
        <v>2426</v>
      </c>
      <c r="F560" s="265">
        <v>84</v>
      </c>
      <c r="G560" s="265"/>
      <c r="H560" s="265">
        <f t="shared" si="8"/>
        <v>84</v>
      </c>
    </row>
    <row r="561" spans="2:8" x14ac:dyDescent="0.2">
      <c r="B561" s="262" t="s">
        <v>1884</v>
      </c>
      <c r="C561" s="263">
        <v>42534</v>
      </c>
      <c r="D561" s="264" t="s">
        <v>2427</v>
      </c>
      <c r="E561" s="264" t="s">
        <v>2428</v>
      </c>
      <c r="F561" s="265">
        <v>200</v>
      </c>
      <c r="G561" s="265"/>
      <c r="H561" s="265">
        <f t="shared" si="8"/>
        <v>200</v>
      </c>
    </row>
    <row r="562" spans="2:8" x14ac:dyDescent="0.2">
      <c r="B562" s="262" t="s">
        <v>1884</v>
      </c>
      <c r="C562" s="263">
        <v>42534</v>
      </c>
      <c r="D562" s="264" t="s">
        <v>1907</v>
      </c>
      <c r="E562" s="264" t="s">
        <v>2429</v>
      </c>
      <c r="F562" s="265">
        <v>400</v>
      </c>
      <c r="G562" s="265"/>
      <c r="H562" s="265">
        <f t="shared" si="8"/>
        <v>400</v>
      </c>
    </row>
    <row r="563" spans="2:8" x14ac:dyDescent="0.2">
      <c r="B563" s="262" t="s">
        <v>1884</v>
      </c>
      <c r="C563" s="263">
        <v>42534</v>
      </c>
      <c r="D563" s="264" t="s">
        <v>1918</v>
      </c>
      <c r="E563" s="264" t="s">
        <v>2430</v>
      </c>
      <c r="F563" s="265">
        <v>110</v>
      </c>
      <c r="G563" s="265"/>
      <c r="H563" s="265">
        <f t="shared" si="8"/>
        <v>110</v>
      </c>
    </row>
    <row r="564" spans="2:8" x14ac:dyDescent="0.2">
      <c r="B564" s="262" t="s">
        <v>1884</v>
      </c>
      <c r="C564" s="263">
        <v>42535</v>
      </c>
      <c r="D564" s="264" t="s">
        <v>2431</v>
      </c>
      <c r="E564" s="264" t="s">
        <v>2432</v>
      </c>
      <c r="F564" s="265">
        <v>141</v>
      </c>
      <c r="G564" s="265"/>
      <c r="H564" s="265">
        <f t="shared" si="8"/>
        <v>141</v>
      </c>
    </row>
    <row r="565" spans="2:8" x14ac:dyDescent="0.2">
      <c r="B565" s="262" t="s">
        <v>1884</v>
      </c>
      <c r="C565" s="263">
        <v>42535</v>
      </c>
      <c r="D565" s="264" t="s">
        <v>2431</v>
      </c>
      <c r="E565" s="264" t="s">
        <v>2433</v>
      </c>
      <c r="F565" s="265">
        <v>20</v>
      </c>
      <c r="G565" s="265"/>
      <c r="H565" s="265">
        <f t="shared" si="8"/>
        <v>20</v>
      </c>
    </row>
    <row r="566" spans="2:8" x14ac:dyDescent="0.2">
      <c r="B566" s="262" t="s">
        <v>1884</v>
      </c>
      <c r="C566" s="263">
        <v>42535</v>
      </c>
      <c r="D566" s="264" t="s">
        <v>1915</v>
      </c>
      <c r="E566" s="264" t="s">
        <v>2434</v>
      </c>
      <c r="F566" s="265">
        <v>500</v>
      </c>
      <c r="G566" s="265"/>
      <c r="H566" s="265">
        <f t="shared" si="8"/>
        <v>500</v>
      </c>
    </row>
    <row r="567" spans="2:8" x14ac:dyDescent="0.2">
      <c r="B567" s="262" t="s">
        <v>1790</v>
      </c>
      <c r="C567" s="263">
        <v>42536</v>
      </c>
      <c r="D567" s="264" t="s">
        <v>1909</v>
      </c>
      <c r="E567" s="264" t="s">
        <v>2435</v>
      </c>
      <c r="F567" s="265"/>
      <c r="G567" s="265">
        <v>1760</v>
      </c>
      <c r="H567" s="265">
        <f t="shared" si="8"/>
        <v>1760</v>
      </c>
    </row>
    <row r="568" spans="2:8" x14ac:dyDescent="0.2">
      <c r="B568" s="262" t="s">
        <v>1805</v>
      </c>
      <c r="C568" s="263">
        <v>42536</v>
      </c>
      <c r="D568" s="264" t="s">
        <v>1888</v>
      </c>
      <c r="E568" s="264" t="s">
        <v>2436</v>
      </c>
      <c r="F568" s="265">
        <v>1224</v>
      </c>
      <c r="G568" s="265"/>
      <c r="H568" s="265">
        <f t="shared" si="8"/>
        <v>1224</v>
      </c>
    </row>
    <row r="569" spans="2:8" x14ac:dyDescent="0.2">
      <c r="B569" s="262" t="s">
        <v>1884</v>
      </c>
      <c r="C569" s="263">
        <v>42536</v>
      </c>
      <c r="D569" s="264" t="s">
        <v>1918</v>
      </c>
      <c r="E569" s="264" t="s">
        <v>2437</v>
      </c>
      <c r="F569" s="265">
        <v>100</v>
      </c>
      <c r="G569" s="265"/>
      <c r="H569" s="265">
        <f t="shared" si="8"/>
        <v>100</v>
      </c>
    </row>
    <row r="570" spans="2:8" x14ac:dyDescent="0.2">
      <c r="B570" s="262" t="s">
        <v>1866</v>
      </c>
      <c r="C570" s="263">
        <v>42536</v>
      </c>
      <c r="D570" s="264" t="s">
        <v>1890</v>
      </c>
      <c r="E570" s="264" t="s">
        <v>1939</v>
      </c>
      <c r="F570" s="265">
        <v>180</v>
      </c>
      <c r="G570" s="265"/>
      <c r="H570" s="265">
        <f t="shared" si="8"/>
        <v>180</v>
      </c>
    </row>
    <row r="571" spans="2:8" x14ac:dyDescent="0.2">
      <c r="B571" s="262" t="s">
        <v>1866</v>
      </c>
      <c r="C571" s="263">
        <v>42536</v>
      </c>
      <c r="D571" s="264" t="s">
        <v>2386</v>
      </c>
      <c r="E571" s="264" t="s">
        <v>2438</v>
      </c>
      <c r="F571" s="265">
        <v>171.4</v>
      </c>
      <c r="G571" s="265"/>
      <c r="H571" s="265">
        <f t="shared" si="8"/>
        <v>171.4</v>
      </c>
    </row>
    <row r="572" spans="2:8" x14ac:dyDescent="0.2">
      <c r="B572" s="262" t="s">
        <v>1884</v>
      </c>
      <c r="C572" s="263">
        <v>42536</v>
      </c>
      <c r="D572" s="264" t="s">
        <v>1910</v>
      </c>
      <c r="E572" s="264" t="s">
        <v>2439</v>
      </c>
      <c r="F572" s="265">
        <v>400</v>
      </c>
      <c r="G572" s="265"/>
      <c r="H572" s="265">
        <f t="shared" si="8"/>
        <v>400</v>
      </c>
    </row>
    <row r="573" spans="2:8" x14ac:dyDescent="0.2">
      <c r="B573" s="262" t="s">
        <v>1884</v>
      </c>
      <c r="C573" s="263">
        <v>42536</v>
      </c>
      <c r="D573" s="264" t="s">
        <v>1873</v>
      </c>
      <c r="E573" s="264" t="s">
        <v>2440</v>
      </c>
      <c r="F573" s="265">
        <v>450</v>
      </c>
      <c r="G573" s="265"/>
      <c r="H573" s="265">
        <f t="shared" si="8"/>
        <v>450</v>
      </c>
    </row>
    <row r="574" spans="2:8" x14ac:dyDescent="0.2">
      <c r="B574" s="262" t="s">
        <v>1577</v>
      </c>
      <c r="C574" s="263">
        <v>42536</v>
      </c>
      <c r="D574" s="264" t="s">
        <v>1886</v>
      </c>
      <c r="E574" s="264" t="s">
        <v>2381</v>
      </c>
      <c r="F574" s="265">
        <v>2700</v>
      </c>
      <c r="G574" s="265"/>
      <c r="H574" s="265">
        <f t="shared" si="8"/>
        <v>2700</v>
      </c>
    </row>
    <row r="575" spans="2:8" x14ac:dyDescent="0.2">
      <c r="B575" s="262" t="s">
        <v>1577</v>
      </c>
      <c r="C575" s="263">
        <v>42536</v>
      </c>
      <c r="D575" s="264" t="s">
        <v>1899</v>
      </c>
      <c r="E575" s="264" t="s">
        <v>2382</v>
      </c>
      <c r="F575" s="265">
        <v>29000</v>
      </c>
      <c r="G575" s="265"/>
      <c r="H575" s="265">
        <f t="shared" si="8"/>
        <v>29000</v>
      </c>
    </row>
    <row r="576" spans="2:8" x14ac:dyDescent="0.2">
      <c r="B576" s="262" t="s">
        <v>1859</v>
      </c>
      <c r="C576" s="263">
        <v>42536</v>
      </c>
      <c r="D576" s="264" t="s">
        <v>1911</v>
      </c>
      <c r="E576" s="264" t="s">
        <v>1931</v>
      </c>
      <c r="F576" s="265">
        <v>4000</v>
      </c>
      <c r="G576" s="265"/>
      <c r="H576" s="265">
        <f t="shared" si="8"/>
        <v>4000</v>
      </c>
    </row>
    <row r="577" spans="2:8" x14ac:dyDescent="0.2">
      <c r="B577" s="262" t="s">
        <v>1884</v>
      </c>
      <c r="C577" s="263">
        <v>42538</v>
      </c>
      <c r="D577" s="264" t="s">
        <v>2948</v>
      </c>
      <c r="E577" s="264" t="s">
        <v>2441</v>
      </c>
      <c r="F577" s="265">
        <v>300</v>
      </c>
      <c r="G577" s="265"/>
      <c r="H577" s="265">
        <f t="shared" si="8"/>
        <v>300</v>
      </c>
    </row>
    <row r="578" spans="2:8" x14ac:dyDescent="0.2">
      <c r="B578" s="262" t="s">
        <v>1884</v>
      </c>
      <c r="C578" s="263">
        <v>42538</v>
      </c>
      <c r="D578" s="264" t="s">
        <v>2419</v>
      </c>
      <c r="E578" s="264" t="s">
        <v>2442</v>
      </c>
      <c r="F578" s="265">
        <v>150</v>
      </c>
      <c r="G578" s="265"/>
      <c r="H578" s="265">
        <f t="shared" si="8"/>
        <v>150</v>
      </c>
    </row>
    <row r="579" spans="2:8" x14ac:dyDescent="0.2">
      <c r="B579" s="262" t="s">
        <v>1884</v>
      </c>
      <c r="C579" s="263">
        <v>42538</v>
      </c>
      <c r="D579" s="264" t="s">
        <v>2250</v>
      </c>
      <c r="E579" s="264" t="s">
        <v>2443</v>
      </c>
      <c r="F579" s="265">
        <v>100</v>
      </c>
      <c r="G579" s="265"/>
      <c r="H579" s="265">
        <f t="shared" si="8"/>
        <v>100</v>
      </c>
    </row>
    <row r="580" spans="2:8" x14ac:dyDescent="0.2">
      <c r="B580" s="262" t="s">
        <v>1866</v>
      </c>
      <c r="C580" s="263">
        <v>42538</v>
      </c>
      <c r="D580" s="264" t="s">
        <v>1890</v>
      </c>
      <c r="E580" s="264" t="s">
        <v>1922</v>
      </c>
      <c r="F580" s="265">
        <v>180</v>
      </c>
      <c r="G580" s="265"/>
      <c r="H580" s="265">
        <f t="shared" si="8"/>
        <v>180</v>
      </c>
    </row>
    <row r="581" spans="2:8" x14ac:dyDescent="0.2">
      <c r="B581" s="262" t="s">
        <v>1866</v>
      </c>
      <c r="C581" s="263">
        <v>42538</v>
      </c>
      <c r="D581" s="264" t="s">
        <v>2444</v>
      </c>
      <c r="E581" s="264" t="s">
        <v>2445</v>
      </c>
      <c r="F581" s="265">
        <v>138</v>
      </c>
      <c r="G581" s="265"/>
      <c r="H581" s="265">
        <f t="shared" ref="H581:H644" si="9">SUM(F581:G581)</f>
        <v>138</v>
      </c>
    </row>
    <row r="582" spans="2:8" x14ac:dyDescent="0.2">
      <c r="B582" s="262" t="s">
        <v>1860</v>
      </c>
      <c r="C582" s="263">
        <v>38885</v>
      </c>
      <c r="D582" s="264" t="s">
        <v>1926</v>
      </c>
      <c r="E582" s="264" t="s">
        <v>2446</v>
      </c>
      <c r="F582" s="265">
        <v>129</v>
      </c>
      <c r="G582" s="265"/>
      <c r="H582" s="265">
        <f t="shared" si="9"/>
        <v>129</v>
      </c>
    </row>
    <row r="583" spans="2:8" x14ac:dyDescent="0.2">
      <c r="B583" s="262" t="s">
        <v>1884</v>
      </c>
      <c r="C583" s="263">
        <v>42538</v>
      </c>
      <c r="D583" s="264" t="s">
        <v>1898</v>
      </c>
      <c r="E583" s="264" t="s">
        <v>2447</v>
      </c>
      <c r="F583" s="265">
        <v>125</v>
      </c>
      <c r="G583" s="265"/>
      <c r="H583" s="265">
        <f t="shared" si="9"/>
        <v>125</v>
      </c>
    </row>
    <row r="584" spans="2:8" x14ac:dyDescent="0.2">
      <c r="B584" s="262" t="s">
        <v>1884</v>
      </c>
      <c r="C584" s="263">
        <v>42538</v>
      </c>
      <c r="D584" s="264" t="s">
        <v>1906</v>
      </c>
      <c r="E584" s="264" t="s">
        <v>2448</v>
      </c>
      <c r="F584" s="265">
        <v>225</v>
      </c>
      <c r="G584" s="265"/>
      <c r="H584" s="265">
        <f t="shared" si="9"/>
        <v>225</v>
      </c>
    </row>
    <row r="585" spans="2:8" x14ac:dyDescent="0.2">
      <c r="B585" s="262" t="s">
        <v>1860</v>
      </c>
      <c r="C585" s="263">
        <v>42538</v>
      </c>
      <c r="D585" s="264" t="s">
        <v>1891</v>
      </c>
      <c r="E585" s="264" t="s">
        <v>2449</v>
      </c>
      <c r="F585" s="265">
        <v>1139.7</v>
      </c>
      <c r="G585" s="265"/>
      <c r="H585" s="265">
        <f t="shared" si="9"/>
        <v>1139.7</v>
      </c>
    </row>
    <row r="586" spans="2:8" x14ac:dyDescent="0.2">
      <c r="B586" s="262" t="s">
        <v>1870</v>
      </c>
      <c r="C586" s="263">
        <v>42538</v>
      </c>
      <c r="D586" s="264" t="s">
        <v>2450</v>
      </c>
      <c r="E586" s="264" t="s">
        <v>2451</v>
      </c>
      <c r="F586" s="265">
        <v>300</v>
      </c>
      <c r="G586" s="265"/>
      <c r="H586" s="265">
        <f t="shared" si="9"/>
        <v>300</v>
      </c>
    </row>
    <row r="587" spans="2:8" x14ac:dyDescent="0.2">
      <c r="B587" s="262" t="s">
        <v>1859</v>
      </c>
      <c r="C587" s="263">
        <v>42538</v>
      </c>
      <c r="D587" s="264" t="s">
        <v>1910</v>
      </c>
      <c r="E587" s="264" t="s">
        <v>2452</v>
      </c>
      <c r="F587" s="265">
        <v>1000</v>
      </c>
      <c r="G587" s="265"/>
      <c r="H587" s="265">
        <f t="shared" si="9"/>
        <v>1000</v>
      </c>
    </row>
    <row r="588" spans="2:8" x14ac:dyDescent="0.2">
      <c r="B588" s="262" t="s">
        <v>1857</v>
      </c>
      <c r="C588" s="263">
        <v>42538</v>
      </c>
      <c r="D588" s="264" t="s">
        <v>1872</v>
      </c>
      <c r="E588" s="264" t="s">
        <v>2453</v>
      </c>
      <c r="F588" s="265">
        <v>350</v>
      </c>
      <c r="G588" s="265"/>
      <c r="H588" s="265">
        <f t="shared" si="9"/>
        <v>350</v>
      </c>
    </row>
    <row r="589" spans="2:8" x14ac:dyDescent="0.2">
      <c r="B589" s="262" t="s">
        <v>1884</v>
      </c>
      <c r="C589" s="263">
        <v>42539</v>
      </c>
      <c r="D589" s="264" t="s">
        <v>2454</v>
      </c>
      <c r="E589" s="264" t="s">
        <v>2455</v>
      </c>
      <c r="F589" s="265">
        <v>71.099999999999994</v>
      </c>
      <c r="G589" s="265"/>
      <c r="H589" s="265">
        <f t="shared" si="9"/>
        <v>71.099999999999994</v>
      </c>
    </row>
    <row r="590" spans="2:8" x14ac:dyDescent="0.2">
      <c r="B590" s="262" t="s">
        <v>1884</v>
      </c>
      <c r="C590" s="263">
        <v>42539</v>
      </c>
      <c r="D590" s="264" t="s">
        <v>2454</v>
      </c>
      <c r="E590" s="264" t="s">
        <v>2456</v>
      </c>
      <c r="F590" s="265">
        <v>60</v>
      </c>
      <c r="G590" s="265"/>
      <c r="H590" s="265">
        <f t="shared" si="9"/>
        <v>60</v>
      </c>
    </row>
    <row r="591" spans="2:8" x14ac:dyDescent="0.2">
      <c r="B591" s="262" t="s">
        <v>1884</v>
      </c>
      <c r="C591" s="263">
        <v>42539</v>
      </c>
      <c r="D591" s="264" t="s">
        <v>2457</v>
      </c>
      <c r="E591" s="264" t="s">
        <v>2458</v>
      </c>
      <c r="F591" s="265">
        <v>300</v>
      </c>
      <c r="G591" s="265"/>
      <c r="H591" s="265">
        <f t="shared" si="9"/>
        <v>300</v>
      </c>
    </row>
    <row r="592" spans="2:8" x14ac:dyDescent="0.2">
      <c r="B592" s="262" t="s">
        <v>1884</v>
      </c>
      <c r="C592" s="263">
        <v>42539</v>
      </c>
      <c r="D592" s="264" t="s">
        <v>2459</v>
      </c>
      <c r="E592" s="264" t="s">
        <v>2460</v>
      </c>
      <c r="F592" s="265">
        <v>150</v>
      </c>
      <c r="G592" s="265"/>
      <c r="H592" s="265">
        <f t="shared" si="9"/>
        <v>150</v>
      </c>
    </row>
    <row r="593" spans="2:8" x14ac:dyDescent="0.2">
      <c r="B593" s="262" t="s">
        <v>1884</v>
      </c>
      <c r="C593" s="263">
        <v>42540</v>
      </c>
      <c r="D593" s="264" t="s">
        <v>2386</v>
      </c>
      <c r="E593" s="264" t="s">
        <v>2461</v>
      </c>
      <c r="F593" s="265">
        <v>183.4</v>
      </c>
      <c r="G593" s="265"/>
      <c r="H593" s="265">
        <f t="shared" si="9"/>
        <v>183.4</v>
      </c>
    </row>
    <row r="594" spans="2:8" x14ac:dyDescent="0.2">
      <c r="B594" s="262" t="s">
        <v>1862</v>
      </c>
      <c r="C594" s="263">
        <v>42541</v>
      </c>
      <c r="D594" s="264" t="s">
        <v>1892</v>
      </c>
      <c r="E594" s="264" t="s">
        <v>2462</v>
      </c>
      <c r="F594" s="265">
        <v>1500</v>
      </c>
      <c r="G594" s="265"/>
      <c r="H594" s="265">
        <f t="shared" si="9"/>
        <v>1500</v>
      </c>
    </row>
    <row r="595" spans="2:8" x14ac:dyDescent="0.2">
      <c r="B595" s="262" t="s">
        <v>1870</v>
      </c>
      <c r="C595" s="263">
        <v>42541</v>
      </c>
      <c r="D595" s="264" t="s">
        <v>1892</v>
      </c>
      <c r="E595" s="264" t="s">
        <v>2463</v>
      </c>
      <c r="F595" s="265">
        <v>1600</v>
      </c>
      <c r="G595" s="265"/>
      <c r="H595" s="265">
        <f t="shared" si="9"/>
        <v>1600</v>
      </c>
    </row>
    <row r="596" spans="2:8" x14ac:dyDescent="0.2">
      <c r="B596" s="262" t="s">
        <v>1884</v>
      </c>
      <c r="C596" s="263">
        <v>42542</v>
      </c>
      <c r="D596" s="264" t="s">
        <v>1910</v>
      </c>
      <c r="E596" s="264" t="s">
        <v>2464</v>
      </c>
      <c r="F596" s="265">
        <v>400</v>
      </c>
      <c r="G596" s="265"/>
      <c r="H596" s="265">
        <f t="shared" si="9"/>
        <v>400</v>
      </c>
    </row>
    <row r="597" spans="2:8" x14ac:dyDescent="0.2">
      <c r="B597" s="262" t="s">
        <v>1857</v>
      </c>
      <c r="C597" s="263">
        <v>42545</v>
      </c>
      <c r="D597" s="264" t="s">
        <v>1872</v>
      </c>
      <c r="E597" s="264" t="s">
        <v>2465</v>
      </c>
      <c r="F597" s="265">
        <v>1600</v>
      </c>
      <c r="G597" s="265"/>
      <c r="H597" s="265">
        <f t="shared" si="9"/>
        <v>1600</v>
      </c>
    </row>
    <row r="598" spans="2:8" x14ac:dyDescent="0.2">
      <c r="B598" s="262" t="s">
        <v>1857</v>
      </c>
      <c r="C598" s="263">
        <v>42545</v>
      </c>
      <c r="D598" s="264" t="s">
        <v>1872</v>
      </c>
      <c r="E598" s="264" t="s">
        <v>2466</v>
      </c>
      <c r="F598" s="265">
        <v>1600</v>
      </c>
      <c r="G598" s="265"/>
      <c r="H598" s="265">
        <f t="shared" si="9"/>
        <v>1600</v>
      </c>
    </row>
    <row r="599" spans="2:8" x14ac:dyDescent="0.2">
      <c r="B599" s="262" t="s">
        <v>1859</v>
      </c>
      <c r="C599" s="263">
        <v>42545</v>
      </c>
      <c r="D599" s="264" t="s">
        <v>1910</v>
      </c>
      <c r="E599" s="264" t="s">
        <v>2467</v>
      </c>
      <c r="F599" s="265">
        <v>1000</v>
      </c>
      <c r="G599" s="265"/>
      <c r="H599" s="265">
        <f t="shared" si="9"/>
        <v>1000</v>
      </c>
    </row>
    <row r="600" spans="2:8" x14ac:dyDescent="0.2">
      <c r="B600" s="262" t="s">
        <v>1866</v>
      </c>
      <c r="C600" s="263">
        <v>42545</v>
      </c>
      <c r="D600" s="264" t="s">
        <v>1890</v>
      </c>
      <c r="E600" s="264" t="s">
        <v>2468</v>
      </c>
      <c r="F600" s="265">
        <v>190</v>
      </c>
      <c r="G600" s="265"/>
      <c r="H600" s="265">
        <f t="shared" si="9"/>
        <v>190</v>
      </c>
    </row>
    <row r="601" spans="2:8" x14ac:dyDescent="0.2">
      <c r="B601" s="262" t="s">
        <v>1819</v>
      </c>
      <c r="C601" s="263">
        <v>42545</v>
      </c>
      <c r="D601" s="264" t="s">
        <v>2469</v>
      </c>
      <c r="E601" s="264" t="s">
        <v>2470</v>
      </c>
      <c r="F601" s="265">
        <v>4000</v>
      </c>
      <c r="G601" s="265"/>
      <c r="H601" s="265">
        <f t="shared" si="9"/>
        <v>4000</v>
      </c>
    </row>
    <row r="602" spans="2:8" x14ac:dyDescent="0.2">
      <c r="B602" s="262" t="s">
        <v>1821</v>
      </c>
      <c r="C602" s="263">
        <v>42545</v>
      </c>
      <c r="D602" s="264" t="s">
        <v>1874</v>
      </c>
      <c r="E602" s="264" t="s">
        <v>2471</v>
      </c>
      <c r="F602" s="265">
        <v>3000</v>
      </c>
      <c r="G602" s="265"/>
      <c r="H602" s="265">
        <f t="shared" si="9"/>
        <v>3000</v>
      </c>
    </row>
    <row r="603" spans="2:8" x14ac:dyDescent="0.2">
      <c r="B603" s="262" t="s">
        <v>1862</v>
      </c>
      <c r="C603" s="263">
        <v>42546</v>
      </c>
      <c r="D603" s="264" t="s">
        <v>1892</v>
      </c>
      <c r="E603" s="264" t="s">
        <v>2472</v>
      </c>
      <c r="F603" s="265">
        <v>1560</v>
      </c>
      <c r="G603" s="265"/>
      <c r="H603" s="265">
        <f t="shared" si="9"/>
        <v>1560</v>
      </c>
    </row>
    <row r="604" spans="2:8" x14ac:dyDescent="0.2">
      <c r="B604" s="262" t="s">
        <v>1862</v>
      </c>
      <c r="C604" s="263">
        <v>42546</v>
      </c>
      <c r="D604" s="264" t="s">
        <v>1892</v>
      </c>
      <c r="E604" s="264" t="s">
        <v>2473</v>
      </c>
      <c r="F604" s="265">
        <v>2400</v>
      </c>
      <c r="G604" s="265"/>
      <c r="H604" s="265">
        <f t="shared" si="9"/>
        <v>2400</v>
      </c>
    </row>
    <row r="605" spans="2:8" x14ac:dyDescent="0.2">
      <c r="B605" s="262" t="s">
        <v>1866</v>
      </c>
      <c r="C605" s="263">
        <v>42546</v>
      </c>
      <c r="D605" s="264" t="s">
        <v>1890</v>
      </c>
      <c r="E605" s="264" t="s">
        <v>1913</v>
      </c>
      <c r="F605" s="265">
        <v>168</v>
      </c>
      <c r="G605" s="265"/>
      <c r="H605" s="265">
        <f t="shared" si="9"/>
        <v>168</v>
      </c>
    </row>
    <row r="606" spans="2:8" x14ac:dyDescent="0.2">
      <c r="B606" s="262" t="s">
        <v>1884</v>
      </c>
      <c r="C606" s="263">
        <v>42547</v>
      </c>
      <c r="D606" s="264" t="s">
        <v>2474</v>
      </c>
      <c r="E606" s="264" t="s">
        <v>2475</v>
      </c>
      <c r="F606" s="265">
        <v>250</v>
      </c>
      <c r="G606" s="265"/>
      <c r="H606" s="265">
        <f t="shared" si="9"/>
        <v>250</v>
      </c>
    </row>
    <row r="607" spans="2:8" x14ac:dyDescent="0.2">
      <c r="B607" s="262" t="s">
        <v>1884</v>
      </c>
      <c r="C607" s="263">
        <v>42548</v>
      </c>
      <c r="D607" s="264" t="s">
        <v>2250</v>
      </c>
      <c r="E607" s="264" t="s">
        <v>2476</v>
      </c>
      <c r="F607" s="265">
        <v>100</v>
      </c>
      <c r="G607" s="265"/>
      <c r="H607" s="265">
        <f t="shared" si="9"/>
        <v>100</v>
      </c>
    </row>
    <row r="608" spans="2:8" x14ac:dyDescent="0.2">
      <c r="B608" s="262" t="s">
        <v>1870</v>
      </c>
      <c r="C608" s="263">
        <v>42548</v>
      </c>
      <c r="D608" s="264" t="s">
        <v>1892</v>
      </c>
      <c r="E608" s="264" t="s">
        <v>2477</v>
      </c>
      <c r="F608" s="265">
        <v>2700</v>
      </c>
      <c r="G608" s="265"/>
      <c r="H608" s="265">
        <f t="shared" si="9"/>
        <v>2700</v>
      </c>
    </row>
    <row r="609" spans="2:8" x14ac:dyDescent="0.2">
      <c r="B609" s="262" t="s">
        <v>1884</v>
      </c>
      <c r="C609" s="263">
        <v>42548</v>
      </c>
      <c r="D609" s="264" t="s">
        <v>1910</v>
      </c>
      <c r="E609" s="264" t="s">
        <v>2478</v>
      </c>
      <c r="F609" s="265">
        <v>400</v>
      </c>
      <c r="G609" s="265"/>
      <c r="H609" s="265">
        <f t="shared" si="9"/>
        <v>400</v>
      </c>
    </row>
    <row r="610" spans="2:8" x14ac:dyDescent="0.2">
      <c r="B610" s="262" t="s">
        <v>1884</v>
      </c>
      <c r="C610" s="263">
        <v>42548</v>
      </c>
      <c r="D610" s="264" t="s">
        <v>2479</v>
      </c>
      <c r="E610" s="264" t="s">
        <v>2480</v>
      </c>
      <c r="F610" s="265">
        <v>150</v>
      </c>
      <c r="G610" s="265"/>
      <c r="H610" s="265">
        <f t="shared" si="9"/>
        <v>150</v>
      </c>
    </row>
    <row r="611" spans="2:8" x14ac:dyDescent="0.2">
      <c r="B611" s="262" t="s">
        <v>1866</v>
      </c>
      <c r="C611" s="263">
        <v>42548</v>
      </c>
      <c r="D611" s="264" t="s">
        <v>1890</v>
      </c>
      <c r="E611" s="264" t="s">
        <v>1932</v>
      </c>
      <c r="F611" s="265">
        <v>150</v>
      </c>
      <c r="G611" s="265"/>
      <c r="H611" s="265">
        <f t="shared" si="9"/>
        <v>150</v>
      </c>
    </row>
    <row r="612" spans="2:8" x14ac:dyDescent="0.2">
      <c r="B612" s="262" t="s">
        <v>1870</v>
      </c>
      <c r="C612" s="263">
        <v>42548</v>
      </c>
      <c r="D612" s="264" t="s">
        <v>1892</v>
      </c>
      <c r="E612" s="264" t="s">
        <v>2481</v>
      </c>
      <c r="F612" s="265">
        <v>550</v>
      </c>
      <c r="G612" s="265"/>
      <c r="H612" s="265">
        <f t="shared" si="9"/>
        <v>550</v>
      </c>
    </row>
    <row r="613" spans="2:8" x14ac:dyDescent="0.2">
      <c r="B613" s="262" t="s">
        <v>1867</v>
      </c>
      <c r="C613" s="263">
        <v>42549</v>
      </c>
      <c r="D613" s="264" t="s">
        <v>1894</v>
      </c>
      <c r="E613" s="264" t="s">
        <v>2482</v>
      </c>
      <c r="F613" s="265">
        <v>1249</v>
      </c>
      <c r="G613" s="265"/>
      <c r="H613" s="265">
        <f t="shared" si="9"/>
        <v>1249</v>
      </c>
    </row>
    <row r="614" spans="2:8" x14ac:dyDescent="0.2">
      <c r="B614" s="262" t="s">
        <v>1857</v>
      </c>
      <c r="C614" s="263">
        <v>42550</v>
      </c>
      <c r="D614" s="264" t="s">
        <v>2483</v>
      </c>
      <c r="E614" s="264" t="s">
        <v>2484</v>
      </c>
      <c r="F614" s="265">
        <v>800</v>
      </c>
      <c r="G614" s="265"/>
      <c r="H614" s="265">
        <f t="shared" si="9"/>
        <v>800</v>
      </c>
    </row>
    <row r="615" spans="2:8" x14ac:dyDescent="0.2">
      <c r="B615" s="262" t="s">
        <v>1884</v>
      </c>
      <c r="C615" s="263">
        <v>42550</v>
      </c>
      <c r="D615" s="264" t="s">
        <v>2485</v>
      </c>
      <c r="E615" s="264" t="s">
        <v>2486</v>
      </c>
      <c r="F615" s="265">
        <v>520</v>
      </c>
      <c r="G615" s="265"/>
      <c r="H615" s="265">
        <f t="shared" si="9"/>
        <v>520</v>
      </c>
    </row>
    <row r="616" spans="2:8" x14ac:dyDescent="0.2">
      <c r="B616" s="262" t="s">
        <v>1884</v>
      </c>
      <c r="C616" s="263">
        <v>42550</v>
      </c>
      <c r="D616" s="264" t="s">
        <v>2431</v>
      </c>
      <c r="E616" s="264" t="s">
        <v>2487</v>
      </c>
      <c r="F616" s="265">
        <v>177</v>
      </c>
      <c r="G616" s="265"/>
      <c r="H616" s="265">
        <f t="shared" si="9"/>
        <v>177</v>
      </c>
    </row>
    <row r="617" spans="2:8" x14ac:dyDescent="0.2">
      <c r="B617" s="262" t="s">
        <v>1884</v>
      </c>
      <c r="C617" s="263">
        <v>42550</v>
      </c>
      <c r="D617" s="264" t="s">
        <v>2391</v>
      </c>
      <c r="E617" s="264" t="s">
        <v>2392</v>
      </c>
      <c r="F617" s="265">
        <v>329</v>
      </c>
      <c r="G617" s="265"/>
      <c r="H617" s="265">
        <f t="shared" si="9"/>
        <v>329</v>
      </c>
    </row>
    <row r="618" spans="2:8" x14ac:dyDescent="0.2">
      <c r="B618" s="262" t="s">
        <v>1884</v>
      </c>
      <c r="C618" s="263">
        <v>42550</v>
      </c>
      <c r="D618" s="264" t="s">
        <v>1873</v>
      </c>
      <c r="E618" s="264" t="s">
        <v>2440</v>
      </c>
      <c r="F618" s="265">
        <v>450</v>
      </c>
      <c r="G618" s="265"/>
      <c r="H618" s="265">
        <f t="shared" si="9"/>
        <v>450</v>
      </c>
    </row>
    <row r="619" spans="2:8" x14ac:dyDescent="0.2">
      <c r="B619" s="262" t="s">
        <v>1884</v>
      </c>
      <c r="C619" s="263">
        <v>42551</v>
      </c>
      <c r="D619" s="264" t="s">
        <v>1896</v>
      </c>
      <c r="E619" s="264" t="s">
        <v>2488</v>
      </c>
      <c r="F619" s="265">
        <v>650</v>
      </c>
      <c r="G619" s="265"/>
      <c r="H619" s="265">
        <f t="shared" si="9"/>
        <v>650</v>
      </c>
    </row>
    <row r="620" spans="2:8" x14ac:dyDescent="0.2">
      <c r="B620" s="262" t="s">
        <v>1884</v>
      </c>
      <c r="C620" s="263">
        <v>42551</v>
      </c>
      <c r="D620" s="264" t="s">
        <v>2485</v>
      </c>
      <c r="E620" s="264" t="s">
        <v>2489</v>
      </c>
      <c r="F620" s="265">
        <v>750</v>
      </c>
      <c r="G620" s="265"/>
      <c r="H620" s="265">
        <f t="shared" si="9"/>
        <v>750</v>
      </c>
    </row>
    <row r="621" spans="2:8" x14ac:dyDescent="0.2">
      <c r="B621" s="262" t="s">
        <v>1884</v>
      </c>
      <c r="C621" s="263">
        <v>42551</v>
      </c>
      <c r="D621" s="264" t="s">
        <v>2485</v>
      </c>
      <c r="E621" s="264" t="s">
        <v>2490</v>
      </c>
      <c r="F621" s="265">
        <v>560</v>
      </c>
      <c r="G621" s="265"/>
      <c r="H621" s="265">
        <f t="shared" si="9"/>
        <v>560</v>
      </c>
    </row>
    <row r="622" spans="2:8" x14ac:dyDescent="0.2">
      <c r="B622" s="262" t="s">
        <v>1577</v>
      </c>
      <c r="C622" s="263">
        <v>42551</v>
      </c>
      <c r="D622" s="264" t="s">
        <v>1886</v>
      </c>
      <c r="E622" s="264" t="s">
        <v>2491</v>
      </c>
      <c r="F622" s="265">
        <v>2700</v>
      </c>
      <c r="G622" s="265"/>
      <c r="H622" s="265">
        <f t="shared" si="9"/>
        <v>2700</v>
      </c>
    </row>
    <row r="623" spans="2:8" x14ac:dyDescent="0.2">
      <c r="B623" s="262" t="s">
        <v>1577</v>
      </c>
      <c r="C623" s="263">
        <v>42551</v>
      </c>
      <c r="D623" s="264" t="s">
        <v>1899</v>
      </c>
      <c r="E623" s="264" t="s">
        <v>2492</v>
      </c>
      <c r="F623" s="265">
        <v>29000</v>
      </c>
      <c r="G623" s="265"/>
      <c r="H623" s="265">
        <f t="shared" si="9"/>
        <v>29000</v>
      </c>
    </row>
    <row r="624" spans="2:8" x14ac:dyDescent="0.2">
      <c r="B624" s="262" t="s">
        <v>1859</v>
      </c>
      <c r="C624" s="263">
        <v>42551</v>
      </c>
      <c r="D624" s="264" t="s">
        <v>1911</v>
      </c>
      <c r="E624" s="264" t="s">
        <v>1931</v>
      </c>
      <c r="F624" s="265">
        <v>4000</v>
      </c>
      <c r="G624" s="265"/>
      <c r="H624" s="265">
        <f t="shared" si="9"/>
        <v>4000</v>
      </c>
    </row>
    <row r="625" spans="2:9" x14ac:dyDescent="0.2">
      <c r="B625" s="262" t="s">
        <v>1887</v>
      </c>
      <c r="C625" s="263">
        <v>42528</v>
      </c>
      <c r="D625" s="264" t="s">
        <v>1534</v>
      </c>
      <c r="E625" s="264" t="s">
        <v>1536</v>
      </c>
      <c r="F625" s="265">
        <v>-0.46</v>
      </c>
      <c r="G625" s="265"/>
      <c r="H625" s="265">
        <f t="shared" si="9"/>
        <v>-0.46</v>
      </c>
    </row>
    <row r="626" spans="2:9" x14ac:dyDescent="0.2">
      <c r="B626" s="262" t="s">
        <v>1790</v>
      </c>
      <c r="C626" s="263">
        <v>42536</v>
      </c>
      <c r="D626" s="264" t="s">
        <v>1909</v>
      </c>
      <c r="E626" s="264" t="s">
        <v>2493</v>
      </c>
      <c r="F626" s="265"/>
      <c r="G626" s="265">
        <v>-1760</v>
      </c>
      <c r="H626" s="265">
        <f t="shared" si="9"/>
        <v>-1760</v>
      </c>
    </row>
    <row r="627" spans="2:9" x14ac:dyDescent="0.2">
      <c r="B627" s="262" t="s">
        <v>1887</v>
      </c>
      <c r="C627" s="263">
        <v>42551</v>
      </c>
      <c r="D627" s="264" t="s">
        <v>1597</v>
      </c>
      <c r="E627" s="264" t="s">
        <v>2229</v>
      </c>
      <c r="F627" s="265">
        <v>84</v>
      </c>
      <c r="G627" s="265"/>
      <c r="H627" s="265">
        <f t="shared" si="9"/>
        <v>84</v>
      </c>
    </row>
    <row r="628" spans="2:9" x14ac:dyDescent="0.2">
      <c r="B628" s="266" t="s">
        <v>1790</v>
      </c>
      <c r="C628" s="267">
        <v>42551</v>
      </c>
      <c r="D628" s="268" t="s">
        <v>1597</v>
      </c>
      <c r="E628" s="268" t="s">
        <v>2230</v>
      </c>
      <c r="F628" s="269"/>
      <c r="G628" s="269">
        <v>13.44</v>
      </c>
      <c r="H628" s="269">
        <f t="shared" si="9"/>
        <v>13.44</v>
      </c>
      <c r="I628" s="175">
        <f>SUM(H515:H628)</f>
        <v>125890.12999999999</v>
      </c>
    </row>
    <row r="629" spans="2:9" ht="18" customHeight="1" x14ac:dyDescent="0.2">
      <c r="B629" s="270" t="s">
        <v>1850</v>
      </c>
      <c r="C629" s="270" t="s">
        <v>1851</v>
      </c>
      <c r="D629" s="271" t="s">
        <v>1852</v>
      </c>
      <c r="E629" s="271" t="s">
        <v>1853</v>
      </c>
      <c r="F629" s="272" t="s">
        <v>1854</v>
      </c>
      <c r="G629" s="272" t="s">
        <v>1855</v>
      </c>
      <c r="H629" s="257" t="s">
        <v>1856</v>
      </c>
    </row>
    <row r="630" spans="2:9" x14ac:dyDescent="0.2">
      <c r="B630" s="258" t="s">
        <v>1884</v>
      </c>
      <c r="C630" s="259">
        <v>42552</v>
      </c>
      <c r="D630" s="260" t="s">
        <v>2494</v>
      </c>
      <c r="E630" s="260" t="s">
        <v>2495</v>
      </c>
      <c r="F630" s="261">
        <v>550</v>
      </c>
      <c r="G630" s="261"/>
      <c r="H630" s="261">
        <f t="shared" si="9"/>
        <v>550</v>
      </c>
    </row>
    <row r="631" spans="2:9" x14ac:dyDescent="0.2">
      <c r="B631" s="262" t="s">
        <v>1884</v>
      </c>
      <c r="C631" s="263">
        <v>42552</v>
      </c>
      <c r="D631" s="264" t="s">
        <v>2386</v>
      </c>
      <c r="E631" s="264" t="s">
        <v>2496</v>
      </c>
      <c r="F631" s="265">
        <v>143</v>
      </c>
      <c r="G631" s="265"/>
      <c r="H631" s="265">
        <f t="shared" si="9"/>
        <v>143</v>
      </c>
    </row>
    <row r="632" spans="2:9" x14ac:dyDescent="0.2">
      <c r="B632" s="262" t="s">
        <v>1884</v>
      </c>
      <c r="C632" s="263">
        <v>42552</v>
      </c>
      <c r="D632" s="264" t="s">
        <v>1925</v>
      </c>
      <c r="E632" s="264" t="s">
        <v>2497</v>
      </c>
      <c r="F632" s="265">
        <v>15</v>
      </c>
      <c r="G632" s="265"/>
      <c r="H632" s="265">
        <f t="shared" si="9"/>
        <v>15</v>
      </c>
    </row>
    <row r="633" spans="2:9" x14ac:dyDescent="0.2">
      <c r="B633" s="262" t="s">
        <v>1884</v>
      </c>
      <c r="C633" s="263">
        <v>42552</v>
      </c>
      <c r="D633" s="264" t="s">
        <v>1890</v>
      </c>
      <c r="E633" s="264" t="s">
        <v>1904</v>
      </c>
      <c r="F633" s="265">
        <v>142</v>
      </c>
      <c r="G633" s="265"/>
      <c r="H633" s="265">
        <f t="shared" si="9"/>
        <v>142</v>
      </c>
    </row>
    <row r="634" spans="2:9" x14ac:dyDescent="0.2">
      <c r="B634" s="262" t="s">
        <v>1884</v>
      </c>
      <c r="C634" s="263">
        <v>42552</v>
      </c>
      <c r="D634" s="264" t="s">
        <v>2186</v>
      </c>
      <c r="E634" s="264" t="s">
        <v>2498</v>
      </c>
      <c r="F634" s="265">
        <v>280</v>
      </c>
      <c r="G634" s="265"/>
      <c r="H634" s="265">
        <f t="shared" si="9"/>
        <v>280</v>
      </c>
    </row>
    <row r="635" spans="2:9" x14ac:dyDescent="0.2">
      <c r="B635" s="262" t="s">
        <v>1865</v>
      </c>
      <c r="C635" s="263">
        <v>42552</v>
      </c>
      <c r="D635" s="264" t="s">
        <v>1937</v>
      </c>
      <c r="E635" s="264" t="s">
        <v>2499</v>
      </c>
      <c r="F635" s="265">
        <v>200</v>
      </c>
      <c r="G635" s="265"/>
      <c r="H635" s="265">
        <f t="shared" si="9"/>
        <v>200</v>
      </c>
    </row>
    <row r="636" spans="2:9" x14ac:dyDescent="0.2">
      <c r="B636" s="262" t="s">
        <v>1859</v>
      </c>
      <c r="C636" s="263">
        <v>42552</v>
      </c>
      <c r="D636" s="264" t="s">
        <v>1910</v>
      </c>
      <c r="E636" s="264" t="s">
        <v>2500</v>
      </c>
      <c r="F636" s="265">
        <v>1000</v>
      </c>
      <c r="G636" s="265"/>
      <c r="H636" s="265">
        <f t="shared" si="9"/>
        <v>1000</v>
      </c>
    </row>
    <row r="637" spans="2:9" x14ac:dyDescent="0.2">
      <c r="B637" s="262" t="s">
        <v>1884</v>
      </c>
      <c r="C637" s="263">
        <v>42552</v>
      </c>
      <c r="D637" s="264" t="s">
        <v>2386</v>
      </c>
      <c r="E637" s="264" t="s">
        <v>2501</v>
      </c>
      <c r="F637" s="265">
        <v>73</v>
      </c>
      <c r="G637" s="265"/>
      <c r="H637" s="265">
        <f t="shared" si="9"/>
        <v>73</v>
      </c>
    </row>
    <row r="638" spans="2:9" x14ac:dyDescent="0.2">
      <c r="B638" s="262" t="s">
        <v>1865</v>
      </c>
      <c r="C638" s="263">
        <v>42553</v>
      </c>
      <c r="D638" s="264" t="s">
        <v>2502</v>
      </c>
      <c r="E638" s="264" t="s">
        <v>2503</v>
      </c>
      <c r="F638" s="265">
        <v>94.7</v>
      </c>
      <c r="G638" s="265"/>
      <c r="H638" s="265">
        <f t="shared" si="9"/>
        <v>94.7</v>
      </c>
    </row>
    <row r="639" spans="2:9" x14ac:dyDescent="0.2">
      <c r="B639" s="262" t="s">
        <v>1884</v>
      </c>
      <c r="C639" s="263">
        <v>42554</v>
      </c>
      <c r="D639" s="264" t="s">
        <v>2386</v>
      </c>
      <c r="E639" s="264" t="s">
        <v>2504</v>
      </c>
      <c r="F639" s="265">
        <v>119</v>
      </c>
      <c r="G639" s="265"/>
      <c r="H639" s="265">
        <f t="shared" si="9"/>
        <v>119</v>
      </c>
    </row>
    <row r="640" spans="2:9" x14ac:dyDescent="0.2">
      <c r="B640" s="262" t="s">
        <v>1870</v>
      </c>
      <c r="C640" s="263">
        <v>42555</v>
      </c>
      <c r="D640" s="264" t="s">
        <v>1892</v>
      </c>
      <c r="E640" s="264" t="s">
        <v>2505</v>
      </c>
      <c r="F640" s="265">
        <v>60</v>
      </c>
      <c r="G640" s="265"/>
      <c r="H640" s="265">
        <f t="shared" si="9"/>
        <v>60</v>
      </c>
    </row>
    <row r="641" spans="2:8" x14ac:dyDescent="0.2">
      <c r="B641" s="262" t="s">
        <v>1884</v>
      </c>
      <c r="C641" s="263">
        <v>42555</v>
      </c>
      <c r="D641" s="264" t="s">
        <v>2386</v>
      </c>
      <c r="E641" s="264" t="s">
        <v>2506</v>
      </c>
      <c r="F641" s="265">
        <v>96</v>
      </c>
      <c r="G641" s="265"/>
      <c r="H641" s="265">
        <f t="shared" si="9"/>
        <v>96</v>
      </c>
    </row>
    <row r="642" spans="2:8" x14ac:dyDescent="0.2">
      <c r="B642" s="262" t="s">
        <v>1870</v>
      </c>
      <c r="C642" s="263">
        <v>42555</v>
      </c>
      <c r="D642" s="264" t="s">
        <v>1892</v>
      </c>
      <c r="E642" s="264" t="s">
        <v>2507</v>
      </c>
      <c r="F642" s="265">
        <v>430</v>
      </c>
      <c r="G642" s="265"/>
      <c r="H642" s="265">
        <f t="shared" si="9"/>
        <v>430</v>
      </c>
    </row>
    <row r="643" spans="2:8" x14ac:dyDescent="0.2">
      <c r="B643" s="262" t="s">
        <v>1866</v>
      </c>
      <c r="C643" s="263">
        <v>42555</v>
      </c>
      <c r="D643" s="264" t="s">
        <v>1890</v>
      </c>
      <c r="E643" s="264" t="s">
        <v>1900</v>
      </c>
      <c r="F643" s="265">
        <v>113</v>
      </c>
      <c r="G643" s="265"/>
      <c r="H643" s="265">
        <f t="shared" si="9"/>
        <v>113</v>
      </c>
    </row>
    <row r="644" spans="2:8" x14ac:dyDescent="0.2">
      <c r="B644" s="262" t="s">
        <v>1884</v>
      </c>
      <c r="C644" s="263">
        <v>42555</v>
      </c>
      <c r="D644" s="264" t="s">
        <v>1910</v>
      </c>
      <c r="E644" s="264" t="s">
        <v>2508</v>
      </c>
      <c r="F644" s="265">
        <v>400</v>
      </c>
      <c r="G644" s="265"/>
      <c r="H644" s="265">
        <f t="shared" si="9"/>
        <v>400</v>
      </c>
    </row>
    <row r="645" spans="2:8" x14ac:dyDescent="0.2">
      <c r="B645" s="262" t="s">
        <v>1866</v>
      </c>
      <c r="C645" s="263">
        <v>42557</v>
      </c>
      <c r="D645" s="264" t="s">
        <v>1890</v>
      </c>
      <c r="E645" s="264" t="s">
        <v>1922</v>
      </c>
      <c r="F645" s="265">
        <v>70</v>
      </c>
      <c r="G645" s="265"/>
      <c r="H645" s="265">
        <f t="shared" ref="H645:H708" si="10">SUM(F645:G645)</f>
        <v>70</v>
      </c>
    </row>
    <row r="646" spans="2:8" x14ac:dyDescent="0.2">
      <c r="B646" s="262" t="s">
        <v>1875</v>
      </c>
      <c r="C646" s="263">
        <v>42557</v>
      </c>
      <c r="D646" s="264" t="s">
        <v>2502</v>
      </c>
      <c r="E646" s="264" t="s">
        <v>2509</v>
      </c>
      <c r="F646" s="265">
        <v>215.6</v>
      </c>
      <c r="G646" s="265"/>
      <c r="H646" s="265">
        <f t="shared" si="10"/>
        <v>215.6</v>
      </c>
    </row>
    <row r="647" spans="2:8" x14ac:dyDescent="0.2">
      <c r="B647" s="262" t="s">
        <v>1862</v>
      </c>
      <c r="C647" s="263">
        <v>42557</v>
      </c>
      <c r="D647" s="264" t="s">
        <v>1892</v>
      </c>
      <c r="E647" s="264" t="s">
        <v>2510</v>
      </c>
      <c r="F647" s="265">
        <v>1990.88</v>
      </c>
      <c r="G647" s="265"/>
      <c r="H647" s="265">
        <f t="shared" si="10"/>
        <v>1990.88</v>
      </c>
    </row>
    <row r="648" spans="2:8" x14ac:dyDescent="0.2">
      <c r="B648" s="262" t="s">
        <v>1870</v>
      </c>
      <c r="C648" s="263">
        <v>42557</v>
      </c>
      <c r="D648" s="264" t="s">
        <v>1892</v>
      </c>
      <c r="E648" s="264" t="s">
        <v>2511</v>
      </c>
      <c r="F648" s="265">
        <v>800</v>
      </c>
      <c r="G648" s="265"/>
      <c r="H648" s="265">
        <f t="shared" si="10"/>
        <v>800</v>
      </c>
    </row>
    <row r="649" spans="2:8" x14ac:dyDescent="0.2">
      <c r="B649" s="262" t="s">
        <v>1870</v>
      </c>
      <c r="C649" s="263">
        <v>42557</v>
      </c>
      <c r="D649" s="264" t="s">
        <v>1892</v>
      </c>
      <c r="E649" s="264" t="s">
        <v>2512</v>
      </c>
      <c r="F649" s="265">
        <v>200</v>
      </c>
      <c r="G649" s="265"/>
      <c r="H649" s="265">
        <f t="shared" si="10"/>
        <v>200</v>
      </c>
    </row>
    <row r="650" spans="2:8" x14ac:dyDescent="0.2">
      <c r="B650" s="262" t="s">
        <v>1862</v>
      </c>
      <c r="C650" s="263">
        <v>42557</v>
      </c>
      <c r="D650" s="264" t="s">
        <v>2949</v>
      </c>
      <c r="E650" s="264" t="s">
        <v>2513</v>
      </c>
      <c r="F650" s="265">
        <v>2229.44</v>
      </c>
      <c r="G650" s="265">
        <v>356.71</v>
      </c>
      <c r="H650" s="265">
        <f t="shared" si="10"/>
        <v>2586.15</v>
      </c>
    </row>
    <row r="651" spans="2:8" x14ac:dyDescent="0.2">
      <c r="B651" s="262" t="s">
        <v>1860</v>
      </c>
      <c r="C651" s="263">
        <v>42558</v>
      </c>
      <c r="D651" s="264" t="s">
        <v>1891</v>
      </c>
      <c r="E651" s="264" t="s">
        <v>2514</v>
      </c>
      <c r="F651" s="265">
        <v>394.05</v>
      </c>
      <c r="G651" s="265">
        <v>63.05</v>
      </c>
      <c r="H651" s="265">
        <f t="shared" si="10"/>
        <v>457.1</v>
      </c>
    </row>
    <row r="652" spans="2:8" x14ac:dyDescent="0.2">
      <c r="B652" s="262" t="s">
        <v>1860</v>
      </c>
      <c r="C652" s="263">
        <v>42558</v>
      </c>
      <c r="D652" s="264" t="s">
        <v>1891</v>
      </c>
      <c r="E652" s="264" t="s">
        <v>2515</v>
      </c>
      <c r="F652" s="265">
        <v>50.43</v>
      </c>
      <c r="G652" s="265">
        <v>8.07</v>
      </c>
      <c r="H652" s="265">
        <f t="shared" si="10"/>
        <v>58.5</v>
      </c>
    </row>
    <row r="653" spans="2:8" x14ac:dyDescent="0.2">
      <c r="B653" s="262" t="s">
        <v>1860</v>
      </c>
      <c r="C653" s="263">
        <v>42558</v>
      </c>
      <c r="D653" s="264" t="s">
        <v>1891</v>
      </c>
      <c r="E653" s="264" t="s">
        <v>2516</v>
      </c>
      <c r="F653" s="265">
        <v>677.16</v>
      </c>
      <c r="G653" s="265">
        <v>108.34</v>
      </c>
      <c r="H653" s="265">
        <f t="shared" si="10"/>
        <v>785.5</v>
      </c>
    </row>
    <row r="654" spans="2:8" x14ac:dyDescent="0.2">
      <c r="B654" s="262" t="s">
        <v>1884</v>
      </c>
      <c r="C654" s="263">
        <v>42558</v>
      </c>
      <c r="D654" s="264" t="s">
        <v>1892</v>
      </c>
      <c r="E654" s="264" t="s">
        <v>2517</v>
      </c>
      <c r="F654" s="265">
        <v>300</v>
      </c>
      <c r="G654" s="265"/>
      <c r="H654" s="265">
        <f t="shared" si="10"/>
        <v>300</v>
      </c>
    </row>
    <row r="655" spans="2:8" x14ac:dyDescent="0.2">
      <c r="B655" s="262" t="s">
        <v>1866</v>
      </c>
      <c r="C655" s="263">
        <v>42558</v>
      </c>
      <c r="D655" s="264" t="s">
        <v>1890</v>
      </c>
      <c r="E655" s="264" t="s">
        <v>1904</v>
      </c>
      <c r="F655" s="265">
        <v>130</v>
      </c>
      <c r="G655" s="265"/>
      <c r="H655" s="265">
        <f t="shared" si="10"/>
        <v>130</v>
      </c>
    </row>
    <row r="656" spans="2:8" x14ac:dyDescent="0.2">
      <c r="B656" s="262" t="s">
        <v>1859</v>
      </c>
      <c r="C656" s="263">
        <v>42559</v>
      </c>
      <c r="D656" s="264" t="s">
        <v>1910</v>
      </c>
      <c r="E656" s="264" t="s">
        <v>2518</v>
      </c>
      <c r="F656" s="265">
        <v>1000</v>
      </c>
      <c r="G656" s="265"/>
      <c r="H656" s="265">
        <f t="shared" si="10"/>
        <v>1000</v>
      </c>
    </row>
    <row r="657" spans="2:8" x14ac:dyDescent="0.2">
      <c r="B657" s="262" t="s">
        <v>1884</v>
      </c>
      <c r="C657" s="263">
        <v>42559</v>
      </c>
      <c r="D657" s="264" t="s">
        <v>2386</v>
      </c>
      <c r="E657" s="264" t="s">
        <v>2519</v>
      </c>
      <c r="F657" s="265">
        <v>49.5</v>
      </c>
      <c r="G657" s="265"/>
      <c r="H657" s="265">
        <f t="shared" si="10"/>
        <v>49.5</v>
      </c>
    </row>
    <row r="658" spans="2:8" x14ac:dyDescent="0.2">
      <c r="B658" s="262" t="s">
        <v>1884</v>
      </c>
      <c r="C658" s="263">
        <v>42559</v>
      </c>
      <c r="D658" s="264" t="s">
        <v>2520</v>
      </c>
      <c r="E658" s="264" t="s">
        <v>2521</v>
      </c>
      <c r="F658" s="265">
        <v>410</v>
      </c>
      <c r="G658" s="265"/>
      <c r="H658" s="265">
        <f t="shared" si="10"/>
        <v>410</v>
      </c>
    </row>
    <row r="659" spans="2:8" x14ac:dyDescent="0.2">
      <c r="B659" s="262" t="s">
        <v>1884</v>
      </c>
      <c r="C659" s="263">
        <v>42559</v>
      </c>
      <c r="D659" s="264" t="s">
        <v>2250</v>
      </c>
      <c r="E659" s="264" t="s">
        <v>2522</v>
      </c>
      <c r="F659" s="265">
        <v>200</v>
      </c>
      <c r="G659" s="265"/>
      <c r="H659" s="265">
        <f t="shared" si="10"/>
        <v>200</v>
      </c>
    </row>
    <row r="660" spans="2:8" x14ac:dyDescent="0.2">
      <c r="B660" s="262" t="s">
        <v>1884</v>
      </c>
      <c r="C660" s="263">
        <v>42561</v>
      </c>
      <c r="D660" s="264" t="s">
        <v>1915</v>
      </c>
      <c r="E660" s="264" t="s">
        <v>2523</v>
      </c>
      <c r="F660" s="265">
        <v>500</v>
      </c>
      <c r="G660" s="265"/>
      <c r="H660" s="265">
        <f t="shared" si="10"/>
        <v>500</v>
      </c>
    </row>
    <row r="661" spans="2:8" x14ac:dyDescent="0.2">
      <c r="B661" s="262" t="s">
        <v>1884</v>
      </c>
      <c r="C661" s="263">
        <v>42561</v>
      </c>
      <c r="D661" s="264" t="s">
        <v>2386</v>
      </c>
      <c r="E661" s="264" t="s">
        <v>2504</v>
      </c>
      <c r="F661" s="265">
        <v>76.400000000000006</v>
      </c>
      <c r="G661" s="265"/>
      <c r="H661" s="265">
        <f t="shared" si="10"/>
        <v>76.400000000000006</v>
      </c>
    </row>
    <row r="662" spans="2:8" x14ac:dyDescent="0.2">
      <c r="B662" s="262" t="s">
        <v>1884</v>
      </c>
      <c r="C662" s="263">
        <v>42561</v>
      </c>
      <c r="D662" s="264" t="s">
        <v>2386</v>
      </c>
      <c r="E662" s="264" t="s">
        <v>2524</v>
      </c>
      <c r="F662" s="265">
        <v>50</v>
      </c>
      <c r="G662" s="265"/>
      <c r="H662" s="265">
        <f t="shared" si="10"/>
        <v>50</v>
      </c>
    </row>
    <row r="663" spans="2:8" x14ac:dyDescent="0.2">
      <c r="B663" s="262" t="s">
        <v>1866</v>
      </c>
      <c r="C663" s="263">
        <v>42562</v>
      </c>
      <c r="D663" s="264" t="s">
        <v>1890</v>
      </c>
      <c r="E663" s="264" t="s">
        <v>1904</v>
      </c>
      <c r="F663" s="265">
        <v>110</v>
      </c>
      <c r="G663" s="265"/>
      <c r="H663" s="265">
        <f t="shared" si="10"/>
        <v>110</v>
      </c>
    </row>
    <row r="664" spans="2:8" x14ac:dyDescent="0.2">
      <c r="B664" s="262" t="s">
        <v>1866</v>
      </c>
      <c r="C664" s="263">
        <v>42562</v>
      </c>
      <c r="D664" s="264" t="s">
        <v>1890</v>
      </c>
      <c r="E664" s="264" t="s">
        <v>1901</v>
      </c>
      <c r="F664" s="265">
        <v>70</v>
      </c>
      <c r="G664" s="265"/>
      <c r="H664" s="265">
        <f t="shared" si="10"/>
        <v>70</v>
      </c>
    </row>
    <row r="665" spans="2:8" x14ac:dyDescent="0.2">
      <c r="B665" s="262" t="s">
        <v>1884</v>
      </c>
      <c r="C665" s="263">
        <v>42562</v>
      </c>
      <c r="D665" s="264" t="s">
        <v>1910</v>
      </c>
      <c r="E665" s="264" t="s">
        <v>2525</v>
      </c>
      <c r="F665" s="265">
        <v>400</v>
      </c>
      <c r="G665" s="265"/>
      <c r="H665" s="265">
        <f t="shared" si="10"/>
        <v>400</v>
      </c>
    </row>
    <row r="666" spans="2:8" x14ac:dyDescent="0.2">
      <c r="B666" s="262" t="s">
        <v>1860</v>
      </c>
      <c r="C666" s="263">
        <v>42562</v>
      </c>
      <c r="D666" s="264" t="s">
        <v>2274</v>
      </c>
      <c r="E666" s="264" t="s">
        <v>2526</v>
      </c>
      <c r="F666" s="265">
        <v>223.9</v>
      </c>
      <c r="G666" s="265"/>
      <c r="H666" s="265">
        <f t="shared" si="10"/>
        <v>223.9</v>
      </c>
    </row>
    <row r="667" spans="2:8" x14ac:dyDescent="0.2">
      <c r="B667" s="262" t="s">
        <v>1884</v>
      </c>
      <c r="C667" s="263">
        <v>42563</v>
      </c>
      <c r="D667" s="264" t="s">
        <v>1893</v>
      </c>
      <c r="E667" s="264" t="s">
        <v>2527</v>
      </c>
      <c r="F667" s="265">
        <v>343.97</v>
      </c>
      <c r="G667" s="265">
        <v>55.03</v>
      </c>
      <c r="H667" s="265">
        <f t="shared" si="10"/>
        <v>399</v>
      </c>
    </row>
    <row r="668" spans="2:8" x14ac:dyDescent="0.2">
      <c r="B668" s="262" t="s">
        <v>1875</v>
      </c>
      <c r="C668" s="263">
        <v>42563</v>
      </c>
      <c r="D668" s="264" t="s">
        <v>1893</v>
      </c>
      <c r="E668" s="264" t="s">
        <v>1942</v>
      </c>
      <c r="F668" s="265">
        <v>238.33</v>
      </c>
      <c r="G668" s="265">
        <v>38.17</v>
      </c>
      <c r="H668" s="265">
        <f t="shared" si="10"/>
        <v>276.5</v>
      </c>
    </row>
    <row r="669" spans="2:8" x14ac:dyDescent="0.2">
      <c r="B669" s="262" t="s">
        <v>1884</v>
      </c>
      <c r="C669" s="263">
        <v>42563</v>
      </c>
      <c r="D669" s="264" t="s">
        <v>1925</v>
      </c>
      <c r="E669" s="264" t="s">
        <v>2528</v>
      </c>
      <c r="F669" s="265">
        <v>25</v>
      </c>
      <c r="G669" s="265"/>
      <c r="H669" s="265">
        <f t="shared" si="10"/>
        <v>25</v>
      </c>
    </row>
    <row r="670" spans="2:8" x14ac:dyDescent="0.2">
      <c r="B670" s="262" t="s">
        <v>1857</v>
      </c>
      <c r="C670" s="263">
        <v>42563</v>
      </c>
      <c r="D670" s="264" t="s">
        <v>1872</v>
      </c>
      <c r="E670" s="264" t="s">
        <v>2529</v>
      </c>
      <c r="F670" s="265">
        <v>950</v>
      </c>
      <c r="G670" s="265"/>
      <c r="H670" s="265">
        <f t="shared" si="10"/>
        <v>950</v>
      </c>
    </row>
    <row r="671" spans="2:8" x14ac:dyDescent="0.2">
      <c r="B671" s="262" t="s">
        <v>1857</v>
      </c>
      <c r="C671" s="263">
        <v>42563</v>
      </c>
      <c r="D671" s="264" t="s">
        <v>1872</v>
      </c>
      <c r="E671" s="264" t="s">
        <v>2530</v>
      </c>
      <c r="F671" s="265">
        <v>1600</v>
      </c>
      <c r="G671" s="265"/>
      <c r="H671" s="265">
        <f t="shared" si="10"/>
        <v>1600</v>
      </c>
    </row>
    <row r="672" spans="2:8" x14ac:dyDescent="0.2">
      <c r="B672" s="262" t="s">
        <v>1882</v>
      </c>
      <c r="C672" s="263">
        <v>42565</v>
      </c>
      <c r="D672" s="264" t="s">
        <v>2401</v>
      </c>
      <c r="E672" s="264" t="s">
        <v>2531</v>
      </c>
      <c r="F672" s="265">
        <v>66.650000000000006</v>
      </c>
      <c r="G672" s="265"/>
      <c r="H672" s="265">
        <f t="shared" si="10"/>
        <v>66.650000000000006</v>
      </c>
    </row>
    <row r="673" spans="2:8" x14ac:dyDescent="0.2">
      <c r="B673" s="262" t="s">
        <v>1870</v>
      </c>
      <c r="C673" s="263">
        <v>42565</v>
      </c>
      <c r="D673" s="264" t="s">
        <v>1892</v>
      </c>
      <c r="E673" s="264" t="s">
        <v>2532</v>
      </c>
      <c r="F673" s="265">
        <v>1600</v>
      </c>
      <c r="G673" s="265"/>
      <c r="H673" s="265">
        <f t="shared" si="10"/>
        <v>1600</v>
      </c>
    </row>
    <row r="674" spans="2:8" x14ac:dyDescent="0.2">
      <c r="B674" s="262" t="s">
        <v>1866</v>
      </c>
      <c r="C674" s="263">
        <v>42566</v>
      </c>
      <c r="D674" s="264" t="s">
        <v>1890</v>
      </c>
      <c r="E674" s="264" t="s">
        <v>1904</v>
      </c>
      <c r="F674" s="265">
        <v>142</v>
      </c>
      <c r="G674" s="265"/>
      <c r="H674" s="265">
        <f t="shared" si="10"/>
        <v>142</v>
      </c>
    </row>
    <row r="675" spans="2:8" x14ac:dyDescent="0.2">
      <c r="B675" s="262" t="s">
        <v>1884</v>
      </c>
      <c r="C675" s="263">
        <v>42566</v>
      </c>
      <c r="D675" s="264" t="s">
        <v>1873</v>
      </c>
      <c r="E675" s="264" t="s">
        <v>2440</v>
      </c>
      <c r="F675" s="265">
        <v>450</v>
      </c>
      <c r="G675" s="265"/>
      <c r="H675" s="265">
        <f t="shared" si="10"/>
        <v>450</v>
      </c>
    </row>
    <row r="676" spans="2:8" x14ac:dyDescent="0.2">
      <c r="B676" s="262" t="s">
        <v>1577</v>
      </c>
      <c r="C676" s="263">
        <v>42566</v>
      </c>
      <c r="D676" s="264" t="s">
        <v>1886</v>
      </c>
      <c r="E676" s="264" t="s">
        <v>2533</v>
      </c>
      <c r="F676" s="265">
        <v>2700</v>
      </c>
      <c r="G676" s="265"/>
      <c r="H676" s="265">
        <f t="shared" si="10"/>
        <v>2700</v>
      </c>
    </row>
    <row r="677" spans="2:8" x14ac:dyDescent="0.2">
      <c r="B677" s="262" t="s">
        <v>1577</v>
      </c>
      <c r="C677" s="263">
        <v>42566</v>
      </c>
      <c r="D677" s="264" t="s">
        <v>1899</v>
      </c>
      <c r="E677" s="264" t="s">
        <v>2533</v>
      </c>
      <c r="F677" s="265">
        <v>29000</v>
      </c>
      <c r="G677" s="265"/>
      <c r="H677" s="265">
        <f t="shared" si="10"/>
        <v>29000</v>
      </c>
    </row>
    <row r="678" spans="2:8" x14ac:dyDescent="0.2">
      <c r="B678" s="262" t="s">
        <v>1859</v>
      </c>
      <c r="C678" s="263">
        <v>42566</v>
      </c>
      <c r="D678" s="264" t="s">
        <v>1911</v>
      </c>
      <c r="E678" s="264" t="s">
        <v>1935</v>
      </c>
      <c r="F678" s="265">
        <v>4000</v>
      </c>
      <c r="G678" s="265"/>
      <c r="H678" s="265">
        <f t="shared" si="10"/>
        <v>4000</v>
      </c>
    </row>
    <row r="679" spans="2:8" x14ac:dyDescent="0.2">
      <c r="B679" s="262" t="s">
        <v>1859</v>
      </c>
      <c r="C679" s="263">
        <v>42566</v>
      </c>
      <c r="D679" s="264" t="s">
        <v>1910</v>
      </c>
      <c r="E679" s="264" t="s">
        <v>2534</v>
      </c>
      <c r="F679" s="265">
        <v>1000</v>
      </c>
      <c r="G679" s="265"/>
      <c r="H679" s="265">
        <f t="shared" si="10"/>
        <v>1000</v>
      </c>
    </row>
    <row r="680" spans="2:8" x14ac:dyDescent="0.2">
      <c r="B680" s="262" t="s">
        <v>1884</v>
      </c>
      <c r="C680" s="263">
        <v>42568</v>
      </c>
      <c r="D680" s="264" t="s">
        <v>2535</v>
      </c>
      <c r="E680" s="264" t="s">
        <v>2536</v>
      </c>
      <c r="F680" s="265">
        <v>97</v>
      </c>
      <c r="G680" s="265"/>
      <c r="H680" s="265">
        <f t="shared" si="10"/>
        <v>97</v>
      </c>
    </row>
    <row r="681" spans="2:8" x14ac:dyDescent="0.2">
      <c r="B681" s="262" t="s">
        <v>1884</v>
      </c>
      <c r="C681" s="263">
        <v>42568</v>
      </c>
      <c r="D681" s="264" t="s">
        <v>2250</v>
      </c>
      <c r="E681" s="264" t="s">
        <v>2537</v>
      </c>
      <c r="F681" s="265">
        <v>120</v>
      </c>
      <c r="G681" s="265"/>
      <c r="H681" s="265">
        <f t="shared" si="10"/>
        <v>120</v>
      </c>
    </row>
    <row r="682" spans="2:8" x14ac:dyDescent="0.2">
      <c r="B682" s="262" t="s">
        <v>1882</v>
      </c>
      <c r="C682" s="263">
        <v>42568</v>
      </c>
      <c r="D682" s="264" t="s">
        <v>1897</v>
      </c>
      <c r="E682" s="264" t="s">
        <v>2538</v>
      </c>
      <c r="F682" s="265">
        <v>300</v>
      </c>
      <c r="G682" s="265"/>
      <c r="H682" s="265">
        <f t="shared" si="10"/>
        <v>300</v>
      </c>
    </row>
    <row r="683" spans="2:8" x14ac:dyDescent="0.2">
      <c r="B683" s="262" t="s">
        <v>1884</v>
      </c>
      <c r="C683" s="263">
        <v>42568</v>
      </c>
      <c r="D683" s="264" t="s">
        <v>1873</v>
      </c>
      <c r="E683" s="264" t="s">
        <v>2537</v>
      </c>
      <c r="F683" s="265">
        <v>135</v>
      </c>
      <c r="G683" s="265"/>
      <c r="H683" s="265">
        <f t="shared" si="10"/>
        <v>135</v>
      </c>
    </row>
    <row r="684" spans="2:8" x14ac:dyDescent="0.2">
      <c r="B684" s="262" t="s">
        <v>1884</v>
      </c>
      <c r="C684" s="263">
        <v>42569</v>
      </c>
      <c r="D684" s="264" t="s">
        <v>1910</v>
      </c>
      <c r="E684" s="264" t="s">
        <v>2539</v>
      </c>
      <c r="F684" s="265">
        <v>400</v>
      </c>
      <c r="G684" s="265"/>
      <c r="H684" s="265">
        <f t="shared" si="10"/>
        <v>400</v>
      </c>
    </row>
    <row r="685" spans="2:8" x14ac:dyDescent="0.2">
      <c r="B685" s="262" t="s">
        <v>1866</v>
      </c>
      <c r="C685" s="263">
        <v>42569</v>
      </c>
      <c r="D685" s="264" t="s">
        <v>1890</v>
      </c>
      <c r="E685" s="264" t="s">
        <v>1932</v>
      </c>
      <c r="F685" s="265">
        <v>142</v>
      </c>
      <c r="G685" s="265"/>
      <c r="H685" s="265">
        <f t="shared" si="10"/>
        <v>142</v>
      </c>
    </row>
    <row r="686" spans="2:8" x14ac:dyDescent="0.2">
      <c r="B686" s="262" t="s">
        <v>1862</v>
      </c>
      <c r="C686" s="263">
        <v>42571</v>
      </c>
      <c r="D686" s="264" t="s">
        <v>1892</v>
      </c>
      <c r="E686" s="264" t="s">
        <v>2540</v>
      </c>
      <c r="F686" s="265">
        <v>3290</v>
      </c>
      <c r="G686" s="265"/>
      <c r="H686" s="265">
        <f t="shared" si="10"/>
        <v>3290</v>
      </c>
    </row>
    <row r="687" spans="2:8" x14ac:dyDescent="0.2">
      <c r="B687" s="262" t="s">
        <v>1884</v>
      </c>
      <c r="C687" s="263">
        <v>42571</v>
      </c>
      <c r="D687" s="264" t="s">
        <v>2541</v>
      </c>
      <c r="E687" s="264" t="s">
        <v>2542</v>
      </c>
      <c r="F687" s="265">
        <v>100</v>
      </c>
      <c r="G687" s="265"/>
      <c r="H687" s="265">
        <f t="shared" si="10"/>
        <v>100</v>
      </c>
    </row>
    <row r="688" spans="2:8" x14ac:dyDescent="0.2">
      <c r="B688" s="262" t="s">
        <v>1866</v>
      </c>
      <c r="C688" s="263">
        <v>42571</v>
      </c>
      <c r="D688" s="264" t="s">
        <v>1890</v>
      </c>
      <c r="E688" s="264" t="s">
        <v>1900</v>
      </c>
      <c r="F688" s="265">
        <v>110</v>
      </c>
      <c r="G688" s="265"/>
      <c r="H688" s="265">
        <f t="shared" si="10"/>
        <v>110</v>
      </c>
    </row>
    <row r="689" spans="2:8" x14ac:dyDescent="0.2">
      <c r="B689" s="262" t="s">
        <v>1870</v>
      </c>
      <c r="C689" s="263">
        <v>42571</v>
      </c>
      <c r="D689" s="264" t="s">
        <v>1892</v>
      </c>
      <c r="E689" s="264" t="s">
        <v>2543</v>
      </c>
      <c r="F689" s="265">
        <v>630</v>
      </c>
      <c r="G689" s="265"/>
      <c r="H689" s="265">
        <f t="shared" si="10"/>
        <v>630</v>
      </c>
    </row>
    <row r="690" spans="2:8" x14ac:dyDescent="0.2">
      <c r="B690" s="262" t="s">
        <v>1870</v>
      </c>
      <c r="C690" s="263">
        <v>42571</v>
      </c>
      <c r="D690" s="264" t="s">
        <v>1938</v>
      </c>
      <c r="E690" s="264" t="s">
        <v>2544</v>
      </c>
      <c r="F690" s="265">
        <v>200</v>
      </c>
      <c r="G690" s="265"/>
      <c r="H690" s="265">
        <f t="shared" si="10"/>
        <v>200</v>
      </c>
    </row>
    <row r="691" spans="2:8" x14ac:dyDescent="0.2">
      <c r="B691" s="262" t="s">
        <v>1884</v>
      </c>
      <c r="C691" s="263">
        <v>42572</v>
      </c>
      <c r="D691" s="264" t="s">
        <v>1906</v>
      </c>
      <c r="E691" s="264" t="s">
        <v>2545</v>
      </c>
      <c r="F691" s="265">
        <v>200</v>
      </c>
      <c r="G691" s="265"/>
      <c r="H691" s="265">
        <f t="shared" si="10"/>
        <v>200</v>
      </c>
    </row>
    <row r="692" spans="2:8" x14ac:dyDescent="0.2">
      <c r="B692" s="262" t="s">
        <v>1870</v>
      </c>
      <c r="C692" s="263">
        <v>42572</v>
      </c>
      <c r="D692" s="264" t="s">
        <v>1892</v>
      </c>
      <c r="E692" s="264" t="s">
        <v>2546</v>
      </c>
      <c r="F692" s="265">
        <v>620</v>
      </c>
      <c r="G692" s="265"/>
      <c r="H692" s="265">
        <f t="shared" si="10"/>
        <v>620</v>
      </c>
    </row>
    <row r="693" spans="2:8" x14ac:dyDescent="0.2">
      <c r="B693" s="262" t="s">
        <v>1821</v>
      </c>
      <c r="C693" s="263">
        <v>42572</v>
      </c>
      <c r="D693" s="264" t="s">
        <v>1892</v>
      </c>
      <c r="E693" s="264" t="s">
        <v>2547</v>
      </c>
      <c r="F693" s="265">
        <v>3600</v>
      </c>
      <c r="G693" s="265"/>
      <c r="H693" s="265">
        <f t="shared" si="10"/>
        <v>3600</v>
      </c>
    </row>
    <row r="694" spans="2:8" x14ac:dyDescent="0.2">
      <c r="B694" s="262" t="s">
        <v>1790</v>
      </c>
      <c r="C694" s="263">
        <v>42572</v>
      </c>
      <c r="D694" s="264" t="s">
        <v>1909</v>
      </c>
      <c r="E694" s="264" t="s">
        <v>2548</v>
      </c>
      <c r="F694" s="265"/>
      <c r="G694" s="265">
        <v>1760</v>
      </c>
      <c r="H694" s="265">
        <f t="shared" si="10"/>
        <v>1760</v>
      </c>
    </row>
    <row r="695" spans="2:8" x14ac:dyDescent="0.2">
      <c r="B695" s="262" t="s">
        <v>1805</v>
      </c>
      <c r="C695" s="263">
        <v>42572</v>
      </c>
      <c r="D695" s="264" t="s">
        <v>1888</v>
      </c>
      <c r="E695" s="264" t="s">
        <v>2549</v>
      </c>
      <c r="F695" s="265">
        <v>1224</v>
      </c>
      <c r="G695" s="265"/>
      <c r="H695" s="265">
        <f t="shared" si="10"/>
        <v>1224</v>
      </c>
    </row>
    <row r="696" spans="2:8" x14ac:dyDescent="0.2">
      <c r="B696" s="262" t="s">
        <v>1859</v>
      </c>
      <c r="C696" s="263">
        <v>42572</v>
      </c>
      <c r="D696" s="264" t="s">
        <v>1924</v>
      </c>
      <c r="E696" s="264" t="s">
        <v>2550</v>
      </c>
      <c r="F696" s="265">
        <v>290.06</v>
      </c>
      <c r="G696" s="265">
        <v>44.94</v>
      </c>
      <c r="H696" s="265">
        <f t="shared" si="10"/>
        <v>335</v>
      </c>
    </row>
    <row r="697" spans="2:8" x14ac:dyDescent="0.2">
      <c r="B697" s="262" t="s">
        <v>1879</v>
      </c>
      <c r="C697" s="263">
        <v>42572</v>
      </c>
      <c r="D697" s="264" t="s">
        <v>1892</v>
      </c>
      <c r="E697" s="264" t="s">
        <v>2551</v>
      </c>
      <c r="F697" s="265">
        <v>350</v>
      </c>
      <c r="G697" s="265"/>
      <c r="H697" s="265">
        <f t="shared" si="10"/>
        <v>350</v>
      </c>
    </row>
    <row r="698" spans="2:8" x14ac:dyDescent="0.2">
      <c r="B698" s="262" t="s">
        <v>1821</v>
      </c>
      <c r="C698" s="263">
        <v>42572</v>
      </c>
      <c r="D698" s="264" t="s">
        <v>1892</v>
      </c>
      <c r="E698" s="264" t="s">
        <v>2552</v>
      </c>
      <c r="F698" s="265">
        <v>300</v>
      </c>
      <c r="G698" s="265"/>
      <c r="H698" s="265">
        <f t="shared" si="10"/>
        <v>300</v>
      </c>
    </row>
    <row r="699" spans="2:8" x14ac:dyDescent="0.2">
      <c r="B699" s="262" t="s">
        <v>1870</v>
      </c>
      <c r="C699" s="263">
        <v>42572</v>
      </c>
      <c r="D699" s="264" t="s">
        <v>1872</v>
      </c>
      <c r="E699" s="264" t="s">
        <v>2553</v>
      </c>
      <c r="F699" s="265">
        <v>1050</v>
      </c>
      <c r="G699" s="265"/>
      <c r="H699" s="265">
        <f t="shared" si="10"/>
        <v>1050</v>
      </c>
    </row>
    <row r="700" spans="2:8" x14ac:dyDescent="0.2">
      <c r="B700" s="262" t="s">
        <v>1884</v>
      </c>
      <c r="C700" s="263">
        <v>42573</v>
      </c>
      <c r="D700" s="264" t="s">
        <v>1925</v>
      </c>
      <c r="E700" s="264" t="s">
        <v>2554</v>
      </c>
      <c r="F700" s="265">
        <v>5</v>
      </c>
      <c r="G700" s="265"/>
      <c r="H700" s="265">
        <f t="shared" si="10"/>
        <v>5</v>
      </c>
    </row>
    <row r="701" spans="2:8" x14ac:dyDescent="0.2">
      <c r="B701" s="262" t="s">
        <v>1884</v>
      </c>
      <c r="C701" s="263">
        <v>42573</v>
      </c>
      <c r="D701" s="264" t="s">
        <v>2273</v>
      </c>
      <c r="E701" s="264" t="s">
        <v>2555</v>
      </c>
      <c r="F701" s="265">
        <v>190</v>
      </c>
      <c r="G701" s="265"/>
      <c r="H701" s="265">
        <f t="shared" si="10"/>
        <v>190</v>
      </c>
    </row>
    <row r="702" spans="2:8" x14ac:dyDescent="0.2">
      <c r="B702" s="262" t="s">
        <v>1866</v>
      </c>
      <c r="C702" s="263">
        <v>42573</v>
      </c>
      <c r="D702" s="264" t="s">
        <v>1890</v>
      </c>
      <c r="E702" s="264" t="s">
        <v>1922</v>
      </c>
      <c r="F702" s="265">
        <v>78</v>
      </c>
      <c r="G702" s="265"/>
      <c r="H702" s="265">
        <f t="shared" si="10"/>
        <v>78</v>
      </c>
    </row>
    <row r="703" spans="2:8" x14ac:dyDescent="0.2">
      <c r="B703" s="262" t="s">
        <v>1884</v>
      </c>
      <c r="C703" s="263">
        <v>42573</v>
      </c>
      <c r="D703" s="264" t="s">
        <v>1911</v>
      </c>
      <c r="E703" s="264" t="s">
        <v>2556</v>
      </c>
      <c r="F703" s="265">
        <v>130</v>
      </c>
      <c r="G703" s="265"/>
      <c r="H703" s="265">
        <f t="shared" si="10"/>
        <v>130</v>
      </c>
    </row>
    <row r="704" spans="2:8" x14ac:dyDescent="0.2">
      <c r="B704" s="262" t="s">
        <v>1884</v>
      </c>
      <c r="C704" s="263">
        <v>42573</v>
      </c>
      <c r="D704" s="264" t="s">
        <v>1918</v>
      </c>
      <c r="E704" s="264" t="s">
        <v>2557</v>
      </c>
      <c r="F704" s="265">
        <v>130</v>
      </c>
      <c r="G704" s="265"/>
      <c r="H704" s="265">
        <f t="shared" si="10"/>
        <v>130</v>
      </c>
    </row>
    <row r="705" spans="2:8" x14ac:dyDescent="0.2">
      <c r="B705" s="262" t="s">
        <v>1884</v>
      </c>
      <c r="C705" s="263">
        <v>42573</v>
      </c>
      <c r="D705" s="264" t="s">
        <v>1906</v>
      </c>
      <c r="E705" s="264" t="s">
        <v>2558</v>
      </c>
      <c r="F705" s="265">
        <v>420</v>
      </c>
      <c r="G705" s="265"/>
      <c r="H705" s="265">
        <f t="shared" si="10"/>
        <v>420</v>
      </c>
    </row>
    <row r="706" spans="2:8" x14ac:dyDescent="0.2">
      <c r="B706" s="262" t="s">
        <v>1859</v>
      </c>
      <c r="C706" s="263">
        <v>42573</v>
      </c>
      <c r="D706" s="264" t="s">
        <v>1910</v>
      </c>
      <c r="E706" s="264" t="s">
        <v>2559</v>
      </c>
      <c r="F706" s="265">
        <v>1000</v>
      </c>
      <c r="G706" s="265"/>
      <c r="H706" s="265">
        <f t="shared" si="10"/>
        <v>1000</v>
      </c>
    </row>
    <row r="707" spans="2:8" x14ac:dyDescent="0.2">
      <c r="B707" s="262" t="s">
        <v>1860</v>
      </c>
      <c r="C707" s="263">
        <v>42573</v>
      </c>
      <c r="D707" s="264" t="s">
        <v>1926</v>
      </c>
      <c r="E707" s="264" t="s">
        <v>2560</v>
      </c>
      <c r="F707" s="265">
        <v>135</v>
      </c>
      <c r="G707" s="265"/>
      <c r="H707" s="265">
        <f t="shared" si="10"/>
        <v>135</v>
      </c>
    </row>
    <row r="708" spans="2:8" x14ac:dyDescent="0.2">
      <c r="B708" s="262" t="s">
        <v>1862</v>
      </c>
      <c r="C708" s="263">
        <v>42573</v>
      </c>
      <c r="D708" s="264" t="s">
        <v>1892</v>
      </c>
      <c r="E708" s="264" t="s">
        <v>2561</v>
      </c>
      <c r="F708" s="265">
        <v>1200</v>
      </c>
      <c r="G708" s="265"/>
      <c r="H708" s="265">
        <f t="shared" si="10"/>
        <v>1200</v>
      </c>
    </row>
    <row r="709" spans="2:8" x14ac:dyDescent="0.2">
      <c r="B709" s="262" t="s">
        <v>1884</v>
      </c>
      <c r="C709" s="263">
        <v>42573</v>
      </c>
      <c r="D709" s="264" t="s">
        <v>2948</v>
      </c>
      <c r="E709" s="264" t="s">
        <v>2562</v>
      </c>
      <c r="F709" s="265">
        <v>300</v>
      </c>
      <c r="G709" s="265"/>
      <c r="H709" s="265">
        <f t="shared" ref="H709:H772" si="11">SUM(F709:G709)</f>
        <v>300</v>
      </c>
    </row>
    <row r="710" spans="2:8" x14ac:dyDescent="0.2">
      <c r="B710" s="262" t="s">
        <v>1863</v>
      </c>
      <c r="C710" s="263">
        <v>42574</v>
      </c>
      <c r="D710" s="264" t="s">
        <v>1911</v>
      </c>
      <c r="E710" s="264" t="s">
        <v>2563</v>
      </c>
      <c r="F710" s="265">
        <v>140</v>
      </c>
      <c r="G710" s="265"/>
      <c r="H710" s="265">
        <f t="shared" si="11"/>
        <v>140</v>
      </c>
    </row>
    <row r="711" spans="2:8" x14ac:dyDescent="0.2">
      <c r="B711" s="262" t="s">
        <v>1884</v>
      </c>
      <c r="C711" s="263">
        <v>42574</v>
      </c>
      <c r="D711" s="264" t="s">
        <v>1897</v>
      </c>
      <c r="E711" s="264" t="s">
        <v>2564</v>
      </c>
      <c r="F711" s="265">
        <v>500</v>
      </c>
      <c r="G711" s="265"/>
      <c r="H711" s="265">
        <f t="shared" si="11"/>
        <v>500</v>
      </c>
    </row>
    <row r="712" spans="2:8" x14ac:dyDescent="0.2">
      <c r="B712" s="262" t="s">
        <v>1884</v>
      </c>
      <c r="C712" s="263">
        <v>42575</v>
      </c>
      <c r="D712" s="264" t="s">
        <v>2535</v>
      </c>
      <c r="E712" s="264" t="s">
        <v>2504</v>
      </c>
      <c r="F712" s="265">
        <v>49</v>
      </c>
      <c r="G712" s="265"/>
      <c r="H712" s="265">
        <f t="shared" si="11"/>
        <v>49</v>
      </c>
    </row>
    <row r="713" spans="2:8" x14ac:dyDescent="0.2">
      <c r="B713" s="262" t="s">
        <v>1884</v>
      </c>
      <c r="C713" s="263">
        <v>42575</v>
      </c>
      <c r="D713" s="264" t="s">
        <v>2535</v>
      </c>
      <c r="E713" s="264" t="s">
        <v>2504</v>
      </c>
      <c r="F713" s="265">
        <v>108</v>
      </c>
      <c r="G713" s="265"/>
      <c r="H713" s="265">
        <f t="shared" si="11"/>
        <v>108</v>
      </c>
    </row>
    <row r="714" spans="2:8" x14ac:dyDescent="0.2">
      <c r="B714" s="262" t="s">
        <v>1884</v>
      </c>
      <c r="C714" s="263">
        <v>42575</v>
      </c>
      <c r="D714" s="264" t="s">
        <v>2474</v>
      </c>
      <c r="E714" s="264" t="s">
        <v>2565</v>
      </c>
      <c r="F714" s="265">
        <v>24</v>
      </c>
      <c r="G714" s="265"/>
      <c r="H714" s="265">
        <f t="shared" si="11"/>
        <v>24</v>
      </c>
    </row>
    <row r="715" spans="2:8" x14ac:dyDescent="0.2">
      <c r="B715" s="262" t="s">
        <v>1884</v>
      </c>
      <c r="C715" s="263">
        <v>42575</v>
      </c>
      <c r="D715" s="264" t="s">
        <v>2250</v>
      </c>
      <c r="E715" s="264" t="s">
        <v>2440</v>
      </c>
      <c r="F715" s="265">
        <v>120</v>
      </c>
      <c r="G715" s="265"/>
      <c r="H715" s="265">
        <f t="shared" si="11"/>
        <v>120</v>
      </c>
    </row>
    <row r="716" spans="2:8" x14ac:dyDescent="0.2">
      <c r="B716" s="262" t="s">
        <v>1863</v>
      </c>
      <c r="C716" s="263">
        <v>42575</v>
      </c>
      <c r="D716" s="264" t="s">
        <v>2566</v>
      </c>
      <c r="E716" s="264" t="s">
        <v>2567</v>
      </c>
      <c r="F716" s="265">
        <v>280</v>
      </c>
      <c r="G716" s="265"/>
      <c r="H716" s="265">
        <f t="shared" si="11"/>
        <v>280</v>
      </c>
    </row>
    <row r="717" spans="2:8" x14ac:dyDescent="0.2">
      <c r="B717" s="262" t="s">
        <v>1863</v>
      </c>
      <c r="C717" s="263">
        <v>42576</v>
      </c>
      <c r="D717" s="264" t="s">
        <v>1873</v>
      </c>
      <c r="E717" s="264" t="s">
        <v>2568</v>
      </c>
      <c r="F717" s="265">
        <v>100</v>
      </c>
      <c r="G717" s="265"/>
      <c r="H717" s="265">
        <f t="shared" si="11"/>
        <v>100</v>
      </c>
    </row>
    <row r="718" spans="2:8" x14ac:dyDescent="0.2">
      <c r="B718" s="262" t="s">
        <v>1863</v>
      </c>
      <c r="C718" s="263">
        <v>42576</v>
      </c>
      <c r="D718" s="264" t="s">
        <v>1911</v>
      </c>
      <c r="E718" s="264" t="s">
        <v>2569</v>
      </c>
      <c r="F718" s="265">
        <v>150</v>
      </c>
      <c r="G718" s="265"/>
      <c r="H718" s="265">
        <f t="shared" si="11"/>
        <v>150</v>
      </c>
    </row>
    <row r="719" spans="2:8" x14ac:dyDescent="0.2">
      <c r="B719" s="262" t="s">
        <v>1884</v>
      </c>
      <c r="C719" s="263">
        <v>42576</v>
      </c>
      <c r="D719" s="264" t="s">
        <v>1910</v>
      </c>
      <c r="E719" s="264" t="s">
        <v>2570</v>
      </c>
      <c r="F719" s="265">
        <v>400</v>
      </c>
      <c r="G719" s="265"/>
      <c r="H719" s="265">
        <f t="shared" si="11"/>
        <v>400</v>
      </c>
    </row>
    <row r="720" spans="2:8" x14ac:dyDescent="0.2">
      <c r="B720" s="262" t="s">
        <v>1866</v>
      </c>
      <c r="C720" s="263">
        <v>42576</v>
      </c>
      <c r="D720" s="264" t="s">
        <v>1890</v>
      </c>
      <c r="E720" s="264" t="s">
        <v>1904</v>
      </c>
      <c r="F720" s="265">
        <v>110</v>
      </c>
      <c r="G720" s="265"/>
      <c r="H720" s="265">
        <f t="shared" si="11"/>
        <v>110</v>
      </c>
    </row>
    <row r="721" spans="2:8" x14ac:dyDescent="0.2">
      <c r="B721" s="262" t="s">
        <v>1884</v>
      </c>
      <c r="C721" s="263">
        <v>42577</v>
      </c>
      <c r="D721" s="264" t="s">
        <v>2948</v>
      </c>
      <c r="E721" s="264" t="s">
        <v>2571</v>
      </c>
      <c r="F721" s="265">
        <v>300</v>
      </c>
      <c r="G721" s="265"/>
      <c r="H721" s="265">
        <f t="shared" si="11"/>
        <v>300</v>
      </c>
    </row>
    <row r="722" spans="2:8" x14ac:dyDescent="0.2">
      <c r="B722" s="262" t="s">
        <v>1870</v>
      </c>
      <c r="C722" s="263">
        <v>42577</v>
      </c>
      <c r="D722" s="264" t="s">
        <v>1892</v>
      </c>
      <c r="E722" s="264" t="s">
        <v>2572</v>
      </c>
      <c r="F722" s="265">
        <v>1200</v>
      </c>
      <c r="G722" s="265"/>
      <c r="H722" s="265">
        <f t="shared" si="11"/>
        <v>1200</v>
      </c>
    </row>
    <row r="723" spans="2:8" x14ac:dyDescent="0.2">
      <c r="B723" s="262" t="s">
        <v>1884</v>
      </c>
      <c r="C723" s="263">
        <v>42577</v>
      </c>
      <c r="D723" s="264" t="s">
        <v>2210</v>
      </c>
      <c r="E723" s="264" t="s">
        <v>2573</v>
      </c>
      <c r="F723" s="265">
        <v>2425</v>
      </c>
      <c r="G723" s="265"/>
      <c r="H723" s="265">
        <f t="shared" si="11"/>
        <v>2425</v>
      </c>
    </row>
    <row r="724" spans="2:8" x14ac:dyDescent="0.2">
      <c r="B724" s="262" t="s">
        <v>1863</v>
      </c>
      <c r="C724" s="263">
        <v>42577</v>
      </c>
      <c r="D724" s="264" t="s">
        <v>1906</v>
      </c>
      <c r="E724" s="264" t="s">
        <v>2574</v>
      </c>
      <c r="F724" s="265">
        <v>400</v>
      </c>
      <c r="G724" s="265"/>
      <c r="H724" s="265">
        <f t="shared" si="11"/>
        <v>400</v>
      </c>
    </row>
    <row r="725" spans="2:8" x14ac:dyDescent="0.2">
      <c r="B725" s="262" t="s">
        <v>1860</v>
      </c>
      <c r="C725" s="263">
        <v>42577</v>
      </c>
      <c r="D725" s="264" t="s">
        <v>1926</v>
      </c>
      <c r="E725" s="264" t="s">
        <v>2575</v>
      </c>
      <c r="F725" s="265">
        <v>540</v>
      </c>
      <c r="G725" s="265"/>
      <c r="H725" s="265">
        <f t="shared" si="11"/>
        <v>540</v>
      </c>
    </row>
    <row r="726" spans="2:8" x14ac:dyDescent="0.2">
      <c r="B726" s="262" t="s">
        <v>1884</v>
      </c>
      <c r="C726" s="263">
        <v>42577</v>
      </c>
      <c r="D726" s="264" t="s">
        <v>1911</v>
      </c>
      <c r="E726" s="264" t="s">
        <v>2576</v>
      </c>
      <c r="F726" s="265">
        <v>200</v>
      </c>
      <c r="G726" s="265"/>
      <c r="H726" s="265">
        <f t="shared" si="11"/>
        <v>200</v>
      </c>
    </row>
    <row r="727" spans="2:8" x14ac:dyDescent="0.2">
      <c r="B727" s="262" t="s">
        <v>1577</v>
      </c>
      <c r="C727" s="263">
        <v>42578</v>
      </c>
      <c r="D727" s="264" t="s">
        <v>1899</v>
      </c>
      <c r="E727" s="264" t="s">
        <v>2577</v>
      </c>
      <c r="F727" s="265">
        <v>1000</v>
      </c>
      <c r="G727" s="265"/>
      <c r="H727" s="265">
        <f t="shared" si="11"/>
        <v>1000</v>
      </c>
    </row>
    <row r="728" spans="2:8" x14ac:dyDescent="0.2">
      <c r="B728" s="262" t="s">
        <v>1884</v>
      </c>
      <c r="C728" s="263">
        <v>42578</v>
      </c>
      <c r="D728" s="264" t="s">
        <v>1906</v>
      </c>
      <c r="E728" s="264" t="s">
        <v>2578</v>
      </c>
      <c r="F728" s="265">
        <v>130</v>
      </c>
      <c r="G728" s="265"/>
      <c r="H728" s="265">
        <f t="shared" si="11"/>
        <v>130</v>
      </c>
    </row>
    <row r="729" spans="2:8" x14ac:dyDescent="0.2">
      <c r="B729" s="262" t="s">
        <v>1866</v>
      </c>
      <c r="C729" s="263">
        <v>42578</v>
      </c>
      <c r="D729" s="264" t="s">
        <v>1890</v>
      </c>
      <c r="E729" s="264" t="s">
        <v>2468</v>
      </c>
      <c r="F729" s="265">
        <v>188</v>
      </c>
      <c r="G729" s="265"/>
      <c r="H729" s="265">
        <f t="shared" si="11"/>
        <v>188</v>
      </c>
    </row>
    <row r="730" spans="2:8" x14ac:dyDescent="0.2">
      <c r="B730" s="262" t="s">
        <v>1884</v>
      </c>
      <c r="C730" s="263">
        <v>42578</v>
      </c>
      <c r="D730" s="264" t="s">
        <v>2479</v>
      </c>
      <c r="E730" s="264" t="s">
        <v>2579</v>
      </c>
      <c r="F730" s="265">
        <v>160</v>
      </c>
      <c r="G730" s="265"/>
      <c r="H730" s="265">
        <f t="shared" si="11"/>
        <v>160</v>
      </c>
    </row>
    <row r="731" spans="2:8" x14ac:dyDescent="0.2">
      <c r="B731" s="262" t="s">
        <v>1577</v>
      </c>
      <c r="C731" s="263">
        <v>42578</v>
      </c>
      <c r="D731" s="264" t="s">
        <v>1899</v>
      </c>
      <c r="E731" s="264" t="s">
        <v>2577</v>
      </c>
      <c r="F731" s="265">
        <v>2000</v>
      </c>
      <c r="G731" s="265"/>
      <c r="H731" s="265">
        <f t="shared" si="11"/>
        <v>2000</v>
      </c>
    </row>
    <row r="732" spans="2:8" x14ac:dyDescent="0.2">
      <c r="B732" s="262" t="s">
        <v>1870</v>
      </c>
      <c r="C732" s="263">
        <v>42578</v>
      </c>
      <c r="D732" s="264" t="s">
        <v>1892</v>
      </c>
      <c r="E732" s="264" t="s">
        <v>2580</v>
      </c>
      <c r="F732" s="265">
        <v>1900</v>
      </c>
      <c r="G732" s="265"/>
      <c r="H732" s="265">
        <f t="shared" si="11"/>
        <v>1900</v>
      </c>
    </row>
    <row r="733" spans="2:8" x14ac:dyDescent="0.2">
      <c r="B733" s="262" t="s">
        <v>1857</v>
      </c>
      <c r="C733" s="263">
        <v>42579</v>
      </c>
      <c r="D733" s="264" t="s">
        <v>1872</v>
      </c>
      <c r="E733" s="264" t="s">
        <v>2581</v>
      </c>
      <c r="F733" s="265">
        <v>400</v>
      </c>
      <c r="G733" s="265"/>
      <c r="H733" s="265">
        <f t="shared" si="11"/>
        <v>400</v>
      </c>
    </row>
    <row r="734" spans="2:8" x14ac:dyDescent="0.2">
      <c r="B734" s="262" t="s">
        <v>1859</v>
      </c>
      <c r="C734" s="263">
        <v>42580</v>
      </c>
      <c r="D734" s="264" t="s">
        <v>1910</v>
      </c>
      <c r="E734" s="264" t="s">
        <v>2582</v>
      </c>
      <c r="F734" s="265">
        <v>1000</v>
      </c>
      <c r="G734" s="265"/>
      <c r="H734" s="265">
        <f t="shared" si="11"/>
        <v>1000</v>
      </c>
    </row>
    <row r="735" spans="2:8" x14ac:dyDescent="0.2">
      <c r="B735" s="262" t="s">
        <v>1884</v>
      </c>
      <c r="C735" s="263">
        <v>42582</v>
      </c>
      <c r="D735" s="264" t="s">
        <v>2535</v>
      </c>
      <c r="E735" s="264" t="s">
        <v>2504</v>
      </c>
      <c r="F735" s="265">
        <v>119.5</v>
      </c>
      <c r="G735" s="265"/>
      <c r="H735" s="265">
        <f t="shared" si="11"/>
        <v>119.5</v>
      </c>
    </row>
    <row r="736" spans="2:8" x14ac:dyDescent="0.2">
      <c r="B736" s="262" t="s">
        <v>1884</v>
      </c>
      <c r="C736" s="263">
        <v>42582</v>
      </c>
      <c r="D736" s="264" t="s">
        <v>1896</v>
      </c>
      <c r="E736" s="264" t="s">
        <v>2488</v>
      </c>
      <c r="F736" s="265">
        <v>650</v>
      </c>
      <c r="G736" s="265"/>
      <c r="H736" s="265">
        <f t="shared" si="11"/>
        <v>650</v>
      </c>
    </row>
    <row r="737" spans="2:8" x14ac:dyDescent="0.2">
      <c r="B737" s="262" t="s">
        <v>1884</v>
      </c>
      <c r="C737" s="263">
        <v>42582</v>
      </c>
      <c r="D737" s="264" t="s">
        <v>1873</v>
      </c>
      <c r="E737" s="264" t="s">
        <v>2440</v>
      </c>
      <c r="F737" s="265">
        <v>450</v>
      </c>
      <c r="G737" s="265"/>
      <c r="H737" s="265">
        <f t="shared" si="11"/>
        <v>450</v>
      </c>
    </row>
    <row r="738" spans="2:8" x14ac:dyDescent="0.2">
      <c r="B738" s="262" t="s">
        <v>1884</v>
      </c>
      <c r="C738" s="263">
        <v>42582</v>
      </c>
      <c r="D738" s="264" t="s">
        <v>2250</v>
      </c>
      <c r="E738" s="264" t="s">
        <v>2440</v>
      </c>
      <c r="F738" s="265">
        <v>120</v>
      </c>
      <c r="G738" s="265"/>
      <c r="H738" s="265">
        <f t="shared" si="11"/>
        <v>120</v>
      </c>
    </row>
    <row r="739" spans="2:8" x14ac:dyDescent="0.2">
      <c r="B739" s="262" t="s">
        <v>1577</v>
      </c>
      <c r="C739" s="263">
        <v>42582</v>
      </c>
      <c r="D739" s="264" t="s">
        <v>1886</v>
      </c>
      <c r="E739" s="264" t="s">
        <v>2491</v>
      </c>
      <c r="F739" s="265">
        <v>2700</v>
      </c>
      <c r="G739" s="265"/>
      <c r="H739" s="265">
        <f t="shared" si="11"/>
        <v>2700</v>
      </c>
    </row>
    <row r="740" spans="2:8" x14ac:dyDescent="0.2">
      <c r="B740" s="262" t="s">
        <v>1577</v>
      </c>
      <c r="C740" s="263">
        <v>42582</v>
      </c>
      <c r="D740" s="264" t="s">
        <v>1899</v>
      </c>
      <c r="E740" s="264" t="s">
        <v>2492</v>
      </c>
      <c r="F740" s="265">
        <v>29000</v>
      </c>
      <c r="G740" s="265"/>
      <c r="H740" s="265">
        <f t="shared" si="11"/>
        <v>29000</v>
      </c>
    </row>
    <row r="741" spans="2:8" x14ac:dyDescent="0.2">
      <c r="B741" s="262" t="s">
        <v>1859</v>
      </c>
      <c r="C741" s="263">
        <v>42582</v>
      </c>
      <c r="D741" s="264" t="s">
        <v>1911</v>
      </c>
      <c r="E741" s="264" t="s">
        <v>1931</v>
      </c>
      <c r="F741" s="265">
        <v>4000</v>
      </c>
      <c r="G741" s="265"/>
      <c r="H741" s="265">
        <f t="shared" si="11"/>
        <v>4000</v>
      </c>
    </row>
    <row r="742" spans="2:8" x14ac:dyDescent="0.2">
      <c r="B742" s="262" t="s">
        <v>1887</v>
      </c>
      <c r="C742" s="263">
        <v>42557</v>
      </c>
      <c r="D742" s="264" t="s">
        <v>1597</v>
      </c>
      <c r="E742" s="264" t="s">
        <v>2583</v>
      </c>
      <c r="F742" s="265">
        <v>30</v>
      </c>
      <c r="G742" s="265"/>
      <c r="H742" s="265">
        <f t="shared" si="11"/>
        <v>30</v>
      </c>
    </row>
    <row r="743" spans="2:8" x14ac:dyDescent="0.2">
      <c r="B743" s="262" t="s">
        <v>1790</v>
      </c>
      <c r="C743" s="263">
        <v>42557</v>
      </c>
      <c r="D743" s="264" t="s">
        <v>1597</v>
      </c>
      <c r="E743" s="264" t="s">
        <v>2584</v>
      </c>
      <c r="F743" s="265">
        <v>4.8</v>
      </c>
      <c r="G743" s="265"/>
      <c r="H743" s="265">
        <f t="shared" si="11"/>
        <v>4.8</v>
      </c>
    </row>
    <row r="744" spans="2:8" x14ac:dyDescent="0.2">
      <c r="B744" s="262" t="s">
        <v>1887</v>
      </c>
      <c r="C744" s="263">
        <v>42559</v>
      </c>
      <c r="D744" s="264" t="s">
        <v>1534</v>
      </c>
      <c r="E744" s="264" t="s">
        <v>1536</v>
      </c>
      <c r="F744" s="265">
        <v>-0.46</v>
      </c>
      <c r="G744" s="265"/>
      <c r="H744" s="265">
        <f t="shared" si="11"/>
        <v>-0.46</v>
      </c>
    </row>
    <row r="745" spans="2:8" x14ac:dyDescent="0.2">
      <c r="B745" s="262" t="s">
        <v>1887</v>
      </c>
      <c r="C745" s="263">
        <v>42580</v>
      </c>
      <c r="D745" s="264" t="s">
        <v>1597</v>
      </c>
      <c r="E745" s="264" t="s">
        <v>2229</v>
      </c>
      <c r="F745" s="265">
        <v>42</v>
      </c>
      <c r="G745" s="265"/>
      <c r="H745" s="265">
        <f t="shared" si="11"/>
        <v>42</v>
      </c>
    </row>
    <row r="746" spans="2:8" x14ac:dyDescent="0.2">
      <c r="B746" s="262" t="s">
        <v>1790</v>
      </c>
      <c r="C746" s="263">
        <v>42580</v>
      </c>
      <c r="D746" s="264" t="s">
        <v>1597</v>
      </c>
      <c r="E746" s="264" t="s">
        <v>2230</v>
      </c>
      <c r="F746" s="265"/>
      <c r="G746" s="265">
        <v>6.72</v>
      </c>
      <c r="H746" s="265">
        <f t="shared" si="11"/>
        <v>6.72</v>
      </c>
    </row>
    <row r="747" spans="2:8" x14ac:dyDescent="0.2">
      <c r="B747" s="266" t="s">
        <v>1790</v>
      </c>
      <c r="C747" s="267">
        <v>42572</v>
      </c>
      <c r="D747" s="268" t="s">
        <v>1909</v>
      </c>
      <c r="E747" s="268" t="s">
        <v>2493</v>
      </c>
      <c r="F747" s="269"/>
      <c r="G747" s="269">
        <v>-1760</v>
      </c>
      <c r="H747" s="269">
        <f t="shared" si="11"/>
        <v>-1760</v>
      </c>
    </row>
    <row r="748" spans="2:8" ht="18" customHeight="1" x14ac:dyDescent="0.2">
      <c r="B748" s="270" t="s">
        <v>1850</v>
      </c>
      <c r="C748" s="270" t="s">
        <v>1851</v>
      </c>
      <c r="D748" s="271" t="s">
        <v>1852</v>
      </c>
      <c r="E748" s="271" t="s">
        <v>1853</v>
      </c>
      <c r="F748" s="272" t="s">
        <v>1854</v>
      </c>
      <c r="G748" s="272" t="s">
        <v>1855</v>
      </c>
      <c r="H748" s="257" t="s">
        <v>1856</v>
      </c>
    </row>
    <row r="749" spans="2:8" x14ac:dyDescent="0.2">
      <c r="B749" s="258" t="s">
        <v>1862</v>
      </c>
      <c r="C749" s="259">
        <v>42583</v>
      </c>
      <c r="D749" s="260" t="s">
        <v>1938</v>
      </c>
      <c r="E749" s="260" t="s">
        <v>2585</v>
      </c>
      <c r="F749" s="261">
        <v>50</v>
      </c>
      <c r="G749" s="261"/>
      <c r="H749" s="261">
        <f t="shared" si="11"/>
        <v>50</v>
      </c>
    </row>
    <row r="750" spans="2:8" x14ac:dyDescent="0.2">
      <c r="B750" s="262" t="s">
        <v>1866</v>
      </c>
      <c r="C750" s="263">
        <v>42583</v>
      </c>
      <c r="D750" s="264" t="s">
        <v>1890</v>
      </c>
      <c r="E750" s="264" t="s">
        <v>1939</v>
      </c>
      <c r="F750" s="265">
        <v>188</v>
      </c>
      <c r="G750" s="265"/>
      <c r="H750" s="265">
        <f t="shared" si="11"/>
        <v>188</v>
      </c>
    </row>
    <row r="751" spans="2:8" x14ac:dyDescent="0.2">
      <c r="B751" s="262" t="s">
        <v>1862</v>
      </c>
      <c r="C751" s="263">
        <v>42583</v>
      </c>
      <c r="D751" s="264" t="s">
        <v>1892</v>
      </c>
      <c r="E751" s="264" t="s">
        <v>2586</v>
      </c>
      <c r="F751" s="265">
        <v>450</v>
      </c>
      <c r="G751" s="265"/>
      <c r="H751" s="265">
        <f t="shared" si="11"/>
        <v>450</v>
      </c>
    </row>
    <row r="752" spans="2:8" x14ac:dyDescent="0.2">
      <c r="B752" s="262" t="s">
        <v>1882</v>
      </c>
      <c r="C752" s="263">
        <v>42583</v>
      </c>
      <c r="D752" s="264" t="s">
        <v>1911</v>
      </c>
      <c r="E752" s="264" t="s">
        <v>2587</v>
      </c>
      <c r="F752" s="265">
        <v>117</v>
      </c>
      <c r="G752" s="265"/>
      <c r="H752" s="265">
        <f t="shared" si="11"/>
        <v>117</v>
      </c>
    </row>
    <row r="753" spans="2:8" x14ac:dyDescent="0.2">
      <c r="B753" s="262" t="s">
        <v>1879</v>
      </c>
      <c r="C753" s="263">
        <v>42583</v>
      </c>
      <c r="D753" s="264" t="s">
        <v>1892</v>
      </c>
      <c r="E753" s="264" t="s">
        <v>2588</v>
      </c>
      <c r="F753" s="265">
        <v>350</v>
      </c>
      <c r="G753" s="265"/>
      <c r="H753" s="265">
        <f t="shared" si="11"/>
        <v>350</v>
      </c>
    </row>
    <row r="754" spans="2:8" x14ac:dyDescent="0.2">
      <c r="B754" s="262" t="s">
        <v>1879</v>
      </c>
      <c r="C754" s="263">
        <v>42583</v>
      </c>
      <c r="D754" s="264" t="s">
        <v>1892</v>
      </c>
      <c r="E754" s="264" t="s">
        <v>2589</v>
      </c>
      <c r="F754" s="265">
        <v>350</v>
      </c>
      <c r="G754" s="265"/>
      <c r="H754" s="265">
        <f t="shared" si="11"/>
        <v>350</v>
      </c>
    </row>
    <row r="755" spans="2:8" x14ac:dyDescent="0.2">
      <c r="B755" s="262" t="s">
        <v>1821</v>
      </c>
      <c r="C755" s="263">
        <v>42583</v>
      </c>
      <c r="D755" s="264" t="s">
        <v>1893</v>
      </c>
      <c r="E755" s="264" t="s">
        <v>2590</v>
      </c>
      <c r="F755" s="265">
        <v>75.8</v>
      </c>
      <c r="G755" s="265"/>
      <c r="H755" s="265">
        <f t="shared" si="11"/>
        <v>75.8</v>
      </c>
    </row>
    <row r="756" spans="2:8" x14ac:dyDescent="0.2">
      <c r="B756" s="262" t="s">
        <v>1821</v>
      </c>
      <c r="C756" s="263">
        <v>42583</v>
      </c>
      <c r="D756" s="264" t="s">
        <v>1910</v>
      </c>
      <c r="E756" s="264" t="s">
        <v>2525</v>
      </c>
      <c r="F756" s="265">
        <v>400</v>
      </c>
      <c r="G756" s="265"/>
      <c r="H756" s="265">
        <f t="shared" si="11"/>
        <v>400</v>
      </c>
    </row>
    <row r="757" spans="2:8" x14ac:dyDescent="0.2">
      <c r="B757" s="262" t="s">
        <v>1860</v>
      </c>
      <c r="C757" s="263">
        <v>42583</v>
      </c>
      <c r="D757" s="264" t="s">
        <v>1891</v>
      </c>
      <c r="E757" s="264" t="s">
        <v>2591</v>
      </c>
      <c r="F757" s="265">
        <v>688.79</v>
      </c>
      <c r="G757" s="265">
        <v>110.21</v>
      </c>
      <c r="H757" s="265">
        <f t="shared" si="11"/>
        <v>799</v>
      </c>
    </row>
    <row r="758" spans="2:8" x14ac:dyDescent="0.2">
      <c r="B758" s="262" t="s">
        <v>1866</v>
      </c>
      <c r="C758" s="263">
        <v>42585</v>
      </c>
      <c r="D758" s="264" t="s">
        <v>1890</v>
      </c>
      <c r="E758" s="264" t="s">
        <v>2592</v>
      </c>
      <c r="F758" s="265">
        <v>162</v>
      </c>
      <c r="G758" s="265"/>
      <c r="H758" s="265">
        <f t="shared" si="11"/>
        <v>162</v>
      </c>
    </row>
    <row r="759" spans="2:8" x14ac:dyDescent="0.2">
      <c r="B759" s="262" t="s">
        <v>1863</v>
      </c>
      <c r="C759" s="263">
        <v>42585</v>
      </c>
      <c r="D759" s="264" t="s">
        <v>2535</v>
      </c>
      <c r="E759" s="264" t="s">
        <v>2593</v>
      </c>
      <c r="F759" s="265">
        <v>252.4</v>
      </c>
      <c r="G759" s="265"/>
      <c r="H759" s="265">
        <f t="shared" si="11"/>
        <v>252.4</v>
      </c>
    </row>
    <row r="760" spans="2:8" x14ac:dyDescent="0.2">
      <c r="B760" s="262" t="s">
        <v>1875</v>
      </c>
      <c r="C760" s="263">
        <v>42585</v>
      </c>
      <c r="D760" s="264" t="s">
        <v>2535</v>
      </c>
      <c r="E760" s="264" t="s">
        <v>2594</v>
      </c>
      <c r="F760" s="265">
        <v>23.9</v>
      </c>
      <c r="G760" s="265"/>
      <c r="H760" s="265">
        <f t="shared" si="11"/>
        <v>23.9</v>
      </c>
    </row>
    <row r="761" spans="2:8" x14ac:dyDescent="0.2">
      <c r="B761" s="262" t="s">
        <v>1863</v>
      </c>
      <c r="C761" s="263">
        <v>42585</v>
      </c>
      <c r="D761" s="264" t="s">
        <v>1906</v>
      </c>
      <c r="E761" s="264" t="s">
        <v>2595</v>
      </c>
      <c r="F761" s="265">
        <v>160</v>
      </c>
      <c r="G761" s="265"/>
      <c r="H761" s="265">
        <f t="shared" si="11"/>
        <v>160</v>
      </c>
    </row>
    <row r="762" spans="2:8" x14ac:dyDescent="0.2">
      <c r="B762" s="262" t="s">
        <v>1863</v>
      </c>
      <c r="C762" s="263">
        <v>42586</v>
      </c>
      <c r="D762" s="264" t="s">
        <v>1911</v>
      </c>
      <c r="E762" s="264" t="s">
        <v>2596</v>
      </c>
      <c r="F762" s="265">
        <v>193</v>
      </c>
      <c r="G762" s="265"/>
      <c r="H762" s="265">
        <f t="shared" si="11"/>
        <v>193</v>
      </c>
    </row>
    <row r="763" spans="2:8" x14ac:dyDescent="0.2">
      <c r="B763" s="262" t="s">
        <v>1805</v>
      </c>
      <c r="C763" s="263">
        <v>42587</v>
      </c>
      <c r="D763" s="264" t="s">
        <v>1910</v>
      </c>
      <c r="E763" s="264" t="s">
        <v>2597</v>
      </c>
      <c r="F763" s="265">
        <v>1000</v>
      </c>
      <c r="G763" s="265"/>
      <c r="H763" s="265">
        <f t="shared" si="11"/>
        <v>1000</v>
      </c>
    </row>
    <row r="764" spans="2:8" x14ac:dyDescent="0.2">
      <c r="B764" s="262" t="s">
        <v>1863</v>
      </c>
      <c r="C764" s="263">
        <v>42587</v>
      </c>
      <c r="D764" s="264" t="s">
        <v>1906</v>
      </c>
      <c r="E764" s="264" t="s">
        <v>2598</v>
      </c>
      <c r="F764" s="265">
        <v>150</v>
      </c>
      <c r="G764" s="265"/>
      <c r="H764" s="265">
        <f t="shared" si="11"/>
        <v>150</v>
      </c>
    </row>
    <row r="765" spans="2:8" x14ac:dyDescent="0.2">
      <c r="B765" s="262" t="s">
        <v>1858</v>
      </c>
      <c r="C765" s="263">
        <v>42588</v>
      </c>
      <c r="D765" s="264" t="s">
        <v>1889</v>
      </c>
      <c r="E765" s="264" t="s">
        <v>2599</v>
      </c>
      <c r="F765" s="265">
        <v>350</v>
      </c>
      <c r="G765" s="265"/>
      <c r="H765" s="265">
        <f t="shared" si="11"/>
        <v>350</v>
      </c>
    </row>
    <row r="766" spans="2:8" x14ac:dyDescent="0.2">
      <c r="B766" s="262" t="s">
        <v>1884</v>
      </c>
      <c r="C766" s="263">
        <v>42589</v>
      </c>
      <c r="D766" s="264" t="s">
        <v>1915</v>
      </c>
      <c r="E766" s="264" t="s">
        <v>2600</v>
      </c>
      <c r="F766" s="265">
        <v>400</v>
      </c>
      <c r="G766" s="265"/>
      <c r="H766" s="265">
        <f t="shared" si="11"/>
        <v>400</v>
      </c>
    </row>
    <row r="767" spans="2:8" x14ac:dyDescent="0.2">
      <c r="B767" s="262" t="s">
        <v>1884</v>
      </c>
      <c r="C767" s="263">
        <v>42589</v>
      </c>
      <c r="D767" s="264" t="s">
        <v>2535</v>
      </c>
      <c r="E767" s="264" t="s">
        <v>2601</v>
      </c>
      <c r="F767" s="265">
        <v>75</v>
      </c>
      <c r="G767" s="265"/>
      <c r="H767" s="265">
        <f t="shared" si="11"/>
        <v>75</v>
      </c>
    </row>
    <row r="768" spans="2:8" x14ac:dyDescent="0.2">
      <c r="B768" s="262" t="s">
        <v>1821</v>
      </c>
      <c r="C768" s="263">
        <v>42590</v>
      </c>
      <c r="D768" s="264" t="s">
        <v>1910</v>
      </c>
      <c r="E768" s="264" t="s">
        <v>2602</v>
      </c>
      <c r="F768" s="265">
        <v>400</v>
      </c>
      <c r="G768" s="265"/>
      <c r="H768" s="265">
        <f t="shared" si="11"/>
        <v>400</v>
      </c>
    </row>
    <row r="769" spans="2:8" x14ac:dyDescent="0.2">
      <c r="B769" s="262" t="s">
        <v>1884</v>
      </c>
      <c r="C769" s="263">
        <v>42590</v>
      </c>
      <c r="D769" s="264" t="s">
        <v>1892</v>
      </c>
      <c r="E769" s="264" t="s">
        <v>2603</v>
      </c>
      <c r="F769" s="265">
        <v>1200</v>
      </c>
      <c r="G769" s="265"/>
      <c r="H769" s="265">
        <f t="shared" si="11"/>
        <v>1200</v>
      </c>
    </row>
    <row r="770" spans="2:8" x14ac:dyDescent="0.2">
      <c r="B770" s="262" t="s">
        <v>1866</v>
      </c>
      <c r="C770" s="263">
        <v>42590</v>
      </c>
      <c r="D770" s="264" t="s">
        <v>1890</v>
      </c>
      <c r="E770" s="264" t="s">
        <v>2604</v>
      </c>
      <c r="F770" s="265">
        <v>250</v>
      </c>
      <c r="G770" s="265"/>
      <c r="H770" s="265">
        <f t="shared" si="11"/>
        <v>250</v>
      </c>
    </row>
    <row r="771" spans="2:8" x14ac:dyDescent="0.2">
      <c r="B771" s="262" t="s">
        <v>1857</v>
      </c>
      <c r="C771" s="263">
        <v>42590</v>
      </c>
      <c r="D771" s="264" t="s">
        <v>1872</v>
      </c>
      <c r="E771" s="264" t="s">
        <v>2605</v>
      </c>
      <c r="F771" s="265">
        <v>400</v>
      </c>
      <c r="G771" s="265"/>
      <c r="H771" s="265">
        <f t="shared" si="11"/>
        <v>400</v>
      </c>
    </row>
    <row r="772" spans="2:8" x14ac:dyDescent="0.2">
      <c r="B772" s="262" t="s">
        <v>1881</v>
      </c>
      <c r="C772" s="263">
        <v>42590</v>
      </c>
      <c r="D772" s="264" t="s">
        <v>1872</v>
      </c>
      <c r="E772" s="264" t="s">
        <v>2606</v>
      </c>
      <c r="F772" s="265">
        <v>250</v>
      </c>
      <c r="G772" s="265"/>
      <c r="H772" s="265">
        <f t="shared" si="11"/>
        <v>250</v>
      </c>
    </row>
    <row r="773" spans="2:8" x14ac:dyDescent="0.2">
      <c r="B773" s="262" t="s">
        <v>1884</v>
      </c>
      <c r="C773" s="263">
        <v>42590</v>
      </c>
      <c r="D773" s="264" t="s">
        <v>2419</v>
      </c>
      <c r="E773" s="264" t="s">
        <v>2607</v>
      </c>
      <c r="F773" s="265">
        <v>345</v>
      </c>
      <c r="G773" s="265"/>
      <c r="H773" s="265">
        <f t="shared" ref="H773:H836" si="12">SUM(F773:G773)</f>
        <v>345</v>
      </c>
    </row>
    <row r="774" spans="2:8" x14ac:dyDescent="0.2">
      <c r="B774" s="262" t="s">
        <v>1870</v>
      </c>
      <c r="C774" s="263">
        <v>42591</v>
      </c>
      <c r="D774" s="264" t="s">
        <v>2608</v>
      </c>
      <c r="E774" s="264" t="s">
        <v>2609</v>
      </c>
      <c r="F774" s="265">
        <v>20</v>
      </c>
      <c r="G774" s="265"/>
      <c r="H774" s="265">
        <f t="shared" si="12"/>
        <v>20</v>
      </c>
    </row>
    <row r="775" spans="2:8" x14ac:dyDescent="0.2">
      <c r="B775" s="262" t="s">
        <v>1863</v>
      </c>
      <c r="C775" s="263">
        <v>42591</v>
      </c>
      <c r="D775" s="264" t="s">
        <v>2610</v>
      </c>
      <c r="E775" s="264" t="s">
        <v>2611</v>
      </c>
      <c r="F775" s="265">
        <v>600</v>
      </c>
      <c r="G775" s="265"/>
      <c r="H775" s="265">
        <f t="shared" si="12"/>
        <v>600</v>
      </c>
    </row>
    <row r="776" spans="2:8" x14ac:dyDescent="0.2">
      <c r="B776" s="262" t="s">
        <v>1863</v>
      </c>
      <c r="C776" s="263">
        <v>42591</v>
      </c>
      <c r="D776" s="264" t="s">
        <v>2612</v>
      </c>
      <c r="E776" s="264" t="s">
        <v>2613</v>
      </c>
      <c r="F776" s="265">
        <v>201.52</v>
      </c>
      <c r="G776" s="265"/>
      <c r="H776" s="265">
        <f t="shared" si="12"/>
        <v>201.52</v>
      </c>
    </row>
    <row r="777" spans="2:8" x14ac:dyDescent="0.2">
      <c r="B777" s="262" t="s">
        <v>1863</v>
      </c>
      <c r="C777" s="263">
        <v>42591</v>
      </c>
      <c r="D777" s="264" t="s">
        <v>1911</v>
      </c>
      <c r="E777" s="264" t="s">
        <v>2614</v>
      </c>
      <c r="F777" s="265">
        <v>200</v>
      </c>
      <c r="G777" s="265"/>
      <c r="H777" s="265">
        <f t="shared" si="12"/>
        <v>200</v>
      </c>
    </row>
    <row r="778" spans="2:8" x14ac:dyDescent="0.2">
      <c r="B778" s="262" t="s">
        <v>1884</v>
      </c>
      <c r="C778" s="263">
        <v>42591</v>
      </c>
      <c r="D778" s="264" t="s">
        <v>2615</v>
      </c>
      <c r="E778" s="264" t="s">
        <v>2616</v>
      </c>
      <c r="F778" s="265">
        <v>5000</v>
      </c>
      <c r="G778" s="265"/>
      <c r="H778" s="265">
        <f t="shared" si="12"/>
        <v>5000</v>
      </c>
    </row>
    <row r="779" spans="2:8" x14ac:dyDescent="0.2">
      <c r="B779" s="262" t="s">
        <v>1884</v>
      </c>
      <c r="C779" s="263">
        <v>42591</v>
      </c>
      <c r="D779" s="264" t="s">
        <v>2617</v>
      </c>
      <c r="E779" s="264" t="s">
        <v>2618</v>
      </c>
      <c r="F779" s="265">
        <v>550</v>
      </c>
      <c r="G779" s="265"/>
      <c r="H779" s="265">
        <f t="shared" si="12"/>
        <v>550</v>
      </c>
    </row>
    <row r="780" spans="2:8" x14ac:dyDescent="0.2">
      <c r="B780" s="262" t="s">
        <v>1863</v>
      </c>
      <c r="C780" s="263">
        <v>42591</v>
      </c>
      <c r="D780" s="264" t="s">
        <v>2535</v>
      </c>
      <c r="E780" s="264" t="s">
        <v>2619</v>
      </c>
      <c r="F780" s="265">
        <v>49.5</v>
      </c>
      <c r="G780" s="265"/>
      <c r="H780" s="265">
        <f t="shared" si="12"/>
        <v>49.5</v>
      </c>
    </row>
    <row r="781" spans="2:8" x14ac:dyDescent="0.2">
      <c r="B781" s="262" t="s">
        <v>1863</v>
      </c>
      <c r="C781" s="263">
        <v>42591</v>
      </c>
      <c r="D781" s="264" t="s">
        <v>2620</v>
      </c>
      <c r="E781" s="264" t="s">
        <v>2621</v>
      </c>
      <c r="F781" s="265">
        <v>278</v>
      </c>
      <c r="G781" s="265"/>
      <c r="H781" s="265">
        <f t="shared" si="12"/>
        <v>278</v>
      </c>
    </row>
    <row r="782" spans="2:8" x14ac:dyDescent="0.2">
      <c r="B782" s="262" t="s">
        <v>1863</v>
      </c>
      <c r="C782" s="263">
        <v>42592</v>
      </c>
      <c r="D782" s="264" t="s">
        <v>2620</v>
      </c>
      <c r="E782" s="264" t="s">
        <v>2621</v>
      </c>
      <c r="F782" s="265">
        <v>273</v>
      </c>
      <c r="G782" s="265"/>
      <c r="H782" s="265">
        <f t="shared" si="12"/>
        <v>273</v>
      </c>
    </row>
    <row r="783" spans="2:8" x14ac:dyDescent="0.2">
      <c r="B783" s="262" t="s">
        <v>1884</v>
      </c>
      <c r="C783" s="263">
        <v>42593</v>
      </c>
      <c r="D783" s="264" t="s">
        <v>1873</v>
      </c>
      <c r="E783" s="264" t="s">
        <v>2622</v>
      </c>
      <c r="F783" s="265">
        <v>200</v>
      </c>
      <c r="G783" s="265"/>
      <c r="H783" s="265">
        <f t="shared" si="12"/>
        <v>200</v>
      </c>
    </row>
    <row r="784" spans="2:8" x14ac:dyDescent="0.2">
      <c r="B784" s="262" t="s">
        <v>1867</v>
      </c>
      <c r="C784" s="263">
        <v>42593</v>
      </c>
      <c r="D784" s="264" t="s">
        <v>1894</v>
      </c>
      <c r="E784" s="264" t="s">
        <v>2482</v>
      </c>
      <c r="F784" s="265">
        <v>1098</v>
      </c>
      <c r="G784" s="265"/>
      <c r="H784" s="265">
        <f t="shared" si="12"/>
        <v>1098</v>
      </c>
    </row>
    <row r="785" spans="2:8" x14ac:dyDescent="0.2">
      <c r="B785" s="262" t="s">
        <v>1875</v>
      </c>
      <c r="C785" s="263">
        <v>42593</v>
      </c>
      <c r="D785" s="264" t="s">
        <v>1893</v>
      </c>
      <c r="E785" s="264" t="s">
        <v>1942</v>
      </c>
      <c r="F785" s="265">
        <v>339.13</v>
      </c>
      <c r="G785" s="265">
        <v>54.3</v>
      </c>
      <c r="H785" s="265">
        <f t="shared" si="12"/>
        <v>393.43</v>
      </c>
    </row>
    <row r="786" spans="2:8" x14ac:dyDescent="0.2">
      <c r="B786" s="262" t="s">
        <v>1884</v>
      </c>
      <c r="C786" s="263">
        <v>42593</v>
      </c>
      <c r="D786" s="264" t="s">
        <v>1893</v>
      </c>
      <c r="E786" s="264" t="s">
        <v>2623</v>
      </c>
      <c r="F786" s="265">
        <v>1715.52</v>
      </c>
      <c r="G786" s="265">
        <v>274.48</v>
      </c>
      <c r="H786" s="265">
        <f t="shared" si="12"/>
        <v>1990</v>
      </c>
    </row>
    <row r="787" spans="2:8" x14ac:dyDescent="0.2">
      <c r="B787" s="262" t="s">
        <v>1866</v>
      </c>
      <c r="C787" s="263">
        <v>42594</v>
      </c>
      <c r="D787" s="264" t="s">
        <v>1890</v>
      </c>
      <c r="E787" s="264" t="s">
        <v>1939</v>
      </c>
      <c r="F787" s="265">
        <v>190</v>
      </c>
      <c r="G787" s="265"/>
      <c r="H787" s="265">
        <f t="shared" si="12"/>
        <v>190</v>
      </c>
    </row>
    <row r="788" spans="2:8" x14ac:dyDescent="0.2">
      <c r="B788" s="262" t="s">
        <v>1805</v>
      </c>
      <c r="C788" s="263">
        <v>42594</v>
      </c>
      <c r="D788" s="264" t="s">
        <v>1910</v>
      </c>
      <c r="E788" s="264" t="s">
        <v>2624</v>
      </c>
      <c r="F788" s="265">
        <v>1000</v>
      </c>
      <c r="G788" s="265"/>
      <c r="H788" s="265">
        <f t="shared" si="12"/>
        <v>1000</v>
      </c>
    </row>
    <row r="789" spans="2:8" x14ac:dyDescent="0.2">
      <c r="B789" s="262" t="s">
        <v>1884</v>
      </c>
      <c r="C789" s="263">
        <v>42594</v>
      </c>
      <c r="D789" s="264" t="s">
        <v>1892</v>
      </c>
      <c r="E789" s="264" t="s">
        <v>2625</v>
      </c>
      <c r="F789" s="265">
        <v>450</v>
      </c>
      <c r="G789" s="265"/>
      <c r="H789" s="265">
        <f t="shared" si="12"/>
        <v>450</v>
      </c>
    </row>
    <row r="790" spans="2:8" x14ac:dyDescent="0.2">
      <c r="B790" s="262" t="s">
        <v>1884</v>
      </c>
      <c r="C790" s="263">
        <v>42594</v>
      </c>
      <c r="D790" s="264" t="s">
        <v>2626</v>
      </c>
      <c r="E790" s="264" t="s">
        <v>2392</v>
      </c>
      <c r="F790" s="265">
        <v>326.3</v>
      </c>
      <c r="G790" s="265">
        <v>50.62</v>
      </c>
      <c r="H790" s="265">
        <f t="shared" si="12"/>
        <v>376.92</v>
      </c>
    </row>
    <row r="791" spans="2:8" x14ac:dyDescent="0.2">
      <c r="B791" s="262" t="s">
        <v>1863</v>
      </c>
      <c r="C791" s="263">
        <v>42594</v>
      </c>
      <c r="D791" s="264" t="s">
        <v>1906</v>
      </c>
      <c r="E791" s="264" t="s">
        <v>2627</v>
      </c>
      <c r="F791" s="265">
        <v>150</v>
      </c>
      <c r="G791" s="265"/>
      <c r="H791" s="265">
        <f t="shared" si="12"/>
        <v>150</v>
      </c>
    </row>
    <row r="792" spans="2:8" x14ac:dyDescent="0.2">
      <c r="B792" s="262" t="s">
        <v>1860</v>
      </c>
      <c r="C792" s="263">
        <v>42594</v>
      </c>
      <c r="D792" s="264" t="s">
        <v>1926</v>
      </c>
      <c r="E792" s="264" t="s">
        <v>2560</v>
      </c>
      <c r="F792" s="265">
        <v>135</v>
      </c>
      <c r="G792" s="265"/>
      <c r="H792" s="265">
        <f t="shared" si="12"/>
        <v>135</v>
      </c>
    </row>
    <row r="793" spans="2:8" x14ac:dyDescent="0.2">
      <c r="B793" s="262" t="s">
        <v>1821</v>
      </c>
      <c r="C793" s="263">
        <v>42594</v>
      </c>
      <c r="D793" s="264" t="s">
        <v>1892</v>
      </c>
      <c r="E793" s="264" t="s">
        <v>2628</v>
      </c>
      <c r="F793" s="265">
        <v>2800</v>
      </c>
      <c r="G793" s="265"/>
      <c r="H793" s="265">
        <f t="shared" si="12"/>
        <v>2800</v>
      </c>
    </row>
    <row r="794" spans="2:8" x14ac:dyDescent="0.2">
      <c r="B794" s="262" t="s">
        <v>1863</v>
      </c>
      <c r="C794" s="263">
        <v>42594</v>
      </c>
      <c r="D794" s="264" t="s">
        <v>1906</v>
      </c>
      <c r="E794" s="264" t="s">
        <v>2629</v>
      </c>
      <c r="F794" s="265">
        <v>640</v>
      </c>
      <c r="G794" s="265"/>
      <c r="H794" s="265">
        <f t="shared" si="12"/>
        <v>640</v>
      </c>
    </row>
    <row r="795" spans="2:8" x14ac:dyDescent="0.2">
      <c r="B795" s="262" t="s">
        <v>1884</v>
      </c>
      <c r="C795" s="263">
        <v>42594</v>
      </c>
      <c r="D795" s="264" t="s">
        <v>1911</v>
      </c>
      <c r="E795" s="264" t="s">
        <v>2630</v>
      </c>
      <c r="F795" s="265">
        <v>443</v>
      </c>
      <c r="G795" s="265"/>
      <c r="H795" s="265">
        <f t="shared" si="12"/>
        <v>443</v>
      </c>
    </row>
    <row r="796" spans="2:8" x14ac:dyDescent="0.2">
      <c r="B796" s="262" t="s">
        <v>1884</v>
      </c>
      <c r="C796" s="263">
        <v>42594</v>
      </c>
      <c r="D796" s="264" t="s">
        <v>1892</v>
      </c>
      <c r="E796" s="264" t="s">
        <v>2631</v>
      </c>
      <c r="F796" s="265">
        <v>500</v>
      </c>
      <c r="G796" s="265"/>
      <c r="H796" s="265">
        <f t="shared" si="12"/>
        <v>500</v>
      </c>
    </row>
    <row r="797" spans="2:8" x14ac:dyDescent="0.2">
      <c r="B797" s="262" t="s">
        <v>1863</v>
      </c>
      <c r="C797" s="263">
        <v>42594</v>
      </c>
      <c r="D797" s="264" t="s">
        <v>1878</v>
      </c>
      <c r="E797" s="264" t="s">
        <v>2632</v>
      </c>
      <c r="F797" s="265">
        <v>500</v>
      </c>
      <c r="G797" s="265"/>
      <c r="H797" s="265">
        <f t="shared" si="12"/>
        <v>500</v>
      </c>
    </row>
    <row r="798" spans="2:8" x14ac:dyDescent="0.2">
      <c r="B798" s="262" t="s">
        <v>1884</v>
      </c>
      <c r="C798" s="263">
        <v>42594</v>
      </c>
      <c r="D798" s="264" t="s">
        <v>1915</v>
      </c>
      <c r="E798" s="264" t="s">
        <v>2633</v>
      </c>
      <c r="F798" s="265">
        <v>500</v>
      </c>
      <c r="G798" s="265"/>
      <c r="H798" s="265">
        <f t="shared" si="12"/>
        <v>500</v>
      </c>
    </row>
    <row r="799" spans="2:8" x14ac:dyDescent="0.2">
      <c r="B799" s="262" t="s">
        <v>1871</v>
      </c>
      <c r="C799" s="263">
        <v>42594</v>
      </c>
      <c r="D799" s="264" t="s">
        <v>1889</v>
      </c>
      <c r="E799" s="264" t="s">
        <v>2634</v>
      </c>
      <c r="F799" s="265">
        <v>100</v>
      </c>
      <c r="G799" s="265"/>
      <c r="H799" s="265">
        <f t="shared" si="12"/>
        <v>100</v>
      </c>
    </row>
    <row r="800" spans="2:8" x14ac:dyDescent="0.2">
      <c r="B800" s="262" t="s">
        <v>1881</v>
      </c>
      <c r="C800" s="263">
        <v>42595</v>
      </c>
      <c r="D800" s="264" t="s">
        <v>1872</v>
      </c>
      <c r="E800" s="264" t="s">
        <v>2635</v>
      </c>
      <c r="F800" s="265">
        <v>300</v>
      </c>
      <c r="G800" s="265"/>
      <c r="H800" s="265">
        <f t="shared" si="12"/>
        <v>300</v>
      </c>
    </row>
    <row r="801" spans="2:8" x14ac:dyDescent="0.2">
      <c r="B801" s="262" t="s">
        <v>1884</v>
      </c>
      <c r="C801" s="263">
        <v>42596</v>
      </c>
      <c r="D801" s="264" t="s">
        <v>2250</v>
      </c>
      <c r="E801" s="264" t="s">
        <v>2636</v>
      </c>
      <c r="F801" s="265">
        <v>120</v>
      </c>
      <c r="G801" s="265"/>
      <c r="H801" s="265">
        <f t="shared" si="12"/>
        <v>120</v>
      </c>
    </row>
    <row r="802" spans="2:8" x14ac:dyDescent="0.2">
      <c r="B802" s="262" t="s">
        <v>1884</v>
      </c>
      <c r="C802" s="263">
        <v>42596</v>
      </c>
      <c r="D802" s="264" t="s">
        <v>2535</v>
      </c>
      <c r="E802" s="264" t="s">
        <v>2637</v>
      </c>
      <c r="F802" s="265">
        <v>63</v>
      </c>
      <c r="G802" s="265"/>
      <c r="H802" s="265">
        <f t="shared" si="12"/>
        <v>63</v>
      </c>
    </row>
    <row r="803" spans="2:8" x14ac:dyDescent="0.2">
      <c r="B803" s="262" t="s">
        <v>1884</v>
      </c>
      <c r="C803" s="263">
        <v>42596</v>
      </c>
      <c r="D803" s="264" t="s">
        <v>1915</v>
      </c>
      <c r="E803" s="264" t="s">
        <v>2638</v>
      </c>
      <c r="F803" s="265">
        <v>450</v>
      </c>
      <c r="G803" s="265"/>
      <c r="H803" s="265">
        <f t="shared" si="12"/>
        <v>450</v>
      </c>
    </row>
    <row r="804" spans="2:8" x14ac:dyDescent="0.2">
      <c r="B804" s="262" t="s">
        <v>1858</v>
      </c>
      <c r="C804" s="263">
        <v>42596</v>
      </c>
      <c r="D804" s="264" t="s">
        <v>2639</v>
      </c>
      <c r="E804" s="264" t="s">
        <v>2640</v>
      </c>
      <c r="F804" s="265">
        <v>500</v>
      </c>
      <c r="G804" s="265"/>
      <c r="H804" s="265">
        <f t="shared" si="12"/>
        <v>500</v>
      </c>
    </row>
    <row r="805" spans="2:8" x14ac:dyDescent="0.2">
      <c r="B805" s="262" t="s">
        <v>1858</v>
      </c>
      <c r="C805" s="263">
        <v>42596</v>
      </c>
      <c r="D805" s="264" t="s">
        <v>2639</v>
      </c>
      <c r="E805" s="264" t="s">
        <v>2641</v>
      </c>
      <c r="F805" s="265">
        <v>50</v>
      </c>
      <c r="G805" s="265"/>
      <c r="H805" s="265">
        <f t="shared" si="12"/>
        <v>50</v>
      </c>
    </row>
    <row r="806" spans="2:8" x14ac:dyDescent="0.2">
      <c r="B806" s="262" t="s">
        <v>1884</v>
      </c>
      <c r="C806" s="263">
        <v>42596</v>
      </c>
      <c r="D806" s="264" t="s">
        <v>2386</v>
      </c>
      <c r="E806" s="264" t="s">
        <v>2642</v>
      </c>
      <c r="F806" s="265">
        <v>119</v>
      </c>
      <c r="G806" s="265"/>
      <c r="H806" s="265">
        <f t="shared" si="12"/>
        <v>119</v>
      </c>
    </row>
    <row r="807" spans="2:8" x14ac:dyDescent="0.2">
      <c r="B807" s="262" t="s">
        <v>1881</v>
      </c>
      <c r="C807" s="263">
        <v>42597</v>
      </c>
      <c r="D807" s="264" t="s">
        <v>1873</v>
      </c>
      <c r="E807" s="264" t="s">
        <v>2643</v>
      </c>
      <c r="F807" s="265">
        <v>450</v>
      </c>
      <c r="G807" s="265"/>
      <c r="H807" s="265">
        <f t="shared" si="12"/>
        <v>450</v>
      </c>
    </row>
    <row r="808" spans="2:8" x14ac:dyDescent="0.2">
      <c r="B808" s="262" t="s">
        <v>1577</v>
      </c>
      <c r="C808" s="263">
        <v>42597</v>
      </c>
      <c r="D808" s="264" t="s">
        <v>1886</v>
      </c>
      <c r="E808" s="264" t="s">
        <v>2644</v>
      </c>
      <c r="F808" s="265">
        <v>2700</v>
      </c>
      <c r="G808" s="265"/>
      <c r="H808" s="265">
        <f t="shared" si="12"/>
        <v>2700</v>
      </c>
    </row>
    <row r="809" spans="2:8" x14ac:dyDescent="0.2">
      <c r="B809" s="262" t="s">
        <v>1577</v>
      </c>
      <c r="C809" s="263">
        <v>42597</v>
      </c>
      <c r="D809" s="264" t="s">
        <v>1899</v>
      </c>
      <c r="E809" s="264" t="s">
        <v>2645</v>
      </c>
      <c r="F809" s="265">
        <v>26000</v>
      </c>
      <c r="G809" s="265"/>
      <c r="H809" s="265">
        <f t="shared" si="12"/>
        <v>26000</v>
      </c>
    </row>
    <row r="810" spans="2:8" x14ac:dyDescent="0.2">
      <c r="B810" s="262" t="s">
        <v>1859</v>
      </c>
      <c r="C810" s="263">
        <v>42597</v>
      </c>
      <c r="D810" s="264" t="s">
        <v>1911</v>
      </c>
      <c r="E810" s="264" t="s">
        <v>1935</v>
      </c>
      <c r="F810" s="265">
        <v>4000</v>
      </c>
      <c r="G810" s="265"/>
      <c r="H810" s="265">
        <f t="shared" si="12"/>
        <v>4000</v>
      </c>
    </row>
    <row r="811" spans="2:8" x14ac:dyDescent="0.2">
      <c r="B811" s="262" t="s">
        <v>1790</v>
      </c>
      <c r="C811" s="263">
        <v>42599</v>
      </c>
      <c r="D811" s="264" t="s">
        <v>1909</v>
      </c>
      <c r="E811" s="264" t="s">
        <v>2646</v>
      </c>
      <c r="F811" s="265"/>
      <c r="G811" s="265">
        <v>1760</v>
      </c>
      <c r="H811" s="265">
        <f t="shared" si="12"/>
        <v>1760</v>
      </c>
    </row>
    <row r="812" spans="2:8" x14ac:dyDescent="0.2">
      <c r="B812" s="262" t="s">
        <v>1805</v>
      </c>
      <c r="C812" s="263">
        <v>42599</v>
      </c>
      <c r="D812" s="264" t="s">
        <v>1888</v>
      </c>
      <c r="E812" s="264" t="s">
        <v>2647</v>
      </c>
      <c r="F812" s="265">
        <v>1224</v>
      </c>
      <c r="G812" s="265"/>
      <c r="H812" s="265">
        <f t="shared" si="12"/>
        <v>1224</v>
      </c>
    </row>
    <row r="813" spans="2:8" x14ac:dyDescent="0.2">
      <c r="B813" s="262" t="s">
        <v>1870</v>
      </c>
      <c r="C813" s="263">
        <v>42599</v>
      </c>
      <c r="D813" s="264" t="s">
        <v>1892</v>
      </c>
      <c r="E813" s="264" t="s">
        <v>2648</v>
      </c>
      <c r="F813" s="265">
        <v>200</v>
      </c>
      <c r="G813" s="265"/>
      <c r="H813" s="265">
        <f t="shared" si="12"/>
        <v>200</v>
      </c>
    </row>
    <row r="814" spans="2:8" x14ac:dyDescent="0.2">
      <c r="B814" s="262" t="s">
        <v>1884</v>
      </c>
      <c r="C814" s="263">
        <v>42599</v>
      </c>
      <c r="D814" s="264" t="s">
        <v>1918</v>
      </c>
      <c r="E814" s="264" t="s">
        <v>2649</v>
      </c>
      <c r="F814" s="265">
        <v>120</v>
      </c>
      <c r="G814" s="265"/>
      <c r="H814" s="265">
        <f t="shared" si="12"/>
        <v>120</v>
      </c>
    </row>
    <row r="815" spans="2:8" x14ac:dyDescent="0.2">
      <c r="B815" s="262" t="s">
        <v>1863</v>
      </c>
      <c r="C815" s="263">
        <v>42599</v>
      </c>
      <c r="D815" s="264" t="s">
        <v>1906</v>
      </c>
      <c r="E815" s="264" t="s">
        <v>2650</v>
      </c>
      <c r="F815" s="265">
        <v>960</v>
      </c>
      <c r="G815" s="265"/>
      <c r="H815" s="265">
        <f t="shared" si="12"/>
        <v>960</v>
      </c>
    </row>
    <row r="816" spans="2:8" x14ac:dyDescent="0.2">
      <c r="B816" s="262" t="s">
        <v>1884</v>
      </c>
      <c r="C816" s="263">
        <v>42599</v>
      </c>
      <c r="D816" s="264" t="s">
        <v>1912</v>
      </c>
      <c r="E816" s="264" t="s">
        <v>2651</v>
      </c>
      <c r="F816" s="265">
        <v>241.7</v>
      </c>
      <c r="G816" s="265">
        <v>37.5</v>
      </c>
      <c r="H816" s="265">
        <f t="shared" si="12"/>
        <v>279.2</v>
      </c>
    </row>
    <row r="817" spans="2:8" x14ac:dyDescent="0.2">
      <c r="B817" s="262" t="s">
        <v>1863</v>
      </c>
      <c r="C817" s="263">
        <v>42600</v>
      </c>
      <c r="D817" s="264" t="s">
        <v>2652</v>
      </c>
      <c r="E817" s="264" t="s">
        <v>2653</v>
      </c>
      <c r="F817" s="265">
        <v>287</v>
      </c>
      <c r="G817" s="265"/>
      <c r="H817" s="265">
        <f t="shared" si="12"/>
        <v>287</v>
      </c>
    </row>
    <row r="818" spans="2:8" x14ac:dyDescent="0.2">
      <c r="B818" s="262" t="s">
        <v>1870</v>
      </c>
      <c r="C818" s="263">
        <v>42600</v>
      </c>
      <c r="D818" s="264" t="s">
        <v>1892</v>
      </c>
      <c r="E818" s="264" t="s">
        <v>2654</v>
      </c>
      <c r="F818" s="265">
        <v>700</v>
      </c>
      <c r="G818" s="265"/>
      <c r="H818" s="265">
        <f t="shared" si="12"/>
        <v>700</v>
      </c>
    </row>
    <row r="819" spans="2:8" x14ac:dyDescent="0.2">
      <c r="B819" s="262" t="s">
        <v>1870</v>
      </c>
      <c r="C819" s="263">
        <v>42600</v>
      </c>
      <c r="D819" s="264" t="s">
        <v>1892</v>
      </c>
      <c r="E819" s="264" t="s">
        <v>2655</v>
      </c>
      <c r="F819" s="265">
        <v>700</v>
      </c>
      <c r="G819" s="265"/>
      <c r="H819" s="265">
        <f t="shared" si="12"/>
        <v>700</v>
      </c>
    </row>
    <row r="820" spans="2:8" x14ac:dyDescent="0.2">
      <c r="B820" s="262" t="s">
        <v>1884</v>
      </c>
      <c r="C820" s="263">
        <v>42600</v>
      </c>
      <c r="D820" s="264" t="s">
        <v>2656</v>
      </c>
      <c r="E820" s="264" t="s">
        <v>2657</v>
      </c>
      <c r="F820" s="265">
        <v>200</v>
      </c>
      <c r="G820" s="265"/>
      <c r="H820" s="265">
        <f t="shared" si="12"/>
        <v>200</v>
      </c>
    </row>
    <row r="821" spans="2:8" x14ac:dyDescent="0.2">
      <c r="B821" s="262" t="s">
        <v>1860</v>
      </c>
      <c r="C821" s="263">
        <v>42601</v>
      </c>
      <c r="D821" s="264" t="s">
        <v>2658</v>
      </c>
      <c r="E821" s="264" t="s">
        <v>2659</v>
      </c>
      <c r="F821" s="265">
        <v>950</v>
      </c>
      <c r="G821" s="265"/>
      <c r="H821" s="265">
        <f t="shared" si="12"/>
        <v>950</v>
      </c>
    </row>
    <row r="822" spans="2:8" x14ac:dyDescent="0.2">
      <c r="B822" s="262" t="s">
        <v>1805</v>
      </c>
      <c r="C822" s="263">
        <v>42601</v>
      </c>
      <c r="D822" s="264" t="s">
        <v>1910</v>
      </c>
      <c r="E822" s="264" t="s">
        <v>2660</v>
      </c>
      <c r="F822" s="265">
        <v>1000</v>
      </c>
      <c r="G822" s="265"/>
      <c r="H822" s="265">
        <f t="shared" si="12"/>
        <v>1000</v>
      </c>
    </row>
    <row r="823" spans="2:8" x14ac:dyDescent="0.2">
      <c r="B823" s="262" t="s">
        <v>1860</v>
      </c>
      <c r="C823" s="263">
        <v>42601</v>
      </c>
      <c r="D823" s="264" t="s">
        <v>1891</v>
      </c>
      <c r="E823" s="264" t="s">
        <v>2661</v>
      </c>
      <c r="F823" s="265">
        <v>1089.6600000000001</v>
      </c>
      <c r="G823" s="265">
        <v>174.34</v>
      </c>
      <c r="H823" s="265">
        <f t="shared" si="12"/>
        <v>1264</v>
      </c>
    </row>
    <row r="824" spans="2:8" x14ac:dyDescent="0.2">
      <c r="B824" s="262" t="s">
        <v>1863</v>
      </c>
      <c r="C824" s="263">
        <v>42601</v>
      </c>
      <c r="D824" s="264" t="s">
        <v>1878</v>
      </c>
      <c r="E824" s="264" t="s">
        <v>2662</v>
      </c>
      <c r="F824" s="265">
        <v>500</v>
      </c>
      <c r="G824" s="265"/>
      <c r="H824" s="265">
        <f t="shared" si="12"/>
        <v>500</v>
      </c>
    </row>
    <row r="825" spans="2:8" x14ac:dyDescent="0.2">
      <c r="B825" s="262" t="s">
        <v>1866</v>
      </c>
      <c r="C825" s="263">
        <v>42601</v>
      </c>
      <c r="D825" s="264" t="s">
        <v>1890</v>
      </c>
      <c r="E825" s="264" t="s">
        <v>2663</v>
      </c>
      <c r="F825" s="265">
        <v>270</v>
      </c>
      <c r="G825" s="265"/>
      <c r="H825" s="265">
        <f t="shared" si="12"/>
        <v>270</v>
      </c>
    </row>
    <row r="826" spans="2:8" x14ac:dyDescent="0.2">
      <c r="B826" s="262" t="s">
        <v>1884</v>
      </c>
      <c r="C826" s="263">
        <v>42601</v>
      </c>
      <c r="D826" s="264" t="s">
        <v>1924</v>
      </c>
      <c r="E826" s="264" t="s">
        <v>2392</v>
      </c>
      <c r="F826" s="265">
        <v>241.7</v>
      </c>
      <c r="G826" s="265">
        <v>37.5</v>
      </c>
      <c r="H826" s="265">
        <f t="shared" si="12"/>
        <v>279.2</v>
      </c>
    </row>
    <row r="827" spans="2:8" x14ac:dyDescent="0.2">
      <c r="B827" s="262" t="s">
        <v>1884</v>
      </c>
      <c r="C827" s="263">
        <v>42603</v>
      </c>
      <c r="D827" s="264" t="s">
        <v>2535</v>
      </c>
      <c r="E827" s="264" t="s">
        <v>2536</v>
      </c>
      <c r="F827" s="265">
        <v>81.5</v>
      </c>
      <c r="G827" s="265"/>
      <c r="H827" s="265">
        <f t="shared" si="12"/>
        <v>81.5</v>
      </c>
    </row>
    <row r="828" spans="2:8" x14ac:dyDescent="0.2">
      <c r="B828" s="262" t="s">
        <v>1884</v>
      </c>
      <c r="C828" s="263">
        <v>42603</v>
      </c>
      <c r="D828" s="264" t="s">
        <v>2386</v>
      </c>
      <c r="E828" s="264" t="s">
        <v>2664</v>
      </c>
      <c r="F828" s="265">
        <v>89</v>
      </c>
      <c r="G828" s="265"/>
      <c r="H828" s="265">
        <f t="shared" si="12"/>
        <v>89</v>
      </c>
    </row>
    <row r="829" spans="2:8" x14ac:dyDescent="0.2">
      <c r="B829" s="262" t="s">
        <v>1884</v>
      </c>
      <c r="C829" s="263">
        <v>42603</v>
      </c>
      <c r="D829" s="264" t="s">
        <v>2250</v>
      </c>
      <c r="E829" s="264" t="s">
        <v>2321</v>
      </c>
      <c r="F829" s="265">
        <v>120</v>
      </c>
      <c r="G829" s="265"/>
      <c r="H829" s="265">
        <f t="shared" si="12"/>
        <v>120</v>
      </c>
    </row>
    <row r="830" spans="2:8" x14ac:dyDescent="0.2">
      <c r="B830" s="262" t="s">
        <v>1884</v>
      </c>
      <c r="C830" s="263">
        <v>42603</v>
      </c>
      <c r="D830" s="264" t="s">
        <v>2250</v>
      </c>
      <c r="E830" s="264" t="s">
        <v>2665</v>
      </c>
      <c r="F830" s="265">
        <v>400</v>
      </c>
      <c r="G830" s="265"/>
      <c r="H830" s="265">
        <f t="shared" si="12"/>
        <v>400</v>
      </c>
    </row>
    <row r="831" spans="2:8" x14ac:dyDescent="0.2">
      <c r="B831" s="262" t="s">
        <v>1863</v>
      </c>
      <c r="C831" s="263">
        <v>42603</v>
      </c>
      <c r="D831" s="264" t="s">
        <v>2419</v>
      </c>
      <c r="E831" s="264" t="s">
        <v>2666</v>
      </c>
      <c r="F831" s="265">
        <v>150</v>
      </c>
      <c r="G831" s="265"/>
      <c r="H831" s="265">
        <f t="shared" si="12"/>
        <v>150</v>
      </c>
    </row>
    <row r="832" spans="2:8" x14ac:dyDescent="0.2">
      <c r="B832" s="262" t="s">
        <v>1884</v>
      </c>
      <c r="C832" s="263">
        <v>42603</v>
      </c>
      <c r="D832" s="264" t="s">
        <v>1911</v>
      </c>
      <c r="E832" s="264" t="s">
        <v>2667</v>
      </c>
      <c r="F832" s="265">
        <v>150</v>
      </c>
      <c r="G832" s="265"/>
      <c r="H832" s="265">
        <f t="shared" si="12"/>
        <v>150</v>
      </c>
    </row>
    <row r="833" spans="2:8" x14ac:dyDescent="0.2">
      <c r="B833" s="262" t="s">
        <v>1884</v>
      </c>
      <c r="C833" s="263">
        <v>42604</v>
      </c>
      <c r="D833" s="264" t="s">
        <v>1915</v>
      </c>
      <c r="E833" s="264" t="s">
        <v>2668</v>
      </c>
      <c r="F833" s="265">
        <v>300</v>
      </c>
      <c r="G833" s="265"/>
      <c r="H833" s="265">
        <f t="shared" si="12"/>
        <v>300</v>
      </c>
    </row>
    <row r="834" spans="2:8" x14ac:dyDescent="0.2">
      <c r="B834" s="262" t="s">
        <v>1821</v>
      </c>
      <c r="C834" s="263">
        <v>42604</v>
      </c>
      <c r="D834" s="264" t="s">
        <v>1910</v>
      </c>
      <c r="E834" s="264" t="s">
        <v>2525</v>
      </c>
      <c r="F834" s="265">
        <v>400</v>
      </c>
      <c r="G834" s="265"/>
      <c r="H834" s="265">
        <f t="shared" si="12"/>
        <v>400</v>
      </c>
    </row>
    <row r="835" spans="2:8" x14ac:dyDescent="0.2">
      <c r="B835" s="262" t="s">
        <v>1858</v>
      </c>
      <c r="C835" s="263">
        <v>42604</v>
      </c>
      <c r="D835" s="264" t="s">
        <v>1872</v>
      </c>
      <c r="E835" s="264" t="s">
        <v>2669</v>
      </c>
      <c r="F835" s="265">
        <v>1700</v>
      </c>
      <c r="G835" s="265"/>
      <c r="H835" s="265">
        <f t="shared" si="12"/>
        <v>1700</v>
      </c>
    </row>
    <row r="836" spans="2:8" x14ac:dyDescent="0.2">
      <c r="B836" s="262" t="s">
        <v>1884</v>
      </c>
      <c r="C836" s="263">
        <v>42606</v>
      </c>
      <c r="D836" s="264" t="s">
        <v>1915</v>
      </c>
      <c r="E836" s="264" t="s">
        <v>2670</v>
      </c>
      <c r="F836" s="265">
        <v>400</v>
      </c>
      <c r="G836" s="265"/>
      <c r="H836" s="265">
        <f t="shared" si="12"/>
        <v>400</v>
      </c>
    </row>
    <row r="837" spans="2:8" x14ac:dyDescent="0.2">
      <c r="B837" s="262" t="s">
        <v>1884</v>
      </c>
      <c r="C837" s="263">
        <v>42606</v>
      </c>
      <c r="D837" s="264" t="s">
        <v>1911</v>
      </c>
      <c r="E837" s="264" t="s">
        <v>2671</v>
      </c>
      <c r="F837" s="265">
        <v>243</v>
      </c>
      <c r="G837" s="265"/>
      <c r="H837" s="265">
        <f t="shared" ref="H837:H900" si="13">SUM(F837:G837)</f>
        <v>243</v>
      </c>
    </row>
    <row r="838" spans="2:8" x14ac:dyDescent="0.2">
      <c r="B838" s="262" t="s">
        <v>1870</v>
      </c>
      <c r="C838" s="263">
        <v>42606</v>
      </c>
      <c r="D838" s="264" t="s">
        <v>1892</v>
      </c>
      <c r="E838" s="264" t="s">
        <v>2672</v>
      </c>
      <c r="F838" s="265">
        <v>200</v>
      </c>
      <c r="G838" s="265"/>
      <c r="H838" s="265">
        <f t="shared" si="13"/>
        <v>200</v>
      </c>
    </row>
    <row r="839" spans="2:8" x14ac:dyDescent="0.2">
      <c r="B839" s="262" t="s">
        <v>1870</v>
      </c>
      <c r="C839" s="263">
        <v>42606</v>
      </c>
      <c r="D839" s="264" t="s">
        <v>2949</v>
      </c>
      <c r="E839" s="264" t="s">
        <v>2673</v>
      </c>
      <c r="F839" s="265">
        <v>2000</v>
      </c>
      <c r="G839" s="265"/>
      <c r="H839" s="265">
        <f t="shared" si="13"/>
        <v>2000</v>
      </c>
    </row>
    <row r="840" spans="2:8" x14ac:dyDescent="0.2">
      <c r="B840" s="262" t="s">
        <v>1821</v>
      </c>
      <c r="C840" s="263">
        <v>42607</v>
      </c>
      <c r="D840" s="264" t="s">
        <v>1874</v>
      </c>
      <c r="E840" s="264" t="s">
        <v>2674</v>
      </c>
      <c r="F840" s="265">
        <v>3000</v>
      </c>
      <c r="G840" s="265"/>
      <c r="H840" s="265">
        <f t="shared" si="13"/>
        <v>3000</v>
      </c>
    </row>
    <row r="841" spans="2:8" x14ac:dyDescent="0.2">
      <c r="B841" s="262" t="s">
        <v>1577</v>
      </c>
      <c r="C841" s="263">
        <v>42607</v>
      </c>
      <c r="D841" s="264" t="s">
        <v>1899</v>
      </c>
      <c r="E841" s="264" t="s">
        <v>2644</v>
      </c>
      <c r="F841" s="265">
        <v>29000</v>
      </c>
      <c r="G841" s="265"/>
      <c r="H841" s="265">
        <f t="shared" si="13"/>
        <v>29000</v>
      </c>
    </row>
    <row r="842" spans="2:8" x14ac:dyDescent="0.2">
      <c r="B842" s="262" t="s">
        <v>1884</v>
      </c>
      <c r="C842" s="263">
        <v>42607</v>
      </c>
      <c r="D842" s="264" t="s">
        <v>1915</v>
      </c>
      <c r="E842" s="264" t="s">
        <v>2675</v>
      </c>
      <c r="F842" s="265">
        <v>300</v>
      </c>
      <c r="G842" s="265"/>
      <c r="H842" s="265">
        <f t="shared" si="13"/>
        <v>300</v>
      </c>
    </row>
    <row r="843" spans="2:8" x14ac:dyDescent="0.2">
      <c r="B843" s="262" t="s">
        <v>1870</v>
      </c>
      <c r="C843" s="263">
        <v>42607</v>
      </c>
      <c r="D843" s="264" t="s">
        <v>2949</v>
      </c>
      <c r="E843" s="264" t="s">
        <v>2676</v>
      </c>
      <c r="F843" s="265">
        <v>1998</v>
      </c>
      <c r="G843" s="265"/>
      <c r="H843" s="265">
        <f t="shared" si="13"/>
        <v>1998</v>
      </c>
    </row>
    <row r="844" spans="2:8" x14ac:dyDescent="0.2">
      <c r="B844" s="262" t="s">
        <v>1866</v>
      </c>
      <c r="C844" s="263">
        <v>42608</v>
      </c>
      <c r="D844" s="264" t="s">
        <v>1890</v>
      </c>
      <c r="E844" s="264" t="s">
        <v>2677</v>
      </c>
      <c r="F844" s="265">
        <v>270</v>
      </c>
      <c r="G844" s="265"/>
      <c r="H844" s="265">
        <f t="shared" si="13"/>
        <v>270</v>
      </c>
    </row>
    <row r="845" spans="2:8" x14ac:dyDescent="0.2">
      <c r="B845" s="262" t="s">
        <v>1860</v>
      </c>
      <c r="C845" s="263">
        <v>42608</v>
      </c>
      <c r="D845" s="264" t="s">
        <v>1926</v>
      </c>
      <c r="E845" s="264" t="s">
        <v>2678</v>
      </c>
      <c r="F845" s="265">
        <v>25</v>
      </c>
      <c r="G845" s="265"/>
      <c r="H845" s="265">
        <f t="shared" si="13"/>
        <v>25</v>
      </c>
    </row>
    <row r="846" spans="2:8" x14ac:dyDescent="0.2">
      <c r="B846" s="262" t="s">
        <v>1860</v>
      </c>
      <c r="C846" s="263">
        <v>42608</v>
      </c>
      <c r="D846" s="264" t="s">
        <v>1926</v>
      </c>
      <c r="E846" s="264" t="s">
        <v>2679</v>
      </c>
      <c r="F846" s="265">
        <v>15.6</v>
      </c>
      <c r="G846" s="265"/>
      <c r="H846" s="265">
        <f t="shared" si="13"/>
        <v>15.6</v>
      </c>
    </row>
    <row r="847" spans="2:8" x14ac:dyDescent="0.2">
      <c r="B847" s="262" t="s">
        <v>1863</v>
      </c>
      <c r="C847" s="263">
        <v>42608</v>
      </c>
      <c r="D847" s="264" t="s">
        <v>1878</v>
      </c>
      <c r="E847" s="264" t="s">
        <v>2680</v>
      </c>
      <c r="F847" s="265">
        <v>500</v>
      </c>
      <c r="G847" s="265"/>
      <c r="H847" s="265">
        <f t="shared" si="13"/>
        <v>500</v>
      </c>
    </row>
    <row r="848" spans="2:8" x14ac:dyDescent="0.2">
      <c r="B848" s="262" t="s">
        <v>1863</v>
      </c>
      <c r="C848" s="263">
        <v>42608</v>
      </c>
      <c r="D848" s="264" t="s">
        <v>1878</v>
      </c>
      <c r="E848" s="264" t="s">
        <v>2681</v>
      </c>
      <c r="F848" s="265">
        <v>500</v>
      </c>
      <c r="G848" s="265"/>
      <c r="H848" s="265">
        <f t="shared" si="13"/>
        <v>500</v>
      </c>
    </row>
    <row r="849" spans="2:8" x14ac:dyDescent="0.2">
      <c r="B849" s="262" t="s">
        <v>1805</v>
      </c>
      <c r="C849" s="263">
        <v>42608</v>
      </c>
      <c r="D849" s="264" t="s">
        <v>1910</v>
      </c>
      <c r="E849" s="264" t="s">
        <v>2682</v>
      </c>
      <c r="F849" s="265">
        <v>1000</v>
      </c>
      <c r="G849" s="265"/>
      <c r="H849" s="265">
        <f t="shared" si="13"/>
        <v>1000</v>
      </c>
    </row>
    <row r="850" spans="2:8" x14ac:dyDescent="0.2">
      <c r="B850" s="262" t="s">
        <v>1863</v>
      </c>
      <c r="C850" s="263">
        <v>42609</v>
      </c>
      <c r="D850" s="264" t="s">
        <v>2419</v>
      </c>
      <c r="E850" s="264" t="s">
        <v>2683</v>
      </c>
      <c r="F850" s="265">
        <v>50</v>
      </c>
      <c r="G850" s="265"/>
      <c r="H850" s="265">
        <f t="shared" si="13"/>
        <v>50</v>
      </c>
    </row>
    <row r="851" spans="2:8" x14ac:dyDescent="0.2">
      <c r="B851" s="262" t="s">
        <v>1577</v>
      </c>
      <c r="C851" s="263">
        <v>42609</v>
      </c>
      <c r="D851" s="264" t="s">
        <v>2684</v>
      </c>
      <c r="E851" s="264" t="s">
        <v>2685</v>
      </c>
      <c r="F851" s="265">
        <v>50</v>
      </c>
      <c r="G851" s="265"/>
      <c r="H851" s="265">
        <f t="shared" si="13"/>
        <v>50</v>
      </c>
    </row>
    <row r="852" spans="2:8" x14ac:dyDescent="0.2">
      <c r="B852" s="262" t="s">
        <v>1884</v>
      </c>
      <c r="C852" s="263">
        <v>42609</v>
      </c>
      <c r="D852" s="264" t="s">
        <v>1915</v>
      </c>
      <c r="E852" s="264" t="s">
        <v>2686</v>
      </c>
      <c r="F852" s="265">
        <v>200</v>
      </c>
      <c r="G852" s="265"/>
      <c r="H852" s="265">
        <f t="shared" si="13"/>
        <v>200</v>
      </c>
    </row>
    <row r="853" spans="2:8" x14ac:dyDescent="0.2">
      <c r="B853" s="262" t="s">
        <v>1577</v>
      </c>
      <c r="C853" s="263">
        <v>42609</v>
      </c>
      <c r="D853" s="264" t="s">
        <v>2687</v>
      </c>
      <c r="E853" s="264" t="s">
        <v>2688</v>
      </c>
      <c r="F853" s="265">
        <v>300</v>
      </c>
      <c r="G853" s="265"/>
      <c r="H853" s="265">
        <f t="shared" si="13"/>
        <v>300</v>
      </c>
    </row>
    <row r="854" spans="2:8" x14ac:dyDescent="0.2">
      <c r="B854" s="262" t="s">
        <v>1884</v>
      </c>
      <c r="C854" s="263">
        <v>42609</v>
      </c>
      <c r="D854" s="264" t="s">
        <v>2535</v>
      </c>
      <c r="E854" s="264" t="s">
        <v>2689</v>
      </c>
      <c r="F854" s="265">
        <v>40</v>
      </c>
      <c r="G854" s="265"/>
      <c r="H854" s="265">
        <f t="shared" si="13"/>
        <v>40</v>
      </c>
    </row>
    <row r="855" spans="2:8" x14ac:dyDescent="0.2">
      <c r="B855" s="262" t="s">
        <v>1884</v>
      </c>
      <c r="C855" s="263">
        <v>42609</v>
      </c>
      <c r="D855" s="264" t="s">
        <v>2535</v>
      </c>
      <c r="E855" s="264" t="s">
        <v>2690</v>
      </c>
      <c r="F855" s="265">
        <v>23</v>
      </c>
      <c r="G855" s="265"/>
      <c r="H855" s="265">
        <f t="shared" si="13"/>
        <v>23</v>
      </c>
    </row>
    <row r="856" spans="2:8" x14ac:dyDescent="0.2">
      <c r="B856" s="262" t="s">
        <v>1881</v>
      </c>
      <c r="C856" s="263">
        <v>42610</v>
      </c>
      <c r="D856" s="264" t="s">
        <v>2250</v>
      </c>
      <c r="E856" s="264" t="s">
        <v>2691</v>
      </c>
      <c r="F856" s="265">
        <v>120</v>
      </c>
      <c r="G856" s="265"/>
      <c r="H856" s="265">
        <f t="shared" si="13"/>
        <v>120</v>
      </c>
    </row>
    <row r="857" spans="2:8" x14ac:dyDescent="0.2">
      <c r="B857" s="262" t="s">
        <v>1870</v>
      </c>
      <c r="C857" s="263">
        <v>42610</v>
      </c>
      <c r="D857" s="264" t="s">
        <v>1889</v>
      </c>
      <c r="E857" s="264" t="s">
        <v>2692</v>
      </c>
      <c r="F857" s="265">
        <v>200</v>
      </c>
      <c r="G857" s="265"/>
      <c r="H857" s="265">
        <f t="shared" si="13"/>
        <v>200</v>
      </c>
    </row>
    <row r="858" spans="2:8" x14ac:dyDescent="0.2">
      <c r="B858" s="262" t="s">
        <v>1860</v>
      </c>
      <c r="C858" s="263">
        <v>42610</v>
      </c>
      <c r="D858" s="264" t="s">
        <v>1891</v>
      </c>
      <c r="E858" s="264" t="s">
        <v>2591</v>
      </c>
      <c r="F858" s="265">
        <v>799</v>
      </c>
      <c r="G858" s="265"/>
      <c r="H858" s="265">
        <f t="shared" si="13"/>
        <v>799</v>
      </c>
    </row>
    <row r="859" spans="2:8" x14ac:dyDescent="0.2">
      <c r="B859" s="262" t="s">
        <v>1884</v>
      </c>
      <c r="C859" s="263">
        <v>42610</v>
      </c>
      <c r="D859" s="264" t="s">
        <v>2386</v>
      </c>
      <c r="E859" s="264" t="s">
        <v>2693</v>
      </c>
      <c r="F859" s="265">
        <v>120.5</v>
      </c>
      <c r="G859" s="265"/>
      <c r="H859" s="265">
        <f t="shared" si="13"/>
        <v>120.5</v>
      </c>
    </row>
    <row r="860" spans="2:8" x14ac:dyDescent="0.2">
      <c r="B860" s="262" t="s">
        <v>1884</v>
      </c>
      <c r="C860" s="263">
        <v>42610</v>
      </c>
      <c r="D860" s="264" t="s">
        <v>2386</v>
      </c>
      <c r="E860" s="264" t="s">
        <v>2694</v>
      </c>
      <c r="F860" s="265">
        <v>30</v>
      </c>
      <c r="G860" s="265"/>
      <c r="H860" s="265">
        <f t="shared" si="13"/>
        <v>30</v>
      </c>
    </row>
    <row r="861" spans="2:8" x14ac:dyDescent="0.2">
      <c r="B861" s="262" t="s">
        <v>1881</v>
      </c>
      <c r="C861" s="263">
        <v>42610</v>
      </c>
      <c r="D861" s="264" t="s">
        <v>1873</v>
      </c>
      <c r="E861" s="264" t="s">
        <v>2695</v>
      </c>
      <c r="F861" s="265">
        <v>450</v>
      </c>
      <c r="G861" s="265"/>
      <c r="H861" s="265">
        <f t="shared" si="13"/>
        <v>450</v>
      </c>
    </row>
    <row r="862" spans="2:8" x14ac:dyDescent="0.2">
      <c r="B862" s="262" t="s">
        <v>1863</v>
      </c>
      <c r="C862" s="263">
        <v>42611</v>
      </c>
      <c r="D862" s="264" t="s">
        <v>1873</v>
      </c>
      <c r="E862" s="264" t="s">
        <v>2696</v>
      </c>
      <c r="F862" s="265">
        <v>300</v>
      </c>
      <c r="G862" s="265"/>
      <c r="H862" s="265">
        <f t="shared" si="13"/>
        <v>300</v>
      </c>
    </row>
    <row r="863" spans="2:8" x14ac:dyDescent="0.2">
      <c r="B863" s="262" t="s">
        <v>1866</v>
      </c>
      <c r="C863" s="263">
        <v>42611</v>
      </c>
      <c r="D863" s="264" t="s">
        <v>1890</v>
      </c>
      <c r="E863" s="264" t="s">
        <v>2663</v>
      </c>
      <c r="F863" s="265">
        <v>270</v>
      </c>
      <c r="G863" s="265"/>
      <c r="H863" s="265">
        <f t="shared" si="13"/>
        <v>270</v>
      </c>
    </row>
    <row r="864" spans="2:8" x14ac:dyDescent="0.2">
      <c r="B864" s="262" t="s">
        <v>1821</v>
      </c>
      <c r="C864" s="263">
        <v>42611</v>
      </c>
      <c r="D864" s="264" t="s">
        <v>1910</v>
      </c>
      <c r="E864" s="264" t="s">
        <v>2697</v>
      </c>
      <c r="F864" s="265">
        <v>400</v>
      </c>
      <c r="G864" s="265"/>
      <c r="H864" s="265">
        <f t="shared" si="13"/>
        <v>400</v>
      </c>
    </row>
    <row r="865" spans="2:8" x14ac:dyDescent="0.2">
      <c r="B865" s="262" t="s">
        <v>1884</v>
      </c>
      <c r="C865" s="263">
        <v>42612</v>
      </c>
      <c r="D865" s="264" t="s">
        <v>1892</v>
      </c>
      <c r="E865" s="264" t="s">
        <v>2698</v>
      </c>
      <c r="F865" s="265">
        <v>280</v>
      </c>
      <c r="G865" s="265"/>
      <c r="H865" s="265">
        <f t="shared" si="13"/>
        <v>280</v>
      </c>
    </row>
    <row r="866" spans="2:8" x14ac:dyDescent="0.2">
      <c r="B866" s="262" t="s">
        <v>1879</v>
      </c>
      <c r="C866" s="263">
        <v>42612</v>
      </c>
      <c r="D866" s="264" t="s">
        <v>1892</v>
      </c>
      <c r="E866" s="264" t="s">
        <v>2699</v>
      </c>
      <c r="F866" s="265">
        <v>500</v>
      </c>
      <c r="G866" s="265"/>
      <c r="H866" s="265">
        <f t="shared" si="13"/>
        <v>500</v>
      </c>
    </row>
    <row r="867" spans="2:8" x14ac:dyDescent="0.2">
      <c r="B867" s="262" t="s">
        <v>1879</v>
      </c>
      <c r="C867" s="263">
        <v>42612</v>
      </c>
      <c r="D867" s="264" t="s">
        <v>1892</v>
      </c>
      <c r="E867" s="264" t="s">
        <v>2700</v>
      </c>
      <c r="F867" s="265">
        <v>350</v>
      </c>
      <c r="G867" s="265"/>
      <c r="H867" s="265">
        <f t="shared" si="13"/>
        <v>350</v>
      </c>
    </row>
    <row r="868" spans="2:8" x14ac:dyDescent="0.2">
      <c r="B868" s="262" t="s">
        <v>1879</v>
      </c>
      <c r="C868" s="263">
        <v>42612</v>
      </c>
      <c r="D868" s="264" t="s">
        <v>1892</v>
      </c>
      <c r="E868" s="264" t="s">
        <v>2701</v>
      </c>
      <c r="F868" s="265">
        <v>350</v>
      </c>
      <c r="G868" s="265"/>
      <c r="H868" s="265">
        <f t="shared" si="13"/>
        <v>350</v>
      </c>
    </row>
    <row r="869" spans="2:8" x14ac:dyDescent="0.2">
      <c r="B869" s="262" t="s">
        <v>1881</v>
      </c>
      <c r="C869" s="263">
        <v>42613</v>
      </c>
      <c r="D869" s="264" t="s">
        <v>1896</v>
      </c>
      <c r="E869" s="264" t="s">
        <v>2702</v>
      </c>
      <c r="F869" s="265">
        <v>650</v>
      </c>
      <c r="G869" s="265"/>
      <c r="H869" s="265">
        <f t="shared" si="13"/>
        <v>650</v>
      </c>
    </row>
    <row r="870" spans="2:8" x14ac:dyDescent="0.2">
      <c r="B870" s="262" t="s">
        <v>1577</v>
      </c>
      <c r="C870" s="263">
        <v>42613</v>
      </c>
      <c r="D870" s="264" t="s">
        <v>1886</v>
      </c>
      <c r="E870" s="264" t="s">
        <v>2644</v>
      </c>
      <c r="F870" s="265">
        <v>2700</v>
      </c>
      <c r="G870" s="265"/>
      <c r="H870" s="265">
        <f t="shared" si="13"/>
        <v>2700</v>
      </c>
    </row>
    <row r="871" spans="2:8" x14ac:dyDescent="0.2">
      <c r="B871" s="262" t="s">
        <v>1859</v>
      </c>
      <c r="C871" s="263">
        <v>42613</v>
      </c>
      <c r="D871" s="264" t="s">
        <v>1911</v>
      </c>
      <c r="E871" s="264" t="s">
        <v>1935</v>
      </c>
      <c r="F871" s="265">
        <v>4000</v>
      </c>
      <c r="G871" s="265"/>
      <c r="H871" s="265">
        <f t="shared" si="13"/>
        <v>4000</v>
      </c>
    </row>
    <row r="872" spans="2:8" x14ac:dyDescent="0.2">
      <c r="B872" s="262" t="s">
        <v>1887</v>
      </c>
      <c r="C872" s="263">
        <v>42588</v>
      </c>
      <c r="D872" s="264" t="s">
        <v>1534</v>
      </c>
      <c r="E872" s="264" t="s">
        <v>1536</v>
      </c>
      <c r="F872" s="265">
        <v>-0.46</v>
      </c>
      <c r="G872" s="265"/>
      <c r="H872" s="265">
        <f t="shared" si="13"/>
        <v>-0.46</v>
      </c>
    </row>
    <row r="873" spans="2:8" x14ac:dyDescent="0.2">
      <c r="B873" s="262" t="s">
        <v>1790</v>
      </c>
      <c r="C873" s="263">
        <v>42592</v>
      </c>
      <c r="D873" s="264" t="s">
        <v>1909</v>
      </c>
      <c r="E873" s="264" t="s">
        <v>2703</v>
      </c>
      <c r="F873" s="265"/>
      <c r="G873" s="265">
        <v>-1760</v>
      </c>
      <c r="H873" s="265">
        <f t="shared" si="13"/>
        <v>-1760</v>
      </c>
    </row>
    <row r="874" spans="2:8" x14ac:dyDescent="0.2">
      <c r="B874" s="262" t="s">
        <v>1887</v>
      </c>
      <c r="C874" s="263">
        <v>42613</v>
      </c>
      <c r="D874" s="264" t="s">
        <v>1597</v>
      </c>
      <c r="E874" s="264" t="s">
        <v>2229</v>
      </c>
      <c r="F874" s="265">
        <v>70</v>
      </c>
      <c r="G874" s="265"/>
      <c r="H874" s="265">
        <f t="shared" si="13"/>
        <v>70</v>
      </c>
    </row>
    <row r="875" spans="2:8" x14ac:dyDescent="0.2">
      <c r="B875" s="266" t="s">
        <v>1790</v>
      </c>
      <c r="C875" s="267">
        <v>42613</v>
      </c>
      <c r="D875" s="268" t="s">
        <v>1597</v>
      </c>
      <c r="E875" s="268" t="s">
        <v>2230</v>
      </c>
      <c r="F875" s="269"/>
      <c r="G875" s="269">
        <v>11.2</v>
      </c>
      <c r="H875" s="269">
        <f t="shared" si="13"/>
        <v>11.2</v>
      </c>
    </row>
    <row r="876" spans="2:8" ht="18" customHeight="1" x14ac:dyDescent="0.2">
      <c r="B876" s="270" t="s">
        <v>1850</v>
      </c>
      <c r="C876" s="270" t="s">
        <v>1851</v>
      </c>
      <c r="D876" s="271" t="s">
        <v>1852</v>
      </c>
      <c r="E876" s="271" t="s">
        <v>1853</v>
      </c>
      <c r="F876" s="272" t="s">
        <v>1854</v>
      </c>
      <c r="G876" s="272" t="s">
        <v>1855</v>
      </c>
      <c r="H876" s="257" t="s">
        <v>1856</v>
      </c>
    </row>
    <row r="877" spans="2:8" x14ac:dyDescent="0.2">
      <c r="B877" s="258" t="s">
        <v>1871</v>
      </c>
      <c r="C877" s="259">
        <v>42614</v>
      </c>
      <c r="D877" s="260" t="s">
        <v>2704</v>
      </c>
      <c r="E877" s="260" t="s">
        <v>2705</v>
      </c>
      <c r="F877" s="261">
        <v>175</v>
      </c>
      <c r="G877" s="261"/>
      <c r="H877" s="261">
        <f t="shared" si="13"/>
        <v>175</v>
      </c>
    </row>
    <row r="878" spans="2:8" x14ac:dyDescent="0.2">
      <c r="B878" s="262" t="s">
        <v>1863</v>
      </c>
      <c r="C878" s="263">
        <v>42614</v>
      </c>
      <c r="D878" s="264" t="s">
        <v>2535</v>
      </c>
      <c r="E878" s="264" t="s">
        <v>2706</v>
      </c>
      <c r="F878" s="265">
        <v>149.19999999999999</v>
      </c>
      <c r="G878" s="265"/>
      <c r="H878" s="265">
        <f t="shared" si="13"/>
        <v>149.19999999999999</v>
      </c>
    </row>
    <row r="879" spans="2:8" x14ac:dyDescent="0.2">
      <c r="B879" s="262" t="s">
        <v>1866</v>
      </c>
      <c r="C879" s="263">
        <v>42614</v>
      </c>
      <c r="D879" s="264" t="s">
        <v>1890</v>
      </c>
      <c r="E879" s="264" t="s">
        <v>2707</v>
      </c>
      <c r="F879" s="265">
        <v>230</v>
      </c>
      <c r="G879" s="265"/>
      <c r="H879" s="265">
        <f t="shared" si="13"/>
        <v>230</v>
      </c>
    </row>
    <row r="880" spans="2:8" x14ac:dyDescent="0.2">
      <c r="B880" s="262" t="s">
        <v>1884</v>
      </c>
      <c r="C880" s="263">
        <v>42614</v>
      </c>
      <c r="D880" s="264" t="s">
        <v>1898</v>
      </c>
      <c r="E880" s="264" t="s">
        <v>2708</v>
      </c>
      <c r="F880" s="265">
        <v>72</v>
      </c>
      <c r="G880" s="265"/>
      <c r="H880" s="265">
        <f t="shared" si="13"/>
        <v>72</v>
      </c>
    </row>
    <row r="881" spans="2:8" x14ac:dyDescent="0.2">
      <c r="B881" s="262" t="s">
        <v>1884</v>
      </c>
      <c r="C881" s="263">
        <v>42614</v>
      </c>
      <c r="D881" s="264" t="s">
        <v>1898</v>
      </c>
      <c r="E881" s="264" t="s">
        <v>2708</v>
      </c>
      <c r="F881" s="265">
        <v>140</v>
      </c>
      <c r="G881" s="265"/>
      <c r="H881" s="265">
        <f t="shared" si="13"/>
        <v>140</v>
      </c>
    </row>
    <row r="882" spans="2:8" x14ac:dyDescent="0.2">
      <c r="B882" s="262" t="s">
        <v>1884</v>
      </c>
      <c r="C882" s="263">
        <v>42614</v>
      </c>
      <c r="D882" s="264" t="s">
        <v>1924</v>
      </c>
      <c r="E882" s="264" t="s">
        <v>2709</v>
      </c>
      <c r="F882" s="265">
        <v>349.5</v>
      </c>
      <c r="G882" s="265"/>
      <c r="H882" s="265">
        <f t="shared" si="13"/>
        <v>349.5</v>
      </c>
    </row>
    <row r="883" spans="2:8" x14ac:dyDescent="0.2">
      <c r="B883" s="262" t="s">
        <v>1805</v>
      </c>
      <c r="C883" s="263">
        <v>42615</v>
      </c>
      <c r="D883" s="264" t="s">
        <v>1910</v>
      </c>
      <c r="E883" s="264" t="s">
        <v>2710</v>
      </c>
      <c r="F883" s="265">
        <v>1000</v>
      </c>
      <c r="G883" s="265"/>
      <c r="H883" s="265">
        <f t="shared" si="13"/>
        <v>1000</v>
      </c>
    </row>
    <row r="884" spans="2:8" x14ac:dyDescent="0.2">
      <c r="B884" s="262" t="s">
        <v>1884</v>
      </c>
      <c r="C884" s="263">
        <v>42615</v>
      </c>
      <c r="D884" s="264" t="s">
        <v>2711</v>
      </c>
      <c r="E884" s="264" t="s">
        <v>2712</v>
      </c>
      <c r="F884" s="265">
        <v>500</v>
      </c>
      <c r="G884" s="265"/>
      <c r="H884" s="265">
        <f t="shared" si="13"/>
        <v>500</v>
      </c>
    </row>
    <row r="885" spans="2:8" x14ac:dyDescent="0.2">
      <c r="B885" s="262" t="s">
        <v>1858</v>
      </c>
      <c r="C885" s="263">
        <v>42615</v>
      </c>
      <c r="D885" s="264" t="s">
        <v>1872</v>
      </c>
      <c r="E885" s="264" t="s">
        <v>2713</v>
      </c>
      <c r="F885" s="265">
        <v>1750</v>
      </c>
      <c r="G885" s="265"/>
      <c r="H885" s="265">
        <f t="shared" si="13"/>
        <v>1750</v>
      </c>
    </row>
    <row r="886" spans="2:8" x14ac:dyDescent="0.2">
      <c r="B886" s="262" t="s">
        <v>1865</v>
      </c>
      <c r="C886" s="263">
        <v>42616</v>
      </c>
      <c r="D886" s="264" t="s">
        <v>2535</v>
      </c>
      <c r="E886" s="264" t="s">
        <v>2714</v>
      </c>
      <c r="F886" s="265">
        <v>160.69999999999999</v>
      </c>
      <c r="G886" s="265"/>
      <c r="H886" s="265">
        <f t="shared" si="13"/>
        <v>160.69999999999999</v>
      </c>
    </row>
    <row r="887" spans="2:8" x14ac:dyDescent="0.2">
      <c r="B887" s="262" t="s">
        <v>1865</v>
      </c>
      <c r="C887" s="263">
        <v>42616</v>
      </c>
      <c r="D887" s="264" t="s">
        <v>1905</v>
      </c>
      <c r="E887" s="264" t="s">
        <v>2715</v>
      </c>
      <c r="F887" s="265">
        <v>112</v>
      </c>
      <c r="G887" s="265"/>
      <c r="H887" s="265">
        <f t="shared" si="13"/>
        <v>112</v>
      </c>
    </row>
    <row r="888" spans="2:8" x14ac:dyDescent="0.2">
      <c r="B888" s="262" t="s">
        <v>1861</v>
      </c>
      <c r="C888" s="263">
        <v>42616</v>
      </c>
      <c r="D888" s="264" t="s">
        <v>2479</v>
      </c>
      <c r="E888" s="264" t="s">
        <v>2716</v>
      </c>
      <c r="F888" s="265">
        <v>80</v>
      </c>
      <c r="G888" s="265"/>
      <c r="H888" s="265">
        <f t="shared" si="13"/>
        <v>80</v>
      </c>
    </row>
    <row r="889" spans="2:8" x14ac:dyDescent="0.2">
      <c r="B889" s="262" t="s">
        <v>1884</v>
      </c>
      <c r="C889" s="263">
        <v>42616</v>
      </c>
      <c r="D889" s="264" t="s">
        <v>2717</v>
      </c>
      <c r="E889" s="264" t="s">
        <v>2718</v>
      </c>
      <c r="F889" s="265">
        <v>1153.0899999999999</v>
      </c>
      <c r="G889" s="265">
        <v>184.49</v>
      </c>
      <c r="H889" s="265">
        <f t="shared" si="13"/>
        <v>1337.58</v>
      </c>
    </row>
    <row r="890" spans="2:8" x14ac:dyDescent="0.2">
      <c r="B890" s="262" t="s">
        <v>1884</v>
      </c>
      <c r="C890" s="263">
        <v>42616</v>
      </c>
      <c r="D890" s="264" t="s">
        <v>2717</v>
      </c>
      <c r="E890" s="264" t="s">
        <v>2719</v>
      </c>
      <c r="F890" s="265">
        <v>155.16</v>
      </c>
      <c r="G890" s="265">
        <v>24.83</v>
      </c>
      <c r="H890" s="265">
        <f t="shared" si="13"/>
        <v>179.99</v>
      </c>
    </row>
    <row r="891" spans="2:8" x14ac:dyDescent="0.2">
      <c r="B891" s="262" t="s">
        <v>1860</v>
      </c>
      <c r="C891" s="263">
        <v>42616</v>
      </c>
      <c r="D891" s="264" t="s">
        <v>2720</v>
      </c>
      <c r="E891" s="264" t="s">
        <v>2721</v>
      </c>
      <c r="F891" s="265">
        <v>40</v>
      </c>
      <c r="G891" s="265"/>
      <c r="H891" s="265">
        <f t="shared" si="13"/>
        <v>40</v>
      </c>
    </row>
    <row r="892" spans="2:8" x14ac:dyDescent="0.2">
      <c r="B892" s="262" t="s">
        <v>1884</v>
      </c>
      <c r="C892" s="263">
        <v>42616</v>
      </c>
      <c r="D892" s="264" t="s">
        <v>2687</v>
      </c>
      <c r="E892" s="264" t="s">
        <v>2722</v>
      </c>
      <c r="F892" s="265">
        <v>500</v>
      </c>
      <c r="G892" s="265"/>
      <c r="H892" s="265">
        <f t="shared" si="13"/>
        <v>500</v>
      </c>
    </row>
    <row r="893" spans="2:8" x14ac:dyDescent="0.2">
      <c r="B893" s="262" t="s">
        <v>1863</v>
      </c>
      <c r="C893" s="263">
        <v>42616</v>
      </c>
      <c r="D893" s="264" t="s">
        <v>1878</v>
      </c>
      <c r="E893" s="264" t="s">
        <v>2723</v>
      </c>
      <c r="F893" s="265">
        <v>500</v>
      </c>
      <c r="G893" s="265"/>
      <c r="H893" s="265">
        <f t="shared" si="13"/>
        <v>500</v>
      </c>
    </row>
    <row r="894" spans="2:8" x14ac:dyDescent="0.2">
      <c r="B894" s="262" t="s">
        <v>1884</v>
      </c>
      <c r="C894" s="263">
        <v>42617</v>
      </c>
      <c r="D894" s="264" t="s">
        <v>2535</v>
      </c>
      <c r="E894" s="264" t="s">
        <v>2724</v>
      </c>
      <c r="F894" s="265">
        <v>168</v>
      </c>
      <c r="G894" s="265"/>
      <c r="H894" s="265">
        <f t="shared" si="13"/>
        <v>168</v>
      </c>
    </row>
    <row r="895" spans="2:8" x14ac:dyDescent="0.2">
      <c r="B895" s="262" t="s">
        <v>1884</v>
      </c>
      <c r="C895" s="263">
        <v>42617</v>
      </c>
      <c r="D895" s="264" t="s">
        <v>2250</v>
      </c>
      <c r="E895" s="264" t="s">
        <v>2321</v>
      </c>
      <c r="F895" s="265">
        <v>120</v>
      </c>
      <c r="G895" s="265"/>
      <c r="H895" s="265">
        <f t="shared" si="13"/>
        <v>120</v>
      </c>
    </row>
    <row r="896" spans="2:8" x14ac:dyDescent="0.2">
      <c r="B896" s="262" t="s">
        <v>1863</v>
      </c>
      <c r="C896" s="263">
        <v>42617</v>
      </c>
      <c r="D896" s="264" t="s">
        <v>2250</v>
      </c>
      <c r="E896" s="264" t="s">
        <v>2725</v>
      </c>
      <c r="F896" s="265">
        <v>150</v>
      </c>
      <c r="G896" s="265"/>
      <c r="H896" s="265">
        <f t="shared" si="13"/>
        <v>150</v>
      </c>
    </row>
    <row r="897" spans="2:8" x14ac:dyDescent="0.2">
      <c r="B897" s="262" t="s">
        <v>1884</v>
      </c>
      <c r="C897" s="263">
        <v>42617</v>
      </c>
      <c r="D897" s="264" t="s">
        <v>2535</v>
      </c>
      <c r="E897" s="264" t="s">
        <v>2726</v>
      </c>
      <c r="F897" s="265">
        <v>237</v>
      </c>
      <c r="G897" s="265"/>
      <c r="H897" s="265">
        <f t="shared" si="13"/>
        <v>237</v>
      </c>
    </row>
    <row r="898" spans="2:8" x14ac:dyDescent="0.2">
      <c r="B898" s="262" t="s">
        <v>1870</v>
      </c>
      <c r="C898" s="263">
        <v>42618</v>
      </c>
      <c r="D898" s="264" t="s">
        <v>1892</v>
      </c>
      <c r="E898" s="264" t="s">
        <v>2727</v>
      </c>
      <c r="F898" s="265">
        <v>350</v>
      </c>
      <c r="G898" s="265"/>
      <c r="H898" s="265">
        <f t="shared" si="13"/>
        <v>350</v>
      </c>
    </row>
    <row r="899" spans="2:8" x14ac:dyDescent="0.2">
      <c r="B899" s="262" t="s">
        <v>1870</v>
      </c>
      <c r="C899" s="263">
        <v>42618</v>
      </c>
      <c r="D899" s="264" t="s">
        <v>1892</v>
      </c>
      <c r="E899" s="264" t="s">
        <v>2728</v>
      </c>
      <c r="F899" s="265">
        <v>350</v>
      </c>
      <c r="G899" s="265"/>
      <c r="H899" s="265">
        <f t="shared" si="13"/>
        <v>350</v>
      </c>
    </row>
    <row r="900" spans="2:8" x14ac:dyDescent="0.2">
      <c r="B900" s="262" t="s">
        <v>1879</v>
      </c>
      <c r="C900" s="263">
        <v>42618</v>
      </c>
      <c r="D900" s="264" t="s">
        <v>1892</v>
      </c>
      <c r="E900" s="264" t="s">
        <v>2729</v>
      </c>
      <c r="F900" s="265">
        <v>700</v>
      </c>
      <c r="G900" s="265"/>
      <c r="H900" s="265">
        <f t="shared" si="13"/>
        <v>700</v>
      </c>
    </row>
    <row r="901" spans="2:8" x14ac:dyDescent="0.2">
      <c r="B901" s="262" t="s">
        <v>1866</v>
      </c>
      <c r="C901" s="263">
        <v>42618</v>
      </c>
      <c r="D901" s="264" t="s">
        <v>1890</v>
      </c>
      <c r="E901" s="264" t="s">
        <v>2730</v>
      </c>
      <c r="F901" s="265">
        <v>330</v>
      </c>
      <c r="G901" s="265"/>
      <c r="H901" s="265">
        <f t="shared" ref="H901:H964" si="14">SUM(F901:G901)</f>
        <v>330</v>
      </c>
    </row>
    <row r="902" spans="2:8" x14ac:dyDescent="0.2">
      <c r="B902" s="262" t="s">
        <v>1884</v>
      </c>
      <c r="C902" s="263">
        <v>42618</v>
      </c>
      <c r="D902" s="264" t="s">
        <v>2410</v>
      </c>
      <c r="E902" s="264" t="s">
        <v>2731</v>
      </c>
      <c r="F902" s="265">
        <v>237</v>
      </c>
      <c r="G902" s="265"/>
      <c r="H902" s="265">
        <f t="shared" si="14"/>
        <v>237</v>
      </c>
    </row>
    <row r="903" spans="2:8" x14ac:dyDescent="0.2">
      <c r="B903" s="262" t="s">
        <v>1860</v>
      </c>
      <c r="C903" s="263">
        <v>42619</v>
      </c>
      <c r="D903" s="264" t="s">
        <v>1926</v>
      </c>
      <c r="E903" s="264" t="s">
        <v>2732</v>
      </c>
      <c r="F903" s="265">
        <v>24</v>
      </c>
      <c r="G903" s="265"/>
      <c r="H903" s="265">
        <f t="shared" si="14"/>
        <v>24</v>
      </c>
    </row>
    <row r="904" spans="2:8" x14ac:dyDescent="0.2">
      <c r="B904" s="262" t="s">
        <v>1861</v>
      </c>
      <c r="C904" s="263">
        <v>42619</v>
      </c>
      <c r="D904" s="264" t="s">
        <v>1906</v>
      </c>
      <c r="E904" s="264" t="s">
        <v>2733</v>
      </c>
      <c r="F904" s="265">
        <v>250</v>
      </c>
      <c r="G904" s="265"/>
      <c r="H904" s="265">
        <f t="shared" si="14"/>
        <v>250</v>
      </c>
    </row>
    <row r="905" spans="2:8" x14ac:dyDescent="0.2">
      <c r="B905" s="262" t="s">
        <v>1857</v>
      </c>
      <c r="C905" s="263">
        <v>42620</v>
      </c>
      <c r="D905" s="264" t="s">
        <v>1872</v>
      </c>
      <c r="E905" s="264" t="s">
        <v>2734</v>
      </c>
      <c r="F905" s="265">
        <v>800</v>
      </c>
      <c r="G905" s="265"/>
      <c r="H905" s="265">
        <f t="shared" si="14"/>
        <v>800</v>
      </c>
    </row>
    <row r="906" spans="2:8" x14ac:dyDescent="0.2">
      <c r="B906" s="262" t="s">
        <v>1879</v>
      </c>
      <c r="C906" s="263">
        <v>42620</v>
      </c>
      <c r="D906" s="264" t="s">
        <v>1892</v>
      </c>
      <c r="E906" s="264" t="s">
        <v>2735</v>
      </c>
      <c r="F906" s="265">
        <v>1000</v>
      </c>
      <c r="G906" s="265"/>
      <c r="H906" s="265">
        <f t="shared" si="14"/>
        <v>1000</v>
      </c>
    </row>
    <row r="907" spans="2:8" x14ac:dyDescent="0.2">
      <c r="B907" s="262" t="s">
        <v>1857</v>
      </c>
      <c r="C907" s="263">
        <v>42620</v>
      </c>
      <c r="D907" s="264" t="s">
        <v>1872</v>
      </c>
      <c r="E907" s="264" t="s">
        <v>2736</v>
      </c>
      <c r="F907" s="265">
        <v>500</v>
      </c>
      <c r="G907" s="265"/>
      <c r="H907" s="265">
        <f t="shared" si="14"/>
        <v>500</v>
      </c>
    </row>
    <row r="908" spans="2:8" x14ac:dyDescent="0.2">
      <c r="B908" s="262" t="s">
        <v>1879</v>
      </c>
      <c r="C908" s="263">
        <v>42621</v>
      </c>
      <c r="D908" s="264" t="s">
        <v>1892</v>
      </c>
      <c r="E908" s="264" t="s">
        <v>2737</v>
      </c>
      <c r="F908" s="265">
        <v>500</v>
      </c>
      <c r="G908" s="265"/>
      <c r="H908" s="265">
        <f t="shared" si="14"/>
        <v>500</v>
      </c>
    </row>
    <row r="909" spans="2:8" x14ac:dyDescent="0.2">
      <c r="B909" s="262" t="s">
        <v>1863</v>
      </c>
      <c r="C909" s="263">
        <v>42622</v>
      </c>
      <c r="D909" s="264" t="s">
        <v>2410</v>
      </c>
      <c r="E909" s="264" t="s">
        <v>2738</v>
      </c>
      <c r="F909" s="265">
        <v>240</v>
      </c>
      <c r="G909" s="265"/>
      <c r="H909" s="265">
        <f t="shared" si="14"/>
        <v>240</v>
      </c>
    </row>
    <row r="910" spans="2:8" x14ac:dyDescent="0.2">
      <c r="B910" s="262" t="s">
        <v>1805</v>
      </c>
      <c r="C910" s="263">
        <v>42622</v>
      </c>
      <c r="D910" s="264" t="s">
        <v>1910</v>
      </c>
      <c r="E910" s="264" t="s">
        <v>2739</v>
      </c>
      <c r="F910" s="265">
        <v>1000</v>
      </c>
      <c r="G910" s="265"/>
      <c r="H910" s="265">
        <f t="shared" si="14"/>
        <v>1000</v>
      </c>
    </row>
    <row r="911" spans="2:8" x14ac:dyDescent="0.2">
      <c r="B911" s="262" t="s">
        <v>1860</v>
      </c>
      <c r="C911" s="263">
        <v>42622</v>
      </c>
      <c r="D911" s="264" t="s">
        <v>1891</v>
      </c>
      <c r="E911" s="264" t="s">
        <v>2740</v>
      </c>
      <c r="F911" s="265">
        <v>476</v>
      </c>
      <c r="G911" s="265"/>
      <c r="H911" s="265">
        <f t="shared" si="14"/>
        <v>476</v>
      </c>
    </row>
    <row r="912" spans="2:8" x14ac:dyDescent="0.2">
      <c r="B912" s="262" t="s">
        <v>1875</v>
      </c>
      <c r="C912" s="263">
        <v>42622</v>
      </c>
      <c r="D912" s="264" t="s">
        <v>2741</v>
      </c>
      <c r="E912" s="264" t="s">
        <v>1895</v>
      </c>
      <c r="F912" s="265">
        <v>301.47000000000003</v>
      </c>
      <c r="G912" s="265">
        <v>48.23</v>
      </c>
      <c r="H912" s="265">
        <f t="shared" si="14"/>
        <v>349.70000000000005</v>
      </c>
    </row>
    <row r="913" spans="2:8" x14ac:dyDescent="0.2">
      <c r="B913" s="262" t="s">
        <v>1860</v>
      </c>
      <c r="C913" s="263">
        <v>42622</v>
      </c>
      <c r="D913" s="264" t="s">
        <v>2741</v>
      </c>
      <c r="E913" s="264" t="s">
        <v>2742</v>
      </c>
      <c r="F913" s="265">
        <v>159.22</v>
      </c>
      <c r="G913" s="265">
        <v>25.48</v>
      </c>
      <c r="H913" s="265">
        <f t="shared" si="14"/>
        <v>184.7</v>
      </c>
    </row>
    <row r="914" spans="2:8" x14ac:dyDescent="0.2">
      <c r="B914" s="262" t="s">
        <v>1857</v>
      </c>
      <c r="C914" s="263">
        <v>42623</v>
      </c>
      <c r="D914" s="264" t="s">
        <v>1872</v>
      </c>
      <c r="E914" s="264" t="s">
        <v>2743</v>
      </c>
      <c r="F914" s="265">
        <v>800</v>
      </c>
      <c r="G914" s="265"/>
      <c r="H914" s="265">
        <f t="shared" si="14"/>
        <v>800</v>
      </c>
    </row>
    <row r="915" spans="2:8" x14ac:dyDescent="0.2">
      <c r="B915" s="262" t="s">
        <v>1884</v>
      </c>
      <c r="C915" s="263">
        <v>42623</v>
      </c>
      <c r="D915" s="264" t="s">
        <v>1911</v>
      </c>
      <c r="E915" s="264" t="s">
        <v>2744</v>
      </c>
      <c r="F915" s="265">
        <v>350</v>
      </c>
      <c r="G915" s="265"/>
      <c r="H915" s="265">
        <f t="shared" si="14"/>
        <v>350</v>
      </c>
    </row>
    <row r="916" spans="2:8" x14ac:dyDescent="0.2">
      <c r="B916" s="262" t="s">
        <v>1879</v>
      </c>
      <c r="C916" s="263">
        <v>42623</v>
      </c>
      <c r="D916" s="264" t="s">
        <v>1892</v>
      </c>
      <c r="E916" s="264" t="s">
        <v>2745</v>
      </c>
      <c r="F916" s="265">
        <v>350</v>
      </c>
      <c r="G916" s="265"/>
      <c r="H916" s="265">
        <f t="shared" si="14"/>
        <v>350</v>
      </c>
    </row>
    <row r="917" spans="2:8" x14ac:dyDescent="0.2">
      <c r="B917" s="262" t="s">
        <v>1863</v>
      </c>
      <c r="C917" s="263">
        <v>42623</v>
      </c>
      <c r="D917" s="264" t="s">
        <v>1878</v>
      </c>
      <c r="E917" s="264" t="s">
        <v>2746</v>
      </c>
      <c r="F917" s="265">
        <v>500</v>
      </c>
      <c r="G917" s="265"/>
      <c r="H917" s="265">
        <f t="shared" si="14"/>
        <v>500</v>
      </c>
    </row>
    <row r="918" spans="2:8" x14ac:dyDescent="0.2">
      <c r="B918" s="262" t="s">
        <v>1870</v>
      </c>
      <c r="C918" s="263">
        <v>42623</v>
      </c>
      <c r="D918" s="264" t="s">
        <v>1892</v>
      </c>
      <c r="E918" s="264" t="s">
        <v>2747</v>
      </c>
      <c r="F918" s="265">
        <v>800</v>
      </c>
      <c r="G918" s="265"/>
      <c r="H918" s="265">
        <f t="shared" si="14"/>
        <v>800</v>
      </c>
    </row>
    <row r="919" spans="2:8" x14ac:dyDescent="0.2">
      <c r="B919" s="262" t="s">
        <v>1862</v>
      </c>
      <c r="C919" s="263">
        <v>42623</v>
      </c>
      <c r="D919" s="264" t="s">
        <v>1892</v>
      </c>
      <c r="E919" s="264" t="s">
        <v>2748</v>
      </c>
      <c r="F919" s="265">
        <v>800</v>
      </c>
      <c r="G919" s="265"/>
      <c r="H919" s="265">
        <f t="shared" si="14"/>
        <v>800</v>
      </c>
    </row>
    <row r="920" spans="2:8" x14ac:dyDescent="0.2">
      <c r="B920" s="262" t="s">
        <v>1884</v>
      </c>
      <c r="C920" s="263">
        <v>42624</v>
      </c>
      <c r="D920" s="264" t="s">
        <v>2250</v>
      </c>
      <c r="E920" s="264" t="s">
        <v>2636</v>
      </c>
      <c r="F920" s="265">
        <v>120</v>
      </c>
      <c r="G920" s="265"/>
      <c r="H920" s="265">
        <f t="shared" si="14"/>
        <v>120</v>
      </c>
    </row>
    <row r="921" spans="2:8" x14ac:dyDescent="0.2">
      <c r="B921" s="262" t="s">
        <v>1884</v>
      </c>
      <c r="C921" s="263">
        <v>42624</v>
      </c>
      <c r="D921" s="264" t="s">
        <v>2535</v>
      </c>
      <c r="E921" s="264" t="s">
        <v>2536</v>
      </c>
      <c r="F921" s="265">
        <v>63</v>
      </c>
      <c r="G921" s="265"/>
      <c r="H921" s="265">
        <f t="shared" si="14"/>
        <v>63</v>
      </c>
    </row>
    <row r="922" spans="2:8" x14ac:dyDescent="0.2">
      <c r="B922" s="262" t="s">
        <v>1884</v>
      </c>
      <c r="C922" s="263">
        <v>42624</v>
      </c>
      <c r="D922" s="264" t="s">
        <v>2386</v>
      </c>
      <c r="E922" s="264" t="s">
        <v>2749</v>
      </c>
      <c r="F922" s="265">
        <v>8</v>
      </c>
      <c r="G922" s="265"/>
      <c r="H922" s="265">
        <f t="shared" si="14"/>
        <v>8</v>
      </c>
    </row>
    <row r="923" spans="2:8" x14ac:dyDescent="0.2">
      <c r="B923" s="262" t="s">
        <v>1863</v>
      </c>
      <c r="C923" s="263">
        <v>42624</v>
      </c>
      <c r="D923" s="264" t="s">
        <v>1873</v>
      </c>
      <c r="E923" s="264" t="s">
        <v>2750</v>
      </c>
      <c r="F923" s="265">
        <v>500</v>
      </c>
      <c r="G923" s="265"/>
      <c r="H923" s="265">
        <f t="shared" si="14"/>
        <v>500</v>
      </c>
    </row>
    <row r="924" spans="2:8" x14ac:dyDescent="0.2">
      <c r="B924" s="262" t="s">
        <v>1866</v>
      </c>
      <c r="C924" s="263">
        <v>42625</v>
      </c>
      <c r="D924" s="264" t="s">
        <v>1890</v>
      </c>
      <c r="E924" s="264" t="s">
        <v>2663</v>
      </c>
      <c r="F924" s="265">
        <v>280</v>
      </c>
      <c r="G924" s="265"/>
      <c r="H924" s="265">
        <f t="shared" si="14"/>
        <v>280</v>
      </c>
    </row>
    <row r="925" spans="2:8" x14ac:dyDescent="0.2">
      <c r="B925" s="262" t="s">
        <v>1884</v>
      </c>
      <c r="C925" s="263">
        <v>42625</v>
      </c>
      <c r="D925" s="264" t="s">
        <v>1915</v>
      </c>
      <c r="E925" s="264" t="s">
        <v>2751</v>
      </c>
      <c r="F925" s="265">
        <v>200</v>
      </c>
      <c r="G925" s="265"/>
      <c r="H925" s="265">
        <f t="shared" si="14"/>
        <v>200</v>
      </c>
    </row>
    <row r="926" spans="2:8" x14ac:dyDescent="0.2">
      <c r="B926" s="262" t="s">
        <v>1884</v>
      </c>
      <c r="C926" s="263">
        <v>42625</v>
      </c>
      <c r="D926" s="264" t="s">
        <v>1915</v>
      </c>
      <c r="E926" s="264" t="s">
        <v>2751</v>
      </c>
      <c r="F926" s="265">
        <v>200</v>
      </c>
      <c r="G926" s="265"/>
      <c r="H926" s="265">
        <f t="shared" si="14"/>
        <v>200</v>
      </c>
    </row>
    <row r="927" spans="2:8" x14ac:dyDescent="0.2">
      <c r="B927" s="262" t="s">
        <v>1867</v>
      </c>
      <c r="C927" s="263">
        <v>42626</v>
      </c>
      <c r="D927" s="264" t="s">
        <v>1894</v>
      </c>
      <c r="E927" s="264" t="s">
        <v>2752</v>
      </c>
      <c r="F927" s="265">
        <v>951</v>
      </c>
      <c r="G927" s="265"/>
      <c r="H927" s="265">
        <f t="shared" si="14"/>
        <v>951</v>
      </c>
    </row>
    <row r="928" spans="2:8" x14ac:dyDescent="0.2">
      <c r="B928" s="262" t="s">
        <v>1857</v>
      </c>
      <c r="C928" s="263">
        <v>42626</v>
      </c>
      <c r="D928" s="264" t="s">
        <v>1872</v>
      </c>
      <c r="E928" s="264" t="s">
        <v>2753</v>
      </c>
      <c r="F928" s="265">
        <v>500</v>
      </c>
      <c r="G928" s="265"/>
      <c r="H928" s="265">
        <f t="shared" si="14"/>
        <v>500</v>
      </c>
    </row>
    <row r="929" spans="2:8" x14ac:dyDescent="0.2">
      <c r="B929" s="262" t="s">
        <v>1865</v>
      </c>
      <c r="C929" s="263">
        <v>42626</v>
      </c>
      <c r="D929" s="264" t="s">
        <v>1905</v>
      </c>
      <c r="E929" s="264" t="s">
        <v>2754</v>
      </c>
      <c r="F929" s="265">
        <v>81</v>
      </c>
      <c r="G929" s="265"/>
      <c r="H929" s="265">
        <f t="shared" si="14"/>
        <v>81</v>
      </c>
    </row>
    <row r="930" spans="2:8" x14ac:dyDescent="0.2">
      <c r="B930" s="262" t="s">
        <v>1865</v>
      </c>
      <c r="C930" s="263">
        <v>42626</v>
      </c>
      <c r="D930" s="264" t="s">
        <v>2755</v>
      </c>
      <c r="E930" s="264" t="s">
        <v>2756</v>
      </c>
      <c r="F930" s="265">
        <v>750</v>
      </c>
      <c r="G930" s="265"/>
      <c r="H930" s="265">
        <f t="shared" si="14"/>
        <v>750</v>
      </c>
    </row>
    <row r="931" spans="2:8" x14ac:dyDescent="0.2">
      <c r="B931" s="262" t="s">
        <v>1884</v>
      </c>
      <c r="C931" s="263">
        <v>42626</v>
      </c>
      <c r="D931" s="264" t="s">
        <v>1915</v>
      </c>
      <c r="E931" s="264" t="s">
        <v>2757</v>
      </c>
      <c r="F931" s="265">
        <v>200</v>
      </c>
      <c r="G931" s="265"/>
      <c r="H931" s="265">
        <f t="shared" si="14"/>
        <v>200</v>
      </c>
    </row>
    <row r="932" spans="2:8" x14ac:dyDescent="0.2">
      <c r="B932" s="262" t="s">
        <v>1863</v>
      </c>
      <c r="C932" s="263">
        <v>42626</v>
      </c>
      <c r="D932" s="264" t="s">
        <v>2758</v>
      </c>
      <c r="E932" s="264" t="s">
        <v>2759</v>
      </c>
      <c r="F932" s="265">
        <v>52</v>
      </c>
      <c r="G932" s="265"/>
      <c r="H932" s="265">
        <f t="shared" si="14"/>
        <v>52</v>
      </c>
    </row>
    <row r="933" spans="2:8" x14ac:dyDescent="0.2">
      <c r="B933" s="262" t="s">
        <v>1863</v>
      </c>
      <c r="C933" s="263">
        <v>42626</v>
      </c>
      <c r="D933" s="264" t="s">
        <v>2760</v>
      </c>
      <c r="E933" s="264" t="s">
        <v>2761</v>
      </c>
      <c r="F933" s="265">
        <v>175</v>
      </c>
      <c r="G933" s="265"/>
      <c r="H933" s="265">
        <f t="shared" si="14"/>
        <v>175</v>
      </c>
    </row>
    <row r="934" spans="2:8" x14ac:dyDescent="0.2">
      <c r="B934" s="262" t="s">
        <v>1863</v>
      </c>
      <c r="C934" s="263">
        <v>42626</v>
      </c>
      <c r="D934" s="264" t="s">
        <v>2535</v>
      </c>
      <c r="E934" s="264" t="s">
        <v>2762</v>
      </c>
      <c r="F934" s="265">
        <v>267.5</v>
      </c>
      <c r="G934" s="265"/>
      <c r="H934" s="265">
        <f t="shared" si="14"/>
        <v>267.5</v>
      </c>
    </row>
    <row r="935" spans="2:8" x14ac:dyDescent="0.2">
      <c r="B935" s="262" t="s">
        <v>1863</v>
      </c>
      <c r="C935" s="263">
        <v>42627</v>
      </c>
      <c r="D935" s="264" t="s">
        <v>2763</v>
      </c>
      <c r="E935" s="264" t="s">
        <v>2764</v>
      </c>
      <c r="F935" s="265">
        <v>250</v>
      </c>
      <c r="G935" s="265"/>
      <c r="H935" s="265">
        <f t="shared" si="14"/>
        <v>250</v>
      </c>
    </row>
    <row r="936" spans="2:8" x14ac:dyDescent="0.2">
      <c r="B936" s="262" t="s">
        <v>1857</v>
      </c>
      <c r="C936" s="263">
        <v>42627</v>
      </c>
      <c r="D936" s="264" t="s">
        <v>1872</v>
      </c>
      <c r="E936" s="264" t="s">
        <v>2765</v>
      </c>
      <c r="F936" s="265">
        <v>900</v>
      </c>
      <c r="G936" s="265"/>
      <c r="H936" s="265">
        <f t="shared" si="14"/>
        <v>900</v>
      </c>
    </row>
    <row r="937" spans="2:8" x14ac:dyDescent="0.2">
      <c r="B937" s="262" t="s">
        <v>1870</v>
      </c>
      <c r="C937" s="263">
        <v>42627</v>
      </c>
      <c r="D937" s="264" t="s">
        <v>1892</v>
      </c>
      <c r="E937" s="264" t="s">
        <v>2766</v>
      </c>
      <c r="F937" s="265">
        <v>350</v>
      </c>
      <c r="G937" s="265"/>
      <c r="H937" s="265">
        <f t="shared" si="14"/>
        <v>350</v>
      </c>
    </row>
    <row r="938" spans="2:8" x14ac:dyDescent="0.2">
      <c r="B938" s="262" t="s">
        <v>1860</v>
      </c>
      <c r="C938" s="263">
        <v>42627</v>
      </c>
      <c r="D938" s="264" t="s">
        <v>1891</v>
      </c>
      <c r="E938" s="264" t="s">
        <v>2767</v>
      </c>
      <c r="F938" s="265">
        <v>406.5</v>
      </c>
      <c r="G938" s="265"/>
      <c r="H938" s="265">
        <f t="shared" si="14"/>
        <v>406.5</v>
      </c>
    </row>
    <row r="939" spans="2:8" x14ac:dyDescent="0.2">
      <c r="B939" s="322" t="s">
        <v>1870</v>
      </c>
      <c r="C939" s="263">
        <v>42627</v>
      </c>
      <c r="D939" s="264" t="s">
        <v>1892</v>
      </c>
      <c r="E939" s="264" t="s">
        <v>2769</v>
      </c>
      <c r="F939" s="265">
        <v>400</v>
      </c>
      <c r="G939" s="265"/>
      <c r="H939" s="265">
        <f t="shared" si="14"/>
        <v>400</v>
      </c>
    </row>
    <row r="940" spans="2:8" x14ac:dyDescent="0.2">
      <c r="B940" s="262" t="s">
        <v>1884</v>
      </c>
      <c r="C940" s="263">
        <v>42628</v>
      </c>
      <c r="D940" s="264" t="s">
        <v>1873</v>
      </c>
      <c r="E940" s="264" t="s">
        <v>2770</v>
      </c>
      <c r="F940" s="265">
        <v>450</v>
      </c>
      <c r="G940" s="265"/>
      <c r="H940" s="265">
        <f t="shared" si="14"/>
        <v>450</v>
      </c>
    </row>
    <row r="941" spans="2:8" x14ac:dyDescent="0.2">
      <c r="B941" s="262" t="s">
        <v>1884</v>
      </c>
      <c r="C941" s="263">
        <v>42628</v>
      </c>
      <c r="D941" s="264" t="s">
        <v>1873</v>
      </c>
      <c r="E941" s="264" t="s">
        <v>2771</v>
      </c>
      <c r="F941" s="265">
        <v>300</v>
      </c>
      <c r="G941" s="265"/>
      <c r="H941" s="265">
        <f t="shared" si="14"/>
        <v>300</v>
      </c>
    </row>
    <row r="942" spans="2:8" x14ac:dyDescent="0.2">
      <c r="B942" s="262" t="s">
        <v>1884</v>
      </c>
      <c r="C942" s="263">
        <v>42628</v>
      </c>
      <c r="D942" s="264" t="s">
        <v>1911</v>
      </c>
      <c r="E942" s="264" t="s">
        <v>2772</v>
      </c>
      <c r="F942" s="265">
        <v>350</v>
      </c>
      <c r="G942" s="265"/>
      <c r="H942" s="265">
        <f t="shared" si="14"/>
        <v>350</v>
      </c>
    </row>
    <row r="943" spans="2:8" x14ac:dyDescent="0.2">
      <c r="B943" s="262" t="s">
        <v>1861</v>
      </c>
      <c r="C943" s="263">
        <v>42628</v>
      </c>
      <c r="D943" s="264" t="s">
        <v>2322</v>
      </c>
      <c r="E943" s="264" t="s">
        <v>2773</v>
      </c>
      <c r="F943" s="265">
        <v>250</v>
      </c>
      <c r="G943" s="265"/>
      <c r="H943" s="265">
        <f t="shared" si="14"/>
        <v>250</v>
      </c>
    </row>
    <row r="944" spans="2:8" x14ac:dyDescent="0.2">
      <c r="B944" s="262" t="s">
        <v>1884</v>
      </c>
      <c r="C944" s="263">
        <v>42628</v>
      </c>
      <c r="D944" s="264" t="s">
        <v>1912</v>
      </c>
      <c r="E944" s="264" t="s">
        <v>2774</v>
      </c>
      <c r="F944" s="265">
        <v>200</v>
      </c>
      <c r="G944" s="265"/>
      <c r="H944" s="265">
        <f t="shared" si="14"/>
        <v>200</v>
      </c>
    </row>
    <row r="945" spans="2:8" x14ac:dyDescent="0.2">
      <c r="B945" s="262" t="s">
        <v>1577</v>
      </c>
      <c r="C945" s="263">
        <v>42628</v>
      </c>
      <c r="D945" s="264" t="s">
        <v>1886</v>
      </c>
      <c r="E945" s="264" t="s">
        <v>2775</v>
      </c>
      <c r="F945" s="265">
        <v>2700</v>
      </c>
      <c r="G945" s="265"/>
      <c r="H945" s="265">
        <f t="shared" si="14"/>
        <v>2700</v>
      </c>
    </row>
    <row r="946" spans="2:8" x14ac:dyDescent="0.2">
      <c r="B946" s="262" t="s">
        <v>1577</v>
      </c>
      <c r="C946" s="263">
        <v>42628</v>
      </c>
      <c r="D946" s="264" t="s">
        <v>1899</v>
      </c>
      <c r="E946" s="264" t="s">
        <v>2776</v>
      </c>
      <c r="F946" s="265">
        <v>29000</v>
      </c>
      <c r="G946" s="265"/>
      <c r="H946" s="265">
        <f t="shared" si="14"/>
        <v>29000</v>
      </c>
    </row>
    <row r="947" spans="2:8" x14ac:dyDescent="0.2">
      <c r="B947" s="262" t="s">
        <v>1859</v>
      </c>
      <c r="C947" s="263">
        <v>42628</v>
      </c>
      <c r="D947" s="264" t="s">
        <v>1911</v>
      </c>
      <c r="E947" s="264" t="s">
        <v>1935</v>
      </c>
      <c r="F947" s="265">
        <v>4000</v>
      </c>
      <c r="G947" s="265"/>
      <c r="H947" s="265">
        <f t="shared" si="14"/>
        <v>4000</v>
      </c>
    </row>
    <row r="948" spans="2:8" x14ac:dyDescent="0.2">
      <c r="B948" s="262" t="s">
        <v>1805</v>
      </c>
      <c r="C948" s="263">
        <v>42629</v>
      </c>
      <c r="D948" s="264" t="s">
        <v>1910</v>
      </c>
      <c r="E948" s="264" t="s">
        <v>2777</v>
      </c>
      <c r="F948" s="265">
        <v>1000</v>
      </c>
      <c r="G948" s="265"/>
      <c r="H948" s="265">
        <f t="shared" si="14"/>
        <v>1000</v>
      </c>
    </row>
    <row r="949" spans="2:8" x14ac:dyDescent="0.2">
      <c r="B949" s="262" t="s">
        <v>1863</v>
      </c>
      <c r="C949" s="263">
        <v>42630</v>
      </c>
      <c r="D949" s="264" t="s">
        <v>1878</v>
      </c>
      <c r="E949" s="264" t="s">
        <v>2778</v>
      </c>
      <c r="F949" s="265">
        <v>500</v>
      </c>
      <c r="G949" s="265"/>
      <c r="H949" s="265">
        <f t="shared" si="14"/>
        <v>500</v>
      </c>
    </row>
    <row r="950" spans="2:8" x14ac:dyDescent="0.2">
      <c r="B950" s="262" t="s">
        <v>1884</v>
      </c>
      <c r="C950" s="263">
        <v>42631</v>
      </c>
      <c r="D950" s="264" t="s">
        <v>2250</v>
      </c>
      <c r="E950" s="264" t="s">
        <v>2026</v>
      </c>
      <c r="F950" s="265">
        <v>120</v>
      </c>
      <c r="G950" s="265"/>
      <c r="H950" s="265">
        <f t="shared" si="14"/>
        <v>120</v>
      </c>
    </row>
    <row r="951" spans="2:8" x14ac:dyDescent="0.2">
      <c r="B951" s="262" t="s">
        <v>1884</v>
      </c>
      <c r="C951" s="263">
        <v>42631</v>
      </c>
      <c r="D951" s="264" t="s">
        <v>2535</v>
      </c>
      <c r="E951" s="264" t="s">
        <v>2779</v>
      </c>
      <c r="F951" s="265">
        <v>107</v>
      </c>
      <c r="G951" s="265"/>
      <c r="H951" s="265">
        <f t="shared" si="14"/>
        <v>107</v>
      </c>
    </row>
    <row r="952" spans="2:8" x14ac:dyDescent="0.2">
      <c r="B952" s="262" t="s">
        <v>1870</v>
      </c>
      <c r="C952" s="263">
        <v>42631</v>
      </c>
      <c r="D952" s="264" t="s">
        <v>1892</v>
      </c>
      <c r="E952" s="264" t="s">
        <v>2780</v>
      </c>
      <c r="F952" s="265">
        <v>2880</v>
      </c>
      <c r="G952" s="265"/>
      <c r="H952" s="265">
        <f t="shared" si="14"/>
        <v>2880</v>
      </c>
    </row>
    <row r="953" spans="2:8" x14ac:dyDescent="0.2">
      <c r="B953" s="262" t="s">
        <v>1821</v>
      </c>
      <c r="C953" s="263">
        <v>42631</v>
      </c>
      <c r="D953" s="264" t="s">
        <v>1892</v>
      </c>
      <c r="E953" s="264" t="s">
        <v>2781</v>
      </c>
      <c r="F953" s="265">
        <v>3600</v>
      </c>
      <c r="G953" s="265"/>
      <c r="H953" s="265">
        <f t="shared" si="14"/>
        <v>3600</v>
      </c>
    </row>
    <row r="954" spans="2:8" x14ac:dyDescent="0.2">
      <c r="B954" s="262" t="s">
        <v>1871</v>
      </c>
      <c r="C954" s="263">
        <v>42632</v>
      </c>
      <c r="D954" s="264" t="s">
        <v>2367</v>
      </c>
      <c r="E954" s="264" t="s">
        <v>2782</v>
      </c>
      <c r="F954" s="265">
        <v>100</v>
      </c>
      <c r="G954" s="265"/>
      <c r="H954" s="265">
        <f t="shared" si="14"/>
        <v>100</v>
      </c>
    </row>
    <row r="955" spans="2:8" x14ac:dyDescent="0.2">
      <c r="B955" s="262" t="s">
        <v>1864</v>
      </c>
      <c r="C955" s="263">
        <v>42632</v>
      </c>
      <c r="D955" s="264" t="s">
        <v>1910</v>
      </c>
      <c r="E955" s="264" t="s">
        <v>2783</v>
      </c>
      <c r="F955" s="265">
        <v>400</v>
      </c>
      <c r="G955" s="265"/>
      <c r="H955" s="265">
        <f t="shared" si="14"/>
        <v>400</v>
      </c>
    </row>
    <row r="956" spans="2:8" x14ac:dyDescent="0.2">
      <c r="B956" s="262" t="s">
        <v>1884</v>
      </c>
      <c r="C956" s="263">
        <v>42632</v>
      </c>
      <c r="D956" s="264" t="s">
        <v>1918</v>
      </c>
      <c r="E956" s="264" t="s">
        <v>2784</v>
      </c>
      <c r="F956" s="265">
        <v>110</v>
      </c>
      <c r="G956" s="265"/>
      <c r="H956" s="265">
        <f t="shared" si="14"/>
        <v>110</v>
      </c>
    </row>
    <row r="957" spans="2:8" x14ac:dyDescent="0.2">
      <c r="B957" s="262" t="s">
        <v>1884</v>
      </c>
      <c r="C957" s="263">
        <v>42632</v>
      </c>
      <c r="D957" s="264" t="s">
        <v>2262</v>
      </c>
      <c r="E957" s="264" t="s">
        <v>2785</v>
      </c>
      <c r="F957" s="265">
        <v>42</v>
      </c>
      <c r="G957" s="265"/>
      <c r="H957" s="265">
        <f t="shared" si="14"/>
        <v>42</v>
      </c>
    </row>
    <row r="958" spans="2:8" x14ac:dyDescent="0.2">
      <c r="B958" s="262" t="s">
        <v>1884</v>
      </c>
      <c r="C958" s="263">
        <v>42632</v>
      </c>
      <c r="D958" s="264" t="s">
        <v>1924</v>
      </c>
      <c r="E958" s="264" t="s">
        <v>2786</v>
      </c>
      <c r="F958" s="265">
        <v>302.56</v>
      </c>
      <c r="G958" s="265">
        <v>46.94</v>
      </c>
      <c r="H958" s="265">
        <f t="shared" si="14"/>
        <v>349.5</v>
      </c>
    </row>
    <row r="959" spans="2:8" x14ac:dyDescent="0.2">
      <c r="B959" s="262" t="s">
        <v>1866</v>
      </c>
      <c r="C959" s="263">
        <v>42632</v>
      </c>
      <c r="D959" s="264" t="s">
        <v>1890</v>
      </c>
      <c r="E959" s="264" t="s">
        <v>2787</v>
      </c>
      <c r="F959" s="265">
        <v>330</v>
      </c>
      <c r="G959" s="265"/>
      <c r="H959" s="265">
        <f t="shared" si="14"/>
        <v>330</v>
      </c>
    </row>
    <row r="960" spans="2:8" x14ac:dyDescent="0.2">
      <c r="B960" s="262" t="s">
        <v>1860</v>
      </c>
      <c r="C960" s="263">
        <v>42632</v>
      </c>
      <c r="D960" s="264" t="s">
        <v>2788</v>
      </c>
      <c r="E960" s="264" t="s">
        <v>1944</v>
      </c>
      <c r="F960" s="265">
        <v>43</v>
      </c>
      <c r="G960" s="265"/>
      <c r="H960" s="265">
        <f t="shared" si="14"/>
        <v>43</v>
      </c>
    </row>
    <row r="961" spans="2:8" x14ac:dyDescent="0.2">
      <c r="B961" s="262" t="s">
        <v>1860</v>
      </c>
      <c r="C961" s="263">
        <v>42632</v>
      </c>
      <c r="D961" s="264" t="s">
        <v>1926</v>
      </c>
      <c r="E961" s="264" t="s">
        <v>2560</v>
      </c>
      <c r="F961" s="265">
        <v>135</v>
      </c>
      <c r="G961" s="265"/>
      <c r="H961" s="265">
        <f t="shared" si="14"/>
        <v>135</v>
      </c>
    </row>
    <row r="962" spans="2:8" x14ac:dyDescent="0.2">
      <c r="B962" s="262" t="s">
        <v>1884</v>
      </c>
      <c r="C962" s="263">
        <v>42632</v>
      </c>
      <c r="D962" s="264" t="s">
        <v>2419</v>
      </c>
      <c r="E962" s="264" t="s">
        <v>2789</v>
      </c>
      <c r="F962" s="265">
        <v>120</v>
      </c>
      <c r="G962" s="265"/>
      <c r="H962" s="265">
        <f t="shared" si="14"/>
        <v>120</v>
      </c>
    </row>
    <row r="963" spans="2:8" x14ac:dyDescent="0.2">
      <c r="B963" s="262" t="s">
        <v>1790</v>
      </c>
      <c r="C963" s="263">
        <v>42633</v>
      </c>
      <c r="D963" s="264" t="s">
        <v>1909</v>
      </c>
      <c r="E963" s="264" t="s">
        <v>2790</v>
      </c>
      <c r="F963" s="265"/>
      <c r="G963" s="265">
        <v>1760</v>
      </c>
      <c r="H963" s="265">
        <f t="shared" si="14"/>
        <v>1760</v>
      </c>
    </row>
    <row r="964" spans="2:8" x14ac:dyDescent="0.2">
      <c r="B964" s="262" t="s">
        <v>1805</v>
      </c>
      <c r="C964" s="263">
        <v>42633</v>
      </c>
      <c r="D964" s="264" t="s">
        <v>1888</v>
      </c>
      <c r="E964" s="264" t="s">
        <v>2791</v>
      </c>
      <c r="F964" s="265">
        <v>1224</v>
      </c>
      <c r="G964" s="265"/>
      <c r="H964" s="265">
        <f t="shared" si="14"/>
        <v>1224</v>
      </c>
    </row>
    <row r="965" spans="2:8" x14ac:dyDescent="0.2">
      <c r="B965" s="262" t="s">
        <v>1870</v>
      </c>
      <c r="C965" s="263">
        <v>42633</v>
      </c>
      <c r="D965" s="264" t="s">
        <v>1892</v>
      </c>
      <c r="E965" s="264" t="s">
        <v>2792</v>
      </c>
      <c r="F965" s="265">
        <v>3080</v>
      </c>
      <c r="G965" s="265"/>
      <c r="H965" s="265">
        <f t="shared" ref="H965:H1028" si="15">SUM(F965:G965)</f>
        <v>3080</v>
      </c>
    </row>
    <row r="966" spans="2:8" x14ac:dyDescent="0.2">
      <c r="B966" s="262" t="s">
        <v>1863</v>
      </c>
      <c r="C966" s="263">
        <v>42634</v>
      </c>
      <c r="D966" s="264" t="s">
        <v>2793</v>
      </c>
      <c r="E966" s="264" t="s">
        <v>2794</v>
      </c>
      <c r="F966" s="265">
        <v>5622.07</v>
      </c>
      <c r="G966" s="265"/>
      <c r="H966" s="265">
        <f t="shared" si="15"/>
        <v>5622.07</v>
      </c>
    </row>
    <row r="967" spans="2:8" x14ac:dyDescent="0.2">
      <c r="B967" s="262" t="s">
        <v>1863</v>
      </c>
      <c r="C967" s="263">
        <v>42634</v>
      </c>
      <c r="D967" s="264" t="s">
        <v>2795</v>
      </c>
      <c r="E967" s="264" t="s">
        <v>2796</v>
      </c>
      <c r="F967" s="265">
        <v>3750</v>
      </c>
      <c r="G967" s="265"/>
      <c r="H967" s="265">
        <f t="shared" si="15"/>
        <v>3750</v>
      </c>
    </row>
    <row r="968" spans="2:8" x14ac:dyDescent="0.2">
      <c r="B968" s="262" t="s">
        <v>1865</v>
      </c>
      <c r="C968" s="263">
        <v>42634</v>
      </c>
      <c r="D968" s="264" t="s">
        <v>1937</v>
      </c>
      <c r="E968" s="264" t="s">
        <v>2797</v>
      </c>
      <c r="F968" s="265">
        <v>1000</v>
      </c>
      <c r="G968" s="265"/>
      <c r="H968" s="265">
        <f t="shared" si="15"/>
        <v>1000</v>
      </c>
    </row>
    <row r="969" spans="2:8" x14ac:dyDescent="0.2">
      <c r="B969" s="262" t="s">
        <v>1863</v>
      </c>
      <c r="C969" s="263">
        <v>42634</v>
      </c>
      <c r="D969" s="264" t="s">
        <v>1878</v>
      </c>
      <c r="E969" s="264" t="s">
        <v>2798</v>
      </c>
      <c r="F969" s="265">
        <v>500</v>
      </c>
      <c r="G969" s="265"/>
      <c r="H969" s="265">
        <f t="shared" si="15"/>
        <v>500</v>
      </c>
    </row>
    <row r="970" spans="2:8" x14ac:dyDescent="0.2">
      <c r="B970" s="262" t="s">
        <v>1884</v>
      </c>
      <c r="C970" s="263">
        <v>42634</v>
      </c>
      <c r="D970" s="264" t="s">
        <v>2799</v>
      </c>
      <c r="E970" s="264" t="s">
        <v>2800</v>
      </c>
      <c r="F970" s="265">
        <v>350</v>
      </c>
      <c r="G970" s="265"/>
      <c r="H970" s="265">
        <f t="shared" si="15"/>
        <v>350</v>
      </c>
    </row>
    <row r="971" spans="2:8" x14ac:dyDescent="0.2">
      <c r="B971" s="262" t="s">
        <v>1865</v>
      </c>
      <c r="C971" s="263">
        <v>42635</v>
      </c>
      <c r="D971" s="264" t="s">
        <v>2262</v>
      </c>
      <c r="E971" s="264" t="s">
        <v>2801</v>
      </c>
      <c r="F971" s="265">
        <v>50</v>
      </c>
      <c r="G971" s="265"/>
      <c r="H971" s="265">
        <f t="shared" si="15"/>
        <v>50</v>
      </c>
    </row>
    <row r="972" spans="2:8" x14ac:dyDescent="0.2">
      <c r="B972" s="262" t="s">
        <v>1805</v>
      </c>
      <c r="C972" s="263">
        <v>42636</v>
      </c>
      <c r="D972" s="264" t="s">
        <v>1910</v>
      </c>
      <c r="E972" s="264" t="s">
        <v>2802</v>
      </c>
      <c r="F972" s="265">
        <v>1000</v>
      </c>
      <c r="G972" s="265"/>
      <c r="H972" s="265">
        <f t="shared" si="15"/>
        <v>1000</v>
      </c>
    </row>
    <row r="973" spans="2:8" x14ac:dyDescent="0.2">
      <c r="B973" s="262" t="s">
        <v>1863</v>
      </c>
      <c r="C973" s="263">
        <v>42637</v>
      </c>
      <c r="D973" s="264" t="s">
        <v>1878</v>
      </c>
      <c r="E973" s="264" t="s">
        <v>2746</v>
      </c>
      <c r="F973" s="265">
        <v>500</v>
      </c>
      <c r="G973" s="265"/>
      <c r="H973" s="265">
        <f t="shared" si="15"/>
        <v>500</v>
      </c>
    </row>
    <row r="974" spans="2:8" x14ac:dyDescent="0.2">
      <c r="B974" s="262" t="s">
        <v>1863</v>
      </c>
      <c r="C974" s="263">
        <v>42637</v>
      </c>
      <c r="D974" s="264" t="s">
        <v>2401</v>
      </c>
      <c r="E974" s="264" t="s">
        <v>2803</v>
      </c>
      <c r="F974" s="265">
        <v>207</v>
      </c>
      <c r="G974" s="265"/>
      <c r="H974" s="265">
        <f t="shared" si="15"/>
        <v>207</v>
      </c>
    </row>
    <row r="975" spans="2:8" x14ac:dyDescent="0.2">
      <c r="B975" s="262" t="s">
        <v>1884</v>
      </c>
      <c r="C975" s="263">
        <v>42638</v>
      </c>
      <c r="D975" s="264" t="s">
        <v>2535</v>
      </c>
      <c r="E975" s="264" t="s">
        <v>2804</v>
      </c>
      <c r="F975" s="265">
        <v>86.5</v>
      </c>
      <c r="G975" s="265"/>
      <c r="H975" s="265">
        <f t="shared" si="15"/>
        <v>86.5</v>
      </c>
    </row>
    <row r="976" spans="2:8" x14ac:dyDescent="0.2">
      <c r="B976" s="262" t="s">
        <v>1884</v>
      </c>
      <c r="C976" s="263">
        <v>42638</v>
      </c>
      <c r="D976" s="264" t="s">
        <v>2250</v>
      </c>
      <c r="E976" s="264" t="s">
        <v>2805</v>
      </c>
      <c r="F976" s="265">
        <v>120</v>
      </c>
      <c r="G976" s="265"/>
      <c r="H976" s="265">
        <f t="shared" si="15"/>
        <v>120</v>
      </c>
    </row>
    <row r="977" spans="2:8" x14ac:dyDescent="0.2">
      <c r="B977" s="262" t="s">
        <v>1863</v>
      </c>
      <c r="C977" s="263">
        <v>42638</v>
      </c>
      <c r="D977" s="264" t="s">
        <v>2763</v>
      </c>
      <c r="E977" s="264" t="s">
        <v>2806</v>
      </c>
      <c r="F977" s="265">
        <v>150</v>
      </c>
      <c r="G977" s="265"/>
      <c r="H977" s="265">
        <f t="shared" si="15"/>
        <v>150</v>
      </c>
    </row>
    <row r="978" spans="2:8" x14ac:dyDescent="0.2">
      <c r="B978" s="262" t="s">
        <v>1858</v>
      </c>
      <c r="C978" s="263">
        <v>42638</v>
      </c>
      <c r="D978" s="264" t="s">
        <v>2763</v>
      </c>
      <c r="E978" s="264" t="s">
        <v>2807</v>
      </c>
      <c r="F978" s="265">
        <v>500</v>
      </c>
      <c r="G978" s="265"/>
      <c r="H978" s="265">
        <f t="shared" si="15"/>
        <v>500</v>
      </c>
    </row>
    <row r="979" spans="2:8" x14ac:dyDescent="0.2">
      <c r="B979" s="262" t="s">
        <v>1884</v>
      </c>
      <c r="C979" s="263">
        <v>42638</v>
      </c>
      <c r="D979" s="264" t="s">
        <v>1915</v>
      </c>
      <c r="E979" s="264" t="s">
        <v>2808</v>
      </c>
      <c r="F979" s="265">
        <v>500</v>
      </c>
      <c r="G979" s="265"/>
      <c r="H979" s="265">
        <f t="shared" si="15"/>
        <v>500</v>
      </c>
    </row>
    <row r="980" spans="2:8" x14ac:dyDescent="0.2">
      <c r="B980" s="262" t="s">
        <v>1863</v>
      </c>
      <c r="C980" s="263">
        <v>42638</v>
      </c>
      <c r="D980" s="264" t="s">
        <v>2250</v>
      </c>
      <c r="E980" s="264" t="s">
        <v>2771</v>
      </c>
      <c r="F980" s="265">
        <v>150</v>
      </c>
      <c r="G980" s="265"/>
      <c r="H980" s="265">
        <f t="shared" si="15"/>
        <v>150</v>
      </c>
    </row>
    <row r="981" spans="2:8" x14ac:dyDescent="0.2">
      <c r="B981" s="262" t="s">
        <v>1866</v>
      </c>
      <c r="C981" s="263">
        <v>42639</v>
      </c>
      <c r="D981" s="264" t="s">
        <v>1890</v>
      </c>
      <c r="E981" s="264" t="s">
        <v>2663</v>
      </c>
      <c r="F981" s="265">
        <v>280</v>
      </c>
      <c r="G981" s="265"/>
      <c r="H981" s="265">
        <f t="shared" si="15"/>
        <v>280</v>
      </c>
    </row>
    <row r="982" spans="2:8" x14ac:dyDescent="0.2">
      <c r="B982" s="262" t="s">
        <v>1864</v>
      </c>
      <c r="C982" s="263">
        <v>42639</v>
      </c>
      <c r="D982" s="264" t="s">
        <v>1910</v>
      </c>
      <c r="E982" s="264" t="s">
        <v>2809</v>
      </c>
      <c r="F982" s="265">
        <v>400</v>
      </c>
      <c r="G982" s="265"/>
      <c r="H982" s="265">
        <f t="shared" si="15"/>
        <v>400</v>
      </c>
    </row>
    <row r="983" spans="2:8" x14ac:dyDescent="0.2">
      <c r="B983" s="262" t="s">
        <v>1858</v>
      </c>
      <c r="C983" s="263">
        <v>42639</v>
      </c>
      <c r="D983" s="264" t="s">
        <v>2401</v>
      </c>
      <c r="E983" s="264" t="s">
        <v>2810</v>
      </c>
      <c r="F983" s="265">
        <v>66</v>
      </c>
      <c r="G983" s="265"/>
      <c r="H983" s="265">
        <f t="shared" si="15"/>
        <v>66</v>
      </c>
    </row>
    <row r="984" spans="2:8" x14ac:dyDescent="0.2">
      <c r="B984" s="262" t="s">
        <v>1884</v>
      </c>
      <c r="C984" s="263">
        <v>42641</v>
      </c>
      <c r="D984" s="264" t="s">
        <v>1912</v>
      </c>
      <c r="E984" s="264" t="s">
        <v>2811</v>
      </c>
      <c r="F984" s="265">
        <v>279.60000000000002</v>
      </c>
      <c r="G984" s="265"/>
      <c r="H984" s="265">
        <f t="shared" si="15"/>
        <v>279.60000000000002</v>
      </c>
    </row>
    <row r="985" spans="2:8" x14ac:dyDescent="0.2">
      <c r="B985" s="262" t="s">
        <v>1879</v>
      </c>
      <c r="C985" s="263">
        <v>42641</v>
      </c>
      <c r="D985" s="264" t="s">
        <v>1892</v>
      </c>
      <c r="E985" s="264" t="s">
        <v>2812</v>
      </c>
      <c r="F985" s="265">
        <v>350</v>
      </c>
      <c r="G985" s="265"/>
      <c r="H985" s="265">
        <f t="shared" si="15"/>
        <v>350</v>
      </c>
    </row>
    <row r="986" spans="2:8" x14ac:dyDescent="0.2">
      <c r="B986" s="262" t="s">
        <v>1884</v>
      </c>
      <c r="C986" s="263">
        <v>42641</v>
      </c>
      <c r="D986" s="264" t="s">
        <v>1915</v>
      </c>
      <c r="E986" s="264" t="s">
        <v>2813</v>
      </c>
      <c r="F986" s="265">
        <v>300</v>
      </c>
      <c r="G986" s="265"/>
      <c r="H986" s="265">
        <f t="shared" si="15"/>
        <v>300</v>
      </c>
    </row>
    <row r="987" spans="2:8" x14ac:dyDescent="0.2">
      <c r="B987" s="262" t="s">
        <v>1821</v>
      </c>
      <c r="C987" s="263">
        <v>42641</v>
      </c>
      <c r="D987" s="264" t="s">
        <v>1892</v>
      </c>
      <c r="E987" s="264" t="s">
        <v>2814</v>
      </c>
      <c r="F987" s="265">
        <v>130</v>
      </c>
      <c r="G987" s="265"/>
      <c r="H987" s="265">
        <f t="shared" si="15"/>
        <v>130</v>
      </c>
    </row>
    <row r="988" spans="2:8" x14ac:dyDescent="0.2">
      <c r="B988" s="262" t="s">
        <v>1863</v>
      </c>
      <c r="C988" s="263">
        <v>42643</v>
      </c>
      <c r="D988" s="264" t="s">
        <v>1878</v>
      </c>
      <c r="E988" s="264" t="s">
        <v>2746</v>
      </c>
      <c r="F988" s="265">
        <v>500</v>
      </c>
      <c r="G988" s="265"/>
      <c r="H988" s="265">
        <f t="shared" si="15"/>
        <v>500</v>
      </c>
    </row>
    <row r="989" spans="2:8" x14ac:dyDescent="0.2">
      <c r="B989" s="262" t="s">
        <v>1884</v>
      </c>
      <c r="C989" s="263">
        <v>42643</v>
      </c>
      <c r="D989" s="264" t="s">
        <v>1873</v>
      </c>
      <c r="E989" s="264" t="s">
        <v>2815</v>
      </c>
      <c r="F989" s="265">
        <v>450</v>
      </c>
      <c r="G989" s="265"/>
      <c r="H989" s="265">
        <f t="shared" si="15"/>
        <v>450</v>
      </c>
    </row>
    <row r="990" spans="2:8" x14ac:dyDescent="0.2">
      <c r="B990" s="262" t="s">
        <v>1863</v>
      </c>
      <c r="C990" s="263">
        <v>42643</v>
      </c>
      <c r="D990" s="264" t="s">
        <v>1873</v>
      </c>
      <c r="E990" s="264" t="s">
        <v>2816</v>
      </c>
      <c r="F990" s="265">
        <v>350</v>
      </c>
      <c r="G990" s="265"/>
      <c r="H990" s="265">
        <f t="shared" si="15"/>
        <v>350</v>
      </c>
    </row>
    <row r="991" spans="2:8" x14ac:dyDescent="0.2">
      <c r="B991" s="262" t="s">
        <v>1866</v>
      </c>
      <c r="C991" s="263">
        <v>42643</v>
      </c>
      <c r="D991" s="264" t="s">
        <v>1890</v>
      </c>
      <c r="E991" s="264" t="s">
        <v>2468</v>
      </c>
      <c r="F991" s="265">
        <v>180</v>
      </c>
      <c r="G991" s="265"/>
      <c r="H991" s="265">
        <f t="shared" si="15"/>
        <v>180</v>
      </c>
    </row>
    <row r="992" spans="2:8" x14ac:dyDescent="0.2">
      <c r="B992" s="262" t="s">
        <v>1805</v>
      </c>
      <c r="C992" s="263">
        <v>42643</v>
      </c>
      <c r="D992" s="264" t="s">
        <v>1910</v>
      </c>
      <c r="E992" s="264" t="s">
        <v>2817</v>
      </c>
      <c r="F992" s="265">
        <v>1000</v>
      </c>
      <c r="G992" s="265"/>
      <c r="H992" s="265">
        <f t="shared" si="15"/>
        <v>1000</v>
      </c>
    </row>
    <row r="993" spans="2:9" x14ac:dyDescent="0.2">
      <c r="B993" s="262" t="s">
        <v>1858</v>
      </c>
      <c r="C993" s="263">
        <v>42643</v>
      </c>
      <c r="D993" s="264" t="s">
        <v>2818</v>
      </c>
      <c r="E993" s="264" t="s">
        <v>2819</v>
      </c>
      <c r="F993" s="265">
        <v>500</v>
      </c>
      <c r="G993" s="265"/>
      <c r="H993" s="265">
        <f t="shared" si="15"/>
        <v>500</v>
      </c>
    </row>
    <row r="994" spans="2:9" x14ac:dyDescent="0.2">
      <c r="B994" s="262" t="s">
        <v>1884</v>
      </c>
      <c r="C994" s="263">
        <v>42643</v>
      </c>
      <c r="D994" s="264" t="s">
        <v>2250</v>
      </c>
      <c r="E994" s="264" t="s">
        <v>2820</v>
      </c>
      <c r="F994" s="265">
        <v>350</v>
      </c>
      <c r="G994" s="265"/>
      <c r="H994" s="265">
        <f t="shared" si="15"/>
        <v>350</v>
      </c>
    </row>
    <row r="995" spans="2:9" x14ac:dyDescent="0.2">
      <c r="B995" s="262" t="s">
        <v>1857</v>
      </c>
      <c r="C995" s="263">
        <v>42643</v>
      </c>
      <c r="D995" s="264" t="s">
        <v>2821</v>
      </c>
      <c r="E995" s="264" t="s">
        <v>2822</v>
      </c>
      <c r="F995" s="265">
        <v>100</v>
      </c>
      <c r="G995" s="265"/>
      <c r="H995" s="265">
        <f t="shared" si="15"/>
        <v>100</v>
      </c>
    </row>
    <row r="996" spans="2:9" x14ac:dyDescent="0.2">
      <c r="B996" s="262" t="s">
        <v>1858</v>
      </c>
      <c r="C996" s="263">
        <v>42643</v>
      </c>
      <c r="D996" s="264" t="s">
        <v>1885</v>
      </c>
      <c r="E996" s="264" t="s">
        <v>2823</v>
      </c>
      <c r="F996" s="265">
        <v>509.49</v>
      </c>
      <c r="G996" s="265"/>
      <c r="H996" s="265">
        <f t="shared" si="15"/>
        <v>509.49</v>
      </c>
    </row>
    <row r="997" spans="2:9" x14ac:dyDescent="0.2">
      <c r="B997" s="262" t="s">
        <v>1577</v>
      </c>
      <c r="C997" s="263">
        <v>42643</v>
      </c>
      <c r="D997" s="264" t="s">
        <v>1899</v>
      </c>
      <c r="E997" s="264" t="s">
        <v>2824</v>
      </c>
      <c r="F997" s="265">
        <v>29000</v>
      </c>
      <c r="G997" s="265"/>
      <c r="H997" s="265">
        <f t="shared" si="15"/>
        <v>29000</v>
      </c>
    </row>
    <row r="998" spans="2:9" x14ac:dyDescent="0.2">
      <c r="B998" s="262" t="s">
        <v>1859</v>
      </c>
      <c r="C998" s="263">
        <v>42643</v>
      </c>
      <c r="D998" s="264" t="s">
        <v>1911</v>
      </c>
      <c r="E998" s="264" t="s">
        <v>2825</v>
      </c>
      <c r="F998" s="265">
        <v>4000</v>
      </c>
      <c r="G998" s="265"/>
      <c r="H998" s="265">
        <f t="shared" si="15"/>
        <v>4000</v>
      </c>
    </row>
    <row r="999" spans="2:9" x14ac:dyDescent="0.2">
      <c r="B999" s="262" t="s">
        <v>1887</v>
      </c>
      <c r="C999" s="263">
        <v>42616</v>
      </c>
      <c r="D999" s="264" t="s">
        <v>1534</v>
      </c>
      <c r="E999" s="264" t="s">
        <v>1536</v>
      </c>
      <c r="F999" s="265">
        <v>-0.46</v>
      </c>
      <c r="G999" s="265"/>
      <c r="H999" s="265">
        <f t="shared" si="15"/>
        <v>-0.46</v>
      </c>
    </row>
    <row r="1000" spans="2:9" x14ac:dyDescent="0.2">
      <c r="B1000" s="262" t="s">
        <v>1790</v>
      </c>
      <c r="C1000" s="263">
        <v>42634</v>
      </c>
      <c r="D1000" s="264" t="s">
        <v>1909</v>
      </c>
      <c r="E1000" s="264" t="s">
        <v>2826</v>
      </c>
      <c r="F1000" s="265"/>
      <c r="G1000" s="265">
        <v>-1760</v>
      </c>
      <c r="H1000" s="265">
        <f t="shared" si="15"/>
        <v>-1760</v>
      </c>
    </row>
    <row r="1001" spans="2:9" x14ac:dyDescent="0.2">
      <c r="B1001" s="262" t="s">
        <v>1887</v>
      </c>
      <c r="C1001" s="263" t="s">
        <v>3217</v>
      </c>
      <c r="D1001" s="264" t="s">
        <v>1597</v>
      </c>
      <c r="E1001" s="264" t="s">
        <v>2229</v>
      </c>
      <c r="F1001" s="265">
        <v>98</v>
      </c>
      <c r="G1001" s="265"/>
      <c r="H1001" s="265">
        <f t="shared" si="15"/>
        <v>98</v>
      </c>
    </row>
    <row r="1002" spans="2:9" x14ac:dyDescent="0.2">
      <c r="B1002" s="266" t="s">
        <v>1790</v>
      </c>
      <c r="C1002" s="267" t="s">
        <v>3217</v>
      </c>
      <c r="D1002" s="268" t="s">
        <v>1597</v>
      </c>
      <c r="E1002" s="268" t="s">
        <v>2230</v>
      </c>
      <c r="F1002" s="269"/>
      <c r="G1002" s="269">
        <v>15.68</v>
      </c>
      <c r="H1002" s="269">
        <f t="shared" si="15"/>
        <v>15.68</v>
      </c>
      <c r="I1002" s="175">
        <f>SUM(H877:H1002)</f>
        <v>130230.75000000003</v>
      </c>
    </row>
    <row r="1003" spans="2:9" ht="18" customHeight="1" x14ac:dyDescent="0.2">
      <c r="B1003" s="270" t="s">
        <v>1850</v>
      </c>
      <c r="C1003" s="270" t="s">
        <v>1851</v>
      </c>
      <c r="D1003" s="271" t="s">
        <v>1852</v>
      </c>
      <c r="E1003" s="271" t="s">
        <v>1853</v>
      </c>
      <c r="F1003" s="272" t="s">
        <v>1854</v>
      </c>
      <c r="G1003" s="272" t="s">
        <v>1855</v>
      </c>
      <c r="H1003" s="257" t="s">
        <v>1856</v>
      </c>
    </row>
    <row r="1004" spans="2:9" x14ac:dyDescent="0.2">
      <c r="B1004" s="258" t="s">
        <v>1858</v>
      </c>
      <c r="C1004" s="259">
        <v>42644</v>
      </c>
      <c r="D1004" s="260" t="s">
        <v>2608</v>
      </c>
      <c r="E1004" s="260" t="s">
        <v>2827</v>
      </c>
      <c r="F1004" s="261">
        <v>30</v>
      </c>
      <c r="G1004" s="261"/>
      <c r="H1004" s="261">
        <f t="shared" si="15"/>
        <v>30</v>
      </c>
    </row>
    <row r="1005" spans="2:9" x14ac:dyDescent="0.2">
      <c r="B1005" s="262" t="s">
        <v>1884</v>
      </c>
      <c r="C1005" s="263">
        <v>42645</v>
      </c>
      <c r="D1005" s="264" t="s">
        <v>2535</v>
      </c>
      <c r="E1005" s="264" t="s">
        <v>2828</v>
      </c>
      <c r="F1005" s="265">
        <v>120.5</v>
      </c>
      <c r="G1005" s="265"/>
      <c r="H1005" s="265">
        <f t="shared" si="15"/>
        <v>120.5</v>
      </c>
    </row>
    <row r="1006" spans="2:9" x14ac:dyDescent="0.2">
      <c r="B1006" s="262" t="s">
        <v>1884</v>
      </c>
      <c r="C1006" s="263">
        <v>42645</v>
      </c>
      <c r="D1006" s="264" t="s">
        <v>1915</v>
      </c>
      <c r="E1006" s="264" t="s">
        <v>2829</v>
      </c>
      <c r="F1006" s="265">
        <v>500</v>
      </c>
      <c r="G1006" s="265"/>
      <c r="H1006" s="265">
        <f t="shared" si="15"/>
        <v>500</v>
      </c>
    </row>
    <row r="1007" spans="2:9" x14ac:dyDescent="0.2">
      <c r="B1007" s="262" t="s">
        <v>1884</v>
      </c>
      <c r="C1007" s="263">
        <v>42645</v>
      </c>
      <c r="D1007" s="264" t="s">
        <v>2250</v>
      </c>
      <c r="E1007" s="264" t="s">
        <v>2026</v>
      </c>
      <c r="F1007" s="265">
        <v>120</v>
      </c>
      <c r="G1007" s="265"/>
      <c r="H1007" s="265">
        <f t="shared" si="15"/>
        <v>120</v>
      </c>
    </row>
    <row r="1008" spans="2:9" x14ac:dyDescent="0.2">
      <c r="B1008" s="262" t="s">
        <v>1866</v>
      </c>
      <c r="C1008" s="263">
        <v>42646</v>
      </c>
      <c r="D1008" s="264" t="s">
        <v>1890</v>
      </c>
      <c r="E1008" s="264" t="s">
        <v>2677</v>
      </c>
      <c r="F1008" s="265">
        <v>280</v>
      </c>
      <c r="G1008" s="265"/>
      <c r="H1008" s="265">
        <f t="shared" si="15"/>
        <v>280</v>
      </c>
    </row>
    <row r="1009" spans="2:8" x14ac:dyDescent="0.2">
      <c r="B1009" s="262" t="s">
        <v>1884</v>
      </c>
      <c r="C1009" s="263">
        <v>42646</v>
      </c>
      <c r="D1009" s="264" t="s">
        <v>2535</v>
      </c>
      <c r="E1009" s="264" t="s">
        <v>2830</v>
      </c>
      <c r="F1009" s="265">
        <v>45</v>
      </c>
      <c r="G1009" s="265"/>
      <c r="H1009" s="265">
        <f t="shared" si="15"/>
        <v>45</v>
      </c>
    </row>
    <row r="1010" spans="2:8" x14ac:dyDescent="0.2">
      <c r="B1010" s="262" t="s">
        <v>1864</v>
      </c>
      <c r="C1010" s="263">
        <v>42646</v>
      </c>
      <c r="D1010" s="264" t="s">
        <v>1910</v>
      </c>
      <c r="E1010" s="264" t="s">
        <v>2831</v>
      </c>
      <c r="F1010" s="265">
        <v>400</v>
      </c>
      <c r="G1010" s="265"/>
      <c r="H1010" s="265">
        <f t="shared" si="15"/>
        <v>400</v>
      </c>
    </row>
    <row r="1011" spans="2:8" x14ac:dyDescent="0.2">
      <c r="B1011" s="262" t="s">
        <v>1867</v>
      </c>
      <c r="C1011" s="263">
        <v>42649</v>
      </c>
      <c r="D1011" s="264" t="s">
        <v>1894</v>
      </c>
      <c r="E1011" s="264" t="s">
        <v>2832</v>
      </c>
      <c r="F1011" s="265">
        <v>791</v>
      </c>
      <c r="G1011" s="265"/>
      <c r="H1011" s="265">
        <f t="shared" si="15"/>
        <v>791</v>
      </c>
    </row>
    <row r="1012" spans="2:8" x14ac:dyDescent="0.2">
      <c r="B1012" s="262" t="s">
        <v>1875</v>
      </c>
      <c r="C1012" s="263">
        <v>42649</v>
      </c>
      <c r="D1012" s="264" t="s">
        <v>1893</v>
      </c>
      <c r="E1012" s="264" t="s">
        <v>1942</v>
      </c>
      <c r="F1012" s="265">
        <v>400.9</v>
      </c>
      <c r="G1012" s="265"/>
      <c r="H1012" s="265">
        <f t="shared" si="15"/>
        <v>400.9</v>
      </c>
    </row>
    <row r="1013" spans="2:8" x14ac:dyDescent="0.2">
      <c r="B1013" s="262" t="s">
        <v>1863</v>
      </c>
      <c r="C1013" s="263">
        <v>42649</v>
      </c>
      <c r="D1013" s="264" t="s">
        <v>1893</v>
      </c>
      <c r="E1013" s="264" t="s">
        <v>2833</v>
      </c>
      <c r="F1013" s="265">
        <v>246.7</v>
      </c>
      <c r="G1013" s="265"/>
      <c r="H1013" s="265">
        <f t="shared" si="15"/>
        <v>246.7</v>
      </c>
    </row>
    <row r="1014" spans="2:8" x14ac:dyDescent="0.2">
      <c r="B1014" s="262" t="s">
        <v>1863</v>
      </c>
      <c r="C1014" s="263">
        <v>42649</v>
      </c>
      <c r="D1014" s="264" t="s">
        <v>2162</v>
      </c>
      <c r="E1014" s="264" t="s">
        <v>2834</v>
      </c>
      <c r="F1014" s="265">
        <v>10</v>
      </c>
      <c r="G1014" s="265"/>
      <c r="H1014" s="265">
        <f t="shared" si="15"/>
        <v>10</v>
      </c>
    </row>
    <row r="1015" spans="2:8" x14ac:dyDescent="0.2">
      <c r="B1015" s="262" t="s">
        <v>1863</v>
      </c>
      <c r="C1015" s="263">
        <v>42649</v>
      </c>
      <c r="D1015" s="264" t="s">
        <v>2741</v>
      </c>
      <c r="E1015" s="264" t="s">
        <v>2835</v>
      </c>
      <c r="F1015" s="265">
        <v>32.67</v>
      </c>
      <c r="G1015" s="265">
        <v>5.23</v>
      </c>
      <c r="H1015" s="265">
        <f t="shared" si="15"/>
        <v>37.900000000000006</v>
      </c>
    </row>
    <row r="1016" spans="2:8" x14ac:dyDescent="0.2">
      <c r="B1016" s="262" t="s">
        <v>1863</v>
      </c>
      <c r="C1016" s="263">
        <v>42649</v>
      </c>
      <c r="D1016" s="264" t="s">
        <v>1918</v>
      </c>
      <c r="E1016" s="264" t="s">
        <v>2836</v>
      </c>
      <c r="F1016" s="265">
        <v>5</v>
      </c>
      <c r="G1016" s="265"/>
      <c r="H1016" s="265">
        <f t="shared" si="15"/>
        <v>5</v>
      </c>
    </row>
    <row r="1017" spans="2:8" x14ac:dyDescent="0.2">
      <c r="B1017" s="262" t="s">
        <v>1860</v>
      </c>
      <c r="C1017" s="263">
        <v>42649</v>
      </c>
      <c r="D1017" s="264" t="s">
        <v>1893</v>
      </c>
      <c r="E1017" s="264" t="s">
        <v>2837</v>
      </c>
      <c r="F1017" s="265">
        <v>49.3</v>
      </c>
      <c r="G1017" s="265"/>
      <c r="H1017" s="265">
        <f t="shared" si="15"/>
        <v>49.3</v>
      </c>
    </row>
    <row r="1018" spans="2:8" x14ac:dyDescent="0.2">
      <c r="B1018" s="262" t="s">
        <v>1870</v>
      </c>
      <c r="C1018" s="263">
        <v>42649</v>
      </c>
      <c r="D1018" s="264" t="s">
        <v>1892</v>
      </c>
      <c r="E1018" s="264" t="s">
        <v>2838</v>
      </c>
      <c r="F1018" s="265">
        <v>350</v>
      </c>
      <c r="G1018" s="265"/>
      <c r="H1018" s="265">
        <f t="shared" si="15"/>
        <v>350</v>
      </c>
    </row>
    <row r="1019" spans="2:8" x14ac:dyDescent="0.2">
      <c r="B1019" s="262" t="s">
        <v>1875</v>
      </c>
      <c r="C1019" s="263">
        <v>42649</v>
      </c>
      <c r="D1019" s="264" t="s">
        <v>2821</v>
      </c>
      <c r="E1019" s="264" t="s">
        <v>2839</v>
      </c>
      <c r="F1019" s="265">
        <v>100</v>
      </c>
      <c r="G1019" s="265"/>
      <c r="H1019" s="265">
        <f t="shared" si="15"/>
        <v>100</v>
      </c>
    </row>
    <row r="1020" spans="2:8" x14ac:dyDescent="0.2">
      <c r="B1020" s="262" t="s">
        <v>1863</v>
      </c>
      <c r="C1020" s="263">
        <v>42649</v>
      </c>
      <c r="D1020" s="264" t="s">
        <v>2419</v>
      </c>
      <c r="E1020" s="264" t="s">
        <v>2840</v>
      </c>
      <c r="F1020" s="265">
        <v>320</v>
      </c>
      <c r="G1020" s="265"/>
      <c r="H1020" s="265">
        <f t="shared" si="15"/>
        <v>320</v>
      </c>
    </row>
    <row r="1021" spans="2:8" x14ac:dyDescent="0.2">
      <c r="B1021" s="262" t="s">
        <v>1861</v>
      </c>
      <c r="C1021" s="263">
        <v>42650</v>
      </c>
      <c r="D1021" s="264" t="s">
        <v>2210</v>
      </c>
      <c r="E1021" s="264" t="s">
        <v>2841</v>
      </c>
      <c r="F1021" s="265">
        <v>250</v>
      </c>
      <c r="G1021" s="265"/>
      <c r="H1021" s="265">
        <f t="shared" si="15"/>
        <v>250</v>
      </c>
    </row>
    <row r="1022" spans="2:8" x14ac:dyDescent="0.2">
      <c r="B1022" s="262" t="s">
        <v>1805</v>
      </c>
      <c r="C1022" s="263">
        <v>42650</v>
      </c>
      <c r="D1022" s="264" t="s">
        <v>1910</v>
      </c>
      <c r="E1022" s="264" t="s">
        <v>2842</v>
      </c>
      <c r="F1022" s="265">
        <v>1000</v>
      </c>
      <c r="G1022" s="265"/>
      <c r="H1022" s="265">
        <f t="shared" si="15"/>
        <v>1000</v>
      </c>
    </row>
    <row r="1023" spans="2:8" x14ac:dyDescent="0.2">
      <c r="B1023" s="262" t="s">
        <v>1858</v>
      </c>
      <c r="C1023" s="263">
        <v>42650</v>
      </c>
      <c r="D1023" s="264" t="s">
        <v>2843</v>
      </c>
      <c r="E1023" s="264" t="s">
        <v>2844</v>
      </c>
      <c r="F1023" s="265">
        <v>400</v>
      </c>
      <c r="G1023" s="265"/>
      <c r="H1023" s="265">
        <f t="shared" si="15"/>
        <v>400</v>
      </c>
    </row>
    <row r="1024" spans="2:8" x14ac:dyDescent="0.2">
      <c r="B1024" s="262" t="s">
        <v>1863</v>
      </c>
      <c r="C1024" s="263">
        <v>42651</v>
      </c>
      <c r="D1024" s="264" t="s">
        <v>1878</v>
      </c>
      <c r="E1024" s="264" t="s">
        <v>2845</v>
      </c>
      <c r="F1024" s="265">
        <v>500</v>
      </c>
      <c r="G1024" s="265"/>
      <c r="H1024" s="265">
        <f t="shared" si="15"/>
        <v>500</v>
      </c>
    </row>
    <row r="1025" spans="2:8" x14ac:dyDescent="0.2">
      <c r="B1025" s="262" t="s">
        <v>1884</v>
      </c>
      <c r="C1025" s="263">
        <v>42652</v>
      </c>
      <c r="D1025" s="264" t="s">
        <v>2273</v>
      </c>
      <c r="E1025" s="264" t="s">
        <v>2536</v>
      </c>
      <c r="F1025" s="265">
        <v>148</v>
      </c>
      <c r="G1025" s="265"/>
      <c r="H1025" s="265">
        <f t="shared" si="15"/>
        <v>148</v>
      </c>
    </row>
    <row r="1026" spans="2:8" x14ac:dyDescent="0.2">
      <c r="B1026" s="262" t="s">
        <v>1884</v>
      </c>
      <c r="C1026" s="263">
        <v>42652</v>
      </c>
      <c r="D1026" s="264" t="s">
        <v>2250</v>
      </c>
      <c r="E1026" s="264" t="s">
        <v>2846</v>
      </c>
      <c r="F1026" s="265">
        <v>120</v>
      </c>
      <c r="G1026" s="265"/>
      <c r="H1026" s="265">
        <f t="shared" si="15"/>
        <v>120</v>
      </c>
    </row>
    <row r="1027" spans="2:8" x14ac:dyDescent="0.2">
      <c r="B1027" s="262" t="s">
        <v>1863</v>
      </c>
      <c r="C1027" s="263">
        <v>42652</v>
      </c>
      <c r="D1027" s="264" t="s">
        <v>2250</v>
      </c>
      <c r="E1027" s="264" t="s">
        <v>2847</v>
      </c>
      <c r="F1027" s="265">
        <v>150</v>
      </c>
      <c r="G1027" s="265"/>
      <c r="H1027" s="265">
        <f t="shared" si="15"/>
        <v>150</v>
      </c>
    </row>
    <row r="1028" spans="2:8" x14ac:dyDescent="0.2">
      <c r="B1028" s="262" t="s">
        <v>1863</v>
      </c>
      <c r="C1028" s="263">
        <v>42653</v>
      </c>
      <c r="D1028" s="264" t="s">
        <v>1873</v>
      </c>
      <c r="E1028" s="264" t="s">
        <v>2848</v>
      </c>
      <c r="F1028" s="265">
        <v>200</v>
      </c>
      <c r="G1028" s="265"/>
      <c r="H1028" s="265">
        <f t="shared" si="15"/>
        <v>200</v>
      </c>
    </row>
    <row r="1029" spans="2:8" x14ac:dyDescent="0.2">
      <c r="B1029" s="262" t="s">
        <v>1866</v>
      </c>
      <c r="C1029" s="263">
        <v>42653</v>
      </c>
      <c r="D1029" s="264" t="s">
        <v>1890</v>
      </c>
      <c r="E1029" s="264" t="s">
        <v>2849</v>
      </c>
      <c r="F1029" s="265">
        <v>310</v>
      </c>
      <c r="G1029" s="265"/>
      <c r="H1029" s="265">
        <f t="shared" ref="H1029:H1092" si="16">SUM(F1029:G1029)</f>
        <v>310</v>
      </c>
    </row>
    <row r="1030" spans="2:8" x14ac:dyDescent="0.2">
      <c r="B1030" s="262" t="s">
        <v>1860</v>
      </c>
      <c r="C1030" s="263">
        <v>42653</v>
      </c>
      <c r="D1030" s="264" t="s">
        <v>1891</v>
      </c>
      <c r="E1030" s="264" t="s">
        <v>2591</v>
      </c>
      <c r="F1030" s="265">
        <v>799</v>
      </c>
      <c r="G1030" s="265"/>
      <c r="H1030" s="265">
        <f t="shared" si="16"/>
        <v>799</v>
      </c>
    </row>
    <row r="1031" spans="2:8" x14ac:dyDescent="0.2">
      <c r="B1031" s="262" t="s">
        <v>1860</v>
      </c>
      <c r="C1031" s="263">
        <v>42653</v>
      </c>
      <c r="D1031" s="264" t="s">
        <v>1925</v>
      </c>
      <c r="E1031" s="264" t="s">
        <v>2850</v>
      </c>
      <c r="F1031" s="265">
        <v>5</v>
      </c>
      <c r="G1031" s="265"/>
      <c r="H1031" s="265">
        <f t="shared" si="16"/>
        <v>5</v>
      </c>
    </row>
    <row r="1032" spans="2:8" x14ac:dyDescent="0.2">
      <c r="B1032" s="262" t="s">
        <v>1863</v>
      </c>
      <c r="C1032" s="263">
        <v>42653</v>
      </c>
      <c r="D1032" s="264" t="s">
        <v>2419</v>
      </c>
      <c r="E1032" s="264" t="s">
        <v>2851</v>
      </c>
      <c r="F1032" s="265">
        <v>350</v>
      </c>
      <c r="G1032" s="265"/>
      <c r="H1032" s="265">
        <f t="shared" si="16"/>
        <v>350</v>
      </c>
    </row>
    <row r="1033" spans="2:8" x14ac:dyDescent="0.2">
      <c r="B1033" s="262" t="s">
        <v>1884</v>
      </c>
      <c r="C1033" s="263">
        <v>42653</v>
      </c>
      <c r="D1033" s="264" t="s">
        <v>1912</v>
      </c>
      <c r="E1033" s="264" t="s">
        <v>2852</v>
      </c>
      <c r="F1033" s="265">
        <v>302.56</v>
      </c>
      <c r="G1033" s="265">
        <v>46.94</v>
      </c>
      <c r="H1033" s="265">
        <f t="shared" si="16"/>
        <v>349.5</v>
      </c>
    </row>
    <row r="1034" spans="2:8" x14ac:dyDescent="0.2">
      <c r="B1034" s="262" t="s">
        <v>1864</v>
      </c>
      <c r="C1034" s="263">
        <v>42653</v>
      </c>
      <c r="D1034" s="264" t="s">
        <v>1910</v>
      </c>
      <c r="E1034" s="264" t="s">
        <v>2853</v>
      </c>
      <c r="F1034" s="265">
        <v>400</v>
      </c>
      <c r="G1034" s="265"/>
      <c r="H1034" s="265">
        <f t="shared" si="16"/>
        <v>400</v>
      </c>
    </row>
    <row r="1035" spans="2:8" x14ac:dyDescent="0.2">
      <c r="B1035" s="262" t="s">
        <v>1858</v>
      </c>
      <c r="C1035" s="263">
        <v>42654</v>
      </c>
      <c r="D1035" s="264" t="s">
        <v>1897</v>
      </c>
      <c r="E1035" s="264" t="s">
        <v>2854</v>
      </c>
      <c r="F1035" s="265">
        <v>100</v>
      </c>
      <c r="G1035" s="265"/>
      <c r="H1035" s="265">
        <f t="shared" si="16"/>
        <v>100</v>
      </c>
    </row>
    <row r="1036" spans="2:8" x14ac:dyDescent="0.2">
      <c r="B1036" s="262" t="s">
        <v>1877</v>
      </c>
      <c r="C1036" s="263">
        <v>42654</v>
      </c>
      <c r="D1036" s="264" t="s">
        <v>1911</v>
      </c>
      <c r="E1036" s="264" t="s">
        <v>2855</v>
      </c>
      <c r="F1036" s="265">
        <v>28</v>
      </c>
      <c r="G1036" s="265"/>
      <c r="H1036" s="265">
        <f t="shared" si="16"/>
        <v>28</v>
      </c>
    </row>
    <row r="1037" spans="2:8" x14ac:dyDescent="0.2">
      <c r="B1037" s="262" t="s">
        <v>1860</v>
      </c>
      <c r="C1037" s="263">
        <v>42654</v>
      </c>
      <c r="D1037" s="264" t="s">
        <v>1926</v>
      </c>
      <c r="E1037" s="264" t="s">
        <v>2856</v>
      </c>
      <c r="F1037" s="265">
        <v>40</v>
      </c>
      <c r="G1037" s="265"/>
      <c r="H1037" s="265">
        <f t="shared" si="16"/>
        <v>40</v>
      </c>
    </row>
    <row r="1038" spans="2:8" x14ac:dyDescent="0.2">
      <c r="B1038" s="262" t="s">
        <v>1858</v>
      </c>
      <c r="C1038" s="263">
        <v>42654</v>
      </c>
      <c r="D1038" s="264" t="s">
        <v>1897</v>
      </c>
      <c r="E1038" s="264" t="s">
        <v>2857</v>
      </c>
      <c r="F1038" s="265">
        <v>200</v>
      </c>
      <c r="G1038" s="265"/>
      <c r="H1038" s="265">
        <f t="shared" si="16"/>
        <v>200</v>
      </c>
    </row>
    <row r="1039" spans="2:8" x14ac:dyDescent="0.2">
      <c r="B1039" s="262" t="s">
        <v>1877</v>
      </c>
      <c r="C1039" s="263">
        <v>42655</v>
      </c>
      <c r="D1039" s="264" t="s">
        <v>1911</v>
      </c>
      <c r="E1039" s="264" t="s">
        <v>2858</v>
      </c>
      <c r="F1039" s="265">
        <v>150</v>
      </c>
      <c r="G1039" s="265"/>
      <c r="H1039" s="265">
        <f t="shared" si="16"/>
        <v>150</v>
      </c>
    </row>
    <row r="1040" spans="2:8" x14ac:dyDescent="0.2">
      <c r="B1040" s="262" t="s">
        <v>1877</v>
      </c>
      <c r="C1040" s="263">
        <v>42655</v>
      </c>
      <c r="D1040" s="264" t="s">
        <v>1911</v>
      </c>
      <c r="E1040" s="264" t="s">
        <v>2859</v>
      </c>
      <c r="F1040" s="265">
        <v>200</v>
      </c>
      <c r="G1040" s="265"/>
      <c r="H1040" s="265">
        <f t="shared" si="16"/>
        <v>200</v>
      </c>
    </row>
    <row r="1041" spans="2:8" x14ac:dyDescent="0.2">
      <c r="B1041" s="262" t="s">
        <v>1860</v>
      </c>
      <c r="C1041" s="263">
        <v>42655</v>
      </c>
      <c r="D1041" s="264" t="s">
        <v>1926</v>
      </c>
      <c r="E1041" s="264" t="s">
        <v>2860</v>
      </c>
      <c r="F1041" s="265">
        <v>675</v>
      </c>
      <c r="G1041" s="265"/>
      <c r="H1041" s="265">
        <f t="shared" si="16"/>
        <v>675</v>
      </c>
    </row>
    <row r="1042" spans="2:8" x14ac:dyDescent="0.2">
      <c r="B1042" s="262" t="s">
        <v>1884</v>
      </c>
      <c r="C1042" s="263">
        <v>42656</v>
      </c>
      <c r="D1042" s="264" t="s">
        <v>2861</v>
      </c>
      <c r="E1042" s="264" t="s">
        <v>2862</v>
      </c>
      <c r="F1042" s="265">
        <v>36</v>
      </c>
      <c r="G1042" s="265"/>
      <c r="H1042" s="265">
        <f t="shared" si="16"/>
        <v>36</v>
      </c>
    </row>
    <row r="1043" spans="2:8" x14ac:dyDescent="0.2">
      <c r="B1043" s="262" t="s">
        <v>1861</v>
      </c>
      <c r="C1043" s="263">
        <v>42657</v>
      </c>
      <c r="D1043" s="264" t="s">
        <v>2652</v>
      </c>
      <c r="E1043" s="264" t="s">
        <v>2863</v>
      </c>
      <c r="F1043" s="265">
        <v>170</v>
      </c>
      <c r="G1043" s="265"/>
      <c r="H1043" s="265">
        <f t="shared" si="16"/>
        <v>170</v>
      </c>
    </row>
    <row r="1044" spans="2:8" x14ac:dyDescent="0.2">
      <c r="B1044" s="262" t="s">
        <v>1861</v>
      </c>
      <c r="C1044" s="263">
        <v>42657</v>
      </c>
      <c r="D1044" s="264" t="s">
        <v>1981</v>
      </c>
      <c r="E1044" s="264" t="s">
        <v>2864</v>
      </c>
      <c r="F1044" s="265">
        <v>92</v>
      </c>
      <c r="G1044" s="265"/>
      <c r="H1044" s="265">
        <f t="shared" si="16"/>
        <v>92</v>
      </c>
    </row>
    <row r="1045" spans="2:8" x14ac:dyDescent="0.2">
      <c r="B1045" s="262" t="s">
        <v>1875</v>
      </c>
      <c r="C1045" s="263">
        <v>42657</v>
      </c>
      <c r="D1045" s="264" t="s">
        <v>2818</v>
      </c>
      <c r="E1045" s="264" t="s">
        <v>1942</v>
      </c>
      <c r="F1045" s="265">
        <v>120</v>
      </c>
      <c r="G1045" s="265"/>
      <c r="H1045" s="265">
        <f t="shared" si="16"/>
        <v>120</v>
      </c>
    </row>
    <row r="1046" spans="2:8" x14ac:dyDescent="0.2">
      <c r="B1046" s="262" t="s">
        <v>1805</v>
      </c>
      <c r="C1046" s="263">
        <v>42657</v>
      </c>
      <c r="D1046" s="264" t="s">
        <v>1910</v>
      </c>
      <c r="E1046" s="264" t="s">
        <v>3019</v>
      </c>
      <c r="F1046" s="265">
        <v>1000</v>
      </c>
      <c r="G1046" s="265"/>
      <c r="H1046" s="265">
        <f t="shared" si="16"/>
        <v>1000</v>
      </c>
    </row>
    <row r="1047" spans="2:8" x14ac:dyDescent="0.2">
      <c r="B1047" s="262" t="s">
        <v>1861</v>
      </c>
      <c r="C1047" s="263">
        <v>42657</v>
      </c>
      <c r="D1047" s="264" t="s">
        <v>1981</v>
      </c>
      <c r="E1047" s="264" t="s">
        <v>2865</v>
      </c>
      <c r="F1047" s="265">
        <v>345</v>
      </c>
      <c r="G1047" s="265"/>
      <c r="H1047" s="265">
        <f t="shared" si="16"/>
        <v>345</v>
      </c>
    </row>
    <row r="1048" spans="2:8" x14ac:dyDescent="0.2">
      <c r="B1048" s="262" t="s">
        <v>1884</v>
      </c>
      <c r="C1048" s="263">
        <v>42658</v>
      </c>
      <c r="D1048" s="264" t="s">
        <v>1873</v>
      </c>
      <c r="E1048" s="264" t="s">
        <v>2866</v>
      </c>
      <c r="F1048" s="265">
        <v>450</v>
      </c>
      <c r="G1048" s="265"/>
      <c r="H1048" s="265">
        <f t="shared" si="16"/>
        <v>450</v>
      </c>
    </row>
    <row r="1049" spans="2:8" x14ac:dyDescent="0.2">
      <c r="B1049" s="262" t="s">
        <v>1884</v>
      </c>
      <c r="C1049" s="263">
        <v>42658</v>
      </c>
      <c r="D1049" s="264" t="s">
        <v>2250</v>
      </c>
      <c r="E1049" s="264" t="s">
        <v>2867</v>
      </c>
      <c r="F1049" s="265">
        <v>350</v>
      </c>
      <c r="G1049" s="265"/>
      <c r="H1049" s="265">
        <f t="shared" si="16"/>
        <v>350</v>
      </c>
    </row>
    <row r="1050" spans="2:8" x14ac:dyDescent="0.2">
      <c r="B1050" s="262" t="s">
        <v>1863</v>
      </c>
      <c r="C1050" s="263">
        <v>42658</v>
      </c>
      <c r="D1050" s="264" t="s">
        <v>1878</v>
      </c>
      <c r="E1050" s="264" t="s">
        <v>2868</v>
      </c>
      <c r="F1050" s="265">
        <v>500</v>
      </c>
      <c r="G1050" s="265"/>
      <c r="H1050" s="265">
        <f t="shared" si="16"/>
        <v>500</v>
      </c>
    </row>
    <row r="1051" spans="2:8" x14ac:dyDescent="0.2">
      <c r="B1051" s="262" t="s">
        <v>1860</v>
      </c>
      <c r="C1051" s="263">
        <v>42658</v>
      </c>
      <c r="D1051" s="264" t="s">
        <v>1925</v>
      </c>
      <c r="E1051" s="264" t="s">
        <v>2869</v>
      </c>
      <c r="F1051" s="265">
        <v>10</v>
      </c>
      <c r="G1051" s="265"/>
      <c r="H1051" s="265">
        <f t="shared" si="16"/>
        <v>10</v>
      </c>
    </row>
    <row r="1052" spans="2:8" x14ac:dyDescent="0.2">
      <c r="B1052" s="262" t="s">
        <v>1577</v>
      </c>
      <c r="C1052" s="263">
        <v>42658</v>
      </c>
      <c r="D1052" s="264" t="s">
        <v>1899</v>
      </c>
      <c r="E1052" s="264" t="s">
        <v>2870</v>
      </c>
      <c r="F1052" s="265">
        <v>17000</v>
      </c>
      <c r="G1052" s="265"/>
      <c r="H1052" s="265">
        <f t="shared" si="16"/>
        <v>17000</v>
      </c>
    </row>
    <row r="1053" spans="2:8" x14ac:dyDescent="0.2">
      <c r="B1053" s="262" t="s">
        <v>1577</v>
      </c>
      <c r="C1053" s="263">
        <v>42658</v>
      </c>
      <c r="D1053" s="264" t="s">
        <v>1899</v>
      </c>
      <c r="E1053" s="264" t="s">
        <v>2871</v>
      </c>
      <c r="F1053" s="265">
        <v>12000</v>
      </c>
      <c r="G1053" s="265"/>
      <c r="H1053" s="265">
        <f t="shared" si="16"/>
        <v>12000</v>
      </c>
    </row>
    <row r="1054" spans="2:8" x14ac:dyDescent="0.2">
      <c r="B1054" s="262" t="s">
        <v>1859</v>
      </c>
      <c r="C1054" s="263">
        <v>42658</v>
      </c>
      <c r="D1054" s="264" t="s">
        <v>1911</v>
      </c>
      <c r="E1054" s="264" t="s">
        <v>2872</v>
      </c>
      <c r="F1054" s="265">
        <v>4000</v>
      </c>
      <c r="G1054" s="265"/>
      <c r="H1054" s="265">
        <f t="shared" si="16"/>
        <v>4000</v>
      </c>
    </row>
    <row r="1055" spans="2:8" x14ac:dyDescent="0.2">
      <c r="B1055" s="262" t="s">
        <v>1884</v>
      </c>
      <c r="C1055" s="263">
        <v>42659</v>
      </c>
      <c r="D1055" s="264" t="s">
        <v>2535</v>
      </c>
      <c r="E1055" s="264" t="s">
        <v>2873</v>
      </c>
      <c r="F1055" s="265">
        <v>60</v>
      </c>
      <c r="G1055" s="265"/>
      <c r="H1055" s="265">
        <f t="shared" si="16"/>
        <v>60</v>
      </c>
    </row>
    <row r="1056" spans="2:8" x14ac:dyDescent="0.2">
      <c r="B1056" s="262" t="s">
        <v>1884</v>
      </c>
      <c r="C1056" s="263">
        <v>42659</v>
      </c>
      <c r="D1056" s="264" t="s">
        <v>2250</v>
      </c>
      <c r="E1056" s="264" t="s">
        <v>2636</v>
      </c>
      <c r="F1056" s="265">
        <v>120</v>
      </c>
      <c r="G1056" s="265"/>
      <c r="H1056" s="265">
        <f t="shared" si="16"/>
        <v>120</v>
      </c>
    </row>
    <row r="1057" spans="2:8" x14ac:dyDescent="0.2">
      <c r="B1057" s="262" t="s">
        <v>1884</v>
      </c>
      <c r="C1057" s="263">
        <v>42660</v>
      </c>
      <c r="D1057" s="264" t="s">
        <v>1890</v>
      </c>
      <c r="E1057" s="264" t="s">
        <v>2849</v>
      </c>
      <c r="F1057" s="265">
        <v>310</v>
      </c>
      <c r="G1057" s="265"/>
      <c r="H1057" s="265">
        <f t="shared" si="16"/>
        <v>310</v>
      </c>
    </row>
    <row r="1058" spans="2:8" x14ac:dyDescent="0.2">
      <c r="B1058" s="262" t="s">
        <v>1864</v>
      </c>
      <c r="C1058" s="263">
        <v>42660</v>
      </c>
      <c r="D1058" s="264" t="s">
        <v>1910</v>
      </c>
      <c r="E1058" s="264" t="s">
        <v>2951</v>
      </c>
      <c r="F1058" s="265">
        <v>400</v>
      </c>
      <c r="G1058" s="265"/>
      <c r="H1058" s="265">
        <f t="shared" si="16"/>
        <v>400</v>
      </c>
    </row>
    <row r="1059" spans="2:8" x14ac:dyDescent="0.2">
      <c r="B1059" s="262" t="s">
        <v>1884</v>
      </c>
      <c r="C1059" s="263">
        <v>42660</v>
      </c>
      <c r="D1059" s="264" t="s">
        <v>2957</v>
      </c>
      <c r="E1059" s="264" t="s">
        <v>2952</v>
      </c>
      <c r="F1059" s="265">
        <v>349.5</v>
      </c>
      <c r="G1059" s="265"/>
      <c r="H1059" s="265">
        <f t="shared" si="16"/>
        <v>349.5</v>
      </c>
    </row>
    <row r="1060" spans="2:8" x14ac:dyDescent="0.2">
      <c r="B1060" s="262" t="s">
        <v>1884</v>
      </c>
      <c r="C1060" s="263">
        <v>42660</v>
      </c>
      <c r="D1060" s="264" t="s">
        <v>2958</v>
      </c>
      <c r="E1060" s="264" t="s">
        <v>2959</v>
      </c>
      <c r="F1060" s="265">
        <v>693</v>
      </c>
      <c r="G1060" s="265"/>
      <c r="H1060" s="265">
        <f t="shared" si="16"/>
        <v>693</v>
      </c>
    </row>
    <row r="1061" spans="2:8" x14ac:dyDescent="0.2">
      <c r="B1061" s="262" t="s">
        <v>1863</v>
      </c>
      <c r="C1061" s="263">
        <v>42661</v>
      </c>
      <c r="D1061" s="264" t="s">
        <v>2419</v>
      </c>
      <c r="E1061" s="264" t="s">
        <v>2960</v>
      </c>
      <c r="F1061" s="265">
        <v>380</v>
      </c>
      <c r="G1061" s="265"/>
      <c r="H1061" s="265">
        <f t="shared" si="16"/>
        <v>380</v>
      </c>
    </row>
    <row r="1062" spans="2:8" x14ac:dyDescent="0.2">
      <c r="B1062" s="262" t="s">
        <v>1870</v>
      </c>
      <c r="C1062" s="263">
        <v>42661</v>
      </c>
      <c r="D1062" s="264" t="s">
        <v>2821</v>
      </c>
      <c r="E1062" s="264" t="s">
        <v>2961</v>
      </c>
      <c r="F1062" s="265">
        <v>50</v>
      </c>
      <c r="G1062" s="265"/>
      <c r="H1062" s="265">
        <f t="shared" si="16"/>
        <v>50</v>
      </c>
    </row>
    <row r="1063" spans="2:8" x14ac:dyDescent="0.2">
      <c r="B1063" s="262" t="s">
        <v>1863</v>
      </c>
      <c r="C1063" s="263">
        <v>42661</v>
      </c>
      <c r="D1063" s="264" t="s">
        <v>1906</v>
      </c>
      <c r="E1063" s="264" t="s">
        <v>2962</v>
      </c>
      <c r="F1063" s="265">
        <v>300</v>
      </c>
      <c r="G1063" s="265"/>
      <c r="H1063" s="265">
        <f t="shared" si="16"/>
        <v>300</v>
      </c>
    </row>
    <row r="1064" spans="2:8" x14ac:dyDescent="0.2">
      <c r="B1064" s="262" t="s">
        <v>1863</v>
      </c>
      <c r="C1064" s="263">
        <v>42661</v>
      </c>
      <c r="D1064" s="264" t="s">
        <v>2963</v>
      </c>
      <c r="E1064" s="264" t="s">
        <v>2964</v>
      </c>
      <c r="F1064" s="265">
        <v>119.5</v>
      </c>
      <c r="G1064" s="265"/>
      <c r="H1064" s="265">
        <f t="shared" si="16"/>
        <v>119.5</v>
      </c>
    </row>
    <row r="1065" spans="2:8" x14ac:dyDescent="0.2">
      <c r="B1065" s="262" t="s">
        <v>1857</v>
      </c>
      <c r="C1065" s="263">
        <v>42661</v>
      </c>
      <c r="D1065" s="264" t="s">
        <v>2965</v>
      </c>
      <c r="E1065" s="264" t="s">
        <v>2966</v>
      </c>
      <c r="F1065" s="265">
        <v>15.5</v>
      </c>
      <c r="G1065" s="265"/>
      <c r="H1065" s="265">
        <f t="shared" si="16"/>
        <v>15.5</v>
      </c>
    </row>
    <row r="1066" spans="2:8" x14ac:dyDescent="0.2">
      <c r="B1066" s="262" t="s">
        <v>1884</v>
      </c>
      <c r="C1066" s="263">
        <v>42661</v>
      </c>
      <c r="D1066" s="264" t="s">
        <v>1898</v>
      </c>
      <c r="E1066" s="264" t="s">
        <v>2953</v>
      </c>
      <c r="F1066" s="265">
        <v>200</v>
      </c>
      <c r="G1066" s="265"/>
      <c r="H1066" s="265">
        <f t="shared" si="16"/>
        <v>200</v>
      </c>
    </row>
    <row r="1067" spans="2:8" x14ac:dyDescent="0.2">
      <c r="B1067" s="262" t="s">
        <v>1884</v>
      </c>
      <c r="C1067" s="263">
        <v>42661</v>
      </c>
      <c r="D1067" s="264" t="s">
        <v>1898</v>
      </c>
      <c r="E1067" s="264" t="s">
        <v>2967</v>
      </c>
      <c r="F1067" s="265">
        <v>290</v>
      </c>
      <c r="G1067" s="265"/>
      <c r="H1067" s="265">
        <f t="shared" si="16"/>
        <v>290</v>
      </c>
    </row>
    <row r="1068" spans="2:8" x14ac:dyDescent="0.2">
      <c r="B1068" s="262" t="s">
        <v>1863</v>
      </c>
      <c r="C1068" s="263">
        <v>42662</v>
      </c>
      <c r="D1068" s="264" t="s">
        <v>1906</v>
      </c>
      <c r="E1068" s="264" t="s">
        <v>2954</v>
      </c>
      <c r="F1068" s="265">
        <v>100</v>
      </c>
      <c r="G1068" s="265"/>
      <c r="H1068" s="265">
        <f t="shared" si="16"/>
        <v>100</v>
      </c>
    </row>
    <row r="1069" spans="2:8" x14ac:dyDescent="0.2">
      <c r="B1069" s="262" t="s">
        <v>1805</v>
      </c>
      <c r="C1069" s="263">
        <v>42662</v>
      </c>
      <c r="D1069" s="264" t="s">
        <v>1918</v>
      </c>
      <c r="E1069" s="264" t="s">
        <v>2968</v>
      </c>
      <c r="F1069" s="265">
        <v>120</v>
      </c>
      <c r="G1069" s="265"/>
      <c r="H1069" s="265">
        <f t="shared" si="16"/>
        <v>120</v>
      </c>
    </row>
    <row r="1070" spans="2:8" x14ac:dyDescent="0.2">
      <c r="B1070" s="262" t="s">
        <v>1871</v>
      </c>
      <c r="C1070" s="263">
        <v>39009</v>
      </c>
      <c r="D1070" s="264" t="s">
        <v>2821</v>
      </c>
      <c r="E1070" s="264" t="s">
        <v>2998</v>
      </c>
      <c r="F1070" s="265">
        <v>200</v>
      </c>
      <c r="G1070" s="265"/>
      <c r="H1070" s="265">
        <f t="shared" si="16"/>
        <v>200</v>
      </c>
    </row>
    <row r="1071" spans="2:8" x14ac:dyDescent="0.2">
      <c r="B1071" s="262" t="s">
        <v>1884</v>
      </c>
      <c r="C1071" s="263">
        <v>42662</v>
      </c>
      <c r="D1071" s="264" t="s">
        <v>2535</v>
      </c>
      <c r="E1071" s="264" t="s">
        <v>2969</v>
      </c>
      <c r="F1071" s="265">
        <v>92.5</v>
      </c>
      <c r="G1071" s="265"/>
      <c r="H1071" s="265">
        <f t="shared" si="16"/>
        <v>92.5</v>
      </c>
    </row>
    <row r="1072" spans="2:8" x14ac:dyDescent="0.2">
      <c r="B1072" s="262" t="s">
        <v>1863</v>
      </c>
      <c r="C1072" s="263">
        <v>42662</v>
      </c>
      <c r="D1072" s="264" t="s">
        <v>1906</v>
      </c>
      <c r="E1072" s="264" t="s">
        <v>2970</v>
      </c>
      <c r="F1072" s="265">
        <v>320</v>
      </c>
      <c r="G1072" s="265"/>
      <c r="H1072" s="265">
        <f t="shared" si="16"/>
        <v>320</v>
      </c>
    </row>
    <row r="1073" spans="2:8" x14ac:dyDescent="0.2">
      <c r="B1073" s="262" t="s">
        <v>1871</v>
      </c>
      <c r="C1073" s="263">
        <v>42663</v>
      </c>
      <c r="D1073" s="264" t="s">
        <v>2955</v>
      </c>
      <c r="E1073" s="264" t="s">
        <v>2971</v>
      </c>
      <c r="F1073" s="265">
        <v>160</v>
      </c>
      <c r="G1073" s="265"/>
      <c r="H1073" s="265">
        <f t="shared" si="16"/>
        <v>160</v>
      </c>
    </row>
    <row r="1074" spans="2:8" x14ac:dyDescent="0.2">
      <c r="B1074" s="262" t="s">
        <v>1884</v>
      </c>
      <c r="C1074" s="263">
        <v>42663</v>
      </c>
      <c r="D1074" s="264" t="s">
        <v>2956</v>
      </c>
      <c r="E1074" s="264" t="s">
        <v>2972</v>
      </c>
      <c r="F1074" s="265">
        <v>345</v>
      </c>
      <c r="G1074" s="265"/>
      <c r="H1074" s="265">
        <f t="shared" si="16"/>
        <v>345</v>
      </c>
    </row>
    <row r="1075" spans="2:8" x14ac:dyDescent="0.2">
      <c r="B1075" s="262" t="s">
        <v>1805</v>
      </c>
      <c r="C1075" s="263">
        <v>42663</v>
      </c>
      <c r="D1075" s="264" t="s">
        <v>1888</v>
      </c>
      <c r="E1075" s="264" t="s">
        <v>2973</v>
      </c>
      <c r="F1075" s="265">
        <v>1224</v>
      </c>
      <c r="G1075" s="265"/>
      <c r="H1075" s="265">
        <f t="shared" si="16"/>
        <v>1224</v>
      </c>
    </row>
    <row r="1076" spans="2:8" x14ac:dyDescent="0.2">
      <c r="B1076" s="262" t="s">
        <v>1790</v>
      </c>
      <c r="C1076" s="263">
        <v>42663</v>
      </c>
      <c r="D1076" s="264" t="s">
        <v>1909</v>
      </c>
      <c r="E1076" s="264" t="s">
        <v>2974</v>
      </c>
      <c r="F1076" s="265"/>
      <c r="G1076" s="265">
        <v>1760</v>
      </c>
      <c r="H1076" s="265">
        <f t="shared" si="16"/>
        <v>1760</v>
      </c>
    </row>
    <row r="1077" spans="2:8" x14ac:dyDescent="0.2">
      <c r="B1077" s="262" t="s">
        <v>1884</v>
      </c>
      <c r="C1077" s="263">
        <v>42664</v>
      </c>
      <c r="D1077" s="264" t="s">
        <v>2975</v>
      </c>
      <c r="E1077" s="264" t="s">
        <v>2976</v>
      </c>
      <c r="F1077" s="265">
        <v>266.85000000000002</v>
      </c>
      <c r="G1077" s="265"/>
      <c r="H1077" s="265">
        <f t="shared" si="16"/>
        <v>266.85000000000002</v>
      </c>
    </row>
    <row r="1078" spans="2:8" x14ac:dyDescent="0.2">
      <c r="B1078" s="262" t="s">
        <v>1863</v>
      </c>
      <c r="C1078" s="263">
        <v>42664</v>
      </c>
      <c r="D1078" s="264" t="s">
        <v>2250</v>
      </c>
      <c r="E1078" s="264" t="s">
        <v>2977</v>
      </c>
      <c r="F1078" s="265">
        <v>100</v>
      </c>
      <c r="G1078" s="265"/>
      <c r="H1078" s="265">
        <f t="shared" si="16"/>
        <v>100</v>
      </c>
    </row>
    <row r="1079" spans="2:8" x14ac:dyDescent="0.2">
      <c r="B1079" s="262" t="s">
        <v>1805</v>
      </c>
      <c r="C1079" s="263">
        <v>42664</v>
      </c>
      <c r="D1079" s="264" t="s">
        <v>1910</v>
      </c>
      <c r="E1079" s="264" t="s">
        <v>2978</v>
      </c>
      <c r="F1079" s="265">
        <v>1000</v>
      </c>
      <c r="G1079" s="265"/>
      <c r="H1079" s="265">
        <f t="shared" si="16"/>
        <v>1000</v>
      </c>
    </row>
    <row r="1080" spans="2:8" x14ac:dyDescent="0.2">
      <c r="B1080" s="262" t="s">
        <v>1884</v>
      </c>
      <c r="C1080" s="263">
        <v>42665</v>
      </c>
      <c r="D1080" s="264" t="s">
        <v>1925</v>
      </c>
      <c r="E1080" s="264" t="s">
        <v>2979</v>
      </c>
      <c r="F1080" s="265">
        <v>10</v>
      </c>
      <c r="G1080" s="265"/>
      <c r="H1080" s="265">
        <f t="shared" si="16"/>
        <v>10</v>
      </c>
    </row>
    <row r="1081" spans="2:8" x14ac:dyDescent="0.2">
      <c r="B1081" s="262" t="s">
        <v>1863</v>
      </c>
      <c r="C1081" s="263">
        <v>42665</v>
      </c>
      <c r="D1081" s="264" t="s">
        <v>1878</v>
      </c>
      <c r="E1081" s="264" t="s">
        <v>2980</v>
      </c>
      <c r="F1081" s="265">
        <v>700</v>
      </c>
      <c r="G1081" s="265"/>
      <c r="H1081" s="265">
        <f t="shared" si="16"/>
        <v>700</v>
      </c>
    </row>
    <row r="1082" spans="2:8" x14ac:dyDescent="0.2">
      <c r="B1082" s="262" t="s">
        <v>1863</v>
      </c>
      <c r="C1082" s="263">
        <v>42665</v>
      </c>
      <c r="D1082" s="264" t="s">
        <v>1873</v>
      </c>
      <c r="E1082" s="264" t="s">
        <v>2981</v>
      </c>
      <c r="F1082" s="265">
        <v>250</v>
      </c>
      <c r="G1082" s="265"/>
      <c r="H1082" s="265">
        <f t="shared" si="16"/>
        <v>250</v>
      </c>
    </row>
    <row r="1083" spans="2:8" x14ac:dyDescent="0.2">
      <c r="B1083" s="262" t="s">
        <v>1884</v>
      </c>
      <c r="C1083" s="263">
        <v>42665</v>
      </c>
      <c r="D1083" s="264" t="s">
        <v>2982</v>
      </c>
      <c r="E1083" s="264" t="s">
        <v>2983</v>
      </c>
      <c r="F1083" s="265">
        <v>397</v>
      </c>
      <c r="G1083" s="265"/>
      <c r="H1083" s="265">
        <f t="shared" si="16"/>
        <v>397</v>
      </c>
    </row>
    <row r="1084" spans="2:8" x14ac:dyDescent="0.2">
      <c r="B1084" s="262" t="s">
        <v>1863</v>
      </c>
      <c r="C1084" s="263">
        <v>42665</v>
      </c>
      <c r="D1084" s="264" t="s">
        <v>2984</v>
      </c>
      <c r="E1084" s="264" t="s">
        <v>2985</v>
      </c>
      <c r="F1084" s="265">
        <v>350</v>
      </c>
      <c r="G1084" s="265"/>
      <c r="H1084" s="265">
        <f t="shared" si="16"/>
        <v>350</v>
      </c>
    </row>
    <row r="1085" spans="2:8" x14ac:dyDescent="0.2">
      <c r="B1085" s="262" t="s">
        <v>1863</v>
      </c>
      <c r="C1085" s="263">
        <v>42665</v>
      </c>
      <c r="D1085" s="264" t="s">
        <v>1873</v>
      </c>
      <c r="E1085" s="264" t="s">
        <v>2986</v>
      </c>
      <c r="F1085" s="265">
        <v>50</v>
      </c>
      <c r="G1085" s="265"/>
      <c r="H1085" s="265">
        <f t="shared" si="16"/>
        <v>50</v>
      </c>
    </row>
    <row r="1086" spans="2:8" x14ac:dyDescent="0.2">
      <c r="B1086" s="262" t="s">
        <v>1863</v>
      </c>
      <c r="C1086" s="263">
        <v>42665</v>
      </c>
      <c r="D1086" s="264" t="s">
        <v>1906</v>
      </c>
      <c r="E1086" s="264" t="s">
        <v>2999</v>
      </c>
      <c r="F1086" s="265">
        <v>150</v>
      </c>
      <c r="G1086" s="265"/>
      <c r="H1086" s="265">
        <f t="shared" si="16"/>
        <v>150</v>
      </c>
    </row>
    <row r="1087" spans="2:8" x14ac:dyDescent="0.2">
      <c r="B1087" s="262" t="s">
        <v>1884</v>
      </c>
      <c r="C1087" s="263">
        <v>42666</v>
      </c>
      <c r="D1087" s="264" t="s">
        <v>2250</v>
      </c>
      <c r="E1087" s="264" t="s">
        <v>2026</v>
      </c>
      <c r="F1087" s="265">
        <v>120</v>
      </c>
      <c r="G1087" s="265"/>
      <c r="H1087" s="265">
        <f t="shared" si="16"/>
        <v>120</v>
      </c>
    </row>
    <row r="1088" spans="2:8" x14ac:dyDescent="0.2">
      <c r="B1088" s="262" t="s">
        <v>1864</v>
      </c>
      <c r="C1088" s="263">
        <v>42666</v>
      </c>
      <c r="D1088" s="264" t="s">
        <v>2535</v>
      </c>
      <c r="E1088" s="264" t="s">
        <v>2987</v>
      </c>
      <c r="F1088" s="265">
        <v>98.5</v>
      </c>
      <c r="G1088" s="265"/>
      <c r="H1088" s="265">
        <f t="shared" si="16"/>
        <v>98.5</v>
      </c>
    </row>
    <row r="1089" spans="1:9" x14ac:dyDescent="0.2">
      <c r="B1089" s="262" t="s">
        <v>1884</v>
      </c>
      <c r="C1089" s="263">
        <v>42666</v>
      </c>
      <c r="D1089" s="264" t="s">
        <v>1893</v>
      </c>
      <c r="E1089" s="264" t="s">
        <v>2988</v>
      </c>
      <c r="F1089" s="265">
        <v>33.5</v>
      </c>
      <c r="G1089" s="265"/>
      <c r="H1089" s="265">
        <f t="shared" si="16"/>
        <v>33.5</v>
      </c>
    </row>
    <row r="1090" spans="1:9" x14ac:dyDescent="0.2">
      <c r="B1090" s="262" t="s">
        <v>1884</v>
      </c>
      <c r="C1090" s="263">
        <v>42666</v>
      </c>
      <c r="D1090" s="264" t="s">
        <v>1918</v>
      </c>
      <c r="E1090" s="264" t="s">
        <v>2989</v>
      </c>
      <c r="F1090" s="265">
        <v>5</v>
      </c>
      <c r="G1090" s="265"/>
      <c r="H1090" s="265">
        <f t="shared" si="16"/>
        <v>5</v>
      </c>
    </row>
    <row r="1091" spans="1:9" x14ac:dyDescent="0.2">
      <c r="B1091" s="262" t="s">
        <v>1884</v>
      </c>
      <c r="C1091" s="263">
        <v>42666</v>
      </c>
      <c r="D1091" s="264" t="s">
        <v>1891</v>
      </c>
      <c r="E1091" s="264" t="s">
        <v>2990</v>
      </c>
      <c r="F1091" s="265">
        <v>7.9</v>
      </c>
      <c r="G1091" s="265"/>
      <c r="H1091" s="265">
        <f t="shared" si="16"/>
        <v>7.9</v>
      </c>
    </row>
    <row r="1092" spans="1:9" x14ac:dyDescent="0.2">
      <c r="B1092" s="262" t="s">
        <v>1860</v>
      </c>
      <c r="C1092" s="263">
        <v>42666</v>
      </c>
      <c r="D1092" s="264" t="s">
        <v>1891</v>
      </c>
      <c r="E1092" s="264" t="s">
        <v>2991</v>
      </c>
      <c r="F1092" s="265">
        <v>190.4</v>
      </c>
      <c r="G1092" s="265"/>
      <c r="H1092" s="265">
        <f t="shared" si="16"/>
        <v>190.4</v>
      </c>
    </row>
    <row r="1093" spans="1:9" x14ac:dyDescent="0.2">
      <c r="A1093" s="317"/>
      <c r="B1093" s="262" t="s">
        <v>1884</v>
      </c>
      <c r="C1093" s="263">
        <v>42666</v>
      </c>
      <c r="D1093" s="264" t="s">
        <v>2992</v>
      </c>
      <c r="E1093" s="264" t="s">
        <v>2993</v>
      </c>
      <c r="F1093" s="265">
        <v>300</v>
      </c>
      <c r="G1093" s="265"/>
      <c r="H1093" s="265">
        <f t="shared" ref="H1093:H1274" si="17">SUM(F1093:G1093)</f>
        <v>300</v>
      </c>
    </row>
    <row r="1094" spans="1:9" x14ac:dyDescent="0.2">
      <c r="B1094" s="262" t="s">
        <v>1884</v>
      </c>
      <c r="C1094" s="263">
        <v>42666</v>
      </c>
      <c r="D1094" s="264" t="s">
        <v>1915</v>
      </c>
      <c r="E1094" s="264" t="s">
        <v>2994</v>
      </c>
      <c r="F1094" s="265">
        <v>400</v>
      </c>
      <c r="G1094" s="265"/>
      <c r="H1094" s="265">
        <f t="shared" si="17"/>
        <v>400</v>
      </c>
    </row>
    <row r="1095" spans="1:9" x14ac:dyDescent="0.2">
      <c r="B1095" s="262" t="s">
        <v>1884</v>
      </c>
      <c r="C1095" s="263">
        <v>42666</v>
      </c>
      <c r="D1095" s="264" t="s">
        <v>1915</v>
      </c>
      <c r="E1095" s="264" t="s">
        <v>2995</v>
      </c>
      <c r="F1095" s="265">
        <v>400</v>
      </c>
      <c r="G1095" s="265"/>
      <c r="H1095" s="265">
        <f t="shared" si="17"/>
        <v>400</v>
      </c>
    </row>
    <row r="1096" spans="1:9" x14ac:dyDescent="0.2">
      <c r="B1096" s="262" t="s">
        <v>1864</v>
      </c>
      <c r="C1096" s="263">
        <v>42667</v>
      </c>
      <c r="D1096" s="264" t="s">
        <v>1910</v>
      </c>
      <c r="E1096" s="264" t="s">
        <v>2996</v>
      </c>
      <c r="F1096" s="265">
        <v>400</v>
      </c>
      <c r="G1096" s="265"/>
      <c r="H1096" s="265">
        <f t="shared" si="17"/>
        <v>400</v>
      </c>
      <c r="I1096" s="175"/>
    </row>
    <row r="1097" spans="1:9" x14ac:dyDescent="0.2">
      <c r="B1097" s="262" t="s">
        <v>1866</v>
      </c>
      <c r="C1097" s="263">
        <v>42667</v>
      </c>
      <c r="D1097" s="264" t="s">
        <v>1890</v>
      </c>
      <c r="E1097" s="264" t="s">
        <v>2849</v>
      </c>
      <c r="F1097" s="265">
        <v>310</v>
      </c>
      <c r="G1097" s="265"/>
      <c r="H1097" s="265">
        <f t="shared" si="17"/>
        <v>310</v>
      </c>
      <c r="I1097" s="175">
        <f>SUM(H1004:H1097)</f>
        <v>59401.950000000004</v>
      </c>
    </row>
    <row r="1098" spans="1:9" x14ac:dyDescent="0.2">
      <c r="B1098" s="262" t="s">
        <v>1858</v>
      </c>
      <c r="C1098" s="263">
        <v>42667</v>
      </c>
      <c r="D1098" s="264" t="s">
        <v>1872</v>
      </c>
      <c r="E1098" s="264" t="s">
        <v>2997</v>
      </c>
      <c r="F1098" s="265">
        <v>600</v>
      </c>
      <c r="G1098" s="265"/>
      <c r="H1098" s="265">
        <f t="shared" si="17"/>
        <v>600</v>
      </c>
    </row>
    <row r="1099" spans="1:9" x14ac:dyDescent="0.2">
      <c r="B1099" s="262" t="s">
        <v>1860</v>
      </c>
      <c r="C1099" s="263">
        <v>42667</v>
      </c>
      <c r="D1099" s="264" t="s">
        <v>1926</v>
      </c>
      <c r="E1099" s="264" t="s">
        <v>3000</v>
      </c>
      <c r="F1099" s="265">
        <v>150</v>
      </c>
      <c r="G1099" s="265"/>
      <c r="H1099" s="265">
        <f t="shared" si="17"/>
        <v>150</v>
      </c>
    </row>
    <row r="1100" spans="1:9" x14ac:dyDescent="0.2">
      <c r="B1100" s="262" t="s">
        <v>1865</v>
      </c>
      <c r="C1100" s="263">
        <v>42667</v>
      </c>
      <c r="D1100" s="264" t="s">
        <v>3001</v>
      </c>
      <c r="E1100" s="264" t="s">
        <v>3002</v>
      </c>
      <c r="F1100" s="265">
        <v>250</v>
      </c>
      <c r="G1100" s="265"/>
      <c r="H1100" s="265">
        <f t="shared" si="17"/>
        <v>250</v>
      </c>
    </row>
    <row r="1101" spans="1:9" x14ac:dyDescent="0.2">
      <c r="B1101" s="262" t="s">
        <v>1877</v>
      </c>
      <c r="C1101" s="263">
        <v>42667</v>
      </c>
      <c r="D1101" s="264" t="s">
        <v>1911</v>
      </c>
      <c r="E1101" s="264" t="s">
        <v>3003</v>
      </c>
      <c r="F1101" s="265">
        <v>100</v>
      </c>
      <c r="G1101" s="265"/>
      <c r="H1101" s="265">
        <f t="shared" si="17"/>
        <v>100</v>
      </c>
    </row>
    <row r="1102" spans="1:9" x14ac:dyDescent="0.2">
      <c r="B1102" s="262" t="s">
        <v>1860</v>
      </c>
      <c r="C1102" s="263">
        <v>42667</v>
      </c>
      <c r="D1102" s="264" t="s">
        <v>3004</v>
      </c>
      <c r="E1102" s="264" t="s">
        <v>3005</v>
      </c>
      <c r="F1102" s="265">
        <v>350</v>
      </c>
      <c r="G1102" s="265"/>
      <c r="H1102" s="265">
        <f t="shared" si="17"/>
        <v>350</v>
      </c>
    </row>
    <row r="1103" spans="1:9" x14ac:dyDescent="0.2">
      <c r="B1103" s="262" t="s">
        <v>1865</v>
      </c>
      <c r="C1103" s="263">
        <v>42668</v>
      </c>
      <c r="D1103" s="264" t="s">
        <v>3001</v>
      </c>
      <c r="E1103" s="264" t="s">
        <v>3006</v>
      </c>
      <c r="F1103" s="265">
        <v>300</v>
      </c>
      <c r="G1103" s="265"/>
      <c r="H1103" s="265">
        <f t="shared" si="17"/>
        <v>300</v>
      </c>
    </row>
    <row r="1104" spans="1:9" x14ac:dyDescent="0.2">
      <c r="B1104" s="262" t="s">
        <v>1884</v>
      </c>
      <c r="C1104" s="263">
        <v>42668</v>
      </c>
      <c r="D1104" s="264" t="s">
        <v>3007</v>
      </c>
      <c r="E1104" s="264" t="s">
        <v>3008</v>
      </c>
      <c r="F1104" s="265">
        <v>327.5</v>
      </c>
      <c r="G1104" s="265"/>
      <c r="H1104" s="265">
        <f t="shared" si="17"/>
        <v>327.5</v>
      </c>
    </row>
    <row r="1105" spans="2:8" x14ac:dyDescent="0.2">
      <c r="B1105" s="262" t="s">
        <v>1884</v>
      </c>
      <c r="C1105" s="263">
        <v>42668</v>
      </c>
      <c r="D1105" s="264" t="s">
        <v>1912</v>
      </c>
      <c r="E1105" s="264" t="s">
        <v>2392</v>
      </c>
      <c r="F1105" s="265">
        <v>302.56</v>
      </c>
      <c r="G1105" s="265">
        <v>46.94</v>
      </c>
      <c r="H1105" s="265">
        <f t="shared" si="17"/>
        <v>349.5</v>
      </c>
    </row>
    <row r="1106" spans="2:8" x14ac:dyDescent="0.2">
      <c r="B1106" s="262" t="s">
        <v>1877</v>
      </c>
      <c r="C1106" s="263">
        <v>42668</v>
      </c>
      <c r="D1106" s="264" t="s">
        <v>1911</v>
      </c>
      <c r="E1106" s="264" t="s">
        <v>3009</v>
      </c>
      <c r="F1106" s="265">
        <v>28</v>
      </c>
      <c r="G1106" s="265"/>
      <c r="H1106" s="265">
        <f t="shared" si="17"/>
        <v>28</v>
      </c>
    </row>
    <row r="1107" spans="2:8" x14ac:dyDescent="0.2">
      <c r="B1107" s="262" t="s">
        <v>1884</v>
      </c>
      <c r="C1107" s="263">
        <v>42668</v>
      </c>
      <c r="D1107" s="264" t="s">
        <v>3010</v>
      </c>
      <c r="E1107" s="264" t="s">
        <v>3011</v>
      </c>
      <c r="F1107" s="265">
        <v>30</v>
      </c>
      <c r="G1107" s="265"/>
      <c r="H1107" s="265">
        <f t="shared" si="17"/>
        <v>30</v>
      </c>
    </row>
    <row r="1108" spans="2:8" x14ac:dyDescent="0.2">
      <c r="B1108" s="262" t="s">
        <v>1860</v>
      </c>
      <c r="C1108" s="263">
        <v>42668</v>
      </c>
      <c r="D1108" s="264" t="s">
        <v>1926</v>
      </c>
      <c r="E1108" s="264" t="s">
        <v>3012</v>
      </c>
      <c r="F1108" s="265">
        <v>65</v>
      </c>
      <c r="G1108" s="265"/>
      <c r="H1108" s="265">
        <f t="shared" si="17"/>
        <v>65</v>
      </c>
    </row>
    <row r="1109" spans="2:8" x14ac:dyDescent="0.2">
      <c r="B1109" s="262" t="s">
        <v>1870</v>
      </c>
      <c r="C1109" s="263">
        <v>42668</v>
      </c>
      <c r="D1109" s="264" t="s">
        <v>1926</v>
      </c>
      <c r="E1109" s="264" t="s">
        <v>3013</v>
      </c>
      <c r="F1109" s="265">
        <v>44</v>
      </c>
      <c r="G1109" s="265"/>
      <c r="H1109" s="265">
        <f t="shared" si="17"/>
        <v>44</v>
      </c>
    </row>
    <row r="1110" spans="2:8" x14ac:dyDescent="0.2">
      <c r="B1110" s="262" t="s">
        <v>1884</v>
      </c>
      <c r="C1110" s="263">
        <v>42669</v>
      </c>
      <c r="D1110" s="264" t="s">
        <v>1919</v>
      </c>
      <c r="E1110" s="264" t="s">
        <v>2432</v>
      </c>
      <c r="F1110" s="265">
        <v>258</v>
      </c>
      <c r="G1110" s="265"/>
      <c r="H1110" s="265">
        <f t="shared" si="17"/>
        <v>258</v>
      </c>
    </row>
    <row r="1111" spans="2:8" x14ac:dyDescent="0.2">
      <c r="B1111" s="262" t="s">
        <v>1884</v>
      </c>
      <c r="C1111" s="263">
        <v>42669</v>
      </c>
      <c r="D1111" s="264" t="s">
        <v>1893</v>
      </c>
      <c r="E1111" s="264" t="s">
        <v>3014</v>
      </c>
      <c r="F1111" s="265">
        <v>908.7</v>
      </c>
      <c r="G1111" s="265"/>
      <c r="H1111" s="265">
        <f t="shared" si="17"/>
        <v>908.7</v>
      </c>
    </row>
    <row r="1112" spans="2:8" x14ac:dyDescent="0.2">
      <c r="B1112" s="262" t="s">
        <v>1884</v>
      </c>
      <c r="C1112" s="263">
        <v>42670</v>
      </c>
      <c r="D1112" s="264" t="s">
        <v>2975</v>
      </c>
      <c r="E1112" s="264" t="s">
        <v>3015</v>
      </c>
      <c r="F1112" s="265">
        <v>584.66999999999996</v>
      </c>
      <c r="G1112" s="265"/>
      <c r="H1112" s="265">
        <f t="shared" si="17"/>
        <v>584.66999999999996</v>
      </c>
    </row>
    <row r="1113" spans="2:8" x14ac:dyDescent="0.2">
      <c r="B1113" s="262" t="s">
        <v>1884</v>
      </c>
      <c r="C1113" s="263">
        <v>42670</v>
      </c>
      <c r="D1113" s="264" t="s">
        <v>2741</v>
      </c>
      <c r="E1113" s="264" t="s">
        <v>3016</v>
      </c>
      <c r="F1113" s="265">
        <v>108.3</v>
      </c>
      <c r="G1113" s="265"/>
      <c r="H1113" s="265">
        <f t="shared" si="17"/>
        <v>108.3</v>
      </c>
    </row>
    <row r="1114" spans="2:8" x14ac:dyDescent="0.2">
      <c r="B1114" s="262" t="s">
        <v>1884</v>
      </c>
      <c r="C1114" s="263">
        <v>42670</v>
      </c>
      <c r="D1114" s="264" t="s">
        <v>2186</v>
      </c>
      <c r="E1114" s="264" t="s">
        <v>3017</v>
      </c>
      <c r="F1114" s="265">
        <v>360</v>
      </c>
      <c r="G1114" s="265"/>
      <c r="H1114" s="265">
        <f t="shared" si="17"/>
        <v>360</v>
      </c>
    </row>
    <row r="1115" spans="2:8" x14ac:dyDescent="0.2">
      <c r="B1115" s="262" t="s">
        <v>1884</v>
      </c>
      <c r="C1115" s="263">
        <v>42670</v>
      </c>
      <c r="D1115" s="264" t="s">
        <v>1925</v>
      </c>
      <c r="E1115" s="264" t="s">
        <v>3018</v>
      </c>
      <c r="F1115" s="265">
        <v>5</v>
      </c>
      <c r="G1115" s="265"/>
      <c r="H1115" s="265">
        <f t="shared" si="17"/>
        <v>5</v>
      </c>
    </row>
    <row r="1116" spans="2:8" x14ac:dyDescent="0.2">
      <c r="B1116" s="262" t="s">
        <v>1805</v>
      </c>
      <c r="C1116" s="263">
        <v>42671</v>
      </c>
      <c r="D1116" s="264" t="s">
        <v>1910</v>
      </c>
      <c r="E1116" s="264" t="s">
        <v>3020</v>
      </c>
      <c r="F1116" s="265">
        <v>1000</v>
      </c>
      <c r="G1116" s="265"/>
      <c r="H1116" s="265">
        <f t="shared" si="17"/>
        <v>1000</v>
      </c>
    </row>
    <row r="1117" spans="2:8" x14ac:dyDescent="0.2">
      <c r="B1117" s="262" t="s">
        <v>1884</v>
      </c>
      <c r="C1117" s="263">
        <v>42671</v>
      </c>
      <c r="D1117" s="264" t="s">
        <v>1889</v>
      </c>
      <c r="E1117" s="264" t="s">
        <v>2225</v>
      </c>
      <c r="F1117" s="265">
        <v>300</v>
      </c>
      <c r="G1117" s="265"/>
      <c r="H1117" s="265">
        <f t="shared" si="17"/>
        <v>300</v>
      </c>
    </row>
    <row r="1118" spans="2:8" x14ac:dyDescent="0.2">
      <c r="B1118" s="262" t="s">
        <v>1863</v>
      </c>
      <c r="C1118" s="263">
        <v>42672</v>
      </c>
      <c r="D1118" s="264" t="s">
        <v>1878</v>
      </c>
      <c r="E1118" s="264" t="s">
        <v>3021</v>
      </c>
      <c r="F1118" s="265">
        <v>500</v>
      </c>
      <c r="G1118" s="265"/>
      <c r="H1118" s="265">
        <f t="shared" si="17"/>
        <v>500</v>
      </c>
    </row>
    <row r="1119" spans="2:8" x14ac:dyDescent="0.2">
      <c r="B1119" s="262" t="s">
        <v>1866</v>
      </c>
      <c r="C1119" s="263">
        <v>42672</v>
      </c>
      <c r="D1119" s="264" t="s">
        <v>2535</v>
      </c>
      <c r="E1119" s="264" t="s">
        <v>1902</v>
      </c>
      <c r="F1119" s="265">
        <v>24</v>
      </c>
      <c r="G1119" s="265"/>
      <c r="H1119" s="265">
        <f t="shared" si="17"/>
        <v>24</v>
      </c>
    </row>
    <row r="1120" spans="2:8" x14ac:dyDescent="0.2">
      <c r="B1120" s="262" t="s">
        <v>1884</v>
      </c>
      <c r="C1120" s="263">
        <v>42673</v>
      </c>
      <c r="D1120" s="264" t="s">
        <v>2250</v>
      </c>
      <c r="E1120" s="264" t="s">
        <v>3022</v>
      </c>
      <c r="F1120" s="265">
        <v>120</v>
      </c>
      <c r="G1120" s="265"/>
      <c r="H1120" s="265">
        <f t="shared" si="17"/>
        <v>120</v>
      </c>
    </row>
    <row r="1121" spans="2:9" x14ac:dyDescent="0.2">
      <c r="B1121" s="262" t="s">
        <v>1884</v>
      </c>
      <c r="C1121" s="263">
        <v>42673</v>
      </c>
      <c r="D1121" s="264" t="s">
        <v>2535</v>
      </c>
      <c r="E1121" s="264" t="s">
        <v>3023</v>
      </c>
      <c r="F1121" s="265">
        <v>100</v>
      </c>
      <c r="G1121" s="265"/>
      <c r="H1121" s="265">
        <f t="shared" si="17"/>
        <v>100</v>
      </c>
    </row>
    <row r="1122" spans="2:9" x14ac:dyDescent="0.2">
      <c r="B1122" s="262" t="s">
        <v>1884</v>
      </c>
      <c r="C1122" s="263">
        <v>42673</v>
      </c>
      <c r="D1122" s="264" t="s">
        <v>2535</v>
      </c>
      <c r="E1122" s="264" t="s">
        <v>3024</v>
      </c>
      <c r="F1122" s="265">
        <v>95.5</v>
      </c>
      <c r="G1122" s="265"/>
      <c r="H1122" s="265">
        <f t="shared" si="17"/>
        <v>95.5</v>
      </c>
    </row>
    <row r="1123" spans="2:9" x14ac:dyDescent="0.2">
      <c r="B1123" s="262" t="s">
        <v>1884</v>
      </c>
      <c r="C1123" s="263">
        <v>42673</v>
      </c>
      <c r="D1123" s="264" t="s">
        <v>2763</v>
      </c>
      <c r="E1123" s="264" t="s">
        <v>3025</v>
      </c>
      <c r="F1123" s="265">
        <v>400</v>
      </c>
      <c r="G1123" s="265"/>
      <c r="H1123" s="265">
        <f t="shared" si="17"/>
        <v>400</v>
      </c>
    </row>
    <row r="1124" spans="2:9" x14ac:dyDescent="0.2">
      <c r="B1124" s="262" t="s">
        <v>1884</v>
      </c>
      <c r="C1124" s="263">
        <v>42674</v>
      </c>
      <c r="D1124" s="264" t="s">
        <v>3026</v>
      </c>
      <c r="E1124" s="264" t="s">
        <v>3027</v>
      </c>
      <c r="F1124" s="265">
        <v>450</v>
      </c>
      <c r="G1124" s="265"/>
      <c r="H1124" s="265">
        <f t="shared" si="17"/>
        <v>450</v>
      </c>
    </row>
    <row r="1125" spans="2:9" x14ac:dyDescent="0.2">
      <c r="B1125" s="262" t="s">
        <v>1884</v>
      </c>
      <c r="C1125" s="263">
        <v>42674</v>
      </c>
      <c r="D1125" s="264" t="s">
        <v>2250</v>
      </c>
      <c r="E1125" s="264" t="s">
        <v>3028</v>
      </c>
      <c r="F1125" s="265">
        <v>300</v>
      </c>
      <c r="G1125" s="265"/>
      <c r="H1125" s="265">
        <f t="shared" si="17"/>
        <v>300</v>
      </c>
    </row>
    <row r="1126" spans="2:9" x14ac:dyDescent="0.2">
      <c r="B1126" s="262" t="s">
        <v>1884</v>
      </c>
      <c r="C1126" s="263">
        <v>42674</v>
      </c>
      <c r="D1126" s="264" t="s">
        <v>1873</v>
      </c>
      <c r="E1126" s="264" t="s">
        <v>3029</v>
      </c>
      <c r="F1126" s="265">
        <v>450</v>
      </c>
      <c r="G1126" s="265"/>
      <c r="H1126" s="265">
        <f t="shared" si="17"/>
        <v>450</v>
      </c>
    </row>
    <row r="1127" spans="2:9" x14ac:dyDescent="0.2">
      <c r="B1127" s="262" t="s">
        <v>1866</v>
      </c>
      <c r="C1127" s="263">
        <v>42674</v>
      </c>
      <c r="D1127" s="264" t="s">
        <v>1890</v>
      </c>
      <c r="E1127" s="264" t="s">
        <v>2730</v>
      </c>
      <c r="F1127" s="265">
        <v>320</v>
      </c>
      <c r="G1127" s="265"/>
      <c r="H1127" s="265">
        <f t="shared" si="17"/>
        <v>320</v>
      </c>
    </row>
    <row r="1128" spans="2:9" x14ac:dyDescent="0.2">
      <c r="B1128" s="262" t="s">
        <v>1884</v>
      </c>
      <c r="C1128" s="263">
        <v>42674</v>
      </c>
      <c r="D1128" s="264" t="s">
        <v>1893</v>
      </c>
      <c r="E1128" s="264" t="s">
        <v>3030</v>
      </c>
      <c r="F1128" s="265">
        <v>128</v>
      </c>
      <c r="G1128" s="265"/>
      <c r="H1128" s="265">
        <f t="shared" si="17"/>
        <v>128</v>
      </c>
    </row>
    <row r="1129" spans="2:9" x14ac:dyDescent="0.2">
      <c r="B1129" s="262" t="s">
        <v>1884</v>
      </c>
      <c r="C1129" s="263">
        <v>42674</v>
      </c>
      <c r="D1129" s="264" t="s">
        <v>1893</v>
      </c>
      <c r="E1129" s="264" t="s">
        <v>3031</v>
      </c>
      <c r="F1129" s="265">
        <v>379.91</v>
      </c>
      <c r="G1129" s="265"/>
      <c r="H1129" s="265">
        <f t="shared" si="17"/>
        <v>379.91</v>
      </c>
    </row>
    <row r="1130" spans="2:9" x14ac:dyDescent="0.2">
      <c r="B1130" s="262" t="s">
        <v>1577</v>
      </c>
      <c r="C1130" s="263">
        <v>42674</v>
      </c>
      <c r="D1130" s="264" t="s">
        <v>1899</v>
      </c>
      <c r="E1130" s="264" t="s">
        <v>3032</v>
      </c>
      <c r="F1130" s="265">
        <v>19000</v>
      </c>
      <c r="G1130" s="265"/>
      <c r="H1130" s="265">
        <f t="shared" si="17"/>
        <v>19000</v>
      </c>
    </row>
    <row r="1131" spans="2:9" x14ac:dyDescent="0.2">
      <c r="B1131" s="262" t="s">
        <v>1859</v>
      </c>
      <c r="C1131" s="263">
        <v>42674</v>
      </c>
      <c r="D1131" s="264" t="s">
        <v>1911</v>
      </c>
      <c r="E1131" s="264" t="s">
        <v>1931</v>
      </c>
      <c r="F1131" s="265">
        <v>4000</v>
      </c>
      <c r="G1131" s="265"/>
      <c r="H1131" s="265">
        <f t="shared" si="17"/>
        <v>4000</v>
      </c>
      <c r="I1131" s="175">
        <f>SUM(H1004:H1131)</f>
        <v>91788.03</v>
      </c>
    </row>
    <row r="1132" spans="2:9" x14ac:dyDescent="0.2">
      <c r="B1132" s="262" t="s">
        <v>1887</v>
      </c>
      <c r="C1132" s="263">
        <v>42648</v>
      </c>
      <c r="D1132" s="264" t="s">
        <v>1534</v>
      </c>
      <c r="E1132" s="264" t="s">
        <v>1536</v>
      </c>
      <c r="F1132" s="265">
        <v>-0.46</v>
      </c>
      <c r="G1132" s="265"/>
      <c r="H1132" s="265">
        <f t="shared" si="17"/>
        <v>-0.46</v>
      </c>
    </row>
    <row r="1133" spans="2:9" x14ac:dyDescent="0.2">
      <c r="B1133" s="262" t="s">
        <v>1790</v>
      </c>
      <c r="C1133" s="263">
        <v>42667</v>
      </c>
      <c r="D1133" s="264" t="s">
        <v>1909</v>
      </c>
      <c r="E1133" s="264" t="s">
        <v>3034</v>
      </c>
      <c r="F1133" s="265"/>
      <c r="G1133" s="265">
        <v>-1760</v>
      </c>
      <c r="H1133" s="265">
        <f t="shared" si="17"/>
        <v>-1760</v>
      </c>
    </row>
    <row r="1134" spans="2:9" x14ac:dyDescent="0.2">
      <c r="B1134" s="262" t="s">
        <v>1887</v>
      </c>
      <c r="C1134" s="263">
        <v>42674</v>
      </c>
      <c r="D1134" s="264" t="s">
        <v>1597</v>
      </c>
      <c r="E1134" s="264" t="s">
        <v>2229</v>
      </c>
      <c r="F1134" s="265">
        <v>42</v>
      </c>
      <c r="G1134" s="265"/>
      <c r="H1134" s="265">
        <f t="shared" si="17"/>
        <v>42</v>
      </c>
    </row>
    <row r="1135" spans="2:9" x14ac:dyDescent="0.2">
      <c r="B1135" s="262" t="s">
        <v>1790</v>
      </c>
      <c r="C1135" s="263">
        <v>42674</v>
      </c>
      <c r="D1135" s="264" t="s">
        <v>1597</v>
      </c>
      <c r="E1135" s="264" t="s">
        <v>2230</v>
      </c>
      <c r="F1135" s="265"/>
      <c r="G1135" s="265">
        <v>6.72</v>
      </c>
      <c r="H1135" s="265">
        <f t="shared" si="17"/>
        <v>6.72</v>
      </c>
    </row>
    <row r="1136" spans="2:9" x14ac:dyDescent="0.2">
      <c r="B1136" s="329" t="s">
        <v>1884</v>
      </c>
      <c r="C1136" s="330">
        <v>42440</v>
      </c>
      <c r="D1136" s="331" t="s">
        <v>1938</v>
      </c>
      <c r="E1136" s="331" t="s">
        <v>2169</v>
      </c>
      <c r="F1136" s="332">
        <v>1050</v>
      </c>
      <c r="G1136" s="332"/>
      <c r="H1136" s="332">
        <f t="shared" si="17"/>
        <v>1050</v>
      </c>
      <c r="I1136" s="175">
        <f>SUM(H1004:H1135)</f>
        <v>90076.29</v>
      </c>
    </row>
    <row r="1137" spans="2:9" x14ac:dyDescent="0.2">
      <c r="B1137" s="329" t="s">
        <v>1884</v>
      </c>
      <c r="C1137" s="330">
        <v>42440</v>
      </c>
      <c r="D1137" s="331"/>
      <c r="E1137" s="331"/>
      <c r="F1137" s="332">
        <v>-10584.77</v>
      </c>
      <c r="G1137" s="332"/>
      <c r="H1137" s="332">
        <f t="shared" si="17"/>
        <v>-10584.77</v>
      </c>
      <c r="I1137" s="175"/>
    </row>
    <row r="1138" spans="2:9" x14ac:dyDescent="0.2">
      <c r="B1138" s="262"/>
      <c r="C1138" s="263"/>
      <c r="D1138" s="264"/>
      <c r="E1138" s="264"/>
      <c r="F1138" s="265"/>
      <c r="G1138" s="265"/>
      <c r="H1138" s="265">
        <f t="shared" si="17"/>
        <v>0</v>
      </c>
    </row>
    <row r="1139" spans="2:9" ht="12.75" customHeight="1" x14ac:dyDescent="0.2">
      <c r="B1139" s="255" t="s">
        <v>1850</v>
      </c>
      <c r="C1139" s="255" t="s">
        <v>1851</v>
      </c>
      <c r="D1139" s="256" t="s">
        <v>1852</v>
      </c>
      <c r="E1139" s="256" t="s">
        <v>1853</v>
      </c>
      <c r="F1139" s="257" t="s">
        <v>1854</v>
      </c>
      <c r="G1139" s="257" t="s">
        <v>1855</v>
      </c>
      <c r="H1139" s="257" t="s">
        <v>1856</v>
      </c>
    </row>
    <row r="1140" spans="2:9" x14ac:dyDescent="0.2">
      <c r="B1140" s="262" t="s">
        <v>1577</v>
      </c>
      <c r="C1140" s="263">
        <v>42674</v>
      </c>
      <c r="D1140" s="264" t="s">
        <v>1899</v>
      </c>
      <c r="E1140" s="264" t="s">
        <v>3033</v>
      </c>
      <c r="F1140" s="265">
        <v>10000</v>
      </c>
      <c r="G1140" s="265"/>
      <c r="H1140" s="265">
        <f t="shared" si="17"/>
        <v>10000</v>
      </c>
    </row>
    <row r="1141" spans="2:9" x14ac:dyDescent="0.2">
      <c r="B1141" s="262" t="s">
        <v>1863</v>
      </c>
      <c r="C1141" s="263">
        <v>42675</v>
      </c>
      <c r="D1141" s="264" t="s">
        <v>2419</v>
      </c>
      <c r="E1141" s="264" t="s">
        <v>3038</v>
      </c>
      <c r="F1141" s="265">
        <v>370</v>
      </c>
      <c r="G1141" s="265"/>
      <c r="H1141" s="265">
        <f t="shared" si="17"/>
        <v>370</v>
      </c>
    </row>
    <row r="1142" spans="2:9" x14ac:dyDescent="0.2">
      <c r="B1142" s="262" t="s">
        <v>1865</v>
      </c>
      <c r="C1142" s="263">
        <v>42676</v>
      </c>
      <c r="D1142" s="264" t="s">
        <v>3039</v>
      </c>
      <c r="E1142" s="264" t="s">
        <v>3040</v>
      </c>
      <c r="F1142" s="265">
        <v>150</v>
      </c>
      <c r="G1142" s="265"/>
      <c r="H1142" s="265">
        <f t="shared" si="17"/>
        <v>150</v>
      </c>
    </row>
    <row r="1143" spans="2:9" x14ac:dyDescent="0.2">
      <c r="B1143" s="262" t="s">
        <v>1884</v>
      </c>
      <c r="C1143" s="263">
        <v>42676</v>
      </c>
      <c r="D1143" s="264" t="s">
        <v>3041</v>
      </c>
      <c r="E1143" s="264" t="s">
        <v>3042</v>
      </c>
      <c r="F1143" s="265">
        <v>181.54</v>
      </c>
      <c r="G1143" s="265">
        <v>28.16</v>
      </c>
      <c r="H1143" s="265">
        <f t="shared" si="17"/>
        <v>209.7</v>
      </c>
    </row>
    <row r="1144" spans="2:9" x14ac:dyDescent="0.2">
      <c r="B1144" s="262" t="s">
        <v>1863</v>
      </c>
      <c r="C1144" s="263">
        <v>42676</v>
      </c>
      <c r="D1144" s="264" t="s">
        <v>2367</v>
      </c>
      <c r="E1144" s="264" t="s">
        <v>3043</v>
      </c>
      <c r="F1144" s="265">
        <v>750</v>
      </c>
      <c r="G1144" s="265"/>
      <c r="H1144" s="265">
        <f t="shared" si="17"/>
        <v>750</v>
      </c>
    </row>
    <row r="1145" spans="2:9" x14ac:dyDescent="0.2">
      <c r="B1145" s="262" t="s">
        <v>1884</v>
      </c>
      <c r="C1145" s="263">
        <v>42676</v>
      </c>
      <c r="D1145" s="264" t="s">
        <v>1915</v>
      </c>
      <c r="E1145" s="264" t="s">
        <v>3044</v>
      </c>
      <c r="F1145" s="265">
        <v>400</v>
      </c>
      <c r="G1145" s="265"/>
      <c r="H1145" s="265">
        <f t="shared" si="17"/>
        <v>400</v>
      </c>
    </row>
    <row r="1146" spans="2:9" x14ac:dyDescent="0.2">
      <c r="B1146" s="262" t="s">
        <v>1866</v>
      </c>
      <c r="C1146" s="263">
        <v>42677</v>
      </c>
      <c r="D1146" s="264" t="s">
        <v>1890</v>
      </c>
      <c r="E1146" s="264" t="s">
        <v>2730</v>
      </c>
      <c r="F1146" s="265">
        <v>310</v>
      </c>
      <c r="G1146" s="265"/>
      <c r="H1146" s="265">
        <f t="shared" si="17"/>
        <v>310</v>
      </c>
    </row>
    <row r="1147" spans="2:9" x14ac:dyDescent="0.2">
      <c r="B1147" s="262" t="s">
        <v>1805</v>
      </c>
      <c r="C1147" s="263">
        <v>41217</v>
      </c>
      <c r="D1147" s="264" t="s">
        <v>1910</v>
      </c>
      <c r="E1147" s="264" t="s">
        <v>3045</v>
      </c>
      <c r="F1147" s="265">
        <v>1000</v>
      </c>
      <c r="G1147" s="265"/>
      <c r="H1147" s="265">
        <f t="shared" si="17"/>
        <v>1000</v>
      </c>
    </row>
    <row r="1148" spans="2:9" x14ac:dyDescent="0.2">
      <c r="B1148" s="262" t="s">
        <v>1870</v>
      </c>
      <c r="C1148" s="263">
        <v>42678</v>
      </c>
      <c r="D1148" s="264" t="s">
        <v>1892</v>
      </c>
      <c r="E1148" s="264" t="s">
        <v>3046</v>
      </c>
      <c r="F1148" s="265">
        <v>350</v>
      </c>
      <c r="G1148" s="265"/>
      <c r="H1148" s="265">
        <f t="shared" si="17"/>
        <v>350</v>
      </c>
    </row>
    <row r="1149" spans="2:9" x14ac:dyDescent="0.2">
      <c r="B1149" s="262" t="s">
        <v>1865</v>
      </c>
      <c r="C1149" s="263">
        <v>42678</v>
      </c>
      <c r="D1149" s="264" t="s">
        <v>3047</v>
      </c>
      <c r="E1149" s="264" t="s">
        <v>3048</v>
      </c>
      <c r="F1149" s="265">
        <v>320</v>
      </c>
      <c r="G1149" s="265"/>
      <c r="H1149" s="265">
        <f t="shared" si="17"/>
        <v>320</v>
      </c>
    </row>
    <row r="1150" spans="2:9" x14ac:dyDescent="0.2">
      <c r="B1150" s="262" t="s">
        <v>1865</v>
      </c>
      <c r="C1150" s="263">
        <v>42678</v>
      </c>
      <c r="D1150" s="264" t="s">
        <v>3047</v>
      </c>
      <c r="E1150" s="264" t="s">
        <v>3049</v>
      </c>
      <c r="F1150" s="265">
        <v>370</v>
      </c>
      <c r="G1150" s="265"/>
      <c r="H1150" s="265">
        <f t="shared" si="17"/>
        <v>370</v>
      </c>
    </row>
    <row r="1151" spans="2:9" x14ac:dyDescent="0.2">
      <c r="B1151" s="262" t="s">
        <v>1870</v>
      </c>
      <c r="C1151" s="263">
        <v>42678</v>
      </c>
      <c r="D1151" s="264" t="s">
        <v>1892</v>
      </c>
      <c r="E1151" s="264" t="s">
        <v>3050</v>
      </c>
      <c r="F1151" s="265">
        <v>50</v>
      </c>
      <c r="G1151" s="265"/>
      <c r="H1151" s="265">
        <f t="shared" si="17"/>
        <v>50</v>
      </c>
    </row>
    <row r="1152" spans="2:9" x14ac:dyDescent="0.2">
      <c r="B1152" s="262" t="s">
        <v>1865</v>
      </c>
      <c r="C1152" s="263">
        <v>42678</v>
      </c>
      <c r="D1152" s="264" t="s">
        <v>3047</v>
      </c>
      <c r="E1152" s="264" t="s">
        <v>3051</v>
      </c>
      <c r="F1152" s="265">
        <v>350</v>
      </c>
      <c r="G1152" s="265"/>
      <c r="H1152" s="265">
        <f t="shared" si="17"/>
        <v>350</v>
      </c>
    </row>
    <row r="1153" spans="2:8" x14ac:dyDescent="0.2">
      <c r="B1153" s="262" t="s">
        <v>1870</v>
      </c>
      <c r="C1153" s="263">
        <v>42678</v>
      </c>
      <c r="D1153" s="264" t="s">
        <v>1892</v>
      </c>
      <c r="E1153" s="264" t="s">
        <v>3052</v>
      </c>
      <c r="F1153" s="265">
        <v>100</v>
      </c>
      <c r="G1153" s="265"/>
      <c r="H1153" s="265">
        <f t="shared" si="17"/>
        <v>100</v>
      </c>
    </row>
    <row r="1154" spans="2:8" x14ac:dyDescent="0.2">
      <c r="B1154" s="262" t="s">
        <v>1821</v>
      </c>
      <c r="C1154" s="263">
        <v>42678</v>
      </c>
      <c r="D1154" s="264" t="s">
        <v>3053</v>
      </c>
      <c r="E1154" s="264" t="s">
        <v>2352</v>
      </c>
      <c r="F1154" s="265">
        <v>3000</v>
      </c>
      <c r="G1154" s="265"/>
      <c r="H1154" s="265">
        <f t="shared" si="17"/>
        <v>3000</v>
      </c>
    </row>
    <row r="1155" spans="2:8" x14ac:dyDescent="0.2">
      <c r="B1155" s="262" t="s">
        <v>1863</v>
      </c>
      <c r="C1155" s="263">
        <v>42679</v>
      </c>
      <c r="D1155" s="264" t="s">
        <v>1878</v>
      </c>
      <c r="E1155" s="264" t="s">
        <v>3054</v>
      </c>
      <c r="F1155" s="265">
        <v>500</v>
      </c>
      <c r="G1155" s="265"/>
      <c r="H1155" s="265">
        <f t="shared" si="17"/>
        <v>500</v>
      </c>
    </row>
    <row r="1156" spans="2:8" x14ac:dyDescent="0.2">
      <c r="B1156" s="262" t="s">
        <v>1884</v>
      </c>
      <c r="C1156" s="263">
        <v>42680</v>
      </c>
      <c r="D1156" s="264" t="s">
        <v>2250</v>
      </c>
      <c r="E1156" s="264" t="s">
        <v>2321</v>
      </c>
      <c r="F1156" s="265">
        <v>120</v>
      </c>
      <c r="G1156" s="265"/>
      <c r="H1156" s="265">
        <f t="shared" si="17"/>
        <v>120</v>
      </c>
    </row>
    <row r="1157" spans="2:8" x14ac:dyDescent="0.2">
      <c r="B1157" s="262" t="s">
        <v>1864</v>
      </c>
      <c r="C1157" s="263">
        <v>42680</v>
      </c>
      <c r="D1157" s="264" t="s">
        <v>2535</v>
      </c>
      <c r="E1157" s="264" t="s">
        <v>3055</v>
      </c>
      <c r="F1157" s="265">
        <v>154.88999999999999</v>
      </c>
      <c r="G1157" s="265"/>
      <c r="H1157" s="265">
        <f t="shared" si="17"/>
        <v>154.88999999999999</v>
      </c>
    </row>
    <row r="1158" spans="2:8" x14ac:dyDescent="0.2">
      <c r="B1158" s="262" t="s">
        <v>1864</v>
      </c>
      <c r="C1158" s="263">
        <v>42681</v>
      </c>
      <c r="D1158" s="264" t="s">
        <v>1910</v>
      </c>
      <c r="E1158" s="264" t="s">
        <v>3056</v>
      </c>
      <c r="F1158" s="265">
        <v>400</v>
      </c>
      <c r="G1158" s="265"/>
      <c r="H1158" s="265">
        <f t="shared" si="17"/>
        <v>400</v>
      </c>
    </row>
    <row r="1159" spans="2:8" x14ac:dyDescent="0.2">
      <c r="B1159" s="262" t="s">
        <v>1866</v>
      </c>
      <c r="C1159" s="263">
        <v>42681</v>
      </c>
      <c r="D1159" s="264" t="s">
        <v>1890</v>
      </c>
      <c r="E1159" s="264" t="s">
        <v>2730</v>
      </c>
      <c r="F1159" s="265">
        <v>310</v>
      </c>
      <c r="G1159" s="265"/>
      <c r="H1159" s="265">
        <f t="shared" si="17"/>
        <v>310</v>
      </c>
    </row>
    <row r="1160" spans="2:8" x14ac:dyDescent="0.2">
      <c r="B1160" s="262" t="s">
        <v>1884</v>
      </c>
      <c r="C1160" s="263">
        <v>42681</v>
      </c>
      <c r="D1160" s="264" t="s">
        <v>3057</v>
      </c>
      <c r="E1160" s="264" t="s">
        <v>3058</v>
      </c>
      <c r="F1160" s="265">
        <v>279.60000000000002</v>
      </c>
      <c r="G1160" s="265"/>
      <c r="H1160" s="265">
        <f t="shared" si="17"/>
        <v>279.60000000000002</v>
      </c>
    </row>
    <row r="1161" spans="2:8" x14ac:dyDescent="0.2">
      <c r="B1161" s="262" t="s">
        <v>1884</v>
      </c>
      <c r="C1161" s="263">
        <v>42682</v>
      </c>
      <c r="D1161" s="264" t="s">
        <v>1889</v>
      </c>
      <c r="E1161" s="264" t="s">
        <v>3059</v>
      </c>
      <c r="F1161" s="265">
        <v>350</v>
      </c>
      <c r="G1161" s="265"/>
      <c r="H1161" s="265">
        <f t="shared" si="17"/>
        <v>350</v>
      </c>
    </row>
    <row r="1162" spans="2:8" x14ac:dyDescent="0.2">
      <c r="B1162" s="262" t="s">
        <v>1867</v>
      </c>
      <c r="C1162" s="263">
        <v>42682</v>
      </c>
      <c r="D1162" s="264" t="s">
        <v>1894</v>
      </c>
      <c r="E1162" s="264" t="s">
        <v>3060</v>
      </c>
      <c r="F1162" s="265">
        <v>786</v>
      </c>
      <c r="G1162" s="265"/>
      <c r="H1162" s="265">
        <f t="shared" si="17"/>
        <v>786</v>
      </c>
    </row>
    <row r="1163" spans="2:8" x14ac:dyDescent="0.2">
      <c r="B1163" s="262" t="s">
        <v>1875</v>
      </c>
      <c r="C1163" s="263">
        <v>42683</v>
      </c>
      <c r="D1163" s="264" t="s">
        <v>3061</v>
      </c>
      <c r="E1163" s="264" t="s">
        <v>1942</v>
      </c>
      <c r="F1163" s="265">
        <v>400</v>
      </c>
      <c r="G1163" s="265"/>
      <c r="H1163" s="265">
        <f t="shared" si="17"/>
        <v>400</v>
      </c>
    </row>
    <row r="1164" spans="2:8" x14ac:dyDescent="0.2">
      <c r="B1164" s="262" t="s">
        <v>1875</v>
      </c>
      <c r="C1164" s="263">
        <v>42683</v>
      </c>
      <c r="D1164" s="264" t="s">
        <v>3062</v>
      </c>
      <c r="E1164" s="264" t="s">
        <v>3063</v>
      </c>
      <c r="F1164" s="265">
        <v>15</v>
      </c>
      <c r="G1164" s="265"/>
      <c r="H1164" s="265">
        <f t="shared" si="17"/>
        <v>15</v>
      </c>
    </row>
    <row r="1165" spans="2:8" x14ac:dyDescent="0.2">
      <c r="B1165" s="262" t="s">
        <v>1860</v>
      </c>
      <c r="C1165" s="263">
        <v>42683</v>
      </c>
      <c r="D1165" s="264" t="s">
        <v>1891</v>
      </c>
      <c r="E1165" s="264" t="s">
        <v>3064</v>
      </c>
      <c r="F1165" s="265">
        <v>1312.9</v>
      </c>
      <c r="G1165" s="265"/>
      <c r="H1165" s="265">
        <f t="shared" si="17"/>
        <v>1312.9</v>
      </c>
    </row>
    <row r="1166" spans="2:8" x14ac:dyDescent="0.2">
      <c r="B1166" s="262" t="s">
        <v>1863</v>
      </c>
      <c r="C1166" s="263">
        <v>42684</v>
      </c>
      <c r="D1166" s="264" t="s">
        <v>1878</v>
      </c>
      <c r="E1166" s="264" t="s">
        <v>3065</v>
      </c>
      <c r="F1166" s="265">
        <v>500</v>
      </c>
      <c r="G1166" s="265"/>
      <c r="H1166" s="265">
        <f t="shared" si="17"/>
        <v>500</v>
      </c>
    </row>
    <row r="1167" spans="2:8" x14ac:dyDescent="0.2">
      <c r="B1167" s="262" t="s">
        <v>1863</v>
      </c>
      <c r="C1167" s="263">
        <v>42684</v>
      </c>
      <c r="D1167" s="264" t="s">
        <v>1873</v>
      </c>
      <c r="E1167" s="264" t="s">
        <v>3066</v>
      </c>
      <c r="F1167" s="265">
        <v>200</v>
      </c>
      <c r="G1167" s="265"/>
      <c r="H1167" s="265">
        <f t="shared" si="17"/>
        <v>200</v>
      </c>
    </row>
    <row r="1168" spans="2:8" x14ac:dyDescent="0.2">
      <c r="B1168" s="262" t="s">
        <v>1870</v>
      </c>
      <c r="C1168" s="263">
        <v>42684</v>
      </c>
      <c r="D1168" s="264" t="s">
        <v>1892</v>
      </c>
      <c r="E1168" s="264" t="s">
        <v>3067</v>
      </c>
      <c r="F1168" s="265">
        <v>800</v>
      </c>
      <c r="G1168" s="265"/>
      <c r="H1168" s="265">
        <f t="shared" si="17"/>
        <v>800</v>
      </c>
    </row>
    <row r="1169" spans="2:8" x14ac:dyDescent="0.2">
      <c r="B1169" s="262" t="s">
        <v>1870</v>
      </c>
      <c r="C1169" s="263">
        <v>42684</v>
      </c>
      <c r="D1169" s="264" t="s">
        <v>1892</v>
      </c>
      <c r="E1169" s="264" t="s">
        <v>3068</v>
      </c>
      <c r="F1169" s="265">
        <v>250</v>
      </c>
      <c r="G1169" s="265"/>
      <c r="H1169" s="265">
        <f t="shared" si="17"/>
        <v>250</v>
      </c>
    </row>
    <row r="1170" spans="2:8" x14ac:dyDescent="0.2">
      <c r="B1170" s="262" t="s">
        <v>1870</v>
      </c>
      <c r="C1170" s="263">
        <v>42684</v>
      </c>
      <c r="D1170" s="264" t="s">
        <v>1892</v>
      </c>
      <c r="E1170" s="264" t="s">
        <v>3069</v>
      </c>
      <c r="F1170" s="265">
        <v>1470</v>
      </c>
      <c r="G1170" s="265"/>
      <c r="H1170" s="265">
        <f t="shared" si="17"/>
        <v>1470</v>
      </c>
    </row>
    <row r="1171" spans="2:8" x14ac:dyDescent="0.2">
      <c r="B1171" s="262" t="s">
        <v>1870</v>
      </c>
      <c r="C1171" s="263">
        <v>42684</v>
      </c>
      <c r="D1171" s="264" t="s">
        <v>1892</v>
      </c>
      <c r="E1171" s="264" t="s">
        <v>3070</v>
      </c>
      <c r="F1171" s="265">
        <v>600</v>
      </c>
      <c r="G1171" s="265"/>
      <c r="H1171" s="265">
        <f t="shared" si="17"/>
        <v>600</v>
      </c>
    </row>
    <row r="1172" spans="2:8" x14ac:dyDescent="0.2">
      <c r="B1172" s="262" t="s">
        <v>1884</v>
      </c>
      <c r="C1172" s="263">
        <v>42684</v>
      </c>
      <c r="D1172" s="264" t="s">
        <v>1893</v>
      </c>
      <c r="E1172" s="264" t="s">
        <v>3071</v>
      </c>
      <c r="F1172" s="265">
        <v>30</v>
      </c>
      <c r="G1172" s="265"/>
      <c r="H1172" s="265">
        <f t="shared" si="17"/>
        <v>30</v>
      </c>
    </row>
    <row r="1173" spans="2:8" x14ac:dyDescent="0.2">
      <c r="B1173" s="262" t="s">
        <v>1884</v>
      </c>
      <c r="C1173" s="263">
        <v>42685</v>
      </c>
      <c r="D1173" s="264" t="s">
        <v>3072</v>
      </c>
      <c r="E1173" s="264" t="s">
        <v>3073</v>
      </c>
      <c r="F1173" s="265">
        <v>47</v>
      </c>
      <c r="G1173" s="265"/>
      <c r="H1173" s="265">
        <f t="shared" si="17"/>
        <v>47</v>
      </c>
    </row>
    <row r="1174" spans="2:8" x14ac:dyDescent="0.2">
      <c r="B1174" s="262" t="s">
        <v>1805</v>
      </c>
      <c r="C1174" s="263">
        <v>42685</v>
      </c>
      <c r="D1174" s="264" t="s">
        <v>1910</v>
      </c>
      <c r="E1174" s="264" t="s">
        <v>3074</v>
      </c>
      <c r="F1174" s="265">
        <v>1000</v>
      </c>
      <c r="G1174" s="265"/>
      <c r="H1174" s="265">
        <f t="shared" si="17"/>
        <v>1000</v>
      </c>
    </row>
    <row r="1175" spans="2:8" x14ac:dyDescent="0.2">
      <c r="B1175" s="262" t="s">
        <v>1863</v>
      </c>
      <c r="C1175" s="263">
        <v>42686</v>
      </c>
      <c r="D1175" s="264" t="s">
        <v>1878</v>
      </c>
      <c r="E1175" s="264" t="s">
        <v>3075</v>
      </c>
      <c r="F1175" s="265">
        <v>500</v>
      </c>
      <c r="G1175" s="265"/>
      <c r="H1175" s="265">
        <f t="shared" si="17"/>
        <v>500</v>
      </c>
    </row>
    <row r="1176" spans="2:8" x14ac:dyDescent="0.2">
      <c r="B1176" s="262" t="s">
        <v>1871</v>
      </c>
      <c r="C1176" s="263">
        <v>42686</v>
      </c>
      <c r="D1176" s="264" t="s">
        <v>2955</v>
      </c>
      <c r="E1176" s="264" t="s">
        <v>3076</v>
      </c>
      <c r="F1176" s="265">
        <v>200</v>
      </c>
      <c r="G1176" s="265"/>
      <c r="H1176" s="265">
        <f t="shared" si="17"/>
        <v>200</v>
      </c>
    </row>
    <row r="1177" spans="2:8" x14ac:dyDescent="0.2">
      <c r="B1177" s="262" t="s">
        <v>1871</v>
      </c>
      <c r="C1177" s="263">
        <v>42686</v>
      </c>
      <c r="D1177" s="264" t="s">
        <v>3077</v>
      </c>
      <c r="E1177" s="264" t="s">
        <v>3078</v>
      </c>
      <c r="F1177" s="265">
        <v>450</v>
      </c>
      <c r="G1177" s="265"/>
      <c r="H1177" s="265">
        <f t="shared" si="17"/>
        <v>450</v>
      </c>
    </row>
    <row r="1178" spans="2:8" x14ac:dyDescent="0.2">
      <c r="B1178" s="262" t="s">
        <v>1871</v>
      </c>
      <c r="C1178" s="263">
        <v>42686</v>
      </c>
      <c r="D1178" s="264" t="s">
        <v>3077</v>
      </c>
      <c r="E1178" s="264" t="s">
        <v>3078</v>
      </c>
      <c r="F1178" s="265">
        <v>430</v>
      </c>
      <c r="G1178" s="265"/>
      <c r="H1178" s="265">
        <f t="shared" si="17"/>
        <v>430</v>
      </c>
    </row>
    <row r="1179" spans="2:8" x14ac:dyDescent="0.2">
      <c r="B1179" s="262" t="s">
        <v>1864</v>
      </c>
      <c r="C1179" s="263">
        <v>42686</v>
      </c>
      <c r="D1179" s="264" t="s">
        <v>2535</v>
      </c>
      <c r="E1179" s="264" t="s">
        <v>3055</v>
      </c>
      <c r="F1179" s="265">
        <v>145</v>
      </c>
      <c r="G1179" s="265"/>
      <c r="H1179" s="265">
        <f t="shared" si="17"/>
        <v>145</v>
      </c>
    </row>
    <row r="1180" spans="2:8" x14ac:dyDescent="0.2">
      <c r="B1180" s="262" t="s">
        <v>1884</v>
      </c>
      <c r="C1180" s="263">
        <v>42687</v>
      </c>
      <c r="D1180" s="264" t="s">
        <v>2250</v>
      </c>
      <c r="E1180" s="264" t="s">
        <v>2026</v>
      </c>
      <c r="F1180" s="265">
        <v>120</v>
      </c>
      <c r="G1180" s="265"/>
      <c r="H1180" s="265">
        <f t="shared" si="17"/>
        <v>120</v>
      </c>
    </row>
    <row r="1181" spans="2:8" x14ac:dyDescent="0.2">
      <c r="B1181" s="262" t="s">
        <v>1863</v>
      </c>
      <c r="C1181" s="263">
        <v>42687</v>
      </c>
      <c r="D1181" s="264" t="s">
        <v>2250</v>
      </c>
      <c r="E1181" s="264" t="s">
        <v>3079</v>
      </c>
      <c r="F1181" s="265">
        <v>130</v>
      </c>
      <c r="G1181" s="265"/>
      <c r="H1181" s="265">
        <f t="shared" si="17"/>
        <v>130</v>
      </c>
    </row>
    <row r="1182" spans="2:8" x14ac:dyDescent="0.2">
      <c r="B1182" s="262" t="s">
        <v>1866</v>
      </c>
      <c r="C1182" s="263">
        <v>42688</v>
      </c>
      <c r="D1182" s="264" t="s">
        <v>1890</v>
      </c>
      <c r="E1182" s="264" t="s">
        <v>2730</v>
      </c>
      <c r="F1182" s="265">
        <v>310</v>
      </c>
      <c r="G1182" s="265"/>
      <c r="H1182" s="265">
        <f t="shared" si="17"/>
        <v>310</v>
      </c>
    </row>
    <row r="1183" spans="2:8" x14ac:dyDescent="0.2">
      <c r="B1183" s="262" t="s">
        <v>1857</v>
      </c>
      <c r="C1183" s="263">
        <v>42688</v>
      </c>
      <c r="D1183" s="264" t="s">
        <v>1872</v>
      </c>
      <c r="E1183" s="264" t="s">
        <v>3080</v>
      </c>
      <c r="F1183" s="265">
        <v>450</v>
      </c>
      <c r="G1183" s="265"/>
      <c r="H1183" s="265">
        <f t="shared" si="17"/>
        <v>450</v>
      </c>
    </row>
    <row r="1184" spans="2:8" x14ac:dyDescent="0.2">
      <c r="B1184" s="262" t="s">
        <v>1884</v>
      </c>
      <c r="C1184" s="263">
        <v>42688</v>
      </c>
      <c r="D1184" s="264" t="s">
        <v>1912</v>
      </c>
      <c r="E1184" s="264" t="s">
        <v>2392</v>
      </c>
      <c r="F1184" s="265">
        <v>290</v>
      </c>
      <c r="G1184" s="265"/>
      <c r="H1184" s="265">
        <f t="shared" si="17"/>
        <v>290</v>
      </c>
    </row>
    <row r="1185" spans="2:8" x14ac:dyDescent="0.2">
      <c r="B1185" s="262" t="s">
        <v>1865</v>
      </c>
      <c r="C1185" s="263">
        <v>42688</v>
      </c>
      <c r="D1185" s="264" t="s">
        <v>3081</v>
      </c>
      <c r="E1185" s="264" t="s">
        <v>3082</v>
      </c>
      <c r="F1185" s="265">
        <v>350</v>
      </c>
      <c r="G1185" s="265"/>
      <c r="H1185" s="265">
        <f t="shared" si="17"/>
        <v>350</v>
      </c>
    </row>
    <row r="1186" spans="2:8" x14ac:dyDescent="0.2">
      <c r="B1186" s="262" t="s">
        <v>1884</v>
      </c>
      <c r="C1186" s="263">
        <v>42688</v>
      </c>
      <c r="D1186" s="264" t="s">
        <v>1915</v>
      </c>
      <c r="E1186" s="264" t="s">
        <v>3083</v>
      </c>
      <c r="F1186" s="265">
        <v>200</v>
      </c>
      <c r="G1186" s="265"/>
      <c r="H1186" s="265">
        <f t="shared" si="17"/>
        <v>200</v>
      </c>
    </row>
    <row r="1187" spans="2:8" x14ac:dyDescent="0.2">
      <c r="B1187" s="262" t="s">
        <v>1871</v>
      </c>
      <c r="C1187" s="263">
        <v>42688</v>
      </c>
      <c r="D1187" s="264" t="s">
        <v>3077</v>
      </c>
      <c r="E1187" s="264" t="s">
        <v>3084</v>
      </c>
      <c r="F1187" s="265">
        <v>290</v>
      </c>
      <c r="G1187" s="265"/>
      <c r="H1187" s="265">
        <f t="shared" si="17"/>
        <v>290</v>
      </c>
    </row>
    <row r="1188" spans="2:8" x14ac:dyDescent="0.2">
      <c r="B1188" s="262" t="s">
        <v>1884</v>
      </c>
      <c r="C1188" s="263">
        <v>42689</v>
      </c>
      <c r="D1188" s="264" t="s">
        <v>1915</v>
      </c>
      <c r="E1188" s="264" t="s">
        <v>3085</v>
      </c>
      <c r="F1188" s="265">
        <v>200</v>
      </c>
      <c r="G1188" s="265"/>
      <c r="H1188" s="265">
        <f t="shared" si="17"/>
        <v>200</v>
      </c>
    </row>
    <row r="1189" spans="2:8" x14ac:dyDescent="0.2">
      <c r="B1189" s="262" t="s">
        <v>1863</v>
      </c>
      <c r="C1189" s="263">
        <v>42689</v>
      </c>
      <c r="D1189" s="264" t="s">
        <v>1873</v>
      </c>
      <c r="E1189" s="264" t="s">
        <v>3086</v>
      </c>
      <c r="F1189" s="265">
        <v>450</v>
      </c>
      <c r="G1189" s="265"/>
      <c r="H1189" s="265">
        <f t="shared" si="17"/>
        <v>450</v>
      </c>
    </row>
    <row r="1190" spans="2:8" x14ac:dyDescent="0.2">
      <c r="B1190" s="262" t="s">
        <v>1884</v>
      </c>
      <c r="C1190" s="263">
        <v>42689</v>
      </c>
      <c r="D1190" s="264" t="s">
        <v>2250</v>
      </c>
      <c r="E1190" s="264" t="s">
        <v>3087</v>
      </c>
      <c r="F1190" s="265">
        <v>350</v>
      </c>
      <c r="G1190" s="265"/>
      <c r="H1190" s="265">
        <f t="shared" si="17"/>
        <v>350</v>
      </c>
    </row>
    <row r="1191" spans="2:8" x14ac:dyDescent="0.2">
      <c r="B1191" s="262" t="s">
        <v>1805</v>
      </c>
      <c r="C1191" s="263">
        <v>42689</v>
      </c>
      <c r="D1191" s="264" t="s">
        <v>1888</v>
      </c>
      <c r="E1191" s="264" t="s">
        <v>3088</v>
      </c>
      <c r="F1191" s="265">
        <v>1224</v>
      </c>
      <c r="G1191" s="265"/>
      <c r="H1191" s="265">
        <f t="shared" si="17"/>
        <v>1224</v>
      </c>
    </row>
    <row r="1192" spans="2:8" x14ac:dyDescent="0.2">
      <c r="B1192" s="262" t="s">
        <v>1790</v>
      </c>
      <c r="C1192" s="263">
        <v>42689</v>
      </c>
      <c r="D1192" s="264" t="s">
        <v>1909</v>
      </c>
      <c r="E1192" s="264" t="s">
        <v>3089</v>
      </c>
      <c r="F1192" s="265"/>
      <c r="G1192" s="265">
        <v>1760</v>
      </c>
      <c r="H1192" s="265">
        <f t="shared" si="17"/>
        <v>1760</v>
      </c>
    </row>
    <row r="1193" spans="2:8" x14ac:dyDescent="0.2">
      <c r="B1193" s="262" t="s">
        <v>1577</v>
      </c>
      <c r="C1193" s="263">
        <v>42689</v>
      </c>
      <c r="D1193" s="264" t="s">
        <v>1899</v>
      </c>
      <c r="E1193" s="264" t="s">
        <v>3090</v>
      </c>
      <c r="F1193" s="265">
        <v>14500</v>
      </c>
      <c r="G1193" s="265"/>
      <c r="H1193" s="265">
        <f t="shared" si="17"/>
        <v>14500</v>
      </c>
    </row>
    <row r="1194" spans="2:8" x14ac:dyDescent="0.2">
      <c r="B1194" s="262" t="s">
        <v>1859</v>
      </c>
      <c r="C1194" s="263">
        <v>42689</v>
      </c>
      <c r="D1194" s="264" t="s">
        <v>1911</v>
      </c>
      <c r="E1194" s="264" t="s">
        <v>1935</v>
      </c>
      <c r="F1194" s="265">
        <v>4000</v>
      </c>
      <c r="G1194" s="265"/>
      <c r="H1194" s="265">
        <f t="shared" si="17"/>
        <v>4000</v>
      </c>
    </row>
    <row r="1195" spans="2:8" x14ac:dyDescent="0.2">
      <c r="B1195" s="262" t="s">
        <v>1884</v>
      </c>
      <c r="C1195" s="263">
        <v>42689</v>
      </c>
      <c r="D1195" s="264" t="s">
        <v>1915</v>
      </c>
      <c r="E1195" s="264" t="s">
        <v>3091</v>
      </c>
      <c r="F1195" s="265">
        <v>300</v>
      </c>
      <c r="G1195" s="265"/>
      <c r="H1195" s="265">
        <f t="shared" si="17"/>
        <v>300</v>
      </c>
    </row>
    <row r="1196" spans="2:8" x14ac:dyDescent="0.2">
      <c r="B1196" s="262" t="s">
        <v>1805</v>
      </c>
      <c r="C1196" s="263">
        <v>42689</v>
      </c>
      <c r="D1196" s="264" t="s">
        <v>1918</v>
      </c>
      <c r="E1196" s="264" t="s">
        <v>3092</v>
      </c>
      <c r="F1196" s="265">
        <v>100</v>
      </c>
      <c r="G1196" s="265"/>
      <c r="H1196" s="265">
        <f t="shared" si="17"/>
        <v>100</v>
      </c>
    </row>
    <row r="1197" spans="2:8" x14ac:dyDescent="0.2">
      <c r="B1197" s="262" t="s">
        <v>1821</v>
      </c>
      <c r="C1197" s="263">
        <v>42690</v>
      </c>
      <c r="D1197" s="264" t="s">
        <v>1892</v>
      </c>
      <c r="E1197" s="264" t="s">
        <v>3093</v>
      </c>
      <c r="F1197" s="265">
        <v>150</v>
      </c>
      <c r="G1197" s="265"/>
      <c r="H1197" s="265">
        <f t="shared" si="17"/>
        <v>150</v>
      </c>
    </row>
    <row r="1198" spans="2:8" x14ac:dyDescent="0.2">
      <c r="B1198" s="262" t="s">
        <v>1577</v>
      </c>
      <c r="C1198" s="263">
        <v>42690</v>
      </c>
      <c r="D1198" s="264" t="s">
        <v>1899</v>
      </c>
      <c r="E1198" s="264" t="s">
        <v>3094</v>
      </c>
      <c r="F1198" s="265">
        <v>14500</v>
      </c>
      <c r="G1198" s="265"/>
      <c r="H1198" s="265">
        <f t="shared" si="17"/>
        <v>14500</v>
      </c>
    </row>
    <row r="1199" spans="2:8" x14ac:dyDescent="0.2">
      <c r="B1199" s="262" t="s">
        <v>1870</v>
      </c>
      <c r="C1199" s="263">
        <v>42690</v>
      </c>
      <c r="D1199" s="264" t="s">
        <v>1892</v>
      </c>
      <c r="E1199" s="264" t="s">
        <v>3095</v>
      </c>
      <c r="F1199" s="265">
        <v>250</v>
      </c>
      <c r="G1199" s="265"/>
      <c r="H1199" s="265">
        <f t="shared" si="17"/>
        <v>250</v>
      </c>
    </row>
    <row r="1200" spans="2:8" x14ac:dyDescent="0.2">
      <c r="B1200" s="262" t="s">
        <v>1866</v>
      </c>
      <c r="C1200" s="263">
        <v>42690</v>
      </c>
      <c r="D1200" s="264" t="s">
        <v>1890</v>
      </c>
      <c r="E1200" s="264" t="s">
        <v>2677</v>
      </c>
      <c r="F1200" s="265">
        <v>280</v>
      </c>
      <c r="G1200" s="265"/>
      <c r="H1200" s="265">
        <f t="shared" si="17"/>
        <v>280</v>
      </c>
    </row>
    <row r="1201" spans="2:8" x14ac:dyDescent="0.2">
      <c r="B1201" s="262" t="s">
        <v>1863</v>
      </c>
      <c r="C1201" s="263">
        <v>42690</v>
      </c>
      <c r="D1201" s="264" t="s">
        <v>2419</v>
      </c>
      <c r="E1201" s="264" t="s">
        <v>3096</v>
      </c>
      <c r="F1201" s="265">
        <v>230</v>
      </c>
      <c r="G1201" s="265"/>
      <c r="H1201" s="265">
        <f t="shared" si="17"/>
        <v>230</v>
      </c>
    </row>
    <row r="1202" spans="2:8" x14ac:dyDescent="0.2">
      <c r="B1202" s="262" t="s">
        <v>1865</v>
      </c>
      <c r="C1202" s="263">
        <v>42691</v>
      </c>
      <c r="D1202" s="264" t="s">
        <v>3097</v>
      </c>
      <c r="E1202" s="264" t="s">
        <v>3098</v>
      </c>
      <c r="F1202" s="265">
        <v>500</v>
      </c>
      <c r="G1202" s="265"/>
      <c r="H1202" s="265">
        <f t="shared" si="17"/>
        <v>500</v>
      </c>
    </row>
    <row r="1203" spans="2:8" x14ac:dyDescent="0.2">
      <c r="B1203" s="262" t="s">
        <v>1865</v>
      </c>
      <c r="C1203" s="263">
        <v>42691</v>
      </c>
      <c r="D1203" s="264" t="s">
        <v>1915</v>
      </c>
      <c r="E1203" s="264" t="s">
        <v>3099</v>
      </c>
      <c r="F1203" s="265">
        <v>200</v>
      </c>
      <c r="G1203" s="265"/>
      <c r="H1203" s="265">
        <f t="shared" si="17"/>
        <v>200</v>
      </c>
    </row>
    <row r="1204" spans="2:8" x14ac:dyDescent="0.2">
      <c r="B1204" s="262" t="s">
        <v>1865</v>
      </c>
      <c r="C1204" s="263">
        <v>42691</v>
      </c>
      <c r="D1204" s="264" t="s">
        <v>3100</v>
      </c>
      <c r="E1204" s="264" t="s">
        <v>3101</v>
      </c>
      <c r="F1204" s="265">
        <v>2500</v>
      </c>
      <c r="G1204" s="265"/>
      <c r="H1204" s="265">
        <f t="shared" si="17"/>
        <v>2500</v>
      </c>
    </row>
    <row r="1205" spans="2:8" x14ac:dyDescent="0.2">
      <c r="B1205" s="262" t="s">
        <v>1884</v>
      </c>
      <c r="C1205" s="263">
        <v>42691</v>
      </c>
      <c r="D1205" s="264" t="s">
        <v>3102</v>
      </c>
      <c r="E1205" s="264" t="s">
        <v>3103</v>
      </c>
      <c r="F1205" s="265">
        <v>30</v>
      </c>
      <c r="G1205" s="265"/>
      <c r="H1205" s="265">
        <f t="shared" si="17"/>
        <v>30</v>
      </c>
    </row>
    <row r="1206" spans="2:8" x14ac:dyDescent="0.2">
      <c r="B1206" s="262" t="s">
        <v>1884</v>
      </c>
      <c r="C1206" s="263">
        <v>42691</v>
      </c>
      <c r="D1206" s="264" t="s">
        <v>2656</v>
      </c>
      <c r="E1206" s="264" t="s">
        <v>3104</v>
      </c>
      <c r="F1206" s="265">
        <v>50</v>
      </c>
      <c r="G1206" s="265"/>
      <c r="H1206" s="265">
        <f t="shared" si="17"/>
        <v>50</v>
      </c>
    </row>
    <row r="1207" spans="2:8" x14ac:dyDescent="0.2">
      <c r="B1207" s="262" t="s">
        <v>1857</v>
      </c>
      <c r="C1207" s="263">
        <v>42692</v>
      </c>
      <c r="D1207" s="264" t="s">
        <v>1872</v>
      </c>
      <c r="E1207" s="264" t="s">
        <v>3105</v>
      </c>
      <c r="F1207" s="265">
        <v>380</v>
      </c>
      <c r="G1207" s="265"/>
      <c r="H1207" s="265">
        <f t="shared" si="17"/>
        <v>380</v>
      </c>
    </row>
    <row r="1208" spans="2:8" x14ac:dyDescent="0.2">
      <c r="B1208" s="262" t="s">
        <v>1805</v>
      </c>
      <c r="C1208" s="263">
        <v>42692</v>
      </c>
      <c r="D1208" s="264" t="s">
        <v>1910</v>
      </c>
      <c r="E1208" s="264" t="s">
        <v>3106</v>
      </c>
      <c r="F1208" s="265">
        <v>1000</v>
      </c>
      <c r="G1208" s="265"/>
      <c r="H1208" s="265">
        <f t="shared" si="17"/>
        <v>1000</v>
      </c>
    </row>
    <row r="1209" spans="2:8" x14ac:dyDescent="0.2">
      <c r="B1209" s="262" t="s">
        <v>1863</v>
      </c>
      <c r="C1209" s="263">
        <v>42692</v>
      </c>
      <c r="D1209" s="264" t="s">
        <v>1878</v>
      </c>
      <c r="E1209" s="264" t="s">
        <v>3107</v>
      </c>
      <c r="F1209" s="265">
        <v>500</v>
      </c>
      <c r="G1209" s="265"/>
      <c r="H1209" s="265">
        <f t="shared" si="17"/>
        <v>500</v>
      </c>
    </row>
    <row r="1210" spans="2:8" x14ac:dyDescent="0.2">
      <c r="B1210" s="262" t="s">
        <v>1863</v>
      </c>
      <c r="C1210" s="263">
        <v>42692</v>
      </c>
      <c r="D1210" s="264" t="s">
        <v>2419</v>
      </c>
      <c r="E1210" s="264" t="s">
        <v>2981</v>
      </c>
      <c r="F1210" s="265">
        <v>350</v>
      </c>
      <c r="G1210" s="265"/>
      <c r="H1210" s="265">
        <f t="shared" si="17"/>
        <v>350</v>
      </c>
    </row>
    <row r="1211" spans="2:8" x14ac:dyDescent="0.2">
      <c r="B1211" s="262" t="s">
        <v>1882</v>
      </c>
      <c r="C1211" s="263">
        <v>42692</v>
      </c>
      <c r="D1211" s="264" t="s">
        <v>1872</v>
      </c>
      <c r="E1211" s="264" t="s">
        <v>3108</v>
      </c>
      <c r="F1211" s="265">
        <v>300</v>
      </c>
      <c r="G1211" s="265"/>
      <c r="H1211" s="265">
        <f t="shared" si="17"/>
        <v>300</v>
      </c>
    </row>
    <row r="1212" spans="2:8" x14ac:dyDescent="0.2">
      <c r="B1212" s="262" t="s">
        <v>1884</v>
      </c>
      <c r="C1212" s="263">
        <v>42692</v>
      </c>
      <c r="D1212" s="264" t="s">
        <v>1893</v>
      </c>
      <c r="E1212" s="264" t="s">
        <v>3109</v>
      </c>
      <c r="F1212" s="265">
        <v>649</v>
      </c>
      <c r="G1212" s="265"/>
      <c r="H1212" s="265">
        <f t="shared" si="17"/>
        <v>649</v>
      </c>
    </row>
    <row r="1213" spans="2:8" x14ac:dyDescent="0.2">
      <c r="B1213" s="262" t="s">
        <v>1884</v>
      </c>
      <c r="C1213" s="263">
        <v>42692</v>
      </c>
      <c r="D1213" s="264" t="s">
        <v>2192</v>
      </c>
      <c r="E1213" s="264" t="s">
        <v>3110</v>
      </c>
      <c r="F1213" s="265">
        <v>28</v>
      </c>
      <c r="G1213" s="265"/>
      <c r="H1213" s="265">
        <f t="shared" si="17"/>
        <v>28</v>
      </c>
    </row>
    <row r="1214" spans="2:8" x14ac:dyDescent="0.2">
      <c r="B1214" s="262" t="s">
        <v>1884</v>
      </c>
      <c r="C1214" s="263">
        <v>42693</v>
      </c>
      <c r="D1214" s="264" t="s">
        <v>1912</v>
      </c>
      <c r="E1214" s="264" t="s">
        <v>3111</v>
      </c>
      <c r="F1214" s="265">
        <v>242.05</v>
      </c>
      <c r="G1214" s="265">
        <v>37.549999999999997</v>
      </c>
      <c r="H1214" s="265">
        <f t="shared" si="17"/>
        <v>279.60000000000002</v>
      </c>
    </row>
    <row r="1215" spans="2:8" x14ac:dyDescent="0.2">
      <c r="B1215" s="262" t="s">
        <v>1884</v>
      </c>
      <c r="C1215" s="263">
        <v>42693</v>
      </c>
      <c r="D1215" s="264" t="s">
        <v>1911</v>
      </c>
      <c r="E1215" s="264" t="s">
        <v>3112</v>
      </c>
      <c r="F1215" s="265">
        <v>300</v>
      </c>
      <c r="G1215" s="265"/>
      <c r="H1215" s="265">
        <f t="shared" si="17"/>
        <v>300</v>
      </c>
    </row>
    <row r="1216" spans="2:8" x14ac:dyDescent="0.2">
      <c r="B1216" s="262" t="s">
        <v>1884</v>
      </c>
      <c r="C1216" s="263">
        <v>42693</v>
      </c>
      <c r="D1216" s="264" t="s">
        <v>1918</v>
      </c>
      <c r="E1216" s="264" t="s">
        <v>3113</v>
      </c>
      <c r="F1216" s="265">
        <v>50</v>
      </c>
      <c r="G1216" s="265"/>
      <c r="H1216" s="265">
        <f t="shared" si="17"/>
        <v>50</v>
      </c>
    </row>
    <row r="1217" spans="2:8" x14ac:dyDescent="0.2">
      <c r="B1217" s="262" t="s">
        <v>1871</v>
      </c>
      <c r="C1217" s="263">
        <v>42694</v>
      </c>
      <c r="D1217" s="264" t="s">
        <v>3077</v>
      </c>
      <c r="E1217" s="264" t="s">
        <v>3114</v>
      </c>
      <c r="F1217" s="265">
        <v>150</v>
      </c>
      <c r="G1217" s="265"/>
      <c r="H1217" s="265">
        <f t="shared" si="17"/>
        <v>150</v>
      </c>
    </row>
    <row r="1218" spans="2:8" x14ac:dyDescent="0.2">
      <c r="B1218" s="262" t="s">
        <v>1860</v>
      </c>
      <c r="C1218" s="263">
        <v>42694</v>
      </c>
      <c r="D1218" s="264" t="s">
        <v>1891</v>
      </c>
      <c r="E1218" s="264" t="s">
        <v>3115</v>
      </c>
      <c r="F1218" s="265">
        <v>1598.01</v>
      </c>
      <c r="G1218" s="265"/>
      <c r="H1218" s="265">
        <f t="shared" si="17"/>
        <v>1598.01</v>
      </c>
    </row>
    <row r="1219" spans="2:8" x14ac:dyDescent="0.2">
      <c r="B1219" s="262" t="s">
        <v>1884</v>
      </c>
      <c r="C1219" s="263">
        <v>42694</v>
      </c>
      <c r="D1219" s="264" t="s">
        <v>2535</v>
      </c>
      <c r="E1219" s="264" t="s">
        <v>3116</v>
      </c>
      <c r="F1219" s="265">
        <v>92.5</v>
      </c>
      <c r="G1219" s="265"/>
      <c r="H1219" s="265">
        <f t="shared" si="17"/>
        <v>92.5</v>
      </c>
    </row>
    <row r="1220" spans="2:8" x14ac:dyDescent="0.2">
      <c r="B1220" s="262" t="s">
        <v>1884</v>
      </c>
      <c r="C1220" s="263">
        <v>42694</v>
      </c>
      <c r="D1220" s="264" t="s">
        <v>2250</v>
      </c>
      <c r="E1220" s="264" t="s">
        <v>2476</v>
      </c>
      <c r="F1220" s="265">
        <v>120</v>
      </c>
      <c r="G1220" s="265"/>
      <c r="H1220" s="265">
        <f t="shared" si="17"/>
        <v>120</v>
      </c>
    </row>
    <row r="1221" spans="2:8" x14ac:dyDescent="0.2">
      <c r="B1221" s="262" t="s">
        <v>1863</v>
      </c>
      <c r="C1221" s="263">
        <v>42694</v>
      </c>
      <c r="D1221" s="264" t="s">
        <v>2250</v>
      </c>
      <c r="E1221" s="264" t="s">
        <v>3117</v>
      </c>
      <c r="F1221" s="265">
        <v>150</v>
      </c>
      <c r="G1221" s="265"/>
      <c r="H1221" s="265">
        <f t="shared" si="17"/>
        <v>150</v>
      </c>
    </row>
    <row r="1222" spans="2:8" x14ac:dyDescent="0.2">
      <c r="B1222" s="262" t="s">
        <v>1863</v>
      </c>
      <c r="C1222" s="263">
        <v>42694</v>
      </c>
      <c r="D1222" s="264" t="s">
        <v>2386</v>
      </c>
      <c r="E1222" s="264" t="s">
        <v>3116</v>
      </c>
      <c r="F1222" s="265">
        <v>92</v>
      </c>
      <c r="G1222" s="265"/>
      <c r="H1222" s="265">
        <f t="shared" si="17"/>
        <v>92</v>
      </c>
    </row>
    <row r="1223" spans="2:8" x14ac:dyDescent="0.2">
      <c r="B1223" s="262" t="s">
        <v>1866</v>
      </c>
      <c r="C1223" s="263">
        <v>42695</v>
      </c>
      <c r="D1223" s="264" t="s">
        <v>1890</v>
      </c>
      <c r="E1223" s="264" t="s">
        <v>3118</v>
      </c>
      <c r="F1223" s="265">
        <v>340</v>
      </c>
      <c r="G1223" s="265"/>
      <c r="H1223" s="265">
        <f t="shared" si="17"/>
        <v>340</v>
      </c>
    </row>
    <row r="1224" spans="2:8" x14ac:dyDescent="0.2">
      <c r="B1224" s="262" t="s">
        <v>1871</v>
      </c>
      <c r="C1224" s="263">
        <v>42695</v>
      </c>
      <c r="D1224" s="264" t="s">
        <v>3077</v>
      </c>
      <c r="E1224" s="264" t="s">
        <v>3119</v>
      </c>
      <c r="F1224" s="265">
        <v>300</v>
      </c>
      <c r="G1224" s="265"/>
      <c r="H1224" s="265">
        <f t="shared" si="17"/>
        <v>300</v>
      </c>
    </row>
    <row r="1225" spans="2:8" x14ac:dyDescent="0.2">
      <c r="B1225" s="262" t="s">
        <v>1884</v>
      </c>
      <c r="C1225" s="263">
        <v>42676</v>
      </c>
      <c r="D1225" s="264" t="s">
        <v>3001</v>
      </c>
      <c r="E1225" s="264" t="s">
        <v>3120</v>
      </c>
      <c r="F1225" s="265">
        <v>230</v>
      </c>
      <c r="G1225" s="265"/>
      <c r="H1225" s="265">
        <f t="shared" si="17"/>
        <v>230</v>
      </c>
    </row>
    <row r="1226" spans="2:8" x14ac:dyDescent="0.2">
      <c r="B1226" s="262" t="s">
        <v>1884</v>
      </c>
      <c r="C1226" s="263">
        <v>42696</v>
      </c>
      <c r="D1226" s="264" t="s">
        <v>2535</v>
      </c>
      <c r="E1226" s="264" t="s">
        <v>3121</v>
      </c>
      <c r="F1226" s="265">
        <v>70</v>
      </c>
      <c r="G1226" s="265"/>
      <c r="H1226" s="265">
        <f t="shared" si="17"/>
        <v>70</v>
      </c>
    </row>
    <row r="1227" spans="2:8" x14ac:dyDescent="0.2">
      <c r="B1227" s="262" t="s">
        <v>1884</v>
      </c>
      <c r="C1227" s="263">
        <v>42696</v>
      </c>
      <c r="D1227" s="264" t="s">
        <v>1878</v>
      </c>
      <c r="E1227" s="264" t="s">
        <v>3122</v>
      </c>
      <c r="F1227" s="265">
        <v>14.5</v>
      </c>
      <c r="G1227" s="265"/>
      <c r="H1227" s="265">
        <f t="shared" si="17"/>
        <v>14.5</v>
      </c>
    </row>
    <row r="1228" spans="2:8" x14ac:dyDescent="0.2">
      <c r="B1228" s="262" t="s">
        <v>1863</v>
      </c>
      <c r="C1228" s="263">
        <v>42696</v>
      </c>
      <c r="D1228" s="264" t="s">
        <v>1911</v>
      </c>
      <c r="E1228" s="264" t="s">
        <v>3123</v>
      </c>
      <c r="F1228" s="265">
        <v>900</v>
      </c>
      <c r="G1228" s="265"/>
      <c r="H1228" s="265">
        <f t="shared" si="17"/>
        <v>900</v>
      </c>
    </row>
    <row r="1229" spans="2:8" x14ac:dyDescent="0.2">
      <c r="B1229" s="262" t="s">
        <v>1884</v>
      </c>
      <c r="C1229" s="263">
        <v>42696</v>
      </c>
      <c r="D1229" s="264" t="s">
        <v>1915</v>
      </c>
      <c r="E1229" s="264" t="s">
        <v>3124</v>
      </c>
      <c r="F1229" s="265">
        <v>500</v>
      </c>
      <c r="G1229" s="265"/>
      <c r="H1229" s="265">
        <f t="shared" si="17"/>
        <v>500</v>
      </c>
    </row>
    <row r="1230" spans="2:8" x14ac:dyDescent="0.2">
      <c r="B1230" s="262" t="s">
        <v>1884</v>
      </c>
      <c r="C1230" s="263">
        <v>42697</v>
      </c>
      <c r="D1230" s="264" t="s">
        <v>3125</v>
      </c>
      <c r="E1230" s="264" t="s">
        <v>3126</v>
      </c>
      <c r="F1230" s="265">
        <v>26</v>
      </c>
      <c r="G1230" s="265"/>
      <c r="H1230" s="265">
        <f t="shared" si="17"/>
        <v>26</v>
      </c>
    </row>
    <row r="1231" spans="2:8" x14ac:dyDescent="0.2">
      <c r="B1231" s="262" t="s">
        <v>1871</v>
      </c>
      <c r="C1231" s="263">
        <v>42696</v>
      </c>
      <c r="D1231" s="264" t="s">
        <v>3077</v>
      </c>
      <c r="E1231" s="264" t="s">
        <v>3127</v>
      </c>
      <c r="F1231" s="265">
        <v>180</v>
      </c>
      <c r="G1231" s="265"/>
      <c r="H1231" s="265">
        <f t="shared" si="17"/>
        <v>180</v>
      </c>
    </row>
    <row r="1232" spans="2:8" x14ac:dyDescent="0.2">
      <c r="B1232" s="262" t="s">
        <v>1884</v>
      </c>
      <c r="C1232" s="263">
        <v>42698</v>
      </c>
      <c r="D1232" s="264" t="s">
        <v>3125</v>
      </c>
      <c r="E1232" s="264" t="s">
        <v>3128</v>
      </c>
      <c r="F1232" s="265">
        <v>96</v>
      </c>
      <c r="G1232" s="265"/>
      <c r="H1232" s="265">
        <f t="shared" si="17"/>
        <v>96</v>
      </c>
    </row>
    <row r="1233" spans="2:8" x14ac:dyDescent="0.2">
      <c r="B1233" s="262" t="s">
        <v>1884</v>
      </c>
      <c r="C1233" s="263">
        <v>42698</v>
      </c>
      <c r="D1233" s="264" t="s">
        <v>1893</v>
      </c>
      <c r="E1233" s="264" t="s">
        <v>3129</v>
      </c>
      <c r="F1233" s="265">
        <v>160</v>
      </c>
      <c r="G1233" s="265"/>
      <c r="H1233" s="265">
        <f t="shared" si="17"/>
        <v>160</v>
      </c>
    </row>
    <row r="1234" spans="2:8" x14ac:dyDescent="0.2">
      <c r="B1234" s="262" t="s">
        <v>1862</v>
      </c>
      <c r="C1234" s="263">
        <v>42698</v>
      </c>
      <c r="D1234" s="264" t="s">
        <v>1911</v>
      </c>
      <c r="E1234" s="264" t="s">
        <v>3130</v>
      </c>
      <c r="F1234" s="265">
        <v>850</v>
      </c>
      <c r="G1234" s="265"/>
      <c r="H1234" s="265">
        <f t="shared" si="17"/>
        <v>850</v>
      </c>
    </row>
    <row r="1235" spans="2:8" x14ac:dyDescent="0.2">
      <c r="B1235" s="262" t="s">
        <v>1884</v>
      </c>
      <c r="C1235" s="263">
        <v>42698</v>
      </c>
      <c r="D1235" s="264" t="s">
        <v>3125</v>
      </c>
      <c r="E1235" s="264" t="s">
        <v>3131</v>
      </c>
      <c r="F1235" s="265">
        <v>10.5</v>
      </c>
      <c r="G1235" s="265"/>
      <c r="H1235" s="265">
        <f t="shared" si="17"/>
        <v>10.5</v>
      </c>
    </row>
    <row r="1236" spans="2:8" x14ac:dyDescent="0.2">
      <c r="B1236" s="262" t="s">
        <v>1884</v>
      </c>
      <c r="C1236" s="263">
        <v>42698</v>
      </c>
      <c r="D1236" s="264" t="s">
        <v>3125</v>
      </c>
      <c r="E1236" s="264" t="s">
        <v>3132</v>
      </c>
      <c r="F1236" s="265">
        <v>40</v>
      </c>
      <c r="G1236" s="265"/>
      <c r="H1236" s="265">
        <f t="shared" si="17"/>
        <v>40</v>
      </c>
    </row>
    <row r="1237" spans="2:8" x14ac:dyDescent="0.2">
      <c r="B1237" s="262" t="s">
        <v>1884</v>
      </c>
      <c r="C1237" s="263">
        <v>42698</v>
      </c>
      <c r="D1237" s="264" t="s">
        <v>3125</v>
      </c>
      <c r="E1237" s="264" t="s">
        <v>3133</v>
      </c>
      <c r="F1237" s="265">
        <v>40</v>
      </c>
      <c r="G1237" s="265"/>
      <c r="H1237" s="265">
        <f t="shared" si="17"/>
        <v>40</v>
      </c>
    </row>
    <row r="1238" spans="2:8" x14ac:dyDescent="0.2">
      <c r="B1238" s="262" t="s">
        <v>1884</v>
      </c>
      <c r="C1238" s="263">
        <v>42698</v>
      </c>
      <c r="D1238" s="264" t="s">
        <v>3125</v>
      </c>
      <c r="E1238" s="264" t="s">
        <v>3134</v>
      </c>
      <c r="F1238" s="265">
        <v>260</v>
      </c>
      <c r="G1238" s="265"/>
      <c r="H1238" s="265">
        <f t="shared" si="17"/>
        <v>260</v>
      </c>
    </row>
    <row r="1239" spans="2:8" x14ac:dyDescent="0.2">
      <c r="B1239" s="262" t="s">
        <v>1884</v>
      </c>
      <c r="C1239" s="263">
        <v>42698</v>
      </c>
      <c r="D1239" s="264" t="s">
        <v>3135</v>
      </c>
      <c r="E1239" s="264" t="s">
        <v>3136</v>
      </c>
      <c r="F1239" s="265">
        <v>317</v>
      </c>
      <c r="G1239" s="265"/>
      <c r="H1239" s="265">
        <f t="shared" si="17"/>
        <v>317</v>
      </c>
    </row>
    <row r="1240" spans="2:8" x14ac:dyDescent="0.2">
      <c r="B1240" s="262" t="s">
        <v>1871</v>
      </c>
      <c r="C1240" s="263">
        <v>42698</v>
      </c>
      <c r="D1240" s="264" t="s">
        <v>3077</v>
      </c>
      <c r="E1240" s="264" t="s">
        <v>3137</v>
      </c>
      <c r="F1240" s="265">
        <v>180</v>
      </c>
      <c r="G1240" s="265"/>
      <c r="H1240" s="265">
        <f t="shared" si="17"/>
        <v>180</v>
      </c>
    </row>
    <row r="1241" spans="2:8" x14ac:dyDescent="0.2">
      <c r="B1241" s="262" t="s">
        <v>1884</v>
      </c>
      <c r="C1241" s="263">
        <v>42698</v>
      </c>
      <c r="D1241" s="264" t="s">
        <v>2535</v>
      </c>
      <c r="E1241" s="264" t="s">
        <v>3138</v>
      </c>
      <c r="F1241" s="265">
        <v>132.6</v>
      </c>
      <c r="G1241" s="265"/>
      <c r="H1241" s="265">
        <f t="shared" si="17"/>
        <v>132.6</v>
      </c>
    </row>
    <row r="1242" spans="2:8" x14ac:dyDescent="0.2">
      <c r="B1242" s="262" t="s">
        <v>1577</v>
      </c>
      <c r="C1242" s="263">
        <v>42698</v>
      </c>
      <c r="D1242" s="264" t="s">
        <v>1899</v>
      </c>
      <c r="E1242" s="264" t="s">
        <v>3139</v>
      </c>
      <c r="F1242" s="265">
        <v>14500</v>
      </c>
      <c r="G1242" s="265"/>
      <c r="H1242" s="265">
        <f t="shared" si="17"/>
        <v>14500</v>
      </c>
    </row>
    <row r="1243" spans="2:8" x14ac:dyDescent="0.2">
      <c r="B1243" s="262" t="s">
        <v>1805</v>
      </c>
      <c r="C1243" s="263">
        <v>42699</v>
      </c>
      <c r="D1243" s="264" t="s">
        <v>1910</v>
      </c>
      <c r="E1243" s="264" t="s">
        <v>3140</v>
      </c>
      <c r="F1243" s="265">
        <v>1000</v>
      </c>
      <c r="G1243" s="265"/>
      <c r="H1243" s="265">
        <f t="shared" si="17"/>
        <v>1000</v>
      </c>
    </row>
    <row r="1244" spans="2:8" x14ac:dyDescent="0.2">
      <c r="B1244" s="262" t="s">
        <v>1879</v>
      </c>
      <c r="C1244" s="263">
        <v>42700</v>
      </c>
      <c r="D1244" s="264" t="s">
        <v>1892</v>
      </c>
      <c r="E1244" s="264" t="s">
        <v>3141</v>
      </c>
      <c r="F1244" s="265">
        <v>350</v>
      </c>
      <c r="G1244" s="265"/>
      <c r="H1244" s="265">
        <f t="shared" si="17"/>
        <v>350</v>
      </c>
    </row>
    <row r="1245" spans="2:8" x14ac:dyDescent="0.2">
      <c r="B1245" s="262" t="s">
        <v>1860</v>
      </c>
      <c r="C1245" s="263">
        <v>42700</v>
      </c>
      <c r="D1245" s="264" t="s">
        <v>1926</v>
      </c>
      <c r="E1245" s="264" t="s">
        <v>3142</v>
      </c>
      <c r="F1245" s="265">
        <v>330</v>
      </c>
      <c r="G1245" s="265"/>
      <c r="H1245" s="265">
        <f t="shared" si="17"/>
        <v>330</v>
      </c>
    </row>
    <row r="1246" spans="2:8" x14ac:dyDescent="0.2">
      <c r="B1246" s="262" t="s">
        <v>1863</v>
      </c>
      <c r="C1246" s="263">
        <v>42700</v>
      </c>
      <c r="D1246" s="264" t="s">
        <v>1878</v>
      </c>
      <c r="E1246" s="264" t="s">
        <v>3143</v>
      </c>
      <c r="F1246" s="265">
        <v>500</v>
      </c>
      <c r="G1246" s="265"/>
      <c r="H1246" s="265">
        <f t="shared" si="17"/>
        <v>500</v>
      </c>
    </row>
    <row r="1247" spans="2:8" x14ac:dyDescent="0.2">
      <c r="B1247" s="262" t="s">
        <v>1884</v>
      </c>
      <c r="C1247" s="263">
        <v>42700</v>
      </c>
      <c r="D1247" s="264" t="s">
        <v>3144</v>
      </c>
      <c r="E1247" s="264" t="s">
        <v>3145</v>
      </c>
      <c r="F1247" s="265">
        <v>250</v>
      </c>
      <c r="G1247" s="265"/>
      <c r="H1247" s="265">
        <f t="shared" si="17"/>
        <v>250</v>
      </c>
    </row>
    <row r="1248" spans="2:8" x14ac:dyDescent="0.2">
      <c r="B1248" s="262" t="s">
        <v>1884</v>
      </c>
      <c r="C1248" s="263">
        <v>42700</v>
      </c>
      <c r="D1248" s="264" t="s">
        <v>3146</v>
      </c>
      <c r="E1248" s="264" t="s">
        <v>3147</v>
      </c>
      <c r="F1248" s="265">
        <v>350</v>
      </c>
      <c r="G1248" s="265"/>
      <c r="H1248" s="265">
        <f t="shared" si="17"/>
        <v>350</v>
      </c>
    </row>
    <row r="1249" spans="2:8" x14ac:dyDescent="0.2">
      <c r="B1249" s="262" t="s">
        <v>1884</v>
      </c>
      <c r="C1249" s="263">
        <v>42700</v>
      </c>
      <c r="D1249" s="264" t="s">
        <v>1915</v>
      </c>
      <c r="E1249" s="264" t="s">
        <v>3148</v>
      </c>
      <c r="F1249" s="265">
        <v>500</v>
      </c>
      <c r="G1249" s="265"/>
      <c r="H1249" s="265">
        <f t="shared" si="17"/>
        <v>500</v>
      </c>
    </row>
    <row r="1250" spans="2:8" x14ac:dyDescent="0.2">
      <c r="B1250" s="262" t="s">
        <v>1864</v>
      </c>
      <c r="C1250" s="263">
        <v>42701</v>
      </c>
      <c r="D1250" s="264" t="s">
        <v>2535</v>
      </c>
      <c r="E1250" s="264" t="s">
        <v>3149</v>
      </c>
      <c r="F1250" s="265">
        <v>136</v>
      </c>
      <c r="G1250" s="265"/>
      <c r="H1250" s="265">
        <f t="shared" si="17"/>
        <v>136</v>
      </c>
    </row>
    <row r="1251" spans="2:8" x14ac:dyDescent="0.2">
      <c r="B1251" s="262" t="s">
        <v>1884</v>
      </c>
      <c r="C1251" s="263">
        <v>42701</v>
      </c>
      <c r="D1251" s="264" t="s">
        <v>2250</v>
      </c>
      <c r="E1251" s="264" t="s">
        <v>2321</v>
      </c>
      <c r="F1251" s="265">
        <v>120</v>
      </c>
      <c r="G1251" s="265"/>
      <c r="H1251" s="265">
        <f t="shared" si="17"/>
        <v>120</v>
      </c>
    </row>
    <row r="1252" spans="2:8" x14ac:dyDescent="0.2">
      <c r="B1252" s="262" t="s">
        <v>1863</v>
      </c>
      <c r="C1252" s="263">
        <v>42701</v>
      </c>
      <c r="D1252" s="264" t="s">
        <v>2250</v>
      </c>
      <c r="E1252" s="264" t="s">
        <v>3150</v>
      </c>
      <c r="F1252" s="265">
        <v>150</v>
      </c>
      <c r="G1252" s="265"/>
      <c r="H1252" s="265">
        <f t="shared" si="17"/>
        <v>150</v>
      </c>
    </row>
    <row r="1253" spans="2:8" x14ac:dyDescent="0.2">
      <c r="B1253" s="262" t="s">
        <v>1884</v>
      </c>
      <c r="C1253" s="263">
        <v>42701</v>
      </c>
      <c r="D1253" s="264" t="s">
        <v>1915</v>
      </c>
      <c r="E1253" s="264" t="s">
        <v>3151</v>
      </c>
      <c r="F1253" s="265">
        <v>300</v>
      </c>
      <c r="G1253" s="265"/>
      <c r="H1253" s="265">
        <f t="shared" si="17"/>
        <v>300</v>
      </c>
    </row>
    <row r="1254" spans="2:8" x14ac:dyDescent="0.2">
      <c r="B1254" s="262" t="s">
        <v>1866</v>
      </c>
      <c r="C1254" s="263">
        <v>42701</v>
      </c>
      <c r="D1254" s="264" t="s">
        <v>1890</v>
      </c>
      <c r="E1254" s="264" t="s">
        <v>2787</v>
      </c>
      <c r="F1254" s="265">
        <v>340</v>
      </c>
      <c r="G1254" s="265"/>
      <c r="H1254" s="265">
        <f t="shared" si="17"/>
        <v>340</v>
      </c>
    </row>
    <row r="1255" spans="2:8" x14ac:dyDescent="0.2">
      <c r="B1255" s="262" t="s">
        <v>1864</v>
      </c>
      <c r="C1255" s="263">
        <v>42702</v>
      </c>
      <c r="D1255" s="264" t="s">
        <v>1910</v>
      </c>
      <c r="E1255" s="264" t="s">
        <v>3152</v>
      </c>
      <c r="F1255" s="265">
        <v>400</v>
      </c>
      <c r="G1255" s="265"/>
      <c r="H1255" s="265">
        <f t="shared" si="17"/>
        <v>400</v>
      </c>
    </row>
    <row r="1256" spans="2:8" x14ac:dyDescent="0.2">
      <c r="B1256" s="262" t="s">
        <v>1884</v>
      </c>
      <c r="C1256" s="263">
        <v>42702</v>
      </c>
      <c r="D1256" s="264" t="s">
        <v>2656</v>
      </c>
      <c r="E1256" s="264" t="s">
        <v>3153</v>
      </c>
      <c r="F1256" s="265">
        <v>100</v>
      </c>
      <c r="G1256" s="265"/>
      <c r="H1256" s="265">
        <f t="shared" si="17"/>
        <v>100</v>
      </c>
    </row>
    <row r="1257" spans="2:8" x14ac:dyDescent="0.2">
      <c r="B1257" s="262" t="s">
        <v>1865</v>
      </c>
      <c r="C1257" s="263">
        <v>42702</v>
      </c>
      <c r="D1257" s="264" t="s">
        <v>3039</v>
      </c>
      <c r="E1257" s="264" t="s">
        <v>3154</v>
      </c>
      <c r="F1257" s="265">
        <v>220</v>
      </c>
      <c r="G1257" s="265"/>
      <c r="H1257" s="265">
        <f t="shared" si="17"/>
        <v>220</v>
      </c>
    </row>
    <row r="1258" spans="2:8" x14ac:dyDescent="0.2">
      <c r="B1258" s="262" t="s">
        <v>1866</v>
      </c>
      <c r="C1258" s="263">
        <v>42702</v>
      </c>
      <c r="D1258" s="264" t="s">
        <v>1890</v>
      </c>
      <c r="E1258" s="264" t="s">
        <v>2730</v>
      </c>
      <c r="F1258" s="265">
        <v>320</v>
      </c>
      <c r="G1258" s="265"/>
      <c r="H1258" s="265">
        <f t="shared" si="17"/>
        <v>320</v>
      </c>
    </row>
    <row r="1259" spans="2:8" x14ac:dyDescent="0.2">
      <c r="B1259" s="262" t="s">
        <v>1862</v>
      </c>
      <c r="C1259" s="263">
        <v>42703</v>
      </c>
      <c r="D1259" s="264" t="s">
        <v>1892</v>
      </c>
      <c r="E1259" s="264" t="s">
        <v>3155</v>
      </c>
      <c r="F1259" s="265">
        <v>1000</v>
      </c>
      <c r="G1259" s="265"/>
      <c r="H1259" s="265">
        <f t="shared" si="17"/>
        <v>1000</v>
      </c>
    </row>
    <row r="1260" spans="2:8" x14ac:dyDescent="0.2">
      <c r="B1260" s="262" t="s">
        <v>1871</v>
      </c>
      <c r="C1260" s="263">
        <v>42703</v>
      </c>
      <c r="D1260" s="264" t="s">
        <v>3077</v>
      </c>
      <c r="E1260" s="264" t="s">
        <v>3084</v>
      </c>
      <c r="F1260" s="265">
        <v>840</v>
      </c>
      <c r="G1260" s="265"/>
      <c r="H1260" s="265">
        <f t="shared" si="17"/>
        <v>840</v>
      </c>
    </row>
    <row r="1261" spans="2:8" x14ac:dyDescent="0.2">
      <c r="B1261" s="262" t="s">
        <v>1863</v>
      </c>
      <c r="C1261" s="263">
        <v>42703</v>
      </c>
      <c r="D1261" s="264" t="s">
        <v>3156</v>
      </c>
      <c r="E1261" s="264" t="s">
        <v>3157</v>
      </c>
      <c r="F1261" s="265">
        <v>200</v>
      </c>
      <c r="G1261" s="265"/>
      <c r="H1261" s="265">
        <f t="shared" si="17"/>
        <v>200</v>
      </c>
    </row>
    <row r="1262" spans="2:8" x14ac:dyDescent="0.2">
      <c r="B1262" s="262" t="s">
        <v>1875</v>
      </c>
      <c r="C1262" s="263">
        <v>42703</v>
      </c>
      <c r="D1262" s="264" t="s">
        <v>1911</v>
      </c>
      <c r="E1262" s="264" t="s">
        <v>3158</v>
      </c>
      <c r="F1262" s="265">
        <v>65</v>
      </c>
      <c r="G1262" s="265"/>
      <c r="H1262" s="265">
        <f t="shared" si="17"/>
        <v>65</v>
      </c>
    </row>
    <row r="1263" spans="2:8" x14ac:dyDescent="0.2">
      <c r="B1263" s="262" t="s">
        <v>1884</v>
      </c>
      <c r="C1263" s="263">
        <v>42703</v>
      </c>
      <c r="D1263" s="264" t="s">
        <v>3159</v>
      </c>
      <c r="E1263" s="264" t="s">
        <v>3160</v>
      </c>
      <c r="F1263" s="265">
        <v>279.60000000000002</v>
      </c>
      <c r="G1263" s="265"/>
      <c r="H1263" s="265">
        <f t="shared" si="17"/>
        <v>279.60000000000002</v>
      </c>
    </row>
    <row r="1264" spans="2:8" x14ac:dyDescent="0.2">
      <c r="B1264" s="262" t="s">
        <v>1884</v>
      </c>
      <c r="C1264" s="263">
        <v>42703</v>
      </c>
      <c r="D1264" s="264" t="s">
        <v>2763</v>
      </c>
      <c r="E1264" s="264" t="s">
        <v>3161</v>
      </c>
      <c r="F1264" s="265">
        <v>100</v>
      </c>
      <c r="G1264" s="265"/>
      <c r="H1264" s="265">
        <f t="shared" si="17"/>
        <v>100</v>
      </c>
    </row>
    <row r="1265" spans="2:9" x14ac:dyDescent="0.2">
      <c r="B1265" s="262" t="s">
        <v>1865</v>
      </c>
      <c r="C1265" s="263">
        <v>42703</v>
      </c>
      <c r="D1265" s="264" t="s">
        <v>3162</v>
      </c>
      <c r="E1265" s="264" t="s">
        <v>3163</v>
      </c>
      <c r="F1265" s="265">
        <v>22</v>
      </c>
      <c r="G1265" s="265"/>
      <c r="H1265" s="265">
        <f t="shared" si="17"/>
        <v>22</v>
      </c>
    </row>
    <row r="1266" spans="2:9" x14ac:dyDescent="0.2">
      <c r="B1266" s="262" t="s">
        <v>1577</v>
      </c>
      <c r="C1266" s="263">
        <v>42703</v>
      </c>
      <c r="D1266" s="264" t="s">
        <v>1899</v>
      </c>
      <c r="E1266" s="264" t="s">
        <v>3164</v>
      </c>
      <c r="F1266" s="265">
        <v>14500</v>
      </c>
      <c r="G1266" s="265"/>
      <c r="H1266" s="265">
        <f t="shared" si="17"/>
        <v>14500</v>
      </c>
    </row>
    <row r="1267" spans="2:9" x14ac:dyDescent="0.2">
      <c r="B1267" s="262" t="s">
        <v>1884</v>
      </c>
      <c r="C1267" s="263">
        <v>42704</v>
      </c>
      <c r="D1267" s="264" t="s">
        <v>1873</v>
      </c>
      <c r="E1267" s="264" t="s">
        <v>3165</v>
      </c>
      <c r="F1267" s="265">
        <v>450</v>
      </c>
      <c r="G1267" s="265"/>
      <c r="H1267" s="265">
        <f t="shared" si="17"/>
        <v>450</v>
      </c>
    </row>
    <row r="1268" spans="2:9" x14ac:dyDescent="0.2">
      <c r="B1268" s="262" t="s">
        <v>1884</v>
      </c>
      <c r="C1268" s="263">
        <v>42704</v>
      </c>
      <c r="D1268" s="264" t="s">
        <v>2250</v>
      </c>
      <c r="E1268" s="264" t="s">
        <v>3166</v>
      </c>
      <c r="F1268" s="265">
        <v>300</v>
      </c>
      <c r="G1268" s="265"/>
      <c r="H1268" s="265">
        <f t="shared" si="17"/>
        <v>300</v>
      </c>
    </row>
    <row r="1269" spans="2:9" x14ac:dyDescent="0.2">
      <c r="B1269" s="262" t="s">
        <v>1884</v>
      </c>
      <c r="C1269" s="263">
        <v>42704</v>
      </c>
      <c r="D1269" s="264" t="s">
        <v>2965</v>
      </c>
      <c r="E1269" s="264" t="s">
        <v>3167</v>
      </c>
      <c r="F1269" s="265">
        <v>28</v>
      </c>
      <c r="G1269" s="265"/>
      <c r="H1269" s="265">
        <f t="shared" si="17"/>
        <v>28</v>
      </c>
    </row>
    <row r="1270" spans="2:9" x14ac:dyDescent="0.2">
      <c r="B1270" s="262" t="s">
        <v>1859</v>
      </c>
      <c r="C1270" s="263">
        <v>42704</v>
      </c>
      <c r="D1270" s="264" t="s">
        <v>1911</v>
      </c>
      <c r="E1270" s="264" t="s">
        <v>1931</v>
      </c>
      <c r="F1270" s="265">
        <v>4000</v>
      </c>
      <c r="G1270" s="265"/>
      <c r="H1270" s="265">
        <f t="shared" si="17"/>
        <v>4000</v>
      </c>
    </row>
    <row r="1271" spans="2:9" x14ac:dyDescent="0.2">
      <c r="B1271" s="262" t="s">
        <v>1887</v>
      </c>
      <c r="C1271" s="263">
        <v>42678</v>
      </c>
      <c r="D1271" s="264" t="s">
        <v>1534</v>
      </c>
      <c r="E1271" s="264" t="s">
        <v>1536</v>
      </c>
      <c r="F1271" s="265">
        <v>-0.46</v>
      </c>
      <c r="G1271" s="265"/>
      <c r="H1271" s="265">
        <f t="shared" si="17"/>
        <v>-0.46</v>
      </c>
    </row>
    <row r="1272" spans="2:9" x14ac:dyDescent="0.2">
      <c r="B1272" s="262" t="s">
        <v>1790</v>
      </c>
      <c r="C1272" s="263">
        <v>42691</v>
      </c>
      <c r="D1272" s="264" t="s">
        <v>1909</v>
      </c>
      <c r="E1272" s="264" t="s">
        <v>3168</v>
      </c>
      <c r="F1272" s="265"/>
      <c r="G1272" s="265">
        <v>-1760</v>
      </c>
      <c r="H1272" s="265">
        <f t="shared" si="17"/>
        <v>-1760</v>
      </c>
    </row>
    <row r="1273" spans="2:9" x14ac:dyDescent="0.2">
      <c r="B1273" s="262" t="s">
        <v>1887</v>
      </c>
      <c r="C1273" s="263">
        <v>42704</v>
      </c>
      <c r="D1273" s="264" t="s">
        <v>1597</v>
      </c>
      <c r="E1273" s="264" t="s">
        <v>2229</v>
      </c>
      <c r="F1273" s="265">
        <v>84</v>
      </c>
      <c r="G1273" s="265"/>
      <c r="H1273" s="265">
        <f t="shared" si="17"/>
        <v>84</v>
      </c>
    </row>
    <row r="1274" spans="2:9" x14ac:dyDescent="0.2">
      <c r="B1274" s="262" t="s">
        <v>1790</v>
      </c>
      <c r="C1274" s="263">
        <v>42704</v>
      </c>
      <c r="D1274" s="264" t="s">
        <v>1597</v>
      </c>
      <c r="E1274" s="264" t="s">
        <v>2230</v>
      </c>
      <c r="F1274" s="265"/>
      <c r="G1274" s="265">
        <v>13.44</v>
      </c>
      <c r="H1274" s="265">
        <f t="shared" si="17"/>
        <v>13.44</v>
      </c>
      <c r="I1274" s="175">
        <f>SUM(H1140:H1274)</f>
        <v>123367.38</v>
      </c>
    </row>
    <row r="1275" spans="2:9" x14ac:dyDescent="0.2">
      <c r="B1275" s="262"/>
      <c r="C1275" s="263"/>
      <c r="D1275" s="264"/>
      <c r="E1275" s="264"/>
      <c r="F1275" s="265"/>
      <c r="G1275" s="265"/>
      <c r="H1275" s="265">
        <f>SUM(F1275:G1275)</f>
        <v>0</v>
      </c>
      <c r="I1275" s="175"/>
    </row>
    <row r="1276" spans="2:9" x14ac:dyDescent="0.2">
      <c r="B1276" s="262"/>
      <c r="C1276" s="263"/>
      <c r="D1276" s="264"/>
      <c r="E1276" s="264"/>
      <c r="F1276" s="265"/>
      <c r="G1276" s="265"/>
      <c r="H1276" s="265">
        <f t="shared" ref="H1276:H1326" si="18">SUM(F1276:G1276)</f>
        <v>0</v>
      </c>
      <c r="I1276" s="175"/>
    </row>
    <row r="1277" spans="2:9" ht="18" customHeight="1" x14ac:dyDescent="0.2">
      <c r="B1277" s="255" t="s">
        <v>1850</v>
      </c>
      <c r="C1277" s="255" t="s">
        <v>1851</v>
      </c>
      <c r="D1277" s="256" t="s">
        <v>1852</v>
      </c>
      <c r="E1277" s="256" t="s">
        <v>1853</v>
      </c>
      <c r="F1277" s="257" t="s">
        <v>1854</v>
      </c>
      <c r="G1277" s="257" t="s">
        <v>1855</v>
      </c>
      <c r="H1277" s="257" t="s">
        <v>1856</v>
      </c>
    </row>
    <row r="1278" spans="2:9" x14ac:dyDescent="0.2">
      <c r="B1278" s="262" t="s">
        <v>1865</v>
      </c>
      <c r="C1278" s="263">
        <v>42705</v>
      </c>
      <c r="D1278" s="264" t="s">
        <v>1906</v>
      </c>
      <c r="E1278" s="264" t="s">
        <v>3204</v>
      </c>
      <c r="F1278" s="265">
        <v>200</v>
      </c>
      <c r="G1278" s="265"/>
      <c r="H1278" s="265">
        <f t="shared" si="18"/>
        <v>200</v>
      </c>
      <c r="I1278" s="175"/>
    </row>
    <row r="1279" spans="2:9" x14ac:dyDescent="0.2">
      <c r="B1279" s="262" t="s">
        <v>1871</v>
      </c>
      <c r="C1279" s="263">
        <v>42705</v>
      </c>
      <c r="D1279" s="264" t="s">
        <v>3077</v>
      </c>
      <c r="E1279" s="264" t="s">
        <v>3205</v>
      </c>
      <c r="F1279" s="265">
        <v>190</v>
      </c>
      <c r="G1279" s="265"/>
      <c r="H1279" s="265">
        <f t="shared" si="18"/>
        <v>190</v>
      </c>
      <c r="I1279" s="175"/>
    </row>
    <row r="1280" spans="2:9" x14ac:dyDescent="0.2">
      <c r="B1280" s="262" t="s">
        <v>1884</v>
      </c>
      <c r="C1280" s="263">
        <v>42705</v>
      </c>
      <c r="D1280" s="264" t="s">
        <v>3206</v>
      </c>
      <c r="E1280" s="264" t="s">
        <v>3207</v>
      </c>
      <c r="F1280" s="265">
        <v>308</v>
      </c>
      <c r="G1280" s="265"/>
      <c r="H1280" s="265">
        <f t="shared" si="18"/>
        <v>308</v>
      </c>
      <c r="I1280" s="175"/>
    </row>
    <row r="1281" spans="2:9" x14ac:dyDescent="0.2">
      <c r="B1281" s="262" t="s">
        <v>1863</v>
      </c>
      <c r="C1281" s="263">
        <v>42705</v>
      </c>
      <c r="D1281" s="264" t="s">
        <v>1873</v>
      </c>
      <c r="E1281" s="264" t="s">
        <v>3208</v>
      </c>
      <c r="F1281" s="265">
        <v>200</v>
      </c>
      <c r="G1281" s="265"/>
      <c r="H1281" s="265">
        <f t="shared" si="18"/>
        <v>200</v>
      </c>
      <c r="I1281" s="175"/>
    </row>
    <row r="1282" spans="2:9" x14ac:dyDescent="0.2">
      <c r="B1282" s="341" t="s">
        <v>1805</v>
      </c>
      <c r="C1282" s="263">
        <v>42706</v>
      </c>
      <c r="D1282" s="264" t="s">
        <v>1910</v>
      </c>
      <c r="E1282" s="264" t="s">
        <v>3209</v>
      </c>
      <c r="F1282" s="265">
        <v>1000</v>
      </c>
      <c r="G1282" s="265"/>
      <c r="H1282" s="265">
        <f t="shared" si="18"/>
        <v>1000</v>
      </c>
      <c r="I1282" s="175"/>
    </row>
    <row r="1283" spans="2:9" x14ac:dyDescent="0.2">
      <c r="B1283" s="262" t="s">
        <v>1860</v>
      </c>
      <c r="C1283" s="263">
        <v>42706</v>
      </c>
      <c r="D1283" s="264" t="s">
        <v>1891</v>
      </c>
      <c r="E1283" s="264" t="s">
        <v>3210</v>
      </c>
      <c r="F1283" s="265">
        <v>324</v>
      </c>
      <c r="G1283" s="265"/>
      <c r="H1283" s="265">
        <f t="shared" si="18"/>
        <v>324</v>
      </c>
      <c r="I1283" s="175"/>
    </row>
    <row r="1284" spans="2:9" x14ac:dyDescent="0.2">
      <c r="B1284" s="262" t="s">
        <v>1884</v>
      </c>
      <c r="C1284" s="263">
        <v>42706</v>
      </c>
      <c r="D1284" s="264" t="s">
        <v>2535</v>
      </c>
      <c r="E1284" s="264" t="s">
        <v>3211</v>
      </c>
      <c r="F1284" s="265">
        <v>112.4</v>
      </c>
      <c r="G1284" s="265"/>
      <c r="H1284" s="265">
        <f t="shared" si="18"/>
        <v>112.4</v>
      </c>
      <c r="I1284" s="175"/>
    </row>
    <row r="1285" spans="2:9" x14ac:dyDescent="0.2">
      <c r="B1285" s="262" t="s">
        <v>1865</v>
      </c>
      <c r="C1285" s="263">
        <v>42706</v>
      </c>
      <c r="D1285" s="264" t="s">
        <v>2818</v>
      </c>
      <c r="E1285" s="264" t="s">
        <v>3212</v>
      </c>
      <c r="F1285" s="265">
        <v>200</v>
      </c>
      <c r="G1285" s="265"/>
      <c r="H1285" s="265">
        <f t="shared" si="18"/>
        <v>200</v>
      </c>
      <c r="I1285" s="175"/>
    </row>
    <row r="1286" spans="2:9" x14ac:dyDescent="0.2">
      <c r="B1286" s="341" t="s">
        <v>1877</v>
      </c>
      <c r="C1286" s="263">
        <v>42707</v>
      </c>
      <c r="D1286" s="264" t="s">
        <v>1940</v>
      </c>
      <c r="E1286" s="264" t="s">
        <v>3213</v>
      </c>
      <c r="F1286" s="265">
        <v>735</v>
      </c>
      <c r="G1286" s="265"/>
      <c r="H1286" s="265">
        <f t="shared" si="18"/>
        <v>735</v>
      </c>
      <c r="I1286" s="175"/>
    </row>
    <row r="1287" spans="2:9" x14ac:dyDescent="0.2">
      <c r="B1287" s="341" t="s">
        <v>1863</v>
      </c>
      <c r="C1287" s="263">
        <v>42707</v>
      </c>
      <c r="D1287" s="264" t="s">
        <v>1878</v>
      </c>
      <c r="E1287" s="264" t="s">
        <v>3214</v>
      </c>
      <c r="F1287" s="265">
        <v>500</v>
      </c>
      <c r="G1287" s="265"/>
      <c r="H1287" s="265">
        <f t="shared" si="18"/>
        <v>500</v>
      </c>
      <c r="I1287" s="175"/>
    </row>
    <row r="1288" spans="2:9" x14ac:dyDescent="0.2">
      <c r="B1288" s="262" t="s">
        <v>1884</v>
      </c>
      <c r="C1288" s="263">
        <v>42708</v>
      </c>
      <c r="D1288" s="264" t="s">
        <v>2535</v>
      </c>
      <c r="E1288" s="264" t="s">
        <v>3138</v>
      </c>
      <c r="F1288" s="265">
        <v>132</v>
      </c>
      <c r="G1288" s="265"/>
      <c r="H1288" s="265">
        <f t="shared" si="18"/>
        <v>132</v>
      </c>
      <c r="I1288" s="175"/>
    </row>
    <row r="1289" spans="2:9" x14ac:dyDescent="0.2">
      <c r="B1289" s="262" t="s">
        <v>1863</v>
      </c>
      <c r="C1289" s="263">
        <v>42708</v>
      </c>
      <c r="D1289" s="264" t="s">
        <v>2250</v>
      </c>
      <c r="E1289" s="264" t="s">
        <v>3215</v>
      </c>
      <c r="F1289" s="265">
        <v>150</v>
      </c>
      <c r="G1289" s="265"/>
      <c r="H1289" s="265">
        <f t="shared" si="18"/>
        <v>150</v>
      </c>
      <c r="I1289" s="175"/>
    </row>
    <row r="1290" spans="2:9" x14ac:dyDescent="0.2">
      <c r="B1290" s="262" t="s">
        <v>1884</v>
      </c>
      <c r="C1290" s="263">
        <v>42708</v>
      </c>
      <c r="D1290" s="264" t="s">
        <v>2250</v>
      </c>
      <c r="E1290" s="264" t="s">
        <v>3216</v>
      </c>
      <c r="F1290" s="265">
        <v>120</v>
      </c>
      <c r="G1290" s="265"/>
      <c r="H1290" s="265">
        <f t="shared" si="18"/>
        <v>120</v>
      </c>
      <c r="I1290" s="175"/>
    </row>
    <row r="1291" spans="2:9" x14ac:dyDescent="0.2">
      <c r="B1291" s="262" t="s">
        <v>1860</v>
      </c>
      <c r="C1291" s="263">
        <v>42708</v>
      </c>
      <c r="D1291" s="264" t="s">
        <v>1926</v>
      </c>
      <c r="E1291" s="264" t="s">
        <v>3218</v>
      </c>
      <c r="F1291" s="265">
        <v>615</v>
      </c>
      <c r="G1291" s="265"/>
      <c r="H1291" s="265">
        <f t="shared" si="18"/>
        <v>615</v>
      </c>
      <c r="I1291" s="175"/>
    </row>
    <row r="1292" spans="2:9" x14ac:dyDescent="0.2">
      <c r="B1292" s="262" t="s">
        <v>1863</v>
      </c>
      <c r="C1292" s="263">
        <v>42708</v>
      </c>
      <c r="D1292" s="264" t="s">
        <v>1911</v>
      </c>
      <c r="E1292" s="264" t="s">
        <v>3219</v>
      </c>
      <c r="F1292" s="265">
        <v>385</v>
      </c>
      <c r="G1292" s="265"/>
      <c r="H1292" s="265">
        <f t="shared" si="18"/>
        <v>385</v>
      </c>
      <c r="I1292" s="175"/>
    </row>
    <row r="1293" spans="2:9" x14ac:dyDescent="0.2">
      <c r="B1293" s="262" t="s">
        <v>1861</v>
      </c>
      <c r="C1293" s="263">
        <v>42709</v>
      </c>
      <c r="D1293" s="264" t="s">
        <v>2067</v>
      </c>
      <c r="E1293" s="264" t="s">
        <v>3220</v>
      </c>
      <c r="F1293" s="265">
        <v>192</v>
      </c>
      <c r="G1293" s="265"/>
      <c r="H1293" s="265">
        <f t="shared" si="18"/>
        <v>192</v>
      </c>
      <c r="I1293" s="175"/>
    </row>
    <row r="1294" spans="2:9" x14ac:dyDescent="0.2">
      <c r="B1294" s="262" t="s">
        <v>1864</v>
      </c>
      <c r="C1294" s="263">
        <v>42709</v>
      </c>
      <c r="D1294" s="264" t="s">
        <v>1910</v>
      </c>
      <c r="E1294" s="264" t="s">
        <v>3221</v>
      </c>
      <c r="F1294" s="265">
        <v>400</v>
      </c>
      <c r="G1294" s="265"/>
      <c r="H1294" s="265">
        <f t="shared" si="18"/>
        <v>400</v>
      </c>
      <c r="I1294" s="175"/>
    </row>
    <row r="1295" spans="2:9" x14ac:dyDescent="0.2">
      <c r="B1295" s="262" t="s">
        <v>1860</v>
      </c>
      <c r="C1295" s="263">
        <v>42709</v>
      </c>
      <c r="D1295" s="264" t="s">
        <v>1926</v>
      </c>
      <c r="E1295" s="264" t="s">
        <v>3222</v>
      </c>
      <c r="F1295" s="265">
        <v>45</v>
      </c>
      <c r="G1295" s="265"/>
      <c r="H1295" s="265">
        <f t="shared" si="18"/>
        <v>45</v>
      </c>
      <c r="I1295" s="175"/>
    </row>
    <row r="1296" spans="2:9" x14ac:dyDescent="0.2">
      <c r="B1296" s="262" t="s">
        <v>1861</v>
      </c>
      <c r="C1296" s="263">
        <v>42709</v>
      </c>
      <c r="D1296" s="264" t="s">
        <v>3223</v>
      </c>
      <c r="E1296" s="264" t="s">
        <v>3224</v>
      </c>
      <c r="F1296" s="265">
        <v>175</v>
      </c>
      <c r="G1296" s="265"/>
      <c r="H1296" s="265">
        <f t="shared" si="18"/>
        <v>175</v>
      </c>
      <c r="I1296" s="175"/>
    </row>
    <row r="1297" spans="2:9" x14ac:dyDescent="0.2">
      <c r="B1297" s="262" t="s">
        <v>1866</v>
      </c>
      <c r="C1297" s="263">
        <v>42709</v>
      </c>
      <c r="D1297" s="264" t="s">
        <v>1890</v>
      </c>
      <c r="E1297" s="264" t="s">
        <v>2787</v>
      </c>
      <c r="F1297" s="265">
        <v>398</v>
      </c>
      <c r="G1297" s="265"/>
      <c r="H1297" s="265">
        <f t="shared" si="18"/>
        <v>398</v>
      </c>
      <c r="I1297" s="175"/>
    </row>
    <row r="1298" spans="2:9" x14ac:dyDescent="0.2">
      <c r="B1298" s="262" t="s">
        <v>1884</v>
      </c>
      <c r="C1298" s="263">
        <v>42709</v>
      </c>
      <c r="D1298" s="264" t="s">
        <v>3225</v>
      </c>
      <c r="E1298" s="264" t="s">
        <v>3226</v>
      </c>
      <c r="F1298" s="265">
        <v>900</v>
      </c>
      <c r="G1298" s="265"/>
      <c r="H1298" s="265">
        <f t="shared" si="18"/>
        <v>900</v>
      </c>
      <c r="I1298" s="175"/>
    </row>
    <row r="1299" spans="2:9" x14ac:dyDescent="0.2">
      <c r="B1299" s="262" t="s">
        <v>1877</v>
      </c>
      <c r="C1299" s="263">
        <v>42709</v>
      </c>
      <c r="D1299" s="264" t="s">
        <v>3146</v>
      </c>
      <c r="E1299" s="264" t="s">
        <v>3227</v>
      </c>
      <c r="F1299" s="265">
        <v>350</v>
      </c>
      <c r="G1299" s="265"/>
      <c r="H1299" s="265">
        <f t="shared" si="18"/>
        <v>350</v>
      </c>
      <c r="I1299" s="175"/>
    </row>
    <row r="1300" spans="2:9" x14ac:dyDescent="0.2">
      <c r="B1300" s="262" t="s">
        <v>1884</v>
      </c>
      <c r="C1300" s="263">
        <v>42709</v>
      </c>
      <c r="D1300" s="264" t="s">
        <v>3228</v>
      </c>
      <c r="E1300" s="264" t="s">
        <v>3229</v>
      </c>
      <c r="F1300" s="265">
        <v>320</v>
      </c>
      <c r="G1300" s="265"/>
      <c r="H1300" s="265">
        <f t="shared" si="18"/>
        <v>320</v>
      </c>
      <c r="I1300" s="175"/>
    </row>
    <row r="1301" spans="2:9" x14ac:dyDescent="0.2">
      <c r="B1301" s="262" t="s">
        <v>1863</v>
      </c>
      <c r="C1301" s="263">
        <v>42709</v>
      </c>
      <c r="D1301" s="264" t="s">
        <v>1873</v>
      </c>
      <c r="E1301" s="264" t="s">
        <v>3230</v>
      </c>
      <c r="F1301" s="265">
        <v>250</v>
      </c>
      <c r="G1301" s="265"/>
      <c r="H1301" s="265">
        <f t="shared" si="18"/>
        <v>250</v>
      </c>
      <c r="I1301" s="175"/>
    </row>
    <row r="1302" spans="2:9" x14ac:dyDescent="0.2">
      <c r="B1302" s="262" t="s">
        <v>1884</v>
      </c>
      <c r="C1302" s="263">
        <v>42709</v>
      </c>
      <c r="D1302" s="264" t="s">
        <v>2818</v>
      </c>
      <c r="E1302" s="264" t="s">
        <v>3231</v>
      </c>
      <c r="F1302" s="265">
        <v>200</v>
      </c>
      <c r="G1302" s="265"/>
      <c r="H1302" s="265">
        <f t="shared" si="18"/>
        <v>200</v>
      </c>
      <c r="I1302" s="175"/>
    </row>
    <row r="1303" spans="2:9" x14ac:dyDescent="0.2">
      <c r="B1303" s="262" t="s">
        <v>1884</v>
      </c>
      <c r="C1303" s="263">
        <v>42709</v>
      </c>
      <c r="D1303" s="264" t="s">
        <v>2821</v>
      </c>
      <c r="E1303" s="264" t="s">
        <v>3231</v>
      </c>
      <c r="F1303" s="265">
        <v>200</v>
      </c>
      <c r="G1303" s="265"/>
      <c r="H1303" s="265">
        <f t="shared" si="18"/>
        <v>200</v>
      </c>
      <c r="I1303" s="175"/>
    </row>
    <row r="1304" spans="2:9" x14ac:dyDescent="0.2">
      <c r="B1304" s="341" t="s">
        <v>1805</v>
      </c>
      <c r="C1304" s="263">
        <v>42711</v>
      </c>
      <c r="D1304" s="264" t="s">
        <v>1888</v>
      </c>
      <c r="E1304" s="264" t="s">
        <v>3232</v>
      </c>
      <c r="F1304" s="265">
        <v>2110.34</v>
      </c>
      <c r="G1304" s="265">
        <v>337.66</v>
      </c>
      <c r="H1304" s="265">
        <f t="shared" si="18"/>
        <v>2448</v>
      </c>
      <c r="I1304" s="175"/>
    </row>
    <row r="1305" spans="2:9" x14ac:dyDescent="0.2">
      <c r="B1305" s="262" t="s">
        <v>1790</v>
      </c>
      <c r="C1305" s="263">
        <v>42711</v>
      </c>
      <c r="D1305" s="264" t="s">
        <v>1909</v>
      </c>
      <c r="E1305" s="264" t="s">
        <v>3233</v>
      </c>
      <c r="F1305" s="265"/>
      <c r="G1305" s="265">
        <v>1760</v>
      </c>
      <c r="H1305" s="265">
        <f t="shared" si="18"/>
        <v>1760</v>
      </c>
      <c r="I1305" s="175"/>
    </row>
    <row r="1306" spans="2:9" x14ac:dyDescent="0.2">
      <c r="B1306" s="262" t="s">
        <v>1884</v>
      </c>
      <c r="C1306" s="263">
        <v>42711</v>
      </c>
      <c r="D1306" s="264" t="s">
        <v>3235</v>
      </c>
      <c r="E1306" s="264" t="s">
        <v>3234</v>
      </c>
      <c r="F1306" s="265">
        <v>78</v>
      </c>
      <c r="G1306" s="265"/>
      <c r="H1306" s="265">
        <f t="shared" ref="H1306:H1321" si="19">SUM(F1306:G1306)</f>
        <v>78</v>
      </c>
      <c r="I1306" s="175"/>
    </row>
    <row r="1307" spans="2:9" x14ac:dyDescent="0.2">
      <c r="B1307" s="262" t="s">
        <v>1884</v>
      </c>
      <c r="C1307" s="263">
        <v>42711</v>
      </c>
      <c r="D1307" s="264" t="s">
        <v>3235</v>
      </c>
      <c r="E1307" s="264" t="s">
        <v>3236</v>
      </c>
      <c r="F1307" s="265">
        <v>522.1</v>
      </c>
      <c r="G1307" s="265"/>
      <c r="H1307" s="265">
        <f t="shared" si="19"/>
        <v>522.1</v>
      </c>
      <c r="I1307" s="175"/>
    </row>
    <row r="1308" spans="2:9" x14ac:dyDescent="0.2">
      <c r="B1308" s="262" t="s">
        <v>1884</v>
      </c>
      <c r="C1308" s="263">
        <v>42711</v>
      </c>
      <c r="D1308" s="264" t="s">
        <v>2200</v>
      </c>
      <c r="E1308" s="264" t="s">
        <v>3237</v>
      </c>
      <c r="F1308" s="265">
        <v>285</v>
      </c>
      <c r="G1308" s="265"/>
      <c r="H1308" s="265">
        <f t="shared" si="19"/>
        <v>285</v>
      </c>
      <c r="I1308" s="175"/>
    </row>
    <row r="1309" spans="2:9" x14ac:dyDescent="0.2">
      <c r="B1309" s="262" t="s">
        <v>1862</v>
      </c>
      <c r="C1309" s="263">
        <v>42711</v>
      </c>
      <c r="D1309" s="264" t="s">
        <v>1892</v>
      </c>
      <c r="E1309" s="264" t="s">
        <v>3238</v>
      </c>
      <c r="F1309" s="265">
        <v>400</v>
      </c>
      <c r="G1309" s="265"/>
      <c r="H1309" s="265">
        <f t="shared" si="19"/>
        <v>400</v>
      </c>
      <c r="I1309" s="175"/>
    </row>
    <row r="1310" spans="2:9" x14ac:dyDescent="0.2">
      <c r="B1310" s="262" t="s">
        <v>1861</v>
      </c>
      <c r="C1310" s="263">
        <v>42712</v>
      </c>
      <c r="D1310" s="264" t="s">
        <v>1906</v>
      </c>
      <c r="E1310" s="264" t="s">
        <v>3239</v>
      </c>
      <c r="F1310" s="265">
        <v>1400</v>
      </c>
      <c r="G1310" s="265"/>
      <c r="H1310" s="265">
        <f t="shared" si="19"/>
        <v>1400</v>
      </c>
      <c r="I1310" s="175"/>
    </row>
    <row r="1311" spans="2:9" x14ac:dyDescent="0.2">
      <c r="B1311" s="262" t="s">
        <v>1861</v>
      </c>
      <c r="C1311" s="263">
        <v>42712</v>
      </c>
      <c r="D1311" s="264" t="s">
        <v>1906</v>
      </c>
      <c r="E1311" s="264" t="s">
        <v>3239</v>
      </c>
      <c r="F1311" s="265">
        <v>1400</v>
      </c>
      <c r="G1311" s="265"/>
      <c r="H1311" s="265">
        <f t="shared" si="19"/>
        <v>1400</v>
      </c>
      <c r="I1311" s="175"/>
    </row>
    <row r="1312" spans="2:9" x14ac:dyDescent="0.2">
      <c r="B1312" s="262" t="s">
        <v>1884</v>
      </c>
      <c r="C1312" s="263">
        <v>42712</v>
      </c>
      <c r="D1312" s="264" t="s">
        <v>3240</v>
      </c>
      <c r="E1312" s="264" t="s">
        <v>3241</v>
      </c>
      <c r="F1312" s="265">
        <v>50</v>
      </c>
      <c r="G1312" s="265"/>
      <c r="H1312" s="265">
        <f t="shared" si="19"/>
        <v>50</v>
      </c>
      <c r="I1312" s="175"/>
    </row>
    <row r="1313" spans="2:9" x14ac:dyDescent="0.2">
      <c r="B1313" s="262" t="s">
        <v>1884</v>
      </c>
      <c r="C1313" s="263">
        <v>42712</v>
      </c>
      <c r="D1313" s="264" t="s">
        <v>3240</v>
      </c>
      <c r="E1313" s="264" t="s">
        <v>3242</v>
      </c>
      <c r="F1313" s="265">
        <v>1470</v>
      </c>
      <c r="G1313" s="265"/>
      <c r="H1313" s="265">
        <f t="shared" si="19"/>
        <v>1470</v>
      </c>
      <c r="I1313" s="175"/>
    </row>
    <row r="1314" spans="2:9" x14ac:dyDescent="0.2">
      <c r="B1314" s="262" t="s">
        <v>1860</v>
      </c>
      <c r="C1314" s="263">
        <v>42712</v>
      </c>
      <c r="D1314" s="264" t="s">
        <v>1926</v>
      </c>
      <c r="E1314" s="264" t="s">
        <v>3243</v>
      </c>
      <c r="F1314" s="265">
        <v>60</v>
      </c>
      <c r="G1314" s="265"/>
      <c r="H1314" s="265">
        <f t="shared" si="19"/>
        <v>60</v>
      </c>
      <c r="I1314" s="175"/>
    </row>
    <row r="1315" spans="2:9" x14ac:dyDescent="0.2">
      <c r="B1315" s="262" t="s">
        <v>1884</v>
      </c>
      <c r="C1315" s="263">
        <v>42713</v>
      </c>
      <c r="D1315" s="264" t="s">
        <v>2457</v>
      </c>
      <c r="E1315" s="264" t="s">
        <v>3244</v>
      </c>
      <c r="F1315" s="265">
        <v>50</v>
      </c>
      <c r="G1315" s="265"/>
      <c r="H1315" s="265">
        <f t="shared" si="19"/>
        <v>50</v>
      </c>
      <c r="I1315" s="175"/>
    </row>
    <row r="1316" spans="2:9" x14ac:dyDescent="0.2">
      <c r="B1316" s="262" t="s">
        <v>1884</v>
      </c>
      <c r="C1316" s="263">
        <v>42713</v>
      </c>
      <c r="D1316" s="264" t="s">
        <v>2457</v>
      </c>
      <c r="E1316" s="264" t="s">
        <v>3244</v>
      </c>
      <c r="F1316" s="265">
        <v>80</v>
      </c>
      <c r="G1316" s="265"/>
      <c r="H1316" s="265">
        <f t="shared" si="19"/>
        <v>80</v>
      </c>
      <c r="I1316" s="175"/>
    </row>
    <row r="1317" spans="2:9" x14ac:dyDescent="0.2">
      <c r="B1317" s="262" t="s">
        <v>1884</v>
      </c>
      <c r="C1317" s="263">
        <v>42713</v>
      </c>
      <c r="D1317" s="264" t="s">
        <v>2535</v>
      </c>
      <c r="E1317" s="264" t="s">
        <v>3245</v>
      </c>
      <c r="F1317" s="265">
        <v>180</v>
      </c>
      <c r="G1317" s="265"/>
      <c r="H1317" s="265">
        <f t="shared" si="19"/>
        <v>180</v>
      </c>
      <c r="I1317" s="175"/>
    </row>
    <row r="1318" spans="2:9" x14ac:dyDescent="0.2">
      <c r="B1318" s="262" t="s">
        <v>1884</v>
      </c>
      <c r="C1318" s="263">
        <v>42713</v>
      </c>
      <c r="D1318" s="264" t="s">
        <v>2956</v>
      </c>
      <c r="E1318" s="264" t="s">
        <v>3246</v>
      </c>
      <c r="F1318" s="265">
        <v>228</v>
      </c>
      <c r="G1318" s="265"/>
      <c r="H1318" s="265">
        <f t="shared" si="19"/>
        <v>228</v>
      </c>
      <c r="I1318" s="175"/>
    </row>
    <row r="1319" spans="2:9" x14ac:dyDescent="0.2">
      <c r="B1319" s="262" t="s">
        <v>1884</v>
      </c>
      <c r="C1319" s="263">
        <v>42713</v>
      </c>
      <c r="D1319" s="264" t="s">
        <v>2956</v>
      </c>
      <c r="E1319" s="264" t="s">
        <v>3247</v>
      </c>
      <c r="F1319" s="265">
        <v>264</v>
      </c>
      <c r="G1319" s="265"/>
      <c r="H1319" s="265">
        <f t="shared" si="19"/>
        <v>264</v>
      </c>
      <c r="I1319" s="175"/>
    </row>
    <row r="1320" spans="2:9" x14ac:dyDescent="0.2">
      <c r="B1320" s="262" t="s">
        <v>1884</v>
      </c>
      <c r="C1320" s="263">
        <v>42713</v>
      </c>
      <c r="D1320" s="264" t="s">
        <v>2956</v>
      </c>
      <c r="E1320" s="264" t="s">
        <v>3219</v>
      </c>
      <c r="F1320" s="265">
        <v>60</v>
      </c>
      <c r="G1320" s="265"/>
      <c r="H1320" s="265">
        <f t="shared" si="19"/>
        <v>60</v>
      </c>
      <c r="I1320" s="175"/>
    </row>
    <row r="1321" spans="2:9" x14ac:dyDescent="0.2">
      <c r="B1321" s="262" t="s">
        <v>1884</v>
      </c>
      <c r="C1321" s="263">
        <v>42713</v>
      </c>
      <c r="D1321" s="264" t="s">
        <v>2401</v>
      </c>
      <c r="E1321" s="264" t="s">
        <v>3248</v>
      </c>
      <c r="F1321" s="265">
        <v>108.23</v>
      </c>
      <c r="G1321" s="265">
        <v>17.32</v>
      </c>
      <c r="H1321" s="265">
        <f t="shared" si="19"/>
        <v>125.55000000000001</v>
      </c>
      <c r="I1321" s="175"/>
    </row>
    <row r="1322" spans="2:9" x14ac:dyDescent="0.2">
      <c r="B1322" s="262" t="s">
        <v>1862</v>
      </c>
      <c r="C1322" s="263">
        <v>42713</v>
      </c>
      <c r="D1322" s="264" t="s">
        <v>1892</v>
      </c>
      <c r="E1322" s="264" t="s">
        <v>3249</v>
      </c>
      <c r="F1322" s="265">
        <v>2350</v>
      </c>
      <c r="G1322" s="265"/>
      <c r="H1322" s="265">
        <f t="shared" si="18"/>
        <v>2350</v>
      </c>
      <c r="I1322" s="175"/>
    </row>
    <row r="1323" spans="2:9" x14ac:dyDescent="0.2">
      <c r="B1323" s="262" t="s">
        <v>1884</v>
      </c>
      <c r="C1323" s="263">
        <v>42713</v>
      </c>
      <c r="D1323" s="264" t="s">
        <v>2956</v>
      </c>
      <c r="E1323" s="264" t="s">
        <v>3247</v>
      </c>
      <c r="F1323" s="265">
        <v>420</v>
      </c>
      <c r="G1323" s="265"/>
      <c r="H1323" s="265">
        <f t="shared" si="18"/>
        <v>420</v>
      </c>
      <c r="I1323" s="175"/>
    </row>
    <row r="1324" spans="2:9" x14ac:dyDescent="0.2">
      <c r="B1324" s="262" t="s">
        <v>1884</v>
      </c>
      <c r="C1324" s="263">
        <v>42714</v>
      </c>
      <c r="D1324" s="264" t="s">
        <v>1911</v>
      </c>
      <c r="E1324" s="264" t="s">
        <v>3250</v>
      </c>
      <c r="F1324" s="265">
        <v>835</v>
      </c>
      <c r="G1324" s="265"/>
      <c r="H1324" s="265">
        <f t="shared" si="18"/>
        <v>835</v>
      </c>
      <c r="I1324" s="175"/>
    </row>
    <row r="1325" spans="2:9" x14ac:dyDescent="0.2">
      <c r="B1325" s="262" t="s">
        <v>1884</v>
      </c>
      <c r="C1325" s="263">
        <v>42714</v>
      </c>
      <c r="D1325" s="264" t="s">
        <v>1911</v>
      </c>
      <c r="E1325" s="264" t="s">
        <v>3251</v>
      </c>
      <c r="F1325" s="265">
        <v>56</v>
      </c>
      <c r="G1325" s="265"/>
      <c r="H1325" s="265">
        <f t="shared" si="18"/>
        <v>56</v>
      </c>
      <c r="I1325" s="175"/>
    </row>
    <row r="1326" spans="2:9" x14ac:dyDescent="0.2">
      <c r="B1326" s="262" t="s">
        <v>1805</v>
      </c>
      <c r="C1326" s="263">
        <v>42714</v>
      </c>
      <c r="D1326" s="264" t="s">
        <v>1910</v>
      </c>
      <c r="E1326" s="264" t="s">
        <v>3252</v>
      </c>
      <c r="F1326" s="265">
        <v>1000</v>
      </c>
      <c r="G1326" s="265"/>
      <c r="H1326" s="265">
        <f t="shared" si="18"/>
        <v>1000</v>
      </c>
      <c r="I1326" s="175"/>
    </row>
    <row r="1327" spans="2:9" x14ac:dyDescent="0.2">
      <c r="B1327" s="262" t="s">
        <v>1884</v>
      </c>
      <c r="C1327" s="263">
        <v>42714</v>
      </c>
      <c r="D1327" s="264" t="s">
        <v>2818</v>
      </c>
      <c r="E1327" s="264" t="s">
        <v>3253</v>
      </c>
      <c r="F1327" s="265">
        <v>150</v>
      </c>
      <c r="G1327" s="265"/>
      <c r="H1327" s="265">
        <f t="shared" ref="H1327:H1355" si="20">SUM(F1327:G1327)</f>
        <v>150</v>
      </c>
      <c r="I1327" s="175"/>
    </row>
    <row r="1328" spans="2:9" x14ac:dyDescent="0.2">
      <c r="B1328" s="262" t="s">
        <v>1884</v>
      </c>
      <c r="C1328" s="263">
        <v>42714</v>
      </c>
      <c r="D1328" s="264" t="s">
        <v>3254</v>
      </c>
      <c r="E1328" s="264" t="s">
        <v>3255</v>
      </c>
      <c r="F1328" s="265">
        <v>449</v>
      </c>
      <c r="G1328" s="265"/>
      <c r="H1328" s="265">
        <f t="shared" si="20"/>
        <v>449</v>
      </c>
      <c r="I1328" s="175"/>
    </row>
    <row r="1329" spans="2:9" x14ac:dyDescent="0.2">
      <c r="B1329" s="262" t="s">
        <v>1884</v>
      </c>
      <c r="C1329" s="263">
        <v>42714</v>
      </c>
      <c r="D1329" s="264" t="s">
        <v>3256</v>
      </c>
      <c r="E1329" s="264" t="s">
        <v>3257</v>
      </c>
      <c r="F1329" s="265">
        <v>200</v>
      </c>
      <c r="G1329" s="265"/>
      <c r="H1329" s="265">
        <f t="shared" si="20"/>
        <v>200</v>
      </c>
      <c r="I1329" s="175"/>
    </row>
    <row r="1330" spans="2:9" x14ac:dyDescent="0.2">
      <c r="B1330" s="262" t="s">
        <v>1884</v>
      </c>
      <c r="C1330" s="263">
        <v>42714</v>
      </c>
      <c r="D1330" s="264" t="s">
        <v>1911</v>
      </c>
      <c r="E1330" s="264" t="s">
        <v>3258</v>
      </c>
      <c r="F1330" s="265">
        <v>190</v>
      </c>
      <c r="G1330" s="265"/>
      <c r="H1330" s="265">
        <f t="shared" si="20"/>
        <v>190</v>
      </c>
      <c r="I1330" s="175"/>
    </row>
    <row r="1331" spans="2:9" x14ac:dyDescent="0.2">
      <c r="B1331" s="262" t="s">
        <v>1577</v>
      </c>
      <c r="C1331" s="263">
        <v>42714</v>
      </c>
      <c r="D1331" s="264" t="s">
        <v>3259</v>
      </c>
      <c r="E1331" s="264" t="s">
        <v>4566</v>
      </c>
      <c r="F1331" s="265">
        <v>26470.23</v>
      </c>
      <c r="G1331" s="265"/>
      <c r="H1331" s="265">
        <f t="shared" si="20"/>
        <v>26470.23</v>
      </c>
      <c r="I1331" s="175"/>
    </row>
    <row r="1332" spans="2:9" x14ac:dyDescent="0.2">
      <c r="B1332" s="262" t="s">
        <v>1863</v>
      </c>
      <c r="C1332" s="263">
        <v>42714</v>
      </c>
      <c r="D1332" s="264" t="s">
        <v>1878</v>
      </c>
      <c r="E1332" s="264" t="s">
        <v>3260</v>
      </c>
      <c r="F1332" s="265">
        <v>500</v>
      </c>
      <c r="G1332" s="265"/>
      <c r="H1332" s="265">
        <f t="shared" si="20"/>
        <v>500</v>
      </c>
      <c r="I1332" s="175"/>
    </row>
    <row r="1333" spans="2:9" x14ac:dyDescent="0.2">
      <c r="B1333" s="262" t="s">
        <v>1863</v>
      </c>
      <c r="C1333" s="263">
        <v>42684</v>
      </c>
      <c r="D1333" s="264" t="s">
        <v>2419</v>
      </c>
      <c r="E1333" s="264" t="s">
        <v>3261</v>
      </c>
      <c r="F1333" s="265">
        <v>300</v>
      </c>
      <c r="G1333" s="265"/>
      <c r="H1333" s="265">
        <f t="shared" si="20"/>
        <v>300</v>
      </c>
      <c r="I1333" s="175"/>
    </row>
    <row r="1334" spans="2:9" x14ac:dyDescent="0.2">
      <c r="B1334" s="262" t="s">
        <v>1884</v>
      </c>
      <c r="C1334" s="263">
        <v>42714</v>
      </c>
      <c r="D1334" s="264" t="s">
        <v>3262</v>
      </c>
      <c r="E1334" s="264" t="s">
        <v>3263</v>
      </c>
      <c r="F1334" s="265">
        <v>500</v>
      </c>
      <c r="G1334" s="265"/>
      <c r="H1334" s="265">
        <f t="shared" si="20"/>
        <v>500</v>
      </c>
      <c r="I1334" s="175"/>
    </row>
    <row r="1335" spans="2:9" x14ac:dyDescent="0.2">
      <c r="B1335" s="262" t="s">
        <v>1884</v>
      </c>
      <c r="C1335" s="263">
        <v>42714</v>
      </c>
      <c r="D1335" s="264" t="s">
        <v>1906</v>
      </c>
      <c r="E1335" s="264" t="s">
        <v>3264</v>
      </c>
      <c r="F1335" s="265">
        <v>250</v>
      </c>
      <c r="G1335" s="265"/>
      <c r="H1335" s="265">
        <f t="shared" si="20"/>
        <v>250</v>
      </c>
      <c r="I1335" s="175"/>
    </row>
    <row r="1336" spans="2:9" x14ac:dyDescent="0.2">
      <c r="B1336" s="262" t="s">
        <v>1884</v>
      </c>
      <c r="C1336" s="263">
        <v>42714</v>
      </c>
      <c r="D1336" s="264" t="s">
        <v>2818</v>
      </c>
      <c r="E1336" s="264" t="s">
        <v>3265</v>
      </c>
      <c r="F1336" s="265">
        <v>400</v>
      </c>
      <c r="G1336" s="265"/>
      <c r="H1336" s="265">
        <f t="shared" si="20"/>
        <v>400</v>
      </c>
      <c r="I1336" s="175"/>
    </row>
    <row r="1337" spans="2:9" x14ac:dyDescent="0.2">
      <c r="B1337" s="262" t="s">
        <v>1863</v>
      </c>
      <c r="C1337" s="263">
        <v>42715</v>
      </c>
      <c r="D1337" s="264" t="s">
        <v>1878</v>
      </c>
      <c r="E1337" s="264" t="s">
        <v>3266</v>
      </c>
      <c r="F1337" s="265">
        <v>500</v>
      </c>
      <c r="G1337" s="265"/>
      <c r="H1337" s="265">
        <f t="shared" si="20"/>
        <v>500</v>
      </c>
      <c r="I1337" s="175"/>
    </row>
    <row r="1338" spans="2:9" x14ac:dyDescent="0.2">
      <c r="B1338" s="262" t="s">
        <v>1864</v>
      </c>
      <c r="C1338" s="263">
        <v>42715</v>
      </c>
      <c r="D1338" s="264" t="s">
        <v>2386</v>
      </c>
      <c r="E1338" s="264" t="s">
        <v>3267</v>
      </c>
      <c r="F1338" s="265">
        <v>91</v>
      </c>
      <c r="G1338" s="265"/>
      <c r="H1338" s="265">
        <f t="shared" si="20"/>
        <v>91</v>
      </c>
      <c r="I1338" s="175"/>
    </row>
    <row r="1339" spans="2:9" x14ac:dyDescent="0.2">
      <c r="B1339" s="262" t="s">
        <v>1884</v>
      </c>
      <c r="C1339" s="263">
        <v>42715</v>
      </c>
      <c r="D1339" s="264" t="s">
        <v>2250</v>
      </c>
      <c r="E1339" s="264" t="s">
        <v>2026</v>
      </c>
      <c r="F1339" s="265">
        <v>120</v>
      </c>
      <c r="G1339" s="265"/>
      <c r="H1339" s="265">
        <f t="shared" si="20"/>
        <v>120</v>
      </c>
      <c r="I1339" s="175"/>
    </row>
    <row r="1340" spans="2:9" x14ac:dyDescent="0.2">
      <c r="B1340" s="262" t="s">
        <v>1863</v>
      </c>
      <c r="C1340" s="263">
        <v>42715</v>
      </c>
      <c r="D1340" s="264" t="s">
        <v>2250</v>
      </c>
      <c r="E1340" s="264" t="s">
        <v>2981</v>
      </c>
      <c r="F1340" s="265">
        <v>150</v>
      </c>
      <c r="G1340" s="265"/>
      <c r="H1340" s="265">
        <f t="shared" si="20"/>
        <v>150</v>
      </c>
      <c r="I1340" s="175"/>
    </row>
    <row r="1341" spans="2:9" x14ac:dyDescent="0.2">
      <c r="B1341" s="262" t="s">
        <v>1884</v>
      </c>
      <c r="C1341" s="263">
        <v>42715</v>
      </c>
      <c r="D1341" s="264" t="s">
        <v>2337</v>
      </c>
      <c r="E1341" s="264" t="s">
        <v>3268</v>
      </c>
      <c r="F1341" s="265">
        <v>279.60000000000002</v>
      </c>
      <c r="G1341" s="265"/>
      <c r="H1341" s="265">
        <f t="shared" si="20"/>
        <v>279.60000000000002</v>
      </c>
      <c r="I1341" s="175"/>
    </row>
    <row r="1342" spans="2:9" x14ac:dyDescent="0.2">
      <c r="B1342" s="262" t="s">
        <v>1864</v>
      </c>
      <c r="C1342" s="263">
        <v>42716</v>
      </c>
      <c r="D1342" s="264" t="s">
        <v>1910</v>
      </c>
      <c r="E1342" s="264" t="s">
        <v>3269</v>
      </c>
      <c r="F1342" s="265">
        <v>400</v>
      </c>
      <c r="G1342" s="265"/>
      <c r="H1342" s="265">
        <f t="shared" si="20"/>
        <v>400</v>
      </c>
      <c r="I1342" s="175"/>
    </row>
    <row r="1343" spans="2:9" x14ac:dyDescent="0.2">
      <c r="B1343" s="262" t="s">
        <v>1884</v>
      </c>
      <c r="C1343" s="263">
        <v>42717</v>
      </c>
      <c r="D1343" s="264" t="s">
        <v>1898</v>
      </c>
      <c r="E1343" s="264" t="s">
        <v>3270</v>
      </c>
      <c r="F1343" s="265">
        <v>41</v>
      </c>
      <c r="G1343" s="265"/>
      <c r="H1343" s="265">
        <f t="shared" si="20"/>
        <v>41</v>
      </c>
      <c r="I1343" s="175"/>
    </row>
    <row r="1344" spans="2:9" x14ac:dyDescent="0.2">
      <c r="B1344" s="262" t="s">
        <v>1875</v>
      </c>
      <c r="C1344" s="263">
        <v>42717</v>
      </c>
      <c r="D1344" s="264" t="s">
        <v>2535</v>
      </c>
      <c r="E1344" s="264" t="s">
        <v>2109</v>
      </c>
      <c r="F1344" s="265">
        <v>136</v>
      </c>
      <c r="G1344" s="265"/>
      <c r="H1344" s="265">
        <f t="shared" si="20"/>
        <v>136</v>
      </c>
      <c r="I1344" s="175"/>
    </row>
    <row r="1345" spans="2:9" x14ac:dyDescent="0.2">
      <c r="B1345" s="262" t="s">
        <v>1884</v>
      </c>
      <c r="C1345" s="263">
        <v>42717</v>
      </c>
      <c r="D1345" s="264" t="s">
        <v>1915</v>
      </c>
      <c r="E1345" s="264" t="s">
        <v>3271</v>
      </c>
      <c r="F1345" s="265">
        <v>500</v>
      </c>
      <c r="G1345" s="265"/>
      <c r="H1345" s="265">
        <f t="shared" si="20"/>
        <v>500</v>
      </c>
      <c r="I1345" s="175"/>
    </row>
    <row r="1346" spans="2:9" x14ac:dyDescent="0.2">
      <c r="B1346" s="262" t="s">
        <v>1867</v>
      </c>
      <c r="C1346" s="263">
        <v>42718</v>
      </c>
      <c r="D1346" s="264" t="s">
        <v>1894</v>
      </c>
      <c r="E1346" s="264" t="s">
        <v>3273</v>
      </c>
      <c r="F1346" s="265">
        <v>786</v>
      </c>
      <c r="G1346" s="265"/>
      <c r="H1346" s="265">
        <f t="shared" si="20"/>
        <v>786</v>
      </c>
      <c r="I1346" s="175"/>
    </row>
    <row r="1347" spans="2:9" x14ac:dyDescent="0.2">
      <c r="B1347" s="262" t="s">
        <v>1860</v>
      </c>
      <c r="C1347" s="263">
        <v>42718</v>
      </c>
      <c r="D1347" s="264" t="s">
        <v>1891</v>
      </c>
      <c r="E1347" s="264" t="s">
        <v>3272</v>
      </c>
      <c r="F1347" s="265">
        <v>117</v>
      </c>
      <c r="G1347" s="265"/>
      <c r="H1347" s="265">
        <f t="shared" si="20"/>
        <v>117</v>
      </c>
      <c r="I1347" s="175"/>
    </row>
    <row r="1348" spans="2:9" x14ac:dyDescent="0.2">
      <c r="B1348" s="262" t="s">
        <v>1884</v>
      </c>
      <c r="C1348" s="263">
        <v>42719</v>
      </c>
      <c r="D1348" s="264" t="s">
        <v>2250</v>
      </c>
      <c r="E1348" s="264" t="s">
        <v>3284</v>
      </c>
      <c r="F1348" s="265">
        <v>350</v>
      </c>
      <c r="G1348" s="265"/>
      <c r="H1348" s="265">
        <f t="shared" si="20"/>
        <v>350</v>
      </c>
      <c r="I1348" s="175"/>
    </row>
    <row r="1349" spans="2:9" x14ac:dyDescent="0.2">
      <c r="B1349" s="262" t="s">
        <v>1884</v>
      </c>
      <c r="C1349" s="263">
        <v>42719</v>
      </c>
      <c r="D1349" s="264" t="s">
        <v>1873</v>
      </c>
      <c r="E1349" s="264" t="s">
        <v>2866</v>
      </c>
      <c r="F1349" s="265">
        <v>450</v>
      </c>
      <c r="G1349" s="265"/>
      <c r="H1349" s="265">
        <f t="shared" si="20"/>
        <v>450</v>
      </c>
      <c r="I1349" s="175"/>
    </row>
    <row r="1350" spans="2:9" x14ac:dyDescent="0.2">
      <c r="B1350" s="262" t="s">
        <v>1884</v>
      </c>
      <c r="C1350" s="263">
        <v>42719</v>
      </c>
      <c r="D1350" s="264" t="s">
        <v>1873</v>
      </c>
      <c r="E1350" s="264" t="s">
        <v>3274</v>
      </c>
      <c r="F1350" s="265">
        <v>450</v>
      </c>
      <c r="G1350" s="265"/>
      <c r="H1350" s="265">
        <f t="shared" si="20"/>
        <v>450</v>
      </c>
      <c r="I1350" s="175"/>
    </row>
    <row r="1351" spans="2:9" x14ac:dyDescent="0.2">
      <c r="B1351" s="262" t="s">
        <v>1863</v>
      </c>
      <c r="C1351" s="263">
        <v>42719</v>
      </c>
      <c r="D1351" s="264" t="s">
        <v>1873</v>
      </c>
      <c r="E1351" s="264" t="s">
        <v>3275</v>
      </c>
      <c r="F1351" s="265">
        <v>200</v>
      </c>
      <c r="G1351" s="265"/>
      <c r="H1351" s="265">
        <f t="shared" si="20"/>
        <v>200</v>
      </c>
      <c r="I1351" s="175"/>
    </row>
    <row r="1352" spans="2:9" x14ac:dyDescent="0.2">
      <c r="B1352" s="262" t="s">
        <v>1884</v>
      </c>
      <c r="C1352" s="263">
        <v>42719</v>
      </c>
      <c r="D1352" s="264" t="s">
        <v>2763</v>
      </c>
      <c r="E1352" s="264" t="s">
        <v>3276</v>
      </c>
      <c r="F1352" s="265">
        <v>200</v>
      </c>
      <c r="G1352" s="265"/>
      <c r="H1352" s="265">
        <f t="shared" si="20"/>
        <v>200</v>
      </c>
      <c r="I1352" s="175"/>
    </row>
    <row r="1353" spans="2:9" x14ac:dyDescent="0.2">
      <c r="B1353" s="262" t="s">
        <v>1870</v>
      </c>
      <c r="C1353" s="263">
        <v>42719</v>
      </c>
      <c r="D1353" s="264" t="s">
        <v>3277</v>
      </c>
      <c r="E1353" s="264" t="s">
        <v>3278</v>
      </c>
      <c r="F1353" s="265">
        <v>200</v>
      </c>
      <c r="G1353" s="265"/>
      <c r="H1353" s="265">
        <f t="shared" si="20"/>
        <v>200</v>
      </c>
      <c r="I1353" s="175"/>
    </row>
    <row r="1354" spans="2:9" x14ac:dyDescent="0.2">
      <c r="B1354" s="262" t="s">
        <v>1857</v>
      </c>
      <c r="C1354" s="263">
        <v>42719</v>
      </c>
      <c r="D1354" s="264" t="s">
        <v>1872</v>
      </c>
      <c r="E1354" s="264" t="s">
        <v>3279</v>
      </c>
      <c r="F1354" s="265">
        <v>173.9</v>
      </c>
      <c r="G1354" s="265"/>
      <c r="H1354" s="265">
        <f t="shared" si="20"/>
        <v>173.9</v>
      </c>
      <c r="I1354" s="175"/>
    </row>
    <row r="1355" spans="2:9" x14ac:dyDescent="0.2">
      <c r="B1355" s="262" t="s">
        <v>1577</v>
      </c>
      <c r="C1355" s="263">
        <v>42719</v>
      </c>
      <c r="D1355" s="264" t="s">
        <v>1899</v>
      </c>
      <c r="E1355" s="264" t="s">
        <v>3286</v>
      </c>
      <c r="F1355" s="265">
        <v>14500</v>
      </c>
      <c r="G1355" s="265"/>
      <c r="H1355" s="265">
        <f t="shared" si="20"/>
        <v>14500</v>
      </c>
      <c r="I1355" s="175"/>
    </row>
    <row r="1356" spans="2:9" x14ac:dyDescent="0.2">
      <c r="B1356" s="262" t="s">
        <v>1577</v>
      </c>
      <c r="C1356" s="263">
        <v>42719</v>
      </c>
      <c r="D1356" s="264" t="s">
        <v>1899</v>
      </c>
      <c r="E1356" s="264" t="s">
        <v>3285</v>
      </c>
      <c r="F1356" s="265">
        <v>14500</v>
      </c>
      <c r="G1356" s="265"/>
      <c r="H1356" s="265">
        <f t="shared" ref="H1356:H1368" si="21">SUM(F1356:G1356)</f>
        <v>14500</v>
      </c>
      <c r="I1356" s="175"/>
    </row>
    <row r="1357" spans="2:9" x14ac:dyDescent="0.2">
      <c r="B1357" s="262" t="s">
        <v>1859</v>
      </c>
      <c r="C1357" s="263">
        <v>42719</v>
      </c>
      <c r="D1357" s="264" t="s">
        <v>1911</v>
      </c>
      <c r="E1357" s="264" t="s">
        <v>1935</v>
      </c>
      <c r="F1357" s="265">
        <v>4000</v>
      </c>
      <c r="G1357" s="265"/>
      <c r="H1357" s="265">
        <f t="shared" si="21"/>
        <v>4000</v>
      </c>
      <c r="I1357" s="175"/>
    </row>
    <row r="1358" spans="2:9" x14ac:dyDescent="0.2">
      <c r="B1358" s="262" t="s">
        <v>1866</v>
      </c>
      <c r="C1358" s="263">
        <v>42720</v>
      </c>
      <c r="D1358" s="264" t="s">
        <v>1890</v>
      </c>
      <c r="E1358" s="264" t="s">
        <v>3287</v>
      </c>
      <c r="F1358" s="265">
        <v>450</v>
      </c>
      <c r="G1358" s="265"/>
      <c r="H1358" s="265">
        <f t="shared" si="21"/>
        <v>450</v>
      </c>
      <c r="I1358" s="175"/>
    </row>
    <row r="1359" spans="2:9" x14ac:dyDescent="0.2">
      <c r="B1359" s="262" t="s">
        <v>1805</v>
      </c>
      <c r="C1359" s="263">
        <v>42720</v>
      </c>
      <c r="D1359" s="264" t="s">
        <v>1910</v>
      </c>
      <c r="E1359" s="264" t="s">
        <v>3288</v>
      </c>
      <c r="F1359" s="265">
        <v>1000</v>
      </c>
      <c r="G1359" s="265"/>
      <c r="H1359" s="265">
        <f t="shared" si="21"/>
        <v>1000</v>
      </c>
      <c r="I1359" s="175"/>
    </row>
    <row r="1360" spans="2:9" x14ac:dyDescent="0.2">
      <c r="B1360" s="262" t="s">
        <v>1858</v>
      </c>
      <c r="C1360" s="263">
        <v>42720</v>
      </c>
      <c r="D1360" s="264" t="s">
        <v>1889</v>
      </c>
      <c r="E1360" s="264" t="s">
        <v>3289</v>
      </c>
      <c r="F1360" s="265">
        <v>200</v>
      </c>
      <c r="G1360" s="265"/>
      <c r="H1360" s="265">
        <f t="shared" si="21"/>
        <v>200</v>
      </c>
      <c r="I1360" s="175"/>
    </row>
    <row r="1361" spans="2:9" x14ac:dyDescent="0.2">
      <c r="B1361" s="262" t="s">
        <v>1857</v>
      </c>
      <c r="C1361" s="263">
        <v>42720</v>
      </c>
      <c r="D1361" s="264" t="s">
        <v>1872</v>
      </c>
      <c r="E1361" s="264" t="s">
        <v>3290</v>
      </c>
      <c r="F1361" s="265">
        <v>1000</v>
      </c>
      <c r="G1361" s="265"/>
      <c r="H1361" s="265">
        <f t="shared" si="21"/>
        <v>1000</v>
      </c>
      <c r="I1361" s="175"/>
    </row>
    <row r="1362" spans="2:9" x14ac:dyDescent="0.2">
      <c r="B1362" s="262" t="s">
        <v>1884</v>
      </c>
      <c r="C1362" s="263">
        <v>42720</v>
      </c>
      <c r="D1362" s="264" t="s">
        <v>3291</v>
      </c>
      <c r="E1362" s="264" t="s">
        <v>3292</v>
      </c>
      <c r="F1362" s="265">
        <v>250</v>
      </c>
      <c r="G1362" s="265"/>
      <c r="H1362" s="265">
        <f t="shared" si="21"/>
        <v>250</v>
      </c>
      <c r="I1362" s="175"/>
    </row>
    <row r="1363" spans="2:9" x14ac:dyDescent="0.2">
      <c r="B1363" s="262" t="s">
        <v>1884</v>
      </c>
      <c r="C1363" s="263">
        <v>42720</v>
      </c>
      <c r="D1363" s="264" t="s">
        <v>3293</v>
      </c>
      <c r="E1363" s="264" t="s">
        <v>3294</v>
      </c>
      <c r="F1363" s="265">
        <v>250</v>
      </c>
      <c r="G1363" s="265"/>
      <c r="H1363" s="265">
        <f t="shared" si="21"/>
        <v>250</v>
      </c>
      <c r="I1363" s="175"/>
    </row>
    <row r="1364" spans="2:9" x14ac:dyDescent="0.2">
      <c r="B1364" s="262" t="s">
        <v>1863</v>
      </c>
      <c r="C1364" s="263">
        <v>42721</v>
      </c>
      <c r="D1364" s="264" t="s">
        <v>1878</v>
      </c>
      <c r="E1364" s="264" t="s">
        <v>3295</v>
      </c>
      <c r="F1364" s="265">
        <v>500</v>
      </c>
      <c r="G1364" s="265"/>
      <c r="H1364" s="265">
        <f t="shared" si="21"/>
        <v>500</v>
      </c>
      <c r="I1364" s="175"/>
    </row>
    <row r="1365" spans="2:9" x14ac:dyDescent="0.2">
      <c r="B1365" s="262" t="s">
        <v>1884</v>
      </c>
      <c r="C1365" s="263">
        <v>42721</v>
      </c>
      <c r="D1365" s="264" t="s">
        <v>2419</v>
      </c>
      <c r="E1365" s="264" t="s">
        <v>3296</v>
      </c>
      <c r="F1365" s="265">
        <v>280</v>
      </c>
      <c r="G1365" s="265"/>
      <c r="H1365" s="265">
        <f t="shared" si="21"/>
        <v>280</v>
      </c>
      <c r="I1365" s="175"/>
    </row>
    <row r="1366" spans="2:9" x14ac:dyDescent="0.2">
      <c r="B1366" s="262" t="s">
        <v>1884</v>
      </c>
      <c r="C1366" s="263">
        <v>42721</v>
      </c>
      <c r="D1366" s="264" t="s">
        <v>3297</v>
      </c>
      <c r="E1366" s="264" t="s">
        <v>3298</v>
      </c>
      <c r="F1366" s="265">
        <v>350</v>
      </c>
      <c r="G1366" s="265"/>
      <c r="H1366" s="265">
        <f t="shared" si="21"/>
        <v>350</v>
      </c>
      <c r="I1366" s="175"/>
    </row>
    <row r="1367" spans="2:9" x14ac:dyDescent="0.2">
      <c r="B1367" s="262" t="s">
        <v>1884</v>
      </c>
      <c r="C1367" s="263">
        <v>42721</v>
      </c>
      <c r="D1367" s="264" t="s">
        <v>2818</v>
      </c>
      <c r="E1367" s="264" t="s">
        <v>3299</v>
      </c>
      <c r="F1367" s="265">
        <v>250</v>
      </c>
      <c r="G1367" s="265"/>
      <c r="H1367" s="265">
        <f t="shared" si="21"/>
        <v>250</v>
      </c>
      <c r="I1367" s="175"/>
    </row>
    <row r="1368" spans="2:9" x14ac:dyDescent="0.2">
      <c r="B1368" s="262" t="s">
        <v>1863</v>
      </c>
      <c r="C1368" s="263">
        <v>42721</v>
      </c>
      <c r="D1368" s="264" t="s">
        <v>2250</v>
      </c>
      <c r="E1368" s="264" t="s">
        <v>3300</v>
      </c>
      <c r="F1368" s="265">
        <v>120</v>
      </c>
      <c r="G1368" s="265"/>
      <c r="H1368" s="265">
        <f t="shared" si="21"/>
        <v>120</v>
      </c>
      <c r="I1368" s="175"/>
    </row>
    <row r="1369" spans="2:9" x14ac:dyDescent="0.2">
      <c r="B1369" s="262" t="s">
        <v>1863</v>
      </c>
      <c r="C1369" s="263">
        <v>42721</v>
      </c>
      <c r="D1369" s="264" t="s">
        <v>2250</v>
      </c>
      <c r="E1369" s="264" t="s">
        <v>3301</v>
      </c>
      <c r="F1369" s="265">
        <v>150</v>
      </c>
      <c r="G1369" s="265"/>
      <c r="H1369" s="265">
        <f t="shared" ref="H1369:H1375" si="22">SUM(F1369:G1369)</f>
        <v>150</v>
      </c>
      <c r="I1369" s="175"/>
    </row>
    <row r="1370" spans="2:9" x14ac:dyDescent="0.2">
      <c r="B1370" s="262" t="s">
        <v>1864</v>
      </c>
      <c r="C1370" s="263">
        <v>42722</v>
      </c>
      <c r="D1370" s="264" t="s">
        <v>2386</v>
      </c>
      <c r="E1370" s="264" t="s">
        <v>3302</v>
      </c>
      <c r="F1370" s="265">
        <v>91</v>
      </c>
      <c r="G1370" s="265"/>
      <c r="H1370" s="265">
        <f t="shared" si="22"/>
        <v>91</v>
      </c>
      <c r="I1370" s="175"/>
    </row>
    <row r="1371" spans="2:9" x14ac:dyDescent="0.2">
      <c r="B1371" s="341" t="s">
        <v>1884</v>
      </c>
      <c r="C1371" s="263">
        <v>42723</v>
      </c>
      <c r="D1371" s="264" t="s">
        <v>3303</v>
      </c>
      <c r="E1371" s="264" t="s">
        <v>3304</v>
      </c>
      <c r="F1371" s="265">
        <v>320</v>
      </c>
      <c r="G1371" s="265"/>
      <c r="H1371" s="265">
        <f t="shared" si="22"/>
        <v>320</v>
      </c>
      <c r="I1371" s="175"/>
    </row>
    <row r="1372" spans="2:9" x14ac:dyDescent="0.2">
      <c r="B1372" s="262" t="s">
        <v>1866</v>
      </c>
      <c r="C1372" s="263">
        <v>42723</v>
      </c>
      <c r="D1372" s="264" t="s">
        <v>1890</v>
      </c>
      <c r="E1372" s="264" t="s">
        <v>2730</v>
      </c>
      <c r="F1372" s="265">
        <v>310</v>
      </c>
      <c r="G1372" s="265"/>
      <c r="H1372" s="265">
        <f t="shared" si="22"/>
        <v>310</v>
      </c>
      <c r="I1372" s="175"/>
    </row>
    <row r="1373" spans="2:9" x14ac:dyDescent="0.2">
      <c r="B1373" s="262" t="s">
        <v>1864</v>
      </c>
      <c r="C1373" s="263">
        <v>42723</v>
      </c>
      <c r="D1373" s="264" t="s">
        <v>1910</v>
      </c>
      <c r="E1373" s="264" t="s">
        <v>3305</v>
      </c>
      <c r="F1373" s="265">
        <v>400</v>
      </c>
      <c r="G1373" s="265"/>
      <c r="H1373" s="265">
        <f t="shared" si="22"/>
        <v>400</v>
      </c>
      <c r="I1373" s="175"/>
    </row>
    <row r="1374" spans="2:9" x14ac:dyDescent="0.2">
      <c r="B1374" s="262" t="s">
        <v>1884</v>
      </c>
      <c r="C1374" s="263">
        <v>42723</v>
      </c>
      <c r="D1374" s="264" t="s">
        <v>3144</v>
      </c>
      <c r="E1374" s="264" t="s">
        <v>3306</v>
      </c>
      <c r="F1374" s="265">
        <v>300</v>
      </c>
      <c r="G1374" s="265"/>
      <c r="H1374" s="344">
        <f t="shared" si="22"/>
        <v>300</v>
      </c>
      <c r="I1374" s="175"/>
    </row>
    <row r="1375" spans="2:9" x14ac:dyDescent="0.2">
      <c r="B1375" s="262" t="s">
        <v>1884</v>
      </c>
      <c r="C1375" s="263">
        <v>42724</v>
      </c>
      <c r="D1375" s="264" t="s">
        <v>1912</v>
      </c>
      <c r="E1375" s="264" t="s">
        <v>3310</v>
      </c>
      <c r="F1375" s="265">
        <v>302.56</v>
      </c>
      <c r="G1375" s="265">
        <v>46.94</v>
      </c>
      <c r="H1375" s="265">
        <f t="shared" si="22"/>
        <v>349.5</v>
      </c>
      <c r="I1375" s="175"/>
    </row>
    <row r="1376" spans="2:9" x14ac:dyDescent="0.2">
      <c r="B1376" s="262" t="s">
        <v>1884</v>
      </c>
      <c r="C1376" s="263">
        <v>42724</v>
      </c>
      <c r="D1376" s="264" t="s">
        <v>1925</v>
      </c>
      <c r="E1376" s="264" t="s">
        <v>2979</v>
      </c>
      <c r="F1376" s="265">
        <v>5</v>
      </c>
      <c r="G1376" s="265"/>
      <c r="H1376" s="265">
        <f t="shared" ref="H1376:H1434" si="23">SUM(F1376:G1376)</f>
        <v>5</v>
      </c>
      <c r="I1376" s="175"/>
    </row>
    <row r="1377" spans="2:9" x14ac:dyDescent="0.2">
      <c r="B1377" s="262" t="s">
        <v>1884</v>
      </c>
      <c r="C1377" s="263">
        <v>42724</v>
      </c>
      <c r="D1377" s="264" t="s">
        <v>2250</v>
      </c>
      <c r="E1377" s="264" t="s">
        <v>3351</v>
      </c>
      <c r="F1377" s="265">
        <v>400</v>
      </c>
      <c r="G1377" s="265"/>
      <c r="H1377" s="265">
        <f t="shared" si="23"/>
        <v>400</v>
      </c>
      <c r="I1377" s="175"/>
    </row>
    <row r="1378" spans="2:9" x14ac:dyDescent="0.2">
      <c r="B1378" s="262" t="s">
        <v>1884</v>
      </c>
      <c r="C1378" s="263">
        <v>42724</v>
      </c>
      <c r="D1378" s="264" t="s">
        <v>3311</v>
      </c>
      <c r="E1378" s="264" t="s">
        <v>3312</v>
      </c>
      <c r="F1378" s="265">
        <v>831</v>
      </c>
      <c r="G1378" s="265"/>
      <c r="H1378" s="265">
        <f t="shared" si="23"/>
        <v>831</v>
      </c>
      <c r="I1378" s="175"/>
    </row>
    <row r="1379" spans="2:9" x14ac:dyDescent="0.2">
      <c r="B1379" s="262" t="s">
        <v>1860</v>
      </c>
      <c r="C1379" s="263">
        <v>42724</v>
      </c>
      <c r="D1379" s="264" t="s">
        <v>1891</v>
      </c>
      <c r="E1379" s="264" t="s">
        <v>3314</v>
      </c>
      <c r="F1379" s="265">
        <v>565.79999999999995</v>
      </c>
      <c r="G1379" s="265"/>
      <c r="H1379" s="265">
        <f t="shared" si="23"/>
        <v>565.79999999999995</v>
      </c>
      <c r="I1379" s="175"/>
    </row>
    <row r="1380" spans="2:9" x14ac:dyDescent="0.2">
      <c r="B1380" s="262" t="s">
        <v>1860</v>
      </c>
      <c r="C1380" s="263">
        <v>42724</v>
      </c>
      <c r="D1380" s="264" t="s">
        <v>1925</v>
      </c>
      <c r="E1380" s="264" t="s">
        <v>3313</v>
      </c>
      <c r="F1380" s="265">
        <v>40</v>
      </c>
      <c r="G1380" s="265"/>
      <c r="H1380" s="265">
        <f t="shared" si="23"/>
        <v>40</v>
      </c>
      <c r="I1380" s="175"/>
    </row>
    <row r="1381" spans="2:9" x14ac:dyDescent="0.2">
      <c r="B1381" s="262" t="s">
        <v>1865</v>
      </c>
      <c r="C1381" s="263">
        <v>42724</v>
      </c>
      <c r="D1381" s="264" t="s">
        <v>1872</v>
      </c>
      <c r="E1381" s="264" t="s">
        <v>3315</v>
      </c>
      <c r="F1381" s="265">
        <v>480</v>
      </c>
      <c r="G1381" s="265"/>
      <c r="H1381" s="265">
        <f t="shared" si="23"/>
        <v>480</v>
      </c>
      <c r="I1381" s="175"/>
    </row>
    <row r="1382" spans="2:9" x14ac:dyDescent="0.2">
      <c r="B1382" s="262" t="s">
        <v>1884</v>
      </c>
      <c r="C1382" s="263">
        <v>42725</v>
      </c>
      <c r="D1382" s="264" t="s">
        <v>3316</v>
      </c>
      <c r="E1382" s="264" t="s">
        <v>3317</v>
      </c>
      <c r="F1382" s="265">
        <v>294</v>
      </c>
      <c r="G1382" s="265"/>
      <c r="H1382" s="265">
        <f t="shared" si="23"/>
        <v>294</v>
      </c>
      <c r="I1382" s="175">
        <f>SUM(H1278:H1438)</f>
        <v>153613.34</v>
      </c>
    </row>
    <row r="1383" spans="2:9" x14ac:dyDescent="0.2">
      <c r="B1383" s="262" t="s">
        <v>1884</v>
      </c>
      <c r="C1383" s="263">
        <v>42726</v>
      </c>
      <c r="D1383" s="264" t="s">
        <v>3318</v>
      </c>
      <c r="E1383" s="264" t="s">
        <v>3319</v>
      </c>
      <c r="F1383" s="265">
        <v>49</v>
      </c>
      <c r="G1383" s="265"/>
      <c r="H1383" s="265">
        <f t="shared" si="23"/>
        <v>49</v>
      </c>
      <c r="I1383" s="175"/>
    </row>
    <row r="1384" spans="2:9" x14ac:dyDescent="0.2">
      <c r="B1384" s="262" t="s">
        <v>1884</v>
      </c>
      <c r="C1384" s="263">
        <v>42726</v>
      </c>
      <c r="D1384" s="264" t="s">
        <v>3320</v>
      </c>
      <c r="E1384" s="264" t="s">
        <v>3321</v>
      </c>
      <c r="F1384" s="265">
        <v>631.04</v>
      </c>
      <c r="G1384" s="265">
        <v>100.96</v>
      </c>
      <c r="H1384" s="265">
        <f t="shared" si="23"/>
        <v>732</v>
      </c>
      <c r="I1384" s="175"/>
    </row>
    <row r="1385" spans="2:9" x14ac:dyDescent="0.2">
      <c r="B1385" s="262" t="s">
        <v>1884</v>
      </c>
      <c r="C1385" s="263">
        <v>42726</v>
      </c>
      <c r="D1385" s="264" t="s">
        <v>3320</v>
      </c>
      <c r="E1385" s="264" t="s">
        <v>3321</v>
      </c>
      <c r="F1385" s="265">
        <v>700.86</v>
      </c>
      <c r="G1385" s="265">
        <v>112.14</v>
      </c>
      <c r="H1385" s="265">
        <f t="shared" si="23"/>
        <v>813</v>
      </c>
      <c r="I1385" s="175"/>
    </row>
    <row r="1386" spans="2:9" x14ac:dyDescent="0.2">
      <c r="B1386" s="262" t="s">
        <v>1884</v>
      </c>
      <c r="C1386" s="263">
        <v>42726</v>
      </c>
      <c r="D1386" s="264" t="s">
        <v>3320</v>
      </c>
      <c r="E1386" s="264" t="s">
        <v>3321</v>
      </c>
      <c r="F1386" s="265">
        <v>240.52</v>
      </c>
      <c r="G1386" s="265">
        <v>38.479999999999997</v>
      </c>
      <c r="H1386" s="265">
        <f t="shared" si="23"/>
        <v>279</v>
      </c>
    </row>
    <row r="1387" spans="2:9" x14ac:dyDescent="0.2">
      <c r="B1387" s="262" t="s">
        <v>1884</v>
      </c>
      <c r="C1387" s="263">
        <v>42726</v>
      </c>
      <c r="D1387" s="264" t="s">
        <v>3320</v>
      </c>
      <c r="E1387" s="264" t="s">
        <v>3322</v>
      </c>
      <c r="F1387" s="265">
        <v>168</v>
      </c>
      <c r="G1387" s="265"/>
      <c r="H1387" s="265">
        <f t="shared" si="23"/>
        <v>168</v>
      </c>
    </row>
    <row r="1388" spans="2:9" x14ac:dyDescent="0.2">
      <c r="B1388" s="262" t="s">
        <v>1884</v>
      </c>
      <c r="C1388" s="263">
        <v>42726</v>
      </c>
      <c r="D1388" s="264" t="s">
        <v>1925</v>
      </c>
      <c r="E1388" s="264" t="s">
        <v>2979</v>
      </c>
      <c r="F1388" s="265">
        <v>5</v>
      </c>
      <c r="G1388" s="265"/>
      <c r="H1388" s="265">
        <f t="shared" si="23"/>
        <v>5</v>
      </c>
    </row>
    <row r="1389" spans="2:9" x14ac:dyDescent="0.2">
      <c r="B1389" s="262" t="s">
        <v>1884</v>
      </c>
      <c r="C1389" s="263">
        <v>42727</v>
      </c>
      <c r="D1389" s="264" t="s">
        <v>1889</v>
      </c>
      <c r="E1389" s="264" t="s">
        <v>3323</v>
      </c>
      <c r="F1389" s="265">
        <v>200</v>
      </c>
      <c r="G1389" s="265"/>
      <c r="H1389" s="265">
        <f t="shared" si="23"/>
        <v>200</v>
      </c>
    </row>
    <row r="1390" spans="2:9" x14ac:dyDescent="0.2">
      <c r="B1390" s="262" t="s">
        <v>1884</v>
      </c>
      <c r="C1390" s="263">
        <v>42727</v>
      </c>
      <c r="D1390" s="264" t="s">
        <v>3324</v>
      </c>
      <c r="E1390" s="264" t="s">
        <v>3325</v>
      </c>
      <c r="F1390" s="265">
        <v>200</v>
      </c>
      <c r="G1390" s="265"/>
      <c r="H1390" s="265">
        <f t="shared" si="23"/>
        <v>200</v>
      </c>
    </row>
    <row r="1391" spans="2:9" x14ac:dyDescent="0.2">
      <c r="B1391" s="262" t="s">
        <v>1805</v>
      </c>
      <c r="C1391" s="263">
        <v>42727</v>
      </c>
      <c r="D1391" s="264" t="s">
        <v>1910</v>
      </c>
      <c r="E1391" s="264" t="s">
        <v>3326</v>
      </c>
      <c r="F1391" s="265">
        <v>1000</v>
      </c>
      <c r="G1391" s="265"/>
      <c r="H1391" s="265">
        <f t="shared" si="23"/>
        <v>1000</v>
      </c>
    </row>
    <row r="1392" spans="2:9" x14ac:dyDescent="0.2">
      <c r="B1392" s="345" t="s">
        <v>1857</v>
      </c>
      <c r="C1392" s="263">
        <v>42727</v>
      </c>
      <c r="D1392" s="264" t="s">
        <v>1872</v>
      </c>
      <c r="E1392" s="264" t="s">
        <v>3327</v>
      </c>
      <c r="F1392" s="265">
        <v>350</v>
      </c>
      <c r="G1392" s="265"/>
      <c r="H1392" s="265">
        <f t="shared" si="23"/>
        <v>350</v>
      </c>
    </row>
    <row r="1393" spans="2:9" x14ac:dyDescent="0.2">
      <c r="B1393" s="262" t="s">
        <v>1884</v>
      </c>
      <c r="C1393" s="263">
        <v>42727</v>
      </c>
      <c r="D1393" s="264" t="s">
        <v>1910</v>
      </c>
      <c r="E1393" s="264" t="s">
        <v>3328</v>
      </c>
      <c r="F1393" s="265">
        <v>600</v>
      </c>
      <c r="G1393" s="265"/>
      <c r="H1393" s="265">
        <f t="shared" si="23"/>
        <v>600</v>
      </c>
    </row>
    <row r="1394" spans="2:9" x14ac:dyDescent="0.2">
      <c r="B1394" s="262" t="s">
        <v>1884</v>
      </c>
      <c r="C1394" s="263">
        <v>42727</v>
      </c>
      <c r="D1394" s="264" t="s">
        <v>1910</v>
      </c>
      <c r="E1394" s="264" t="s">
        <v>3328</v>
      </c>
      <c r="F1394" s="265">
        <v>600</v>
      </c>
      <c r="G1394" s="265"/>
      <c r="H1394" s="265">
        <f t="shared" si="23"/>
        <v>600</v>
      </c>
      <c r="I1394" s="175">
        <f>SUM(G1394)</f>
        <v>0</v>
      </c>
    </row>
    <row r="1395" spans="2:9" x14ac:dyDescent="0.2">
      <c r="B1395" s="262" t="s">
        <v>1884</v>
      </c>
      <c r="C1395" s="263">
        <v>42728</v>
      </c>
      <c r="D1395" s="264" t="s">
        <v>2535</v>
      </c>
      <c r="E1395" s="264" t="s">
        <v>3329</v>
      </c>
      <c r="F1395" s="265">
        <v>245.2</v>
      </c>
      <c r="G1395" s="265"/>
      <c r="H1395" s="265">
        <f t="shared" si="23"/>
        <v>245.2</v>
      </c>
    </row>
    <row r="1396" spans="2:9" x14ac:dyDescent="0.2">
      <c r="B1396" s="262" t="s">
        <v>1879</v>
      </c>
      <c r="C1396" s="263">
        <v>42728</v>
      </c>
      <c r="D1396" s="264" t="s">
        <v>3330</v>
      </c>
      <c r="E1396" s="264" t="s">
        <v>3331</v>
      </c>
      <c r="F1396" s="265">
        <v>1500</v>
      </c>
      <c r="G1396" s="265"/>
      <c r="H1396" s="265">
        <f t="shared" si="23"/>
        <v>1500</v>
      </c>
    </row>
    <row r="1397" spans="2:9" x14ac:dyDescent="0.2">
      <c r="B1397" s="262" t="s">
        <v>1863</v>
      </c>
      <c r="C1397" s="263">
        <v>42728</v>
      </c>
      <c r="D1397" s="264" t="s">
        <v>1878</v>
      </c>
      <c r="E1397" s="264" t="s">
        <v>3332</v>
      </c>
      <c r="F1397" s="265">
        <v>500</v>
      </c>
      <c r="G1397" s="265"/>
      <c r="H1397" s="265">
        <f t="shared" si="23"/>
        <v>500</v>
      </c>
    </row>
    <row r="1398" spans="2:9" x14ac:dyDescent="0.2">
      <c r="B1398" s="262" t="s">
        <v>1884</v>
      </c>
      <c r="C1398" s="263">
        <v>42728</v>
      </c>
      <c r="D1398" s="264" t="s">
        <v>1915</v>
      </c>
      <c r="E1398" s="264" t="s">
        <v>3333</v>
      </c>
      <c r="F1398" s="265">
        <v>200</v>
      </c>
      <c r="G1398" s="265"/>
      <c r="H1398" s="265">
        <f t="shared" si="23"/>
        <v>200</v>
      </c>
    </row>
    <row r="1399" spans="2:9" x14ac:dyDescent="0.2">
      <c r="B1399" s="262" t="s">
        <v>1861</v>
      </c>
      <c r="C1399" s="263">
        <v>42728</v>
      </c>
      <c r="D1399" s="264" t="s">
        <v>3334</v>
      </c>
      <c r="E1399" s="264" t="s">
        <v>3335</v>
      </c>
      <c r="F1399" s="265">
        <v>1360</v>
      </c>
      <c r="G1399" s="265"/>
      <c r="H1399" s="265">
        <f t="shared" si="23"/>
        <v>1360</v>
      </c>
    </row>
    <row r="1400" spans="2:9" x14ac:dyDescent="0.2">
      <c r="B1400" s="262" t="s">
        <v>1860</v>
      </c>
      <c r="C1400" s="263">
        <v>42728</v>
      </c>
      <c r="D1400" s="264" t="s">
        <v>1891</v>
      </c>
      <c r="E1400" s="264" t="s">
        <v>3336</v>
      </c>
      <c r="F1400" s="265">
        <v>23</v>
      </c>
      <c r="G1400" s="265"/>
      <c r="H1400" s="265">
        <f t="shared" si="23"/>
        <v>23</v>
      </c>
    </row>
    <row r="1401" spans="2:9" x14ac:dyDescent="0.2">
      <c r="B1401" s="262" t="s">
        <v>1863</v>
      </c>
      <c r="C1401" s="263">
        <v>42729</v>
      </c>
      <c r="D1401" s="264" t="s">
        <v>2250</v>
      </c>
      <c r="E1401" s="264" t="s">
        <v>3337</v>
      </c>
      <c r="F1401" s="265">
        <v>280</v>
      </c>
      <c r="G1401" s="265"/>
      <c r="H1401" s="265">
        <f t="shared" si="23"/>
        <v>280</v>
      </c>
    </row>
    <row r="1402" spans="2:9" x14ac:dyDescent="0.2">
      <c r="B1402" s="262" t="s">
        <v>1884</v>
      </c>
      <c r="C1402" s="263">
        <v>42729</v>
      </c>
      <c r="D1402" s="264" t="s">
        <v>1915</v>
      </c>
      <c r="E1402" s="264" t="s">
        <v>3338</v>
      </c>
      <c r="F1402" s="265">
        <v>500</v>
      </c>
      <c r="G1402" s="265"/>
      <c r="H1402" s="265">
        <f t="shared" si="23"/>
        <v>500</v>
      </c>
    </row>
    <row r="1403" spans="2:9" x14ac:dyDescent="0.2">
      <c r="B1403" s="262" t="s">
        <v>1884</v>
      </c>
      <c r="C1403" s="263">
        <v>42729</v>
      </c>
      <c r="D1403" s="264" t="s">
        <v>1915</v>
      </c>
      <c r="E1403" s="264" t="s">
        <v>3339</v>
      </c>
      <c r="F1403" s="265">
        <v>100</v>
      </c>
      <c r="G1403" s="265"/>
      <c r="H1403" s="265">
        <f t="shared" si="23"/>
        <v>100</v>
      </c>
    </row>
    <row r="1404" spans="2:9" x14ac:dyDescent="0.2">
      <c r="B1404" s="262" t="s">
        <v>1864</v>
      </c>
      <c r="C1404" s="263">
        <v>42729</v>
      </c>
      <c r="D1404" s="264" t="s">
        <v>2535</v>
      </c>
      <c r="E1404" s="264" t="s">
        <v>3340</v>
      </c>
      <c r="F1404" s="265">
        <v>102.5</v>
      </c>
      <c r="G1404" s="265"/>
      <c r="H1404" s="265">
        <f t="shared" si="23"/>
        <v>102.5</v>
      </c>
    </row>
    <row r="1405" spans="2:9" x14ac:dyDescent="0.2">
      <c r="B1405" s="262" t="s">
        <v>1866</v>
      </c>
      <c r="C1405" s="263">
        <v>42730</v>
      </c>
      <c r="D1405" s="264" t="s">
        <v>1890</v>
      </c>
      <c r="E1405" s="264" t="s">
        <v>2849</v>
      </c>
      <c r="F1405" s="265">
        <v>310</v>
      </c>
      <c r="G1405" s="265"/>
      <c r="H1405" s="265">
        <f t="shared" si="23"/>
        <v>310</v>
      </c>
    </row>
    <row r="1406" spans="2:9" x14ac:dyDescent="0.2">
      <c r="B1406" s="341" t="s">
        <v>1821</v>
      </c>
      <c r="C1406" s="263">
        <v>42731</v>
      </c>
      <c r="D1406" s="264" t="s">
        <v>1892</v>
      </c>
      <c r="E1406" s="264" t="s">
        <v>3341</v>
      </c>
      <c r="F1406" s="265">
        <v>3900</v>
      </c>
      <c r="G1406" s="265"/>
      <c r="H1406" s="265">
        <f t="shared" si="23"/>
        <v>3900</v>
      </c>
    </row>
    <row r="1407" spans="2:9" x14ac:dyDescent="0.2">
      <c r="B1407" s="262" t="s">
        <v>1879</v>
      </c>
      <c r="C1407" s="263">
        <v>42731</v>
      </c>
      <c r="D1407" s="264" t="s">
        <v>1892</v>
      </c>
      <c r="E1407" s="264" t="s">
        <v>3342</v>
      </c>
      <c r="F1407" s="265">
        <v>350</v>
      </c>
      <c r="G1407" s="265"/>
      <c r="H1407" s="265">
        <f t="shared" si="23"/>
        <v>350</v>
      </c>
    </row>
    <row r="1408" spans="2:9" x14ac:dyDescent="0.2">
      <c r="B1408" s="262" t="s">
        <v>1863</v>
      </c>
      <c r="C1408" s="263">
        <v>42731</v>
      </c>
      <c r="D1408" s="264" t="s">
        <v>3344</v>
      </c>
      <c r="E1408" s="264" t="s">
        <v>3345</v>
      </c>
      <c r="F1408" s="265">
        <v>350</v>
      </c>
      <c r="G1408" s="265"/>
      <c r="H1408" s="265">
        <f t="shared" si="23"/>
        <v>350</v>
      </c>
    </row>
    <row r="1409" spans="2:8" x14ac:dyDescent="0.2">
      <c r="B1409" s="262" t="s">
        <v>1858</v>
      </c>
      <c r="C1409" s="263">
        <v>42732</v>
      </c>
      <c r="D1409" s="264" t="s">
        <v>2821</v>
      </c>
      <c r="E1409" s="264" t="s">
        <v>3346</v>
      </c>
      <c r="F1409" s="265">
        <v>150</v>
      </c>
      <c r="G1409" s="265"/>
      <c r="H1409" s="265">
        <f t="shared" si="23"/>
        <v>150</v>
      </c>
    </row>
    <row r="1410" spans="2:8" x14ac:dyDescent="0.2">
      <c r="B1410" s="262" t="s">
        <v>1884</v>
      </c>
      <c r="C1410" s="263">
        <v>42732</v>
      </c>
      <c r="D1410" s="264" t="s">
        <v>1873</v>
      </c>
      <c r="E1410" s="264" t="s">
        <v>3275</v>
      </c>
      <c r="F1410" s="265">
        <v>150</v>
      </c>
      <c r="G1410" s="265"/>
      <c r="H1410" s="265">
        <f t="shared" si="23"/>
        <v>150</v>
      </c>
    </row>
    <row r="1411" spans="2:8" x14ac:dyDescent="0.2">
      <c r="B1411" s="262" t="s">
        <v>1875</v>
      </c>
      <c r="C1411" s="263">
        <v>42733</v>
      </c>
      <c r="D1411" s="264" t="s">
        <v>3352</v>
      </c>
      <c r="E1411" s="264" t="s">
        <v>1942</v>
      </c>
      <c r="F1411" s="265">
        <v>310.57</v>
      </c>
      <c r="G1411" s="265">
        <v>49.69</v>
      </c>
      <c r="H1411" s="265">
        <f t="shared" si="23"/>
        <v>360.26</v>
      </c>
    </row>
    <row r="1412" spans="2:8" x14ac:dyDescent="0.2">
      <c r="B1412" s="262" t="s">
        <v>1861</v>
      </c>
      <c r="C1412" s="263">
        <v>42733</v>
      </c>
      <c r="D1412" s="264" t="s">
        <v>3353</v>
      </c>
      <c r="E1412" s="264" t="s">
        <v>3354</v>
      </c>
      <c r="F1412" s="265">
        <v>390</v>
      </c>
      <c r="G1412" s="265"/>
      <c r="H1412" s="265">
        <f t="shared" si="23"/>
        <v>390</v>
      </c>
    </row>
    <row r="1413" spans="2:8" x14ac:dyDescent="0.2">
      <c r="B1413" s="262" t="s">
        <v>1863</v>
      </c>
      <c r="C1413" s="263">
        <v>42733</v>
      </c>
      <c r="D1413" s="264" t="s">
        <v>2535</v>
      </c>
      <c r="E1413" s="264" t="s">
        <v>3355</v>
      </c>
      <c r="F1413" s="265">
        <v>143</v>
      </c>
      <c r="G1413" s="265"/>
      <c r="H1413" s="265">
        <f t="shared" si="23"/>
        <v>143</v>
      </c>
    </row>
    <row r="1414" spans="2:8" x14ac:dyDescent="0.2">
      <c r="B1414" s="262" t="s">
        <v>1861</v>
      </c>
      <c r="C1414" s="263">
        <v>42733</v>
      </c>
      <c r="D1414" s="264" t="s">
        <v>2535</v>
      </c>
      <c r="E1414" s="264" t="s">
        <v>3356</v>
      </c>
      <c r="F1414" s="265">
        <v>86</v>
      </c>
      <c r="G1414" s="265"/>
      <c r="H1414" s="265">
        <f t="shared" si="23"/>
        <v>86</v>
      </c>
    </row>
    <row r="1415" spans="2:8" x14ac:dyDescent="0.2">
      <c r="B1415" s="262" t="s">
        <v>1861</v>
      </c>
      <c r="C1415" s="263">
        <v>42733</v>
      </c>
      <c r="D1415" s="264" t="s">
        <v>2535</v>
      </c>
      <c r="E1415" s="264" t="s">
        <v>3356</v>
      </c>
      <c r="F1415" s="265">
        <v>197</v>
      </c>
      <c r="G1415" s="265"/>
      <c r="H1415" s="265">
        <f t="shared" si="23"/>
        <v>197</v>
      </c>
    </row>
    <row r="1416" spans="2:8" x14ac:dyDescent="0.2">
      <c r="B1416" s="262" t="s">
        <v>1861</v>
      </c>
      <c r="C1416" s="263">
        <v>42733</v>
      </c>
      <c r="D1416" s="264" t="s">
        <v>3125</v>
      </c>
      <c r="E1416" s="264" t="s">
        <v>3357</v>
      </c>
      <c r="F1416" s="265">
        <v>25.5</v>
      </c>
      <c r="G1416" s="265"/>
      <c r="H1416" s="265">
        <f t="shared" si="23"/>
        <v>25.5</v>
      </c>
    </row>
    <row r="1417" spans="2:8" x14ac:dyDescent="0.2">
      <c r="B1417" s="262" t="s">
        <v>1861</v>
      </c>
      <c r="C1417" s="263">
        <v>42733</v>
      </c>
      <c r="D1417" s="264" t="s">
        <v>2818</v>
      </c>
      <c r="E1417" s="264" t="s">
        <v>3253</v>
      </c>
      <c r="F1417" s="265">
        <v>174.5</v>
      </c>
      <c r="G1417" s="265"/>
      <c r="H1417" s="265">
        <f t="shared" ref="H1417:H1422" si="24">SUM(F1417:G1417)</f>
        <v>174.5</v>
      </c>
    </row>
    <row r="1418" spans="2:8" x14ac:dyDescent="0.2">
      <c r="B1418" s="262" t="s">
        <v>1869</v>
      </c>
      <c r="C1418" s="263">
        <v>42734</v>
      </c>
      <c r="D1418" s="264" t="s">
        <v>2992</v>
      </c>
      <c r="E1418" s="264" t="s">
        <v>3358</v>
      </c>
      <c r="F1418" s="265">
        <v>400</v>
      </c>
      <c r="G1418" s="265"/>
      <c r="H1418" s="265">
        <f t="shared" si="24"/>
        <v>400</v>
      </c>
    </row>
    <row r="1419" spans="2:8" x14ac:dyDescent="0.2">
      <c r="B1419" s="262" t="s">
        <v>1805</v>
      </c>
      <c r="C1419" s="263">
        <v>42734</v>
      </c>
      <c r="D1419" s="264" t="s">
        <v>1910</v>
      </c>
      <c r="E1419" s="264" t="s">
        <v>3359</v>
      </c>
      <c r="F1419" s="265">
        <v>1000</v>
      </c>
      <c r="G1419" s="265"/>
      <c r="H1419" s="265">
        <f t="shared" si="24"/>
        <v>1000</v>
      </c>
    </row>
    <row r="1420" spans="2:8" x14ac:dyDescent="0.2">
      <c r="B1420" s="262" t="s">
        <v>1861</v>
      </c>
      <c r="C1420" s="263">
        <v>42735</v>
      </c>
      <c r="D1420" s="264" t="s">
        <v>3334</v>
      </c>
      <c r="E1420" s="264" t="s">
        <v>3360</v>
      </c>
      <c r="F1420" s="265">
        <v>1413</v>
      </c>
      <c r="G1420" s="265"/>
      <c r="H1420" s="265">
        <f t="shared" si="24"/>
        <v>1413</v>
      </c>
    </row>
    <row r="1421" spans="2:8" x14ac:dyDescent="0.2">
      <c r="B1421" s="262" t="s">
        <v>1884</v>
      </c>
      <c r="C1421" s="263">
        <v>42735</v>
      </c>
      <c r="D1421" s="264" t="s">
        <v>1915</v>
      </c>
      <c r="E1421" s="264" t="s">
        <v>3361</v>
      </c>
      <c r="F1421" s="265">
        <v>500</v>
      </c>
      <c r="G1421" s="265"/>
      <c r="H1421" s="265">
        <f t="shared" si="24"/>
        <v>500</v>
      </c>
    </row>
    <row r="1422" spans="2:8" x14ac:dyDescent="0.2">
      <c r="B1422" s="262" t="s">
        <v>1884</v>
      </c>
      <c r="C1422" s="263">
        <v>42735</v>
      </c>
      <c r="D1422" s="264" t="s">
        <v>1915</v>
      </c>
      <c r="E1422" s="264" t="s">
        <v>3362</v>
      </c>
      <c r="F1422" s="265">
        <v>200</v>
      </c>
      <c r="G1422" s="265"/>
      <c r="H1422" s="265">
        <f t="shared" si="24"/>
        <v>200</v>
      </c>
    </row>
    <row r="1423" spans="2:8" x14ac:dyDescent="0.2">
      <c r="B1423" s="262" t="s">
        <v>1863</v>
      </c>
      <c r="C1423" s="263">
        <v>42735</v>
      </c>
      <c r="D1423" s="264" t="s">
        <v>1878</v>
      </c>
      <c r="E1423" s="264" t="s">
        <v>3343</v>
      </c>
      <c r="F1423" s="265">
        <v>500</v>
      </c>
      <c r="G1423" s="265"/>
      <c r="H1423" s="265">
        <f>SUM(F1423:G1423)</f>
        <v>500</v>
      </c>
    </row>
    <row r="1424" spans="2:8" x14ac:dyDescent="0.2">
      <c r="B1424" s="262" t="s">
        <v>1884</v>
      </c>
      <c r="C1424" s="263">
        <v>42735</v>
      </c>
      <c r="D1424" s="264" t="s">
        <v>1873</v>
      </c>
      <c r="E1424" s="264" t="s">
        <v>3347</v>
      </c>
      <c r="F1424" s="265">
        <v>450</v>
      </c>
      <c r="G1424" s="265"/>
      <c r="H1424" s="265">
        <f t="shared" si="23"/>
        <v>450</v>
      </c>
    </row>
    <row r="1425" spans="2:9" x14ac:dyDescent="0.2">
      <c r="B1425" s="262" t="s">
        <v>1884</v>
      </c>
      <c r="C1425" s="263">
        <v>42735</v>
      </c>
      <c r="D1425" s="264" t="s">
        <v>2250</v>
      </c>
      <c r="E1425" s="264" t="s">
        <v>3350</v>
      </c>
      <c r="F1425" s="265">
        <v>300</v>
      </c>
      <c r="G1425" s="265"/>
      <c r="H1425" s="265">
        <f t="shared" si="23"/>
        <v>300</v>
      </c>
    </row>
    <row r="1426" spans="2:9" x14ac:dyDescent="0.2">
      <c r="B1426" s="262" t="s">
        <v>1577</v>
      </c>
      <c r="C1426" s="263">
        <v>42735</v>
      </c>
      <c r="D1426" s="264" t="s">
        <v>1899</v>
      </c>
      <c r="E1426" s="264" t="s">
        <v>3348</v>
      </c>
      <c r="F1426" s="265">
        <v>29000</v>
      </c>
      <c r="G1426" s="265"/>
      <c r="H1426" s="265">
        <f t="shared" si="23"/>
        <v>29000</v>
      </c>
      <c r="I1426" s="175">
        <f>SUM(H1278:H1427)</f>
        <v>155019.03999999998</v>
      </c>
    </row>
    <row r="1427" spans="2:9" x14ac:dyDescent="0.2">
      <c r="B1427" s="262" t="s">
        <v>1859</v>
      </c>
      <c r="C1427" s="263">
        <v>42735</v>
      </c>
      <c r="D1427" s="264" t="s">
        <v>1911</v>
      </c>
      <c r="E1427" s="264" t="s">
        <v>3349</v>
      </c>
      <c r="F1427" s="265">
        <v>4000</v>
      </c>
      <c r="G1427" s="265"/>
      <c r="H1427" s="265">
        <f t="shared" si="23"/>
        <v>4000</v>
      </c>
    </row>
    <row r="1428" spans="2:9" x14ac:dyDescent="0.2">
      <c r="B1428" s="262" t="s">
        <v>1887</v>
      </c>
      <c r="C1428" s="263">
        <v>42706</v>
      </c>
      <c r="D1428" s="264" t="s">
        <v>3366</v>
      </c>
      <c r="E1428" s="264" t="s">
        <v>1536</v>
      </c>
      <c r="F1428" s="265">
        <v>-0.15</v>
      </c>
      <c r="G1428" s="265"/>
      <c r="H1428" s="265">
        <f t="shared" si="23"/>
        <v>-0.15</v>
      </c>
    </row>
    <row r="1429" spans="2:9" x14ac:dyDescent="0.2">
      <c r="B1429" s="262" t="s">
        <v>1887</v>
      </c>
      <c r="C1429" s="263">
        <v>42711</v>
      </c>
      <c r="D1429" s="264" t="s">
        <v>1534</v>
      </c>
      <c r="E1429" s="264" t="s">
        <v>1536</v>
      </c>
      <c r="F1429" s="265">
        <v>-0.46</v>
      </c>
      <c r="G1429" s="265"/>
      <c r="H1429" s="265">
        <f t="shared" si="23"/>
        <v>-0.46</v>
      </c>
    </row>
    <row r="1430" spans="2:9" x14ac:dyDescent="0.2">
      <c r="B1430" s="262" t="s">
        <v>1887</v>
      </c>
      <c r="C1430" s="263">
        <v>42711</v>
      </c>
      <c r="D1430" s="264" t="s">
        <v>3367</v>
      </c>
      <c r="E1430" s="264" t="s">
        <v>1536</v>
      </c>
      <c r="F1430" s="265">
        <v>-0.28999999999999998</v>
      </c>
      <c r="G1430" s="265"/>
      <c r="H1430" s="265">
        <f t="shared" si="23"/>
        <v>-0.28999999999999998</v>
      </c>
    </row>
    <row r="1431" spans="2:9" x14ac:dyDescent="0.2">
      <c r="B1431" s="262" t="s">
        <v>1790</v>
      </c>
      <c r="C1431" s="263">
        <v>42711</v>
      </c>
      <c r="D1431" s="361" t="s">
        <v>1909</v>
      </c>
      <c r="E1431" s="361" t="s">
        <v>3168</v>
      </c>
      <c r="F1431" s="362"/>
      <c r="G1431" s="362">
        <v>-1760</v>
      </c>
      <c r="H1431" s="362">
        <f t="shared" si="23"/>
        <v>-1760</v>
      </c>
    </row>
    <row r="1432" spans="2:9" x14ac:dyDescent="0.2">
      <c r="B1432" s="262" t="s">
        <v>1887</v>
      </c>
      <c r="C1432" s="263">
        <v>42734</v>
      </c>
      <c r="D1432" s="361" t="s">
        <v>1597</v>
      </c>
      <c r="E1432" s="361" t="s">
        <v>2229</v>
      </c>
      <c r="F1432" s="362">
        <v>70</v>
      </c>
      <c r="G1432" s="362"/>
      <c r="H1432" s="362">
        <f t="shared" si="23"/>
        <v>70</v>
      </c>
    </row>
    <row r="1433" spans="2:9" x14ac:dyDescent="0.2">
      <c r="B1433" s="262" t="s">
        <v>1790</v>
      </c>
      <c r="C1433" s="263">
        <v>42734</v>
      </c>
      <c r="D1433" s="361" t="s">
        <v>1597</v>
      </c>
      <c r="E1433" s="361" t="s">
        <v>2230</v>
      </c>
      <c r="F1433" s="362"/>
      <c r="G1433" s="362">
        <v>11.2</v>
      </c>
      <c r="H1433" s="362">
        <f t="shared" si="23"/>
        <v>11.2</v>
      </c>
      <c r="I1433" s="175">
        <f>SUM(H1278:H1434)</f>
        <v>153339.34</v>
      </c>
    </row>
    <row r="1434" spans="2:9" x14ac:dyDescent="0.2">
      <c r="B1434" s="262"/>
      <c r="C1434" s="263"/>
      <c r="D1434" s="361"/>
      <c r="E1434" s="361"/>
      <c r="F1434" s="362"/>
      <c r="G1434" s="362"/>
      <c r="H1434" s="362">
        <f t="shared" si="23"/>
        <v>0</v>
      </c>
    </row>
    <row r="1435" spans="2:9" x14ac:dyDescent="0.2">
      <c r="B1435" s="255" t="s">
        <v>1850</v>
      </c>
      <c r="C1435" s="255" t="s">
        <v>1851</v>
      </c>
      <c r="D1435" s="256" t="s">
        <v>1852</v>
      </c>
      <c r="E1435" s="256" t="s">
        <v>1853</v>
      </c>
      <c r="F1435" s="257" t="s">
        <v>1854</v>
      </c>
      <c r="G1435" s="257" t="s">
        <v>1855</v>
      </c>
      <c r="H1435" s="257" t="s">
        <v>1856</v>
      </c>
    </row>
    <row r="1436" spans="2:9" x14ac:dyDescent="0.2">
      <c r="B1436" s="262" t="s">
        <v>1864</v>
      </c>
      <c r="C1436" s="263">
        <v>42736</v>
      </c>
      <c r="D1436" s="264" t="s">
        <v>2535</v>
      </c>
      <c r="E1436" s="264" t="s">
        <v>3379</v>
      </c>
      <c r="F1436" s="265">
        <v>74</v>
      </c>
      <c r="G1436" s="265"/>
      <c r="H1436" s="265">
        <f t="shared" ref="H1436:H1488" si="25">SUM(F1436:G1436)</f>
        <v>74</v>
      </c>
    </row>
    <row r="1437" spans="2:9" x14ac:dyDescent="0.2">
      <c r="B1437" s="262" t="s">
        <v>1884</v>
      </c>
      <c r="C1437" s="263">
        <v>42736</v>
      </c>
      <c r="D1437" s="264" t="s">
        <v>2250</v>
      </c>
      <c r="E1437" s="264" t="s">
        <v>3380</v>
      </c>
      <c r="F1437" s="265">
        <v>120</v>
      </c>
      <c r="G1437" s="265"/>
      <c r="H1437" s="265">
        <f t="shared" si="25"/>
        <v>120</v>
      </c>
    </row>
    <row r="1438" spans="2:9" x14ac:dyDescent="0.2">
      <c r="B1438" s="262" t="s">
        <v>1863</v>
      </c>
      <c r="C1438" s="263">
        <v>42736</v>
      </c>
      <c r="D1438" s="264" t="s">
        <v>2250</v>
      </c>
      <c r="E1438" s="264" t="s">
        <v>3381</v>
      </c>
      <c r="F1438" s="265">
        <v>80</v>
      </c>
      <c r="G1438" s="265"/>
      <c r="H1438" s="265">
        <f t="shared" si="25"/>
        <v>80</v>
      </c>
    </row>
    <row r="1439" spans="2:9" x14ac:dyDescent="0.2">
      <c r="B1439" s="262" t="s">
        <v>1866</v>
      </c>
      <c r="C1439" s="263">
        <v>42738</v>
      </c>
      <c r="D1439" s="264" t="s">
        <v>1890</v>
      </c>
      <c r="E1439" s="264" t="s">
        <v>2849</v>
      </c>
      <c r="F1439" s="265">
        <v>310</v>
      </c>
      <c r="G1439" s="265"/>
      <c r="H1439" s="265">
        <f t="shared" si="25"/>
        <v>310</v>
      </c>
    </row>
    <row r="1440" spans="2:9" x14ac:dyDescent="0.2">
      <c r="B1440" s="262" t="s">
        <v>1860</v>
      </c>
      <c r="C1440" s="263">
        <v>42738</v>
      </c>
      <c r="D1440" s="264" t="s">
        <v>1891</v>
      </c>
      <c r="E1440" s="264" t="s">
        <v>3064</v>
      </c>
      <c r="F1440" s="265">
        <v>794</v>
      </c>
      <c r="G1440" s="265"/>
      <c r="H1440" s="265">
        <f t="shared" si="25"/>
        <v>794</v>
      </c>
    </row>
    <row r="1441" spans="2:8" x14ac:dyDescent="0.2">
      <c r="B1441" s="262" t="s">
        <v>1884</v>
      </c>
      <c r="C1441" s="263">
        <v>42738</v>
      </c>
      <c r="D1441" s="264" t="s">
        <v>3311</v>
      </c>
      <c r="E1441" s="264" t="s">
        <v>3382</v>
      </c>
      <c r="F1441" s="265">
        <v>552</v>
      </c>
      <c r="G1441" s="265"/>
      <c r="H1441" s="265">
        <f t="shared" si="25"/>
        <v>552</v>
      </c>
    </row>
    <row r="1442" spans="2:8" x14ac:dyDescent="0.2">
      <c r="B1442" s="262" t="s">
        <v>1884</v>
      </c>
      <c r="C1442" s="263">
        <v>42738</v>
      </c>
      <c r="D1442" s="264" t="s">
        <v>1925</v>
      </c>
      <c r="E1442" s="264" t="s">
        <v>3383</v>
      </c>
      <c r="F1442" s="265">
        <v>35</v>
      </c>
      <c r="G1442" s="265"/>
      <c r="H1442" s="265">
        <f t="shared" si="25"/>
        <v>35</v>
      </c>
    </row>
    <row r="1443" spans="2:8" x14ac:dyDescent="0.2">
      <c r="B1443" s="262" t="s">
        <v>1884</v>
      </c>
      <c r="C1443" s="263">
        <v>42738</v>
      </c>
      <c r="D1443" s="264" t="s">
        <v>1925</v>
      </c>
      <c r="E1443" s="264" t="s">
        <v>3410</v>
      </c>
      <c r="F1443" s="265">
        <v>5</v>
      </c>
      <c r="G1443" s="265"/>
      <c r="H1443" s="265">
        <f t="shared" si="25"/>
        <v>5</v>
      </c>
    </row>
    <row r="1444" spans="2:8" x14ac:dyDescent="0.2">
      <c r="B1444" s="262" t="s">
        <v>1821</v>
      </c>
      <c r="C1444" s="263">
        <v>42738</v>
      </c>
      <c r="D1444" s="264" t="s">
        <v>1892</v>
      </c>
      <c r="E1444" s="264" t="s">
        <v>3413</v>
      </c>
      <c r="F1444" s="265">
        <v>600</v>
      </c>
      <c r="G1444" s="265"/>
      <c r="H1444" s="265">
        <f t="shared" si="25"/>
        <v>600</v>
      </c>
    </row>
    <row r="1445" spans="2:8" x14ac:dyDescent="0.2">
      <c r="B1445" s="262" t="s">
        <v>1870</v>
      </c>
      <c r="C1445" s="263">
        <v>42739</v>
      </c>
      <c r="D1445" s="264" t="s">
        <v>1892</v>
      </c>
      <c r="E1445" s="264" t="s">
        <v>3412</v>
      </c>
      <c r="F1445" s="265">
        <v>400</v>
      </c>
      <c r="G1445" s="265"/>
      <c r="H1445" s="265">
        <f t="shared" si="25"/>
        <v>400</v>
      </c>
    </row>
    <row r="1446" spans="2:8" x14ac:dyDescent="0.2">
      <c r="B1446" s="262" t="s">
        <v>1862</v>
      </c>
      <c r="C1446" s="263">
        <v>42739</v>
      </c>
      <c r="D1446" s="264" t="s">
        <v>1892</v>
      </c>
      <c r="E1446" s="264" t="s">
        <v>3411</v>
      </c>
      <c r="F1446" s="265">
        <v>1250</v>
      </c>
      <c r="G1446" s="265"/>
      <c r="H1446" s="265">
        <f t="shared" si="25"/>
        <v>1250</v>
      </c>
    </row>
    <row r="1447" spans="2:8" x14ac:dyDescent="0.2">
      <c r="B1447" s="262" t="s">
        <v>1861</v>
      </c>
      <c r="C1447" s="263">
        <v>42740</v>
      </c>
      <c r="D1447" s="264" t="s">
        <v>1893</v>
      </c>
      <c r="E1447" s="264" t="s">
        <v>3384</v>
      </c>
      <c r="F1447" s="265">
        <v>446.9</v>
      </c>
      <c r="G1447" s="265"/>
      <c r="H1447" s="265">
        <f t="shared" si="25"/>
        <v>446.9</v>
      </c>
    </row>
    <row r="1448" spans="2:8" x14ac:dyDescent="0.2">
      <c r="B1448" s="262" t="s">
        <v>1867</v>
      </c>
      <c r="C1448" s="263">
        <v>42740</v>
      </c>
      <c r="D1448" s="264" t="s">
        <v>1894</v>
      </c>
      <c r="E1448" s="264" t="s">
        <v>3385</v>
      </c>
      <c r="F1448" s="265">
        <v>791</v>
      </c>
      <c r="G1448" s="265"/>
      <c r="H1448" s="265">
        <f t="shared" si="25"/>
        <v>791</v>
      </c>
    </row>
    <row r="1449" spans="2:8" x14ac:dyDescent="0.2">
      <c r="B1449" s="262" t="s">
        <v>1870</v>
      </c>
      <c r="C1449" s="263">
        <v>42740</v>
      </c>
      <c r="D1449" s="264" t="s">
        <v>1938</v>
      </c>
      <c r="E1449" s="264" t="s">
        <v>3386</v>
      </c>
      <c r="F1449" s="265">
        <v>40</v>
      </c>
      <c r="G1449" s="265"/>
      <c r="H1449" s="265">
        <f t="shared" si="25"/>
        <v>40</v>
      </c>
    </row>
    <row r="1450" spans="2:8" x14ac:dyDescent="0.2">
      <c r="B1450" s="262" t="s">
        <v>1862</v>
      </c>
      <c r="C1450" s="263">
        <v>42740</v>
      </c>
      <c r="D1450" s="264" t="s">
        <v>1892</v>
      </c>
      <c r="E1450" s="264" t="s">
        <v>3387</v>
      </c>
      <c r="F1450" s="265">
        <v>760</v>
      </c>
      <c r="G1450" s="265"/>
      <c r="H1450" s="265">
        <f t="shared" si="25"/>
        <v>760</v>
      </c>
    </row>
    <row r="1451" spans="2:8" x14ac:dyDescent="0.2">
      <c r="B1451" s="262" t="s">
        <v>1870</v>
      </c>
      <c r="C1451" s="263">
        <v>42740</v>
      </c>
      <c r="D1451" s="264" t="s">
        <v>1892</v>
      </c>
      <c r="E1451" s="264" t="s">
        <v>3388</v>
      </c>
      <c r="F1451" s="265">
        <v>350</v>
      </c>
      <c r="G1451" s="265"/>
      <c r="H1451" s="265">
        <f t="shared" si="25"/>
        <v>350</v>
      </c>
    </row>
    <row r="1452" spans="2:8" x14ac:dyDescent="0.2">
      <c r="B1452" s="262" t="s">
        <v>1863</v>
      </c>
      <c r="C1452" s="263">
        <v>42740</v>
      </c>
      <c r="D1452" s="264" t="s">
        <v>1872</v>
      </c>
      <c r="E1452" s="264" t="s">
        <v>3389</v>
      </c>
      <c r="F1452" s="265">
        <v>450</v>
      </c>
      <c r="G1452" s="265"/>
      <c r="H1452" s="265">
        <f t="shared" si="25"/>
        <v>450</v>
      </c>
    </row>
    <row r="1453" spans="2:8" x14ac:dyDescent="0.2">
      <c r="B1453" s="262" t="s">
        <v>1857</v>
      </c>
      <c r="C1453" s="263">
        <v>42740</v>
      </c>
      <c r="D1453" s="264" t="s">
        <v>1872</v>
      </c>
      <c r="E1453" s="264" t="s">
        <v>3390</v>
      </c>
      <c r="F1453" s="265">
        <v>850</v>
      </c>
      <c r="G1453" s="265"/>
      <c r="H1453" s="265">
        <f t="shared" si="25"/>
        <v>850</v>
      </c>
    </row>
    <row r="1454" spans="2:8" x14ac:dyDescent="0.2">
      <c r="B1454" s="262" t="s">
        <v>1870</v>
      </c>
      <c r="C1454" s="263">
        <v>42740</v>
      </c>
      <c r="D1454" s="264" t="s">
        <v>1892</v>
      </c>
      <c r="E1454" s="264" t="s">
        <v>3391</v>
      </c>
      <c r="F1454" s="265">
        <v>350</v>
      </c>
      <c r="G1454" s="265"/>
      <c r="H1454" s="265">
        <f t="shared" si="25"/>
        <v>350</v>
      </c>
    </row>
    <row r="1455" spans="2:8" x14ac:dyDescent="0.2">
      <c r="B1455" s="262" t="s">
        <v>1863</v>
      </c>
      <c r="C1455" s="263">
        <v>42741</v>
      </c>
      <c r="D1455" s="264" t="s">
        <v>1873</v>
      </c>
      <c r="E1455" s="264" t="s">
        <v>3150</v>
      </c>
      <c r="F1455" s="265">
        <v>200</v>
      </c>
      <c r="G1455" s="265"/>
      <c r="H1455" s="265">
        <f t="shared" si="25"/>
        <v>200</v>
      </c>
    </row>
    <row r="1456" spans="2:8" x14ac:dyDescent="0.2">
      <c r="B1456" s="341" t="s">
        <v>1805</v>
      </c>
      <c r="C1456" s="263">
        <v>42741</v>
      </c>
      <c r="D1456" s="264" t="s">
        <v>1910</v>
      </c>
      <c r="E1456" s="264" t="s">
        <v>3392</v>
      </c>
      <c r="F1456" s="265">
        <v>1000</v>
      </c>
      <c r="G1456" s="265"/>
      <c r="H1456" s="265">
        <f t="shared" si="25"/>
        <v>1000</v>
      </c>
    </row>
    <row r="1457" spans="2:8" x14ac:dyDescent="0.2">
      <c r="B1457" s="262" t="s">
        <v>1884</v>
      </c>
      <c r="C1457" s="263">
        <v>42741</v>
      </c>
      <c r="D1457" s="264" t="s">
        <v>3303</v>
      </c>
      <c r="E1457" s="264" t="s">
        <v>3393</v>
      </c>
      <c r="F1457" s="265">
        <v>38</v>
      </c>
      <c r="G1457" s="265"/>
      <c r="H1457" s="265">
        <f t="shared" si="25"/>
        <v>38</v>
      </c>
    </row>
    <row r="1458" spans="2:8" x14ac:dyDescent="0.2">
      <c r="B1458" s="262" t="s">
        <v>1863</v>
      </c>
      <c r="C1458" s="263">
        <v>42742</v>
      </c>
      <c r="D1458" s="264" t="s">
        <v>1878</v>
      </c>
      <c r="E1458" s="264" t="s">
        <v>3394</v>
      </c>
      <c r="F1458" s="265">
        <v>500</v>
      </c>
      <c r="G1458" s="265"/>
      <c r="H1458" s="265">
        <f t="shared" si="25"/>
        <v>500</v>
      </c>
    </row>
    <row r="1459" spans="2:8" x14ac:dyDescent="0.2">
      <c r="B1459" s="262" t="s">
        <v>1864</v>
      </c>
      <c r="C1459" s="263">
        <v>42743</v>
      </c>
      <c r="D1459" s="264" t="s">
        <v>2535</v>
      </c>
      <c r="E1459" s="264" t="s">
        <v>3395</v>
      </c>
      <c r="F1459" s="265">
        <v>44.5</v>
      </c>
      <c r="G1459" s="265"/>
      <c r="H1459" s="265">
        <f t="shared" si="25"/>
        <v>44.5</v>
      </c>
    </row>
    <row r="1460" spans="2:8" x14ac:dyDescent="0.2">
      <c r="B1460" s="262" t="s">
        <v>1864</v>
      </c>
      <c r="C1460" s="263">
        <v>42743</v>
      </c>
      <c r="D1460" s="264" t="s">
        <v>2386</v>
      </c>
      <c r="E1460" s="264" t="s">
        <v>3396</v>
      </c>
      <c r="F1460" s="265">
        <v>75</v>
      </c>
      <c r="G1460" s="265"/>
      <c r="H1460" s="265">
        <f t="shared" si="25"/>
        <v>75</v>
      </c>
    </row>
    <row r="1461" spans="2:8" x14ac:dyDescent="0.2">
      <c r="B1461" s="262" t="s">
        <v>1884</v>
      </c>
      <c r="C1461" s="263">
        <v>42743</v>
      </c>
      <c r="D1461" s="264" t="s">
        <v>3303</v>
      </c>
      <c r="E1461" s="264" t="s">
        <v>3397</v>
      </c>
      <c r="F1461" s="265">
        <v>100</v>
      </c>
      <c r="G1461" s="265"/>
      <c r="H1461" s="265">
        <f t="shared" si="25"/>
        <v>100</v>
      </c>
    </row>
    <row r="1462" spans="2:8" x14ac:dyDescent="0.2">
      <c r="B1462" s="262" t="s">
        <v>1884</v>
      </c>
      <c r="C1462" s="263">
        <v>42743</v>
      </c>
      <c r="D1462" s="264" t="s">
        <v>2250</v>
      </c>
      <c r="E1462" s="264" t="s">
        <v>2636</v>
      </c>
      <c r="F1462" s="265">
        <v>150</v>
      </c>
      <c r="G1462" s="265"/>
      <c r="H1462" s="265">
        <f t="shared" si="25"/>
        <v>150</v>
      </c>
    </row>
    <row r="1463" spans="2:8" x14ac:dyDescent="0.2">
      <c r="B1463" s="262" t="s">
        <v>1863</v>
      </c>
      <c r="C1463" s="263">
        <v>42743</v>
      </c>
      <c r="D1463" s="264" t="s">
        <v>2250</v>
      </c>
      <c r="E1463" s="264" t="s">
        <v>3381</v>
      </c>
      <c r="F1463" s="265">
        <v>120</v>
      </c>
      <c r="G1463" s="265"/>
      <c r="H1463" s="265">
        <f t="shared" si="25"/>
        <v>120</v>
      </c>
    </row>
    <row r="1464" spans="2:8" x14ac:dyDescent="0.2">
      <c r="B1464" s="262" t="s">
        <v>1866</v>
      </c>
      <c r="C1464" s="263">
        <v>42744</v>
      </c>
      <c r="D1464" s="264" t="s">
        <v>1890</v>
      </c>
      <c r="E1464" s="264" t="s">
        <v>2849</v>
      </c>
      <c r="F1464" s="265">
        <v>310</v>
      </c>
      <c r="G1464" s="265"/>
      <c r="H1464" s="265">
        <f t="shared" si="25"/>
        <v>310</v>
      </c>
    </row>
    <row r="1465" spans="2:8" x14ac:dyDescent="0.2">
      <c r="B1465" s="262" t="s">
        <v>1870</v>
      </c>
      <c r="C1465" s="263">
        <v>42744</v>
      </c>
      <c r="D1465" s="264" t="s">
        <v>1905</v>
      </c>
      <c r="E1465" s="264" t="s">
        <v>3398</v>
      </c>
      <c r="F1465" s="265">
        <v>116</v>
      </c>
      <c r="G1465" s="265"/>
      <c r="H1465" s="265">
        <f t="shared" si="25"/>
        <v>116</v>
      </c>
    </row>
    <row r="1466" spans="2:8" x14ac:dyDescent="0.2">
      <c r="B1466" s="262" t="s">
        <v>1884</v>
      </c>
      <c r="C1466" s="263">
        <v>42744</v>
      </c>
      <c r="D1466" s="264" t="s">
        <v>3399</v>
      </c>
      <c r="E1466" s="264" t="s">
        <v>3237</v>
      </c>
      <c r="F1466" s="265">
        <v>326.60000000000002</v>
      </c>
      <c r="G1466" s="265"/>
      <c r="H1466" s="265">
        <f t="shared" si="25"/>
        <v>326.60000000000002</v>
      </c>
    </row>
    <row r="1467" spans="2:8" x14ac:dyDescent="0.2">
      <c r="B1467" s="262" t="s">
        <v>1884</v>
      </c>
      <c r="C1467" s="263">
        <v>42745</v>
      </c>
      <c r="D1467" s="264" t="s">
        <v>3303</v>
      </c>
      <c r="E1467" s="264" t="s">
        <v>3400</v>
      </c>
      <c r="F1467" s="265">
        <v>200</v>
      </c>
      <c r="G1467" s="265"/>
      <c r="H1467" s="265">
        <f t="shared" si="25"/>
        <v>200</v>
      </c>
    </row>
    <row r="1468" spans="2:8" x14ac:dyDescent="0.2">
      <c r="B1468" s="262" t="s">
        <v>1884</v>
      </c>
      <c r="C1468" s="263">
        <v>42746</v>
      </c>
      <c r="D1468" s="264" t="s">
        <v>1889</v>
      </c>
      <c r="E1468" s="264" t="s">
        <v>3401</v>
      </c>
      <c r="F1468" s="265">
        <v>200</v>
      </c>
      <c r="G1468" s="265"/>
      <c r="H1468" s="265">
        <f t="shared" si="25"/>
        <v>200</v>
      </c>
    </row>
    <row r="1469" spans="2:8" x14ac:dyDescent="0.2">
      <c r="B1469" s="262" t="s">
        <v>1879</v>
      </c>
      <c r="C1469" s="263">
        <v>42746</v>
      </c>
      <c r="D1469" s="264" t="s">
        <v>1892</v>
      </c>
      <c r="E1469" s="264" t="s">
        <v>3404</v>
      </c>
      <c r="F1469" s="265">
        <v>350</v>
      </c>
      <c r="G1469" s="265"/>
      <c r="H1469" s="265">
        <f t="shared" si="25"/>
        <v>350</v>
      </c>
    </row>
    <row r="1470" spans="2:8" x14ac:dyDescent="0.2">
      <c r="B1470" s="262" t="s">
        <v>1862</v>
      </c>
      <c r="C1470" s="263">
        <v>42746</v>
      </c>
      <c r="D1470" s="264" t="s">
        <v>1892</v>
      </c>
      <c r="E1470" s="264" t="s">
        <v>3408</v>
      </c>
      <c r="F1470" s="265">
        <v>1685</v>
      </c>
      <c r="G1470" s="265"/>
      <c r="H1470" s="265">
        <f t="shared" si="25"/>
        <v>1685</v>
      </c>
    </row>
    <row r="1471" spans="2:8" x14ac:dyDescent="0.2">
      <c r="B1471" s="262" t="s">
        <v>1862</v>
      </c>
      <c r="C1471" s="263">
        <v>42746</v>
      </c>
      <c r="D1471" s="264" t="s">
        <v>1892</v>
      </c>
      <c r="E1471" s="264" t="s">
        <v>3409</v>
      </c>
      <c r="F1471" s="265">
        <v>1250</v>
      </c>
      <c r="G1471" s="265"/>
      <c r="H1471" s="265">
        <f t="shared" si="25"/>
        <v>1250</v>
      </c>
    </row>
    <row r="1472" spans="2:8" x14ac:dyDescent="0.2">
      <c r="B1472" s="262" t="s">
        <v>1884</v>
      </c>
      <c r="C1472" s="263">
        <v>42747</v>
      </c>
      <c r="D1472" s="264" t="s">
        <v>3330</v>
      </c>
      <c r="E1472" s="264" t="s">
        <v>3405</v>
      </c>
      <c r="F1472" s="265">
        <v>200</v>
      </c>
      <c r="G1472" s="265"/>
      <c r="H1472" s="265">
        <f t="shared" si="25"/>
        <v>200</v>
      </c>
    </row>
    <row r="1473" spans="2:10" x14ac:dyDescent="0.2">
      <c r="B1473" s="262" t="s">
        <v>1884</v>
      </c>
      <c r="C1473" s="263">
        <v>42747</v>
      </c>
      <c r="D1473" s="264" t="s">
        <v>3402</v>
      </c>
      <c r="E1473" s="264" t="s">
        <v>3406</v>
      </c>
      <c r="F1473" s="265">
        <v>250</v>
      </c>
      <c r="G1473" s="265"/>
      <c r="H1473" s="265">
        <f t="shared" si="25"/>
        <v>250</v>
      </c>
    </row>
    <row r="1474" spans="2:10" x14ac:dyDescent="0.2">
      <c r="B1474" s="262" t="s">
        <v>1884</v>
      </c>
      <c r="C1474" s="263">
        <v>42747</v>
      </c>
      <c r="D1474" s="264" t="s">
        <v>2419</v>
      </c>
      <c r="E1474" s="264" t="s">
        <v>3422</v>
      </c>
      <c r="F1474" s="265">
        <v>350</v>
      </c>
      <c r="G1474" s="265"/>
      <c r="H1474" s="265">
        <f t="shared" si="25"/>
        <v>350</v>
      </c>
    </row>
    <row r="1475" spans="2:10" x14ac:dyDescent="0.2">
      <c r="B1475" s="262" t="s">
        <v>1857</v>
      </c>
      <c r="C1475" s="263">
        <v>42747</v>
      </c>
      <c r="D1475" s="264" t="s">
        <v>1872</v>
      </c>
      <c r="E1475" s="264" t="s">
        <v>3423</v>
      </c>
      <c r="F1475" s="265">
        <v>540</v>
      </c>
      <c r="G1475" s="265"/>
      <c r="H1475" s="265">
        <f t="shared" si="25"/>
        <v>540</v>
      </c>
    </row>
    <row r="1476" spans="2:10" x14ac:dyDescent="0.2">
      <c r="B1476" s="262" t="s">
        <v>1860</v>
      </c>
      <c r="C1476" s="263">
        <v>42748</v>
      </c>
      <c r="D1476" s="264" t="s">
        <v>1891</v>
      </c>
      <c r="E1476" s="264" t="s">
        <v>3424</v>
      </c>
      <c r="F1476" s="265">
        <v>50.9</v>
      </c>
      <c r="G1476" s="265"/>
      <c r="H1476" s="265">
        <f t="shared" si="25"/>
        <v>50.9</v>
      </c>
      <c r="I1476" s="175">
        <f>SUM(H1436:H1488)</f>
        <v>54188.9</v>
      </c>
    </row>
    <row r="1477" spans="2:10" x14ac:dyDescent="0.2">
      <c r="B1477" s="262" t="s">
        <v>1805</v>
      </c>
      <c r="C1477" s="263">
        <v>42748</v>
      </c>
      <c r="D1477" s="264" t="s">
        <v>1910</v>
      </c>
      <c r="E1477" s="264" t="s">
        <v>3425</v>
      </c>
      <c r="F1477" s="265">
        <v>1000</v>
      </c>
      <c r="G1477" s="265"/>
      <c r="H1477" s="265">
        <f t="shared" si="25"/>
        <v>1000</v>
      </c>
    </row>
    <row r="1478" spans="2:10" x14ac:dyDescent="0.2">
      <c r="B1478" s="262" t="s">
        <v>1884</v>
      </c>
      <c r="C1478" s="263">
        <v>42748</v>
      </c>
      <c r="D1478" s="264" t="s">
        <v>3330</v>
      </c>
      <c r="E1478" s="264" t="s">
        <v>3426</v>
      </c>
      <c r="F1478" s="265">
        <v>90</v>
      </c>
      <c r="G1478" s="265"/>
      <c r="H1478" s="265">
        <f>SUM(F1478:G1478)</f>
        <v>90</v>
      </c>
    </row>
    <row r="1479" spans="2:10" x14ac:dyDescent="0.2">
      <c r="B1479" s="262" t="s">
        <v>1863</v>
      </c>
      <c r="C1479" s="263">
        <v>42748</v>
      </c>
      <c r="D1479" s="264" t="s">
        <v>1878</v>
      </c>
      <c r="E1479" s="264" t="s">
        <v>3427</v>
      </c>
      <c r="F1479" s="265">
        <v>500</v>
      </c>
      <c r="G1479" s="265"/>
      <c r="H1479" s="265">
        <f>SUM(F1479:G1479)</f>
        <v>500</v>
      </c>
    </row>
    <row r="1480" spans="2:10" x14ac:dyDescent="0.2">
      <c r="B1480" s="262" t="s">
        <v>1863</v>
      </c>
      <c r="C1480" s="263">
        <v>42748</v>
      </c>
      <c r="D1480" s="264" t="s">
        <v>1878</v>
      </c>
      <c r="E1480" s="264" t="s">
        <v>3428</v>
      </c>
      <c r="F1480" s="265">
        <v>500</v>
      </c>
      <c r="G1480" s="265"/>
      <c r="H1480" s="265">
        <f t="shared" si="25"/>
        <v>500</v>
      </c>
      <c r="J1480" s="175">
        <f>SUM(F1436:F1480)</f>
        <v>18403.900000000001</v>
      </c>
    </row>
    <row r="1481" spans="2:10" x14ac:dyDescent="0.2">
      <c r="B1481" s="262" t="s">
        <v>1884</v>
      </c>
      <c r="C1481" s="263">
        <v>42750</v>
      </c>
      <c r="D1481" s="264" t="s">
        <v>2250</v>
      </c>
      <c r="E1481" s="264" t="s">
        <v>3429</v>
      </c>
      <c r="F1481" s="265">
        <v>350</v>
      </c>
      <c r="G1481" s="265"/>
      <c r="H1481" s="265">
        <f t="shared" si="25"/>
        <v>350</v>
      </c>
    </row>
    <row r="1482" spans="2:10" x14ac:dyDescent="0.2">
      <c r="B1482" s="262" t="s">
        <v>1884</v>
      </c>
      <c r="C1482" s="263">
        <v>42750</v>
      </c>
      <c r="D1482" s="264" t="s">
        <v>1873</v>
      </c>
      <c r="E1482" s="264" t="s">
        <v>3430</v>
      </c>
      <c r="F1482" s="265">
        <v>450</v>
      </c>
      <c r="G1482" s="265"/>
      <c r="H1482" s="265">
        <f>SUM(F1482:G1482)</f>
        <v>450</v>
      </c>
    </row>
    <row r="1483" spans="2:10" x14ac:dyDescent="0.2">
      <c r="B1483" s="262" t="s">
        <v>1863</v>
      </c>
      <c r="C1483" s="263">
        <v>42750</v>
      </c>
      <c r="D1483" s="264" t="s">
        <v>2250</v>
      </c>
      <c r="E1483" s="264" t="s">
        <v>3381</v>
      </c>
      <c r="F1483" s="265">
        <v>150</v>
      </c>
      <c r="G1483" s="265"/>
      <c r="H1483" s="265">
        <f>SUM(F1483:G1483)</f>
        <v>150</v>
      </c>
    </row>
    <row r="1484" spans="2:10" x14ac:dyDescent="0.2">
      <c r="B1484" s="262" t="s">
        <v>1884</v>
      </c>
      <c r="C1484" s="263">
        <v>42750</v>
      </c>
      <c r="D1484" s="264" t="s">
        <v>2992</v>
      </c>
      <c r="E1484" s="264" t="s">
        <v>3431</v>
      </c>
      <c r="F1484" s="265">
        <v>500</v>
      </c>
      <c r="G1484" s="265"/>
      <c r="H1484" s="265">
        <f>SUM(F1484:G1484)</f>
        <v>500</v>
      </c>
    </row>
    <row r="1485" spans="2:10" x14ac:dyDescent="0.2">
      <c r="B1485" s="262" t="s">
        <v>1884</v>
      </c>
      <c r="C1485" s="263">
        <v>42750</v>
      </c>
      <c r="D1485" s="264" t="s">
        <v>2250</v>
      </c>
      <c r="E1485" s="264" t="s">
        <v>2636</v>
      </c>
      <c r="F1485" s="265">
        <v>120</v>
      </c>
      <c r="G1485" s="265"/>
      <c r="H1485" s="265">
        <f>SUM(F1485:G1485)</f>
        <v>120</v>
      </c>
    </row>
    <row r="1486" spans="2:10" x14ac:dyDescent="0.2">
      <c r="B1486" s="262" t="s">
        <v>1864</v>
      </c>
      <c r="C1486" s="263">
        <v>42750</v>
      </c>
      <c r="D1486" s="264" t="s">
        <v>2535</v>
      </c>
      <c r="E1486" s="264" t="s">
        <v>3340</v>
      </c>
      <c r="F1486" s="265">
        <v>115</v>
      </c>
      <c r="G1486" s="265"/>
      <c r="H1486" s="265">
        <f t="shared" si="25"/>
        <v>115</v>
      </c>
    </row>
    <row r="1487" spans="2:10" x14ac:dyDescent="0.2">
      <c r="B1487" s="262" t="s">
        <v>1577</v>
      </c>
      <c r="C1487" s="263">
        <v>42750</v>
      </c>
      <c r="D1487" s="264" t="s">
        <v>1899</v>
      </c>
      <c r="E1487" s="264" t="s">
        <v>3403</v>
      </c>
      <c r="F1487" s="265">
        <v>30100</v>
      </c>
      <c r="G1487" s="265"/>
      <c r="H1487" s="265">
        <f t="shared" si="25"/>
        <v>30100</v>
      </c>
    </row>
    <row r="1488" spans="2:10" x14ac:dyDescent="0.2">
      <c r="B1488" s="262" t="s">
        <v>1859</v>
      </c>
      <c r="C1488" s="263">
        <v>42750</v>
      </c>
      <c r="D1488" s="264" t="s">
        <v>1911</v>
      </c>
      <c r="E1488" s="264" t="s">
        <v>3407</v>
      </c>
      <c r="F1488" s="265">
        <v>4000</v>
      </c>
      <c r="G1488" s="265"/>
      <c r="H1488" s="265">
        <f t="shared" si="25"/>
        <v>4000</v>
      </c>
    </row>
    <row r="1489" spans="2:11" x14ac:dyDescent="0.2">
      <c r="B1489" s="262" t="s">
        <v>1884</v>
      </c>
      <c r="C1489" s="263">
        <v>42751</v>
      </c>
      <c r="D1489" s="264" t="s">
        <v>1892</v>
      </c>
      <c r="E1489" s="264" t="s">
        <v>3432</v>
      </c>
      <c r="F1489" s="265">
        <v>429</v>
      </c>
      <c r="G1489" s="265"/>
      <c r="H1489" s="265">
        <f t="shared" ref="H1489:H1520" si="26">SUM(F1489:G1489)</f>
        <v>429</v>
      </c>
    </row>
    <row r="1490" spans="2:11" x14ac:dyDescent="0.2">
      <c r="B1490" s="262" t="s">
        <v>1821</v>
      </c>
      <c r="C1490" s="263">
        <v>42751</v>
      </c>
      <c r="D1490" s="264" t="s">
        <v>1892</v>
      </c>
      <c r="E1490" s="264" t="s">
        <v>3433</v>
      </c>
      <c r="F1490" s="265">
        <v>200</v>
      </c>
      <c r="G1490" s="265"/>
      <c r="H1490" s="265">
        <f t="shared" si="26"/>
        <v>200</v>
      </c>
    </row>
    <row r="1491" spans="2:11" x14ac:dyDescent="0.2">
      <c r="B1491" s="262" t="s">
        <v>1860</v>
      </c>
      <c r="C1491" s="263">
        <v>42751</v>
      </c>
      <c r="D1491" s="264" t="s">
        <v>1891</v>
      </c>
      <c r="E1491" s="264" t="s">
        <v>3434</v>
      </c>
      <c r="F1491" s="265">
        <v>458</v>
      </c>
      <c r="G1491" s="265"/>
      <c r="H1491" s="265">
        <f t="shared" si="26"/>
        <v>458</v>
      </c>
    </row>
    <row r="1492" spans="2:11" x14ac:dyDescent="0.2">
      <c r="B1492" s="262" t="s">
        <v>1860</v>
      </c>
      <c r="C1492" s="263">
        <v>42751</v>
      </c>
      <c r="D1492" s="264" t="s">
        <v>3435</v>
      </c>
      <c r="E1492" s="264" t="s">
        <v>3436</v>
      </c>
      <c r="F1492" s="265">
        <v>15</v>
      </c>
      <c r="G1492" s="265"/>
      <c r="H1492" s="265">
        <f t="shared" si="26"/>
        <v>15</v>
      </c>
    </row>
    <row r="1493" spans="2:11" x14ac:dyDescent="0.2">
      <c r="B1493" s="262" t="s">
        <v>1879</v>
      </c>
      <c r="C1493" s="263">
        <v>42751</v>
      </c>
      <c r="D1493" s="264" t="s">
        <v>1892</v>
      </c>
      <c r="E1493" s="264" t="s">
        <v>3437</v>
      </c>
      <c r="F1493" s="265">
        <v>350</v>
      </c>
      <c r="G1493" s="265"/>
      <c r="H1493" s="265">
        <f t="shared" si="26"/>
        <v>350</v>
      </c>
    </row>
    <row r="1494" spans="2:11" x14ac:dyDescent="0.2">
      <c r="B1494" s="262" t="s">
        <v>1866</v>
      </c>
      <c r="C1494" s="263">
        <v>42751</v>
      </c>
      <c r="D1494" s="264" t="s">
        <v>1890</v>
      </c>
      <c r="E1494" s="264" t="s">
        <v>3438</v>
      </c>
      <c r="F1494" s="265">
        <v>310</v>
      </c>
      <c r="G1494" s="265"/>
      <c r="H1494" s="265">
        <f t="shared" si="26"/>
        <v>310</v>
      </c>
      <c r="I1494" s="175">
        <f>SUM(H1436:H1494)</f>
        <v>55950.9</v>
      </c>
    </row>
    <row r="1495" spans="2:11" x14ac:dyDescent="0.2">
      <c r="B1495" s="262" t="s">
        <v>1875</v>
      </c>
      <c r="C1495" s="263">
        <v>42751</v>
      </c>
      <c r="D1495" s="264" t="s">
        <v>2535</v>
      </c>
      <c r="E1495" s="264" t="s">
        <v>1942</v>
      </c>
      <c r="F1495" s="265">
        <v>122.4</v>
      </c>
      <c r="G1495" s="265"/>
      <c r="H1495" s="265">
        <f t="shared" si="26"/>
        <v>122.4</v>
      </c>
    </row>
    <row r="1496" spans="2:11" x14ac:dyDescent="0.2">
      <c r="B1496" s="262" t="s">
        <v>1861</v>
      </c>
      <c r="C1496" s="263">
        <v>42752</v>
      </c>
      <c r="D1496" s="264" t="s">
        <v>1906</v>
      </c>
      <c r="E1496" s="264" t="s">
        <v>3445</v>
      </c>
      <c r="F1496" s="265">
        <v>140</v>
      </c>
      <c r="G1496" s="265"/>
      <c r="H1496" s="265">
        <f t="shared" si="26"/>
        <v>140</v>
      </c>
    </row>
    <row r="1497" spans="2:11" x14ac:dyDescent="0.2">
      <c r="B1497" s="262" t="s">
        <v>1805</v>
      </c>
      <c r="C1497" s="263">
        <v>42752</v>
      </c>
      <c r="D1497" s="264" t="s">
        <v>1918</v>
      </c>
      <c r="E1497" s="264" t="s">
        <v>2437</v>
      </c>
      <c r="F1497" s="265">
        <v>120</v>
      </c>
      <c r="G1497" s="265"/>
      <c r="H1497" s="265">
        <f t="shared" si="26"/>
        <v>120</v>
      </c>
    </row>
    <row r="1498" spans="2:11" x14ac:dyDescent="0.2">
      <c r="B1498" s="262" t="s">
        <v>1790</v>
      </c>
      <c r="C1498" s="263">
        <v>42752</v>
      </c>
      <c r="D1498" s="264" t="s">
        <v>1909</v>
      </c>
      <c r="E1498" s="264" t="s">
        <v>3446</v>
      </c>
      <c r="F1498" s="265"/>
      <c r="G1498" s="265">
        <v>1760</v>
      </c>
      <c r="H1498" s="265">
        <f t="shared" si="26"/>
        <v>1760</v>
      </c>
    </row>
    <row r="1499" spans="2:11" x14ac:dyDescent="0.2">
      <c r="B1499" s="341" t="s">
        <v>1805</v>
      </c>
      <c r="C1499" s="263">
        <v>42752</v>
      </c>
      <c r="D1499" s="264" t="s">
        <v>1888</v>
      </c>
      <c r="E1499" s="264" t="s">
        <v>3447</v>
      </c>
      <c r="F1499" s="265">
        <v>1224</v>
      </c>
      <c r="G1499" s="265"/>
      <c r="H1499" s="265">
        <f t="shared" si="26"/>
        <v>1224</v>
      </c>
    </row>
    <row r="1500" spans="2:11" x14ac:dyDescent="0.2">
      <c r="B1500" s="262" t="s">
        <v>1821</v>
      </c>
      <c r="C1500" s="263">
        <v>42752</v>
      </c>
      <c r="D1500" s="264" t="s">
        <v>3053</v>
      </c>
      <c r="E1500" s="264" t="s">
        <v>3448</v>
      </c>
      <c r="F1500" s="265">
        <v>3300</v>
      </c>
      <c r="G1500" s="265"/>
      <c r="H1500" s="265">
        <f t="shared" si="26"/>
        <v>3300</v>
      </c>
    </row>
    <row r="1501" spans="2:11" x14ac:dyDescent="0.2">
      <c r="B1501" s="262" t="s">
        <v>1884</v>
      </c>
      <c r="C1501" s="263">
        <v>42753</v>
      </c>
      <c r="D1501" s="264" t="s">
        <v>1912</v>
      </c>
      <c r="E1501" s="264" t="s">
        <v>3449</v>
      </c>
      <c r="F1501" s="265">
        <v>282.60000000000002</v>
      </c>
      <c r="G1501" s="265">
        <v>44</v>
      </c>
      <c r="H1501" s="265">
        <f t="shared" si="26"/>
        <v>326.60000000000002</v>
      </c>
    </row>
    <row r="1502" spans="2:11" x14ac:dyDescent="0.2">
      <c r="B1502" s="262" t="s">
        <v>1860</v>
      </c>
      <c r="C1502" s="263">
        <v>42753</v>
      </c>
      <c r="D1502" s="264" t="s">
        <v>1926</v>
      </c>
      <c r="E1502" s="264" t="s">
        <v>3450</v>
      </c>
      <c r="F1502" s="265">
        <v>40</v>
      </c>
      <c r="G1502" s="265"/>
      <c r="H1502" s="265">
        <f t="shared" si="26"/>
        <v>40</v>
      </c>
      <c r="K1502" s="175"/>
    </row>
    <row r="1503" spans="2:11" x14ac:dyDescent="0.2">
      <c r="B1503" s="262" t="s">
        <v>1884</v>
      </c>
      <c r="C1503" s="263">
        <v>42753</v>
      </c>
      <c r="D1503" s="264" t="s">
        <v>2535</v>
      </c>
      <c r="E1503" s="264" t="s">
        <v>3451</v>
      </c>
      <c r="F1503" s="265">
        <v>65</v>
      </c>
      <c r="G1503" s="265"/>
      <c r="H1503" s="265">
        <f t="shared" si="26"/>
        <v>65</v>
      </c>
    </row>
    <row r="1504" spans="2:11" x14ac:dyDescent="0.2">
      <c r="B1504" s="262" t="s">
        <v>1860</v>
      </c>
      <c r="C1504" s="263">
        <v>42753</v>
      </c>
      <c r="D1504" s="264" t="s">
        <v>1926</v>
      </c>
      <c r="E1504" s="264" t="s">
        <v>3452</v>
      </c>
      <c r="F1504" s="265">
        <v>933</v>
      </c>
      <c r="G1504" s="265"/>
      <c r="H1504" s="265">
        <f t="shared" si="26"/>
        <v>933</v>
      </c>
    </row>
    <row r="1505" spans="2:9" x14ac:dyDescent="0.2">
      <c r="B1505" s="262" t="s">
        <v>1884</v>
      </c>
      <c r="C1505" s="263">
        <v>42753</v>
      </c>
      <c r="D1505" s="264" t="s">
        <v>3146</v>
      </c>
      <c r="E1505" s="264" t="s">
        <v>3453</v>
      </c>
      <c r="F1505" s="265">
        <v>350</v>
      </c>
      <c r="G1505" s="265"/>
      <c r="H1505" s="265">
        <f t="shared" si="26"/>
        <v>350</v>
      </c>
    </row>
    <row r="1506" spans="2:9" x14ac:dyDescent="0.2">
      <c r="B1506" s="262" t="s">
        <v>1881</v>
      </c>
      <c r="C1506" s="263">
        <v>42753</v>
      </c>
      <c r="D1506" s="264" t="s">
        <v>3001</v>
      </c>
      <c r="E1506" s="264" t="s">
        <v>3454</v>
      </c>
      <c r="F1506" s="265">
        <v>170</v>
      </c>
      <c r="G1506" s="265"/>
      <c r="H1506" s="265">
        <f t="shared" si="26"/>
        <v>170</v>
      </c>
    </row>
    <row r="1507" spans="2:9" x14ac:dyDescent="0.2">
      <c r="B1507" s="262" t="s">
        <v>1884</v>
      </c>
      <c r="C1507" s="263">
        <v>42753</v>
      </c>
      <c r="D1507" s="264" t="s">
        <v>2419</v>
      </c>
      <c r="E1507" s="264" t="s">
        <v>3455</v>
      </c>
      <c r="F1507" s="265">
        <v>250</v>
      </c>
      <c r="G1507" s="265"/>
      <c r="H1507" s="265">
        <f t="shared" si="26"/>
        <v>250</v>
      </c>
    </row>
    <row r="1508" spans="2:9" x14ac:dyDescent="0.2">
      <c r="B1508" s="262" t="s">
        <v>1862</v>
      </c>
      <c r="C1508" s="263">
        <v>42753</v>
      </c>
      <c r="D1508" s="264" t="s">
        <v>1938</v>
      </c>
      <c r="E1508" s="264" t="s">
        <v>3456</v>
      </c>
      <c r="F1508" s="265">
        <v>4500</v>
      </c>
      <c r="G1508" s="265"/>
      <c r="H1508" s="265">
        <f t="shared" si="26"/>
        <v>4500</v>
      </c>
    </row>
    <row r="1509" spans="2:9" x14ac:dyDescent="0.2">
      <c r="B1509" s="262" t="s">
        <v>1870</v>
      </c>
      <c r="C1509" s="263">
        <v>42754</v>
      </c>
      <c r="D1509" s="264" t="s">
        <v>1892</v>
      </c>
      <c r="E1509" s="264" t="s">
        <v>3457</v>
      </c>
      <c r="F1509" s="265">
        <v>400</v>
      </c>
      <c r="G1509" s="265"/>
      <c r="H1509" s="265">
        <f t="shared" si="26"/>
        <v>400</v>
      </c>
    </row>
    <row r="1510" spans="2:9" x14ac:dyDescent="0.2">
      <c r="B1510" s="262" t="s">
        <v>1860</v>
      </c>
      <c r="C1510" s="263">
        <v>42754</v>
      </c>
      <c r="D1510" s="264" t="s">
        <v>3435</v>
      </c>
      <c r="E1510" s="264" t="s">
        <v>3458</v>
      </c>
      <c r="F1510" s="265">
        <v>39</v>
      </c>
      <c r="G1510" s="265"/>
      <c r="H1510" s="265">
        <f t="shared" si="26"/>
        <v>39</v>
      </c>
    </row>
    <row r="1511" spans="2:9" x14ac:dyDescent="0.2">
      <c r="B1511" s="262" t="s">
        <v>1859</v>
      </c>
      <c r="C1511" s="263">
        <v>42754</v>
      </c>
      <c r="D1511" s="264" t="s">
        <v>2431</v>
      </c>
      <c r="E1511" s="264" t="s">
        <v>2432</v>
      </c>
      <c r="F1511" s="265">
        <v>33</v>
      </c>
      <c r="G1511" s="265"/>
      <c r="H1511" s="265">
        <f t="shared" si="26"/>
        <v>33</v>
      </c>
    </row>
    <row r="1512" spans="2:9" x14ac:dyDescent="0.2">
      <c r="B1512" s="262" t="s">
        <v>1859</v>
      </c>
      <c r="C1512" s="263">
        <v>42754</v>
      </c>
      <c r="D1512" s="264" t="s">
        <v>2431</v>
      </c>
      <c r="E1512" s="264" t="s">
        <v>2432</v>
      </c>
      <c r="F1512" s="265">
        <v>266</v>
      </c>
      <c r="G1512" s="265"/>
      <c r="H1512" s="265">
        <f t="shared" si="26"/>
        <v>266</v>
      </c>
    </row>
    <row r="1513" spans="2:9" x14ac:dyDescent="0.2">
      <c r="B1513" s="262" t="s">
        <v>1863</v>
      </c>
      <c r="C1513" s="263">
        <v>42754</v>
      </c>
      <c r="D1513" s="264" t="s">
        <v>2250</v>
      </c>
      <c r="E1513" s="264" t="s">
        <v>3464</v>
      </c>
      <c r="F1513" s="265">
        <v>150</v>
      </c>
      <c r="G1513" s="265"/>
      <c r="H1513" s="265">
        <f>SUM(F1513:G1513)</f>
        <v>150</v>
      </c>
    </row>
    <row r="1514" spans="2:9" x14ac:dyDescent="0.2">
      <c r="B1514" s="262" t="s">
        <v>1805</v>
      </c>
      <c r="C1514" s="263">
        <v>42755</v>
      </c>
      <c r="D1514" s="264" t="s">
        <v>1910</v>
      </c>
      <c r="E1514" s="264" t="s">
        <v>3459</v>
      </c>
      <c r="F1514" s="265">
        <v>1000</v>
      </c>
      <c r="G1514" s="265"/>
      <c r="H1514" s="265">
        <f t="shared" si="26"/>
        <v>1000</v>
      </c>
    </row>
    <row r="1515" spans="2:9" x14ac:dyDescent="0.2">
      <c r="B1515" s="262" t="s">
        <v>1860</v>
      </c>
      <c r="C1515" s="263">
        <v>42755</v>
      </c>
      <c r="D1515" s="264" t="s">
        <v>1940</v>
      </c>
      <c r="E1515" s="264" t="s">
        <v>3465</v>
      </c>
      <c r="F1515" s="265">
        <v>1000</v>
      </c>
      <c r="G1515" s="265"/>
      <c r="H1515" s="265">
        <f t="shared" si="26"/>
        <v>1000</v>
      </c>
    </row>
    <row r="1516" spans="2:9" x14ac:dyDescent="0.2">
      <c r="B1516" s="262" t="s">
        <v>1870</v>
      </c>
      <c r="C1516" s="263">
        <v>42755</v>
      </c>
      <c r="D1516" s="264" t="s">
        <v>1892</v>
      </c>
      <c r="E1516" s="264" t="s">
        <v>3466</v>
      </c>
      <c r="F1516" s="265">
        <v>350</v>
      </c>
      <c r="G1516" s="265"/>
      <c r="H1516" s="265">
        <f t="shared" si="26"/>
        <v>350</v>
      </c>
    </row>
    <row r="1517" spans="2:9" x14ac:dyDescent="0.2">
      <c r="B1517" s="262" t="s">
        <v>1821</v>
      </c>
      <c r="C1517" s="263">
        <v>42755</v>
      </c>
      <c r="D1517" s="264" t="s">
        <v>1892</v>
      </c>
      <c r="E1517" s="264" t="s">
        <v>3467</v>
      </c>
      <c r="F1517" s="265">
        <v>400</v>
      </c>
      <c r="G1517" s="265"/>
      <c r="H1517" s="265">
        <f t="shared" si="26"/>
        <v>400</v>
      </c>
    </row>
    <row r="1518" spans="2:9" x14ac:dyDescent="0.2">
      <c r="B1518" s="262" t="s">
        <v>1879</v>
      </c>
      <c r="C1518" s="263">
        <v>42755</v>
      </c>
      <c r="D1518" s="264" t="s">
        <v>1892</v>
      </c>
      <c r="E1518" s="264" t="s">
        <v>3468</v>
      </c>
      <c r="F1518" s="265">
        <v>250</v>
      </c>
      <c r="G1518" s="265"/>
      <c r="H1518" s="265">
        <f t="shared" si="26"/>
        <v>250</v>
      </c>
      <c r="I1518" s="175">
        <f>SUM(H1436:H1518)</f>
        <v>73139.899999999994</v>
      </c>
    </row>
    <row r="1519" spans="2:9" x14ac:dyDescent="0.2">
      <c r="B1519" s="262" t="s">
        <v>1879</v>
      </c>
      <c r="C1519" s="263">
        <v>42755</v>
      </c>
      <c r="D1519" s="264" t="s">
        <v>1892</v>
      </c>
      <c r="E1519" s="264" t="s">
        <v>3469</v>
      </c>
      <c r="F1519" s="265">
        <v>490</v>
      </c>
      <c r="G1519" s="265"/>
      <c r="H1519" s="265">
        <f t="shared" si="26"/>
        <v>490</v>
      </c>
    </row>
    <row r="1520" spans="2:9" x14ac:dyDescent="0.2">
      <c r="B1520" s="262" t="s">
        <v>1863</v>
      </c>
      <c r="C1520" s="263">
        <v>42756</v>
      </c>
      <c r="D1520" s="264" t="s">
        <v>1878</v>
      </c>
      <c r="E1520" s="264" t="s">
        <v>3470</v>
      </c>
      <c r="F1520" s="265">
        <v>500</v>
      </c>
      <c r="G1520" s="265"/>
      <c r="H1520" s="265">
        <f t="shared" si="26"/>
        <v>500</v>
      </c>
    </row>
    <row r="1521" spans="2:11" x14ac:dyDescent="0.2">
      <c r="B1521" s="262" t="s">
        <v>1858</v>
      </c>
      <c r="C1521" s="263">
        <v>42756</v>
      </c>
      <c r="D1521" s="264" t="s">
        <v>1893</v>
      </c>
      <c r="E1521" s="264" t="s">
        <v>3471</v>
      </c>
      <c r="F1521" s="265">
        <v>149</v>
      </c>
      <c r="G1521" s="265"/>
      <c r="H1521" s="265">
        <f t="shared" ref="H1521:H1538" si="27">SUM(F1521:G1521)</f>
        <v>149</v>
      </c>
    </row>
    <row r="1522" spans="2:11" x14ac:dyDescent="0.2">
      <c r="B1522" s="262" t="s">
        <v>1858</v>
      </c>
      <c r="C1522" s="263">
        <v>42756</v>
      </c>
      <c r="D1522" s="264" t="s">
        <v>1925</v>
      </c>
      <c r="E1522" s="264" t="s">
        <v>3472</v>
      </c>
      <c r="F1522" s="265">
        <v>5</v>
      </c>
      <c r="G1522" s="265"/>
      <c r="H1522" s="265">
        <f t="shared" si="27"/>
        <v>5</v>
      </c>
    </row>
    <row r="1523" spans="2:11" x14ac:dyDescent="0.2">
      <c r="B1523" s="262" t="s">
        <v>1860</v>
      </c>
      <c r="C1523" s="263">
        <v>42756</v>
      </c>
      <c r="D1523" s="264" t="s">
        <v>1893</v>
      </c>
      <c r="E1523" s="264" t="s">
        <v>3473</v>
      </c>
      <c r="F1523" s="265">
        <v>116</v>
      </c>
      <c r="G1523" s="265"/>
      <c r="H1523" s="265">
        <f t="shared" si="27"/>
        <v>116</v>
      </c>
    </row>
    <row r="1524" spans="2:11" x14ac:dyDescent="0.2">
      <c r="B1524" s="262" t="s">
        <v>1864</v>
      </c>
      <c r="C1524" s="263">
        <v>42757</v>
      </c>
      <c r="D1524" s="264" t="s">
        <v>2535</v>
      </c>
      <c r="E1524" s="264" t="s">
        <v>2664</v>
      </c>
      <c r="F1524" s="265">
        <v>44</v>
      </c>
      <c r="G1524" s="265"/>
      <c r="H1524" s="265">
        <f t="shared" si="27"/>
        <v>44</v>
      </c>
    </row>
    <row r="1525" spans="2:11" x14ac:dyDescent="0.2">
      <c r="B1525" s="262" t="s">
        <v>1884</v>
      </c>
      <c r="C1525" s="263">
        <v>42757</v>
      </c>
      <c r="D1525" s="264" t="s">
        <v>2250</v>
      </c>
      <c r="E1525" s="264" t="s">
        <v>3380</v>
      </c>
      <c r="F1525" s="265">
        <v>120</v>
      </c>
      <c r="G1525" s="265"/>
      <c r="H1525" s="265">
        <f t="shared" si="27"/>
        <v>120</v>
      </c>
    </row>
    <row r="1526" spans="2:11" x14ac:dyDescent="0.2">
      <c r="B1526" s="262" t="s">
        <v>1864</v>
      </c>
      <c r="C1526" s="263">
        <v>42758</v>
      </c>
      <c r="D1526" s="264" t="s">
        <v>1910</v>
      </c>
      <c r="E1526" s="264" t="s">
        <v>3474</v>
      </c>
      <c r="F1526" s="265">
        <v>400</v>
      </c>
      <c r="G1526" s="265"/>
      <c r="H1526" s="265">
        <f t="shared" si="27"/>
        <v>400</v>
      </c>
      <c r="J1526" s="175"/>
      <c r="K1526" s="175">
        <f>SUM(H1436:H1526)</f>
        <v>74963.899999999994</v>
      </c>
    </row>
    <row r="1527" spans="2:11" x14ac:dyDescent="0.2">
      <c r="B1527" s="262" t="s">
        <v>1884</v>
      </c>
      <c r="C1527" s="263">
        <v>42758</v>
      </c>
      <c r="D1527" s="264" t="s">
        <v>2535</v>
      </c>
      <c r="E1527" s="264" t="s">
        <v>3475</v>
      </c>
      <c r="F1527" s="265">
        <v>189</v>
      </c>
      <c r="G1527" s="265"/>
      <c r="H1527" s="265">
        <f t="shared" si="27"/>
        <v>189</v>
      </c>
    </row>
    <row r="1528" spans="2:11" x14ac:dyDescent="0.2">
      <c r="B1528" s="262" t="s">
        <v>1866</v>
      </c>
      <c r="C1528" s="263">
        <v>42758</v>
      </c>
      <c r="D1528" s="264" t="s">
        <v>1890</v>
      </c>
      <c r="E1528" s="264" t="s">
        <v>3476</v>
      </c>
      <c r="F1528" s="265">
        <v>310</v>
      </c>
      <c r="G1528" s="265"/>
      <c r="H1528" s="265">
        <f t="shared" si="27"/>
        <v>310</v>
      </c>
    </row>
    <row r="1529" spans="2:11" x14ac:dyDescent="0.2">
      <c r="B1529" s="262" t="s">
        <v>1870</v>
      </c>
      <c r="C1529" s="263">
        <v>42759</v>
      </c>
      <c r="D1529" s="264" t="s">
        <v>1892</v>
      </c>
      <c r="E1529" s="264" t="s">
        <v>3477</v>
      </c>
      <c r="F1529" s="265">
        <v>1950</v>
      </c>
      <c r="G1529" s="265"/>
      <c r="H1529" s="265">
        <f t="shared" si="27"/>
        <v>1950</v>
      </c>
    </row>
    <row r="1530" spans="2:11" x14ac:dyDescent="0.2">
      <c r="B1530" s="262" t="s">
        <v>1884</v>
      </c>
      <c r="C1530" s="263">
        <v>42759</v>
      </c>
      <c r="D1530" s="264" t="s">
        <v>2535</v>
      </c>
      <c r="E1530" s="264" t="s">
        <v>3478</v>
      </c>
      <c r="F1530" s="265">
        <v>82.5</v>
      </c>
      <c r="G1530" s="265"/>
      <c r="H1530" s="265">
        <f t="shared" si="27"/>
        <v>82.5</v>
      </c>
    </row>
    <row r="1531" spans="2:11" x14ac:dyDescent="0.2">
      <c r="B1531" s="262" t="s">
        <v>1884</v>
      </c>
      <c r="C1531" s="263">
        <v>42759</v>
      </c>
      <c r="D1531" s="264" t="s">
        <v>3125</v>
      </c>
      <c r="E1531" s="264" t="s">
        <v>3479</v>
      </c>
      <c r="F1531" s="265">
        <v>570</v>
      </c>
      <c r="G1531" s="265"/>
      <c r="H1531" s="265">
        <f t="shared" si="27"/>
        <v>570</v>
      </c>
    </row>
    <row r="1532" spans="2:11" x14ac:dyDescent="0.2">
      <c r="B1532" s="262" t="s">
        <v>1884</v>
      </c>
      <c r="C1532" s="263">
        <v>42759</v>
      </c>
      <c r="D1532" s="264" t="s">
        <v>2992</v>
      </c>
      <c r="E1532" s="264" t="s">
        <v>2993</v>
      </c>
      <c r="F1532" s="265">
        <v>1000</v>
      </c>
      <c r="G1532" s="265"/>
      <c r="H1532" s="265">
        <f t="shared" si="27"/>
        <v>1000</v>
      </c>
    </row>
    <row r="1533" spans="2:11" x14ac:dyDescent="0.2">
      <c r="B1533" s="262" t="s">
        <v>1863</v>
      </c>
      <c r="C1533" s="263">
        <v>42760</v>
      </c>
      <c r="D1533" s="264" t="s">
        <v>2992</v>
      </c>
      <c r="E1533" s="264" t="s">
        <v>3493</v>
      </c>
      <c r="F1533" s="265">
        <v>350</v>
      </c>
      <c r="G1533" s="265"/>
      <c r="H1533" s="265">
        <f t="shared" si="27"/>
        <v>350</v>
      </c>
    </row>
    <row r="1534" spans="2:11" x14ac:dyDescent="0.2">
      <c r="B1534" s="262" t="s">
        <v>1863</v>
      </c>
      <c r="C1534" s="263">
        <v>42760</v>
      </c>
      <c r="D1534" s="264" t="s">
        <v>1873</v>
      </c>
      <c r="E1534" s="264" t="s">
        <v>3480</v>
      </c>
      <c r="F1534" s="265">
        <v>200</v>
      </c>
      <c r="G1534" s="265"/>
      <c r="H1534" s="265">
        <f t="shared" si="27"/>
        <v>200</v>
      </c>
    </row>
    <row r="1535" spans="2:11" x14ac:dyDescent="0.2">
      <c r="B1535" s="262" t="s">
        <v>1881</v>
      </c>
      <c r="C1535" s="263">
        <v>42760</v>
      </c>
      <c r="D1535" s="264" t="s">
        <v>3482</v>
      </c>
      <c r="E1535" s="264" t="s">
        <v>3481</v>
      </c>
      <c r="F1535" s="265">
        <v>150</v>
      </c>
      <c r="G1535" s="265"/>
      <c r="H1535" s="265">
        <f t="shared" si="27"/>
        <v>150</v>
      </c>
    </row>
    <row r="1536" spans="2:11" x14ac:dyDescent="0.2">
      <c r="B1536" s="262" t="s">
        <v>1884</v>
      </c>
      <c r="C1536" s="263">
        <v>42760</v>
      </c>
      <c r="D1536" s="264" t="s">
        <v>3483</v>
      </c>
      <c r="E1536" s="264" t="s">
        <v>3484</v>
      </c>
      <c r="F1536" s="265">
        <v>500</v>
      </c>
      <c r="G1536" s="265"/>
      <c r="H1536" s="265">
        <f t="shared" si="27"/>
        <v>500</v>
      </c>
    </row>
    <row r="1537" spans="2:9" x14ac:dyDescent="0.2">
      <c r="B1537" s="262" t="s">
        <v>1881</v>
      </c>
      <c r="C1537" s="263">
        <v>42760</v>
      </c>
      <c r="D1537" s="264" t="s">
        <v>3482</v>
      </c>
      <c r="E1537" s="264" t="s">
        <v>3485</v>
      </c>
      <c r="F1537" s="265">
        <v>180</v>
      </c>
      <c r="G1537" s="265"/>
      <c r="H1537" s="265">
        <f t="shared" si="27"/>
        <v>180</v>
      </c>
    </row>
    <row r="1538" spans="2:9" x14ac:dyDescent="0.2">
      <c r="B1538" s="262" t="s">
        <v>1884</v>
      </c>
      <c r="C1538" s="263">
        <v>17193</v>
      </c>
      <c r="D1538" s="264" t="s">
        <v>3330</v>
      </c>
      <c r="E1538" s="264" t="s">
        <v>3486</v>
      </c>
      <c r="F1538" s="265">
        <v>350</v>
      </c>
      <c r="G1538" s="265"/>
      <c r="H1538" s="265">
        <f t="shared" si="27"/>
        <v>350</v>
      </c>
    </row>
    <row r="1539" spans="2:9" x14ac:dyDescent="0.2">
      <c r="B1539" s="262" t="s">
        <v>1860</v>
      </c>
      <c r="C1539" s="263">
        <v>42761</v>
      </c>
      <c r="D1539" s="264" t="s">
        <v>1891</v>
      </c>
      <c r="E1539" s="264" t="s">
        <v>3487</v>
      </c>
      <c r="F1539" s="265">
        <v>283</v>
      </c>
      <c r="G1539" s="265"/>
      <c r="H1539" s="265">
        <f t="shared" ref="H1539:H1544" si="28">SUM(F1539:G1539)</f>
        <v>283</v>
      </c>
    </row>
    <row r="1540" spans="2:9" x14ac:dyDescent="0.2">
      <c r="B1540" s="262" t="s">
        <v>1866</v>
      </c>
      <c r="C1540" s="263">
        <v>42762</v>
      </c>
      <c r="D1540" s="264" t="s">
        <v>2535</v>
      </c>
      <c r="E1540" s="264" t="s">
        <v>3488</v>
      </c>
      <c r="F1540" s="265">
        <v>100</v>
      </c>
      <c r="G1540" s="265"/>
      <c r="H1540" s="265">
        <f t="shared" si="28"/>
        <v>100</v>
      </c>
    </row>
    <row r="1541" spans="2:9" x14ac:dyDescent="0.2">
      <c r="B1541" s="262" t="s">
        <v>1884</v>
      </c>
      <c r="C1541" s="263">
        <v>42762</v>
      </c>
      <c r="D1541" s="264" t="s">
        <v>1911</v>
      </c>
      <c r="E1541" s="264" t="s">
        <v>3489</v>
      </c>
      <c r="F1541" s="265">
        <v>500</v>
      </c>
      <c r="G1541" s="265"/>
      <c r="H1541" s="265">
        <f t="shared" si="28"/>
        <v>500</v>
      </c>
    </row>
    <row r="1542" spans="2:9" x14ac:dyDescent="0.2">
      <c r="B1542" s="262" t="s">
        <v>1577</v>
      </c>
      <c r="C1542" s="263">
        <v>42762</v>
      </c>
      <c r="D1542" s="264" t="s">
        <v>1899</v>
      </c>
      <c r="E1542" s="264" t="s">
        <v>4284</v>
      </c>
      <c r="F1542" s="265">
        <v>15500</v>
      </c>
      <c r="G1542" s="265"/>
      <c r="H1542" s="265">
        <f t="shared" si="28"/>
        <v>15500</v>
      </c>
    </row>
    <row r="1543" spans="2:9" x14ac:dyDescent="0.2">
      <c r="B1543" s="262" t="s">
        <v>1805</v>
      </c>
      <c r="C1543" s="263">
        <v>42762</v>
      </c>
      <c r="D1543" s="264" t="s">
        <v>1910</v>
      </c>
      <c r="E1543" s="264" t="s">
        <v>3490</v>
      </c>
      <c r="F1543" s="265">
        <v>1000</v>
      </c>
      <c r="G1543" s="265"/>
      <c r="H1543" s="265">
        <f t="shared" si="28"/>
        <v>1000</v>
      </c>
    </row>
    <row r="1544" spans="2:9" x14ac:dyDescent="0.2">
      <c r="B1544" s="262" t="s">
        <v>1871</v>
      </c>
      <c r="C1544" s="263">
        <v>42762</v>
      </c>
      <c r="D1544" s="264" t="s">
        <v>3494</v>
      </c>
      <c r="E1544" s="264" t="s">
        <v>3495</v>
      </c>
      <c r="F1544" s="265">
        <v>35</v>
      </c>
      <c r="G1544" s="265"/>
      <c r="H1544" s="265">
        <f t="shared" si="28"/>
        <v>35</v>
      </c>
    </row>
    <row r="1545" spans="2:9" x14ac:dyDescent="0.2">
      <c r="B1545" s="262" t="s">
        <v>1863</v>
      </c>
      <c r="C1545" s="263">
        <v>42763</v>
      </c>
      <c r="D1545" s="264" t="s">
        <v>1878</v>
      </c>
      <c r="E1545" s="264" t="s">
        <v>3496</v>
      </c>
      <c r="F1545" s="265">
        <v>500</v>
      </c>
      <c r="G1545" s="265"/>
      <c r="H1545" s="265">
        <f t="shared" ref="H1545:H1552" si="29">SUM(F1545:G1545)</f>
        <v>500</v>
      </c>
    </row>
    <row r="1546" spans="2:9" x14ac:dyDescent="0.2">
      <c r="B1546" s="262" t="s">
        <v>1884</v>
      </c>
      <c r="C1546" s="263">
        <v>42763</v>
      </c>
      <c r="D1546" s="264" t="s">
        <v>1912</v>
      </c>
      <c r="E1546" s="264" t="s">
        <v>3497</v>
      </c>
      <c r="F1546" s="265">
        <v>279.83999999999997</v>
      </c>
      <c r="G1546" s="265">
        <v>43.56</v>
      </c>
      <c r="H1546" s="265">
        <f t="shared" si="29"/>
        <v>323.39999999999998</v>
      </c>
    </row>
    <row r="1547" spans="2:9" x14ac:dyDescent="0.2">
      <c r="B1547" s="262" t="s">
        <v>1864</v>
      </c>
      <c r="C1547" s="263">
        <v>42764</v>
      </c>
      <c r="D1547" s="264" t="s">
        <v>2535</v>
      </c>
      <c r="E1547" s="264" t="s">
        <v>2664</v>
      </c>
      <c r="F1547" s="265">
        <v>134.5</v>
      </c>
      <c r="G1547" s="265"/>
      <c r="H1547" s="265">
        <f t="shared" si="29"/>
        <v>134.5</v>
      </c>
    </row>
    <row r="1548" spans="2:9" x14ac:dyDescent="0.2">
      <c r="B1548" s="262" t="s">
        <v>1863</v>
      </c>
      <c r="C1548" s="263">
        <v>42764</v>
      </c>
      <c r="D1548" s="264" t="s">
        <v>2250</v>
      </c>
      <c r="E1548" s="264" t="s">
        <v>3498</v>
      </c>
      <c r="F1548" s="265">
        <v>150</v>
      </c>
      <c r="G1548" s="265"/>
      <c r="H1548" s="265">
        <f t="shared" si="29"/>
        <v>150</v>
      </c>
    </row>
    <row r="1549" spans="2:9" x14ac:dyDescent="0.2">
      <c r="B1549" s="262" t="s">
        <v>1884</v>
      </c>
      <c r="C1549" s="263">
        <v>42764</v>
      </c>
      <c r="D1549" s="264" t="s">
        <v>2250</v>
      </c>
      <c r="E1549" s="264" t="s">
        <v>2805</v>
      </c>
      <c r="F1549" s="265">
        <v>120</v>
      </c>
      <c r="G1549" s="265"/>
      <c r="H1549" s="265">
        <f t="shared" si="29"/>
        <v>120</v>
      </c>
    </row>
    <row r="1550" spans="2:9" x14ac:dyDescent="0.2">
      <c r="B1550" s="262" t="s">
        <v>1865</v>
      </c>
      <c r="C1550" s="263">
        <v>42765</v>
      </c>
      <c r="D1550" s="264" t="s">
        <v>3499</v>
      </c>
      <c r="E1550" s="264" t="s">
        <v>3500</v>
      </c>
      <c r="F1550" s="265">
        <v>200</v>
      </c>
      <c r="G1550" s="265"/>
      <c r="H1550" s="265">
        <f t="shared" si="29"/>
        <v>200</v>
      </c>
    </row>
    <row r="1551" spans="2:9" x14ac:dyDescent="0.2">
      <c r="B1551" s="262" t="s">
        <v>1864</v>
      </c>
      <c r="C1551" s="263">
        <v>42765</v>
      </c>
      <c r="D1551" s="264" t="s">
        <v>3491</v>
      </c>
      <c r="E1551" s="264" t="s">
        <v>3492</v>
      </c>
      <c r="F1551" s="265">
        <v>400</v>
      </c>
      <c r="G1551" s="265"/>
      <c r="H1551" s="265">
        <f t="shared" si="29"/>
        <v>400</v>
      </c>
    </row>
    <row r="1552" spans="2:9" x14ac:dyDescent="0.2">
      <c r="B1552" s="262" t="s">
        <v>1866</v>
      </c>
      <c r="C1552" s="263">
        <v>42765</v>
      </c>
      <c r="D1552" s="264" t="s">
        <v>1890</v>
      </c>
      <c r="E1552" s="264" t="s">
        <v>3501</v>
      </c>
      <c r="F1552" s="265">
        <v>270</v>
      </c>
      <c r="G1552" s="265"/>
      <c r="H1552" s="265">
        <f t="shared" si="29"/>
        <v>270</v>
      </c>
      <c r="I1552" s="175">
        <f>SUM(H1436:H1562)</f>
        <v>121960.05999999998</v>
      </c>
    </row>
    <row r="1553" spans="2:8" x14ac:dyDescent="0.2">
      <c r="B1553" s="262" t="s">
        <v>1884</v>
      </c>
      <c r="C1553" s="263">
        <v>42765</v>
      </c>
      <c r="D1553" s="264" t="s">
        <v>1915</v>
      </c>
      <c r="E1553" s="264" t="s">
        <v>3502</v>
      </c>
      <c r="F1553" s="265">
        <v>500</v>
      </c>
      <c r="G1553" s="265"/>
      <c r="H1553" s="265">
        <f t="shared" ref="H1553:H1560" si="30">SUM(F1553:G1553)</f>
        <v>500</v>
      </c>
    </row>
    <row r="1554" spans="2:8" x14ac:dyDescent="0.2">
      <c r="B1554" s="262" t="s">
        <v>1884</v>
      </c>
      <c r="C1554" s="263">
        <v>42765</v>
      </c>
      <c r="D1554" s="264" t="s">
        <v>2992</v>
      </c>
      <c r="E1554" s="264" t="s">
        <v>3503</v>
      </c>
      <c r="F1554" s="265">
        <v>350</v>
      </c>
      <c r="G1554" s="265"/>
      <c r="H1554" s="265">
        <f t="shared" si="30"/>
        <v>350</v>
      </c>
    </row>
    <row r="1555" spans="2:8" x14ac:dyDescent="0.2">
      <c r="B1555" s="262" t="s">
        <v>1881</v>
      </c>
      <c r="C1555" s="263">
        <v>42765</v>
      </c>
      <c r="D1555" s="264" t="s">
        <v>3097</v>
      </c>
      <c r="E1555" s="264" t="s">
        <v>3504</v>
      </c>
      <c r="F1555" s="265">
        <v>450</v>
      </c>
      <c r="G1555" s="265"/>
      <c r="H1555" s="265">
        <f t="shared" si="30"/>
        <v>450</v>
      </c>
    </row>
    <row r="1556" spans="2:8" x14ac:dyDescent="0.2">
      <c r="B1556" s="262" t="s">
        <v>1884</v>
      </c>
      <c r="C1556" s="263">
        <v>42766</v>
      </c>
      <c r="D1556" s="264" t="s">
        <v>1873</v>
      </c>
      <c r="E1556" s="264" t="s">
        <v>3505</v>
      </c>
      <c r="F1556" s="265">
        <v>450</v>
      </c>
      <c r="G1556" s="265"/>
      <c r="H1556" s="265">
        <f t="shared" si="30"/>
        <v>450</v>
      </c>
    </row>
    <row r="1557" spans="2:8" x14ac:dyDescent="0.2">
      <c r="B1557" s="262" t="s">
        <v>1884</v>
      </c>
      <c r="C1557" s="263">
        <v>42766</v>
      </c>
      <c r="D1557" s="264" t="s">
        <v>2250</v>
      </c>
      <c r="E1557" s="264" t="s">
        <v>3028</v>
      </c>
      <c r="F1557" s="265">
        <v>300</v>
      </c>
      <c r="G1557" s="265"/>
      <c r="H1557" s="265">
        <f t="shared" si="30"/>
        <v>300</v>
      </c>
    </row>
    <row r="1558" spans="2:8" x14ac:dyDescent="0.2">
      <c r="B1558" s="262" t="s">
        <v>1867</v>
      </c>
      <c r="C1558" s="263">
        <v>42766</v>
      </c>
      <c r="D1558" s="264" t="s">
        <v>1894</v>
      </c>
      <c r="E1558" s="264" t="s">
        <v>3506</v>
      </c>
      <c r="F1558" s="265">
        <v>786</v>
      </c>
      <c r="G1558" s="265"/>
      <c r="H1558" s="265">
        <f t="shared" si="30"/>
        <v>786</v>
      </c>
    </row>
    <row r="1559" spans="2:8" x14ac:dyDescent="0.2">
      <c r="B1559" s="262" t="s">
        <v>1884</v>
      </c>
      <c r="C1559" s="263">
        <v>42766</v>
      </c>
      <c r="D1559" s="264" t="s">
        <v>3507</v>
      </c>
      <c r="E1559" s="264" t="s">
        <v>3508</v>
      </c>
      <c r="F1559" s="265">
        <v>192.76</v>
      </c>
      <c r="G1559" s="265"/>
      <c r="H1559" s="265">
        <f t="shared" si="30"/>
        <v>192.76</v>
      </c>
    </row>
    <row r="1560" spans="2:8" x14ac:dyDescent="0.2">
      <c r="B1560" s="262" t="s">
        <v>1884</v>
      </c>
      <c r="C1560" s="263">
        <v>42766</v>
      </c>
      <c r="D1560" s="264" t="s">
        <v>2192</v>
      </c>
      <c r="E1560" s="264" t="s">
        <v>3509</v>
      </c>
      <c r="F1560" s="265">
        <v>20</v>
      </c>
      <c r="G1560" s="265"/>
      <c r="H1560" s="265">
        <f t="shared" si="30"/>
        <v>20</v>
      </c>
    </row>
    <row r="1561" spans="2:8" x14ac:dyDescent="0.2">
      <c r="B1561" s="262" t="s">
        <v>1577</v>
      </c>
      <c r="C1561" s="263">
        <v>42766</v>
      </c>
      <c r="D1561" s="264" t="s">
        <v>3578</v>
      </c>
      <c r="E1561" s="264" t="s">
        <v>4285</v>
      </c>
      <c r="F1561" s="265">
        <v>14600</v>
      </c>
      <c r="G1561" s="265"/>
      <c r="H1561" s="265">
        <f t="shared" ref="H1561:H1569" si="31">SUM(F1561:G1561)</f>
        <v>14600</v>
      </c>
    </row>
    <row r="1562" spans="2:8" x14ac:dyDescent="0.2">
      <c r="B1562" s="262" t="s">
        <v>1859</v>
      </c>
      <c r="C1562" s="263">
        <v>42766</v>
      </c>
      <c r="D1562" s="264" t="s">
        <v>1911</v>
      </c>
      <c r="E1562" s="264" t="s">
        <v>3407</v>
      </c>
      <c r="F1562" s="265">
        <v>4000</v>
      </c>
      <c r="G1562" s="265"/>
      <c r="H1562" s="265">
        <f t="shared" si="31"/>
        <v>4000</v>
      </c>
    </row>
    <row r="1563" spans="2:8" x14ac:dyDescent="0.2">
      <c r="B1563" s="262" t="s">
        <v>1887</v>
      </c>
      <c r="C1563" s="263">
        <v>42739</v>
      </c>
      <c r="D1563" s="264" t="s">
        <v>1534</v>
      </c>
      <c r="E1563" s="264" t="s">
        <v>1536</v>
      </c>
      <c r="F1563" s="265">
        <v>-0.46</v>
      </c>
      <c r="G1563" s="265"/>
      <c r="H1563" s="265">
        <f t="shared" si="31"/>
        <v>-0.46</v>
      </c>
    </row>
    <row r="1564" spans="2:8" x14ac:dyDescent="0.2">
      <c r="B1564" s="262" t="s">
        <v>1887</v>
      </c>
      <c r="C1564" s="263">
        <v>42744</v>
      </c>
      <c r="D1564" s="264" t="s">
        <v>3367</v>
      </c>
      <c r="E1564" s="264" t="s">
        <v>1536</v>
      </c>
      <c r="F1564" s="265">
        <v>-0.28999999999999998</v>
      </c>
      <c r="G1564" s="265"/>
      <c r="H1564" s="265">
        <f>SUM(F1564:G1564)</f>
        <v>-0.28999999999999998</v>
      </c>
    </row>
    <row r="1565" spans="2:8" x14ac:dyDescent="0.2">
      <c r="B1565" s="262" t="s">
        <v>1887</v>
      </c>
      <c r="C1565" s="263">
        <v>42765</v>
      </c>
      <c r="D1565" s="264" t="s">
        <v>3366</v>
      </c>
      <c r="E1565" s="264" t="s">
        <v>1536</v>
      </c>
      <c r="F1565" s="265">
        <v>-0.15</v>
      </c>
      <c r="G1565" s="265"/>
      <c r="H1565" s="265">
        <f t="shared" si="31"/>
        <v>-0.15</v>
      </c>
    </row>
    <row r="1566" spans="2:8" x14ac:dyDescent="0.2">
      <c r="B1566" s="262" t="s">
        <v>1790</v>
      </c>
      <c r="C1566" s="263">
        <v>42754</v>
      </c>
      <c r="D1566" s="361" t="s">
        <v>1909</v>
      </c>
      <c r="E1566" s="361" t="s">
        <v>3510</v>
      </c>
      <c r="F1566" s="362"/>
      <c r="G1566" s="362">
        <v>-1760</v>
      </c>
      <c r="H1566" s="362">
        <f t="shared" si="31"/>
        <v>-1760</v>
      </c>
    </row>
    <row r="1567" spans="2:8" x14ac:dyDescent="0.2">
      <c r="B1567" s="262" t="s">
        <v>1887</v>
      </c>
      <c r="C1567" s="263">
        <v>42766</v>
      </c>
      <c r="D1567" s="361" t="s">
        <v>1597</v>
      </c>
      <c r="E1567" s="361" t="s">
        <v>2229</v>
      </c>
      <c r="F1567" s="362">
        <v>42</v>
      </c>
      <c r="G1567" s="362"/>
      <c r="H1567" s="362">
        <f t="shared" si="31"/>
        <v>42</v>
      </c>
    </row>
    <row r="1568" spans="2:8" x14ac:dyDescent="0.2">
      <c r="B1568" s="262" t="s">
        <v>1790</v>
      </c>
      <c r="C1568" s="263">
        <v>42766</v>
      </c>
      <c r="D1568" s="361" t="s">
        <v>1597</v>
      </c>
      <c r="E1568" s="361" t="s">
        <v>2230</v>
      </c>
      <c r="F1568" s="362"/>
      <c r="G1568" s="362">
        <v>6.72</v>
      </c>
      <c r="H1568" s="362">
        <f t="shared" si="31"/>
        <v>6.72</v>
      </c>
    </row>
    <row r="1569" spans="2:9" ht="18" customHeight="1" x14ac:dyDescent="0.2">
      <c r="B1569" s="262"/>
      <c r="C1569" s="263"/>
      <c r="D1569" s="361"/>
      <c r="E1569" s="361"/>
      <c r="F1569" s="362"/>
      <c r="G1569" s="362"/>
      <c r="H1569" s="362">
        <f t="shared" si="31"/>
        <v>0</v>
      </c>
      <c r="I1569" s="175">
        <f>SUM(H1436:H1569)</f>
        <v>120247.87999999999</v>
      </c>
    </row>
    <row r="1570" spans="2:9" x14ac:dyDescent="0.2">
      <c r="B1570" s="255" t="s">
        <v>1850</v>
      </c>
      <c r="C1570" s="255" t="s">
        <v>1851</v>
      </c>
      <c r="D1570" s="256" t="s">
        <v>1852</v>
      </c>
      <c r="E1570" s="256" t="s">
        <v>1853</v>
      </c>
      <c r="F1570" s="257" t="s">
        <v>1854</v>
      </c>
      <c r="G1570" s="257" t="s">
        <v>1855</v>
      </c>
      <c r="H1570" s="257" t="s">
        <v>1856</v>
      </c>
    </row>
    <row r="1571" spans="2:9" x14ac:dyDescent="0.2">
      <c r="B1571" s="262" t="s">
        <v>1884</v>
      </c>
      <c r="C1571" s="263">
        <v>42767</v>
      </c>
      <c r="D1571" s="264" t="s">
        <v>3546</v>
      </c>
      <c r="E1571" s="264" t="s">
        <v>3547</v>
      </c>
      <c r="F1571" s="265">
        <v>46</v>
      </c>
      <c r="G1571" s="265"/>
      <c r="H1571" s="265">
        <f t="shared" ref="H1571:H1579" si="32">SUM(F1571:G1571)</f>
        <v>46</v>
      </c>
    </row>
    <row r="1572" spans="2:9" x14ac:dyDescent="0.2">
      <c r="B1572" s="262" t="s">
        <v>1884</v>
      </c>
      <c r="C1572" s="263">
        <v>42767</v>
      </c>
      <c r="D1572" s="264" t="s">
        <v>3548</v>
      </c>
      <c r="E1572" s="264" t="s">
        <v>3549</v>
      </c>
      <c r="F1572" s="265">
        <v>312</v>
      </c>
      <c r="G1572" s="265"/>
      <c r="H1572" s="265">
        <f t="shared" si="32"/>
        <v>312</v>
      </c>
    </row>
    <row r="1573" spans="2:9" x14ac:dyDescent="0.2">
      <c r="B1573" s="262" t="s">
        <v>1884</v>
      </c>
      <c r="C1573" s="263">
        <v>42767</v>
      </c>
      <c r="D1573" s="264" t="s">
        <v>2337</v>
      </c>
      <c r="E1573" s="264" t="s">
        <v>3550</v>
      </c>
      <c r="F1573" s="265">
        <v>408.25</v>
      </c>
      <c r="G1573" s="265"/>
      <c r="H1573" s="265">
        <f t="shared" si="32"/>
        <v>408.25</v>
      </c>
    </row>
    <row r="1574" spans="2:9" x14ac:dyDescent="0.2">
      <c r="B1574" s="262" t="s">
        <v>1884</v>
      </c>
      <c r="C1574" s="263">
        <v>42768</v>
      </c>
      <c r="D1574" s="264" t="s">
        <v>3551</v>
      </c>
      <c r="E1574" s="264" t="s">
        <v>3552</v>
      </c>
      <c r="F1574" s="265">
        <v>535</v>
      </c>
      <c r="G1574" s="265"/>
      <c r="H1574" s="265">
        <f t="shared" si="32"/>
        <v>535</v>
      </c>
    </row>
    <row r="1575" spans="2:9" x14ac:dyDescent="0.2">
      <c r="B1575" s="262" t="s">
        <v>1857</v>
      </c>
      <c r="C1575" s="263">
        <v>42768</v>
      </c>
      <c r="D1575" s="264" t="s">
        <v>2992</v>
      </c>
      <c r="E1575" s="264" t="s">
        <v>3554</v>
      </c>
      <c r="F1575" s="265">
        <v>500</v>
      </c>
      <c r="G1575" s="265"/>
      <c r="H1575" s="265">
        <f t="shared" si="32"/>
        <v>500</v>
      </c>
    </row>
    <row r="1576" spans="2:9" x14ac:dyDescent="0.2">
      <c r="B1576" s="262" t="s">
        <v>1863</v>
      </c>
      <c r="C1576" s="263">
        <v>42768</v>
      </c>
      <c r="D1576" s="264" t="s">
        <v>2250</v>
      </c>
      <c r="E1576" s="264" t="s">
        <v>3553</v>
      </c>
      <c r="F1576" s="265">
        <v>150</v>
      </c>
      <c r="G1576" s="265"/>
      <c r="H1576" s="265">
        <f t="shared" si="32"/>
        <v>150</v>
      </c>
    </row>
    <row r="1577" spans="2:9" x14ac:dyDescent="0.2">
      <c r="B1577" s="262" t="s">
        <v>1881</v>
      </c>
      <c r="C1577" s="263">
        <v>42768</v>
      </c>
      <c r="D1577" s="264" t="s">
        <v>2992</v>
      </c>
      <c r="E1577" s="264" t="s">
        <v>3555</v>
      </c>
      <c r="F1577" s="265">
        <v>250</v>
      </c>
      <c r="G1577" s="265"/>
      <c r="H1577" s="265">
        <f t="shared" si="32"/>
        <v>250</v>
      </c>
    </row>
    <row r="1578" spans="2:9" x14ac:dyDescent="0.2">
      <c r="B1578" s="262" t="s">
        <v>1860</v>
      </c>
      <c r="C1578" s="263">
        <v>42768</v>
      </c>
      <c r="D1578" s="264" t="s">
        <v>1891</v>
      </c>
      <c r="E1578" s="264" t="s">
        <v>3556</v>
      </c>
      <c r="F1578" s="265">
        <v>1575.12</v>
      </c>
      <c r="G1578" s="265"/>
      <c r="H1578" s="265">
        <f t="shared" si="32"/>
        <v>1575.12</v>
      </c>
    </row>
    <row r="1579" spans="2:9" x14ac:dyDescent="0.2">
      <c r="B1579" s="262" t="s">
        <v>1860</v>
      </c>
      <c r="C1579" s="263">
        <v>42768</v>
      </c>
      <c r="D1579" s="264" t="s">
        <v>1891</v>
      </c>
      <c r="E1579" s="264" t="s">
        <v>3314</v>
      </c>
      <c r="F1579" s="265">
        <v>55.9</v>
      </c>
      <c r="G1579" s="265"/>
      <c r="H1579" s="265">
        <f t="shared" si="32"/>
        <v>55.9</v>
      </c>
    </row>
    <row r="1580" spans="2:9" x14ac:dyDescent="0.2">
      <c r="B1580" s="262" t="s">
        <v>1884</v>
      </c>
      <c r="C1580" s="263">
        <v>42768</v>
      </c>
      <c r="D1580" s="264" t="s">
        <v>1915</v>
      </c>
      <c r="E1580" s="264" t="s">
        <v>3557</v>
      </c>
      <c r="F1580" s="265">
        <v>300</v>
      </c>
      <c r="G1580" s="265"/>
      <c r="H1580" s="265">
        <f t="shared" ref="H1580:H1643" si="33">SUM(F1580:G1580)</f>
        <v>300</v>
      </c>
    </row>
    <row r="1581" spans="2:9" x14ac:dyDescent="0.2">
      <c r="B1581" s="262" t="s">
        <v>1862</v>
      </c>
      <c r="C1581" s="263">
        <v>42768</v>
      </c>
      <c r="D1581" s="264" t="s">
        <v>1891</v>
      </c>
      <c r="E1581" s="264" t="s">
        <v>3558</v>
      </c>
      <c r="F1581" s="265">
        <v>2999</v>
      </c>
      <c r="G1581" s="265"/>
      <c r="H1581" s="265">
        <f t="shared" si="33"/>
        <v>2999</v>
      </c>
    </row>
    <row r="1582" spans="2:9" x14ac:dyDescent="0.2">
      <c r="B1582" s="262" t="s">
        <v>1865</v>
      </c>
      <c r="C1582" s="263">
        <v>42768</v>
      </c>
      <c r="D1582" s="264" t="s">
        <v>3097</v>
      </c>
      <c r="E1582" s="264" t="s">
        <v>3559</v>
      </c>
      <c r="F1582" s="265">
        <v>450</v>
      </c>
      <c r="G1582" s="265"/>
      <c r="H1582" s="265">
        <f t="shared" si="33"/>
        <v>450</v>
      </c>
    </row>
    <row r="1583" spans="2:9" x14ac:dyDescent="0.2">
      <c r="B1583" s="262" t="s">
        <v>1884</v>
      </c>
      <c r="C1583" s="263">
        <v>42768</v>
      </c>
      <c r="D1583" s="264" t="s">
        <v>3560</v>
      </c>
      <c r="E1583" s="264" t="s">
        <v>3561</v>
      </c>
      <c r="F1583" s="265">
        <v>1000</v>
      </c>
      <c r="G1583" s="265"/>
      <c r="H1583" s="265">
        <f t="shared" si="33"/>
        <v>1000</v>
      </c>
    </row>
    <row r="1584" spans="2:9" x14ac:dyDescent="0.2">
      <c r="B1584" s="262" t="s">
        <v>1862</v>
      </c>
      <c r="C1584" s="263">
        <v>42768</v>
      </c>
      <c r="D1584" s="264" t="s">
        <v>1892</v>
      </c>
      <c r="E1584" s="264" t="s">
        <v>3562</v>
      </c>
      <c r="F1584" s="265">
        <v>6150</v>
      </c>
      <c r="G1584" s="265"/>
      <c r="H1584" s="265">
        <f t="shared" si="33"/>
        <v>6150</v>
      </c>
    </row>
    <row r="1585" spans="2:8" x14ac:dyDescent="0.2">
      <c r="B1585" s="262" t="s">
        <v>1884</v>
      </c>
      <c r="C1585" s="263">
        <v>42768</v>
      </c>
      <c r="D1585" s="264" t="s">
        <v>1911</v>
      </c>
      <c r="E1585" s="264" t="s">
        <v>3563</v>
      </c>
      <c r="F1585" s="265">
        <v>180</v>
      </c>
      <c r="G1585" s="265"/>
      <c r="H1585" s="265">
        <f t="shared" si="33"/>
        <v>180</v>
      </c>
    </row>
    <row r="1586" spans="2:8" x14ac:dyDescent="0.2">
      <c r="B1586" s="262" t="s">
        <v>1863</v>
      </c>
      <c r="C1586" s="263">
        <v>42768</v>
      </c>
      <c r="D1586" s="264" t="s">
        <v>1873</v>
      </c>
      <c r="E1586" s="264" t="s">
        <v>3564</v>
      </c>
      <c r="F1586" s="265">
        <v>200</v>
      </c>
      <c r="G1586" s="265"/>
      <c r="H1586" s="265">
        <f t="shared" si="33"/>
        <v>200</v>
      </c>
    </row>
    <row r="1587" spans="2:8" x14ac:dyDescent="0.2">
      <c r="B1587" s="262" t="s">
        <v>1805</v>
      </c>
      <c r="C1587" s="263">
        <v>42769</v>
      </c>
      <c r="D1587" s="264" t="s">
        <v>3565</v>
      </c>
      <c r="E1587" s="264" t="s">
        <v>3566</v>
      </c>
      <c r="F1587" s="265">
        <v>1000</v>
      </c>
      <c r="G1587" s="265"/>
      <c r="H1587" s="265">
        <f t="shared" si="33"/>
        <v>1000</v>
      </c>
    </row>
    <row r="1588" spans="2:8" x14ac:dyDescent="0.2">
      <c r="B1588" s="262" t="s">
        <v>1877</v>
      </c>
      <c r="C1588" s="263">
        <v>42769</v>
      </c>
      <c r="D1588" s="264" t="s">
        <v>1889</v>
      </c>
      <c r="E1588" s="264" t="s">
        <v>3567</v>
      </c>
      <c r="F1588" s="265">
        <v>300</v>
      </c>
      <c r="G1588" s="265"/>
      <c r="H1588" s="265">
        <f t="shared" si="33"/>
        <v>300</v>
      </c>
    </row>
    <row r="1589" spans="2:8" x14ac:dyDescent="0.2">
      <c r="B1589" s="262" t="s">
        <v>1884</v>
      </c>
      <c r="C1589" s="263">
        <v>42770</v>
      </c>
      <c r="D1589" s="264" t="s">
        <v>1915</v>
      </c>
      <c r="E1589" s="264" t="s">
        <v>3568</v>
      </c>
      <c r="F1589" s="265">
        <v>500</v>
      </c>
      <c r="G1589" s="265"/>
      <c r="H1589" s="265">
        <f t="shared" si="33"/>
        <v>500</v>
      </c>
    </row>
    <row r="1590" spans="2:8" x14ac:dyDescent="0.2">
      <c r="B1590" s="262" t="s">
        <v>1863</v>
      </c>
      <c r="C1590" s="263">
        <v>42771</v>
      </c>
      <c r="D1590" s="264" t="s">
        <v>1878</v>
      </c>
      <c r="E1590" s="264" t="s">
        <v>3570</v>
      </c>
      <c r="F1590" s="265">
        <v>500</v>
      </c>
      <c r="G1590" s="265"/>
      <c r="H1590" s="265">
        <f t="shared" si="33"/>
        <v>500</v>
      </c>
    </row>
    <row r="1591" spans="2:8" x14ac:dyDescent="0.2">
      <c r="B1591" s="262" t="s">
        <v>1864</v>
      </c>
      <c r="C1591" s="263">
        <v>42771</v>
      </c>
      <c r="D1591" s="264" t="s">
        <v>2535</v>
      </c>
      <c r="E1591" s="264" t="s">
        <v>2636</v>
      </c>
      <c r="F1591" s="265">
        <v>150</v>
      </c>
      <c r="G1591" s="265"/>
      <c r="H1591" s="265">
        <f t="shared" si="33"/>
        <v>150</v>
      </c>
    </row>
    <row r="1592" spans="2:8" x14ac:dyDescent="0.2">
      <c r="B1592" s="262" t="s">
        <v>1881</v>
      </c>
      <c r="C1592" s="263">
        <v>42771</v>
      </c>
      <c r="D1592" s="264" t="s">
        <v>2250</v>
      </c>
      <c r="E1592" s="264" t="s">
        <v>3569</v>
      </c>
      <c r="F1592" s="265">
        <v>120</v>
      </c>
      <c r="G1592" s="265"/>
      <c r="H1592" s="265">
        <f t="shared" si="33"/>
        <v>120</v>
      </c>
    </row>
    <row r="1593" spans="2:8" x14ac:dyDescent="0.2">
      <c r="B1593" s="262" t="s">
        <v>1863</v>
      </c>
      <c r="C1593" s="263">
        <v>42771</v>
      </c>
      <c r="D1593" s="264" t="s">
        <v>2250</v>
      </c>
      <c r="E1593" s="264" t="s">
        <v>3571</v>
      </c>
      <c r="F1593" s="265">
        <v>150</v>
      </c>
      <c r="G1593" s="265"/>
      <c r="H1593" s="265">
        <f t="shared" si="33"/>
        <v>150</v>
      </c>
    </row>
    <row r="1594" spans="2:8" x14ac:dyDescent="0.2">
      <c r="B1594" s="262" t="s">
        <v>1884</v>
      </c>
      <c r="C1594" s="263">
        <v>42771</v>
      </c>
      <c r="D1594" s="264" t="s">
        <v>1915</v>
      </c>
      <c r="E1594" s="264" t="s">
        <v>3572</v>
      </c>
      <c r="F1594" s="265">
        <v>200</v>
      </c>
      <c r="G1594" s="265"/>
      <c r="H1594" s="265">
        <f t="shared" si="33"/>
        <v>200</v>
      </c>
    </row>
    <row r="1595" spans="2:8" x14ac:dyDescent="0.2">
      <c r="B1595" s="262" t="s">
        <v>1866</v>
      </c>
      <c r="C1595" s="263">
        <v>42772</v>
      </c>
      <c r="D1595" s="264" t="s">
        <v>1890</v>
      </c>
      <c r="E1595" s="264" t="s">
        <v>2849</v>
      </c>
      <c r="F1595" s="265">
        <v>310</v>
      </c>
      <c r="G1595" s="265"/>
      <c r="H1595" s="265">
        <f t="shared" si="33"/>
        <v>310</v>
      </c>
    </row>
    <row r="1596" spans="2:8" x14ac:dyDescent="0.2">
      <c r="B1596" s="262" t="s">
        <v>1866</v>
      </c>
      <c r="C1596" s="263">
        <v>42772</v>
      </c>
      <c r="D1596" s="264" t="s">
        <v>2535</v>
      </c>
      <c r="E1596" s="264" t="s">
        <v>3573</v>
      </c>
      <c r="F1596" s="265">
        <v>108</v>
      </c>
      <c r="G1596" s="265"/>
      <c r="H1596" s="265">
        <f t="shared" si="33"/>
        <v>108</v>
      </c>
    </row>
    <row r="1597" spans="2:8" x14ac:dyDescent="0.2">
      <c r="B1597" s="262" t="s">
        <v>1875</v>
      </c>
      <c r="C1597" s="263">
        <v>42772</v>
      </c>
      <c r="D1597" s="264" t="s">
        <v>2535</v>
      </c>
      <c r="E1597" s="264" t="s">
        <v>2109</v>
      </c>
      <c r="F1597" s="265">
        <v>72</v>
      </c>
      <c r="G1597" s="265"/>
      <c r="H1597" s="265">
        <f t="shared" si="33"/>
        <v>72</v>
      </c>
    </row>
    <row r="1598" spans="2:8" x14ac:dyDescent="0.2">
      <c r="B1598" s="262" t="s">
        <v>1864</v>
      </c>
      <c r="C1598" s="263">
        <v>42772</v>
      </c>
      <c r="D1598" s="264" t="s">
        <v>3565</v>
      </c>
      <c r="E1598" s="264" t="s">
        <v>3574</v>
      </c>
      <c r="F1598" s="265">
        <v>400</v>
      </c>
      <c r="G1598" s="265"/>
      <c r="H1598" s="265">
        <f t="shared" si="33"/>
        <v>400</v>
      </c>
    </row>
    <row r="1599" spans="2:8" x14ac:dyDescent="0.2">
      <c r="B1599" s="262" t="s">
        <v>1863</v>
      </c>
      <c r="C1599" s="263">
        <v>42773</v>
      </c>
      <c r="D1599" s="264" t="s">
        <v>1878</v>
      </c>
      <c r="E1599" s="264" t="s">
        <v>3575</v>
      </c>
      <c r="F1599" s="265">
        <v>500</v>
      </c>
      <c r="G1599" s="265"/>
      <c r="H1599" s="265">
        <f t="shared" si="33"/>
        <v>500</v>
      </c>
    </row>
    <row r="1600" spans="2:8" x14ac:dyDescent="0.2">
      <c r="B1600" s="262" t="s">
        <v>1863</v>
      </c>
      <c r="C1600" s="263">
        <v>42773</v>
      </c>
      <c r="D1600" s="264" t="s">
        <v>2992</v>
      </c>
      <c r="E1600" s="264" t="s">
        <v>3576</v>
      </c>
      <c r="F1600" s="265">
        <v>250</v>
      </c>
      <c r="G1600" s="265"/>
      <c r="H1600" s="265">
        <f t="shared" si="33"/>
        <v>250</v>
      </c>
    </row>
    <row r="1601" spans="2:8" x14ac:dyDescent="0.2">
      <c r="B1601" s="262" t="s">
        <v>1863</v>
      </c>
      <c r="C1601" s="263">
        <v>42773</v>
      </c>
      <c r="D1601" s="264" t="s">
        <v>1878</v>
      </c>
      <c r="E1601" s="264" t="s">
        <v>3577</v>
      </c>
      <c r="F1601" s="265">
        <v>200</v>
      </c>
      <c r="G1601" s="265"/>
      <c r="H1601" s="265">
        <f t="shared" si="33"/>
        <v>200</v>
      </c>
    </row>
    <row r="1602" spans="2:8" x14ac:dyDescent="0.2">
      <c r="B1602" s="262" t="s">
        <v>1577</v>
      </c>
      <c r="C1602" s="263">
        <v>42773</v>
      </c>
      <c r="D1602" s="264" t="s">
        <v>3578</v>
      </c>
      <c r="E1602" s="264" t="s">
        <v>3579</v>
      </c>
      <c r="F1602" s="265">
        <v>15050</v>
      </c>
      <c r="G1602" s="265"/>
      <c r="H1602" s="265">
        <f t="shared" si="33"/>
        <v>15050</v>
      </c>
    </row>
    <row r="1603" spans="2:8" x14ac:dyDescent="0.2">
      <c r="B1603" s="262" t="s">
        <v>1866</v>
      </c>
      <c r="C1603" s="263">
        <v>42773</v>
      </c>
      <c r="D1603" s="264" t="s">
        <v>1890</v>
      </c>
      <c r="E1603" s="264" t="s">
        <v>3580</v>
      </c>
      <c r="F1603" s="265">
        <v>110</v>
      </c>
      <c r="G1603" s="265"/>
      <c r="H1603" s="265">
        <f t="shared" si="33"/>
        <v>110</v>
      </c>
    </row>
    <row r="1604" spans="2:8" x14ac:dyDescent="0.2">
      <c r="B1604" s="262" t="s">
        <v>1884</v>
      </c>
      <c r="C1604" s="263">
        <v>42774</v>
      </c>
      <c r="D1604" s="264" t="s">
        <v>2391</v>
      </c>
      <c r="E1604" s="264" t="s">
        <v>3237</v>
      </c>
      <c r="F1604" s="265">
        <v>326.39999999999998</v>
      </c>
      <c r="G1604" s="265"/>
      <c r="H1604" s="265">
        <f t="shared" si="33"/>
        <v>326.39999999999998</v>
      </c>
    </row>
    <row r="1605" spans="2:8" x14ac:dyDescent="0.2">
      <c r="B1605" s="262" t="s">
        <v>1884</v>
      </c>
      <c r="C1605" s="263">
        <v>42774</v>
      </c>
      <c r="D1605" s="264" t="s">
        <v>2262</v>
      </c>
      <c r="E1605" s="264" t="s">
        <v>3581</v>
      </c>
      <c r="F1605" s="265">
        <v>114</v>
      </c>
      <c r="G1605" s="265"/>
      <c r="H1605" s="265">
        <f t="shared" si="33"/>
        <v>114</v>
      </c>
    </row>
    <row r="1606" spans="2:8" x14ac:dyDescent="0.2">
      <c r="B1606" s="262" t="s">
        <v>1884</v>
      </c>
      <c r="C1606" s="263">
        <v>42774</v>
      </c>
      <c r="D1606" s="264" t="s">
        <v>3582</v>
      </c>
      <c r="E1606" s="264" t="s">
        <v>3489</v>
      </c>
      <c r="F1606" s="265">
        <v>500</v>
      </c>
      <c r="G1606" s="265"/>
      <c r="H1606" s="265">
        <f t="shared" si="33"/>
        <v>500</v>
      </c>
    </row>
    <row r="1607" spans="2:8" x14ac:dyDescent="0.2">
      <c r="B1607" s="262" t="s">
        <v>1884</v>
      </c>
      <c r="C1607" s="263">
        <v>42774</v>
      </c>
      <c r="D1607" s="264" t="s">
        <v>3583</v>
      </c>
      <c r="E1607" s="264" t="s">
        <v>3584</v>
      </c>
      <c r="F1607" s="265">
        <v>240</v>
      </c>
      <c r="G1607" s="265"/>
      <c r="H1607" s="265">
        <f t="shared" si="33"/>
        <v>240</v>
      </c>
    </row>
    <row r="1608" spans="2:8" x14ac:dyDescent="0.2">
      <c r="B1608" s="262" t="s">
        <v>1857</v>
      </c>
      <c r="C1608" s="263">
        <v>42774</v>
      </c>
      <c r="D1608" s="264" t="s">
        <v>1872</v>
      </c>
      <c r="E1608" s="264" t="s">
        <v>3585</v>
      </c>
      <c r="F1608" s="265">
        <v>800</v>
      </c>
      <c r="G1608" s="265"/>
      <c r="H1608" s="265">
        <f t="shared" si="33"/>
        <v>800</v>
      </c>
    </row>
    <row r="1609" spans="2:8" x14ac:dyDescent="0.2">
      <c r="B1609" s="262" t="s">
        <v>1884</v>
      </c>
      <c r="C1609" s="263">
        <v>42775</v>
      </c>
      <c r="D1609" s="264" t="s">
        <v>3586</v>
      </c>
      <c r="E1609" s="264" t="s">
        <v>3587</v>
      </c>
      <c r="F1609" s="265">
        <v>196</v>
      </c>
      <c r="G1609" s="265"/>
      <c r="H1609" s="265">
        <f t="shared" si="33"/>
        <v>196</v>
      </c>
    </row>
    <row r="1610" spans="2:8" x14ac:dyDescent="0.2">
      <c r="B1610" s="262" t="s">
        <v>1884</v>
      </c>
      <c r="C1610" s="263">
        <v>42775</v>
      </c>
      <c r="D1610" s="264" t="s">
        <v>3586</v>
      </c>
      <c r="E1610" s="264" t="s">
        <v>3588</v>
      </c>
      <c r="F1610" s="265">
        <v>196</v>
      </c>
      <c r="G1610" s="265"/>
      <c r="H1610" s="265">
        <f t="shared" si="33"/>
        <v>196</v>
      </c>
    </row>
    <row r="1611" spans="2:8" x14ac:dyDescent="0.2">
      <c r="B1611" s="262" t="s">
        <v>1805</v>
      </c>
      <c r="C1611" s="263">
        <v>42775</v>
      </c>
      <c r="D1611" s="264" t="s">
        <v>3565</v>
      </c>
      <c r="E1611" s="264" t="s">
        <v>3589</v>
      </c>
      <c r="F1611" s="265">
        <v>1000</v>
      </c>
      <c r="G1611" s="265"/>
      <c r="H1611" s="265">
        <f t="shared" si="33"/>
        <v>1000</v>
      </c>
    </row>
    <row r="1612" spans="2:8" x14ac:dyDescent="0.2">
      <c r="B1612" s="262" t="s">
        <v>1884</v>
      </c>
      <c r="C1612" s="263">
        <v>42775</v>
      </c>
      <c r="D1612" s="264" t="s">
        <v>3560</v>
      </c>
      <c r="E1612" s="264" t="s">
        <v>3590</v>
      </c>
      <c r="F1612" s="265">
        <v>200</v>
      </c>
      <c r="G1612" s="265"/>
      <c r="H1612" s="265">
        <f t="shared" si="33"/>
        <v>200</v>
      </c>
    </row>
    <row r="1613" spans="2:8" x14ac:dyDescent="0.2">
      <c r="B1613" s="262" t="s">
        <v>1862</v>
      </c>
      <c r="C1613" s="263">
        <v>42775</v>
      </c>
      <c r="D1613" s="264" t="s">
        <v>1892</v>
      </c>
      <c r="E1613" s="264" t="s">
        <v>3591</v>
      </c>
      <c r="F1613" s="265">
        <v>2200</v>
      </c>
      <c r="G1613" s="265"/>
      <c r="H1613" s="265">
        <f t="shared" si="33"/>
        <v>2200</v>
      </c>
    </row>
    <row r="1614" spans="2:8" x14ac:dyDescent="0.2">
      <c r="B1614" s="262" t="s">
        <v>1863</v>
      </c>
      <c r="C1614" s="263">
        <v>42776</v>
      </c>
      <c r="D1614" s="264" t="s">
        <v>1878</v>
      </c>
      <c r="E1614" s="264" t="s">
        <v>3592</v>
      </c>
      <c r="F1614" s="265">
        <v>500</v>
      </c>
      <c r="G1614" s="265"/>
      <c r="H1614" s="265">
        <f t="shared" si="33"/>
        <v>500</v>
      </c>
    </row>
    <row r="1615" spans="2:8" x14ac:dyDescent="0.2">
      <c r="B1615" s="262" t="s">
        <v>1875</v>
      </c>
      <c r="C1615" s="263">
        <v>42776</v>
      </c>
      <c r="D1615" s="264" t="s">
        <v>1897</v>
      </c>
      <c r="E1615" s="264" t="s">
        <v>1942</v>
      </c>
      <c r="F1615" s="265">
        <v>170</v>
      </c>
      <c r="G1615" s="265"/>
      <c r="H1615" s="265">
        <f t="shared" si="33"/>
        <v>170</v>
      </c>
    </row>
    <row r="1616" spans="2:8" x14ac:dyDescent="0.2">
      <c r="B1616" s="262" t="s">
        <v>1864</v>
      </c>
      <c r="C1616" s="263">
        <v>42778</v>
      </c>
      <c r="D1616" s="264" t="s">
        <v>2535</v>
      </c>
      <c r="E1616" s="264" t="s">
        <v>3302</v>
      </c>
      <c r="F1616" s="265">
        <v>60</v>
      </c>
      <c r="G1616" s="265"/>
      <c r="H1616" s="265">
        <f t="shared" si="33"/>
        <v>60</v>
      </c>
    </row>
    <row r="1617" spans="2:8" x14ac:dyDescent="0.2">
      <c r="B1617" s="262" t="s">
        <v>1881</v>
      </c>
      <c r="C1617" s="263">
        <v>42778</v>
      </c>
      <c r="D1617" s="264" t="s">
        <v>2250</v>
      </c>
      <c r="E1617" s="264" t="s">
        <v>2321</v>
      </c>
      <c r="F1617" s="265">
        <v>120</v>
      </c>
      <c r="G1617" s="265"/>
      <c r="H1617" s="265">
        <f t="shared" si="33"/>
        <v>120</v>
      </c>
    </row>
    <row r="1618" spans="2:8" x14ac:dyDescent="0.2">
      <c r="B1618" s="262" t="s">
        <v>1863</v>
      </c>
      <c r="C1618" s="263">
        <v>42778</v>
      </c>
      <c r="D1618" s="264" t="s">
        <v>2250</v>
      </c>
      <c r="E1618" s="264" t="s">
        <v>3593</v>
      </c>
      <c r="F1618" s="265">
        <v>150</v>
      </c>
      <c r="G1618" s="265"/>
      <c r="H1618" s="265">
        <f t="shared" si="33"/>
        <v>150</v>
      </c>
    </row>
    <row r="1619" spans="2:8" x14ac:dyDescent="0.2">
      <c r="B1619" s="262" t="s">
        <v>1884</v>
      </c>
      <c r="C1619" s="263">
        <v>42779</v>
      </c>
      <c r="D1619" s="264" t="s">
        <v>2535</v>
      </c>
      <c r="E1619" s="264" t="s">
        <v>3594</v>
      </c>
      <c r="F1619" s="265">
        <v>100.2</v>
      </c>
      <c r="G1619" s="265"/>
      <c r="H1619" s="265">
        <f t="shared" si="33"/>
        <v>100.2</v>
      </c>
    </row>
    <row r="1620" spans="2:8" x14ac:dyDescent="0.2">
      <c r="B1620" s="262" t="s">
        <v>1865</v>
      </c>
      <c r="C1620" s="263">
        <v>42779</v>
      </c>
      <c r="D1620" s="264" t="s">
        <v>3097</v>
      </c>
      <c r="E1620" s="264" t="s">
        <v>3595</v>
      </c>
      <c r="F1620" s="265">
        <v>300</v>
      </c>
      <c r="G1620" s="265"/>
      <c r="H1620" s="265">
        <f t="shared" si="33"/>
        <v>300</v>
      </c>
    </row>
    <row r="1621" spans="2:8" x14ac:dyDescent="0.2">
      <c r="B1621" s="262" t="s">
        <v>1866</v>
      </c>
      <c r="C1621" s="263">
        <v>42779</v>
      </c>
      <c r="D1621" s="264" t="s">
        <v>1890</v>
      </c>
      <c r="E1621" s="264" t="s">
        <v>3596</v>
      </c>
      <c r="F1621" s="265">
        <v>75</v>
      </c>
      <c r="G1621" s="265"/>
      <c r="H1621" s="265">
        <f t="shared" si="33"/>
        <v>75</v>
      </c>
    </row>
    <row r="1622" spans="2:8" x14ac:dyDescent="0.2">
      <c r="B1622" s="262" t="s">
        <v>1866</v>
      </c>
      <c r="C1622" s="263">
        <v>42779</v>
      </c>
      <c r="D1622" s="264" t="s">
        <v>1890</v>
      </c>
      <c r="E1622" s="264" t="s">
        <v>3476</v>
      </c>
      <c r="F1622" s="265">
        <v>310</v>
      </c>
      <c r="G1622" s="265"/>
      <c r="H1622" s="265">
        <f t="shared" si="33"/>
        <v>310</v>
      </c>
    </row>
    <row r="1623" spans="2:8" x14ac:dyDescent="0.2">
      <c r="B1623" s="262" t="s">
        <v>1870</v>
      </c>
      <c r="C1623" s="263">
        <v>42779</v>
      </c>
      <c r="D1623" s="264" t="s">
        <v>1892</v>
      </c>
      <c r="E1623" s="264" t="s">
        <v>3597</v>
      </c>
      <c r="F1623" s="265">
        <v>180</v>
      </c>
      <c r="G1623" s="265"/>
      <c r="H1623" s="265">
        <f t="shared" si="33"/>
        <v>180</v>
      </c>
    </row>
    <row r="1624" spans="2:8" x14ac:dyDescent="0.2">
      <c r="B1624" s="262" t="s">
        <v>1865</v>
      </c>
      <c r="C1624" s="263">
        <v>42779</v>
      </c>
      <c r="D1624" s="264" t="s">
        <v>3097</v>
      </c>
      <c r="E1624" s="264" t="s">
        <v>3598</v>
      </c>
      <c r="F1624" s="265">
        <v>450</v>
      </c>
      <c r="G1624" s="265"/>
      <c r="H1624" s="265">
        <f t="shared" si="33"/>
        <v>450</v>
      </c>
    </row>
    <row r="1625" spans="2:8" x14ac:dyDescent="0.2">
      <c r="B1625" s="262" t="s">
        <v>1881</v>
      </c>
      <c r="C1625" s="263">
        <v>42780</v>
      </c>
      <c r="D1625" s="264" t="s">
        <v>3599</v>
      </c>
      <c r="E1625" s="264" t="s">
        <v>3600</v>
      </c>
      <c r="F1625" s="265">
        <v>200</v>
      </c>
      <c r="G1625" s="265"/>
      <c r="H1625" s="265">
        <f t="shared" si="33"/>
        <v>200</v>
      </c>
    </row>
    <row r="1626" spans="2:8" x14ac:dyDescent="0.2">
      <c r="B1626" s="262" t="s">
        <v>1870</v>
      </c>
      <c r="C1626" s="263">
        <v>42780</v>
      </c>
      <c r="D1626" s="264" t="s">
        <v>1892</v>
      </c>
      <c r="E1626" s="264" t="s">
        <v>3601</v>
      </c>
      <c r="F1626" s="265">
        <v>1100</v>
      </c>
      <c r="G1626" s="265"/>
      <c r="H1626" s="265">
        <f t="shared" si="33"/>
        <v>1100</v>
      </c>
    </row>
    <row r="1627" spans="2:8" x14ac:dyDescent="0.2">
      <c r="B1627" s="262" t="s">
        <v>1884</v>
      </c>
      <c r="C1627" s="263">
        <v>42780</v>
      </c>
      <c r="D1627" s="264" t="s">
        <v>2288</v>
      </c>
      <c r="E1627" s="264" t="s">
        <v>3602</v>
      </c>
      <c r="F1627" s="265">
        <v>158</v>
      </c>
      <c r="G1627" s="265"/>
      <c r="H1627" s="265">
        <f t="shared" si="33"/>
        <v>158</v>
      </c>
    </row>
    <row r="1628" spans="2:8" x14ac:dyDescent="0.2">
      <c r="B1628" s="262" t="s">
        <v>1866</v>
      </c>
      <c r="C1628" s="263">
        <v>42780</v>
      </c>
      <c r="D1628" s="264" t="s">
        <v>2535</v>
      </c>
      <c r="E1628" s="264" t="s">
        <v>3603</v>
      </c>
      <c r="F1628" s="265">
        <v>84</v>
      </c>
      <c r="G1628" s="265"/>
      <c r="H1628" s="265">
        <f t="shared" si="33"/>
        <v>84</v>
      </c>
    </row>
    <row r="1629" spans="2:8" x14ac:dyDescent="0.2">
      <c r="B1629" s="262" t="s">
        <v>1881</v>
      </c>
      <c r="C1629" s="263">
        <v>42780</v>
      </c>
      <c r="D1629" s="264" t="s">
        <v>2535</v>
      </c>
      <c r="E1629" s="264" t="s">
        <v>3600</v>
      </c>
      <c r="F1629" s="265">
        <v>58</v>
      </c>
      <c r="G1629" s="265"/>
      <c r="H1629" s="265">
        <f t="shared" si="33"/>
        <v>58</v>
      </c>
    </row>
    <row r="1630" spans="2:8" x14ac:dyDescent="0.2">
      <c r="B1630" s="262" t="s">
        <v>1577</v>
      </c>
      <c r="C1630" s="263">
        <v>42781</v>
      </c>
      <c r="D1630" s="264" t="s">
        <v>3578</v>
      </c>
      <c r="E1630" s="264" t="s">
        <v>4286</v>
      </c>
      <c r="F1630" s="265">
        <v>15050</v>
      </c>
      <c r="G1630" s="265"/>
      <c r="H1630" s="265">
        <f t="shared" si="33"/>
        <v>15050</v>
      </c>
    </row>
    <row r="1631" spans="2:8" x14ac:dyDescent="0.2">
      <c r="B1631" s="262" t="s">
        <v>1859</v>
      </c>
      <c r="C1631" s="263">
        <v>42781</v>
      </c>
      <c r="D1631" s="264" t="s">
        <v>1911</v>
      </c>
      <c r="E1631" s="264" t="s">
        <v>3604</v>
      </c>
      <c r="F1631" s="265">
        <v>4000</v>
      </c>
      <c r="G1631" s="265"/>
      <c r="H1631" s="265">
        <f t="shared" si="33"/>
        <v>4000</v>
      </c>
    </row>
    <row r="1632" spans="2:8" x14ac:dyDescent="0.2">
      <c r="B1632" s="262" t="s">
        <v>1881</v>
      </c>
      <c r="C1632" s="263">
        <v>42781</v>
      </c>
      <c r="D1632" s="264" t="s">
        <v>1873</v>
      </c>
      <c r="E1632" s="368" t="s">
        <v>3605</v>
      </c>
      <c r="F1632" s="265">
        <v>450</v>
      </c>
      <c r="G1632" s="265"/>
      <c r="H1632" s="265">
        <f t="shared" si="33"/>
        <v>450</v>
      </c>
    </row>
    <row r="1633" spans="2:8" x14ac:dyDescent="0.2">
      <c r="B1633" s="262" t="s">
        <v>1881</v>
      </c>
      <c r="C1633" s="263">
        <v>42781</v>
      </c>
      <c r="D1633" s="264" t="s">
        <v>2250</v>
      </c>
      <c r="E1633" s="264" t="s">
        <v>3606</v>
      </c>
      <c r="F1633" s="265">
        <v>350</v>
      </c>
      <c r="G1633" s="265"/>
      <c r="H1633" s="265">
        <f t="shared" si="33"/>
        <v>350</v>
      </c>
    </row>
    <row r="1634" spans="2:8" x14ac:dyDescent="0.2">
      <c r="B1634" s="262" t="s">
        <v>1862</v>
      </c>
      <c r="C1634" s="263">
        <v>42782</v>
      </c>
      <c r="D1634" s="264" t="s">
        <v>3607</v>
      </c>
      <c r="E1634" s="264" t="s">
        <v>3608</v>
      </c>
      <c r="F1634" s="265">
        <v>85</v>
      </c>
      <c r="G1634" s="265"/>
      <c r="H1634" s="265">
        <f t="shared" si="33"/>
        <v>85</v>
      </c>
    </row>
    <row r="1635" spans="2:8" x14ac:dyDescent="0.2">
      <c r="B1635" s="262" t="s">
        <v>1862</v>
      </c>
      <c r="C1635" s="263">
        <v>42782</v>
      </c>
      <c r="D1635" s="264" t="s">
        <v>2992</v>
      </c>
      <c r="E1635" s="264" t="s">
        <v>3609</v>
      </c>
      <c r="F1635" s="265">
        <v>100</v>
      </c>
      <c r="G1635" s="265"/>
      <c r="H1635" s="265">
        <f t="shared" si="33"/>
        <v>100</v>
      </c>
    </row>
    <row r="1636" spans="2:8" x14ac:dyDescent="0.2">
      <c r="B1636" s="262" t="s">
        <v>1870</v>
      </c>
      <c r="C1636" s="263">
        <v>42782</v>
      </c>
      <c r="D1636" s="264" t="s">
        <v>3610</v>
      </c>
      <c r="E1636" s="264" t="s">
        <v>3611</v>
      </c>
      <c r="F1636" s="265">
        <v>300</v>
      </c>
      <c r="G1636" s="265"/>
      <c r="H1636" s="265">
        <f t="shared" si="33"/>
        <v>300</v>
      </c>
    </row>
    <row r="1637" spans="2:8" x14ac:dyDescent="0.2">
      <c r="B1637" s="262" t="s">
        <v>1879</v>
      </c>
      <c r="C1637" s="263">
        <v>42782</v>
      </c>
      <c r="D1637" s="264" t="s">
        <v>1892</v>
      </c>
      <c r="E1637" s="264" t="s">
        <v>3612</v>
      </c>
      <c r="F1637" s="265">
        <v>350</v>
      </c>
      <c r="G1637" s="265"/>
      <c r="H1637" s="265">
        <f t="shared" si="33"/>
        <v>350</v>
      </c>
    </row>
    <row r="1638" spans="2:8" x14ac:dyDescent="0.2">
      <c r="B1638" s="262" t="s">
        <v>1870</v>
      </c>
      <c r="C1638" s="263">
        <v>42782</v>
      </c>
      <c r="D1638" s="264" t="s">
        <v>1892</v>
      </c>
      <c r="E1638" s="264" t="s">
        <v>3613</v>
      </c>
      <c r="F1638" s="265">
        <v>400</v>
      </c>
      <c r="G1638" s="265"/>
      <c r="H1638" s="265">
        <f t="shared" si="33"/>
        <v>400</v>
      </c>
    </row>
    <row r="1639" spans="2:8" x14ac:dyDescent="0.2">
      <c r="B1639" s="262" t="s">
        <v>1862</v>
      </c>
      <c r="C1639" s="263">
        <v>42783</v>
      </c>
      <c r="D1639" s="264" t="s">
        <v>1892</v>
      </c>
      <c r="E1639" s="264" t="s">
        <v>3614</v>
      </c>
      <c r="F1639" s="265">
        <v>300</v>
      </c>
      <c r="G1639" s="265"/>
      <c r="H1639" s="265">
        <f t="shared" si="33"/>
        <v>300</v>
      </c>
    </row>
    <row r="1640" spans="2:8" x14ac:dyDescent="0.2">
      <c r="B1640" s="262" t="s">
        <v>1881</v>
      </c>
      <c r="C1640" s="263">
        <v>42783</v>
      </c>
      <c r="D1640" s="264" t="s">
        <v>1897</v>
      </c>
      <c r="E1640" s="264" t="s">
        <v>3615</v>
      </c>
      <c r="F1640" s="265">
        <v>500</v>
      </c>
      <c r="G1640" s="265"/>
      <c r="H1640" s="265">
        <f t="shared" si="33"/>
        <v>500</v>
      </c>
    </row>
    <row r="1641" spans="2:8" x14ac:dyDescent="0.2">
      <c r="B1641" s="262" t="s">
        <v>1866</v>
      </c>
      <c r="C1641" s="263">
        <v>42783</v>
      </c>
      <c r="D1641" s="264" t="s">
        <v>1890</v>
      </c>
      <c r="E1641" s="264" t="s">
        <v>3476</v>
      </c>
      <c r="F1641" s="265">
        <v>312.2</v>
      </c>
      <c r="G1641" s="265"/>
      <c r="H1641" s="265">
        <f t="shared" si="33"/>
        <v>312.2</v>
      </c>
    </row>
    <row r="1642" spans="2:8" x14ac:dyDescent="0.2">
      <c r="B1642" s="262" t="s">
        <v>1805</v>
      </c>
      <c r="C1642" s="263">
        <v>42783</v>
      </c>
      <c r="D1642" s="264" t="s">
        <v>3565</v>
      </c>
      <c r="E1642" s="264" t="s">
        <v>3616</v>
      </c>
      <c r="F1642" s="265">
        <v>1000</v>
      </c>
      <c r="G1642" s="265"/>
      <c r="H1642" s="265">
        <f t="shared" si="33"/>
        <v>1000</v>
      </c>
    </row>
    <row r="1643" spans="2:8" x14ac:dyDescent="0.2">
      <c r="B1643" s="262" t="s">
        <v>1863</v>
      </c>
      <c r="C1643" s="263">
        <v>42783</v>
      </c>
      <c r="D1643" s="264" t="s">
        <v>1878</v>
      </c>
      <c r="E1643" s="264" t="s">
        <v>3617</v>
      </c>
      <c r="F1643" s="265">
        <v>500</v>
      </c>
      <c r="G1643" s="265"/>
      <c r="H1643" s="265">
        <f t="shared" si="33"/>
        <v>500</v>
      </c>
    </row>
    <row r="1644" spans="2:8" x14ac:dyDescent="0.2">
      <c r="B1644" s="262" t="s">
        <v>1862</v>
      </c>
      <c r="C1644" s="263">
        <v>42783</v>
      </c>
      <c r="D1644" s="264" t="s">
        <v>3618</v>
      </c>
      <c r="E1644" s="264" t="s">
        <v>3619</v>
      </c>
      <c r="F1644" s="265">
        <v>10667</v>
      </c>
      <c r="G1644" s="265">
        <v>1706.72</v>
      </c>
      <c r="H1644" s="265">
        <f t="shared" ref="H1644:H1665" si="34">SUM(F1644:G1644)</f>
        <v>12373.72</v>
      </c>
    </row>
    <row r="1645" spans="2:8" x14ac:dyDescent="0.2">
      <c r="B1645" s="262" t="s">
        <v>1871</v>
      </c>
      <c r="C1645" s="263">
        <v>42783</v>
      </c>
      <c r="D1645" s="264" t="s">
        <v>3620</v>
      </c>
      <c r="E1645" s="264" t="s">
        <v>3621</v>
      </c>
      <c r="F1645" s="265">
        <v>150</v>
      </c>
      <c r="G1645" s="265"/>
      <c r="H1645" s="265">
        <f t="shared" si="34"/>
        <v>150</v>
      </c>
    </row>
    <row r="1646" spans="2:8" x14ac:dyDescent="0.2">
      <c r="B1646" s="262" t="s">
        <v>1871</v>
      </c>
      <c r="C1646" s="263">
        <v>42783</v>
      </c>
      <c r="D1646" s="264" t="s">
        <v>2763</v>
      </c>
      <c r="E1646" s="264" t="s">
        <v>3622</v>
      </c>
      <c r="F1646" s="265">
        <v>130</v>
      </c>
      <c r="G1646" s="265"/>
      <c r="H1646" s="265">
        <f t="shared" si="34"/>
        <v>130</v>
      </c>
    </row>
    <row r="1647" spans="2:8" x14ac:dyDescent="0.2">
      <c r="B1647" s="262" t="s">
        <v>1870</v>
      </c>
      <c r="C1647" s="263">
        <v>42784</v>
      </c>
      <c r="D1647" s="264" t="s">
        <v>2992</v>
      </c>
      <c r="E1647" s="264" t="s">
        <v>3623</v>
      </c>
      <c r="F1647" s="265">
        <v>400</v>
      </c>
      <c r="G1647" s="265"/>
      <c r="H1647" s="265">
        <f t="shared" si="34"/>
        <v>400</v>
      </c>
    </row>
    <row r="1648" spans="2:8" x14ac:dyDescent="0.2">
      <c r="B1648" s="262" t="s">
        <v>1879</v>
      </c>
      <c r="C1648" s="263">
        <v>42784</v>
      </c>
      <c r="D1648" s="264" t="s">
        <v>1892</v>
      </c>
      <c r="E1648" s="264" t="s">
        <v>3624</v>
      </c>
      <c r="F1648" s="265">
        <v>700</v>
      </c>
      <c r="G1648" s="265"/>
      <c r="H1648" s="265">
        <f t="shared" si="34"/>
        <v>700</v>
      </c>
    </row>
    <row r="1649" spans="2:8" x14ac:dyDescent="0.2">
      <c r="B1649" s="262" t="s">
        <v>1879</v>
      </c>
      <c r="C1649" s="263">
        <v>42784</v>
      </c>
      <c r="D1649" s="264" t="s">
        <v>1892</v>
      </c>
      <c r="E1649" s="264" t="s">
        <v>3624</v>
      </c>
      <c r="F1649" s="265">
        <v>700</v>
      </c>
      <c r="G1649" s="265"/>
      <c r="H1649" s="265">
        <f t="shared" si="34"/>
        <v>700</v>
      </c>
    </row>
    <row r="1650" spans="2:8" x14ac:dyDescent="0.2">
      <c r="B1650" s="262" t="s">
        <v>1884</v>
      </c>
      <c r="C1650" s="263">
        <v>42784</v>
      </c>
      <c r="D1650" s="264" t="s">
        <v>1906</v>
      </c>
      <c r="E1650" s="264" t="s">
        <v>3625</v>
      </c>
      <c r="F1650" s="265">
        <v>300</v>
      </c>
      <c r="G1650" s="265"/>
      <c r="H1650" s="265">
        <f t="shared" si="34"/>
        <v>300</v>
      </c>
    </row>
    <row r="1651" spans="2:8" x14ac:dyDescent="0.2">
      <c r="B1651" s="262" t="s">
        <v>1864</v>
      </c>
      <c r="C1651" s="263">
        <v>42785</v>
      </c>
      <c r="D1651" s="264" t="s">
        <v>2535</v>
      </c>
      <c r="E1651" s="264" t="s">
        <v>3302</v>
      </c>
      <c r="F1651" s="265">
        <v>142</v>
      </c>
      <c r="G1651" s="265"/>
      <c r="H1651" s="265">
        <f t="shared" si="34"/>
        <v>142</v>
      </c>
    </row>
    <row r="1652" spans="2:8" x14ac:dyDescent="0.2">
      <c r="B1652" s="262" t="s">
        <v>1863</v>
      </c>
      <c r="C1652" s="263">
        <v>42786</v>
      </c>
      <c r="D1652" s="264" t="s">
        <v>2250</v>
      </c>
      <c r="E1652" s="264" t="s">
        <v>3593</v>
      </c>
      <c r="F1652" s="265">
        <v>150</v>
      </c>
      <c r="G1652" s="265"/>
      <c r="H1652" s="265">
        <f t="shared" si="34"/>
        <v>150</v>
      </c>
    </row>
    <row r="1653" spans="2:8" x14ac:dyDescent="0.2">
      <c r="B1653" s="262" t="s">
        <v>1881</v>
      </c>
      <c r="C1653" s="263">
        <v>42786</v>
      </c>
      <c r="D1653" s="264" t="s">
        <v>2250</v>
      </c>
      <c r="E1653" s="264" t="s">
        <v>2321</v>
      </c>
      <c r="F1653" s="265">
        <v>120</v>
      </c>
      <c r="G1653" s="265"/>
      <c r="H1653" s="265">
        <f t="shared" si="34"/>
        <v>120</v>
      </c>
    </row>
    <row r="1654" spans="2:8" x14ac:dyDescent="0.2">
      <c r="B1654" s="262" t="s">
        <v>1884</v>
      </c>
      <c r="C1654" s="263">
        <v>42786</v>
      </c>
      <c r="D1654" s="264" t="s">
        <v>2763</v>
      </c>
      <c r="E1654" s="264" t="s">
        <v>3626</v>
      </c>
      <c r="F1654" s="265">
        <v>40</v>
      </c>
      <c r="G1654" s="265"/>
      <c r="H1654" s="265">
        <f t="shared" si="34"/>
        <v>40</v>
      </c>
    </row>
    <row r="1655" spans="2:8" x14ac:dyDescent="0.2">
      <c r="B1655" s="262" t="s">
        <v>1866</v>
      </c>
      <c r="C1655" s="263">
        <v>42786</v>
      </c>
      <c r="D1655" s="264" t="s">
        <v>1890</v>
      </c>
      <c r="E1655" s="264" t="s">
        <v>3476</v>
      </c>
      <c r="F1655" s="265">
        <v>310</v>
      </c>
      <c r="G1655" s="265"/>
      <c r="H1655" s="265">
        <f t="shared" si="34"/>
        <v>310</v>
      </c>
    </row>
    <row r="1656" spans="2:8" x14ac:dyDescent="0.2">
      <c r="B1656" s="262" t="s">
        <v>1884</v>
      </c>
      <c r="C1656" s="263">
        <v>42786</v>
      </c>
      <c r="D1656" s="264" t="s">
        <v>3627</v>
      </c>
      <c r="E1656" s="264" t="s">
        <v>3628</v>
      </c>
      <c r="F1656" s="265">
        <v>417.5</v>
      </c>
      <c r="G1656" s="265"/>
      <c r="H1656" s="265">
        <f t="shared" si="34"/>
        <v>417.5</v>
      </c>
    </row>
    <row r="1657" spans="2:8" x14ac:dyDescent="0.2">
      <c r="B1657" s="262" t="s">
        <v>1805</v>
      </c>
      <c r="C1657" s="263">
        <v>42786</v>
      </c>
      <c r="D1657" s="264" t="s">
        <v>1918</v>
      </c>
      <c r="E1657" s="264" t="s">
        <v>2437</v>
      </c>
      <c r="F1657" s="265">
        <v>100</v>
      </c>
      <c r="G1657" s="265"/>
      <c r="H1657" s="265">
        <f t="shared" si="34"/>
        <v>100</v>
      </c>
    </row>
    <row r="1658" spans="2:8" x14ac:dyDescent="0.2">
      <c r="B1658" s="262" t="s">
        <v>1805</v>
      </c>
      <c r="C1658" s="263">
        <v>42786</v>
      </c>
      <c r="D1658" s="264" t="s">
        <v>3629</v>
      </c>
      <c r="E1658" s="264" t="s">
        <v>3630</v>
      </c>
      <c r="F1658" s="265">
        <v>60</v>
      </c>
      <c r="G1658" s="265"/>
      <c r="H1658" s="265">
        <f t="shared" si="34"/>
        <v>60</v>
      </c>
    </row>
    <row r="1659" spans="2:8" x14ac:dyDescent="0.2">
      <c r="B1659" s="262" t="s">
        <v>1884</v>
      </c>
      <c r="C1659" s="263">
        <v>42786</v>
      </c>
      <c r="D1659" s="264" t="s">
        <v>3607</v>
      </c>
      <c r="E1659" s="264" t="s">
        <v>3631</v>
      </c>
      <c r="F1659" s="265">
        <v>37.5</v>
      </c>
      <c r="G1659" s="265"/>
      <c r="H1659" s="265">
        <f t="shared" si="34"/>
        <v>37.5</v>
      </c>
    </row>
    <row r="1660" spans="2:8" x14ac:dyDescent="0.2">
      <c r="B1660" s="262" t="s">
        <v>1858</v>
      </c>
      <c r="C1660" s="263">
        <v>42786</v>
      </c>
      <c r="D1660" s="264" t="s">
        <v>1905</v>
      </c>
      <c r="E1660" s="264" t="s">
        <v>3632</v>
      </c>
      <c r="F1660" s="265">
        <v>50</v>
      </c>
      <c r="G1660" s="265"/>
      <c r="H1660" s="265">
        <f t="shared" si="34"/>
        <v>50</v>
      </c>
    </row>
    <row r="1661" spans="2:8" x14ac:dyDescent="0.2">
      <c r="B1661" s="262" t="s">
        <v>1805</v>
      </c>
      <c r="C1661" s="263">
        <v>42787</v>
      </c>
      <c r="D1661" s="264" t="s">
        <v>1888</v>
      </c>
      <c r="E1661" s="264" t="s">
        <v>3633</v>
      </c>
      <c r="F1661" s="265">
        <v>1300</v>
      </c>
      <c r="G1661" s="265"/>
      <c r="H1661" s="265">
        <f t="shared" si="34"/>
        <v>1300</v>
      </c>
    </row>
    <row r="1662" spans="2:8" x14ac:dyDescent="0.2">
      <c r="B1662" s="262" t="s">
        <v>1790</v>
      </c>
      <c r="C1662" s="263">
        <v>42787</v>
      </c>
      <c r="D1662" s="264" t="s">
        <v>1909</v>
      </c>
      <c r="E1662" s="264" t="s">
        <v>3634</v>
      </c>
      <c r="F1662" s="265"/>
      <c r="G1662" s="265">
        <v>1760</v>
      </c>
      <c r="H1662" s="265">
        <f t="shared" si="34"/>
        <v>1760</v>
      </c>
    </row>
    <row r="1663" spans="2:8" x14ac:dyDescent="0.2">
      <c r="B1663" s="262" t="s">
        <v>1860</v>
      </c>
      <c r="C1663" s="263">
        <v>42788</v>
      </c>
      <c r="D1663" s="264" t="s">
        <v>1926</v>
      </c>
      <c r="E1663" s="264" t="s">
        <v>3635</v>
      </c>
      <c r="F1663" s="265">
        <v>510</v>
      </c>
      <c r="G1663" s="265"/>
      <c r="H1663" s="265">
        <f t="shared" si="34"/>
        <v>510</v>
      </c>
    </row>
    <row r="1664" spans="2:8" x14ac:dyDescent="0.2">
      <c r="B1664" s="262" t="s">
        <v>1860</v>
      </c>
      <c r="C1664" s="263">
        <v>42788</v>
      </c>
      <c r="D1664" s="264" t="s">
        <v>1926</v>
      </c>
      <c r="E1664" s="264" t="s">
        <v>3636</v>
      </c>
      <c r="F1664" s="265">
        <v>25</v>
      </c>
      <c r="G1664" s="265"/>
      <c r="H1664" s="265">
        <f t="shared" si="34"/>
        <v>25</v>
      </c>
    </row>
    <row r="1665" spans="2:8" x14ac:dyDescent="0.2">
      <c r="B1665" s="262" t="s">
        <v>1881</v>
      </c>
      <c r="C1665" s="263">
        <v>42788</v>
      </c>
      <c r="D1665" s="264" t="s">
        <v>3637</v>
      </c>
      <c r="E1665" s="264" t="s">
        <v>3638</v>
      </c>
      <c r="F1665" s="265">
        <v>270</v>
      </c>
      <c r="G1665" s="265"/>
      <c r="H1665" s="265">
        <f t="shared" si="34"/>
        <v>270</v>
      </c>
    </row>
    <row r="1666" spans="2:8" x14ac:dyDescent="0.2">
      <c r="B1666" s="262" t="s">
        <v>1870</v>
      </c>
      <c r="C1666" s="263">
        <v>42788</v>
      </c>
      <c r="D1666" s="264" t="s">
        <v>1892</v>
      </c>
      <c r="E1666" s="264" t="s">
        <v>3639</v>
      </c>
      <c r="F1666" s="265">
        <v>580</v>
      </c>
      <c r="G1666" s="265"/>
      <c r="H1666" s="265">
        <f t="shared" ref="H1666:H1702" si="35">SUM(F1666:G1666)</f>
        <v>580</v>
      </c>
    </row>
    <row r="1667" spans="2:8" x14ac:dyDescent="0.2">
      <c r="B1667" s="262" t="s">
        <v>1857</v>
      </c>
      <c r="C1667" s="263">
        <v>42788</v>
      </c>
      <c r="D1667" s="264" t="s">
        <v>1872</v>
      </c>
      <c r="E1667" s="264" t="s">
        <v>3640</v>
      </c>
      <c r="F1667" s="265">
        <v>850</v>
      </c>
      <c r="G1667" s="265"/>
      <c r="H1667" s="265">
        <f t="shared" si="35"/>
        <v>850</v>
      </c>
    </row>
    <row r="1668" spans="2:8" x14ac:dyDescent="0.2">
      <c r="B1668" s="262" t="s">
        <v>1884</v>
      </c>
      <c r="C1668" s="263">
        <v>42789</v>
      </c>
      <c r="D1668" s="264" t="s">
        <v>3330</v>
      </c>
      <c r="E1668" s="264" t="s">
        <v>3641</v>
      </c>
      <c r="F1668" s="265">
        <v>400</v>
      </c>
      <c r="G1668" s="265"/>
      <c r="H1668" s="265">
        <f t="shared" si="35"/>
        <v>400</v>
      </c>
    </row>
    <row r="1669" spans="2:8" x14ac:dyDescent="0.2">
      <c r="B1669" s="262" t="s">
        <v>1884</v>
      </c>
      <c r="C1669" s="263">
        <v>42789</v>
      </c>
      <c r="D1669" s="264" t="s">
        <v>3642</v>
      </c>
      <c r="E1669" s="264" t="s">
        <v>3643</v>
      </c>
      <c r="F1669" s="265">
        <v>44</v>
      </c>
      <c r="G1669" s="265"/>
      <c r="H1669" s="265">
        <f t="shared" si="35"/>
        <v>44</v>
      </c>
    </row>
    <row r="1670" spans="2:8" x14ac:dyDescent="0.2">
      <c r="B1670" s="262" t="s">
        <v>1862</v>
      </c>
      <c r="C1670" s="263">
        <v>42789</v>
      </c>
      <c r="D1670" s="264" t="s">
        <v>3644</v>
      </c>
      <c r="E1670" s="264" t="s">
        <v>3647</v>
      </c>
      <c r="F1670" s="265">
        <v>560</v>
      </c>
      <c r="G1670" s="265"/>
      <c r="H1670" s="265">
        <f t="shared" si="35"/>
        <v>560</v>
      </c>
    </row>
    <row r="1671" spans="2:8" x14ac:dyDescent="0.2">
      <c r="B1671" s="262" t="s">
        <v>1862</v>
      </c>
      <c r="C1671" s="263">
        <v>42789</v>
      </c>
      <c r="D1671" s="264" t="s">
        <v>3645</v>
      </c>
      <c r="E1671" s="264" t="s">
        <v>3646</v>
      </c>
      <c r="F1671" s="265">
        <v>470</v>
      </c>
      <c r="G1671" s="265"/>
      <c r="H1671" s="265">
        <f t="shared" si="35"/>
        <v>470</v>
      </c>
    </row>
    <row r="1672" spans="2:8" x14ac:dyDescent="0.2">
      <c r="B1672" s="262" t="s">
        <v>1860</v>
      </c>
      <c r="C1672" s="263">
        <v>42789</v>
      </c>
      <c r="D1672" s="264" t="s">
        <v>1891</v>
      </c>
      <c r="E1672" s="264" t="s">
        <v>3648</v>
      </c>
      <c r="F1672" s="265">
        <v>76</v>
      </c>
      <c r="G1672" s="265"/>
      <c r="H1672" s="265">
        <f t="shared" si="35"/>
        <v>76</v>
      </c>
    </row>
    <row r="1673" spans="2:8" x14ac:dyDescent="0.2">
      <c r="B1673" s="262" t="s">
        <v>1881</v>
      </c>
      <c r="C1673" s="263">
        <v>42789</v>
      </c>
      <c r="D1673" s="264" t="s">
        <v>1906</v>
      </c>
      <c r="E1673" s="264" t="s">
        <v>3649</v>
      </c>
      <c r="F1673" s="265">
        <v>340</v>
      </c>
      <c r="G1673" s="265"/>
      <c r="H1673" s="265">
        <f t="shared" si="35"/>
        <v>340</v>
      </c>
    </row>
    <row r="1674" spans="2:8" x14ac:dyDescent="0.2">
      <c r="B1674" s="262" t="s">
        <v>1871</v>
      </c>
      <c r="C1674" s="263">
        <v>42789</v>
      </c>
      <c r="D1674" s="264" t="s">
        <v>3650</v>
      </c>
      <c r="E1674" s="264" t="s">
        <v>3651</v>
      </c>
      <c r="F1674" s="265">
        <v>310</v>
      </c>
      <c r="G1674" s="265"/>
      <c r="H1674" s="265">
        <f t="shared" si="35"/>
        <v>310</v>
      </c>
    </row>
    <row r="1675" spans="2:8" x14ac:dyDescent="0.2">
      <c r="B1675" s="262" t="s">
        <v>1863</v>
      </c>
      <c r="C1675" s="263">
        <v>42789</v>
      </c>
      <c r="D1675" s="264" t="s">
        <v>2992</v>
      </c>
      <c r="E1675" s="264" t="s">
        <v>3652</v>
      </c>
      <c r="F1675" s="265">
        <v>310</v>
      </c>
      <c r="G1675" s="265"/>
      <c r="H1675" s="265">
        <f t="shared" si="35"/>
        <v>310</v>
      </c>
    </row>
    <row r="1676" spans="2:8" x14ac:dyDescent="0.2">
      <c r="B1676" s="262" t="s">
        <v>1863</v>
      </c>
      <c r="C1676" s="263">
        <v>42789</v>
      </c>
      <c r="D1676" s="369" t="s">
        <v>2992</v>
      </c>
      <c r="E1676" s="264" t="s">
        <v>3653</v>
      </c>
      <c r="F1676" s="265">
        <v>350</v>
      </c>
      <c r="G1676" s="265"/>
      <c r="H1676" s="265">
        <f t="shared" si="35"/>
        <v>350</v>
      </c>
    </row>
    <row r="1677" spans="2:8" x14ac:dyDescent="0.2">
      <c r="B1677" s="262" t="s">
        <v>1881</v>
      </c>
      <c r="C1677" s="263">
        <v>42789</v>
      </c>
      <c r="D1677" s="264" t="s">
        <v>1873</v>
      </c>
      <c r="E1677" s="264" t="s">
        <v>3654</v>
      </c>
      <c r="F1677" s="265">
        <v>200</v>
      </c>
      <c r="G1677" s="265"/>
      <c r="H1677" s="265">
        <f t="shared" si="35"/>
        <v>200</v>
      </c>
    </row>
    <row r="1678" spans="2:8" x14ac:dyDescent="0.2">
      <c r="B1678" s="262" t="s">
        <v>1875</v>
      </c>
      <c r="C1678" s="263">
        <v>42789</v>
      </c>
      <c r="D1678" s="264" t="s">
        <v>3655</v>
      </c>
      <c r="E1678" s="264" t="s">
        <v>2109</v>
      </c>
      <c r="F1678" s="265">
        <v>326</v>
      </c>
      <c r="G1678" s="265"/>
      <c r="H1678" s="265">
        <f t="shared" si="35"/>
        <v>326</v>
      </c>
    </row>
    <row r="1679" spans="2:8" x14ac:dyDescent="0.2">
      <c r="B1679" s="262" t="s">
        <v>1862</v>
      </c>
      <c r="C1679" s="263">
        <v>42790</v>
      </c>
      <c r="D1679" s="264" t="s">
        <v>1892</v>
      </c>
      <c r="E1679" s="264" t="s">
        <v>3656</v>
      </c>
      <c r="F1679" s="265">
        <v>1200</v>
      </c>
      <c r="G1679" s="265"/>
      <c r="H1679" s="265">
        <f t="shared" si="35"/>
        <v>1200</v>
      </c>
    </row>
    <row r="1680" spans="2:8" x14ac:dyDescent="0.2">
      <c r="B1680" s="262" t="s">
        <v>1860</v>
      </c>
      <c r="C1680" s="263">
        <v>42790</v>
      </c>
      <c r="D1680" s="264" t="s">
        <v>3491</v>
      </c>
      <c r="E1680" s="264" t="s">
        <v>3657</v>
      </c>
      <c r="F1680" s="265">
        <v>200</v>
      </c>
      <c r="G1680" s="265"/>
      <c r="H1680" s="265">
        <f t="shared" si="35"/>
        <v>200</v>
      </c>
    </row>
    <row r="1681" spans="2:8" x14ac:dyDescent="0.2">
      <c r="B1681" s="262" t="s">
        <v>1870</v>
      </c>
      <c r="C1681" s="263">
        <v>42790</v>
      </c>
      <c r="D1681" s="264" t="s">
        <v>1892</v>
      </c>
      <c r="E1681" s="264" t="s">
        <v>3658</v>
      </c>
      <c r="F1681" s="265">
        <v>315</v>
      </c>
      <c r="G1681" s="265"/>
      <c r="H1681" s="265">
        <f t="shared" si="35"/>
        <v>315</v>
      </c>
    </row>
    <row r="1682" spans="2:8" x14ac:dyDescent="0.2">
      <c r="B1682" s="262" t="s">
        <v>1870</v>
      </c>
      <c r="C1682" s="263">
        <v>42790</v>
      </c>
      <c r="D1682" s="264" t="s">
        <v>1892</v>
      </c>
      <c r="E1682" s="264" t="s">
        <v>3659</v>
      </c>
      <c r="F1682" s="265">
        <v>985</v>
      </c>
      <c r="G1682" s="265"/>
      <c r="H1682" s="265">
        <f t="shared" si="35"/>
        <v>985</v>
      </c>
    </row>
    <row r="1683" spans="2:8" x14ac:dyDescent="0.2">
      <c r="B1683" s="262" t="s">
        <v>1870</v>
      </c>
      <c r="C1683" s="263">
        <v>42790</v>
      </c>
      <c r="D1683" s="264" t="s">
        <v>1892</v>
      </c>
      <c r="E1683" s="264" t="s">
        <v>3660</v>
      </c>
      <c r="F1683" s="265">
        <v>200</v>
      </c>
      <c r="G1683" s="265"/>
      <c r="H1683" s="265">
        <f t="shared" si="35"/>
        <v>200</v>
      </c>
    </row>
    <row r="1684" spans="2:8" x14ac:dyDescent="0.2">
      <c r="B1684" s="262" t="s">
        <v>1884</v>
      </c>
      <c r="C1684" s="263">
        <v>42790</v>
      </c>
      <c r="D1684" s="264" t="s">
        <v>1906</v>
      </c>
      <c r="E1684" s="264" t="s">
        <v>3661</v>
      </c>
      <c r="F1684" s="265">
        <v>190</v>
      </c>
      <c r="G1684" s="265"/>
      <c r="H1684" s="265">
        <f t="shared" si="35"/>
        <v>190</v>
      </c>
    </row>
    <row r="1685" spans="2:8" x14ac:dyDescent="0.2">
      <c r="B1685" s="262" t="s">
        <v>1805</v>
      </c>
      <c r="C1685" s="263">
        <v>42790</v>
      </c>
      <c r="D1685" s="264" t="s">
        <v>3565</v>
      </c>
      <c r="E1685" s="264" t="s">
        <v>3662</v>
      </c>
      <c r="F1685" s="265">
        <v>1000</v>
      </c>
      <c r="G1685" s="265"/>
      <c r="H1685" s="265">
        <f t="shared" si="35"/>
        <v>1000</v>
      </c>
    </row>
    <row r="1686" spans="2:8" x14ac:dyDescent="0.2">
      <c r="B1686" s="262" t="s">
        <v>1866</v>
      </c>
      <c r="C1686" s="263">
        <v>42790</v>
      </c>
      <c r="D1686" s="264" t="s">
        <v>1890</v>
      </c>
      <c r="E1686" s="264" t="s">
        <v>3663</v>
      </c>
      <c r="F1686" s="265">
        <v>240</v>
      </c>
      <c r="G1686" s="265"/>
      <c r="H1686" s="265">
        <f t="shared" si="35"/>
        <v>240</v>
      </c>
    </row>
    <row r="1687" spans="2:8" x14ac:dyDescent="0.2">
      <c r="B1687" s="262" t="s">
        <v>1860</v>
      </c>
      <c r="C1687" s="263">
        <v>42790</v>
      </c>
      <c r="D1687" s="264" t="s">
        <v>1891</v>
      </c>
      <c r="E1687" s="264" t="s">
        <v>3664</v>
      </c>
      <c r="F1687" s="265">
        <v>120</v>
      </c>
      <c r="G1687" s="265"/>
      <c r="H1687" s="265">
        <f t="shared" si="35"/>
        <v>120</v>
      </c>
    </row>
    <row r="1688" spans="2:8" x14ac:dyDescent="0.2">
      <c r="B1688" s="262" t="s">
        <v>1863</v>
      </c>
      <c r="C1688" s="263">
        <v>42791</v>
      </c>
      <c r="D1688" s="264" t="s">
        <v>1878</v>
      </c>
      <c r="E1688" s="264" t="s">
        <v>3665</v>
      </c>
      <c r="F1688" s="265">
        <v>500</v>
      </c>
      <c r="G1688" s="265"/>
      <c r="H1688" s="265">
        <f t="shared" si="35"/>
        <v>500</v>
      </c>
    </row>
    <row r="1689" spans="2:8" x14ac:dyDescent="0.2">
      <c r="B1689" s="262" t="s">
        <v>1884</v>
      </c>
      <c r="C1689" s="263">
        <v>42791</v>
      </c>
      <c r="D1689" s="264" t="s">
        <v>1906</v>
      </c>
      <c r="E1689" s="264" t="s">
        <v>3661</v>
      </c>
      <c r="F1689" s="265">
        <v>200</v>
      </c>
      <c r="G1689" s="265"/>
      <c r="H1689" s="265">
        <f t="shared" si="35"/>
        <v>200</v>
      </c>
    </row>
    <row r="1690" spans="2:8" x14ac:dyDescent="0.2">
      <c r="B1690" s="262" t="s">
        <v>1860</v>
      </c>
      <c r="C1690" s="263">
        <v>42792</v>
      </c>
      <c r="D1690" s="264" t="s">
        <v>1891</v>
      </c>
      <c r="E1690" s="264" t="s">
        <v>3314</v>
      </c>
      <c r="F1690" s="265">
        <v>78</v>
      </c>
      <c r="G1690" s="265"/>
      <c r="H1690" s="265">
        <f t="shared" si="35"/>
        <v>78</v>
      </c>
    </row>
    <row r="1691" spans="2:8" x14ac:dyDescent="0.2">
      <c r="B1691" s="262" t="s">
        <v>1864</v>
      </c>
      <c r="C1691" s="263">
        <v>42792</v>
      </c>
      <c r="D1691" s="264" t="s">
        <v>2535</v>
      </c>
      <c r="E1691" s="264" t="s">
        <v>2664</v>
      </c>
      <c r="F1691" s="265">
        <v>164</v>
      </c>
      <c r="G1691" s="265"/>
      <c r="H1691" s="265">
        <f t="shared" si="35"/>
        <v>164</v>
      </c>
    </row>
    <row r="1692" spans="2:8" x14ac:dyDescent="0.2">
      <c r="B1692" s="262" t="s">
        <v>1881</v>
      </c>
      <c r="C1692" s="263">
        <v>42792</v>
      </c>
      <c r="D1692" s="264" t="s">
        <v>2250</v>
      </c>
      <c r="E1692" s="264" t="s">
        <v>3300</v>
      </c>
      <c r="F1692" s="265">
        <v>120</v>
      </c>
      <c r="G1692" s="265"/>
      <c r="H1692" s="265">
        <f t="shared" si="35"/>
        <v>120</v>
      </c>
    </row>
    <row r="1693" spans="2:8" x14ac:dyDescent="0.2">
      <c r="B1693" s="262" t="s">
        <v>1863</v>
      </c>
      <c r="C1693" s="263">
        <v>42792</v>
      </c>
      <c r="D1693" s="264" t="s">
        <v>2250</v>
      </c>
      <c r="E1693" s="264" t="s">
        <v>3593</v>
      </c>
      <c r="F1693" s="265">
        <v>150</v>
      </c>
      <c r="G1693" s="265"/>
      <c r="H1693" s="265">
        <f t="shared" si="35"/>
        <v>150</v>
      </c>
    </row>
    <row r="1694" spans="2:8" x14ac:dyDescent="0.2">
      <c r="B1694" s="364" t="s">
        <v>1864</v>
      </c>
      <c r="C1694" s="365">
        <v>42793</v>
      </c>
      <c r="D1694" s="366" t="s">
        <v>3565</v>
      </c>
      <c r="E1694" s="366" t="s">
        <v>3666</v>
      </c>
      <c r="F1694" s="367">
        <v>200</v>
      </c>
      <c r="G1694" s="367"/>
      <c r="H1694" s="367">
        <f t="shared" si="35"/>
        <v>200</v>
      </c>
    </row>
    <row r="1695" spans="2:8" x14ac:dyDescent="0.2">
      <c r="B1695" s="262" t="s">
        <v>1866</v>
      </c>
      <c r="C1695" s="263">
        <v>42793</v>
      </c>
      <c r="D1695" s="264" t="s">
        <v>1890</v>
      </c>
      <c r="E1695" s="264" t="s">
        <v>3476</v>
      </c>
      <c r="F1695" s="265">
        <v>310</v>
      </c>
      <c r="G1695" s="265"/>
      <c r="H1695" s="265">
        <f t="shared" si="35"/>
        <v>310</v>
      </c>
    </row>
    <row r="1696" spans="2:8" x14ac:dyDescent="0.2">
      <c r="B1696" s="262" t="s">
        <v>1884</v>
      </c>
      <c r="C1696" s="263">
        <v>42793</v>
      </c>
      <c r="D1696" s="264" t="s">
        <v>3667</v>
      </c>
      <c r="E1696" s="264" t="s">
        <v>3668</v>
      </c>
      <c r="F1696" s="265">
        <v>25</v>
      </c>
      <c r="G1696" s="265"/>
      <c r="H1696" s="265">
        <f t="shared" si="35"/>
        <v>25</v>
      </c>
    </row>
    <row r="1697" spans="2:9" x14ac:dyDescent="0.2">
      <c r="B1697" s="262" t="s">
        <v>1881</v>
      </c>
      <c r="C1697" s="263">
        <v>42794</v>
      </c>
      <c r="D1697" s="264" t="s">
        <v>2250</v>
      </c>
      <c r="E1697" s="264" t="s">
        <v>3669</v>
      </c>
      <c r="F1697" s="265">
        <v>300</v>
      </c>
      <c r="G1697" s="265"/>
      <c r="H1697" s="265">
        <f t="shared" si="35"/>
        <v>300</v>
      </c>
    </row>
    <row r="1698" spans="2:9" x14ac:dyDescent="0.2">
      <c r="B1698" s="262" t="s">
        <v>1881</v>
      </c>
      <c r="C1698" s="263">
        <v>42794</v>
      </c>
      <c r="D1698" s="264" t="s">
        <v>1873</v>
      </c>
      <c r="E1698" s="264" t="s">
        <v>3347</v>
      </c>
      <c r="F1698" s="265">
        <v>450</v>
      </c>
      <c r="G1698" s="265"/>
      <c r="H1698" s="265">
        <f t="shared" si="35"/>
        <v>450</v>
      </c>
    </row>
    <row r="1699" spans="2:9" x14ac:dyDescent="0.2">
      <c r="B1699" s="262" t="s">
        <v>1859</v>
      </c>
      <c r="C1699" s="263">
        <v>42794</v>
      </c>
      <c r="D1699" s="264" t="s">
        <v>1911</v>
      </c>
      <c r="E1699" s="264" t="s">
        <v>3670</v>
      </c>
      <c r="F1699" s="265">
        <v>4000</v>
      </c>
      <c r="G1699" s="265"/>
      <c r="H1699" s="265">
        <f t="shared" si="35"/>
        <v>4000</v>
      </c>
    </row>
    <row r="1700" spans="2:9" x14ac:dyDescent="0.2">
      <c r="B1700" s="262" t="s">
        <v>1577</v>
      </c>
      <c r="C1700" s="263">
        <v>42794</v>
      </c>
      <c r="D1700" s="264" t="s">
        <v>3578</v>
      </c>
      <c r="E1700" s="264" t="s">
        <v>4287</v>
      </c>
      <c r="F1700" s="265">
        <v>30100</v>
      </c>
      <c r="G1700" s="265"/>
      <c r="H1700" s="265">
        <f t="shared" si="35"/>
        <v>30100</v>
      </c>
    </row>
    <row r="1701" spans="2:9" x14ac:dyDescent="0.2">
      <c r="B1701" s="262" t="s">
        <v>1577</v>
      </c>
      <c r="C1701" s="263">
        <v>42794</v>
      </c>
      <c r="D1701" s="264" t="s">
        <v>3565</v>
      </c>
      <c r="E1701" s="264" t="s">
        <v>3671</v>
      </c>
      <c r="F1701" s="265">
        <v>400</v>
      </c>
      <c r="G1701" s="265"/>
      <c r="H1701" s="265">
        <f t="shared" si="35"/>
        <v>400</v>
      </c>
    </row>
    <row r="1702" spans="2:9" x14ac:dyDescent="0.2">
      <c r="B1702" s="262" t="s">
        <v>1862</v>
      </c>
      <c r="C1702" s="263">
        <v>42794</v>
      </c>
      <c r="D1702" s="264" t="s">
        <v>1891</v>
      </c>
      <c r="E1702" s="264" t="s">
        <v>3672</v>
      </c>
      <c r="F1702" s="265">
        <v>1646.2</v>
      </c>
      <c r="G1702" s="265"/>
      <c r="H1702" s="265">
        <f t="shared" si="35"/>
        <v>1646.2</v>
      </c>
      <c r="I1702" s="175">
        <f>SUM(H1571:H1703)</f>
        <v>140170.99</v>
      </c>
    </row>
    <row r="1703" spans="2:9" x14ac:dyDescent="0.2">
      <c r="B1703" s="262" t="s">
        <v>1862</v>
      </c>
      <c r="C1703" s="263">
        <v>42794</v>
      </c>
      <c r="D1703" s="264" t="s">
        <v>1892</v>
      </c>
      <c r="E1703" s="264" t="s">
        <v>3673</v>
      </c>
      <c r="F1703" s="265">
        <v>3700</v>
      </c>
      <c r="G1703" s="265"/>
      <c r="H1703" s="265">
        <f t="shared" ref="H1703:H1712" si="36">SUM(F1703:G1703)</f>
        <v>3700</v>
      </c>
    </row>
    <row r="1704" spans="2:9" x14ac:dyDescent="0.2">
      <c r="B1704" s="262" t="s">
        <v>1887</v>
      </c>
      <c r="C1704" s="263">
        <v>42770</v>
      </c>
      <c r="D1704" s="264" t="s">
        <v>1534</v>
      </c>
      <c r="E1704" s="264" t="s">
        <v>1536</v>
      </c>
      <c r="F1704" s="265">
        <v>-0.46</v>
      </c>
      <c r="G1704" s="367"/>
      <c r="H1704" s="367">
        <f t="shared" si="36"/>
        <v>-0.46</v>
      </c>
    </row>
    <row r="1705" spans="2:9" x14ac:dyDescent="0.2">
      <c r="B1705" s="262" t="s">
        <v>1887</v>
      </c>
      <c r="C1705" s="263">
        <v>42775</v>
      </c>
      <c r="D1705" s="264" t="s">
        <v>3367</v>
      </c>
      <c r="E1705" s="264" t="s">
        <v>1536</v>
      </c>
      <c r="F1705" s="265">
        <v>-0.28999999999999998</v>
      </c>
      <c r="G1705" s="265"/>
      <c r="H1705" s="265">
        <f t="shared" si="36"/>
        <v>-0.28999999999999998</v>
      </c>
    </row>
    <row r="1706" spans="2:9" x14ac:dyDescent="0.2">
      <c r="B1706" s="262" t="s">
        <v>1790</v>
      </c>
      <c r="C1706" s="263">
        <v>42793</v>
      </c>
      <c r="D1706" s="361" t="s">
        <v>1909</v>
      </c>
      <c r="E1706" s="361" t="s">
        <v>3674</v>
      </c>
      <c r="F1706" s="362"/>
      <c r="G1706" s="362">
        <v>-1760</v>
      </c>
      <c r="H1706" s="265">
        <f t="shared" si="36"/>
        <v>-1760</v>
      </c>
    </row>
    <row r="1707" spans="2:9" x14ac:dyDescent="0.2">
      <c r="B1707" s="262" t="s">
        <v>1887</v>
      </c>
      <c r="C1707" s="263">
        <v>42794</v>
      </c>
      <c r="D1707" s="361" t="s">
        <v>1597</v>
      </c>
      <c r="E1707" s="361" t="s">
        <v>2229</v>
      </c>
      <c r="F1707" s="362">
        <v>28</v>
      </c>
      <c r="G1707" s="362"/>
      <c r="H1707" s="362">
        <f t="shared" si="36"/>
        <v>28</v>
      </c>
    </row>
    <row r="1708" spans="2:9" x14ac:dyDescent="0.2">
      <c r="B1708" s="262" t="s">
        <v>1790</v>
      </c>
      <c r="C1708" s="263">
        <v>42794</v>
      </c>
      <c r="D1708" s="361" t="s">
        <v>1597</v>
      </c>
      <c r="E1708" s="361" t="s">
        <v>2230</v>
      </c>
      <c r="F1708" s="362"/>
      <c r="G1708" s="362">
        <v>4.4800000000000004</v>
      </c>
      <c r="H1708" s="362">
        <f t="shared" si="36"/>
        <v>4.4800000000000004</v>
      </c>
      <c r="I1708" s="175">
        <f>SUM(H1571:H1710)</f>
        <v>138442.72</v>
      </c>
    </row>
    <row r="1709" spans="2:9" x14ac:dyDescent="0.2">
      <c r="B1709" s="262"/>
      <c r="C1709" s="263"/>
      <c r="D1709" s="264"/>
      <c r="E1709" s="264"/>
      <c r="F1709" s="265"/>
      <c r="G1709" s="265"/>
      <c r="H1709" s="265">
        <f t="shared" si="36"/>
        <v>0</v>
      </c>
    </row>
    <row r="1710" spans="2:9" x14ac:dyDescent="0.2">
      <c r="B1710" s="262"/>
      <c r="C1710" s="263"/>
      <c r="D1710" s="264"/>
      <c r="E1710" s="264"/>
      <c r="F1710" s="265"/>
      <c r="G1710" s="265"/>
      <c r="H1710" s="265">
        <f t="shared" si="36"/>
        <v>0</v>
      </c>
    </row>
    <row r="1711" spans="2:9" ht="18" customHeight="1" x14ac:dyDescent="0.2">
      <c r="B1711" s="255" t="s">
        <v>1850</v>
      </c>
      <c r="C1711" s="255" t="s">
        <v>1851</v>
      </c>
      <c r="D1711" s="256" t="s">
        <v>1852</v>
      </c>
      <c r="E1711" s="256" t="s">
        <v>1853</v>
      </c>
      <c r="F1711" s="257" t="s">
        <v>1854</v>
      </c>
      <c r="G1711" s="257" t="s">
        <v>1855</v>
      </c>
      <c r="H1711" s="257" t="s">
        <v>1856</v>
      </c>
    </row>
    <row r="1712" spans="2:9" x14ac:dyDescent="0.2">
      <c r="B1712" s="262" t="s">
        <v>1884</v>
      </c>
      <c r="C1712" s="263">
        <v>42795</v>
      </c>
      <c r="D1712" s="264" t="s">
        <v>3551</v>
      </c>
      <c r="E1712" s="264" t="s">
        <v>3675</v>
      </c>
      <c r="F1712" s="265">
        <v>463</v>
      </c>
      <c r="G1712" s="265"/>
      <c r="H1712" s="265">
        <f t="shared" si="36"/>
        <v>463</v>
      </c>
    </row>
    <row r="1713" spans="2:11" x14ac:dyDescent="0.2">
      <c r="B1713" s="262" t="s">
        <v>1884</v>
      </c>
      <c r="C1713" s="263">
        <v>42795</v>
      </c>
      <c r="D1713" s="264" t="s">
        <v>3676</v>
      </c>
      <c r="E1713" s="264" t="s">
        <v>3677</v>
      </c>
      <c r="F1713" s="265">
        <v>35</v>
      </c>
      <c r="G1713" s="265"/>
      <c r="H1713" s="265">
        <f t="shared" ref="H1713:H1733" si="37">SUM(F1713:G1713)</f>
        <v>35</v>
      </c>
    </row>
    <row r="1714" spans="2:11" x14ac:dyDescent="0.2">
      <c r="B1714" s="262" t="s">
        <v>1860</v>
      </c>
      <c r="C1714" s="263">
        <v>42795</v>
      </c>
      <c r="D1714" s="264" t="s">
        <v>1926</v>
      </c>
      <c r="E1714" s="264" t="s">
        <v>3314</v>
      </c>
      <c r="F1714" s="265">
        <v>15.5</v>
      </c>
      <c r="G1714" s="265"/>
      <c r="H1714" s="265">
        <f t="shared" si="37"/>
        <v>15.5</v>
      </c>
    </row>
    <row r="1715" spans="2:11" x14ac:dyDescent="0.2">
      <c r="B1715" s="262" t="s">
        <v>1866</v>
      </c>
      <c r="C1715" s="263">
        <v>42796</v>
      </c>
      <c r="D1715" s="264" t="s">
        <v>1890</v>
      </c>
      <c r="E1715" s="264" t="s">
        <v>2849</v>
      </c>
      <c r="F1715" s="265">
        <v>320</v>
      </c>
      <c r="G1715" s="265"/>
      <c r="H1715" s="265">
        <f t="shared" si="37"/>
        <v>320</v>
      </c>
    </row>
    <row r="1716" spans="2:11" x14ac:dyDescent="0.2">
      <c r="B1716" s="354" t="s">
        <v>1862</v>
      </c>
      <c r="C1716" s="263">
        <v>42796</v>
      </c>
      <c r="D1716" s="264" t="s">
        <v>1892</v>
      </c>
      <c r="E1716" s="264" t="s">
        <v>3811</v>
      </c>
      <c r="F1716" s="265">
        <v>300</v>
      </c>
      <c r="G1716" s="265"/>
      <c r="H1716" s="265">
        <f t="shared" si="37"/>
        <v>300</v>
      </c>
      <c r="K1716">
        <v>300</v>
      </c>
    </row>
    <row r="1717" spans="2:11" x14ac:dyDescent="0.2">
      <c r="B1717" s="262" t="s">
        <v>1857</v>
      </c>
      <c r="C1717" s="263">
        <v>42796</v>
      </c>
      <c r="D1717" s="264" t="s">
        <v>3678</v>
      </c>
      <c r="E1717" s="264" t="s">
        <v>3679</v>
      </c>
      <c r="F1717" s="265">
        <v>250</v>
      </c>
      <c r="G1717" s="265"/>
      <c r="H1717" s="265">
        <f t="shared" si="37"/>
        <v>250</v>
      </c>
    </row>
    <row r="1718" spans="2:11" x14ac:dyDescent="0.2">
      <c r="B1718" s="262" t="s">
        <v>1857</v>
      </c>
      <c r="C1718" s="263">
        <v>42796</v>
      </c>
      <c r="D1718" s="264" t="s">
        <v>2992</v>
      </c>
      <c r="E1718" s="264" t="s">
        <v>3680</v>
      </c>
      <c r="F1718" s="265">
        <v>300</v>
      </c>
      <c r="G1718" s="265"/>
      <c r="H1718" s="265">
        <f t="shared" si="37"/>
        <v>300</v>
      </c>
    </row>
    <row r="1719" spans="2:11" x14ac:dyDescent="0.2">
      <c r="B1719" s="262" t="s">
        <v>1884</v>
      </c>
      <c r="C1719" s="263">
        <v>42796</v>
      </c>
      <c r="D1719" s="264" t="s">
        <v>2250</v>
      </c>
      <c r="E1719" s="264" t="s">
        <v>3681</v>
      </c>
      <c r="F1719" s="265">
        <v>320</v>
      </c>
      <c r="G1719" s="265"/>
      <c r="H1719" s="265">
        <f t="shared" si="37"/>
        <v>320</v>
      </c>
    </row>
    <row r="1720" spans="2:11" x14ac:dyDescent="0.2">
      <c r="B1720" s="262" t="s">
        <v>1884</v>
      </c>
      <c r="C1720" s="263">
        <v>42796</v>
      </c>
      <c r="D1720" s="264" t="s">
        <v>3682</v>
      </c>
      <c r="E1720" s="264" t="s">
        <v>3237</v>
      </c>
      <c r="F1720" s="265">
        <v>407</v>
      </c>
      <c r="G1720" s="265"/>
      <c r="H1720" s="265">
        <f t="shared" si="37"/>
        <v>407</v>
      </c>
    </row>
    <row r="1721" spans="2:11" x14ac:dyDescent="0.2">
      <c r="B1721" s="262" t="s">
        <v>1884</v>
      </c>
      <c r="C1721" s="263">
        <v>42796</v>
      </c>
      <c r="D1721" s="264" t="s">
        <v>3683</v>
      </c>
      <c r="E1721" s="264" t="s">
        <v>3684</v>
      </c>
      <c r="F1721" s="265">
        <v>524</v>
      </c>
      <c r="G1721" s="265"/>
      <c r="H1721" s="265">
        <f t="shared" si="37"/>
        <v>524</v>
      </c>
    </row>
    <row r="1722" spans="2:11" x14ac:dyDescent="0.2">
      <c r="B1722" s="262" t="s">
        <v>1863</v>
      </c>
      <c r="C1722" s="263">
        <v>42797</v>
      </c>
      <c r="D1722" s="264" t="s">
        <v>3402</v>
      </c>
      <c r="E1722" s="264" t="s">
        <v>3691</v>
      </c>
      <c r="F1722" s="265">
        <v>250</v>
      </c>
      <c r="G1722" s="265"/>
      <c r="H1722" s="265">
        <f t="shared" si="37"/>
        <v>250</v>
      </c>
    </row>
    <row r="1723" spans="2:11" x14ac:dyDescent="0.2">
      <c r="B1723" s="262" t="s">
        <v>1805</v>
      </c>
      <c r="C1723" s="263">
        <v>42798</v>
      </c>
      <c r="D1723" s="264" t="s">
        <v>3565</v>
      </c>
      <c r="E1723" s="264" t="s">
        <v>3685</v>
      </c>
      <c r="F1723" s="265">
        <v>1000</v>
      </c>
      <c r="G1723" s="265"/>
      <c r="H1723" s="265">
        <f t="shared" si="37"/>
        <v>1000</v>
      </c>
    </row>
    <row r="1724" spans="2:11" x14ac:dyDescent="0.2">
      <c r="B1724" s="262" t="s">
        <v>1865</v>
      </c>
      <c r="C1724" s="263">
        <v>42798</v>
      </c>
      <c r="D1724" s="264" t="s">
        <v>3097</v>
      </c>
      <c r="E1724" s="264" t="s">
        <v>3686</v>
      </c>
      <c r="F1724" s="265">
        <v>350</v>
      </c>
      <c r="G1724" s="265"/>
      <c r="H1724" s="265">
        <f t="shared" si="37"/>
        <v>350</v>
      </c>
    </row>
    <row r="1725" spans="2:11" x14ac:dyDescent="0.2">
      <c r="B1725" s="262" t="s">
        <v>1884</v>
      </c>
      <c r="C1725" s="263">
        <v>42798</v>
      </c>
      <c r="D1725" s="264" t="s">
        <v>3330</v>
      </c>
      <c r="E1725" s="264" t="s">
        <v>3641</v>
      </c>
      <c r="F1725" s="265">
        <v>400</v>
      </c>
      <c r="G1725" s="265"/>
      <c r="H1725" s="265">
        <f t="shared" si="37"/>
        <v>400</v>
      </c>
    </row>
    <row r="1726" spans="2:11" x14ac:dyDescent="0.2">
      <c r="B1726" s="262" t="s">
        <v>1863</v>
      </c>
      <c r="C1726" s="263">
        <v>42799</v>
      </c>
      <c r="D1726" s="264" t="s">
        <v>1878</v>
      </c>
      <c r="E1726" s="264" t="s">
        <v>3687</v>
      </c>
      <c r="F1726" s="265">
        <v>500</v>
      </c>
      <c r="G1726" s="265"/>
      <c r="H1726" s="265">
        <f t="shared" si="37"/>
        <v>500</v>
      </c>
    </row>
    <row r="1727" spans="2:11" x14ac:dyDescent="0.2">
      <c r="B1727" s="262" t="s">
        <v>1863</v>
      </c>
      <c r="C1727" s="263">
        <v>42799</v>
      </c>
      <c r="D1727" s="264" t="s">
        <v>1878</v>
      </c>
      <c r="E1727" s="264" t="s">
        <v>3688</v>
      </c>
      <c r="F1727" s="265">
        <v>500</v>
      </c>
      <c r="G1727" s="265"/>
      <c r="H1727" s="265">
        <f t="shared" si="37"/>
        <v>500</v>
      </c>
    </row>
    <row r="1728" spans="2:11" x14ac:dyDescent="0.2">
      <c r="B1728" s="262" t="s">
        <v>1884</v>
      </c>
      <c r="C1728" s="263">
        <v>42799</v>
      </c>
      <c r="D1728" s="264" t="s">
        <v>3146</v>
      </c>
      <c r="E1728" s="264" t="s">
        <v>3689</v>
      </c>
      <c r="F1728" s="265">
        <v>400</v>
      </c>
      <c r="G1728" s="265"/>
      <c r="H1728" s="265">
        <f t="shared" si="37"/>
        <v>400</v>
      </c>
    </row>
    <row r="1729" spans="2:11" x14ac:dyDescent="0.2">
      <c r="B1729" s="262" t="s">
        <v>1864</v>
      </c>
      <c r="C1729" s="263">
        <v>42800</v>
      </c>
      <c r="D1729" s="264" t="s">
        <v>2535</v>
      </c>
      <c r="E1729" s="264" t="s">
        <v>3302</v>
      </c>
      <c r="F1729" s="265">
        <v>190.5</v>
      </c>
      <c r="G1729" s="265"/>
      <c r="H1729" s="265">
        <f t="shared" si="37"/>
        <v>190.5</v>
      </c>
    </row>
    <row r="1730" spans="2:11" x14ac:dyDescent="0.2">
      <c r="B1730" s="262" t="s">
        <v>1863</v>
      </c>
      <c r="C1730" s="263">
        <v>42800</v>
      </c>
      <c r="D1730" s="264" t="s">
        <v>2250</v>
      </c>
      <c r="E1730" s="264" t="s">
        <v>3593</v>
      </c>
      <c r="F1730" s="265">
        <v>150</v>
      </c>
      <c r="G1730" s="265"/>
      <c r="H1730" s="265">
        <f t="shared" si="37"/>
        <v>150</v>
      </c>
    </row>
    <row r="1731" spans="2:11" x14ac:dyDescent="0.2">
      <c r="B1731" s="262" t="s">
        <v>1881</v>
      </c>
      <c r="C1731" s="263">
        <v>42800</v>
      </c>
      <c r="D1731" s="264" t="s">
        <v>2250</v>
      </c>
      <c r="E1731" s="264" t="s">
        <v>2636</v>
      </c>
      <c r="F1731" s="265">
        <v>120</v>
      </c>
      <c r="G1731" s="265"/>
      <c r="H1731" s="265">
        <f t="shared" si="37"/>
        <v>120</v>
      </c>
    </row>
    <row r="1732" spans="2:11" x14ac:dyDescent="0.2">
      <c r="B1732" s="262" t="s">
        <v>1860</v>
      </c>
      <c r="C1732" s="263">
        <v>42800</v>
      </c>
      <c r="D1732" s="264" t="s">
        <v>1891</v>
      </c>
      <c r="E1732" s="264" t="s">
        <v>3424</v>
      </c>
      <c r="F1732" s="265">
        <v>202</v>
      </c>
      <c r="G1732" s="265"/>
      <c r="H1732" s="265">
        <f t="shared" si="37"/>
        <v>202</v>
      </c>
    </row>
    <row r="1733" spans="2:11" x14ac:dyDescent="0.2">
      <c r="B1733" s="262" t="s">
        <v>1577</v>
      </c>
      <c r="C1733" s="263">
        <v>42800</v>
      </c>
      <c r="D1733" s="264" t="s">
        <v>3690</v>
      </c>
      <c r="E1733" s="264" t="s">
        <v>4288</v>
      </c>
      <c r="F1733" s="265">
        <v>200</v>
      </c>
      <c r="G1733" s="265"/>
      <c r="H1733" s="265">
        <f t="shared" si="37"/>
        <v>200</v>
      </c>
    </row>
    <row r="1734" spans="2:11" x14ac:dyDescent="0.2">
      <c r="B1734" s="262" t="s">
        <v>1863</v>
      </c>
      <c r="C1734" s="263">
        <v>42800</v>
      </c>
      <c r="D1734" s="264" t="s">
        <v>2763</v>
      </c>
      <c r="E1734" s="264" t="s">
        <v>3692</v>
      </c>
      <c r="F1734" s="265">
        <v>250</v>
      </c>
      <c r="G1734" s="265"/>
      <c r="H1734" s="265">
        <f t="shared" ref="H1734:H1751" si="38">SUM(F1734:G1734)</f>
        <v>250</v>
      </c>
    </row>
    <row r="1735" spans="2:11" x14ac:dyDescent="0.2">
      <c r="B1735" s="262" t="s">
        <v>1864</v>
      </c>
      <c r="C1735" s="263">
        <v>42800</v>
      </c>
      <c r="D1735" s="264" t="s">
        <v>1910</v>
      </c>
      <c r="E1735" s="264" t="s">
        <v>3695</v>
      </c>
      <c r="F1735" s="265">
        <v>400</v>
      </c>
      <c r="G1735" s="265"/>
      <c r="H1735" s="265">
        <f t="shared" si="38"/>
        <v>400</v>
      </c>
    </row>
    <row r="1736" spans="2:11" x14ac:dyDescent="0.2">
      <c r="B1736" s="262" t="s">
        <v>1857</v>
      </c>
      <c r="C1736" s="263">
        <v>42800</v>
      </c>
      <c r="D1736" s="264" t="s">
        <v>1872</v>
      </c>
      <c r="E1736" s="264" t="s">
        <v>3696</v>
      </c>
      <c r="F1736" s="265">
        <v>620</v>
      </c>
      <c r="G1736" s="265"/>
      <c r="H1736" s="265">
        <f t="shared" si="38"/>
        <v>620</v>
      </c>
    </row>
    <row r="1737" spans="2:11" x14ac:dyDescent="0.2">
      <c r="B1737" s="262" t="s">
        <v>1857</v>
      </c>
      <c r="C1737" s="263">
        <v>42800</v>
      </c>
      <c r="D1737" s="264" t="s">
        <v>1872</v>
      </c>
      <c r="E1737" s="264" t="s">
        <v>3697</v>
      </c>
      <c r="F1737" s="265">
        <v>750</v>
      </c>
      <c r="G1737" s="265"/>
      <c r="H1737" s="265">
        <f t="shared" si="38"/>
        <v>750</v>
      </c>
    </row>
    <row r="1738" spans="2:11" x14ac:dyDescent="0.2">
      <c r="B1738" s="262" t="s">
        <v>1884</v>
      </c>
      <c r="C1738" s="263">
        <v>42800</v>
      </c>
      <c r="D1738" s="264" t="s">
        <v>3125</v>
      </c>
      <c r="E1738" s="264" t="s">
        <v>3698</v>
      </c>
      <c r="F1738" s="265">
        <v>315</v>
      </c>
      <c r="G1738" s="265"/>
      <c r="H1738" s="265">
        <f t="shared" si="38"/>
        <v>315</v>
      </c>
    </row>
    <row r="1739" spans="2:11" x14ac:dyDescent="0.2">
      <c r="B1739" s="262" t="s">
        <v>1884</v>
      </c>
      <c r="C1739" s="263">
        <v>42800</v>
      </c>
      <c r="D1739" s="264" t="s">
        <v>2535</v>
      </c>
      <c r="E1739" s="264" t="s">
        <v>3699</v>
      </c>
      <c r="F1739" s="265">
        <v>129.4</v>
      </c>
      <c r="G1739" s="265"/>
      <c r="H1739" s="265">
        <f t="shared" si="38"/>
        <v>129.4</v>
      </c>
    </row>
    <row r="1740" spans="2:11" x14ac:dyDescent="0.2">
      <c r="B1740" s="354" t="s">
        <v>1862</v>
      </c>
      <c r="C1740" s="263">
        <v>42800</v>
      </c>
      <c r="D1740" s="264" t="s">
        <v>1892</v>
      </c>
      <c r="E1740" s="264" t="s">
        <v>3700</v>
      </c>
      <c r="F1740" s="265">
        <v>4500</v>
      </c>
      <c r="G1740" s="265"/>
      <c r="H1740" s="265">
        <f t="shared" si="38"/>
        <v>4500</v>
      </c>
      <c r="K1740">
        <v>4500</v>
      </c>
    </row>
    <row r="1741" spans="2:11" x14ac:dyDescent="0.2">
      <c r="B1741" s="262" t="s">
        <v>1866</v>
      </c>
      <c r="C1741" s="263">
        <v>42800</v>
      </c>
      <c r="D1741" s="264" t="s">
        <v>1890</v>
      </c>
      <c r="E1741" s="264" t="s">
        <v>3663</v>
      </c>
      <c r="F1741" s="265">
        <v>210</v>
      </c>
      <c r="G1741" s="265"/>
      <c r="H1741" s="265">
        <f t="shared" si="38"/>
        <v>210</v>
      </c>
    </row>
    <row r="1742" spans="2:11" x14ac:dyDescent="0.2">
      <c r="B1742" s="262" t="s">
        <v>1879</v>
      </c>
      <c r="C1742" s="263">
        <v>42800</v>
      </c>
      <c r="D1742" s="264" t="s">
        <v>1892</v>
      </c>
      <c r="E1742" s="264" t="s">
        <v>3701</v>
      </c>
      <c r="F1742" s="265">
        <v>350</v>
      </c>
      <c r="G1742" s="265"/>
      <c r="H1742" s="265">
        <f t="shared" si="38"/>
        <v>350</v>
      </c>
    </row>
    <row r="1743" spans="2:11" x14ac:dyDescent="0.2">
      <c r="B1743" s="262" t="s">
        <v>1860</v>
      </c>
      <c r="C1743" s="263">
        <v>42800</v>
      </c>
      <c r="D1743" s="264" t="s">
        <v>1891</v>
      </c>
      <c r="E1743" s="264" t="s">
        <v>3424</v>
      </c>
      <c r="F1743" s="265">
        <v>84</v>
      </c>
      <c r="G1743" s="265"/>
      <c r="H1743" s="265">
        <f t="shared" si="38"/>
        <v>84</v>
      </c>
    </row>
    <row r="1744" spans="2:11" x14ac:dyDescent="0.2">
      <c r="B1744" s="262" t="s">
        <v>1860</v>
      </c>
      <c r="C1744" s="263">
        <v>42801</v>
      </c>
      <c r="D1744" s="264" t="s">
        <v>1926</v>
      </c>
      <c r="E1744" s="264" t="s">
        <v>3702</v>
      </c>
      <c r="F1744" s="265">
        <v>200</v>
      </c>
      <c r="G1744" s="265"/>
      <c r="H1744" s="265">
        <f t="shared" si="38"/>
        <v>200</v>
      </c>
    </row>
    <row r="1745" spans="2:8" x14ac:dyDescent="0.2">
      <c r="B1745" s="262" t="s">
        <v>1863</v>
      </c>
      <c r="C1745" s="263">
        <v>42801</v>
      </c>
      <c r="D1745" s="264" t="s">
        <v>2419</v>
      </c>
      <c r="E1745" s="264" t="s">
        <v>3703</v>
      </c>
      <c r="F1745" s="265">
        <v>380</v>
      </c>
      <c r="G1745" s="265"/>
      <c r="H1745" s="265">
        <f t="shared" si="38"/>
        <v>380</v>
      </c>
    </row>
    <row r="1746" spans="2:8" x14ac:dyDescent="0.2">
      <c r="B1746" s="262" t="s">
        <v>1884</v>
      </c>
      <c r="C1746" s="263">
        <v>42801</v>
      </c>
      <c r="D1746" s="264" t="s">
        <v>1915</v>
      </c>
      <c r="E1746" s="264" t="s">
        <v>3704</v>
      </c>
      <c r="F1746" s="265">
        <v>350</v>
      </c>
      <c r="G1746" s="265"/>
      <c r="H1746" s="265">
        <f t="shared" si="38"/>
        <v>350</v>
      </c>
    </row>
    <row r="1747" spans="2:8" x14ac:dyDescent="0.2">
      <c r="B1747" s="262" t="s">
        <v>1577</v>
      </c>
      <c r="C1747" s="263">
        <v>42802</v>
      </c>
      <c r="D1747" s="264" t="s">
        <v>3578</v>
      </c>
      <c r="E1747" s="264" t="s">
        <v>4289</v>
      </c>
      <c r="F1747" s="265">
        <v>15050</v>
      </c>
      <c r="G1747" s="265"/>
      <c r="H1747" s="265">
        <f t="shared" si="38"/>
        <v>15050</v>
      </c>
    </row>
    <row r="1748" spans="2:8" x14ac:dyDescent="0.2">
      <c r="B1748" s="262" t="s">
        <v>1865</v>
      </c>
      <c r="C1748" s="263">
        <v>42802</v>
      </c>
      <c r="D1748" s="264" t="s">
        <v>3705</v>
      </c>
      <c r="E1748" s="264" t="s">
        <v>3706</v>
      </c>
      <c r="F1748" s="265">
        <v>400</v>
      </c>
      <c r="G1748" s="265"/>
      <c r="H1748" s="265">
        <f t="shared" si="38"/>
        <v>400</v>
      </c>
    </row>
    <row r="1749" spans="2:8" x14ac:dyDescent="0.2">
      <c r="B1749" s="262" t="s">
        <v>1884</v>
      </c>
      <c r="C1749" s="263">
        <v>42802</v>
      </c>
      <c r="D1749" s="264" t="s">
        <v>3146</v>
      </c>
      <c r="E1749" s="264" t="s">
        <v>3707</v>
      </c>
      <c r="F1749" s="265">
        <v>350</v>
      </c>
      <c r="G1749" s="265"/>
      <c r="H1749" s="265">
        <f t="shared" si="38"/>
        <v>350</v>
      </c>
    </row>
    <row r="1750" spans="2:8" x14ac:dyDescent="0.2">
      <c r="B1750" s="262" t="s">
        <v>1870</v>
      </c>
      <c r="C1750" s="263">
        <v>42802</v>
      </c>
      <c r="D1750" s="264" t="s">
        <v>1892</v>
      </c>
      <c r="E1750" s="264" t="s">
        <v>3708</v>
      </c>
      <c r="F1750" s="265">
        <v>450</v>
      </c>
      <c r="G1750" s="265"/>
      <c r="H1750" s="265">
        <f t="shared" si="38"/>
        <v>450</v>
      </c>
    </row>
    <row r="1751" spans="2:8" x14ac:dyDescent="0.2">
      <c r="B1751" s="262" t="s">
        <v>1879</v>
      </c>
      <c r="C1751" s="263">
        <v>42802</v>
      </c>
      <c r="D1751" s="264" t="s">
        <v>1892</v>
      </c>
      <c r="E1751" s="264" t="s">
        <v>3709</v>
      </c>
      <c r="F1751" s="265">
        <v>350</v>
      </c>
      <c r="G1751" s="265"/>
      <c r="H1751" s="265">
        <f t="shared" si="38"/>
        <v>350</v>
      </c>
    </row>
    <row r="1752" spans="2:8" x14ac:dyDescent="0.2">
      <c r="B1752" s="262" t="s">
        <v>1863</v>
      </c>
      <c r="C1752" s="263">
        <v>42802</v>
      </c>
      <c r="D1752" s="264" t="s">
        <v>1897</v>
      </c>
      <c r="E1752" s="264" t="s">
        <v>3710</v>
      </c>
      <c r="F1752" s="265">
        <v>350</v>
      </c>
      <c r="G1752" s="265"/>
      <c r="H1752" s="265">
        <f t="shared" ref="H1752:H1837" si="39">SUM(F1752:G1752)</f>
        <v>350</v>
      </c>
    </row>
    <row r="1753" spans="2:8" x14ac:dyDescent="0.2">
      <c r="B1753" s="262" t="s">
        <v>1884</v>
      </c>
      <c r="C1753" s="263">
        <v>42802</v>
      </c>
      <c r="D1753" s="264" t="s">
        <v>3711</v>
      </c>
      <c r="E1753" s="264" t="s">
        <v>3712</v>
      </c>
      <c r="F1753" s="265">
        <v>800</v>
      </c>
      <c r="G1753" s="265"/>
      <c r="H1753" s="265">
        <f t="shared" si="39"/>
        <v>800</v>
      </c>
    </row>
    <row r="1754" spans="2:8" x14ac:dyDescent="0.2">
      <c r="B1754" s="262" t="s">
        <v>1867</v>
      </c>
      <c r="C1754" s="263">
        <v>42802</v>
      </c>
      <c r="D1754" s="264" t="s">
        <v>1894</v>
      </c>
      <c r="E1754" s="264" t="s">
        <v>3713</v>
      </c>
      <c r="F1754" s="265">
        <v>786</v>
      </c>
      <c r="G1754" s="265"/>
      <c r="H1754" s="265">
        <f t="shared" si="39"/>
        <v>786</v>
      </c>
    </row>
    <row r="1755" spans="2:8" x14ac:dyDescent="0.2">
      <c r="B1755" s="262" t="s">
        <v>1884</v>
      </c>
      <c r="C1755" s="263">
        <v>42804</v>
      </c>
      <c r="D1755" s="264" t="s">
        <v>3125</v>
      </c>
      <c r="E1755" s="264" t="s">
        <v>3698</v>
      </c>
      <c r="F1755" s="265">
        <v>310</v>
      </c>
      <c r="G1755" s="265"/>
      <c r="H1755" s="265">
        <f t="shared" si="39"/>
        <v>310</v>
      </c>
    </row>
    <row r="1756" spans="2:8" x14ac:dyDescent="0.2">
      <c r="B1756" s="262" t="s">
        <v>1879</v>
      </c>
      <c r="C1756" s="263">
        <v>42804</v>
      </c>
      <c r="D1756" s="264" t="s">
        <v>1891</v>
      </c>
      <c r="E1756" s="264" t="s">
        <v>3714</v>
      </c>
      <c r="F1756" s="265">
        <v>5</v>
      </c>
      <c r="G1756" s="265"/>
      <c r="H1756" s="265">
        <f t="shared" si="39"/>
        <v>5</v>
      </c>
    </row>
    <row r="1757" spans="2:8" x14ac:dyDescent="0.2">
      <c r="B1757" s="262" t="s">
        <v>1879</v>
      </c>
      <c r="C1757" s="263">
        <v>42804</v>
      </c>
      <c r="D1757" s="264" t="s">
        <v>1925</v>
      </c>
      <c r="E1757" s="264" t="s">
        <v>3714</v>
      </c>
      <c r="F1757" s="265">
        <v>339</v>
      </c>
      <c r="G1757" s="265"/>
      <c r="H1757" s="265">
        <f t="shared" si="39"/>
        <v>339</v>
      </c>
    </row>
    <row r="1758" spans="2:8" x14ac:dyDescent="0.2">
      <c r="B1758" s="262" t="s">
        <v>1821</v>
      </c>
      <c r="C1758" s="263">
        <v>42804</v>
      </c>
      <c r="D1758" s="264" t="s">
        <v>1892</v>
      </c>
      <c r="E1758" s="264" t="s">
        <v>3715</v>
      </c>
      <c r="F1758" s="265">
        <v>3600</v>
      </c>
      <c r="G1758" s="265"/>
      <c r="H1758" s="265">
        <f t="shared" si="39"/>
        <v>3600</v>
      </c>
    </row>
    <row r="1759" spans="2:8" x14ac:dyDescent="0.2">
      <c r="B1759" s="262" t="s">
        <v>1805</v>
      </c>
      <c r="C1759" s="263">
        <v>42804</v>
      </c>
      <c r="D1759" s="264" t="s">
        <v>1910</v>
      </c>
      <c r="E1759" s="264" t="s">
        <v>3716</v>
      </c>
      <c r="F1759" s="265">
        <v>1000</v>
      </c>
      <c r="G1759" s="265"/>
      <c r="H1759" s="265">
        <f t="shared" si="39"/>
        <v>1000</v>
      </c>
    </row>
    <row r="1760" spans="2:8" x14ac:dyDescent="0.2">
      <c r="B1760" s="262" t="s">
        <v>1863</v>
      </c>
      <c r="C1760" s="263">
        <v>42805</v>
      </c>
      <c r="D1760" s="264" t="s">
        <v>1878</v>
      </c>
      <c r="E1760" s="264" t="s">
        <v>3717</v>
      </c>
      <c r="F1760" s="265">
        <v>500</v>
      </c>
      <c r="G1760" s="265"/>
      <c r="H1760" s="265">
        <f t="shared" si="39"/>
        <v>500</v>
      </c>
    </row>
    <row r="1761" spans="2:11" x14ac:dyDescent="0.2">
      <c r="B1761" s="262" t="s">
        <v>1871</v>
      </c>
      <c r="C1761" s="263">
        <v>42805</v>
      </c>
      <c r="D1761" s="264" t="s">
        <v>2704</v>
      </c>
      <c r="E1761" s="264" t="s">
        <v>2971</v>
      </c>
      <c r="F1761" s="265">
        <v>230</v>
      </c>
      <c r="G1761" s="265"/>
      <c r="H1761" s="265">
        <f t="shared" si="39"/>
        <v>230</v>
      </c>
    </row>
    <row r="1762" spans="2:11" x14ac:dyDescent="0.2">
      <c r="B1762" s="262" t="s">
        <v>1864</v>
      </c>
      <c r="C1762" s="263">
        <v>42806</v>
      </c>
      <c r="D1762" s="264" t="s">
        <v>2535</v>
      </c>
      <c r="E1762" s="264" t="s">
        <v>3340</v>
      </c>
      <c r="F1762" s="265">
        <v>133</v>
      </c>
      <c r="G1762" s="265"/>
      <c r="H1762" s="265">
        <f t="shared" si="39"/>
        <v>133</v>
      </c>
    </row>
    <row r="1763" spans="2:11" x14ac:dyDescent="0.2">
      <c r="B1763" s="262" t="s">
        <v>1881</v>
      </c>
      <c r="C1763" s="263">
        <v>42806</v>
      </c>
      <c r="D1763" s="264" t="s">
        <v>2250</v>
      </c>
      <c r="E1763" s="264" t="s">
        <v>2026</v>
      </c>
      <c r="F1763" s="265">
        <v>120</v>
      </c>
      <c r="G1763" s="265"/>
      <c r="H1763" s="265">
        <f t="shared" si="39"/>
        <v>120</v>
      </c>
    </row>
    <row r="1764" spans="2:11" x14ac:dyDescent="0.2">
      <c r="B1764" s="262" t="s">
        <v>1863</v>
      </c>
      <c r="C1764" s="263">
        <v>42806</v>
      </c>
      <c r="D1764" s="264" t="s">
        <v>2250</v>
      </c>
      <c r="E1764" s="264" t="s">
        <v>3718</v>
      </c>
      <c r="F1764" s="265">
        <v>150</v>
      </c>
      <c r="G1764" s="265"/>
      <c r="H1764" s="265">
        <f t="shared" si="39"/>
        <v>150</v>
      </c>
    </row>
    <row r="1765" spans="2:11" x14ac:dyDescent="0.2">
      <c r="B1765" s="262" t="s">
        <v>1864</v>
      </c>
      <c r="C1765" s="263">
        <v>42807</v>
      </c>
      <c r="D1765" s="264" t="s">
        <v>1910</v>
      </c>
      <c r="E1765" s="264" t="s">
        <v>3719</v>
      </c>
      <c r="F1765" s="265">
        <v>400</v>
      </c>
      <c r="G1765" s="265"/>
      <c r="H1765" s="265">
        <f t="shared" si="39"/>
        <v>400</v>
      </c>
    </row>
    <row r="1766" spans="2:11" x14ac:dyDescent="0.2">
      <c r="B1766" s="262" t="s">
        <v>1577</v>
      </c>
      <c r="C1766" s="263">
        <v>42807</v>
      </c>
      <c r="D1766" s="264" t="s">
        <v>3578</v>
      </c>
      <c r="E1766" s="264" t="s">
        <v>4290</v>
      </c>
      <c r="F1766" s="265">
        <v>15050</v>
      </c>
      <c r="G1766" s="265"/>
      <c r="H1766" s="265">
        <f t="shared" si="39"/>
        <v>15050</v>
      </c>
    </row>
    <row r="1767" spans="2:11" x14ac:dyDescent="0.2">
      <c r="B1767" s="262" t="s">
        <v>1866</v>
      </c>
      <c r="C1767" s="263">
        <v>42807</v>
      </c>
      <c r="D1767" s="264" t="s">
        <v>1890</v>
      </c>
      <c r="E1767" s="264" t="s">
        <v>3732</v>
      </c>
      <c r="F1767" s="265">
        <v>210</v>
      </c>
      <c r="G1767" s="265"/>
      <c r="H1767" s="265">
        <f t="shared" si="39"/>
        <v>210</v>
      </c>
    </row>
    <row r="1768" spans="2:11" x14ac:dyDescent="0.2">
      <c r="B1768" s="262" t="s">
        <v>1879</v>
      </c>
      <c r="C1768" s="263">
        <v>42807</v>
      </c>
      <c r="D1768" s="264" t="s">
        <v>1892</v>
      </c>
      <c r="E1768" s="264" t="s">
        <v>3733</v>
      </c>
      <c r="F1768" s="265">
        <v>100</v>
      </c>
      <c r="G1768" s="265"/>
      <c r="H1768" s="265">
        <f t="shared" si="39"/>
        <v>100</v>
      </c>
    </row>
    <row r="1769" spans="2:11" x14ac:dyDescent="0.2">
      <c r="B1769" s="262" t="s">
        <v>1879</v>
      </c>
      <c r="C1769" s="263">
        <v>42807</v>
      </c>
      <c r="D1769" s="264" t="s">
        <v>1892</v>
      </c>
      <c r="E1769" s="264" t="s">
        <v>3734</v>
      </c>
      <c r="F1769" s="265">
        <v>700</v>
      </c>
      <c r="G1769" s="265"/>
      <c r="H1769" s="265">
        <f t="shared" si="39"/>
        <v>700</v>
      </c>
    </row>
    <row r="1770" spans="2:11" x14ac:dyDescent="0.2">
      <c r="B1770" s="354" t="s">
        <v>1862</v>
      </c>
      <c r="C1770" s="263">
        <v>42807</v>
      </c>
      <c r="D1770" s="264" t="s">
        <v>1892</v>
      </c>
      <c r="E1770" s="264" t="s">
        <v>3811</v>
      </c>
      <c r="F1770" s="265">
        <v>1600</v>
      </c>
      <c r="G1770" s="265"/>
      <c r="H1770" s="265">
        <f t="shared" si="39"/>
        <v>1600</v>
      </c>
      <c r="K1770">
        <v>1600</v>
      </c>
    </row>
    <row r="1771" spans="2:11" x14ac:dyDescent="0.2">
      <c r="B1771" s="262" t="s">
        <v>1871</v>
      </c>
      <c r="C1771" s="263">
        <v>42807</v>
      </c>
      <c r="D1771" s="264" t="s">
        <v>3720</v>
      </c>
      <c r="E1771" s="264" t="s">
        <v>3735</v>
      </c>
      <c r="F1771" s="265">
        <v>244.4</v>
      </c>
      <c r="G1771" s="265"/>
      <c r="H1771" s="265">
        <f t="shared" si="39"/>
        <v>244.4</v>
      </c>
    </row>
    <row r="1772" spans="2:11" x14ac:dyDescent="0.2">
      <c r="B1772" s="262" t="s">
        <v>1884</v>
      </c>
      <c r="C1772" s="263">
        <v>42809</v>
      </c>
      <c r="D1772" s="264" t="s">
        <v>3330</v>
      </c>
      <c r="E1772" s="264" t="s">
        <v>3736</v>
      </c>
      <c r="F1772" s="265">
        <v>400</v>
      </c>
      <c r="G1772" s="265"/>
      <c r="H1772" s="265">
        <f t="shared" si="39"/>
        <v>400</v>
      </c>
    </row>
    <row r="1773" spans="2:11" x14ac:dyDescent="0.2">
      <c r="B1773" s="262" t="s">
        <v>1881</v>
      </c>
      <c r="C1773" s="263">
        <v>42809</v>
      </c>
      <c r="D1773" s="264" t="s">
        <v>2250</v>
      </c>
      <c r="E1773" s="264" t="s">
        <v>3731</v>
      </c>
      <c r="F1773" s="265">
        <v>350</v>
      </c>
      <c r="G1773" s="265"/>
      <c r="H1773" s="265">
        <f t="shared" si="39"/>
        <v>350</v>
      </c>
    </row>
    <row r="1774" spans="2:11" x14ac:dyDescent="0.2">
      <c r="B1774" s="262" t="s">
        <v>1881</v>
      </c>
      <c r="C1774" s="263">
        <v>42809</v>
      </c>
      <c r="D1774" s="264" t="s">
        <v>1873</v>
      </c>
      <c r="E1774" s="264" t="s">
        <v>3721</v>
      </c>
      <c r="F1774" s="265">
        <v>450</v>
      </c>
      <c r="G1774" s="265"/>
      <c r="H1774" s="265">
        <f t="shared" si="39"/>
        <v>450</v>
      </c>
    </row>
    <row r="1775" spans="2:11" x14ac:dyDescent="0.2">
      <c r="B1775" s="262" t="s">
        <v>1859</v>
      </c>
      <c r="C1775" s="263">
        <v>42809</v>
      </c>
      <c r="D1775" s="264" t="s">
        <v>1911</v>
      </c>
      <c r="E1775" s="264" t="s">
        <v>3730</v>
      </c>
      <c r="F1775" s="265">
        <v>4000</v>
      </c>
      <c r="G1775" s="265"/>
      <c r="H1775" s="265">
        <f t="shared" si="39"/>
        <v>4000</v>
      </c>
    </row>
    <row r="1776" spans="2:11" x14ac:dyDescent="0.2">
      <c r="B1776" s="262" t="s">
        <v>1860</v>
      </c>
      <c r="C1776" s="263">
        <v>42809</v>
      </c>
      <c r="D1776" s="264" t="s">
        <v>1891</v>
      </c>
      <c r="E1776" s="264" t="s">
        <v>3424</v>
      </c>
      <c r="F1776" s="265">
        <v>89</v>
      </c>
      <c r="G1776" s="265"/>
      <c r="H1776" s="265">
        <f t="shared" si="39"/>
        <v>89</v>
      </c>
    </row>
    <row r="1777" spans="2:9" x14ac:dyDescent="0.2">
      <c r="B1777" s="262" t="s">
        <v>1884</v>
      </c>
      <c r="C1777" s="263">
        <v>42809</v>
      </c>
      <c r="D1777" s="264" t="s">
        <v>3729</v>
      </c>
      <c r="E1777" s="264" t="s">
        <v>3722</v>
      </c>
      <c r="F1777" s="265">
        <v>830</v>
      </c>
      <c r="G1777" s="265"/>
      <c r="H1777" s="265">
        <f t="shared" si="39"/>
        <v>830</v>
      </c>
    </row>
    <row r="1778" spans="2:9" x14ac:dyDescent="0.2">
      <c r="B1778" s="262" t="s">
        <v>1863</v>
      </c>
      <c r="C1778" s="263">
        <v>42809</v>
      </c>
      <c r="D1778" s="264" t="s">
        <v>1873</v>
      </c>
      <c r="E1778" s="264" t="s">
        <v>3723</v>
      </c>
      <c r="F1778" s="265">
        <v>350</v>
      </c>
      <c r="G1778" s="265"/>
      <c r="H1778" s="265">
        <f t="shared" si="39"/>
        <v>350</v>
      </c>
    </row>
    <row r="1779" spans="2:9" x14ac:dyDescent="0.2">
      <c r="B1779" s="262" t="s">
        <v>1884</v>
      </c>
      <c r="C1779" s="263">
        <v>42809</v>
      </c>
      <c r="D1779" s="264" t="s">
        <v>2274</v>
      </c>
      <c r="E1779" s="264" t="s">
        <v>3724</v>
      </c>
      <c r="F1779" s="265">
        <v>93</v>
      </c>
      <c r="G1779" s="265"/>
      <c r="H1779" s="265">
        <f t="shared" si="39"/>
        <v>93</v>
      </c>
    </row>
    <row r="1780" spans="2:9" x14ac:dyDescent="0.2">
      <c r="B1780" s="262" t="s">
        <v>1860</v>
      </c>
      <c r="C1780" s="263">
        <v>42809</v>
      </c>
      <c r="D1780" s="264" t="s">
        <v>1891</v>
      </c>
      <c r="E1780" s="264" t="s">
        <v>3725</v>
      </c>
      <c r="F1780" s="265">
        <v>458.01</v>
      </c>
      <c r="G1780" s="265"/>
      <c r="H1780" s="265">
        <f t="shared" si="39"/>
        <v>458.01</v>
      </c>
    </row>
    <row r="1781" spans="2:9" x14ac:dyDescent="0.2">
      <c r="B1781" s="262" t="s">
        <v>1860</v>
      </c>
      <c r="C1781" s="263">
        <v>42809</v>
      </c>
      <c r="D1781" s="264" t="s">
        <v>1891</v>
      </c>
      <c r="E1781" s="264" t="s">
        <v>3726</v>
      </c>
      <c r="F1781" s="265">
        <v>618.01</v>
      </c>
      <c r="G1781" s="265"/>
      <c r="H1781" s="265">
        <f t="shared" si="39"/>
        <v>618.01</v>
      </c>
    </row>
    <row r="1782" spans="2:9" x14ac:dyDescent="0.2">
      <c r="B1782" s="262" t="s">
        <v>1863</v>
      </c>
      <c r="C1782" s="263">
        <v>42809</v>
      </c>
      <c r="D1782" s="264" t="s">
        <v>3727</v>
      </c>
      <c r="E1782" s="264" t="s">
        <v>3728</v>
      </c>
      <c r="F1782" s="265">
        <v>4125</v>
      </c>
      <c r="G1782" s="265"/>
      <c r="H1782" s="265">
        <f t="shared" si="39"/>
        <v>4125</v>
      </c>
      <c r="I1782" s="175">
        <f>SUM(H1712:H1782)</f>
        <v>70725.819999999992</v>
      </c>
    </row>
    <row r="1783" spans="2:9" x14ac:dyDescent="0.2">
      <c r="B1783" s="262" t="s">
        <v>1870</v>
      </c>
      <c r="C1783" s="263">
        <v>42810</v>
      </c>
      <c r="D1783" s="264" t="s">
        <v>1938</v>
      </c>
      <c r="E1783" s="264" t="s">
        <v>3748</v>
      </c>
      <c r="F1783" s="265">
        <v>100</v>
      </c>
      <c r="G1783" s="265"/>
      <c r="H1783" s="265">
        <f t="shared" si="39"/>
        <v>100</v>
      </c>
    </row>
    <row r="1784" spans="2:9" x14ac:dyDescent="0.2">
      <c r="B1784" s="262" t="s">
        <v>1863</v>
      </c>
      <c r="C1784" s="263">
        <v>42810</v>
      </c>
      <c r="D1784" s="264" t="s">
        <v>1897</v>
      </c>
      <c r="E1784" s="264" t="s">
        <v>3749</v>
      </c>
      <c r="F1784" s="265">
        <v>200</v>
      </c>
      <c r="G1784" s="265"/>
      <c r="H1784" s="265">
        <f t="shared" si="39"/>
        <v>200</v>
      </c>
    </row>
    <row r="1785" spans="2:9" x14ac:dyDescent="0.2">
      <c r="B1785" s="262" t="s">
        <v>1879</v>
      </c>
      <c r="C1785" s="263">
        <v>42810</v>
      </c>
      <c r="D1785" s="264" t="s">
        <v>1892</v>
      </c>
      <c r="E1785" s="264" t="s">
        <v>3750</v>
      </c>
      <c r="F1785" s="265">
        <v>350</v>
      </c>
      <c r="G1785" s="265"/>
      <c r="H1785" s="265">
        <f t="shared" si="39"/>
        <v>350</v>
      </c>
    </row>
    <row r="1786" spans="2:9" x14ac:dyDescent="0.2">
      <c r="B1786" s="262" t="s">
        <v>1877</v>
      </c>
      <c r="C1786" s="263">
        <v>42810</v>
      </c>
      <c r="D1786" s="264" t="s">
        <v>3751</v>
      </c>
      <c r="E1786" s="264" t="s">
        <v>3752</v>
      </c>
      <c r="F1786" s="265">
        <v>48</v>
      </c>
      <c r="G1786" s="265"/>
      <c r="H1786" s="265">
        <f t="shared" ref="H1786:H1808" si="40">SUM(F1786:G1786)</f>
        <v>48</v>
      </c>
    </row>
    <row r="1787" spans="2:9" x14ac:dyDescent="0.2">
      <c r="B1787" s="262" t="s">
        <v>1860</v>
      </c>
      <c r="C1787" s="263">
        <v>42810</v>
      </c>
      <c r="D1787" s="264" t="s">
        <v>1926</v>
      </c>
      <c r="E1787" s="264" t="s">
        <v>3753</v>
      </c>
      <c r="F1787" s="265">
        <v>201</v>
      </c>
      <c r="G1787" s="265"/>
      <c r="H1787" s="265">
        <f t="shared" si="40"/>
        <v>201</v>
      </c>
    </row>
    <row r="1788" spans="2:9" x14ac:dyDescent="0.2">
      <c r="B1788" s="262" t="s">
        <v>1860</v>
      </c>
      <c r="C1788" s="263">
        <v>42810</v>
      </c>
      <c r="D1788" s="264" t="s">
        <v>1926</v>
      </c>
      <c r="E1788" s="264" t="s">
        <v>3754</v>
      </c>
      <c r="F1788" s="265">
        <v>80</v>
      </c>
      <c r="G1788" s="265"/>
      <c r="H1788" s="265">
        <f t="shared" si="40"/>
        <v>80</v>
      </c>
    </row>
    <row r="1789" spans="2:9" x14ac:dyDescent="0.2">
      <c r="B1789" s="262" t="s">
        <v>1805</v>
      </c>
      <c r="C1789" s="263">
        <v>42811</v>
      </c>
      <c r="D1789" s="264" t="s">
        <v>3565</v>
      </c>
      <c r="E1789" s="264" t="s">
        <v>3755</v>
      </c>
      <c r="F1789" s="265">
        <v>1000</v>
      </c>
      <c r="G1789" s="265"/>
      <c r="H1789" s="265">
        <f t="shared" si="40"/>
        <v>1000</v>
      </c>
    </row>
    <row r="1790" spans="2:9" x14ac:dyDescent="0.2">
      <c r="B1790" s="262" t="s">
        <v>1881</v>
      </c>
      <c r="C1790" s="263">
        <v>42811</v>
      </c>
      <c r="D1790" s="264" t="s">
        <v>2419</v>
      </c>
      <c r="E1790" s="264" t="s">
        <v>3756</v>
      </c>
      <c r="F1790" s="265">
        <v>420</v>
      </c>
      <c r="G1790" s="265"/>
      <c r="H1790" s="265">
        <f t="shared" si="40"/>
        <v>420</v>
      </c>
    </row>
    <row r="1791" spans="2:9" x14ac:dyDescent="0.2">
      <c r="B1791" s="262" t="s">
        <v>1863</v>
      </c>
      <c r="C1791" s="263">
        <v>42812</v>
      </c>
      <c r="D1791" s="264" t="s">
        <v>1878</v>
      </c>
      <c r="E1791" s="264" t="s">
        <v>3757</v>
      </c>
      <c r="F1791" s="265">
        <v>500</v>
      </c>
      <c r="G1791" s="265"/>
      <c r="H1791" s="265">
        <f t="shared" si="40"/>
        <v>500</v>
      </c>
    </row>
    <row r="1792" spans="2:9" x14ac:dyDescent="0.2">
      <c r="B1792" s="262" t="s">
        <v>1864</v>
      </c>
      <c r="C1792" s="263">
        <v>42813</v>
      </c>
      <c r="D1792" s="264" t="s">
        <v>2535</v>
      </c>
      <c r="E1792" s="264" t="s">
        <v>2664</v>
      </c>
      <c r="F1792" s="265">
        <v>122.5</v>
      </c>
      <c r="G1792" s="265"/>
      <c r="H1792" s="265">
        <f t="shared" si="40"/>
        <v>122.5</v>
      </c>
    </row>
    <row r="1793" spans="1:12" x14ac:dyDescent="0.2">
      <c r="B1793" s="262" t="s">
        <v>1881</v>
      </c>
      <c r="C1793" s="263">
        <v>42813</v>
      </c>
      <c r="D1793" s="264" t="s">
        <v>2250</v>
      </c>
      <c r="E1793" s="264" t="s">
        <v>3758</v>
      </c>
      <c r="F1793" s="265">
        <v>120</v>
      </c>
      <c r="G1793" s="265"/>
      <c r="H1793" s="265">
        <f t="shared" si="40"/>
        <v>120</v>
      </c>
    </row>
    <row r="1794" spans="1:12" x14ac:dyDescent="0.2">
      <c r="B1794" s="262" t="s">
        <v>1863</v>
      </c>
      <c r="C1794" s="263">
        <v>42813</v>
      </c>
      <c r="D1794" s="264" t="s">
        <v>2250</v>
      </c>
      <c r="E1794" s="264" t="s">
        <v>3381</v>
      </c>
      <c r="F1794" s="265">
        <v>150</v>
      </c>
      <c r="G1794" s="265"/>
      <c r="H1794" s="265">
        <f t="shared" si="40"/>
        <v>150</v>
      </c>
    </row>
    <row r="1795" spans="1:12" x14ac:dyDescent="0.2">
      <c r="B1795" s="341" t="s">
        <v>1864</v>
      </c>
      <c r="C1795" s="263">
        <v>42814</v>
      </c>
      <c r="D1795" s="264" t="s">
        <v>3565</v>
      </c>
      <c r="E1795" s="264" t="s">
        <v>3759</v>
      </c>
      <c r="F1795" s="265">
        <v>400</v>
      </c>
      <c r="G1795" s="265"/>
      <c r="H1795" s="265">
        <f t="shared" si="40"/>
        <v>400</v>
      </c>
    </row>
    <row r="1796" spans="1:12" x14ac:dyDescent="0.2">
      <c r="A1796" s="320"/>
      <c r="B1796" s="262" t="s">
        <v>1862</v>
      </c>
      <c r="C1796" s="263">
        <v>42814</v>
      </c>
      <c r="D1796" s="264" t="s">
        <v>1892</v>
      </c>
      <c r="E1796" s="264" t="s">
        <v>3760</v>
      </c>
      <c r="F1796" s="265">
        <v>400</v>
      </c>
      <c r="G1796" s="265"/>
      <c r="H1796" s="265">
        <f t="shared" si="40"/>
        <v>400</v>
      </c>
      <c r="L1796">
        <v>400</v>
      </c>
    </row>
    <row r="1797" spans="1:12" x14ac:dyDescent="0.2">
      <c r="B1797" s="262" t="s">
        <v>1867</v>
      </c>
      <c r="C1797" s="263">
        <v>42814</v>
      </c>
      <c r="D1797" s="264" t="s">
        <v>1892</v>
      </c>
      <c r="E1797" s="264" t="s">
        <v>3761</v>
      </c>
      <c r="F1797" s="265">
        <v>500</v>
      </c>
      <c r="G1797" s="265"/>
      <c r="H1797" s="265">
        <f t="shared" si="40"/>
        <v>500</v>
      </c>
    </row>
    <row r="1798" spans="1:12" x14ac:dyDescent="0.2">
      <c r="B1798" s="354" t="s">
        <v>1862</v>
      </c>
      <c r="C1798" s="263">
        <v>42815</v>
      </c>
      <c r="D1798" s="264" t="s">
        <v>1892</v>
      </c>
      <c r="E1798" s="264" t="s">
        <v>3762</v>
      </c>
      <c r="F1798" s="265">
        <v>4000</v>
      </c>
      <c r="G1798" s="265"/>
      <c r="H1798" s="265">
        <f t="shared" si="40"/>
        <v>4000</v>
      </c>
      <c r="K1798">
        <v>4000</v>
      </c>
    </row>
    <row r="1799" spans="1:12" x14ac:dyDescent="0.2">
      <c r="B1799" s="262" t="s">
        <v>1879</v>
      </c>
      <c r="C1799" s="263">
        <v>42815</v>
      </c>
      <c r="D1799" s="264" t="s">
        <v>1892</v>
      </c>
      <c r="E1799" s="264" t="s">
        <v>3763</v>
      </c>
      <c r="F1799" s="265">
        <v>200</v>
      </c>
      <c r="G1799" s="265"/>
      <c r="H1799" s="265">
        <f t="shared" si="40"/>
        <v>200</v>
      </c>
    </row>
    <row r="1800" spans="1:12" x14ac:dyDescent="0.2">
      <c r="B1800" s="262" t="s">
        <v>1857</v>
      </c>
      <c r="C1800" s="263">
        <v>42815</v>
      </c>
      <c r="D1800" s="264" t="s">
        <v>1872</v>
      </c>
      <c r="E1800" s="264" t="s">
        <v>3764</v>
      </c>
      <c r="F1800" s="265">
        <v>870</v>
      </c>
      <c r="G1800" s="265"/>
      <c r="H1800" s="265">
        <f t="shared" si="40"/>
        <v>870</v>
      </c>
    </row>
    <row r="1801" spans="1:12" x14ac:dyDescent="0.2">
      <c r="B1801" s="354" t="s">
        <v>1862</v>
      </c>
      <c r="C1801" s="263">
        <v>42815</v>
      </c>
      <c r="D1801" s="264" t="s">
        <v>1892</v>
      </c>
      <c r="E1801" s="264" t="s">
        <v>3765</v>
      </c>
      <c r="F1801" s="265">
        <v>1400</v>
      </c>
      <c r="G1801" s="265"/>
      <c r="H1801" s="265">
        <f t="shared" si="40"/>
        <v>1400</v>
      </c>
      <c r="K1801">
        <v>1400</v>
      </c>
    </row>
    <row r="1802" spans="1:12" x14ac:dyDescent="0.2">
      <c r="B1802" s="262" t="s">
        <v>1866</v>
      </c>
      <c r="C1802" s="263">
        <v>42815</v>
      </c>
      <c r="D1802" s="264" t="s">
        <v>1890</v>
      </c>
      <c r="E1802" s="264" t="s">
        <v>3663</v>
      </c>
      <c r="F1802" s="265">
        <v>210</v>
      </c>
      <c r="G1802" s="265"/>
      <c r="H1802" s="265">
        <f t="shared" si="40"/>
        <v>210</v>
      </c>
    </row>
    <row r="1803" spans="1:12" x14ac:dyDescent="0.2">
      <c r="B1803" s="262" t="s">
        <v>1821</v>
      </c>
      <c r="C1803" s="263">
        <v>42815</v>
      </c>
      <c r="D1803" s="264" t="s">
        <v>1892</v>
      </c>
      <c r="E1803" s="264" t="s">
        <v>3766</v>
      </c>
      <c r="F1803" s="265">
        <v>300</v>
      </c>
      <c r="G1803" s="265"/>
      <c r="H1803" s="265">
        <f t="shared" si="40"/>
        <v>300</v>
      </c>
    </row>
    <row r="1804" spans="1:12" x14ac:dyDescent="0.2">
      <c r="B1804" s="262" t="s">
        <v>1884</v>
      </c>
      <c r="C1804" s="263">
        <v>42815</v>
      </c>
      <c r="D1804" s="264" t="s">
        <v>3767</v>
      </c>
      <c r="E1804" s="264" t="s">
        <v>3768</v>
      </c>
      <c r="F1804" s="265">
        <v>350</v>
      </c>
      <c r="G1804" s="265"/>
      <c r="H1804" s="265">
        <f t="shared" si="40"/>
        <v>350</v>
      </c>
    </row>
    <row r="1805" spans="1:12" x14ac:dyDescent="0.2">
      <c r="B1805" s="262" t="s">
        <v>1870</v>
      </c>
      <c r="C1805" s="263">
        <v>42815</v>
      </c>
      <c r="D1805" s="264" t="s">
        <v>1892</v>
      </c>
      <c r="E1805" s="264" t="s">
        <v>3769</v>
      </c>
      <c r="F1805" s="265">
        <v>400</v>
      </c>
      <c r="G1805" s="265"/>
      <c r="H1805" s="265">
        <f t="shared" si="40"/>
        <v>400</v>
      </c>
    </row>
    <row r="1806" spans="1:12" x14ac:dyDescent="0.2">
      <c r="B1806" s="262" t="s">
        <v>1865</v>
      </c>
      <c r="C1806" s="263">
        <v>42816</v>
      </c>
      <c r="D1806" s="264" t="s">
        <v>3097</v>
      </c>
      <c r="E1806" s="264" t="s">
        <v>3770</v>
      </c>
      <c r="F1806" s="265">
        <v>500</v>
      </c>
      <c r="G1806" s="265"/>
      <c r="H1806" s="265">
        <f t="shared" si="40"/>
        <v>500</v>
      </c>
    </row>
    <row r="1807" spans="1:12" x14ac:dyDescent="0.2">
      <c r="B1807" s="262" t="s">
        <v>1884</v>
      </c>
      <c r="C1807" s="263">
        <v>42816</v>
      </c>
      <c r="D1807" s="264" t="s">
        <v>2288</v>
      </c>
      <c r="E1807" s="264" t="s">
        <v>3771</v>
      </c>
      <c r="F1807" s="265">
        <v>406</v>
      </c>
      <c r="G1807" s="265"/>
      <c r="H1807" s="265">
        <f t="shared" si="40"/>
        <v>406</v>
      </c>
    </row>
    <row r="1808" spans="1:12" x14ac:dyDescent="0.2">
      <c r="B1808" s="262" t="s">
        <v>1884</v>
      </c>
      <c r="C1808" s="263">
        <v>42816</v>
      </c>
      <c r="D1808" s="264" t="s">
        <v>2535</v>
      </c>
      <c r="E1808" s="264" t="s">
        <v>3772</v>
      </c>
      <c r="F1808" s="265">
        <v>54.5</v>
      </c>
      <c r="G1808" s="265"/>
      <c r="H1808" s="265">
        <f t="shared" si="40"/>
        <v>54.5</v>
      </c>
    </row>
    <row r="1809" spans="1:8" x14ac:dyDescent="0.2">
      <c r="B1809" s="262" t="s">
        <v>1884</v>
      </c>
      <c r="C1809" s="263">
        <v>42816</v>
      </c>
      <c r="D1809" s="264" t="s">
        <v>2274</v>
      </c>
      <c r="E1809" s="264" t="s">
        <v>3773</v>
      </c>
      <c r="F1809" s="265">
        <v>139</v>
      </c>
      <c r="G1809" s="265"/>
      <c r="H1809" s="265">
        <f t="shared" si="39"/>
        <v>139</v>
      </c>
    </row>
    <row r="1810" spans="1:8" x14ac:dyDescent="0.2">
      <c r="B1810" s="262" t="s">
        <v>1884</v>
      </c>
      <c r="C1810" s="263">
        <v>42817</v>
      </c>
      <c r="D1810" s="264" t="s">
        <v>1889</v>
      </c>
      <c r="E1810" s="264" t="s">
        <v>3774</v>
      </c>
      <c r="F1810" s="265">
        <v>300</v>
      </c>
      <c r="G1810" s="265"/>
      <c r="H1810" s="265">
        <f t="shared" si="39"/>
        <v>300</v>
      </c>
    </row>
    <row r="1811" spans="1:8" x14ac:dyDescent="0.2">
      <c r="B1811" s="262" t="s">
        <v>1577</v>
      </c>
      <c r="C1811" s="263">
        <v>42817</v>
      </c>
      <c r="D1811" s="264" t="s">
        <v>3578</v>
      </c>
      <c r="E1811" s="264" t="s">
        <v>3775</v>
      </c>
      <c r="F1811" s="265">
        <v>14000</v>
      </c>
      <c r="G1811" s="265"/>
      <c r="H1811" s="265">
        <f t="shared" si="39"/>
        <v>14000</v>
      </c>
    </row>
    <row r="1812" spans="1:8" x14ac:dyDescent="0.2">
      <c r="B1812" s="262" t="s">
        <v>1863</v>
      </c>
      <c r="C1812" s="263">
        <v>42817</v>
      </c>
      <c r="D1812" s="264" t="s">
        <v>1878</v>
      </c>
      <c r="E1812" s="264" t="s">
        <v>3776</v>
      </c>
      <c r="F1812" s="265">
        <v>250</v>
      </c>
      <c r="G1812" s="265"/>
      <c r="H1812" s="265">
        <f t="shared" si="39"/>
        <v>250</v>
      </c>
    </row>
    <row r="1813" spans="1:8" x14ac:dyDescent="0.2">
      <c r="B1813" s="262" t="s">
        <v>1884</v>
      </c>
      <c r="C1813" s="263">
        <v>42817</v>
      </c>
      <c r="D1813" s="264" t="s">
        <v>3777</v>
      </c>
      <c r="E1813" s="264" t="s">
        <v>3778</v>
      </c>
      <c r="F1813" s="265">
        <v>2000</v>
      </c>
      <c r="G1813" s="265"/>
      <c r="H1813" s="265">
        <f t="shared" si="39"/>
        <v>2000</v>
      </c>
    </row>
    <row r="1814" spans="1:8" x14ac:dyDescent="0.2">
      <c r="B1814" s="262" t="s">
        <v>1881</v>
      </c>
      <c r="C1814" s="263">
        <v>42817</v>
      </c>
      <c r="D1814" s="264" t="s">
        <v>1878</v>
      </c>
      <c r="E1814" s="264" t="s">
        <v>3779</v>
      </c>
      <c r="F1814" s="265">
        <v>50</v>
      </c>
      <c r="G1814" s="265"/>
      <c r="H1814" s="265">
        <f t="shared" si="39"/>
        <v>50</v>
      </c>
    </row>
    <row r="1815" spans="1:8" x14ac:dyDescent="0.2">
      <c r="B1815" s="262" t="s">
        <v>1884</v>
      </c>
      <c r="C1815" s="263">
        <v>42817</v>
      </c>
      <c r="D1815" s="264" t="s">
        <v>2535</v>
      </c>
      <c r="E1815" s="264" t="s">
        <v>3780</v>
      </c>
      <c r="F1815" s="265">
        <v>92.5</v>
      </c>
      <c r="G1815" s="265"/>
      <c r="H1815" s="265">
        <f t="shared" si="39"/>
        <v>92.5</v>
      </c>
    </row>
    <row r="1816" spans="1:8" x14ac:dyDescent="0.2">
      <c r="B1816" s="262" t="s">
        <v>1805</v>
      </c>
      <c r="C1816" s="263">
        <v>42817</v>
      </c>
      <c r="D1816" s="264" t="s">
        <v>3781</v>
      </c>
      <c r="E1816" s="264" t="s">
        <v>2437</v>
      </c>
      <c r="F1816" s="265">
        <v>120</v>
      </c>
      <c r="G1816" s="265"/>
      <c r="H1816" s="265">
        <f t="shared" si="39"/>
        <v>120</v>
      </c>
    </row>
    <row r="1817" spans="1:8" x14ac:dyDescent="0.2">
      <c r="B1817" s="262" t="s">
        <v>1790</v>
      </c>
      <c r="C1817" s="263">
        <v>42817</v>
      </c>
      <c r="D1817" s="264" t="s">
        <v>1909</v>
      </c>
      <c r="E1817" s="264" t="s">
        <v>3782</v>
      </c>
      <c r="F1817" s="265"/>
      <c r="G1817" s="265">
        <v>1760</v>
      </c>
      <c r="H1817" s="265">
        <f>SUM(F1817:G1817)</f>
        <v>1760</v>
      </c>
    </row>
    <row r="1818" spans="1:8" x14ac:dyDescent="0.2">
      <c r="A1818" s="371"/>
      <c r="B1818" s="262" t="s">
        <v>1805</v>
      </c>
      <c r="C1818" s="263">
        <v>42817</v>
      </c>
      <c r="D1818" s="264" t="s">
        <v>1888</v>
      </c>
      <c r="E1818" s="264" t="s">
        <v>3783</v>
      </c>
      <c r="F1818" s="265">
        <v>1300</v>
      </c>
      <c r="G1818" s="265"/>
      <c r="H1818" s="265">
        <f>SUM(F1818:G1818)</f>
        <v>1300</v>
      </c>
    </row>
    <row r="1819" spans="1:8" x14ac:dyDescent="0.2">
      <c r="B1819" s="262" t="s">
        <v>1805</v>
      </c>
      <c r="C1819" s="263">
        <v>42818</v>
      </c>
      <c r="D1819" s="264" t="s">
        <v>3565</v>
      </c>
      <c r="E1819" s="264" t="s">
        <v>3784</v>
      </c>
      <c r="F1819" s="265">
        <v>1000</v>
      </c>
      <c r="G1819" s="265"/>
      <c r="H1819" s="265">
        <f>SUM(F1819:G1819)</f>
        <v>1000</v>
      </c>
    </row>
    <row r="1820" spans="1:8" x14ac:dyDescent="0.2">
      <c r="B1820" s="262" t="s">
        <v>1884</v>
      </c>
      <c r="C1820" s="263">
        <v>42819</v>
      </c>
      <c r="D1820" s="264" t="s">
        <v>3785</v>
      </c>
      <c r="E1820" s="264" t="s">
        <v>3786</v>
      </c>
      <c r="F1820" s="265">
        <v>280</v>
      </c>
      <c r="G1820" s="265"/>
      <c r="H1820" s="265">
        <f t="shared" si="39"/>
        <v>280</v>
      </c>
    </row>
    <row r="1821" spans="1:8" x14ac:dyDescent="0.2">
      <c r="B1821" s="262" t="s">
        <v>1884</v>
      </c>
      <c r="C1821" s="263">
        <v>42819</v>
      </c>
      <c r="D1821" s="264" t="s">
        <v>1915</v>
      </c>
      <c r="E1821" s="264" t="s">
        <v>3787</v>
      </c>
      <c r="F1821" s="265">
        <v>400</v>
      </c>
      <c r="G1821" s="265"/>
      <c r="H1821" s="265">
        <f t="shared" si="39"/>
        <v>400</v>
      </c>
    </row>
    <row r="1822" spans="1:8" x14ac:dyDescent="0.2">
      <c r="B1822" s="262" t="s">
        <v>1884</v>
      </c>
      <c r="C1822" s="263">
        <v>42819</v>
      </c>
      <c r="D1822" s="264" t="s">
        <v>3711</v>
      </c>
      <c r="E1822" s="264" t="s">
        <v>3788</v>
      </c>
      <c r="F1822" s="265">
        <v>100</v>
      </c>
      <c r="G1822" s="265"/>
      <c r="H1822" s="265">
        <f t="shared" si="39"/>
        <v>100</v>
      </c>
    </row>
    <row r="1823" spans="1:8" x14ac:dyDescent="0.2">
      <c r="B1823" s="262" t="s">
        <v>1866</v>
      </c>
      <c r="C1823" s="263">
        <v>42819</v>
      </c>
      <c r="D1823" s="264" t="s">
        <v>1890</v>
      </c>
      <c r="E1823" s="264" t="s">
        <v>3789</v>
      </c>
      <c r="F1823" s="265">
        <v>376</v>
      </c>
      <c r="G1823" s="265"/>
      <c r="H1823" s="265">
        <f t="shared" si="39"/>
        <v>376</v>
      </c>
    </row>
    <row r="1824" spans="1:8" x14ac:dyDescent="0.2">
      <c r="B1824" s="262" t="s">
        <v>1870</v>
      </c>
      <c r="C1824" s="263">
        <v>42819</v>
      </c>
      <c r="D1824" s="264" t="s">
        <v>1892</v>
      </c>
      <c r="E1824" s="264" t="s">
        <v>3790</v>
      </c>
      <c r="F1824" s="265">
        <v>1600</v>
      </c>
      <c r="G1824" s="265"/>
      <c r="H1824" s="265">
        <f t="shared" si="39"/>
        <v>1600</v>
      </c>
    </row>
    <row r="1825" spans="2:11" x14ac:dyDescent="0.2">
      <c r="B1825" s="262" t="s">
        <v>1863</v>
      </c>
      <c r="C1825" s="263">
        <v>42819</v>
      </c>
      <c r="D1825" s="264" t="s">
        <v>1878</v>
      </c>
      <c r="E1825" s="264" t="s">
        <v>3791</v>
      </c>
      <c r="F1825" s="265">
        <v>500</v>
      </c>
      <c r="G1825" s="265"/>
      <c r="H1825" s="265">
        <f t="shared" si="39"/>
        <v>500</v>
      </c>
    </row>
    <row r="1826" spans="2:11" x14ac:dyDescent="0.2">
      <c r="B1826" s="262" t="s">
        <v>1857</v>
      </c>
      <c r="C1826" s="263">
        <v>42819</v>
      </c>
      <c r="D1826" s="264" t="s">
        <v>2992</v>
      </c>
      <c r="E1826" s="264" t="s">
        <v>3792</v>
      </c>
      <c r="F1826" s="265">
        <v>400</v>
      </c>
      <c r="G1826" s="265"/>
      <c r="H1826" s="265">
        <f t="shared" si="39"/>
        <v>400</v>
      </c>
    </row>
    <row r="1827" spans="2:11" x14ac:dyDescent="0.2">
      <c r="B1827" s="262" t="s">
        <v>1863</v>
      </c>
      <c r="C1827" s="263">
        <v>42819</v>
      </c>
      <c r="D1827" s="264" t="s">
        <v>1878</v>
      </c>
      <c r="E1827" s="264" t="s">
        <v>3793</v>
      </c>
      <c r="F1827" s="265">
        <v>250</v>
      </c>
      <c r="G1827" s="265"/>
      <c r="H1827" s="265">
        <f t="shared" si="39"/>
        <v>250</v>
      </c>
    </row>
    <row r="1828" spans="2:11" x14ac:dyDescent="0.2">
      <c r="B1828" s="262" t="s">
        <v>1884</v>
      </c>
      <c r="C1828" s="263">
        <v>42819</v>
      </c>
      <c r="D1828" s="264" t="s">
        <v>2535</v>
      </c>
      <c r="E1828" s="264" t="s">
        <v>3794</v>
      </c>
      <c r="F1828" s="265">
        <v>124</v>
      </c>
      <c r="G1828" s="265"/>
      <c r="H1828" s="265">
        <f t="shared" si="39"/>
        <v>124</v>
      </c>
    </row>
    <row r="1829" spans="2:11" x14ac:dyDescent="0.2">
      <c r="B1829" s="262" t="s">
        <v>1864</v>
      </c>
      <c r="C1829" s="263">
        <v>42820</v>
      </c>
      <c r="D1829" s="264" t="s">
        <v>3795</v>
      </c>
      <c r="E1829" s="264" t="s">
        <v>2565</v>
      </c>
      <c r="F1829" s="265">
        <v>66</v>
      </c>
      <c r="G1829" s="265"/>
      <c r="H1829" s="265">
        <f t="shared" si="39"/>
        <v>66</v>
      </c>
    </row>
    <row r="1830" spans="2:11" x14ac:dyDescent="0.2">
      <c r="B1830" s="262" t="s">
        <v>1860</v>
      </c>
      <c r="C1830" s="263">
        <v>42820</v>
      </c>
      <c r="D1830" s="264" t="s">
        <v>1893</v>
      </c>
      <c r="E1830" s="264" t="s">
        <v>3796</v>
      </c>
      <c r="F1830" s="265">
        <v>98.99</v>
      </c>
      <c r="G1830" s="265"/>
      <c r="H1830" s="265">
        <f t="shared" si="39"/>
        <v>98.99</v>
      </c>
    </row>
    <row r="1831" spans="2:11" x14ac:dyDescent="0.2">
      <c r="B1831" s="262" t="s">
        <v>1864</v>
      </c>
      <c r="C1831" s="263">
        <v>42820</v>
      </c>
      <c r="D1831" s="264" t="s">
        <v>2535</v>
      </c>
      <c r="E1831" s="264" t="s">
        <v>3302</v>
      </c>
      <c r="F1831" s="265">
        <v>167</v>
      </c>
      <c r="G1831" s="265"/>
      <c r="H1831" s="265">
        <f t="shared" si="39"/>
        <v>167</v>
      </c>
    </row>
    <row r="1832" spans="2:11" x14ac:dyDescent="0.2">
      <c r="B1832" s="262" t="s">
        <v>1881</v>
      </c>
      <c r="C1832" s="263">
        <v>42820</v>
      </c>
      <c r="D1832" s="264" t="s">
        <v>2250</v>
      </c>
      <c r="E1832" s="264" t="s">
        <v>2636</v>
      </c>
      <c r="F1832" s="265">
        <v>120</v>
      </c>
      <c r="G1832" s="265"/>
      <c r="H1832" s="265">
        <f t="shared" si="39"/>
        <v>120</v>
      </c>
    </row>
    <row r="1833" spans="2:11" x14ac:dyDescent="0.2">
      <c r="B1833" s="262" t="s">
        <v>1863</v>
      </c>
      <c r="C1833" s="263">
        <v>42820</v>
      </c>
      <c r="D1833" s="264" t="s">
        <v>2250</v>
      </c>
      <c r="E1833" s="264" t="s">
        <v>3797</v>
      </c>
      <c r="F1833" s="265">
        <v>150</v>
      </c>
      <c r="G1833" s="265"/>
      <c r="H1833" s="265">
        <f t="shared" si="39"/>
        <v>150</v>
      </c>
    </row>
    <row r="1834" spans="2:11" x14ac:dyDescent="0.2">
      <c r="B1834" s="262" t="s">
        <v>1864</v>
      </c>
      <c r="C1834" s="263">
        <v>42821</v>
      </c>
      <c r="D1834" s="264" t="s">
        <v>3565</v>
      </c>
      <c r="E1834" s="264" t="s">
        <v>3798</v>
      </c>
      <c r="F1834" s="265">
        <v>400</v>
      </c>
      <c r="G1834" s="265"/>
      <c r="H1834" s="265">
        <f t="shared" si="39"/>
        <v>400</v>
      </c>
    </row>
    <row r="1835" spans="2:11" x14ac:dyDescent="0.2">
      <c r="B1835" s="262" t="s">
        <v>1864</v>
      </c>
      <c r="C1835" s="263">
        <v>42821</v>
      </c>
      <c r="D1835" s="264" t="s">
        <v>1943</v>
      </c>
      <c r="E1835" s="264" t="s">
        <v>3798</v>
      </c>
      <c r="F1835" s="265">
        <v>400</v>
      </c>
      <c r="G1835" s="265"/>
      <c r="H1835" s="265">
        <f t="shared" si="39"/>
        <v>400</v>
      </c>
    </row>
    <row r="1836" spans="2:11" x14ac:dyDescent="0.2">
      <c r="B1836" s="354" t="s">
        <v>1862</v>
      </c>
      <c r="C1836" s="263">
        <v>42821</v>
      </c>
      <c r="D1836" s="264" t="s">
        <v>1892</v>
      </c>
      <c r="E1836" s="264" t="s">
        <v>3799</v>
      </c>
      <c r="F1836" s="265">
        <v>1300</v>
      </c>
      <c r="G1836" s="265"/>
      <c r="H1836" s="265">
        <f t="shared" si="39"/>
        <v>1300</v>
      </c>
      <c r="K1836">
        <v>1300</v>
      </c>
    </row>
    <row r="1837" spans="2:11" x14ac:dyDescent="0.2">
      <c r="B1837" s="262" t="s">
        <v>1884</v>
      </c>
      <c r="C1837" s="263">
        <v>42821</v>
      </c>
      <c r="D1837" s="264" t="s">
        <v>3682</v>
      </c>
      <c r="E1837" s="264" t="s">
        <v>3800</v>
      </c>
      <c r="F1837" s="265">
        <v>400</v>
      </c>
      <c r="G1837" s="265"/>
      <c r="H1837" s="265">
        <f t="shared" si="39"/>
        <v>400</v>
      </c>
    </row>
    <row r="1838" spans="2:11" x14ac:dyDescent="0.2">
      <c r="B1838" s="354" t="s">
        <v>1862</v>
      </c>
      <c r="C1838" s="263">
        <v>42822</v>
      </c>
      <c r="D1838" s="264" t="s">
        <v>1892</v>
      </c>
      <c r="E1838" s="264" t="s">
        <v>3801</v>
      </c>
      <c r="F1838" s="265">
        <v>800</v>
      </c>
      <c r="G1838" s="265"/>
      <c r="H1838" s="265">
        <f t="shared" ref="H1838:H1847" si="41">SUM(F1838:G1838)</f>
        <v>800</v>
      </c>
      <c r="K1838">
        <v>800</v>
      </c>
    </row>
    <row r="1839" spans="2:11" x14ac:dyDescent="0.2">
      <c r="B1839" s="262" t="s">
        <v>1864</v>
      </c>
      <c r="C1839" s="263">
        <v>42822</v>
      </c>
      <c r="D1839" s="264" t="s">
        <v>3802</v>
      </c>
      <c r="E1839" s="264" t="s">
        <v>3803</v>
      </c>
      <c r="F1839" s="265">
        <v>150</v>
      </c>
      <c r="G1839" s="265"/>
      <c r="H1839" s="265">
        <f t="shared" si="41"/>
        <v>150</v>
      </c>
    </row>
    <row r="1840" spans="2:11" x14ac:dyDescent="0.2">
      <c r="B1840" s="262" t="s">
        <v>1884</v>
      </c>
      <c r="C1840" s="263">
        <v>42823</v>
      </c>
      <c r="D1840" s="264" t="s">
        <v>2535</v>
      </c>
      <c r="E1840" s="264" t="s">
        <v>2969</v>
      </c>
      <c r="F1840" s="265">
        <v>191.5</v>
      </c>
      <c r="G1840" s="265"/>
      <c r="H1840" s="265">
        <f t="shared" si="41"/>
        <v>191.5</v>
      </c>
    </row>
    <row r="1841" spans="1:11" x14ac:dyDescent="0.2">
      <c r="B1841" s="354" t="s">
        <v>1862</v>
      </c>
      <c r="C1841" s="263">
        <v>42823</v>
      </c>
      <c r="D1841" s="264" t="s">
        <v>1892</v>
      </c>
      <c r="E1841" s="264" t="s">
        <v>3801</v>
      </c>
      <c r="F1841" s="265">
        <v>100</v>
      </c>
      <c r="G1841" s="265"/>
      <c r="H1841" s="265">
        <f t="shared" si="41"/>
        <v>100</v>
      </c>
      <c r="K1841">
        <v>100</v>
      </c>
    </row>
    <row r="1842" spans="1:11" x14ac:dyDescent="0.2">
      <c r="B1842" s="262" t="s">
        <v>1870</v>
      </c>
      <c r="C1842" s="263">
        <v>42823</v>
      </c>
      <c r="D1842" s="264" t="s">
        <v>1892</v>
      </c>
      <c r="E1842" s="264" t="s">
        <v>3804</v>
      </c>
      <c r="F1842" s="265">
        <v>1600</v>
      </c>
      <c r="G1842" s="265"/>
      <c r="H1842" s="265">
        <f t="shared" si="41"/>
        <v>1600</v>
      </c>
    </row>
    <row r="1843" spans="1:11" x14ac:dyDescent="0.2">
      <c r="B1843" s="262" t="s">
        <v>1870</v>
      </c>
      <c r="C1843" s="263">
        <v>42823</v>
      </c>
      <c r="D1843" s="264" t="s">
        <v>1892</v>
      </c>
      <c r="E1843" s="264" t="s">
        <v>3805</v>
      </c>
      <c r="F1843" s="265">
        <v>600</v>
      </c>
      <c r="G1843" s="265"/>
      <c r="H1843" s="265">
        <f t="shared" si="41"/>
        <v>600</v>
      </c>
    </row>
    <row r="1844" spans="1:11" x14ac:dyDescent="0.2">
      <c r="B1844" s="262" t="s">
        <v>1870</v>
      </c>
      <c r="C1844" s="263">
        <v>42823</v>
      </c>
      <c r="D1844" s="264" t="s">
        <v>1892</v>
      </c>
      <c r="E1844" s="264" t="s">
        <v>3806</v>
      </c>
      <c r="F1844" s="265">
        <v>400</v>
      </c>
      <c r="G1844" s="265"/>
      <c r="H1844" s="265">
        <f t="shared" si="41"/>
        <v>400</v>
      </c>
    </row>
    <row r="1845" spans="1:11" x14ac:dyDescent="0.2">
      <c r="A1845" s="371"/>
      <c r="B1845" s="262" t="s">
        <v>1857</v>
      </c>
      <c r="C1845" s="263">
        <v>42824</v>
      </c>
      <c r="D1845" s="264" t="s">
        <v>3807</v>
      </c>
      <c r="E1845" s="264" t="s">
        <v>3808</v>
      </c>
      <c r="F1845" s="265">
        <v>250</v>
      </c>
      <c r="G1845" s="265"/>
      <c r="H1845" s="265">
        <f t="shared" si="41"/>
        <v>250</v>
      </c>
    </row>
    <row r="1846" spans="1:11" x14ac:dyDescent="0.2">
      <c r="B1846" s="262" t="s">
        <v>1858</v>
      </c>
      <c r="C1846" s="263">
        <v>42824</v>
      </c>
      <c r="D1846" s="264" t="s">
        <v>3809</v>
      </c>
      <c r="E1846" s="264" t="s">
        <v>3810</v>
      </c>
      <c r="F1846" s="265">
        <v>600</v>
      </c>
      <c r="G1846" s="265"/>
      <c r="H1846" s="265">
        <f t="shared" si="41"/>
        <v>600</v>
      </c>
    </row>
    <row r="1847" spans="1:11" x14ac:dyDescent="0.2">
      <c r="B1847" s="354" t="s">
        <v>1862</v>
      </c>
      <c r="C1847" s="263">
        <v>42824</v>
      </c>
      <c r="D1847" s="264" t="s">
        <v>1892</v>
      </c>
      <c r="E1847" s="264" t="s">
        <v>3801</v>
      </c>
      <c r="F1847" s="265">
        <v>300</v>
      </c>
      <c r="G1847" s="265"/>
      <c r="H1847" s="265">
        <f t="shared" si="41"/>
        <v>300</v>
      </c>
      <c r="K1847">
        <v>300</v>
      </c>
    </row>
    <row r="1848" spans="1:11" x14ac:dyDescent="0.2">
      <c r="B1848" s="262" t="s">
        <v>1864</v>
      </c>
      <c r="C1848" s="263">
        <v>42825</v>
      </c>
      <c r="D1848" s="264" t="s">
        <v>3565</v>
      </c>
      <c r="E1848" s="264" t="s">
        <v>3812</v>
      </c>
      <c r="F1848" s="265">
        <v>1000</v>
      </c>
      <c r="G1848" s="265"/>
      <c r="H1848" s="265">
        <f t="shared" ref="H1848:H1863" si="42">SUM(F1848:G1848)</f>
        <v>1000</v>
      </c>
    </row>
    <row r="1849" spans="1:11" x14ac:dyDescent="0.2">
      <c r="B1849" s="262" t="s">
        <v>1859</v>
      </c>
      <c r="C1849" s="263">
        <v>42825</v>
      </c>
      <c r="D1849" s="264" t="s">
        <v>1911</v>
      </c>
      <c r="E1849" s="264" t="s">
        <v>3813</v>
      </c>
      <c r="F1849" s="265">
        <v>4000</v>
      </c>
      <c r="G1849" s="265"/>
      <c r="H1849" s="265">
        <f t="shared" si="42"/>
        <v>4000</v>
      </c>
    </row>
    <row r="1850" spans="1:11" x14ac:dyDescent="0.2">
      <c r="B1850" s="262" t="s">
        <v>1577</v>
      </c>
      <c r="C1850" s="263">
        <v>42825</v>
      </c>
      <c r="D1850" s="264" t="s">
        <v>3578</v>
      </c>
      <c r="E1850" s="264" t="s">
        <v>3814</v>
      </c>
      <c r="F1850" s="265">
        <v>16100</v>
      </c>
      <c r="G1850" s="265"/>
      <c r="H1850" s="265">
        <f t="shared" si="42"/>
        <v>16100</v>
      </c>
    </row>
    <row r="1851" spans="1:11" x14ac:dyDescent="0.2">
      <c r="B1851" s="262" t="s">
        <v>1881</v>
      </c>
      <c r="C1851" s="263">
        <v>42825</v>
      </c>
      <c r="D1851" s="264" t="s">
        <v>2250</v>
      </c>
      <c r="E1851" s="264" t="s">
        <v>3815</v>
      </c>
      <c r="F1851" s="265">
        <v>300</v>
      </c>
      <c r="G1851" s="265"/>
      <c r="H1851" s="265">
        <f t="shared" si="42"/>
        <v>300</v>
      </c>
    </row>
    <row r="1852" spans="1:11" x14ac:dyDescent="0.2">
      <c r="B1852" s="262" t="s">
        <v>1881</v>
      </c>
      <c r="C1852" s="263">
        <v>42825</v>
      </c>
      <c r="D1852" s="264" t="s">
        <v>1873</v>
      </c>
      <c r="E1852" s="264" t="s">
        <v>3816</v>
      </c>
      <c r="F1852" s="265">
        <v>450</v>
      </c>
      <c r="G1852" s="265"/>
      <c r="H1852" s="265">
        <f t="shared" si="42"/>
        <v>450</v>
      </c>
      <c r="I1852" s="175">
        <f>SUM(H1712:H1860)</f>
        <v>137480.63</v>
      </c>
    </row>
    <row r="1853" spans="1:11" x14ac:dyDescent="0.2">
      <c r="B1853" s="262" t="s">
        <v>1881</v>
      </c>
      <c r="C1853" s="263">
        <v>42825</v>
      </c>
      <c r="D1853" s="264" t="s">
        <v>1873</v>
      </c>
      <c r="E1853" s="264" t="s">
        <v>3817</v>
      </c>
      <c r="F1853" s="265">
        <v>200</v>
      </c>
      <c r="G1853" s="265"/>
      <c r="H1853" s="265">
        <f t="shared" si="42"/>
        <v>200</v>
      </c>
      <c r="K1853">
        <f>SUM(K1716:K1852)</f>
        <v>14300</v>
      </c>
    </row>
    <row r="1854" spans="1:11" x14ac:dyDescent="0.2">
      <c r="B1854" s="262" t="s">
        <v>1887</v>
      </c>
      <c r="C1854" s="263">
        <v>42801</v>
      </c>
      <c r="D1854" s="264" t="s">
        <v>1534</v>
      </c>
      <c r="E1854" s="264" t="s">
        <v>1536</v>
      </c>
      <c r="F1854" s="265">
        <v>-0.46</v>
      </c>
      <c r="G1854" s="367"/>
      <c r="H1854" s="367">
        <f t="shared" si="42"/>
        <v>-0.46</v>
      </c>
    </row>
    <row r="1855" spans="1:11" x14ac:dyDescent="0.2">
      <c r="B1855" s="262" t="s">
        <v>1887</v>
      </c>
      <c r="C1855" s="263">
        <v>42803</v>
      </c>
      <c r="D1855" s="264" t="s">
        <v>3367</v>
      </c>
      <c r="E1855" s="264" t="s">
        <v>1536</v>
      </c>
      <c r="F1855" s="265">
        <v>-0.28999999999999998</v>
      </c>
      <c r="G1855" s="265"/>
      <c r="H1855" s="265">
        <f t="shared" si="42"/>
        <v>-0.28999999999999998</v>
      </c>
    </row>
    <row r="1856" spans="1:11" x14ac:dyDescent="0.2">
      <c r="B1856" s="262" t="s">
        <v>1887</v>
      </c>
      <c r="C1856" s="263">
        <v>42804</v>
      </c>
      <c r="D1856" s="264" t="s">
        <v>3366</v>
      </c>
      <c r="E1856" s="264" t="s">
        <v>1536</v>
      </c>
      <c r="F1856" s="265">
        <v>-0.15</v>
      </c>
      <c r="G1856" s="265"/>
      <c r="H1856" s="265">
        <f t="shared" si="42"/>
        <v>-0.15</v>
      </c>
    </row>
    <row r="1857" spans="2:8" x14ac:dyDescent="0.2">
      <c r="B1857" s="262" t="s">
        <v>1790</v>
      </c>
      <c r="C1857" s="263">
        <v>42817</v>
      </c>
      <c r="D1857" s="361" t="s">
        <v>1909</v>
      </c>
      <c r="E1857" s="361" t="s">
        <v>3829</v>
      </c>
      <c r="F1857" s="362"/>
      <c r="G1857" s="362">
        <v>-1760</v>
      </c>
      <c r="H1857" s="265">
        <f t="shared" si="42"/>
        <v>-1760</v>
      </c>
    </row>
    <row r="1858" spans="2:8" x14ac:dyDescent="0.2">
      <c r="B1858" s="262" t="s">
        <v>1887</v>
      </c>
      <c r="C1858" s="263">
        <v>42825</v>
      </c>
      <c r="D1858" s="361" t="s">
        <v>1597</v>
      </c>
      <c r="E1858" s="361" t="s">
        <v>2229</v>
      </c>
      <c r="F1858" s="362">
        <v>42</v>
      </c>
      <c r="G1858" s="362"/>
      <c r="H1858" s="362">
        <f t="shared" si="42"/>
        <v>42</v>
      </c>
    </row>
    <row r="1859" spans="2:8" x14ac:dyDescent="0.2">
      <c r="B1859" s="262" t="s">
        <v>1790</v>
      </c>
      <c r="C1859" s="263">
        <v>42825</v>
      </c>
      <c r="D1859" s="361" t="s">
        <v>1597</v>
      </c>
      <c r="E1859" s="361" t="s">
        <v>2230</v>
      </c>
      <c r="F1859" s="362"/>
      <c r="G1859" s="362">
        <v>6.72</v>
      </c>
      <c r="H1859" s="362">
        <f t="shared" si="42"/>
        <v>6.72</v>
      </c>
    </row>
    <row r="1860" spans="2:8" x14ac:dyDescent="0.2">
      <c r="B1860" s="262"/>
      <c r="C1860" s="263"/>
      <c r="D1860" s="264"/>
      <c r="E1860" s="264"/>
      <c r="F1860" s="265"/>
      <c r="G1860" s="265"/>
      <c r="H1860" s="265">
        <f t="shared" si="42"/>
        <v>0</v>
      </c>
    </row>
    <row r="1861" spans="2:8" ht="18" customHeight="1" x14ac:dyDescent="0.2">
      <c r="B1861" s="255" t="s">
        <v>1850</v>
      </c>
      <c r="C1861" s="255" t="s">
        <v>1851</v>
      </c>
      <c r="D1861" s="256" t="s">
        <v>1852</v>
      </c>
      <c r="E1861" s="256" t="s">
        <v>1853</v>
      </c>
      <c r="F1861" s="257" t="s">
        <v>1854</v>
      </c>
      <c r="G1861" s="257" t="s">
        <v>1855</v>
      </c>
      <c r="H1861" s="257" t="s">
        <v>1856</v>
      </c>
    </row>
    <row r="1862" spans="2:8" x14ac:dyDescent="0.2">
      <c r="B1862" s="262" t="s">
        <v>1863</v>
      </c>
      <c r="C1862" s="263">
        <v>42826</v>
      </c>
      <c r="D1862" s="264" t="s">
        <v>1878</v>
      </c>
      <c r="E1862" s="264" t="s">
        <v>3830</v>
      </c>
      <c r="F1862" s="265">
        <v>500</v>
      </c>
      <c r="G1862" s="265"/>
      <c r="H1862" s="265">
        <f t="shared" si="42"/>
        <v>500</v>
      </c>
    </row>
    <row r="1863" spans="2:8" x14ac:dyDescent="0.2">
      <c r="B1863" s="378" t="s">
        <v>1870</v>
      </c>
      <c r="C1863" s="263">
        <v>42826</v>
      </c>
      <c r="D1863" s="264" t="s">
        <v>1892</v>
      </c>
      <c r="E1863" s="264" t="s">
        <v>3831</v>
      </c>
      <c r="F1863" s="265">
        <v>400</v>
      </c>
      <c r="G1863" s="265"/>
      <c r="H1863" s="265">
        <f t="shared" si="42"/>
        <v>400</v>
      </c>
    </row>
    <row r="1864" spans="2:8" x14ac:dyDescent="0.2">
      <c r="B1864" s="262" t="s">
        <v>1865</v>
      </c>
      <c r="C1864" s="263">
        <v>42826</v>
      </c>
      <c r="D1864" s="264" t="s">
        <v>3832</v>
      </c>
      <c r="E1864" s="264" t="s">
        <v>3991</v>
      </c>
      <c r="F1864" s="265">
        <v>600</v>
      </c>
      <c r="G1864" s="265"/>
      <c r="H1864" s="265">
        <f t="shared" ref="H1864:H1928" si="43">SUM(F1864:G1864)</f>
        <v>600</v>
      </c>
    </row>
    <row r="1865" spans="2:8" x14ac:dyDescent="0.2">
      <c r="B1865" s="378" t="s">
        <v>1857</v>
      </c>
      <c r="C1865" s="263">
        <v>42826</v>
      </c>
      <c r="D1865" s="264" t="s">
        <v>1872</v>
      </c>
      <c r="E1865" s="264" t="s">
        <v>3833</v>
      </c>
      <c r="F1865" s="265">
        <v>750</v>
      </c>
      <c r="G1865" s="265"/>
      <c r="H1865" s="265">
        <f t="shared" si="43"/>
        <v>750</v>
      </c>
    </row>
    <row r="1866" spans="2:8" x14ac:dyDescent="0.2">
      <c r="B1866" s="262" t="s">
        <v>1865</v>
      </c>
      <c r="C1866" s="263">
        <v>42826</v>
      </c>
      <c r="D1866" s="264" t="s">
        <v>3262</v>
      </c>
      <c r="E1866" s="264" t="s">
        <v>3834</v>
      </c>
      <c r="F1866" s="265">
        <v>100</v>
      </c>
      <c r="G1866" s="265"/>
      <c r="H1866" s="265">
        <f t="shared" si="43"/>
        <v>100</v>
      </c>
    </row>
    <row r="1867" spans="2:8" x14ac:dyDescent="0.2">
      <c r="B1867" s="262" t="s">
        <v>1866</v>
      </c>
      <c r="C1867" s="263">
        <v>42826</v>
      </c>
      <c r="D1867" s="264" t="s">
        <v>1890</v>
      </c>
      <c r="E1867" s="264" t="s">
        <v>3789</v>
      </c>
      <c r="F1867" s="265">
        <v>310</v>
      </c>
      <c r="G1867" s="265"/>
      <c r="H1867" s="265">
        <f t="shared" si="43"/>
        <v>310</v>
      </c>
    </row>
    <row r="1868" spans="2:8" x14ac:dyDescent="0.2">
      <c r="B1868" s="262" t="s">
        <v>1860</v>
      </c>
      <c r="C1868" s="263">
        <v>42826</v>
      </c>
      <c r="D1868" s="264" t="s">
        <v>1891</v>
      </c>
      <c r="E1868" s="264" t="s">
        <v>3424</v>
      </c>
      <c r="F1868" s="265">
        <v>34</v>
      </c>
      <c r="G1868" s="265"/>
      <c r="H1868" s="265">
        <f t="shared" si="43"/>
        <v>34</v>
      </c>
    </row>
    <row r="1869" spans="2:8" x14ac:dyDescent="0.2">
      <c r="B1869" s="262" t="s">
        <v>1866</v>
      </c>
      <c r="C1869" s="263">
        <v>42826</v>
      </c>
      <c r="D1869" s="264" t="s">
        <v>2535</v>
      </c>
      <c r="E1869" s="264" t="s">
        <v>3835</v>
      </c>
      <c r="F1869" s="265">
        <v>22</v>
      </c>
      <c r="G1869" s="265"/>
      <c r="H1869" s="265">
        <f t="shared" si="43"/>
        <v>22</v>
      </c>
    </row>
    <row r="1870" spans="2:8" x14ac:dyDescent="0.2">
      <c r="B1870" s="262" t="s">
        <v>1865</v>
      </c>
      <c r="C1870" s="263">
        <v>42826</v>
      </c>
      <c r="D1870" s="264" t="s">
        <v>3836</v>
      </c>
      <c r="E1870" s="264" t="s">
        <v>3837</v>
      </c>
      <c r="F1870" s="265">
        <v>1000</v>
      </c>
      <c r="G1870" s="265"/>
      <c r="H1870" s="265">
        <f t="shared" si="43"/>
        <v>1000</v>
      </c>
    </row>
    <row r="1871" spans="2:8" x14ac:dyDescent="0.2">
      <c r="B1871" s="262" t="s">
        <v>1864</v>
      </c>
      <c r="C1871" s="263">
        <v>42827</v>
      </c>
      <c r="D1871" s="264" t="s">
        <v>2535</v>
      </c>
      <c r="E1871" s="264" t="s">
        <v>2664</v>
      </c>
      <c r="F1871" s="265">
        <v>95.5</v>
      </c>
      <c r="G1871" s="265"/>
      <c r="H1871" s="265">
        <f t="shared" si="43"/>
        <v>95.5</v>
      </c>
    </row>
    <row r="1872" spans="2:8" x14ac:dyDescent="0.2">
      <c r="B1872" s="262" t="s">
        <v>1881</v>
      </c>
      <c r="C1872" s="263">
        <v>42827</v>
      </c>
      <c r="D1872" s="264" t="s">
        <v>2250</v>
      </c>
      <c r="E1872" s="264" t="s">
        <v>3838</v>
      </c>
      <c r="F1872" s="265">
        <v>120</v>
      </c>
      <c r="G1872" s="265"/>
      <c r="H1872" s="265">
        <f t="shared" si="43"/>
        <v>120</v>
      </c>
    </row>
    <row r="1873" spans="2:9" x14ac:dyDescent="0.2">
      <c r="B1873" s="262" t="s">
        <v>1863</v>
      </c>
      <c r="C1873" s="263">
        <v>42827</v>
      </c>
      <c r="D1873" s="264" t="s">
        <v>2250</v>
      </c>
      <c r="E1873" s="264" t="s">
        <v>3839</v>
      </c>
      <c r="F1873" s="265">
        <v>150</v>
      </c>
      <c r="G1873" s="265"/>
      <c r="H1873" s="265">
        <f t="shared" si="43"/>
        <v>150</v>
      </c>
    </row>
    <row r="1874" spans="2:9" x14ac:dyDescent="0.2">
      <c r="B1874" s="262" t="s">
        <v>1884</v>
      </c>
      <c r="C1874" s="263">
        <v>42828</v>
      </c>
      <c r="D1874" s="264" t="s">
        <v>3125</v>
      </c>
      <c r="E1874" s="264" t="s">
        <v>3840</v>
      </c>
      <c r="F1874" s="265">
        <v>290</v>
      </c>
      <c r="G1874" s="265"/>
      <c r="H1874" s="265">
        <f t="shared" si="43"/>
        <v>290</v>
      </c>
    </row>
    <row r="1875" spans="2:9" x14ac:dyDescent="0.2">
      <c r="B1875" s="262" t="s">
        <v>1884</v>
      </c>
      <c r="C1875" s="263">
        <v>42828</v>
      </c>
      <c r="D1875" s="264" t="s">
        <v>3125</v>
      </c>
      <c r="E1875" s="264" t="s">
        <v>3841</v>
      </c>
      <c r="F1875" s="265">
        <v>35</v>
      </c>
      <c r="G1875" s="265"/>
      <c r="H1875" s="265">
        <f t="shared" si="43"/>
        <v>35</v>
      </c>
    </row>
    <row r="1876" spans="2:9" x14ac:dyDescent="0.2">
      <c r="B1876" s="262" t="s">
        <v>1863</v>
      </c>
      <c r="C1876" s="263">
        <v>42827</v>
      </c>
      <c r="D1876" s="264" t="s">
        <v>3402</v>
      </c>
      <c r="E1876" s="264" t="s">
        <v>3843</v>
      </c>
      <c r="F1876" s="265">
        <v>250</v>
      </c>
      <c r="G1876" s="265"/>
      <c r="H1876" s="265">
        <f t="shared" si="43"/>
        <v>250</v>
      </c>
    </row>
    <row r="1877" spans="2:9" x14ac:dyDescent="0.2">
      <c r="B1877" s="262" t="s">
        <v>1864</v>
      </c>
      <c r="C1877" s="263">
        <v>42828</v>
      </c>
      <c r="D1877" s="264" t="s">
        <v>3565</v>
      </c>
      <c r="E1877" s="264" t="s">
        <v>3842</v>
      </c>
      <c r="F1877" s="265">
        <v>400</v>
      </c>
      <c r="G1877" s="265"/>
      <c r="H1877" s="265">
        <f t="shared" si="43"/>
        <v>400</v>
      </c>
    </row>
    <row r="1878" spans="2:9" x14ac:dyDescent="0.2">
      <c r="B1878" s="262" t="s">
        <v>1884</v>
      </c>
      <c r="C1878" s="263">
        <v>42828</v>
      </c>
      <c r="D1878" s="264" t="s">
        <v>3256</v>
      </c>
      <c r="E1878" s="264" t="s">
        <v>3844</v>
      </c>
      <c r="F1878" s="265">
        <v>560</v>
      </c>
      <c r="G1878" s="265"/>
      <c r="H1878" s="265">
        <f t="shared" si="43"/>
        <v>560</v>
      </c>
    </row>
    <row r="1879" spans="2:9" x14ac:dyDescent="0.2">
      <c r="B1879" s="262" t="s">
        <v>1867</v>
      </c>
      <c r="C1879" s="263">
        <v>42828</v>
      </c>
      <c r="D1879" s="264" t="s">
        <v>1894</v>
      </c>
      <c r="E1879" s="264" t="s">
        <v>3845</v>
      </c>
      <c r="F1879" s="265">
        <v>798</v>
      </c>
      <c r="G1879" s="265"/>
      <c r="H1879" s="265">
        <f t="shared" si="43"/>
        <v>798</v>
      </c>
    </row>
    <row r="1880" spans="2:9" x14ac:dyDescent="0.2">
      <c r="B1880" s="262" t="s">
        <v>1862</v>
      </c>
      <c r="C1880" s="263">
        <v>42828</v>
      </c>
      <c r="D1880" s="264" t="s">
        <v>1892</v>
      </c>
      <c r="E1880" s="264" t="s">
        <v>3700</v>
      </c>
      <c r="F1880" s="265">
        <v>700</v>
      </c>
      <c r="G1880" s="265"/>
      <c r="H1880" s="265">
        <f t="shared" si="43"/>
        <v>700</v>
      </c>
    </row>
    <row r="1881" spans="2:9" x14ac:dyDescent="0.2">
      <c r="B1881" s="262" t="s">
        <v>1862</v>
      </c>
      <c r="C1881" s="263">
        <v>42828</v>
      </c>
      <c r="D1881" s="264" t="s">
        <v>1892</v>
      </c>
      <c r="E1881" s="264" t="s">
        <v>3700</v>
      </c>
      <c r="F1881" s="265">
        <v>200</v>
      </c>
      <c r="G1881" s="265"/>
      <c r="H1881" s="265">
        <f t="shared" si="43"/>
        <v>200</v>
      </c>
    </row>
    <row r="1882" spans="2:9" x14ac:dyDescent="0.2">
      <c r="B1882" s="262" t="s">
        <v>1860</v>
      </c>
      <c r="C1882" s="263">
        <v>42828</v>
      </c>
      <c r="D1882" s="264" t="s">
        <v>1891</v>
      </c>
      <c r="E1882" s="264" t="s">
        <v>3846</v>
      </c>
      <c r="F1882" s="265">
        <v>118</v>
      </c>
      <c r="G1882" s="265"/>
      <c r="H1882" s="265">
        <f t="shared" si="43"/>
        <v>118</v>
      </c>
    </row>
    <row r="1883" spans="2:9" x14ac:dyDescent="0.2">
      <c r="B1883" s="262" t="s">
        <v>1875</v>
      </c>
      <c r="C1883" s="263">
        <v>42828</v>
      </c>
      <c r="D1883" s="264" t="s">
        <v>1893</v>
      </c>
      <c r="E1883" s="264" t="s">
        <v>2109</v>
      </c>
      <c r="F1883" s="265">
        <v>274.3</v>
      </c>
      <c r="G1883" s="265"/>
      <c r="H1883" s="265">
        <f t="shared" si="43"/>
        <v>274.3</v>
      </c>
    </row>
    <row r="1884" spans="2:9" x14ac:dyDescent="0.2">
      <c r="B1884" s="262" t="s">
        <v>1884</v>
      </c>
      <c r="C1884" s="263">
        <v>42830</v>
      </c>
      <c r="D1884" s="264" t="s">
        <v>1915</v>
      </c>
      <c r="E1884" s="264" t="s">
        <v>3847</v>
      </c>
      <c r="F1884" s="265">
        <v>500</v>
      </c>
      <c r="G1884" s="265"/>
      <c r="H1884" s="265">
        <f t="shared" si="43"/>
        <v>500</v>
      </c>
    </row>
    <row r="1885" spans="2:9" x14ac:dyDescent="0.2">
      <c r="B1885" s="262" t="s">
        <v>1884</v>
      </c>
      <c r="C1885" s="263">
        <v>42830</v>
      </c>
      <c r="D1885" s="264" t="s">
        <v>1889</v>
      </c>
      <c r="E1885" s="264" t="s">
        <v>3848</v>
      </c>
      <c r="F1885" s="265">
        <v>250</v>
      </c>
      <c r="G1885" s="265"/>
      <c r="H1885" s="265">
        <f t="shared" si="43"/>
        <v>250</v>
      </c>
      <c r="I1885" s="320"/>
    </row>
    <row r="1886" spans="2:9" x14ac:dyDescent="0.2">
      <c r="B1886" s="262" t="s">
        <v>1884</v>
      </c>
      <c r="C1886" s="263">
        <v>42830</v>
      </c>
      <c r="D1886" s="264" t="s">
        <v>1906</v>
      </c>
      <c r="E1886" s="264" t="s">
        <v>3849</v>
      </c>
      <c r="F1886" s="265">
        <v>650</v>
      </c>
      <c r="G1886" s="265"/>
      <c r="H1886" s="265">
        <f t="shared" si="43"/>
        <v>650</v>
      </c>
    </row>
    <row r="1887" spans="2:9" x14ac:dyDescent="0.2">
      <c r="B1887" s="262" t="s">
        <v>1866</v>
      </c>
      <c r="C1887" s="263">
        <v>42830</v>
      </c>
      <c r="D1887" s="264" t="s">
        <v>1890</v>
      </c>
      <c r="E1887" s="264" t="s">
        <v>3850</v>
      </c>
      <c r="F1887" s="265">
        <v>310</v>
      </c>
      <c r="G1887" s="265"/>
      <c r="H1887" s="265">
        <f t="shared" si="43"/>
        <v>310</v>
      </c>
    </row>
    <row r="1888" spans="2:9" x14ac:dyDescent="0.2">
      <c r="B1888" s="262" t="s">
        <v>1879</v>
      </c>
      <c r="C1888" s="263">
        <v>42830</v>
      </c>
      <c r="D1888" s="264" t="s">
        <v>1892</v>
      </c>
      <c r="E1888" s="264" t="s">
        <v>3856</v>
      </c>
      <c r="F1888" s="265">
        <v>400</v>
      </c>
      <c r="G1888" s="265"/>
      <c r="H1888" s="265">
        <f t="shared" si="43"/>
        <v>400</v>
      </c>
      <c r="I1888" s="320"/>
    </row>
    <row r="1889" spans="2:9" x14ac:dyDescent="0.2">
      <c r="B1889" s="262" t="s">
        <v>1862</v>
      </c>
      <c r="C1889" s="263">
        <v>42830</v>
      </c>
      <c r="D1889" s="264" t="s">
        <v>1892</v>
      </c>
      <c r="E1889" s="264" t="s">
        <v>3700</v>
      </c>
      <c r="F1889" s="265">
        <v>900</v>
      </c>
      <c r="G1889" s="265"/>
      <c r="H1889" s="265">
        <f t="shared" si="43"/>
        <v>900</v>
      </c>
      <c r="I1889" s="320"/>
    </row>
    <row r="1890" spans="2:9" x14ac:dyDescent="0.2">
      <c r="B1890" s="262" t="s">
        <v>1862</v>
      </c>
      <c r="C1890" s="263">
        <v>42830</v>
      </c>
      <c r="D1890" s="264" t="s">
        <v>1892</v>
      </c>
      <c r="E1890" s="264" t="s">
        <v>3851</v>
      </c>
      <c r="F1890" s="265">
        <v>4004</v>
      </c>
      <c r="G1890" s="265"/>
      <c r="H1890" s="265">
        <f t="shared" si="43"/>
        <v>4004</v>
      </c>
      <c r="I1890" s="175">
        <f>SUM(H1862:H1890)</f>
        <v>14720.8</v>
      </c>
    </row>
    <row r="1891" spans="2:9" x14ac:dyDescent="0.2">
      <c r="B1891" s="262" t="s">
        <v>1863</v>
      </c>
      <c r="C1891" s="263">
        <v>42832</v>
      </c>
      <c r="D1891" s="264" t="s">
        <v>2419</v>
      </c>
      <c r="E1891" s="264" t="s">
        <v>3868</v>
      </c>
      <c r="F1891" s="265">
        <v>350</v>
      </c>
      <c r="G1891" s="265"/>
      <c r="H1891" s="265">
        <f t="shared" si="43"/>
        <v>350</v>
      </c>
    </row>
    <row r="1892" spans="2:9" x14ac:dyDescent="0.2">
      <c r="B1892" s="262" t="s">
        <v>1577</v>
      </c>
      <c r="C1892" s="263">
        <v>42832</v>
      </c>
      <c r="D1892" s="264" t="s">
        <v>3578</v>
      </c>
      <c r="E1892" s="264" t="s">
        <v>3869</v>
      </c>
      <c r="F1892" s="265">
        <v>15050</v>
      </c>
      <c r="G1892" s="265"/>
      <c r="H1892" s="265">
        <f t="shared" si="43"/>
        <v>15050</v>
      </c>
    </row>
    <row r="1893" spans="2:9" x14ac:dyDescent="0.2">
      <c r="B1893" s="262" t="s">
        <v>1805</v>
      </c>
      <c r="C1893" s="263">
        <v>42832</v>
      </c>
      <c r="D1893" s="264" t="s">
        <v>3565</v>
      </c>
      <c r="E1893" s="264" t="s">
        <v>3870</v>
      </c>
      <c r="F1893" s="265">
        <v>1000</v>
      </c>
      <c r="G1893" s="265"/>
      <c r="H1893" s="265">
        <f t="shared" si="43"/>
        <v>1000</v>
      </c>
    </row>
    <row r="1894" spans="2:9" x14ac:dyDescent="0.2">
      <c r="B1894" s="262" t="s">
        <v>1821</v>
      </c>
      <c r="C1894" s="263">
        <v>42832</v>
      </c>
      <c r="D1894" s="264" t="s">
        <v>3053</v>
      </c>
      <c r="E1894" s="264" t="s">
        <v>2471</v>
      </c>
      <c r="F1894" s="265">
        <v>3300</v>
      </c>
      <c r="G1894" s="265"/>
      <c r="H1894" s="265">
        <f t="shared" si="43"/>
        <v>3300</v>
      </c>
    </row>
    <row r="1895" spans="2:9" x14ac:dyDescent="0.2">
      <c r="B1895" s="262" t="s">
        <v>1867</v>
      </c>
      <c r="C1895" s="263">
        <v>42834</v>
      </c>
      <c r="D1895" s="264" t="s">
        <v>1897</v>
      </c>
      <c r="E1895" s="264" t="s">
        <v>3871</v>
      </c>
      <c r="F1895" s="265">
        <v>150</v>
      </c>
      <c r="G1895" s="265"/>
      <c r="H1895" s="265">
        <f t="shared" si="43"/>
        <v>150</v>
      </c>
    </row>
    <row r="1896" spans="2:9" x14ac:dyDescent="0.2">
      <c r="B1896" s="262" t="s">
        <v>1863</v>
      </c>
      <c r="C1896" s="263">
        <v>42834</v>
      </c>
      <c r="D1896" s="264" t="s">
        <v>1878</v>
      </c>
      <c r="E1896" s="264" t="s">
        <v>3872</v>
      </c>
      <c r="F1896" s="265">
        <v>500</v>
      </c>
      <c r="G1896" s="265"/>
      <c r="H1896" s="265">
        <f t="shared" si="43"/>
        <v>500</v>
      </c>
    </row>
    <row r="1897" spans="2:9" x14ac:dyDescent="0.2">
      <c r="B1897" s="262" t="s">
        <v>1863</v>
      </c>
      <c r="C1897" s="263">
        <v>42834</v>
      </c>
      <c r="D1897" s="264" t="s">
        <v>2250</v>
      </c>
      <c r="E1897" s="264" t="s">
        <v>3498</v>
      </c>
      <c r="F1897" s="265">
        <v>150</v>
      </c>
      <c r="G1897" s="265"/>
      <c r="H1897" s="265">
        <f t="shared" si="43"/>
        <v>150</v>
      </c>
    </row>
    <row r="1898" spans="2:9" x14ac:dyDescent="0.2">
      <c r="B1898" s="262" t="s">
        <v>1881</v>
      </c>
      <c r="C1898" s="263">
        <v>42834</v>
      </c>
      <c r="D1898" s="264" t="s">
        <v>2250</v>
      </c>
      <c r="E1898" s="264" t="s">
        <v>3873</v>
      </c>
      <c r="F1898" s="265">
        <v>120</v>
      </c>
      <c r="G1898" s="265"/>
      <c r="H1898" s="265">
        <f t="shared" si="43"/>
        <v>120</v>
      </c>
    </row>
    <row r="1899" spans="2:9" x14ac:dyDescent="0.2">
      <c r="B1899" s="262" t="s">
        <v>1864</v>
      </c>
      <c r="C1899" s="263">
        <v>42834</v>
      </c>
      <c r="D1899" s="264" t="s">
        <v>2535</v>
      </c>
      <c r="E1899" s="264" t="s">
        <v>3874</v>
      </c>
      <c r="F1899" s="265">
        <v>184.5</v>
      </c>
      <c r="G1899" s="265"/>
      <c r="H1899" s="265">
        <f t="shared" si="43"/>
        <v>184.5</v>
      </c>
    </row>
    <row r="1900" spans="2:9" x14ac:dyDescent="0.2">
      <c r="B1900" s="262" t="s">
        <v>1577</v>
      </c>
      <c r="C1900" s="263">
        <v>42835</v>
      </c>
      <c r="D1900" s="264" t="s">
        <v>3578</v>
      </c>
      <c r="E1900" s="264" t="s">
        <v>3869</v>
      </c>
      <c r="F1900" s="265">
        <v>500</v>
      </c>
      <c r="G1900" s="265"/>
      <c r="H1900" s="265">
        <f t="shared" si="43"/>
        <v>500</v>
      </c>
    </row>
    <row r="1901" spans="2:9" x14ac:dyDescent="0.2">
      <c r="B1901" s="262" t="s">
        <v>1863</v>
      </c>
      <c r="C1901" s="263">
        <v>42835</v>
      </c>
      <c r="D1901" s="264" t="s">
        <v>3620</v>
      </c>
      <c r="E1901" s="264" t="s">
        <v>3875</v>
      </c>
      <c r="F1901" s="265">
        <v>150</v>
      </c>
      <c r="G1901" s="265"/>
      <c r="H1901" s="265">
        <f t="shared" si="43"/>
        <v>150</v>
      </c>
    </row>
    <row r="1902" spans="2:9" x14ac:dyDescent="0.2">
      <c r="B1902" s="262" t="s">
        <v>1866</v>
      </c>
      <c r="C1902" s="263">
        <v>42835</v>
      </c>
      <c r="D1902" s="264" t="s">
        <v>1890</v>
      </c>
      <c r="E1902" s="264" t="s">
        <v>3789</v>
      </c>
      <c r="F1902" s="265">
        <v>320</v>
      </c>
      <c r="G1902" s="265"/>
      <c r="H1902" s="265">
        <f t="shared" si="43"/>
        <v>320</v>
      </c>
    </row>
    <row r="1903" spans="2:9" x14ac:dyDescent="0.2">
      <c r="B1903" s="262" t="s">
        <v>1864</v>
      </c>
      <c r="C1903" s="263">
        <v>42835</v>
      </c>
      <c r="D1903" s="264" t="s">
        <v>3565</v>
      </c>
      <c r="E1903" s="264" t="s">
        <v>3876</v>
      </c>
      <c r="F1903" s="265">
        <v>400</v>
      </c>
      <c r="G1903" s="265"/>
      <c r="H1903" s="265">
        <f t="shared" si="43"/>
        <v>400</v>
      </c>
    </row>
    <row r="1904" spans="2:9" x14ac:dyDescent="0.2">
      <c r="B1904" s="262" t="s">
        <v>1862</v>
      </c>
      <c r="C1904" s="263">
        <v>42835</v>
      </c>
      <c r="D1904" s="264" t="s">
        <v>1892</v>
      </c>
      <c r="E1904" s="264" t="s">
        <v>3877</v>
      </c>
      <c r="F1904" s="265">
        <v>800</v>
      </c>
      <c r="G1904" s="265"/>
      <c r="H1904" s="265">
        <f t="shared" si="43"/>
        <v>800</v>
      </c>
    </row>
    <row r="1905" spans="2:9" x14ac:dyDescent="0.2">
      <c r="B1905" s="262" t="s">
        <v>1863</v>
      </c>
      <c r="C1905" s="263">
        <v>42835</v>
      </c>
      <c r="D1905" s="264" t="s">
        <v>1878</v>
      </c>
      <c r="E1905" s="264" t="s">
        <v>3266</v>
      </c>
      <c r="F1905" s="265">
        <v>500</v>
      </c>
      <c r="G1905" s="265"/>
      <c r="H1905" s="265">
        <f t="shared" si="43"/>
        <v>500</v>
      </c>
    </row>
    <row r="1906" spans="2:9" x14ac:dyDescent="0.2">
      <c r="B1906" s="262" t="s">
        <v>1805</v>
      </c>
      <c r="C1906" s="263">
        <v>42836</v>
      </c>
      <c r="D1906" s="264" t="s">
        <v>1918</v>
      </c>
      <c r="E1906" s="264" t="s">
        <v>2341</v>
      </c>
      <c r="F1906" s="265">
        <v>100</v>
      </c>
      <c r="G1906" s="265"/>
      <c r="H1906" s="265">
        <f t="shared" si="43"/>
        <v>100</v>
      </c>
    </row>
    <row r="1907" spans="2:9" x14ac:dyDescent="0.2">
      <c r="B1907" s="262" t="s">
        <v>1805</v>
      </c>
      <c r="C1907" s="263">
        <v>42836</v>
      </c>
      <c r="D1907" s="264" t="s">
        <v>2262</v>
      </c>
      <c r="E1907" s="264" t="s">
        <v>3878</v>
      </c>
      <c r="F1907" s="265">
        <v>57</v>
      </c>
      <c r="G1907" s="265"/>
      <c r="H1907" s="265">
        <f t="shared" si="43"/>
        <v>57</v>
      </c>
    </row>
    <row r="1908" spans="2:9" x14ac:dyDescent="0.2">
      <c r="B1908" s="262" t="s">
        <v>1884</v>
      </c>
      <c r="C1908" s="263">
        <v>42836</v>
      </c>
      <c r="D1908" s="264" t="s">
        <v>1915</v>
      </c>
      <c r="E1908" s="264" t="s">
        <v>3879</v>
      </c>
      <c r="F1908" s="265">
        <v>700</v>
      </c>
      <c r="G1908" s="265"/>
      <c r="H1908" s="265">
        <f t="shared" si="43"/>
        <v>700</v>
      </c>
    </row>
    <row r="1909" spans="2:9" x14ac:dyDescent="0.2">
      <c r="B1909" s="262" t="s">
        <v>1790</v>
      </c>
      <c r="C1909" s="263">
        <v>42836</v>
      </c>
      <c r="D1909" s="264" t="s">
        <v>1909</v>
      </c>
      <c r="E1909" s="264" t="s">
        <v>3880</v>
      </c>
      <c r="F1909" s="265"/>
      <c r="G1909" s="265">
        <v>1760</v>
      </c>
      <c r="H1909" s="265">
        <f t="shared" si="43"/>
        <v>1760</v>
      </c>
    </row>
    <row r="1910" spans="2:9" x14ac:dyDescent="0.2">
      <c r="B1910" s="262" t="s">
        <v>1805</v>
      </c>
      <c r="C1910" s="263">
        <v>42836</v>
      </c>
      <c r="D1910" s="264" t="s">
        <v>1888</v>
      </c>
      <c r="E1910" s="264" t="s">
        <v>3881</v>
      </c>
      <c r="F1910" s="265">
        <v>1300</v>
      </c>
      <c r="G1910" s="265"/>
      <c r="H1910" s="265">
        <f t="shared" si="43"/>
        <v>1300</v>
      </c>
      <c r="I1910" s="320"/>
    </row>
    <row r="1911" spans="2:9" x14ac:dyDescent="0.2">
      <c r="B1911" s="262" t="s">
        <v>1881</v>
      </c>
      <c r="C1911" s="263">
        <v>42837</v>
      </c>
      <c r="D1911" s="264" t="s">
        <v>2419</v>
      </c>
      <c r="E1911" s="264" t="s">
        <v>3891</v>
      </c>
      <c r="F1911" s="265">
        <v>350</v>
      </c>
      <c r="G1911" s="265"/>
      <c r="H1911" s="265">
        <f>SUM(F1911:G1911)</f>
        <v>350</v>
      </c>
      <c r="I1911" s="320"/>
    </row>
    <row r="1912" spans="2:9" x14ac:dyDescent="0.2">
      <c r="B1912" s="345" t="s">
        <v>1870</v>
      </c>
      <c r="C1912" s="263">
        <v>42837</v>
      </c>
      <c r="D1912" s="264" t="s">
        <v>1892</v>
      </c>
      <c r="E1912" s="264" t="s">
        <v>3892</v>
      </c>
      <c r="F1912" s="265">
        <v>500</v>
      </c>
      <c r="G1912" s="265"/>
      <c r="H1912" s="265">
        <f>SUM(F1912:G1912)</f>
        <v>500</v>
      </c>
      <c r="I1912" s="320"/>
    </row>
    <row r="1913" spans="2:9" x14ac:dyDescent="0.2">
      <c r="B1913" s="262" t="s">
        <v>1882</v>
      </c>
      <c r="C1913" s="263">
        <v>42837</v>
      </c>
      <c r="D1913" s="264" t="s">
        <v>1897</v>
      </c>
      <c r="E1913" s="264" t="s">
        <v>3882</v>
      </c>
      <c r="F1913" s="265">
        <v>200</v>
      </c>
      <c r="G1913" s="265"/>
      <c r="H1913" s="265">
        <f t="shared" si="43"/>
        <v>200</v>
      </c>
    </row>
    <row r="1914" spans="2:9" x14ac:dyDescent="0.2">
      <c r="B1914" s="262" t="s">
        <v>1879</v>
      </c>
      <c r="C1914" s="263">
        <v>42837</v>
      </c>
      <c r="D1914" s="264" t="s">
        <v>1892</v>
      </c>
      <c r="E1914" s="264" t="s">
        <v>3893</v>
      </c>
      <c r="F1914" s="265">
        <v>400</v>
      </c>
      <c r="G1914" s="265"/>
      <c r="H1914" s="265">
        <f t="shared" si="43"/>
        <v>400</v>
      </c>
    </row>
    <row r="1915" spans="2:9" x14ac:dyDescent="0.2">
      <c r="B1915" s="262" t="s">
        <v>1870</v>
      </c>
      <c r="C1915" s="263">
        <v>42837</v>
      </c>
      <c r="D1915" s="264" t="s">
        <v>3894</v>
      </c>
      <c r="E1915" s="264" t="s">
        <v>3895</v>
      </c>
      <c r="F1915" s="265">
        <v>26.5</v>
      </c>
      <c r="G1915" s="265"/>
      <c r="H1915" s="265">
        <f t="shared" si="43"/>
        <v>26.5</v>
      </c>
    </row>
    <row r="1916" spans="2:9" x14ac:dyDescent="0.2">
      <c r="B1916" s="262" t="s">
        <v>1862</v>
      </c>
      <c r="C1916" s="263">
        <v>42837</v>
      </c>
      <c r="D1916" s="264" t="s">
        <v>1892</v>
      </c>
      <c r="E1916" s="264" t="s">
        <v>3896</v>
      </c>
      <c r="F1916" s="265">
        <v>1200</v>
      </c>
      <c r="G1916" s="265"/>
      <c r="H1916" s="265">
        <f t="shared" ref="H1916:H1924" si="44">SUM(F1916:G1916)</f>
        <v>1200</v>
      </c>
    </row>
    <row r="1917" spans="2:9" x14ac:dyDescent="0.2">
      <c r="B1917" s="262" t="s">
        <v>1870</v>
      </c>
      <c r="C1917" s="263">
        <v>42837</v>
      </c>
      <c r="D1917" s="264" t="s">
        <v>1892</v>
      </c>
      <c r="E1917" s="264" t="s">
        <v>3897</v>
      </c>
      <c r="F1917" s="265">
        <v>600</v>
      </c>
      <c r="G1917" s="265"/>
      <c r="H1917" s="265">
        <f t="shared" si="44"/>
        <v>600</v>
      </c>
      <c r="I1917" s="175">
        <f>SUM(H1862:H1917)</f>
        <v>45388.800000000003</v>
      </c>
    </row>
    <row r="1918" spans="2:9" x14ac:dyDescent="0.2">
      <c r="B1918" s="262" t="s">
        <v>1882</v>
      </c>
      <c r="C1918" s="263">
        <v>42837</v>
      </c>
      <c r="D1918" s="264" t="s">
        <v>2401</v>
      </c>
      <c r="E1918" s="264" t="s">
        <v>3898</v>
      </c>
      <c r="F1918" s="265">
        <v>306</v>
      </c>
      <c r="G1918" s="265"/>
      <c r="H1918" s="265">
        <f t="shared" si="44"/>
        <v>306</v>
      </c>
    </row>
    <row r="1919" spans="2:9" x14ac:dyDescent="0.2">
      <c r="B1919" s="262" t="s">
        <v>1805</v>
      </c>
      <c r="C1919" s="263">
        <v>42839</v>
      </c>
      <c r="D1919" s="264" t="s">
        <v>3565</v>
      </c>
      <c r="E1919" s="264" t="s">
        <v>3899</v>
      </c>
      <c r="F1919" s="265">
        <v>1000</v>
      </c>
      <c r="G1919" s="265"/>
      <c r="H1919" s="265">
        <f t="shared" si="44"/>
        <v>1000</v>
      </c>
    </row>
    <row r="1920" spans="2:9" x14ac:dyDescent="0.2">
      <c r="B1920" s="262" t="s">
        <v>1863</v>
      </c>
      <c r="C1920" s="263">
        <v>42840</v>
      </c>
      <c r="D1920" s="264" t="s">
        <v>1878</v>
      </c>
      <c r="E1920" s="264" t="s">
        <v>3900</v>
      </c>
      <c r="F1920" s="265">
        <v>500</v>
      </c>
      <c r="G1920" s="265"/>
      <c r="H1920" s="265">
        <f t="shared" si="44"/>
        <v>500</v>
      </c>
      <c r="I1920" s="175"/>
    </row>
    <row r="1921" spans="2:9" x14ac:dyDescent="0.2">
      <c r="B1921" s="262" t="s">
        <v>1881</v>
      </c>
      <c r="C1921" s="263">
        <v>42840</v>
      </c>
      <c r="D1921" s="264" t="s">
        <v>2250</v>
      </c>
      <c r="E1921" s="264" t="s">
        <v>3901</v>
      </c>
      <c r="F1921" s="265">
        <v>350</v>
      </c>
      <c r="G1921" s="265"/>
      <c r="H1921" s="265">
        <f t="shared" si="44"/>
        <v>350</v>
      </c>
      <c r="I1921" s="175">
        <f>SUM(H1862:H1924)</f>
        <v>66544.800000000003</v>
      </c>
    </row>
    <row r="1922" spans="2:9" x14ac:dyDescent="0.2">
      <c r="B1922" s="262" t="s">
        <v>1881</v>
      </c>
      <c r="C1922" s="263">
        <v>42840</v>
      </c>
      <c r="D1922" s="264" t="s">
        <v>1873</v>
      </c>
      <c r="E1922" s="264" t="s">
        <v>3902</v>
      </c>
      <c r="F1922" s="265">
        <v>450</v>
      </c>
      <c r="G1922" s="265"/>
      <c r="H1922" s="265">
        <f t="shared" si="44"/>
        <v>450</v>
      </c>
    </row>
    <row r="1923" spans="2:9" x14ac:dyDescent="0.2">
      <c r="B1923" s="262" t="s">
        <v>1859</v>
      </c>
      <c r="C1923" s="263">
        <v>42840</v>
      </c>
      <c r="D1923" s="264" t="s">
        <v>1911</v>
      </c>
      <c r="E1923" s="264" t="s">
        <v>3903</v>
      </c>
      <c r="F1923" s="265">
        <v>4000</v>
      </c>
      <c r="G1923" s="265"/>
      <c r="H1923" s="265">
        <f t="shared" si="44"/>
        <v>4000</v>
      </c>
    </row>
    <row r="1924" spans="2:9" x14ac:dyDescent="0.2">
      <c r="B1924" s="262" t="s">
        <v>1577</v>
      </c>
      <c r="C1924" s="263">
        <v>42840</v>
      </c>
      <c r="D1924" s="264" t="s">
        <v>3578</v>
      </c>
      <c r="E1924" s="264" t="s">
        <v>3904</v>
      </c>
      <c r="F1924" s="265">
        <v>14550</v>
      </c>
      <c r="G1924" s="265"/>
      <c r="H1924" s="265">
        <f t="shared" si="44"/>
        <v>14550</v>
      </c>
      <c r="I1924" s="175">
        <f>SUM(H1862:H1924)</f>
        <v>66544.800000000003</v>
      </c>
    </row>
    <row r="1925" spans="2:9" x14ac:dyDescent="0.2">
      <c r="B1925" s="262" t="s">
        <v>1864</v>
      </c>
      <c r="C1925" s="263">
        <v>42841</v>
      </c>
      <c r="D1925" s="264" t="s">
        <v>2535</v>
      </c>
      <c r="E1925" s="264" t="s">
        <v>2664</v>
      </c>
      <c r="F1925" s="265">
        <v>145</v>
      </c>
      <c r="G1925" s="265"/>
      <c r="H1925" s="265">
        <f t="shared" si="43"/>
        <v>145</v>
      </c>
    </row>
    <row r="1926" spans="2:9" x14ac:dyDescent="0.2">
      <c r="B1926" s="262" t="s">
        <v>1881</v>
      </c>
      <c r="C1926" s="263">
        <v>42841</v>
      </c>
      <c r="D1926" s="264" t="s">
        <v>2250</v>
      </c>
      <c r="E1926" s="264" t="s">
        <v>2636</v>
      </c>
      <c r="F1926" s="265">
        <v>120</v>
      </c>
      <c r="G1926" s="265"/>
      <c r="H1926" s="265">
        <f t="shared" si="43"/>
        <v>120</v>
      </c>
    </row>
    <row r="1927" spans="2:9" x14ac:dyDescent="0.2">
      <c r="B1927" s="262" t="s">
        <v>1862</v>
      </c>
      <c r="C1927" s="263">
        <v>42843</v>
      </c>
      <c r="D1927" s="264" t="s">
        <v>1892</v>
      </c>
      <c r="E1927" s="264" t="s">
        <v>3905</v>
      </c>
      <c r="F1927" s="265">
        <v>200</v>
      </c>
      <c r="G1927" s="265"/>
      <c r="H1927" s="265">
        <f t="shared" si="43"/>
        <v>200</v>
      </c>
    </row>
    <row r="1928" spans="2:9" x14ac:dyDescent="0.2">
      <c r="B1928" s="262" t="s">
        <v>1863</v>
      </c>
      <c r="C1928" s="263">
        <v>42841</v>
      </c>
      <c r="D1928" s="264" t="s">
        <v>2250</v>
      </c>
      <c r="E1928" s="264" t="s">
        <v>3381</v>
      </c>
      <c r="F1928" s="265">
        <v>150</v>
      </c>
      <c r="G1928" s="265"/>
      <c r="H1928" s="265">
        <f t="shared" si="43"/>
        <v>150</v>
      </c>
    </row>
    <row r="1929" spans="2:9" x14ac:dyDescent="0.2">
      <c r="B1929" s="262" t="s">
        <v>1864</v>
      </c>
      <c r="C1929" s="263">
        <v>42842</v>
      </c>
      <c r="D1929" s="264" t="s">
        <v>3565</v>
      </c>
      <c r="E1929" s="264" t="s">
        <v>3906</v>
      </c>
      <c r="F1929" s="265">
        <v>400</v>
      </c>
      <c r="G1929" s="265"/>
      <c r="H1929" s="265">
        <f t="shared" ref="H1929:H1968" si="45">SUM(F1929:G1929)</f>
        <v>400</v>
      </c>
    </row>
    <row r="1930" spans="2:9" x14ac:dyDescent="0.2">
      <c r="B1930" s="262" t="s">
        <v>1882</v>
      </c>
      <c r="C1930" s="263">
        <v>42842</v>
      </c>
      <c r="D1930" s="264" t="s">
        <v>2763</v>
      </c>
      <c r="E1930" s="264" t="s">
        <v>3907</v>
      </c>
      <c r="F1930" s="265">
        <v>250</v>
      </c>
      <c r="G1930" s="265"/>
      <c r="H1930" s="265">
        <f t="shared" si="45"/>
        <v>250</v>
      </c>
    </row>
    <row r="1931" spans="2:9" x14ac:dyDescent="0.2">
      <c r="B1931" s="262" t="s">
        <v>1882</v>
      </c>
      <c r="C1931" s="263">
        <v>42842</v>
      </c>
      <c r="D1931" s="264" t="s">
        <v>1897</v>
      </c>
      <c r="E1931" s="264" t="s">
        <v>3907</v>
      </c>
      <c r="F1931" s="265">
        <v>500</v>
      </c>
      <c r="G1931" s="265"/>
      <c r="H1931" s="265">
        <f t="shared" si="45"/>
        <v>500</v>
      </c>
    </row>
    <row r="1932" spans="2:9" x14ac:dyDescent="0.2">
      <c r="B1932" s="262" t="s">
        <v>1884</v>
      </c>
      <c r="C1932" s="263">
        <v>42842</v>
      </c>
      <c r="D1932" s="264" t="s">
        <v>1915</v>
      </c>
      <c r="E1932" s="264" t="s">
        <v>3908</v>
      </c>
      <c r="F1932" s="265">
        <v>300</v>
      </c>
      <c r="G1932" s="265"/>
      <c r="H1932" s="265">
        <f t="shared" si="45"/>
        <v>300</v>
      </c>
    </row>
    <row r="1933" spans="2:9" x14ac:dyDescent="0.2">
      <c r="B1933" s="262" t="s">
        <v>1866</v>
      </c>
      <c r="C1933" s="263">
        <v>42842</v>
      </c>
      <c r="D1933" s="264" t="s">
        <v>1890</v>
      </c>
      <c r="E1933" s="264" t="s">
        <v>3850</v>
      </c>
      <c r="F1933" s="265">
        <v>310</v>
      </c>
      <c r="G1933" s="265"/>
      <c r="H1933" s="265">
        <f t="shared" si="45"/>
        <v>310</v>
      </c>
    </row>
    <row r="1934" spans="2:9" x14ac:dyDescent="0.2">
      <c r="B1934" s="262" t="s">
        <v>1860</v>
      </c>
      <c r="C1934" s="263">
        <v>42842</v>
      </c>
      <c r="D1934" s="264" t="s">
        <v>1926</v>
      </c>
      <c r="E1934" s="264" t="s">
        <v>3909</v>
      </c>
      <c r="F1934" s="265">
        <v>900</v>
      </c>
      <c r="G1934" s="265"/>
      <c r="H1934" s="265">
        <f t="shared" si="45"/>
        <v>900</v>
      </c>
    </row>
    <row r="1935" spans="2:9" x14ac:dyDescent="0.2">
      <c r="B1935" s="262" t="s">
        <v>1871</v>
      </c>
      <c r="C1935" s="263">
        <v>42842</v>
      </c>
      <c r="D1935" s="264" t="s">
        <v>2704</v>
      </c>
      <c r="E1935" s="264" t="s">
        <v>3910</v>
      </c>
      <c r="F1935" s="265">
        <v>50</v>
      </c>
      <c r="G1935" s="265"/>
      <c r="H1935" s="265">
        <f t="shared" si="45"/>
        <v>50</v>
      </c>
    </row>
    <row r="1936" spans="2:9" x14ac:dyDescent="0.2">
      <c r="B1936" s="262" t="s">
        <v>1865</v>
      </c>
      <c r="C1936" s="263">
        <v>42842</v>
      </c>
      <c r="D1936" s="264" t="s">
        <v>1906</v>
      </c>
      <c r="E1936" s="264" t="s">
        <v>3911</v>
      </c>
      <c r="F1936" s="265">
        <v>230</v>
      </c>
      <c r="G1936" s="265"/>
      <c r="H1936" s="265">
        <f t="shared" si="45"/>
        <v>230</v>
      </c>
    </row>
    <row r="1937" spans="2:8" x14ac:dyDescent="0.2">
      <c r="B1937" s="262" t="s">
        <v>1865</v>
      </c>
      <c r="C1937" s="263">
        <v>42842</v>
      </c>
      <c r="D1937" s="264" t="s">
        <v>3912</v>
      </c>
      <c r="E1937" s="264" t="s">
        <v>3913</v>
      </c>
      <c r="F1937" s="265">
        <v>350</v>
      </c>
      <c r="G1937" s="265"/>
      <c r="H1937" s="265">
        <f t="shared" si="45"/>
        <v>350</v>
      </c>
    </row>
    <row r="1938" spans="2:8" x14ac:dyDescent="0.2">
      <c r="B1938" s="262" t="s">
        <v>1863</v>
      </c>
      <c r="C1938" s="263">
        <v>42843</v>
      </c>
      <c r="D1938" s="264" t="s">
        <v>1889</v>
      </c>
      <c r="E1938" s="264" t="s">
        <v>3914</v>
      </c>
      <c r="F1938" s="265">
        <v>150</v>
      </c>
      <c r="G1938" s="265"/>
      <c r="H1938" s="265">
        <f t="shared" si="45"/>
        <v>150</v>
      </c>
    </row>
    <row r="1939" spans="2:8" x14ac:dyDescent="0.2">
      <c r="B1939" s="262" t="s">
        <v>1870</v>
      </c>
      <c r="C1939" s="263">
        <v>42843</v>
      </c>
      <c r="D1939" s="264" t="s">
        <v>1892</v>
      </c>
      <c r="E1939" s="264" t="s">
        <v>3915</v>
      </c>
      <c r="F1939" s="265">
        <v>2350</v>
      </c>
      <c r="G1939" s="265"/>
      <c r="H1939" s="265">
        <f t="shared" si="45"/>
        <v>2350</v>
      </c>
    </row>
    <row r="1940" spans="2:8" x14ac:dyDescent="0.2">
      <c r="B1940" s="262" t="s">
        <v>1862</v>
      </c>
      <c r="C1940" s="263">
        <v>42843</v>
      </c>
      <c r="D1940" s="264" t="s">
        <v>1892</v>
      </c>
      <c r="E1940" s="264" t="s">
        <v>3916</v>
      </c>
      <c r="F1940" s="265">
        <v>2565</v>
      </c>
      <c r="G1940" s="265"/>
      <c r="H1940" s="265">
        <f t="shared" si="45"/>
        <v>2565</v>
      </c>
    </row>
    <row r="1941" spans="2:8" x14ac:dyDescent="0.2">
      <c r="B1941" s="262" t="s">
        <v>1882</v>
      </c>
      <c r="C1941" s="263">
        <v>42843</v>
      </c>
      <c r="D1941" s="264" t="s">
        <v>2401</v>
      </c>
      <c r="E1941" s="264" t="s">
        <v>3917</v>
      </c>
      <c r="F1941" s="265">
        <v>141</v>
      </c>
      <c r="G1941" s="265"/>
      <c r="H1941" s="265">
        <f t="shared" si="45"/>
        <v>141</v>
      </c>
    </row>
    <row r="1942" spans="2:8" x14ac:dyDescent="0.2">
      <c r="B1942" s="262" t="s">
        <v>1884</v>
      </c>
      <c r="C1942" s="263">
        <v>42844</v>
      </c>
      <c r="D1942" s="264" t="s">
        <v>3918</v>
      </c>
      <c r="E1942" s="264" t="s">
        <v>3919</v>
      </c>
      <c r="F1942" s="265">
        <v>349</v>
      </c>
      <c r="G1942" s="265"/>
      <c r="H1942" s="265">
        <f t="shared" si="45"/>
        <v>349</v>
      </c>
    </row>
    <row r="1943" spans="2:8" x14ac:dyDescent="0.2">
      <c r="B1943" s="262" t="s">
        <v>1577</v>
      </c>
      <c r="C1943" s="263">
        <v>42845</v>
      </c>
      <c r="D1943" s="264" t="s">
        <v>3578</v>
      </c>
      <c r="E1943" s="264" t="s">
        <v>3920</v>
      </c>
      <c r="F1943" s="265">
        <v>10000</v>
      </c>
      <c r="G1943" s="265"/>
      <c r="H1943" s="265">
        <f t="shared" si="45"/>
        <v>10000</v>
      </c>
    </row>
    <row r="1944" spans="2:8" x14ac:dyDescent="0.2">
      <c r="B1944" s="262" t="s">
        <v>1862</v>
      </c>
      <c r="C1944" s="263">
        <v>42846</v>
      </c>
      <c r="D1944" s="264" t="s">
        <v>1892</v>
      </c>
      <c r="E1944" s="264" t="s">
        <v>3921</v>
      </c>
      <c r="F1944" s="265">
        <v>1320</v>
      </c>
      <c r="G1944" s="265"/>
      <c r="H1944" s="265">
        <f t="shared" si="45"/>
        <v>1320</v>
      </c>
    </row>
    <row r="1945" spans="2:8" x14ac:dyDescent="0.2">
      <c r="B1945" s="262" t="s">
        <v>1870</v>
      </c>
      <c r="C1945" s="263">
        <v>42846</v>
      </c>
      <c r="D1945" s="264" t="s">
        <v>1892</v>
      </c>
      <c r="E1945" s="264" t="s">
        <v>3922</v>
      </c>
      <c r="F1945" s="265">
        <v>320</v>
      </c>
      <c r="G1945" s="265"/>
      <c r="H1945" s="265">
        <f t="shared" si="45"/>
        <v>320</v>
      </c>
    </row>
    <row r="1946" spans="2:8" x14ac:dyDescent="0.2">
      <c r="B1946" s="262" t="s">
        <v>1870</v>
      </c>
      <c r="C1946" s="263">
        <v>42846</v>
      </c>
      <c r="D1946" s="264" t="s">
        <v>1906</v>
      </c>
      <c r="E1946" s="264" t="s">
        <v>3923</v>
      </c>
      <c r="F1946" s="265">
        <v>250</v>
      </c>
      <c r="G1946" s="265"/>
      <c r="H1946" s="265">
        <f t="shared" si="45"/>
        <v>250</v>
      </c>
    </row>
    <row r="1947" spans="2:8" x14ac:dyDescent="0.2">
      <c r="B1947" s="262" t="s">
        <v>1870</v>
      </c>
      <c r="C1947" s="263">
        <v>42846</v>
      </c>
      <c r="D1947" s="264" t="s">
        <v>1906</v>
      </c>
      <c r="E1947" s="264" t="s">
        <v>3923</v>
      </c>
      <c r="F1947" s="265">
        <v>150</v>
      </c>
      <c r="G1947" s="265"/>
      <c r="H1947" s="265">
        <f t="shared" si="45"/>
        <v>150</v>
      </c>
    </row>
    <row r="1948" spans="2:8" x14ac:dyDescent="0.2">
      <c r="B1948" s="262" t="s">
        <v>1884</v>
      </c>
      <c r="C1948" s="263">
        <v>42846</v>
      </c>
      <c r="D1948" s="264" t="s">
        <v>1911</v>
      </c>
      <c r="E1948" s="264" t="s">
        <v>3924</v>
      </c>
      <c r="F1948" s="265">
        <v>180</v>
      </c>
      <c r="G1948" s="265"/>
      <c r="H1948" s="265">
        <f t="shared" si="45"/>
        <v>180</v>
      </c>
    </row>
    <row r="1949" spans="2:8" x14ac:dyDescent="0.2">
      <c r="B1949" s="262" t="s">
        <v>1884</v>
      </c>
      <c r="C1949" s="263">
        <v>42846</v>
      </c>
      <c r="D1949" s="264" t="s">
        <v>1915</v>
      </c>
      <c r="E1949" s="264" t="s">
        <v>3925</v>
      </c>
      <c r="F1949" s="265">
        <v>500</v>
      </c>
      <c r="G1949" s="265"/>
      <c r="H1949" s="265">
        <f t="shared" si="45"/>
        <v>500</v>
      </c>
    </row>
    <row r="1950" spans="2:8" x14ac:dyDescent="0.2">
      <c r="B1950" s="262" t="s">
        <v>1881</v>
      </c>
      <c r="C1950" s="263">
        <v>42846</v>
      </c>
      <c r="D1950" s="264" t="s">
        <v>3912</v>
      </c>
      <c r="E1950" s="264" t="s">
        <v>3930</v>
      </c>
      <c r="F1950" s="265">
        <v>350</v>
      </c>
      <c r="G1950" s="265"/>
      <c r="H1950" s="265">
        <f t="shared" si="45"/>
        <v>350</v>
      </c>
    </row>
    <row r="1951" spans="2:8" x14ac:dyDescent="0.2">
      <c r="B1951" s="262" t="s">
        <v>1805</v>
      </c>
      <c r="C1951" s="263">
        <v>42846</v>
      </c>
      <c r="D1951" s="264" t="s">
        <v>3565</v>
      </c>
      <c r="E1951" s="264" t="s">
        <v>3926</v>
      </c>
      <c r="F1951" s="265">
        <v>1000</v>
      </c>
      <c r="G1951" s="265"/>
      <c r="H1951" s="265">
        <f t="shared" si="45"/>
        <v>1000</v>
      </c>
    </row>
    <row r="1952" spans="2:8" x14ac:dyDescent="0.2">
      <c r="B1952" s="262" t="s">
        <v>1862</v>
      </c>
      <c r="C1952" s="263">
        <v>42846</v>
      </c>
      <c r="D1952" s="264" t="s">
        <v>1892</v>
      </c>
      <c r="E1952" s="264" t="s">
        <v>3927</v>
      </c>
      <c r="F1952" s="265">
        <v>1460</v>
      </c>
      <c r="G1952" s="265"/>
      <c r="H1952" s="265">
        <f t="shared" si="45"/>
        <v>1460</v>
      </c>
    </row>
    <row r="1953" spans="2:9" x14ac:dyDescent="0.2">
      <c r="B1953" s="262" t="s">
        <v>1870</v>
      </c>
      <c r="C1953" s="263">
        <v>42846</v>
      </c>
      <c r="D1953" s="264" t="s">
        <v>1892</v>
      </c>
      <c r="E1953" s="264" t="s">
        <v>3928</v>
      </c>
      <c r="F1953" s="265">
        <v>400</v>
      </c>
      <c r="G1953" s="265"/>
      <c r="H1953" s="265">
        <f t="shared" si="45"/>
        <v>400</v>
      </c>
    </row>
    <row r="1954" spans="2:9" x14ac:dyDescent="0.2">
      <c r="B1954" s="262" t="s">
        <v>1881</v>
      </c>
      <c r="C1954" s="263">
        <v>42847</v>
      </c>
      <c r="D1954" s="264" t="s">
        <v>2419</v>
      </c>
      <c r="E1954" s="264" t="s">
        <v>3929</v>
      </c>
      <c r="F1954" s="265">
        <v>350</v>
      </c>
      <c r="G1954" s="265"/>
      <c r="H1954" s="265">
        <f t="shared" si="45"/>
        <v>350</v>
      </c>
    </row>
    <row r="1955" spans="2:9" x14ac:dyDescent="0.2">
      <c r="B1955" s="262" t="s">
        <v>1881</v>
      </c>
      <c r="C1955" s="263">
        <v>42847</v>
      </c>
      <c r="D1955" s="264" t="s">
        <v>2250</v>
      </c>
      <c r="E1955" s="264" t="s">
        <v>2026</v>
      </c>
      <c r="F1955" s="265">
        <v>150</v>
      </c>
      <c r="G1955" s="265"/>
      <c r="H1955" s="265">
        <f t="shared" si="45"/>
        <v>150</v>
      </c>
    </row>
    <row r="1956" spans="2:9" x14ac:dyDescent="0.2">
      <c r="B1956" s="262" t="s">
        <v>1881</v>
      </c>
      <c r="C1956" s="263">
        <v>41751</v>
      </c>
      <c r="D1956" s="264" t="s">
        <v>2250</v>
      </c>
      <c r="E1956" s="264" t="s">
        <v>3498</v>
      </c>
      <c r="F1956" s="265">
        <v>120</v>
      </c>
      <c r="G1956" s="265"/>
      <c r="H1956" s="265">
        <f t="shared" si="45"/>
        <v>120</v>
      </c>
    </row>
    <row r="1957" spans="2:9" x14ac:dyDescent="0.2">
      <c r="B1957" s="262" t="s">
        <v>1864</v>
      </c>
      <c r="C1957" s="263">
        <v>42848</v>
      </c>
      <c r="D1957" s="264" t="s">
        <v>2535</v>
      </c>
      <c r="E1957" s="264" t="s">
        <v>2664</v>
      </c>
      <c r="F1957" s="265">
        <v>177.9</v>
      </c>
      <c r="G1957" s="265"/>
      <c r="H1957" s="265">
        <f t="shared" si="45"/>
        <v>177.9</v>
      </c>
    </row>
    <row r="1958" spans="2:9" x14ac:dyDescent="0.2">
      <c r="B1958" s="262" t="s">
        <v>1863</v>
      </c>
      <c r="C1958" s="263">
        <v>42848</v>
      </c>
      <c r="D1958" s="264" t="s">
        <v>1878</v>
      </c>
      <c r="E1958" s="264" t="s">
        <v>3931</v>
      </c>
      <c r="F1958" s="265">
        <v>500</v>
      </c>
      <c r="G1958" s="265"/>
      <c r="H1958" s="265">
        <f t="shared" si="45"/>
        <v>500</v>
      </c>
    </row>
    <row r="1959" spans="2:9" x14ac:dyDescent="0.2">
      <c r="B1959" s="262" t="s">
        <v>1864</v>
      </c>
      <c r="C1959" s="263">
        <v>42848</v>
      </c>
      <c r="D1959" s="264" t="s">
        <v>1910</v>
      </c>
      <c r="E1959" s="264" t="s">
        <v>3932</v>
      </c>
      <c r="F1959" s="265">
        <v>400</v>
      </c>
      <c r="G1959" s="265"/>
      <c r="H1959" s="265">
        <f t="shared" si="45"/>
        <v>400</v>
      </c>
    </row>
    <row r="1960" spans="2:9" x14ac:dyDescent="0.2">
      <c r="B1960" s="262" t="s">
        <v>1884</v>
      </c>
      <c r="C1960" s="263">
        <v>42848</v>
      </c>
      <c r="D1960" s="264" t="s">
        <v>3330</v>
      </c>
      <c r="E1960" s="264" t="s">
        <v>3933</v>
      </c>
      <c r="F1960" s="265">
        <v>520</v>
      </c>
      <c r="G1960" s="265"/>
      <c r="H1960" s="265">
        <f t="shared" si="45"/>
        <v>520</v>
      </c>
    </row>
    <row r="1961" spans="2:9" x14ac:dyDescent="0.2">
      <c r="B1961" s="262" t="s">
        <v>1884</v>
      </c>
      <c r="C1961" s="263">
        <v>42848</v>
      </c>
      <c r="D1961" s="264" t="s">
        <v>1915</v>
      </c>
      <c r="E1961" s="264" t="s">
        <v>3934</v>
      </c>
      <c r="F1961" s="265">
        <v>400</v>
      </c>
      <c r="G1961" s="265"/>
      <c r="H1961" s="265">
        <f t="shared" si="45"/>
        <v>400</v>
      </c>
    </row>
    <row r="1962" spans="2:9" x14ac:dyDescent="0.2">
      <c r="B1962" s="262" t="s">
        <v>1860</v>
      </c>
      <c r="C1962" s="263">
        <v>42848</v>
      </c>
      <c r="D1962" s="264" t="s">
        <v>1925</v>
      </c>
      <c r="E1962" s="264" t="s">
        <v>3935</v>
      </c>
      <c r="F1962" s="265">
        <v>5</v>
      </c>
      <c r="G1962" s="265"/>
      <c r="H1962" s="265">
        <f t="shared" si="45"/>
        <v>5</v>
      </c>
    </row>
    <row r="1963" spans="2:9" x14ac:dyDescent="0.2">
      <c r="B1963" s="262" t="s">
        <v>1860</v>
      </c>
      <c r="C1963" s="263">
        <v>42848</v>
      </c>
      <c r="D1963" s="264" t="s">
        <v>1891</v>
      </c>
      <c r="E1963" s="264" t="s">
        <v>3424</v>
      </c>
      <c r="F1963" s="265">
        <v>84</v>
      </c>
      <c r="G1963" s="265"/>
      <c r="H1963" s="265">
        <f t="shared" si="45"/>
        <v>84</v>
      </c>
    </row>
    <row r="1964" spans="2:9" x14ac:dyDescent="0.2">
      <c r="B1964" s="262" t="s">
        <v>1884</v>
      </c>
      <c r="C1964" s="263">
        <v>42848</v>
      </c>
      <c r="D1964" s="264" t="s">
        <v>3936</v>
      </c>
      <c r="E1964" s="264" t="s">
        <v>3449</v>
      </c>
      <c r="F1964" s="265">
        <v>401.5</v>
      </c>
      <c r="G1964" s="265"/>
      <c r="H1964" s="265">
        <f t="shared" si="45"/>
        <v>401.5</v>
      </c>
    </row>
    <row r="1965" spans="2:9" x14ac:dyDescent="0.2">
      <c r="B1965" s="262" t="s">
        <v>1862</v>
      </c>
      <c r="C1965" s="263">
        <v>42848</v>
      </c>
      <c r="D1965" s="264" t="s">
        <v>1892</v>
      </c>
      <c r="E1965" s="264" t="s">
        <v>3700</v>
      </c>
      <c r="F1965" s="265">
        <v>800</v>
      </c>
      <c r="G1965" s="265"/>
      <c r="H1965" s="265">
        <f t="shared" si="45"/>
        <v>800</v>
      </c>
      <c r="I1965" s="175">
        <f>SUM(H1862:H1965)</f>
        <v>95843.199999999997</v>
      </c>
    </row>
    <row r="1966" spans="2:9" x14ac:dyDescent="0.2">
      <c r="B1966" s="345" t="s">
        <v>1858</v>
      </c>
      <c r="C1966" s="263">
        <v>42848</v>
      </c>
      <c r="D1966" s="264" t="s">
        <v>3937</v>
      </c>
      <c r="E1966" s="264" t="s">
        <v>3938</v>
      </c>
      <c r="F1966" s="265">
        <v>320</v>
      </c>
      <c r="G1966" s="265"/>
      <c r="H1966" s="265">
        <f t="shared" si="45"/>
        <v>320</v>
      </c>
    </row>
    <row r="1967" spans="2:9" x14ac:dyDescent="0.2">
      <c r="B1967" s="262" t="s">
        <v>1860</v>
      </c>
      <c r="C1967" s="263">
        <v>42849</v>
      </c>
      <c r="D1967" s="264" t="s">
        <v>3939</v>
      </c>
      <c r="E1967" s="264" t="s">
        <v>3940</v>
      </c>
      <c r="F1967" s="265">
        <v>203</v>
      </c>
      <c r="G1967" s="265"/>
      <c r="H1967" s="265">
        <f t="shared" si="45"/>
        <v>203</v>
      </c>
    </row>
    <row r="1968" spans="2:9" x14ac:dyDescent="0.2">
      <c r="B1968" s="262" t="s">
        <v>1860</v>
      </c>
      <c r="C1968" s="263">
        <v>42849</v>
      </c>
      <c r="D1968" s="264" t="s">
        <v>3939</v>
      </c>
      <c r="E1968" s="264" t="s">
        <v>3314</v>
      </c>
      <c r="F1968" s="265">
        <v>35</v>
      </c>
      <c r="G1968" s="265"/>
      <c r="H1968" s="265">
        <f t="shared" si="45"/>
        <v>35</v>
      </c>
    </row>
    <row r="1969" spans="2:8" x14ac:dyDescent="0.2">
      <c r="B1969" s="262" t="s">
        <v>1863</v>
      </c>
      <c r="C1969" s="263">
        <v>42849</v>
      </c>
      <c r="D1969" s="264" t="s">
        <v>1873</v>
      </c>
      <c r="E1969" s="264" t="s">
        <v>3941</v>
      </c>
      <c r="F1969" s="265">
        <v>200</v>
      </c>
      <c r="G1969" s="265"/>
      <c r="H1969" s="265">
        <f t="shared" ref="H1969:H1985" si="46">SUM(F1969:G1969)</f>
        <v>200</v>
      </c>
    </row>
    <row r="1970" spans="2:8" x14ac:dyDescent="0.2">
      <c r="B1970" s="262" t="s">
        <v>1866</v>
      </c>
      <c r="C1970" s="263">
        <v>42849</v>
      </c>
      <c r="D1970" s="264" t="s">
        <v>1890</v>
      </c>
      <c r="E1970" s="264" t="s">
        <v>3942</v>
      </c>
      <c r="F1970" s="265">
        <v>340</v>
      </c>
      <c r="G1970" s="265"/>
      <c r="H1970" s="265">
        <f t="shared" si="46"/>
        <v>340</v>
      </c>
    </row>
    <row r="1971" spans="2:8" x14ac:dyDescent="0.2">
      <c r="B1971" s="262" t="s">
        <v>1884</v>
      </c>
      <c r="C1971" s="263">
        <v>42850</v>
      </c>
      <c r="D1971" s="264" t="s">
        <v>2535</v>
      </c>
      <c r="E1971" s="264" t="s">
        <v>3943</v>
      </c>
      <c r="F1971" s="265">
        <v>48</v>
      </c>
      <c r="G1971" s="265"/>
      <c r="H1971" s="265">
        <f t="shared" si="46"/>
        <v>48</v>
      </c>
    </row>
    <row r="1972" spans="2:8" x14ac:dyDescent="0.2">
      <c r="B1972" s="262" t="s">
        <v>1879</v>
      </c>
      <c r="C1972" s="263">
        <v>42850</v>
      </c>
      <c r="D1972" s="264" t="s">
        <v>1892</v>
      </c>
      <c r="E1972" s="264" t="s">
        <v>3944</v>
      </c>
      <c r="F1972" s="265">
        <v>350</v>
      </c>
      <c r="G1972" s="265"/>
      <c r="H1972" s="265">
        <f t="shared" si="46"/>
        <v>350</v>
      </c>
    </row>
    <row r="1973" spans="2:8" x14ac:dyDescent="0.2">
      <c r="B1973" s="262" t="s">
        <v>1862</v>
      </c>
      <c r="C1973" s="263">
        <v>42850</v>
      </c>
      <c r="D1973" s="264" t="s">
        <v>1892</v>
      </c>
      <c r="E1973" s="264" t="s">
        <v>3945</v>
      </c>
      <c r="F1973" s="265">
        <v>100</v>
      </c>
      <c r="G1973" s="265"/>
      <c r="H1973" s="265">
        <f t="shared" si="46"/>
        <v>100</v>
      </c>
    </row>
    <row r="1974" spans="2:8" x14ac:dyDescent="0.2">
      <c r="B1974" s="262" t="s">
        <v>1879</v>
      </c>
      <c r="C1974" s="263">
        <v>42850</v>
      </c>
      <c r="D1974" s="264" t="s">
        <v>1892</v>
      </c>
      <c r="E1974" s="264" t="s">
        <v>2700</v>
      </c>
      <c r="F1974" s="265">
        <v>350</v>
      </c>
      <c r="G1974" s="265"/>
      <c r="H1974" s="265">
        <f t="shared" si="46"/>
        <v>350</v>
      </c>
    </row>
    <row r="1975" spans="2:8" x14ac:dyDescent="0.2">
      <c r="B1975" s="345" t="s">
        <v>1870</v>
      </c>
      <c r="C1975" s="263">
        <v>42850</v>
      </c>
      <c r="D1975" s="264" t="s">
        <v>1892</v>
      </c>
      <c r="E1975" s="264" t="s">
        <v>2106</v>
      </c>
      <c r="F1975" s="265">
        <v>350</v>
      </c>
      <c r="G1975" s="265"/>
      <c r="H1975" s="265">
        <f t="shared" si="46"/>
        <v>350</v>
      </c>
    </row>
    <row r="1976" spans="2:8" x14ac:dyDescent="0.2">
      <c r="B1976" s="262" t="s">
        <v>1863</v>
      </c>
      <c r="C1976" s="263">
        <v>42850</v>
      </c>
      <c r="D1976" s="264" t="s">
        <v>2288</v>
      </c>
      <c r="E1976" s="264" t="s">
        <v>3946</v>
      </c>
      <c r="F1976" s="265">
        <v>350</v>
      </c>
      <c r="G1976" s="265"/>
      <c r="H1976" s="265">
        <f t="shared" si="46"/>
        <v>350</v>
      </c>
    </row>
    <row r="1977" spans="2:8" x14ac:dyDescent="0.2">
      <c r="B1977" s="262" t="s">
        <v>1863</v>
      </c>
      <c r="C1977" s="263">
        <v>42850</v>
      </c>
      <c r="D1977" s="264" t="s">
        <v>2288</v>
      </c>
      <c r="E1977" s="264" t="s">
        <v>3947</v>
      </c>
      <c r="F1977" s="265">
        <v>354.5</v>
      </c>
      <c r="G1977" s="265"/>
      <c r="H1977" s="265">
        <f t="shared" si="46"/>
        <v>354.5</v>
      </c>
    </row>
    <row r="1978" spans="2:8" x14ac:dyDescent="0.2">
      <c r="B1978" s="262" t="s">
        <v>1884</v>
      </c>
      <c r="C1978" s="263">
        <v>42850</v>
      </c>
      <c r="D1978" s="264" t="s">
        <v>2288</v>
      </c>
      <c r="E1978" s="264" t="s">
        <v>3948</v>
      </c>
      <c r="F1978" s="265">
        <v>477</v>
      </c>
      <c r="G1978" s="265"/>
      <c r="H1978" s="265">
        <f t="shared" si="46"/>
        <v>477</v>
      </c>
    </row>
    <row r="1979" spans="2:8" x14ac:dyDescent="0.2">
      <c r="B1979" s="345" t="s">
        <v>1857</v>
      </c>
      <c r="C1979" s="263">
        <v>42851</v>
      </c>
      <c r="D1979" s="264" t="s">
        <v>3807</v>
      </c>
      <c r="E1979" s="264" t="s">
        <v>3949</v>
      </c>
      <c r="F1979" s="265">
        <v>430</v>
      </c>
      <c r="G1979" s="265"/>
      <c r="H1979" s="265">
        <f t="shared" si="46"/>
        <v>430</v>
      </c>
    </row>
    <row r="1980" spans="2:8" x14ac:dyDescent="0.2">
      <c r="B1980" s="262" t="s">
        <v>1875</v>
      </c>
      <c r="C1980" s="263">
        <v>42851</v>
      </c>
      <c r="D1980" s="264" t="s">
        <v>1893</v>
      </c>
      <c r="E1980" s="264" t="s">
        <v>1942</v>
      </c>
      <c r="F1980" s="265">
        <v>338.1</v>
      </c>
      <c r="G1980" s="265"/>
      <c r="H1980" s="265">
        <f t="shared" si="46"/>
        <v>338.1</v>
      </c>
    </row>
    <row r="1981" spans="2:8" x14ac:dyDescent="0.2">
      <c r="B1981" s="262" t="s">
        <v>1863</v>
      </c>
      <c r="C1981" s="263">
        <v>42851</v>
      </c>
      <c r="D1981" s="264" t="s">
        <v>1897</v>
      </c>
      <c r="E1981" s="264" t="s">
        <v>3950</v>
      </c>
      <c r="F1981" s="265">
        <v>500</v>
      </c>
      <c r="G1981" s="265"/>
      <c r="H1981" s="265">
        <f t="shared" si="46"/>
        <v>500</v>
      </c>
    </row>
    <row r="1982" spans="2:8" x14ac:dyDescent="0.2">
      <c r="B1982" s="262" t="s">
        <v>1866</v>
      </c>
      <c r="C1982" s="263">
        <v>42851</v>
      </c>
      <c r="D1982" s="264" t="s">
        <v>1890</v>
      </c>
      <c r="E1982" s="264" t="s">
        <v>3850</v>
      </c>
      <c r="F1982" s="265">
        <v>310</v>
      </c>
      <c r="G1982" s="265"/>
      <c r="H1982" s="265">
        <f t="shared" si="46"/>
        <v>310</v>
      </c>
    </row>
    <row r="1983" spans="2:8" x14ac:dyDescent="0.2">
      <c r="B1983" s="262" t="s">
        <v>1577</v>
      </c>
      <c r="C1983" s="263">
        <v>42851</v>
      </c>
      <c r="D1983" s="264" t="s">
        <v>3578</v>
      </c>
      <c r="E1983" s="264" t="s">
        <v>3920</v>
      </c>
      <c r="F1983" s="265">
        <v>10100</v>
      </c>
      <c r="G1983" s="265"/>
      <c r="H1983" s="265">
        <f t="shared" si="46"/>
        <v>10100</v>
      </c>
    </row>
    <row r="1984" spans="2:8" x14ac:dyDescent="0.2">
      <c r="B1984" s="262" t="s">
        <v>1577</v>
      </c>
      <c r="C1984" s="263">
        <v>42851</v>
      </c>
      <c r="D1984" s="264" t="s">
        <v>3578</v>
      </c>
      <c r="E1984" s="264" t="s">
        <v>3951</v>
      </c>
      <c r="F1984" s="265">
        <v>10000</v>
      </c>
      <c r="G1984" s="265"/>
      <c r="H1984" s="265">
        <f>SUM(F1984:G1984)</f>
        <v>10000</v>
      </c>
    </row>
    <row r="1985" spans="2:9" x14ac:dyDescent="0.2">
      <c r="B1985" s="262" t="s">
        <v>1862</v>
      </c>
      <c r="C1985" s="263">
        <v>42851</v>
      </c>
      <c r="D1985" s="264" t="s">
        <v>1892</v>
      </c>
      <c r="E1985" s="264" t="s">
        <v>3905</v>
      </c>
      <c r="F1985" s="265">
        <v>100</v>
      </c>
      <c r="G1985" s="265"/>
      <c r="H1985" s="265">
        <f t="shared" si="46"/>
        <v>100</v>
      </c>
    </row>
    <row r="1986" spans="2:9" x14ac:dyDescent="0.2">
      <c r="B1986" s="262" t="s">
        <v>1863</v>
      </c>
      <c r="C1986" s="263">
        <v>42852</v>
      </c>
      <c r="D1986" s="264" t="s">
        <v>3953</v>
      </c>
      <c r="E1986" s="264" t="s">
        <v>3954</v>
      </c>
      <c r="F1986" s="265">
        <v>400</v>
      </c>
      <c r="G1986" s="265"/>
      <c r="H1986" s="265">
        <f t="shared" ref="H1986:H1995" si="47">SUM(F1986:G1986)</f>
        <v>400</v>
      </c>
    </row>
    <row r="1987" spans="2:9" x14ac:dyDescent="0.2">
      <c r="B1987" s="262" t="s">
        <v>1860</v>
      </c>
      <c r="C1987" s="263">
        <v>42852</v>
      </c>
      <c r="D1987" s="264" t="s">
        <v>3955</v>
      </c>
      <c r="E1987" s="264" t="s">
        <v>3956</v>
      </c>
      <c r="F1987" s="265">
        <v>350</v>
      </c>
      <c r="G1987" s="265"/>
      <c r="H1987" s="265">
        <f t="shared" si="47"/>
        <v>350</v>
      </c>
    </row>
    <row r="1988" spans="2:9" x14ac:dyDescent="0.2">
      <c r="B1988" s="262" t="s">
        <v>1860</v>
      </c>
      <c r="C1988" s="263">
        <v>42852</v>
      </c>
      <c r="D1988" s="264" t="s">
        <v>3955</v>
      </c>
      <c r="E1988" s="264" t="s">
        <v>3957</v>
      </c>
      <c r="F1988" s="265">
        <v>20</v>
      </c>
      <c r="G1988" s="265"/>
      <c r="H1988" s="265">
        <f t="shared" si="47"/>
        <v>20</v>
      </c>
    </row>
    <row r="1989" spans="2:9" x14ac:dyDescent="0.2">
      <c r="B1989" s="345" t="s">
        <v>1865</v>
      </c>
      <c r="C1989" s="263">
        <v>42852</v>
      </c>
      <c r="D1989" s="264" t="s">
        <v>3637</v>
      </c>
      <c r="E1989" s="264" t="s">
        <v>3958</v>
      </c>
      <c r="F1989" s="265">
        <v>450</v>
      </c>
      <c r="G1989" s="265"/>
      <c r="H1989" s="265">
        <f t="shared" si="47"/>
        <v>450</v>
      </c>
    </row>
    <row r="1990" spans="2:9" x14ac:dyDescent="0.2">
      <c r="B1990" s="262" t="s">
        <v>1884</v>
      </c>
      <c r="C1990" s="263">
        <v>42853</v>
      </c>
      <c r="D1990" s="264" t="s">
        <v>3959</v>
      </c>
      <c r="E1990" s="264" t="s">
        <v>3960</v>
      </c>
      <c r="F1990" s="265">
        <v>200</v>
      </c>
      <c r="G1990" s="265"/>
      <c r="H1990" s="265">
        <f t="shared" si="47"/>
        <v>200</v>
      </c>
    </row>
    <row r="1991" spans="2:9" x14ac:dyDescent="0.2">
      <c r="B1991" s="262" t="s">
        <v>1866</v>
      </c>
      <c r="C1991" s="263">
        <v>42853</v>
      </c>
      <c r="D1991" s="264" t="s">
        <v>1890</v>
      </c>
      <c r="E1991" s="264" t="s">
        <v>3961</v>
      </c>
      <c r="F1991" s="265">
        <v>70</v>
      </c>
      <c r="G1991" s="265"/>
      <c r="H1991" s="265">
        <f t="shared" si="47"/>
        <v>70</v>
      </c>
    </row>
    <row r="1992" spans="2:9" x14ac:dyDescent="0.2">
      <c r="B1992" s="262" t="s">
        <v>1805</v>
      </c>
      <c r="C1992" s="263">
        <v>42853</v>
      </c>
      <c r="D1992" s="264" t="s">
        <v>3565</v>
      </c>
      <c r="E1992" s="264" t="s">
        <v>3962</v>
      </c>
      <c r="F1992" s="265">
        <v>1000</v>
      </c>
      <c r="G1992" s="265"/>
      <c r="H1992" s="265">
        <f t="shared" si="47"/>
        <v>1000</v>
      </c>
    </row>
    <row r="1993" spans="2:9" x14ac:dyDescent="0.2">
      <c r="B1993" s="377" t="s">
        <v>1881</v>
      </c>
      <c r="C1993" s="263">
        <v>42853</v>
      </c>
      <c r="D1993" s="264" t="s">
        <v>2419</v>
      </c>
      <c r="E1993" s="264" t="s">
        <v>3963</v>
      </c>
      <c r="F1993" s="265">
        <v>350</v>
      </c>
      <c r="G1993" s="265"/>
      <c r="H1993" s="265">
        <f t="shared" si="47"/>
        <v>350</v>
      </c>
    </row>
    <row r="1994" spans="2:9" x14ac:dyDescent="0.2">
      <c r="B1994" s="262" t="s">
        <v>1884</v>
      </c>
      <c r="C1994" s="263">
        <v>42853</v>
      </c>
      <c r="D1994" s="264" t="s">
        <v>1911</v>
      </c>
      <c r="E1994" s="264" t="s">
        <v>3924</v>
      </c>
      <c r="F1994" s="265">
        <v>135</v>
      </c>
      <c r="G1994" s="265"/>
      <c r="H1994" s="265">
        <f t="shared" si="47"/>
        <v>135</v>
      </c>
      <c r="I1994" s="175">
        <f>SUM(H1862:H1994)</f>
        <v>124073.8</v>
      </c>
    </row>
    <row r="1995" spans="2:9" x14ac:dyDescent="0.2">
      <c r="B1995" s="262" t="s">
        <v>1884</v>
      </c>
      <c r="C1995" s="263">
        <v>42853</v>
      </c>
      <c r="D1995" s="264" t="s">
        <v>3964</v>
      </c>
      <c r="E1995" s="264" t="s">
        <v>3965</v>
      </c>
      <c r="F1995" s="265">
        <v>70</v>
      </c>
      <c r="G1995" s="265"/>
      <c r="H1995" s="265">
        <f t="shared" si="47"/>
        <v>70</v>
      </c>
    </row>
    <row r="1996" spans="2:9" x14ac:dyDescent="0.2">
      <c r="B1996" s="262" t="s">
        <v>1863</v>
      </c>
      <c r="C1996" s="263">
        <v>42853</v>
      </c>
      <c r="D1996" s="264" t="s">
        <v>1893</v>
      </c>
      <c r="E1996" s="264" t="s">
        <v>3967</v>
      </c>
      <c r="F1996" s="265">
        <v>268.3</v>
      </c>
      <c r="G1996" s="265"/>
      <c r="H1996" s="265">
        <f>SUM(F1996:G1996)</f>
        <v>268.3</v>
      </c>
    </row>
    <row r="1997" spans="2:9" x14ac:dyDescent="0.2">
      <c r="B1997" s="262" t="s">
        <v>1863</v>
      </c>
      <c r="C1997" s="263">
        <v>42853</v>
      </c>
      <c r="D1997" s="264" t="s">
        <v>1893</v>
      </c>
      <c r="E1997" s="264" t="s">
        <v>3966</v>
      </c>
      <c r="F1997" s="265">
        <v>87.3</v>
      </c>
      <c r="G1997" s="265"/>
      <c r="H1997" s="265">
        <f>SUM(F1997:G1997)</f>
        <v>87.3</v>
      </c>
    </row>
    <row r="1998" spans="2:9" x14ac:dyDescent="0.2">
      <c r="B1998" s="262" t="s">
        <v>1863</v>
      </c>
      <c r="C1998" s="263">
        <v>42853</v>
      </c>
      <c r="D1998" s="264" t="s">
        <v>1925</v>
      </c>
      <c r="E1998" s="264" t="s">
        <v>3968</v>
      </c>
      <c r="F1998" s="265">
        <v>5</v>
      </c>
      <c r="G1998" s="265"/>
      <c r="H1998" s="265">
        <f>SUM(F1998:G1998)</f>
        <v>5</v>
      </c>
    </row>
    <row r="1999" spans="2:9" x14ac:dyDescent="0.2">
      <c r="B1999" s="262" t="s">
        <v>1863</v>
      </c>
      <c r="C1999" s="263">
        <v>42853</v>
      </c>
      <c r="D1999" s="264" t="s">
        <v>1878</v>
      </c>
      <c r="E1999" s="264" t="s">
        <v>3969</v>
      </c>
      <c r="F1999" s="265">
        <v>700</v>
      </c>
      <c r="G1999" s="265"/>
      <c r="H1999" s="265">
        <f>SUM(F1999:G1999)</f>
        <v>700</v>
      </c>
    </row>
    <row r="2000" spans="2:9" x14ac:dyDescent="0.2">
      <c r="B2000" s="262" t="s">
        <v>1884</v>
      </c>
      <c r="C2000" s="263">
        <v>42853</v>
      </c>
      <c r="D2000" s="264" t="s">
        <v>2535</v>
      </c>
      <c r="E2000" s="264" t="s">
        <v>3970</v>
      </c>
      <c r="F2000" s="265">
        <v>46</v>
      </c>
      <c r="G2000" s="265"/>
      <c r="H2000" s="265">
        <f>SUM(F2000:G2000)</f>
        <v>46</v>
      </c>
    </row>
    <row r="2001" spans="2:9" x14ac:dyDescent="0.2">
      <c r="B2001" s="262" t="s">
        <v>1884</v>
      </c>
      <c r="C2001" s="263">
        <v>42853</v>
      </c>
      <c r="D2001" s="264" t="s">
        <v>1915</v>
      </c>
      <c r="E2001" s="264" t="s">
        <v>3971</v>
      </c>
      <c r="F2001" s="265">
        <v>300</v>
      </c>
      <c r="G2001" s="265"/>
      <c r="H2001" s="265">
        <f t="shared" ref="H2001:H2014" si="48">SUM(F2001:G2001)</f>
        <v>300</v>
      </c>
    </row>
    <row r="2002" spans="2:9" x14ac:dyDescent="0.2">
      <c r="B2002" s="262" t="s">
        <v>1863</v>
      </c>
      <c r="C2002" s="263">
        <v>42854</v>
      </c>
      <c r="D2002" s="264" t="s">
        <v>3953</v>
      </c>
      <c r="E2002" s="264" t="s">
        <v>3972</v>
      </c>
      <c r="F2002" s="265">
        <v>500</v>
      </c>
      <c r="G2002" s="265"/>
      <c r="H2002" s="265">
        <f t="shared" si="48"/>
        <v>500</v>
      </c>
    </row>
    <row r="2003" spans="2:9" x14ac:dyDescent="0.2">
      <c r="B2003" s="262" t="s">
        <v>1863</v>
      </c>
      <c r="C2003" s="263">
        <v>42854</v>
      </c>
      <c r="D2003" s="264" t="s">
        <v>3973</v>
      </c>
      <c r="E2003" s="264" t="s">
        <v>3974</v>
      </c>
      <c r="F2003" s="265">
        <v>250</v>
      </c>
      <c r="G2003" s="265"/>
      <c r="H2003" s="265">
        <f t="shared" si="48"/>
        <v>250</v>
      </c>
    </row>
    <row r="2004" spans="2:9" x14ac:dyDescent="0.2">
      <c r="B2004" s="262" t="s">
        <v>1884</v>
      </c>
      <c r="C2004" s="263">
        <v>42854</v>
      </c>
      <c r="D2004" s="264" t="s">
        <v>3975</v>
      </c>
      <c r="E2004" s="264" t="s">
        <v>3976</v>
      </c>
      <c r="F2004" s="265">
        <v>200</v>
      </c>
      <c r="G2004" s="265"/>
      <c r="H2004" s="265">
        <f t="shared" si="48"/>
        <v>200</v>
      </c>
    </row>
    <row r="2005" spans="2:9" x14ac:dyDescent="0.2">
      <c r="B2005" s="262" t="s">
        <v>1881</v>
      </c>
      <c r="C2005" s="263">
        <v>42855</v>
      </c>
      <c r="D2005" s="264" t="s">
        <v>1873</v>
      </c>
      <c r="E2005" s="264" t="s">
        <v>3977</v>
      </c>
      <c r="F2005" s="265">
        <v>600</v>
      </c>
      <c r="G2005" s="265"/>
      <c r="H2005" s="265">
        <f t="shared" si="48"/>
        <v>600</v>
      </c>
    </row>
    <row r="2006" spans="2:9" x14ac:dyDescent="0.2">
      <c r="B2006" s="262" t="s">
        <v>1881</v>
      </c>
      <c r="C2006" s="263">
        <v>42855</v>
      </c>
      <c r="D2006" s="264" t="s">
        <v>2250</v>
      </c>
      <c r="E2006" s="264" t="s">
        <v>3978</v>
      </c>
      <c r="F2006" s="265">
        <v>300</v>
      </c>
      <c r="G2006" s="265"/>
      <c r="H2006" s="265">
        <f t="shared" si="48"/>
        <v>300</v>
      </c>
    </row>
    <row r="2007" spans="2:9" x14ac:dyDescent="0.2">
      <c r="B2007" s="262" t="s">
        <v>1881</v>
      </c>
      <c r="C2007" s="263">
        <v>42855</v>
      </c>
      <c r="D2007" s="264" t="s">
        <v>2250</v>
      </c>
      <c r="E2007" s="264" t="s">
        <v>3979</v>
      </c>
      <c r="F2007" s="265">
        <v>120</v>
      </c>
      <c r="G2007" s="265"/>
      <c r="H2007" s="265">
        <f t="shared" si="48"/>
        <v>120</v>
      </c>
    </row>
    <row r="2008" spans="2:9" x14ac:dyDescent="0.2">
      <c r="B2008" s="262" t="s">
        <v>1881</v>
      </c>
      <c r="C2008" s="263">
        <v>42855</v>
      </c>
      <c r="D2008" s="264" t="s">
        <v>2250</v>
      </c>
      <c r="E2008" s="264" t="s">
        <v>3980</v>
      </c>
      <c r="F2008" s="265">
        <v>150</v>
      </c>
      <c r="G2008" s="265"/>
      <c r="H2008" s="265">
        <f t="shared" si="48"/>
        <v>150</v>
      </c>
    </row>
    <row r="2009" spans="2:9" x14ac:dyDescent="0.2">
      <c r="B2009" s="262" t="s">
        <v>1864</v>
      </c>
      <c r="C2009" s="263">
        <v>42855</v>
      </c>
      <c r="D2009" s="264" t="s">
        <v>2535</v>
      </c>
      <c r="E2009" s="264" t="s">
        <v>3023</v>
      </c>
      <c r="F2009" s="265">
        <v>111</v>
      </c>
      <c r="G2009" s="265"/>
      <c r="H2009" s="265">
        <f t="shared" si="48"/>
        <v>111</v>
      </c>
    </row>
    <row r="2010" spans="2:9" x14ac:dyDescent="0.2">
      <c r="B2010" s="262" t="s">
        <v>1865</v>
      </c>
      <c r="C2010" s="263">
        <v>42855</v>
      </c>
      <c r="D2010" s="264" t="s">
        <v>3637</v>
      </c>
      <c r="E2010" s="264" t="s">
        <v>2714</v>
      </c>
      <c r="F2010" s="265">
        <v>300</v>
      </c>
      <c r="G2010" s="265"/>
      <c r="H2010" s="265">
        <f t="shared" si="48"/>
        <v>300</v>
      </c>
    </row>
    <row r="2011" spans="2:9" x14ac:dyDescent="0.2">
      <c r="B2011" s="262" t="s">
        <v>1863</v>
      </c>
      <c r="C2011" s="263">
        <v>42855</v>
      </c>
      <c r="D2011" s="264" t="s">
        <v>1892</v>
      </c>
      <c r="E2011" s="264" t="s">
        <v>3905</v>
      </c>
      <c r="F2011" s="265">
        <v>400</v>
      </c>
      <c r="G2011" s="265"/>
      <c r="H2011" s="265">
        <f t="shared" si="48"/>
        <v>400</v>
      </c>
    </row>
    <row r="2012" spans="2:9" x14ac:dyDescent="0.2">
      <c r="B2012" s="262" t="s">
        <v>1859</v>
      </c>
      <c r="C2012" s="263">
        <v>42855</v>
      </c>
      <c r="D2012" s="264" t="s">
        <v>2535</v>
      </c>
      <c r="E2012" s="264" t="s">
        <v>3981</v>
      </c>
      <c r="F2012" s="265">
        <v>91.5</v>
      </c>
      <c r="G2012" s="265"/>
      <c r="H2012" s="265">
        <f t="shared" si="48"/>
        <v>91.5</v>
      </c>
    </row>
    <row r="2013" spans="2:9" x14ac:dyDescent="0.2">
      <c r="B2013" s="262" t="s">
        <v>1859</v>
      </c>
      <c r="C2013" s="263">
        <v>42855</v>
      </c>
      <c r="D2013" s="264" t="s">
        <v>1911</v>
      </c>
      <c r="E2013" s="264" t="s">
        <v>3982</v>
      </c>
      <c r="F2013" s="265">
        <v>4000</v>
      </c>
      <c r="G2013" s="265"/>
      <c r="H2013" s="265">
        <f t="shared" si="48"/>
        <v>4000</v>
      </c>
      <c r="I2013" s="175">
        <f>SUM(H1862:H2013)</f>
        <v>132572.90000000002</v>
      </c>
    </row>
    <row r="2014" spans="2:9" x14ac:dyDescent="0.2">
      <c r="B2014" s="262" t="s">
        <v>1887</v>
      </c>
      <c r="C2014" s="263">
        <v>42832</v>
      </c>
      <c r="D2014" s="264" t="s">
        <v>1534</v>
      </c>
      <c r="E2014" s="264" t="s">
        <v>1536</v>
      </c>
      <c r="F2014" s="265">
        <v>-0.46</v>
      </c>
      <c r="G2014" s="265"/>
      <c r="H2014" s="265">
        <f t="shared" si="48"/>
        <v>-0.46</v>
      </c>
    </row>
    <row r="2015" spans="2:9" x14ac:dyDescent="0.2">
      <c r="B2015" s="262" t="s">
        <v>1887</v>
      </c>
      <c r="C2015" s="263">
        <v>42832</v>
      </c>
      <c r="D2015" s="264" t="s">
        <v>3367</v>
      </c>
      <c r="E2015" s="264" t="s">
        <v>1536</v>
      </c>
      <c r="F2015" s="265">
        <v>-0.28999999999999998</v>
      </c>
      <c r="G2015" s="265"/>
      <c r="H2015" s="265">
        <f t="shared" ref="H2015:H2032" si="49">SUM(F2015:G2015)</f>
        <v>-0.28999999999999998</v>
      </c>
    </row>
    <row r="2016" spans="2:9" x14ac:dyDescent="0.2">
      <c r="B2016" s="262" t="s">
        <v>1790</v>
      </c>
      <c r="C2016" s="263">
        <v>42849</v>
      </c>
      <c r="D2016" s="361" t="s">
        <v>1909</v>
      </c>
      <c r="E2016" s="361" t="s">
        <v>4209</v>
      </c>
      <c r="F2016" s="362"/>
      <c r="G2016" s="362">
        <v>-1760</v>
      </c>
      <c r="H2016" s="265">
        <f t="shared" si="49"/>
        <v>-1760</v>
      </c>
    </row>
    <row r="2017" spans="2:9" x14ac:dyDescent="0.2">
      <c r="B2017" s="262" t="s">
        <v>1887</v>
      </c>
      <c r="C2017" s="263">
        <v>42853</v>
      </c>
      <c r="D2017" s="361" t="s">
        <v>1597</v>
      </c>
      <c r="E2017" s="361" t="s">
        <v>2229</v>
      </c>
      <c r="F2017" s="362">
        <v>56</v>
      </c>
      <c r="G2017" s="362"/>
      <c r="H2017" s="362">
        <f t="shared" si="49"/>
        <v>56</v>
      </c>
    </row>
    <row r="2018" spans="2:9" x14ac:dyDescent="0.2">
      <c r="B2018" s="262" t="s">
        <v>1790</v>
      </c>
      <c r="C2018" s="263">
        <v>42853</v>
      </c>
      <c r="D2018" s="361" t="s">
        <v>1597</v>
      </c>
      <c r="E2018" s="361" t="s">
        <v>2230</v>
      </c>
      <c r="F2018" s="362"/>
      <c r="G2018" s="362">
        <v>8.9600000000000009</v>
      </c>
      <c r="H2018" s="362">
        <f t="shared" si="49"/>
        <v>8.9600000000000009</v>
      </c>
      <c r="I2018" s="175">
        <f>SUM(H1862:H2020)</f>
        <v>130877.11000000003</v>
      </c>
    </row>
    <row r="2019" spans="2:9" x14ac:dyDescent="0.2">
      <c r="B2019" s="262"/>
      <c r="C2019" s="263"/>
      <c r="D2019" s="264"/>
      <c r="E2019" s="264"/>
      <c r="F2019" s="265"/>
      <c r="G2019" s="265"/>
      <c r="H2019" s="265">
        <f>SUM(F2019:G2019)</f>
        <v>0</v>
      </c>
    </row>
    <row r="2020" spans="2:9" x14ac:dyDescent="0.2">
      <c r="B2020" s="262"/>
      <c r="C2020" s="263"/>
      <c r="D2020" s="264"/>
      <c r="E2020" s="264"/>
      <c r="F2020" s="265"/>
      <c r="G2020" s="265"/>
      <c r="H2020" s="265">
        <f>SUM(F2020:G2020)</f>
        <v>0</v>
      </c>
    </row>
    <row r="2021" spans="2:9" ht="18" customHeight="1" x14ac:dyDescent="0.2">
      <c r="B2021" s="255" t="s">
        <v>1850</v>
      </c>
      <c r="C2021" s="255" t="s">
        <v>1851</v>
      </c>
      <c r="D2021" s="256" t="s">
        <v>1852</v>
      </c>
      <c r="E2021" s="256" t="s">
        <v>1853</v>
      </c>
      <c r="F2021" s="257" t="s">
        <v>1854</v>
      </c>
      <c r="G2021" s="257" t="s">
        <v>1855</v>
      </c>
      <c r="H2021" s="257" t="s">
        <v>1856</v>
      </c>
    </row>
    <row r="2022" spans="2:9" x14ac:dyDescent="0.2">
      <c r="B2022" s="262" t="s">
        <v>1882</v>
      </c>
      <c r="C2022" s="263">
        <v>42856</v>
      </c>
      <c r="D2022" s="264" t="s">
        <v>3953</v>
      </c>
      <c r="E2022" s="264" t="s">
        <v>3996</v>
      </c>
      <c r="F2022" s="265">
        <v>100</v>
      </c>
      <c r="G2022" s="265"/>
      <c r="H2022" s="265">
        <f t="shared" si="49"/>
        <v>100</v>
      </c>
    </row>
    <row r="2023" spans="2:9" x14ac:dyDescent="0.2">
      <c r="B2023" s="262" t="s">
        <v>1882</v>
      </c>
      <c r="C2023" s="263">
        <v>42856</v>
      </c>
      <c r="D2023" s="264" t="s">
        <v>3953</v>
      </c>
      <c r="E2023" s="264" t="s">
        <v>3997</v>
      </c>
      <c r="F2023" s="265">
        <v>500</v>
      </c>
      <c r="G2023" s="265"/>
      <c r="H2023" s="265">
        <f t="shared" si="49"/>
        <v>500</v>
      </c>
    </row>
    <row r="2024" spans="2:9" x14ac:dyDescent="0.2">
      <c r="B2024" s="262" t="s">
        <v>1884</v>
      </c>
      <c r="C2024" s="263">
        <v>42856</v>
      </c>
      <c r="D2024" s="264" t="s">
        <v>1897</v>
      </c>
      <c r="E2024" s="264" t="s">
        <v>3998</v>
      </c>
      <c r="F2024" s="265">
        <v>300</v>
      </c>
      <c r="G2024" s="265"/>
      <c r="H2024" s="265">
        <f t="shared" si="49"/>
        <v>300</v>
      </c>
    </row>
    <row r="2025" spans="2:9" x14ac:dyDescent="0.2">
      <c r="B2025" s="345" t="s">
        <v>1858</v>
      </c>
      <c r="C2025" s="263">
        <v>42857</v>
      </c>
      <c r="D2025" s="264" t="s">
        <v>3678</v>
      </c>
      <c r="E2025" s="264" t="s">
        <v>3999</v>
      </c>
      <c r="F2025" s="265">
        <v>438</v>
      </c>
      <c r="G2025" s="265"/>
      <c r="H2025" s="265">
        <f t="shared" si="49"/>
        <v>438</v>
      </c>
    </row>
    <row r="2026" spans="2:9" x14ac:dyDescent="0.2">
      <c r="B2026" s="262" t="s">
        <v>1866</v>
      </c>
      <c r="C2026" s="263">
        <v>42858</v>
      </c>
      <c r="D2026" s="264" t="s">
        <v>1890</v>
      </c>
      <c r="E2026" s="264" t="s">
        <v>4000</v>
      </c>
      <c r="F2026" s="265">
        <v>310</v>
      </c>
      <c r="G2026" s="265"/>
      <c r="H2026" s="265">
        <f t="shared" si="49"/>
        <v>310</v>
      </c>
    </row>
    <row r="2027" spans="2:9" x14ac:dyDescent="0.2">
      <c r="B2027" s="345" t="s">
        <v>1857</v>
      </c>
      <c r="C2027" s="263">
        <v>42858</v>
      </c>
      <c r="D2027" s="264" t="s">
        <v>1872</v>
      </c>
      <c r="E2027" s="264" t="s">
        <v>4001</v>
      </c>
      <c r="F2027" s="265">
        <v>600</v>
      </c>
      <c r="G2027" s="265"/>
      <c r="H2027" s="265">
        <f t="shared" si="49"/>
        <v>600</v>
      </c>
    </row>
    <row r="2028" spans="2:9" x14ac:dyDescent="0.2">
      <c r="B2028" s="345" t="s">
        <v>1862</v>
      </c>
      <c r="C2028" s="263">
        <v>42858</v>
      </c>
      <c r="D2028" s="264" t="s">
        <v>1892</v>
      </c>
      <c r="E2028" s="264" t="s">
        <v>4003</v>
      </c>
      <c r="F2028" s="265">
        <v>450</v>
      </c>
      <c r="G2028" s="265"/>
      <c r="H2028" s="265">
        <f t="shared" si="49"/>
        <v>450</v>
      </c>
    </row>
    <row r="2029" spans="2:9" x14ac:dyDescent="0.2">
      <c r="B2029" s="262" t="s">
        <v>1870</v>
      </c>
      <c r="C2029" s="263">
        <v>42858</v>
      </c>
      <c r="D2029" s="264" t="s">
        <v>1892</v>
      </c>
      <c r="E2029" s="264" t="s">
        <v>4002</v>
      </c>
      <c r="F2029" s="265">
        <v>400</v>
      </c>
      <c r="G2029" s="265"/>
      <c r="H2029" s="265">
        <f t="shared" si="49"/>
        <v>400</v>
      </c>
    </row>
    <row r="2030" spans="2:9" x14ac:dyDescent="0.2">
      <c r="B2030" s="262" t="s">
        <v>1879</v>
      </c>
      <c r="C2030" s="263">
        <v>42858</v>
      </c>
      <c r="D2030" s="264" t="s">
        <v>1892</v>
      </c>
      <c r="E2030" s="264" t="s">
        <v>3701</v>
      </c>
      <c r="F2030" s="265">
        <v>350</v>
      </c>
      <c r="G2030" s="265"/>
      <c r="H2030" s="265">
        <f t="shared" si="49"/>
        <v>350</v>
      </c>
    </row>
    <row r="2031" spans="2:9" x14ac:dyDescent="0.2">
      <c r="B2031" s="262" t="s">
        <v>1884</v>
      </c>
      <c r="C2031" s="263">
        <v>42859</v>
      </c>
      <c r="D2031" s="264" t="s">
        <v>1912</v>
      </c>
      <c r="E2031" s="264" t="s">
        <v>4004</v>
      </c>
      <c r="F2031" s="265">
        <v>398.5</v>
      </c>
      <c r="G2031" s="265"/>
      <c r="H2031" s="265">
        <f t="shared" si="49"/>
        <v>398.5</v>
      </c>
    </row>
    <row r="2032" spans="2:9" x14ac:dyDescent="0.2">
      <c r="B2032" s="262" t="s">
        <v>1867</v>
      </c>
      <c r="C2032" s="263">
        <v>42859</v>
      </c>
      <c r="D2032" s="264" t="s">
        <v>1894</v>
      </c>
      <c r="E2032" s="264" t="s">
        <v>4005</v>
      </c>
      <c r="F2032" s="265">
        <v>783</v>
      </c>
      <c r="G2032" s="265"/>
      <c r="H2032" s="265">
        <f t="shared" si="49"/>
        <v>783</v>
      </c>
    </row>
    <row r="2033" spans="2:8" x14ac:dyDescent="0.2">
      <c r="B2033" s="262" t="s">
        <v>1860</v>
      </c>
      <c r="C2033" s="263">
        <v>42860</v>
      </c>
      <c r="D2033" s="264" t="s">
        <v>1891</v>
      </c>
      <c r="E2033" s="264" t="s">
        <v>4006</v>
      </c>
      <c r="F2033" s="265">
        <v>205.4</v>
      </c>
      <c r="G2033" s="265"/>
      <c r="H2033" s="265">
        <f t="shared" ref="H2033:H2097" si="50">SUM(F2033:G2033)</f>
        <v>205.4</v>
      </c>
    </row>
    <row r="2034" spans="2:8" x14ac:dyDescent="0.2">
      <c r="B2034" s="262" t="s">
        <v>1881</v>
      </c>
      <c r="C2034" s="263">
        <v>42860</v>
      </c>
      <c r="D2034" s="264" t="s">
        <v>4025</v>
      </c>
      <c r="E2034" s="264" t="s">
        <v>4008</v>
      </c>
      <c r="F2034" s="265">
        <v>200</v>
      </c>
      <c r="G2034" s="265"/>
      <c r="H2034" s="265">
        <f t="shared" si="50"/>
        <v>200</v>
      </c>
    </row>
    <row r="2035" spans="2:8" x14ac:dyDescent="0.2">
      <c r="B2035" s="262" t="s">
        <v>1805</v>
      </c>
      <c r="C2035" s="263">
        <v>42860</v>
      </c>
      <c r="D2035" s="264" t="s">
        <v>3565</v>
      </c>
      <c r="E2035" s="264" t="s">
        <v>4007</v>
      </c>
      <c r="F2035" s="265">
        <v>1000</v>
      </c>
      <c r="G2035" s="265"/>
      <c r="H2035" s="265">
        <f t="shared" si="50"/>
        <v>1000</v>
      </c>
    </row>
    <row r="2036" spans="2:8" x14ac:dyDescent="0.2">
      <c r="B2036" s="262" t="s">
        <v>1866</v>
      </c>
      <c r="C2036" s="263">
        <v>42860</v>
      </c>
      <c r="D2036" s="264" t="s">
        <v>1890</v>
      </c>
      <c r="E2036" s="264" t="s">
        <v>3789</v>
      </c>
      <c r="F2036" s="265">
        <v>310</v>
      </c>
      <c r="G2036" s="265"/>
      <c r="H2036" s="265">
        <f t="shared" si="50"/>
        <v>310</v>
      </c>
    </row>
    <row r="2037" spans="2:8" x14ac:dyDescent="0.2">
      <c r="B2037" s="377" t="s">
        <v>1881</v>
      </c>
      <c r="C2037" s="263">
        <v>42860</v>
      </c>
      <c r="D2037" s="264" t="s">
        <v>2419</v>
      </c>
      <c r="E2037" s="264" t="s">
        <v>4009</v>
      </c>
      <c r="F2037" s="265">
        <v>230</v>
      </c>
      <c r="G2037" s="265"/>
      <c r="H2037" s="265">
        <f t="shared" si="50"/>
        <v>230</v>
      </c>
    </row>
    <row r="2038" spans="2:8" x14ac:dyDescent="0.2">
      <c r="B2038" s="262" t="s">
        <v>1881</v>
      </c>
      <c r="C2038" s="263">
        <v>42860</v>
      </c>
      <c r="D2038" s="264" t="s">
        <v>2535</v>
      </c>
      <c r="E2038" s="264" t="s">
        <v>4010</v>
      </c>
      <c r="F2038" s="265">
        <v>87</v>
      </c>
      <c r="G2038" s="265"/>
      <c r="H2038" s="265">
        <f t="shared" si="50"/>
        <v>87</v>
      </c>
    </row>
    <row r="2039" spans="2:8" x14ac:dyDescent="0.2">
      <c r="B2039" s="262" t="s">
        <v>1881</v>
      </c>
      <c r="C2039" s="263">
        <v>42860</v>
      </c>
      <c r="D2039" s="264" t="s">
        <v>4011</v>
      </c>
      <c r="E2039" s="264" t="s">
        <v>4012</v>
      </c>
      <c r="F2039" s="265">
        <v>1400</v>
      </c>
      <c r="G2039" s="265"/>
      <c r="H2039" s="265">
        <f t="shared" si="50"/>
        <v>1400</v>
      </c>
    </row>
    <row r="2040" spans="2:8" x14ac:dyDescent="0.2">
      <c r="B2040" s="262" t="s">
        <v>1881</v>
      </c>
      <c r="C2040" s="263">
        <v>42860</v>
      </c>
      <c r="D2040" s="264" t="s">
        <v>1906</v>
      </c>
      <c r="E2040" s="264" t="s">
        <v>4013</v>
      </c>
      <c r="F2040" s="265">
        <v>660</v>
      </c>
      <c r="G2040" s="265"/>
      <c r="H2040" s="265">
        <f t="shared" si="50"/>
        <v>660</v>
      </c>
    </row>
    <row r="2041" spans="2:8" x14ac:dyDescent="0.2">
      <c r="B2041" s="262" t="s">
        <v>1863</v>
      </c>
      <c r="C2041" s="263">
        <v>42861</v>
      </c>
      <c r="D2041" s="264" t="s">
        <v>1878</v>
      </c>
      <c r="E2041" s="264" t="s">
        <v>4015</v>
      </c>
      <c r="F2041" s="265">
        <v>500</v>
      </c>
      <c r="G2041" s="265"/>
      <c r="H2041" s="265">
        <f t="shared" si="50"/>
        <v>500</v>
      </c>
    </row>
    <row r="2042" spans="2:8" x14ac:dyDescent="0.2">
      <c r="B2042" s="262" t="s">
        <v>1863</v>
      </c>
      <c r="C2042" s="263">
        <v>42861</v>
      </c>
      <c r="D2042" s="264" t="s">
        <v>1878</v>
      </c>
      <c r="E2042" s="264" t="s">
        <v>4016</v>
      </c>
      <c r="F2042" s="265">
        <v>500</v>
      </c>
      <c r="G2042" s="265"/>
      <c r="H2042" s="265">
        <f t="shared" si="50"/>
        <v>500</v>
      </c>
    </row>
    <row r="2043" spans="2:8" x14ac:dyDescent="0.2">
      <c r="B2043" s="377" t="s">
        <v>1881</v>
      </c>
      <c r="C2043" s="263">
        <v>42861</v>
      </c>
      <c r="D2043" s="264" t="s">
        <v>2535</v>
      </c>
      <c r="E2043" s="264" t="s">
        <v>4014</v>
      </c>
      <c r="F2043" s="265">
        <v>163.9</v>
      </c>
      <c r="G2043" s="265"/>
      <c r="H2043" s="265">
        <f t="shared" si="50"/>
        <v>163.9</v>
      </c>
    </row>
    <row r="2044" spans="2:8" x14ac:dyDescent="0.2">
      <c r="B2044" s="262" t="s">
        <v>1881</v>
      </c>
      <c r="C2044" s="263">
        <v>42861</v>
      </c>
      <c r="D2044" s="264" t="s">
        <v>3637</v>
      </c>
      <c r="E2044" s="264" t="s">
        <v>4017</v>
      </c>
      <c r="F2044" s="265">
        <v>1500</v>
      </c>
      <c r="G2044" s="265"/>
      <c r="H2044" s="265">
        <f t="shared" si="50"/>
        <v>1500</v>
      </c>
    </row>
    <row r="2045" spans="2:8" x14ac:dyDescent="0.2">
      <c r="B2045" s="262" t="s">
        <v>1867</v>
      </c>
      <c r="C2045" s="263">
        <v>42861</v>
      </c>
      <c r="D2045" s="264" t="s">
        <v>1892</v>
      </c>
      <c r="E2045" s="264" t="s">
        <v>4018</v>
      </c>
      <c r="F2045" s="265">
        <v>350</v>
      </c>
      <c r="G2045" s="265"/>
      <c r="H2045" s="265">
        <f t="shared" si="50"/>
        <v>350</v>
      </c>
    </row>
    <row r="2046" spans="2:8" x14ac:dyDescent="0.2">
      <c r="B2046" s="262" t="s">
        <v>1881</v>
      </c>
      <c r="C2046" s="263">
        <v>42861</v>
      </c>
      <c r="D2046" s="264" t="s">
        <v>4020</v>
      </c>
      <c r="E2046" s="264" t="s">
        <v>4019</v>
      </c>
      <c r="F2046" s="265">
        <v>2000</v>
      </c>
      <c r="G2046" s="265"/>
      <c r="H2046" s="265">
        <f t="shared" si="50"/>
        <v>2000</v>
      </c>
    </row>
    <row r="2047" spans="2:8" x14ac:dyDescent="0.2">
      <c r="B2047" s="262" t="s">
        <v>1879</v>
      </c>
      <c r="C2047" s="263">
        <v>42861</v>
      </c>
      <c r="D2047" s="264" t="s">
        <v>1892</v>
      </c>
      <c r="E2047" s="264" t="s">
        <v>2342</v>
      </c>
      <c r="F2047" s="265">
        <v>200</v>
      </c>
      <c r="G2047" s="265"/>
      <c r="H2047" s="265">
        <f t="shared" si="50"/>
        <v>200</v>
      </c>
    </row>
    <row r="2048" spans="2:8" x14ac:dyDescent="0.2">
      <c r="B2048" s="262" t="s">
        <v>1881</v>
      </c>
      <c r="C2048" s="263">
        <v>42861</v>
      </c>
      <c r="D2048" s="264" t="s">
        <v>4020</v>
      </c>
      <c r="E2048" s="264" t="s">
        <v>4021</v>
      </c>
      <c r="F2048" s="265">
        <v>900</v>
      </c>
      <c r="G2048" s="265"/>
      <c r="H2048" s="265">
        <f t="shared" si="50"/>
        <v>900</v>
      </c>
    </row>
    <row r="2049" spans="2:9" x14ac:dyDescent="0.2">
      <c r="B2049" s="262" t="s">
        <v>1862</v>
      </c>
      <c r="C2049" s="263">
        <v>42861</v>
      </c>
      <c r="D2049" s="264" t="s">
        <v>1892</v>
      </c>
      <c r="E2049" s="264" t="s">
        <v>4022</v>
      </c>
      <c r="F2049" s="265">
        <v>450</v>
      </c>
      <c r="G2049" s="265"/>
      <c r="H2049" s="265">
        <f t="shared" si="50"/>
        <v>450</v>
      </c>
    </row>
    <row r="2050" spans="2:9" x14ac:dyDescent="0.2">
      <c r="B2050" s="262" t="s">
        <v>1881</v>
      </c>
      <c r="C2050" s="263">
        <v>42861</v>
      </c>
      <c r="D2050" s="264" t="s">
        <v>2535</v>
      </c>
      <c r="E2050" s="264" t="s">
        <v>4023</v>
      </c>
      <c r="F2050" s="265">
        <v>89.5</v>
      </c>
      <c r="G2050" s="265"/>
      <c r="H2050" s="265">
        <f t="shared" si="50"/>
        <v>89.5</v>
      </c>
    </row>
    <row r="2051" spans="2:9" x14ac:dyDescent="0.2">
      <c r="B2051" s="262" t="s">
        <v>1881</v>
      </c>
      <c r="C2051" s="263">
        <v>42861</v>
      </c>
      <c r="D2051" s="264" t="s">
        <v>2535</v>
      </c>
      <c r="E2051" s="264" t="s">
        <v>4023</v>
      </c>
      <c r="F2051" s="265">
        <v>59.5</v>
      </c>
      <c r="G2051" s="265"/>
      <c r="H2051" s="265">
        <f t="shared" si="50"/>
        <v>59.5</v>
      </c>
    </row>
    <row r="2052" spans="2:9" x14ac:dyDescent="0.2">
      <c r="B2052" s="345" t="s">
        <v>1870</v>
      </c>
      <c r="C2052" s="263">
        <v>42861</v>
      </c>
      <c r="D2052" s="264" t="s">
        <v>1892</v>
      </c>
      <c r="E2052" s="264" t="s">
        <v>4024</v>
      </c>
      <c r="F2052" s="265">
        <v>500</v>
      </c>
      <c r="G2052" s="265"/>
      <c r="H2052" s="265">
        <f t="shared" si="50"/>
        <v>500</v>
      </c>
    </row>
    <row r="2053" spans="2:9" x14ac:dyDescent="0.2">
      <c r="B2053" s="262" t="s">
        <v>1884</v>
      </c>
      <c r="C2053" s="263">
        <v>42861</v>
      </c>
      <c r="D2053" s="264" t="s">
        <v>4025</v>
      </c>
      <c r="E2053" s="264" t="s">
        <v>4026</v>
      </c>
      <c r="F2053" s="265">
        <v>270</v>
      </c>
      <c r="G2053" s="265"/>
      <c r="H2053" s="265">
        <f t="shared" si="50"/>
        <v>270</v>
      </c>
    </row>
    <row r="2054" spans="2:9" x14ac:dyDescent="0.2">
      <c r="B2054" s="377" t="s">
        <v>1577</v>
      </c>
      <c r="C2054" s="263">
        <v>42861</v>
      </c>
      <c r="D2054" s="264" t="s">
        <v>4027</v>
      </c>
      <c r="E2054" s="264" t="s">
        <v>4028</v>
      </c>
      <c r="F2054" s="265">
        <v>15050</v>
      </c>
      <c r="G2054" s="265"/>
      <c r="H2054" s="265">
        <f t="shared" si="50"/>
        <v>15050</v>
      </c>
    </row>
    <row r="2055" spans="2:9" x14ac:dyDescent="0.2">
      <c r="B2055" s="262" t="s">
        <v>1863</v>
      </c>
      <c r="C2055" s="263">
        <v>42861</v>
      </c>
      <c r="D2055" s="264" t="s">
        <v>2250</v>
      </c>
      <c r="E2055" s="264" t="s">
        <v>4029</v>
      </c>
      <c r="F2055" s="265">
        <v>150</v>
      </c>
      <c r="G2055" s="265"/>
      <c r="H2055" s="265">
        <f t="shared" si="50"/>
        <v>150</v>
      </c>
    </row>
    <row r="2056" spans="2:9" x14ac:dyDescent="0.2">
      <c r="B2056" s="262" t="s">
        <v>1881</v>
      </c>
      <c r="C2056" s="263">
        <v>42861</v>
      </c>
      <c r="D2056" s="264" t="s">
        <v>2250</v>
      </c>
      <c r="E2056" s="264" t="s">
        <v>3758</v>
      </c>
      <c r="F2056" s="265">
        <v>120</v>
      </c>
      <c r="G2056" s="265"/>
      <c r="H2056" s="265">
        <f t="shared" si="50"/>
        <v>120</v>
      </c>
    </row>
    <row r="2057" spans="2:9" x14ac:dyDescent="0.2">
      <c r="B2057" s="262" t="s">
        <v>1864</v>
      </c>
      <c r="C2057" s="263">
        <v>42861</v>
      </c>
      <c r="D2057" s="264" t="s">
        <v>2535</v>
      </c>
      <c r="E2057" s="264" t="s">
        <v>4030</v>
      </c>
      <c r="F2057" s="265">
        <v>94</v>
      </c>
      <c r="G2057" s="265"/>
      <c r="H2057" s="265">
        <f t="shared" si="50"/>
        <v>94</v>
      </c>
    </row>
    <row r="2058" spans="2:9" x14ac:dyDescent="0.2">
      <c r="B2058" s="262" t="s">
        <v>1864</v>
      </c>
      <c r="C2058" s="263">
        <v>42862</v>
      </c>
      <c r="D2058" s="264" t="s">
        <v>3565</v>
      </c>
      <c r="E2058" s="264" t="s">
        <v>4031</v>
      </c>
      <c r="F2058" s="265">
        <v>400</v>
      </c>
      <c r="G2058" s="265"/>
      <c r="H2058" s="265">
        <f t="shared" si="50"/>
        <v>400</v>
      </c>
    </row>
    <row r="2059" spans="2:9" x14ac:dyDescent="0.2">
      <c r="B2059" s="262" t="s">
        <v>1866</v>
      </c>
      <c r="C2059" s="263">
        <v>42863</v>
      </c>
      <c r="D2059" s="264" t="s">
        <v>1890</v>
      </c>
      <c r="E2059" s="264" t="s">
        <v>3850</v>
      </c>
      <c r="F2059" s="265">
        <v>310</v>
      </c>
      <c r="G2059" s="265"/>
      <c r="H2059" s="265">
        <f t="shared" si="50"/>
        <v>310</v>
      </c>
    </row>
    <row r="2060" spans="2:9" x14ac:dyDescent="0.2">
      <c r="B2060" s="262" t="s">
        <v>1881</v>
      </c>
      <c r="C2060" s="263">
        <v>42863</v>
      </c>
      <c r="D2060" s="264" t="s">
        <v>2535</v>
      </c>
      <c r="E2060" s="264" t="s">
        <v>4023</v>
      </c>
      <c r="F2060" s="265">
        <v>104</v>
      </c>
      <c r="G2060" s="265"/>
      <c r="H2060" s="265">
        <f t="shared" si="50"/>
        <v>104</v>
      </c>
    </row>
    <row r="2061" spans="2:9" x14ac:dyDescent="0.2">
      <c r="B2061" s="262" t="s">
        <v>1881</v>
      </c>
      <c r="C2061" s="263">
        <v>42863</v>
      </c>
      <c r="D2061" s="264" t="s">
        <v>2419</v>
      </c>
      <c r="E2061" s="264" t="s">
        <v>4032</v>
      </c>
      <c r="F2061" s="265">
        <v>300</v>
      </c>
      <c r="G2061" s="265"/>
      <c r="H2061" s="265">
        <f t="shared" si="50"/>
        <v>300</v>
      </c>
      <c r="I2061" s="175">
        <f>SUM(H2022:H2061)</f>
        <v>32732.799999999999</v>
      </c>
    </row>
    <row r="2062" spans="2:9" x14ac:dyDescent="0.2">
      <c r="B2062" s="262" t="s">
        <v>1870</v>
      </c>
      <c r="C2062" s="263">
        <v>42863</v>
      </c>
      <c r="D2062" s="264" t="s">
        <v>1892</v>
      </c>
      <c r="E2062" s="264" t="s">
        <v>4033</v>
      </c>
      <c r="F2062" s="265">
        <v>300</v>
      </c>
      <c r="G2062" s="265"/>
      <c r="H2062" s="265">
        <f t="shared" si="50"/>
        <v>300</v>
      </c>
    </row>
    <row r="2063" spans="2:9" x14ac:dyDescent="0.2">
      <c r="B2063" s="262" t="s">
        <v>1879</v>
      </c>
      <c r="C2063" s="263">
        <v>42863</v>
      </c>
      <c r="D2063" s="264" t="s">
        <v>1892</v>
      </c>
      <c r="E2063" s="264" t="s">
        <v>4034</v>
      </c>
      <c r="F2063" s="265">
        <v>220</v>
      </c>
      <c r="G2063" s="265"/>
      <c r="H2063" s="265">
        <f t="shared" si="50"/>
        <v>220</v>
      </c>
    </row>
    <row r="2064" spans="2:9" x14ac:dyDescent="0.2">
      <c r="B2064" s="262" t="s">
        <v>1863</v>
      </c>
      <c r="C2064" s="263">
        <v>42864</v>
      </c>
      <c r="D2064" s="264" t="s">
        <v>4020</v>
      </c>
      <c r="E2064" s="264" t="s">
        <v>4035</v>
      </c>
      <c r="F2064" s="265">
        <v>500</v>
      </c>
      <c r="G2064" s="265"/>
      <c r="H2064" s="265">
        <f t="shared" si="50"/>
        <v>500</v>
      </c>
    </row>
    <row r="2065" spans="2:8" x14ac:dyDescent="0.2">
      <c r="B2065" s="262" t="s">
        <v>1863</v>
      </c>
      <c r="C2065" s="263">
        <v>42864</v>
      </c>
      <c r="D2065" s="264" t="s">
        <v>1906</v>
      </c>
      <c r="E2065" s="264" t="s">
        <v>4036</v>
      </c>
      <c r="F2065" s="265">
        <v>540</v>
      </c>
      <c r="G2065" s="265"/>
      <c r="H2065" s="265">
        <f t="shared" si="50"/>
        <v>540</v>
      </c>
    </row>
    <row r="2066" spans="2:8" x14ac:dyDescent="0.2">
      <c r="B2066" s="262" t="s">
        <v>1863</v>
      </c>
      <c r="C2066" s="263">
        <v>42864</v>
      </c>
      <c r="D2066" s="264" t="s">
        <v>2535</v>
      </c>
      <c r="E2066" s="264" t="s">
        <v>4014</v>
      </c>
      <c r="F2066" s="265">
        <v>62</v>
      </c>
      <c r="G2066" s="265"/>
      <c r="H2066" s="265">
        <f t="shared" si="50"/>
        <v>62</v>
      </c>
    </row>
    <row r="2067" spans="2:8" x14ac:dyDescent="0.2">
      <c r="B2067" s="262" t="s">
        <v>1863</v>
      </c>
      <c r="C2067" s="263">
        <v>42864</v>
      </c>
      <c r="D2067" s="264" t="s">
        <v>4037</v>
      </c>
      <c r="E2067" s="264" t="s">
        <v>4038</v>
      </c>
      <c r="F2067" s="265">
        <v>140.5</v>
      </c>
      <c r="G2067" s="265"/>
      <c r="H2067" s="265">
        <f t="shared" si="50"/>
        <v>140.5</v>
      </c>
    </row>
    <row r="2068" spans="2:8" x14ac:dyDescent="0.2">
      <c r="B2068" s="262" t="s">
        <v>1884</v>
      </c>
      <c r="C2068" s="263">
        <v>42864</v>
      </c>
      <c r="D2068" s="264" t="s">
        <v>4039</v>
      </c>
      <c r="E2068" s="264" t="s">
        <v>4040</v>
      </c>
      <c r="F2068" s="265">
        <v>650</v>
      </c>
      <c r="G2068" s="265"/>
      <c r="H2068" s="265">
        <f t="shared" si="50"/>
        <v>650</v>
      </c>
    </row>
    <row r="2069" spans="2:8" x14ac:dyDescent="0.2">
      <c r="B2069" s="262" t="s">
        <v>1790</v>
      </c>
      <c r="C2069" s="263">
        <v>42864</v>
      </c>
      <c r="D2069" s="264" t="s">
        <v>1888</v>
      </c>
      <c r="E2069" s="264" t="s">
        <v>4041</v>
      </c>
      <c r="F2069" s="265"/>
      <c r="G2069" s="265">
        <v>400</v>
      </c>
      <c r="H2069" s="265">
        <f t="shared" si="50"/>
        <v>400</v>
      </c>
    </row>
    <row r="2070" spans="2:8" x14ac:dyDescent="0.2">
      <c r="B2070" s="341" t="s">
        <v>1881</v>
      </c>
      <c r="C2070" s="263">
        <v>42864</v>
      </c>
      <c r="D2070" s="264" t="s">
        <v>4020</v>
      </c>
      <c r="E2070" s="264" t="s">
        <v>4046</v>
      </c>
      <c r="F2070" s="265">
        <v>600</v>
      </c>
      <c r="G2070" s="265"/>
      <c r="H2070" s="265">
        <f t="shared" si="50"/>
        <v>600</v>
      </c>
    </row>
    <row r="2071" spans="2:8" x14ac:dyDescent="0.2">
      <c r="B2071" s="262" t="s">
        <v>1884</v>
      </c>
      <c r="C2071" s="263">
        <v>42864</v>
      </c>
      <c r="D2071" s="264" t="s">
        <v>4020</v>
      </c>
      <c r="E2071" s="264" t="s">
        <v>4044</v>
      </c>
      <c r="F2071" s="265">
        <v>145</v>
      </c>
      <c r="G2071" s="265"/>
      <c r="H2071" s="265">
        <f t="shared" si="50"/>
        <v>145</v>
      </c>
    </row>
    <row r="2072" spans="2:8" x14ac:dyDescent="0.2">
      <c r="B2072" s="262" t="s">
        <v>1881</v>
      </c>
      <c r="C2072" s="263">
        <v>42864</v>
      </c>
      <c r="D2072" s="264" t="s">
        <v>4020</v>
      </c>
      <c r="E2072" s="264" t="s">
        <v>4045</v>
      </c>
      <c r="F2072" s="265">
        <v>80.400000000000006</v>
      </c>
      <c r="G2072" s="265"/>
      <c r="H2072" s="265">
        <f t="shared" si="50"/>
        <v>80.400000000000006</v>
      </c>
    </row>
    <row r="2073" spans="2:8" x14ac:dyDescent="0.2">
      <c r="B2073" s="262" t="s">
        <v>1881</v>
      </c>
      <c r="C2073" s="263">
        <v>42864</v>
      </c>
      <c r="D2073" s="264" t="s">
        <v>2419</v>
      </c>
      <c r="E2073" s="264" t="s">
        <v>4047</v>
      </c>
      <c r="F2073" s="265">
        <v>200</v>
      </c>
      <c r="G2073" s="265"/>
      <c r="H2073" s="265">
        <f t="shared" si="50"/>
        <v>200</v>
      </c>
    </row>
    <row r="2074" spans="2:8" x14ac:dyDescent="0.2">
      <c r="B2074" s="262" t="s">
        <v>1884</v>
      </c>
      <c r="C2074" s="263">
        <v>42864</v>
      </c>
      <c r="D2074" s="264" t="s">
        <v>1911</v>
      </c>
      <c r="E2074" s="264" t="s">
        <v>4048</v>
      </c>
      <c r="F2074" s="265">
        <v>70</v>
      </c>
      <c r="G2074" s="265"/>
      <c r="H2074" s="265">
        <f t="shared" si="50"/>
        <v>70</v>
      </c>
    </row>
    <row r="2075" spans="2:8" x14ac:dyDescent="0.2">
      <c r="B2075" s="262" t="s">
        <v>1790</v>
      </c>
      <c r="C2075" s="263">
        <v>42864</v>
      </c>
      <c r="D2075" s="264" t="s">
        <v>1909</v>
      </c>
      <c r="E2075" s="264" t="s">
        <v>4042</v>
      </c>
      <c r="F2075" s="265"/>
      <c r="G2075" s="265">
        <v>1760</v>
      </c>
      <c r="H2075" s="265">
        <f t="shared" si="50"/>
        <v>1760</v>
      </c>
    </row>
    <row r="2076" spans="2:8" x14ac:dyDescent="0.2">
      <c r="B2076" s="262" t="s">
        <v>1805</v>
      </c>
      <c r="C2076" s="263">
        <v>42864</v>
      </c>
      <c r="D2076" s="264" t="s">
        <v>1888</v>
      </c>
      <c r="E2076" s="264" t="s">
        <v>4043</v>
      </c>
      <c r="F2076" s="265">
        <v>1300</v>
      </c>
      <c r="G2076" s="265"/>
      <c r="H2076" s="265">
        <f t="shared" si="50"/>
        <v>1300</v>
      </c>
    </row>
    <row r="2077" spans="2:8" x14ac:dyDescent="0.2">
      <c r="B2077" s="262" t="s">
        <v>1577</v>
      </c>
      <c r="C2077" s="263">
        <v>42865</v>
      </c>
      <c r="D2077" s="264" t="s">
        <v>4049</v>
      </c>
      <c r="E2077" s="264" t="s">
        <v>4050</v>
      </c>
      <c r="F2077" s="265">
        <v>15050</v>
      </c>
      <c r="G2077" s="265"/>
      <c r="H2077" s="265">
        <f t="shared" si="50"/>
        <v>15050</v>
      </c>
    </row>
    <row r="2078" spans="2:8" x14ac:dyDescent="0.2">
      <c r="B2078" s="262" t="s">
        <v>1884</v>
      </c>
      <c r="C2078" s="263">
        <v>42865</v>
      </c>
      <c r="D2078" s="264" t="s">
        <v>4051</v>
      </c>
      <c r="E2078" s="264" t="s">
        <v>4052</v>
      </c>
      <c r="F2078" s="265">
        <v>1288.8</v>
      </c>
      <c r="G2078" s="265"/>
      <c r="H2078" s="265">
        <f t="shared" si="50"/>
        <v>1288.8</v>
      </c>
    </row>
    <row r="2079" spans="2:8" x14ac:dyDescent="0.2">
      <c r="B2079" s="262" t="s">
        <v>1884</v>
      </c>
      <c r="C2079" s="263">
        <v>42866</v>
      </c>
      <c r="D2079" s="264" t="s">
        <v>1924</v>
      </c>
      <c r="E2079" s="264" t="s">
        <v>4053</v>
      </c>
      <c r="F2079" s="265">
        <v>401.5</v>
      </c>
      <c r="G2079" s="265"/>
      <c r="H2079" s="265">
        <f t="shared" si="50"/>
        <v>401.5</v>
      </c>
    </row>
    <row r="2080" spans="2:8" x14ac:dyDescent="0.2">
      <c r="B2080" s="262" t="s">
        <v>1881</v>
      </c>
      <c r="C2080" s="263">
        <v>42866</v>
      </c>
      <c r="D2080" s="264" t="s">
        <v>3953</v>
      </c>
      <c r="E2080" s="264" t="s">
        <v>4054</v>
      </c>
      <c r="F2080" s="265">
        <v>250</v>
      </c>
      <c r="G2080" s="265"/>
      <c r="H2080" s="265">
        <f t="shared" si="50"/>
        <v>250</v>
      </c>
    </row>
    <row r="2081" spans="2:8" x14ac:dyDescent="0.2">
      <c r="B2081" s="262" t="s">
        <v>1884</v>
      </c>
      <c r="C2081" s="263">
        <v>42866</v>
      </c>
      <c r="D2081" s="264" t="s">
        <v>4097</v>
      </c>
      <c r="E2081" s="264" t="s">
        <v>4055</v>
      </c>
      <c r="F2081" s="265">
        <v>627</v>
      </c>
      <c r="G2081" s="265"/>
      <c r="H2081" s="265">
        <f t="shared" si="50"/>
        <v>627</v>
      </c>
    </row>
    <row r="2082" spans="2:8" x14ac:dyDescent="0.2">
      <c r="B2082" s="262" t="s">
        <v>1860</v>
      </c>
      <c r="C2082" s="263">
        <v>42866</v>
      </c>
      <c r="D2082" s="264" t="s">
        <v>3955</v>
      </c>
      <c r="E2082" s="264" t="s">
        <v>4056</v>
      </c>
      <c r="F2082" s="265">
        <v>30</v>
      </c>
      <c r="G2082" s="265"/>
      <c r="H2082" s="265">
        <f t="shared" si="50"/>
        <v>30</v>
      </c>
    </row>
    <row r="2083" spans="2:8" x14ac:dyDescent="0.2">
      <c r="B2083" s="262" t="s">
        <v>1866</v>
      </c>
      <c r="C2083" s="263">
        <v>42867</v>
      </c>
      <c r="D2083" s="264" t="s">
        <v>1890</v>
      </c>
      <c r="E2083" s="264" t="s">
        <v>3850</v>
      </c>
      <c r="F2083" s="265">
        <v>310</v>
      </c>
      <c r="G2083" s="265"/>
      <c r="H2083" s="265">
        <f t="shared" si="50"/>
        <v>310</v>
      </c>
    </row>
    <row r="2084" spans="2:8" x14ac:dyDescent="0.2">
      <c r="B2084" s="262" t="s">
        <v>1858</v>
      </c>
      <c r="C2084" s="263">
        <v>42867</v>
      </c>
      <c r="D2084" s="264" t="s">
        <v>1892</v>
      </c>
      <c r="E2084" s="264" t="s">
        <v>4057</v>
      </c>
      <c r="F2084" s="265">
        <v>400</v>
      </c>
      <c r="G2084" s="265"/>
      <c r="H2084" s="265">
        <f t="shared" si="50"/>
        <v>400</v>
      </c>
    </row>
    <row r="2085" spans="2:8" x14ac:dyDescent="0.2">
      <c r="B2085" s="262" t="s">
        <v>1805</v>
      </c>
      <c r="C2085" s="263">
        <v>42867</v>
      </c>
      <c r="D2085" s="264" t="s">
        <v>3565</v>
      </c>
      <c r="E2085" s="264" t="s">
        <v>4058</v>
      </c>
      <c r="F2085" s="265">
        <v>1000</v>
      </c>
      <c r="G2085" s="265"/>
      <c r="H2085" s="265">
        <f t="shared" si="50"/>
        <v>1000</v>
      </c>
    </row>
    <row r="2086" spans="2:8" x14ac:dyDescent="0.2">
      <c r="B2086" s="262" t="s">
        <v>1862</v>
      </c>
      <c r="C2086" s="263">
        <v>42867</v>
      </c>
      <c r="D2086" s="264" t="s">
        <v>1892</v>
      </c>
      <c r="E2086" s="264" t="s">
        <v>3700</v>
      </c>
      <c r="F2086" s="265">
        <v>100</v>
      </c>
      <c r="G2086" s="265"/>
      <c r="H2086" s="265">
        <f t="shared" si="50"/>
        <v>100</v>
      </c>
    </row>
    <row r="2087" spans="2:8" x14ac:dyDescent="0.2">
      <c r="B2087" s="262" t="s">
        <v>1881</v>
      </c>
      <c r="C2087" s="263">
        <v>42869</v>
      </c>
      <c r="D2087" s="264" t="s">
        <v>2250</v>
      </c>
      <c r="E2087" s="264" t="s">
        <v>2321</v>
      </c>
      <c r="F2087" s="265">
        <v>120</v>
      </c>
      <c r="G2087" s="265"/>
      <c r="H2087" s="265">
        <f t="shared" si="50"/>
        <v>120</v>
      </c>
    </row>
    <row r="2088" spans="2:8" x14ac:dyDescent="0.2">
      <c r="B2088" s="262" t="s">
        <v>1881</v>
      </c>
      <c r="C2088" s="263">
        <v>42869</v>
      </c>
      <c r="D2088" s="264" t="s">
        <v>2250</v>
      </c>
      <c r="E2088" s="264" t="s">
        <v>4059</v>
      </c>
      <c r="F2088" s="265">
        <v>150</v>
      </c>
      <c r="G2088" s="265"/>
      <c r="H2088" s="265">
        <f t="shared" si="50"/>
        <v>150</v>
      </c>
    </row>
    <row r="2089" spans="2:8" x14ac:dyDescent="0.2">
      <c r="B2089" s="262" t="s">
        <v>1884</v>
      </c>
      <c r="C2089" s="263">
        <v>42869</v>
      </c>
      <c r="D2089" s="264" t="s">
        <v>2535</v>
      </c>
      <c r="E2089" s="264" t="s">
        <v>4096</v>
      </c>
      <c r="F2089" s="265">
        <v>69.5</v>
      </c>
      <c r="G2089" s="265"/>
      <c r="H2089" s="265">
        <f t="shared" si="50"/>
        <v>69.5</v>
      </c>
    </row>
    <row r="2090" spans="2:8" x14ac:dyDescent="0.2">
      <c r="B2090" s="262" t="s">
        <v>1864</v>
      </c>
      <c r="C2090" s="263">
        <v>42869</v>
      </c>
      <c r="D2090" s="264" t="s">
        <v>2535</v>
      </c>
      <c r="E2090" s="264" t="s">
        <v>4060</v>
      </c>
      <c r="F2090" s="265">
        <v>170</v>
      </c>
      <c r="G2090" s="265"/>
      <c r="H2090" s="265">
        <f t="shared" si="50"/>
        <v>170</v>
      </c>
    </row>
    <row r="2091" spans="2:8" x14ac:dyDescent="0.2">
      <c r="B2091" s="262" t="s">
        <v>1857</v>
      </c>
      <c r="C2091" s="263">
        <v>42869</v>
      </c>
      <c r="D2091" s="264" t="s">
        <v>1872</v>
      </c>
      <c r="E2091" s="264" t="s">
        <v>4061</v>
      </c>
      <c r="F2091" s="265">
        <v>850</v>
      </c>
      <c r="G2091" s="265"/>
      <c r="H2091" s="265">
        <f t="shared" si="50"/>
        <v>850</v>
      </c>
    </row>
    <row r="2092" spans="2:8" x14ac:dyDescent="0.2">
      <c r="B2092" s="262" t="s">
        <v>1879</v>
      </c>
      <c r="C2092" s="263">
        <v>42869</v>
      </c>
      <c r="D2092" s="264" t="s">
        <v>1892</v>
      </c>
      <c r="E2092" s="264" t="s">
        <v>4062</v>
      </c>
      <c r="F2092" s="265">
        <v>1050</v>
      </c>
      <c r="G2092" s="265"/>
      <c r="H2092" s="265">
        <f t="shared" si="50"/>
        <v>1050</v>
      </c>
    </row>
    <row r="2093" spans="2:8" x14ac:dyDescent="0.2">
      <c r="B2093" s="262" t="s">
        <v>1863</v>
      </c>
      <c r="C2093" s="263">
        <v>42870</v>
      </c>
      <c r="D2093" s="264" t="s">
        <v>1878</v>
      </c>
      <c r="E2093" s="264" t="s">
        <v>4063</v>
      </c>
      <c r="F2093" s="265">
        <v>500</v>
      </c>
      <c r="G2093" s="265"/>
      <c r="H2093" s="265">
        <f t="shared" si="50"/>
        <v>500</v>
      </c>
    </row>
    <row r="2094" spans="2:8" x14ac:dyDescent="0.2">
      <c r="B2094" s="262" t="s">
        <v>1864</v>
      </c>
      <c r="C2094" s="263">
        <v>42870</v>
      </c>
      <c r="D2094" s="264" t="s">
        <v>3565</v>
      </c>
      <c r="E2094" s="264" t="s">
        <v>4064</v>
      </c>
      <c r="F2094" s="265">
        <v>400</v>
      </c>
      <c r="G2094" s="265"/>
      <c r="H2094" s="265">
        <f t="shared" si="50"/>
        <v>400</v>
      </c>
    </row>
    <row r="2095" spans="2:8" x14ac:dyDescent="0.2">
      <c r="B2095" s="262" t="s">
        <v>1881</v>
      </c>
      <c r="C2095" s="263">
        <v>42870</v>
      </c>
      <c r="D2095" s="264" t="s">
        <v>2250</v>
      </c>
      <c r="E2095" s="264" t="s">
        <v>4065</v>
      </c>
      <c r="F2095" s="265">
        <v>350</v>
      </c>
      <c r="G2095" s="265"/>
      <c r="H2095" s="265">
        <f t="shared" si="50"/>
        <v>350</v>
      </c>
    </row>
    <row r="2096" spans="2:8" x14ac:dyDescent="0.2">
      <c r="B2096" s="262" t="s">
        <v>1881</v>
      </c>
      <c r="C2096" s="263">
        <v>42870</v>
      </c>
      <c r="D2096" s="264" t="s">
        <v>1873</v>
      </c>
      <c r="E2096" s="264" t="s">
        <v>4066</v>
      </c>
      <c r="F2096" s="265">
        <v>450</v>
      </c>
      <c r="G2096" s="265"/>
      <c r="H2096" s="265">
        <f t="shared" si="50"/>
        <v>450</v>
      </c>
    </row>
    <row r="2097" spans="2:9" x14ac:dyDescent="0.2">
      <c r="B2097" s="262" t="s">
        <v>1859</v>
      </c>
      <c r="C2097" s="263">
        <v>42870</v>
      </c>
      <c r="D2097" s="264" t="s">
        <v>1911</v>
      </c>
      <c r="E2097" s="264" t="s">
        <v>4067</v>
      </c>
      <c r="F2097" s="265">
        <v>4000</v>
      </c>
      <c r="G2097" s="265"/>
      <c r="H2097" s="265">
        <f t="shared" si="50"/>
        <v>4000</v>
      </c>
    </row>
    <row r="2098" spans="2:9" x14ac:dyDescent="0.2">
      <c r="B2098" s="262" t="s">
        <v>1884</v>
      </c>
      <c r="C2098" s="263">
        <v>42870</v>
      </c>
      <c r="D2098" s="264" t="s">
        <v>2535</v>
      </c>
      <c r="E2098" s="264" t="s">
        <v>3234</v>
      </c>
      <c r="F2098" s="265">
        <v>188</v>
      </c>
      <c r="G2098" s="265"/>
      <c r="H2098" s="265">
        <f t="shared" ref="H2098:H2126" si="51">SUM(F2098:G2098)</f>
        <v>188</v>
      </c>
    </row>
    <row r="2099" spans="2:9" x14ac:dyDescent="0.2">
      <c r="B2099" s="262" t="s">
        <v>1881</v>
      </c>
      <c r="C2099" s="263">
        <v>42870</v>
      </c>
      <c r="D2099" s="264" t="s">
        <v>1873</v>
      </c>
      <c r="E2099" s="264" t="s">
        <v>4068</v>
      </c>
      <c r="F2099" s="265">
        <v>50</v>
      </c>
      <c r="G2099" s="265"/>
      <c r="H2099" s="265">
        <f t="shared" si="51"/>
        <v>50</v>
      </c>
      <c r="I2099" s="175">
        <f>SUM(H2022:H2100)</f>
        <v>67605.5</v>
      </c>
    </row>
    <row r="2100" spans="2:9" x14ac:dyDescent="0.2">
      <c r="B2100" s="262" t="s">
        <v>1862</v>
      </c>
      <c r="C2100" s="263">
        <v>42870</v>
      </c>
      <c r="D2100" s="264" t="s">
        <v>1892</v>
      </c>
      <c r="E2100" s="264" t="s">
        <v>3700</v>
      </c>
      <c r="F2100" s="265">
        <v>100</v>
      </c>
      <c r="G2100" s="265"/>
      <c r="H2100" s="265">
        <f t="shared" si="51"/>
        <v>100</v>
      </c>
    </row>
    <row r="2101" spans="2:9" x14ac:dyDescent="0.2">
      <c r="B2101" s="262" t="s">
        <v>1866</v>
      </c>
      <c r="C2101" s="263">
        <v>42872</v>
      </c>
      <c r="D2101" s="264" t="s">
        <v>1890</v>
      </c>
      <c r="E2101" s="264" t="s">
        <v>3663</v>
      </c>
      <c r="F2101" s="265">
        <v>219</v>
      </c>
      <c r="G2101" s="265"/>
      <c r="H2101" s="265">
        <f t="shared" si="51"/>
        <v>219</v>
      </c>
    </row>
    <row r="2102" spans="2:9" x14ac:dyDescent="0.2">
      <c r="B2102" s="262" t="s">
        <v>1881</v>
      </c>
      <c r="C2102" s="263">
        <v>42873</v>
      </c>
      <c r="D2102" s="264" t="s">
        <v>2419</v>
      </c>
      <c r="E2102" s="264" t="s">
        <v>4077</v>
      </c>
      <c r="F2102" s="265">
        <v>350</v>
      </c>
      <c r="G2102" s="265"/>
      <c r="H2102" s="265">
        <f t="shared" si="51"/>
        <v>350</v>
      </c>
    </row>
    <row r="2103" spans="2:9" x14ac:dyDescent="0.2">
      <c r="B2103" s="262" t="s">
        <v>1881</v>
      </c>
      <c r="C2103" s="263">
        <v>42874</v>
      </c>
      <c r="D2103" s="264" t="s">
        <v>1906</v>
      </c>
      <c r="E2103" s="264" t="s">
        <v>4078</v>
      </c>
      <c r="F2103" s="265">
        <v>340</v>
      </c>
      <c r="G2103" s="265"/>
      <c r="H2103" s="265">
        <f t="shared" si="51"/>
        <v>340</v>
      </c>
    </row>
    <row r="2104" spans="2:9" x14ac:dyDescent="0.2">
      <c r="B2104" s="262" t="s">
        <v>1866</v>
      </c>
      <c r="C2104" s="263">
        <v>42874</v>
      </c>
      <c r="D2104" s="264" t="s">
        <v>1890</v>
      </c>
      <c r="E2104" s="264" t="s">
        <v>4079</v>
      </c>
      <c r="F2104" s="265">
        <v>385</v>
      </c>
      <c r="G2104" s="265"/>
      <c r="H2104" s="265">
        <f t="shared" si="51"/>
        <v>385</v>
      </c>
    </row>
    <row r="2105" spans="2:9" x14ac:dyDescent="0.2">
      <c r="B2105" s="262" t="s">
        <v>1862</v>
      </c>
      <c r="C2105" s="263">
        <v>42874</v>
      </c>
      <c r="D2105" s="264" t="s">
        <v>1892</v>
      </c>
      <c r="E2105" s="264" t="s">
        <v>4080</v>
      </c>
      <c r="F2105" s="265">
        <v>1200</v>
      </c>
      <c r="G2105" s="265"/>
      <c r="H2105" s="265">
        <f t="shared" si="51"/>
        <v>1200</v>
      </c>
    </row>
    <row r="2106" spans="2:9" x14ac:dyDescent="0.2">
      <c r="B2106" s="262" t="s">
        <v>1862</v>
      </c>
      <c r="C2106" s="263">
        <v>42874</v>
      </c>
      <c r="D2106" s="264" t="s">
        <v>1892</v>
      </c>
      <c r="E2106" s="264" t="s">
        <v>4081</v>
      </c>
      <c r="F2106" s="265">
        <v>1400</v>
      </c>
      <c r="G2106" s="265"/>
      <c r="H2106" s="265">
        <f t="shared" si="51"/>
        <v>1400</v>
      </c>
    </row>
    <row r="2107" spans="2:9" x14ac:dyDescent="0.2">
      <c r="B2107" s="262" t="s">
        <v>1860</v>
      </c>
      <c r="C2107" s="263">
        <v>42874</v>
      </c>
      <c r="D2107" s="264" t="s">
        <v>3939</v>
      </c>
      <c r="E2107" s="264" t="s">
        <v>4082</v>
      </c>
      <c r="F2107" s="265">
        <v>440</v>
      </c>
      <c r="G2107" s="265"/>
      <c r="H2107" s="265">
        <f t="shared" si="51"/>
        <v>440</v>
      </c>
    </row>
    <row r="2108" spans="2:9" x14ac:dyDescent="0.2">
      <c r="B2108" s="262" t="s">
        <v>1884</v>
      </c>
      <c r="C2108" s="263">
        <v>42874</v>
      </c>
      <c r="D2108" s="264" t="s">
        <v>1911</v>
      </c>
      <c r="E2108" s="264" t="s">
        <v>4083</v>
      </c>
      <c r="F2108" s="265">
        <v>350</v>
      </c>
      <c r="G2108" s="265"/>
      <c r="H2108" s="265">
        <f t="shared" si="51"/>
        <v>350</v>
      </c>
    </row>
    <row r="2109" spans="2:9" x14ac:dyDescent="0.2">
      <c r="B2109" s="262" t="s">
        <v>1884</v>
      </c>
      <c r="C2109" s="263">
        <v>42874</v>
      </c>
      <c r="D2109" s="264" t="s">
        <v>1912</v>
      </c>
      <c r="E2109" s="264" t="s">
        <v>4084</v>
      </c>
      <c r="F2109" s="265">
        <v>398</v>
      </c>
      <c r="G2109" s="265"/>
      <c r="H2109" s="265">
        <f t="shared" si="51"/>
        <v>398</v>
      </c>
    </row>
    <row r="2110" spans="2:9" x14ac:dyDescent="0.2">
      <c r="B2110" s="262" t="s">
        <v>1805</v>
      </c>
      <c r="C2110" s="263">
        <v>42874</v>
      </c>
      <c r="D2110" s="264" t="s">
        <v>3565</v>
      </c>
      <c r="E2110" s="264" t="s">
        <v>4085</v>
      </c>
      <c r="F2110" s="265">
        <v>1000</v>
      </c>
      <c r="G2110" s="265"/>
      <c r="H2110" s="265">
        <f t="shared" si="51"/>
        <v>1000</v>
      </c>
    </row>
    <row r="2111" spans="2:9" x14ac:dyDescent="0.2">
      <c r="B2111" s="262" t="s">
        <v>1866</v>
      </c>
      <c r="C2111" s="263">
        <v>42875</v>
      </c>
      <c r="D2111" s="264" t="s">
        <v>1890</v>
      </c>
      <c r="E2111" s="264" t="s">
        <v>4086</v>
      </c>
      <c r="F2111" s="265">
        <v>220</v>
      </c>
      <c r="G2111" s="265"/>
      <c r="H2111" s="265">
        <f t="shared" si="51"/>
        <v>220</v>
      </c>
    </row>
    <row r="2112" spans="2:9" x14ac:dyDescent="0.2">
      <c r="B2112" s="262" t="s">
        <v>1863</v>
      </c>
      <c r="C2112" s="263">
        <v>42875</v>
      </c>
      <c r="D2112" s="264" t="s">
        <v>1878</v>
      </c>
      <c r="E2112" s="264" t="s">
        <v>4087</v>
      </c>
      <c r="F2112" s="265">
        <v>500</v>
      </c>
      <c r="G2112" s="265"/>
      <c r="H2112" s="265">
        <f t="shared" si="51"/>
        <v>500</v>
      </c>
    </row>
    <row r="2113" spans="2:8" x14ac:dyDescent="0.2">
      <c r="B2113" s="262" t="s">
        <v>1884</v>
      </c>
      <c r="C2113" s="263">
        <v>42875</v>
      </c>
      <c r="D2113" s="264" t="s">
        <v>4025</v>
      </c>
      <c r="E2113" s="264" t="s">
        <v>4088</v>
      </c>
      <c r="F2113" s="265">
        <v>350</v>
      </c>
      <c r="G2113" s="265"/>
      <c r="H2113" s="265">
        <f t="shared" si="51"/>
        <v>350</v>
      </c>
    </row>
    <row r="2114" spans="2:8" x14ac:dyDescent="0.2">
      <c r="B2114" s="262" t="s">
        <v>1884</v>
      </c>
      <c r="C2114" s="263">
        <v>42876</v>
      </c>
      <c r="D2114" s="264" t="s">
        <v>1915</v>
      </c>
      <c r="E2114" s="264" t="s">
        <v>4089</v>
      </c>
      <c r="F2114" s="265">
        <v>500</v>
      </c>
      <c r="G2114" s="265"/>
      <c r="H2114" s="265">
        <f t="shared" si="51"/>
        <v>500</v>
      </c>
    </row>
    <row r="2115" spans="2:8" x14ac:dyDescent="0.2">
      <c r="B2115" s="262" t="s">
        <v>1860</v>
      </c>
      <c r="C2115" s="263">
        <v>42876</v>
      </c>
      <c r="D2115" s="264" t="s">
        <v>1891</v>
      </c>
      <c r="E2115" s="264" t="s">
        <v>4090</v>
      </c>
      <c r="F2115" s="265">
        <v>1393</v>
      </c>
      <c r="G2115" s="265"/>
      <c r="H2115" s="265">
        <f t="shared" si="51"/>
        <v>1393</v>
      </c>
    </row>
    <row r="2116" spans="2:8" x14ac:dyDescent="0.2">
      <c r="B2116" s="262" t="s">
        <v>1881</v>
      </c>
      <c r="C2116" s="263">
        <v>42876</v>
      </c>
      <c r="D2116" s="264" t="s">
        <v>2250</v>
      </c>
      <c r="E2116" s="264" t="s">
        <v>4091</v>
      </c>
      <c r="F2116" s="265">
        <v>120</v>
      </c>
      <c r="G2116" s="265"/>
      <c r="H2116" s="265">
        <f t="shared" si="51"/>
        <v>120</v>
      </c>
    </row>
    <row r="2117" spans="2:8" x14ac:dyDescent="0.2">
      <c r="B2117" s="262" t="s">
        <v>1863</v>
      </c>
      <c r="C2117" s="263">
        <v>42876</v>
      </c>
      <c r="D2117" s="264" t="s">
        <v>2250</v>
      </c>
      <c r="E2117" s="264" t="s">
        <v>3381</v>
      </c>
      <c r="F2117" s="265">
        <v>150</v>
      </c>
      <c r="G2117" s="265"/>
      <c r="H2117" s="265">
        <f t="shared" si="51"/>
        <v>150</v>
      </c>
    </row>
    <row r="2118" spans="2:8" x14ac:dyDescent="0.2">
      <c r="B2118" s="262" t="s">
        <v>1864</v>
      </c>
      <c r="C2118" s="263">
        <v>42876</v>
      </c>
      <c r="D2118" s="264" t="s">
        <v>2535</v>
      </c>
      <c r="E2118" s="264" t="s">
        <v>3340</v>
      </c>
      <c r="F2118" s="265">
        <v>210</v>
      </c>
      <c r="G2118" s="265"/>
      <c r="H2118" s="265">
        <f t="shared" si="51"/>
        <v>210</v>
      </c>
    </row>
    <row r="2119" spans="2:8" x14ac:dyDescent="0.2">
      <c r="B2119" s="262" t="s">
        <v>1864</v>
      </c>
      <c r="C2119" s="263">
        <v>42877</v>
      </c>
      <c r="D2119" s="264" t="s">
        <v>3565</v>
      </c>
      <c r="E2119" s="264" t="s">
        <v>4092</v>
      </c>
      <c r="F2119" s="265">
        <v>400</v>
      </c>
      <c r="G2119" s="265"/>
      <c r="H2119" s="265">
        <f t="shared" si="51"/>
        <v>400</v>
      </c>
    </row>
    <row r="2120" spans="2:8" x14ac:dyDescent="0.2">
      <c r="B2120" s="262" t="s">
        <v>1862</v>
      </c>
      <c r="C2120" s="263">
        <v>42877</v>
      </c>
      <c r="D2120" s="264" t="s">
        <v>1892</v>
      </c>
      <c r="E2120" s="264" t="s">
        <v>4098</v>
      </c>
      <c r="F2120" s="265">
        <v>300</v>
      </c>
      <c r="G2120" s="265"/>
      <c r="H2120" s="265">
        <f t="shared" si="51"/>
        <v>300</v>
      </c>
    </row>
    <row r="2121" spans="2:8" x14ac:dyDescent="0.2">
      <c r="B2121" s="262" t="s">
        <v>1875</v>
      </c>
      <c r="C2121" s="263">
        <v>42878</v>
      </c>
      <c r="D2121" s="264" t="s">
        <v>1893</v>
      </c>
      <c r="E2121" s="264" t="s">
        <v>2109</v>
      </c>
      <c r="F2121" s="265">
        <v>329</v>
      </c>
      <c r="G2121" s="265"/>
      <c r="H2121" s="265">
        <f t="shared" si="51"/>
        <v>329</v>
      </c>
    </row>
    <row r="2122" spans="2:8" x14ac:dyDescent="0.2">
      <c r="B2122" s="262" t="s">
        <v>1870</v>
      </c>
      <c r="C2122" s="263">
        <v>42879</v>
      </c>
      <c r="D2122" s="264" t="s">
        <v>1892</v>
      </c>
      <c r="E2122" s="264" t="s">
        <v>4099</v>
      </c>
      <c r="F2122" s="265">
        <v>250</v>
      </c>
      <c r="G2122" s="265"/>
      <c r="H2122" s="265">
        <f t="shared" si="51"/>
        <v>250</v>
      </c>
    </row>
    <row r="2123" spans="2:8" x14ac:dyDescent="0.2">
      <c r="B2123" s="262" t="s">
        <v>1881</v>
      </c>
      <c r="C2123" s="263">
        <v>42879</v>
      </c>
      <c r="D2123" s="264" t="s">
        <v>1906</v>
      </c>
      <c r="E2123" s="264" t="s">
        <v>4100</v>
      </c>
      <c r="F2123" s="265">
        <v>400</v>
      </c>
      <c r="G2123" s="265"/>
      <c r="H2123" s="265">
        <f t="shared" si="51"/>
        <v>400</v>
      </c>
    </row>
    <row r="2124" spans="2:8" x14ac:dyDescent="0.2">
      <c r="B2124" s="262" t="s">
        <v>1870</v>
      </c>
      <c r="C2124" s="263">
        <v>42879</v>
      </c>
      <c r="D2124" s="264" t="s">
        <v>1892</v>
      </c>
      <c r="E2124" s="264" t="s">
        <v>4101</v>
      </c>
      <c r="F2124" s="265">
        <v>250</v>
      </c>
      <c r="G2124" s="265"/>
      <c r="H2124" s="265">
        <f t="shared" si="51"/>
        <v>250</v>
      </c>
    </row>
    <row r="2125" spans="2:8" x14ac:dyDescent="0.2">
      <c r="B2125" s="262" t="s">
        <v>1879</v>
      </c>
      <c r="C2125" s="263">
        <v>42879</v>
      </c>
      <c r="D2125" s="264" t="s">
        <v>1892</v>
      </c>
      <c r="E2125" s="264" t="s">
        <v>3944</v>
      </c>
      <c r="F2125" s="265">
        <v>350</v>
      </c>
      <c r="G2125" s="265"/>
      <c r="H2125" s="265">
        <f t="shared" si="51"/>
        <v>350</v>
      </c>
    </row>
    <row r="2126" spans="2:8" x14ac:dyDescent="0.2">
      <c r="B2126" s="262" t="s">
        <v>1577</v>
      </c>
      <c r="C2126" s="263">
        <v>42879</v>
      </c>
      <c r="D2126" s="264" t="s">
        <v>4027</v>
      </c>
      <c r="E2126" s="264" t="s">
        <v>4102</v>
      </c>
      <c r="F2126" s="265">
        <v>15050</v>
      </c>
      <c r="G2126" s="265"/>
      <c r="H2126" s="265">
        <f t="shared" si="51"/>
        <v>15050</v>
      </c>
    </row>
    <row r="2127" spans="2:8" x14ac:dyDescent="0.2">
      <c r="B2127" s="262" t="s">
        <v>1863</v>
      </c>
      <c r="C2127" s="263">
        <v>42880</v>
      </c>
      <c r="D2127" s="264" t="s">
        <v>3953</v>
      </c>
      <c r="E2127" s="264" t="s">
        <v>4103</v>
      </c>
      <c r="F2127" s="265">
        <v>400</v>
      </c>
      <c r="G2127" s="265"/>
      <c r="H2127" s="265">
        <f t="shared" ref="H2127:H2144" si="52">SUM(F2127:G2127)</f>
        <v>400</v>
      </c>
    </row>
    <row r="2128" spans="2:8" x14ac:dyDescent="0.2">
      <c r="B2128" s="262" t="s">
        <v>1862</v>
      </c>
      <c r="C2128" s="263">
        <v>42880</v>
      </c>
      <c r="D2128" s="264" t="s">
        <v>1892</v>
      </c>
      <c r="E2128" s="264" t="s">
        <v>4104</v>
      </c>
      <c r="F2128" s="265">
        <v>300</v>
      </c>
      <c r="G2128" s="265"/>
      <c r="H2128" s="265">
        <f t="shared" si="52"/>
        <v>300</v>
      </c>
    </row>
    <row r="2129" spans="2:8" x14ac:dyDescent="0.2">
      <c r="B2129" s="262" t="s">
        <v>1870</v>
      </c>
      <c r="C2129" s="263">
        <v>42880</v>
      </c>
      <c r="D2129" s="264" t="s">
        <v>1892</v>
      </c>
      <c r="E2129" s="264" t="s">
        <v>4105</v>
      </c>
      <c r="F2129" s="265">
        <v>300</v>
      </c>
      <c r="G2129" s="265"/>
      <c r="H2129" s="265">
        <f t="shared" si="52"/>
        <v>300</v>
      </c>
    </row>
    <row r="2130" spans="2:8" x14ac:dyDescent="0.2">
      <c r="B2130" s="262" t="s">
        <v>1805</v>
      </c>
      <c r="C2130" s="263">
        <v>42881</v>
      </c>
      <c r="D2130" s="264" t="s">
        <v>3565</v>
      </c>
      <c r="E2130" s="264" t="s">
        <v>4106</v>
      </c>
      <c r="F2130" s="265">
        <v>1000</v>
      </c>
      <c r="G2130" s="265"/>
      <c r="H2130" s="265">
        <f t="shared" si="52"/>
        <v>1000</v>
      </c>
    </row>
    <row r="2131" spans="2:8" x14ac:dyDescent="0.2">
      <c r="B2131" s="262" t="s">
        <v>1865</v>
      </c>
      <c r="C2131" s="263">
        <v>42881</v>
      </c>
      <c r="D2131" s="264" t="s">
        <v>3039</v>
      </c>
      <c r="E2131" s="264" t="s">
        <v>4107</v>
      </c>
      <c r="F2131" s="265">
        <v>350</v>
      </c>
      <c r="G2131" s="265"/>
      <c r="H2131" s="265">
        <f t="shared" si="52"/>
        <v>350</v>
      </c>
    </row>
    <row r="2132" spans="2:8" x14ac:dyDescent="0.2">
      <c r="B2132" s="262" t="s">
        <v>1863</v>
      </c>
      <c r="C2132" s="263">
        <v>42881</v>
      </c>
      <c r="D2132" s="264" t="s">
        <v>3953</v>
      </c>
      <c r="E2132" s="264" t="s">
        <v>4108</v>
      </c>
      <c r="F2132" s="265">
        <v>450</v>
      </c>
      <c r="G2132" s="265"/>
      <c r="H2132" s="265">
        <f t="shared" si="52"/>
        <v>450</v>
      </c>
    </row>
    <row r="2133" spans="2:8" x14ac:dyDescent="0.2">
      <c r="B2133" s="262" t="s">
        <v>1884</v>
      </c>
      <c r="C2133" s="263">
        <v>42881</v>
      </c>
      <c r="D2133" s="264" t="s">
        <v>1915</v>
      </c>
      <c r="E2133" s="264" t="s">
        <v>4109</v>
      </c>
      <c r="F2133" s="265">
        <v>400</v>
      </c>
      <c r="G2133" s="265"/>
      <c r="H2133" s="265">
        <f t="shared" si="52"/>
        <v>400</v>
      </c>
    </row>
    <row r="2134" spans="2:8" x14ac:dyDescent="0.2">
      <c r="B2134" s="262" t="s">
        <v>1884</v>
      </c>
      <c r="C2134" s="263">
        <v>42881</v>
      </c>
      <c r="D2134" s="264" t="s">
        <v>4110</v>
      </c>
      <c r="E2134" s="264" t="s">
        <v>4111</v>
      </c>
      <c r="F2134" s="265">
        <v>402.5</v>
      </c>
      <c r="G2134" s="265"/>
      <c r="H2134" s="265">
        <f t="shared" si="52"/>
        <v>402.5</v>
      </c>
    </row>
    <row r="2135" spans="2:8" x14ac:dyDescent="0.2">
      <c r="B2135" s="262" t="s">
        <v>1863</v>
      </c>
      <c r="C2135" s="263">
        <v>42882</v>
      </c>
      <c r="D2135" s="264" t="s">
        <v>1878</v>
      </c>
      <c r="E2135" s="264" t="s">
        <v>4112</v>
      </c>
      <c r="F2135" s="265">
        <v>500</v>
      </c>
      <c r="G2135" s="265"/>
      <c r="H2135" s="265">
        <f t="shared" si="52"/>
        <v>500</v>
      </c>
    </row>
    <row r="2136" spans="2:8" x14ac:dyDescent="0.2">
      <c r="B2136" s="262" t="s">
        <v>1870</v>
      </c>
      <c r="C2136" s="263">
        <v>42882</v>
      </c>
      <c r="D2136" s="264" t="s">
        <v>1892</v>
      </c>
      <c r="E2136" s="264" t="s">
        <v>4113</v>
      </c>
      <c r="F2136" s="265">
        <v>200</v>
      </c>
      <c r="G2136" s="265"/>
      <c r="H2136" s="265">
        <f t="shared" si="52"/>
        <v>200</v>
      </c>
    </row>
    <row r="2137" spans="2:8" x14ac:dyDescent="0.2">
      <c r="B2137" s="262" t="s">
        <v>1864</v>
      </c>
      <c r="C2137" s="263">
        <v>42883</v>
      </c>
      <c r="D2137" s="264" t="s">
        <v>2535</v>
      </c>
      <c r="E2137" s="264" t="s">
        <v>4114</v>
      </c>
      <c r="F2137" s="265">
        <v>124.5</v>
      </c>
      <c r="G2137" s="265"/>
      <c r="H2137" s="265">
        <f t="shared" si="52"/>
        <v>124.5</v>
      </c>
    </row>
    <row r="2138" spans="2:8" x14ac:dyDescent="0.2">
      <c r="B2138" s="262" t="s">
        <v>1863</v>
      </c>
      <c r="C2138" s="263">
        <v>42883</v>
      </c>
      <c r="D2138" s="264" t="s">
        <v>3953</v>
      </c>
      <c r="E2138" s="264" t="s">
        <v>4115</v>
      </c>
      <c r="F2138" s="265">
        <v>300</v>
      </c>
      <c r="G2138" s="265"/>
      <c r="H2138" s="265">
        <f t="shared" si="52"/>
        <v>300</v>
      </c>
    </row>
    <row r="2139" spans="2:8" x14ac:dyDescent="0.2">
      <c r="B2139" s="262" t="s">
        <v>1863</v>
      </c>
      <c r="C2139" s="263">
        <v>42883</v>
      </c>
      <c r="D2139" s="264" t="s">
        <v>2250</v>
      </c>
      <c r="E2139" s="264" t="s">
        <v>3381</v>
      </c>
      <c r="F2139" s="265">
        <v>150</v>
      </c>
      <c r="G2139" s="265"/>
      <c r="H2139" s="265">
        <f t="shared" si="52"/>
        <v>150</v>
      </c>
    </row>
    <row r="2140" spans="2:8" x14ac:dyDescent="0.2">
      <c r="B2140" s="262" t="s">
        <v>1863</v>
      </c>
      <c r="C2140" s="263">
        <v>42883</v>
      </c>
      <c r="D2140" s="264" t="s">
        <v>3953</v>
      </c>
      <c r="E2140" s="264" t="s">
        <v>4116</v>
      </c>
      <c r="F2140" s="265">
        <v>200</v>
      </c>
      <c r="G2140" s="265"/>
      <c r="H2140" s="265">
        <f t="shared" si="52"/>
        <v>200</v>
      </c>
    </row>
    <row r="2141" spans="2:8" x14ac:dyDescent="0.2">
      <c r="B2141" s="262" t="s">
        <v>1881</v>
      </c>
      <c r="C2141" s="263">
        <v>42883</v>
      </c>
      <c r="D2141" s="264" t="s">
        <v>2250</v>
      </c>
      <c r="E2141" s="264" t="s">
        <v>2636</v>
      </c>
      <c r="F2141" s="265">
        <v>120</v>
      </c>
      <c r="G2141" s="265"/>
      <c r="H2141" s="265">
        <f t="shared" si="52"/>
        <v>120</v>
      </c>
    </row>
    <row r="2142" spans="2:8" x14ac:dyDescent="0.2">
      <c r="B2142" s="262" t="s">
        <v>1863</v>
      </c>
      <c r="C2142" s="263">
        <v>42883</v>
      </c>
      <c r="D2142" s="264" t="s">
        <v>3953</v>
      </c>
      <c r="E2142" s="264" t="s">
        <v>4117</v>
      </c>
      <c r="F2142" s="265">
        <v>110.11</v>
      </c>
      <c r="G2142" s="265"/>
      <c r="H2142" s="265">
        <f t="shared" si="52"/>
        <v>110.11</v>
      </c>
    </row>
    <row r="2143" spans="2:8" x14ac:dyDescent="0.2">
      <c r="B2143" s="262" t="s">
        <v>1864</v>
      </c>
      <c r="C2143" s="263">
        <v>42884</v>
      </c>
      <c r="D2143" s="264" t="s">
        <v>3565</v>
      </c>
      <c r="E2143" s="264" t="s">
        <v>4118</v>
      </c>
      <c r="F2143" s="265">
        <v>400</v>
      </c>
      <c r="G2143" s="265"/>
      <c r="H2143" s="265">
        <f t="shared" si="52"/>
        <v>400</v>
      </c>
    </row>
    <row r="2144" spans="2:8" x14ac:dyDescent="0.2">
      <c r="B2144" s="262" t="s">
        <v>1866</v>
      </c>
      <c r="C2144" s="263">
        <v>42884</v>
      </c>
      <c r="D2144" s="264" t="s">
        <v>1890</v>
      </c>
      <c r="E2144" s="264" t="s">
        <v>4079</v>
      </c>
      <c r="F2144" s="265">
        <v>374</v>
      </c>
      <c r="G2144" s="265"/>
      <c r="H2144" s="265">
        <f t="shared" si="52"/>
        <v>374</v>
      </c>
    </row>
    <row r="2145" spans="2:9" x14ac:dyDescent="0.2">
      <c r="B2145" s="262" t="s">
        <v>1863</v>
      </c>
      <c r="C2145" s="263">
        <v>42884</v>
      </c>
      <c r="D2145" s="264" t="s">
        <v>4025</v>
      </c>
      <c r="E2145" s="264" t="s">
        <v>4119</v>
      </c>
      <c r="F2145" s="265">
        <v>370</v>
      </c>
      <c r="G2145" s="265"/>
      <c r="H2145" s="265">
        <f t="shared" ref="H2145:H2160" si="53">SUM(F2145:G2145)</f>
        <v>370</v>
      </c>
    </row>
    <row r="2146" spans="2:9" x14ac:dyDescent="0.2">
      <c r="B2146" s="262" t="s">
        <v>1881</v>
      </c>
      <c r="C2146" s="263">
        <v>42884</v>
      </c>
      <c r="D2146" s="264" t="s">
        <v>4025</v>
      </c>
      <c r="E2146" s="264" t="s">
        <v>4120</v>
      </c>
      <c r="F2146" s="265">
        <v>100</v>
      </c>
      <c r="G2146" s="265"/>
      <c r="H2146" s="265">
        <f t="shared" si="53"/>
        <v>100</v>
      </c>
    </row>
    <row r="2147" spans="2:9" x14ac:dyDescent="0.2">
      <c r="B2147" s="262" t="s">
        <v>1577</v>
      </c>
      <c r="C2147" s="263">
        <v>42884</v>
      </c>
      <c r="D2147" s="264" t="s">
        <v>4027</v>
      </c>
      <c r="E2147" s="264" t="s">
        <v>4121</v>
      </c>
      <c r="F2147" s="265">
        <v>15050</v>
      </c>
      <c r="G2147" s="265"/>
      <c r="H2147" s="265">
        <f t="shared" si="53"/>
        <v>15050</v>
      </c>
    </row>
    <row r="2148" spans="2:9" x14ac:dyDescent="0.2">
      <c r="B2148" s="262" t="s">
        <v>1862</v>
      </c>
      <c r="C2148" s="263">
        <v>42886</v>
      </c>
      <c r="D2148" s="264" t="s">
        <v>1892</v>
      </c>
      <c r="E2148" s="264" t="s">
        <v>4098</v>
      </c>
      <c r="F2148" s="265">
        <v>300</v>
      </c>
      <c r="G2148" s="265"/>
      <c r="H2148" s="265">
        <f t="shared" si="53"/>
        <v>300</v>
      </c>
    </row>
    <row r="2149" spans="2:9" x14ac:dyDescent="0.2">
      <c r="B2149" s="262" t="s">
        <v>1881</v>
      </c>
      <c r="C2149" s="263">
        <v>42886</v>
      </c>
      <c r="D2149" s="264" t="s">
        <v>2250</v>
      </c>
      <c r="E2149" s="264" t="s">
        <v>4124</v>
      </c>
      <c r="F2149" s="265">
        <v>300</v>
      </c>
      <c r="G2149" s="265"/>
      <c r="H2149" s="265">
        <f t="shared" si="53"/>
        <v>300</v>
      </c>
    </row>
    <row r="2150" spans="2:9" x14ac:dyDescent="0.2">
      <c r="B2150" s="262" t="s">
        <v>1859</v>
      </c>
      <c r="C2150" s="263">
        <v>42886</v>
      </c>
      <c r="D2150" s="264" t="s">
        <v>1911</v>
      </c>
      <c r="E2150" s="264" t="s">
        <v>4122</v>
      </c>
      <c r="F2150" s="265">
        <v>4000</v>
      </c>
      <c r="G2150" s="265"/>
      <c r="H2150" s="265">
        <f t="shared" si="53"/>
        <v>4000</v>
      </c>
    </row>
    <row r="2151" spans="2:9" x14ac:dyDescent="0.2">
      <c r="B2151" s="262" t="s">
        <v>1881</v>
      </c>
      <c r="C2151" s="263">
        <v>42886</v>
      </c>
      <c r="D2151" s="264" t="s">
        <v>1873</v>
      </c>
      <c r="E2151" s="264" t="s">
        <v>4123</v>
      </c>
      <c r="F2151" s="265">
        <v>450</v>
      </c>
      <c r="G2151" s="265"/>
      <c r="H2151" s="265">
        <f t="shared" si="53"/>
        <v>450</v>
      </c>
      <c r="I2151" s="175">
        <f>SUM(H2022:H2151)</f>
        <v>121110.61</v>
      </c>
    </row>
    <row r="2152" spans="2:9" x14ac:dyDescent="0.2">
      <c r="B2152" s="262" t="s">
        <v>1887</v>
      </c>
      <c r="C2152" s="263">
        <v>42860</v>
      </c>
      <c r="D2152" s="264" t="s">
        <v>1534</v>
      </c>
      <c r="E2152" s="264" t="s">
        <v>1536</v>
      </c>
      <c r="F2152" s="265">
        <v>-0.46</v>
      </c>
      <c r="G2152" s="265"/>
      <c r="H2152" s="265">
        <f t="shared" si="53"/>
        <v>-0.46</v>
      </c>
    </row>
    <row r="2153" spans="2:9" x14ac:dyDescent="0.2">
      <c r="B2153" s="262" t="s">
        <v>1887</v>
      </c>
      <c r="C2153" s="263">
        <v>42864</v>
      </c>
      <c r="D2153" s="264" t="s">
        <v>3367</v>
      </c>
      <c r="E2153" s="264" t="s">
        <v>1536</v>
      </c>
      <c r="F2153" s="265">
        <v>-0.28999999999999998</v>
      </c>
      <c r="G2153" s="265"/>
      <c r="H2153" s="265">
        <f t="shared" si="53"/>
        <v>-0.28999999999999998</v>
      </c>
    </row>
    <row r="2154" spans="2:9" x14ac:dyDescent="0.2">
      <c r="B2154" s="262" t="s">
        <v>1790</v>
      </c>
      <c r="C2154" s="263">
        <v>42877</v>
      </c>
      <c r="D2154" s="361" t="s">
        <v>1909</v>
      </c>
      <c r="E2154" s="361" t="s">
        <v>4208</v>
      </c>
      <c r="F2154" s="362"/>
      <c r="G2154" s="362">
        <v>-1760</v>
      </c>
      <c r="H2154" s="265">
        <f t="shared" si="53"/>
        <v>-1760</v>
      </c>
    </row>
    <row r="2155" spans="2:9" x14ac:dyDescent="0.2">
      <c r="B2155" s="262" t="s">
        <v>1887</v>
      </c>
      <c r="C2155" s="263">
        <v>42886</v>
      </c>
      <c r="D2155" s="361" t="s">
        <v>1597</v>
      </c>
      <c r="E2155" s="361" t="s">
        <v>2229</v>
      </c>
      <c r="F2155" s="362">
        <v>14</v>
      </c>
      <c r="G2155" s="362"/>
      <c r="H2155" s="362">
        <f t="shared" si="53"/>
        <v>14</v>
      </c>
    </row>
    <row r="2156" spans="2:9" x14ac:dyDescent="0.2">
      <c r="B2156" s="262" t="s">
        <v>1790</v>
      </c>
      <c r="C2156" s="263">
        <v>42886</v>
      </c>
      <c r="D2156" s="361" t="s">
        <v>1597</v>
      </c>
      <c r="E2156" s="361" t="s">
        <v>2230</v>
      </c>
      <c r="F2156" s="362"/>
      <c r="G2156" s="362">
        <v>2.2400000000000002</v>
      </c>
      <c r="H2156" s="362">
        <f t="shared" si="53"/>
        <v>2.2400000000000002</v>
      </c>
      <c r="I2156" s="175">
        <f>SUM(H2022:H2156)</f>
        <v>119366.1</v>
      </c>
    </row>
    <row r="2157" spans="2:9" x14ac:dyDescent="0.2">
      <c r="B2157" s="262"/>
      <c r="C2157" s="263"/>
      <c r="D2157" s="264"/>
      <c r="E2157" s="264"/>
      <c r="F2157" s="265"/>
      <c r="G2157" s="265"/>
      <c r="H2157" s="265">
        <f t="shared" si="53"/>
        <v>0</v>
      </c>
    </row>
    <row r="2158" spans="2:9" x14ac:dyDescent="0.2">
      <c r="B2158" s="262"/>
      <c r="C2158" s="263"/>
      <c r="D2158" s="264"/>
      <c r="E2158" s="264"/>
      <c r="F2158" s="265"/>
      <c r="G2158" s="265"/>
      <c r="H2158" s="265">
        <f t="shared" si="53"/>
        <v>0</v>
      </c>
    </row>
    <row r="2159" spans="2:9" ht="18" customHeight="1" x14ac:dyDescent="0.2">
      <c r="B2159" s="255" t="s">
        <v>1850</v>
      </c>
      <c r="C2159" s="255" t="s">
        <v>1851</v>
      </c>
      <c r="D2159" s="256" t="s">
        <v>1852</v>
      </c>
      <c r="E2159" s="256" t="s">
        <v>1853</v>
      </c>
      <c r="F2159" s="257" t="s">
        <v>1854</v>
      </c>
      <c r="G2159" s="257" t="s">
        <v>1855</v>
      </c>
      <c r="H2159" s="257" t="s">
        <v>1856</v>
      </c>
    </row>
    <row r="2160" spans="2:9" x14ac:dyDescent="0.2">
      <c r="B2160" s="262" t="s">
        <v>1865</v>
      </c>
      <c r="C2160" s="263">
        <v>42887</v>
      </c>
      <c r="D2160" s="264" t="s">
        <v>3039</v>
      </c>
      <c r="E2160" s="264" t="s">
        <v>4127</v>
      </c>
      <c r="F2160" s="265">
        <v>500</v>
      </c>
      <c r="G2160" s="265"/>
      <c r="H2160" s="265">
        <f t="shared" si="53"/>
        <v>500</v>
      </c>
    </row>
    <row r="2161" spans="2:8" x14ac:dyDescent="0.2">
      <c r="B2161" s="262" t="s">
        <v>1881</v>
      </c>
      <c r="C2161" s="263">
        <v>42887</v>
      </c>
      <c r="D2161" s="264" t="s">
        <v>4020</v>
      </c>
      <c r="E2161" s="264" t="s">
        <v>4128</v>
      </c>
      <c r="F2161" s="265">
        <v>1500</v>
      </c>
      <c r="G2161" s="265"/>
      <c r="H2161" s="265">
        <f t="shared" ref="H2161:H2173" si="54">SUM(F2161:G2161)</f>
        <v>1500</v>
      </c>
    </row>
    <row r="2162" spans="2:8" x14ac:dyDescent="0.2">
      <c r="B2162" s="262" t="s">
        <v>1881</v>
      </c>
      <c r="C2162" s="263">
        <v>42887</v>
      </c>
      <c r="D2162" s="264" t="s">
        <v>2535</v>
      </c>
      <c r="E2162" s="264" t="s">
        <v>4129</v>
      </c>
      <c r="F2162" s="265">
        <v>121</v>
      </c>
      <c r="G2162" s="265"/>
      <c r="H2162" s="265">
        <f t="shared" si="54"/>
        <v>121</v>
      </c>
    </row>
    <row r="2163" spans="2:8" x14ac:dyDescent="0.2">
      <c r="B2163" s="262" t="s">
        <v>1881</v>
      </c>
      <c r="C2163" s="263">
        <v>42887</v>
      </c>
      <c r="D2163" s="264" t="s">
        <v>3637</v>
      </c>
      <c r="E2163" s="264" t="s">
        <v>4130</v>
      </c>
      <c r="F2163" s="265">
        <v>500</v>
      </c>
      <c r="G2163" s="265"/>
      <c r="H2163" s="265">
        <f t="shared" si="54"/>
        <v>500</v>
      </c>
    </row>
    <row r="2164" spans="2:8" x14ac:dyDescent="0.2">
      <c r="B2164" s="262" t="s">
        <v>1881</v>
      </c>
      <c r="C2164" s="263">
        <v>42887</v>
      </c>
      <c r="D2164" s="264" t="s">
        <v>2535</v>
      </c>
      <c r="E2164" s="264" t="s">
        <v>4131</v>
      </c>
      <c r="F2164" s="265">
        <v>79</v>
      </c>
      <c r="G2164" s="265"/>
      <c r="H2164" s="265">
        <f t="shared" si="54"/>
        <v>79</v>
      </c>
    </row>
    <row r="2165" spans="2:8" x14ac:dyDescent="0.2">
      <c r="B2165" s="262" t="s">
        <v>1881</v>
      </c>
      <c r="C2165" s="263">
        <v>42887</v>
      </c>
      <c r="D2165" s="264" t="s">
        <v>2419</v>
      </c>
      <c r="E2165" s="264" t="s">
        <v>4132</v>
      </c>
      <c r="F2165" s="265">
        <v>350</v>
      </c>
      <c r="G2165" s="265"/>
      <c r="H2165" s="265">
        <f t="shared" si="54"/>
        <v>350</v>
      </c>
    </row>
    <row r="2166" spans="2:8" x14ac:dyDescent="0.2">
      <c r="B2166" s="262" t="s">
        <v>1881</v>
      </c>
      <c r="C2166" s="263">
        <v>42887</v>
      </c>
      <c r="D2166" s="264" t="s">
        <v>2262</v>
      </c>
      <c r="E2166" s="264" t="s">
        <v>4133</v>
      </c>
      <c r="F2166" s="265">
        <v>157</v>
      </c>
      <c r="G2166" s="265"/>
      <c r="H2166" s="265">
        <f t="shared" si="54"/>
        <v>157</v>
      </c>
    </row>
    <row r="2167" spans="2:8" x14ac:dyDescent="0.2">
      <c r="B2167" s="262" t="s">
        <v>1881</v>
      </c>
      <c r="C2167" s="263">
        <v>42887</v>
      </c>
      <c r="D2167" s="264" t="s">
        <v>1906</v>
      </c>
      <c r="E2167" s="264" t="s">
        <v>4134</v>
      </c>
      <c r="F2167" s="265">
        <v>400</v>
      </c>
      <c r="G2167" s="265"/>
      <c r="H2167" s="265">
        <f t="shared" si="54"/>
        <v>400</v>
      </c>
    </row>
    <row r="2168" spans="2:8" x14ac:dyDescent="0.2">
      <c r="B2168" s="262" t="s">
        <v>1881</v>
      </c>
      <c r="C2168" s="263">
        <v>42887</v>
      </c>
      <c r="D2168" s="264" t="s">
        <v>2535</v>
      </c>
      <c r="E2168" s="264" t="s">
        <v>4010</v>
      </c>
      <c r="F2168" s="265">
        <v>111</v>
      </c>
      <c r="G2168" s="265"/>
      <c r="H2168" s="265">
        <f t="shared" si="54"/>
        <v>111</v>
      </c>
    </row>
    <row r="2169" spans="2:8" x14ac:dyDescent="0.2">
      <c r="B2169" s="262" t="s">
        <v>1862</v>
      </c>
      <c r="C2169" s="263">
        <v>42887</v>
      </c>
      <c r="D2169" s="264" t="s">
        <v>1892</v>
      </c>
      <c r="E2169" s="264" t="s">
        <v>3905</v>
      </c>
      <c r="F2169" s="265">
        <v>2100</v>
      </c>
      <c r="G2169" s="265"/>
      <c r="H2169" s="265">
        <f t="shared" si="54"/>
        <v>2100</v>
      </c>
    </row>
    <row r="2170" spans="2:8" x14ac:dyDescent="0.2">
      <c r="B2170" s="262" t="s">
        <v>1884</v>
      </c>
      <c r="C2170" s="263">
        <v>42888</v>
      </c>
      <c r="D2170" s="264" t="s">
        <v>1911</v>
      </c>
      <c r="E2170" s="264" t="s">
        <v>3924</v>
      </c>
      <c r="F2170" s="265">
        <v>130</v>
      </c>
      <c r="G2170" s="265"/>
      <c r="H2170" s="265">
        <f t="shared" si="54"/>
        <v>130</v>
      </c>
    </row>
    <row r="2171" spans="2:8" x14ac:dyDescent="0.2">
      <c r="B2171" s="262" t="s">
        <v>1805</v>
      </c>
      <c r="C2171" s="263">
        <v>42888</v>
      </c>
      <c r="D2171" s="264" t="s">
        <v>3565</v>
      </c>
      <c r="E2171" s="264" t="s">
        <v>4135</v>
      </c>
      <c r="F2171" s="265">
        <v>1000</v>
      </c>
      <c r="G2171" s="265"/>
      <c r="H2171" s="265">
        <f t="shared" si="54"/>
        <v>1000</v>
      </c>
    </row>
    <row r="2172" spans="2:8" x14ac:dyDescent="0.2">
      <c r="B2172" s="262" t="s">
        <v>1881</v>
      </c>
      <c r="C2172" s="263">
        <v>42796</v>
      </c>
      <c r="D2172" s="264" t="s">
        <v>1873</v>
      </c>
      <c r="E2172" s="264" t="s">
        <v>4136</v>
      </c>
      <c r="F2172" s="265">
        <v>200</v>
      </c>
      <c r="G2172" s="265"/>
      <c r="H2172" s="265">
        <f t="shared" si="54"/>
        <v>200</v>
      </c>
    </row>
    <row r="2173" spans="2:8" x14ac:dyDescent="0.2">
      <c r="B2173" s="262" t="s">
        <v>1881</v>
      </c>
      <c r="C2173" s="263">
        <v>42889</v>
      </c>
      <c r="D2173" s="264" t="s">
        <v>4025</v>
      </c>
      <c r="E2173" s="264" t="s">
        <v>4137</v>
      </c>
      <c r="F2173" s="265">
        <v>250</v>
      </c>
      <c r="G2173" s="265"/>
      <c r="H2173" s="265">
        <f t="shared" si="54"/>
        <v>250</v>
      </c>
    </row>
    <row r="2174" spans="2:8" x14ac:dyDescent="0.2">
      <c r="B2174" s="262" t="s">
        <v>1863</v>
      </c>
      <c r="C2174" s="263">
        <v>42889</v>
      </c>
      <c r="D2174" s="264" t="s">
        <v>1878</v>
      </c>
      <c r="E2174" s="264" t="s">
        <v>4138</v>
      </c>
      <c r="F2174" s="265">
        <v>500</v>
      </c>
      <c r="G2174" s="265"/>
      <c r="H2174" s="265">
        <f t="shared" ref="H2174:H2185" si="55">SUM(F2174:G2174)</f>
        <v>500</v>
      </c>
    </row>
    <row r="2175" spans="2:8" x14ac:dyDescent="0.2">
      <c r="B2175" s="262" t="s">
        <v>1864</v>
      </c>
      <c r="C2175" s="263">
        <v>42890</v>
      </c>
      <c r="D2175" s="264" t="s">
        <v>2535</v>
      </c>
      <c r="E2175" s="264" t="s">
        <v>2987</v>
      </c>
      <c r="F2175" s="265">
        <v>88.5</v>
      </c>
      <c r="G2175" s="265"/>
      <c r="H2175" s="265">
        <f t="shared" si="55"/>
        <v>88.5</v>
      </c>
    </row>
    <row r="2176" spans="2:8" x14ac:dyDescent="0.2">
      <c r="B2176" s="262" t="s">
        <v>1863</v>
      </c>
      <c r="C2176" s="263">
        <v>42890</v>
      </c>
      <c r="D2176" s="264" t="s">
        <v>2250</v>
      </c>
      <c r="E2176" s="264" t="s">
        <v>3381</v>
      </c>
      <c r="F2176" s="265">
        <v>150</v>
      </c>
      <c r="G2176" s="265"/>
      <c r="H2176" s="265">
        <f t="shared" si="55"/>
        <v>150</v>
      </c>
    </row>
    <row r="2177" spans="2:9" x14ac:dyDescent="0.2">
      <c r="B2177" s="262" t="s">
        <v>1881</v>
      </c>
      <c r="C2177" s="263">
        <v>42890</v>
      </c>
      <c r="D2177" s="264" t="s">
        <v>2250</v>
      </c>
      <c r="E2177" s="264" t="s">
        <v>2636</v>
      </c>
      <c r="F2177" s="265">
        <v>120</v>
      </c>
      <c r="G2177" s="265"/>
      <c r="H2177" s="265">
        <f t="shared" si="55"/>
        <v>120</v>
      </c>
    </row>
    <row r="2178" spans="2:9" x14ac:dyDescent="0.2">
      <c r="B2178" s="262" t="s">
        <v>1864</v>
      </c>
      <c r="C2178" s="263">
        <v>42891</v>
      </c>
      <c r="D2178" s="264" t="s">
        <v>3565</v>
      </c>
      <c r="E2178" s="264" t="s">
        <v>4139</v>
      </c>
      <c r="F2178" s="265">
        <v>400</v>
      </c>
      <c r="G2178" s="265"/>
      <c r="H2178" s="265">
        <f t="shared" si="55"/>
        <v>400</v>
      </c>
    </row>
    <row r="2179" spans="2:9" x14ac:dyDescent="0.2">
      <c r="B2179" s="262" t="s">
        <v>1866</v>
      </c>
      <c r="C2179" s="263">
        <v>42891</v>
      </c>
      <c r="D2179" s="264" t="s">
        <v>1890</v>
      </c>
      <c r="E2179" s="264" t="s">
        <v>3789</v>
      </c>
      <c r="F2179" s="265">
        <v>310</v>
      </c>
      <c r="G2179" s="265"/>
      <c r="H2179" s="265">
        <f t="shared" si="55"/>
        <v>310</v>
      </c>
    </row>
    <row r="2180" spans="2:9" x14ac:dyDescent="0.2">
      <c r="B2180" s="262" t="s">
        <v>1865</v>
      </c>
      <c r="C2180" s="263">
        <v>42891</v>
      </c>
      <c r="D2180" s="264" t="s">
        <v>3637</v>
      </c>
      <c r="E2180" s="264" t="s">
        <v>4140</v>
      </c>
      <c r="F2180" s="265">
        <v>300</v>
      </c>
      <c r="G2180" s="265"/>
      <c r="H2180" s="265">
        <f t="shared" si="55"/>
        <v>300</v>
      </c>
    </row>
    <row r="2181" spans="2:9" x14ac:dyDescent="0.2">
      <c r="B2181" s="262" t="s">
        <v>1865</v>
      </c>
      <c r="C2181" s="263">
        <v>42891</v>
      </c>
      <c r="D2181" s="264" t="s">
        <v>3039</v>
      </c>
      <c r="E2181" s="264" t="s">
        <v>4141</v>
      </c>
      <c r="F2181" s="265">
        <v>100</v>
      </c>
      <c r="G2181" s="265"/>
      <c r="H2181" s="265">
        <f t="shared" si="55"/>
        <v>100</v>
      </c>
    </row>
    <row r="2182" spans="2:9" x14ac:dyDescent="0.2">
      <c r="B2182" s="262" t="s">
        <v>1867</v>
      </c>
      <c r="C2182" s="263">
        <v>42892</v>
      </c>
      <c r="D2182" s="264" t="s">
        <v>1894</v>
      </c>
      <c r="E2182" s="264" t="s">
        <v>4142</v>
      </c>
      <c r="F2182" s="265">
        <v>803</v>
      </c>
      <c r="G2182" s="265"/>
      <c r="H2182" s="265">
        <f t="shared" si="55"/>
        <v>803</v>
      </c>
      <c r="I2182" s="175">
        <f>SUM(H2160:H2182)</f>
        <v>10169.5</v>
      </c>
    </row>
    <row r="2183" spans="2:9" x14ac:dyDescent="0.2">
      <c r="B2183" s="262" t="s">
        <v>1790</v>
      </c>
      <c r="C2183" s="263">
        <v>42922</v>
      </c>
      <c r="D2183" s="264" t="s">
        <v>1909</v>
      </c>
      <c r="E2183" s="264" t="s">
        <v>4143</v>
      </c>
      <c r="F2183" s="265"/>
      <c r="G2183" s="265">
        <v>1760</v>
      </c>
      <c r="H2183" s="265">
        <f t="shared" si="55"/>
        <v>1760</v>
      </c>
    </row>
    <row r="2184" spans="2:9" x14ac:dyDescent="0.2">
      <c r="B2184" s="262" t="s">
        <v>1805</v>
      </c>
      <c r="C2184" s="263">
        <v>42922</v>
      </c>
      <c r="D2184" s="264" t="s">
        <v>1888</v>
      </c>
      <c r="E2184" s="264" t="s">
        <v>4144</v>
      </c>
      <c r="F2184" s="265">
        <v>1300</v>
      </c>
      <c r="G2184" s="265"/>
      <c r="H2184" s="265">
        <f t="shared" si="55"/>
        <v>1300</v>
      </c>
    </row>
    <row r="2185" spans="2:9" x14ac:dyDescent="0.2">
      <c r="B2185" s="262" t="s">
        <v>1870</v>
      </c>
      <c r="C2185" s="263">
        <v>42922</v>
      </c>
      <c r="D2185" s="264" t="s">
        <v>1892</v>
      </c>
      <c r="E2185" s="264" t="s">
        <v>4147</v>
      </c>
      <c r="F2185" s="265">
        <v>250</v>
      </c>
      <c r="G2185" s="265"/>
      <c r="H2185" s="265">
        <f t="shared" si="55"/>
        <v>250</v>
      </c>
    </row>
    <row r="2186" spans="2:9" x14ac:dyDescent="0.2">
      <c r="B2186" s="262" t="s">
        <v>1862</v>
      </c>
      <c r="C2186" s="263">
        <v>42892</v>
      </c>
      <c r="D2186" s="264" t="s">
        <v>1892</v>
      </c>
      <c r="E2186" s="264" t="s">
        <v>4148</v>
      </c>
      <c r="F2186" s="265">
        <v>280</v>
      </c>
      <c r="G2186" s="265"/>
      <c r="H2186" s="265">
        <f t="shared" ref="H2186:H2213" si="56">SUM(F2186:G2186)</f>
        <v>280</v>
      </c>
    </row>
    <row r="2187" spans="2:9" x14ac:dyDescent="0.2">
      <c r="B2187" s="262" t="s">
        <v>1805</v>
      </c>
      <c r="C2187" s="263">
        <v>42922</v>
      </c>
      <c r="D2187" s="264" t="s">
        <v>3781</v>
      </c>
      <c r="E2187" s="264" t="s">
        <v>4150</v>
      </c>
      <c r="F2187" s="265">
        <v>100</v>
      </c>
      <c r="G2187" s="265"/>
      <c r="H2187" s="265">
        <f t="shared" si="56"/>
        <v>100</v>
      </c>
    </row>
    <row r="2188" spans="2:9" x14ac:dyDescent="0.2">
      <c r="B2188" s="262" t="s">
        <v>1805</v>
      </c>
      <c r="C2188" s="263">
        <v>42892</v>
      </c>
      <c r="D2188" s="264" t="s">
        <v>2262</v>
      </c>
      <c r="E2188" s="264" t="s">
        <v>4149</v>
      </c>
      <c r="F2188" s="265">
        <v>46</v>
      </c>
      <c r="G2188" s="265"/>
      <c r="H2188" s="265">
        <f t="shared" si="56"/>
        <v>46</v>
      </c>
    </row>
    <row r="2189" spans="2:9" x14ac:dyDescent="0.2">
      <c r="B2189" s="262" t="s">
        <v>1884</v>
      </c>
      <c r="C2189" s="263">
        <v>42895</v>
      </c>
      <c r="D2189" s="264" t="s">
        <v>1911</v>
      </c>
      <c r="E2189" s="264" t="s">
        <v>4151</v>
      </c>
      <c r="F2189" s="265">
        <v>100</v>
      </c>
      <c r="G2189" s="265"/>
      <c r="H2189" s="265">
        <f t="shared" si="56"/>
        <v>100</v>
      </c>
    </row>
    <row r="2190" spans="2:9" x14ac:dyDescent="0.2">
      <c r="B2190" s="262" t="s">
        <v>1863</v>
      </c>
      <c r="C2190" s="263">
        <v>42895</v>
      </c>
      <c r="D2190" s="264" t="s">
        <v>4152</v>
      </c>
      <c r="E2190" s="264" t="s">
        <v>4153</v>
      </c>
      <c r="F2190" s="265">
        <v>406</v>
      </c>
      <c r="G2190" s="265"/>
      <c r="H2190" s="265">
        <f t="shared" si="56"/>
        <v>406</v>
      </c>
    </row>
    <row r="2191" spans="2:9" x14ac:dyDescent="0.2">
      <c r="B2191" s="262" t="s">
        <v>1858</v>
      </c>
      <c r="C2191" s="263">
        <v>42895</v>
      </c>
      <c r="D2191" s="264" t="s">
        <v>4025</v>
      </c>
      <c r="E2191" s="264" t="s">
        <v>4154</v>
      </c>
      <c r="F2191" s="265">
        <v>400</v>
      </c>
      <c r="G2191" s="265"/>
      <c r="H2191" s="265">
        <f t="shared" si="56"/>
        <v>400</v>
      </c>
    </row>
    <row r="2192" spans="2:9" x14ac:dyDescent="0.2">
      <c r="B2192" s="262" t="s">
        <v>1863</v>
      </c>
      <c r="C2192" s="263">
        <v>42895</v>
      </c>
      <c r="D2192" s="264" t="s">
        <v>3637</v>
      </c>
      <c r="E2192" s="264" t="s">
        <v>4155</v>
      </c>
      <c r="F2192" s="265">
        <v>110</v>
      </c>
      <c r="G2192" s="265"/>
      <c r="H2192" s="265">
        <f t="shared" si="56"/>
        <v>110</v>
      </c>
    </row>
    <row r="2193" spans="2:9" x14ac:dyDescent="0.2">
      <c r="B2193" s="262" t="s">
        <v>1884</v>
      </c>
      <c r="C2193" s="263">
        <v>42895</v>
      </c>
      <c r="D2193" s="264" t="s">
        <v>4025</v>
      </c>
      <c r="E2193" s="264" t="s">
        <v>3924</v>
      </c>
      <c r="F2193" s="265">
        <v>148</v>
      </c>
      <c r="G2193" s="265"/>
      <c r="H2193" s="265">
        <f t="shared" si="56"/>
        <v>148</v>
      </c>
    </row>
    <row r="2194" spans="2:9" x14ac:dyDescent="0.2">
      <c r="B2194" s="262" t="s">
        <v>1805</v>
      </c>
      <c r="C2194" s="263">
        <v>42895</v>
      </c>
      <c r="D2194" s="264" t="s">
        <v>3565</v>
      </c>
      <c r="E2194" s="264" t="s">
        <v>4156</v>
      </c>
      <c r="F2194" s="265">
        <v>1000</v>
      </c>
      <c r="G2194" s="265"/>
      <c r="H2194" s="265">
        <f t="shared" si="56"/>
        <v>1000</v>
      </c>
    </row>
    <row r="2195" spans="2:9" x14ac:dyDescent="0.2">
      <c r="B2195" s="262" t="s">
        <v>1863</v>
      </c>
      <c r="C2195" s="263">
        <v>42895</v>
      </c>
      <c r="D2195" s="264" t="s">
        <v>4157</v>
      </c>
      <c r="E2195" s="264" t="s">
        <v>4158</v>
      </c>
      <c r="F2195" s="265">
        <v>390</v>
      </c>
      <c r="G2195" s="265"/>
      <c r="H2195" s="265">
        <f t="shared" si="56"/>
        <v>390</v>
      </c>
    </row>
    <row r="2196" spans="2:9" x14ac:dyDescent="0.2">
      <c r="B2196" s="262" t="s">
        <v>1863</v>
      </c>
      <c r="C2196" s="263">
        <v>42896</v>
      </c>
      <c r="D2196" s="264" t="s">
        <v>1878</v>
      </c>
      <c r="E2196" s="264" t="s">
        <v>4159</v>
      </c>
      <c r="F2196" s="265">
        <v>500</v>
      </c>
      <c r="G2196" s="265"/>
      <c r="H2196" s="265">
        <f t="shared" si="56"/>
        <v>500</v>
      </c>
    </row>
    <row r="2197" spans="2:9" x14ac:dyDescent="0.2">
      <c r="B2197" s="262" t="s">
        <v>1864</v>
      </c>
      <c r="C2197" s="263">
        <v>42897</v>
      </c>
      <c r="D2197" s="264" t="s">
        <v>2535</v>
      </c>
      <c r="E2197" s="264" t="s">
        <v>4160</v>
      </c>
      <c r="F2197" s="265">
        <v>161.5</v>
      </c>
      <c r="G2197" s="265"/>
      <c r="H2197" s="265">
        <f t="shared" si="56"/>
        <v>161.5</v>
      </c>
    </row>
    <row r="2198" spans="2:9" x14ac:dyDescent="0.2">
      <c r="B2198" s="262" t="s">
        <v>1881</v>
      </c>
      <c r="C2198" s="263">
        <v>42897</v>
      </c>
      <c r="D2198" s="264" t="s">
        <v>2250</v>
      </c>
      <c r="E2198" s="264" t="s">
        <v>3381</v>
      </c>
      <c r="F2198" s="265">
        <v>150</v>
      </c>
      <c r="G2198" s="265"/>
      <c r="H2198" s="265">
        <f t="shared" si="56"/>
        <v>150</v>
      </c>
      <c r="I2198" s="175">
        <f>SUM(H2160:H2198)</f>
        <v>17271</v>
      </c>
    </row>
    <row r="2199" spans="2:9" x14ac:dyDescent="0.2">
      <c r="B2199" s="262" t="s">
        <v>1881</v>
      </c>
      <c r="C2199" s="263">
        <v>42897</v>
      </c>
      <c r="D2199" s="264" t="s">
        <v>2250</v>
      </c>
      <c r="E2199" s="264" t="s">
        <v>2636</v>
      </c>
      <c r="F2199" s="265">
        <v>120</v>
      </c>
      <c r="G2199" s="265"/>
      <c r="H2199" s="265">
        <f t="shared" si="56"/>
        <v>120</v>
      </c>
    </row>
    <row r="2200" spans="2:9" x14ac:dyDescent="0.2">
      <c r="B2200" s="262" t="s">
        <v>1864</v>
      </c>
      <c r="C2200" s="263">
        <v>42898</v>
      </c>
      <c r="D2200" s="264" t="s">
        <v>3565</v>
      </c>
      <c r="E2200" s="264" t="s">
        <v>4161</v>
      </c>
      <c r="F2200" s="265">
        <v>400</v>
      </c>
      <c r="G2200" s="265"/>
      <c r="H2200" s="265">
        <f t="shared" si="56"/>
        <v>400</v>
      </c>
    </row>
    <row r="2201" spans="2:9" x14ac:dyDescent="0.2">
      <c r="B2201" s="262" t="s">
        <v>1884</v>
      </c>
      <c r="C2201" s="263">
        <v>42898</v>
      </c>
      <c r="D2201" s="264" t="s">
        <v>2535</v>
      </c>
      <c r="E2201" s="264" t="s">
        <v>4162</v>
      </c>
      <c r="F2201" s="265">
        <v>61.5</v>
      </c>
      <c r="G2201" s="265"/>
      <c r="H2201" s="265">
        <f t="shared" si="56"/>
        <v>61.5</v>
      </c>
    </row>
    <row r="2202" spans="2:9" x14ac:dyDescent="0.2">
      <c r="B2202" s="262" t="s">
        <v>1866</v>
      </c>
      <c r="C2202" s="263">
        <v>42898</v>
      </c>
      <c r="D2202" s="264" t="s">
        <v>1890</v>
      </c>
      <c r="E2202" s="264" t="s">
        <v>3789</v>
      </c>
      <c r="F2202" s="265">
        <v>310</v>
      </c>
      <c r="G2202" s="265"/>
      <c r="H2202" s="265">
        <f t="shared" si="56"/>
        <v>310</v>
      </c>
    </row>
    <row r="2203" spans="2:9" x14ac:dyDescent="0.2">
      <c r="B2203" s="262" t="s">
        <v>1884</v>
      </c>
      <c r="C2203" s="263">
        <v>42898</v>
      </c>
      <c r="D2203" s="264" t="s">
        <v>2535</v>
      </c>
      <c r="E2203" s="264" t="s">
        <v>4163</v>
      </c>
      <c r="F2203" s="265">
        <v>200</v>
      </c>
      <c r="G2203" s="265"/>
      <c r="H2203" s="265">
        <f t="shared" si="56"/>
        <v>200</v>
      </c>
    </row>
    <row r="2204" spans="2:9" x14ac:dyDescent="0.2">
      <c r="B2204" s="262" t="s">
        <v>1879</v>
      </c>
      <c r="C2204" s="263">
        <v>42899</v>
      </c>
      <c r="D2204" s="264" t="s">
        <v>1892</v>
      </c>
      <c r="E2204" s="264" t="s">
        <v>4164</v>
      </c>
      <c r="F2204" s="265">
        <v>700</v>
      </c>
      <c r="G2204" s="265"/>
      <c r="H2204" s="265">
        <f t="shared" si="56"/>
        <v>700</v>
      </c>
    </row>
    <row r="2205" spans="2:9" x14ac:dyDescent="0.2">
      <c r="B2205" s="262" t="s">
        <v>1863</v>
      </c>
      <c r="C2205" s="263">
        <v>42899</v>
      </c>
      <c r="D2205" s="264" t="s">
        <v>1878</v>
      </c>
      <c r="E2205" s="264" t="s">
        <v>4165</v>
      </c>
      <c r="F2205" s="265">
        <v>200</v>
      </c>
      <c r="G2205" s="265"/>
      <c r="H2205" s="265">
        <f t="shared" si="56"/>
        <v>200</v>
      </c>
    </row>
    <row r="2206" spans="2:9" x14ac:dyDescent="0.2">
      <c r="B2206" s="262" t="s">
        <v>1884</v>
      </c>
      <c r="C2206" s="263">
        <v>42899</v>
      </c>
      <c r="D2206" s="264" t="s">
        <v>1912</v>
      </c>
      <c r="E2206" s="264" t="s">
        <v>4166</v>
      </c>
      <c r="F2206" s="265">
        <v>400</v>
      </c>
      <c r="G2206" s="265"/>
      <c r="H2206" s="265">
        <f t="shared" si="56"/>
        <v>400</v>
      </c>
    </row>
    <row r="2207" spans="2:9" x14ac:dyDescent="0.2">
      <c r="B2207" s="262" t="s">
        <v>1860</v>
      </c>
      <c r="C2207" s="263">
        <v>42899</v>
      </c>
      <c r="D2207" s="264" t="s">
        <v>1891</v>
      </c>
      <c r="E2207" s="264" t="s">
        <v>4167</v>
      </c>
      <c r="F2207" s="265">
        <v>149</v>
      </c>
      <c r="G2207" s="265"/>
      <c r="H2207" s="265">
        <f t="shared" si="56"/>
        <v>149</v>
      </c>
    </row>
    <row r="2208" spans="2:9" x14ac:dyDescent="0.2">
      <c r="B2208" s="262" t="s">
        <v>1884</v>
      </c>
      <c r="C2208" s="263">
        <v>42900</v>
      </c>
      <c r="D2208" s="264" t="s">
        <v>4168</v>
      </c>
      <c r="E2208" s="264" t="s">
        <v>4169</v>
      </c>
      <c r="F2208" s="265">
        <v>379</v>
      </c>
      <c r="G2208" s="265"/>
      <c r="H2208" s="265">
        <f t="shared" si="56"/>
        <v>379</v>
      </c>
    </row>
    <row r="2209" spans="2:8" x14ac:dyDescent="0.2">
      <c r="B2209" s="262" t="s">
        <v>1884</v>
      </c>
      <c r="C2209" s="263">
        <v>42900</v>
      </c>
      <c r="D2209" s="264" t="s">
        <v>1921</v>
      </c>
      <c r="E2209" s="264" t="s">
        <v>4170</v>
      </c>
      <c r="F2209" s="265">
        <v>77</v>
      </c>
      <c r="G2209" s="265"/>
      <c r="H2209" s="265">
        <f t="shared" si="56"/>
        <v>77</v>
      </c>
    </row>
    <row r="2210" spans="2:8" x14ac:dyDescent="0.2">
      <c r="B2210" s="262" t="s">
        <v>1863</v>
      </c>
      <c r="C2210" s="263">
        <v>42900</v>
      </c>
      <c r="D2210" s="264" t="s">
        <v>1873</v>
      </c>
      <c r="E2210" s="264" t="s">
        <v>4171</v>
      </c>
      <c r="F2210" s="265">
        <v>100</v>
      </c>
      <c r="G2210" s="265"/>
      <c r="H2210" s="265">
        <f t="shared" si="56"/>
        <v>100</v>
      </c>
    </row>
    <row r="2211" spans="2:8" x14ac:dyDescent="0.2">
      <c r="B2211" s="262" t="s">
        <v>1863</v>
      </c>
      <c r="C2211" s="263">
        <v>42900</v>
      </c>
      <c r="D2211" s="264" t="s">
        <v>1878</v>
      </c>
      <c r="E2211" s="264" t="s">
        <v>4172</v>
      </c>
      <c r="F2211" s="265">
        <v>500</v>
      </c>
      <c r="G2211" s="265"/>
      <c r="H2211" s="265">
        <f t="shared" si="56"/>
        <v>500</v>
      </c>
    </row>
    <row r="2212" spans="2:8" x14ac:dyDescent="0.2">
      <c r="B2212" s="262" t="s">
        <v>1881</v>
      </c>
      <c r="C2212" s="263">
        <v>42901</v>
      </c>
      <c r="D2212" s="264" t="s">
        <v>2250</v>
      </c>
      <c r="E2212" s="264" t="s">
        <v>4173</v>
      </c>
      <c r="F2212" s="265">
        <v>350</v>
      </c>
      <c r="G2212" s="265"/>
      <c r="H2212" s="265">
        <f t="shared" si="56"/>
        <v>350</v>
      </c>
    </row>
    <row r="2213" spans="2:8" x14ac:dyDescent="0.2">
      <c r="B2213" s="262" t="s">
        <v>1881</v>
      </c>
      <c r="C2213" s="263">
        <v>42901</v>
      </c>
      <c r="D2213" s="264" t="s">
        <v>1873</v>
      </c>
      <c r="E2213" s="264" t="s">
        <v>4174</v>
      </c>
      <c r="F2213" s="265">
        <v>450</v>
      </c>
      <c r="G2213" s="265"/>
      <c r="H2213" s="265">
        <f t="shared" si="56"/>
        <v>450</v>
      </c>
    </row>
    <row r="2214" spans="2:8" x14ac:dyDescent="0.2">
      <c r="B2214" s="262" t="s">
        <v>1577</v>
      </c>
      <c r="C2214" s="263">
        <v>42901</v>
      </c>
      <c r="D2214" s="264" t="s">
        <v>4049</v>
      </c>
      <c r="E2214" s="264" t="s">
        <v>4175</v>
      </c>
      <c r="F2214" s="265">
        <v>20100</v>
      </c>
      <c r="G2214" s="265"/>
      <c r="H2214" s="265">
        <f t="shared" ref="H2214:H2230" si="57">SUM(F2214:G2214)</f>
        <v>20100</v>
      </c>
    </row>
    <row r="2215" spans="2:8" x14ac:dyDescent="0.2">
      <c r="B2215" s="262" t="s">
        <v>1577</v>
      </c>
      <c r="C2215" s="263">
        <v>42901</v>
      </c>
      <c r="D2215" s="264" t="s">
        <v>4049</v>
      </c>
      <c r="E2215" s="264" t="s">
        <v>4176</v>
      </c>
      <c r="F2215" s="265">
        <v>10000</v>
      </c>
      <c r="G2215" s="265"/>
      <c r="H2215" s="265">
        <f t="shared" si="57"/>
        <v>10000</v>
      </c>
    </row>
    <row r="2216" spans="2:8" x14ac:dyDescent="0.2">
      <c r="B2216" s="262" t="s">
        <v>1859</v>
      </c>
      <c r="C2216" s="263">
        <v>42901</v>
      </c>
      <c r="D2216" s="264" t="s">
        <v>1911</v>
      </c>
      <c r="E2216" s="264" t="s">
        <v>4177</v>
      </c>
      <c r="F2216" s="265">
        <v>4000</v>
      </c>
      <c r="G2216" s="265"/>
      <c r="H2216" s="265">
        <f t="shared" si="57"/>
        <v>4000</v>
      </c>
    </row>
    <row r="2217" spans="2:8" x14ac:dyDescent="0.2">
      <c r="B2217" s="262" t="s">
        <v>1805</v>
      </c>
      <c r="C2217" s="263">
        <v>42902</v>
      </c>
      <c r="D2217" s="264" t="s">
        <v>3565</v>
      </c>
      <c r="E2217" s="264" t="s">
        <v>4178</v>
      </c>
      <c r="F2217" s="265">
        <v>1000</v>
      </c>
      <c r="G2217" s="265"/>
      <c r="H2217" s="265">
        <f t="shared" si="57"/>
        <v>1000</v>
      </c>
    </row>
    <row r="2218" spans="2:8" x14ac:dyDescent="0.2">
      <c r="B2218" s="262" t="s">
        <v>1863</v>
      </c>
      <c r="C2218" s="263">
        <v>42903</v>
      </c>
      <c r="D2218" s="264" t="s">
        <v>1878</v>
      </c>
      <c r="E2218" s="264" t="s">
        <v>4179</v>
      </c>
      <c r="F2218" s="265">
        <v>500</v>
      </c>
      <c r="G2218" s="265"/>
      <c r="H2218" s="265">
        <f t="shared" si="57"/>
        <v>500</v>
      </c>
    </row>
    <row r="2219" spans="2:8" x14ac:dyDescent="0.2">
      <c r="B2219" s="262" t="s">
        <v>1866</v>
      </c>
      <c r="C2219" s="263">
        <v>42903</v>
      </c>
      <c r="D2219" s="264" t="s">
        <v>1890</v>
      </c>
      <c r="E2219" s="264" t="s">
        <v>4180</v>
      </c>
      <c r="F2219" s="265">
        <v>310</v>
      </c>
      <c r="G2219" s="265"/>
      <c r="H2219" s="265">
        <f t="shared" si="57"/>
        <v>310</v>
      </c>
    </row>
    <row r="2220" spans="2:8" x14ac:dyDescent="0.2">
      <c r="B2220" s="262" t="s">
        <v>1864</v>
      </c>
      <c r="C2220" s="263">
        <v>42905</v>
      </c>
      <c r="D2220" s="264" t="s">
        <v>3565</v>
      </c>
      <c r="E2220" s="264" t="s">
        <v>4181</v>
      </c>
      <c r="F2220" s="265">
        <v>400</v>
      </c>
      <c r="G2220" s="265"/>
      <c r="H2220" s="265">
        <f t="shared" si="57"/>
        <v>400</v>
      </c>
    </row>
    <row r="2221" spans="2:8" x14ac:dyDescent="0.2">
      <c r="B2221" s="262" t="s">
        <v>1864</v>
      </c>
      <c r="C2221" s="263">
        <v>42905</v>
      </c>
      <c r="D2221" s="264" t="s">
        <v>2535</v>
      </c>
      <c r="E2221" s="264" t="s">
        <v>3340</v>
      </c>
      <c r="F2221" s="265">
        <v>133.5</v>
      </c>
      <c r="G2221" s="265"/>
      <c r="H2221" s="265">
        <f t="shared" si="57"/>
        <v>133.5</v>
      </c>
    </row>
    <row r="2222" spans="2:8" x14ac:dyDescent="0.2">
      <c r="B2222" s="262" t="s">
        <v>1881</v>
      </c>
      <c r="C2222" s="263">
        <v>42905</v>
      </c>
      <c r="D2222" s="264" t="s">
        <v>2250</v>
      </c>
      <c r="E2222" s="264" t="s">
        <v>4182</v>
      </c>
      <c r="F2222" s="265">
        <v>120</v>
      </c>
      <c r="G2222" s="265"/>
      <c r="H2222" s="265">
        <f t="shared" si="57"/>
        <v>120</v>
      </c>
    </row>
    <row r="2223" spans="2:8" x14ac:dyDescent="0.2">
      <c r="B2223" s="262" t="s">
        <v>1863</v>
      </c>
      <c r="C2223" s="263">
        <v>42905</v>
      </c>
      <c r="D2223" s="264" t="s">
        <v>1873</v>
      </c>
      <c r="E2223" s="264" t="s">
        <v>4183</v>
      </c>
      <c r="F2223" s="265">
        <v>200</v>
      </c>
      <c r="G2223" s="265"/>
      <c r="H2223" s="265">
        <f t="shared" si="57"/>
        <v>200</v>
      </c>
    </row>
    <row r="2224" spans="2:8" x14ac:dyDescent="0.2">
      <c r="B2224" s="262" t="s">
        <v>1884</v>
      </c>
      <c r="C2224" s="263">
        <v>42905</v>
      </c>
      <c r="D2224" s="264" t="s">
        <v>1915</v>
      </c>
      <c r="E2224" s="264" t="s">
        <v>4184</v>
      </c>
      <c r="F2224" s="265">
        <v>400</v>
      </c>
      <c r="G2224" s="265"/>
      <c r="H2224" s="265">
        <f t="shared" si="57"/>
        <v>400</v>
      </c>
    </row>
    <row r="2225" spans="2:9" x14ac:dyDescent="0.2">
      <c r="B2225" s="262" t="s">
        <v>1863</v>
      </c>
      <c r="C2225" s="263">
        <v>42906</v>
      </c>
      <c r="D2225" s="264" t="s">
        <v>2535</v>
      </c>
      <c r="E2225" s="264" t="s">
        <v>4185</v>
      </c>
      <c r="F2225" s="265">
        <v>240.5</v>
      </c>
      <c r="G2225" s="265"/>
      <c r="H2225" s="265">
        <f t="shared" si="57"/>
        <v>240.5</v>
      </c>
    </row>
    <row r="2226" spans="2:9" x14ac:dyDescent="0.2">
      <c r="B2226" s="262" t="s">
        <v>1863</v>
      </c>
      <c r="C2226" s="263">
        <v>42906</v>
      </c>
      <c r="D2226" s="264" t="s">
        <v>2535</v>
      </c>
      <c r="E2226" s="264" t="s">
        <v>4185</v>
      </c>
      <c r="F2226" s="265">
        <v>170</v>
      </c>
      <c r="G2226" s="265"/>
      <c r="H2226" s="265">
        <f t="shared" si="57"/>
        <v>170</v>
      </c>
    </row>
    <row r="2227" spans="2:9" x14ac:dyDescent="0.2">
      <c r="B2227" s="262" t="s">
        <v>1858</v>
      </c>
      <c r="C2227" s="263">
        <v>42906</v>
      </c>
      <c r="D2227" s="264" t="s">
        <v>4186</v>
      </c>
      <c r="E2227" s="264" t="s">
        <v>4187</v>
      </c>
      <c r="F2227" s="265">
        <v>65</v>
      </c>
      <c r="G2227" s="265"/>
      <c r="H2227" s="265">
        <f t="shared" si="57"/>
        <v>65</v>
      </c>
    </row>
    <row r="2228" spans="2:9" x14ac:dyDescent="0.2">
      <c r="B2228" s="262" t="s">
        <v>1870</v>
      </c>
      <c r="C2228" s="263">
        <v>42906</v>
      </c>
      <c r="D2228" s="264" t="s">
        <v>1892</v>
      </c>
      <c r="E2228" s="264" t="s">
        <v>4188</v>
      </c>
      <c r="F2228" s="265">
        <v>900</v>
      </c>
      <c r="G2228" s="265"/>
      <c r="H2228" s="265">
        <f t="shared" si="57"/>
        <v>900</v>
      </c>
    </row>
    <row r="2229" spans="2:9" x14ac:dyDescent="0.2">
      <c r="B2229" s="262" t="s">
        <v>1866</v>
      </c>
      <c r="C2229" s="263">
        <v>42907</v>
      </c>
      <c r="D2229" s="264" t="s">
        <v>1890</v>
      </c>
      <c r="E2229" s="264" t="s">
        <v>4000</v>
      </c>
      <c r="F2229" s="265">
        <v>310</v>
      </c>
      <c r="G2229" s="265"/>
      <c r="H2229" s="265">
        <f t="shared" si="57"/>
        <v>310</v>
      </c>
    </row>
    <row r="2230" spans="2:9" x14ac:dyDescent="0.2">
      <c r="B2230" s="262" t="s">
        <v>1866</v>
      </c>
      <c r="C2230" s="263">
        <v>42907</v>
      </c>
      <c r="D2230" s="264" t="s">
        <v>1890</v>
      </c>
      <c r="E2230" s="264" t="s">
        <v>4000</v>
      </c>
      <c r="F2230" s="265">
        <v>310</v>
      </c>
      <c r="G2230" s="265"/>
      <c r="H2230" s="265">
        <f t="shared" si="57"/>
        <v>310</v>
      </c>
    </row>
    <row r="2231" spans="2:9" x14ac:dyDescent="0.2">
      <c r="B2231" s="262" t="s">
        <v>1870</v>
      </c>
      <c r="C2231" s="263">
        <v>42907</v>
      </c>
      <c r="D2231" s="264" t="s">
        <v>4189</v>
      </c>
      <c r="E2231" s="264" t="s">
        <v>4190</v>
      </c>
      <c r="F2231" s="265">
        <v>103</v>
      </c>
      <c r="G2231" s="265"/>
      <c r="H2231" s="265">
        <f t="shared" ref="H2231:H2236" si="58">SUM(F2231:G2231)</f>
        <v>103</v>
      </c>
    </row>
    <row r="2232" spans="2:9" x14ac:dyDescent="0.2">
      <c r="B2232" s="262" t="s">
        <v>1870</v>
      </c>
      <c r="C2232" s="263">
        <v>42907</v>
      </c>
      <c r="D2232" s="264" t="s">
        <v>1892</v>
      </c>
      <c r="E2232" s="264" t="s">
        <v>4314</v>
      </c>
      <c r="F2232" s="265">
        <v>3000</v>
      </c>
      <c r="G2232" s="265"/>
      <c r="H2232" s="265">
        <f t="shared" si="58"/>
        <v>3000</v>
      </c>
      <c r="I2232" s="175">
        <f>SUM(H2160:H2232)</f>
        <v>63929.5</v>
      </c>
    </row>
    <row r="2233" spans="2:9" x14ac:dyDescent="0.2">
      <c r="B2233" s="262" t="s">
        <v>1860</v>
      </c>
      <c r="C2233" s="263">
        <v>42908</v>
      </c>
      <c r="D2233" s="264" t="s">
        <v>1891</v>
      </c>
      <c r="E2233" s="264" t="s">
        <v>4192</v>
      </c>
      <c r="F2233" s="265">
        <v>30</v>
      </c>
      <c r="G2233" s="265"/>
      <c r="H2233" s="265">
        <f t="shared" si="58"/>
        <v>30</v>
      </c>
    </row>
    <row r="2234" spans="2:9" x14ac:dyDescent="0.2">
      <c r="B2234" s="262" t="s">
        <v>1860</v>
      </c>
      <c r="C2234" s="263">
        <v>42908</v>
      </c>
      <c r="D2234" s="264" t="s">
        <v>1891</v>
      </c>
      <c r="E2234" s="264" t="s">
        <v>3314</v>
      </c>
      <c r="F2234" s="265">
        <v>84.9</v>
      </c>
      <c r="G2234" s="265"/>
      <c r="H2234" s="265">
        <f t="shared" si="58"/>
        <v>84.9</v>
      </c>
    </row>
    <row r="2235" spans="2:9" x14ac:dyDescent="0.2">
      <c r="B2235" s="262" t="s">
        <v>1858</v>
      </c>
      <c r="C2235" s="263">
        <v>42908</v>
      </c>
      <c r="D2235" s="264" t="s">
        <v>4025</v>
      </c>
      <c r="E2235" s="264" t="s">
        <v>4193</v>
      </c>
      <c r="F2235" s="265">
        <v>300</v>
      </c>
      <c r="G2235" s="265"/>
      <c r="H2235" s="265">
        <f t="shared" si="58"/>
        <v>300</v>
      </c>
    </row>
    <row r="2236" spans="2:9" x14ac:dyDescent="0.2">
      <c r="B2236" s="262" t="s">
        <v>1860</v>
      </c>
      <c r="C2236" s="263">
        <v>42908</v>
      </c>
      <c r="D2236" s="264" t="s">
        <v>1891</v>
      </c>
      <c r="E2236" s="264" t="s">
        <v>4194</v>
      </c>
      <c r="F2236" s="265">
        <v>179</v>
      </c>
      <c r="G2236" s="265"/>
      <c r="H2236" s="265">
        <f t="shared" si="58"/>
        <v>179</v>
      </c>
    </row>
    <row r="2237" spans="2:9" x14ac:dyDescent="0.2">
      <c r="B2237" s="262" t="s">
        <v>1577</v>
      </c>
      <c r="C2237" s="263">
        <v>42909</v>
      </c>
      <c r="D2237" s="264" t="s">
        <v>4049</v>
      </c>
      <c r="E2237" s="264" t="s">
        <v>4195</v>
      </c>
      <c r="F2237" s="265">
        <v>1000</v>
      </c>
      <c r="G2237" s="265"/>
      <c r="H2237" s="265">
        <f t="shared" ref="H2237:H2241" si="59">SUM(F2237:G2237)</f>
        <v>1000</v>
      </c>
    </row>
    <row r="2238" spans="2:9" x14ac:dyDescent="0.2">
      <c r="B2238" s="262" t="s">
        <v>1884</v>
      </c>
      <c r="C2238" s="263">
        <v>42909</v>
      </c>
      <c r="D2238" s="264" t="s">
        <v>1911</v>
      </c>
      <c r="E2238" s="264" t="s">
        <v>3924</v>
      </c>
      <c r="F2238" s="265">
        <v>162</v>
      </c>
      <c r="G2238" s="265"/>
      <c r="H2238" s="265">
        <f t="shared" si="59"/>
        <v>162</v>
      </c>
    </row>
    <row r="2239" spans="2:9" x14ac:dyDescent="0.2">
      <c r="B2239" s="262" t="s">
        <v>1863</v>
      </c>
      <c r="C2239" s="263">
        <v>42909</v>
      </c>
      <c r="D2239" s="264" t="s">
        <v>2535</v>
      </c>
      <c r="E2239" s="264" t="s">
        <v>4196</v>
      </c>
      <c r="F2239" s="265">
        <v>47.5</v>
      </c>
      <c r="G2239" s="265"/>
      <c r="H2239" s="265">
        <f t="shared" si="59"/>
        <v>47.5</v>
      </c>
    </row>
    <row r="2240" spans="2:9" x14ac:dyDescent="0.2">
      <c r="B2240" s="262" t="s">
        <v>1805</v>
      </c>
      <c r="C2240" s="263">
        <v>42909</v>
      </c>
      <c r="D2240" s="264" t="s">
        <v>3565</v>
      </c>
      <c r="E2240" s="264" t="s">
        <v>4197</v>
      </c>
      <c r="F2240" s="265">
        <v>1000</v>
      </c>
      <c r="G2240" s="265"/>
      <c r="H2240" s="265">
        <f t="shared" si="59"/>
        <v>1000</v>
      </c>
    </row>
    <row r="2241" spans="2:9" x14ac:dyDescent="0.2">
      <c r="B2241" s="262" t="s">
        <v>1863</v>
      </c>
      <c r="C2241" s="263">
        <v>42909</v>
      </c>
      <c r="D2241" s="264" t="s">
        <v>1873</v>
      </c>
      <c r="E2241" s="264" t="s">
        <v>4201</v>
      </c>
      <c r="F2241" s="265">
        <v>250</v>
      </c>
      <c r="G2241" s="265"/>
      <c r="H2241" s="265">
        <f t="shared" si="59"/>
        <v>250</v>
      </c>
    </row>
    <row r="2242" spans="2:9" x14ac:dyDescent="0.2">
      <c r="B2242" s="262" t="s">
        <v>1863</v>
      </c>
      <c r="C2242" s="263">
        <v>42909</v>
      </c>
      <c r="D2242" s="264" t="s">
        <v>2535</v>
      </c>
      <c r="E2242" s="264" t="s">
        <v>4198</v>
      </c>
      <c r="F2242" s="265">
        <v>150</v>
      </c>
      <c r="G2242" s="265"/>
      <c r="H2242" s="265">
        <f t="shared" ref="H2242:H2258" si="60">SUM(F2242:G2242)</f>
        <v>150</v>
      </c>
    </row>
    <row r="2243" spans="2:9" x14ac:dyDescent="0.2">
      <c r="B2243" s="262" t="s">
        <v>1864</v>
      </c>
      <c r="C2243" s="263">
        <v>42911</v>
      </c>
      <c r="D2243" s="264" t="s">
        <v>2535</v>
      </c>
      <c r="E2243" s="264" t="s">
        <v>4199</v>
      </c>
      <c r="F2243" s="265">
        <v>123</v>
      </c>
      <c r="G2243" s="265"/>
      <c r="H2243" s="265">
        <f t="shared" si="60"/>
        <v>123</v>
      </c>
    </row>
    <row r="2244" spans="2:9" x14ac:dyDescent="0.2">
      <c r="B2244" s="262" t="s">
        <v>1881</v>
      </c>
      <c r="C2244" s="263">
        <v>42911</v>
      </c>
      <c r="D2244" s="264" t="s">
        <v>2250</v>
      </c>
      <c r="E2244" s="264" t="s">
        <v>4200</v>
      </c>
      <c r="F2244" s="265">
        <v>120</v>
      </c>
      <c r="G2244" s="265"/>
      <c r="H2244" s="265">
        <f t="shared" si="60"/>
        <v>120</v>
      </c>
    </row>
    <row r="2245" spans="2:9" x14ac:dyDescent="0.2">
      <c r="B2245" s="262" t="s">
        <v>1577</v>
      </c>
      <c r="C2245" s="263">
        <v>42912</v>
      </c>
      <c r="D2245" s="264" t="s">
        <v>4049</v>
      </c>
      <c r="E2245" s="264" t="s">
        <v>4195</v>
      </c>
      <c r="F2245" s="265">
        <v>14050</v>
      </c>
      <c r="G2245" s="265"/>
      <c r="H2245" s="265">
        <f t="shared" si="60"/>
        <v>14050</v>
      </c>
      <c r="I2245" s="175">
        <f>SUM(H2160:H2245)</f>
        <v>81425.899999999994</v>
      </c>
    </row>
    <row r="2246" spans="2:9" x14ac:dyDescent="0.2">
      <c r="B2246" s="262" t="s">
        <v>1884</v>
      </c>
      <c r="C2246" s="263">
        <v>42914</v>
      </c>
      <c r="D2246" s="264" t="s">
        <v>1915</v>
      </c>
      <c r="E2246" s="264" t="s">
        <v>4203</v>
      </c>
      <c r="F2246" s="265">
        <v>300</v>
      </c>
      <c r="G2246" s="265"/>
      <c r="H2246" s="265">
        <f t="shared" si="60"/>
        <v>300</v>
      </c>
    </row>
    <row r="2247" spans="2:9" x14ac:dyDescent="0.2">
      <c r="B2247" s="262" t="s">
        <v>1881</v>
      </c>
      <c r="C2247" s="263">
        <v>42916</v>
      </c>
      <c r="D2247" s="264" t="s">
        <v>2250</v>
      </c>
      <c r="E2247" s="264" t="s">
        <v>4204</v>
      </c>
      <c r="F2247" s="265">
        <v>300</v>
      </c>
      <c r="G2247" s="265"/>
      <c r="H2247" s="265">
        <f t="shared" si="60"/>
        <v>300</v>
      </c>
    </row>
    <row r="2248" spans="2:9" x14ac:dyDescent="0.2">
      <c r="B2248" s="262" t="s">
        <v>1881</v>
      </c>
      <c r="C2248" s="263">
        <v>42916</v>
      </c>
      <c r="D2248" s="264" t="s">
        <v>1873</v>
      </c>
      <c r="E2248" s="264" t="s">
        <v>4205</v>
      </c>
      <c r="F2248" s="265">
        <v>450</v>
      </c>
      <c r="G2248" s="265"/>
      <c r="H2248" s="265">
        <f t="shared" si="60"/>
        <v>450</v>
      </c>
    </row>
    <row r="2249" spans="2:9" x14ac:dyDescent="0.2">
      <c r="B2249" s="262" t="s">
        <v>1887</v>
      </c>
      <c r="C2249" s="263">
        <v>42892</v>
      </c>
      <c r="D2249" s="264" t="s">
        <v>1534</v>
      </c>
      <c r="E2249" s="264" t="s">
        <v>1536</v>
      </c>
      <c r="F2249" s="265">
        <v>-0.46</v>
      </c>
      <c r="G2249" s="265"/>
      <c r="H2249" s="265">
        <f t="shared" ref="H2249:H2256" si="61">SUM(F2249:G2249)</f>
        <v>-0.46</v>
      </c>
    </row>
    <row r="2250" spans="2:9" x14ac:dyDescent="0.2">
      <c r="B2250" s="262" t="s">
        <v>1887</v>
      </c>
      <c r="C2250" s="263">
        <v>42895</v>
      </c>
      <c r="D2250" s="264" t="s">
        <v>3367</v>
      </c>
      <c r="E2250" s="264" t="s">
        <v>1536</v>
      </c>
      <c r="F2250" s="265">
        <v>-0.28999999999999998</v>
      </c>
      <c r="G2250" s="265"/>
      <c r="H2250" s="265">
        <f t="shared" si="61"/>
        <v>-0.28999999999999998</v>
      </c>
    </row>
    <row r="2251" spans="2:9" x14ac:dyDescent="0.2">
      <c r="B2251" s="262" t="s">
        <v>1790</v>
      </c>
      <c r="C2251" s="263">
        <v>42906</v>
      </c>
      <c r="D2251" s="361" t="s">
        <v>1909</v>
      </c>
      <c r="E2251" s="361" t="s">
        <v>4207</v>
      </c>
      <c r="F2251" s="362"/>
      <c r="G2251" s="362">
        <v>-1760</v>
      </c>
      <c r="H2251" s="265">
        <f t="shared" si="61"/>
        <v>-1760</v>
      </c>
    </row>
    <row r="2252" spans="2:9" x14ac:dyDescent="0.2">
      <c r="B2252" s="262" t="s">
        <v>1887</v>
      </c>
      <c r="C2252" s="263">
        <v>42916</v>
      </c>
      <c r="D2252" s="361" t="s">
        <v>1597</v>
      </c>
      <c r="E2252" s="361" t="s">
        <v>2229</v>
      </c>
      <c r="F2252" s="362">
        <v>42</v>
      </c>
      <c r="G2252" s="362"/>
      <c r="H2252" s="265">
        <f t="shared" si="61"/>
        <v>42</v>
      </c>
    </row>
    <row r="2253" spans="2:9" x14ac:dyDescent="0.2">
      <c r="B2253" s="262" t="s">
        <v>1790</v>
      </c>
      <c r="C2253" s="263">
        <v>42916</v>
      </c>
      <c r="D2253" s="361" t="s">
        <v>1597</v>
      </c>
      <c r="E2253" s="361" t="s">
        <v>2230</v>
      </c>
      <c r="F2253" s="362"/>
      <c r="G2253" s="362">
        <v>6.72</v>
      </c>
      <c r="H2253" s="265">
        <f t="shared" si="61"/>
        <v>6.72</v>
      </c>
    </row>
    <row r="2254" spans="2:9" x14ac:dyDescent="0.2">
      <c r="B2254" s="262"/>
      <c r="C2254" s="263"/>
      <c r="D2254" s="264"/>
      <c r="E2254" s="264"/>
      <c r="F2254" s="265"/>
      <c r="G2254" s="265"/>
      <c r="H2254" s="265">
        <f t="shared" si="61"/>
        <v>0</v>
      </c>
    </row>
    <row r="2255" spans="2:9" x14ac:dyDescent="0.2">
      <c r="B2255" s="262"/>
      <c r="C2255" s="263"/>
      <c r="D2255" s="264"/>
      <c r="E2255" s="264"/>
      <c r="F2255" s="265"/>
      <c r="G2255" s="265"/>
      <c r="H2255" s="265">
        <f t="shared" si="61"/>
        <v>0</v>
      </c>
    </row>
    <row r="2256" spans="2:9" x14ac:dyDescent="0.2">
      <c r="B2256" s="262"/>
      <c r="C2256" s="263"/>
      <c r="D2256" s="264"/>
      <c r="E2256" s="264"/>
      <c r="F2256" s="265"/>
      <c r="G2256" s="265"/>
      <c r="H2256" s="265">
        <f t="shared" si="61"/>
        <v>0</v>
      </c>
    </row>
    <row r="2257" spans="2:9" ht="18" customHeight="1" x14ac:dyDescent="0.2">
      <c r="B2257" s="255" t="s">
        <v>1850</v>
      </c>
      <c r="C2257" s="255" t="s">
        <v>1851</v>
      </c>
      <c r="D2257" s="256" t="s">
        <v>1852</v>
      </c>
      <c r="E2257" s="256" t="s">
        <v>1853</v>
      </c>
      <c r="F2257" s="257" t="s">
        <v>1854</v>
      </c>
      <c r="G2257" s="257" t="s">
        <v>1855</v>
      </c>
      <c r="H2257" s="257" t="s">
        <v>1856</v>
      </c>
    </row>
    <row r="2258" spans="2:9" x14ac:dyDescent="0.2">
      <c r="B2258" s="262" t="s">
        <v>1870</v>
      </c>
      <c r="C2258" s="263">
        <v>42917</v>
      </c>
      <c r="D2258" s="264" t="s">
        <v>1892</v>
      </c>
      <c r="E2258" s="264" t="s">
        <v>4210</v>
      </c>
      <c r="F2258" s="265">
        <v>1200</v>
      </c>
      <c r="G2258" s="265"/>
      <c r="H2258" s="265">
        <f t="shared" si="60"/>
        <v>1200</v>
      </c>
    </row>
    <row r="2259" spans="2:9" x14ac:dyDescent="0.2">
      <c r="B2259" s="262" t="s">
        <v>1862</v>
      </c>
      <c r="C2259" s="263">
        <v>42917</v>
      </c>
      <c r="D2259" s="264" t="s">
        <v>1892</v>
      </c>
      <c r="E2259" s="264" t="s">
        <v>4211</v>
      </c>
      <c r="F2259" s="265">
        <v>600</v>
      </c>
      <c r="G2259" s="265"/>
      <c r="H2259" s="265">
        <f t="shared" ref="H2259:H2321" si="62">SUM(F2259:G2259)</f>
        <v>600</v>
      </c>
    </row>
    <row r="2260" spans="2:9" x14ac:dyDescent="0.2">
      <c r="B2260" s="262" t="s">
        <v>1577</v>
      </c>
      <c r="C2260" s="263">
        <v>42917</v>
      </c>
      <c r="D2260" s="264" t="s">
        <v>4049</v>
      </c>
      <c r="E2260" s="264" t="s">
        <v>4195</v>
      </c>
      <c r="F2260" s="265">
        <v>5000</v>
      </c>
      <c r="G2260" s="265"/>
      <c r="H2260" s="265">
        <f t="shared" si="62"/>
        <v>5000</v>
      </c>
    </row>
    <row r="2261" spans="2:9" x14ac:dyDescent="0.2">
      <c r="B2261" s="262" t="s">
        <v>1805</v>
      </c>
      <c r="C2261" s="263">
        <v>42887</v>
      </c>
      <c r="D2261" s="264" t="s">
        <v>3565</v>
      </c>
      <c r="E2261" s="264" t="s">
        <v>4212</v>
      </c>
      <c r="F2261" s="265">
        <v>1000</v>
      </c>
      <c r="G2261" s="265"/>
      <c r="H2261" s="265">
        <f t="shared" si="62"/>
        <v>1000</v>
      </c>
    </row>
    <row r="2262" spans="2:9" x14ac:dyDescent="0.2">
      <c r="B2262" s="262" t="s">
        <v>1859</v>
      </c>
      <c r="C2262" s="263">
        <v>42917</v>
      </c>
      <c r="D2262" s="264" t="s">
        <v>1911</v>
      </c>
      <c r="E2262" s="264" t="s">
        <v>4213</v>
      </c>
      <c r="F2262" s="265">
        <v>4000</v>
      </c>
      <c r="G2262" s="265"/>
      <c r="H2262" s="265">
        <f t="shared" si="62"/>
        <v>4000</v>
      </c>
    </row>
    <row r="2263" spans="2:9" x14ac:dyDescent="0.2">
      <c r="B2263" s="262" t="s">
        <v>1863</v>
      </c>
      <c r="C2263" s="263">
        <v>42917</v>
      </c>
      <c r="D2263" s="264" t="s">
        <v>1878</v>
      </c>
      <c r="E2263" s="264" t="s">
        <v>4217</v>
      </c>
      <c r="F2263" s="265">
        <v>500</v>
      </c>
      <c r="G2263" s="265"/>
      <c r="H2263" s="265">
        <f t="shared" si="62"/>
        <v>500</v>
      </c>
    </row>
    <row r="2264" spans="2:9" x14ac:dyDescent="0.2">
      <c r="B2264" s="262" t="s">
        <v>1884</v>
      </c>
      <c r="C2264" s="263">
        <v>42917</v>
      </c>
      <c r="D2264" s="264" t="s">
        <v>1897</v>
      </c>
      <c r="E2264" s="264" t="s">
        <v>4219</v>
      </c>
      <c r="F2264" s="265">
        <v>500</v>
      </c>
      <c r="G2264" s="265"/>
      <c r="H2264" s="265">
        <f t="shared" ref="H2264" si="63">SUM(F2264:G2264)</f>
        <v>500</v>
      </c>
    </row>
    <row r="2265" spans="2:9" x14ac:dyDescent="0.2">
      <c r="B2265" s="262" t="s">
        <v>1864</v>
      </c>
      <c r="C2265" s="263">
        <v>42919</v>
      </c>
      <c r="D2265" s="264" t="s">
        <v>3565</v>
      </c>
      <c r="E2265" s="264" t="s">
        <v>4214</v>
      </c>
      <c r="F2265" s="265">
        <v>400</v>
      </c>
      <c r="G2265" s="265"/>
      <c r="H2265" s="265">
        <f t="shared" si="62"/>
        <v>400</v>
      </c>
    </row>
    <row r="2266" spans="2:9" x14ac:dyDescent="0.2">
      <c r="B2266" s="262" t="s">
        <v>1881</v>
      </c>
      <c r="C2266" s="263">
        <v>42918</v>
      </c>
      <c r="D2266" s="264" t="s">
        <v>2250</v>
      </c>
      <c r="E2266" s="264" t="s">
        <v>4215</v>
      </c>
      <c r="F2266" s="265">
        <v>120</v>
      </c>
      <c r="G2266" s="265"/>
      <c r="H2266" s="265">
        <f t="shared" si="62"/>
        <v>120</v>
      </c>
    </row>
    <row r="2267" spans="2:9" x14ac:dyDescent="0.2">
      <c r="B2267" s="262" t="s">
        <v>1864</v>
      </c>
      <c r="C2267" s="263">
        <v>42918</v>
      </c>
      <c r="D2267" s="264" t="s">
        <v>2535</v>
      </c>
      <c r="E2267" s="264" t="s">
        <v>4216</v>
      </c>
      <c r="F2267" s="265">
        <v>138</v>
      </c>
      <c r="G2267" s="265"/>
      <c r="H2267" s="265">
        <f t="shared" si="62"/>
        <v>138</v>
      </c>
      <c r="I2267" s="175">
        <f>SUM(H2258:H2267)</f>
        <v>13458</v>
      </c>
    </row>
    <row r="2268" spans="2:9" x14ac:dyDescent="0.2">
      <c r="B2268" s="345" t="s">
        <v>1875</v>
      </c>
      <c r="C2268" s="263">
        <v>42918</v>
      </c>
      <c r="D2268" s="264" t="s">
        <v>1893</v>
      </c>
      <c r="E2268" s="264" t="s">
        <v>2109</v>
      </c>
      <c r="F2268" s="265">
        <v>270</v>
      </c>
      <c r="G2268" s="265"/>
      <c r="H2268" s="265">
        <f t="shared" si="62"/>
        <v>270</v>
      </c>
    </row>
    <row r="2269" spans="2:9" x14ac:dyDescent="0.2">
      <c r="B2269" s="341" t="s">
        <v>1866</v>
      </c>
      <c r="C2269" s="263">
        <v>42918</v>
      </c>
      <c r="D2269" s="264" t="s">
        <v>1890</v>
      </c>
      <c r="E2269" s="264" t="s">
        <v>4000</v>
      </c>
      <c r="F2269" s="265">
        <v>310</v>
      </c>
      <c r="G2269" s="265"/>
      <c r="H2269" s="265">
        <f t="shared" si="62"/>
        <v>310</v>
      </c>
    </row>
    <row r="2270" spans="2:9" x14ac:dyDescent="0.2">
      <c r="B2270" s="262" t="s">
        <v>1866</v>
      </c>
      <c r="C2270" s="263">
        <v>42919</v>
      </c>
      <c r="D2270" s="264" t="s">
        <v>1890</v>
      </c>
      <c r="E2270" s="264" t="s">
        <v>4000</v>
      </c>
      <c r="F2270" s="265">
        <v>310</v>
      </c>
      <c r="G2270" s="265"/>
      <c r="H2270" s="265">
        <f t="shared" si="62"/>
        <v>310</v>
      </c>
    </row>
    <row r="2271" spans="2:9" x14ac:dyDescent="0.2">
      <c r="B2271" s="262" t="s">
        <v>1863</v>
      </c>
      <c r="C2271" s="263">
        <v>42919</v>
      </c>
      <c r="D2271" s="264" t="s">
        <v>2419</v>
      </c>
      <c r="E2271" s="264" t="s">
        <v>4220</v>
      </c>
      <c r="F2271" s="265">
        <v>130</v>
      </c>
      <c r="G2271" s="265"/>
      <c r="H2271" s="265">
        <f t="shared" si="62"/>
        <v>130</v>
      </c>
    </row>
    <row r="2272" spans="2:9" x14ac:dyDescent="0.2">
      <c r="B2272" s="262" t="s">
        <v>1884</v>
      </c>
      <c r="C2272" s="263">
        <v>42919</v>
      </c>
      <c r="D2272" s="264" t="s">
        <v>1911</v>
      </c>
      <c r="E2272" s="264" t="s">
        <v>3924</v>
      </c>
      <c r="F2272" s="265">
        <v>108</v>
      </c>
      <c r="G2272" s="265"/>
      <c r="H2272" s="265">
        <f t="shared" si="62"/>
        <v>108</v>
      </c>
    </row>
    <row r="2273" spans="2:9" x14ac:dyDescent="0.2">
      <c r="B2273" s="262" t="s">
        <v>1577</v>
      </c>
      <c r="C2273" s="263">
        <v>42919</v>
      </c>
      <c r="D2273" s="264" t="s">
        <v>4049</v>
      </c>
      <c r="E2273" s="264" t="s">
        <v>4224</v>
      </c>
      <c r="F2273" s="344">
        <v>10050</v>
      </c>
      <c r="G2273" s="265"/>
      <c r="H2273" s="265">
        <f t="shared" si="62"/>
        <v>10050</v>
      </c>
    </row>
    <row r="2274" spans="2:9" x14ac:dyDescent="0.2">
      <c r="B2274" s="262" t="s">
        <v>1884</v>
      </c>
      <c r="C2274" s="263">
        <v>42920</v>
      </c>
      <c r="D2274" s="264" t="s">
        <v>1897</v>
      </c>
      <c r="E2274" s="264" t="s">
        <v>4221</v>
      </c>
      <c r="F2274" s="265">
        <v>500</v>
      </c>
      <c r="G2274" s="265"/>
      <c r="H2274" s="265">
        <f t="shared" si="62"/>
        <v>500</v>
      </c>
    </row>
    <row r="2275" spans="2:9" x14ac:dyDescent="0.2">
      <c r="B2275" s="262" t="s">
        <v>1863</v>
      </c>
      <c r="C2275" s="263">
        <v>42921</v>
      </c>
      <c r="D2275" s="264" t="s">
        <v>1878</v>
      </c>
      <c r="E2275" s="264" t="s">
        <v>3427</v>
      </c>
      <c r="F2275" s="265">
        <v>500</v>
      </c>
      <c r="G2275" s="265"/>
      <c r="H2275" s="265">
        <f t="shared" si="62"/>
        <v>500</v>
      </c>
    </row>
    <row r="2276" spans="2:9" x14ac:dyDescent="0.2">
      <c r="B2276" s="262" t="s">
        <v>1860</v>
      </c>
      <c r="C2276" s="263">
        <v>42921</v>
      </c>
      <c r="D2276" s="264" t="s">
        <v>4222</v>
      </c>
      <c r="E2276" s="264" t="s">
        <v>4223</v>
      </c>
      <c r="F2276" s="344">
        <v>900</v>
      </c>
      <c r="G2276" s="265"/>
      <c r="H2276" s="265">
        <f t="shared" si="62"/>
        <v>900</v>
      </c>
    </row>
    <row r="2277" spans="2:9" x14ac:dyDescent="0.2">
      <c r="B2277" s="345" t="s">
        <v>1858</v>
      </c>
      <c r="C2277" s="263">
        <v>42922</v>
      </c>
      <c r="D2277" s="264" t="s">
        <v>3807</v>
      </c>
      <c r="E2277" s="264" t="s">
        <v>4225</v>
      </c>
      <c r="F2277" s="265">
        <v>600</v>
      </c>
      <c r="G2277" s="265"/>
      <c r="H2277" s="265">
        <f t="shared" si="62"/>
        <v>600</v>
      </c>
    </row>
    <row r="2278" spans="2:9" x14ac:dyDescent="0.2">
      <c r="B2278" s="262" t="s">
        <v>1805</v>
      </c>
      <c r="C2278" s="263">
        <v>42923</v>
      </c>
      <c r="D2278" s="264" t="s">
        <v>3565</v>
      </c>
      <c r="E2278" s="264" t="s">
        <v>4226</v>
      </c>
      <c r="F2278" s="265">
        <v>1000</v>
      </c>
      <c r="G2278" s="265"/>
      <c r="H2278" s="265">
        <f t="shared" si="62"/>
        <v>1000</v>
      </c>
    </row>
    <row r="2279" spans="2:9" x14ac:dyDescent="0.2">
      <c r="B2279" s="262" t="s">
        <v>1860</v>
      </c>
      <c r="C2279" s="263">
        <v>42923</v>
      </c>
      <c r="D2279" s="264" t="s">
        <v>2274</v>
      </c>
      <c r="E2279" s="264" t="s">
        <v>4228</v>
      </c>
      <c r="F2279" s="265">
        <v>200.8</v>
      </c>
      <c r="G2279" s="265"/>
      <c r="H2279" s="265">
        <f t="shared" ref="H2279:H2284" si="64">SUM(F2279:G2279)</f>
        <v>200.8</v>
      </c>
    </row>
    <row r="2280" spans="2:9" x14ac:dyDescent="0.2">
      <c r="B2280" s="262" t="s">
        <v>1884</v>
      </c>
      <c r="C2280" s="263">
        <v>42923</v>
      </c>
      <c r="D2280" s="264" t="s">
        <v>1911</v>
      </c>
      <c r="E2280" s="264" t="s">
        <v>3924</v>
      </c>
      <c r="F2280" s="265">
        <v>162</v>
      </c>
      <c r="G2280" s="265"/>
      <c r="H2280" s="265">
        <f t="shared" si="64"/>
        <v>162</v>
      </c>
    </row>
    <row r="2281" spans="2:9" x14ac:dyDescent="0.2">
      <c r="B2281" s="262" t="s">
        <v>1870</v>
      </c>
      <c r="C2281" s="263">
        <v>42923</v>
      </c>
      <c r="D2281" s="264" t="s">
        <v>1892</v>
      </c>
      <c r="E2281" s="264" t="s">
        <v>4229</v>
      </c>
      <c r="F2281" s="265">
        <v>800</v>
      </c>
      <c r="G2281" s="265"/>
      <c r="H2281" s="265">
        <f t="shared" si="64"/>
        <v>800</v>
      </c>
    </row>
    <row r="2282" spans="2:9" x14ac:dyDescent="0.2">
      <c r="B2282" s="262" t="s">
        <v>1862</v>
      </c>
      <c r="C2282" s="263">
        <v>42923</v>
      </c>
      <c r="D2282" s="264" t="s">
        <v>1892</v>
      </c>
      <c r="E2282" s="264" t="s">
        <v>4230</v>
      </c>
      <c r="F2282" s="344">
        <v>2350</v>
      </c>
      <c r="G2282" s="265"/>
      <c r="H2282" s="265">
        <f t="shared" ref="H2282:H2283" si="65">SUM(F2282:G2282)</f>
        <v>2350</v>
      </c>
    </row>
    <row r="2283" spans="2:9" x14ac:dyDescent="0.2">
      <c r="B2283" s="262" t="s">
        <v>1862</v>
      </c>
      <c r="C2283" s="263">
        <v>42923</v>
      </c>
      <c r="D2283" s="264" t="s">
        <v>1892</v>
      </c>
      <c r="E2283" s="264" t="s">
        <v>4231</v>
      </c>
      <c r="F2283" s="265">
        <v>500</v>
      </c>
      <c r="G2283" s="265"/>
      <c r="H2283" s="265">
        <f t="shared" si="65"/>
        <v>500</v>
      </c>
    </row>
    <row r="2284" spans="2:9" x14ac:dyDescent="0.2">
      <c r="B2284" s="262" t="s">
        <v>1870</v>
      </c>
      <c r="C2284" s="263">
        <v>42923</v>
      </c>
      <c r="D2284" s="264" t="s">
        <v>1892</v>
      </c>
      <c r="E2284" s="264" t="s">
        <v>4232</v>
      </c>
      <c r="F2284" s="265">
        <v>400</v>
      </c>
      <c r="G2284" s="265"/>
      <c r="H2284" s="265">
        <f t="shared" si="64"/>
        <v>400</v>
      </c>
    </row>
    <row r="2285" spans="2:9" x14ac:dyDescent="0.2">
      <c r="B2285" s="262" t="s">
        <v>1863</v>
      </c>
      <c r="C2285" s="263">
        <v>42923</v>
      </c>
      <c r="D2285" s="264" t="s">
        <v>1878</v>
      </c>
      <c r="E2285" s="264" t="s">
        <v>4227</v>
      </c>
      <c r="F2285" s="265">
        <v>500</v>
      </c>
      <c r="G2285" s="265"/>
      <c r="H2285" s="265">
        <f t="shared" si="62"/>
        <v>500</v>
      </c>
      <c r="I2285" s="175">
        <f>SUM(H2258:H2285)</f>
        <v>33048.800000000003</v>
      </c>
    </row>
    <row r="2286" spans="2:9" x14ac:dyDescent="0.2">
      <c r="B2286" s="262" t="s">
        <v>1870</v>
      </c>
      <c r="C2286" s="263">
        <v>42924</v>
      </c>
      <c r="D2286" s="264" t="s">
        <v>1892</v>
      </c>
      <c r="E2286" s="264" t="s">
        <v>4233</v>
      </c>
      <c r="F2286" s="265">
        <v>1600</v>
      </c>
      <c r="G2286" s="265"/>
      <c r="H2286" s="265">
        <f t="shared" si="62"/>
        <v>1600</v>
      </c>
    </row>
    <row r="2287" spans="2:9" x14ac:dyDescent="0.2">
      <c r="B2287" s="262" t="s">
        <v>1857</v>
      </c>
      <c r="C2287" s="263">
        <v>42924</v>
      </c>
      <c r="D2287" s="264" t="s">
        <v>4234</v>
      </c>
      <c r="E2287" s="264" t="s">
        <v>4235</v>
      </c>
      <c r="F2287" s="265">
        <v>100</v>
      </c>
      <c r="G2287" s="265"/>
      <c r="H2287" s="265">
        <f t="shared" si="62"/>
        <v>100</v>
      </c>
    </row>
    <row r="2288" spans="2:9" x14ac:dyDescent="0.2">
      <c r="B2288" s="262" t="s">
        <v>1864</v>
      </c>
      <c r="C2288" s="263">
        <v>42925</v>
      </c>
      <c r="D2288" s="264" t="s">
        <v>2535</v>
      </c>
      <c r="E2288" s="264" t="s">
        <v>4236</v>
      </c>
      <c r="F2288" s="265">
        <v>155</v>
      </c>
      <c r="G2288" s="265"/>
      <c r="H2288" s="265">
        <f t="shared" si="62"/>
        <v>155</v>
      </c>
    </row>
    <row r="2289" spans="2:9" x14ac:dyDescent="0.2">
      <c r="B2289" s="262" t="s">
        <v>1881</v>
      </c>
      <c r="C2289" s="263">
        <v>42925</v>
      </c>
      <c r="D2289" s="264" t="s">
        <v>2250</v>
      </c>
      <c r="E2289" s="264" t="s">
        <v>4182</v>
      </c>
      <c r="F2289" s="265">
        <v>120</v>
      </c>
      <c r="G2289" s="265"/>
      <c r="H2289" s="265">
        <f t="shared" si="62"/>
        <v>120</v>
      </c>
    </row>
    <row r="2290" spans="2:9" x14ac:dyDescent="0.2">
      <c r="B2290" s="262" t="s">
        <v>1863</v>
      </c>
      <c r="C2290" s="263">
        <v>42925</v>
      </c>
      <c r="D2290" s="264" t="s">
        <v>2250</v>
      </c>
      <c r="E2290" s="264" t="s">
        <v>3381</v>
      </c>
      <c r="F2290" s="265">
        <v>150</v>
      </c>
      <c r="G2290" s="265"/>
      <c r="H2290" s="265">
        <f t="shared" si="62"/>
        <v>150</v>
      </c>
    </row>
    <row r="2291" spans="2:9" x14ac:dyDescent="0.2">
      <c r="B2291" s="262" t="s">
        <v>1864</v>
      </c>
      <c r="C2291" s="263">
        <v>42926</v>
      </c>
      <c r="D2291" s="264" t="s">
        <v>3565</v>
      </c>
      <c r="E2291" s="264" t="s">
        <v>4237</v>
      </c>
      <c r="F2291" s="265">
        <v>400</v>
      </c>
      <c r="G2291" s="265"/>
      <c r="H2291" s="265">
        <f t="shared" si="62"/>
        <v>400</v>
      </c>
    </row>
    <row r="2292" spans="2:9" x14ac:dyDescent="0.2">
      <c r="B2292" s="262" t="s">
        <v>1860</v>
      </c>
      <c r="C2292" s="263">
        <v>42926</v>
      </c>
      <c r="D2292" s="264" t="s">
        <v>1891</v>
      </c>
      <c r="E2292" s="264" t="s">
        <v>4238</v>
      </c>
      <c r="F2292" s="265">
        <v>249</v>
      </c>
      <c r="G2292" s="265"/>
      <c r="H2292" s="265">
        <f t="shared" si="62"/>
        <v>249</v>
      </c>
    </row>
    <row r="2293" spans="2:9" x14ac:dyDescent="0.2">
      <c r="B2293" s="262" t="s">
        <v>1862</v>
      </c>
      <c r="C2293" s="263">
        <v>42926</v>
      </c>
      <c r="D2293" s="264" t="s">
        <v>1892</v>
      </c>
      <c r="E2293" s="264" t="s">
        <v>4239</v>
      </c>
      <c r="F2293" s="265">
        <v>1290</v>
      </c>
      <c r="G2293" s="265"/>
      <c r="H2293" s="265">
        <f t="shared" si="62"/>
        <v>1290</v>
      </c>
    </row>
    <row r="2294" spans="2:9" x14ac:dyDescent="0.2">
      <c r="B2294" s="262" t="s">
        <v>1884</v>
      </c>
      <c r="C2294" s="263">
        <v>42926</v>
      </c>
      <c r="D2294" s="264" t="s">
        <v>1915</v>
      </c>
      <c r="E2294" s="264" t="s">
        <v>4240</v>
      </c>
      <c r="F2294" s="265">
        <v>400</v>
      </c>
      <c r="G2294" s="265"/>
      <c r="H2294" s="265">
        <f t="shared" si="62"/>
        <v>400</v>
      </c>
    </row>
    <row r="2295" spans="2:9" x14ac:dyDescent="0.2">
      <c r="B2295" s="345" t="s">
        <v>1870</v>
      </c>
      <c r="C2295" s="263">
        <v>42926</v>
      </c>
      <c r="D2295" s="264" t="s">
        <v>1892</v>
      </c>
      <c r="E2295" s="264" t="s">
        <v>4242</v>
      </c>
      <c r="F2295" s="265">
        <v>150</v>
      </c>
      <c r="G2295" s="265"/>
      <c r="H2295" s="265">
        <f t="shared" ref="H2295:H2296" si="66">SUM(F2295:G2295)</f>
        <v>150</v>
      </c>
    </row>
    <row r="2296" spans="2:9" x14ac:dyDescent="0.2">
      <c r="B2296" s="262" t="s">
        <v>1862</v>
      </c>
      <c r="C2296" s="263">
        <v>42926</v>
      </c>
      <c r="D2296" s="264" t="s">
        <v>1892</v>
      </c>
      <c r="E2296" s="264" t="s">
        <v>4241</v>
      </c>
      <c r="F2296" s="265">
        <v>360</v>
      </c>
      <c r="G2296" s="265"/>
      <c r="H2296" s="265">
        <f t="shared" si="66"/>
        <v>360</v>
      </c>
    </row>
    <row r="2297" spans="2:9" x14ac:dyDescent="0.2">
      <c r="B2297" s="262" t="s">
        <v>1862</v>
      </c>
      <c r="C2297" s="263">
        <v>42926</v>
      </c>
      <c r="D2297" s="264" t="s">
        <v>1892</v>
      </c>
      <c r="E2297" s="264" t="s">
        <v>4243</v>
      </c>
      <c r="F2297" s="265">
        <v>300</v>
      </c>
      <c r="G2297" s="265"/>
      <c r="H2297" s="265">
        <f t="shared" si="62"/>
        <v>300</v>
      </c>
    </row>
    <row r="2298" spans="2:9" x14ac:dyDescent="0.2">
      <c r="B2298" s="262" t="s">
        <v>1867</v>
      </c>
      <c r="C2298" s="263">
        <v>42927</v>
      </c>
      <c r="D2298" s="264" t="s">
        <v>1894</v>
      </c>
      <c r="E2298" s="264" t="s">
        <v>4244</v>
      </c>
      <c r="F2298" s="265">
        <v>913</v>
      </c>
      <c r="G2298" s="265"/>
      <c r="H2298" s="265">
        <f t="shared" si="62"/>
        <v>913</v>
      </c>
    </row>
    <row r="2299" spans="2:9" x14ac:dyDescent="0.2">
      <c r="B2299" s="345" t="s">
        <v>1865</v>
      </c>
      <c r="C2299" s="263">
        <v>42927</v>
      </c>
      <c r="D2299" s="264" t="s">
        <v>4260</v>
      </c>
      <c r="E2299" s="264" t="s">
        <v>4245</v>
      </c>
      <c r="F2299" s="344">
        <v>1770</v>
      </c>
      <c r="G2299" s="265"/>
      <c r="H2299" s="265">
        <f t="shared" si="62"/>
        <v>1770</v>
      </c>
    </row>
    <row r="2300" spans="2:9" x14ac:dyDescent="0.2">
      <c r="B2300" s="262" t="s">
        <v>1790</v>
      </c>
      <c r="C2300" s="263">
        <v>42928</v>
      </c>
      <c r="D2300" s="264" t="s">
        <v>1909</v>
      </c>
      <c r="E2300" s="264" t="s">
        <v>4247</v>
      </c>
      <c r="F2300" s="265"/>
      <c r="G2300" s="344">
        <v>1760</v>
      </c>
      <c r="H2300" s="265">
        <f t="shared" si="62"/>
        <v>1760</v>
      </c>
    </row>
    <row r="2301" spans="2:9" x14ac:dyDescent="0.2">
      <c r="B2301" s="262" t="s">
        <v>1805</v>
      </c>
      <c r="C2301" s="263">
        <v>42928</v>
      </c>
      <c r="D2301" s="264" t="s">
        <v>1888</v>
      </c>
      <c r="E2301" s="264" t="s">
        <v>4248</v>
      </c>
      <c r="F2301" s="265">
        <v>1300</v>
      </c>
      <c r="G2301" s="265"/>
      <c r="H2301" s="265">
        <f t="shared" si="62"/>
        <v>1300</v>
      </c>
    </row>
    <row r="2302" spans="2:9" x14ac:dyDescent="0.2">
      <c r="B2302" s="262" t="s">
        <v>1857</v>
      </c>
      <c r="C2302" s="263">
        <v>42928</v>
      </c>
      <c r="D2302" s="264" t="s">
        <v>4259</v>
      </c>
      <c r="E2302" s="264" t="s">
        <v>4246</v>
      </c>
      <c r="F2302" s="265">
        <v>100</v>
      </c>
      <c r="G2302" s="265"/>
      <c r="H2302" s="265">
        <f t="shared" si="62"/>
        <v>100</v>
      </c>
    </row>
    <row r="2303" spans="2:9" x14ac:dyDescent="0.2">
      <c r="B2303" s="262" t="s">
        <v>1865</v>
      </c>
      <c r="C2303" s="263">
        <v>42929</v>
      </c>
      <c r="D2303" s="264" t="s">
        <v>2262</v>
      </c>
      <c r="E2303" s="264" t="s">
        <v>4249</v>
      </c>
      <c r="F2303" s="265">
        <v>200</v>
      </c>
      <c r="G2303" s="265"/>
      <c r="H2303" s="265">
        <f t="shared" si="62"/>
        <v>200</v>
      </c>
      <c r="I2303" s="175">
        <f>SUM(H2258:H2305)</f>
        <v>49485.8</v>
      </c>
    </row>
    <row r="2304" spans="2:9" x14ac:dyDescent="0.2">
      <c r="B2304" s="262" t="s">
        <v>1866</v>
      </c>
      <c r="C2304" s="263">
        <v>42929</v>
      </c>
      <c r="D2304" s="264" t="s">
        <v>1890</v>
      </c>
      <c r="E2304" s="264" t="s">
        <v>4250</v>
      </c>
      <c r="F2304" s="265">
        <v>120</v>
      </c>
      <c r="G2304" s="265"/>
      <c r="H2304" s="265">
        <f t="shared" si="62"/>
        <v>120</v>
      </c>
    </row>
    <row r="2305" spans="2:9" x14ac:dyDescent="0.2">
      <c r="B2305" s="262" t="s">
        <v>1577</v>
      </c>
      <c r="C2305" s="263">
        <v>42929</v>
      </c>
      <c r="D2305" s="264" t="s">
        <v>4027</v>
      </c>
      <c r="E2305" s="264" t="s">
        <v>4252</v>
      </c>
      <c r="F2305" s="344">
        <v>5000</v>
      </c>
      <c r="G2305" s="265"/>
      <c r="H2305" s="265">
        <f t="shared" si="62"/>
        <v>5000</v>
      </c>
    </row>
    <row r="2306" spans="2:9" x14ac:dyDescent="0.2">
      <c r="B2306" s="262" t="s">
        <v>1577</v>
      </c>
      <c r="C2306" s="263">
        <v>42929</v>
      </c>
      <c r="D2306" s="264" t="s">
        <v>1899</v>
      </c>
      <c r="E2306" s="264" t="s">
        <v>4251</v>
      </c>
      <c r="F2306" s="265">
        <v>25100</v>
      </c>
      <c r="G2306" s="265"/>
      <c r="H2306" s="265">
        <f t="shared" si="62"/>
        <v>25100</v>
      </c>
    </row>
    <row r="2307" spans="2:9" x14ac:dyDescent="0.2">
      <c r="B2307" s="345" t="s">
        <v>1857</v>
      </c>
      <c r="C2307" s="263">
        <v>42929</v>
      </c>
      <c r="D2307" s="264" t="s">
        <v>1872</v>
      </c>
      <c r="E2307" s="264" t="s">
        <v>4264</v>
      </c>
      <c r="F2307" s="265">
        <v>500</v>
      </c>
      <c r="G2307" s="265"/>
      <c r="H2307" s="265">
        <f t="shared" ref="H2307" si="67">SUM(F2307:G2307)</f>
        <v>500</v>
      </c>
    </row>
    <row r="2308" spans="2:9" x14ac:dyDescent="0.2">
      <c r="B2308" s="262" t="s">
        <v>1805</v>
      </c>
      <c r="C2308" s="263">
        <v>42930</v>
      </c>
      <c r="D2308" s="264" t="s">
        <v>3565</v>
      </c>
      <c r="E2308" s="264" t="s">
        <v>4253</v>
      </c>
      <c r="F2308" s="265">
        <v>1000</v>
      </c>
      <c r="G2308" s="265"/>
      <c r="H2308" s="265">
        <f t="shared" si="62"/>
        <v>1000</v>
      </c>
    </row>
    <row r="2309" spans="2:9" x14ac:dyDescent="0.2">
      <c r="B2309" s="377" t="s">
        <v>1881</v>
      </c>
      <c r="C2309" s="263">
        <v>42931</v>
      </c>
      <c r="D2309" s="264" t="s">
        <v>2250</v>
      </c>
      <c r="E2309" s="264" t="s">
        <v>4254</v>
      </c>
      <c r="F2309" s="265">
        <v>350</v>
      </c>
      <c r="G2309" s="265"/>
      <c r="H2309" s="265">
        <f t="shared" si="62"/>
        <v>350</v>
      </c>
    </row>
    <row r="2310" spans="2:9" x14ac:dyDescent="0.2">
      <c r="B2310" s="262" t="s">
        <v>1881</v>
      </c>
      <c r="C2310" s="263">
        <v>42931</v>
      </c>
      <c r="D2310" s="264" t="s">
        <v>1873</v>
      </c>
      <c r="E2310" s="264" t="s">
        <v>4255</v>
      </c>
      <c r="F2310" s="265">
        <v>450</v>
      </c>
      <c r="G2310" s="265"/>
      <c r="H2310" s="265">
        <f t="shared" si="62"/>
        <v>450</v>
      </c>
    </row>
    <row r="2311" spans="2:9" x14ac:dyDescent="0.2">
      <c r="B2311" s="262" t="s">
        <v>1863</v>
      </c>
      <c r="C2311" s="263">
        <v>42931</v>
      </c>
      <c r="D2311" s="264" t="s">
        <v>1878</v>
      </c>
      <c r="E2311" s="264" t="s">
        <v>4256</v>
      </c>
      <c r="F2311" s="265">
        <v>500</v>
      </c>
      <c r="G2311" s="265"/>
      <c r="H2311" s="265">
        <f t="shared" si="62"/>
        <v>500</v>
      </c>
    </row>
    <row r="2312" spans="2:9" x14ac:dyDescent="0.2">
      <c r="B2312" s="262" t="s">
        <v>1859</v>
      </c>
      <c r="C2312" s="263">
        <v>42931</v>
      </c>
      <c r="D2312" s="264" t="s">
        <v>1911</v>
      </c>
      <c r="E2312" s="264" t="s">
        <v>4257</v>
      </c>
      <c r="F2312" s="265">
        <v>4000</v>
      </c>
      <c r="G2312" s="265"/>
      <c r="H2312" s="265">
        <f t="shared" si="62"/>
        <v>4000</v>
      </c>
    </row>
    <row r="2313" spans="2:9" x14ac:dyDescent="0.2">
      <c r="B2313" s="262" t="s">
        <v>1864</v>
      </c>
      <c r="C2313" s="263">
        <v>42932</v>
      </c>
      <c r="D2313" s="264" t="s">
        <v>3565</v>
      </c>
      <c r="E2313" s="264" t="s">
        <v>4258</v>
      </c>
      <c r="F2313" s="265">
        <v>400</v>
      </c>
      <c r="G2313" s="265"/>
      <c r="H2313" s="265">
        <f t="shared" si="62"/>
        <v>400</v>
      </c>
      <c r="I2313" s="175">
        <f>SUM(H2258:H2316)</f>
        <v>82221.2</v>
      </c>
    </row>
    <row r="2314" spans="2:9" x14ac:dyDescent="0.2">
      <c r="B2314" s="262" t="s">
        <v>1864</v>
      </c>
      <c r="C2314" s="263">
        <v>42932</v>
      </c>
      <c r="D2314" s="264" t="s">
        <v>2535</v>
      </c>
      <c r="E2314" s="264" t="s">
        <v>4060</v>
      </c>
      <c r="F2314" s="265">
        <v>165.4</v>
      </c>
      <c r="G2314" s="265"/>
      <c r="H2314" s="265">
        <f t="shared" si="62"/>
        <v>165.4</v>
      </c>
    </row>
    <row r="2315" spans="2:9" x14ac:dyDescent="0.2">
      <c r="B2315" s="262" t="s">
        <v>1863</v>
      </c>
      <c r="C2315" s="263">
        <v>42932</v>
      </c>
      <c r="D2315" s="264" t="s">
        <v>2250</v>
      </c>
      <c r="E2315" s="264" t="s">
        <v>3498</v>
      </c>
      <c r="F2315" s="265">
        <v>150</v>
      </c>
      <c r="G2315" s="265"/>
      <c r="H2315" s="265">
        <f t="shared" si="62"/>
        <v>150</v>
      </c>
    </row>
    <row r="2316" spans="2:9" x14ac:dyDescent="0.2">
      <c r="B2316" s="262" t="s">
        <v>1881</v>
      </c>
      <c r="C2316" s="263">
        <v>42932</v>
      </c>
      <c r="D2316" s="264" t="s">
        <v>2250</v>
      </c>
      <c r="E2316" s="264" t="s">
        <v>2026</v>
      </c>
      <c r="F2316" s="265">
        <v>120</v>
      </c>
      <c r="G2316" s="265"/>
      <c r="H2316" s="265">
        <f t="shared" si="62"/>
        <v>120</v>
      </c>
    </row>
    <row r="2317" spans="2:9" x14ac:dyDescent="0.2">
      <c r="B2317" s="262" t="s">
        <v>1884</v>
      </c>
      <c r="C2317" s="263">
        <v>42932</v>
      </c>
      <c r="D2317" s="264" t="s">
        <v>1915</v>
      </c>
      <c r="E2317" s="264" t="s">
        <v>4265</v>
      </c>
      <c r="F2317" s="265">
        <v>300</v>
      </c>
      <c r="G2317" s="265"/>
      <c r="H2317" s="265">
        <f t="shared" si="62"/>
        <v>300</v>
      </c>
    </row>
    <row r="2318" spans="2:9" x14ac:dyDescent="0.2">
      <c r="B2318" s="345" t="s">
        <v>1865</v>
      </c>
      <c r="C2318" s="263">
        <v>42933</v>
      </c>
      <c r="D2318" s="264" t="s">
        <v>3039</v>
      </c>
      <c r="E2318" s="264" t="s">
        <v>4266</v>
      </c>
      <c r="F2318" s="265">
        <v>150</v>
      </c>
      <c r="G2318" s="265"/>
      <c r="H2318" s="265">
        <f t="shared" si="62"/>
        <v>150</v>
      </c>
    </row>
    <row r="2319" spans="2:9" x14ac:dyDescent="0.2">
      <c r="B2319" s="262" t="s">
        <v>1884</v>
      </c>
      <c r="C2319" s="263">
        <v>42933</v>
      </c>
      <c r="D2319" s="264" t="s">
        <v>3330</v>
      </c>
      <c r="E2319" s="264" t="s">
        <v>4267</v>
      </c>
      <c r="F2319" s="265">
        <v>300</v>
      </c>
      <c r="G2319" s="265"/>
      <c r="H2319" s="265">
        <f t="shared" si="62"/>
        <v>300</v>
      </c>
    </row>
    <row r="2320" spans="2:9" x14ac:dyDescent="0.2">
      <c r="B2320" s="262" t="s">
        <v>1866</v>
      </c>
      <c r="C2320" s="263">
        <v>42933</v>
      </c>
      <c r="D2320" s="264" t="s">
        <v>1890</v>
      </c>
      <c r="E2320" s="264" t="s">
        <v>4268</v>
      </c>
      <c r="F2320" s="265">
        <v>310</v>
      </c>
      <c r="G2320" s="265"/>
      <c r="H2320" s="265">
        <f t="shared" si="62"/>
        <v>310</v>
      </c>
    </row>
    <row r="2321" spans="2:8" x14ac:dyDescent="0.2">
      <c r="B2321" s="262" t="s">
        <v>1863</v>
      </c>
      <c r="C2321" s="263">
        <v>42934</v>
      </c>
      <c r="D2321" s="264" t="s">
        <v>1889</v>
      </c>
      <c r="E2321" s="264" t="s">
        <v>4269</v>
      </c>
      <c r="F2321" s="265">
        <v>200</v>
      </c>
      <c r="G2321" s="265"/>
      <c r="H2321" s="265">
        <f t="shared" si="62"/>
        <v>200</v>
      </c>
    </row>
    <row r="2322" spans="2:8" x14ac:dyDescent="0.2">
      <c r="B2322" s="262" t="s">
        <v>1821</v>
      </c>
      <c r="C2322" s="263">
        <v>42935</v>
      </c>
      <c r="D2322" s="264" t="s">
        <v>1892</v>
      </c>
      <c r="E2322" s="264" t="s">
        <v>4270</v>
      </c>
      <c r="F2322" s="344">
        <v>1100</v>
      </c>
      <c r="G2322" s="265"/>
      <c r="H2322" s="265">
        <f t="shared" ref="H2322:H2364" si="68">SUM(F2322:G2322)</f>
        <v>1100</v>
      </c>
    </row>
    <row r="2323" spans="2:8" x14ac:dyDescent="0.2">
      <c r="B2323" s="262" t="s">
        <v>1862</v>
      </c>
      <c r="C2323" s="263">
        <v>42935</v>
      </c>
      <c r="D2323" s="264" t="s">
        <v>1892</v>
      </c>
      <c r="E2323" s="264" t="s">
        <v>4271</v>
      </c>
      <c r="F2323" s="344">
        <v>1290</v>
      </c>
      <c r="G2323" s="265"/>
      <c r="H2323" s="265">
        <f t="shared" ref="H2323" si="69">SUM(F2323:G2323)</f>
        <v>1290</v>
      </c>
    </row>
    <row r="2324" spans="2:8" x14ac:dyDescent="0.2">
      <c r="B2324" s="262" t="s">
        <v>1870</v>
      </c>
      <c r="C2324" s="263">
        <v>42935</v>
      </c>
      <c r="D2324" s="264" t="s">
        <v>1892</v>
      </c>
      <c r="E2324" s="264" t="s">
        <v>4272</v>
      </c>
      <c r="F2324" s="265">
        <v>200</v>
      </c>
      <c r="G2324" s="265"/>
      <c r="H2324" s="265">
        <f t="shared" si="68"/>
        <v>200</v>
      </c>
    </row>
    <row r="2325" spans="2:8" x14ac:dyDescent="0.2">
      <c r="B2325" s="262" t="s">
        <v>1862</v>
      </c>
      <c r="C2325" s="263">
        <v>42935</v>
      </c>
      <c r="D2325" s="264" t="s">
        <v>1892</v>
      </c>
      <c r="E2325" s="264" t="s">
        <v>4273</v>
      </c>
      <c r="F2325" s="265">
        <v>190</v>
      </c>
      <c r="G2325" s="265"/>
      <c r="H2325" s="265">
        <f t="shared" si="68"/>
        <v>190</v>
      </c>
    </row>
    <row r="2326" spans="2:8" x14ac:dyDescent="0.2">
      <c r="B2326" s="262" t="s">
        <v>1884</v>
      </c>
      <c r="C2326" s="263">
        <v>42935</v>
      </c>
      <c r="D2326" s="264" t="s">
        <v>3125</v>
      </c>
      <c r="E2326" s="264" t="s">
        <v>3698</v>
      </c>
      <c r="F2326" s="265">
        <v>340</v>
      </c>
      <c r="G2326" s="265"/>
      <c r="H2326" s="265">
        <f t="shared" si="68"/>
        <v>340</v>
      </c>
    </row>
    <row r="2327" spans="2:8" x14ac:dyDescent="0.2">
      <c r="B2327" s="262" t="s">
        <v>1884</v>
      </c>
      <c r="C2327" s="263">
        <v>42935</v>
      </c>
      <c r="D2327" s="264" t="s">
        <v>2535</v>
      </c>
      <c r="E2327" s="264" t="s">
        <v>4274</v>
      </c>
      <c r="F2327" s="265">
        <v>60</v>
      </c>
      <c r="G2327" s="265"/>
      <c r="H2327" s="265">
        <f t="shared" si="68"/>
        <v>60</v>
      </c>
    </row>
    <row r="2328" spans="2:8" x14ac:dyDescent="0.2">
      <c r="B2328" s="262" t="s">
        <v>1577</v>
      </c>
      <c r="C2328" s="263">
        <v>42936</v>
      </c>
      <c r="D2328" s="264" t="s">
        <v>4027</v>
      </c>
      <c r="E2328" s="264" t="s">
        <v>4297</v>
      </c>
      <c r="F2328" s="344">
        <v>10000</v>
      </c>
      <c r="G2328" s="265"/>
      <c r="H2328" s="265">
        <f t="shared" si="68"/>
        <v>10000</v>
      </c>
    </row>
    <row r="2329" spans="2:8" x14ac:dyDescent="0.2">
      <c r="B2329" s="262" t="s">
        <v>1884</v>
      </c>
      <c r="C2329" s="263">
        <v>42937</v>
      </c>
      <c r="D2329" s="264" t="s">
        <v>1911</v>
      </c>
      <c r="E2329" s="264" t="s">
        <v>3924</v>
      </c>
      <c r="F2329" s="265">
        <v>189</v>
      </c>
      <c r="G2329" s="265"/>
      <c r="H2329" s="265">
        <f t="shared" si="68"/>
        <v>189</v>
      </c>
    </row>
    <row r="2330" spans="2:8" x14ac:dyDescent="0.2">
      <c r="B2330" s="262" t="s">
        <v>1805</v>
      </c>
      <c r="C2330" s="263">
        <v>42937</v>
      </c>
      <c r="D2330" s="264" t="s">
        <v>3565</v>
      </c>
      <c r="E2330" s="264" t="s">
        <v>4276</v>
      </c>
      <c r="F2330" s="265">
        <v>1000</v>
      </c>
      <c r="G2330" s="265"/>
      <c r="H2330" s="265">
        <f t="shared" si="68"/>
        <v>1000</v>
      </c>
    </row>
    <row r="2331" spans="2:8" x14ac:dyDescent="0.2">
      <c r="B2331" s="262" t="s">
        <v>1863</v>
      </c>
      <c r="C2331" s="263">
        <v>42938</v>
      </c>
      <c r="D2331" s="264" t="s">
        <v>1878</v>
      </c>
      <c r="E2331" s="264" t="s">
        <v>4277</v>
      </c>
      <c r="F2331" s="265">
        <v>500</v>
      </c>
      <c r="G2331" s="265"/>
      <c r="H2331" s="265">
        <f t="shared" si="68"/>
        <v>500</v>
      </c>
    </row>
    <row r="2332" spans="2:8" x14ac:dyDescent="0.2">
      <c r="B2332" s="262" t="s">
        <v>1863</v>
      </c>
      <c r="C2332" s="263">
        <v>42939</v>
      </c>
      <c r="D2332" s="264" t="s">
        <v>2250</v>
      </c>
      <c r="E2332" s="264" t="s">
        <v>3381</v>
      </c>
      <c r="F2332" s="265">
        <v>150</v>
      </c>
      <c r="G2332" s="265"/>
      <c r="H2332" s="265">
        <f t="shared" si="68"/>
        <v>150</v>
      </c>
    </row>
    <row r="2333" spans="2:8" x14ac:dyDescent="0.2">
      <c r="B2333" s="262" t="s">
        <v>1864</v>
      </c>
      <c r="C2333" s="263">
        <v>42939</v>
      </c>
      <c r="D2333" s="264" t="s">
        <v>2535</v>
      </c>
      <c r="E2333" s="264" t="s">
        <v>2828</v>
      </c>
      <c r="F2333" s="265">
        <v>150</v>
      </c>
      <c r="G2333" s="265"/>
      <c r="H2333" s="265">
        <f t="shared" si="68"/>
        <v>150</v>
      </c>
    </row>
    <row r="2334" spans="2:8" x14ac:dyDescent="0.2">
      <c r="B2334" s="262" t="s">
        <v>1881</v>
      </c>
      <c r="C2334" s="263">
        <v>42939</v>
      </c>
      <c r="D2334" s="264" t="s">
        <v>2250</v>
      </c>
      <c r="E2334" s="264" t="s">
        <v>2636</v>
      </c>
      <c r="F2334" s="265">
        <v>120</v>
      </c>
      <c r="G2334" s="265"/>
      <c r="H2334" s="265">
        <f t="shared" si="68"/>
        <v>120</v>
      </c>
    </row>
    <row r="2335" spans="2:8" x14ac:dyDescent="0.2">
      <c r="B2335" s="262" t="s">
        <v>1866</v>
      </c>
      <c r="C2335" s="263">
        <v>42939</v>
      </c>
      <c r="D2335" s="264" t="s">
        <v>1890</v>
      </c>
      <c r="E2335" s="264" t="s">
        <v>3789</v>
      </c>
      <c r="F2335" s="265">
        <v>310</v>
      </c>
      <c r="G2335" s="265"/>
      <c r="H2335" s="265">
        <f t="shared" si="68"/>
        <v>310</v>
      </c>
    </row>
    <row r="2336" spans="2:8" x14ac:dyDescent="0.2">
      <c r="B2336" s="262" t="s">
        <v>1864</v>
      </c>
      <c r="C2336" s="263">
        <v>42940</v>
      </c>
      <c r="D2336" s="264" t="s">
        <v>3565</v>
      </c>
      <c r="E2336" s="264" t="s">
        <v>4278</v>
      </c>
      <c r="F2336" s="265">
        <v>400</v>
      </c>
      <c r="G2336" s="265"/>
      <c r="H2336" s="265">
        <f t="shared" si="68"/>
        <v>400</v>
      </c>
    </row>
    <row r="2337" spans="2:9" x14ac:dyDescent="0.2">
      <c r="B2337" s="262" t="s">
        <v>1884</v>
      </c>
      <c r="C2337" s="263">
        <v>42940</v>
      </c>
      <c r="D2337" s="264" t="s">
        <v>3330</v>
      </c>
      <c r="E2337" s="264" t="s">
        <v>4279</v>
      </c>
      <c r="F2337" s="265">
        <v>350</v>
      </c>
      <c r="G2337" s="265"/>
      <c r="H2337" s="265">
        <f t="shared" si="68"/>
        <v>350</v>
      </c>
    </row>
    <row r="2338" spans="2:9" x14ac:dyDescent="0.2">
      <c r="B2338" s="262" t="s">
        <v>1860</v>
      </c>
      <c r="C2338" s="263">
        <v>42940</v>
      </c>
      <c r="D2338" s="264" t="s">
        <v>3955</v>
      </c>
      <c r="E2338" s="264" t="s">
        <v>4280</v>
      </c>
      <c r="F2338" s="265">
        <v>12</v>
      </c>
      <c r="G2338" s="265"/>
      <c r="H2338" s="265">
        <f t="shared" si="68"/>
        <v>12</v>
      </c>
    </row>
    <row r="2339" spans="2:9" x14ac:dyDescent="0.2">
      <c r="B2339" s="262" t="s">
        <v>1860</v>
      </c>
      <c r="C2339" s="263">
        <v>42940</v>
      </c>
      <c r="D2339" s="264" t="s">
        <v>3955</v>
      </c>
      <c r="E2339" s="264" t="s">
        <v>4280</v>
      </c>
      <c r="F2339" s="265">
        <v>188</v>
      </c>
      <c r="G2339" s="265"/>
      <c r="H2339" s="265">
        <f t="shared" si="68"/>
        <v>188</v>
      </c>
    </row>
    <row r="2340" spans="2:9" x14ac:dyDescent="0.2">
      <c r="B2340" s="262" t="s">
        <v>1577</v>
      </c>
      <c r="C2340" s="263">
        <v>42940</v>
      </c>
      <c r="D2340" s="264" t="s">
        <v>4027</v>
      </c>
      <c r="E2340" s="264" t="s">
        <v>4275</v>
      </c>
      <c r="F2340" s="265">
        <v>1000</v>
      </c>
      <c r="G2340" s="265"/>
      <c r="H2340" s="265">
        <f t="shared" si="68"/>
        <v>1000</v>
      </c>
      <c r="I2340" s="175">
        <f>SUM(H2258:H2340)</f>
        <v>101030.2</v>
      </c>
    </row>
    <row r="2341" spans="2:9" x14ac:dyDescent="0.2">
      <c r="B2341" s="262" t="s">
        <v>1884</v>
      </c>
      <c r="C2341" s="263">
        <v>42941</v>
      </c>
      <c r="D2341" s="264" t="s">
        <v>2535</v>
      </c>
      <c r="E2341" s="264" t="s">
        <v>4281</v>
      </c>
      <c r="F2341" s="265">
        <v>87.5</v>
      </c>
      <c r="G2341" s="265"/>
      <c r="H2341" s="265">
        <f t="shared" si="68"/>
        <v>87.5</v>
      </c>
    </row>
    <row r="2342" spans="2:9" x14ac:dyDescent="0.2">
      <c r="B2342" s="262" t="s">
        <v>1884</v>
      </c>
      <c r="C2342" s="263">
        <v>42941</v>
      </c>
      <c r="D2342" s="264" t="s">
        <v>1921</v>
      </c>
      <c r="E2342" s="264" t="s">
        <v>4282</v>
      </c>
      <c r="F2342" s="265">
        <v>77</v>
      </c>
      <c r="G2342" s="265"/>
      <c r="H2342" s="265">
        <f t="shared" si="68"/>
        <v>77</v>
      </c>
    </row>
    <row r="2343" spans="2:9" x14ac:dyDescent="0.2">
      <c r="B2343" s="262" t="s">
        <v>1862</v>
      </c>
      <c r="C2343" s="263">
        <v>42941</v>
      </c>
      <c r="D2343" s="264" t="s">
        <v>1892</v>
      </c>
      <c r="E2343" s="264" t="s">
        <v>4283</v>
      </c>
      <c r="F2343" s="265">
        <v>600</v>
      </c>
      <c r="G2343" s="265"/>
      <c r="H2343" s="265">
        <f t="shared" si="68"/>
        <v>600</v>
      </c>
    </row>
    <row r="2344" spans="2:9" x14ac:dyDescent="0.2">
      <c r="B2344" s="262" t="s">
        <v>1577</v>
      </c>
      <c r="C2344" s="263">
        <v>42943</v>
      </c>
      <c r="D2344" s="264" t="s">
        <v>4027</v>
      </c>
      <c r="E2344" s="264" t="s">
        <v>4275</v>
      </c>
      <c r="F2344" s="265">
        <v>2100</v>
      </c>
      <c r="G2344" s="265"/>
      <c r="H2344" s="265">
        <f t="shared" si="68"/>
        <v>2100</v>
      </c>
    </row>
    <row r="2345" spans="2:9" x14ac:dyDescent="0.2">
      <c r="B2345" s="262" t="s">
        <v>1577</v>
      </c>
      <c r="C2345" s="263">
        <v>42943</v>
      </c>
      <c r="D2345" s="264" t="s">
        <v>4027</v>
      </c>
      <c r="E2345" s="264" t="s">
        <v>4291</v>
      </c>
      <c r="F2345" s="265">
        <v>10000</v>
      </c>
      <c r="G2345" s="265"/>
      <c r="H2345" s="265">
        <f t="shared" si="68"/>
        <v>10000</v>
      </c>
    </row>
    <row r="2346" spans="2:9" x14ac:dyDescent="0.2">
      <c r="B2346" s="262" t="s">
        <v>1805</v>
      </c>
      <c r="C2346" s="263">
        <v>42944</v>
      </c>
      <c r="D2346" s="264" t="s">
        <v>3565</v>
      </c>
      <c r="E2346" s="264" t="s">
        <v>4292</v>
      </c>
      <c r="F2346" s="265">
        <v>1000</v>
      </c>
      <c r="G2346" s="265"/>
      <c r="H2346" s="265">
        <f t="shared" si="68"/>
        <v>1000</v>
      </c>
    </row>
    <row r="2347" spans="2:9" x14ac:dyDescent="0.2">
      <c r="B2347" s="262" t="s">
        <v>1881</v>
      </c>
      <c r="C2347" s="263">
        <v>42944</v>
      </c>
      <c r="D2347" s="264" t="s">
        <v>1878</v>
      </c>
      <c r="E2347" s="264" t="s">
        <v>4293</v>
      </c>
      <c r="F2347" s="265">
        <v>500</v>
      </c>
      <c r="G2347" s="265"/>
      <c r="H2347" s="265">
        <f t="shared" si="68"/>
        <v>500</v>
      </c>
    </row>
    <row r="2348" spans="2:9" x14ac:dyDescent="0.2">
      <c r="B2348" s="262" t="s">
        <v>1881</v>
      </c>
      <c r="C2348" s="263">
        <v>42944</v>
      </c>
      <c r="D2348" s="264" t="s">
        <v>2250</v>
      </c>
      <c r="E2348" s="264" t="s">
        <v>2026</v>
      </c>
      <c r="F2348" s="265">
        <v>120</v>
      </c>
      <c r="G2348" s="265"/>
      <c r="H2348" s="265">
        <f t="shared" si="68"/>
        <v>120</v>
      </c>
    </row>
    <row r="2349" spans="2:9" x14ac:dyDescent="0.2">
      <c r="B2349" s="262" t="s">
        <v>1863</v>
      </c>
      <c r="C2349" s="263">
        <v>42944</v>
      </c>
      <c r="D2349" s="264" t="s">
        <v>2250</v>
      </c>
      <c r="E2349" s="264" t="s">
        <v>3498</v>
      </c>
      <c r="F2349" s="265">
        <v>150</v>
      </c>
      <c r="G2349" s="265"/>
      <c r="H2349" s="265">
        <f t="shared" si="68"/>
        <v>150</v>
      </c>
    </row>
    <row r="2350" spans="2:9" x14ac:dyDescent="0.2">
      <c r="B2350" s="262" t="s">
        <v>1864</v>
      </c>
      <c r="C2350" s="263">
        <v>42946</v>
      </c>
      <c r="D2350" s="264" t="s">
        <v>2535</v>
      </c>
      <c r="E2350" s="264" t="s">
        <v>3302</v>
      </c>
      <c r="F2350" s="265">
        <v>150</v>
      </c>
      <c r="G2350" s="265"/>
      <c r="H2350" s="265">
        <f t="shared" si="68"/>
        <v>150</v>
      </c>
    </row>
    <row r="2351" spans="2:9" x14ac:dyDescent="0.2">
      <c r="B2351" s="262" t="s">
        <v>1881</v>
      </c>
      <c r="C2351" s="263">
        <v>42946</v>
      </c>
      <c r="D2351" s="264" t="s">
        <v>2250</v>
      </c>
      <c r="E2351" s="264" t="s">
        <v>4294</v>
      </c>
      <c r="F2351" s="265">
        <v>300</v>
      </c>
      <c r="G2351" s="265"/>
      <c r="H2351" s="265">
        <f t="shared" ref="H2351:H2358" si="70">SUM(F2351:G2351)</f>
        <v>300</v>
      </c>
    </row>
    <row r="2352" spans="2:9" x14ac:dyDescent="0.2">
      <c r="B2352" s="262" t="s">
        <v>1881</v>
      </c>
      <c r="C2352" s="263">
        <v>42947</v>
      </c>
      <c r="D2352" s="264" t="s">
        <v>1873</v>
      </c>
      <c r="E2352" s="264" t="s">
        <v>4295</v>
      </c>
      <c r="F2352" s="265">
        <v>450</v>
      </c>
      <c r="G2352" s="265"/>
      <c r="H2352" s="265">
        <f t="shared" si="70"/>
        <v>450</v>
      </c>
      <c r="I2352" s="175">
        <f>SUM(H2258:H2360)</f>
        <v>115317.62999999999</v>
      </c>
    </row>
    <row r="2353" spans="2:9" x14ac:dyDescent="0.2">
      <c r="B2353" s="262" t="s">
        <v>1864</v>
      </c>
      <c r="C2353" s="263">
        <v>42947</v>
      </c>
      <c r="D2353" s="264" t="s">
        <v>3565</v>
      </c>
      <c r="E2353" s="264" t="s">
        <v>4296</v>
      </c>
      <c r="F2353" s="265">
        <v>400</v>
      </c>
      <c r="G2353" s="265"/>
      <c r="H2353" s="265">
        <f t="shared" si="70"/>
        <v>400</v>
      </c>
    </row>
    <row r="2354" spans="2:9" x14ac:dyDescent="0.2">
      <c r="B2354" s="262" t="s">
        <v>1887</v>
      </c>
      <c r="C2354" s="263">
        <v>42923</v>
      </c>
      <c r="D2354" s="264" t="s">
        <v>3367</v>
      </c>
      <c r="E2354" s="264" t="s">
        <v>1536</v>
      </c>
      <c r="F2354" s="265">
        <v>-0.28999999999999998</v>
      </c>
      <c r="G2354" s="265"/>
      <c r="H2354" s="265">
        <f t="shared" ref="H2354" si="71">SUM(F2354:G2354)</f>
        <v>-0.28999999999999998</v>
      </c>
    </row>
    <row r="2355" spans="2:9" x14ac:dyDescent="0.2">
      <c r="B2355" s="262" t="s">
        <v>1887</v>
      </c>
      <c r="C2355" s="263">
        <v>42927</v>
      </c>
      <c r="D2355" s="264" t="s">
        <v>1534</v>
      </c>
      <c r="E2355" s="264" t="s">
        <v>1536</v>
      </c>
      <c r="F2355" s="265">
        <v>-0.46</v>
      </c>
      <c r="G2355" s="265"/>
      <c r="H2355" s="265">
        <f t="shared" si="70"/>
        <v>-0.46</v>
      </c>
    </row>
    <row r="2356" spans="2:9" x14ac:dyDescent="0.2">
      <c r="B2356" s="262" t="s">
        <v>1790</v>
      </c>
      <c r="C2356" s="263">
        <v>42906</v>
      </c>
      <c r="D2356" s="361" t="s">
        <v>1909</v>
      </c>
      <c r="E2356" s="361" t="s">
        <v>4717</v>
      </c>
      <c r="F2356" s="362"/>
      <c r="G2356" s="362">
        <v>-1760</v>
      </c>
      <c r="H2356" s="265">
        <f t="shared" si="70"/>
        <v>-1760</v>
      </c>
    </row>
    <row r="2357" spans="2:9" x14ac:dyDescent="0.2">
      <c r="B2357" s="262" t="s">
        <v>1887</v>
      </c>
      <c r="C2357" s="263">
        <v>42916</v>
      </c>
      <c r="D2357" s="361" t="s">
        <v>1597</v>
      </c>
      <c r="E2357" s="361" t="s">
        <v>2229</v>
      </c>
      <c r="F2357" s="362">
        <v>98</v>
      </c>
      <c r="G2357" s="362"/>
      <c r="H2357" s="265">
        <f t="shared" si="70"/>
        <v>98</v>
      </c>
    </row>
    <row r="2358" spans="2:9" x14ac:dyDescent="0.2">
      <c r="B2358" s="262" t="s">
        <v>1790</v>
      </c>
      <c r="C2358" s="263">
        <v>42916</v>
      </c>
      <c r="D2358" s="361" t="s">
        <v>1597</v>
      </c>
      <c r="E2358" s="361" t="s">
        <v>2230</v>
      </c>
      <c r="F2358" s="362"/>
      <c r="G2358" s="362">
        <v>15.68</v>
      </c>
      <c r="H2358" s="265">
        <f t="shared" si="70"/>
        <v>15.68</v>
      </c>
    </row>
    <row r="2359" spans="2:9" x14ac:dyDescent="0.2">
      <c r="B2359" s="262"/>
      <c r="C2359" s="263"/>
      <c r="D2359" s="264"/>
      <c r="E2359" s="264"/>
      <c r="F2359" s="265"/>
      <c r="G2359" s="265"/>
      <c r="H2359" s="265">
        <f t="shared" ref="H2359:H2360" si="72">SUM(F2359:G2359)</f>
        <v>0</v>
      </c>
    </row>
    <row r="2360" spans="2:9" x14ac:dyDescent="0.2">
      <c r="B2360" s="262"/>
      <c r="C2360" s="263"/>
      <c r="D2360" s="264"/>
      <c r="E2360" s="264"/>
      <c r="F2360" s="265"/>
      <c r="G2360" s="265"/>
      <c r="H2360" s="265">
        <f t="shared" si="72"/>
        <v>0</v>
      </c>
      <c r="I2360" s="175">
        <f>SUM(H2258:H2358)</f>
        <v>115317.62999999999</v>
      </c>
    </row>
    <row r="2361" spans="2:9" ht="18" customHeight="1" x14ac:dyDescent="0.2">
      <c r="B2361" s="255" t="s">
        <v>1850</v>
      </c>
      <c r="C2361" s="255" t="s">
        <v>1851</v>
      </c>
      <c r="D2361" s="256" t="s">
        <v>1852</v>
      </c>
      <c r="E2361" s="256" t="s">
        <v>1853</v>
      </c>
      <c r="F2361" s="257" t="s">
        <v>1854</v>
      </c>
      <c r="G2361" s="257" t="s">
        <v>1855</v>
      </c>
      <c r="H2361" s="257" t="s">
        <v>1856</v>
      </c>
    </row>
    <row r="2362" spans="2:9" x14ac:dyDescent="0.2">
      <c r="B2362" s="262" t="s">
        <v>1866</v>
      </c>
      <c r="C2362" s="263">
        <v>42948</v>
      </c>
      <c r="D2362" s="264" t="s">
        <v>1890</v>
      </c>
      <c r="E2362" s="264" t="s">
        <v>4000</v>
      </c>
      <c r="F2362" s="265">
        <v>310</v>
      </c>
      <c r="G2362" s="265"/>
      <c r="H2362" s="265">
        <f t="shared" si="68"/>
        <v>310</v>
      </c>
    </row>
    <row r="2363" spans="2:9" x14ac:dyDescent="0.2">
      <c r="B2363" s="262" t="s">
        <v>1884</v>
      </c>
      <c r="C2363" s="263">
        <v>42948</v>
      </c>
      <c r="D2363" s="264" t="s">
        <v>4317</v>
      </c>
      <c r="E2363" s="264" t="s">
        <v>4318</v>
      </c>
      <c r="F2363" s="265">
        <v>115.3</v>
      </c>
      <c r="G2363" s="265"/>
      <c r="H2363" s="265">
        <f t="shared" si="68"/>
        <v>115.3</v>
      </c>
    </row>
    <row r="2364" spans="2:9" x14ac:dyDescent="0.2">
      <c r="B2364" s="262" t="s">
        <v>1884</v>
      </c>
      <c r="C2364" s="263">
        <v>42948</v>
      </c>
      <c r="D2364" s="264" t="s">
        <v>2192</v>
      </c>
      <c r="E2364" s="264" t="s">
        <v>4319</v>
      </c>
      <c r="F2364" s="265">
        <v>20</v>
      </c>
      <c r="G2364" s="265"/>
      <c r="H2364" s="265">
        <f t="shared" si="68"/>
        <v>20</v>
      </c>
    </row>
    <row r="2365" spans="2:9" x14ac:dyDescent="0.2">
      <c r="B2365" s="262" t="s">
        <v>1884</v>
      </c>
      <c r="C2365" s="263">
        <v>42948</v>
      </c>
      <c r="D2365" s="264" t="s">
        <v>1911</v>
      </c>
      <c r="E2365" s="264" t="s">
        <v>4320</v>
      </c>
      <c r="F2365" s="265">
        <v>150</v>
      </c>
      <c r="G2365" s="265"/>
      <c r="H2365" s="265">
        <f t="shared" ref="H2365:H2376" si="73">SUM(F2365:G2365)</f>
        <v>150</v>
      </c>
    </row>
    <row r="2366" spans="2:9" x14ac:dyDescent="0.2">
      <c r="B2366" s="262" t="s">
        <v>1884</v>
      </c>
      <c r="C2366" s="263">
        <v>42948</v>
      </c>
      <c r="D2366" s="264" t="s">
        <v>3125</v>
      </c>
      <c r="E2366" s="264" t="s">
        <v>3698</v>
      </c>
      <c r="F2366" s="265">
        <v>295</v>
      </c>
      <c r="G2366" s="265"/>
      <c r="H2366" s="265">
        <f t="shared" si="73"/>
        <v>295</v>
      </c>
    </row>
    <row r="2367" spans="2:9" x14ac:dyDescent="0.2">
      <c r="B2367" s="262" t="s">
        <v>1577</v>
      </c>
      <c r="C2367" s="263">
        <v>42948</v>
      </c>
      <c r="D2367" s="264" t="s">
        <v>3959</v>
      </c>
      <c r="E2367" s="264" t="s">
        <v>4321</v>
      </c>
      <c r="F2367" s="265">
        <v>7000</v>
      </c>
      <c r="G2367" s="265"/>
      <c r="H2367" s="265">
        <f t="shared" si="73"/>
        <v>7000</v>
      </c>
    </row>
    <row r="2368" spans="2:9" x14ac:dyDescent="0.2">
      <c r="B2368" s="262" t="s">
        <v>1884</v>
      </c>
      <c r="C2368" s="263">
        <v>42948</v>
      </c>
      <c r="D2368" s="264" t="s">
        <v>2535</v>
      </c>
      <c r="E2368" s="264" t="s">
        <v>4322</v>
      </c>
      <c r="F2368" s="265">
        <v>140.9</v>
      </c>
      <c r="G2368" s="265"/>
      <c r="H2368" s="265">
        <f t="shared" si="73"/>
        <v>140.9</v>
      </c>
    </row>
    <row r="2369" spans="2:9" x14ac:dyDescent="0.2">
      <c r="B2369" s="262" t="s">
        <v>1821</v>
      </c>
      <c r="C2369" s="263">
        <v>42948</v>
      </c>
      <c r="D2369" s="264" t="s">
        <v>1892</v>
      </c>
      <c r="E2369" s="264" t="s">
        <v>4323</v>
      </c>
      <c r="F2369" s="265">
        <v>100</v>
      </c>
      <c r="G2369" s="265"/>
      <c r="H2369" s="265">
        <f t="shared" si="73"/>
        <v>100</v>
      </c>
    </row>
    <row r="2370" spans="2:9" x14ac:dyDescent="0.2">
      <c r="B2370" s="262" t="s">
        <v>1862</v>
      </c>
      <c r="C2370" s="263">
        <v>42948</v>
      </c>
      <c r="D2370" s="264" t="s">
        <v>1892</v>
      </c>
      <c r="E2370" s="264" t="s">
        <v>4324</v>
      </c>
      <c r="F2370" s="265">
        <v>360</v>
      </c>
      <c r="G2370" s="265"/>
      <c r="H2370" s="265">
        <f t="shared" si="73"/>
        <v>360</v>
      </c>
    </row>
    <row r="2371" spans="2:9" x14ac:dyDescent="0.2">
      <c r="B2371" s="262" t="s">
        <v>1863</v>
      </c>
      <c r="C2371" s="263">
        <v>42948</v>
      </c>
      <c r="D2371" s="264" t="s">
        <v>4025</v>
      </c>
      <c r="E2371" s="264" t="s">
        <v>4325</v>
      </c>
      <c r="F2371" s="265">
        <v>350</v>
      </c>
      <c r="G2371" s="265"/>
      <c r="H2371" s="265">
        <f t="shared" si="73"/>
        <v>350</v>
      </c>
    </row>
    <row r="2372" spans="2:9" x14ac:dyDescent="0.2">
      <c r="B2372" s="262" t="s">
        <v>1859</v>
      </c>
      <c r="C2372" s="263">
        <v>42948</v>
      </c>
      <c r="D2372" s="264" t="s">
        <v>1911</v>
      </c>
      <c r="E2372" s="264" t="s">
        <v>4326</v>
      </c>
      <c r="F2372" s="265">
        <v>4000</v>
      </c>
      <c r="G2372" s="265"/>
      <c r="H2372" s="265">
        <f t="shared" si="73"/>
        <v>4000</v>
      </c>
    </row>
    <row r="2373" spans="2:9" x14ac:dyDescent="0.2">
      <c r="B2373" s="262" t="s">
        <v>1821</v>
      </c>
      <c r="C2373" s="263">
        <v>42948</v>
      </c>
      <c r="D2373" s="264" t="s">
        <v>1892</v>
      </c>
      <c r="E2373" s="264" t="s">
        <v>3433</v>
      </c>
      <c r="F2373" s="265">
        <v>140</v>
      </c>
      <c r="G2373" s="265"/>
      <c r="H2373" s="265">
        <f t="shared" si="73"/>
        <v>140</v>
      </c>
    </row>
    <row r="2374" spans="2:9" x14ac:dyDescent="0.2">
      <c r="B2374" s="262" t="s">
        <v>1884</v>
      </c>
      <c r="C2374" s="263">
        <v>42948</v>
      </c>
      <c r="D2374" s="264" t="s">
        <v>1892</v>
      </c>
      <c r="E2374" s="264" t="s">
        <v>3722</v>
      </c>
      <c r="F2374" s="265">
        <v>650</v>
      </c>
      <c r="G2374" s="265"/>
      <c r="H2374" s="265">
        <f t="shared" si="73"/>
        <v>650</v>
      </c>
    </row>
    <row r="2375" spans="2:9" x14ac:dyDescent="0.2">
      <c r="B2375" s="262" t="s">
        <v>1870</v>
      </c>
      <c r="C2375" s="263">
        <v>42948</v>
      </c>
      <c r="D2375" s="264" t="s">
        <v>1892</v>
      </c>
      <c r="E2375" s="264" t="s">
        <v>4330</v>
      </c>
      <c r="F2375" s="265">
        <v>400</v>
      </c>
      <c r="G2375" s="265"/>
      <c r="H2375" s="265">
        <f t="shared" si="73"/>
        <v>400</v>
      </c>
    </row>
    <row r="2376" spans="2:9" x14ac:dyDescent="0.2">
      <c r="B2376" s="262" t="s">
        <v>1863</v>
      </c>
      <c r="C2376" s="263">
        <v>42949</v>
      </c>
      <c r="D2376" s="264" t="s">
        <v>2419</v>
      </c>
      <c r="E2376" s="264" t="s">
        <v>4331</v>
      </c>
      <c r="F2376" s="265">
        <v>350</v>
      </c>
      <c r="G2376" s="265"/>
      <c r="H2376" s="265">
        <f t="shared" si="73"/>
        <v>350</v>
      </c>
    </row>
    <row r="2377" spans="2:9" x14ac:dyDescent="0.2">
      <c r="B2377" s="262" t="s">
        <v>1884</v>
      </c>
      <c r="C2377" s="263">
        <v>42949</v>
      </c>
      <c r="D2377" s="264" t="s">
        <v>1911</v>
      </c>
      <c r="E2377" s="264" t="s">
        <v>3924</v>
      </c>
      <c r="F2377" s="265">
        <v>247</v>
      </c>
      <c r="G2377" s="265"/>
      <c r="H2377" s="265">
        <f t="shared" ref="H2377:H2399" si="74">SUM(F2377:G2377)</f>
        <v>247</v>
      </c>
    </row>
    <row r="2378" spans="2:9" x14ac:dyDescent="0.2">
      <c r="B2378" s="262" t="s">
        <v>1860</v>
      </c>
      <c r="C2378" s="263">
        <v>42949</v>
      </c>
      <c r="D2378" s="264" t="s">
        <v>3955</v>
      </c>
      <c r="E2378" s="264" t="s">
        <v>3424</v>
      </c>
      <c r="F2378" s="265">
        <v>72</v>
      </c>
      <c r="G2378" s="265"/>
      <c r="H2378" s="265">
        <f t="shared" si="74"/>
        <v>72</v>
      </c>
    </row>
    <row r="2379" spans="2:9" x14ac:dyDescent="0.2">
      <c r="B2379" s="262" t="s">
        <v>1884</v>
      </c>
      <c r="C2379" s="263">
        <v>42949</v>
      </c>
      <c r="D2379" s="264" t="s">
        <v>3146</v>
      </c>
      <c r="E2379" s="264" t="s">
        <v>4332</v>
      </c>
      <c r="F2379" s="265">
        <v>350</v>
      </c>
      <c r="G2379" s="265"/>
      <c r="H2379" s="265">
        <f t="shared" si="74"/>
        <v>350</v>
      </c>
    </row>
    <row r="2380" spans="2:9" x14ac:dyDescent="0.2">
      <c r="B2380" s="262" t="s">
        <v>1860</v>
      </c>
      <c r="C2380" s="263">
        <v>42949</v>
      </c>
      <c r="D2380" s="264" t="s">
        <v>3939</v>
      </c>
      <c r="E2380" s="264" t="s">
        <v>4333</v>
      </c>
      <c r="F2380" s="265">
        <v>740</v>
      </c>
      <c r="G2380" s="265"/>
      <c r="H2380" s="265">
        <f t="shared" si="74"/>
        <v>740</v>
      </c>
    </row>
    <row r="2381" spans="2:9" x14ac:dyDescent="0.2">
      <c r="B2381" s="262" t="s">
        <v>1862</v>
      </c>
      <c r="C2381" s="263">
        <v>42950</v>
      </c>
      <c r="D2381" s="264" t="s">
        <v>1892</v>
      </c>
      <c r="E2381" s="264" t="s">
        <v>4334</v>
      </c>
      <c r="F2381" s="265">
        <v>180</v>
      </c>
      <c r="G2381" s="265"/>
      <c r="H2381" s="265">
        <f t="shared" si="74"/>
        <v>180</v>
      </c>
      <c r="I2381" s="175">
        <f>SUM(H2362:H2381)</f>
        <v>15970.2</v>
      </c>
    </row>
    <row r="2382" spans="2:9" x14ac:dyDescent="0.2">
      <c r="B2382" s="262" t="s">
        <v>1862</v>
      </c>
      <c r="C2382" s="263">
        <v>42950</v>
      </c>
      <c r="D2382" s="264" t="s">
        <v>1892</v>
      </c>
      <c r="E2382" s="264" t="s">
        <v>4335</v>
      </c>
      <c r="F2382" s="265">
        <v>450</v>
      </c>
      <c r="G2382" s="265"/>
      <c r="H2382" s="265">
        <f t="shared" si="74"/>
        <v>450</v>
      </c>
    </row>
    <row r="2383" spans="2:9" x14ac:dyDescent="0.2">
      <c r="B2383" s="262" t="s">
        <v>1884</v>
      </c>
      <c r="C2383" s="263">
        <v>42950</v>
      </c>
      <c r="D2383" s="264" t="s">
        <v>1915</v>
      </c>
      <c r="E2383" s="264" t="s">
        <v>4336</v>
      </c>
      <c r="F2383" s="265">
        <v>400</v>
      </c>
      <c r="G2383" s="265"/>
      <c r="H2383" s="265">
        <f t="shared" si="74"/>
        <v>400</v>
      </c>
    </row>
    <row r="2384" spans="2:9" x14ac:dyDescent="0.2">
      <c r="B2384" s="262" t="s">
        <v>1863</v>
      </c>
      <c r="C2384" s="263">
        <v>42950</v>
      </c>
      <c r="D2384" s="264" t="s">
        <v>1878</v>
      </c>
      <c r="E2384" s="264" t="s">
        <v>4337</v>
      </c>
      <c r="F2384" s="265">
        <v>500</v>
      </c>
      <c r="G2384" s="265"/>
      <c r="H2384" s="265">
        <f t="shared" si="74"/>
        <v>500</v>
      </c>
    </row>
    <row r="2385" spans="2:8" x14ac:dyDescent="0.2">
      <c r="B2385" s="262" t="s">
        <v>1821</v>
      </c>
      <c r="C2385" s="263">
        <v>42950</v>
      </c>
      <c r="D2385" s="264" t="s">
        <v>3053</v>
      </c>
      <c r="E2385" s="264" t="s">
        <v>4540</v>
      </c>
      <c r="F2385" s="344">
        <v>1800</v>
      </c>
      <c r="G2385" s="265"/>
      <c r="H2385" s="265">
        <f t="shared" si="74"/>
        <v>1800</v>
      </c>
    </row>
    <row r="2386" spans="2:8" x14ac:dyDescent="0.2">
      <c r="B2386" s="262" t="s">
        <v>1862</v>
      </c>
      <c r="C2386" s="263">
        <v>42950</v>
      </c>
      <c r="D2386" s="264" t="s">
        <v>1892</v>
      </c>
      <c r="E2386" s="264" t="s">
        <v>4541</v>
      </c>
      <c r="F2386" s="344">
        <v>1000</v>
      </c>
      <c r="G2386" s="265"/>
      <c r="H2386" s="265">
        <f t="shared" si="74"/>
        <v>1000</v>
      </c>
    </row>
    <row r="2387" spans="2:8" x14ac:dyDescent="0.2">
      <c r="B2387" s="262" t="s">
        <v>1870</v>
      </c>
      <c r="C2387" s="263">
        <v>42950</v>
      </c>
      <c r="D2387" s="264" t="s">
        <v>1892</v>
      </c>
      <c r="E2387" s="264" t="s">
        <v>4542</v>
      </c>
      <c r="F2387" s="344">
        <v>800</v>
      </c>
      <c r="G2387" s="265"/>
      <c r="H2387" s="265">
        <f t="shared" si="74"/>
        <v>800</v>
      </c>
    </row>
    <row r="2388" spans="2:8" x14ac:dyDescent="0.2">
      <c r="B2388" s="262" t="s">
        <v>1805</v>
      </c>
      <c r="C2388" s="263">
        <v>42951</v>
      </c>
      <c r="D2388" s="264" t="s">
        <v>3565</v>
      </c>
      <c r="E2388" s="264" t="s">
        <v>4338</v>
      </c>
      <c r="F2388" s="265">
        <v>1000</v>
      </c>
      <c r="G2388" s="265"/>
      <c r="H2388" s="265">
        <f t="shared" si="74"/>
        <v>1000</v>
      </c>
    </row>
    <row r="2389" spans="2:8" x14ac:dyDescent="0.2">
      <c r="B2389" s="262" t="s">
        <v>1866</v>
      </c>
      <c r="C2389" s="263">
        <v>42951</v>
      </c>
      <c r="D2389" s="264" t="s">
        <v>1890</v>
      </c>
      <c r="E2389" s="264" t="s">
        <v>4339</v>
      </c>
      <c r="F2389" s="265">
        <v>180</v>
      </c>
      <c r="G2389" s="265"/>
      <c r="H2389" s="265">
        <f t="shared" si="74"/>
        <v>180</v>
      </c>
    </row>
    <row r="2390" spans="2:8" x14ac:dyDescent="0.2">
      <c r="B2390" s="262" t="s">
        <v>1884</v>
      </c>
      <c r="C2390" s="263">
        <v>42951</v>
      </c>
      <c r="D2390" s="264" t="s">
        <v>4340</v>
      </c>
      <c r="E2390" s="264" t="s">
        <v>4341</v>
      </c>
      <c r="F2390" s="265">
        <v>270</v>
      </c>
      <c r="G2390" s="265"/>
      <c r="H2390" s="265">
        <f t="shared" si="74"/>
        <v>270</v>
      </c>
    </row>
    <row r="2391" spans="2:8" x14ac:dyDescent="0.2">
      <c r="B2391" s="262" t="s">
        <v>1884</v>
      </c>
      <c r="C2391" s="263">
        <v>42951</v>
      </c>
      <c r="D2391" s="264" t="s">
        <v>1921</v>
      </c>
      <c r="E2391" s="264" t="s">
        <v>4342</v>
      </c>
      <c r="F2391" s="265">
        <v>70</v>
      </c>
      <c r="G2391" s="265"/>
      <c r="H2391" s="265">
        <f t="shared" si="74"/>
        <v>70</v>
      </c>
    </row>
    <row r="2392" spans="2:8" x14ac:dyDescent="0.2">
      <c r="B2392" s="262" t="s">
        <v>1884</v>
      </c>
      <c r="C2392" s="263">
        <v>42951</v>
      </c>
      <c r="D2392" s="264" t="s">
        <v>1911</v>
      </c>
      <c r="E2392" s="264" t="s">
        <v>3924</v>
      </c>
      <c r="F2392" s="265">
        <v>160</v>
      </c>
      <c r="G2392" s="265"/>
      <c r="H2392" s="265">
        <f t="shared" si="74"/>
        <v>160</v>
      </c>
    </row>
    <row r="2393" spans="2:8" x14ac:dyDescent="0.2">
      <c r="B2393" s="262" t="s">
        <v>1863</v>
      </c>
      <c r="C2393" s="263">
        <v>42951</v>
      </c>
      <c r="D2393" s="264" t="s">
        <v>1878</v>
      </c>
      <c r="E2393" s="264" t="s">
        <v>4343</v>
      </c>
      <c r="F2393" s="265">
        <v>500</v>
      </c>
      <c r="G2393" s="265"/>
      <c r="H2393" s="265">
        <f t="shared" si="74"/>
        <v>500</v>
      </c>
    </row>
    <row r="2394" spans="2:8" x14ac:dyDescent="0.2">
      <c r="B2394" s="262" t="s">
        <v>1881</v>
      </c>
      <c r="C2394" s="263">
        <v>42951</v>
      </c>
      <c r="D2394" s="264" t="s">
        <v>2250</v>
      </c>
      <c r="E2394" s="264" t="s">
        <v>4344</v>
      </c>
      <c r="F2394" s="265">
        <v>120</v>
      </c>
      <c r="G2394" s="265"/>
      <c r="H2394" s="265">
        <f t="shared" si="74"/>
        <v>120</v>
      </c>
    </row>
    <row r="2395" spans="2:8" x14ac:dyDescent="0.2">
      <c r="B2395" s="262" t="s">
        <v>1863</v>
      </c>
      <c r="C2395" s="263">
        <v>42951</v>
      </c>
      <c r="D2395" s="264" t="s">
        <v>2250</v>
      </c>
      <c r="E2395" s="264" t="s">
        <v>3381</v>
      </c>
      <c r="F2395" s="265">
        <v>150</v>
      </c>
      <c r="G2395" s="265"/>
      <c r="H2395" s="265">
        <f t="shared" si="74"/>
        <v>150</v>
      </c>
    </row>
    <row r="2396" spans="2:8" x14ac:dyDescent="0.2">
      <c r="B2396" s="262" t="s">
        <v>1864</v>
      </c>
      <c r="C2396" s="263">
        <v>42951</v>
      </c>
      <c r="D2396" s="264" t="s">
        <v>2535</v>
      </c>
      <c r="E2396" s="264" t="s">
        <v>3340</v>
      </c>
      <c r="F2396" s="265">
        <v>146.4</v>
      </c>
      <c r="G2396" s="265"/>
      <c r="H2396" s="265">
        <f t="shared" si="74"/>
        <v>146.4</v>
      </c>
    </row>
    <row r="2397" spans="2:8" x14ac:dyDescent="0.2">
      <c r="B2397" s="262" t="s">
        <v>1875</v>
      </c>
      <c r="C2397" s="263">
        <v>42951</v>
      </c>
      <c r="D2397" s="264" t="s">
        <v>1893</v>
      </c>
      <c r="E2397" s="264" t="s">
        <v>1942</v>
      </c>
      <c r="F2397" s="265">
        <v>376.7</v>
      </c>
      <c r="G2397" s="265"/>
      <c r="H2397" s="265">
        <f t="shared" si="74"/>
        <v>376.7</v>
      </c>
    </row>
    <row r="2398" spans="2:8" x14ac:dyDescent="0.2">
      <c r="B2398" s="262" t="s">
        <v>1577</v>
      </c>
      <c r="C2398" s="263">
        <v>42953</v>
      </c>
      <c r="D2398" s="264" t="s">
        <v>4027</v>
      </c>
      <c r="E2398" s="264" t="s">
        <v>4345</v>
      </c>
      <c r="F2398" s="265">
        <v>5000</v>
      </c>
      <c r="G2398" s="265"/>
      <c r="H2398" s="265">
        <f t="shared" si="74"/>
        <v>5000</v>
      </c>
    </row>
    <row r="2399" spans="2:8" x14ac:dyDescent="0.2">
      <c r="B2399" s="262" t="s">
        <v>1864</v>
      </c>
      <c r="C2399" s="263">
        <v>42954</v>
      </c>
      <c r="D2399" s="264" t="s">
        <v>3565</v>
      </c>
      <c r="E2399" s="264" t="s">
        <v>4346</v>
      </c>
      <c r="F2399" s="265">
        <v>400</v>
      </c>
      <c r="G2399" s="265"/>
      <c r="H2399" s="265">
        <f t="shared" si="74"/>
        <v>400</v>
      </c>
    </row>
    <row r="2400" spans="2:8" x14ac:dyDescent="0.2">
      <c r="B2400" s="262" t="s">
        <v>1866</v>
      </c>
      <c r="C2400" s="263">
        <v>42954</v>
      </c>
      <c r="D2400" s="264" t="s">
        <v>1890</v>
      </c>
      <c r="E2400" s="264" t="s">
        <v>3850</v>
      </c>
      <c r="F2400" s="265">
        <v>310</v>
      </c>
      <c r="G2400" s="265"/>
      <c r="H2400" s="265">
        <f t="shared" ref="H2400:H2459" si="75">SUM(F2400:G2400)</f>
        <v>310</v>
      </c>
    </row>
    <row r="2401" spans="2:8" x14ac:dyDescent="0.2">
      <c r="B2401" s="262" t="s">
        <v>1821</v>
      </c>
      <c r="C2401" s="263">
        <v>42954</v>
      </c>
      <c r="D2401" s="264" t="s">
        <v>1892</v>
      </c>
      <c r="E2401" s="264" t="s">
        <v>4347</v>
      </c>
      <c r="F2401" s="265">
        <v>350</v>
      </c>
      <c r="G2401" s="265"/>
      <c r="H2401" s="265">
        <f t="shared" si="75"/>
        <v>350</v>
      </c>
    </row>
    <row r="2402" spans="2:8" x14ac:dyDescent="0.2">
      <c r="B2402" s="262" t="s">
        <v>1870</v>
      </c>
      <c r="C2402" s="263">
        <v>42923</v>
      </c>
      <c r="D2402" s="264" t="s">
        <v>1892</v>
      </c>
      <c r="E2402" s="264" t="s">
        <v>4348</v>
      </c>
      <c r="F2402" s="265">
        <v>150</v>
      </c>
      <c r="G2402" s="265"/>
      <c r="H2402" s="265">
        <f t="shared" si="75"/>
        <v>150</v>
      </c>
    </row>
    <row r="2403" spans="2:8" x14ac:dyDescent="0.2">
      <c r="B2403" s="262" t="s">
        <v>1862</v>
      </c>
      <c r="C2403" s="263">
        <v>42954</v>
      </c>
      <c r="D2403" s="264" t="s">
        <v>1892</v>
      </c>
      <c r="E2403" s="264" t="s">
        <v>4349</v>
      </c>
      <c r="F2403" s="265">
        <v>250</v>
      </c>
      <c r="G2403" s="265"/>
      <c r="H2403" s="265">
        <f t="shared" si="75"/>
        <v>250</v>
      </c>
    </row>
    <row r="2404" spans="2:8" x14ac:dyDescent="0.2">
      <c r="B2404" s="262" t="s">
        <v>1862</v>
      </c>
      <c r="C2404" s="263">
        <v>42954</v>
      </c>
      <c r="D2404" s="264" t="s">
        <v>1892</v>
      </c>
      <c r="E2404" s="264" t="s">
        <v>4350</v>
      </c>
      <c r="F2404" s="265">
        <v>200</v>
      </c>
      <c r="G2404" s="265"/>
      <c r="H2404" s="265">
        <f t="shared" si="75"/>
        <v>200</v>
      </c>
    </row>
    <row r="2405" spans="2:8" x14ac:dyDescent="0.2">
      <c r="B2405" s="262" t="s">
        <v>1862</v>
      </c>
      <c r="C2405" s="263">
        <v>42954</v>
      </c>
      <c r="D2405" s="264" t="s">
        <v>1892</v>
      </c>
      <c r="E2405" s="264" t="s">
        <v>4351</v>
      </c>
      <c r="F2405" s="265">
        <v>450</v>
      </c>
      <c r="G2405" s="265"/>
      <c r="H2405" s="265">
        <f t="shared" si="75"/>
        <v>450</v>
      </c>
    </row>
    <row r="2406" spans="2:8" x14ac:dyDescent="0.2">
      <c r="B2406" s="262" t="s">
        <v>1884</v>
      </c>
      <c r="C2406" s="263">
        <v>42954</v>
      </c>
      <c r="D2406" s="264" t="s">
        <v>1892</v>
      </c>
      <c r="E2406" s="264" t="s">
        <v>4352</v>
      </c>
      <c r="F2406" s="265">
        <v>350</v>
      </c>
      <c r="G2406" s="265"/>
      <c r="H2406" s="265">
        <f t="shared" si="75"/>
        <v>350</v>
      </c>
    </row>
    <row r="2407" spans="2:8" x14ac:dyDescent="0.2">
      <c r="B2407" s="262" t="s">
        <v>1884</v>
      </c>
      <c r="C2407" s="263">
        <v>42954</v>
      </c>
      <c r="D2407" s="264" t="s">
        <v>1892</v>
      </c>
      <c r="E2407" s="264" t="s">
        <v>4353</v>
      </c>
      <c r="F2407" s="265">
        <v>300</v>
      </c>
      <c r="G2407" s="265"/>
      <c r="H2407" s="265">
        <f t="shared" si="75"/>
        <v>300</v>
      </c>
    </row>
    <row r="2408" spans="2:8" x14ac:dyDescent="0.2">
      <c r="B2408" s="262" t="s">
        <v>1790</v>
      </c>
      <c r="C2408" s="263">
        <v>42954</v>
      </c>
      <c r="D2408" s="264" t="s">
        <v>1909</v>
      </c>
      <c r="E2408" s="264" t="s">
        <v>4354</v>
      </c>
      <c r="F2408" s="265"/>
      <c r="G2408" s="344">
        <v>1760</v>
      </c>
      <c r="H2408" s="265">
        <f t="shared" si="75"/>
        <v>1760</v>
      </c>
    </row>
    <row r="2409" spans="2:8" x14ac:dyDescent="0.2">
      <c r="B2409" s="262" t="s">
        <v>1805</v>
      </c>
      <c r="C2409" s="263">
        <v>42954</v>
      </c>
      <c r="D2409" s="264" t="s">
        <v>1888</v>
      </c>
      <c r="E2409" s="264" t="s">
        <v>4355</v>
      </c>
      <c r="F2409" s="265">
        <v>1300</v>
      </c>
      <c r="G2409" s="265"/>
      <c r="H2409" s="265">
        <f t="shared" si="75"/>
        <v>1300</v>
      </c>
    </row>
    <row r="2410" spans="2:8" x14ac:dyDescent="0.2">
      <c r="B2410" s="262" t="s">
        <v>1862</v>
      </c>
      <c r="C2410" s="263">
        <v>42954</v>
      </c>
      <c r="D2410" s="264" t="s">
        <v>3053</v>
      </c>
      <c r="E2410" s="264" t="s">
        <v>4356</v>
      </c>
      <c r="F2410" s="344">
        <v>3600</v>
      </c>
      <c r="G2410" s="265"/>
      <c r="H2410" s="265">
        <f t="shared" si="75"/>
        <v>3600</v>
      </c>
    </row>
    <row r="2411" spans="2:8" x14ac:dyDescent="0.2">
      <c r="B2411" s="262" t="s">
        <v>1884</v>
      </c>
      <c r="C2411" s="263">
        <v>42954</v>
      </c>
      <c r="D2411" s="264" t="s">
        <v>2274</v>
      </c>
      <c r="E2411" s="264" t="s">
        <v>4357</v>
      </c>
      <c r="F2411" s="265">
        <v>2117</v>
      </c>
      <c r="G2411" s="265"/>
      <c r="H2411" s="265">
        <f t="shared" si="75"/>
        <v>2117</v>
      </c>
    </row>
    <row r="2412" spans="2:8" x14ac:dyDescent="0.2">
      <c r="B2412" s="262" t="s">
        <v>1884</v>
      </c>
      <c r="C2412" s="263">
        <v>42957</v>
      </c>
      <c r="D2412" s="264" t="s">
        <v>3953</v>
      </c>
      <c r="E2412" s="264" t="s">
        <v>4358</v>
      </c>
      <c r="F2412" s="265">
        <v>200</v>
      </c>
      <c r="G2412" s="265"/>
      <c r="H2412" s="265">
        <f t="shared" si="75"/>
        <v>200</v>
      </c>
    </row>
    <row r="2413" spans="2:8" x14ac:dyDescent="0.2">
      <c r="B2413" s="262" t="s">
        <v>1884</v>
      </c>
      <c r="C2413" s="263">
        <v>42957</v>
      </c>
      <c r="D2413" s="264" t="s">
        <v>2274</v>
      </c>
      <c r="E2413" s="264" t="s">
        <v>4359</v>
      </c>
      <c r="F2413" s="265">
        <v>4</v>
      </c>
      <c r="G2413" s="265"/>
      <c r="H2413" s="265">
        <f t="shared" si="75"/>
        <v>4</v>
      </c>
    </row>
    <row r="2414" spans="2:8" x14ac:dyDescent="0.2">
      <c r="B2414" s="262" t="s">
        <v>1577</v>
      </c>
      <c r="C2414" s="263">
        <v>42957</v>
      </c>
      <c r="D2414" s="264" t="s">
        <v>4027</v>
      </c>
      <c r="E2414" s="264" t="s">
        <v>4378</v>
      </c>
      <c r="F2414" s="265">
        <v>8000</v>
      </c>
      <c r="G2414" s="265"/>
      <c r="H2414" s="265">
        <f t="shared" si="75"/>
        <v>8000</v>
      </c>
    </row>
    <row r="2415" spans="2:8" x14ac:dyDescent="0.2">
      <c r="B2415" s="262" t="s">
        <v>1867</v>
      </c>
      <c r="C2415" s="263">
        <v>42958</v>
      </c>
      <c r="D2415" s="264" t="s">
        <v>1894</v>
      </c>
      <c r="E2415" s="264" t="s">
        <v>4360</v>
      </c>
      <c r="F2415" s="265">
        <v>795</v>
      </c>
      <c r="G2415" s="265"/>
      <c r="H2415" s="265">
        <f t="shared" si="75"/>
        <v>795</v>
      </c>
    </row>
    <row r="2416" spans="2:8" x14ac:dyDescent="0.2">
      <c r="B2416" s="262" t="s">
        <v>1884</v>
      </c>
      <c r="C2416" s="263">
        <v>42958</v>
      </c>
      <c r="D2416" s="264" t="s">
        <v>4025</v>
      </c>
      <c r="E2416" s="264" t="s">
        <v>4361</v>
      </c>
      <c r="F2416" s="265">
        <v>200</v>
      </c>
      <c r="G2416" s="265"/>
      <c r="H2416" s="265">
        <f t="shared" si="75"/>
        <v>200</v>
      </c>
    </row>
    <row r="2417" spans="2:9" x14ac:dyDescent="0.2">
      <c r="B2417" s="262" t="s">
        <v>1860</v>
      </c>
      <c r="C2417" s="263">
        <v>42958</v>
      </c>
      <c r="D2417" s="264" t="s">
        <v>3955</v>
      </c>
      <c r="E2417" s="264" t="s">
        <v>4362</v>
      </c>
      <c r="F2417" s="265">
        <v>12</v>
      </c>
      <c r="G2417" s="265"/>
      <c r="H2417" s="265">
        <f t="shared" si="75"/>
        <v>12</v>
      </c>
    </row>
    <row r="2418" spans="2:9" x14ac:dyDescent="0.2">
      <c r="B2418" s="262" t="s">
        <v>1884</v>
      </c>
      <c r="C2418" s="263">
        <v>42958</v>
      </c>
      <c r="D2418" s="264" t="s">
        <v>3330</v>
      </c>
      <c r="E2418" s="264" t="s">
        <v>4363</v>
      </c>
      <c r="F2418" s="265">
        <v>150</v>
      </c>
      <c r="G2418" s="265"/>
      <c r="H2418" s="265">
        <f t="shared" si="75"/>
        <v>150</v>
      </c>
    </row>
    <row r="2419" spans="2:9" x14ac:dyDescent="0.2">
      <c r="B2419" s="262" t="s">
        <v>1884</v>
      </c>
      <c r="C2419" s="263">
        <v>42958</v>
      </c>
      <c r="D2419" s="264" t="s">
        <v>1911</v>
      </c>
      <c r="E2419" s="264" t="s">
        <v>3924</v>
      </c>
      <c r="F2419" s="265">
        <v>189</v>
      </c>
      <c r="G2419" s="265"/>
      <c r="H2419" s="265">
        <f t="shared" si="75"/>
        <v>189</v>
      </c>
    </row>
    <row r="2420" spans="2:9" x14ac:dyDescent="0.2">
      <c r="B2420" s="262" t="s">
        <v>1805</v>
      </c>
      <c r="C2420" s="263">
        <v>42958</v>
      </c>
      <c r="D2420" s="264" t="s">
        <v>3565</v>
      </c>
      <c r="E2420" s="264" t="s">
        <v>4364</v>
      </c>
      <c r="F2420" s="265">
        <v>1000</v>
      </c>
      <c r="G2420" s="265"/>
      <c r="H2420" s="265">
        <f t="shared" si="75"/>
        <v>1000</v>
      </c>
      <c r="I2420" s="175">
        <f>SUM(H2362:H2421)</f>
        <v>51298.5</v>
      </c>
    </row>
    <row r="2421" spans="2:9" x14ac:dyDescent="0.2">
      <c r="B2421" s="262" t="s">
        <v>1884</v>
      </c>
      <c r="C2421" s="263">
        <v>42958</v>
      </c>
      <c r="D2421" s="264" t="s">
        <v>4365</v>
      </c>
      <c r="E2421" s="264" t="s">
        <v>4366</v>
      </c>
      <c r="F2421" s="265">
        <v>318.2</v>
      </c>
      <c r="G2421" s="265"/>
      <c r="H2421" s="265">
        <f t="shared" si="75"/>
        <v>318.2</v>
      </c>
    </row>
    <row r="2422" spans="2:9" x14ac:dyDescent="0.2">
      <c r="B2422" s="262" t="s">
        <v>1863</v>
      </c>
      <c r="C2422" s="263">
        <v>42959</v>
      </c>
      <c r="D2422" s="264" t="s">
        <v>1878</v>
      </c>
      <c r="E2422" s="264" t="s">
        <v>4367</v>
      </c>
      <c r="F2422" s="265">
        <v>500</v>
      </c>
      <c r="G2422" s="265"/>
      <c r="H2422" s="265">
        <f t="shared" si="75"/>
        <v>500</v>
      </c>
    </row>
    <row r="2423" spans="2:9" x14ac:dyDescent="0.2">
      <c r="B2423" s="262" t="s">
        <v>1864</v>
      </c>
      <c r="C2423" s="263">
        <v>42960</v>
      </c>
      <c r="D2423" s="264" t="s">
        <v>2535</v>
      </c>
      <c r="E2423" s="264" t="s">
        <v>3302</v>
      </c>
      <c r="F2423" s="265">
        <v>141.5</v>
      </c>
      <c r="G2423" s="265"/>
      <c r="H2423" s="265">
        <f t="shared" si="75"/>
        <v>141.5</v>
      </c>
    </row>
    <row r="2424" spans="2:9" x14ac:dyDescent="0.2">
      <c r="B2424" s="262" t="s">
        <v>1881</v>
      </c>
      <c r="C2424" s="263">
        <v>42960</v>
      </c>
      <c r="D2424" s="264" t="s">
        <v>2250</v>
      </c>
      <c r="E2424" s="264" t="s">
        <v>4215</v>
      </c>
      <c r="F2424" s="265">
        <v>120</v>
      </c>
      <c r="G2424" s="265"/>
      <c r="H2424" s="265">
        <f t="shared" si="75"/>
        <v>120</v>
      </c>
    </row>
    <row r="2425" spans="2:9" x14ac:dyDescent="0.2">
      <c r="B2425" s="262" t="s">
        <v>1863</v>
      </c>
      <c r="C2425" s="263">
        <v>42960</v>
      </c>
      <c r="D2425" s="264" t="s">
        <v>2250</v>
      </c>
      <c r="E2425" s="264" t="s">
        <v>3301</v>
      </c>
      <c r="F2425" s="265">
        <v>150</v>
      </c>
      <c r="G2425" s="265"/>
      <c r="H2425" s="265">
        <f t="shared" si="75"/>
        <v>150</v>
      </c>
    </row>
    <row r="2426" spans="2:9" x14ac:dyDescent="0.2">
      <c r="B2426" s="262" t="s">
        <v>1860</v>
      </c>
      <c r="C2426" s="263">
        <v>42960</v>
      </c>
      <c r="D2426" s="264" t="s">
        <v>1891</v>
      </c>
      <c r="E2426" s="264" t="s">
        <v>4368</v>
      </c>
      <c r="F2426" s="265">
        <v>1199</v>
      </c>
      <c r="G2426" s="265"/>
      <c r="H2426" s="265">
        <f t="shared" si="75"/>
        <v>1199</v>
      </c>
    </row>
    <row r="2427" spans="2:9" x14ac:dyDescent="0.2">
      <c r="B2427" s="262" t="s">
        <v>1860</v>
      </c>
      <c r="C2427" s="263">
        <v>42960</v>
      </c>
      <c r="D2427" s="264" t="s">
        <v>1891</v>
      </c>
      <c r="E2427" s="264" t="s">
        <v>4369</v>
      </c>
      <c r="F2427" s="265">
        <v>1284</v>
      </c>
      <c r="G2427" s="265"/>
      <c r="H2427" s="265">
        <f t="shared" si="75"/>
        <v>1284</v>
      </c>
    </row>
    <row r="2428" spans="2:9" x14ac:dyDescent="0.2">
      <c r="B2428" s="262" t="s">
        <v>1865</v>
      </c>
      <c r="C2428" s="263">
        <v>42960</v>
      </c>
      <c r="D2428" s="264" t="s">
        <v>3097</v>
      </c>
      <c r="E2428" s="264" t="s">
        <v>4370</v>
      </c>
      <c r="F2428" s="265">
        <v>150</v>
      </c>
      <c r="G2428" s="265"/>
      <c r="H2428" s="265">
        <f t="shared" si="75"/>
        <v>150</v>
      </c>
    </row>
    <row r="2429" spans="2:9" x14ac:dyDescent="0.2">
      <c r="B2429" s="262" t="s">
        <v>1862</v>
      </c>
      <c r="C2429" s="263">
        <v>42961</v>
      </c>
      <c r="D2429" s="264" t="s">
        <v>1892</v>
      </c>
      <c r="E2429" s="264" t="s">
        <v>4371</v>
      </c>
      <c r="F2429" s="265">
        <v>540</v>
      </c>
      <c r="G2429" s="265"/>
      <c r="H2429" s="265">
        <f t="shared" si="75"/>
        <v>540</v>
      </c>
    </row>
    <row r="2430" spans="2:9" x14ac:dyDescent="0.2">
      <c r="B2430" s="262" t="s">
        <v>1870</v>
      </c>
      <c r="C2430" s="263">
        <v>42961</v>
      </c>
      <c r="D2430" s="264" t="s">
        <v>1892</v>
      </c>
      <c r="E2430" s="264" t="s">
        <v>4372</v>
      </c>
      <c r="F2430" s="265">
        <v>700</v>
      </c>
      <c r="G2430" s="265"/>
      <c r="H2430" s="265">
        <f t="shared" si="75"/>
        <v>700</v>
      </c>
    </row>
    <row r="2431" spans="2:9" x14ac:dyDescent="0.2">
      <c r="B2431" s="262" t="s">
        <v>1864</v>
      </c>
      <c r="C2431" s="263">
        <v>42961</v>
      </c>
      <c r="D2431" s="264" t="s">
        <v>3565</v>
      </c>
      <c r="E2431" s="264" t="s">
        <v>4373</v>
      </c>
      <c r="F2431" s="265">
        <v>400</v>
      </c>
      <c r="G2431" s="265"/>
      <c r="H2431" s="265">
        <f t="shared" si="75"/>
        <v>400</v>
      </c>
    </row>
    <row r="2432" spans="2:9" x14ac:dyDescent="0.2">
      <c r="B2432" s="262" t="s">
        <v>1866</v>
      </c>
      <c r="C2432" s="263">
        <v>42961</v>
      </c>
      <c r="D2432" s="264" t="s">
        <v>1890</v>
      </c>
      <c r="E2432" s="264" t="s">
        <v>3850</v>
      </c>
      <c r="F2432" s="265">
        <v>310</v>
      </c>
      <c r="G2432" s="265"/>
      <c r="H2432" s="265">
        <f t="shared" si="75"/>
        <v>310</v>
      </c>
    </row>
    <row r="2433" spans="2:9" x14ac:dyDescent="0.2">
      <c r="B2433" s="262" t="s">
        <v>1866</v>
      </c>
      <c r="C2433" s="263">
        <v>42962</v>
      </c>
      <c r="D2433" s="264" t="s">
        <v>1890</v>
      </c>
      <c r="E2433" s="264" t="s">
        <v>4375</v>
      </c>
      <c r="F2433" s="265">
        <v>190</v>
      </c>
      <c r="G2433" s="265"/>
      <c r="H2433" s="265">
        <f t="shared" si="75"/>
        <v>190</v>
      </c>
    </row>
    <row r="2434" spans="2:9" x14ac:dyDescent="0.2">
      <c r="B2434" s="262" t="s">
        <v>1859</v>
      </c>
      <c r="C2434" s="263">
        <v>42962</v>
      </c>
      <c r="D2434" s="264" t="s">
        <v>1911</v>
      </c>
      <c r="E2434" s="264" t="s">
        <v>4376</v>
      </c>
      <c r="F2434" s="265">
        <v>4000</v>
      </c>
      <c r="G2434" s="265"/>
      <c r="H2434" s="265">
        <f t="shared" si="75"/>
        <v>4000</v>
      </c>
    </row>
    <row r="2435" spans="2:9" x14ac:dyDescent="0.2">
      <c r="B2435" s="262" t="s">
        <v>1881</v>
      </c>
      <c r="C2435" s="263">
        <v>42962</v>
      </c>
      <c r="D2435" s="264" t="s">
        <v>1873</v>
      </c>
      <c r="E2435" s="264" t="s">
        <v>4374</v>
      </c>
      <c r="F2435" s="265">
        <v>450</v>
      </c>
      <c r="G2435" s="265"/>
      <c r="H2435" s="265">
        <f t="shared" si="75"/>
        <v>450</v>
      </c>
    </row>
    <row r="2436" spans="2:9" x14ac:dyDescent="0.2">
      <c r="B2436" s="262" t="s">
        <v>1881</v>
      </c>
      <c r="C2436" s="263">
        <v>42962</v>
      </c>
      <c r="D2436" s="264" t="s">
        <v>2250</v>
      </c>
      <c r="E2436" s="264" t="s">
        <v>4377</v>
      </c>
      <c r="F2436" s="265">
        <v>350</v>
      </c>
      <c r="G2436" s="265"/>
      <c r="H2436" s="265">
        <f t="shared" si="75"/>
        <v>350</v>
      </c>
    </row>
    <row r="2437" spans="2:9" x14ac:dyDescent="0.2">
      <c r="B2437" s="262" t="s">
        <v>1577</v>
      </c>
      <c r="C2437" s="263">
        <v>42962</v>
      </c>
      <c r="D2437" s="264" t="s">
        <v>4027</v>
      </c>
      <c r="E2437" s="264" t="s">
        <v>4379</v>
      </c>
      <c r="F2437" s="265">
        <v>13100</v>
      </c>
      <c r="G2437" s="265"/>
      <c r="H2437" s="265">
        <f t="shared" si="75"/>
        <v>13100</v>
      </c>
    </row>
    <row r="2438" spans="2:9" x14ac:dyDescent="0.2">
      <c r="B2438" s="262" t="s">
        <v>1863</v>
      </c>
      <c r="C2438" s="263">
        <v>42962</v>
      </c>
      <c r="D2438" s="264" t="s">
        <v>4025</v>
      </c>
      <c r="E2438" s="264" t="s">
        <v>4380</v>
      </c>
      <c r="F2438" s="265">
        <v>200</v>
      </c>
      <c r="G2438" s="265"/>
      <c r="H2438" s="265">
        <f t="shared" si="75"/>
        <v>200</v>
      </c>
    </row>
    <row r="2439" spans="2:9" x14ac:dyDescent="0.2">
      <c r="B2439" s="262" t="s">
        <v>1884</v>
      </c>
      <c r="C2439" s="263">
        <v>42962</v>
      </c>
      <c r="D2439" s="264" t="s">
        <v>1915</v>
      </c>
      <c r="E2439" s="264" t="s">
        <v>4381</v>
      </c>
      <c r="F2439" s="265">
        <v>400</v>
      </c>
      <c r="G2439" s="265"/>
      <c r="H2439" s="265">
        <f t="shared" si="75"/>
        <v>400</v>
      </c>
    </row>
    <row r="2440" spans="2:9" x14ac:dyDescent="0.2">
      <c r="B2440" s="262" t="s">
        <v>1884</v>
      </c>
      <c r="C2440" s="263">
        <v>42962</v>
      </c>
      <c r="D2440" s="264" t="s">
        <v>4382</v>
      </c>
      <c r="E2440" s="264" t="s">
        <v>3935</v>
      </c>
      <c r="F2440" s="265">
        <v>25</v>
      </c>
      <c r="G2440" s="265"/>
      <c r="H2440" s="265">
        <f t="shared" si="75"/>
        <v>25</v>
      </c>
    </row>
    <row r="2441" spans="2:9" x14ac:dyDescent="0.2">
      <c r="B2441" s="262" t="s">
        <v>1577</v>
      </c>
      <c r="C2441" s="263">
        <v>42962</v>
      </c>
      <c r="D2441" s="264" t="s">
        <v>4027</v>
      </c>
      <c r="E2441" s="264" t="s">
        <v>4383</v>
      </c>
      <c r="F2441" s="265">
        <v>4000</v>
      </c>
      <c r="G2441" s="265"/>
      <c r="H2441" s="265">
        <f t="shared" si="75"/>
        <v>4000</v>
      </c>
    </row>
    <row r="2442" spans="2:9" x14ac:dyDescent="0.2">
      <c r="B2442" s="262" t="s">
        <v>1884</v>
      </c>
      <c r="C2442" s="263">
        <v>42964</v>
      </c>
      <c r="D2442" s="264" t="s">
        <v>4389</v>
      </c>
      <c r="E2442" s="264" t="s">
        <v>4390</v>
      </c>
      <c r="F2442" s="265">
        <v>700</v>
      </c>
      <c r="G2442" s="265"/>
      <c r="H2442" s="265">
        <f t="shared" ref="H2442:H2445" si="76">SUM(F2442:G2442)</f>
        <v>700</v>
      </c>
    </row>
    <row r="2443" spans="2:9" x14ac:dyDescent="0.2">
      <c r="B2443" s="262" t="s">
        <v>1884</v>
      </c>
      <c r="C2443" s="263">
        <v>42964</v>
      </c>
      <c r="D2443" s="264" t="s">
        <v>2535</v>
      </c>
      <c r="E2443" s="264" t="s">
        <v>4391</v>
      </c>
      <c r="F2443" s="265">
        <v>88</v>
      </c>
      <c r="G2443" s="265"/>
      <c r="H2443" s="265">
        <f t="shared" si="76"/>
        <v>88</v>
      </c>
    </row>
    <row r="2444" spans="2:9" x14ac:dyDescent="0.2">
      <c r="B2444" s="262" t="s">
        <v>1884</v>
      </c>
      <c r="C2444" s="263">
        <v>42964</v>
      </c>
      <c r="D2444" s="264" t="s">
        <v>3125</v>
      </c>
      <c r="E2444" s="264" t="s">
        <v>3698</v>
      </c>
      <c r="F2444" s="265">
        <v>290</v>
      </c>
      <c r="G2444" s="265"/>
      <c r="H2444" s="265">
        <f t="shared" si="76"/>
        <v>290</v>
      </c>
    </row>
    <row r="2445" spans="2:9" x14ac:dyDescent="0.2">
      <c r="B2445" s="262" t="s">
        <v>1884</v>
      </c>
      <c r="C2445" s="263">
        <v>42964</v>
      </c>
      <c r="D2445" s="264" t="s">
        <v>1911</v>
      </c>
      <c r="E2445" s="264" t="s">
        <v>3924</v>
      </c>
      <c r="F2445" s="265">
        <v>210</v>
      </c>
      <c r="G2445" s="265"/>
      <c r="H2445" s="265">
        <f t="shared" si="76"/>
        <v>210</v>
      </c>
      <c r="I2445" s="175">
        <f>SUM(H2362:H2447)</f>
        <v>82046</v>
      </c>
    </row>
    <row r="2446" spans="2:9" x14ac:dyDescent="0.2">
      <c r="B2446" s="262" t="s">
        <v>1863</v>
      </c>
      <c r="C2446" s="263">
        <v>42965</v>
      </c>
      <c r="D2446" s="264" t="s">
        <v>3953</v>
      </c>
      <c r="E2446" s="264" t="s">
        <v>4384</v>
      </c>
      <c r="F2446" s="265">
        <v>250</v>
      </c>
      <c r="G2446" s="265"/>
      <c r="H2446" s="265">
        <f t="shared" si="75"/>
        <v>250</v>
      </c>
    </row>
    <row r="2447" spans="2:9" x14ac:dyDescent="0.2">
      <c r="B2447" s="262" t="s">
        <v>1805</v>
      </c>
      <c r="C2447" s="263">
        <v>42965</v>
      </c>
      <c r="D2447" s="264" t="s">
        <v>3565</v>
      </c>
      <c r="E2447" s="264" t="s">
        <v>4385</v>
      </c>
      <c r="F2447" s="265">
        <v>1000</v>
      </c>
      <c r="G2447" s="265"/>
      <c r="H2447" s="265">
        <f t="shared" si="75"/>
        <v>1000</v>
      </c>
    </row>
    <row r="2448" spans="2:9" x14ac:dyDescent="0.2">
      <c r="B2448" s="262" t="s">
        <v>1881</v>
      </c>
      <c r="C2448" s="263">
        <v>42966</v>
      </c>
      <c r="D2448" s="264" t="s">
        <v>3894</v>
      </c>
      <c r="E2448" s="264" t="s">
        <v>4392</v>
      </c>
      <c r="F2448" s="265">
        <v>27.5</v>
      </c>
      <c r="G2448" s="265"/>
      <c r="H2448" s="265">
        <f t="shared" si="75"/>
        <v>27.5</v>
      </c>
    </row>
    <row r="2449" spans="2:9" x14ac:dyDescent="0.2">
      <c r="B2449" s="262" t="s">
        <v>1881</v>
      </c>
      <c r="C2449" s="263">
        <v>42966</v>
      </c>
      <c r="D2449" s="264" t="s">
        <v>2401</v>
      </c>
      <c r="E2449" s="264" t="s">
        <v>4393</v>
      </c>
      <c r="F2449" s="265">
        <v>195</v>
      </c>
      <c r="G2449" s="265"/>
      <c r="H2449" s="265">
        <f t="shared" si="75"/>
        <v>195</v>
      </c>
    </row>
    <row r="2450" spans="2:9" x14ac:dyDescent="0.2">
      <c r="B2450" s="262" t="s">
        <v>1863</v>
      </c>
      <c r="C2450" s="263">
        <v>42966</v>
      </c>
      <c r="D2450" s="264" t="s">
        <v>1878</v>
      </c>
      <c r="E2450" s="264" t="s">
        <v>4394</v>
      </c>
      <c r="F2450" s="265">
        <v>500</v>
      </c>
      <c r="G2450" s="265"/>
      <c r="H2450" s="265">
        <f t="shared" si="75"/>
        <v>500</v>
      </c>
    </row>
    <row r="2451" spans="2:9" x14ac:dyDescent="0.2">
      <c r="B2451" s="262" t="s">
        <v>1864</v>
      </c>
      <c r="C2451" s="263">
        <v>42967</v>
      </c>
      <c r="D2451" s="264" t="s">
        <v>2535</v>
      </c>
      <c r="E2451" s="264" t="s">
        <v>4236</v>
      </c>
      <c r="F2451" s="265">
        <v>116</v>
      </c>
      <c r="G2451" s="265"/>
      <c r="H2451" s="265">
        <f t="shared" si="75"/>
        <v>116</v>
      </c>
    </row>
    <row r="2452" spans="2:9" x14ac:dyDescent="0.2">
      <c r="B2452" s="262" t="s">
        <v>1881</v>
      </c>
      <c r="C2452" s="263">
        <v>42967</v>
      </c>
      <c r="D2452" s="264" t="s">
        <v>2250</v>
      </c>
      <c r="E2452" s="264" t="s">
        <v>4395</v>
      </c>
      <c r="F2452" s="265">
        <v>120</v>
      </c>
      <c r="G2452" s="265"/>
      <c r="H2452" s="265">
        <f t="shared" si="75"/>
        <v>120</v>
      </c>
    </row>
    <row r="2453" spans="2:9" x14ac:dyDescent="0.2">
      <c r="B2453" s="262" t="s">
        <v>1863</v>
      </c>
      <c r="C2453" s="263">
        <v>42967</v>
      </c>
      <c r="D2453" s="264" t="s">
        <v>2250</v>
      </c>
      <c r="E2453" s="264" t="s">
        <v>3381</v>
      </c>
      <c r="F2453" s="265">
        <v>150</v>
      </c>
      <c r="G2453" s="265"/>
      <c r="H2453" s="265">
        <f t="shared" si="75"/>
        <v>150</v>
      </c>
    </row>
    <row r="2454" spans="2:9" x14ac:dyDescent="0.2">
      <c r="B2454" s="262" t="s">
        <v>1860</v>
      </c>
      <c r="C2454" s="263">
        <v>42967</v>
      </c>
      <c r="D2454" s="264" t="s">
        <v>3939</v>
      </c>
      <c r="E2454" s="264" t="s">
        <v>4396</v>
      </c>
      <c r="F2454" s="265">
        <v>195</v>
      </c>
      <c r="G2454" s="265"/>
      <c r="H2454" s="265">
        <f t="shared" si="75"/>
        <v>195</v>
      </c>
    </row>
    <row r="2455" spans="2:9" x14ac:dyDescent="0.2">
      <c r="B2455" s="262" t="s">
        <v>1860</v>
      </c>
      <c r="C2455" s="263">
        <v>42967</v>
      </c>
      <c r="D2455" s="264" t="s">
        <v>3939</v>
      </c>
      <c r="E2455" s="264" t="s">
        <v>4397</v>
      </c>
      <c r="F2455" s="265">
        <v>180</v>
      </c>
      <c r="G2455" s="265"/>
      <c r="H2455" s="265">
        <f t="shared" si="75"/>
        <v>180</v>
      </c>
    </row>
    <row r="2456" spans="2:9" x14ac:dyDescent="0.2">
      <c r="B2456" s="262" t="s">
        <v>1577</v>
      </c>
      <c r="C2456" s="263">
        <v>42968</v>
      </c>
      <c r="D2456" s="264" t="s">
        <v>4398</v>
      </c>
      <c r="E2456" s="264" t="s">
        <v>4399</v>
      </c>
      <c r="F2456" s="265">
        <v>500</v>
      </c>
      <c r="G2456" s="265"/>
      <c r="H2456" s="265">
        <f t="shared" si="75"/>
        <v>500</v>
      </c>
    </row>
    <row r="2457" spans="2:9" x14ac:dyDescent="0.2">
      <c r="B2457" s="262" t="s">
        <v>1884</v>
      </c>
      <c r="C2457" s="263">
        <v>42968</v>
      </c>
      <c r="D2457" s="264" t="s">
        <v>4400</v>
      </c>
      <c r="E2457" s="264" t="s">
        <v>4401</v>
      </c>
      <c r="F2457" s="265">
        <v>25</v>
      </c>
      <c r="G2457" s="265"/>
      <c r="H2457" s="265">
        <f t="shared" si="75"/>
        <v>25</v>
      </c>
    </row>
    <row r="2458" spans="2:9" x14ac:dyDescent="0.2">
      <c r="B2458" s="262" t="s">
        <v>1884</v>
      </c>
      <c r="C2458" s="263">
        <v>42968</v>
      </c>
      <c r="D2458" s="264" t="s">
        <v>4402</v>
      </c>
      <c r="E2458" s="264" t="s">
        <v>4403</v>
      </c>
      <c r="F2458" s="265">
        <v>317.39999999999998</v>
      </c>
      <c r="G2458" s="265"/>
      <c r="H2458" s="265">
        <f t="shared" si="75"/>
        <v>317.39999999999998</v>
      </c>
    </row>
    <row r="2459" spans="2:9" x14ac:dyDescent="0.2">
      <c r="B2459" s="262" t="s">
        <v>1866</v>
      </c>
      <c r="C2459" s="263">
        <v>42968</v>
      </c>
      <c r="D2459" s="264" t="s">
        <v>1890</v>
      </c>
      <c r="E2459" s="264" t="s">
        <v>4404</v>
      </c>
      <c r="F2459" s="265">
        <v>430</v>
      </c>
      <c r="G2459" s="265"/>
      <c r="H2459" s="265">
        <f t="shared" si="75"/>
        <v>430</v>
      </c>
    </row>
    <row r="2460" spans="2:9" x14ac:dyDescent="0.2">
      <c r="B2460" s="262" t="s">
        <v>1862</v>
      </c>
      <c r="C2460" s="263">
        <v>42968</v>
      </c>
      <c r="D2460" s="264" t="s">
        <v>1892</v>
      </c>
      <c r="E2460" s="264" t="s">
        <v>4405</v>
      </c>
      <c r="F2460" s="265">
        <v>290</v>
      </c>
      <c r="G2460" s="265"/>
      <c r="H2460" s="265">
        <f t="shared" ref="H2460:H2470" si="77">SUM(F2460:G2460)</f>
        <v>290</v>
      </c>
    </row>
    <row r="2461" spans="2:9" x14ac:dyDescent="0.2">
      <c r="B2461" s="262" t="s">
        <v>1884</v>
      </c>
      <c r="C2461" s="263">
        <v>42969</v>
      </c>
      <c r="D2461" s="264" t="s">
        <v>1918</v>
      </c>
      <c r="E2461" s="264" t="s">
        <v>4406</v>
      </c>
      <c r="F2461" s="265">
        <v>97</v>
      </c>
      <c r="G2461" s="265"/>
      <c r="H2461" s="265">
        <f t="shared" si="77"/>
        <v>97</v>
      </c>
    </row>
    <row r="2462" spans="2:9" x14ac:dyDescent="0.2">
      <c r="B2462" s="262" t="s">
        <v>1863</v>
      </c>
      <c r="C2462" s="263">
        <v>42971</v>
      </c>
      <c r="D2462" s="264" t="s">
        <v>1878</v>
      </c>
      <c r="E2462" s="264" t="s">
        <v>4407</v>
      </c>
      <c r="F2462" s="265">
        <v>500</v>
      </c>
      <c r="G2462" s="265"/>
      <c r="H2462" s="265">
        <f t="shared" si="77"/>
        <v>500</v>
      </c>
      <c r="I2462" s="175">
        <f>SUM(H2362:H2462)</f>
        <v>85688.9</v>
      </c>
    </row>
    <row r="2463" spans="2:9" x14ac:dyDescent="0.2">
      <c r="B2463" s="262" t="s">
        <v>1577</v>
      </c>
      <c r="C2463" s="263">
        <v>42971</v>
      </c>
      <c r="D2463" s="264" t="s">
        <v>4027</v>
      </c>
      <c r="E2463" s="264" t="s">
        <v>4399</v>
      </c>
      <c r="F2463" s="265">
        <v>7500</v>
      </c>
      <c r="G2463" s="265"/>
      <c r="H2463" s="265">
        <f t="shared" si="77"/>
        <v>7500</v>
      </c>
    </row>
    <row r="2464" spans="2:9" x14ac:dyDescent="0.2">
      <c r="B2464" s="262" t="s">
        <v>1863</v>
      </c>
      <c r="C2464" s="263">
        <v>42971</v>
      </c>
      <c r="D2464" s="264" t="s">
        <v>4025</v>
      </c>
      <c r="E2464" s="264" t="s">
        <v>4408</v>
      </c>
      <c r="F2464" s="265">
        <v>350</v>
      </c>
      <c r="G2464" s="265"/>
      <c r="H2464" s="265">
        <f t="shared" si="77"/>
        <v>350</v>
      </c>
    </row>
    <row r="2465" spans="2:8" x14ac:dyDescent="0.2">
      <c r="B2465" s="262" t="s">
        <v>1881</v>
      </c>
      <c r="C2465" s="263">
        <v>42971</v>
      </c>
      <c r="D2465" s="264" t="s">
        <v>1897</v>
      </c>
      <c r="E2465" s="264" t="s">
        <v>4409</v>
      </c>
      <c r="F2465" s="265">
        <v>500</v>
      </c>
      <c r="G2465" s="265"/>
      <c r="H2465" s="265">
        <f t="shared" si="77"/>
        <v>500</v>
      </c>
    </row>
    <row r="2466" spans="2:8" x14ac:dyDescent="0.2">
      <c r="B2466" s="262" t="s">
        <v>1863</v>
      </c>
      <c r="C2466" s="263">
        <v>42972</v>
      </c>
      <c r="D2466" s="264" t="s">
        <v>3953</v>
      </c>
      <c r="E2466" s="264" t="s">
        <v>4410</v>
      </c>
      <c r="F2466" s="265">
        <v>200</v>
      </c>
      <c r="G2466" s="265"/>
      <c r="H2466" s="265">
        <f t="shared" si="77"/>
        <v>200</v>
      </c>
    </row>
    <row r="2467" spans="2:8" x14ac:dyDescent="0.2">
      <c r="B2467" s="262" t="s">
        <v>1805</v>
      </c>
      <c r="C2467" s="263">
        <v>42972</v>
      </c>
      <c r="D2467" s="264" t="s">
        <v>3565</v>
      </c>
      <c r="E2467" s="264" t="s">
        <v>4411</v>
      </c>
      <c r="F2467" s="265">
        <v>1000</v>
      </c>
      <c r="G2467" s="265"/>
      <c r="H2467" s="265">
        <f t="shared" si="77"/>
        <v>1000</v>
      </c>
    </row>
    <row r="2468" spans="2:8" x14ac:dyDescent="0.2">
      <c r="B2468" s="262" t="s">
        <v>1881</v>
      </c>
      <c r="C2468" s="263">
        <v>42972</v>
      </c>
      <c r="D2468" s="264" t="s">
        <v>4025</v>
      </c>
      <c r="E2468" s="264" t="s">
        <v>4412</v>
      </c>
      <c r="F2468" s="265">
        <v>350</v>
      </c>
      <c r="G2468" s="265"/>
      <c r="H2468" s="265">
        <f t="shared" si="77"/>
        <v>350</v>
      </c>
    </row>
    <row r="2469" spans="2:8" x14ac:dyDescent="0.2">
      <c r="B2469" s="262" t="s">
        <v>1884</v>
      </c>
      <c r="C2469" s="263">
        <v>42972</v>
      </c>
      <c r="D2469" s="264" t="s">
        <v>1911</v>
      </c>
      <c r="E2469" s="264" t="s">
        <v>3924</v>
      </c>
      <c r="F2469" s="265">
        <v>230</v>
      </c>
      <c r="G2469" s="265"/>
      <c r="H2469" s="265">
        <f t="shared" si="77"/>
        <v>230</v>
      </c>
    </row>
    <row r="2470" spans="2:8" x14ac:dyDescent="0.2">
      <c r="B2470" s="262" t="s">
        <v>1863</v>
      </c>
      <c r="C2470" s="263">
        <v>42972</v>
      </c>
      <c r="D2470" s="264" t="s">
        <v>4025</v>
      </c>
      <c r="E2470" s="264" t="s">
        <v>4413</v>
      </c>
      <c r="F2470" s="265">
        <v>200</v>
      </c>
      <c r="G2470" s="265"/>
      <c r="H2470" s="265">
        <f t="shared" si="77"/>
        <v>200</v>
      </c>
    </row>
    <row r="2471" spans="2:8" x14ac:dyDescent="0.2">
      <c r="B2471" s="262" t="s">
        <v>1864</v>
      </c>
      <c r="C2471" s="263">
        <v>42974</v>
      </c>
      <c r="D2471" s="264" t="s">
        <v>2535</v>
      </c>
      <c r="E2471" s="264" t="s">
        <v>2828</v>
      </c>
      <c r="F2471" s="265">
        <v>150</v>
      </c>
      <c r="G2471" s="265"/>
      <c r="H2471" s="265">
        <f t="shared" ref="H2471:H2494" si="78">SUM(F2471:G2471)</f>
        <v>150</v>
      </c>
    </row>
    <row r="2472" spans="2:8" x14ac:dyDescent="0.2">
      <c r="B2472" s="262" t="s">
        <v>1881</v>
      </c>
      <c r="C2472" s="263">
        <v>42974</v>
      </c>
      <c r="D2472" s="264" t="s">
        <v>2250</v>
      </c>
      <c r="E2472" s="264" t="s">
        <v>2636</v>
      </c>
      <c r="F2472" s="265">
        <v>120</v>
      </c>
      <c r="G2472" s="265"/>
      <c r="H2472" s="265">
        <f t="shared" si="78"/>
        <v>120</v>
      </c>
    </row>
    <row r="2473" spans="2:8" x14ac:dyDescent="0.2">
      <c r="B2473" s="262" t="s">
        <v>1863</v>
      </c>
      <c r="C2473" s="263">
        <v>42974</v>
      </c>
      <c r="D2473" s="264" t="s">
        <v>2250</v>
      </c>
      <c r="E2473" s="264" t="s">
        <v>3381</v>
      </c>
      <c r="F2473" s="265">
        <v>150</v>
      </c>
      <c r="G2473" s="265"/>
      <c r="H2473" s="265">
        <f t="shared" si="78"/>
        <v>150</v>
      </c>
    </row>
    <row r="2474" spans="2:8" x14ac:dyDescent="0.2">
      <c r="B2474" s="262" t="s">
        <v>1881</v>
      </c>
      <c r="C2474" s="263">
        <v>42974</v>
      </c>
      <c r="D2474" s="264" t="s">
        <v>2250</v>
      </c>
      <c r="E2474" s="264" t="s">
        <v>4414</v>
      </c>
      <c r="F2474" s="265">
        <v>300</v>
      </c>
      <c r="G2474" s="265"/>
      <c r="H2474" s="265">
        <f t="shared" si="78"/>
        <v>300</v>
      </c>
    </row>
    <row r="2475" spans="2:8" x14ac:dyDescent="0.2">
      <c r="B2475" s="262" t="s">
        <v>1884</v>
      </c>
      <c r="C2475" s="263">
        <v>42975</v>
      </c>
      <c r="D2475" s="264" t="s">
        <v>1911</v>
      </c>
      <c r="E2475" s="264" t="s">
        <v>4415</v>
      </c>
      <c r="F2475" s="265">
        <v>30</v>
      </c>
      <c r="G2475" s="265"/>
      <c r="H2475" s="265">
        <f t="shared" si="78"/>
        <v>30</v>
      </c>
    </row>
    <row r="2476" spans="2:8" x14ac:dyDescent="0.2">
      <c r="B2476" s="262" t="s">
        <v>1884</v>
      </c>
      <c r="C2476" s="263">
        <v>42975</v>
      </c>
      <c r="D2476" s="264" t="s">
        <v>4400</v>
      </c>
      <c r="E2476" s="264" t="s">
        <v>4416</v>
      </c>
      <c r="F2476" s="265">
        <v>30</v>
      </c>
      <c r="G2476" s="265"/>
      <c r="H2476" s="265">
        <f t="shared" si="78"/>
        <v>30</v>
      </c>
    </row>
    <row r="2477" spans="2:8" x14ac:dyDescent="0.2">
      <c r="B2477" s="262" t="s">
        <v>1860</v>
      </c>
      <c r="C2477" s="263">
        <v>42976</v>
      </c>
      <c r="D2477" s="264" t="s">
        <v>3939</v>
      </c>
      <c r="E2477" s="264" t="s">
        <v>4280</v>
      </c>
      <c r="F2477" s="265">
        <v>140</v>
      </c>
      <c r="G2477" s="265"/>
      <c r="H2477" s="265">
        <f t="shared" si="78"/>
        <v>140</v>
      </c>
    </row>
    <row r="2478" spans="2:8" x14ac:dyDescent="0.2">
      <c r="B2478" s="262" t="s">
        <v>1860</v>
      </c>
      <c r="C2478" s="263">
        <v>42976</v>
      </c>
      <c r="D2478" s="264" t="s">
        <v>3939</v>
      </c>
      <c r="E2478" s="264" t="s">
        <v>4280</v>
      </c>
      <c r="F2478" s="265">
        <v>22</v>
      </c>
      <c r="G2478" s="265"/>
      <c r="H2478" s="265">
        <f t="shared" si="78"/>
        <v>22</v>
      </c>
    </row>
    <row r="2479" spans="2:8" x14ac:dyDescent="0.2">
      <c r="B2479" s="262" t="s">
        <v>1866</v>
      </c>
      <c r="C2479" s="263">
        <v>42976</v>
      </c>
      <c r="D2479" s="264" t="s">
        <v>2535</v>
      </c>
      <c r="E2479" s="264" t="s">
        <v>4417</v>
      </c>
      <c r="F2479" s="265">
        <v>216</v>
      </c>
      <c r="G2479" s="265"/>
      <c r="H2479" s="265">
        <f t="shared" si="78"/>
        <v>216</v>
      </c>
    </row>
    <row r="2480" spans="2:8" x14ac:dyDescent="0.2">
      <c r="B2480" s="262" t="s">
        <v>1884</v>
      </c>
      <c r="C2480" s="263">
        <v>42976</v>
      </c>
      <c r="D2480" s="264" t="s">
        <v>1911</v>
      </c>
      <c r="E2480" s="264" t="s">
        <v>4418</v>
      </c>
      <c r="F2480" s="265">
        <v>50</v>
      </c>
      <c r="G2480" s="265"/>
      <c r="H2480" s="265">
        <f t="shared" si="78"/>
        <v>50</v>
      </c>
    </row>
    <row r="2481" spans="2:9" x14ac:dyDescent="0.2">
      <c r="B2481" s="262" t="s">
        <v>1577</v>
      </c>
      <c r="C2481" s="263">
        <v>42978</v>
      </c>
      <c r="D2481" s="264" t="s">
        <v>4027</v>
      </c>
      <c r="E2481" s="264" t="s">
        <v>4399</v>
      </c>
      <c r="F2481" s="265">
        <v>10100</v>
      </c>
      <c r="G2481" s="265"/>
      <c r="H2481" s="265">
        <f t="shared" si="78"/>
        <v>10100</v>
      </c>
    </row>
    <row r="2482" spans="2:9" x14ac:dyDescent="0.2">
      <c r="B2482" s="262" t="s">
        <v>1884</v>
      </c>
      <c r="C2482" s="263">
        <v>42978</v>
      </c>
      <c r="D2482" s="264" t="s">
        <v>1915</v>
      </c>
      <c r="E2482" s="264" t="s">
        <v>4423</v>
      </c>
      <c r="F2482" s="265">
        <v>300</v>
      </c>
      <c r="G2482" s="265"/>
      <c r="H2482" s="265">
        <f t="shared" si="78"/>
        <v>300</v>
      </c>
    </row>
    <row r="2483" spans="2:9" x14ac:dyDescent="0.2">
      <c r="B2483" s="262" t="s">
        <v>1881</v>
      </c>
      <c r="C2483" s="263">
        <v>42978</v>
      </c>
      <c r="D2483" s="264" t="s">
        <v>1873</v>
      </c>
      <c r="E2483" s="264" t="s">
        <v>4419</v>
      </c>
      <c r="F2483" s="265">
        <v>450</v>
      </c>
      <c r="G2483" s="265"/>
      <c r="H2483" s="265">
        <f t="shared" si="78"/>
        <v>450</v>
      </c>
    </row>
    <row r="2484" spans="2:9" x14ac:dyDescent="0.2">
      <c r="B2484" s="262" t="s">
        <v>1859</v>
      </c>
      <c r="C2484" s="263">
        <v>42978</v>
      </c>
      <c r="D2484" s="264" t="s">
        <v>1911</v>
      </c>
      <c r="E2484" s="264" t="s">
        <v>4420</v>
      </c>
      <c r="F2484" s="265">
        <v>4000</v>
      </c>
      <c r="G2484" s="265"/>
      <c r="H2484" s="265">
        <f t="shared" si="78"/>
        <v>4000</v>
      </c>
      <c r="I2484" s="175">
        <f>SUM(H2362:H2484)</f>
        <v>112076.9</v>
      </c>
    </row>
    <row r="2485" spans="2:9" x14ac:dyDescent="0.2">
      <c r="B2485" s="262" t="s">
        <v>1863</v>
      </c>
      <c r="C2485" s="263">
        <v>42978</v>
      </c>
      <c r="D2485" s="264" t="s">
        <v>3912</v>
      </c>
      <c r="E2485" s="264" t="s">
        <v>4424</v>
      </c>
      <c r="F2485" s="265">
        <v>300</v>
      </c>
      <c r="G2485" s="265"/>
      <c r="H2485" s="265">
        <f t="shared" si="78"/>
        <v>300</v>
      </c>
      <c r="I2485" s="175"/>
    </row>
    <row r="2486" spans="2:9" x14ac:dyDescent="0.2">
      <c r="B2486" s="262" t="s">
        <v>1884</v>
      </c>
      <c r="C2486" s="263">
        <v>42978</v>
      </c>
      <c r="D2486" s="264" t="s">
        <v>1918</v>
      </c>
      <c r="E2486" s="264" t="s">
        <v>4425</v>
      </c>
      <c r="F2486" s="265">
        <v>28.88</v>
      </c>
      <c r="G2486" s="265"/>
      <c r="H2486" s="265">
        <f t="shared" si="78"/>
        <v>28.88</v>
      </c>
      <c r="I2486" s="175"/>
    </row>
    <row r="2487" spans="2:9" x14ac:dyDescent="0.2">
      <c r="B2487" s="262" t="s">
        <v>1884</v>
      </c>
      <c r="C2487" s="263">
        <v>42978</v>
      </c>
      <c r="D2487" s="264" t="s">
        <v>4426</v>
      </c>
      <c r="E2487" s="264" t="s">
        <v>4403</v>
      </c>
      <c r="F2487" s="265">
        <v>320.8</v>
      </c>
      <c r="G2487" s="265"/>
      <c r="H2487" s="265">
        <f t="shared" si="78"/>
        <v>320.8</v>
      </c>
      <c r="I2487" s="175"/>
    </row>
    <row r="2488" spans="2:9" x14ac:dyDescent="0.2">
      <c r="B2488" s="262" t="s">
        <v>1884</v>
      </c>
      <c r="C2488" s="263">
        <v>42978</v>
      </c>
      <c r="D2488" s="264" t="s">
        <v>2535</v>
      </c>
      <c r="E2488" s="264" t="s">
        <v>4427</v>
      </c>
      <c r="F2488" s="265">
        <v>117.5</v>
      </c>
      <c r="G2488" s="265"/>
      <c r="H2488" s="265">
        <f t="shared" si="78"/>
        <v>117.5</v>
      </c>
      <c r="I2488" s="175"/>
    </row>
    <row r="2489" spans="2:9" x14ac:dyDescent="0.2">
      <c r="B2489" s="262" t="s">
        <v>1887</v>
      </c>
      <c r="C2489" s="263">
        <v>42955</v>
      </c>
      <c r="D2489" s="264" t="s">
        <v>1534</v>
      </c>
      <c r="E2489" s="264" t="s">
        <v>1536</v>
      </c>
      <c r="F2489" s="265">
        <v>-0.46</v>
      </c>
      <c r="G2489" s="265"/>
      <c r="H2489" s="265">
        <f t="shared" si="78"/>
        <v>-0.46</v>
      </c>
    </row>
    <row r="2490" spans="2:9" x14ac:dyDescent="0.2">
      <c r="B2490" s="262" t="s">
        <v>1887</v>
      </c>
      <c r="C2490" s="263">
        <v>42956</v>
      </c>
      <c r="D2490" s="264" t="s">
        <v>3367</v>
      </c>
      <c r="E2490" s="264" t="s">
        <v>1536</v>
      </c>
      <c r="F2490" s="265">
        <v>-0.28999999999999998</v>
      </c>
      <c r="G2490" s="265"/>
      <c r="H2490" s="265">
        <f t="shared" ref="H2490:H2492" si="79">SUM(F2490:G2490)</f>
        <v>-0.28999999999999998</v>
      </c>
    </row>
    <row r="2491" spans="2:9" x14ac:dyDescent="0.2">
      <c r="B2491" s="262" t="s">
        <v>1790</v>
      </c>
      <c r="C2491" s="263">
        <v>42964</v>
      </c>
      <c r="D2491" s="361" t="s">
        <v>1909</v>
      </c>
      <c r="E2491" s="361" t="s">
        <v>4716</v>
      </c>
      <c r="F2491" s="362"/>
      <c r="G2491" s="362">
        <v>-1760</v>
      </c>
      <c r="H2491" s="265">
        <f t="shared" si="79"/>
        <v>-1760</v>
      </c>
    </row>
    <row r="2492" spans="2:9" x14ac:dyDescent="0.2">
      <c r="B2492" s="262" t="s">
        <v>1887</v>
      </c>
      <c r="C2492" s="263">
        <v>42976</v>
      </c>
      <c r="D2492" s="264" t="s">
        <v>3366</v>
      </c>
      <c r="E2492" s="264" t="s">
        <v>1536</v>
      </c>
      <c r="F2492" s="265">
        <v>-0.15</v>
      </c>
      <c r="G2492" s="265"/>
      <c r="H2492" s="265">
        <f t="shared" si="79"/>
        <v>-0.15</v>
      </c>
    </row>
    <row r="2493" spans="2:9" x14ac:dyDescent="0.2">
      <c r="B2493" s="262" t="s">
        <v>1887</v>
      </c>
      <c r="C2493" s="263">
        <v>42978</v>
      </c>
      <c r="D2493" s="361" t="s">
        <v>1597</v>
      </c>
      <c r="E2493" s="361" t="s">
        <v>2229</v>
      </c>
      <c r="F2493" s="362">
        <v>70</v>
      </c>
      <c r="G2493" s="362"/>
      <c r="H2493" s="265">
        <f t="shared" si="78"/>
        <v>70</v>
      </c>
    </row>
    <row r="2494" spans="2:9" x14ac:dyDescent="0.2">
      <c r="B2494" s="262" t="s">
        <v>1790</v>
      </c>
      <c r="C2494" s="263">
        <v>42978</v>
      </c>
      <c r="D2494" s="361" t="s">
        <v>1597</v>
      </c>
      <c r="E2494" s="361" t="s">
        <v>2230</v>
      </c>
      <c r="F2494" s="362"/>
      <c r="G2494" s="362">
        <v>11.2</v>
      </c>
      <c r="H2494" s="265">
        <f t="shared" si="78"/>
        <v>11.2</v>
      </c>
    </row>
    <row r="2495" spans="2:9" x14ac:dyDescent="0.2">
      <c r="B2495" s="262"/>
      <c r="C2495" s="263"/>
      <c r="D2495" s="264"/>
      <c r="E2495" s="264"/>
      <c r="F2495" s="265"/>
      <c r="G2495" s="265"/>
      <c r="H2495" s="265">
        <f t="shared" ref="H2495:H2497" si="80">SUM(F2495:G2495)</f>
        <v>0</v>
      </c>
    </row>
    <row r="2496" spans="2:9" x14ac:dyDescent="0.2">
      <c r="B2496" s="262"/>
      <c r="C2496" s="263"/>
      <c r="D2496" s="264"/>
      <c r="E2496" s="264"/>
      <c r="F2496" s="265"/>
      <c r="G2496" s="265"/>
      <c r="H2496" s="265">
        <f t="shared" si="80"/>
        <v>0</v>
      </c>
    </row>
    <row r="2497" spans="2:8" x14ac:dyDescent="0.2">
      <c r="B2497" s="262"/>
      <c r="C2497" s="263"/>
      <c r="D2497" s="264"/>
      <c r="E2497" s="264"/>
      <c r="F2497" s="265"/>
      <c r="G2497" s="265"/>
      <c r="H2497" s="265">
        <f t="shared" si="80"/>
        <v>0</v>
      </c>
    </row>
    <row r="2498" spans="2:8" ht="18" customHeight="1" x14ac:dyDescent="0.2">
      <c r="B2498" s="255" t="s">
        <v>1850</v>
      </c>
      <c r="C2498" s="255" t="s">
        <v>1851</v>
      </c>
      <c r="D2498" s="256" t="s">
        <v>1852</v>
      </c>
      <c r="E2498" s="256" t="s">
        <v>1853</v>
      </c>
      <c r="F2498" s="257" t="s">
        <v>1854</v>
      </c>
      <c r="G2498" s="257" t="s">
        <v>1855</v>
      </c>
      <c r="H2498" s="257" t="s">
        <v>1856</v>
      </c>
    </row>
    <row r="2499" spans="2:8" x14ac:dyDescent="0.2">
      <c r="B2499" s="341" t="s">
        <v>1577</v>
      </c>
      <c r="C2499" s="263">
        <v>42979</v>
      </c>
      <c r="D2499" s="264" t="s">
        <v>4027</v>
      </c>
      <c r="E2499" s="264" t="s">
        <v>4432</v>
      </c>
      <c r="F2499" s="265">
        <v>12000</v>
      </c>
      <c r="G2499" s="265"/>
      <c r="H2499" s="265">
        <f t="shared" ref="H2499:H2500" si="81">SUM(F2499:G2499)</f>
        <v>12000</v>
      </c>
    </row>
    <row r="2500" spans="2:8" x14ac:dyDescent="0.2">
      <c r="B2500" s="345" t="s">
        <v>1870</v>
      </c>
      <c r="C2500" s="263">
        <v>42979</v>
      </c>
      <c r="D2500" s="264" t="s">
        <v>1892</v>
      </c>
      <c r="E2500" s="264" t="s">
        <v>4434</v>
      </c>
      <c r="F2500" s="265">
        <v>4073</v>
      </c>
      <c r="G2500" s="265"/>
      <c r="H2500" s="265">
        <f t="shared" si="81"/>
        <v>4073</v>
      </c>
    </row>
    <row r="2501" spans="2:8" x14ac:dyDescent="0.2">
      <c r="B2501" s="262" t="s">
        <v>1862</v>
      </c>
      <c r="C2501" s="263">
        <v>42979</v>
      </c>
      <c r="D2501" s="264" t="s">
        <v>1892</v>
      </c>
      <c r="E2501" s="264" t="s">
        <v>4433</v>
      </c>
      <c r="F2501" s="265">
        <v>4000</v>
      </c>
      <c r="G2501" s="265"/>
      <c r="H2501" s="265">
        <f t="shared" ref="H2501:H2579" si="82">SUM(F2501:G2501)</f>
        <v>4000</v>
      </c>
    </row>
    <row r="2502" spans="2:8" x14ac:dyDescent="0.2">
      <c r="B2502" s="345" t="s">
        <v>1870</v>
      </c>
      <c r="C2502" s="263">
        <v>42979</v>
      </c>
      <c r="D2502" s="264" t="s">
        <v>4435</v>
      </c>
      <c r="E2502" s="264" t="s">
        <v>4436</v>
      </c>
      <c r="F2502" s="265">
        <v>1040</v>
      </c>
      <c r="G2502" s="265"/>
      <c r="H2502" s="265">
        <f t="shared" si="82"/>
        <v>1040</v>
      </c>
    </row>
    <row r="2503" spans="2:8" x14ac:dyDescent="0.2">
      <c r="B2503" s="345" t="s">
        <v>1857</v>
      </c>
      <c r="C2503" s="263">
        <v>42979</v>
      </c>
      <c r="D2503" s="264" t="s">
        <v>3953</v>
      </c>
      <c r="E2503" s="264" t="s">
        <v>4437</v>
      </c>
      <c r="F2503" s="265">
        <v>150</v>
      </c>
      <c r="G2503" s="265"/>
      <c r="H2503" s="265">
        <f t="shared" si="82"/>
        <v>150</v>
      </c>
    </row>
    <row r="2504" spans="2:8" x14ac:dyDescent="0.2">
      <c r="B2504" s="262" t="s">
        <v>1884</v>
      </c>
      <c r="C2504" s="263">
        <v>42979</v>
      </c>
      <c r="D2504" s="264" t="s">
        <v>1892</v>
      </c>
      <c r="E2504" s="264" t="s">
        <v>4438</v>
      </c>
      <c r="F2504" s="265">
        <v>500</v>
      </c>
      <c r="G2504" s="265"/>
      <c r="H2504" s="265">
        <f t="shared" si="82"/>
        <v>500</v>
      </c>
    </row>
    <row r="2505" spans="2:8" x14ac:dyDescent="0.2">
      <c r="B2505" s="262" t="s">
        <v>1884</v>
      </c>
      <c r="C2505" s="263">
        <v>42979</v>
      </c>
      <c r="D2505" s="264" t="s">
        <v>1892</v>
      </c>
      <c r="E2505" s="264" t="s">
        <v>4439</v>
      </c>
      <c r="F2505" s="265">
        <v>350</v>
      </c>
      <c r="G2505" s="265"/>
      <c r="H2505" s="265">
        <f t="shared" si="82"/>
        <v>350</v>
      </c>
    </row>
    <row r="2506" spans="2:8" x14ac:dyDescent="0.2">
      <c r="B2506" s="262" t="s">
        <v>1805</v>
      </c>
      <c r="C2506" s="263">
        <v>42979</v>
      </c>
      <c r="D2506" s="264" t="s">
        <v>3565</v>
      </c>
      <c r="E2506" s="264" t="s">
        <v>4440</v>
      </c>
      <c r="F2506" s="265">
        <v>1000</v>
      </c>
      <c r="G2506" s="265"/>
      <c r="H2506" s="265">
        <f t="shared" si="82"/>
        <v>1000</v>
      </c>
    </row>
    <row r="2507" spans="2:8" x14ac:dyDescent="0.2">
      <c r="B2507" s="262" t="s">
        <v>1863</v>
      </c>
      <c r="C2507" s="263">
        <v>42980</v>
      </c>
      <c r="D2507" s="264" t="s">
        <v>1878</v>
      </c>
      <c r="E2507" s="264" t="s">
        <v>4441</v>
      </c>
      <c r="F2507" s="265">
        <v>500</v>
      </c>
      <c r="G2507" s="265"/>
      <c r="H2507" s="265">
        <f t="shared" si="82"/>
        <v>500</v>
      </c>
    </row>
    <row r="2508" spans="2:8" x14ac:dyDescent="0.2">
      <c r="B2508" s="262" t="s">
        <v>1884</v>
      </c>
      <c r="C2508" s="263">
        <v>42980</v>
      </c>
      <c r="D2508" s="264" t="s">
        <v>3565</v>
      </c>
      <c r="E2508" s="264" t="s">
        <v>4442</v>
      </c>
      <c r="F2508" s="265">
        <v>400</v>
      </c>
      <c r="G2508" s="265"/>
      <c r="H2508" s="265">
        <f t="shared" si="82"/>
        <v>400</v>
      </c>
    </row>
    <row r="2509" spans="2:8" x14ac:dyDescent="0.2">
      <c r="B2509" s="262" t="s">
        <v>1864</v>
      </c>
      <c r="C2509" s="263">
        <v>42981</v>
      </c>
      <c r="D2509" s="264" t="s">
        <v>2535</v>
      </c>
      <c r="E2509" s="264" t="s">
        <v>2828</v>
      </c>
      <c r="F2509" s="265">
        <v>186</v>
      </c>
      <c r="G2509" s="265"/>
      <c r="H2509" s="265">
        <f t="shared" si="82"/>
        <v>186</v>
      </c>
    </row>
    <row r="2510" spans="2:8" x14ac:dyDescent="0.2">
      <c r="B2510" s="262" t="s">
        <v>1863</v>
      </c>
      <c r="C2510" s="263">
        <v>42981</v>
      </c>
      <c r="D2510" s="264" t="s">
        <v>2250</v>
      </c>
      <c r="E2510" s="264" t="s">
        <v>3381</v>
      </c>
      <c r="F2510" s="265">
        <v>150</v>
      </c>
      <c r="G2510" s="265"/>
      <c r="H2510" s="265">
        <f t="shared" si="82"/>
        <v>150</v>
      </c>
    </row>
    <row r="2511" spans="2:8" x14ac:dyDescent="0.2">
      <c r="B2511" s="262" t="s">
        <v>1881</v>
      </c>
      <c r="C2511" s="263">
        <v>42981</v>
      </c>
      <c r="D2511" s="264" t="s">
        <v>2250</v>
      </c>
      <c r="E2511" s="264" t="s">
        <v>4182</v>
      </c>
      <c r="F2511" s="265">
        <v>120</v>
      </c>
      <c r="G2511" s="265"/>
      <c r="H2511" s="265">
        <f t="shared" si="82"/>
        <v>120</v>
      </c>
    </row>
    <row r="2512" spans="2:8" x14ac:dyDescent="0.2">
      <c r="B2512" s="262" t="s">
        <v>1866</v>
      </c>
      <c r="C2512" s="263">
        <v>42982</v>
      </c>
      <c r="D2512" s="264" t="s">
        <v>1890</v>
      </c>
      <c r="E2512" s="264" t="s">
        <v>4443</v>
      </c>
      <c r="F2512" s="265">
        <v>310</v>
      </c>
      <c r="G2512" s="265"/>
      <c r="H2512" s="265">
        <f t="shared" si="82"/>
        <v>310</v>
      </c>
    </row>
    <row r="2513" spans="2:8" x14ac:dyDescent="0.2">
      <c r="B2513" s="262" t="s">
        <v>1860</v>
      </c>
      <c r="C2513" s="263">
        <v>42982</v>
      </c>
      <c r="D2513" s="264" t="s">
        <v>3955</v>
      </c>
      <c r="E2513" s="264" t="s">
        <v>4444</v>
      </c>
      <c r="F2513" s="265">
        <v>15</v>
      </c>
      <c r="G2513" s="265"/>
      <c r="H2513" s="265">
        <f t="shared" si="82"/>
        <v>15</v>
      </c>
    </row>
    <row r="2514" spans="2:8" x14ac:dyDescent="0.2">
      <c r="B2514" s="262" t="s">
        <v>1867</v>
      </c>
      <c r="C2514" s="263">
        <v>42983</v>
      </c>
      <c r="D2514" s="264" t="s">
        <v>4445</v>
      </c>
      <c r="E2514" s="264" t="s">
        <v>4446</v>
      </c>
      <c r="F2514" s="265">
        <v>2279.0100000000002</v>
      </c>
      <c r="G2514" s="265"/>
      <c r="H2514" s="265">
        <f t="shared" si="82"/>
        <v>2279.0100000000002</v>
      </c>
    </row>
    <row r="2515" spans="2:8" x14ac:dyDescent="0.2">
      <c r="B2515" s="262" t="s">
        <v>1867</v>
      </c>
      <c r="C2515" s="263">
        <v>42983</v>
      </c>
      <c r="D2515" s="264" t="s">
        <v>4445</v>
      </c>
      <c r="E2515" s="264" t="s">
        <v>4447</v>
      </c>
      <c r="F2515" s="265">
        <v>79</v>
      </c>
      <c r="G2515" s="265"/>
      <c r="H2515" s="265">
        <f t="shared" si="82"/>
        <v>79</v>
      </c>
    </row>
    <row r="2516" spans="2:8" x14ac:dyDescent="0.2">
      <c r="B2516" s="262" t="s">
        <v>1884</v>
      </c>
      <c r="C2516" s="263">
        <v>42983</v>
      </c>
      <c r="D2516" s="264" t="s">
        <v>4448</v>
      </c>
      <c r="E2516" s="264" t="s">
        <v>4449</v>
      </c>
      <c r="F2516" s="265">
        <v>5</v>
      </c>
      <c r="G2516" s="265"/>
      <c r="H2516" s="265">
        <f t="shared" si="82"/>
        <v>5</v>
      </c>
    </row>
    <row r="2517" spans="2:8" x14ac:dyDescent="0.2">
      <c r="B2517" s="262" t="s">
        <v>1875</v>
      </c>
      <c r="C2517" s="263">
        <v>42984</v>
      </c>
      <c r="D2517" s="264" t="s">
        <v>1893</v>
      </c>
      <c r="E2517" s="264" t="s">
        <v>1942</v>
      </c>
      <c r="F2517" s="265">
        <v>1121.96</v>
      </c>
      <c r="G2517" s="265"/>
      <c r="H2517" s="265">
        <f t="shared" si="82"/>
        <v>1121.96</v>
      </c>
    </row>
    <row r="2518" spans="2:8" x14ac:dyDescent="0.2">
      <c r="B2518" s="262" t="s">
        <v>1875</v>
      </c>
      <c r="C2518" s="263">
        <v>42984</v>
      </c>
      <c r="D2518" s="264" t="s">
        <v>1925</v>
      </c>
      <c r="E2518" s="264" t="s">
        <v>4450</v>
      </c>
      <c r="F2518" s="265">
        <v>5</v>
      </c>
      <c r="G2518" s="265"/>
      <c r="H2518" s="265">
        <f t="shared" si="82"/>
        <v>5</v>
      </c>
    </row>
    <row r="2519" spans="2:8" x14ac:dyDescent="0.2">
      <c r="B2519" s="262" t="s">
        <v>1884</v>
      </c>
      <c r="C2519" s="263">
        <v>42984</v>
      </c>
      <c r="D2519" s="264" t="s">
        <v>1918</v>
      </c>
      <c r="E2519" s="264" t="s">
        <v>4451</v>
      </c>
      <c r="F2519" s="265">
        <v>61</v>
      </c>
      <c r="G2519" s="265"/>
      <c r="H2519" s="265">
        <f t="shared" si="82"/>
        <v>61</v>
      </c>
    </row>
    <row r="2520" spans="2:8" x14ac:dyDescent="0.2">
      <c r="B2520" s="262" t="s">
        <v>1862</v>
      </c>
      <c r="C2520" s="263">
        <v>42984</v>
      </c>
      <c r="D2520" s="264" t="s">
        <v>1893</v>
      </c>
      <c r="E2520" s="264" t="s">
        <v>4452</v>
      </c>
      <c r="F2520" s="265">
        <v>2704.16</v>
      </c>
      <c r="G2520" s="265"/>
      <c r="H2520" s="265">
        <f t="shared" si="82"/>
        <v>2704.16</v>
      </c>
    </row>
    <row r="2521" spans="2:8" x14ac:dyDescent="0.2">
      <c r="B2521" s="262" t="s">
        <v>1860</v>
      </c>
      <c r="C2521" s="263">
        <v>42984</v>
      </c>
      <c r="D2521" s="264" t="s">
        <v>1891</v>
      </c>
      <c r="E2521" s="264" t="s">
        <v>4453</v>
      </c>
      <c r="F2521" s="265">
        <v>1230.8699999999999</v>
      </c>
      <c r="G2521" s="265"/>
      <c r="H2521" s="265">
        <f t="shared" si="82"/>
        <v>1230.8699999999999</v>
      </c>
    </row>
    <row r="2522" spans="2:8" x14ac:dyDescent="0.2">
      <c r="B2522" s="262" t="s">
        <v>1860</v>
      </c>
      <c r="C2522" s="263">
        <v>42984</v>
      </c>
      <c r="D2522" s="264" t="s">
        <v>1925</v>
      </c>
      <c r="E2522" s="264" t="s">
        <v>4454</v>
      </c>
      <c r="F2522" s="265">
        <v>5</v>
      </c>
      <c r="G2522" s="265"/>
      <c r="H2522" s="265">
        <f t="shared" si="82"/>
        <v>5</v>
      </c>
    </row>
    <row r="2523" spans="2:8" x14ac:dyDescent="0.2">
      <c r="B2523" s="262" t="s">
        <v>1884</v>
      </c>
      <c r="C2523" s="263">
        <v>42984</v>
      </c>
      <c r="D2523" s="264" t="s">
        <v>1893</v>
      </c>
      <c r="E2523" s="264" t="s">
        <v>4455</v>
      </c>
      <c r="F2523" s="265">
        <v>87</v>
      </c>
      <c r="G2523" s="265"/>
      <c r="H2523" s="265">
        <f t="shared" si="82"/>
        <v>87</v>
      </c>
    </row>
    <row r="2524" spans="2:8" x14ac:dyDescent="0.2">
      <c r="B2524" s="262" t="s">
        <v>1870</v>
      </c>
      <c r="C2524" s="263">
        <v>42984</v>
      </c>
      <c r="D2524" s="264" t="s">
        <v>1892</v>
      </c>
      <c r="E2524" s="264" t="s">
        <v>4456</v>
      </c>
      <c r="F2524" s="265">
        <v>800</v>
      </c>
      <c r="G2524" s="265"/>
      <c r="H2524" s="265">
        <f t="shared" si="82"/>
        <v>800</v>
      </c>
    </row>
    <row r="2525" spans="2:8" x14ac:dyDescent="0.2">
      <c r="B2525" s="262" t="s">
        <v>1577</v>
      </c>
      <c r="C2525" s="263">
        <v>42985</v>
      </c>
      <c r="D2525" s="264" t="s">
        <v>4457</v>
      </c>
      <c r="E2525" s="264" t="s">
        <v>4458</v>
      </c>
      <c r="F2525" s="344">
        <v>10100</v>
      </c>
      <c r="G2525" s="265"/>
      <c r="H2525" s="265">
        <f t="shared" si="82"/>
        <v>10100</v>
      </c>
    </row>
    <row r="2526" spans="2:8" x14ac:dyDescent="0.2">
      <c r="B2526" s="262" t="s">
        <v>1884</v>
      </c>
      <c r="C2526" s="263">
        <v>42985</v>
      </c>
      <c r="D2526" s="264" t="s">
        <v>4459</v>
      </c>
      <c r="E2526" s="264" t="s">
        <v>4460</v>
      </c>
      <c r="F2526" s="265">
        <v>401</v>
      </c>
      <c r="G2526" s="265"/>
      <c r="H2526" s="265">
        <f t="shared" si="82"/>
        <v>401</v>
      </c>
    </row>
    <row r="2527" spans="2:8" x14ac:dyDescent="0.2">
      <c r="B2527" s="262" t="s">
        <v>1884</v>
      </c>
      <c r="C2527" s="263">
        <v>42985</v>
      </c>
      <c r="D2527" s="264" t="s">
        <v>4459</v>
      </c>
      <c r="E2527" s="264" t="s">
        <v>4460</v>
      </c>
      <c r="F2527" s="265">
        <v>39</v>
      </c>
      <c r="G2527" s="265"/>
      <c r="H2527" s="265">
        <f t="shared" si="82"/>
        <v>39</v>
      </c>
    </row>
    <row r="2528" spans="2:8" x14ac:dyDescent="0.2">
      <c r="B2528" s="262" t="s">
        <v>1805</v>
      </c>
      <c r="C2528" s="263">
        <v>42986</v>
      </c>
      <c r="D2528" s="264" t="s">
        <v>3565</v>
      </c>
      <c r="E2528" s="264" t="s">
        <v>4461</v>
      </c>
      <c r="F2528" s="265">
        <v>1250</v>
      </c>
      <c r="G2528" s="265"/>
      <c r="H2528" s="265">
        <f t="shared" si="82"/>
        <v>1250</v>
      </c>
    </row>
    <row r="2529" spans="2:8" x14ac:dyDescent="0.2">
      <c r="B2529" s="262" t="s">
        <v>1884</v>
      </c>
      <c r="C2529" s="263">
        <v>42986</v>
      </c>
      <c r="D2529" s="264" t="s">
        <v>2431</v>
      </c>
      <c r="E2529" s="264" t="s">
        <v>4462</v>
      </c>
      <c r="F2529" s="265">
        <v>252</v>
      </c>
      <c r="G2529" s="265"/>
      <c r="H2529" s="265">
        <f t="shared" si="82"/>
        <v>252</v>
      </c>
    </row>
    <row r="2530" spans="2:8" x14ac:dyDescent="0.2">
      <c r="B2530" s="262" t="s">
        <v>1884</v>
      </c>
      <c r="C2530" s="263">
        <v>42986</v>
      </c>
      <c r="D2530" s="264" t="s">
        <v>4474</v>
      </c>
      <c r="E2530" s="264" t="s">
        <v>4475</v>
      </c>
      <c r="F2530" s="265">
        <v>358</v>
      </c>
      <c r="G2530" s="265"/>
      <c r="H2530" s="265">
        <f t="shared" ref="H2530" si="83">SUM(F2530:G2530)</f>
        <v>358</v>
      </c>
    </row>
    <row r="2531" spans="2:8" x14ac:dyDescent="0.2">
      <c r="B2531" s="262" t="s">
        <v>1884</v>
      </c>
      <c r="C2531" s="263">
        <v>42987</v>
      </c>
      <c r="D2531" s="264" t="s">
        <v>4459</v>
      </c>
      <c r="E2531" s="264" t="s">
        <v>4460</v>
      </c>
      <c r="F2531" s="265">
        <v>145</v>
      </c>
      <c r="G2531" s="265"/>
      <c r="H2531" s="265">
        <f t="shared" si="82"/>
        <v>145</v>
      </c>
    </row>
    <row r="2532" spans="2:8" x14ac:dyDescent="0.2">
      <c r="B2532" s="262" t="s">
        <v>1864</v>
      </c>
      <c r="C2532" s="263">
        <v>42988</v>
      </c>
      <c r="D2532" s="264" t="s">
        <v>2535</v>
      </c>
      <c r="E2532" s="264" t="s">
        <v>4463</v>
      </c>
      <c r="F2532" s="265">
        <v>155</v>
      </c>
      <c r="G2532" s="265"/>
      <c r="H2532" s="265">
        <f t="shared" si="82"/>
        <v>155</v>
      </c>
    </row>
    <row r="2533" spans="2:8" x14ac:dyDescent="0.2">
      <c r="B2533" s="262" t="s">
        <v>1866</v>
      </c>
      <c r="C2533" s="263">
        <v>42988</v>
      </c>
      <c r="D2533" s="264" t="s">
        <v>1890</v>
      </c>
      <c r="E2533" s="264" t="s">
        <v>4464</v>
      </c>
      <c r="F2533" s="265">
        <v>310</v>
      </c>
      <c r="G2533" s="265"/>
      <c r="H2533" s="265">
        <f t="shared" si="82"/>
        <v>310</v>
      </c>
    </row>
    <row r="2534" spans="2:8" x14ac:dyDescent="0.2">
      <c r="B2534" s="262" t="s">
        <v>1881</v>
      </c>
      <c r="C2534" s="263">
        <v>42988</v>
      </c>
      <c r="D2534" s="264" t="s">
        <v>2250</v>
      </c>
      <c r="E2534" s="264" t="s">
        <v>2636</v>
      </c>
      <c r="F2534" s="265">
        <v>120</v>
      </c>
      <c r="G2534" s="265"/>
      <c r="H2534" s="265">
        <f t="shared" si="82"/>
        <v>120</v>
      </c>
    </row>
    <row r="2535" spans="2:8" x14ac:dyDescent="0.2">
      <c r="B2535" s="262" t="s">
        <v>1860</v>
      </c>
      <c r="C2535" s="263">
        <v>42989</v>
      </c>
      <c r="D2535" s="264" t="s">
        <v>3939</v>
      </c>
      <c r="E2535" s="264" t="s">
        <v>4280</v>
      </c>
      <c r="F2535" s="265">
        <v>53</v>
      </c>
      <c r="G2535" s="265"/>
      <c r="H2535" s="265">
        <f t="shared" ref="H2535:H2536" si="84">SUM(F2535:G2535)</f>
        <v>53</v>
      </c>
    </row>
    <row r="2536" spans="2:8" x14ac:dyDescent="0.2">
      <c r="B2536" s="262" t="s">
        <v>1860</v>
      </c>
      <c r="C2536" s="263">
        <v>42989</v>
      </c>
      <c r="D2536" s="264" t="s">
        <v>3939</v>
      </c>
      <c r="E2536" s="264" t="s">
        <v>4280</v>
      </c>
      <c r="F2536" s="265">
        <v>120</v>
      </c>
      <c r="G2536" s="265"/>
      <c r="H2536" s="265">
        <f t="shared" si="84"/>
        <v>120</v>
      </c>
    </row>
    <row r="2537" spans="2:8" x14ac:dyDescent="0.2">
      <c r="B2537" s="262" t="s">
        <v>1790</v>
      </c>
      <c r="C2537" s="263">
        <v>42990</v>
      </c>
      <c r="D2537" s="264" t="s">
        <v>1909</v>
      </c>
      <c r="E2537" s="264" t="s">
        <v>4583</v>
      </c>
      <c r="F2537" s="265"/>
      <c r="G2537" s="344">
        <v>1760</v>
      </c>
      <c r="H2537" s="265">
        <f t="shared" si="82"/>
        <v>1760</v>
      </c>
    </row>
    <row r="2538" spans="2:8" x14ac:dyDescent="0.2">
      <c r="B2538" s="262" t="s">
        <v>1805</v>
      </c>
      <c r="C2538" s="263">
        <v>42990</v>
      </c>
      <c r="D2538" s="264" t="s">
        <v>1888</v>
      </c>
      <c r="E2538" s="264" t="s">
        <v>4584</v>
      </c>
      <c r="F2538" s="265">
        <v>1300</v>
      </c>
      <c r="G2538" s="265"/>
      <c r="H2538" s="265">
        <f t="shared" si="82"/>
        <v>1300</v>
      </c>
    </row>
    <row r="2539" spans="2:8" x14ac:dyDescent="0.2">
      <c r="B2539" s="262" t="s">
        <v>1805</v>
      </c>
      <c r="C2539" s="263">
        <v>42990</v>
      </c>
      <c r="D2539" s="264" t="s">
        <v>4465</v>
      </c>
      <c r="E2539" s="264" t="s">
        <v>4466</v>
      </c>
      <c r="F2539" s="265">
        <v>60</v>
      </c>
      <c r="G2539" s="265"/>
      <c r="H2539" s="265">
        <f t="shared" si="82"/>
        <v>60</v>
      </c>
    </row>
    <row r="2540" spans="2:8" x14ac:dyDescent="0.2">
      <c r="B2540" s="262" t="s">
        <v>1884</v>
      </c>
      <c r="C2540" s="263">
        <v>42990</v>
      </c>
      <c r="D2540" s="264" t="s">
        <v>1915</v>
      </c>
      <c r="E2540" s="264" t="s">
        <v>4467</v>
      </c>
      <c r="F2540" s="265">
        <v>300</v>
      </c>
      <c r="G2540" s="265"/>
      <c r="H2540" s="265">
        <f t="shared" si="82"/>
        <v>300</v>
      </c>
    </row>
    <row r="2541" spans="2:8" x14ac:dyDescent="0.2">
      <c r="B2541" s="262" t="s">
        <v>1863</v>
      </c>
      <c r="C2541" s="263">
        <v>42991</v>
      </c>
      <c r="D2541" s="264" t="s">
        <v>4468</v>
      </c>
      <c r="E2541" s="264" t="s">
        <v>4469</v>
      </c>
      <c r="F2541" s="265">
        <v>75.12</v>
      </c>
      <c r="G2541" s="265"/>
      <c r="H2541" s="265">
        <f t="shared" si="82"/>
        <v>75.12</v>
      </c>
    </row>
    <row r="2542" spans="2:8" x14ac:dyDescent="0.2">
      <c r="B2542" s="262" t="s">
        <v>1863</v>
      </c>
      <c r="C2542" s="263">
        <v>42991</v>
      </c>
      <c r="D2542" s="264" t="s">
        <v>3125</v>
      </c>
      <c r="E2542" s="264" t="s">
        <v>4470</v>
      </c>
      <c r="F2542" s="265">
        <v>21</v>
      </c>
      <c r="G2542" s="265"/>
      <c r="H2542" s="265">
        <f t="shared" si="82"/>
        <v>21</v>
      </c>
    </row>
    <row r="2543" spans="2:8" x14ac:dyDescent="0.2">
      <c r="B2543" s="262" t="s">
        <v>1863</v>
      </c>
      <c r="C2543" s="263">
        <v>42991</v>
      </c>
      <c r="D2543" s="264" t="s">
        <v>2535</v>
      </c>
      <c r="E2543" s="264" t="s">
        <v>4471</v>
      </c>
      <c r="F2543" s="265">
        <v>141</v>
      </c>
      <c r="G2543" s="265"/>
      <c r="H2543" s="265">
        <f t="shared" si="82"/>
        <v>141</v>
      </c>
    </row>
    <row r="2544" spans="2:8" x14ac:dyDescent="0.2">
      <c r="B2544" s="262" t="s">
        <v>1863</v>
      </c>
      <c r="C2544" s="263">
        <v>42991</v>
      </c>
      <c r="D2544" s="264" t="s">
        <v>4472</v>
      </c>
      <c r="E2544" s="264" t="s">
        <v>4473</v>
      </c>
      <c r="F2544" s="265">
        <v>114.38</v>
      </c>
      <c r="G2544" s="265"/>
      <c r="H2544" s="265">
        <f t="shared" si="82"/>
        <v>114.38</v>
      </c>
    </row>
    <row r="2545" spans="2:9" x14ac:dyDescent="0.2">
      <c r="B2545" s="262" t="s">
        <v>1867</v>
      </c>
      <c r="C2545" s="263">
        <v>42992</v>
      </c>
      <c r="D2545" s="264" t="s">
        <v>1894</v>
      </c>
      <c r="E2545" s="264" t="s">
        <v>4479</v>
      </c>
      <c r="F2545" s="265">
        <v>778</v>
      </c>
      <c r="G2545" s="265"/>
      <c r="H2545" s="265">
        <f t="shared" si="82"/>
        <v>778</v>
      </c>
    </row>
    <row r="2546" spans="2:9" x14ac:dyDescent="0.2">
      <c r="B2546" s="262" t="s">
        <v>1863</v>
      </c>
      <c r="C2546" s="263">
        <v>42992</v>
      </c>
      <c r="D2546" s="264" t="s">
        <v>2535</v>
      </c>
      <c r="E2546" s="264" t="s">
        <v>4480</v>
      </c>
      <c r="F2546" s="265">
        <v>33</v>
      </c>
      <c r="G2546" s="265"/>
      <c r="H2546" s="265">
        <f t="shared" si="82"/>
        <v>33</v>
      </c>
    </row>
    <row r="2547" spans="2:9" x14ac:dyDescent="0.2">
      <c r="B2547" s="262" t="s">
        <v>1884</v>
      </c>
      <c r="C2547" s="263">
        <v>42992</v>
      </c>
      <c r="D2547" s="264" t="s">
        <v>3565</v>
      </c>
      <c r="E2547" s="264" t="s">
        <v>4481</v>
      </c>
      <c r="F2547" s="265">
        <v>350</v>
      </c>
      <c r="G2547" s="265"/>
      <c r="H2547" s="265">
        <f t="shared" si="82"/>
        <v>350</v>
      </c>
    </row>
    <row r="2548" spans="2:9" x14ac:dyDescent="0.2">
      <c r="B2548" s="262" t="s">
        <v>1863</v>
      </c>
      <c r="C2548" s="263">
        <v>42992</v>
      </c>
      <c r="D2548" s="264" t="s">
        <v>4482</v>
      </c>
      <c r="E2548" s="264" t="s">
        <v>4483</v>
      </c>
      <c r="F2548" s="265">
        <v>180</v>
      </c>
      <c r="G2548" s="265"/>
      <c r="H2548" s="265">
        <f t="shared" si="82"/>
        <v>180</v>
      </c>
    </row>
    <row r="2549" spans="2:9" x14ac:dyDescent="0.2">
      <c r="B2549" s="262" t="s">
        <v>1884</v>
      </c>
      <c r="C2549" s="263">
        <v>42993</v>
      </c>
      <c r="D2549" s="264" t="s">
        <v>4482</v>
      </c>
      <c r="E2549" s="264" t="s">
        <v>4484</v>
      </c>
      <c r="F2549" s="265">
        <v>187</v>
      </c>
      <c r="G2549" s="265"/>
      <c r="H2549" s="265">
        <f t="shared" si="82"/>
        <v>187</v>
      </c>
    </row>
    <row r="2550" spans="2:9" x14ac:dyDescent="0.2">
      <c r="B2550" s="262" t="s">
        <v>1884</v>
      </c>
      <c r="C2550" s="263">
        <v>42993</v>
      </c>
      <c r="D2550" s="264" t="s">
        <v>1918</v>
      </c>
      <c r="E2550" s="264" t="s">
        <v>4485</v>
      </c>
      <c r="F2550" s="265">
        <v>75</v>
      </c>
      <c r="G2550" s="265"/>
      <c r="H2550" s="265">
        <f t="shared" si="82"/>
        <v>75</v>
      </c>
    </row>
    <row r="2551" spans="2:9" x14ac:dyDescent="0.2">
      <c r="B2551" s="262" t="s">
        <v>1884</v>
      </c>
      <c r="C2551" s="263">
        <v>42993</v>
      </c>
      <c r="D2551" s="264" t="s">
        <v>2262</v>
      </c>
      <c r="E2551" s="264" t="s">
        <v>4486</v>
      </c>
      <c r="F2551" s="265">
        <v>28</v>
      </c>
      <c r="G2551" s="265"/>
      <c r="H2551" s="265">
        <f t="shared" si="82"/>
        <v>28</v>
      </c>
    </row>
    <row r="2552" spans="2:9" x14ac:dyDescent="0.2">
      <c r="B2552" s="262" t="s">
        <v>1884</v>
      </c>
      <c r="C2552" s="263">
        <v>42993</v>
      </c>
      <c r="D2552" s="264" t="s">
        <v>4487</v>
      </c>
      <c r="E2552" s="264" t="s">
        <v>4166</v>
      </c>
      <c r="F2552" s="265">
        <v>322.60000000000002</v>
      </c>
      <c r="G2552" s="265"/>
      <c r="H2552" s="265">
        <f t="shared" si="82"/>
        <v>322.60000000000002</v>
      </c>
    </row>
    <row r="2553" spans="2:9" x14ac:dyDescent="0.2">
      <c r="B2553" s="262" t="s">
        <v>1884</v>
      </c>
      <c r="C2553" s="263">
        <v>42993</v>
      </c>
      <c r="D2553" s="264" t="s">
        <v>2238</v>
      </c>
      <c r="E2553" s="264" t="s">
        <v>4488</v>
      </c>
      <c r="F2553" s="265">
        <v>104</v>
      </c>
      <c r="G2553" s="265"/>
      <c r="H2553" s="265">
        <f t="shared" si="82"/>
        <v>104</v>
      </c>
    </row>
    <row r="2554" spans="2:9" x14ac:dyDescent="0.2">
      <c r="B2554" s="262" t="s">
        <v>1881</v>
      </c>
      <c r="C2554" s="263">
        <v>42993</v>
      </c>
      <c r="D2554" s="264" t="s">
        <v>2250</v>
      </c>
      <c r="E2554" s="264" t="s">
        <v>4489</v>
      </c>
      <c r="F2554" s="265">
        <v>350</v>
      </c>
      <c r="G2554" s="265"/>
      <c r="H2554" s="265">
        <f t="shared" si="82"/>
        <v>350</v>
      </c>
    </row>
    <row r="2555" spans="2:9" x14ac:dyDescent="0.2">
      <c r="B2555" s="262" t="s">
        <v>1881</v>
      </c>
      <c r="C2555" s="263">
        <v>42993</v>
      </c>
      <c r="D2555" s="264" t="s">
        <v>1873</v>
      </c>
      <c r="E2555" s="264" t="s">
        <v>4490</v>
      </c>
      <c r="F2555" s="265">
        <v>450</v>
      </c>
      <c r="G2555" s="265"/>
      <c r="H2555" s="265">
        <f t="shared" si="82"/>
        <v>450</v>
      </c>
    </row>
    <row r="2556" spans="2:9" x14ac:dyDescent="0.2">
      <c r="B2556" s="262" t="s">
        <v>1805</v>
      </c>
      <c r="C2556" s="263">
        <v>42993</v>
      </c>
      <c r="D2556" s="264" t="s">
        <v>3565</v>
      </c>
      <c r="E2556" s="264" t="s">
        <v>4491</v>
      </c>
      <c r="F2556" s="265">
        <v>1250</v>
      </c>
      <c r="G2556" s="265"/>
      <c r="H2556" s="265">
        <f t="shared" si="82"/>
        <v>1250</v>
      </c>
    </row>
    <row r="2557" spans="2:9" x14ac:dyDescent="0.2">
      <c r="B2557" s="262" t="s">
        <v>1859</v>
      </c>
      <c r="C2557" s="263">
        <v>42993</v>
      </c>
      <c r="D2557" s="264" t="s">
        <v>4482</v>
      </c>
      <c r="E2557" s="264" t="s">
        <v>4492</v>
      </c>
      <c r="F2557" s="265">
        <v>4000</v>
      </c>
      <c r="G2557" s="265"/>
      <c r="H2557" s="265">
        <f t="shared" si="82"/>
        <v>4000</v>
      </c>
    </row>
    <row r="2558" spans="2:9" x14ac:dyDescent="0.2">
      <c r="B2558" s="262" t="s">
        <v>1884</v>
      </c>
      <c r="C2558" s="263">
        <v>42993</v>
      </c>
      <c r="D2558" s="264" t="s">
        <v>4493</v>
      </c>
      <c r="E2558" s="264" t="s">
        <v>2993</v>
      </c>
      <c r="F2558" s="265">
        <v>1000</v>
      </c>
      <c r="G2558" s="265"/>
      <c r="H2558" s="265">
        <f t="shared" si="82"/>
        <v>1000</v>
      </c>
    </row>
    <row r="2559" spans="2:9" x14ac:dyDescent="0.2">
      <c r="B2559" s="262" t="s">
        <v>1577</v>
      </c>
      <c r="C2559" s="263">
        <v>42993</v>
      </c>
      <c r="D2559" s="264" t="s">
        <v>4027</v>
      </c>
      <c r="E2559" s="264" t="s">
        <v>4494</v>
      </c>
      <c r="F2559" s="344">
        <v>20000</v>
      </c>
      <c r="G2559" s="265"/>
      <c r="H2559" s="265">
        <f t="shared" si="82"/>
        <v>20000</v>
      </c>
    </row>
    <row r="2560" spans="2:9" x14ac:dyDescent="0.2">
      <c r="B2560" s="262" t="s">
        <v>1864</v>
      </c>
      <c r="C2560" s="263">
        <v>42995</v>
      </c>
      <c r="D2560" s="264" t="s">
        <v>2535</v>
      </c>
      <c r="E2560" s="264" t="s">
        <v>4496</v>
      </c>
      <c r="F2560" s="265">
        <v>122</v>
      </c>
      <c r="G2560" s="265"/>
      <c r="H2560" s="265">
        <f t="shared" ref="H2560:H2561" si="85">SUM(F2560:G2560)</f>
        <v>122</v>
      </c>
      <c r="I2560" s="175">
        <f>SUM(H2499:H2562)</f>
        <v>79906.100000000006</v>
      </c>
    </row>
    <row r="2561" spans="2:9" x14ac:dyDescent="0.2">
      <c r="B2561" s="262" t="s">
        <v>1881</v>
      </c>
      <c r="C2561" s="263">
        <v>42996</v>
      </c>
      <c r="D2561" s="264" t="s">
        <v>2250</v>
      </c>
      <c r="E2561" s="264" t="s">
        <v>2026</v>
      </c>
      <c r="F2561" s="265">
        <v>120</v>
      </c>
      <c r="G2561" s="265"/>
      <c r="H2561" s="265">
        <f t="shared" si="85"/>
        <v>120</v>
      </c>
    </row>
    <row r="2562" spans="2:9" x14ac:dyDescent="0.2">
      <c r="B2562" s="262" t="s">
        <v>1866</v>
      </c>
      <c r="C2562" s="263">
        <v>42996</v>
      </c>
      <c r="D2562" s="264" t="s">
        <v>1890</v>
      </c>
      <c r="E2562" s="264" t="s">
        <v>4086</v>
      </c>
      <c r="F2562" s="265">
        <v>310</v>
      </c>
      <c r="G2562" s="265"/>
      <c r="H2562" s="265">
        <f t="shared" si="82"/>
        <v>310</v>
      </c>
    </row>
    <row r="2563" spans="2:9" x14ac:dyDescent="0.2">
      <c r="B2563" s="262" t="s">
        <v>1863</v>
      </c>
      <c r="C2563" s="263">
        <v>42997</v>
      </c>
      <c r="D2563" s="264" t="s">
        <v>4497</v>
      </c>
      <c r="E2563" s="264" t="s">
        <v>4483</v>
      </c>
      <c r="F2563" s="265">
        <v>100</v>
      </c>
      <c r="G2563" s="265"/>
      <c r="H2563" s="265">
        <f t="shared" ref="H2563:H2570" si="86">SUM(F2563:G2563)</f>
        <v>100</v>
      </c>
    </row>
    <row r="2564" spans="2:9" x14ac:dyDescent="0.2">
      <c r="B2564" s="262" t="s">
        <v>1862</v>
      </c>
      <c r="C2564" s="263">
        <v>42997</v>
      </c>
      <c r="D2564" s="264" t="s">
        <v>1892</v>
      </c>
      <c r="E2564" s="264" t="s">
        <v>4498</v>
      </c>
      <c r="F2564" s="265">
        <v>590</v>
      </c>
      <c r="G2564" s="265"/>
      <c r="H2564" s="265">
        <f t="shared" si="86"/>
        <v>590</v>
      </c>
    </row>
    <row r="2565" spans="2:9" x14ac:dyDescent="0.2">
      <c r="B2565" s="262" t="s">
        <v>1870</v>
      </c>
      <c r="C2565" s="263">
        <v>42997</v>
      </c>
      <c r="D2565" s="264" t="s">
        <v>1892</v>
      </c>
      <c r="E2565" s="264" t="s">
        <v>4499</v>
      </c>
      <c r="F2565" s="265">
        <v>400</v>
      </c>
      <c r="G2565" s="265"/>
      <c r="H2565" s="265">
        <f t="shared" si="86"/>
        <v>400</v>
      </c>
    </row>
    <row r="2566" spans="2:9" x14ac:dyDescent="0.2">
      <c r="B2566" s="262" t="s">
        <v>1867</v>
      </c>
      <c r="C2566" s="263">
        <v>42997</v>
      </c>
      <c r="D2566" s="264" t="s">
        <v>2535</v>
      </c>
      <c r="E2566" s="264" t="s">
        <v>4500</v>
      </c>
      <c r="F2566" s="265">
        <v>50</v>
      </c>
      <c r="G2566" s="265"/>
      <c r="H2566" s="265">
        <f t="shared" si="86"/>
        <v>50</v>
      </c>
      <c r="I2566" s="175">
        <f>SUM(H2499:H2575)</f>
        <v>84561.5</v>
      </c>
    </row>
    <row r="2567" spans="2:9" x14ac:dyDescent="0.2">
      <c r="B2567" s="262" t="s">
        <v>1863</v>
      </c>
      <c r="C2567" s="263">
        <v>42997</v>
      </c>
      <c r="D2567" s="264" t="s">
        <v>2535</v>
      </c>
      <c r="E2567" s="264" t="s">
        <v>4501</v>
      </c>
      <c r="F2567" s="265">
        <v>50</v>
      </c>
      <c r="G2567" s="265"/>
      <c r="H2567" s="265">
        <f t="shared" si="86"/>
        <v>50</v>
      </c>
    </row>
    <row r="2568" spans="2:9" x14ac:dyDescent="0.2">
      <c r="B2568" s="345" t="s">
        <v>1871</v>
      </c>
      <c r="C2568" s="263">
        <v>42997</v>
      </c>
      <c r="D2568" s="264" t="s">
        <v>4502</v>
      </c>
      <c r="E2568" s="264" t="s">
        <v>4503</v>
      </c>
      <c r="F2568" s="265">
        <v>120</v>
      </c>
      <c r="G2568" s="265"/>
      <c r="H2568" s="265">
        <f t="shared" si="86"/>
        <v>120</v>
      </c>
    </row>
    <row r="2569" spans="2:9" x14ac:dyDescent="0.2">
      <c r="B2569" s="262" t="s">
        <v>1870</v>
      </c>
      <c r="C2569" s="263">
        <v>42997</v>
      </c>
      <c r="D2569" s="264" t="s">
        <v>1892</v>
      </c>
      <c r="E2569" s="264" t="s">
        <v>4504</v>
      </c>
      <c r="F2569" s="265">
        <v>850</v>
      </c>
      <c r="G2569" s="265"/>
      <c r="H2569" s="265">
        <f t="shared" si="86"/>
        <v>850</v>
      </c>
    </row>
    <row r="2570" spans="2:9" x14ac:dyDescent="0.2">
      <c r="B2570" s="262" t="s">
        <v>1805</v>
      </c>
      <c r="C2570" s="263">
        <v>43000</v>
      </c>
      <c r="D2570" s="264" t="s">
        <v>3565</v>
      </c>
      <c r="E2570" s="264" t="s">
        <v>4505</v>
      </c>
      <c r="F2570" s="265">
        <v>1250</v>
      </c>
      <c r="G2570" s="265"/>
      <c r="H2570" s="265">
        <f t="shared" si="86"/>
        <v>1250</v>
      </c>
    </row>
    <row r="2571" spans="2:9" x14ac:dyDescent="0.2">
      <c r="B2571" s="262" t="s">
        <v>1860</v>
      </c>
      <c r="C2571" s="263">
        <v>43000</v>
      </c>
      <c r="D2571" s="264" t="s">
        <v>1891</v>
      </c>
      <c r="E2571" s="264" t="s">
        <v>4506</v>
      </c>
      <c r="F2571" s="265">
        <v>713.79</v>
      </c>
      <c r="G2571" s="265">
        <v>114.21</v>
      </c>
      <c r="H2571" s="265">
        <f t="shared" si="82"/>
        <v>828</v>
      </c>
    </row>
    <row r="2572" spans="2:9" x14ac:dyDescent="0.2">
      <c r="B2572" s="262" t="s">
        <v>1884</v>
      </c>
      <c r="C2572" s="263">
        <v>43000</v>
      </c>
      <c r="D2572" s="264" t="s">
        <v>1893</v>
      </c>
      <c r="E2572" s="264" t="s">
        <v>4507</v>
      </c>
      <c r="F2572" s="265">
        <v>118.9</v>
      </c>
      <c r="G2572" s="265"/>
      <c r="H2572" s="265">
        <f t="shared" si="82"/>
        <v>118.9</v>
      </c>
    </row>
    <row r="2573" spans="2:9" x14ac:dyDescent="0.2">
      <c r="B2573" s="262" t="s">
        <v>1860</v>
      </c>
      <c r="C2573" s="263">
        <v>43000</v>
      </c>
      <c r="D2573" s="264" t="s">
        <v>1925</v>
      </c>
      <c r="E2573" s="264" t="s">
        <v>4508</v>
      </c>
      <c r="F2573" s="265">
        <v>5</v>
      </c>
      <c r="G2573" s="265"/>
      <c r="H2573" s="265">
        <f t="shared" si="82"/>
        <v>5</v>
      </c>
    </row>
    <row r="2574" spans="2:9" x14ac:dyDescent="0.2">
      <c r="B2574" s="262" t="s">
        <v>1870</v>
      </c>
      <c r="C2574" s="263">
        <v>43000</v>
      </c>
      <c r="D2574" s="264" t="s">
        <v>4509</v>
      </c>
      <c r="E2574" s="264" t="s">
        <v>4510</v>
      </c>
      <c r="F2574" s="265">
        <v>13.5</v>
      </c>
      <c r="G2574" s="265"/>
      <c r="H2574" s="265">
        <f t="shared" si="82"/>
        <v>13.5</v>
      </c>
    </row>
    <row r="2575" spans="2:9" x14ac:dyDescent="0.2">
      <c r="B2575" s="262" t="s">
        <v>1860</v>
      </c>
      <c r="C2575" s="263">
        <v>43001</v>
      </c>
      <c r="D2575" s="264" t="s">
        <v>4511</v>
      </c>
      <c r="E2575" s="264" t="s">
        <v>4512</v>
      </c>
      <c r="F2575" s="265">
        <v>280</v>
      </c>
      <c r="G2575" s="265"/>
      <c r="H2575" s="265">
        <f t="shared" si="82"/>
        <v>280</v>
      </c>
    </row>
    <row r="2576" spans="2:9" x14ac:dyDescent="0.2">
      <c r="B2576" s="262" t="s">
        <v>1863</v>
      </c>
      <c r="C2576" s="263">
        <v>43002</v>
      </c>
      <c r="D2576" s="264" t="s">
        <v>2250</v>
      </c>
      <c r="E2576" s="264" t="s">
        <v>2636</v>
      </c>
      <c r="F2576" s="265">
        <v>120</v>
      </c>
      <c r="G2576" s="265"/>
      <c r="H2576" s="265">
        <f t="shared" si="82"/>
        <v>120</v>
      </c>
    </row>
    <row r="2577" spans="2:8" x14ac:dyDescent="0.2">
      <c r="B2577" s="262" t="s">
        <v>1864</v>
      </c>
      <c r="C2577" s="263">
        <v>43002</v>
      </c>
      <c r="D2577" s="264" t="s">
        <v>2535</v>
      </c>
      <c r="E2577" s="264" t="s">
        <v>3055</v>
      </c>
      <c r="F2577" s="265">
        <v>196.7</v>
      </c>
      <c r="G2577" s="265"/>
      <c r="H2577" s="265">
        <f t="shared" si="82"/>
        <v>196.7</v>
      </c>
    </row>
    <row r="2578" spans="2:8" x14ac:dyDescent="0.2">
      <c r="B2578" s="262" t="s">
        <v>1866</v>
      </c>
      <c r="C2578" s="263">
        <v>43003</v>
      </c>
      <c r="D2578" s="264" t="s">
        <v>1890</v>
      </c>
      <c r="E2578" s="264" t="s">
        <v>4464</v>
      </c>
      <c r="F2578" s="265">
        <v>310</v>
      </c>
      <c r="G2578" s="265"/>
      <c r="H2578" s="265">
        <f>SUM(F2578:G2578)</f>
        <v>310</v>
      </c>
    </row>
    <row r="2579" spans="2:8" x14ac:dyDescent="0.2">
      <c r="B2579" s="262" t="s">
        <v>1863</v>
      </c>
      <c r="C2579" s="263">
        <v>43004</v>
      </c>
      <c r="D2579" s="264" t="s">
        <v>2238</v>
      </c>
      <c r="E2579" s="264" t="s">
        <v>4513</v>
      </c>
      <c r="F2579" s="265">
        <v>88</v>
      </c>
      <c r="G2579" s="265"/>
      <c r="H2579" s="265">
        <f t="shared" si="82"/>
        <v>88</v>
      </c>
    </row>
    <row r="2580" spans="2:8" x14ac:dyDescent="0.2">
      <c r="B2580" s="262" t="s">
        <v>1863</v>
      </c>
      <c r="C2580" s="263">
        <v>43004</v>
      </c>
      <c r="D2580" s="264" t="s">
        <v>3637</v>
      </c>
      <c r="E2580" s="264" t="s">
        <v>4514</v>
      </c>
      <c r="F2580" s="265">
        <v>280</v>
      </c>
      <c r="G2580" s="265"/>
      <c r="H2580" s="265">
        <f t="shared" ref="H2580:H2615" si="87">SUM(F2580:G2580)</f>
        <v>280</v>
      </c>
    </row>
    <row r="2581" spans="2:8" x14ac:dyDescent="0.2">
      <c r="B2581" s="262" t="s">
        <v>1821</v>
      </c>
      <c r="C2581" s="263">
        <v>43004</v>
      </c>
      <c r="D2581" s="264" t="s">
        <v>3053</v>
      </c>
      <c r="E2581" s="264" t="s">
        <v>4515</v>
      </c>
      <c r="F2581" s="265">
        <v>840</v>
      </c>
      <c r="G2581" s="265"/>
      <c r="H2581" s="265">
        <f t="shared" si="87"/>
        <v>840</v>
      </c>
    </row>
    <row r="2582" spans="2:8" x14ac:dyDescent="0.2">
      <c r="B2582" s="262" t="s">
        <v>1884</v>
      </c>
      <c r="C2582" s="263">
        <v>43004</v>
      </c>
      <c r="D2582" s="264" t="s">
        <v>4400</v>
      </c>
      <c r="E2582" s="264" t="s">
        <v>4516</v>
      </c>
      <c r="F2582" s="265">
        <v>40</v>
      </c>
      <c r="G2582" s="265"/>
      <c r="H2582" s="265">
        <f t="shared" si="87"/>
        <v>40</v>
      </c>
    </row>
    <row r="2583" spans="2:8" x14ac:dyDescent="0.2">
      <c r="B2583" s="262" t="s">
        <v>1863</v>
      </c>
      <c r="C2583" s="263">
        <v>43005</v>
      </c>
      <c r="D2583" s="264" t="s">
        <v>2238</v>
      </c>
      <c r="E2583" s="264" t="s">
        <v>4517</v>
      </c>
      <c r="F2583" s="265">
        <v>32</v>
      </c>
      <c r="G2583" s="265"/>
      <c r="H2583" s="265">
        <f t="shared" si="87"/>
        <v>32</v>
      </c>
    </row>
    <row r="2584" spans="2:8" x14ac:dyDescent="0.2">
      <c r="B2584" s="262" t="s">
        <v>1863</v>
      </c>
      <c r="C2584" s="263">
        <v>43005</v>
      </c>
      <c r="D2584" s="264" t="s">
        <v>3637</v>
      </c>
      <c r="E2584" s="264" t="s">
        <v>4518</v>
      </c>
      <c r="F2584" s="265">
        <v>190</v>
      </c>
      <c r="G2584" s="265"/>
      <c r="H2584" s="265">
        <f t="shared" si="87"/>
        <v>190</v>
      </c>
    </row>
    <row r="2585" spans="2:8" x14ac:dyDescent="0.2">
      <c r="B2585" s="262" t="s">
        <v>1577</v>
      </c>
      <c r="C2585" s="263">
        <v>43005</v>
      </c>
      <c r="D2585" s="264" t="s">
        <v>4027</v>
      </c>
      <c r="E2585" s="264" t="s">
        <v>4649</v>
      </c>
      <c r="F2585" s="344">
        <v>10100</v>
      </c>
      <c r="G2585" s="265"/>
      <c r="H2585" s="265">
        <f t="shared" si="87"/>
        <v>10100</v>
      </c>
    </row>
    <row r="2586" spans="2:8" x14ac:dyDescent="0.2">
      <c r="B2586" s="262" t="s">
        <v>1863</v>
      </c>
      <c r="C2586" s="263">
        <v>43006</v>
      </c>
      <c r="D2586" s="264" t="s">
        <v>2535</v>
      </c>
      <c r="E2586" s="264" t="s">
        <v>4480</v>
      </c>
      <c r="F2586" s="265">
        <v>34</v>
      </c>
      <c r="G2586" s="265"/>
      <c r="H2586" s="265">
        <f t="shared" ref="H2586:H2614" si="88">SUM(F2586:G2586)</f>
        <v>34</v>
      </c>
    </row>
    <row r="2587" spans="2:8" x14ac:dyDescent="0.2">
      <c r="B2587" s="262" t="s">
        <v>1863</v>
      </c>
      <c r="C2587" s="263">
        <v>43006</v>
      </c>
      <c r="D2587" s="264" t="s">
        <v>3637</v>
      </c>
      <c r="E2587" s="264" t="s">
        <v>4483</v>
      </c>
      <c r="F2587" s="265">
        <v>250</v>
      </c>
      <c r="G2587" s="265"/>
      <c r="H2587" s="265">
        <f t="shared" si="88"/>
        <v>250</v>
      </c>
    </row>
    <row r="2588" spans="2:8" x14ac:dyDescent="0.2">
      <c r="B2588" s="262" t="s">
        <v>1860</v>
      </c>
      <c r="C2588" s="263">
        <v>43006</v>
      </c>
      <c r="D2588" s="264" t="s">
        <v>1891</v>
      </c>
      <c r="E2588" s="264" t="s">
        <v>4519</v>
      </c>
      <c r="F2588" s="265">
        <v>15</v>
      </c>
      <c r="G2588" s="265"/>
      <c r="H2588" s="265">
        <f t="shared" si="88"/>
        <v>15</v>
      </c>
    </row>
    <row r="2589" spans="2:8" x14ac:dyDescent="0.2">
      <c r="B2589" s="262" t="s">
        <v>1805</v>
      </c>
      <c r="C2589" s="263">
        <v>43007</v>
      </c>
      <c r="D2589" s="264" t="s">
        <v>3565</v>
      </c>
      <c r="E2589" s="264" t="s">
        <v>4520</v>
      </c>
      <c r="F2589" s="265">
        <v>1250</v>
      </c>
      <c r="G2589" s="265"/>
      <c r="H2589" s="265">
        <f t="shared" si="88"/>
        <v>1250</v>
      </c>
    </row>
    <row r="2590" spans="2:8" x14ac:dyDescent="0.2">
      <c r="B2590" s="262" t="s">
        <v>1871</v>
      </c>
      <c r="C2590" s="263">
        <v>43007</v>
      </c>
      <c r="D2590" s="264" t="s">
        <v>3953</v>
      </c>
      <c r="E2590" s="264" t="s">
        <v>4521</v>
      </c>
      <c r="F2590" s="265">
        <v>100</v>
      </c>
      <c r="G2590" s="265"/>
      <c r="H2590" s="265">
        <f t="shared" si="88"/>
        <v>100</v>
      </c>
    </row>
    <row r="2591" spans="2:8" x14ac:dyDescent="0.2">
      <c r="B2591" s="262" t="s">
        <v>1857</v>
      </c>
      <c r="C2591" s="263">
        <v>43007</v>
      </c>
      <c r="D2591" s="264" t="s">
        <v>1872</v>
      </c>
      <c r="E2591" s="264" t="s">
        <v>4522</v>
      </c>
      <c r="F2591" s="265">
        <v>350</v>
      </c>
      <c r="G2591" s="265"/>
      <c r="H2591" s="265">
        <f t="shared" si="88"/>
        <v>350</v>
      </c>
    </row>
    <row r="2592" spans="2:8" x14ac:dyDescent="0.2">
      <c r="B2592" s="262" t="s">
        <v>1863</v>
      </c>
      <c r="C2592" s="263">
        <v>43007</v>
      </c>
      <c r="D2592" s="264" t="s">
        <v>4523</v>
      </c>
      <c r="E2592" s="264" t="s">
        <v>4524</v>
      </c>
      <c r="F2592" s="265">
        <v>155</v>
      </c>
      <c r="G2592" s="265"/>
      <c r="H2592" s="265">
        <f t="shared" si="88"/>
        <v>155</v>
      </c>
    </row>
    <row r="2593" spans="2:9" x14ac:dyDescent="0.2">
      <c r="B2593" s="262" t="s">
        <v>1863</v>
      </c>
      <c r="C2593" s="263">
        <v>43007</v>
      </c>
      <c r="D2593" s="264" t="s">
        <v>3637</v>
      </c>
      <c r="E2593" s="264" t="s">
        <v>4525</v>
      </c>
      <c r="F2593" s="265">
        <v>35</v>
      </c>
      <c r="G2593" s="265"/>
      <c r="H2593" s="265">
        <f t="shared" si="88"/>
        <v>35</v>
      </c>
    </row>
    <row r="2594" spans="2:9" x14ac:dyDescent="0.2">
      <c r="B2594" s="262" t="s">
        <v>1863</v>
      </c>
      <c r="C2594" s="263">
        <v>43007</v>
      </c>
      <c r="D2594" s="264" t="s">
        <v>2238</v>
      </c>
      <c r="E2594" s="264" t="s">
        <v>4526</v>
      </c>
      <c r="F2594" s="265">
        <v>55</v>
      </c>
      <c r="G2594" s="265"/>
      <c r="H2594" s="265">
        <f t="shared" si="88"/>
        <v>55</v>
      </c>
    </row>
    <row r="2595" spans="2:9" x14ac:dyDescent="0.2">
      <c r="B2595" s="262" t="s">
        <v>1859</v>
      </c>
      <c r="C2595" s="263">
        <v>43008</v>
      </c>
      <c r="D2595" s="264" t="s">
        <v>4482</v>
      </c>
      <c r="E2595" s="264" t="s">
        <v>4527</v>
      </c>
      <c r="F2595" s="265">
        <v>4000</v>
      </c>
      <c r="G2595" s="265"/>
      <c r="H2595" s="265">
        <f t="shared" si="88"/>
        <v>4000</v>
      </c>
    </row>
    <row r="2596" spans="2:9" x14ac:dyDescent="0.2">
      <c r="B2596" s="262" t="s">
        <v>1884</v>
      </c>
      <c r="C2596" s="263">
        <v>43008</v>
      </c>
      <c r="D2596" s="264" t="s">
        <v>4493</v>
      </c>
      <c r="E2596" s="264" t="s">
        <v>4528</v>
      </c>
      <c r="F2596" s="265">
        <v>1000</v>
      </c>
      <c r="G2596" s="265"/>
      <c r="H2596" s="265">
        <f t="shared" si="88"/>
        <v>1000</v>
      </c>
    </row>
    <row r="2597" spans="2:9" x14ac:dyDescent="0.2">
      <c r="B2597" s="262" t="s">
        <v>1881</v>
      </c>
      <c r="C2597" s="263">
        <v>43008</v>
      </c>
      <c r="D2597" s="264" t="s">
        <v>2250</v>
      </c>
      <c r="E2597" s="264" t="s">
        <v>4529</v>
      </c>
      <c r="F2597" s="265">
        <v>300</v>
      </c>
      <c r="G2597" s="265"/>
      <c r="H2597" s="265">
        <f t="shared" si="88"/>
        <v>300</v>
      </c>
    </row>
    <row r="2598" spans="2:9" x14ac:dyDescent="0.2">
      <c r="B2598" s="262" t="s">
        <v>1881</v>
      </c>
      <c r="C2598" s="263">
        <v>43008</v>
      </c>
      <c r="D2598" s="264" t="s">
        <v>1873</v>
      </c>
      <c r="E2598" s="264" t="s">
        <v>4530</v>
      </c>
      <c r="F2598" s="265">
        <v>450</v>
      </c>
      <c r="G2598" s="265"/>
      <c r="H2598" s="265">
        <f t="shared" si="88"/>
        <v>450</v>
      </c>
    </row>
    <row r="2599" spans="2:9" x14ac:dyDescent="0.2">
      <c r="B2599" s="262" t="s">
        <v>1881</v>
      </c>
      <c r="C2599" s="263">
        <v>43008</v>
      </c>
      <c r="D2599" s="264" t="s">
        <v>1873</v>
      </c>
      <c r="E2599" s="264" t="s">
        <v>4531</v>
      </c>
      <c r="F2599" s="265">
        <v>100</v>
      </c>
      <c r="G2599" s="265"/>
      <c r="H2599" s="265">
        <f t="shared" si="88"/>
        <v>100</v>
      </c>
      <c r="I2599" s="175">
        <f>SUM(H2499:H2599)</f>
        <v>104852.2</v>
      </c>
    </row>
    <row r="2600" spans="2:9" x14ac:dyDescent="0.2">
      <c r="B2600" s="262" t="s">
        <v>1887</v>
      </c>
      <c r="C2600" s="263">
        <v>42955</v>
      </c>
      <c r="D2600" s="264" t="s">
        <v>1534</v>
      </c>
      <c r="E2600" s="264" t="s">
        <v>1536</v>
      </c>
      <c r="F2600" s="265">
        <v>-0.46</v>
      </c>
      <c r="G2600" s="265"/>
      <c r="H2600" s="265">
        <f t="shared" si="88"/>
        <v>-0.46</v>
      </c>
    </row>
    <row r="2601" spans="2:9" x14ac:dyDescent="0.2">
      <c r="B2601" s="262" t="s">
        <v>1887</v>
      </c>
      <c r="C2601" s="263">
        <v>42978</v>
      </c>
      <c r="D2601" s="361" t="s">
        <v>1597</v>
      </c>
      <c r="E2601" s="361" t="s">
        <v>4532</v>
      </c>
      <c r="F2601" s="362">
        <v>30</v>
      </c>
      <c r="G2601" s="362"/>
      <c r="H2601" s="265">
        <f t="shared" si="88"/>
        <v>30</v>
      </c>
    </row>
    <row r="2602" spans="2:9" x14ac:dyDescent="0.2">
      <c r="B2602" s="262" t="s">
        <v>1790</v>
      </c>
      <c r="C2602" s="263">
        <v>42979</v>
      </c>
      <c r="D2602" s="361" t="s">
        <v>1597</v>
      </c>
      <c r="E2602" s="361" t="s">
        <v>2584</v>
      </c>
      <c r="F2602" s="362"/>
      <c r="G2602" s="362">
        <v>4.8</v>
      </c>
      <c r="H2602" s="265">
        <f t="shared" si="88"/>
        <v>4.8</v>
      </c>
    </row>
    <row r="2603" spans="2:9" x14ac:dyDescent="0.2">
      <c r="B2603" s="262" t="s">
        <v>1887</v>
      </c>
      <c r="C2603" s="263">
        <v>42982</v>
      </c>
      <c r="D2603" s="361" t="s">
        <v>1597</v>
      </c>
      <c r="E2603" s="361" t="s">
        <v>4532</v>
      </c>
      <c r="F2603" s="362">
        <v>30</v>
      </c>
      <c r="G2603" s="362"/>
      <c r="H2603" s="265">
        <f t="shared" ref="H2603" si="89">SUM(F2603:G2603)</f>
        <v>30</v>
      </c>
    </row>
    <row r="2604" spans="2:9" x14ac:dyDescent="0.2">
      <c r="B2604" s="262" t="s">
        <v>1790</v>
      </c>
      <c r="C2604" s="263">
        <v>43006</v>
      </c>
      <c r="D2604" s="361" t="s">
        <v>1597</v>
      </c>
      <c r="E2604" s="361" t="s">
        <v>2230</v>
      </c>
      <c r="F2604" s="362"/>
      <c r="G2604" s="362">
        <v>4.8</v>
      </c>
      <c r="H2604" s="265">
        <f t="shared" ref="H2604:H2605" si="90">SUM(F2604:G2604)</f>
        <v>4.8</v>
      </c>
    </row>
    <row r="2605" spans="2:9" x14ac:dyDescent="0.2">
      <c r="B2605" s="262" t="s">
        <v>1790</v>
      </c>
      <c r="C2605" s="263">
        <v>43006</v>
      </c>
      <c r="D2605" s="361" t="s">
        <v>1909</v>
      </c>
      <c r="E2605" s="361" t="s">
        <v>4715</v>
      </c>
      <c r="F2605" s="362"/>
      <c r="G2605" s="362">
        <v>-1760</v>
      </c>
      <c r="H2605" s="265">
        <f t="shared" si="90"/>
        <v>-1760</v>
      </c>
    </row>
    <row r="2606" spans="2:9" x14ac:dyDescent="0.2">
      <c r="B2606" s="262" t="s">
        <v>1887</v>
      </c>
      <c r="C2606" s="263">
        <v>43006</v>
      </c>
      <c r="D2606" s="361" t="s">
        <v>1597</v>
      </c>
      <c r="E2606" s="361" t="s">
        <v>2229</v>
      </c>
      <c r="F2606" s="362">
        <v>28</v>
      </c>
      <c r="G2606" s="265"/>
      <c r="H2606" s="265">
        <f t="shared" si="88"/>
        <v>28</v>
      </c>
    </row>
    <row r="2607" spans="2:9" x14ac:dyDescent="0.2">
      <c r="B2607" s="262" t="s">
        <v>1790</v>
      </c>
      <c r="C2607" s="263">
        <v>43007</v>
      </c>
      <c r="D2607" s="361" t="s">
        <v>1597</v>
      </c>
      <c r="E2607" s="361" t="s">
        <v>2230</v>
      </c>
      <c r="F2607" s="362"/>
      <c r="G2607" s="265">
        <v>4.4800000000000004</v>
      </c>
      <c r="H2607" s="265">
        <f t="shared" si="88"/>
        <v>4.4800000000000004</v>
      </c>
      <c r="I2607" s="175">
        <f>SUM(H2499:H2607)</f>
        <v>103193.81999999999</v>
      </c>
    </row>
    <row r="2608" spans="2:9" x14ac:dyDescent="0.2">
      <c r="B2608" s="262"/>
      <c r="C2608" s="263"/>
      <c r="D2608" s="264"/>
      <c r="E2608" s="264"/>
      <c r="F2608" s="265"/>
      <c r="G2608" s="265"/>
      <c r="H2608" s="265">
        <f t="shared" si="88"/>
        <v>0</v>
      </c>
    </row>
    <row r="2609" spans="2:8" x14ac:dyDescent="0.2">
      <c r="B2609" s="262"/>
      <c r="C2609" s="263"/>
      <c r="D2609" s="264"/>
      <c r="E2609" s="264"/>
      <c r="F2609" s="265"/>
      <c r="G2609" s="265"/>
      <c r="H2609" s="265">
        <f t="shared" si="88"/>
        <v>0</v>
      </c>
    </row>
    <row r="2610" spans="2:8" x14ac:dyDescent="0.2">
      <c r="B2610" s="262"/>
      <c r="C2610" s="263"/>
      <c r="D2610" s="264"/>
      <c r="E2610" s="264"/>
      <c r="F2610" s="265"/>
      <c r="G2610" s="265"/>
      <c r="H2610" s="265">
        <f t="shared" si="88"/>
        <v>0</v>
      </c>
    </row>
    <row r="2611" spans="2:8" x14ac:dyDescent="0.2">
      <c r="B2611" s="262"/>
      <c r="C2611" s="263"/>
      <c r="D2611" s="264"/>
      <c r="E2611" s="264"/>
      <c r="F2611" s="265"/>
      <c r="G2611" s="265"/>
      <c r="H2611" s="265">
        <f t="shared" si="88"/>
        <v>0</v>
      </c>
    </row>
    <row r="2612" spans="2:8" ht="18" customHeight="1" x14ac:dyDescent="0.2">
      <c r="B2612" s="255" t="s">
        <v>1850</v>
      </c>
      <c r="C2612" s="255" t="s">
        <v>1851</v>
      </c>
      <c r="D2612" s="256" t="s">
        <v>1852</v>
      </c>
      <c r="E2612" s="256" t="s">
        <v>1853</v>
      </c>
      <c r="F2612" s="257" t="s">
        <v>1854</v>
      </c>
      <c r="G2612" s="257" t="s">
        <v>1855</v>
      </c>
      <c r="H2612" s="257" t="s">
        <v>1856</v>
      </c>
    </row>
    <row r="2613" spans="2:8" x14ac:dyDescent="0.2">
      <c r="B2613" s="262" t="s">
        <v>1881</v>
      </c>
      <c r="C2613" s="263">
        <v>43009</v>
      </c>
      <c r="D2613" s="264" t="s">
        <v>2250</v>
      </c>
      <c r="E2613" s="264" t="s">
        <v>2636</v>
      </c>
      <c r="F2613" s="265">
        <v>120</v>
      </c>
      <c r="G2613" s="265"/>
      <c r="H2613" s="265">
        <f t="shared" si="88"/>
        <v>120</v>
      </c>
    </row>
    <row r="2614" spans="2:8" x14ac:dyDescent="0.2">
      <c r="B2614" s="262" t="s">
        <v>1864</v>
      </c>
      <c r="C2614" s="263">
        <v>43009</v>
      </c>
      <c r="D2614" s="264" t="s">
        <v>2535</v>
      </c>
      <c r="E2614" s="264" t="s">
        <v>3340</v>
      </c>
      <c r="F2614" s="265">
        <v>100.3</v>
      </c>
      <c r="G2614" s="265"/>
      <c r="H2614" s="265">
        <f t="shared" si="88"/>
        <v>100.3</v>
      </c>
    </row>
    <row r="2615" spans="2:8" x14ac:dyDescent="0.2">
      <c r="B2615" s="262" t="s">
        <v>1864</v>
      </c>
      <c r="C2615" s="263">
        <v>43009</v>
      </c>
      <c r="D2615" s="264" t="s">
        <v>2535</v>
      </c>
      <c r="E2615" s="264" t="s">
        <v>3340</v>
      </c>
      <c r="F2615" s="265">
        <v>55</v>
      </c>
      <c r="G2615" s="265"/>
      <c r="H2615" s="265">
        <f t="shared" si="87"/>
        <v>55</v>
      </c>
    </row>
    <row r="2616" spans="2:8" x14ac:dyDescent="0.2">
      <c r="B2616" s="262" t="s">
        <v>1577</v>
      </c>
      <c r="C2616" s="263">
        <v>43009</v>
      </c>
      <c r="D2616" s="264" t="s">
        <v>4457</v>
      </c>
      <c r="E2616" s="264" t="s">
        <v>4650</v>
      </c>
      <c r="F2616" s="344">
        <v>5000</v>
      </c>
      <c r="G2616" s="265"/>
      <c r="H2616" s="265">
        <f t="shared" ref="H2616:H2647" si="91">SUM(F2616:G2616)</f>
        <v>5000</v>
      </c>
    </row>
    <row r="2617" spans="2:8" x14ac:dyDescent="0.2">
      <c r="B2617" s="262" t="s">
        <v>1577</v>
      </c>
      <c r="C2617" s="263">
        <v>43009</v>
      </c>
      <c r="D2617" s="264" t="s">
        <v>4642</v>
      </c>
      <c r="E2617" s="264" t="s">
        <v>4651</v>
      </c>
      <c r="F2617" s="265">
        <v>15000</v>
      </c>
      <c r="G2617" s="265"/>
      <c r="H2617" s="265">
        <f t="shared" si="91"/>
        <v>15000</v>
      </c>
    </row>
    <row r="2618" spans="2:8" x14ac:dyDescent="0.2">
      <c r="B2618" s="262" t="s">
        <v>1884</v>
      </c>
      <c r="C2618" s="263">
        <v>43010</v>
      </c>
      <c r="D2618" s="264" t="s">
        <v>1918</v>
      </c>
      <c r="E2618" s="264" t="s">
        <v>4552</v>
      </c>
      <c r="F2618" s="265">
        <v>10</v>
      </c>
      <c r="G2618" s="265"/>
      <c r="H2618" s="265">
        <f t="shared" si="91"/>
        <v>10</v>
      </c>
    </row>
    <row r="2619" spans="2:8" x14ac:dyDescent="0.2">
      <c r="B2619" s="262" t="s">
        <v>1866</v>
      </c>
      <c r="C2619" s="263">
        <v>43010</v>
      </c>
      <c r="D2619" s="264" t="s">
        <v>1890</v>
      </c>
      <c r="E2619" s="264" t="s">
        <v>4375</v>
      </c>
      <c r="F2619" s="265">
        <v>175</v>
      </c>
      <c r="G2619" s="265"/>
      <c r="H2619" s="265">
        <f t="shared" si="91"/>
        <v>175</v>
      </c>
    </row>
    <row r="2620" spans="2:8" x14ac:dyDescent="0.2">
      <c r="B2620" s="262" t="s">
        <v>1863</v>
      </c>
      <c r="C2620" s="263">
        <v>43010</v>
      </c>
      <c r="D2620" s="264" t="s">
        <v>2238</v>
      </c>
      <c r="E2620" s="264" t="s">
        <v>4553</v>
      </c>
      <c r="F2620" s="265">
        <v>90</v>
      </c>
      <c r="G2620" s="265"/>
      <c r="H2620" s="265">
        <f t="shared" si="91"/>
        <v>90</v>
      </c>
    </row>
    <row r="2621" spans="2:8" x14ac:dyDescent="0.2">
      <c r="B2621" s="262" t="s">
        <v>1863</v>
      </c>
      <c r="C2621" s="263">
        <v>43010</v>
      </c>
      <c r="D2621" s="264" t="s">
        <v>4497</v>
      </c>
      <c r="E2621" s="264" t="s">
        <v>4554</v>
      </c>
      <c r="F2621" s="265">
        <v>265</v>
      </c>
      <c r="G2621" s="265"/>
      <c r="H2621" s="265">
        <f t="shared" si="91"/>
        <v>265</v>
      </c>
    </row>
    <row r="2622" spans="2:8" x14ac:dyDescent="0.2">
      <c r="B2622" s="262" t="s">
        <v>1884</v>
      </c>
      <c r="C2622" s="263">
        <v>43010</v>
      </c>
      <c r="D2622" s="264" t="s">
        <v>4555</v>
      </c>
      <c r="E2622" s="264" t="s">
        <v>4366</v>
      </c>
      <c r="F2622" s="265">
        <v>340.2</v>
      </c>
      <c r="G2622" s="265"/>
      <c r="H2622" s="265">
        <f t="shared" si="91"/>
        <v>340.2</v>
      </c>
    </row>
    <row r="2623" spans="2:8" x14ac:dyDescent="0.2">
      <c r="B2623" s="262" t="s">
        <v>1863</v>
      </c>
      <c r="C2623" s="263">
        <v>43010</v>
      </c>
      <c r="D2623" s="264" t="s">
        <v>3637</v>
      </c>
      <c r="E2623" s="264" t="s">
        <v>4556</v>
      </c>
      <c r="F2623" s="265">
        <v>100</v>
      </c>
      <c r="G2623" s="265"/>
      <c r="H2623" s="265">
        <f t="shared" si="91"/>
        <v>100</v>
      </c>
    </row>
    <row r="2624" spans="2:8" x14ac:dyDescent="0.2">
      <c r="B2624" s="262" t="s">
        <v>1863</v>
      </c>
      <c r="C2624" s="263">
        <v>43011</v>
      </c>
      <c r="D2624" s="264" t="s">
        <v>4557</v>
      </c>
      <c r="E2624" s="264" t="s">
        <v>4558</v>
      </c>
      <c r="F2624" s="265">
        <v>188</v>
      </c>
      <c r="G2624" s="265"/>
      <c r="H2624" s="265">
        <f t="shared" si="91"/>
        <v>188</v>
      </c>
    </row>
    <row r="2625" spans="2:9" x14ac:dyDescent="0.2">
      <c r="B2625" s="262" t="s">
        <v>1863</v>
      </c>
      <c r="C2625" s="263">
        <v>43011</v>
      </c>
      <c r="D2625" s="264" t="s">
        <v>2238</v>
      </c>
      <c r="E2625" s="264" t="s">
        <v>4559</v>
      </c>
      <c r="F2625" s="265">
        <v>45.5</v>
      </c>
      <c r="G2625" s="265"/>
      <c r="H2625" s="265">
        <f t="shared" si="91"/>
        <v>45.5</v>
      </c>
    </row>
    <row r="2626" spans="2:9" x14ac:dyDescent="0.2">
      <c r="B2626" s="262" t="s">
        <v>1863</v>
      </c>
      <c r="C2626" s="263">
        <v>43011</v>
      </c>
      <c r="D2626" s="264" t="s">
        <v>4560</v>
      </c>
      <c r="E2626" s="264" t="s">
        <v>4514</v>
      </c>
      <c r="F2626" s="265">
        <v>280</v>
      </c>
      <c r="G2626" s="265"/>
      <c r="H2626" s="265">
        <f t="shared" si="91"/>
        <v>280</v>
      </c>
    </row>
    <row r="2627" spans="2:9" x14ac:dyDescent="0.2">
      <c r="B2627" s="262" t="s">
        <v>1863</v>
      </c>
      <c r="C2627" s="263">
        <v>43011</v>
      </c>
      <c r="D2627" s="264" t="s">
        <v>2535</v>
      </c>
      <c r="E2627" s="264" t="s">
        <v>4513</v>
      </c>
      <c r="F2627" s="265">
        <v>46</v>
      </c>
      <c r="G2627" s="265"/>
      <c r="H2627" s="265">
        <f t="shared" si="91"/>
        <v>46</v>
      </c>
    </row>
    <row r="2628" spans="2:9" x14ac:dyDescent="0.2">
      <c r="B2628" s="262" t="s">
        <v>1821</v>
      </c>
      <c r="C2628" s="263">
        <v>43012</v>
      </c>
      <c r="D2628" s="264" t="s">
        <v>3053</v>
      </c>
      <c r="E2628" s="264" t="s">
        <v>4561</v>
      </c>
      <c r="F2628" s="265">
        <v>1800</v>
      </c>
      <c r="G2628" s="265"/>
      <c r="H2628" s="265">
        <f t="shared" si="91"/>
        <v>1800</v>
      </c>
    </row>
    <row r="2629" spans="2:9" x14ac:dyDescent="0.2">
      <c r="B2629" s="262" t="s">
        <v>1857</v>
      </c>
      <c r="C2629" s="263">
        <v>43012</v>
      </c>
      <c r="D2629" s="264" t="s">
        <v>4562</v>
      </c>
      <c r="E2629" s="264" t="s">
        <v>4563</v>
      </c>
      <c r="F2629" s="265">
        <v>1400</v>
      </c>
      <c r="G2629" s="265"/>
      <c r="H2629" s="265">
        <f t="shared" si="91"/>
        <v>1400</v>
      </c>
    </row>
    <row r="2630" spans="2:9" x14ac:dyDescent="0.2">
      <c r="B2630" s="262" t="s">
        <v>1884</v>
      </c>
      <c r="C2630" s="263">
        <v>43012</v>
      </c>
      <c r="D2630" s="264" t="s">
        <v>1915</v>
      </c>
      <c r="E2630" s="264" t="s">
        <v>4569</v>
      </c>
      <c r="F2630" s="265">
        <v>300</v>
      </c>
      <c r="G2630" s="265"/>
      <c r="H2630" s="265">
        <f t="shared" ref="H2630" si="92">SUM(F2630:G2630)</f>
        <v>300</v>
      </c>
    </row>
    <row r="2631" spans="2:9" x14ac:dyDescent="0.2">
      <c r="B2631" s="262" t="s">
        <v>1863</v>
      </c>
      <c r="C2631" s="263">
        <v>43013</v>
      </c>
      <c r="D2631" s="264" t="s">
        <v>3637</v>
      </c>
      <c r="E2631" s="264" t="s">
        <v>4564</v>
      </c>
      <c r="F2631" s="265">
        <v>280</v>
      </c>
      <c r="G2631" s="265"/>
      <c r="H2631" s="265">
        <f t="shared" si="91"/>
        <v>280</v>
      </c>
      <c r="I2631" s="175">
        <f>SUM(H2613:H2633)</f>
        <v>27045</v>
      </c>
    </row>
    <row r="2632" spans="2:9" x14ac:dyDescent="0.2">
      <c r="B2632" s="262" t="s">
        <v>1879</v>
      </c>
      <c r="C2632" s="263">
        <v>43013</v>
      </c>
      <c r="D2632" s="264" t="s">
        <v>4570</v>
      </c>
      <c r="E2632" s="264" t="s">
        <v>4571</v>
      </c>
      <c r="F2632" s="265">
        <v>200</v>
      </c>
      <c r="G2632" s="265"/>
      <c r="H2632" s="265">
        <f t="shared" ref="H2632" si="93">SUM(F2632:G2632)</f>
        <v>200</v>
      </c>
    </row>
    <row r="2633" spans="2:9" x14ac:dyDescent="0.2">
      <c r="B2633" s="262" t="s">
        <v>1805</v>
      </c>
      <c r="C2633" s="263">
        <v>43013</v>
      </c>
      <c r="D2633" s="264" t="s">
        <v>3565</v>
      </c>
      <c r="E2633" s="264" t="s">
        <v>4565</v>
      </c>
      <c r="F2633" s="265">
        <v>1250</v>
      </c>
      <c r="G2633" s="265"/>
      <c r="H2633" s="265">
        <f t="shared" si="91"/>
        <v>1250</v>
      </c>
    </row>
    <row r="2634" spans="2:9" x14ac:dyDescent="0.2">
      <c r="B2634" s="262" t="s">
        <v>1881</v>
      </c>
      <c r="C2634" s="263">
        <v>43016</v>
      </c>
      <c r="D2634" s="264" t="s">
        <v>2250</v>
      </c>
      <c r="E2634" s="264" t="s">
        <v>4572</v>
      </c>
      <c r="F2634" s="265">
        <v>120</v>
      </c>
      <c r="G2634" s="265"/>
      <c r="H2634" s="265">
        <f t="shared" si="91"/>
        <v>120</v>
      </c>
    </row>
    <row r="2635" spans="2:9" x14ac:dyDescent="0.2">
      <c r="B2635" s="262" t="s">
        <v>1864</v>
      </c>
      <c r="C2635" s="263">
        <v>43016</v>
      </c>
      <c r="D2635" s="264" t="s">
        <v>4573</v>
      </c>
      <c r="E2635" s="264" t="s">
        <v>2536</v>
      </c>
      <c r="F2635" s="265">
        <v>44</v>
      </c>
      <c r="G2635" s="265"/>
      <c r="H2635" s="265">
        <f t="shared" si="91"/>
        <v>44</v>
      </c>
    </row>
    <row r="2636" spans="2:9" x14ac:dyDescent="0.2">
      <c r="B2636" s="262" t="s">
        <v>1864</v>
      </c>
      <c r="C2636" s="263">
        <v>43016</v>
      </c>
      <c r="D2636" s="264" t="s">
        <v>2535</v>
      </c>
      <c r="E2636" s="264" t="s">
        <v>4574</v>
      </c>
      <c r="F2636" s="265">
        <v>117</v>
      </c>
      <c r="G2636" s="265"/>
      <c r="H2636" s="265">
        <f t="shared" si="91"/>
        <v>117</v>
      </c>
    </row>
    <row r="2637" spans="2:9" x14ac:dyDescent="0.2">
      <c r="B2637" s="262" t="s">
        <v>1875</v>
      </c>
      <c r="C2637" s="263">
        <v>43017</v>
      </c>
      <c r="D2637" s="264" t="s">
        <v>1893</v>
      </c>
      <c r="E2637" s="264" t="s">
        <v>2109</v>
      </c>
      <c r="F2637" s="265">
        <v>464.01</v>
      </c>
      <c r="G2637" s="265"/>
      <c r="H2637" s="265">
        <f t="shared" si="91"/>
        <v>464.01</v>
      </c>
    </row>
    <row r="2638" spans="2:9" x14ac:dyDescent="0.2">
      <c r="B2638" s="262" t="s">
        <v>1875</v>
      </c>
      <c r="C2638" s="263">
        <v>43017</v>
      </c>
      <c r="D2638" s="264" t="s">
        <v>1925</v>
      </c>
      <c r="E2638" s="264" t="s">
        <v>4575</v>
      </c>
      <c r="F2638" s="265">
        <v>5</v>
      </c>
      <c r="G2638" s="265"/>
      <c r="H2638" s="265">
        <f t="shared" si="91"/>
        <v>5</v>
      </c>
    </row>
    <row r="2639" spans="2:9" x14ac:dyDescent="0.2">
      <c r="B2639" s="262" t="s">
        <v>1870</v>
      </c>
      <c r="C2639" s="263">
        <v>43017</v>
      </c>
      <c r="D2639" s="264" t="s">
        <v>1892</v>
      </c>
      <c r="E2639" s="264" t="s">
        <v>4576</v>
      </c>
      <c r="F2639" s="265">
        <v>1380</v>
      </c>
      <c r="G2639" s="265"/>
      <c r="H2639" s="265">
        <f t="shared" si="91"/>
        <v>1380</v>
      </c>
    </row>
    <row r="2640" spans="2:9" x14ac:dyDescent="0.2">
      <c r="B2640" s="262" t="s">
        <v>1867</v>
      </c>
      <c r="C2640" s="263">
        <v>43018</v>
      </c>
      <c r="D2640" s="264" t="s">
        <v>1894</v>
      </c>
      <c r="E2640" s="264" t="s">
        <v>4577</v>
      </c>
      <c r="F2640" s="265">
        <v>778</v>
      </c>
      <c r="G2640" s="265"/>
      <c r="H2640" s="265">
        <f t="shared" si="91"/>
        <v>778</v>
      </c>
    </row>
    <row r="2641" spans="2:9" x14ac:dyDescent="0.2">
      <c r="B2641" s="262" t="s">
        <v>1858</v>
      </c>
      <c r="C2641" s="263">
        <v>43049</v>
      </c>
      <c r="D2641" s="264" t="s">
        <v>4578</v>
      </c>
      <c r="E2641" s="264" t="s">
        <v>4579</v>
      </c>
      <c r="F2641" s="265">
        <v>205.61</v>
      </c>
      <c r="G2641" s="265">
        <v>32.9</v>
      </c>
      <c r="H2641" s="265">
        <f t="shared" si="91"/>
        <v>238.51000000000002</v>
      </c>
    </row>
    <row r="2642" spans="2:9" x14ac:dyDescent="0.2">
      <c r="B2642" s="262" t="s">
        <v>1866</v>
      </c>
      <c r="C2642" s="263">
        <v>43019</v>
      </c>
      <c r="D2642" s="264" t="s">
        <v>1890</v>
      </c>
      <c r="E2642" s="264" t="s">
        <v>1904</v>
      </c>
      <c r="F2642" s="265">
        <v>140</v>
      </c>
      <c r="G2642" s="265"/>
      <c r="H2642" s="265">
        <f t="shared" si="91"/>
        <v>140</v>
      </c>
    </row>
    <row r="2643" spans="2:9" x14ac:dyDescent="0.2">
      <c r="B2643" s="262" t="s">
        <v>1875</v>
      </c>
      <c r="C2643" s="263">
        <v>43019</v>
      </c>
      <c r="D2643" s="264" t="s">
        <v>1893</v>
      </c>
      <c r="E2643" s="264" t="s">
        <v>1942</v>
      </c>
      <c r="F2643" s="265">
        <v>77.3</v>
      </c>
      <c r="G2643" s="265"/>
      <c r="H2643" s="265">
        <f t="shared" si="91"/>
        <v>77.3</v>
      </c>
    </row>
    <row r="2644" spans="2:9" x14ac:dyDescent="0.2">
      <c r="B2644" s="262" t="s">
        <v>1875</v>
      </c>
      <c r="C2644" s="263">
        <v>43019</v>
      </c>
      <c r="D2644" s="264" t="s">
        <v>1925</v>
      </c>
      <c r="E2644" s="264" t="s">
        <v>4580</v>
      </c>
      <c r="F2644" s="265">
        <v>5</v>
      </c>
      <c r="G2644" s="265"/>
      <c r="H2644" s="265">
        <f t="shared" si="91"/>
        <v>5</v>
      </c>
    </row>
    <row r="2645" spans="2:9" x14ac:dyDescent="0.2">
      <c r="B2645" s="262" t="s">
        <v>1790</v>
      </c>
      <c r="C2645" s="263">
        <v>43019</v>
      </c>
      <c r="D2645" s="264" t="s">
        <v>1909</v>
      </c>
      <c r="E2645" s="264" t="s">
        <v>4581</v>
      </c>
      <c r="F2645" s="265"/>
      <c r="G2645" s="386">
        <v>1760</v>
      </c>
      <c r="H2645" s="265">
        <f t="shared" si="91"/>
        <v>1760</v>
      </c>
    </row>
    <row r="2646" spans="2:9" x14ac:dyDescent="0.2">
      <c r="B2646" s="262" t="s">
        <v>1805</v>
      </c>
      <c r="C2646" s="263">
        <v>43019</v>
      </c>
      <c r="D2646" s="264" t="s">
        <v>1888</v>
      </c>
      <c r="E2646" s="264" t="s">
        <v>4582</v>
      </c>
      <c r="F2646" s="265">
        <v>1300</v>
      </c>
      <c r="G2646" s="265"/>
      <c r="H2646" s="265">
        <f t="shared" si="91"/>
        <v>1300</v>
      </c>
    </row>
    <row r="2647" spans="2:9" x14ac:dyDescent="0.2">
      <c r="B2647" s="262" t="s">
        <v>1577</v>
      </c>
      <c r="C2647" s="263">
        <v>43020</v>
      </c>
      <c r="D2647" s="264" t="s">
        <v>4027</v>
      </c>
      <c r="E2647" s="264" t="s">
        <v>4585</v>
      </c>
      <c r="F2647" s="344">
        <v>15100</v>
      </c>
      <c r="G2647" s="265"/>
      <c r="H2647" s="265">
        <f t="shared" si="91"/>
        <v>15100</v>
      </c>
      <c r="I2647" s="175">
        <f>SUM(H2613:H2647)</f>
        <v>48573.819999999992</v>
      </c>
    </row>
    <row r="2648" spans="2:9" x14ac:dyDescent="0.2">
      <c r="B2648" s="262" t="s">
        <v>1858</v>
      </c>
      <c r="C2648" s="263">
        <v>43021</v>
      </c>
      <c r="D2648" s="264" t="s">
        <v>3607</v>
      </c>
      <c r="E2648" s="264" t="s">
        <v>4586</v>
      </c>
      <c r="F2648" s="265">
        <v>92</v>
      </c>
      <c r="G2648" s="265"/>
      <c r="H2648" s="265">
        <f t="shared" ref="H2648:H2656" si="94">SUM(F2648:G2648)</f>
        <v>92</v>
      </c>
    </row>
    <row r="2649" spans="2:9" x14ac:dyDescent="0.2">
      <c r="B2649" s="262" t="s">
        <v>1858</v>
      </c>
      <c r="C2649" s="263">
        <v>43021</v>
      </c>
      <c r="D2649" s="264" t="s">
        <v>3607</v>
      </c>
      <c r="E2649" s="264" t="s">
        <v>4587</v>
      </c>
      <c r="F2649" s="265">
        <v>31</v>
      </c>
      <c r="G2649" s="265"/>
      <c r="H2649" s="265">
        <f t="shared" si="94"/>
        <v>31</v>
      </c>
    </row>
    <row r="2650" spans="2:9" x14ac:dyDescent="0.2">
      <c r="B2650" s="262" t="s">
        <v>1805</v>
      </c>
      <c r="C2650" s="263">
        <v>43021</v>
      </c>
      <c r="D2650" s="264" t="s">
        <v>3565</v>
      </c>
      <c r="E2650" s="264" t="s">
        <v>4588</v>
      </c>
      <c r="F2650" s="265">
        <v>1250</v>
      </c>
      <c r="G2650" s="265"/>
      <c r="H2650" s="265">
        <f t="shared" ref="H2650" si="95">SUM(F2650:G2650)</f>
        <v>1250</v>
      </c>
    </row>
    <row r="2651" spans="2:9" x14ac:dyDescent="0.2">
      <c r="B2651" s="262" t="s">
        <v>1881</v>
      </c>
      <c r="C2651" s="263">
        <v>43022</v>
      </c>
      <c r="D2651" s="264" t="s">
        <v>1873</v>
      </c>
      <c r="E2651" s="264" t="s">
        <v>4589</v>
      </c>
      <c r="F2651" s="265">
        <v>100</v>
      </c>
      <c r="G2651" s="265"/>
      <c r="H2651" s="265">
        <f t="shared" si="94"/>
        <v>100</v>
      </c>
    </row>
    <row r="2652" spans="2:9" x14ac:dyDescent="0.2">
      <c r="B2652" s="262" t="s">
        <v>1857</v>
      </c>
      <c r="C2652" s="263">
        <v>43022</v>
      </c>
      <c r="D2652" s="264" t="s">
        <v>4590</v>
      </c>
      <c r="E2652" s="264" t="s">
        <v>4591</v>
      </c>
      <c r="F2652" s="265">
        <v>1000</v>
      </c>
      <c r="G2652" s="265"/>
      <c r="H2652" s="265">
        <f t="shared" si="94"/>
        <v>1000</v>
      </c>
    </row>
    <row r="2653" spans="2:9" x14ac:dyDescent="0.2">
      <c r="B2653" s="262" t="s">
        <v>1884</v>
      </c>
      <c r="C2653" s="263">
        <v>43022</v>
      </c>
      <c r="D2653" s="264" t="s">
        <v>3583</v>
      </c>
      <c r="E2653" s="264" t="s">
        <v>4592</v>
      </c>
      <c r="F2653" s="265">
        <v>400</v>
      </c>
      <c r="G2653" s="265"/>
      <c r="H2653" s="265">
        <f t="shared" si="94"/>
        <v>400</v>
      </c>
    </row>
    <row r="2654" spans="2:9" x14ac:dyDescent="0.2">
      <c r="B2654" s="262" t="s">
        <v>1870</v>
      </c>
      <c r="C2654" s="263">
        <v>43022</v>
      </c>
      <c r="D2654" s="264" t="s">
        <v>4570</v>
      </c>
      <c r="E2654" s="264" t="s">
        <v>4593</v>
      </c>
      <c r="F2654" s="265">
        <v>300</v>
      </c>
      <c r="G2654" s="265"/>
      <c r="H2654" s="265">
        <f t="shared" si="94"/>
        <v>300</v>
      </c>
    </row>
    <row r="2655" spans="2:9" x14ac:dyDescent="0.2">
      <c r="B2655" s="262" t="s">
        <v>1881</v>
      </c>
      <c r="C2655" s="263">
        <v>43022</v>
      </c>
      <c r="D2655" s="264" t="s">
        <v>1873</v>
      </c>
      <c r="E2655" s="264" t="s">
        <v>4594</v>
      </c>
      <c r="F2655" s="265">
        <v>350</v>
      </c>
      <c r="G2655" s="265"/>
      <c r="H2655" s="265">
        <f t="shared" si="94"/>
        <v>350</v>
      </c>
    </row>
    <row r="2656" spans="2:9" x14ac:dyDescent="0.2">
      <c r="B2656" s="262" t="s">
        <v>1881</v>
      </c>
      <c r="C2656" s="263">
        <v>43022</v>
      </c>
      <c r="D2656" s="264" t="s">
        <v>2250</v>
      </c>
      <c r="E2656" s="264" t="s">
        <v>4595</v>
      </c>
      <c r="F2656" s="265">
        <v>450</v>
      </c>
      <c r="G2656" s="265"/>
      <c r="H2656" s="265">
        <f t="shared" si="94"/>
        <v>450</v>
      </c>
    </row>
    <row r="2657" spans="2:8" x14ac:dyDescent="0.2">
      <c r="B2657" s="262" t="s">
        <v>1859</v>
      </c>
      <c r="C2657" s="263">
        <v>43023</v>
      </c>
      <c r="D2657" s="264" t="s">
        <v>4482</v>
      </c>
      <c r="E2657" s="264" t="s">
        <v>4596</v>
      </c>
      <c r="F2657" s="265">
        <v>4000</v>
      </c>
      <c r="G2657" s="265"/>
      <c r="H2657" s="265">
        <f t="shared" ref="H2657:H2662" si="96">SUM(F2657:G2657)</f>
        <v>4000</v>
      </c>
    </row>
    <row r="2658" spans="2:8" x14ac:dyDescent="0.2">
      <c r="B2658" s="262" t="s">
        <v>1884</v>
      </c>
      <c r="C2658" s="263">
        <v>43023</v>
      </c>
      <c r="D2658" s="264" t="s">
        <v>4597</v>
      </c>
      <c r="E2658" s="264" t="s">
        <v>4598</v>
      </c>
      <c r="F2658" s="265">
        <v>1000</v>
      </c>
      <c r="G2658" s="265"/>
      <c r="H2658" s="265">
        <f t="shared" si="96"/>
        <v>1000</v>
      </c>
    </row>
    <row r="2659" spans="2:8" x14ac:dyDescent="0.2">
      <c r="B2659" s="262" t="s">
        <v>1881</v>
      </c>
      <c r="C2659" s="263">
        <v>43023</v>
      </c>
      <c r="D2659" s="264" t="s">
        <v>2250</v>
      </c>
      <c r="E2659" s="264" t="s">
        <v>4599</v>
      </c>
      <c r="F2659" s="265">
        <v>120</v>
      </c>
      <c r="G2659" s="265"/>
      <c r="H2659" s="265">
        <f t="shared" si="96"/>
        <v>120</v>
      </c>
    </row>
    <row r="2660" spans="2:8" x14ac:dyDescent="0.2">
      <c r="B2660" s="262" t="s">
        <v>1864</v>
      </c>
      <c r="C2660" s="263">
        <v>43023</v>
      </c>
      <c r="D2660" s="264" t="s">
        <v>3795</v>
      </c>
      <c r="E2660" s="264" t="s">
        <v>4600</v>
      </c>
      <c r="F2660" s="265">
        <v>25</v>
      </c>
      <c r="G2660" s="265"/>
      <c r="H2660" s="265">
        <f t="shared" si="96"/>
        <v>25</v>
      </c>
    </row>
    <row r="2661" spans="2:8" x14ac:dyDescent="0.2">
      <c r="B2661" s="262" t="s">
        <v>1864</v>
      </c>
      <c r="C2661" s="263">
        <v>43023</v>
      </c>
      <c r="D2661" s="264" t="s">
        <v>2535</v>
      </c>
      <c r="E2661" s="264" t="s">
        <v>3340</v>
      </c>
      <c r="F2661" s="265">
        <v>128</v>
      </c>
      <c r="G2661" s="265"/>
      <c r="H2661" s="265">
        <f t="shared" si="96"/>
        <v>128</v>
      </c>
    </row>
    <row r="2662" spans="2:8" x14ac:dyDescent="0.2">
      <c r="B2662" s="262" t="s">
        <v>1577</v>
      </c>
      <c r="C2662" s="263">
        <v>43023</v>
      </c>
      <c r="D2662" s="264" t="s">
        <v>4027</v>
      </c>
      <c r="E2662" s="264" t="s">
        <v>4652</v>
      </c>
      <c r="F2662" s="344">
        <v>15000</v>
      </c>
      <c r="G2662" s="265"/>
      <c r="H2662" s="265">
        <f t="shared" si="96"/>
        <v>15000</v>
      </c>
    </row>
    <row r="2663" spans="2:8" x14ac:dyDescent="0.2">
      <c r="B2663" s="262" t="s">
        <v>1884</v>
      </c>
      <c r="C2663" s="263">
        <v>43026</v>
      </c>
      <c r="D2663" s="264" t="s">
        <v>2431</v>
      </c>
      <c r="E2663" s="264" t="s">
        <v>4601</v>
      </c>
      <c r="F2663" s="265">
        <v>195</v>
      </c>
      <c r="G2663" s="265"/>
      <c r="H2663" s="265">
        <f t="shared" ref="H2663:H2713" si="97">SUM(F2663:G2663)</f>
        <v>195</v>
      </c>
    </row>
    <row r="2664" spans="2:8" x14ac:dyDescent="0.2">
      <c r="B2664" s="262" t="s">
        <v>1863</v>
      </c>
      <c r="C2664" s="263">
        <v>43026</v>
      </c>
      <c r="D2664" s="264" t="s">
        <v>2288</v>
      </c>
      <c r="E2664" s="264" t="s">
        <v>4602</v>
      </c>
      <c r="F2664" s="265">
        <v>50</v>
      </c>
      <c r="G2664" s="265"/>
      <c r="H2664" s="265">
        <f t="shared" si="97"/>
        <v>50</v>
      </c>
    </row>
    <row r="2665" spans="2:8" x14ac:dyDescent="0.2">
      <c r="B2665" s="341" t="s">
        <v>1863</v>
      </c>
      <c r="C2665" s="263">
        <v>43026</v>
      </c>
      <c r="D2665" s="264" t="s">
        <v>4603</v>
      </c>
      <c r="E2665" s="264" t="s">
        <v>4604</v>
      </c>
      <c r="F2665" s="265">
        <v>143.22999999999999</v>
      </c>
      <c r="G2665" s="265"/>
      <c r="H2665" s="265">
        <f t="shared" si="97"/>
        <v>143.22999999999999</v>
      </c>
    </row>
    <row r="2666" spans="2:8" x14ac:dyDescent="0.2">
      <c r="B2666" s="262" t="s">
        <v>1863</v>
      </c>
      <c r="C2666" s="263">
        <v>43026</v>
      </c>
      <c r="D2666" s="264" t="s">
        <v>4620</v>
      </c>
      <c r="E2666" s="264" t="s">
        <v>4621</v>
      </c>
      <c r="F2666" s="265">
        <v>5</v>
      </c>
      <c r="G2666" s="265"/>
      <c r="H2666" s="265">
        <f t="shared" si="97"/>
        <v>5</v>
      </c>
    </row>
    <row r="2667" spans="2:8" x14ac:dyDescent="0.2">
      <c r="B2667" s="262" t="s">
        <v>1805</v>
      </c>
      <c r="C2667" s="263">
        <v>43028</v>
      </c>
      <c r="D2667" s="264" t="s">
        <v>3565</v>
      </c>
      <c r="E2667" s="264" t="s">
        <v>4622</v>
      </c>
      <c r="F2667" s="265">
        <v>1250</v>
      </c>
      <c r="G2667" s="265"/>
      <c r="H2667" s="265">
        <f t="shared" si="97"/>
        <v>1250</v>
      </c>
    </row>
    <row r="2668" spans="2:8" x14ac:dyDescent="0.2">
      <c r="B2668" s="262" t="s">
        <v>1884</v>
      </c>
      <c r="C2668" s="263">
        <v>43028</v>
      </c>
      <c r="D2668" s="264" t="s">
        <v>4623</v>
      </c>
      <c r="E2668" s="264" t="s">
        <v>4624</v>
      </c>
      <c r="F2668" s="265">
        <v>237</v>
      </c>
      <c r="G2668" s="265"/>
      <c r="H2668" s="265">
        <f t="shared" si="97"/>
        <v>237</v>
      </c>
    </row>
    <row r="2669" spans="2:8" x14ac:dyDescent="0.2">
      <c r="B2669" s="262" t="s">
        <v>1871</v>
      </c>
      <c r="C2669" s="263">
        <v>43029</v>
      </c>
      <c r="D2669" s="264" t="s">
        <v>2704</v>
      </c>
      <c r="E2669" s="264" t="s">
        <v>4625</v>
      </c>
      <c r="F2669" s="265">
        <v>230</v>
      </c>
      <c r="G2669" s="265"/>
      <c r="H2669" s="265">
        <f t="shared" si="97"/>
        <v>230</v>
      </c>
    </row>
    <row r="2670" spans="2:8" x14ac:dyDescent="0.2">
      <c r="B2670" s="262" t="s">
        <v>1864</v>
      </c>
      <c r="C2670" s="263">
        <v>43029</v>
      </c>
      <c r="D2670" s="264" t="s">
        <v>3565</v>
      </c>
      <c r="E2670" s="264" t="s">
        <v>4653</v>
      </c>
      <c r="F2670" s="265">
        <v>400</v>
      </c>
      <c r="G2670" s="265"/>
      <c r="H2670" s="265">
        <f t="shared" ref="H2670" si="98">SUM(F2670:G2670)</f>
        <v>400</v>
      </c>
    </row>
    <row r="2671" spans="2:8" x14ac:dyDescent="0.2">
      <c r="B2671" s="262" t="s">
        <v>1881</v>
      </c>
      <c r="C2671" s="263">
        <v>43030</v>
      </c>
      <c r="D2671" s="264" t="s">
        <v>2250</v>
      </c>
      <c r="E2671" s="264" t="s">
        <v>2636</v>
      </c>
      <c r="F2671" s="265">
        <v>120</v>
      </c>
      <c r="G2671" s="265"/>
      <c r="H2671" s="265">
        <f t="shared" si="97"/>
        <v>120</v>
      </c>
    </row>
    <row r="2672" spans="2:8" x14ac:dyDescent="0.2">
      <c r="B2672" s="262" t="s">
        <v>1864</v>
      </c>
      <c r="C2672" s="263">
        <v>43030</v>
      </c>
      <c r="D2672" s="264" t="s">
        <v>2535</v>
      </c>
      <c r="E2672" s="264" t="s">
        <v>2828</v>
      </c>
      <c r="F2672" s="265">
        <v>122.4</v>
      </c>
      <c r="G2672" s="265"/>
      <c r="H2672" s="265">
        <f t="shared" si="97"/>
        <v>122.4</v>
      </c>
    </row>
    <row r="2673" spans="2:8" x14ac:dyDescent="0.2">
      <c r="B2673" s="262" t="s">
        <v>1860</v>
      </c>
      <c r="C2673" s="263">
        <v>43032</v>
      </c>
      <c r="D2673" s="264" t="s">
        <v>3939</v>
      </c>
      <c r="E2673" s="264" t="s">
        <v>4626</v>
      </c>
      <c r="F2673" s="265">
        <v>188</v>
      </c>
      <c r="G2673" s="265"/>
      <c r="H2673" s="265">
        <f t="shared" si="97"/>
        <v>188</v>
      </c>
    </row>
    <row r="2674" spans="2:8" x14ac:dyDescent="0.2">
      <c r="B2674" s="262" t="s">
        <v>1884</v>
      </c>
      <c r="C2674" s="263">
        <v>43032</v>
      </c>
      <c r="D2674" s="264" t="s">
        <v>4627</v>
      </c>
      <c r="E2674" s="264" t="s">
        <v>2972</v>
      </c>
      <c r="F2674" s="265">
        <v>240</v>
      </c>
      <c r="G2674" s="265"/>
      <c r="H2674" s="265">
        <f t="shared" si="97"/>
        <v>240</v>
      </c>
    </row>
    <row r="2675" spans="2:8" x14ac:dyDescent="0.2">
      <c r="B2675" s="262" t="s">
        <v>1866</v>
      </c>
      <c r="C2675" s="263">
        <v>43033</v>
      </c>
      <c r="D2675" s="264" t="s">
        <v>1890</v>
      </c>
      <c r="E2675" s="264" t="s">
        <v>3663</v>
      </c>
      <c r="F2675" s="265">
        <v>245</v>
      </c>
      <c r="G2675" s="265"/>
      <c r="H2675" s="265">
        <f t="shared" si="97"/>
        <v>245</v>
      </c>
    </row>
    <row r="2676" spans="2:8" x14ac:dyDescent="0.2">
      <c r="B2676" s="262" t="s">
        <v>1884</v>
      </c>
      <c r="C2676" s="263">
        <v>43033</v>
      </c>
      <c r="D2676" s="264" t="s">
        <v>4628</v>
      </c>
      <c r="E2676" s="264" t="s">
        <v>4629</v>
      </c>
      <c r="F2676" s="265">
        <v>20</v>
      </c>
      <c r="G2676" s="265"/>
      <c r="H2676" s="265">
        <f t="shared" si="97"/>
        <v>20</v>
      </c>
    </row>
    <row r="2677" spans="2:8" x14ac:dyDescent="0.2">
      <c r="B2677" s="262" t="s">
        <v>1577</v>
      </c>
      <c r="C2677" s="263">
        <v>43034</v>
      </c>
      <c r="D2677" s="264" t="s">
        <v>1899</v>
      </c>
      <c r="E2677" s="264" t="s">
        <v>4654</v>
      </c>
      <c r="F2677" s="265">
        <v>15100</v>
      </c>
      <c r="G2677" s="265"/>
      <c r="H2677" s="265">
        <f t="shared" si="97"/>
        <v>15100</v>
      </c>
    </row>
    <row r="2678" spans="2:8" x14ac:dyDescent="0.2">
      <c r="B2678" s="262" t="s">
        <v>1863</v>
      </c>
      <c r="C2678" s="263">
        <v>43034</v>
      </c>
      <c r="D2678" s="264" t="s">
        <v>4628</v>
      </c>
      <c r="E2678" s="264" t="s">
        <v>4630</v>
      </c>
      <c r="F2678" s="265">
        <v>104</v>
      </c>
      <c r="G2678" s="265"/>
      <c r="H2678" s="265">
        <f t="shared" si="97"/>
        <v>104</v>
      </c>
    </row>
    <row r="2679" spans="2:8" x14ac:dyDescent="0.2">
      <c r="B2679" s="262" t="s">
        <v>1863</v>
      </c>
      <c r="C2679" s="263">
        <v>43034</v>
      </c>
      <c r="D2679" s="264" t="s">
        <v>4631</v>
      </c>
      <c r="E2679" s="264" t="s">
        <v>4659</v>
      </c>
      <c r="F2679" s="265">
        <v>50</v>
      </c>
      <c r="G2679" s="265"/>
      <c r="H2679" s="265">
        <f t="shared" si="97"/>
        <v>50</v>
      </c>
    </row>
    <row r="2680" spans="2:8" x14ac:dyDescent="0.2">
      <c r="B2680" s="262" t="s">
        <v>1863</v>
      </c>
      <c r="C2680" s="263">
        <v>43034</v>
      </c>
      <c r="D2680" s="264" t="s">
        <v>4628</v>
      </c>
      <c r="E2680" s="264" t="s">
        <v>4630</v>
      </c>
      <c r="F2680" s="265">
        <v>44</v>
      </c>
      <c r="G2680" s="265"/>
      <c r="H2680" s="265">
        <f t="shared" si="97"/>
        <v>44</v>
      </c>
    </row>
    <row r="2681" spans="2:8" x14ac:dyDescent="0.2">
      <c r="B2681" s="262" t="s">
        <v>1863</v>
      </c>
      <c r="C2681" s="263">
        <v>43034</v>
      </c>
      <c r="D2681" s="264" t="s">
        <v>4628</v>
      </c>
      <c r="E2681" s="264" t="s">
        <v>4630</v>
      </c>
      <c r="F2681" s="265">
        <v>183</v>
      </c>
      <c r="G2681" s="265"/>
      <c r="H2681" s="265">
        <f t="shared" si="97"/>
        <v>183</v>
      </c>
    </row>
    <row r="2682" spans="2:8" x14ac:dyDescent="0.2">
      <c r="B2682" s="262" t="s">
        <v>1805</v>
      </c>
      <c r="C2682" s="263">
        <v>43035</v>
      </c>
      <c r="D2682" s="264" t="s">
        <v>3565</v>
      </c>
      <c r="E2682" s="264" t="s">
        <v>4632</v>
      </c>
      <c r="F2682" s="265">
        <v>1250</v>
      </c>
      <c r="G2682" s="265"/>
      <c r="H2682" s="265">
        <f t="shared" si="97"/>
        <v>1250</v>
      </c>
    </row>
    <row r="2683" spans="2:8" x14ac:dyDescent="0.2">
      <c r="B2683" s="262" t="s">
        <v>1863</v>
      </c>
      <c r="C2683" s="263">
        <v>43035</v>
      </c>
      <c r="D2683" s="264" t="s">
        <v>4628</v>
      </c>
      <c r="E2683" s="264" t="s">
        <v>4604</v>
      </c>
      <c r="F2683" s="265">
        <v>77</v>
      </c>
      <c r="G2683" s="265"/>
      <c r="H2683" s="265">
        <f t="shared" si="97"/>
        <v>77</v>
      </c>
    </row>
    <row r="2684" spans="2:8" x14ac:dyDescent="0.2">
      <c r="B2684" s="262" t="s">
        <v>1860</v>
      </c>
      <c r="C2684" s="263">
        <v>43035</v>
      </c>
      <c r="D2684" s="264" t="s">
        <v>3955</v>
      </c>
      <c r="E2684" s="264" t="s">
        <v>4633</v>
      </c>
      <c r="F2684" s="265">
        <v>84</v>
      </c>
      <c r="G2684" s="265"/>
      <c r="H2684" s="265">
        <f t="shared" si="97"/>
        <v>84</v>
      </c>
    </row>
    <row r="2685" spans="2:8" x14ac:dyDescent="0.2">
      <c r="B2685" s="262" t="s">
        <v>1884</v>
      </c>
      <c r="C2685" s="263">
        <v>43035</v>
      </c>
      <c r="D2685" s="264" t="s">
        <v>4634</v>
      </c>
      <c r="E2685" s="264" t="s">
        <v>4366</v>
      </c>
      <c r="F2685" s="265">
        <v>406.75</v>
      </c>
      <c r="G2685" s="265"/>
      <c r="H2685" s="265">
        <f t="shared" si="97"/>
        <v>406.75</v>
      </c>
    </row>
    <row r="2686" spans="2:8" x14ac:dyDescent="0.2">
      <c r="B2686" s="262" t="s">
        <v>1884</v>
      </c>
      <c r="C2686" s="263">
        <v>43036</v>
      </c>
      <c r="D2686" s="264" t="s">
        <v>2288</v>
      </c>
      <c r="E2686" s="264" t="s">
        <v>4635</v>
      </c>
      <c r="F2686" s="265">
        <v>392.86</v>
      </c>
      <c r="G2686" s="265"/>
      <c r="H2686" s="265">
        <f t="shared" si="97"/>
        <v>392.86</v>
      </c>
    </row>
    <row r="2687" spans="2:8" x14ac:dyDescent="0.2">
      <c r="B2687" s="262" t="s">
        <v>1884</v>
      </c>
      <c r="C2687" s="263">
        <v>43036</v>
      </c>
      <c r="D2687" s="264" t="s">
        <v>2535</v>
      </c>
      <c r="E2687" s="264" t="s">
        <v>4636</v>
      </c>
      <c r="F2687" s="265">
        <v>30.9</v>
      </c>
      <c r="G2687" s="265"/>
      <c r="H2687" s="265">
        <f t="shared" si="97"/>
        <v>30.9</v>
      </c>
    </row>
    <row r="2688" spans="2:8" x14ac:dyDescent="0.2">
      <c r="B2688" s="262" t="s">
        <v>1863</v>
      </c>
      <c r="C2688" s="263">
        <v>43036</v>
      </c>
      <c r="D2688" s="264" t="s">
        <v>4637</v>
      </c>
      <c r="E2688" s="264" t="s">
        <v>4638</v>
      </c>
      <c r="F2688" s="265">
        <v>232</v>
      </c>
      <c r="G2688" s="265"/>
      <c r="H2688" s="265">
        <f t="shared" si="97"/>
        <v>232</v>
      </c>
    </row>
    <row r="2689" spans="2:9" x14ac:dyDescent="0.2">
      <c r="B2689" s="262" t="s">
        <v>1881</v>
      </c>
      <c r="C2689" s="263">
        <v>43037</v>
      </c>
      <c r="D2689" s="264" t="s">
        <v>2250</v>
      </c>
      <c r="E2689" s="264" t="s">
        <v>3022</v>
      </c>
      <c r="F2689" s="265">
        <v>120</v>
      </c>
      <c r="G2689" s="265"/>
      <c r="H2689" s="265">
        <f t="shared" si="97"/>
        <v>120</v>
      </c>
    </row>
    <row r="2690" spans="2:9" x14ac:dyDescent="0.2">
      <c r="B2690" s="262" t="s">
        <v>1864</v>
      </c>
      <c r="C2690" s="263">
        <v>43037</v>
      </c>
      <c r="D2690" s="264" t="s">
        <v>2535</v>
      </c>
      <c r="E2690" s="264" t="s">
        <v>3340</v>
      </c>
      <c r="F2690" s="265">
        <v>88</v>
      </c>
      <c r="G2690" s="265"/>
      <c r="H2690" s="265">
        <f t="shared" si="97"/>
        <v>88</v>
      </c>
    </row>
    <row r="2691" spans="2:9" x14ac:dyDescent="0.2">
      <c r="B2691" s="262" t="s">
        <v>1863</v>
      </c>
      <c r="C2691" s="263">
        <v>43037</v>
      </c>
      <c r="D2691" s="264" t="s">
        <v>4655</v>
      </c>
      <c r="E2691" s="264" t="s">
        <v>4656</v>
      </c>
      <c r="F2691" s="265">
        <v>250</v>
      </c>
      <c r="G2691" s="265"/>
      <c r="H2691" s="265">
        <f t="shared" ref="H2691" si="99">SUM(F2691:G2691)</f>
        <v>250</v>
      </c>
    </row>
    <row r="2692" spans="2:9" x14ac:dyDescent="0.2">
      <c r="B2692" s="262" t="s">
        <v>1884</v>
      </c>
      <c r="C2692" s="263">
        <v>43038</v>
      </c>
      <c r="D2692" s="264" t="s">
        <v>4639</v>
      </c>
      <c r="E2692" s="264" t="s">
        <v>4657</v>
      </c>
      <c r="F2692" s="265">
        <v>40.5</v>
      </c>
      <c r="G2692" s="265"/>
      <c r="H2692" s="265">
        <f t="shared" si="97"/>
        <v>40.5</v>
      </c>
    </row>
    <row r="2693" spans="2:9" x14ac:dyDescent="0.2">
      <c r="B2693" s="262" t="s">
        <v>1884</v>
      </c>
      <c r="C2693" s="263">
        <v>43038</v>
      </c>
      <c r="D2693" s="264" t="s">
        <v>4640</v>
      </c>
      <c r="E2693" s="264" t="s">
        <v>4641</v>
      </c>
      <c r="F2693" s="265">
        <v>315</v>
      </c>
      <c r="G2693" s="265"/>
      <c r="H2693" s="265">
        <f t="shared" si="97"/>
        <v>315</v>
      </c>
    </row>
    <row r="2694" spans="2:9" x14ac:dyDescent="0.2">
      <c r="B2694" s="262" t="s">
        <v>1577</v>
      </c>
      <c r="C2694" s="263">
        <v>43039</v>
      </c>
      <c r="D2694" s="264" t="s">
        <v>4642</v>
      </c>
      <c r="E2694" s="264" t="s">
        <v>4658</v>
      </c>
      <c r="F2694" s="265">
        <v>5000</v>
      </c>
      <c r="G2694" s="265"/>
      <c r="H2694" s="265">
        <f t="shared" si="97"/>
        <v>5000</v>
      </c>
    </row>
    <row r="2695" spans="2:9" x14ac:dyDescent="0.2">
      <c r="B2695" s="262" t="s">
        <v>1881</v>
      </c>
      <c r="C2695" s="263">
        <v>43039</v>
      </c>
      <c r="D2695" s="264" t="s">
        <v>1873</v>
      </c>
      <c r="E2695" s="264" t="s">
        <v>4643</v>
      </c>
      <c r="F2695" s="265">
        <v>450</v>
      </c>
      <c r="G2695" s="265"/>
      <c r="H2695" s="265">
        <f t="shared" si="97"/>
        <v>450</v>
      </c>
    </row>
    <row r="2696" spans="2:9" x14ac:dyDescent="0.2">
      <c r="B2696" s="262" t="s">
        <v>1881</v>
      </c>
      <c r="C2696" s="263">
        <v>43039</v>
      </c>
      <c r="D2696" s="264" t="s">
        <v>1873</v>
      </c>
      <c r="E2696" s="264" t="s">
        <v>4589</v>
      </c>
      <c r="F2696" s="265">
        <v>100</v>
      </c>
      <c r="G2696" s="265"/>
      <c r="H2696" s="265">
        <f t="shared" si="97"/>
        <v>100</v>
      </c>
    </row>
    <row r="2697" spans="2:9" x14ac:dyDescent="0.2">
      <c r="B2697" s="262" t="s">
        <v>1881</v>
      </c>
      <c r="C2697" s="263">
        <v>43039</v>
      </c>
      <c r="D2697" s="264" t="s">
        <v>2250</v>
      </c>
      <c r="E2697" s="264" t="s">
        <v>4644</v>
      </c>
      <c r="F2697" s="265">
        <v>300</v>
      </c>
      <c r="G2697" s="265"/>
      <c r="H2697" s="265">
        <f t="shared" si="97"/>
        <v>300</v>
      </c>
    </row>
    <row r="2698" spans="2:9" x14ac:dyDescent="0.2">
      <c r="B2698" s="262" t="s">
        <v>1859</v>
      </c>
      <c r="C2698" s="263">
        <v>43039</v>
      </c>
      <c r="D2698" s="264" t="s">
        <v>4482</v>
      </c>
      <c r="E2698" s="264" t="s">
        <v>4645</v>
      </c>
      <c r="F2698" s="265">
        <v>4000</v>
      </c>
      <c r="G2698" s="265"/>
      <c r="H2698" s="265">
        <f t="shared" si="97"/>
        <v>4000</v>
      </c>
    </row>
    <row r="2699" spans="2:9" x14ac:dyDescent="0.2">
      <c r="B2699" s="262" t="s">
        <v>1884</v>
      </c>
      <c r="C2699" s="263">
        <v>43039</v>
      </c>
      <c r="D2699" s="264" t="s">
        <v>4646</v>
      </c>
      <c r="E2699" s="264" t="s">
        <v>4598</v>
      </c>
      <c r="F2699" s="265">
        <v>1000</v>
      </c>
      <c r="G2699" s="265"/>
      <c r="H2699" s="265">
        <f t="shared" si="97"/>
        <v>1000</v>
      </c>
      <c r="I2699" s="175">
        <f>SUM(H2613:H2699)</f>
        <v>105883.45999999998</v>
      </c>
    </row>
    <row r="2700" spans="2:9" x14ac:dyDescent="0.2">
      <c r="B2700" s="262" t="s">
        <v>1887</v>
      </c>
      <c r="C2700" s="263">
        <v>43018</v>
      </c>
      <c r="D2700" s="264" t="s">
        <v>3367</v>
      </c>
      <c r="E2700" s="264" t="s">
        <v>1536</v>
      </c>
      <c r="F2700" s="265">
        <v>-0.28999999999999998</v>
      </c>
      <c r="G2700" s="265"/>
      <c r="H2700" s="265">
        <f t="shared" si="97"/>
        <v>-0.28999999999999998</v>
      </c>
    </row>
    <row r="2701" spans="2:9" x14ac:dyDescent="0.2">
      <c r="B2701" s="262" t="s">
        <v>1790</v>
      </c>
      <c r="C2701" s="263">
        <v>43019</v>
      </c>
      <c r="D2701" s="361" t="s">
        <v>1909</v>
      </c>
      <c r="E2701" s="361" t="s">
        <v>4714</v>
      </c>
      <c r="F2701" s="362"/>
      <c r="G2701" s="362">
        <v>-1760</v>
      </c>
      <c r="H2701" s="265">
        <f t="shared" si="97"/>
        <v>-1760</v>
      </c>
    </row>
    <row r="2702" spans="2:9" x14ac:dyDescent="0.2">
      <c r="B2702" s="262" t="s">
        <v>1887</v>
      </c>
      <c r="C2702" s="263">
        <v>43039</v>
      </c>
      <c r="D2702" s="361" t="s">
        <v>1597</v>
      </c>
      <c r="E2702" s="361" t="s">
        <v>2229</v>
      </c>
      <c r="F2702" s="362">
        <v>28</v>
      </c>
      <c r="G2702" s="362"/>
      <c r="H2702" s="265">
        <f t="shared" si="97"/>
        <v>28</v>
      </c>
    </row>
    <row r="2703" spans="2:9" x14ac:dyDescent="0.2">
      <c r="B2703" s="262" t="s">
        <v>1790</v>
      </c>
      <c r="C2703" s="263">
        <v>43039</v>
      </c>
      <c r="D2703" s="361" t="s">
        <v>1597</v>
      </c>
      <c r="E2703" s="361" t="s">
        <v>2230</v>
      </c>
      <c r="F2703" s="362"/>
      <c r="G2703" s="362">
        <v>4.4800000000000004</v>
      </c>
      <c r="H2703" s="265">
        <f t="shared" si="97"/>
        <v>4.4800000000000004</v>
      </c>
    </row>
    <row r="2704" spans="2:9" x14ac:dyDescent="0.2">
      <c r="B2704" s="262"/>
      <c r="C2704" s="263"/>
      <c r="D2704" s="264"/>
      <c r="E2704" s="264"/>
      <c r="F2704" s="265"/>
      <c r="G2704" s="265"/>
      <c r="H2704" s="265">
        <f t="shared" si="97"/>
        <v>0</v>
      </c>
    </row>
    <row r="2705" spans="2:8" x14ac:dyDescent="0.2">
      <c r="B2705" s="255" t="s">
        <v>1850</v>
      </c>
      <c r="C2705" s="255" t="s">
        <v>1851</v>
      </c>
      <c r="D2705" s="256" t="s">
        <v>1852</v>
      </c>
      <c r="E2705" s="256" t="s">
        <v>1853</v>
      </c>
      <c r="F2705" s="257" t="s">
        <v>1854</v>
      </c>
      <c r="G2705" s="257" t="s">
        <v>1855</v>
      </c>
      <c r="H2705" s="257" t="s">
        <v>1856</v>
      </c>
    </row>
    <row r="2706" spans="2:8" x14ac:dyDescent="0.2">
      <c r="B2706" s="262" t="s">
        <v>1577</v>
      </c>
      <c r="C2706" s="263">
        <v>43040</v>
      </c>
      <c r="D2706" s="264" t="s">
        <v>4642</v>
      </c>
      <c r="E2706" s="264" t="s">
        <v>4669</v>
      </c>
      <c r="F2706" s="265">
        <v>10000</v>
      </c>
      <c r="G2706" s="265"/>
      <c r="H2706" s="265">
        <f t="shared" si="97"/>
        <v>10000</v>
      </c>
    </row>
    <row r="2707" spans="2:8" x14ac:dyDescent="0.2">
      <c r="B2707" s="262" t="s">
        <v>1863</v>
      </c>
      <c r="C2707" s="263">
        <v>43040</v>
      </c>
      <c r="D2707" s="264" t="s">
        <v>4670</v>
      </c>
      <c r="E2707" s="264" t="s">
        <v>4671</v>
      </c>
      <c r="F2707" s="265">
        <v>300</v>
      </c>
      <c r="G2707" s="265"/>
      <c r="H2707" s="265">
        <f t="shared" si="97"/>
        <v>300</v>
      </c>
    </row>
    <row r="2708" spans="2:8" x14ac:dyDescent="0.2">
      <c r="B2708" s="262" t="s">
        <v>1866</v>
      </c>
      <c r="C2708" s="263">
        <v>43040</v>
      </c>
      <c r="D2708" s="264" t="s">
        <v>1890</v>
      </c>
      <c r="E2708" s="264" t="s">
        <v>3580</v>
      </c>
      <c r="F2708" s="265">
        <v>102</v>
      </c>
      <c r="G2708" s="265"/>
      <c r="H2708" s="265">
        <f t="shared" si="97"/>
        <v>102</v>
      </c>
    </row>
    <row r="2709" spans="2:8" x14ac:dyDescent="0.2">
      <c r="B2709" s="262" t="s">
        <v>1857</v>
      </c>
      <c r="C2709" s="263">
        <v>43041</v>
      </c>
      <c r="D2709" s="264" t="s">
        <v>4672</v>
      </c>
      <c r="E2709" s="264" t="s">
        <v>4673</v>
      </c>
      <c r="F2709" s="265">
        <v>1100</v>
      </c>
      <c r="G2709" s="265"/>
      <c r="H2709" s="265">
        <f t="shared" si="97"/>
        <v>1100</v>
      </c>
    </row>
    <row r="2710" spans="2:8" x14ac:dyDescent="0.2">
      <c r="B2710" s="262" t="s">
        <v>1805</v>
      </c>
      <c r="C2710" s="263">
        <v>43042</v>
      </c>
      <c r="D2710" s="264" t="s">
        <v>3565</v>
      </c>
      <c r="E2710" s="264" t="s">
        <v>4674</v>
      </c>
      <c r="F2710" s="265">
        <v>1250</v>
      </c>
      <c r="G2710" s="265"/>
      <c r="H2710" s="265">
        <f t="shared" si="97"/>
        <v>1250</v>
      </c>
    </row>
    <row r="2711" spans="2:8" x14ac:dyDescent="0.2">
      <c r="B2711" s="262" t="s">
        <v>1879</v>
      </c>
      <c r="C2711" s="263">
        <v>43044</v>
      </c>
      <c r="D2711" s="264" t="s">
        <v>3330</v>
      </c>
      <c r="E2711" s="264" t="s">
        <v>4675</v>
      </c>
      <c r="F2711" s="265">
        <v>400</v>
      </c>
      <c r="G2711" s="265"/>
      <c r="H2711" s="265">
        <f t="shared" si="97"/>
        <v>400</v>
      </c>
    </row>
    <row r="2712" spans="2:8" x14ac:dyDescent="0.2">
      <c r="B2712" s="262" t="s">
        <v>1864</v>
      </c>
      <c r="C2712" s="263">
        <v>43044</v>
      </c>
      <c r="D2712" s="264" t="s">
        <v>2535</v>
      </c>
      <c r="E2712" s="264" t="s">
        <v>2828</v>
      </c>
      <c r="F2712" s="265">
        <v>84.5</v>
      </c>
      <c r="G2712" s="265"/>
      <c r="H2712" s="265">
        <f t="shared" si="97"/>
        <v>84.5</v>
      </c>
    </row>
    <row r="2713" spans="2:8" x14ac:dyDescent="0.2">
      <c r="B2713" s="262" t="s">
        <v>1881</v>
      </c>
      <c r="C2713" s="263">
        <v>43044</v>
      </c>
      <c r="D2713" s="264" t="s">
        <v>2250</v>
      </c>
      <c r="E2713" s="264" t="s">
        <v>4676</v>
      </c>
      <c r="F2713" s="265">
        <v>120</v>
      </c>
      <c r="G2713" s="265"/>
      <c r="H2713" s="265">
        <f t="shared" si="97"/>
        <v>120</v>
      </c>
    </row>
    <row r="2714" spans="2:8" x14ac:dyDescent="0.2">
      <c r="B2714" s="262" t="s">
        <v>1866</v>
      </c>
      <c r="C2714" s="263">
        <v>43045</v>
      </c>
      <c r="D2714" s="264" t="s">
        <v>1890</v>
      </c>
      <c r="E2714" s="264" t="s">
        <v>4339</v>
      </c>
      <c r="F2714" s="265">
        <v>102</v>
      </c>
      <c r="G2714" s="265"/>
      <c r="H2714" s="265">
        <f t="shared" ref="H2714:H2751" si="100">SUM(F2714:G2714)</f>
        <v>102</v>
      </c>
    </row>
    <row r="2715" spans="2:8" x14ac:dyDescent="0.2">
      <c r="B2715" s="262" t="s">
        <v>1863</v>
      </c>
      <c r="C2715" s="263">
        <v>43045</v>
      </c>
      <c r="D2715" s="264" t="s">
        <v>4677</v>
      </c>
      <c r="E2715" s="264" t="s">
        <v>4678</v>
      </c>
      <c r="F2715" s="265">
        <v>370</v>
      </c>
      <c r="G2715" s="265"/>
      <c r="H2715" s="265">
        <f t="shared" si="100"/>
        <v>370</v>
      </c>
    </row>
    <row r="2716" spans="2:8" x14ac:dyDescent="0.2">
      <c r="B2716" s="262" t="s">
        <v>1867</v>
      </c>
      <c r="C2716" s="263">
        <v>43045</v>
      </c>
      <c r="D2716" s="264" t="s">
        <v>2535</v>
      </c>
      <c r="E2716" s="264" t="s">
        <v>4681</v>
      </c>
      <c r="F2716" s="265">
        <v>100</v>
      </c>
      <c r="G2716" s="265"/>
      <c r="H2716" s="265">
        <f t="shared" si="100"/>
        <v>100</v>
      </c>
    </row>
    <row r="2717" spans="2:8" x14ac:dyDescent="0.2">
      <c r="B2717" s="262" t="s">
        <v>1790</v>
      </c>
      <c r="C2717" s="263">
        <v>43045</v>
      </c>
      <c r="D2717" s="264" t="s">
        <v>1909</v>
      </c>
      <c r="E2717" s="264" t="s">
        <v>4679</v>
      </c>
      <c r="F2717" s="265"/>
      <c r="G2717" s="386">
        <v>1760</v>
      </c>
      <c r="H2717" s="265">
        <f t="shared" si="100"/>
        <v>1760</v>
      </c>
    </row>
    <row r="2718" spans="2:8" x14ac:dyDescent="0.2">
      <c r="B2718" s="262" t="s">
        <v>1805</v>
      </c>
      <c r="C2718" s="263">
        <v>43045</v>
      </c>
      <c r="D2718" s="264" t="s">
        <v>1888</v>
      </c>
      <c r="E2718" s="264" t="s">
        <v>4680</v>
      </c>
      <c r="F2718" s="265">
        <v>1300</v>
      </c>
      <c r="G2718" s="265"/>
      <c r="H2718" s="265">
        <f t="shared" si="100"/>
        <v>1300</v>
      </c>
    </row>
    <row r="2719" spans="2:8" x14ac:dyDescent="0.2">
      <c r="B2719" s="262" t="s">
        <v>1863</v>
      </c>
      <c r="C2719" s="263">
        <v>43046</v>
      </c>
      <c r="D2719" s="264" t="s">
        <v>4051</v>
      </c>
      <c r="E2719" s="264" t="s">
        <v>4682</v>
      </c>
      <c r="F2719" s="265">
        <v>159</v>
      </c>
      <c r="G2719" s="265"/>
      <c r="H2719" s="265">
        <f t="shared" si="100"/>
        <v>159</v>
      </c>
    </row>
    <row r="2720" spans="2:8" x14ac:dyDescent="0.2">
      <c r="B2720" s="262" t="s">
        <v>1884</v>
      </c>
      <c r="C2720" s="263">
        <v>43047</v>
      </c>
      <c r="D2720" s="264" t="s">
        <v>1893</v>
      </c>
      <c r="E2720" s="264" t="s">
        <v>4683</v>
      </c>
      <c r="F2720" s="265">
        <v>199</v>
      </c>
      <c r="G2720" s="265"/>
      <c r="H2720" s="265">
        <f t="shared" si="100"/>
        <v>199</v>
      </c>
    </row>
    <row r="2721" spans="2:8" x14ac:dyDescent="0.2">
      <c r="B2721" s="262" t="s">
        <v>1870</v>
      </c>
      <c r="C2721" s="263">
        <v>43047</v>
      </c>
      <c r="D2721" s="264" t="s">
        <v>4684</v>
      </c>
      <c r="E2721" s="264" t="s">
        <v>4685</v>
      </c>
      <c r="F2721" s="265">
        <v>76</v>
      </c>
      <c r="G2721" s="265"/>
      <c r="H2721" s="265">
        <f t="shared" si="100"/>
        <v>76</v>
      </c>
    </row>
    <row r="2722" spans="2:8" x14ac:dyDescent="0.2">
      <c r="B2722" s="262" t="s">
        <v>1863</v>
      </c>
      <c r="C2722" s="263">
        <v>43047</v>
      </c>
      <c r="D2722" s="264" t="s">
        <v>4677</v>
      </c>
      <c r="E2722" s="264" t="s">
        <v>4686</v>
      </c>
      <c r="F2722" s="265">
        <v>340</v>
      </c>
      <c r="G2722" s="265"/>
      <c r="H2722" s="265">
        <f t="shared" si="100"/>
        <v>340</v>
      </c>
    </row>
    <row r="2723" spans="2:8" x14ac:dyDescent="0.2">
      <c r="B2723" s="262" t="s">
        <v>1884</v>
      </c>
      <c r="C2723" s="263">
        <v>43047</v>
      </c>
      <c r="D2723" s="264" t="s">
        <v>1915</v>
      </c>
      <c r="E2723" s="264" t="s">
        <v>4687</v>
      </c>
      <c r="F2723" s="265">
        <v>300</v>
      </c>
      <c r="G2723" s="265"/>
      <c r="H2723" s="265">
        <f t="shared" si="100"/>
        <v>300</v>
      </c>
    </row>
    <row r="2724" spans="2:8" x14ac:dyDescent="0.2">
      <c r="B2724" s="262" t="s">
        <v>1875</v>
      </c>
      <c r="C2724" s="263">
        <v>43047</v>
      </c>
      <c r="D2724" s="264" t="s">
        <v>1893</v>
      </c>
      <c r="E2724" s="264" t="s">
        <v>1942</v>
      </c>
      <c r="F2724" s="265">
        <v>254.5</v>
      </c>
      <c r="G2724" s="265"/>
      <c r="H2724" s="265">
        <f t="shared" si="100"/>
        <v>254.5</v>
      </c>
    </row>
    <row r="2725" spans="2:8" x14ac:dyDescent="0.2">
      <c r="B2725" s="262" t="s">
        <v>1875</v>
      </c>
      <c r="C2725" s="263">
        <v>43047</v>
      </c>
      <c r="D2725" s="264" t="s">
        <v>1925</v>
      </c>
      <c r="E2725" s="264" t="s">
        <v>4580</v>
      </c>
      <c r="F2725" s="265">
        <v>5</v>
      </c>
      <c r="G2725" s="265"/>
      <c r="H2725" s="265">
        <f t="shared" si="100"/>
        <v>5</v>
      </c>
    </row>
    <row r="2726" spans="2:8" x14ac:dyDescent="0.2">
      <c r="B2726" s="262" t="s">
        <v>1863</v>
      </c>
      <c r="C2726" s="263">
        <v>43047</v>
      </c>
      <c r="D2726" s="264" t="s">
        <v>1897</v>
      </c>
      <c r="E2726" s="264" t="s">
        <v>4688</v>
      </c>
      <c r="F2726" s="265">
        <v>250</v>
      </c>
      <c r="G2726" s="265"/>
      <c r="H2726" s="265">
        <f t="shared" si="100"/>
        <v>250</v>
      </c>
    </row>
    <row r="2727" spans="2:8" x14ac:dyDescent="0.2">
      <c r="B2727" s="262" t="s">
        <v>1875</v>
      </c>
      <c r="C2727" s="263">
        <v>43048</v>
      </c>
      <c r="D2727" s="264" t="s">
        <v>1893</v>
      </c>
      <c r="E2727" s="264" t="s">
        <v>2109</v>
      </c>
      <c r="F2727" s="265">
        <v>484.1</v>
      </c>
      <c r="G2727" s="265"/>
      <c r="H2727" s="265">
        <f t="shared" si="100"/>
        <v>484.1</v>
      </c>
    </row>
    <row r="2728" spans="2:8" x14ac:dyDescent="0.2">
      <c r="B2728" s="262" t="s">
        <v>1875</v>
      </c>
      <c r="C2728" s="263">
        <v>43048</v>
      </c>
      <c r="D2728" s="264" t="s">
        <v>1925</v>
      </c>
      <c r="E2728" s="264" t="s">
        <v>4580</v>
      </c>
      <c r="F2728" s="265">
        <v>5</v>
      </c>
      <c r="G2728" s="265"/>
      <c r="H2728" s="265">
        <f t="shared" si="100"/>
        <v>5</v>
      </c>
    </row>
    <row r="2729" spans="2:8" x14ac:dyDescent="0.2">
      <c r="B2729" s="262" t="s">
        <v>1860</v>
      </c>
      <c r="C2729" s="263">
        <v>43048</v>
      </c>
      <c r="D2729" s="264" t="s">
        <v>1891</v>
      </c>
      <c r="E2729" s="264" t="s">
        <v>2991</v>
      </c>
      <c r="F2729" s="265">
        <v>655.5</v>
      </c>
      <c r="G2729" s="265"/>
      <c r="H2729" s="265">
        <f t="shared" si="100"/>
        <v>655.5</v>
      </c>
    </row>
    <row r="2730" spans="2:8" x14ac:dyDescent="0.2">
      <c r="B2730" s="262" t="s">
        <v>1805</v>
      </c>
      <c r="C2730" s="263">
        <v>42318</v>
      </c>
      <c r="D2730" s="264" t="s">
        <v>3565</v>
      </c>
      <c r="E2730" s="264" t="s">
        <v>4689</v>
      </c>
      <c r="F2730" s="265">
        <v>1250</v>
      </c>
      <c r="G2730" s="265"/>
      <c r="H2730" s="265">
        <f t="shared" si="100"/>
        <v>1250</v>
      </c>
    </row>
    <row r="2731" spans="2:8" x14ac:dyDescent="0.2">
      <c r="B2731" s="262" t="s">
        <v>1863</v>
      </c>
      <c r="C2731" s="263">
        <v>43049</v>
      </c>
      <c r="D2731" s="264" t="s">
        <v>1897</v>
      </c>
      <c r="E2731" s="264" t="s">
        <v>4690</v>
      </c>
      <c r="F2731" s="265">
        <v>250</v>
      </c>
      <c r="G2731" s="265"/>
      <c r="H2731" s="265">
        <f t="shared" si="100"/>
        <v>250</v>
      </c>
    </row>
    <row r="2732" spans="2:8" x14ac:dyDescent="0.2">
      <c r="B2732" s="262" t="s">
        <v>1875</v>
      </c>
      <c r="C2732" s="263">
        <v>43049</v>
      </c>
      <c r="D2732" s="264" t="s">
        <v>3607</v>
      </c>
      <c r="E2732" s="264" t="s">
        <v>4691</v>
      </c>
      <c r="F2732" s="265">
        <v>58</v>
      </c>
      <c r="G2732" s="265"/>
      <c r="H2732" s="265">
        <f t="shared" si="100"/>
        <v>58</v>
      </c>
    </row>
    <row r="2733" spans="2:8" x14ac:dyDescent="0.2">
      <c r="B2733" s="262" t="s">
        <v>1577</v>
      </c>
      <c r="C2733" s="263">
        <v>43050</v>
      </c>
      <c r="D2733" s="264" t="s">
        <v>4642</v>
      </c>
      <c r="E2733" s="264" t="s">
        <v>4706</v>
      </c>
      <c r="F2733" s="265">
        <v>15100</v>
      </c>
      <c r="G2733" s="265"/>
      <c r="H2733" s="265">
        <f t="shared" si="100"/>
        <v>15100</v>
      </c>
    </row>
    <row r="2734" spans="2:8" x14ac:dyDescent="0.2">
      <c r="B2734" s="345" t="s">
        <v>1821</v>
      </c>
      <c r="C2734" s="263">
        <v>43050</v>
      </c>
      <c r="D2734" s="264" t="s">
        <v>1892</v>
      </c>
      <c r="E2734" s="369" t="s">
        <v>4708</v>
      </c>
      <c r="F2734" s="265">
        <v>1100</v>
      </c>
      <c r="G2734" s="265"/>
      <c r="H2734" s="265">
        <f t="shared" si="100"/>
        <v>1100</v>
      </c>
    </row>
    <row r="2735" spans="2:8" x14ac:dyDescent="0.2">
      <c r="B2735" s="345" t="s">
        <v>1870</v>
      </c>
      <c r="C2735" s="263">
        <v>43050</v>
      </c>
      <c r="D2735" s="264" t="s">
        <v>1892</v>
      </c>
      <c r="E2735" s="369" t="s">
        <v>4709</v>
      </c>
      <c r="F2735" s="265">
        <v>400</v>
      </c>
      <c r="G2735" s="265"/>
      <c r="H2735" s="265">
        <f t="shared" si="100"/>
        <v>400</v>
      </c>
    </row>
    <row r="2736" spans="2:8" x14ac:dyDescent="0.2">
      <c r="B2736" s="262" t="s">
        <v>1881</v>
      </c>
      <c r="C2736" s="263">
        <v>43051</v>
      </c>
      <c r="D2736" s="264" t="s">
        <v>2250</v>
      </c>
      <c r="E2736" s="264" t="s">
        <v>4693</v>
      </c>
      <c r="F2736" s="265">
        <v>120</v>
      </c>
      <c r="G2736" s="265"/>
      <c r="H2736" s="265">
        <f t="shared" si="100"/>
        <v>120</v>
      </c>
    </row>
    <row r="2737" spans="2:8" x14ac:dyDescent="0.2">
      <c r="B2737" s="262" t="s">
        <v>1863</v>
      </c>
      <c r="C2737" s="263">
        <v>43051</v>
      </c>
      <c r="D2737" s="264" t="s">
        <v>2250</v>
      </c>
      <c r="E2737" s="264" t="s">
        <v>4694</v>
      </c>
      <c r="F2737" s="265">
        <v>150</v>
      </c>
      <c r="G2737" s="265"/>
      <c r="H2737" s="265">
        <f t="shared" si="100"/>
        <v>150</v>
      </c>
    </row>
    <row r="2738" spans="2:8" x14ac:dyDescent="0.2">
      <c r="B2738" s="262" t="s">
        <v>1864</v>
      </c>
      <c r="C2738" s="263">
        <v>43051</v>
      </c>
      <c r="D2738" s="264" t="s">
        <v>2535</v>
      </c>
      <c r="E2738" s="264" t="s">
        <v>2828</v>
      </c>
      <c r="F2738" s="265">
        <v>149.1</v>
      </c>
      <c r="G2738" s="265"/>
      <c r="H2738" s="265">
        <f t="shared" si="100"/>
        <v>149.1</v>
      </c>
    </row>
    <row r="2739" spans="2:8" x14ac:dyDescent="0.2">
      <c r="B2739" s="262" t="s">
        <v>1884</v>
      </c>
      <c r="C2739" s="263">
        <v>43052</v>
      </c>
      <c r="D2739" s="264" t="s">
        <v>1915</v>
      </c>
      <c r="E2739" s="264" t="s">
        <v>4699</v>
      </c>
      <c r="F2739" s="265">
        <v>300</v>
      </c>
      <c r="G2739" s="265"/>
      <c r="H2739" s="265">
        <f t="shared" si="100"/>
        <v>300</v>
      </c>
    </row>
    <row r="2740" spans="2:8" x14ac:dyDescent="0.2">
      <c r="B2740" s="262" t="s">
        <v>1860</v>
      </c>
      <c r="C2740" s="263">
        <v>43052</v>
      </c>
      <c r="D2740" s="264" t="s">
        <v>3955</v>
      </c>
      <c r="E2740" s="264" t="s">
        <v>4695</v>
      </c>
      <c r="F2740" s="265">
        <v>172</v>
      </c>
      <c r="G2740" s="265"/>
      <c r="H2740" s="265">
        <f t="shared" si="100"/>
        <v>172</v>
      </c>
    </row>
    <row r="2741" spans="2:8" x14ac:dyDescent="0.2">
      <c r="B2741" s="262" t="s">
        <v>1867</v>
      </c>
      <c r="C2741" s="263">
        <v>43052</v>
      </c>
      <c r="D2741" s="264" t="s">
        <v>1894</v>
      </c>
      <c r="E2741" s="264" t="s">
        <v>4696</v>
      </c>
      <c r="F2741" s="265">
        <v>792</v>
      </c>
      <c r="G2741" s="265"/>
      <c r="H2741" s="265">
        <f t="shared" si="100"/>
        <v>792</v>
      </c>
    </row>
    <row r="2742" spans="2:8" x14ac:dyDescent="0.2">
      <c r="B2742" s="262" t="s">
        <v>1866</v>
      </c>
      <c r="C2742" s="263">
        <v>43052</v>
      </c>
      <c r="D2742" s="264" t="s">
        <v>1890</v>
      </c>
      <c r="E2742" s="264" t="s">
        <v>4697</v>
      </c>
      <c r="F2742" s="265">
        <v>136</v>
      </c>
      <c r="G2742" s="265"/>
      <c r="H2742" s="265">
        <f t="shared" si="100"/>
        <v>136</v>
      </c>
    </row>
    <row r="2743" spans="2:8" x14ac:dyDescent="0.2">
      <c r="B2743" s="262" t="s">
        <v>1884</v>
      </c>
      <c r="C2743" s="263">
        <v>43053</v>
      </c>
      <c r="D2743" s="264" t="s">
        <v>1915</v>
      </c>
      <c r="E2743" s="264" t="s">
        <v>4698</v>
      </c>
      <c r="F2743" s="265">
        <v>300</v>
      </c>
      <c r="G2743" s="265"/>
      <c r="H2743" s="265">
        <f t="shared" si="100"/>
        <v>300</v>
      </c>
    </row>
    <row r="2744" spans="2:8" x14ac:dyDescent="0.2">
      <c r="B2744" s="262" t="s">
        <v>1884</v>
      </c>
      <c r="C2744" s="263">
        <v>43053</v>
      </c>
      <c r="D2744" s="264" t="s">
        <v>4677</v>
      </c>
      <c r="E2744" s="264" t="s">
        <v>4700</v>
      </c>
      <c r="F2744" s="265">
        <v>400</v>
      </c>
      <c r="G2744" s="265"/>
      <c r="H2744" s="265">
        <f t="shared" si="100"/>
        <v>400</v>
      </c>
    </row>
    <row r="2745" spans="2:8" x14ac:dyDescent="0.2">
      <c r="B2745" s="262" t="s">
        <v>1881</v>
      </c>
      <c r="C2745" s="263">
        <v>43053</v>
      </c>
      <c r="D2745" s="264" t="s">
        <v>1897</v>
      </c>
      <c r="E2745" s="264" t="s">
        <v>4701</v>
      </c>
      <c r="F2745" s="265">
        <v>200</v>
      </c>
      <c r="G2745" s="265"/>
      <c r="H2745" s="265">
        <f t="shared" si="100"/>
        <v>200</v>
      </c>
    </row>
    <row r="2746" spans="2:8" x14ac:dyDescent="0.2">
      <c r="B2746" s="345" t="s">
        <v>1821</v>
      </c>
      <c r="C2746" s="263">
        <v>43053</v>
      </c>
      <c r="D2746" s="264" t="s">
        <v>1892</v>
      </c>
      <c r="E2746" s="369" t="s">
        <v>4710</v>
      </c>
      <c r="F2746" s="265">
        <v>200</v>
      </c>
      <c r="G2746" s="265"/>
      <c r="H2746" s="265">
        <f t="shared" si="100"/>
        <v>200</v>
      </c>
    </row>
    <row r="2747" spans="2:8" x14ac:dyDescent="0.2">
      <c r="B2747" s="262" t="s">
        <v>1805</v>
      </c>
      <c r="C2747" s="263">
        <v>43053</v>
      </c>
      <c r="D2747" s="264" t="s">
        <v>3565</v>
      </c>
      <c r="E2747" s="264" t="s">
        <v>4702</v>
      </c>
      <c r="F2747" s="265">
        <v>1250</v>
      </c>
      <c r="G2747" s="265"/>
      <c r="H2747" s="265">
        <f t="shared" si="100"/>
        <v>1250</v>
      </c>
    </row>
    <row r="2748" spans="2:8" x14ac:dyDescent="0.2">
      <c r="B2748" s="262" t="s">
        <v>1881</v>
      </c>
      <c r="C2748" s="263">
        <v>43054</v>
      </c>
      <c r="D2748" s="264" t="s">
        <v>2250</v>
      </c>
      <c r="E2748" s="264" t="s">
        <v>4703</v>
      </c>
      <c r="F2748" s="265">
        <v>350</v>
      </c>
      <c r="G2748" s="265"/>
      <c r="H2748" s="265">
        <f t="shared" si="100"/>
        <v>350</v>
      </c>
    </row>
    <row r="2749" spans="2:8" x14ac:dyDescent="0.2">
      <c r="B2749" s="262" t="s">
        <v>1881</v>
      </c>
      <c r="C2749" s="263">
        <v>43054</v>
      </c>
      <c r="D2749" s="264" t="s">
        <v>1873</v>
      </c>
      <c r="E2749" s="264" t="s">
        <v>4704</v>
      </c>
      <c r="F2749" s="265">
        <v>450</v>
      </c>
      <c r="G2749" s="265"/>
      <c r="H2749" s="265">
        <f t="shared" si="100"/>
        <v>450</v>
      </c>
    </row>
    <row r="2750" spans="2:8" x14ac:dyDescent="0.2">
      <c r="B2750" s="262" t="s">
        <v>1859</v>
      </c>
      <c r="C2750" s="263">
        <v>43054</v>
      </c>
      <c r="D2750" s="264" t="s">
        <v>4482</v>
      </c>
      <c r="E2750" s="264" t="s">
        <v>4705</v>
      </c>
      <c r="F2750" s="265">
        <v>4000</v>
      </c>
      <c r="G2750" s="265"/>
      <c r="H2750" s="265">
        <f t="shared" si="100"/>
        <v>4000</v>
      </c>
    </row>
    <row r="2751" spans="2:8" x14ac:dyDescent="0.2">
      <c r="B2751" s="262" t="s">
        <v>1884</v>
      </c>
      <c r="C2751" s="263">
        <v>43054</v>
      </c>
      <c r="D2751" s="264" t="s">
        <v>4646</v>
      </c>
      <c r="E2751" s="264" t="s">
        <v>4598</v>
      </c>
      <c r="F2751" s="265">
        <v>1000</v>
      </c>
      <c r="G2751" s="265"/>
      <c r="H2751" s="265">
        <f t="shared" si="100"/>
        <v>1000</v>
      </c>
    </row>
    <row r="2752" spans="2:8" x14ac:dyDescent="0.2">
      <c r="B2752" s="262" t="s">
        <v>1884</v>
      </c>
      <c r="C2752" s="263">
        <v>43054</v>
      </c>
      <c r="D2752" s="264" t="s">
        <v>1873</v>
      </c>
      <c r="E2752" s="264" t="s">
        <v>4589</v>
      </c>
      <c r="F2752" s="265">
        <v>100</v>
      </c>
      <c r="G2752" s="265"/>
      <c r="H2752" s="265">
        <f t="shared" ref="H2752:H2758" si="101">SUM(F2752:G2752)</f>
        <v>100</v>
      </c>
    </row>
    <row r="2753" spans="2:9" x14ac:dyDescent="0.2">
      <c r="B2753" s="262" t="s">
        <v>1577</v>
      </c>
      <c r="C2753" s="263">
        <v>43054</v>
      </c>
      <c r="D2753" s="264" t="s">
        <v>4642</v>
      </c>
      <c r="E2753" s="264" t="s">
        <v>4692</v>
      </c>
      <c r="F2753" s="265">
        <v>15000</v>
      </c>
      <c r="G2753" s="265"/>
      <c r="H2753" s="265">
        <f t="shared" si="101"/>
        <v>15000</v>
      </c>
    </row>
    <row r="2754" spans="2:9" x14ac:dyDescent="0.2">
      <c r="B2754" s="262" t="s">
        <v>1863</v>
      </c>
      <c r="C2754" s="263">
        <v>43054</v>
      </c>
      <c r="D2754" s="264" t="s">
        <v>1897</v>
      </c>
      <c r="E2754" s="264" t="s">
        <v>4707</v>
      </c>
      <c r="F2754" s="265">
        <v>200</v>
      </c>
      <c r="G2754" s="265"/>
      <c r="H2754" s="265">
        <f t="shared" si="101"/>
        <v>200</v>
      </c>
    </row>
    <row r="2755" spans="2:9" x14ac:dyDescent="0.2">
      <c r="B2755" s="262" t="s">
        <v>1546</v>
      </c>
      <c r="C2755" s="263">
        <v>43054</v>
      </c>
      <c r="D2755" s="264" t="s">
        <v>4725</v>
      </c>
      <c r="E2755" s="264" t="s">
        <v>4724</v>
      </c>
      <c r="F2755" s="265">
        <v>7500</v>
      </c>
      <c r="G2755" s="265"/>
      <c r="H2755" s="265">
        <f t="shared" si="101"/>
        <v>7500</v>
      </c>
    </row>
    <row r="2756" spans="2:9" x14ac:dyDescent="0.2">
      <c r="B2756" s="262" t="s">
        <v>1546</v>
      </c>
      <c r="C2756" s="263">
        <v>43054</v>
      </c>
      <c r="D2756" s="264" t="s">
        <v>4748</v>
      </c>
      <c r="E2756" s="264" t="s">
        <v>4749</v>
      </c>
      <c r="F2756" s="265">
        <v>140</v>
      </c>
      <c r="G2756" s="265"/>
      <c r="H2756" s="265">
        <f t="shared" si="101"/>
        <v>140</v>
      </c>
      <c r="I2756" s="175"/>
    </row>
    <row r="2757" spans="2:9" x14ac:dyDescent="0.2">
      <c r="B2757" s="262" t="s">
        <v>1546</v>
      </c>
      <c r="C2757" s="263">
        <v>43054</v>
      </c>
      <c r="D2757" s="264" t="s">
        <v>4400</v>
      </c>
      <c r="E2757" s="264" t="s">
        <v>4718</v>
      </c>
      <c r="F2757" s="265">
        <v>40</v>
      </c>
      <c r="G2757" s="265"/>
      <c r="H2757" s="265">
        <f t="shared" si="101"/>
        <v>40</v>
      </c>
      <c r="I2757" s="175">
        <f>SUM(H2706:H2757)</f>
        <v>70823.7</v>
      </c>
    </row>
    <row r="2758" spans="2:9" x14ac:dyDescent="0.2">
      <c r="B2758" s="262" t="s">
        <v>1821</v>
      </c>
      <c r="C2758" s="263">
        <v>43055</v>
      </c>
      <c r="D2758" s="264" t="s">
        <v>3053</v>
      </c>
      <c r="E2758" s="264" t="s">
        <v>4719</v>
      </c>
      <c r="F2758" s="265">
        <v>2800</v>
      </c>
      <c r="G2758" s="265"/>
      <c r="H2758" s="265">
        <f t="shared" si="101"/>
        <v>2800</v>
      </c>
    </row>
    <row r="2759" spans="2:9" x14ac:dyDescent="0.2">
      <c r="B2759" s="262" t="s">
        <v>1546</v>
      </c>
      <c r="C2759" s="263">
        <v>43056</v>
      </c>
      <c r="D2759" s="264" t="s">
        <v>1921</v>
      </c>
      <c r="E2759" s="264" t="s">
        <v>4720</v>
      </c>
      <c r="F2759" s="265">
        <v>28</v>
      </c>
      <c r="G2759" s="265"/>
      <c r="H2759" s="265">
        <f t="shared" ref="H2759:H2760" si="102">SUM(F2759:G2759)</f>
        <v>28</v>
      </c>
    </row>
    <row r="2760" spans="2:9" x14ac:dyDescent="0.2">
      <c r="B2760" s="262" t="s">
        <v>1866</v>
      </c>
      <c r="C2760" s="263">
        <v>43056</v>
      </c>
      <c r="D2760" s="264" t="s">
        <v>1890</v>
      </c>
      <c r="E2760" s="264" t="s">
        <v>4721</v>
      </c>
      <c r="F2760" s="265">
        <v>68</v>
      </c>
      <c r="G2760" s="265"/>
      <c r="H2760" s="265">
        <f t="shared" si="102"/>
        <v>68</v>
      </c>
    </row>
    <row r="2761" spans="2:9" x14ac:dyDescent="0.2">
      <c r="B2761" s="262" t="s">
        <v>1881</v>
      </c>
      <c r="C2761" s="263">
        <v>43058</v>
      </c>
      <c r="D2761" s="264" t="s">
        <v>2250</v>
      </c>
      <c r="E2761" s="264" t="s">
        <v>2636</v>
      </c>
      <c r="F2761" s="265">
        <v>120</v>
      </c>
      <c r="G2761" s="265"/>
      <c r="H2761" s="265">
        <f t="shared" ref="H2761:H2769" si="103">SUM(F2761:G2761)</f>
        <v>120</v>
      </c>
    </row>
    <row r="2762" spans="2:9" x14ac:dyDescent="0.2">
      <c r="B2762" s="262" t="s">
        <v>1863</v>
      </c>
      <c r="C2762" s="263">
        <v>43058</v>
      </c>
      <c r="D2762" s="264" t="s">
        <v>2250</v>
      </c>
      <c r="E2762" s="264" t="s">
        <v>3381</v>
      </c>
      <c r="F2762" s="265">
        <v>150</v>
      </c>
      <c r="G2762" s="265"/>
      <c r="H2762" s="265">
        <f t="shared" si="103"/>
        <v>150</v>
      </c>
    </row>
    <row r="2763" spans="2:9" x14ac:dyDescent="0.2">
      <c r="B2763" s="262" t="s">
        <v>1864</v>
      </c>
      <c r="C2763" s="263">
        <v>43058</v>
      </c>
      <c r="D2763" s="264" t="s">
        <v>3795</v>
      </c>
      <c r="E2763" s="264" t="s">
        <v>2536</v>
      </c>
      <c r="F2763" s="265">
        <v>76</v>
      </c>
      <c r="G2763" s="265"/>
      <c r="H2763" s="265">
        <f t="shared" si="103"/>
        <v>76</v>
      </c>
    </row>
    <row r="2764" spans="2:9" x14ac:dyDescent="0.2">
      <c r="B2764" s="262" t="s">
        <v>1864</v>
      </c>
      <c r="C2764" s="263">
        <v>43058</v>
      </c>
      <c r="D2764" s="264" t="s">
        <v>2535</v>
      </c>
      <c r="E2764" s="264" t="s">
        <v>3981</v>
      </c>
      <c r="F2764" s="265">
        <v>47</v>
      </c>
      <c r="G2764" s="265"/>
      <c r="H2764" s="265">
        <f t="shared" si="103"/>
        <v>47</v>
      </c>
      <c r="I2764" s="175">
        <f>SUM(H2706:H2764)</f>
        <v>74112.7</v>
      </c>
    </row>
    <row r="2765" spans="2:9" x14ac:dyDescent="0.2">
      <c r="B2765" s="262" t="s">
        <v>1866</v>
      </c>
      <c r="C2765" s="263">
        <v>43059</v>
      </c>
      <c r="D2765" s="264" t="s">
        <v>1890</v>
      </c>
      <c r="E2765" s="264" t="s">
        <v>4721</v>
      </c>
      <c r="F2765" s="265">
        <v>68</v>
      </c>
      <c r="G2765" s="265"/>
      <c r="H2765" s="265">
        <f t="shared" si="103"/>
        <v>68</v>
      </c>
    </row>
    <row r="2766" spans="2:9" x14ac:dyDescent="0.2">
      <c r="B2766" s="262" t="s">
        <v>1863</v>
      </c>
      <c r="C2766" s="263">
        <v>43061</v>
      </c>
      <c r="D2766" s="264" t="s">
        <v>4677</v>
      </c>
      <c r="E2766" s="264" t="s">
        <v>4722</v>
      </c>
      <c r="F2766" s="265">
        <v>350</v>
      </c>
      <c r="G2766" s="265"/>
      <c r="H2766" s="265">
        <f t="shared" si="103"/>
        <v>350</v>
      </c>
    </row>
    <row r="2767" spans="2:9" x14ac:dyDescent="0.2">
      <c r="B2767" s="262" t="s">
        <v>1863</v>
      </c>
      <c r="C2767" s="263">
        <v>43061</v>
      </c>
      <c r="D2767" s="264" t="s">
        <v>2741</v>
      </c>
      <c r="E2767" s="264" t="s">
        <v>4723</v>
      </c>
      <c r="F2767" s="265">
        <v>110</v>
      </c>
      <c r="G2767" s="265"/>
      <c r="H2767" s="265">
        <f t="shared" si="103"/>
        <v>110</v>
      </c>
    </row>
    <row r="2768" spans="2:9" x14ac:dyDescent="0.2">
      <c r="B2768" s="262" t="s">
        <v>1871</v>
      </c>
      <c r="C2768" s="263">
        <v>43061</v>
      </c>
      <c r="D2768" s="264" t="s">
        <v>2704</v>
      </c>
      <c r="E2768" s="264" t="s">
        <v>4503</v>
      </c>
      <c r="F2768" s="265">
        <v>130</v>
      </c>
      <c r="G2768" s="265"/>
      <c r="H2768" s="265">
        <f t="shared" si="103"/>
        <v>130</v>
      </c>
    </row>
    <row r="2769" spans="2:9" x14ac:dyDescent="0.2">
      <c r="B2769" s="262" t="s">
        <v>1863</v>
      </c>
      <c r="C2769" s="263">
        <v>43061</v>
      </c>
      <c r="D2769" s="264" t="s">
        <v>1897</v>
      </c>
      <c r="E2769" s="264" t="s">
        <v>4726</v>
      </c>
      <c r="F2769" s="265">
        <v>200</v>
      </c>
      <c r="G2769" s="265"/>
      <c r="H2769" s="265">
        <f t="shared" si="103"/>
        <v>200</v>
      </c>
    </row>
    <row r="2770" spans="2:9" x14ac:dyDescent="0.2">
      <c r="B2770" s="262" t="s">
        <v>1577</v>
      </c>
      <c r="C2770" s="263">
        <v>43062</v>
      </c>
      <c r="D2770" s="264" t="s">
        <v>4642</v>
      </c>
      <c r="E2770" s="264" t="s">
        <v>4727</v>
      </c>
      <c r="F2770" s="265">
        <v>30100</v>
      </c>
      <c r="G2770" s="265"/>
      <c r="H2770" s="265">
        <f t="shared" ref="H2770:H2800" si="104">SUM(F2770:G2770)</f>
        <v>30100</v>
      </c>
    </row>
    <row r="2771" spans="2:9" x14ac:dyDescent="0.2">
      <c r="B2771" s="262" t="s">
        <v>1863</v>
      </c>
      <c r="C2771" s="263">
        <v>43062</v>
      </c>
      <c r="D2771" s="264" t="s">
        <v>4677</v>
      </c>
      <c r="E2771" s="264" t="s">
        <v>4728</v>
      </c>
      <c r="F2771" s="265">
        <v>330</v>
      </c>
      <c r="G2771" s="265"/>
      <c r="H2771" s="265">
        <f t="shared" si="104"/>
        <v>330</v>
      </c>
    </row>
    <row r="2772" spans="2:9" x14ac:dyDescent="0.2">
      <c r="B2772" s="262" t="s">
        <v>1863</v>
      </c>
      <c r="C2772" s="263">
        <v>43062</v>
      </c>
      <c r="D2772" s="264" t="s">
        <v>1897</v>
      </c>
      <c r="E2772" s="264" t="s">
        <v>4726</v>
      </c>
      <c r="F2772" s="265">
        <v>200</v>
      </c>
      <c r="G2772" s="265"/>
      <c r="H2772" s="265">
        <f t="shared" si="104"/>
        <v>200</v>
      </c>
    </row>
    <row r="2773" spans="2:9" x14ac:dyDescent="0.2">
      <c r="B2773" s="262" t="s">
        <v>1863</v>
      </c>
      <c r="C2773" s="263">
        <v>43062</v>
      </c>
      <c r="D2773" s="264" t="s">
        <v>4487</v>
      </c>
      <c r="E2773" s="264" t="s">
        <v>4729</v>
      </c>
      <c r="F2773" s="265">
        <v>77.3</v>
      </c>
      <c r="G2773" s="265"/>
      <c r="H2773" s="265">
        <f t="shared" si="104"/>
        <v>77.3</v>
      </c>
    </row>
    <row r="2774" spans="2:9" x14ac:dyDescent="0.2">
      <c r="B2774" s="262" t="s">
        <v>1884</v>
      </c>
      <c r="C2774" s="263">
        <v>43062</v>
      </c>
      <c r="D2774" s="264" t="s">
        <v>4482</v>
      </c>
      <c r="E2774" s="264" t="s">
        <v>4730</v>
      </c>
      <c r="F2774" s="265">
        <v>245.4</v>
      </c>
      <c r="G2774" s="265"/>
      <c r="H2774" s="265">
        <f t="shared" si="104"/>
        <v>245.4</v>
      </c>
      <c r="I2774" s="175">
        <f>SUM(H2706:H2774)</f>
        <v>105923.4</v>
      </c>
    </row>
    <row r="2775" spans="2:9" x14ac:dyDescent="0.2">
      <c r="B2775" s="262" t="s">
        <v>1805</v>
      </c>
      <c r="C2775" s="263">
        <v>43063</v>
      </c>
      <c r="D2775" s="264" t="s">
        <v>3565</v>
      </c>
      <c r="E2775" s="264" t="s">
        <v>4733</v>
      </c>
      <c r="F2775" s="265">
        <v>1250</v>
      </c>
      <c r="G2775" s="265"/>
      <c r="H2775" s="265">
        <f t="shared" ref="H2775" si="105">SUM(F2775:G2775)</f>
        <v>1250</v>
      </c>
    </row>
    <row r="2776" spans="2:9" x14ac:dyDescent="0.2">
      <c r="B2776" s="262" t="s">
        <v>1862</v>
      </c>
      <c r="C2776" s="263">
        <v>43064</v>
      </c>
      <c r="D2776" s="264" t="s">
        <v>1892</v>
      </c>
      <c r="E2776" s="264" t="s">
        <v>4731</v>
      </c>
      <c r="F2776" s="265">
        <v>480</v>
      </c>
      <c r="G2776" s="265"/>
      <c r="H2776" s="265">
        <f t="shared" si="104"/>
        <v>480</v>
      </c>
    </row>
    <row r="2777" spans="2:9" x14ac:dyDescent="0.2">
      <c r="B2777" s="262" t="s">
        <v>1870</v>
      </c>
      <c r="C2777" s="263">
        <v>43064</v>
      </c>
      <c r="D2777" s="264" t="s">
        <v>1892</v>
      </c>
      <c r="E2777" s="264" t="s">
        <v>4732</v>
      </c>
      <c r="F2777" s="265">
        <v>400</v>
      </c>
      <c r="G2777" s="265"/>
      <c r="H2777" s="265">
        <f t="shared" si="104"/>
        <v>400</v>
      </c>
    </row>
    <row r="2778" spans="2:9" x14ac:dyDescent="0.2">
      <c r="B2778" s="262" t="s">
        <v>1864</v>
      </c>
      <c r="C2778" s="263">
        <v>43065</v>
      </c>
      <c r="D2778" s="264" t="s">
        <v>2535</v>
      </c>
      <c r="E2778" s="264" t="s">
        <v>4739</v>
      </c>
      <c r="F2778" s="265">
        <v>99</v>
      </c>
      <c r="G2778" s="265"/>
      <c r="H2778" s="265">
        <f t="shared" si="104"/>
        <v>99</v>
      </c>
    </row>
    <row r="2779" spans="2:9" x14ac:dyDescent="0.2">
      <c r="B2779" s="262" t="s">
        <v>1881</v>
      </c>
      <c r="C2779" s="263">
        <v>43065</v>
      </c>
      <c r="D2779" s="264" t="s">
        <v>2250</v>
      </c>
      <c r="E2779" s="264" t="s">
        <v>4395</v>
      </c>
      <c r="F2779" s="265">
        <v>120</v>
      </c>
      <c r="G2779" s="265"/>
      <c r="H2779" s="265">
        <f t="shared" si="104"/>
        <v>120</v>
      </c>
    </row>
    <row r="2780" spans="2:9" x14ac:dyDescent="0.2">
      <c r="B2780" s="262" t="s">
        <v>1863</v>
      </c>
      <c r="C2780" s="263">
        <v>43065</v>
      </c>
      <c r="D2780" s="264" t="s">
        <v>2250</v>
      </c>
      <c r="E2780" s="264" t="s">
        <v>3381</v>
      </c>
      <c r="F2780" s="265">
        <v>150</v>
      </c>
      <c r="G2780" s="265"/>
      <c r="H2780" s="265">
        <f t="shared" ref="H2780" si="106">SUM(F2780:G2780)</f>
        <v>150</v>
      </c>
    </row>
    <row r="2781" spans="2:9" x14ac:dyDescent="0.2">
      <c r="B2781" s="262" t="s">
        <v>1866</v>
      </c>
      <c r="C2781" s="263">
        <v>43066</v>
      </c>
      <c r="D2781" s="264" t="s">
        <v>1890</v>
      </c>
      <c r="E2781" s="264" t="s">
        <v>4747</v>
      </c>
      <c r="F2781" s="265">
        <v>140</v>
      </c>
      <c r="G2781" s="265"/>
      <c r="H2781" s="265">
        <f t="shared" si="104"/>
        <v>140</v>
      </c>
    </row>
    <row r="2782" spans="2:9" x14ac:dyDescent="0.2">
      <c r="B2782" s="262" t="s">
        <v>1871</v>
      </c>
      <c r="C2782" s="263">
        <v>43066</v>
      </c>
      <c r="D2782" s="264" t="s">
        <v>4740</v>
      </c>
      <c r="E2782" s="264" t="s">
        <v>4741</v>
      </c>
      <c r="F2782" s="265">
        <v>530</v>
      </c>
      <c r="G2782" s="265"/>
      <c r="H2782" s="265">
        <f t="shared" si="104"/>
        <v>530</v>
      </c>
    </row>
    <row r="2783" spans="2:9" x14ac:dyDescent="0.2">
      <c r="B2783" s="262" t="s">
        <v>1860</v>
      </c>
      <c r="C2783" s="263">
        <v>43067</v>
      </c>
      <c r="D2783" s="264" t="s">
        <v>3435</v>
      </c>
      <c r="E2783" s="264" t="s">
        <v>4742</v>
      </c>
      <c r="F2783" s="265">
        <v>18</v>
      </c>
      <c r="G2783" s="265"/>
      <c r="H2783" s="265">
        <f t="shared" si="104"/>
        <v>18</v>
      </c>
    </row>
    <row r="2784" spans="2:9" x14ac:dyDescent="0.2">
      <c r="B2784" s="262" t="s">
        <v>1860</v>
      </c>
      <c r="C2784" s="263">
        <v>43067</v>
      </c>
      <c r="D2784" s="264" t="s">
        <v>3435</v>
      </c>
      <c r="E2784" s="264" t="s">
        <v>4743</v>
      </c>
      <c r="F2784" s="265">
        <v>15</v>
      </c>
      <c r="G2784" s="265"/>
      <c r="H2784" s="265">
        <f t="shared" ref="H2784:H2786" si="107">SUM(F2784:G2784)</f>
        <v>15</v>
      </c>
    </row>
    <row r="2785" spans="2:8" x14ac:dyDescent="0.2">
      <c r="B2785" s="262" t="s">
        <v>1860</v>
      </c>
      <c r="C2785" s="263">
        <v>43067</v>
      </c>
      <c r="D2785" s="264" t="s">
        <v>3435</v>
      </c>
      <c r="E2785" s="264" t="s">
        <v>4744</v>
      </c>
      <c r="F2785" s="265">
        <v>4</v>
      </c>
      <c r="G2785" s="265"/>
      <c r="H2785" s="265">
        <f t="shared" si="107"/>
        <v>4</v>
      </c>
    </row>
    <row r="2786" spans="2:8" x14ac:dyDescent="0.2">
      <c r="B2786" s="262" t="s">
        <v>1863</v>
      </c>
      <c r="C2786" s="263">
        <v>43068</v>
      </c>
      <c r="D2786" s="264" t="s">
        <v>4750</v>
      </c>
      <c r="E2786" s="264" t="s">
        <v>4745</v>
      </c>
      <c r="F2786" s="265">
        <v>350</v>
      </c>
      <c r="G2786" s="265"/>
      <c r="H2786" s="265">
        <f t="shared" si="107"/>
        <v>350</v>
      </c>
    </row>
    <row r="2787" spans="2:8" x14ac:dyDescent="0.2">
      <c r="B2787" s="262" t="s">
        <v>1805</v>
      </c>
      <c r="C2787" s="263">
        <v>43069</v>
      </c>
      <c r="D2787" s="264" t="s">
        <v>4634</v>
      </c>
      <c r="E2787" s="264" t="s">
        <v>4746</v>
      </c>
      <c r="F2787" s="265">
        <v>100</v>
      </c>
      <c r="G2787" s="265"/>
      <c r="H2787" s="265">
        <f t="shared" ref="H2787" si="108">SUM(F2787:G2787)</f>
        <v>100</v>
      </c>
    </row>
    <row r="2788" spans="2:8" x14ac:dyDescent="0.2">
      <c r="B2788" s="262" t="s">
        <v>1881</v>
      </c>
      <c r="C2788" s="263">
        <v>43069</v>
      </c>
      <c r="D2788" s="264" t="s">
        <v>1873</v>
      </c>
      <c r="E2788" s="264" t="s">
        <v>4711</v>
      </c>
      <c r="F2788" s="265">
        <v>450</v>
      </c>
      <c r="G2788" s="265"/>
      <c r="H2788" s="265">
        <f t="shared" si="104"/>
        <v>450</v>
      </c>
    </row>
    <row r="2789" spans="2:8" x14ac:dyDescent="0.2">
      <c r="B2789" s="262" t="s">
        <v>1881</v>
      </c>
      <c r="C2789" s="263">
        <v>43069</v>
      </c>
      <c r="D2789" s="264" t="s">
        <v>1873</v>
      </c>
      <c r="E2789" s="264" t="s">
        <v>4589</v>
      </c>
      <c r="F2789" s="265">
        <v>100</v>
      </c>
      <c r="G2789" s="265"/>
      <c r="H2789" s="265">
        <f t="shared" si="104"/>
        <v>100</v>
      </c>
    </row>
    <row r="2790" spans="2:8" x14ac:dyDescent="0.2">
      <c r="B2790" s="262" t="s">
        <v>1881</v>
      </c>
      <c r="C2790" s="263">
        <v>43069</v>
      </c>
      <c r="D2790" s="264" t="s">
        <v>2250</v>
      </c>
      <c r="E2790" s="264" t="s">
        <v>4712</v>
      </c>
      <c r="F2790" s="265">
        <v>300</v>
      </c>
      <c r="G2790" s="265"/>
      <c r="H2790" s="265">
        <f t="shared" si="104"/>
        <v>300</v>
      </c>
    </row>
    <row r="2791" spans="2:8" x14ac:dyDescent="0.2">
      <c r="B2791" s="262" t="s">
        <v>1884</v>
      </c>
      <c r="C2791" s="263">
        <v>43069</v>
      </c>
      <c r="D2791" s="264" t="s">
        <v>4646</v>
      </c>
      <c r="E2791" s="264" t="s">
        <v>4598</v>
      </c>
      <c r="F2791" s="265">
        <v>1000</v>
      </c>
      <c r="G2791" s="265"/>
      <c r="H2791" s="265">
        <f t="shared" si="104"/>
        <v>1000</v>
      </c>
    </row>
    <row r="2792" spans="2:8" x14ac:dyDescent="0.2">
      <c r="B2792" s="262" t="s">
        <v>1887</v>
      </c>
      <c r="C2792" s="263">
        <v>43043</v>
      </c>
      <c r="D2792" s="264" t="s">
        <v>1534</v>
      </c>
      <c r="E2792" s="264" t="s">
        <v>1536</v>
      </c>
      <c r="F2792" s="265">
        <v>-0.46</v>
      </c>
      <c r="G2792" s="265"/>
      <c r="H2792" s="265">
        <f t="shared" si="104"/>
        <v>-0.46</v>
      </c>
    </row>
    <row r="2793" spans="2:8" x14ac:dyDescent="0.2">
      <c r="B2793" s="262" t="s">
        <v>1887</v>
      </c>
      <c r="C2793" s="263">
        <v>43043</v>
      </c>
      <c r="D2793" s="264" t="s">
        <v>1534</v>
      </c>
      <c r="E2793" s="264" t="s">
        <v>1536</v>
      </c>
      <c r="F2793" s="265">
        <v>-0.46</v>
      </c>
      <c r="G2793" s="265"/>
      <c r="H2793" s="265">
        <f t="shared" si="104"/>
        <v>-0.46</v>
      </c>
    </row>
    <row r="2794" spans="2:8" x14ac:dyDescent="0.2">
      <c r="B2794" s="262" t="s">
        <v>1790</v>
      </c>
      <c r="C2794" s="263">
        <v>43045</v>
      </c>
      <c r="D2794" s="361" t="s">
        <v>1909</v>
      </c>
      <c r="E2794" s="361" t="s">
        <v>4713</v>
      </c>
      <c r="F2794" s="362"/>
      <c r="G2794" s="362">
        <v>-1760</v>
      </c>
      <c r="H2794" s="265">
        <f t="shared" si="104"/>
        <v>-1760</v>
      </c>
    </row>
    <row r="2795" spans="2:8" x14ac:dyDescent="0.2">
      <c r="B2795" s="262" t="s">
        <v>1887</v>
      </c>
      <c r="C2795" s="263">
        <v>43040</v>
      </c>
      <c r="D2795" s="361" t="s">
        <v>1597</v>
      </c>
      <c r="E2795" s="361" t="s">
        <v>4532</v>
      </c>
      <c r="F2795" s="265">
        <v>30</v>
      </c>
      <c r="G2795" s="265"/>
      <c r="H2795" s="265">
        <f t="shared" si="104"/>
        <v>30</v>
      </c>
    </row>
    <row r="2796" spans="2:8" x14ac:dyDescent="0.2">
      <c r="B2796" s="262" t="s">
        <v>1790</v>
      </c>
      <c r="C2796" s="263">
        <v>43040</v>
      </c>
      <c r="D2796" s="361" t="s">
        <v>1597</v>
      </c>
      <c r="E2796" s="361" t="s">
        <v>2230</v>
      </c>
      <c r="F2796" s="265"/>
      <c r="G2796" s="265">
        <v>4.8</v>
      </c>
      <c r="H2796" s="265">
        <f t="shared" si="104"/>
        <v>4.8</v>
      </c>
    </row>
    <row r="2797" spans="2:8" x14ac:dyDescent="0.2">
      <c r="B2797" s="262" t="s">
        <v>1887</v>
      </c>
      <c r="C2797" s="263">
        <v>43069</v>
      </c>
      <c r="D2797" s="361" t="s">
        <v>1597</v>
      </c>
      <c r="E2797" s="361" t="s">
        <v>4532</v>
      </c>
      <c r="F2797" s="362">
        <v>31.21</v>
      </c>
      <c r="G2797" s="362"/>
      <c r="H2797" s="265"/>
    </row>
    <row r="2798" spans="2:8" x14ac:dyDescent="0.2">
      <c r="B2798" s="262" t="s">
        <v>1790</v>
      </c>
      <c r="C2798" s="263">
        <v>43069</v>
      </c>
      <c r="D2798" s="361" t="s">
        <v>1597</v>
      </c>
      <c r="E2798" s="361" t="s">
        <v>2230</v>
      </c>
      <c r="F2798" s="362"/>
      <c r="G2798" s="362">
        <v>4.99</v>
      </c>
      <c r="H2798" s="265"/>
    </row>
    <row r="2799" spans="2:8" x14ac:dyDescent="0.2">
      <c r="B2799" s="262" t="s">
        <v>1887</v>
      </c>
      <c r="C2799" s="263">
        <v>43069</v>
      </c>
      <c r="D2799" s="361" t="s">
        <v>1597</v>
      </c>
      <c r="E2799" s="361" t="s">
        <v>2229</v>
      </c>
      <c r="F2799" s="362">
        <v>36</v>
      </c>
      <c r="G2799" s="362"/>
      <c r="H2799" s="265">
        <f t="shared" si="104"/>
        <v>36</v>
      </c>
    </row>
    <row r="2800" spans="2:8" x14ac:dyDescent="0.2">
      <c r="B2800" s="262" t="s">
        <v>1790</v>
      </c>
      <c r="C2800" s="263">
        <v>43069</v>
      </c>
      <c r="D2800" s="361" t="s">
        <v>1597</v>
      </c>
      <c r="E2800" s="361" t="s">
        <v>2230</v>
      </c>
      <c r="F2800" s="362"/>
      <c r="G2800" s="362">
        <v>5.76</v>
      </c>
      <c r="H2800" s="265">
        <f t="shared" si="104"/>
        <v>5.76</v>
      </c>
    </row>
    <row r="2801" spans="2:9" x14ac:dyDescent="0.2">
      <c r="B2801" s="262"/>
      <c r="C2801" s="263"/>
      <c r="D2801" s="264"/>
      <c r="E2801" s="264"/>
      <c r="F2801" s="265"/>
      <c r="G2801" s="265"/>
      <c r="H2801" s="265">
        <f t="shared" ref="H2801:H2808" si="109">SUM(F2801:G2801)</f>
        <v>0</v>
      </c>
    </row>
    <row r="2802" spans="2:9" ht="18" customHeight="1" x14ac:dyDescent="0.2">
      <c r="B2802" s="255" t="s">
        <v>1850</v>
      </c>
      <c r="C2802" s="255" t="s">
        <v>1851</v>
      </c>
      <c r="D2802" s="256" t="s">
        <v>1852</v>
      </c>
      <c r="E2802" s="256" t="s">
        <v>1853</v>
      </c>
      <c r="F2802" s="257" t="s">
        <v>1854</v>
      </c>
      <c r="G2802" s="257" t="s">
        <v>1855</v>
      </c>
      <c r="H2802" s="257" t="s">
        <v>1856</v>
      </c>
    </row>
    <row r="2803" spans="2:9" x14ac:dyDescent="0.2">
      <c r="B2803" s="262" t="s">
        <v>1870</v>
      </c>
      <c r="C2803" s="263">
        <v>43070</v>
      </c>
      <c r="D2803" s="264" t="s">
        <v>3053</v>
      </c>
      <c r="E2803" s="264" t="s">
        <v>4734</v>
      </c>
      <c r="F2803" s="265">
        <v>3600</v>
      </c>
      <c r="G2803" s="265"/>
      <c r="H2803" s="265">
        <f t="shared" si="109"/>
        <v>3600</v>
      </c>
    </row>
    <row r="2804" spans="2:9" x14ac:dyDescent="0.2">
      <c r="B2804" s="262" t="s">
        <v>1870</v>
      </c>
      <c r="C2804" s="263">
        <v>43070</v>
      </c>
      <c r="D2804" s="264" t="s">
        <v>4590</v>
      </c>
      <c r="E2804" s="264" t="s">
        <v>4751</v>
      </c>
      <c r="F2804" s="265">
        <v>1600</v>
      </c>
      <c r="G2804" s="265"/>
      <c r="H2804" s="265">
        <f t="shared" si="109"/>
        <v>1600</v>
      </c>
    </row>
    <row r="2805" spans="2:9" x14ac:dyDescent="0.2">
      <c r="B2805" s="262" t="s">
        <v>1859</v>
      </c>
      <c r="C2805" s="263">
        <v>43070</v>
      </c>
      <c r="D2805" s="264" t="s">
        <v>4482</v>
      </c>
      <c r="E2805" s="264" t="s">
        <v>4735</v>
      </c>
      <c r="F2805" s="265">
        <v>4000</v>
      </c>
      <c r="G2805" s="265"/>
      <c r="H2805" s="265">
        <f t="shared" si="109"/>
        <v>4000</v>
      </c>
      <c r="I2805" s="175"/>
    </row>
    <row r="2806" spans="2:9" x14ac:dyDescent="0.2">
      <c r="B2806" s="262" t="s">
        <v>1860</v>
      </c>
      <c r="C2806" s="263">
        <v>43070</v>
      </c>
      <c r="D2806" s="264" t="s">
        <v>1891</v>
      </c>
      <c r="E2806" s="264" t="s">
        <v>3314</v>
      </c>
      <c r="F2806" s="265">
        <v>349.14</v>
      </c>
      <c r="G2806" s="265">
        <v>55.86</v>
      </c>
      <c r="H2806" s="265">
        <f t="shared" si="109"/>
        <v>405</v>
      </c>
    </row>
    <row r="2807" spans="2:9" x14ac:dyDescent="0.2">
      <c r="B2807" s="262" t="s">
        <v>1860</v>
      </c>
      <c r="C2807" s="263">
        <v>43070</v>
      </c>
      <c r="D2807" s="264" t="s">
        <v>1925</v>
      </c>
      <c r="E2807" s="264" t="s">
        <v>4736</v>
      </c>
      <c r="F2807" s="265">
        <v>5</v>
      </c>
      <c r="G2807" s="265"/>
      <c r="H2807" s="265">
        <f t="shared" si="109"/>
        <v>5</v>
      </c>
    </row>
    <row r="2808" spans="2:9" x14ac:dyDescent="0.2">
      <c r="B2808" s="262" t="s">
        <v>1870</v>
      </c>
      <c r="C2808" s="263">
        <v>43070</v>
      </c>
      <c r="D2808" s="264" t="s">
        <v>1889</v>
      </c>
      <c r="E2808" s="264" t="s">
        <v>4737</v>
      </c>
      <c r="F2808" s="265">
        <v>150</v>
      </c>
      <c r="G2808" s="265"/>
      <c r="H2808" s="265">
        <f t="shared" si="109"/>
        <v>150</v>
      </c>
    </row>
    <row r="2809" spans="2:9" x14ac:dyDescent="0.2">
      <c r="B2809" s="262" t="s">
        <v>1863</v>
      </c>
      <c r="C2809" s="263">
        <v>43070</v>
      </c>
      <c r="D2809" s="264" t="s">
        <v>1897</v>
      </c>
      <c r="E2809" s="264" t="s">
        <v>4738</v>
      </c>
      <c r="F2809" s="265">
        <v>600</v>
      </c>
      <c r="G2809" s="265"/>
      <c r="H2809" s="265">
        <f t="shared" ref="H2809:H2812" si="110">SUM(F2809:G2809)</f>
        <v>600</v>
      </c>
    </row>
    <row r="2810" spans="2:9" x14ac:dyDescent="0.2">
      <c r="B2810" s="262" t="s">
        <v>1884</v>
      </c>
      <c r="C2810" s="263">
        <v>43070</v>
      </c>
      <c r="D2810" s="264" t="s">
        <v>1915</v>
      </c>
      <c r="E2810" s="264" t="s">
        <v>4569</v>
      </c>
      <c r="F2810" s="265">
        <v>250</v>
      </c>
      <c r="G2810" s="265"/>
      <c r="H2810" s="265">
        <f t="shared" si="110"/>
        <v>250</v>
      </c>
      <c r="I2810" s="175">
        <f>SUM(H2803:H2812)</f>
        <v>11190</v>
      </c>
    </row>
    <row r="2811" spans="2:9" x14ac:dyDescent="0.2">
      <c r="B2811" s="262" t="s">
        <v>1884</v>
      </c>
      <c r="C2811" s="263">
        <v>43070</v>
      </c>
      <c r="D2811" s="264" t="s">
        <v>1915</v>
      </c>
      <c r="E2811" s="264" t="s">
        <v>4569</v>
      </c>
      <c r="F2811" s="265">
        <v>250</v>
      </c>
      <c r="G2811" s="265"/>
      <c r="H2811" s="265">
        <f t="shared" si="110"/>
        <v>250</v>
      </c>
    </row>
    <row r="2812" spans="2:9" x14ac:dyDescent="0.2">
      <c r="B2812" s="262" t="s">
        <v>1863</v>
      </c>
      <c r="C2812" s="263">
        <v>43070</v>
      </c>
      <c r="D2812" s="264" t="s">
        <v>4750</v>
      </c>
      <c r="E2812" s="264" t="s">
        <v>4772</v>
      </c>
      <c r="F2812" s="265">
        <v>330</v>
      </c>
      <c r="G2812" s="265"/>
      <c r="H2812" s="265">
        <f t="shared" si="110"/>
        <v>330</v>
      </c>
    </row>
    <row r="2813" spans="2:9" x14ac:dyDescent="0.2">
      <c r="B2813" s="262" t="s">
        <v>1863</v>
      </c>
      <c r="C2813" s="263">
        <v>43070</v>
      </c>
      <c r="D2813" s="264" t="s">
        <v>4773</v>
      </c>
      <c r="E2813" s="264" t="s">
        <v>4723</v>
      </c>
      <c r="F2813" s="265">
        <v>135</v>
      </c>
      <c r="G2813" s="265"/>
      <c r="H2813" s="265">
        <f t="shared" ref="H2813:H2819" si="111">SUM(F2813:G2813)</f>
        <v>135</v>
      </c>
    </row>
    <row r="2814" spans="2:9" x14ac:dyDescent="0.2">
      <c r="B2814" s="262" t="s">
        <v>1805</v>
      </c>
      <c r="C2814" s="263">
        <v>43070</v>
      </c>
      <c r="D2814" s="264" t="s">
        <v>3565</v>
      </c>
      <c r="E2814" s="264" t="s">
        <v>4774</v>
      </c>
      <c r="F2814" s="265">
        <v>1250</v>
      </c>
      <c r="G2814" s="265"/>
      <c r="H2814" s="265">
        <f t="shared" si="111"/>
        <v>1250</v>
      </c>
    </row>
    <row r="2815" spans="2:9" x14ac:dyDescent="0.2">
      <c r="B2815" s="262" t="s">
        <v>1884</v>
      </c>
      <c r="C2815" s="263">
        <v>43071</v>
      </c>
      <c r="D2815" s="264" t="s">
        <v>3583</v>
      </c>
      <c r="E2815" s="264" t="s">
        <v>4775</v>
      </c>
      <c r="F2815" s="265">
        <v>450</v>
      </c>
      <c r="G2815" s="265"/>
      <c r="H2815" s="265">
        <f t="shared" si="111"/>
        <v>450</v>
      </c>
    </row>
    <row r="2816" spans="2:9" x14ac:dyDescent="0.2">
      <c r="B2816" s="262" t="s">
        <v>1863</v>
      </c>
      <c r="C2816" s="263">
        <v>43071</v>
      </c>
      <c r="D2816" s="264" t="s">
        <v>4578</v>
      </c>
      <c r="E2816" s="264" t="s">
        <v>4776</v>
      </c>
      <c r="F2816" s="265">
        <v>225</v>
      </c>
      <c r="G2816" s="265">
        <v>36</v>
      </c>
      <c r="H2816" s="265">
        <f t="shared" si="111"/>
        <v>261</v>
      </c>
    </row>
    <row r="2817" spans="2:8" x14ac:dyDescent="0.2">
      <c r="B2817" s="262" t="s">
        <v>1864</v>
      </c>
      <c r="C2817" s="263">
        <v>43072</v>
      </c>
      <c r="D2817" s="264" t="s">
        <v>2535</v>
      </c>
      <c r="E2817" s="264" t="s">
        <v>3023</v>
      </c>
      <c r="F2817" s="265">
        <v>53</v>
      </c>
      <c r="G2817" s="265"/>
      <c r="H2817" s="265">
        <f t="shared" si="111"/>
        <v>53</v>
      </c>
    </row>
    <row r="2818" spans="2:8" x14ac:dyDescent="0.2">
      <c r="B2818" s="262" t="s">
        <v>1864</v>
      </c>
      <c r="C2818" s="263">
        <v>43072</v>
      </c>
      <c r="D2818" s="264" t="s">
        <v>2535</v>
      </c>
      <c r="E2818" s="264" t="s">
        <v>4777</v>
      </c>
      <c r="F2818" s="265">
        <v>70</v>
      </c>
      <c r="G2818" s="265"/>
      <c r="H2818" s="265">
        <f t="shared" si="111"/>
        <v>70</v>
      </c>
    </row>
    <row r="2819" spans="2:8" x14ac:dyDescent="0.2">
      <c r="B2819" s="262" t="s">
        <v>1881</v>
      </c>
      <c r="C2819" s="263">
        <v>43072</v>
      </c>
      <c r="D2819" s="264" t="s">
        <v>2250</v>
      </c>
      <c r="E2819" s="264" t="s">
        <v>4778</v>
      </c>
      <c r="F2819" s="265">
        <v>120</v>
      </c>
      <c r="G2819" s="265"/>
      <c r="H2819" s="265">
        <f t="shared" si="111"/>
        <v>120</v>
      </c>
    </row>
    <row r="2820" spans="2:8" x14ac:dyDescent="0.2">
      <c r="B2820" s="262" t="s">
        <v>1863</v>
      </c>
      <c r="C2820" s="263">
        <v>43072</v>
      </c>
      <c r="D2820" s="264" t="s">
        <v>2250</v>
      </c>
      <c r="E2820" s="264" t="s">
        <v>4779</v>
      </c>
      <c r="F2820" s="265">
        <v>150</v>
      </c>
      <c r="G2820" s="265"/>
      <c r="H2820" s="265">
        <f t="shared" ref="H2820:H2827" si="112">SUM(F2820:G2820)</f>
        <v>150</v>
      </c>
    </row>
    <row r="2821" spans="2:8" x14ac:dyDescent="0.2">
      <c r="B2821" s="262" t="s">
        <v>1871</v>
      </c>
      <c r="C2821" s="263">
        <v>43072</v>
      </c>
      <c r="D2821" s="264" t="s">
        <v>4825</v>
      </c>
      <c r="E2821" s="264" t="s">
        <v>2971</v>
      </c>
      <c r="F2821" s="265">
        <v>55</v>
      </c>
      <c r="G2821" s="265"/>
      <c r="H2821" s="265">
        <f t="shared" si="112"/>
        <v>55</v>
      </c>
    </row>
    <row r="2822" spans="2:8" x14ac:dyDescent="0.2">
      <c r="B2822" s="262" t="s">
        <v>1866</v>
      </c>
      <c r="C2822" s="263">
        <v>43073</v>
      </c>
      <c r="D2822" s="264" t="s">
        <v>1890</v>
      </c>
      <c r="E2822" s="264" t="s">
        <v>4339</v>
      </c>
      <c r="F2822" s="265">
        <v>105</v>
      </c>
      <c r="G2822" s="265"/>
      <c r="H2822" s="265">
        <f t="shared" si="112"/>
        <v>105</v>
      </c>
    </row>
    <row r="2823" spans="2:8" x14ac:dyDescent="0.2">
      <c r="B2823" s="262" t="s">
        <v>1879</v>
      </c>
      <c r="C2823" s="263">
        <v>43073</v>
      </c>
      <c r="D2823" s="264" t="s">
        <v>3330</v>
      </c>
      <c r="E2823" s="264" t="s">
        <v>4780</v>
      </c>
      <c r="F2823" s="265">
        <v>900</v>
      </c>
      <c r="G2823" s="265"/>
      <c r="H2823" s="265">
        <f t="shared" si="112"/>
        <v>900</v>
      </c>
    </row>
    <row r="2824" spans="2:8" x14ac:dyDescent="0.2">
      <c r="B2824" s="262" t="s">
        <v>1864</v>
      </c>
      <c r="C2824" s="263">
        <v>43073</v>
      </c>
      <c r="D2824" s="264" t="s">
        <v>3565</v>
      </c>
      <c r="E2824" s="264" t="s">
        <v>4781</v>
      </c>
      <c r="F2824" s="265">
        <v>400</v>
      </c>
      <c r="G2824" s="265"/>
      <c r="H2824" s="265">
        <f t="shared" si="112"/>
        <v>400</v>
      </c>
    </row>
    <row r="2825" spans="2:8" x14ac:dyDescent="0.2">
      <c r="B2825" s="262" t="s">
        <v>1884</v>
      </c>
      <c r="C2825" s="263">
        <v>43073</v>
      </c>
      <c r="D2825" s="264" t="s">
        <v>1915</v>
      </c>
      <c r="E2825" s="264" t="s">
        <v>4782</v>
      </c>
      <c r="F2825" s="265">
        <v>300</v>
      </c>
      <c r="G2825" s="265"/>
      <c r="H2825" s="265">
        <f t="shared" si="112"/>
        <v>300</v>
      </c>
    </row>
    <row r="2826" spans="2:8" x14ac:dyDescent="0.2">
      <c r="B2826" s="262" t="s">
        <v>1863</v>
      </c>
      <c r="C2826" s="263">
        <v>43075</v>
      </c>
      <c r="D2826" s="264" t="s">
        <v>4750</v>
      </c>
      <c r="E2826" s="264" t="s">
        <v>4783</v>
      </c>
      <c r="F2826" s="265">
        <v>340</v>
      </c>
      <c r="G2826" s="265"/>
      <c r="H2826" s="265">
        <f t="shared" si="112"/>
        <v>340</v>
      </c>
    </row>
    <row r="2827" spans="2:8" x14ac:dyDescent="0.2">
      <c r="B2827" s="262" t="s">
        <v>1881</v>
      </c>
      <c r="C2827" s="263">
        <v>43075</v>
      </c>
      <c r="D2827" s="264" t="s">
        <v>4784</v>
      </c>
      <c r="E2827" s="264" t="s">
        <v>4785</v>
      </c>
      <c r="F2827" s="265">
        <v>490</v>
      </c>
      <c r="G2827" s="265"/>
      <c r="H2827" s="265">
        <f t="shared" si="112"/>
        <v>490</v>
      </c>
    </row>
    <row r="2828" spans="2:8" x14ac:dyDescent="0.2">
      <c r="B2828" s="262" t="s">
        <v>1881</v>
      </c>
      <c r="C2828" s="263">
        <v>43075</v>
      </c>
      <c r="D2828" s="264" t="s">
        <v>4459</v>
      </c>
      <c r="E2828" s="264" t="s">
        <v>4786</v>
      </c>
      <c r="F2828" s="265">
        <v>245</v>
      </c>
      <c r="G2828" s="265"/>
      <c r="H2828" s="265">
        <f t="shared" ref="H2828:H2843" si="113">SUM(F2828:G2828)</f>
        <v>245</v>
      </c>
    </row>
    <row r="2829" spans="2:8" x14ac:dyDescent="0.2">
      <c r="B2829" s="262" t="s">
        <v>1881</v>
      </c>
      <c r="C2829" s="263">
        <v>43075</v>
      </c>
      <c r="D2829" s="264" t="s">
        <v>4459</v>
      </c>
      <c r="E2829" s="264" t="s">
        <v>4787</v>
      </c>
      <c r="F2829" s="265">
        <v>250</v>
      </c>
      <c r="G2829" s="265"/>
      <c r="H2829" s="265">
        <f t="shared" si="113"/>
        <v>250</v>
      </c>
    </row>
    <row r="2830" spans="2:8" x14ac:dyDescent="0.2">
      <c r="B2830" s="262" t="s">
        <v>1863</v>
      </c>
      <c r="C2830" s="263">
        <v>43075</v>
      </c>
      <c r="D2830" s="264" t="s">
        <v>4750</v>
      </c>
      <c r="E2830" s="264" t="s">
        <v>4788</v>
      </c>
      <c r="F2830" s="265">
        <v>350</v>
      </c>
      <c r="G2830" s="265"/>
      <c r="H2830" s="265">
        <f t="shared" si="113"/>
        <v>350</v>
      </c>
    </row>
    <row r="2831" spans="2:8" x14ac:dyDescent="0.2">
      <c r="B2831" s="262" t="s">
        <v>1863</v>
      </c>
      <c r="C2831" s="263">
        <v>43075</v>
      </c>
      <c r="D2831" s="264" t="s">
        <v>1897</v>
      </c>
      <c r="E2831" s="264" t="s">
        <v>4789</v>
      </c>
      <c r="F2831" s="265">
        <v>200</v>
      </c>
      <c r="G2831" s="265"/>
      <c r="H2831" s="265">
        <f t="shared" si="113"/>
        <v>200</v>
      </c>
    </row>
    <row r="2832" spans="2:8" x14ac:dyDescent="0.2">
      <c r="B2832" s="262" t="s">
        <v>1871</v>
      </c>
      <c r="C2832" s="263">
        <v>43076</v>
      </c>
      <c r="D2832" s="264" t="s">
        <v>2704</v>
      </c>
      <c r="E2832" s="264" t="s">
        <v>4790</v>
      </c>
      <c r="F2832" s="265">
        <v>35</v>
      </c>
      <c r="G2832" s="265"/>
      <c r="H2832" s="265">
        <f t="shared" si="113"/>
        <v>35</v>
      </c>
    </row>
    <row r="2833" spans="2:8" x14ac:dyDescent="0.2">
      <c r="B2833" s="262" t="s">
        <v>1860</v>
      </c>
      <c r="C2833" s="263">
        <v>43076</v>
      </c>
      <c r="D2833" s="264" t="s">
        <v>1891</v>
      </c>
      <c r="E2833" s="264" t="s">
        <v>4369</v>
      </c>
      <c r="F2833" s="265">
        <v>1889.67</v>
      </c>
      <c r="G2833" s="265">
        <v>302.35000000000002</v>
      </c>
      <c r="H2833" s="265">
        <f t="shared" si="113"/>
        <v>2192.02</v>
      </c>
    </row>
    <row r="2834" spans="2:8" x14ac:dyDescent="0.2">
      <c r="B2834" s="262" t="s">
        <v>1884</v>
      </c>
      <c r="C2834" s="263">
        <v>43076</v>
      </c>
      <c r="D2834" s="264" t="s">
        <v>4791</v>
      </c>
      <c r="E2834" s="264" t="s">
        <v>4792</v>
      </c>
      <c r="F2834" s="265">
        <v>65</v>
      </c>
      <c r="G2834" s="265"/>
      <c r="H2834" s="265">
        <f t="shared" si="113"/>
        <v>65</v>
      </c>
    </row>
    <row r="2835" spans="2:8" x14ac:dyDescent="0.2">
      <c r="B2835" s="262" t="s">
        <v>1860</v>
      </c>
      <c r="C2835" s="263">
        <v>43076</v>
      </c>
      <c r="D2835" s="264" t="s">
        <v>4793</v>
      </c>
      <c r="E2835" s="264" t="s">
        <v>2560</v>
      </c>
      <c r="F2835" s="265">
        <v>202.5</v>
      </c>
      <c r="G2835" s="265"/>
      <c r="H2835" s="265">
        <f t="shared" si="113"/>
        <v>202.5</v>
      </c>
    </row>
    <row r="2836" spans="2:8" x14ac:dyDescent="0.2">
      <c r="B2836" s="262" t="s">
        <v>1884</v>
      </c>
      <c r="C2836" s="263">
        <v>43076</v>
      </c>
      <c r="D2836" s="264" t="s">
        <v>1915</v>
      </c>
      <c r="E2836" s="264" t="s">
        <v>4794</v>
      </c>
      <c r="F2836" s="265">
        <v>300</v>
      </c>
      <c r="G2836" s="265"/>
      <c r="H2836" s="265">
        <f t="shared" si="113"/>
        <v>300</v>
      </c>
    </row>
    <row r="2837" spans="2:8" x14ac:dyDescent="0.2">
      <c r="B2837" s="262" t="s">
        <v>1805</v>
      </c>
      <c r="C2837" s="263">
        <v>43077</v>
      </c>
      <c r="D2837" s="264" t="s">
        <v>3565</v>
      </c>
      <c r="E2837" s="264" t="s">
        <v>4795</v>
      </c>
      <c r="F2837" s="265">
        <v>1250</v>
      </c>
      <c r="G2837" s="265"/>
      <c r="H2837" s="265">
        <f t="shared" si="113"/>
        <v>1250</v>
      </c>
    </row>
    <row r="2838" spans="2:8" x14ac:dyDescent="0.2">
      <c r="B2838" s="262" t="s">
        <v>1864</v>
      </c>
      <c r="C2838" s="263">
        <v>43079</v>
      </c>
      <c r="D2838" s="264" t="s">
        <v>2535</v>
      </c>
      <c r="E2838" s="264" t="s">
        <v>4030</v>
      </c>
      <c r="F2838" s="265">
        <v>139.5</v>
      </c>
      <c r="G2838" s="265"/>
      <c r="H2838" s="265">
        <f t="shared" si="113"/>
        <v>139.5</v>
      </c>
    </row>
    <row r="2839" spans="2:8" x14ac:dyDescent="0.2">
      <c r="B2839" s="262" t="s">
        <v>1863</v>
      </c>
      <c r="C2839" s="263">
        <v>43079</v>
      </c>
      <c r="D2839" s="264" t="s">
        <v>2250</v>
      </c>
      <c r="E2839" s="264" t="s">
        <v>3381</v>
      </c>
      <c r="F2839" s="265">
        <v>150</v>
      </c>
      <c r="G2839" s="265"/>
      <c r="H2839" s="265">
        <f t="shared" si="113"/>
        <v>150</v>
      </c>
    </row>
    <row r="2840" spans="2:8" x14ac:dyDescent="0.2">
      <c r="B2840" s="262" t="s">
        <v>1881</v>
      </c>
      <c r="C2840" s="263">
        <v>43079</v>
      </c>
      <c r="D2840" s="264" t="s">
        <v>2250</v>
      </c>
      <c r="E2840" s="264" t="s">
        <v>4215</v>
      </c>
      <c r="F2840" s="265">
        <v>120</v>
      </c>
      <c r="G2840" s="265"/>
      <c r="H2840" s="265">
        <f t="shared" si="113"/>
        <v>120</v>
      </c>
    </row>
    <row r="2841" spans="2:8" x14ac:dyDescent="0.2">
      <c r="B2841" s="262" t="s">
        <v>1866</v>
      </c>
      <c r="C2841" s="263">
        <v>43080</v>
      </c>
      <c r="D2841" s="264" t="s">
        <v>1890</v>
      </c>
      <c r="E2841" s="264" t="s">
        <v>3580</v>
      </c>
      <c r="F2841" s="265">
        <v>105</v>
      </c>
      <c r="G2841" s="265"/>
      <c r="H2841" s="265">
        <f t="shared" si="113"/>
        <v>105</v>
      </c>
    </row>
    <row r="2842" spans="2:8" x14ac:dyDescent="0.2">
      <c r="B2842" s="262" t="s">
        <v>1860</v>
      </c>
      <c r="C2842" s="263">
        <v>43080</v>
      </c>
      <c r="D2842" s="264" t="s">
        <v>4797</v>
      </c>
      <c r="E2842" s="264" t="s">
        <v>4798</v>
      </c>
      <c r="F2842" s="265">
        <v>1100</v>
      </c>
      <c r="G2842" s="265"/>
      <c r="H2842" s="265">
        <f t="shared" si="113"/>
        <v>1100</v>
      </c>
    </row>
    <row r="2843" spans="2:8" x14ac:dyDescent="0.2">
      <c r="B2843" s="262" t="s">
        <v>1790</v>
      </c>
      <c r="C2843" s="263">
        <v>43082</v>
      </c>
      <c r="D2843" s="264" t="s">
        <v>1909</v>
      </c>
      <c r="E2843" s="264" t="s">
        <v>4982</v>
      </c>
      <c r="F2843" s="265"/>
      <c r="G2843" s="386">
        <v>1760</v>
      </c>
      <c r="H2843" s="265">
        <f t="shared" si="113"/>
        <v>1760</v>
      </c>
    </row>
    <row r="2844" spans="2:8" x14ac:dyDescent="0.2">
      <c r="B2844" s="341" t="s">
        <v>1805</v>
      </c>
      <c r="C2844" s="263">
        <v>43082</v>
      </c>
      <c r="D2844" s="264" t="s">
        <v>1888</v>
      </c>
      <c r="E2844" s="264" t="s">
        <v>4796</v>
      </c>
      <c r="F2844" s="265">
        <v>2242</v>
      </c>
      <c r="G2844" s="265">
        <v>358.72</v>
      </c>
      <c r="H2844" s="265">
        <f t="shared" ref="H2844:H2892" si="114">SUM(F2844:G2844)</f>
        <v>2600.7200000000003</v>
      </c>
    </row>
    <row r="2845" spans="2:8" x14ac:dyDescent="0.2">
      <c r="B2845" s="262" t="s">
        <v>1884</v>
      </c>
      <c r="C2845" s="263">
        <v>43082</v>
      </c>
      <c r="D2845" s="264" t="s">
        <v>4634</v>
      </c>
      <c r="E2845" s="264" t="s">
        <v>4403</v>
      </c>
      <c r="F2845" s="265">
        <v>328.4</v>
      </c>
      <c r="G2845" s="265"/>
      <c r="H2845" s="265">
        <f t="shared" si="114"/>
        <v>328.4</v>
      </c>
    </row>
    <row r="2846" spans="2:8" x14ac:dyDescent="0.2">
      <c r="B2846" s="262" t="s">
        <v>1884</v>
      </c>
      <c r="C2846" s="263">
        <v>43082</v>
      </c>
      <c r="D2846" s="264" t="s">
        <v>4459</v>
      </c>
      <c r="E2846" s="264" t="s">
        <v>4799</v>
      </c>
      <c r="F2846" s="265">
        <v>270</v>
      </c>
      <c r="G2846" s="265"/>
      <c r="H2846" s="265">
        <f t="shared" si="114"/>
        <v>270</v>
      </c>
    </row>
    <row r="2847" spans="2:8" x14ac:dyDescent="0.2">
      <c r="B2847" s="262" t="s">
        <v>1884</v>
      </c>
      <c r="C2847" s="263">
        <v>43082</v>
      </c>
      <c r="D2847" s="264" t="s">
        <v>4459</v>
      </c>
      <c r="E2847" s="264" t="s">
        <v>4800</v>
      </c>
      <c r="F2847" s="265">
        <v>189</v>
      </c>
      <c r="G2847" s="265"/>
      <c r="H2847" s="265">
        <f t="shared" si="114"/>
        <v>189</v>
      </c>
    </row>
    <row r="2848" spans="2:8" x14ac:dyDescent="0.2">
      <c r="B2848" s="262" t="s">
        <v>1884</v>
      </c>
      <c r="C2848" s="263">
        <v>43082</v>
      </c>
      <c r="D2848" s="264" t="s">
        <v>4655</v>
      </c>
      <c r="E2848" s="264" t="s">
        <v>3247</v>
      </c>
      <c r="F2848" s="265">
        <v>386</v>
      </c>
      <c r="G2848" s="265"/>
      <c r="H2848" s="265">
        <f t="shared" si="114"/>
        <v>386</v>
      </c>
    </row>
    <row r="2849" spans="2:8" x14ac:dyDescent="0.2">
      <c r="B2849" s="262" t="s">
        <v>1884</v>
      </c>
      <c r="C2849" s="263">
        <v>43083</v>
      </c>
      <c r="D2849" s="264" t="s">
        <v>4801</v>
      </c>
      <c r="E2849" s="264" t="s">
        <v>4802</v>
      </c>
      <c r="F2849" s="265">
        <v>375</v>
      </c>
      <c r="G2849" s="265"/>
      <c r="H2849" s="265">
        <f t="shared" si="114"/>
        <v>375</v>
      </c>
    </row>
    <row r="2850" spans="2:8" x14ac:dyDescent="0.2">
      <c r="B2850" s="262" t="s">
        <v>1863</v>
      </c>
      <c r="C2850" s="263">
        <v>43083</v>
      </c>
      <c r="D2850" s="264" t="s">
        <v>4750</v>
      </c>
      <c r="E2850" s="264" t="s">
        <v>4803</v>
      </c>
      <c r="F2850" s="265">
        <v>340</v>
      </c>
      <c r="G2850" s="265"/>
      <c r="H2850" s="265">
        <f t="shared" si="114"/>
        <v>340</v>
      </c>
    </row>
    <row r="2851" spans="2:8" x14ac:dyDescent="0.2">
      <c r="B2851" s="262" t="s">
        <v>1863</v>
      </c>
      <c r="C2851" s="263">
        <v>43083</v>
      </c>
      <c r="D2851" s="264" t="s">
        <v>1897</v>
      </c>
      <c r="E2851" s="264" t="s">
        <v>4804</v>
      </c>
      <c r="F2851" s="265">
        <v>200</v>
      </c>
      <c r="G2851" s="265"/>
      <c r="H2851" s="265">
        <f t="shared" si="114"/>
        <v>200</v>
      </c>
    </row>
    <row r="2852" spans="2:8" x14ac:dyDescent="0.2">
      <c r="B2852" s="262" t="s">
        <v>1867</v>
      </c>
      <c r="C2852" s="263">
        <v>43083</v>
      </c>
      <c r="D2852" s="264" t="s">
        <v>1894</v>
      </c>
      <c r="E2852" s="264" t="s">
        <v>4805</v>
      </c>
      <c r="F2852" s="265">
        <v>778</v>
      </c>
      <c r="G2852" s="265"/>
      <c r="H2852" s="265">
        <f t="shared" si="114"/>
        <v>778</v>
      </c>
    </row>
    <row r="2853" spans="2:8" x14ac:dyDescent="0.2">
      <c r="B2853" s="345" t="s">
        <v>1870</v>
      </c>
      <c r="C2853" s="263">
        <v>43083</v>
      </c>
      <c r="D2853" s="264" t="s">
        <v>1892</v>
      </c>
      <c r="E2853" s="264" t="s">
        <v>4861</v>
      </c>
      <c r="F2853" s="265">
        <v>750</v>
      </c>
      <c r="G2853" s="265"/>
      <c r="H2853" s="265">
        <f t="shared" ref="H2853:H2854" si="115">SUM(F2853:G2853)</f>
        <v>750</v>
      </c>
    </row>
    <row r="2854" spans="2:8" x14ac:dyDescent="0.2">
      <c r="B2854" s="262" t="s">
        <v>1879</v>
      </c>
      <c r="C2854" s="263">
        <v>43083</v>
      </c>
      <c r="D2854" s="264" t="s">
        <v>1892</v>
      </c>
      <c r="E2854" s="264" t="s">
        <v>4862</v>
      </c>
      <c r="F2854" s="265">
        <v>400</v>
      </c>
      <c r="G2854" s="265"/>
      <c r="H2854" s="265">
        <f t="shared" si="115"/>
        <v>400</v>
      </c>
    </row>
    <row r="2855" spans="2:8" x14ac:dyDescent="0.2">
      <c r="B2855" s="262" t="s">
        <v>1884</v>
      </c>
      <c r="C2855" s="263">
        <v>43083</v>
      </c>
      <c r="D2855" s="264" t="s">
        <v>1915</v>
      </c>
      <c r="E2855" s="264" t="s">
        <v>4806</v>
      </c>
      <c r="F2855" s="265">
        <v>300</v>
      </c>
      <c r="G2855" s="265"/>
      <c r="H2855" s="265">
        <f t="shared" si="114"/>
        <v>300</v>
      </c>
    </row>
    <row r="2856" spans="2:8" x14ac:dyDescent="0.2">
      <c r="B2856" s="262" t="s">
        <v>1863</v>
      </c>
      <c r="C2856" s="263">
        <v>43083</v>
      </c>
      <c r="D2856" s="264" t="s">
        <v>4487</v>
      </c>
      <c r="E2856" s="264" t="s">
        <v>4807</v>
      </c>
      <c r="F2856" s="265">
        <v>75.069999999999993</v>
      </c>
      <c r="G2856" s="265"/>
      <c r="H2856" s="265">
        <f t="shared" si="114"/>
        <v>75.069999999999993</v>
      </c>
    </row>
    <row r="2857" spans="2:8" x14ac:dyDescent="0.2">
      <c r="B2857" s="262" t="s">
        <v>1884</v>
      </c>
      <c r="C2857" s="263">
        <v>43084</v>
      </c>
      <c r="D2857" s="264" t="s">
        <v>4808</v>
      </c>
      <c r="E2857" s="264" t="s">
        <v>4809</v>
      </c>
      <c r="F2857" s="265">
        <v>48</v>
      </c>
      <c r="G2857" s="265"/>
      <c r="H2857" s="265">
        <f t="shared" si="114"/>
        <v>48</v>
      </c>
    </row>
    <row r="2858" spans="2:8" x14ac:dyDescent="0.2">
      <c r="B2858" s="262" t="s">
        <v>1577</v>
      </c>
      <c r="C2858" s="263">
        <v>43084</v>
      </c>
      <c r="D2858" s="264" t="s">
        <v>4027</v>
      </c>
      <c r="E2858" s="264" t="s">
        <v>4810</v>
      </c>
      <c r="F2858" s="265">
        <v>30100</v>
      </c>
      <c r="G2858" s="265"/>
      <c r="H2858" s="265">
        <f t="shared" si="114"/>
        <v>30100</v>
      </c>
    </row>
    <row r="2859" spans="2:8" x14ac:dyDescent="0.2">
      <c r="B2859" s="262" t="s">
        <v>1805</v>
      </c>
      <c r="C2859" s="263">
        <v>43084</v>
      </c>
      <c r="D2859" s="264" t="s">
        <v>3565</v>
      </c>
      <c r="E2859" s="264" t="s">
        <v>4811</v>
      </c>
      <c r="F2859" s="265">
        <v>1250</v>
      </c>
      <c r="G2859" s="265"/>
      <c r="H2859" s="265">
        <f t="shared" si="114"/>
        <v>1250</v>
      </c>
    </row>
    <row r="2860" spans="2:8" x14ac:dyDescent="0.2">
      <c r="B2860" s="262" t="s">
        <v>1881</v>
      </c>
      <c r="C2860" s="263">
        <v>43084</v>
      </c>
      <c r="D2860" s="264" t="s">
        <v>1873</v>
      </c>
      <c r="E2860" s="264" t="s">
        <v>4812</v>
      </c>
      <c r="F2860" s="265">
        <v>450</v>
      </c>
      <c r="G2860" s="265"/>
      <c r="H2860" s="265">
        <f t="shared" si="114"/>
        <v>450</v>
      </c>
    </row>
    <row r="2861" spans="2:8" x14ac:dyDescent="0.2">
      <c r="B2861" s="262" t="s">
        <v>1881</v>
      </c>
      <c r="C2861" s="263">
        <v>43084</v>
      </c>
      <c r="D2861" s="264" t="s">
        <v>1873</v>
      </c>
      <c r="E2861" s="264" t="s">
        <v>4813</v>
      </c>
      <c r="F2861" s="265">
        <v>100</v>
      </c>
      <c r="G2861" s="265"/>
      <c r="H2861" s="265">
        <f t="shared" si="114"/>
        <v>100</v>
      </c>
    </row>
    <row r="2862" spans="2:8" x14ac:dyDescent="0.2">
      <c r="B2862" s="262" t="s">
        <v>1881</v>
      </c>
      <c r="C2862" s="263">
        <v>43084</v>
      </c>
      <c r="D2862" s="264" t="s">
        <v>2250</v>
      </c>
      <c r="E2862" s="264" t="s">
        <v>4814</v>
      </c>
      <c r="F2862" s="265">
        <v>350</v>
      </c>
      <c r="G2862" s="265"/>
      <c r="H2862" s="265">
        <f t="shared" si="114"/>
        <v>350</v>
      </c>
    </row>
    <row r="2863" spans="2:8" x14ac:dyDescent="0.2">
      <c r="B2863" s="262" t="s">
        <v>1884</v>
      </c>
      <c r="C2863" s="263">
        <v>43084</v>
      </c>
      <c r="D2863" s="264" t="s">
        <v>4597</v>
      </c>
      <c r="E2863" s="264" t="s">
        <v>2993</v>
      </c>
      <c r="F2863" s="265">
        <v>1000</v>
      </c>
      <c r="G2863" s="265"/>
      <c r="H2863" s="265">
        <f t="shared" si="114"/>
        <v>1000</v>
      </c>
    </row>
    <row r="2864" spans="2:8" x14ac:dyDescent="0.2">
      <c r="B2864" s="262" t="s">
        <v>1859</v>
      </c>
      <c r="C2864" s="263">
        <v>43084</v>
      </c>
      <c r="D2864" s="264" t="s">
        <v>4482</v>
      </c>
      <c r="E2864" s="264" t="s">
        <v>4815</v>
      </c>
      <c r="F2864" s="265">
        <v>4000</v>
      </c>
      <c r="G2864" s="265"/>
      <c r="H2864" s="265">
        <f t="shared" si="114"/>
        <v>4000</v>
      </c>
    </row>
    <row r="2865" spans="2:9" x14ac:dyDescent="0.2">
      <c r="B2865" s="262" t="s">
        <v>1577</v>
      </c>
      <c r="C2865" s="263">
        <v>43084</v>
      </c>
      <c r="D2865" s="264" t="s">
        <v>4027</v>
      </c>
      <c r="E2865" s="264" t="s">
        <v>4816</v>
      </c>
      <c r="F2865" s="265">
        <v>20750</v>
      </c>
      <c r="G2865" s="265"/>
      <c r="H2865" s="265">
        <f t="shared" si="114"/>
        <v>20750</v>
      </c>
    </row>
    <row r="2866" spans="2:9" x14ac:dyDescent="0.2">
      <c r="B2866" s="262" t="s">
        <v>1884</v>
      </c>
      <c r="C2866" s="263">
        <v>43084</v>
      </c>
      <c r="D2866" s="264" t="s">
        <v>4459</v>
      </c>
      <c r="E2866" s="264" t="s">
        <v>4817</v>
      </c>
      <c r="F2866" s="265">
        <v>44.5</v>
      </c>
      <c r="G2866" s="265"/>
      <c r="H2866" s="265">
        <f t="shared" si="114"/>
        <v>44.5</v>
      </c>
    </row>
    <row r="2867" spans="2:9" x14ac:dyDescent="0.2">
      <c r="B2867" s="262" t="s">
        <v>1884</v>
      </c>
      <c r="C2867" s="263">
        <v>43084</v>
      </c>
      <c r="D2867" s="264" t="s">
        <v>4459</v>
      </c>
      <c r="E2867" s="264" t="s">
        <v>4818</v>
      </c>
      <c r="F2867" s="265">
        <v>60</v>
      </c>
      <c r="G2867" s="265"/>
      <c r="H2867" s="265">
        <f t="shared" si="114"/>
        <v>60</v>
      </c>
    </row>
    <row r="2868" spans="2:9" x14ac:dyDescent="0.2">
      <c r="B2868" s="262" t="s">
        <v>1884</v>
      </c>
      <c r="C2868" s="263">
        <v>43084</v>
      </c>
      <c r="D2868" s="264" t="s">
        <v>1906</v>
      </c>
      <c r="E2868" s="264" t="s">
        <v>4819</v>
      </c>
      <c r="F2868" s="265">
        <v>100</v>
      </c>
      <c r="G2868" s="265"/>
      <c r="H2868" s="265">
        <f t="shared" si="114"/>
        <v>100</v>
      </c>
    </row>
    <row r="2869" spans="2:9" x14ac:dyDescent="0.2">
      <c r="B2869" s="262" t="s">
        <v>1884</v>
      </c>
      <c r="C2869" s="263">
        <v>43084</v>
      </c>
      <c r="D2869" s="264" t="s">
        <v>1897</v>
      </c>
      <c r="E2869" s="264" t="s">
        <v>4820</v>
      </c>
      <c r="F2869" s="265">
        <v>200</v>
      </c>
      <c r="G2869" s="265"/>
      <c r="H2869" s="265">
        <f t="shared" si="114"/>
        <v>200</v>
      </c>
    </row>
    <row r="2870" spans="2:9" x14ac:dyDescent="0.2">
      <c r="B2870" s="262" t="s">
        <v>1863</v>
      </c>
      <c r="C2870" s="263">
        <v>43085</v>
      </c>
      <c r="D2870" s="264" t="s">
        <v>4750</v>
      </c>
      <c r="E2870" s="264" t="s">
        <v>4788</v>
      </c>
      <c r="F2870" s="265">
        <v>340</v>
      </c>
      <c r="G2870" s="265"/>
      <c r="H2870" s="265">
        <f t="shared" si="114"/>
        <v>340</v>
      </c>
    </row>
    <row r="2871" spans="2:9" x14ac:dyDescent="0.2">
      <c r="B2871" s="262" t="s">
        <v>1863</v>
      </c>
      <c r="C2871" s="263">
        <v>43085</v>
      </c>
      <c r="D2871" s="264" t="s">
        <v>1897</v>
      </c>
      <c r="E2871" s="264" t="s">
        <v>4821</v>
      </c>
      <c r="F2871" s="265">
        <v>200</v>
      </c>
      <c r="G2871" s="265"/>
      <c r="H2871" s="265">
        <f t="shared" si="114"/>
        <v>200</v>
      </c>
    </row>
    <row r="2872" spans="2:9" x14ac:dyDescent="0.2">
      <c r="B2872" s="262" t="s">
        <v>1863</v>
      </c>
      <c r="C2872" s="263">
        <v>43086</v>
      </c>
      <c r="D2872" s="264" t="s">
        <v>2250</v>
      </c>
      <c r="E2872" s="264" t="s">
        <v>4822</v>
      </c>
      <c r="F2872" s="265">
        <v>150</v>
      </c>
      <c r="G2872" s="265"/>
      <c r="H2872" s="265">
        <f t="shared" si="114"/>
        <v>150</v>
      </c>
    </row>
    <row r="2873" spans="2:9" x14ac:dyDescent="0.2">
      <c r="B2873" s="262" t="s">
        <v>1881</v>
      </c>
      <c r="C2873" s="263">
        <v>43086</v>
      </c>
      <c r="D2873" s="264" t="s">
        <v>2250</v>
      </c>
      <c r="E2873" s="264" t="s">
        <v>4823</v>
      </c>
      <c r="F2873" s="265">
        <v>120</v>
      </c>
      <c r="G2873" s="265"/>
      <c r="H2873" s="265">
        <f t="shared" si="114"/>
        <v>120</v>
      </c>
    </row>
    <row r="2874" spans="2:9" x14ac:dyDescent="0.2">
      <c r="B2874" s="262" t="s">
        <v>1864</v>
      </c>
      <c r="C2874" s="263">
        <v>43086</v>
      </c>
      <c r="D2874" s="264" t="s">
        <v>2535</v>
      </c>
      <c r="E2874" s="264" t="s">
        <v>3340</v>
      </c>
      <c r="F2874" s="265">
        <v>112.08</v>
      </c>
      <c r="G2874" s="265"/>
      <c r="H2874" s="265">
        <f t="shared" si="114"/>
        <v>112.08</v>
      </c>
    </row>
    <row r="2875" spans="2:9" x14ac:dyDescent="0.2">
      <c r="B2875" s="262" t="s">
        <v>1864</v>
      </c>
      <c r="C2875" s="263">
        <v>43086</v>
      </c>
      <c r="D2875" s="264" t="s">
        <v>2535</v>
      </c>
      <c r="E2875" s="264" t="s">
        <v>4824</v>
      </c>
      <c r="F2875" s="265">
        <v>81</v>
      </c>
      <c r="G2875" s="265"/>
      <c r="H2875" s="265">
        <f t="shared" si="114"/>
        <v>81</v>
      </c>
      <c r="I2875" s="175">
        <f>SUM(H2803:H2876)</f>
        <v>91355.790000000008</v>
      </c>
    </row>
    <row r="2876" spans="2:9" x14ac:dyDescent="0.2">
      <c r="B2876" s="262" t="s">
        <v>1866</v>
      </c>
      <c r="C2876" s="263">
        <v>43087</v>
      </c>
      <c r="D2876" s="264" t="s">
        <v>1890</v>
      </c>
      <c r="E2876" s="264" t="s">
        <v>4375</v>
      </c>
      <c r="F2876" s="265">
        <v>175</v>
      </c>
      <c r="G2876" s="265"/>
      <c r="H2876" s="265">
        <f t="shared" si="114"/>
        <v>175</v>
      </c>
    </row>
    <row r="2877" spans="2:9" x14ac:dyDescent="0.2">
      <c r="B2877" s="262" t="s">
        <v>1879</v>
      </c>
      <c r="C2877" s="263">
        <v>43087</v>
      </c>
      <c r="D2877" s="264" t="s">
        <v>1892</v>
      </c>
      <c r="E2877" s="264" t="s">
        <v>4826</v>
      </c>
      <c r="F2877" s="265">
        <v>3300</v>
      </c>
      <c r="G2877" s="265"/>
      <c r="H2877" s="265">
        <f t="shared" si="114"/>
        <v>3300</v>
      </c>
    </row>
    <row r="2878" spans="2:9" x14ac:dyDescent="0.2">
      <c r="B2878" s="345" t="s">
        <v>1884</v>
      </c>
      <c r="C2878" s="263">
        <v>43088</v>
      </c>
      <c r="D2878" s="264" t="s">
        <v>2274</v>
      </c>
      <c r="E2878" s="264" t="s">
        <v>4827</v>
      </c>
      <c r="F2878" s="265">
        <v>485.3</v>
      </c>
      <c r="G2878" s="265"/>
      <c r="H2878" s="265">
        <f t="shared" si="114"/>
        <v>485.3</v>
      </c>
    </row>
    <row r="2879" spans="2:9" x14ac:dyDescent="0.2">
      <c r="B2879" s="262" t="s">
        <v>1884</v>
      </c>
      <c r="C2879" s="263">
        <v>43088</v>
      </c>
      <c r="D2879" s="264" t="s">
        <v>2274</v>
      </c>
      <c r="E2879" s="264" t="s">
        <v>4828</v>
      </c>
      <c r="F2879" s="265">
        <v>4</v>
      </c>
      <c r="G2879" s="265"/>
      <c r="H2879" s="265">
        <f t="shared" si="114"/>
        <v>4</v>
      </c>
    </row>
    <row r="2880" spans="2:9" x14ac:dyDescent="0.2">
      <c r="B2880" s="262" t="s">
        <v>1863</v>
      </c>
      <c r="C2880" s="263">
        <v>43088</v>
      </c>
      <c r="D2880" s="264" t="s">
        <v>4750</v>
      </c>
      <c r="E2880" s="264" t="s">
        <v>4783</v>
      </c>
      <c r="F2880" s="265">
        <v>340</v>
      </c>
      <c r="G2880" s="265"/>
      <c r="H2880" s="265">
        <f t="shared" si="114"/>
        <v>340</v>
      </c>
    </row>
    <row r="2881" spans="2:8" x14ac:dyDescent="0.2">
      <c r="B2881" s="262" t="s">
        <v>1863</v>
      </c>
      <c r="C2881" s="263">
        <v>43088</v>
      </c>
      <c r="D2881" s="264" t="s">
        <v>1897</v>
      </c>
      <c r="E2881" s="264" t="s">
        <v>4829</v>
      </c>
      <c r="F2881" s="265">
        <v>200</v>
      </c>
      <c r="G2881" s="265"/>
      <c r="H2881" s="265">
        <f t="shared" si="114"/>
        <v>200</v>
      </c>
    </row>
    <row r="2882" spans="2:8" x14ac:dyDescent="0.2">
      <c r="B2882" s="262" t="s">
        <v>1879</v>
      </c>
      <c r="C2882" s="263">
        <v>43089</v>
      </c>
      <c r="D2882" s="264" t="s">
        <v>1892</v>
      </c>
      <c r="E2882" s="264" t="s">
        <v>4830</v>
      </c>
      <c r="F2882" s="265">
        <v>600</v>
      </c>
      <c r="G2882" s="265"/>
      <c r="H2882" s="265">
        <f t="shared" si="114"/>
        <v>600</v>
      </c>
    </row>
    <row r="2883" spans="2:8" x14ac:dyDescent="0.2">
      <c r="B2883" s="262" t="s">
        <v>1884</v>
      </c>
      <c r="C2883" s="263">
        <v>43089</v>
      </c>
      <c r="D2883" s="264" t="s">
        <v>1915</v>
      </c>
      <c r="E2883" s="264" t="s">
        <v>4806</v>
      </c>
      <c r="F2883" s="265">
        <v>300</v>
      </c>
      <c r="G2883" s="265"/>
      <c r="H2883" s="265">
        <f t="shared" si="114"/>
        <v>300</v>
      </c>
    </row>
    <row r="2884" spans="2:8" x14ac:dyDescent="0.2">
      <c r="B2884" s="262" t="s">
        <v>1863</v>
      </c>
      <c r="C2884" s="263">
        <v>43090</v>
      </c>
      <c r="D2884" s="264" t="s">
        <v>4750</v>
      </c>
      <c r="E2884" s="264" t="s">
        <v>4831</v>
      </c>
      <c r="F2884" s="265">
        <v>330</v>
      </c>
      <c r="G2884" s="265"/>
      <c r="H2884" s="265">
        <f t="shared" si="114"/>
        <v>330</v>
      </c>
    </row>
    <row r="2885" spans="2:8" x14ac:dyDescent="0.2">
      <c r="B2885" s="262" t="s">
        <v>1884</v>
      </c>
      <c r="C2885" s="263">
        <v>43090</v>
      </c>
      <c r="D2885" s="264" t="s">
        <v>1915</v>
      </c>
      <c r="E2885" s="264" t="s">
        <v>4806</v>
      </c>
      <c r="F2885" s="265">
        <v>300</v>
      </c>
      <c r="G2885" s="265"/>
      <c r="H2885" s="265">
        <f t="shared" si="114"/>
        <v>300</v>
      </c>
    </row>
    <row r="2886" spans="2:8" x14ac:dyDescent="0.2">
      <c r="B2886" s="262" t="s">
        <v>1863</v>
      </c>
      <c r="C2886" s="263">
        <v>43090</v>
      </c>
      <c r="D2886" s="264" t="s">
        <v>1897</v>
      </c>
      <c r="E2886" s="264" t="s">
        <v>4832</v>
      </c>
      <c r="F2886" s="265">
        <v>200</v>
      </c>
      <c r="G2886" s="265"/>
      <c r="H2886" s="265">
        <f t="shared" si="114"/>
        <v>200</v>
      </c>
    </row>
    <row r="2887" spans="2:8" x14ac:dyDescent="0.2">
      <c r="B2887" s="262" t="s">
        <v>1884</v>
      </c>
      <c r="C2887" s="263">
        <v>43091</v>
      </c>
      <c r="D2887" s="264" t="s">
        <v>4459</v>
      </c>
      <c r="E2887" s="264" t="s">
        <v>4833</v>
      </c>
      <c r="F2887" s="265">
        <v>224</v>
      </c>
      <c r="G2887" s="265"/>
      <c r="H2887" s="265">
        <f t="shared" si="114"/>
        <v>224</v>
      </c>
    </row>
    <row r="2888" spans="2:8" x14ac:dyDescent="0.2">
      <c r="B2888" s="262" t="s">
        <v>1884</v>
      </c>
      <c r="C2888" s="263">
        <v>43091</v>
      </c>
      <c r="D2888" s="264" t="s">
        <v>4573</v>
      </c>
      <c r="E2888" s="264" t="s">
        <v>4834</v>
      </c>
      <c r="F2888" s="265">
        <v>283.8</v>
      </c>
      <c r="G2888" s="265"/>
      <c r="H2888" s="265">
        <f t="shared" si="114"/>
        <v>283.8</v>
      </c>
    </row>
    <row r="2889" spans="2:8" x14ac:dyDescent="0.2">
      <c r="B2889" s="262" t="s">
        <v>1887</v>
      </c>
      <c r="C2889" s="263">
        <v>43091</v>
      </c>
      <c r="D2889" s="264" t="s">
        <v>3548</v>
      </c>
      <c r="E2889" s="264" t="s">
        <v>4835</v>
      </c>
      <c r="F2889" s="265">
        <v>294</v>
      </c>
      <c r="G2889" s="265"/>
      <c r="H2889" s="265">
        <f t="shared" si="114"/>
        <v>294</v>
      </c>
    </row>
    <row r="2890" spans="2:8" x14ac:dyDescent="0.2">
      <c r="B2890" s="262" t="s">
        <v>1884</v>
      </c>
      <c r="C2890" s="263">
        <v>43091</v>
      </c>
      <c r="D2890" s="264" t="s">
        <v>4459</v>
      </c>
      <c r="E2890" s="264" t="s">
        <v>4836</v>
      </c>
      <c r="F2890" s="265">
        <v>75</v>
      </c>
      <c r="G2890" s="265"/>
      <c r="H2890" s="265">
        <f t="shared" si="114"/>
        <v>75</v>
      </c>
    </row>
    <row r="2891" spans="2:8" x14ac:dyDescent="0.2">
      <c r="B2891" s="262" t="s">
        <v>1805</v>
      </c>
      <c r="C2891" s="263">
        <v>43091</v>
      </c>
      <c r="D2891" s="264" t="s">
        <v>3565</v>
      </c>
      <c r="E2891" s="264" t="s">
        <v>4837</v>
      </c>
      <c r="F2891" s="265">
        <v>1250</v>
      </c>
      <c r="G2891" s="265"/>
      <c r="H2891" s="265">
        <f t="shared" si="114"/>
        <v>1250</v>
      </c>
    </row>
    <row r="2892" spans="2:8" x14ac:dyDescent="0.2">
      <c r="B2892" s="262" t="s">
        <v>1863</v>
      </c>
      <c r="C2892" s="263">
        <v>43092</v>
      </c>
      <c r="D2892" s="264" t="s">
        <v>2250</v>
      </c>
      <c r="E2892" s="264" t="s">
        <v>3381</v>
      </c>
      <c r="F2892" s="265">
        <v>150</v>
      </c>
      <c r="G2892" s="265"/>
      <c r="H2892" s="265">
        <f t="shared" si="114"/>
        <v>150</v>
      </c>
    </row>
    <row r="2893" spans="2:8" x14ac:dyDescent="0.2">
      <c r="B2893" s="262" t="s">
        <v>1881</v>
      </c>
      <c r="C2893" s="263">
        <v>43092</v>
      </c>
      <c r="D2893" s="264" t="s">
        <v>2250</v>
      </c>
      <c r="E2893" s="264" t="s">
        <v>3758</v>
      </c>
      <c r="F2893" s="265">
        <v>120</v>
      </c>
      <c r="G2893" s="265"/>
      <c r="H2893" s="265">
        <f t="shared" ref="H2893:H2910" si="116">SUM(F2893:G2893)</f>
        <v>120</v>
      </c>
    </row>
    <row r="2894" spans="2:8" x14ac:dyDescent="0.2">
      <c r="B2894" s="262" t="s">
        <v>1864</v>
      </c>
      <c r="C2894" s="263">
        <v>43092</v>
      </c>
      <c r="D2894" s="264" t="s">
        <v>2535</v>
      </c>
      <c r="E2894" s="264" t="s">
        <v>4838</v>
      </c>
      <c r="F2894" s="265">
        <v>57</v>
      </c>
      <c r="G2894" s="265"/>
      <c r="H2894" s="265">
        <f t="shared" ref="H2894:H2909" si="117">SUM(F2894:G2894)</f>
        <v>57</v>
      </c>
    </row>
    <row r="2895" spans="2:8" x14ac:dyDescent="0.2">
      <c r="B2895" s="262" t="s">
        <v>1864</v>
      </c>
      <c r="C2895" s="263">
        <v>43092</v>
      </c>
      <c r="D2895" s="264" t="s">
        <v>2535</v>
      </c>
      <c r="E2895" s="264" t="s">
        <v>4030</v>
      </c>
      <c r="F2895" s="265">
        <v>112</v>
      </c>
      <c r="G2895" s="265"/>
      <c r="H2895" s="265">
        <f t="shared" si="117"/>
        <v>112</v>
      </c>
    </row>
    <row r="2896" spans="2:8" x14ac:dyDescent="0.2">
      <c r="B2896" s="262" t="s">
        <v>1864</v>
      </c>
      <c r="C2896" s="263">
        <v>43092</v>
      </c>
      <c r="D2896" s="264" t="s">
        <v>3125</v>
      </c>
      <c r="E2896" s="264" t="s">
        <v>4839</v>
      </c>
      <c r="F2896" s="265">
        <v>23</v>
      </c>
      <c r="G2896" s="265"/>
      <c r="H2896" s="265">
        <f t="shared" si="117"/>
        <v>23</v>
      </c>
    </row>
    <row r="2897" spans="2:9" x14ac:dyDescent="0.2">
      <c r="B2897" s="345" t="s">
        <v>1861</v>
      </c>
      <c r="C2897" s="263">
        <v>43092</v>
      </c>
      <c r="D2897" s="264" t="s">
        <v>3125</v>
      </c>
      <c r="E2897" s="264" t="s">
        <v>4840</v>
      </c>
      <c r="F2897" s="265">
        <v>15</v>
      </c>
      <c r="G2897" s="265"/>
      <c r="H2897" s="265">
        <f t="shared" si="117"/>
        <v>15</v>
      </c>
    </row>
    <row r="2898" spans="2:9" x14ac:dyDescent="0.2">
      <c r="B2898" s="262" t="s">
        <v>1864</v>
      </c>
      <c r="C2898" s="263">
        <v>43092</v>
      </c>
      <c r="D2898" s="264" t="s">
        <v>3125</v>
      </c>
      <c r="E2898" s="264" t="s">
        <v>4839</v>
      </c>
      <c r="F2898" s="265">
        <v>71</v>
      </c>
      <c r="G2898" s="265"/>
      <c r="H2898" s="265">
        <f t="shared" si="117"/>
        <v>71</v>
      </c>
    </row>
    <row r="2899" spans="2:9" x14ac:dyDescent="0.2">
      <c r="B2899" s="262" t="s">
        <v>1861</v>
      </c>
      <c r="C2899" s="263">
        <v>43092</v>
      </c>
      <c r="D2899" s="264" t="s">
        <v>4841</v>
      </c>
      <c r="E2899" s="264" t="s">
        <v>4842</v>
      </c>
      <c r="F2899" s="265">
        <v>1530</v>
      </c>
      <c r="G2899" s="265"/>
      <c r="H2899" s="265">
        <f t="shared" si="117"/>
        <v>1530</v>
      </c>
    </row>
    <row r="2900" spans="2:9" x14ac:dyDescent="0.2">
      <c r="B2900" s="262" t="s">
        <v>1881</v>
      </c>
      <c r="C2900" s="263">
        <v>43092</v>
      </c>
      <c r="D2900" s="264" t="s">
        <v>1873</v>
      </c>
      <c r="E2900" s="264" t="s">
        <v>3306</v>
      </c>
      <c r="F2900" s="265">
        <v>250</v>
      </c>
      <c r="G2900" s="265"/>
      <c r="H2900" s="265">
        <f t="shared" si="117"/>
        <v>250</v>
      </c>
    </row>
    <row r="2901" spans="2:9" x14ac:dyDescent="0.2">
      <c r="B2901" s="262" t="s">
        <v>1864</v>
      </c>
      <c r="C2901" s="263">
        <v>43092</v>
      </c>
      <c r="D2901" s="264" t="s">
        <v>3565</v>
      </c>
      <c r="E2901" s="264" t="s">
        <v>4843</v>
      </c>
      <c r="F2901" s="265">
        <v>400</v>
      </c>
      <c r="G2901" s="265"/>
      <c r="H2901" s="265">
        <f t="shared" si="117"/>
        <v>400</v>
      </c>
    </row>
    <row r="2902" spans="2:9" x14ac:dyDescent="0.2">
      <c r="B2902" s="262" t="s">
        <v>1881</v>
      </c>
      <c r="C2902" s="263">
        <v>43093</v>
      </c>
      <c r="D2902" s="264" t="s">
        <v>2250</v>
      </c>
      <c r="E2902" s="264" t="s">
        <v>3306</v>
      </c>
      <c r="F2902" s="265">
        <v>300</v>
      </c>
      <c r="G2902" s="265"/>
      <c r="H2902" s="265">
        <f t="shared" si="117"/>
        <v>300</v>
      </c>
    </row>
    <row r="2903" spans="2:9" x14ac:dyDescent="0.2">
      <c r="B2903" s="262" t="s">
        <v>1861</v>
      </c>
      <c r="C2903" s="263">
        <v>43094</v>
      </c>
      <c r="D2903" s="264" t="s">
        <v>3125</v>
      </c>
      <c r="E2903" s="264" t="s">
        <v>4844</v>
      </c>
      <c r="F2903" s="265">
        <v>36</v>
      </c>
      <c r="G2903" s="265"/>
      <c r="H2903" s="265">
        <f t="shared" si="117"/>
        <v>36</v>
      </c>
    </row>
    <row r="2904" spans="2:9" x14ac:dyDescent="0.2">
      <c r="B2904" s="262" t="s">
        <v>1861</v>
      </c>
      <c r="C2904" s="263">
        <v>43094</v>
      </c>
      <c r="D2904" s="264" t="s">
        <v>4573</v>
      </c>
      <c r="E2904" s="264" t="s">
        <v>4845</v>
      </c>
      <c r="F2904" s="265">
        <v>65.7</v>
      </c>
      <c r="G2904" s="265"/>
      <c r="H2904" s="265">
        <f t="shared" si="117"/>
        <v>65.7</v>
      </c>
    </row>
    <row r="2905" spans="2:9" x14ac:dyDescent="0.2">
      <c r="B2905" s="262" t="s">
        <v>1866</v>
      </c>
      <c r="C2905" s="263">
        <v>43096</v>
      </c>
      <c r="D2905" s="264" t="s">
        <v>1890</v>
      </c>
      <c r="E2905" s="264" t="s">
        <v>4846</v>
      </c>
      <c r="F2905" s="265">
        <v>105</v>
      </c>
      <c r="G2905" s="265"/>
      <c r="H2905" s="265">
        <f t="shared" si="117"/>
        <v>105</v>
      </c>
    </row>
    <row r="2906" spans="2:9" x14ac:dyDescent="0.2">
      <c r="B2906" s="262" t="s">
        <v>1875</v>
      </c>
      <c r="C2906" s="263">
        <v>43098</v>
      </c>
      <c r="D2906" s="264" t="s">
        <v>2535</v>
      </c>
      <c r="E2906" s="264" t="s">
        <v>4847</v>
      </c>
      <c r="F2906" s="265">
        <v>53</v>
      </c>
      <c r="G2906" s="265"/>
      <c r="H2906" s="265">
        <f t="shared" si="117"/>
        <v>53</v>
      </c>
      <c r="I2906" s="175">
        <f>SUM(H2803:H2906)</f>
        <v>102829.59000000001</v>
      </c>
    </row>
    <row r="2907" spans="2:9" x14ac:dyDescent="0.2">
      <c r="B2907" s="262" t="s">
        <v>1884</v>
      </c>
      <c r="C2907" s="263">
        <v>43097</v>
      </c>
      <c r="D2907" s="264" t="s">
        <v>4849</v>
      </c>
      <c r="E2907" s="264" t="s">
        <v>4850</v>
      </c>
      <c r="F2907" s="265">
        <v>300</v>
      </c>
      <c r="G2907" s="265"/>
      <c r="H2907" s="265">
        <f t="shared" si="117"/>
        <v>300</v>
      </c>
      <c r="I2907" s="175"/>
    </row>
    <row r="2908" spans="2:9" x14ac:dyDescent="0.2">
      <c r="B2908" s="262" t="s">
        <v>1861</v>
      </c>
      <c r="C2908" s="263">
        <v>43098</v>
      </c>
      <c r="D2908" s="264" t="s">
        <v>1893</v>
      </c>
      <c r="E2908" s="264" t="s">
        <v>3356</v>
      </c>
      <c r="F2908" s="265">
        <v>145</v>
      </c>
      <c r="G2908" s="265"/>
      <c r="H2908" s="265">
        <f t="shared" si="117"/>
        <v>145</v>
      </c>
      <c r="I2908" s="175"/>
    </row>
    <row r="2909" spans="2:9" x14ac:dyDescent="0.2">
      <c r="B2909" s="262" t="s">
        <v>1861</v>
      </c>
      <c r="C2909" s="263">
        <v>43098</v>
      </c>
      <c r="D2909" s="264" t="s">
        <v>1925</v>
      </c>
      <c r="E2909" s="264" t="s">
        <v>4851</v>
      </c>
      <c r="F2909" s="265">
        <v>5</v>
      </c>
      <c r="G2909" s="265"/>
      <c r="H2909" s="265">
        <f t="shared" si="117"/>
        <v>5</v>
      </c>
      <c r="I2909" s="175"/>
    </row>
    <row r="2910" spans="2:9" x14ac:dyDescent="0.2">
      <c r="B2910" s="262" t="s">
        <v>1805</v>
      </c>
      <c r="C2910" s="263">
        <v>43098</v>
      </c>
      <c r="D2910" s="264" t="s">
        <v>3565</v>
      </c>
      <c r="E2910" s="264" t="s">
        <v>4848</v>
      </c>
      <c r="F2910" s="265">
        <v>1250</v>
      </c>
      <c r="G2910" s="265"/>
      <c r="H2910" s="265">
        <f t="shared" si="116"/>
        <v>1250</v>
      </c>
    </row>
    <row r="2911" spans="2:9" x14ac:dyDescent="0.2">
      <c r="B2911" s="262" t="s">
        <v>1881</v>
      </c>
      <c r="C2911" s="263">
        <v>43100</v>
      </c>
      <c r="D2911" s="264" t="s">
        <v>1873</v>
      </c>
      <c r="E2911" s="264" t="s">
        <v>4852</v>
      </c>
      <c r="F2911" s="265">
        <v>450</v>
      </c>
      <c r="G2911" s="265"/>
      <c r="H2911" s="265">
        <f t="shared" ref="H2911:H2932" si="118">SUM(F2911:G2911)</f>
        <v>450</v>
      </c>
    </row>
    <row r="2912" spans="2:9" x14ac:dyDescent="0.2">
      <c r="B2912" s="262" t="s">
        <v>1881</v>
      </c>
      <c r="C2912" s="263">
        <v>43100</v>
      </c>
      <c r="D2912" s="264" t="s">
        <v>1873</v>
      </c>
      <c r="E2912" s="264" t="s">
        <v>4853</v>
      </c>
      <c r="F2912" s="265">
        <v>100</v>
      </c>
      <c r="G2912" s="265"/>
      <c r="H2912" s="265">
        <f t="shared" si="118"/>
        <v>100</v>
      </c>
    </row>
    <row r="2913" spans="2:8" x14ac:dyDescent="0.2">
      <c r="B2913" s="262" t="s">
        <v>1881</v>
      </c>
      <c r="C2913" s="263">
        <v>43100</v>
      </c>
      <c r="D2913" s="264" t="s">
        <v>2250</v>
      </c>
      <c r="E2913" s="264" t="s">
        <v>4854</v>
      </c>
      <c r="F2913" s="265">
        <v>300</v>
      </c>
      <c r="G2913" s="265"/>
      <c r="H2913" s="265">
        <f t="shared" si="118"/>
        <v>300</v>
      </c>
    </row>
    <row r="2914" spans="2:8" x14ac:dyDescent="0.2">
      <c r="B2914" s="262" t="s">
        <v>1884</v>
      </c>
      <c r="C2914" s="263">
        <v>43100</v>
      </c>
      <c r="D2914" s="264" t="s">
        <v>4597</v>
      </c>
      <c r="E2914" s="264" t="s">
        <v>4856</v>
      </c>
      <c r="F2914" s="265">
        <v>1000</v>
      </c>
      <c r="G2914" s="265"/>
      <c r="H2914" s="265">
        <f t="shared" si="118"/>
        <v>1000</v>
      </c>
    </row>
    <row r="2915" spans="2:8" x14ac:dyDescent="0.2">
      <c r="B2915" s="262" t="s">
        <v>1577</v>
      </c>
      <c r="C2915" s="263">
        <v>43100</v>
      </c>
      <c r="D2915" s="264" t="s">
        <v>1899</v>
      </c>
      <c r="E2915" s="264" t="s">
        <v>4855</v>
      </c>
      <c r="F2915" s="265">
        <v>30100</v>
      </c>
      <c r="G2915" s="265"/>
      <c r="H2915" s="265">
        <f t="shared" si="118"/>
        <v>30100</v>
      </c>
    </row>
    <row r="2916" spans="2:8" x14ac:dyDescent="0.2">
      <c r="B2916" s="262" t="s">
        <v>1859</v>
      </c>
      <c r="C2916" s="263">
        <v>43100</v>
      </c>
      <c r="D2916" s="264" t="s">
        <v>4482</v>
      </c>
      <c r="E2916" s="264" t="s">
        <v>4855</v>
      </c>
      <c r="F2916" s="265">
        <v>4000</v>
      </c>
      <c r="G2916" s="265"/>
      <c r="H2916" s="265">
        <f t="shared" si="118"/>
        <v>4000</v>
      </c>
    </row>
    <row r="2917" spans="2:8" x14ac:dyDescent="0.2">
      <c r="B2917" s="262" t="s">
        <v>1864</v>
      </c>
      <c r="C2917" s="263">
        <v>43100</v>
      </c>
      <c r="D2917" s="264" t="s">
        <v>2535</v>
      </c>
      <c r="E2917" s="264" t="s">
        <v>4857</v>
      </c>
      <c r="F2917" s="265">
        <v>51</v>
      </c>
      <c r="G2917" s="265"/>
      <c r="H2917" s="265">
        <f t="shared" si="118"/>
        <v>51</v>
      </c>
    </row>
    <row r="2918" spans="2:8" x14ac:dyDescent="0.2">
      <c r="B2918" s="262" t="s">
        <v>1881</v>
      </c>
      <c r="C2918" s="263">
        <v>43100</v>
      </c>
      <c r="D2918" s="264" t="s">
        <v>2250</v>
      </c>
      <c r="E2918" s="264" t="s">
        <v>2636</v>
      </c>
      <c r="F2918" s="265">
        <v>120</v>
      </c>
      <c r="G2918" s="265"/>
      <c r="H2918" s="265">
        <f t="shared" ref="H2918:H2929" si="119">SUM(F2918:G2918)</f>
        <v>120</v>
      </c>
    </row>
    <row r="2919" spans="2:8" x14ac:dyDescent="0.2">
      <c r="B2919" s="262" t="s">
        <v>1861</v>
      </c>
      <c r="C2919" s="263">
        <v>43100</v>
      </c>
      <c r="D2919" s="264" t="s">
        <v>4523</v>
      </c>
      <c r="E2919" s="264" t="s">
        <v>4844</v>
      </c>
      <c r="F2919" s="265">
        <v>15</v>
      </c>
      <c r="G2919" s="265"/>
      <c r="H2919" s="265">
        <f t="shared" si="119"/>
        <v>15</v>
      </c>
    </row>
    <row r="2920" spans="2:8" x14ac:dyDescent="0.2">
      <c r="B2920" s="262" t="s">
        <v>1861</v>
      </c>
      <c r="C2920" s="263">
        <v>43100</v>
      </c>
      <c r="D2920" s="264" t="s">
        <v>4523</v>
      </c>
      <c r="E2920" s="264" t="s">
        <v>4858</v>
      </c>
      <c r="F2920" s="265">
        <v>150</v>
      </c>
      <c r="G2920" s="265"/>
      <c r="H2920" s="265">
        <f t="shared" si="119"/>
        <v>150</v>
      </c>
    </row>
    <row r="2921" spans="2:8" x14ac:dyDescent="0.2">
      <c r="B2921" s="262" t="s">
        <v>1861</v>
      </c>
      <c r="C2921" s="263">
        <v>43100</v>
      </c>
      <c r="D2921" s="264" t="s">
        <v>4841</v>
      </c>
      <c r="E2921" s="264" t="s">
        <v>4859</v>
      </c>
      <c r="F2921" s="265">
        <v>40</v>
      </c>
      <c r="G2921" s="265"/>
      <c r="H2921" s="265">
        <f t="shared" si="119"/>
        <v>40</v>
      </c>
    </row>
    <row r="2922" spans="2:8" x14ac:dyDescent="0.2">
      <c r="B2922" s="262" t="s">
        <v>1887</v>
      </c>
      <c r="C2922" s="263">
        <v>43071</v>
      </c>
      <c r="D2922" s="264" t="s">
        <v>4863</v>
      </c>
      <c r="E2922" s="264" t="s">
        <v>1536</v>
      </c>
      <c r="F2922" s="265">
        <v>-0.15</v>
      </c>
      <c r="G2922" s="265"/>
      <c r="H2922" s="265">
        <f t="shared" si="119"/>
        <v>-0.15</v>
      </c>
    </row>
    <row r="2923" spans="2:8" x14ac:dyDescent="0.2">
      <c r="B2923" s="262" t="s">
        <v>1887</v>
      </c>
      <c r="C2923" s="263">
        <v>43074</v>
      </c>
      <c r="D2923" s="264" t="s">
        <v>1534</v>
      </c>
      <c r="E2923" s="264" t="s">
        <v>1536</v>
      </c>
      <c r="F2923" s="265">
        <v>-0.46</v>
      </c>
      <c r="G2923" s="265"/>
      <c r="H2923" s="265">
        <f t="shared" si="119"/>
        <v>-0.46</v>
      </c>
    </row>
    <row r="2924" spans="2:8" x14ac:dyDescent="0.2">
      <c r="B2924" s="262" t="s">
        <v>1887</v>
      </c>
      <c r="C2924" s="263">
        <v>43074</v>
      </c>
      <c r="D2924" s="361" t="s">
        <v>1597</v>
      </c>
      <c r="E2924" s="361" t="s">
        <v>4532</v>
      </c>
      <c r="F2924" s="265">
        <v>30</v>
      </c>
      <c r="G2924" s="265"/>
      <c r="H2924" s="265">
        <f t="shared" si="119"/>
        <v>30</v>
      </c>
    </row>
    <row r="2925" spans="2:8" x14ac:dyDescent="0.2">
      <c r="B2925" s="262" t="s">
        <v>1790</v>
      </c>
      <c r="C2925" s="263">
        <v>43074</v>
      </c>
      <c r="D2925" s="361" t="s">
        <v>1597</v>
      </c>
      <c r="E2925" s="361" t="s">
        <v>2230</v>
      </c>
      <c r="F2925" s="265"/>
      <c r="G2925" s="265">
        <v>4.8</v>
      </c>
      <c r="H2925" s="265">
        <f t="shared" si="119"/>
        <v>4.8</v>
      </c>
    </row>
    <row r="2926" spans="2:8" x14ac:dyDescent="0.2">
      <c r="B2926" s="262" t="s">
        <v>1790</v>
      </c>
      <c r="C2926" s="263">
        <v>43089</v>
      </c>
      <c r="D2926" s="361" t="s">
        <v>1909</v>
      </c>
      <c r="E2926" s="361" t="s">
        <v>4860</v>
      </c>
      <c r="F2926" s="362"/>
      <c r="G2926" s="362">
        <v>-1760</v>
      </c>
      <c r="H2926" s="265">
        <f t="shared" si="119"/>
        <v>-1760</v>
      </c>
    </row>
    <row r="2927" spans="2:8" x14ac:dyDescent="0.2">
      <c r="B2927" s="262" t="s">
        <v>1887</v>
      </c>
      <c r="C2927" s="263">
        <v>43098</v>
      </c>
      <c r="D2927" s="361" t="s">
        <v>1597</v>
      </c>
      <c r="E2927" s="361" t="s">
        <v>2229</v>
      </c>
      <c r="F2927" s="362">
        <v>18</v>
      </c>
      <c r="G2927" s="362"/>
      <c r="H2927" s="265">
        <f t="shared" si="119"/>
        <v>18</v>
      </c>
    </row>
    <row r="2928" spans="2:8" x14ac:dyDescent="0.2">
      <c r="B2928" s="262" t="s">
        <v>1790</v>
      </c>
      <c r="C2928" s="263">
        <v>43098</v>
      </c>
      <c r="D2928" s="361" t="s">
        <v>1597</v>
      </c>
      <c r="E2928" s="361" t="s">
        <v>2230</v>
      </c>
      <c r="F2928" s="362"/>
      <c r="G2928" s="362">
        <v>2.88</v>
      </c>
      <c r="H2928" s="265">
        <f t="shared" si="119"/>
        <v>2.88</v>
      </c>
    </row>
    <row r="2929" spans="2:8" x14ac:dyDescent="0.2">
      <c r="B2929" s="262"/>
      <c r="C2929" s="263"/>
      <c r="D2929" s="264"/>
      <c r="E2929" s="264"/>
      <c r="F2929" s="265"/>
      <c r="G2929" s="265"/>
      <c r="H2929" s="265">
        <f t="shared" si="119"/>
        <v>0</v>
      </c>
    </row>
    <row r="2930" spans="2:8" x14ac:dyDescent="0.2">
      <c r="B2930" s="262"/>
      <c r="C2930" s="263"/>
      <c r="D2930" s="264"/>
      <c r="E2930" s="264"/>
      <c r="F2930" s="265"/>
      <c r="G2930" s="265"/>
      <c r="H2930" s="265">
        <f t="shared" si="118"/>
        <v>0</v>
      </c>
    </row>
    <row r="2931" spans="2:8" x14ac:dyDescent="0.2">
      <c r="B2931" s="262"/>
      <c r="C2931" s="263"/>
      <c r="D2931" s="264"/>
      <c r="E2931" s="264"/>
      <c r="F2931" s="265"/>
      <c r="G2931" s="265"/>
      <c r="H2931" s="265">
        <f t="shared" si="118"/>
        <v>0</v>
      </c>
    </row>
    <row r="2932" spans="2:8" ht="12.75" customHeight="1" x14ac:dyDescent="0.2">
      <c r="B2932" s="262"/>
      <c r="C2932" s="263"/>
      <c r="D2932" s="264"/>
      <c r="E2932" s="264"/>
      <c r="F2932" s="265"/>
      <c r="G2932" s="265"/>
      <c r="H2932" s="265">
        <f t="shared" si="118"/>
        <v>0</v>
      </c>
    </row>
    <row r="2933" spans="2:8" ht="18" customHeight="1" x14ac:dyDescent="0.2">
      <c r="B2933" s="255" t="s">
        <v>1850</v>
      </c>
      <c r="C2933" s="255" t="s">
        <v>1851</v>
      </c>
      <c r="D2933" s="256" t="s">
        <v>1852</v>
      </c>
      <c r="E2933" s="256" t="s">
        <v>1853</v>
      </c>
      <c r="F2933" s="257" t="s">
        <v>1854</v>
      </c>
      <c r="G2933" s="257" t="s">
        <v>1855</v>
      </c>
      <c r="H2933" s="257" t="s">
        <v>1856</v>
      </c>
    </row>
    <row r="2934" spans="2:8" x14ac:dyDescent="0.2">
      <c r="B2934" s="345" t="s">
        <v>1870</v>
      </c>
      <c r="C2934" s="263">
        <v>43101</v>
      </c>
      <c r="D2934" s="264" t="s">
        <v>4877</v>
      </c>
      <c r="E2934" s="264" t="s">
        <v>4878</v>
      </c>
      <c r="F2934" s="265">
        <v>6500</v>
      </c>
      <c r="G2934" s="265"/>
      <c r="H2934" s="265">
        <f t="shared" ref="H2934:H2939" si="120">SUM(F2934:G2934)</f>
        <v>6500</v>
      </c>
    </row>
    <row r="2935" spans="2:8" x14ac:dyDescent="0.2">
      <c r="B2935" s="262" t="s">
        <v>1861</v>
      </c>
      <c r="C2935" s="263">
        <v>43101</v>
      </c>
      <c r="D2935" s="264" t="s">
        <v>4841</v>
      </c>
      <c r="E2935" s="264" t="s">
        <v>4879</v>
      </c>
      <c r="F2935" s="265">
        <v>1350</v>
      </c>
      <c r="G2935" s="265"/>
      <c r="H2935" s="265">
        <f t="shared" si="120"/>
        <v>1350</v>
      </c>
    </row>
    <row r="2936" spans="2:8" x14ac:dyDescent="0.2">
      <c r="B2936" s="262" t="s">
        <v>1861</v>
      </c>
      <c r="C2936" s="263">
        <v>43101</v>
      </c>
      <c r="D2936" s="264" t="s">
        <v>3125</v>
      </c>
      <c r="E2936" s="264" t="s">
        <v>4880</v>
      </c>
      <c r="F2936" s="265">
        <v>72</v>
      </c>
      <c r="G2936" s="265"/>
      <c r="H2936" s="265">
        <f t="shared" si="120"/>
        <v>72</v>
      </c>
    </row>
    <row r="2937" spans="2:8" x14ac:dyDescent="0.2">
      <c r="B2937" s="262" t="s">
        <v>1884</v>
      </c>
      <c r="C2937" s="263">
        <v>43101</v>
      </c>
      <c r="D2937" s="264" t="s">
        <v>1915</v>
      </c>
      <c r="E2937" s="264" t="s">
        <v>4881</v>
      </c>
      <c r="F2937" s="265">
        <v>300</v>
      </c>
      <c r="G2937" s="265"/>
      <c r="H2937" s="265">
        <f t="shared" si="120"/>
        <v>300</v>
      </c>
    </row>
    <row r="2938" spans="2:8" x14ac:dyDescent="0.2">
      <c r="B2938" s="262" t="s">
        <v>1863</v>
      </c>
      <c r="C2938" s="263">
        <v>43103</v>
      </c>
      <c r="D2938" s="264" t="s">
        <v>4750</v>
      </c>
      <c r="E2938" s="264" t="s">
        <v>4882</v>
      </c>
      <c r="F2938" s="265">
        <v>350</v>
      </c>
      <c r="G2938" s="265"/>
      <c r="H2938" s="265">
        <f t="shared" si="120"/>
        <v>350</v>
      </c>
    </row>
    <row r="2939" spans="2:8" x14ac:dyDescent="0.2">
      <c r="B2939" s="262" t="s">
        <v>1866</v>
      </c>
      <c r="C2939" s="263">
        <v>43103</v>
      </c>
      <c r="D2939" s="264" t="s">
        <v>1890</v>
      </c>
      <c r="E2939" s="264" t="s">
        <v>3580</v>
      </c>
      <c r="F2939" s="265">
        <v>105</v>
      </c>
      <c r="G2939" s="265"/>
      <c r="H2939" s="265">
        <f t="shared" si="120"/>
        <v>105</v>
      </c>
    </row>
    <row r="2940" spans="2:8" x14ac:dyDescent="0.2">
      <c r="B2940" s="262" t="s">
        <v>1863</v>
      </c>
      <c r="C2940" s="263">
        <v>43103</v>
      </c>
      <c r="D2940" s="264" t="s">
        <v>4578</v>
      </c>
      <c r="E2940" s="264" t="s">
        <v>4883</v>
      </c>
      <c r="F2940" s="265">
        <v>394.68</v>
      </c>
      <c r="G2940" s="265"/>
      <c r="H2940" s="265">
        <f t="shared" ref="H2940:H2999" si="121">SUM(F2940:G2940)</f>
        <v>394.68</v>
      </c>
    </row>
    <row r="2941" spans="2:8" x14ac:dyDescent="0.2">
      <c r="B2941" s="262" t="s">
        <v>1861</v>
      </c>
      <c r="C2941" s="263">
        <v>43104</v>
      </c>
      <c r="D2941" s="264" t="s">
        <v>4884</v>
      </c>
      <c r="E2941" s="264" t="s">
        <v>4885</v>
      </c>
      <c r="F2941" s="265">
        <v>380</v>
      </c>
      <c r="G2941" s="265"/>
      <c r="H2941" s="265">
        <f>SUM(F2941:G2941)</f>
        <v>380</v>
      </c>
    </row>
    <row r="2942" spans="2:8" x14ac:dyDescent="0.2">
      <c r="B2942" s="262" t="s">
        <v>1884</v>
      </c>
      <c r="C2942" s="263">
        <v>43104</v>
      </c>
      <c r="D2942" s="264" t="s">
        <v>1915</v>
      </c>
      <c r="E2942" s="264" t="s">
        <v>4881</v>
      </c>
      <c r="F2942" s="265">
        <v>300</v>
      </c>
      <c r="G2942" s="265"/>
      <c r="H2942" s="265">
        <f>SUM(F2942:G2942)</f>
        <v>300</v>
      </c>
    </row>
    <row r="2943" spans="2:8" x14ac:dyDescent="0.2">
      <c r="B2943" s="262" t="s">
        <v>1884</v>
      </c>
      <c r="C2943" s="263">
        <v>43104</v>
      </c>
      <c r="D2943" s="264" t="s">
        <v>2535</v>
      </c>
      <c r="E2943" s="264" t="s">
        <v>4887</v>
      </c>
      <c r="F2943" s="265">
        <v>16.5</v>
      </c>
      <c r="G2943" s="265"/>
      <c r="H2943" s="265">
        <f>SUM(F2943:G2943)</f>
        <v>16.5</v>
      </c>
    </row>
    <row r="2944" spans="2:8" x14ac:dyDescent="0.2">
      <c r="B2944" s="262" t="s">
        <v>1884</v>
      </c>
      <c r="C2944" s="263">
        <v>43104</v>
      </c>
      <c r="D2944" s="264" t="s">
        <v>2535</v>
      </c>
      <c r="E2944" s="264" t="s">
        <v>4887</v>
      </c>
      <c r="F2944" s="265">
        <v>17</v>
      </c>
      <c r="G2944" s="265"/>
      <c r="H2944" s="265">
        <f>SUM(F2944:G2944)</f>
        <v>17</v>
      </c>
    </row>
    <row r="2945" spans="2:8" x14ac:dyDescent="0.2">
      <c r="B2945" s="262" t="s">
        <v>1884</v>
      </c>
      <c r="C2945" s="263">
        <v>43104</v>
      </c>
      <c r="D2945" s="264" t="s">
        <v>1921</v>
      </c>
      <c r="E2945" s="264" t="s">
        <v>4886</v>
      </c>
      <c r="F2945" s="265">
        <v>77</v>
      </c>
      <c r="G2945" s="265"/>
      <c r="H2945" s="265">
        <f>SUM(F2945:G2945)</f>
        <v>77</v>
      </c>
    </row>
    <row r="2946" spans="2:8" x14ac:dyDescent="0.2">
      <c r="B2946" s="262" t="s">
        <v>1863</v>
      </c>
      <c r="C2946" s="263">
        <v>43104</v>
      </c>
      <c r="D2946" s="264" t="s">
        <v>4750</v>
      </c>
      <c r="E2946" s="264" t="s">
        <v>4888</v>
      </c>
      <c r="F2946" s="265">
        <v>340</v>
      </c>
      <c r="G2946" s="265"/>
      <c r="H2946" s="265">
        <f t="shared" si="121"/>
        <v>340</v>
      </c>
    </row>
    <row r="2947" spans="2:8" x14ac:dyDescent="0.2">
      <c r="B2947" s="262" t="s">
        <v>1861</v>
      </c>
      <c r="C2947" s="263">
        <v>43105</v>
      </c>
      <c r="D2947" s="264" t="s">
        <v>1893</v>
      </c>
      <c r="E2947" s="264" t="s">
        <v>4889</v>
      </c>
      <c r="F2947" s="265">
        <v>511</v>
      </c>
      <c r="G2947" s="265"/>
      <c r="H2947" s="265">
        <f>SUM(F2947:G2947)</f>
        <v>511</v>
      </c>
    </row>
    <row r="2948" spans="2:8" x14ac:dyDescent="0.2">
      <c r="B2948" s="262" t="s">
        <v>1861</v>
      </c>
      <c r="C2948" s="263">
        <v>43105</v>
      </c>
      <c r="D2948" s="264" t="s">
        <v>4890</v>
      </c>
      <c r="E2948" s="264" t="s">
        <v>4891</v>
      </c>
      <c r="F2948" s="265">
        <v>10</v>
      </c>
      <c r="G2948" s="265"/>
      <c r="H2948" s="265">
        <f t="shared" si="121"/>
        <v>10</v>
      </c>
    </row>
    <row r="2949" spans="2:8" x14ac:dyDescent="0.2">
      <c r="B2949" s="262" t="s">
        <v>1805</v>
      </c>
      <c r="C2949" s="263">
        <v>43105</v>
      </c>
      <c r="D2949" s="264" t="s">
        <v>3565</v>
      </c>
      <c r="E2949" s="264" t="s">
        <v>4892</v>
      </c>
      <c r="F2949" s="265">
        <v>1250</v>
      </c>
      <c r="G2949" s="265"/>
      <c r="H2949" s="265">
        <f t="shared" si="121"/>
        <v>1250</v>
      </c>
    </row>
    <row r="2950" spans="2:8" x14ac:dyDescent="0.2">
      <c r="B2950" s="262" t="s">
        <v>1577</v>
      </c>
      <c r="C2950" s="263">
        <v>43105</v>
      </c>
      <c r="D2950" s="264" t="s">
        <v>4893</v>
      </c>
      <c r="E2950" s="264" t="s">
        <v>4894</v>
      </c>
      <c r="F2950" s="265">
        <v>5000</v>
      </c>
      <c r="G2950" s="265"/>
      <c r="H2950" s="265">
        <f t="shared" si="121"/>
        <v>5000</v>
      </c>
    </row>
    <row r="2951" spans="2:8" x14ac:dyDescent="0.2">
      <c r="B2951" s="262" t="s">
        <v>1881</v>
      </c>
      <c r="C2951" s="263">
        <v>43107</v>
      </c>
      <c r="D2951" s="264" t="s">
        <v>2250</v>
      </c>
      <c r="E2951" s="264" t="s">
        <v>3381</v>
      </c>
      <c r="F2951" s="265">
        <v>150</v>
      </c>
      <c r="G2951" s="265"/>
      <c r="H2951" s="265">
        <f t="shared" si="121"/>
        <v>150</v>
      </c>
    </row>
    <row r="2952" spans="2:8" x14ac:dyDescent="0.2">
      <c r="B2952" s="262" t="s">
        <v>1881</v>
      </c>
      <c r="C2952" s="263">
        <v>43107</v>
      </c>
      <c r="D2952" s="264" t="s">
        <v>2250</v>
      </c>
      <c r="E2952" s="264" t="s">
        <v>2636</v>
      </c>
      <c r="F2952" s="265">
        <v>120</v>
      </c>
      <c r="G2952" s="265"/>
      <c r="H2952" s="265">
        <f>SUM(F2952:G2952)</f>
        <v>120</v>
      </c>
    </row>
    <row r="2953" spans="2:8" x14ac:dyDescent="0.2">
      <c r="B2953" s="262" t="s">
        <v>1864</v>
      </c>
      <c r="C2953" s="263">
        <v>43107</v>
      </c>
      <c r="D2953" s="264" t="s">
        <v>2535</v>
      </c>
      <c r="E2953" s="264" t="s">
        <v>3340</v>
      </c>
      <c r="F2953" s="265">
        <v>133</v>
      </c>
      <c r="G2953" s="265"/>
      <c r="H2953" s="265">
        <f t="shared" si="121"/>
        <v>133</v>
      </c>
    </row>
    <row r="2954" spans="2:8" x14ac:dyDescent="0.2">
      <c r="B2954" s="262" t="s">
        <v>1879</v>
      </c>
      <c r="C2954" s="263">
        <v>43107</v>
      </c>
      <c r="D2954" s="264" t="s">
        <v>3330</v>
      </c>
      <c r="E2954" s="264" t="s">
        <v>4897</v>
      </c>
      <c r="F2954" s="265">
        <v>350</v>
      </c>
      <c r="G2954" s="265"/>
      <c r="H2954" s="265">
        <f t="shared" si="121"/>
        <v>350</v>
      </c>
    </row>
    <row r="2955" spans="2:8" x14ac:dyDescent="0.2">
      <c r="B2955" s="262" t="s">
        <v>1884</v>
      </c>
      <c r="C2955" s="263">
        <v>43108</v>
      </c>
      <c r="D2955" s="264" t="s">
        <v>1915</v>
      </c>
      <c r="E2955" s="264" t="s">
        <v>4806</v>
      </c>
      <c r="F2955" s="265">
        <v>300</v>
      </c>
      <c r="G2955" s="265"/>
      <c r="H2955" s="265">
        <f t="shared" si="121"/>
        <v>300</v>
      </c>
    </row>
    <row r="2956" spans="2:8" x14ac:dyDescent="0.2">
      <c r="B2956" s="262" t="s">
        <v>1866</v>
      </c>
      <c r="C2956" s="263">
        <v>43108</v>
      </c>
      <c r="D2956" s="264" t="s">
        <v>1890</v>
      </c>
      <c r="E2956" s="264" t="s">
        <v>4339</v>
      </c>
      <c r="F2956" s="265">
        <v>105</v>
      </c>
      <c r="G2956" s="265"/>
      <c r="H2956" s="265">
        <f t="shared" si="121"/>
        <v>105</v>
      </c>
    </row>
    <row r="2957" spans="2:8" x14ac:dyDescent="0.2">
      <c r="B2957" s="262" t="s">
        <v>1865</v>
      </c>
      <c r="C2957" s="263">
        <v>43109</v>
      </c>
      <c r="D2957" s="264" t="s">
        <v>3039</v>
      </c>
      <c r="E2957" s="264" t="s">
        <v>4895</v>
      </c>
      <c r="F2957" s="265">
        <v>1650</v>
      </c>
      <c r="G2957" s="265"/>
      <c r="H2957" s="265">
        <f t="shared" si="121"/>
        <v>1650</v>
      </c>
    </row>
    <row r="2958" spans="2:8" x14ac:dyDescent="0.2">
      <c r="B2958" s="262" t="s">
        <v>1863</v>
      </c>
      <c r="C2958" s="263">
        <v>43110</v>
      </c>
      <c r="D2958" s="264" t="s">
        <v>4750</v>
      </c>
      <c r="E2958" s="264" t="s">
        <v>4686</v>
      </c>
      <c r="F2958" s="265">
        <v>350</v>
      </c>
      <c r="G2958" s="265"/>
      <c r="H2958" s="265">
        <f t="shared" si="121"/>
        <v>350</v>
      </c>
    </row>
    <row r="2959" spans="2:8" x14ac:dyDescent="0.2">
      <c r="B2959" s="262" t="s">
        <v>1879</v>
      </c>
      <c r="C2959" s="263">
        <v>43111</v>
      </c>
      <c r="D2959" s="264" t="s">
        <v>3330</v>
      </c>
      <c r="E2959" s="264" t="s">
        <v>4896</v>
      </c>
      <c r="F2959" s="265">
        <v>350</v>
      </c>
      <c r="G2959" s="265"/>
      <c r="H2959" s="265">
        <f t="shared" si="121"/>
        <v>350</v>
      </c>
    </row>
    <row r="2960" spans="2:8" x14ac:dyDescent="0.2">
      <c r="B2960" s="262" t="s">
        <v>1870</v>
      </c>
      <c r="C2960" s="263">
        <v>43111</v>
      </c>
      <c r="D2960" s="264" t="s">
        <v>3026</v>
      </c>
      <c r="E2960" s="264" t="s">
        <v>4898</v>
      </c>
      <c r="F2960" s="265">
        <v>250</v>
      </c>
      <c r="G2960" s="265"/>
      <c r="H2960" s="265">
        <f t="shared" si="121"/>
        <v>250</v>
      </c>
    </row>
    <row r="2961" spans="2:9" x14ac:dyDescent="0.2">
      <c r="B2961" s="345" t="s">
        <v>1860</v>
      </c>
      <c r="C2961" s="263">
        <v>43111</v>
      </c>
      <c r="D2961" s="264" t="s">
        <v>4793</v>
      </c>
      <c r="E2961" s="264" t="s">
        <v>4909</v>
      </c>
      <c r="F2961" s="265">
        <v>284</v>
      </c>
      <c r="G2961" s="265"/>
      <c r="H2961" s="265">
        <f t="shared" si="121"/>
        <v>284</v>
      </c>
    </row>
    <row r="2962" spans="2:9" x14ac:dyDescent="0.2">
      <c r="B2962" s="262" t="s">
        <v>1879</v>
      </c>
      <c r="C2962" s="263">
        <v>43111</v>
      </c>
      <c r="D2962" s="264" t="s">
        <v>3330</v>
      </c>
      <c r="E2962" s="264" t="s">
        <v>4899</v>
      </c>
      <c r="F2962" s="265">
        <v>300</v>
      </c>
      <c r="G2962" s="265"/>
      <c r="H2962" s="265">
        <f t="shared" si="121"/>
        <v>300</v>
      </c>
    </row>
    <row r="2963" spans="2:9" x14ac:dyDescent="0.2">
      <c r="B2963" s="262" t="s">
        <v>1870</v>
      </c>
      <c r="C2963" s="263">
        <v>43111</v>
      </c>
      <c r="D2963" s="264" t="s">
        <v>1897</v>
      </c>
      <c r="E2963" s="264" t="s">
        <v>4898</v>
      </c>
      <c r="F2963" s="265">
        <v>250</v>
      </c>
      <c r="G2963" s="265"/>
      <c r="H2963" s="265">
        <f t="shared" si="121"/>
        <v>250</v>
      </c>
    </row>
    <row r="2964" spans="2:9" x14ac:dyDescent="0.2">
      <c r="B2964" s="262" t="s">
        <v>1863</v>
      </c>
      <c r="C2964" s="263">
        <v>43111</v>
      </c>
      <c r="D2964" s="264" t="s">
        <v>4750</v>
      </c>
      <c r="E2964" s="264" t="s">
        <v>4686</v>
      </c>
      <c r="F2964" s="265">
        <v>340</v>
      </c>
      <c r="G2964" s="265"/>
      <c r="H2964" s="265">
        <f t="shared" ref="H2964:H2965" si="122">SUM(F2964:G2964)</f>
        <v>340</v>
      </c>
    </row>
    <row r="2965" spans="2:9" x14ac:dyDescent="0.2">
      <c r="B2965" s="262" t="s">
        <v>1860</v>
      </c>
      <c r="C2965" s="263">
        <v>42015</v>
      </c>
      <c r="D2965" s="264" t="s">
        <v>4910</v>
      </c>
      <c r="E2965" s="264" t="s">
        <v>4909</v>
      </c>
      <c r="F2965" s="265">
        <v>279.5</v>
      </c>
      <c r="G2965" s="265"/>
      <c r="H2965" s="265">
        <f t="shared" si="122"/>
        <v>279.5</v>
      </c>
    </row>
    <row r="2966" spans="2:9" x14ac:dyDescent="0.2">
      <c r="B2966" s="262" t="s">
        <v>1805</v>
      </c>
      <c r="C2966" s="263">
        <v>43112</v>
      </c>
      <c r="D2966" s="264" t="s">
        <v>3565</v>
      </c>
      <c r="E2966" s="264" t="s">
        <v>4900</v>
      </c>
      <c r="F2966" s="265">
        <v>1250</v>
      </c>
      <c r="G2966" s="265"/>
      <c r="H2966" s="265">
        <f t="shared" si="121"/>
        <v>1250</v>
      </c>
    </row>
    <row r="2967" spans="2:9" x14ac:dyDescent="0.2">
      <c r="B2967" s="262" t="s">
        <v>1881</v>
      </c>
      <c r="C2967" s="263">
        <v>43112</v>
      </c>
      <c r="D2967" s="264" t="s">
        <v>1897</v>
      </c>
      <c r="E2967" s="264" t="s">
        <v>4901</v>
      </c>
      <c r="F2967" s="265">
        <v>1300</v>
      </c>
      <c r="G2967" s="265"/>
      <c r="H2967" s="265">
        <f t="shared" si="121"/>
        <v>1300</v>
      </c>
      <c r="I2967" s="175">
        <f>SUM(H2934:H2967)</f>
        <v>24734.68</v>
      </c>
    </row>
    <row r="2968" spans="2:9" x14ac:dyDescent="0.2">
      <c r="B2968" s="262" t="s">
        <v>1870</v>
      </c>
      <c r="C2968" s="263">
        <v>43113</v>
      </c>
      <c r="D2968" s="264" t="s">
        <v>2401</v>
      </c>
      <c r="E2968" s="264" t="s">
        <v>4911</v>
      </c>
      <c r="F2968" s="265">
        <v>407.5</v>
      </c>
      <c r="G2968" s="265"/>
      <c r="H2968" s="265">
        <f t="shared" si="121"/>
        <v>407.5</v>
      </c>
    </row>
    <row r="2969" spans="2:9" x14ac:dyDescent="0.2">
      <c r="B2969" s="262" t="s">
        <v>1870</v>
      </c>
      <c r="C2969" s="263">
        <v>43113</v>
      </c>
      <c r="D2969" s="264" t="s">
        <v>4912</v>
      </c>
      <c r="E2969" s="264" t="s">
        <v>4913</v>
      </c>
      <c r="F2969" s="265">
        <v>535.17999999999995</v>
      </c>
      <c r="G2969" s="265">
        <v>83.72</v>
      </c>
      <c r="H2969" s="265">
        <f t="shared" si="121"/>
        <v>618.9</v>
      </c>
    </row>
    <row r="2970" spans="2:9" x14ac:dyDescent="0.2">
      <c r="B2970" s="262" t="s">
        <v>1884</v>
      </c>
      <c r="C2970" s="263">
        <v>43113</v>
      </c>
      <c r="D2970" s="264" t="s">
        <v>1915</v>
      </c>
      <c r="E2970" s="264" t="s">
        <v>4914</v>
      </c>
      <c r="F2970" s="265">
        <v>300</v>
      </c>
      <c r="G2970" s="265"/>
      <c r="H2970" s="265">
        <f t="shared" si="121"/>
        <v>300</v>
      </c>
    </row>
    <row r="2971" spans="2:9" x14ac:dyDescent="0.2">
      <c r="B2971" s="262" t="s">
        <v>1877</v>
      </c>
      <c r="C2971" s="263">
        <v>43113</v>
      </c>
      <c r="D2971" s="264" t="s">
        <v>4797</v>
      </c>
      <c r="E2971" s="264" t="s">
        <v>4915</v>
      </c>
      <c r="F2971" s="265">
        <v>840</v>
      </c>
      <c r="G2971" s="265"/>
      <c r="H2971" s="265">
        <f t="shared" si="121"/>
        <v>840</v>
      </c>
    </row>
    <row r="2972" spans="2:9" x14ac:dyDescent="0.2">
      <c r="B2972" s="262" t="s">
        <v>1863</v>
      </c>
      <c r="C2972" s="263">
        <v>43113</v>
      </c>
      <c r="D2972" s="264" t="s">
        <v>4916</v>
      </c>
      <c r="E2972" s="264" t="s">
        <v>4917</v>
      </c>
      <c r="F2972" s="265">
        <v>150</v>
      </c>
      <c r="G2972" s="265"/>
      <c r="H2972" s="265">
        <f t="shared" si="121"/>
        <v>150</v>
      </c>
    </row>
    <row r="2973" spans="2:9" x14ac:dyDescent="0.2">
      <c r="B2973" s="262" t="s">
        <v>1864</v>
      </c>
      <c r="C2973" s="263">
        <v>43114</v>
      </c>
      <c r="D2973" s="264" t="s">
        <v>2535</v>
      </c>
      <c r="E2973" s="264" t="s">
        <v>4216</v>
      </c>
      <c r="F2973" s="265">
        <v>137</v>
      </c>
      <c r="G2973" s="265"/>
      <c r="H2973" s="265">
        <f t="shared" si="121"/>
        <v>137</v>
      </c>
    </row>
    <row r="2974" spans="2:9" x14ac:dyDescent="0.2">
      <c r="B2974" s="262" t="s">
        <v>1863</v>
      </c>
      <c r="C2974" s="263">
        <v>43114</v>
      </c>
      <c r="D2974" s="264" t="s">
        <v>2250</v>
      </c>
      <c r="E2974" s="264" t="s">
        <v>3381</v>
      </c>
      <c r="F2974" s="265">
        <v>150</v>
      </c>
      <c r="G2974" s="265"/>
      <c r="H2974" s="265">
        <f t="shared" si="121"/>
        <v>150</v>
      </c>
    </row>
    <row r="2975" spans="2:9" x14ac:dyDescent="0.2">
      <c r="B2975" s="262" t="s">
        <v>1881</v>
      </c>
      <c r="C2975" s="263">
        <v>43114</v>
      </c>
      <c r="D2975" s="264" t="s">
        <v>2250</v>
      </c>
      <c r="E2975" s="264" t="s">
        <v>3838</v>
      </c>
      <c r="F2975" s="265">
        <v>120</v>
      </c>
      <c r="G2975" s="265"/>
      <c r="H2975" s="265">
        <f t="shared" si="121"/>
        <v>120</v>
      </c>
    </row>
    <row r="2976" spans="2:9" x14ac:dyDescent="0.2">
      <c r="B2976" s="262" t="s">
        <v>1867</v>
      </c>
      <c r="C2976" s="263">
        <v>43115</v>
      </c>
      <c r="D2976" s="264" t="s">
        <v>1894</v>
      </c>
      <c r="E2976" s="264" t="s">
        <v>4918</v>
      </c>
      <c r="F2976" s="265">
        <v>778</v>
      </c>
      <c r="G2976" s="265"/>
      <c r="H2976" s="265">
        <f t="shared" si="121"/>
        <v>778</v>
      </c>
    </row>
    <row r="2977" spans="2:9" x14ac:dyDescent="0.2">
      <c r="B2977" s="262" t="s">
        <v>1577</v>
      </c>
      <c r="C2977" s="263">
        <v>43115</v>
      </c>
      <c r="D2977" s="264" t="s">
        <v>4027</v>
      </c>
      <c r="E2977" s="264" t="s">
        <v>4919</v>
      </c>
      <c r="F2977" s="265">
        <v>25100</v>
      </c>
      <c r="G2977" s="265"/>
      <c r="H2977" s="265">
        <f t="shared" si="121"/>
        <v>25100</v>
      </c>
    </row>
    <row r="2978" spans="2:9" x14ac:dyDescent="0.2">
      <c r="B2978" s="262" t="s">
        <v>1881</v>
      </c>
      <c r="C2978" s="263">
        <v>43115</v>
      </c>
      <c r="D2978" s="264" t="s">
        <v>1873</v>
      </c>
      <c r="E2978" s="264" t="s">
        <v>4921</v>
      </c>
      <c r="F2978" s="265">
        <v>550</v>
      </c>
      <c r="G2978" s="265"/>
      <c r="H2978" s="265">
        <f t="shared" si="121"/>
        <v>550</v>
      </c>
    </row>
    <row r="2979" spans="2:9" x14ac:dyDescent="0.2">
      <c r="B2979" s="262" t="s">
        <v>1881</v>
      </c>
      <c r="C2979" s="263">
        <v>43115</v>
      </c>
      <c r="D2979" s="264" t="s">
        <v>2250</v>
      </c>
      <c r="E2979" s="264" t="s">
        <v>4920</v>
      </c>
      <c r="F2979" s="265">
        <v>350</v>
      </c>
      <c r="G2979" s="265"/>
      <c r="H2979" s="265">
        <f t="shared" si="121"/>
        <v>350</v>
      </c>
    </row>
    <row r="2980" spans="2:9" x14ac:dyDescent="0.2">
      <c r="B2980" s="262" t="s">
        <v>1884</v>
      </c>
      <c r="C2980" s="263">
        <v>43115</v>
      </c>
      <c r="D2980" s="264" t="s">
        <v>4493</v>
      </c>
      <c r="E2980" s="264" t="s">
        <v>4923</v>
      </c>
      <c r="F2980" s="265">
        <v>1500</v>
      </c>
      <c r="G2980" s="265"/>
      <c r="H2980" s="265">
        <f t="shared" si="121"/>
        <v>1500</v>
      </c>
    </row>
    <row r="2981" spans="2:9" x14ac:dyDescent="0.2">
      <c r="B2981" s="262" t="s">
        <v>1859</v>
      </c>
      <c r="C2981" s="263">
        <v>43115</v>
      </c>
      <c r="D2981" s="264" t="s">
        <v>4482</v>
      </c>
      <c r="E2981" s="264" t="s">
        <v>4922</v>
      </c>
      <c r="F2981" s="265">
        <v>4000</v>
      </c>
      <c r="G2981" s="265"/>
      <c r="H2981" s="265">
        <f t="shared" si="121"/>
        <v>4000</v>
      </c>
    </row>
    <row r="2982" spans="2:9" x14ac:dyDescent="0.2">
      <c r="B2982" s="262" t="s">
        <v>1866</v>
      </c>
      <c r="C2982" s="263">
        <v>43115</v>
      </c>
      <c r="D2982" s="264" t="s">
        <v>1890</v>
      </c>
      <c r="E2982" s="264" t="s">
        <v>4697</v>
      </c>
      <c r="F2982" s="265">
        <v>140</v>
      </c>
      <c r="G2982" s="265"/>
      <c r="H2982" s="265">
        <f t="shared" si="121"/>
        <v>140</v>
      </c>
    </row>
    <row r="2983" spans="2:9" x14ac:dyDescent="0.2">
      <c r="B2983" s="262" t="s">
        <v>1819</v>
      </c>
      <c r="C2983" s="263">
        <v>43115</v>
      </c>
      <c r="D2983" s="264" t="s">
        <v>4924</v>
      </c>
      <c r="E2983" s="264" t="s">
        <v>4925</v>
      </c>
      <c r="F2983" s="265">
        <v>116</v>
      </c>
      <c r="G2983" s="265"/>
      <c r="H2983" s="265">
        <f t="shared" si="121"/>
        <v>116</v>
      </c>
    </row>
    <row r="2984" spans="2:9" x14ac:dyDescent="0.2">
      <c r="B2984" s="262" t="s">
        <v>1819</v>
      </c>
      <c r="C2984" s="263">
        <v>43115</v>
      </c>
      <c r="D2984" s="264" t="s">
        <v>4926</v>
      </c>
      <c r="E2984" s="264" t="s">
        <v>4927</v>
      </c>
      <c r="F2984" s="265">
        <v>10</v>
      </c>
      <c r="G2984" s="265"/>
      <c r="H2984" s="265">
        <f>SUM(F2984:G2984)</f>
        <v>10</v>
      </c>
      <c r="I2984" s="175"/>
    </row>
    <row r="2985" spans="2:9" x14ac:dyDescent="0.2">
      <c r="B2985" s="262" t="s">
        <v>1819</v>
      </c>
      <c r="C2985" s="263">
        <v>43115</v>
      </c>
      <c r="D2985" s="264" t="s">
        <v>4487</v>
      </c>
      <c r="E2985" s="264" t="s">
        <v>4928</v>
      </c>
      <c r="F2985" s="265">
        <v>200</v>
      </c>
      <c r="G2985" s="265"/>
      <c r="H2985" s="265">
        <f t="shared" si="121"/>
        <v>200</v>
      </c>
    </row>
    <row r="2986" spans="2:9" x14ac:dyDescent="0.2">
      <c r="B2986" s="345" t="s">
        <v>1857</v>
      </c>
      <c r="C2986" s="263">
        <v>43116</v>
      </c>
      <c r="D2986" s="264" t="s">
        <v>1897</v>
      </c>
      <c r="E2986" s="264" t="s">
        <v>4929</v>
      </c>
      <c r="F2986" s="265">
        <v>300</v>
      </c>
      <c r="G2986" s="265"/>
      <c r="H2986" s="265">
        <f t="shared" si="121"/>
        <v>300</v>
      </c>
      <c r="I2986" s="175">
        <f>SUM(H2934:H2986)</f>
        <v>60502.080000000002</v>
      </c>
    </row>
    <row r="2987" spans="2:9" x14ac:dyDescent="0.2">
      <c r="B2987" s="262" t="s">
        <v>1863</v>
      </c>
      <c r="C2987" s="263">
        <v>43116</v>
      </c>
      <c r="D2987" s="264" t="s">
        <v>4750</v>
      </c>
      <c r="E2987" s="264" t="s">
        <v>4783</v>
      </c>
      <c r="F2987" s="265">
        <v>340</v>
      </c>
      <c r="G2987" s="265"/>
      <c r="H2987" s="265">
        <f t="shared" si="121"/>
        <v>340</v>
      </c>
    </row>
    <row r="2988" spans="2:9" x14ac:dyDescent="0.2">
      <c r="B2988" s="262" t="s">
        <v>1863</v>
      </c>
      <c r="C2988" s="263">
        <v>43116</v>
      </c>
      <c r="D2988" s="264" t="s">
        <v>1897</v>
      </c>
      <c r="E2988" s="264" t="s">
        <v>4930</v>
      </c>
      <c r="F2988" s="265">
        <v>200</v>
      </c>
      <c r="G2988" s="265"/>
      <c r="H2988" s="265">
        <f t="shared" si="121"/>
        <v>200</v>
      </c>
    </row>
    <row r="2989" spans="2:9" x14ac:dyDescent="0.2">
      <c r="B2989" s="262" t="s">
        <v>1819</v>
      </c>
      <c r="C2989" s="263">
        <v>43117</v>
      </c>
      <c r="D2989" s="264" t="s">
        <v>4931</v>
      </c>
      <c r="E2989" s="264" t="s">
        <v>4932</v>
      </c>
      <c r="F2989" s="265">
        <v>469</v>
      </c>
      <c r="G2989" s="265"/>
      <c r="H2989" s="265">
        <f t="shared" si="121"/>
        <v>469</v>
      </c>
    </row>
    <row r="2990" spans="2:9" x14ac:dyDescent="0.2">
      <c r="B2990" s="262" t="s">
        <v>1819</v>
      </c>
      <c r="C2990" s="263">
        <v>43117</v>
      </c>
      <c r="D2990" s="264" t="s">
        <v>4926</v>
      </c>
      <c r="E2990" s="264" t="s">
        <v>4933</v>
      </c>
      <c r="F2990" s="265">
        <v>10</v>
      </c>
      <c r="G2990" s="265"/>
      <c r="H2990" s="265">
        <f>SUM(F2990:G2990)</f>
        <v>10</v>
      </c>
    </row>
    <row r="2991" spans="2:9" x14ac:dyDescent="0.2">
      <c r="B2991" s="262" t="s">
        <v>1819</v>
      </c>
      <c r="C2991" s="263">
        <v>43117</v>
      </c>
      <c r="D2991" s="264" t="s">
        <v>1921</v>
      </c>
      <c r="E2991" s="264" t="s">
        <v>4934</v>
      </c>
      <c r="F2991" s="265">
        <v>63</v>
      </c>
      <c r="G2991" s="265"/>
      <c r="H2991" s="265">
        <f t="shared" si="121"/>
        <v>63</v>
      </c>
    </row>
    <row r="2992" spans="2:9" x14ac:dyDescent="0.2">
      <c r="B2992" s="345" t="s">
        <v>1819</v>
      </c>
      <c r="C2992" s="263">
        <v>43118</v>
      </c>
      <c r="D2992" s="264" t="s">
        <v>4935</v>
      </c>
      <c r="E2992" s="264" t="s">
        <v>4936</v>
      </c>
      <c r="F2992" s="265">
        <v>1500</v>
      </c>
      <c r="G2992" s="265"/>
      <c r="H2992" s="265">
        <f t="shared" si="121"/>
        <v>1500</v>
      </c>
    </row>
    <row r="2993" spans="2:8" x14ac:dyDescent="0.2">
      <c r="B2993" s="262" t="s">
        <v>1819</v>
      </c>
      <c r="C2993" s="263">
        <v>43118</v>
      </c>
      <c r="D2993" s="264" t="s">
        <v>4623</v>
      </c>
      <c r="E2993" s="264" t="s">
        <v>4932</v>
      </c>
      <c r="F2993" s="265">
        <v>220</v>
      </c>
      <c r="G2993" s="265"/>
      <c r="H2993" s="265">
        <f t="shared" si="121"/>
        <v>220</v>
      </c>
    </row>
    <row r="2994" spans="2:8" x14ac:dyDescent="0.2">
      <c r="B2994" s="262" t="s">
        <v>1863</v>
      </c>
      <c r="C2994" s="263">
        <v>43118</v>
      </c>
      <c r="D2994" s="264" t="s">
        <v>4750</v>
      </c>
      <c r="E2994" s="264" t="s">
        <v>4937</v>
      </c>
      <c r="F2994" s="265">
        <v>350</v>
      </c>
      <c r="G2994" s="265"/>
      <c r="H2994" s="265">
        <f t="shared" si="121"/>
        <v>350</v>
      </c>
    </row>
    <row r="2995" spans="2:8" x14ac:dyDescent="0.2">
      <c r="B2995" s="262" t="s">
        <v>1884</v>
      </c>
      <c r="C2995" s="263">
        <v>43118</v>
      </c>
      <c r="D2995" s="264" t="s">
        <v>1915</v>
      </c>
      <c r="E2995" s="264" t="s">
        <v>4806</v>
      </c>
      <c r="F2995" s="265">
        <v>300</v>
      </c>
      <c r="G2995" s="265"/>
      <c r="H2995" s="265">
        <f t="shared" si="121"/>
        <v>300</v>
      </c>
    </row>
    <row r="2996" spans="2:8" x14ac:dyDescent="0.2">
      <c r="B2996" s="262" t="s">
        <v>1819</v>
      </c>
      <c r="C2996" s="263">
        <v>43118</v>
      </c>
      <c r="D2996" s="264" t="s">
        <v>1921</v>
      </c>
      <c r="E2996" s="264" t="s">
        <v>4939</v>
      </c>
      <c r="F2996" s="265">
        <v>28</v>
      </c>
      <c r="G2996" s="265"/>
      <c r="H2996" s="265">
        <f t="shared" si="121"/>
        <v>28</v>
      </c>
    </row>
    <row r="2997" spans="2:8" x14ac:dyDescent="0.2">
      <c r="B2997" s="262" t="s">
        <v>1884</v>
      </c>
      <c r="C2997" s="263">
        <v>43118</v>
      </c>
      <c r="D2997" s="264" t="s">
        <v>2535</v>
      </c>
      <c r="E2997" s="264" t="s">
        <v>4938</v>
      </c>
      <c r="F2997" s="265">
        <v>26</v>
      </c>
      <c r="G2997" s="265"/>
      <c r="H2997" s="265">
        <f t="shared" si="121"/>
        <v>26</v>
      </c>
    </row>
    <row r="2998" spans="2:8" x14ac:dyDescent="0.2">
      <c r="B2998" s="262" t="s">
        <v>1884</v>
      </c>
      <c r="C2998" s="263">
        <v>43118</v>
      </c>
      <c r="D2998" s="264" t="s">
        <v>2535</v>
      </c>
      <c r="E2998" s="264" t="s">
        <v>4938</v>
      </c>
      <c r="F2998" s="265">
        <v>17.899999999999999</v>
      </c>
      <c r="G2998" s="265"/>
      <c r="H2998" s="265">
        <f t="shared" si="121"/>
        <v>17.899999999999999</v>
      </c>
    </row>
    <row r="2999" spans="2:8" x14ac:dyDescent="0.2">
      <c r="B2999" s="262" t="s">
        <v>1819</v>
      </c>
      <c r="C2999" s="263">
        <v>43119</v>
      </c>
      <c r="D2999" s="264" t="s">
        <v>4725</v>
      </c>
      <c r="E2999" s="264" t="s">
        <v>4940</v>
      </c>
      <c r="F2999" s="265">
        <v>386</v>
      </c>
      <c r="G2999" s="265"/>
      <c r="H2999" s="265">
        <f t="shared" si="121"/>
        <v>386</v>
      </c>
    </row>
    <row r="3000" spans="2:8" x14ac:dyDescent="0.2">
      <c r="B3000" s="262" t="s">
        <v>1819</v>
      </c>
      <c r="C3000" s="263">
        <v>43119</v>
      </c>
      <c r="D3000" s="264" t="s">
        <v>4400</v>
      </c>
      <c r="E3000" s="264" t="s">
        <v>4941</v>
      </c>
      <c r="F3000" s="265">
        <v>70</v>
      </c>
      <c r="G3000" s="265"/>
      <c r="H3000" s="265">
        <f t="shared" ref="H3000:H3010" si="123">SUM(F3000:G3000)</f>
        <v>70</v>
      </c>
    </row>
    <row r="3001" spans="2:8" x14ac:dyDescent="0.2">
      <c r="B3001" s="262" t="s">
        <v>1860</v>
      </c>
      <c r="C3001" s="263">
        <v>43119</v>
      </c>
      <c r="D3001" s="264" t="s">
        <v>4942</v>
      </c>
      <c r="E3001" s="264" t="s">
        <v>4943</v>
      </c>
      <c r="F3001" s="265">
        <v>116</v>
      </c>
      <c r="G3001" s="265"/>
      <c r="H3001" s="265">
        <f t="shared" si="123"/>
        <v>116</v>
      </c>
    </row>
    <row r="3002" spans="2:8" x14ac:dyDescent="0.2">
      <c r="B3002" s="262" t="s">
        <v>1860</v>
      </c>
      <c r="C3002" s="263">
        <v>43119</v>
      </c>
      <c r="D3002" s="264" t="s">
        <v>1891</v>
      </c>
      <c r="E3002" s="264" t="s">
        <v>4944</v>
      </c>
      <c r="F3002" s="265">
        <v>717.5</v>
      </c>
      <c r="G3002" s="265"/>
      <c r="H3002" s="265">
        <f t="shared" si="123"/>
        <v>717.5</v>
      </c>
    </row>
    <row r="3003" spans="2:8" x14ac:dyDescent="0.2">
      <c r="B3003" s="262" t="s">
        <v>1860</v>
      </c>
      <c r="C3003" s="263">
        <v>43119</v>
      </c>
      <c r="D3003" s="264" t="s">
        <v>1925</v>
      </c>
      <c r="E3003" s="264" t="s">
        <v>4945</v>
      </c>
      <c r="F3003" s="265">
        <v>5</v>
      </c>
      <c r="G3003" s="265"/>
      <c r="H3003" s="265">
        <f t="shared" si="123"/>
        <v>5</v>
      </c>
    </row>
    <row r="3004" spans="2:8" x14ac:dyDescent="0.2">
      <c r="B3004" s="262" t="s">
        <v>1875</v>
      </c>
      <c r="C3004" s="263">
        <v>43119</v>
      </c>
      <c r="D3004" s="264" t="s">
        <v>1893</v>
      </c>
      <c r="E3004" s="264" t="s">
        <v>4946</v>
      </c>
      <c r="F3004" s="265">
        <v>187.7</v>
      </c>
      <c r="G3004" s="265"/>
      <c r="H3004" s="265">
        <f t="shared" si="123"/>
        <v>187.7</v>
      </c>
    </row>
    <row r="3005" spans="2:8" x14ac:dyDescent="0.2">
      <c r="B3005" s="262" t="s">
        <v>1884</v>
      </c>
      <c r="C3005" s="263">
        <v>43119</v>
      </c>
      <c r="D3005" s="264" t="s">
        <v>4487</v>
      </c>
      <c r="E3005" s="264" t="s">
        <v>4166</v>
      </c>
      <c r="F3005" s="265">
        <v>342.6</v>
      </c>
      <c r="G3005" s="265"/>
      <c r="H3005" s="265">
        <f t="shared" si="123"/>
        <v>342.6</v>
      </c>
    </row>
    <row r="3006" spans="2:8" x14ac:dyDescent="0.2">
      <c r="B3006" s="262" t="s">
        <v>1819</v>
      </c>
      <c r="C3006" s="263">
        <v>43119</v>
      </c>
      <c r="D3006" s="264" t="s">
        <v>4947</v>
      </c>
      <c r="E3006" s="264" t="s">
        <v>4948</v>
      </c>
      <c r="F3006" s="265">
        <v>50</v>
      </c>
      <c r="G3006" s="265"/>
      <c r="H3006" s="265">
        <f t="shared" si="123"/>
        <v>50</v>
      </c>
    </row>
    <row r="3007" spans="2:8" x14ac:dyDescent="0.2">
      <c r="B3007" s="262" t="s">
        <v>1805</v>
      </c>
      <c r="C3007" s="263">
        <v>43119</v>
      </c>
      <c r="D3007" s="264" t="s">
        <v>3565</v>
      </c>
      <c r="E3007" s="264" t="s">
        <v>4949</v>
      </c>
      <c r="F3007" s="265">
        <v>1250</v>
      </c>
      <c r="G3007" s="265"/>
      <c r="H3007" s="265">
        <f t="shared" si="123"/>
        <v>1250</v>
      </c>
    </row>
    <row r="3008" spans="2:8" x14ac:dyDescent="0.2">
      <c r="B3008" s="262" t="s">
        <v>1863</v>
      </c>
      <c r="C3008" s="263">
        <v>43120</v>
      </c>
      <c r="D3008" s="264" t="s">
        <v>4750</v>
      </c>
      <c r="E3008" s="264" t="s">
        <v>4950</v>
      </c>
      <c r="F3008" s="265">
        <v>350</v>
      </c>
      <c r="G3008" s="265"/>
      <c r="H3008" s="265">
        <f t="shared" si="123"/>
        <v>350</v>
      </c>
    </row>
    <row r="3009" spans="2:8" x14ac:dyDescent="0.2">
      <c r="B3009" s="345" t="s">
        <v>1858</v>
      </c>
      <c r="C3009" s="263">
        <v>43120</v>
      </c>
      <c r="D3009" s="264" t="s">
        <v>4578</v>
      </c>
      <c r="E3009" s="264" t="s">
        <v>4951</v>
      </c>
      <c r="F3009" s="265">
        <v>193.3</v>
      </c>
      <c r="G3009" s="265">
        <v>30.92</v>
      </c>
      <c r="H3009" s="265">
        <f t="shared" si="123"/>
        <v>224.22000000000003</v>
      </c>
    </row>
    <row r="3010" spans="2:8" x14ac:dyDescent="0.2">
      <c r="B3010" s="262" t="s">
        <v>1863</v>
      </c>
      <c r="C3010" s="263">
        <v>43121</v>
      </c>
      <c r="D3010" s="264" t="s">
        <v>2250</v>
      </c>
      <c r="E3010" s="264" t="s">
        <v>4952</v>
      </c>
      <c r="F3010" s="265">
        <v>150</v>
      </c>
      <c r="G3010" s="265"/>
      <c r="H3010" s="265">
        <f t="shared" si="123"/>
        <v>150</v>
      </c>
    </row>
    <row r="3011" spans="2:8" x14ac:dyDescent="0.2">
      <c r="B3011" s="262" t="s">
        <v>1881</v>
      </c>
      <c r="C3011" s="263">
        <v>43121</v>
      </c>
      <c r="D3011" s="264" t="s">
        <v>2250</v>
      </c>
      <c r="E3011" s="264" t="s">
        <v>4953</v>
      </c>
      <c r="F3011" s="265">
        <v>120</v>
      </c>
      <c r="G3011" s="265"/>
      <c r="H3011" s="265">
        <f t="shared" ref="H3011:H3091" si="124">SUM(F3011:G3011)</f>
        <v>120</v>
      </c>
    </row>
    <row r="3012" spans="2:8" x14ac:dyDescent="0.2">
      <c r="B3012" s="262" t="s">
        <v>1864</v>
      </c>
      <c r="C3012" s="263">
        <v>43121</v>
      </c>
      <c r="D3012" s="264" t="s">
        <v>2535</v>
      </c>
      <c r="E3012" s="264" t="s">
        <v>4199</v>
      </c>
      <c r="F3012" s="265">
        <v>144.6</v>
      </c>
      <c r="G3012" s="265"/>
      <c r="H3012" s="265">
        <f t="shared" si="124"/>
        <v>144.6</v>
      </c>
    </row>
    <row r="3013" spans="2:8" x14ac:dyDescent="0.2">
      <c r="B3013" s="262" t="s">
        <v>1864</v>
      </c>
      <c r="C3013" s="263">
        <v>43121</v>
      </c>
      <c r="D3013" s="264" t="s">
        <v>2535</v>
      </c>
      <c r="E3013" s="264" t="s">
        <v>4199</v>
      </c>
      <c r="F3013" s="265">
        <v>13</v>
      </c>
      <c r="G3013" s="265"/>
      <c r="H3013" s="265">
        <f t="shared" si="124"/>
        <v>13</v>
      </c>
    </row>
    <row r="3014" spans="2:8" x14ac:dyDescent="0.2">
      <c r="B3014" s="262" t="s">
        <v>1864</v>
      </c>
      <c r="C3014" s="263">
        <v>43121</v>
      </c>
      <c r="D3014" s="264" t="s">
        <v>4954</v>
      </c>
      <c r="E3014" s="264" t="s">
        <v>2536</v>
      </c>
      <c r="F3014" s="265">
        <v>98</v>
      </c>
      <c r="G3014" s="265"/>
      <c r="H3014" s="265">
        <f t="shared" si="124"/>
        <v>98</v>
      </c>
    </row>
    <row r="3015" spans="2:8" x14ac:dyDescent="0.2">
      <c r="B3015" s="262" t="s">
        <v>1819</v>
      </c>
      <c r="C3015" s="263">
        <v>43120</v>
      </c>
      <c r="D3015" s="264" t="s">
        <v>1921</v>
      </c>
      <c r="E3015" s="264" t="s">
        <v>4955</v>
      </c>
      <c r="F3015" s="265">
        <v>28</v>
      </c>
      <c r="G3015" s="265"/>
      <c r="H3015" s="265">
        <f t="shared" si="124"/>
        <v>28</v>
      </c>
    </row>
    <row r="3016" spans="2:8" x14ac:dyDescent="0.2">
      <c r="B3016" s="262" t="s">
        <v>1866</v>
      </c>
      <c r="C3016" s="263">
        <v>43122</v>
      </c>
      <c r="D3016" s="264" t="s">
        <v>1890</v>
      </c>
      <c r="E3016" s="264" t="s">
        <v>4697</v>
      </c>
      <c r="F3016" s="265">
        <v>140</v>
      </c>
      <c r="G3016" s="265"/>
      <c r="H3016" s="265">
        <f t="shared" si="124"/>
        <v>140</v>
      </c>
    </row>
    <row r="3017" spans="2:8" x14ac:dyDescent="0.2">
      <c r="B3017" s="262" t="s">
        <v>1884</v>
      </c>
      <c r="C3017" s="263">
        <v>43122</v>
      </c>
      <c r="D3017" s="264" t="s">
        <v>4954</v>
      </c>
      <c r="E3017" s="264" t="s">
        <v>4956</v>
      </c>
      <c r="F3017" s="265">
        <v>156</v>
      </c>
      <c r="G3017" s="265"/>
      <c r="H3017" s="265">
        <f t="shared" si="124"/>
        <v>156</v>
      </c>
    </row>
    <row r="3018" spans="2:8" x14ac:dyDescent="0.2">
      <c r="B3018" s="262" t="s">
        <v>1884</v>
      </c>
      <c r="C3018" s="263">
        <v>43122</v>
      </c>
      <c r="D3018" s="264" t="s">
        <v>2535</v>
      </c>
      <c r="E3018" s="264" t="s">
        <v>4957</v>
      </c>
      <c r="F3018" s="265">
        <v>24.5</v>
      </c>
      <c r="G3018" s="265"/>
      <c r="H3018" s="265">
        <f t="shared" si="124"/>
        <v>24.5</v>
      </c>
    </row>
    <row r="3019" spans="2:8" x14ac:dyDescent="0.2">
      <c r="B3019" s="262" t="s">
        <v>1884</v>
      </c>
      <c r="C3019" s="263">
        <v>43122</v>
      </c>
      <c r="D3019" s="264" t="s">
        <v>2535</v>
      </c>
      <c r="E3019" s="264" t="s">
        <v>4958</v>
      </c>
      <c r="F3019" s="265">
        <v>44</v>
      </c>
      <c r="G3019" s="265"/>
      <c r="H3019" s="265">
        <f t="shared" si="124"/>
        <v>44</v>
      </c>
    </row>
    <row r="3020" spans="2:8" x14ac:dyDescent="0.2">
      <c r="B3020" s="262" t="s">
        <v>1864</v>
      </c>
      <c r="C3020" s="263">
        <v>43122</v>
      </c>
      <c r="D3020" s="264" t="s">
        <v>3565</v>
      </c>
      <c r="E3020" s="264" t="s">
        <v>4959</v>
      </c>
      <c r="F3020" s="265">
        <v>400</v>
      </c>
      <c r="G3020" s="265"/>
      <c r="H3020" s="265">
        <f t="shared" si="124"/>
        <v>400</v>
      </c>
    </row>
    <row r="3021" spans="2:8" x14ac:dyDescent="0.2">
      <c r="B3021" s="262" t="s">
        <v>1884</v>
      </c>
      <c r="C3021" s="263">
        <v>43124</v>
      </c>
      <c r="D3021" s="264" t="s">
        <v>1915</v>
      </c>
      <c r="E3021" s="264" t="s">
        <v>4806</v>
      </c>
      <c r="F3021" s="265">
        <v>300</v>
      </c>
      <c r="G3021" s="265"/>
      <c r="H3021" s="265">
        <f t="shared" si="124"/>
        <v>300</v>
      </c>
    </row>
    <row r="3022" spans="2:8" x14ac:dyDescent="0.2">
      <c r="B3022" s="262" t="s">
        <v>1863</v>
      </c>
      <c r="C3022" s="263">
        <v>43124</v>
      </c>
      <c r="D3022" s="264" t="s">
        <v>4750</v>
      </c>
      <c r="E3022" s="264" t="s">
        <v>4960</v>
      </c>
      <c r="F3022" s="265">
        <v>400</v>
      </c>
      <c r="G3022" s="265"/>
      <c r="H3022" s="265">
        <f t="shared" si="124"/>
        <v>400</v>
      </c>
    </row>
    <row r="3023" spans="2:8" x14ac:dyDescent="0.2">
      <c r="B3023" s="262" t="s">
        <v>1863</v>
      </c>
      <c r="C3023" s="263">
        <v>43124</v>
      </c>
      <c r="D3023" s="264" t="s">
        <v>1897</v>
      </c>
      <c r="E3023" s="264" t="s">
        <v>4961</v>
      </c>
      <c r="F3023" s="265">
        <v>400</v>
      </c>
      <c r="G3023" s="265"/>
      <c r="H3023" s="265">
        <f t="shared" si="124"/>
        <v>400</v>
      </c>
    </row>
    <row r="3024" spans="2:8" x14ac:dyDescent="0.2">
      <c r="B3024" s="262" t="s">
        <v>1863</v>
      </c>
      <c r="C3024" s="263">
        <v>43124</v>
      </c>
      <c r="D3024" s="264" t="s">
        <v>4487</v>
      </c>
      <c r="E3024" s="264" t="s">
        <v>4556</v>
      </c>
      <c r="F3024" s="265">
        <v>87.07</v>
      </c>
      <c r="G3024" s="265"/>
      <c r="H3024" s="265">
        <f t="shared" si="124"/>
        <v>87.07</v>
      </c>
    </row>
    <row r="3025" spans="2:8" x14ac:dyDescent="0.2">
      <c r="B3025" s="262" t="s">
        <v>1863</v>
      </c>
      <c r="C3025" s="263">
        <v>43125</v>
      </c>
      <c r="D3025" s="264" t="s">
        <v>4750</v>
      </c>
      <c r="E3025" s="264" t="s">
        <v>4960</v>
      </c>
      <c r="F3025" s="265">
        <v>350</v>
      </c>
      <c r="G3025" s="265"/>
      <c r="H3025" s="265">
        <f t="shared" si="124"/>
        <v>350</v>
      </c>
    </row>
    <row r="3026" spans="2:8" x14ac:dyDescent="0.2">
      <c r="B3026" s="262" t="s">
        <v>1863</v>
      </c>
      <c r="C3026" s="263">
        <v>43125</v>
      </c>
      <c r="D3026" s="264" t="s">
        <v>1897</v>
      </c>
      <c r="E3026" s="264" t="s">
        <v>4962</v>
      </c>
      <c r="F3026" s="265">
        <v>200</v>
      </c>
      <c r="G3026" s="265"/>
      <c r="H3026" s="265">
        <f t="shared" si="124"/>
        <v>200</v>
      </c>
    </row>
    <row r="3027" spans="2:8" x14ac:dyDescent="0.2">
      <c r="B3027" s="262" t="s">
        <v>1884</v>
      </c>
      <c r="C3027" s="263">
        <v>43125</v>
      </c>
      <c r="D3027" s="264" t="s">
        <v>1915</v>
      </c>
      <c r="E3027" s="264" t="s">
        <v>4963</v>
      </c>
      <c r="F3027" s="265">
        <v>300</v>
      </c>
      <c r="G3027" s="265"/>
      <c r="H3027" s="265">
        <f t="shared" si="124"/>
        <v>300</v>
      </c>
    </row>
    <row r="3028" spans="2:8" x14ac:dyDescent="0.2">
      <c r="B3028" s="262" t="s">
        <v>1577</v>
      </c>
      <c r="C3028" s="263">
        <v>43125</v>
      </c>
      <c r="D3028" s="264" t="s">
        <v>4964</v>
      </c>
      <c r="E3028" s="264" t="s">
        <v>4965</v>
      </c>
      <c r="F3028" s="265">
        <v>20000</v>
      </c>
      <c r="G3028" s="265"/>
      <c r="H3028" s="265">
        <f t="shared" si="124"/>
        <v>20000</v>
      </c>
    </row>
    <row r="3029" spans="2:8" x14ac:dyDescent="0.2">
      <c r="B3029" s="262" t="s">
        <v>1884</v>
      </c>
      <c r="C3029" s="263">
        <v>43126</v>
      </c>
      <c r="D3029" s="264" t="s">
        <v>4966</v>
      </c>
      <c r="E3029" s="264" t="s">
        <v>4967</v>
      </c>
      <c r="F3029" s="265">
        <v>415</v>
      </c>
      <c r="G3029" s="265"/>
      <c r="H3029" s="265">
        <f t="shared" si="124"/>
        <v>415</v>
      </c>
    </row>
    <row r="3030" spans="2:8" x14ac:dyDescent="0.2">
      <c r="B3030" s="262" t="s">
        <v>1805</v>
      </c>
      <c r="C3030" s="263">
        <v>43126</v>
      </c>
      <c r="D3030" s="264" t="s">
        <v>3565</v>
      </c>
      <c r="E3030" s="264" t="s">
        <v>4968</v>
      </c>
      <c r="F3030" s="265">
        <v>1250</v>
      </c>
      <c r="G3030" s="265"/>
      <c r="H3030" s="265">
        <f t="shared" si="124"/>
        <v>1250</v>
      </c>
    </row>
    <row r="3031" spans="2:8" x14ac:dyDescent="0.2">
      <c r="B3031" s="262" t="s">
        <v>1863</v>
      </c>
      <c r="C3031" s="263">
        <v>43127</v>
      </c>
      <c r="D3031" s="264" t="s">
        <v>4750</v>
      </c>
      <c r="E3031" s="264" t="s">
        <v>4970</v>
      </c>
      <c r="F3031" s="265">
        <v>340</v>
      </c>
      <c r="G3031" s="265"/>
      <c r="H3031" s="265">
        <f t="shared" si="124"/>
        <v>340</v>
      </c>
    </row>
    <row r="3032" spans="2:8" x14ac:dyDescent="0.2">
      <c r="B3032" s="262" t="s">
        <v>1879</v>
      </c>
      <c r="C3032" s="263">
        <v>43127</v>
      </c>
      <c r="D3032" s="264" t="s">
        <v>3330</v>
      </c>
      <c r="E3032" s="264" t="s">
        <v>4969</v>
      </c>
      <c r="F3032" s="265">
        <v>300</v>
      </c>
      <c r="G3032" s="265"/>
      <c r="H3032" s="265">
        <f t="shared" si="124"/>
        <v>300</v>
      </c>
    </row>
    <row r="3033" spans="2:8" x14ac:dyDescent="0.2">
      <c r="B3033" s="262" t="s">
        <v>1790</v>
      </c>
      <c r="C3033" s="263">
        <v>43127</v>
      </c>
      <c r="D3033" s="264" t="s">
        <v>1909</v>
      </c>
      <c r="E3033" s="264" t="s">
        <v>4981</v>
      </c>
      <c r="F3033" s="265"/>
      <c r="G3033" s="265">
        <v>1760</v>
      </c>
      <c r="H3033" s="265">
        <f t="shared" si="124"/>
        <v>1760</v>
      </c>
    </row>
    <row r="3034" spans="2:8" x14ac:dyDescent="0.2">
      <c r="B3034" s="341" t="s">
        <v>1805</v>
      </c>
      <c r="C3034" s="263">
        <v>43127</v>
      </c>
      <c r="D3034" s="264" t="s">
        <v>1888</v>
      </c>
      <c r="E3034" s="264" t="s">
        <v>5050</v>
      </c>
      <c r="F3034" s="265">
        <v>1400</v>
      </c>
      <c r="G3034" s="265"/>
      <c r="H3034" s="265">
        <f t="shared" ref="H3034:H3044" si="125">SUM(F3034:G3034)</f>
        <v>1400</v>
      </c>
    </row>
    <row r="3035" spans="2:8" x14ac:dyDescent="0.2">
      <c r="B3035" s="262" t="s">
        <v>1864</v>
      </c>
      <c r="C3035" s="263">
        <v>43128</v>
      </c>
      <c r="D3035" s="264" t="s">
        <v>2535</v>
      </c>
      <c r="E3035" s="264" t="s">
        <v>3340</v>
      </c>
      <c r="F3035" s="265">
        <v>101</v>
      </c>
      <c r="G3035" s="265"/>
      <c r="H3035" s="265">
        <f t="shared" si="125"/>
        <v>101</v>
      </c>
    </row>
    <row r="3036" spans="2:8" x14ac:dyDescent="0.2">
      <c r="B3036" s="262" t="s">
        <v>1864</v>
      </c>
      <c r="C3036" s="263">
        <v>43128</v>
      </c>
      <c r="D3036" s="264" t="s">
        <v>3795</v>
      </c>
      <c r="E3036" s="264" t="s">
        <v>2536</v>
      </c>
      <c r="F3036" s="265">
        <v>60</v>
      </c>
      <c r="G3036" s="265"/>
      <c r="H3036" s="265">
        <f t="shared" si="125"/>
        <v>60</v>
      </c>
    </row>
    <row r="3037" spans="2:8" x14ac:dyDescent="0.2">
      <c r="B3037" s="262" t="s">
        <v>1881</v>
      </c>
      <c r="C3037" s="263">
        <v>43128</v>
      </c>
      <c r="D3037" s="264" t="s">
        <v>2250</v>
      </c>
      <c r="E3037" s="264" t="s">
        <v>4215</v>
      </c>
      <c r="F3037" s="265">
        <v>120</v>
      </c>
      <c r="G3037" s="265"/>
      <c r="H3037" s="265">
        <f t="shared" si="125"/>
        <v>120</v>
      </c>
    </row>
    <row r="3038" spans="2:8" x14ac:dyDescent="0.2">
      <c r="B3038" s="262" t="s">
        <v>1863</v>
      </c>
      <c r="C3038" s="263">
        <v>43128</v>
      </c>
      <c r="D3038" s="264" t="s">
        <v>2250</v>
      </c>
      <c r="E3038" s="264" t="s">
        <v>3381</v>
      </c>
      <c r="F3038" s="265">
        <v>150</v>
      </c>
      <c r="G3038" s="265"/>
      <c r="H3038" s="265">
        <f t="shared" si="125"/>
        <v>150</v>
      </c>
    </row>
    <row r="3039" spans="2:8" x14ac:dyDescent="0.2">
      <c r="B3039" s="262" t="s">
        <v>1866</v>
      </c>
      <c r="C3039" s="263">
        <v>43129</v>
      </c>
      <c r="D3039" s="264" t="s">
        <v>1890</v>
      </c>
      <c r="E3039" s="264" t="s">
        <v>4747</v>
      </c>
      <c r="F3039" s="265">
        <v>170</v>
      </c>
      <c r="G3039" s="265"/>
      <c r="H3039" s="265">
        <f t="shared" si="125"/>
        <v>170</v>
      </c>
    </row>
    <row r="3040" spans="2:8" x14ac:dyDescent="0.2">
      <c r="B3040" s="262" t="s">
        <v>1863</v>
      </c>
      <c r="C3040" s="263">
        <v>43129</v>
      </c>
      <c r="D3040" s="264" t="s">
        <v>4750</v>
      </c>
      <c r="E3040" s="264" t="s">
        <v>4970</v>
      </c>
      <c r="F3040" s="265">
        <v>350</v>
      </c>
      <c r="G3040" s="265"/>
      <c r="H3040" s="265">
        <f t="shared" si="125"/>
        <v>350</v>
      </c>
    </row>
    <row r="3041" spans="2:9" x14ac:dyDescent="0.2">
      <c r="B3041" s="262" t="s">
        <v>1863</v>
      </c>
      <c r="C3041" s="263">
        <v>43130</v>
      </c>
      <c r="D3041" s="264" t="s">
        <v>1897</v>
      </c>
      <c r="E3041" s="264" t="s">
        <v>4829</v>
      </c>
      <c r="F3041" s="265">
        <v>400</v>
      </c>
      <c r="G3041" s="265"/>
      <c r="H3041" s="265">
        <f t="shared" si="125"/>
        <v>400</v>
      </c>
    </row>
    <row r="3042" spans="2:9" x14ac:dyDescent="0.2">
      <c r="B3042" s="262" t="s">
        <v>1884</v>
      </c>
      <c r="C3042" s="263">
        <v>43130</v>
      </c>
      <c r="D3042" s="264" t="s">
        <v>4971</v>
      </c>
      <c r="E3042" s="264" t="s">
        <v>4881</v>
      </c>
      <c r="F3042" s="265">
        <v>300</v>
      </c>
      <c r="G3042" s="265"/>
      <c r="H3042" s="265">
        <f t="shared" si="125"/>
        <v>300</v>
      </c>
    </row>
    <row r="3043" spans="2:9" x14ac:dyDescent="0.2">
      <c r="B3043" s="262" t="s">
        <v>1577</v>
      </c>
      <c r="C3043" s="263">
        <v>43131</v>
      </c>
      <c r="D3043" s="264" t="s">
        <v>4027</v>
      </c>
      <c r="E3043" s="264" t="s">
        <v>4972</v>
      </c>
      <c r="F3043" s="265">
        <v>10100</v>
      </c>
      <c r="G3043" s="265"/>
      <c r="H3043" s="265">
        <f t="shared" si="125"/>
        <v>10100</v>
      </c>
    </row>
    <row r="3044" spans="2:9" x14ac:dyDescent="0.2">
      <c r="B3044" s="262" t="s">
        <v>1821</v>
      </c>
      <c r="C3044" s="263">
        <v>43131</v>
      </c>
      <c r="D3044" s="264" t="s">
        <v>3053</v>
      </c>
      <c r="E3044" s="264" t="s">
        <v>4973</v>
      </c>
      <c r="F3044" s="265">
        <v>6000</v>
      </c>
      <c r="G3044" s="265"/>
      <c r="H3044" s="265">
        <f t="shared" si="125"/>
        <v>6000</v>
      </c>
    </row>
    <row r="3045" spans="2:9" x14ac:dyDescent="0.2">
      <c r="B3045" s="262" t="s">
        <v>1881</v>
      </c>
      <c r="C3045" s="263">
        <v>43131</v>
      </c>
      <c r="D3045" s="264" t="s">
        <v>2250</v>
      </c>
      <c r="E3045" s="264" t="s">
        <v>4974</v>
      </c>
      <c r="F3045" s="265">
        <v>300</v>
      </c>
      <c r="G3045" s="265"/>
      <c r="H3045" s="265">
        <f t="shared" si="124"/>
        <v>300</v>
      </c>
    </row>
    <row r="3046" spans="2:9" x14ac:dyDescent="0.2">
      <c r="B3046" s="262" t="s">
        <v>1881</v>
      </c>
      <c r="C3046" s="263">
        <v>43131</v>
      </c>
      <c r="D3046" s="264" t="s">
        <v>1873</v>
      </c>
      <c r="E3046" s="264" t="s">
        <v>4975</v>
      </c>
      <c r="F3046" s="265">
        <v>550</v>
      </c>
      <c r="G3046" s="265"/>
      <c r="H3046" s="265">
        <f t="shared" si="124"/>
        <v>550</v>
      </c>
    </row>
    <row r="3047" spans="2:9" x14ac:dyDescent="0.2">
      <c r="B3047" s="262" t="s">
        <v>1859</v>
      </c>
      <c r="C3047" s="263">
        <v>43131</v>
      </c>
      <c r="D3047" s="264" t="s">
        <v>4482</v>
      </c>
      <c r="E3047" s="264" t="s">
        <v>4976</v>
      </c>
      <c r="F3047" s="265">
        <v>4000</v>
      </c>
      <c r="G3047" s="265"/>
      <c r="H3047" s="265">
        <f t="shared" si="124"/>
        <v>4000</v>
      </c>
    </row>
    <row r="3048" spans="2:9" x14ac:dyDescent="0.2">
      <c r="B3048" s="262" t="s">
        <v>1884</v>
      </c>
      <c r="C3048" s="263">
        <v>43131</v>
      </c>
      <c r="D3048" s="264" t="s">
        <v>4493</v>
      </c>
      <c r="E3048" s="264" t="s">
        <v>4977</v>
      </c>
      <c r="F3048" s="265">
        <v>1500</v>
      </c>
      <c r="G3048" s="265"/>
      <c r="H3048" s="265">
        <f t="shared" si="124"/>
        <v>1500</v>
      </c>
    </row>
    <row r="3049" spans="2:9" x14ac:dyDescent="0.2">
      <c r="B3049" s="262" t="s">
        <v>1875</v>
      </c>
      <c r="C3049" s="263">
        <v>43131</v>
      </c>
      <c r="D3049" s="264" t="s">
        <v>1893</v>
      </c>
      <c r="E3049" s="264" t="s">
        <v>4978</v>
      </c>
      <c r="F3049" s="265">
        <v>279</v>
      </c>
      <c r="G3049" s="265"/>
      <c r="H3049" s="265">
        <f>SUM(F3049:G3049)</f>
        <v>279</v>
      </c>
    </row>
    <row r="3050" spans="2:9" x14ac:dyDescent="0.2">
      <c r="B3050" s="262" t="s">
        <v>1875</v>
      </c>
      <c r="C3050" s="263">
        <v>43131</v>
      </c>
      <c r="D3050" s="264" t="s">
        <v>1925</v>
      </c>
      <c r="E3050" s="264" t="s">
        <v>4979</v>
      </c>
      <c r="F3050" s="265">
        <v>5</v>
      </c>
      <c r="G3050" s="265"/>
      <c r="H3050" s="265">
        <f t="shared" si="124"/>
        <v>5</v>
      </c>
      <c r="I3050" s="175">
        <f>SUM(H2934:H3050)</f>
        <v>120930.17000000001</v>
      </c>
    </row>
    <row r="3051" spans="2:9" x14ac:dyDescent="0.2">
      <c r="B3051" s="262" t="s">
        <v>1887</v>
      </c>
      <c r="C3051" s="263">
        <v>43103</v>
      </c>
      <c r="D3051" s="264" t="s">
        <v>1534</v>
      </c>
      <c r="E3051" s="264" t="s">
        <v>1536</v>
      </c>
      <c r="F3051" s="265">
        <v>-0.46</v>
      </c>
      <c r="G3051" s="265"/>
      <c r="H3051" s="265">
        <f>SUM(F3051:G3051)</f>
        <v>-0.46</v>
      </c>
    </row>
    <row r="3052" spans="2:9" x14ac:dyDescent="0.2">
      <c r="B3052" s="262" t="s">
        <v>1790</v>
      </c>
      <c r="C3052" s="263">
        <v>43129</v>
      </c>
      <c r="D3052" s="361" t="s">
        <v>1909</v>
      </c>
      <c r="E3052" s="361" t="s">
        <v>4980</v>
      </c>
      <c r="F3052" s="362"/>
      <c r="G3052" s="362">
        <v>-1760</v>
      </c>
      <c r="H3052" s="265">
        <f>SUM(F3052:G3052)</f>
        <v>-1760</v>
      </c>
    </row>
    <row r="3053" spans="2:9" x14ac:dyDescent="0.2">
      <c r="B3053" s="262" t="s">
        <v>1887</v>
      </c>
      <c r="C3053" s="263">
        <v>43131</v>
      </c>
      <c r="D3053" s="361" t="s">
        <v>1597</v>
      </c>
      <c r="E3053" s="361" t="s">
        <v>2229</v>
      </c>
      <c r="F3053" s="265">
        <v>18</v>
      </c>
      <c r="G3053" s="265"/>
      <c r="H3053" s="265">
        <f>SUM(F3053:G3053)</f>
        <v>18</v>
      </c>
    </row>
    <row r="3054" spans="2:9" x14ac:dyDescent="0.2">
      <c r="B3054" s="262" t="s">
        <v>1790</v>
      </c>
      <c r="C3054" s="263">
        <v>43131</v>
      </c>
      <c r="D3054" s="361" t="s">
        <v>1597</v>
      </c>
      <c r="E3054" s="361" t="s">
        <v>2230</v>
      </c>
      <c r="F3054" s="265"/>
      <c r="G3054" s="265">
        <v>2.88</v>
      </c>
      <c r="H3054" s="265">
        <f>SUM(F3054:G3054)</f>
        <v>2.88</v>
      </c>
      <c r="I3054" s="175">
        <f>SUM(H2934:H3054)</f>
        <v>119190.59000000001</v>
      </c>
    </row>
    <row r="3055" spans="2:9" x14ac:dyDescent="0.2">
      <c r="B3055" s="262"/>
      <c r="C3055" s="263"/>
      <c r="D3055" s="264"/>
      <c r="E3055" s="264"/>
      <c r="F3055" s="265"/>
      <c r="G3055" s="265"/>
      <c r="H3055" s="265">
        <f t="shared" si="124"/>
        <v>0</v>
      </c>
    </row>
    <row r="3056" spans="2:9" x14ac:dyDescent="0.2">
      <c r="B3056" s="262"/>
      <c r="C3056" s="263"/>
      <c r="D3056" s="264"/>
      <c r="E3056" s="264"/>
      <c r="F3056" s="265"/>
      <c r="G3056" s="265"/>
      <c r="H3056" s="265">
        <f t="shared" si="124"/>
        <v>0</v>
      </c>
    </row>
    <row r="3057" spans="2:9" x14ac:dyDescent="0.2">
      <c r="B3057" s="262"/>
      <c r="C3057" s="263"/>
      <c r="D3057" s="264"/>
      <c r="E3057" s="264"/>
      <c r="F3057" s="265"/>
      <c r="G3057" s="265"/>
      <c r="H3057" s="265">
        <f t="shared" si="124"/>
        <v>0</v>
      </c>
    </row>
    <row r="3058" spans="2:9" x14ac:dyDescent="0.2">
      <c r="B3058" s="262"/>
      <c r="C3058" s="263"/>
      <c r="D3058" s="264"/>
      <c r="E3058" s="264"/>
      <c r="F3058" s="265"/>
      <c r="G3058" s="265"/>
      <c r="H3058" s="265">
        <f t="shared" si="124"/>
        <v>0</v>
      </c>
    </row>
    <row r="3059" spans="2:9" ht="18" customHeight="1" x14ac:dyDescent="0.2">
      <c r="B3059" s="255" t="s">
        <v>1850</v>
      </c>
      <c r="C3059" s="255" t="s">
        <v>1851</v>
      </c>
      <c r="D3059" s="256" t="s">
        <v>1852</v>
      </c>
      <c r="E3059" s="256" t="s">
        <v>1853</v>
      </c>
      <c r="F3059" s="257" t="s">
        <v>1854</v>
      </c>
      <c r="G3059" s="257" t="s">
        <v>1855</v>
      </c>
      <c r="H3059" s="257" t="s">
        <v>1856</v>
      </c>
    </row>
    <row r="3060" spans="2:9" x14ac:dyDescent="0.2">
      <c r="B3060" s="262" t="s">
        <v>1884</v>
      </c>
      <c r="C3060" s="263">
        <v>43132</v>
      </c>
      <c r="D3060" s="264" t="s">
        <v>4573</v>
      </c>
      <c r="E3060" s="264" t="s">
        <v>4988</v>
      </c>
      <c r="F3060" s="265">
        <v>83.8</v>
      </c>
      <c r="G3060" s="265"/>
      <c r="H3060" s="265">
        <f t="shared" si="124"/>
        <v>83.8</v>
      </c>
    </row>
    <row r="3061" spans="2:9" x14ac:dyDescent="0.2">
      <c r="B3061" s="262" t="s">
        <v>1884</v>
      </c>
      <c r="C3061" s="263">
        <v>43132</v>
      </c>
      <c r="D3061" s="264" t="s">
        <v>4989</v>
      </c>
      <c r="E3061" s="264" t="s">
        <v>4990</v>
      </c>
      <c r="F3061" s="265">
        <v>400</v>
      </c>
      <c r="G3061" s="265"/>
      <c r="H3061" s="265">
        <f t="shared" si="124"/>
        <v>400</v>
      </c>
    </row>
    <row r="3062" spans="2:9" x14ac:dyDescent="0.2">
      <c r="B3062" s="262" t="s">
        <v>1884</v>
      </c>
      <c r="C3062" s="263">
        <v>43132</v>
      </c>
      <c r="D3062" s="264" t="s">
        <v>1915</v>
      </c>
      <c r="E3062" s="264" t="s">
        <v>4881</v>
      </c>
      <c r="F3062" s="265">
        <v>300</v>
      </c>
      <c r="G3062" s="265"/>
      <c r="H3062" s="265">
        <f t="shared" si="124"/>
        <v>300</v>
      </c>
    </row>
    <row r="3063" spans="2:9" x14ac:dyDescent="0.2">
      <c r="B3063" s="262" t="s">
        <v>1863</v>
      </c>
      <c r="C3063" s="263">
        <v>43133</v>
      </c>
      <c r="D3063" s="264" t="s">
        <v>4750</v>
      </c>
      <c r="E3063" s="264" t="s">
        <v>4991</v>
      </c>
      <c r="F3063" s="265">
        <v>350</v>
      </c>
      <c r="G3063" s="265"/>
      <c r="H3063" s="265">
        <f t="shared" si="124"/>
        <v>350</v>
      </c>
    </row>
    <row r="3064" spans="2:9" x14ac:dyDescent="0.2">
      <c r="B3064" s="262" t="s">
        <v>1863</v>
      </c>
      <c r="C3064" s="263">
        <v>43133</v>
      </c>
      <c r="D3064" s="264" t="s">
        <v>4992</v>
      </c>
      <c r="E3064" s="264" t="s">
        <v>4993</v>
      </c>
      <c r="F3064" s="265">
        <v>400</v>
      </c>
      <c r="G3064" s="265"/>
      <c r="H3064" s="265">
        <f t="shared" si="124"/>
        <v>400</v>
      </c>
    </row>
    <row r="3065" spans="2:9" x14ac:dyDescent="0.2">
      <c r="B3065" s="262" t="s">
        <v>1805</v>
      </c>
      <c r="C3065" s="263">
        <v>43140</v>
      </c>
      <c r="D3065" s="264" t="s">
        <v>3565</v>
      </c>
      <c r="E3065" s="264" t="s">
        <v>5064</v>
      </c>
      <c r="F3065" s="265">
        <v>1250</v>
      </c>
      <c r="G3065" s="265"/>
      <c r="H3065" s="265">
        <f t="shared" ref="H3065" si="126">SUM(F3065:G3065)</f>
        <v>1250</v>
      </c>
      <c r="I3065" s="320"/>
    </row>
    <row r="3066" spans="2:9" x14ac:dyDescent="0.2">
      <c r="B3066" s="262" t="s">
        <v>1871</v>
      </c>
      <c r="C3066" s="263">
        <v>43134</v>
      </c>
      <c r="D3066" s="264" t="s">
        <v>4994</v>
      </c>
      <c r="E3066" s="264" t="s">
        <v>4995</v>
      </c>
      <c r="F3066" s="265">
        <v>200</v>
      </c>
      <c r="G3066" s="265"/>
      <c r="H3066" s="265">
        <f t="shared" si="124"/>
        <v>200</v>
      </c>
    </row>
    <row r="3067" spans="2:9" x14ac:dyDescent="0.2">
      <c r="B3067" s="262" t="s">
        <v>1881</v>
      </c>
      <c r="C3067" s="263">
        <v>43134</v>
      </c>
      <c r="D3067" s="264" t="s">
        <v>1873</v>
      </c>
      <c r="E3067" s="264" t="s">
        <v>4996</v>
      </c>
      <c r="F3067" s="265">
        <v>60</v>
      </c>
      <c r="G3067" s="265"/>
      <c r="H3067" s="265">
        <f t="shared" si="124"/>
        <v>60</v>
      </c>
    </row>
    <row r="3068" spans="2:9" x14ac:dyDescent="0.2">
      <c r="B3068" s="262" t="s">
        <v>1863</v>
      </c>
      <c r="C3068" s="263">
        <v>43135</v>
      </c>
      <c r="D3068" s="264" t="s">
        <v>2250</v>
      </c>
      <c r="E3068" s="264" t="s">
        <v>4997</v>
      </c>
      <c r="F3068" s="265">
        <v>150</v>
      </c>
      <c r="G3068" s="265"/>
      <c r="H3068" s="265">
        <f t="shared" si="124"/>
        <v>150</v>
      </c>
    </row>
    <row r="3069" spans="2:9" x14ac:dyDescent="0.2">
      <c r="B3069" s="262" t="s">
        <v>1881</v>
      </c>
      <c r="C3069" s="263">
        <v>43135</v>
      </c>
      <c r="D3069" s="264" t="s">
        <v>2250</v>
      </c>
      <c r="E3069" s="264" t="s">
        <v>4395</v>
      </c>
      <c r="F3069" s="265">
        <v>120</v>
      </c>
      <c r="G3069" s="265"/>
      <c r="H3069" s="265">
        <f t="shared" si="124"/>
        <v>120</v>
      </c>
    </row>
    <row r="3070" spans="2:9" x14ac:dyDescent="0.2">
      <c r="B3070" s="262" t="s">
        <v>1864</v>
      </c>
      <c r="C3070" s="263">
        <v>43135</v>
      </c>
      <c r="D3070" s="264" t="s">
        <v>2535</v>
      </c>
      <c r="E3070" s="264" t="s">
        <v>4998</v>
      </c>
      <c r="F3070" s="265">
        <v>117.9</v>
      </c>
      <c r="G3070" s="265"/>
      <c r="H3070" s="265">
        <f t="shared" si="124"/>
        <v>117.9</v>
      </c>
    </row>
    <row r="3071" spans="2:9" x14ac:dyDescent="0.2">
      <c r="B3071" s="262" t="s">
        <v>1866</v>
      </c>
      <c r="C3071" s="263">
        <v>43136</v>
      </c>
      <c r="D3071" s="264" t="s">
        <v>1890</v>
      </c>
      <c r="E3071" s="264" t="s">
        <v>4747</v>
      </c>
      <c r="F3071" s="265">
        <v>140</v>
      </c>
      <c r="G3071" s="265"/>
      <c r="H3071" s="265">
        <f t="shared" si="124"/>
        <v>140</v>
      </c>
    </row>
    <row r="3072" spans="2:9" x14ac:dyDescent="0.2">
      <c r="B3072" s="262" t="s">
        <v>1884</v>
      </c>
      <c r="C3072" s="263">
        <v>43136</v>
      </c>
      <c r="D3072" s="264" t="s">
        <v>4849</v>
      </c>
      <c r="E3072" s="264" t="s">
        <v>4999</v>
      </c>
      <c r="F3072" s="265">
        <v>300</v>
      </c>
      <c r="G3072" s="265"/>
      <c r="H3072" s="265">
        <f t="shared" si="124"/>
        <v>300</v>
      </c>
    </row>
    <row r="3073" spans="2:9" x14ac:dyDescent="0.2">
      <c r="B3073" s="262" t="s">
        <v>1863</v>
      </c>
      <c r="C3073" s="263">
        <v>43136</v>
      </c>
      <c r="D3073" s="264" t="s">
        <v>1897</v>
      </c>
      <c r="E3073" s="264" t="s">
        <v>4829</v>
      </c>
      <c r="F3073" s="265">
        <v>200</v>
      </c>
      <c r="G3073" s="265"/>
      <c r="H3073" s="265">
        <f t="shared" si="124"/>
        <v>200</v>
      </c>
    </row>
    <row r="3074" spans="2:9" x14ac:dyDescent="0.2">
      <c r="B3074" s="262" t="s">
        <v>1863</v>
      </c>
      <c r="C3074" s="263">
        <v>43137</v>
      </c>
      <c r="D3074" s="264" t="s">
        <v>4750</v>
      </c>
      <c r="E3074" s="264" t="s">
        <v>5000</v>
      </c>
      <c r="F3074" s="265">
        <v>350</v>
      </c>
      <c r="G3074" s="265"/>
      <c r="H3074" s="265">
        <f t="shared" si="124"/>
        <v>350</v>
      </c>
    </row>
    <row r="3075" spans="2:9" x14ac:dyDescent="0.2">
      <c r="B3075" s="262" t="s">
        <v>1863</v>
      </c>
      <c r="C3075" s="263">
        <v>43137</v>
      </c>
      <c r="D3075" s="264" t="s">
        <v>1897</v>
      </c>
      <c r="E3075" s="264" t="s">
        <v>4829</v>
      </c>
      <c r="F3075" s="265">
        <v>400</v>
      </c>
      <c r="G3075" s="265"/>
      <c r="H3075" s="265">
        <f t="shared" si="124"/>
        <v>400</v>
      </c>
    </row>
    <row r="3076" spans="2:9" x14ac:dyDescent="0.2">
      <c r="B3076" s="262" t="s">
        <v>1860</v>
      </c>
      <c r="C3076" s="263">
        <v>43137</v>
      </c>
      <c r="D3076" s="264" t="s">
        <v>3955</v>
      </c>
      <c r="E3076" s="264" t="s">
        <v>5001</v>
      </c>
      <c r="F3076" s="265">
        <v>200</v>
      </c>
      <c r="G3076" s="265"/>
      <c r="H3076" s="265">
        <f t="shared" si="124"/>
        <v>200</v>
      </c>
    </row>
    <row r="3077" spans="2:9" x14ac:dyDescent="0.2">
      <c r="B3077" s="262" t="s">
        <v>1884</v>
      </c>
      <c r="C3077" s="263">
        <v>43138</v>
      </c>
      <c r="D3077" s="264" t="s">
        <v>2535</v>
      </c>
      <c r="E3077" s="264" t="s">
        <v>5002</v>
      </c>
      <c r="F3077" s="265">
        <v>106</v>
      </c>
      <c r="G3077" s="265"/>
      <c r="H3077" s="265">
        <f t="shared" si="124"/>
        <v>106</v>
      </c>
    </row>
    <row r="3078" spans="2:9" x14ac:dyDescent="0.2">
      <c r="B3078" s="262" t="s">
        <v>1577</v>
      </c>
      <c r="C3078" s="263">
        <v>43138</v>
      </c>
      <c r="D3078" s="264" t="s">
        <v>5003</v>
      </c>
      <c r="E3078" s="264" t="s">
        <v>5004</v>
      </c>
      <c r="F3078" s="265">
        <v>14067</v>
      </c>
      <c r="G3078" s="265"/>
      <c r="H3078" s="265">
        <f t="shared" si="124"/>
        <v>14067</v>
      </c>
    </row>
    <row r="3079" spans="2:9" x14ac:dyDescent="0.2">
      <c r="B3079" s="262" t="s">
        <v>1884</v>
      </c>
      <c r="C3079" s="263">
        <v>43138</v>
      </c>
      <c r="D3079" s="264" t="s">
        <v>5005</v>
      </c>
      <c r="E3079" s="264" t="s">
        <v>4806</v>
      </c>
      <c r="F3079" s="265">
        <v>300</v>
      </c>
      <c r="G3079" s="265"/>
      <c r="H3079" s="265">
        <f t="shared" si="124"/>
        <v>300</v>
      </c>
    </row>
    <row r="3080" spans="2:9" x14ac:dyDescent="0.2">
      <c r="B3080" s="262" t="s">
        <v>1861</v>
      </c>
      <c r="C3080" s="263">
        <v>43138</v>
      </c>
      <c r="D3080" s="264" t="s">
        <v>5006</v>
      </c>
      <c r="E3080" s="264" t="s">
        <v>5007</v>
      </c>
      <c r="F3080" s="265">
        <v>280</v>
      </c>
      <c r="G3080" s="265"/>
      <c r="H3080" s="265">
        <f t="shared" si="124"/>
        <v>280</v>
      </c>
    </row>
    <row r="3081" spans="2:9" x14ac:dyDescent="0.2">
      <c r="B3081" s="262" t="s">
        <v>1863</v>
      </c>
      <c r="C3081" s="263">
        <v>43139</v>
      </c>
      <c r="D3081" s="264" t="s">
        <v>4750</v>
      </c>
      <c r="E3081" s="264" t="s">
        <v>5008</v>
      </c>
      <c r="F3081" s="265">
        <v>350</v>
      </c>
      <c r="G3081" s="265"/>
      <c r="H3081" s="265">
        <f t="shared" si="124"/>
        <v>350</v>
      </c>
    </row>
    <row r="3082" spans="2:9" x14ac:dyDescent="0.2">
      <c r="B3082" s="262" t="s">
        <v>1867</v>
      </c>
      <c r="C3082" s="263">
        <v>43140</v>
      </c>
      <c r="D3082" s="264" t="s">
        <v>2535</v>
      </c>
      <c r="E3082" s="264" t="s">
        <v>5012</v>
      </c>
      <c r="F3082" s="265">
        <v>100</v>
      </c>
      <c r="G3082" s="265"/>
      <c r="H3082" s="265">
        <f t="shared" si="124"/>
        <v>100</v>
      </c>
    </row>
    <row r="3083" spans="2:9" x14ac:dyDescent="0.2">
      <c r="B3083" s="262" t="s">
        <v>1805</v>
      </c>
      <c r="C3083" s="263">
        <v>43140</v>
      </c>
      <c r="D3083" s="264" t="s">
        <v>3565</v>
      </c>
      <c r="E3083" s="264" t="s">
        <v>5009</v>
      </c>
      <c r="F3083" s="265">
        <v>1250</v>
      </c>
      <c r="G3083" s="265"/>
      <c r="H3083" s="265">
        <f t="shared" si="124"/>
        <v>1250</v>
      </c>
      <c r="I3083" s="320"/>
    </row>
    <row r="3084" spans="2:9" x14ac:dyDescent="0.2">
      <c r="B3084" s="262" t="s">
        <v>1875</v>
      </c>
      <c r="C3084" s="263">
        <v>43140</v>
      </c>
      <c r="D3084" s="264" t="s">
        <v>1893</v>
      </c>
      <c r="E3084" s="264" t="s">
        <v>2109</v>
      </c>
      <c r="F3084" s="265">
        <v>508.54</v>
      </c>
      <c r="G3084" s="265">
        <v>81.36</v>
      </c>
      <c r="H3084" s="265">
        <f t="shared" si="124"/>
        <v>589.9</v>
      </c>
    </row>
    <row r="3085" spans="2:9" x14ac:dyDescent="0.2">
      <c r="B3085" s="262" t="s">
        <v>1875</v>
      </c>
      <c r="C3085" s="263">
        <v>43140</v>
      </c>
      <c r="D3085" s="264" t="s">
        <v>1925</v>
      </c>
      <c r="E3085" s="264" t="s">
        <v>5011</v>
      </c>
      <c r="F3085" s="265">
        <v>5</v>
      </c>
      <c r="G3085" s="265"/>
      <c r="H3085" s="265">
        <f t="shared" si="124"/>
        <v>5</v>
      </c>
    </row>
    <row r="3086" spans="2:9" x14ac:dyDescent="0.2">
      <c r="B3086" s="262" t="s">
        <v>1875</v>
      </c>
      <c r="C3086" s="263">
        <v>43140</v>
      </c>
      <c r="D3086" s="264" t="s">
        <v>2535</v>
      </c>
      <c r="E3086" s="264" t="s">
        <v>4847</v>
      </c>
      <c r="F3086" s="265">
        <v>36</v>
      </c>
      <c r="G3086" s="265"/>
      <c r="H3086" s="265">
        <f t="shared" si="124"/>
        <v>36</v>
      </c>
      <c r="I3086" s="175"/>
    </row>
    <row r="3087" spans="2:9" x14ac:dyDescent="0.2">
      <c r="B3087" s="262" t="s">
        <v>1863</v>
      </c>
      <c r="C3087" s="263">
        <v>43141</v>
      </c>
      <c r="D3087" s="264" t="s">
        <v>4750</v>
      </c>
      <c r="E3087" s="264" t="s">
        <v>3498</v>
      </c>
      <c r="F3087" s="265">
        <v>200</v>
      </c>
      <c r="G3087" s="265"/>
      <c r="H3087" s="265">
        <f t="shared" si="124"/>
        <v>200</v>
      </c>
      <c r="I3087" s="175"/>
    </row>
    <row r="3088" spans="2:9" x14ac:dyDescent="0.2">
      <c r="B3088" s="262" t="s">
        <v>1864</v>
      </c>
      <c r="C3088" s="263">
        <v>43142</v>
      </c>
      <c r="D3088" s="264" t="s">
        <v>3565</v>
      </c>
      <c r="E3088" s="264" t="s">
        <v>5010</v>
      </c>
      <c r="F3088" s="265">
        <v>400</v>
      </c>
      <c r="G3088" s="265"/>
      <c r="H3088" s="265">
        <f t="shared" ref="H3088" si="127">SUM(F3088:G3088)</f>
        <v>400</v>
      </c>
      <c r="I3088" s="175">
        <f>SUM(H3056:H3088)</f>
        <v>22705.600000000002</v>
      </c>
    </row>
    <row r="3089" spans="2:9" x14ac:dyDescent="0.2">
      <c r="B3089" s="262" t="s">
        <v>1863</v>
      </c>
      <c r="C3089" s="263">
        <v>43142</v>
      </c>
      <c r="D3089" s="264" t="s">
        <v>2250</v>
      </c>
      <c r="E3089" s="264" t="s">
        <v>3498</v>
      </c>
      <c r="F3089" s="265">
        <v>150</v>
      </c>
      <c r="G3089" s="265"/>
      <c r="H3089" s="265">
        <f t="shared" si="124"/>
        <v>150</v>
      </c>
      <c r="I3089" s="175"/>
    </row>
    <row r="3090" spans="2:9" x14ac:dyDescent="0.2">
      <c r="B3090" s="262" t="s">
        <v>1881</v>
      </c>
      <c r="C3090" s="263">
        <v>43142</v>
      </c>
      <c r="D3090" s="264" t="s">
        <v>2250</v>
      </c>
      <c r="E3090" s="264" t="s">
        <v>4693</v>
      </c>
      <c r="F3090" s="265">
        <v>120</v>
      </c>
      <c r="G3090" s="265"/>
      <c r="H3090" s="265">
        <f t="shared" si="124"/>
        <v>120</v>
      </c>
      <c r="I3090" s="175"/>
    </row>
    <row r="3091" spans="2:9" x14ac:dyDescent="0.2">
      <c r="B3091" s="262" t="s">
        <v>1864</v>
      </c>
      <c r="C3091" s="263">
        <v>43142</v>
      </c>
      <c r="D3091" s="264" t="s">
        <v>2535</v>
      </c>
      <c r="E3091" s="264" t="s">
        <v>2536</v>
      </c>
      <c r="F3091" s="265">
        <v>57.5</v>
      </c>
      <c r="G3091" s="265"/>
      <c r="H3091" s="265">
        <f t="shared" si="124"/>
        <v>57.5</v>
      </c>
      <c r="I3091" s="175"/>
    </row>
    <row r="3092" spans="2:9" x14ac:dyDescent="0.2">
      <c r="B3092" s="345" t="s">
        <v>1870</v>
      </c>
      <c r="C3092" s="263">
        <v>43143</v>
      </c>
      <c r="D3092" s="264" t="s">
        <v>5013</v>
      </c>
      <c r="E3092" s="264" t="s">
        <v>5017</v>
      </c>
      <c r="F3092" s="265">
        <v>350</v>
      </c>
      <c r="G3092" s="265"/>
      <c r="H3092" s="265">
        <f t="shared" ref="H3092" si="128">SUM(F3092:G3092)</f>
        <v>350</v>
      </c>
      <c r="I3092" s="175"/>
    </row>
    <row r="3093" spans="2:9" x14ac:dyDescent="0.2">
      <c r="B3093" s="262" t="s">
        <v>1862</v>
      </c>
      <c r="C3093" s="263">
        <v>43143</v>
      </c>
      <c r="D3093" s="264" t="s">
        <v>5013</v>
      </c>
      <c r="E3093" s="264" t="s">
        <v>5014</v>
      </c>
      <c r="F3093" s="265">
        <v>650</v>
      </c>
      <c r="G3093" s="265"/>
      <c r="H3093" s="265">
        <f t="shared" ref="H3093:H3156" si="129">SUM(F3093:G3093)</f>
        <v>650</v>
      </c>
    </row>
    <row r="3094" spans="2:9" x14ac:dyDescent="0.2">
      <c r="B3094" s="262" t="s">
        <v>1884</v>
      </c>
      <c r="C3094" s="263">
        <v>43143</v>
      </c>
      <c r="D3094" s="264" t="s">
        <v>1915</v>
      </c>
      <c r="E3094" s="264" t="s">
        <v>5018</v>
      </c>
      <c r="F3094" s="265">
        <v>300</v>
      </c>
      <c r="G3094" s="265"/>
      <c r="H3094" s="265">
        <f t="shared" si="129"/>
        <v>300</v>
      </c>
    </row>
    <row r="3095" spans="2:9" x14ac:dyDescent="0.2">
      <c r="B3095" s="262" t="s">
        <v>1863</v>
      </c>
      <c r="C3095" s="263">
        <v>43143</v>
      </c>
      <c r="D3095" s="264" t="s">
        <v>4750</v>
      </c>
      <c r="E3095" s="264" t="s">
        <v>5019</v>
      </c>
      <c r="F3095" s="265">
        <v>550</v>
      </c>
      <c r="G3095" s="265"/>
      <c r="H3095" s="265">
        <f t="shared" si="129"/>
        <v>550</v>
      </c>
    </row>
    <row r="3096" spans="2:9" x14ac:dyDescent="0.2">
      <c r="B3096" s="262" t="s">
        <v>1863</v>
      </c>
      <c r="C3096" s="263">
        <v>43143</v>
      </c>
      <c r="D3096" s="264" t="s">
        <v>4487</v>
      </c>
      <c r="E3096" s="264" t="s">
        <v>4807</v>
      </c>
      <c r="F3096" s="265">
        <v>86.8</v>
      </c>
      <c r="G3096" s="265"/>
      <c r="H3096" s="265">
        <f t="shared" si="129"/>
        <v>86.8</v>
      </c>
    </row>
    <row r="3097" spans="2:9" x14ac:dyDescent="0.2">
      <c r="B3097" s="262" t="s">
        <v>1866</v>
      </c>
      <c r="C3097" s="263">
        <v>43143</v>
      </c>
      <c r="D3097" s="264" t="s">
        <v>1890</v>
      </c>
      <c r="E3097" s="264" t="s">
        <v>4747</v>
      </c>
      <c r="F3097" s="265">
        <v>140</v>
      </c>
      <c r="G3097" s="265"/>
      <c r="H3097" s="265">
        <f t="shared" si="129"/>
        <v>140</v>
      </c>
    </row>
    <row r="3098" spans="2:9" x14ac:dyDescent="0.2">
      <c r="B3098" s="345" t="s">
        <v>1819</v>
      </c>
      <c r="C3098" s="263">
        <v>43144</v>
      </c>
      <c r="D3098" s="264" t="s">
        <v>4168</v>
      </c>
      <c r="E3098" s="264" t="s">
        <v>5020</v>
      </c>
      <c r="F3098" s="265">
        <v>106</v>
      </c>
      <c r="G3098" s="265"/>
      <c r="H3098" s="265">
        <f t="shared" si="129"/>
        <v>106</v>
      </c>
    </row>
    <row r="3099" spans="2:9" x14ac:dyDescent="0.2">
      <c r="B3099" s="262" t="s">
        <v>1819</v>
      </c>
      <c r="C3099" s="263">
        <v>43144</v>
      </c>
      <c r="D3099" s="264" t="s">
        <v>1921</v>
      </c>
      <c r="E3099" s="264" t="s">
        <v>5021</v>
      </c>
      <c r="F3099" s="265">
        <v>14</v>
      </c>
      <c r="G3099" s="265"/>
      <c r="H3099" s="265">
        <f t="shared" si="129"/>
        <v>14</v>
      </c>
    </row>
    <row r="3100" spans="2:9" x14ac:dyDescent="0.2">
      <c r="B3100" s="262" t="s">
        <v>1863</v>
      </c>
      <c r="C3100" s="263">
        <v>43145</v>
      </c>
      <c r="D3100" s="264" t="s">
        <v>4750</v>
      </c>
      <c r="E3100" s="264" t="s">
        <v>5019</v>
      </c>
      <c r="F3100" s="265">
        <v>520</v>
      </c>
      <c r="G3100" s="265"/>
      <c r="H3100" s="265">
        <f t="shared" si="129"/>
        <v>520</v>
      </c>
    </row>
    <row r="3101" spans="2:9" x14ac:dyDescent="0.2">
      <c r="B3101" s="262" t="s">
        <v>1819</v>
      </c>
      <c r="C3101" s="263">
        <v>43145</v>
      </c>
      <c r="D3101" s="264" t="s">
        <v>2535</v>
      </c>
      <c r="E3101" s="264" t="s">
        <v>5022</v>
      </c>
      <c r="F3101" s="265">
        <v>90</v>
      </c>
      <c r="G3101" s="265"/>
      <c r="H3101" s="265">
        <f t="shared" si="129"/>
        <v>90</v>
      </c>
    </row>
    <row r="3102" spans="2:9" x14ac:dyDescent="0.2">
      <c r="B3102" s="262" t="s">
        <v>1863</v>
      </c>
      <c r="C3102" s="263">
        <v>43145</v>
      </c>
      <c r="D3102" s="264" t="s">
        <v>4578</v>
      </c>
      <c r="E3102" s="264" t="s">
        <v>5023</v>
      </c>
      <c r="F3102" s="265">
        <v>267.24</v>
      </c>
      <c r="G3102" s="265">
        <v>42.76</v>
      </c>
      <c r="H3102" s="265">
        <f t="shared" si="129"/>
        <v>310</v>
      </c>
    </row>
    <row r="3103" spans="2:9" x14ac:dyDescent="0.2">
      <c r="B3103" s="262" t="s">
        <v>1862</v>
      </c>
      <c r="C3103" s="263">
        <v>43145</v>
      </c>
      <c r="D3103" s="264" t="s">
        <v>2741</v>
      </c>
      <c r="E3103" s="264" t="s">
        <v>5024</v>
      </c>
      <c r="F3103" s="265">
        <v>534.49</v>
      </c>
      <c r="G3103" s="265">
        <v>85.51</v>
      </c>
      <c r="H3103" s="265">
        <f t="shared" si="129"/>
        <v>620</v>
      </c>
    </row>
    <row r="3104" spans="2:9" x14ac:dyDescent="0.2">
      <c r="B3104" s="262" t="s">
        <v>1819</v>
      </c>
      <c r="C3104" s="263">
        <v>43145</v>
      </c>
      <c r="D3104" s="264" t="s">
        <v>4487</v>
      </c>
      <c r="E3104" s="264" t="s">
        <v>5025</v>
      </c>
      <c r="F3104" s="265">
        <v>199.12</v>
      </c>
      <c r="G3104" s="265"/>
      <c r="H3104" s="265">
        <f t="shared" si="129"/>
        <v>199.12</v>
      </c>
    </row>
    <row r="3105" spans="2:9" x14ac:dyDescent="0.2">
      <c r="B3105" s="262" t="s">
        <v>1862</v>
      </c>
      <c r="C3105" s="263">
        <v>43145</v>
      </c>
      <c r="D3105" s="264" t="s">
        <v>5013</v>
      </c>
      <c r="E3105" s="264" t="s">
        <v>5026</v>
      </c>
      <c r="F3105" s="265">
        <v>2000</v>
      </c>
      <c r="G3105" s="265"/>
      <c r="H3105" s="265">
        <f t="shared" si="129"/>
        <v>2000</v>
      </c>
    </row>
    <row r="3106" spans="2:9" x14ac:dyDescent="0.2">
      <c r="B3106" s="262" t="s">
        <v>1867</v>
      </c>
      <c r="C3106" s="263">
        <v>43145</v>
      </c>
      <c r="D3106" s="264" t="s">
        <v>1894</v>
      </c>
      <c r="E3106" s="264" t="s">
        <v>5027</v>
      </c>
      <c r="F3106" s="265">
        <v>778</v>
      </c>
      <c r="G3106" s="265"/>
      <c r="H3106" s="265">
        <f t="shared" si="129"/>
        <v>778</v>
      </c>
    </row>
    <row r="3107" spans="2:9" x14ac:dyDescent="0.2">
      <c r="B3107" s="262" t="s">
        <v>1884</v>
      </c>
      <c r="C3107" s="263">
        <v>43146</v>
      </c>
      <c r="D3107" s="264" t="s">
        <v>2535</v>
      </c>
      <c r="E3107" s="264" t="s">
        <v>5028</v>
      </c>
      <c r="F3107" s="265">
        <v>105.7</v>
      </c>
      <c r="G3107" s="265"/>
      <c r="H3107" s="265">
        <f t="shared" si="129"/>
        <v>105.7</v>
      </c>
    </row>
    <row r="3108" spans="2:9" x14ac:dyDescent="0.2">
      <c r="B3108" s="262" t="s">
        <v>1805</v>
      </c>
      <c r="C3108" s="263">
        <v>43146</v>
      </c>
      <c r="D3108" s="264" t="s">
        <v>3565</v>
      </c>
      <c r="E3108" s="264" t="s">
        <v>5029</v>
      </c>
      <c r="F3108" s="265">
        <v>1250</v>
      </c>
      <c r="G3108" s="265"/>
      <c r="H3108" s="265">
        <f t="shared" si="129"/>
        <v>1250</v>
      </c>
      <c r="I3108" s="320"/>
    </row>
    <row r="3109" spans="2:9" x14ac:dyDescent="0.2">
      <c r="B3109" s="262" t="s">
        <v>1863</v>
      </c>
      <c r="C3109" s="263">
        <v>43146</v>
      </c>
      <c r="D3109" s="264" t="s">
        <v>4750</v>
      </c>
      <c r="E3109" s="264" t="s">
        <v>5019</v>
      </c>
      <c r="F3109" s="265">
        <v>550</v>
      </c>
      <c r="G3109" s="265"/>
      <c r="H3109" s="265">
        <f t="shared" si="129"/>
        <v>550</v>
      </c>
    </row>
    <row r="3110" spans="2:9" x14ac:dyDescent="0.2">
      <c r="B3110" s="262" t="s">
        <v>1863</v>
      </c>
      <c r="C3110" s="263">
        <v>43146</v>
      </c>
      <c r="D3110" s="264" t="s">
        <v>2250</v>
      </c>
      <c r="E3110" s="264" t="s">
        <v>3087</v>
      </c>
      <c r="F3110" s="265">
        <v>350</v>
      </c>
      <c r="G3110" s="265"/>
      <c r="H3110" s="265">
        <f t="shared" si="129"/>
        <v>350</v>
      </c>
    </row>
    <row r="3111" spans="2:9" x14ac:dyDescent="0.2">
      <c r="B3111" s="262" t="s">
        <v>1884</v>
      </c>
      <c r="C3111" s="263">
        <v>43146</v>
      </c>
      <c r="D3111" s="264" t="s">
        <v>4646</v>
      </c>
      <c r="E3111" s="264" t="s">
        <v>3087</v>
      </c>
      <c r="F3111" s="265">
        <v>2000</v>
      </c>
      <c r="G3111" s="265"/>
      <c r="H3111" s="265">
        <f t="shared" si="129"/>
        <v>2000</v>
      </c>
    </row>
    <row r="3112" spans="2:9" x14ac:dyDescent="0.2">
      <c r="B3112" s="262" t="s">
        <v>1577</v>
      </c>
      <c r="C3112" s="263">
        <v>43146</v>
      </c>
      <c r="D3112" s="264" t="s">
        <v>5030</v>
      </c>
      <c r="E3112" s="264" t="s">
        <v>5031</v>
      </c>
      <c r="F3112" s="265">
        <v>24000</v>
      </c>
      <c r="G3112" s="265"/>
      <c r="H3112" s="265">
        <f t="shared" si="129"/>
        <v>24000</v>
      </c>
    </row>
    <row r="3113" spans="2:9" x14ac:dyDescent="0.2">
      <c r="B3113" s="262" t="s">
        <v>1859</v>
      </c>
      <c r="C3113" s="263">
        <v>43146</v>
      </c>
      <c r="D3113" s="264" t="s">
        <v>4482</v>
      </c>
      <c r="E3113" s="264" t="s">
        <v>3604</v>
      </c>
      <c r="F3113" s="265">
        <v>4000</v>
      </c>
      <c r="G3113" s="265"/>
      <c r="H3113" s="265">
        <f t="shared" si="129"/>
        <v>4000</v>
      </c>
      <c r="I3113" s="175">
        <f>SUM(H3060:H3113)</f>
        <v>62002.720000000001</v>
      </c>
    </row>
    <row r="3114" spans="2:9" x14ac:dyDescent="0.2">
      <c r="B3114" s="262" t="s">
        <v>1819</v>
      </c>
      <c r="C3114" s="263">
        <v>43147</v>
      </c>
      <c r="D3114" s="264" t="s">
        <v>1921</v>
      </c>
      <c r="E3114" s="264" t="s">
        <v>5032</v>
      </c>
      <c r="F3114" s="265">
        <v>63</v>
      </c>
      <c r="G3114" s="265"/>
      <c r="H3114" s="265">
        <f t="shared" si="129"/>
        <v>63</v>
      </c>
    </row>
    <row r="3115" spans="2:9" x14ac:dyDescent="0.2">
      <c r="B3115" s="262" t="s">
        <v>1884</v>
      </c>
      <c r="C3115" s="263">
        <v>43147</v>
      </c>
      <c r="D3115" s="264" t="s">
        <v>5033</v>
      </c>
      <c r="E3115" s="264" t="s">
        <v>4806</v>
      </c>
      <c r="F3115" s="265">
        <v>300</v>
      </c>
      <c r="G3115" s="265"/>
      <c r="H3115" s="265">
        <f t="shared" si="129"/>
        <v>300</v>
      </c>
    </row>
    <row r="3116" spans="2:9" x14ac:dyDescent="0.2">
      <c r="B3116" s="262" t="s">
        <v>1819</v>
      </c>
      <c r="C3116" s="263">
        <v>43147</v>
      </c>
      <c r="D3116" s="264" t="s">
        <v>4748</v>
      </c>
      <c r="E3116" s="264" t="s">
        <v>5034</v>
      </c>
      <c r="F3116" s="265">
        <v>220</v>
      </c>
      <c r="G3116" s="265"/>
      <c r="H3116" s="265">
        <f t="shared" si="129"/>
        <v>220</v>
      </c>
    </row>
    <row r="3117" spans="2:9" x14ac:dyDescent="0.2">
      <c r="B3117" s="262" t="s">
        <v>1884</v>
      </c>
      <c r="C3117" s="263">
        <v>43148</v>
      </c>
      <c r="D3117" s="264" t="s">
        <v>5035</v>
      </c>
      <c r="E3117" s="264" t="s">
        <v>5036</v>
      </c>
      <c r="F3117" s="265">
        <v>120</v>
      </c>
      <c r="G3117" s="265"/>
      <c r="H3117" s="265">
        <f t="shared" si="129"/>
        <v>120</v>
      </c>
    </row>
    <row r="3118" spans="2:9" x14ac:dyDescent="0.2">
      <c r="B3118" s="262" t="s">
        <v>1881</v>
      </c>
      <c r="C3118" s="263">
        <v>43149</v>
      </c>
      <c r="D3118" s="264" t="s">
        <v>2250</v>
      </c>
      <c r="E3118" s="264" t="s">
        <v>3300</v>
      </c>
      <c r="F3118" s="265">
        <v>120</v>
      </c>
      <c r="G3118" s="265"/>
      <c r="H3118" s="265">
        <f t="shared" si="129"/>
        <v>120</v>
      </c>
    </row>
    <row r="3119" spans="2:9" x14ac:dyDescent="0.2">
      <c r="B3119" s="262" t="s">
        <v>1863</v>
      </c>
      <c r="C3119" s="263">
        <v>43149</v>
      </c>
      <c r="D3119" s="264" t="s">
        <v>2250</v>
      </c>
      <c r="E3119" s="264" t="s">
        <v>3381</v>
      </c>
      <c r="F3119" s="265">
        <v>150</v>
      </c>
      <c r="G3119" s="265"/>
      <c r="H3119" s="265">
        <f t="shared" si="129"/>
        <v>150</v>
      </c>
    </row>
    <row r="3120" spans="2:9" x14ac:dyDescent="0.2">
      <c r="B3120" s="262" t="s">
        <v>1864</v>
      </c>
      <c r="C3120" s="263">
        <v>43149</v>
      </c>
      <c r="D3120" s="264" t="s">
        <v>2535</v>
      </c>
      <c r="E3120" s="264" t="s">
        <v>5037</v>
      </c>
      <c r="F3120" s="265">
        <v>81.5</v>
      </c>
      <c r="G3120" s="265"/>
      <c r="H3120" s="265">
        <f t="shared" si="129"/>
        <v>81.5</v>
      </c>
    </row>
    <row r="3121" spans="2:9" x14ac:dyDescent="0.2">
      <c r="B3121" s="262" t="s">
        <v>1884</v>
      </c>
      <c r="C3121" s="263">
        <v>43150</v>
      </c>
      <c r="D3121" s="264" t="s">
        <v>5005</v>
      </c>
      <c r="E3121" s="264" t="s">
        <v>4881</v>
      </c>
      <c r="F3121" s="265">
        <v>300</v>
      </c>
      <c r="G3121" s="265"/>
      <c r="H3121" s="265">
        <f t="shared" si="129"/>
        <v>300</v>
      </c>
    </row>
    <row r="3122" spans="2:9" x14ac:dyDescent="0.2">
      <c r="B3122" s="262" t="s">
        <v>1866</v>
      </c>
      <c r="C3122" s="263">
        <v>43150</v>
      </c>
      <c r="D3122" s="264" t="s">
        <v>1890</v>
      </c>
      <c r="E3122" s="264" t="s">
        <v>4697</v>
      </c>
      <c r="F3122" s="265">
        <v>140</v>
      </c>
      <c r="G3122" s="265"/>
      <c r="H3122" s="265">
        <f t="shared" si="129"/>
        <v>140</v>
      </c>
    </row>
    <row r="3123" spans="2:9" x14ac:dyDescent="0.2">
      <c r="B3123" s="262" t="s">
        <v>1863</v>
      </c>
      <c r="C3123" s="263">
        <v>43150</v>
      </c>
      <c r="D3123" s="264" t="s">
        <v>4750</v>
      </c>
      <c r="E3123" s="264" t="s">
        <v>5038</v>
      </c>
      <c r="F3123" s="265">
        <v>520</v>
      </c>
      <c r="G3123" s="265"/>
      <c r="H3123" s="265">
        <f t="shared" si="129"/>
        <v>520</v>
      </c>
    </row>
    <row r="3124" spans="2:9" x14ac:dyDescent="0.2">
      <c r="B3124" s="262" t="s">
        <v>1870</v>
      </c>
      <c r="C3124" s="263">
        <v>43150</v>
      </c>
      <c r="D3124" s="264" t="s">
        <v>5013</v>
      </c>
      <c r="E3124" s="264" t="s">
        <v>5039</v>
      </c>
      <c r="F3124" s="265">
        <v>3000</v>
      </c>
      <c r="G3124" s="265"/>
      <c r="H3124" s="265">
        <f t="shared" si="129"/>
        <v>3000</v>
      </c>
    </row>
    <row r="3125" spans="2:9" x14ac:dyDescent="0.2">
      <c r="B3125" s="262" t="s">
        <v>1819</v>
      </c>
      <c r="C3125" s="263">
        <v>43151</v>
      </c>
      <c r="D3125" s="264" t="s">
        <v>1921</v>
      </c>
      <c r="E3125" s="264" t="s">
        <v>5040</v>
      </c>
      <c r="F3125" s="265">
        <v>49</v>
      </c>
      <c r="G3125" s="265"/>
      <c r="H3125" s="265">
        <f t="shared" si="129"/>
        <v>49</v>
      </c>
    </row>
    <row r="3126" spans="2:9" x14ac:dyDescent="0.2">
      <c r="B3126" s="262" t="s">
        <v>1819</v>
      </c>
      <c r="C3126" s="263">
        <v>43151</v>
      </c>
      <c r="D3126" s="264" t="s">
        <v>5041</v>
      </c>
      <c r="E3126" s="264" t="s">
        <v>5042</v>
      </c>
      <c r="F3126" s="265">
        <v>132</v>
      </c>
      <c r="G3126" s="265"/>
      <c r="H3126" s="265">
        <f t="shared" si="129"/>
        <v>132</v>
      </c>
    </row>
    <row r="3127" spans="2:9" x14ac:dyDescent="0.2">
      <c r="B3127" s="262" t="s">
        <v>1819</v>
      </c>
      <c r="C3127" s="263">
        <v>43151</v>
      </c>
      <c r="D3127" s="264" t="s">
        <v>5043</v>
      </c>
      <c r="E3127" s="264" t="s">
        <v>5044</v>
      </c>
      <c r="F3127" s="265">
        <v>250</v>
      </c>
      <c r="G3127" s="265"/>
      <c r="H3127" s="265">
        <f t="shared" si="129"/>
        <v>250</v>
      </c>
    </row>
    <row r="3128" spans="2:9" x14ac:dyDescent="0.2">
      <c r="B3128" s="262" t="s">
        <v>1862</v>
      </c>
      <c r="C3128" s="263">
        <v>43151</v>
      </c>
      <c r="D3128" s="264" t="s">
        <v>4578</v>
      </c>
      <c r="E3128" s="264" t="s">
        <v>5045</v>
      </c>
      <c r="F3128" s="265">
        <v>368.97</v>
      </c>
      <c r="G3128" s="265">
        <v>59.03</v>
      </c>
      <c r="H3128" s="265">
        <f t="shared" si="129"/>
        <v>428</v>
      </c>
      <c r="I3128" s="175">
        <f>SUM(H3060:H3128)</f>
        <v>67876.22</v>
      </c>
    </row>
    <row r="3129" spans="2:9" x14ac:dyDescent="0.2">
      <c r="B3129" s="345" t="s">
        <v>1819</v>
      </c>
      <c r="C3129" s="263">
        <v>43152</v>
      </c>
      <c r="D3129" s="264" t="s">
        <v>5052</v>
      </c>
      <c r="E3129" s="264" t="s">
        <v>4936</v>
      </c>
      <c r="F3129" s="265">
        <v>1500</v>
      </c>
      <c r="G3129" s="265"/>
      <c r="H3129" s="265">
        <f t="shared" si="129"/>
        <v>1500</v>
      </c>
    </row>
    <row r="3130" spans="2:9" x14ac:dyDescent="0.2">
      <c r="B3130" s="262" t="s">
        <v>1819</v>
      </c>
      <c r="C3130" s="263">
        <v>43152</v>
      </c>
      <c r="D3130" s="264" t="s">
        <v>4748</v>
      </c>
      <c r="E3130" s="264" t="s">
        <v>5053</v>
      </c>
      <c r="F3130" s="265">
        <v>190</v>
      </c>
      <c r="G3130" s="265"/>
      <c r="H3130" s="265">
        <f t="shared" si="129"/>
        <v>190</v>
      </c>
    </row>
    <row r="3131" spans="2:9" x14ac:dyDescent="0.2">
      <c r="B3131" s="262" t="s">
        <v>1790</v>
      </c>
      <c r="C3131" s="263">
        <v>43152</v>
      </c>
      <c r="D3131" s="264" t="s">
        <v>1909</v>
      </c>
      <c r="E3131" s="264" t="s">
        <v>5049</v>
      </c>
      <c r="F3131" s="265"/>
      <c r="G3131" s="265">
        <v>1760</v>
      </c>
      <c r="H3131" s="265">
        <f t="shared" si="129"/>
        <v>1760</v>
      </c>
    </row>
    <row r="3132" spans="2:9" x14ac:dyDescent="0.2">
      <c r="B3132" s="341" t="s">
        <v>1805</v>
      </c>
      <c r="C3132" s="263">
        <v>43152</v>
      </c>
      <c r="D3132" s="264" t="s">
        <v>1888</v>
      </c>
      <c r="E3132" s="264" t="s">
        <v>5051</v>
      </c>
      <c r="F3132" s="265">
        <v>1400</v>
      </c>
      <c r="G3132" s="265"/>
      <c r="H3132" s="265">
        <f t="shared" si="129"/>
        <v>1400</v>
      </c>
    </row>
    <row r="3133" spans="2:9" x14ac:dyDescent="0.2">
      <c r="B3133" s="262" t="s">
        <v>1860</v>
      </c>
      <c r="C3133" s="263">
        <v>43153</v>
      </c>
      <c r="D3133" s="264" t="s">
        <v>3939</v>
      </c>
      <c r="E3133" s="264" t="s">
        <v>5054</v>
      </c>
      <c r="F3133" s="265">
        <v>168</v>
      </c>
      <c r="G3133" s="265"/>
      <c r="H3133" s="265">
        <f t="shared" si="129"/>
        <v>168</v>
      </c>
    </row>
    <row r="3134" spans="2:9" x14ac:dyDescent="0.2">
      <c r="B3134" s="262" t="s">
        <v>1863</v>
      </c>
      <c r="C3134" s="263">
        <v>43153</v>
      </c>
      <c r="D3134" s="264" t="s">
        <v>4750</v>
      </c>
      <c r="E3134" s="264" t="s">
        <v>5055</v>
      </c>
      <c r="F3134" s="265">
        <v>520</v>
      </c>
      <c r="G3134" s="265"/>
      <c r="H3134" s="265">
        <f t="shared" si="129"/>
        <v>520</v>
      </c>
    </row>
    <row r="3135" spans="2:9" x14ac:dyDescent="0.2">
      <c r="B3135" s="262" t="s">
        <v>1819</v>
      </c>
      <c r="C3135" s="263">
        <v>43154</v>
      </c>
      <c r="D3135" s="264" t="s">
        <v>5041</v>
      </c>
      <c r="E3135" s="264" t="s">
        <v>5056</v>
      </c>
      <c r="F3135" s="265">
        <v>132</v>
      </c>
      <c r="G3135" s="265"/>
      <c r="H3135" s="265">
        <f t="shared" si="129"/>
        <v>132</v>
      </c>
    </row>
    <row r="3136" spans="2:9" x14ac:dyDescent="0.2">
      <c r="B3136" s="262" t="s">
        <v>1805</v>
      </c>
      <c r="C3136" s="263">
        <v>43154</v>
      </c>
      <c r="D3136" s="264" t="s">
        <v>3565</v>
      </c>
      <c r="E3136" s="264" t="s">
        <v>5057</v>
      </c>
      <c r="F3136" s="265">
        <v>1250</v>
      </c>
      <c r="G3136" s="265"/>
      <c r="H3136" s="265">
        <f t="shared" si="129"/>
        <v>1250</v>
      </c>
      <c r="I3136" s="320"/>
    </row>
    <row r="3137" spans="2:9" x14ac:dyDescent="0.2">
      <c r="B3137" s="262" t="s">
        <v>1884</v>
      </c>
      <c r="C3137" s="263">
        <v>43155</v>
      </c>
      <c r="D3137" s="264" t="s">
        <v>2274</v>
      </c>
      <c r="E3137" s="264" t="s">
        <v>3724</v>
      </c>
      <c r="F3137" s="265">
        <v>89.5</v>
      </c>
      <c r="G3137" s="265"/>
      <c r="H3137" s="265">
        <f t="shared" si="129"/>
        <v>89.5</v>
      </c>
    </row>
    <row r="3138" spans="2:9" x14ac:dyDescent="0.2">
      <c r="B3138" s="262" t="s">
        <v>1860</v>
      </c>
      <c r="C3138" s="263">
        <v>43156</v>
      </c>
      <c r="D3138" s="264" t="s">
        <v>4639</v>
      </c>
      <c r="E3138" s="264" t="s">
        <v>5058</v>
      </c>
      <c r="F3138" s="265">
        <v>13</v>
      </c>
      <c r="G3138" s="265"/>
      <c r="H3138" s="265">
        <f t="shared" si="129"/>
        <v>13</v>
      </c>
    </row>
    <row r="3139" spans="2:9" x14ac:dyDescent="0.2">
      <c r="B3139" s="262" t="s">
        <v>1864</v>
      </c>
      <c r="C3139" s="263">
        <v>43156</v>
      </c>
      <c r="D3139" s="264" t="s">
        <v>4954</v>
      </c>
      <c r="E3139" s="264" t="s">
        <v>2536</v>
      </c>
      <c r="F3139" s="265">
        <v>114</v>
      </c>
      <c r="G3139" s="265"/>
      <c r="H3139" s="265">
        <f t="shared" si="129"/>
        <v>114</v>
      </c>
    </row>
    <row r="3140" spans="2:9" x14ac:dyDescent="0.2">
      <c r="B3140" s="262" t="s">
        <v>1864</v>
      </c>
      <c r="C3140" s="263">
        <v>43156</v>
      </c>
      <c r="D3140" s="264" t="s">
        <v>2535</v>
      </c>
      <c r="E3140" s="264" t="s">
        <v>3023</v>
      </c>
      <c r="F3140" s="265">
        <v>52.5</v>
      </c>
      <c r="G3140" s="265"/>
      <c r="H3140" s="265">
        <f t="shared" si="129"/>
        <v>52.5</v>
      </c>
    </row>
    <row r="3141" spans="2:9" x14ac:dyDescent="0.2">
      <c r="B3141" s="262" t="s">
        <v>1881</v>
      </c>
      <c r="C3141" s="263">
        <v>43156</v>
      </c>
      <c r="D3141" s="264" t="s">
        <v>2250</v>
      </c>
      <c r="E3141" s="264" t="s">
        <v>4693</v>
      </c>
      <c r="F3141" s="265">
        <v>120</v>
      </c>
      <c r="G3141" s="265"/>
      <c r="H3141" s="265">
        <f t="shared" si="129"/>
        <v>120</v>
      </c>
    </row>
    <row r="3142" spans="2:9" x14ac:dyDescent="0.2">
      <c r="B3142" s="262" t="s">
        <v>1863</v>
      </c>
      <c r="C3142" s="263">
        <v>43156</v>
      </c>
      <c r="D3142" s="264" t="s">
        <v>2250</v>
      </c>
      <c r="E3142" s="264" t="s">
        <v>3498</v>
      </c>
      <c r="F3142" s="265">
        <v>150</v>
      </c>
      <c r="G3142" s="265"/>
      <c r="H3142" s="265">
        <f t="shared" si="129"/>
        <v>150</v>
      </c>
    </row>
    <row r="3143" spans="2:9" x14ac:dyDescent="0.2">
      <c r="B3143" s="262" t="s">
        <v>1864</v>
      </c>
      <c r="C3143" s="263">
        <v>43157</v>
      </c>
      <c r="D3143" s="264" t="s">
        <v>3565</v>
      </c>
      <c r="E3143" s="264" t="s">
        <v>5059</v>
      </c>
      <c r="F3143" s="265">
        <v>400</v>
      </c>
      <c r="G3143" s="265"/>
      <c r="H3143" s="265">
        <f t="shared" si="129"/>
        <v>400</v>
      </c>
    </row>
    <row r="3144" spans="2:9" x14ac:dyDescent="0.2">
      <c r="B3144" s="262" t="s">
        <v>1866</v>
      </c>
      <c r="C3144" s="263">
        <v>43157</v>
      </c>
      <c r="D3144" s="264" t="s">
        <v>1890</v>
      </c>
      <c r="E3144" s="264" t="s">
        <v>4697</v>
      </c>
      <c r="F3144" s="265">
        <v>170</v>
      </c>
      <c r="G3144" s="265"/>
      <c r="H3144" s="265">
        <f t="shared" si="129"/>
        <v>170</v>
      </c>
    </row>
    <row r="3145" spans="2:9" x14ac:dyDescent="0.2">
      <c r="B3145" s="262" t="s">
        <v>1863</v>
      </c>
      <c r="C3145" s="263">
        <v>43157</v>
      </c>
      <c r="D3145" s="264" t="s">
        <v>4750</v>
      </c>
      <c r="E3145" s="264" t="s">
        <v>4970</v>
      </c>
      <c r="F3145" s="265">
        <v>520</v>
      </c>
      <c r="G3145" s="265"/>
      <c r="H3145" s="265">
        <f t="shared" si="129"/>
        <v>520</v>
      </c>
    </row>
    <row r="3146" spans="2:9" x14ac:dyDescent="0.2">
      <c r="B3146" s="262" t="s">
        <v>1881</v>
      </c>
      <c r="C3146" s="263">
        <v>43159</v>
      </c>
      <c r="D3146" s="264" t="s">
        <v>2250</v>
      </c>
      <c r="E3146" s="264" t="s">
        <v>5060</v>
      </c>
      <c r="F3146" s="265">
        <v>300</v>
      </c>
      <c r="G3146" s="265"/>
      <c r="H3146" s="265">
        <f t="shared" si="129"/>
        <v>300</v>
      </c>
    </row>
    <row r="3147" spans="2:9" x14ac:dyDescent="0.2">
      <c r="B3147" s="262" t="s">
        <v>1881</v>
      </c>
      <c r="C3147" s="263">
        <v>43159</v>
      </c>
      <c r="D3147" s="264" t="s">
        <v>1873</v>
      </c>
      <c r="E3147" s="264" t="s">
        <v>5061</v>
      </c>
      <c r="F3147" s="265">
        <v>550</v>
      </c>
      <c r="G3147" s="265"/>
      <c r="H3147" s="265">
        <f t="shared" si="129"/>
        <v>550</v>
      </c>
    </row>
    <row r="3148" spans="2:9" x14ac:dyDescent="0.2">
      <c r="B3148" s="262" t="s">
        <v>1884</v>
      </c>
      <c r="C3148" s="263">
        <v>43159</v>
      </c>
      <c r="D3148" s="264" t="s">
        <v>4646</v>
      </c>
      <c r="E3148" s="264" t="s">
        <v>2993</v>
      </c>
      <c r="F3148" s="265">
        <v>2000</v>
      </c>
      <c r="G3148" s="265"/>
      <c r="H3148" s="265">
        <f t="shared" si="129"/>
        <v>2000</v>
      </c>
    </row>
    <row r="3149" spans="2:9" x14ac:dyDescent="0.2">
      <c r="B3149" s="262" t="s">
        <v>1859</v>
      </c>
      <c r="C3149" s="263">
        <v>43159</v>
      </c>
      <c r="D3149" s="264" t="s">
        <v>4482</v>
      </c>
      <c r="E3149" s="264" t="s">
        <v>5062</v>
      </c>
      <c r="F3149" s="265">
        <v>4000</v>
      </c>
      <c r="G3149" s="265"/>
      <c r="H3149" s="265">
        <f t="shared" si="129"/>
        <v>4000</v>
      </c>
    </row>
    <row r="3150" spans="2:9" x14ac:dyDescent="0.2">
      <c r="B3150" s="262" t="s">
        <v>1577</v>
      </c>
      <c r="C3150" s="263">
        <v>43156</v>
      </c>
      <c r="D3150" s="264" t="s">
        <v>5030</v>
      </c>
      <c r="E3150" s="264" t="s">
        <v>5063</v>
      </c>
      <c r="F3150" s="265">
        <v>40000</v>
      </c>
      <c r="G3150" s="265"/>
      <c r="H3150" s="265">
        <f t="shared" si="129"/>
        <v>40000</v>
      </c>
    </row>
    <row r="3151" spans="2:9" x14ac:dyDescent="0.2">
      <c r="B3151" s="262" t="s">
        <v>1887</v>
      </c>
      <c r="C3151" s="263">
        <v>43132</v>
      </c>
      <c r="D3151" s="264" t="s">
        <v>1534</v>
      </c>
      <c r="E3151" s="264" t="s">
        <v>1536</v>
      </c>
      <c r="F3151" s="265">
        <v>-0.46</v>
      </c>
      <c r="G3151" s="265"/>
      <c r="H3151" s="265">
        <f>SUM(F3151:G3151)</f>
        <v>-0.46</v>
      </c>
      <c r="I3151" s="175">
        <f>SUM(H3060:H3150)</f>
        <v>123275.22</v>
      </c>
    </row>
    <row r="3152" spans="2:9" x14ac:dyDescent="0.2">
      <c r="B3152" s="262" t="s">
        <v>1790</v>
      </c>
      <c r="C3152" s="263">
        <v>43132</v>
      </c>
      <c r="D3152" s="361" t="s">
        <v>1909</v>
      </c>
      <c r="E3152" s="361" t="s">
        <v>5160</v>
      </c>
      <c r="F3152" s="362"/>
      <c r="G3152" s="362">
        <v>-1760</v>
      </c>
      <c r="H3152" s="265">
        <f>SUM(F3152:G3152)</f>
        <v>-1760</v>
      </c>
    </row>
    <row r="3153" spans="2:9" x14ac:dyDescent="0.2">
      <c r="B3153" s="262" t="s">
        <v>1887</v>
      </c>
      <c r="C3153" s="263">
        <v>43159</v>
      </c>
      <c r="D3153" s="361" t="s">
        <v>1597</v>
      </c>
      <c r="E3153" s="361" t="s">
        <v>2229</v>
      </c>
      <c r="F3153" s="265">
        <v>18</v>
      </c>
      <c r="G3153" s="265"/>
      <c r="H3153" s="265">
        <f>SUM(F3153:G3153)</f>
        <v>18</v>
      </c>
    </row>
    <row r="3154" spans="2:9" x14ac:dyDescent="0.2">
      <c r="B3154" s="262" t="s">
        <v>1790</v>
      </c>
      <c r="C3154" s="263">
        <v>43159</v>
      </c>
      <c r="D3154" s="361" t="s">
        <v>1597</v>
      </c>
      <c r="E3154" s="361" t="s">
        <v>2230</v>
      </c>
      <c r="F3154" s="265"/>
      <c r="G3154" s="265">
        <v>2.88</v>
      </c>
      <c r="H3154" s="265">
        <f>SUM(F3154:G3154)</f>
        <v>2.88</v>
      </c>
    </row>
    <row r="3155" spans="2:9" x14ac:dyDescent="0.2">
      <c r="B3155" s="262"/>
      <c r="C3155" s="263"/>
      <c r="D3155" s="264"/>
      <c r="E3155" s="264"/>
      <c r="F3155" s="265"/>
      <c r="G3155" s="265"/>
      <c r="H3155" s="265">
        <f t="shared" si="129"/>
        <v>0</v>
      </c>
      <c r="I3155" s="175">
        <f>SUM(H3060:H3154)</f>
        <v>121535.64</v>
      </c>
    </row>
    <row r="3156" spans="2:9" x14ac:dyDescent="0.2">
      <c r="B3156" s="262"/>
      <c r="C3156" s="263"/>
      <c r="D3156" s="264"/>
      <c r="E3156" s="264"/>
      <c r="F3156" s="265"/>
      <c r="G3156" s="265"/>
      <c r="H3156" s="265">
        <f t="shared" si="129"/>
        <v>0</v>
      </c>
    </row>
    <row r="3157" spans="2:9" x14ac:dyDescent="0.2">
      <c r="B3157" s="255" t="s">
        <v>1850</v>
      </c>
      <c r="C3157" s="255" t="s">
        <v>1851</v>
      </c>
      <c r="D3157" s="256" t="s">
        <v>1852</v>
      </c>
      <c r="E3157" s="256" t="s">
        <v>1853</v>
      </c>
      <c r="F3157" s="257" t="s">
        <v>1854</v>
      </c>
      <c r="G3157" s="257" t="s">
        <v>1855</v>
      </c>
      <c r="H3157" s="257" t="s">
        <v>1856</v>
      </c>
    </row>
    <row r="3158" spans="2:9" x14ac:dyDescent="0.2">
      <c r="B3158" s="262" t="s">
        <v>1871</v>
      </c>
      <c r="C3158" s="263">
        <v>43160</v>
      </c>
      <c r="D3158" s="264" t="s">
        <v>5078</v>
      </c>
      <c r="E3158" s="264" t="s">
        <v>4521</v>
      </c>
      <c r="F3158" s="265">
        <v>35</v>
      </c>
      <c r="G3158" s="265"/>
      <c r="H3158" s="265">
        <f t="shared" ref="H3158:H3184" si="130">SUM(F3158:G3158)</f>
        <v>35</v>
      </c>
    </row>
    <row r="3159" spans="2:9" x14ac:dyDescent="0.2">
      <c r="B3159" s="262" t="s">
        <v>1871</v>
      </c>
      <c r="C3159" s="263">
        <v>43160</v>
      </c>
      <c r="D3159" s="264" t="s">
        <v>5079</v>
      </c>
      <c r="E3159" s="264" t="s">
        <v>2971</v>
      </c>
      <c r="F3159" s="265">
        <v>430</v>
      </c>
      <c r="G3159" s="265"/>
      <c r="H3159" s="265">
        <f t="shared" si="130"/>
        <v>430</v>
      </c>
    </row>
    <row r="3160" spans="2:9" x14ac:dyDescent="0.2">
      <c r="B3160" s="262" t="s">
        <v>1884</v>
      </c>
      <c r="C3160" s="263">
        <v>43160</v>
      </c>
      <c r="D3160" s="264" t="s">
        <v>5005</v>
      </c>
      <c r="E3160" s="264" t="s">
        <v>4881</v>
      </c>
      <c r="F3160" s="265">
        <v>300</v>
      </c>
      <c r="G3160" s="265"/>
      <c r="H3160" s="265">
        <f t="shared" si="130"/>
        <v>300</v>
      </c>
    </row>
    <row r="3161" spans="2:9" x14ac:dyDescent="0.2">
      <c r="B3161" s="262" t="s">
        <v>1863</v>
      </c>
      <c r="C3161" s="263">
        <v>43160</v>
      </c>
      <c r="D3161" s="264" t="s">
        <v>4750</v>
      </c>
      <c r="E3161" s="264" t="s">
        <v>5080</v>
      </c>
      <c r="F3161" s="265">
        <v>520</v>
      </c>
      <c r="G3161" s="265"/>
      <c r="H3161" s="265">
        <f t="shared" si="130"/>
        <v>520</v>
      </c>
    </row>
    <row r="3162" spans="2:9" x14ac:dyDescent="0.2">
      <c r="B3162" s="262" t="s">
        <v>1862</v>
      </c>
      <c r="C3162" s="263">
        <v>43160</v>
      </c>
      <c r="D3162" s="264" t="s">
        <v>5013</v>
      </c>
      <c r="E3162" s="264" t="s">
        <v>5081</v>
      </c>
      <c r="F3162" s="265">
        <v>1600</v>
      </c>
      <c r="G3162" s="265"/>
      <c r="H3162" s="265">
        <f t="shared" si="130"/>
        <v>1600</v>
      </c>
    </row>
    <row r="3163" spans="2:9" x14ac:dyDescent="0.2">
      <c r="B3163" s="262" t="s">
        <v>1870</v>
      </c>
      <c r="C3163" s="263">
        <v>43160</v>
      </c>
      <c r="D3163" s="264" t="s">
        <v>5013</v>
      </c>
      <c r="E3163" s="264" t="s">
        <v>5082</v>
      </c>
      <c r="F3163" s="265">
        <v>900</v>
      </c>
      <c r="G3163" s="265"/>
      <c r="H3163" s="265">
        <f t="shared" si="130"/>
        <v>900</v>
      </c>
    </row>
    <row r="3164" spans="2:9" x14ac:dyDescent="0.2">
      <c r="B3164" s="262" t="s">
        <v>1805</v>
      </c>
      <c r="C3164" s="263">
        <v>43161</v>
      </c>
      <c r="D3164" s="264" t="s">
        <v>3565</v>
      </c>
      <c r="E3164" s="264" t="s">
        <v>5083</v>
      </c>
      <c r="F3164" s="265">
        <v>1250</v>
      </c>
      <c r="G3164" s="265"/>
      <c r="H3164" s="265">
        <f t="shared" si="130"/>
        <v>1250</v>
      </c>
    </row>
    <row r="3165" spans="2:9" x14ac:dyDescent="0.2">
      <c r="B3165" s="262" t="s">
        <v>1865</v>
      </c>
      <c r="C3165" s="263">
        <v>43161</v>
      </c>
      <c r="D3165" s="264" t="s">
        <v>3039</v>
      </c>
      <c r="E3165" s="264" t="s">
        <v>5084</v>
      </c>
      <c r="F3165" s="265">
        <v>1650</v>
      </c>
      <c r="G3165" s="265"/>
      <c r="H3165" s="265">
        <f t="shared" si="130"/>
        <v>1650</v>
      </c>
    </row>
    <row r="3166" spans="2:9" x14ac:dyDescent="0.2">
      <c r="B3166" s="262" t="s">
        <v>1870</v>
      </c>
      <c r="C3166" s="263">
        <v>43161</v>
      </c>
      <c r="D3166" s="264" t="s">
        <v>5013</v>
      </c>
      <c r="E3166" s="264" t="s">
        <v>5085</v>
      </c>
      <c r="F3166" s="265">
        <v>3000</v>
      </c>
      <c r="G3166" s="265"/>
      <c r="H3166" s="265">
        <f t="shared" si="130"/>
        <v>3000</v>
      </c>
    </row>
    <row r="3167" spans="2:9" x14ac:dyDescent="0.2">
      <c r="B3167" s="262" t="s">
        <v>1870</v>
      </c>
      <c r="C3167" s="263">
        <v>43162</v>
      </c>
      <c r="D3167" s="264" t="s">
        <v>3162</v>
      </c>
      <c r="E3167" s="264" t="s">
        <v>5086</v>
      </c>
      <c r="F3167" s="265">
        <v>38</v>
      </c>
      <c r="G3167" s="265"/>
      <c r="H3167" s="265">
        <f t="shared" si="130"/>
        <v>38</v>
      </c>
    </row>
    <row r="3168" spans="2:9" x14ac:dyDescent="0.2">
      <c r="B3168" s="262" t="s">
        <v>1871</v>
      </c>
      <c r="C3168" s="263">
        <v>43162</v>
      </c>
      <c r="D3168" s="264" t="s">
        <v>5078</v>
      </c>
      <c r="E3168" s="264" t="s">
        <v>4503</v>
      </c>
      <c r="F3168" s="265">
        <v>100</v>
      </c>
      <c r="G3168" s="265"/>
      <c r="H3168" s="265">
        <f t="shared" si="130"/>
        <v>100</v>
      </c>
    </row>
    <row r="3169" spans="2:8" x14ac:dyDescent="0.2">
      <c r="B3169" s="262" t="s">
        <v>1864</v>
      </c>
      <c r="C3169" s="263">
        <v>43163</v>
      </c>
      <c r="D3169" s="264" t="s">
        <v>5078</v>
      </c>
      <c r="E3169" s="264" t="s">
        <v>5087</v>
      </c>
      <c r="F3169" s="265">
        <v>52.5</v>
      </c>
      <c r="G3169" s="265"/>
      <c r="H3169" s="265">
        <f t="shared" si="130"/>
        <v>52.5</v>
      </c>
    </row>
    <row r="3170" spans="2:8" x14ac:dyDescent="0.2">
      <c r="B3170" s="262" t="s">
        <v>1881</v>
      </c>
      <c r="C3170" s="263">
        <v>43163</v>
      </c>
      <c r="D3170" s="264" t="s">
        <v>2250</v>
      </c>
      <c r="E3170" s="264" t="s">
        <v>4215</v>
      </c>
      <c r="F3170" s="265">
        <v>120</v>
      </c>
      <c r="G3170" s="265"/>
      <c r="H3170" s="265">
        <f t="shared" si="130"/>
        <v>120</v>
      </c>
    </row>
    <row r="3171" spans="2:8" x14ac:dyDescent="0.2">
      <c r="B3171" s="262" t="s">
        <v>1863</v>
      </c>
      <c r="C3171" s="263">
        <v>43163</v>
      </c>
      <c r="D3171" s="264" t="s">
        <v>2250</v>
      </c>
      <c r="E3171" s="264" t="s">
        <v>5088</v>
      </c>
      <c r="F3171" s="265">
        <v>150</v>
      </c>
      <c r="G3171" s="265"/>
      <c r="H3171" s="265">
        <f t="shared" si="130"/>
        <v>150</v>
      </c>
    </row>
    <row r="3172" spans="2:8" x14ac:dyDescent="0.2">
      <c r="B3172" s="262" t="s">
        <v>1864</v>
      </c>
      <c r="C3172" s="263">
        <v>43163</v>
      </c>
      <c r="D3172" s="264" t="s">
        <v>2535</v>
      </c>
      <c r="E3172" s="264" t="s">
        <v>5089</v>
      </c>
      <c r="F3172" s="265">
        <v>52</v>
      </c>
      <c r="G3172" s="265"/>
      <c r="H3172" s="265">
        <f t="shared" si="130"/>
        <v>52</v>
      </c>
    </row>
    <row r="3173" spans="2:8" x14ac:dyDescent="0.2">
      <c r="B3173" s="262" t="s">
        <v>1863</v>
      </c>
      <c r="C3173" s="263">
        <v>43163</v>
      </c>
      <c r="D3173" s="264" t="s">
        <v>4487</v>
      </c>
      <c r="E3173" s="264" t="s">
        <v>4807</v>
      </c>
      <c r="F3173" s="265">
        <v>83.12</v>
      </c>
      <c r="G3173" s="265"/>
      <c r="H3173" s="265">
        <f t="shared" si="130"/>
        <v>83.12</v>
      </c>
    </row>
    <row r="3174" spans="2:8" x14ac:dyDescent="0.2">
      <c r="B3174" s="262" t="s">
        <v>1866</v>
      </c>
      <c r="C3174" s="263">
        <v>43164</v>
      </c>
      <c r="D3174" s="264" t="s">
        <v>1890</v>
      </c>
      <c r="E3174" s="264" t="s">
        <v>5090</v>
      </c>
      <c r="F3174" s="265">
        <v>210</v>
      </c>
      <c r="G3174" s="265"/>
      <c r="H3174" s="265">
        <f t="shared" si="130"/>
        <v>210</v>
      </c>
    </row>
    <row r="3175" spans="2:8" x14ac:dyDescent="0.2">
      <c r="B3175" s="262" t="s">
        <v>1884</v>
      </c>
      <c r="C3175" s="263">
        <v>43164</v>
      </c>
      <c r="D3175" s="264" t="s">
        <v>1915</v>
      </c>
      <c r="E3175" s="264" t="s">
        <v>4806</v>
      </c>
      <c r="F3175" s="265">
        <v>300</v>
      </c>
      <c r="G3175" s="265"/>
      <c r="H3175" s="265">
        <f t="shared" si="130"/>
        <v>300</v>
      </c>
    </row>
    <row r="3176" spans="2:8" x14ac:dyDescent="0.2">
      <c r="B3176" s="262" t="s">
        <v>1884</v>
      </c>
      <c r="C3176" s="263">
        <v>43164</v>
      </c>
      <c r="D3176" s="264" t="s">
        <v>4487</v>
      </c>
      <c r="E3176" s="264" t="s">
        <v>4403</v>
      </c>
      <c r="F3176" s="265">
        <v>361.8</v>
      </c>
      <c r="G3176" s="265"/>
      <c r="H3176" s="265">
        <f t="shared" si="130"/>
        <v>361.8</v>
      </c>
    </row>
    <row r="3177" spans="2:8" x14ac:dyDescent="0.2">
      <c r="B3177" s="262" t="s">
        <v>1863</v>
      </c>
      <c r="C3177" s="263">
        <v>43164</v>
      </c>
      <c r="D3177" s="264" t="s">
        <v>4750</v>
      </c>
      <c r="E3177" s="264" t="s">
        <v>5091</v>
      </c>
      <c r="F3177" s="265">
        <v>520</v>
      </c>
      <c r="G3177" s="265"/>
      <c r="H3177" s="265">
        <f t="shared" si="130"/>
        <v>520</v>
      </c>
    </row>
    <row r="3178" spans="2:8" x14ac:dyDescent="0.2">
      <c r="B3178" s="262" t="s">
        <v>1805</v>
      </c>
      <c r="C3178" s="263">
        <v>43165</v>
      </c>
      <c r="D3178" s="264" t="s">
        <v>3565</v>
      </c>
      <c r="E3178" s="264" t="s">
        <v>5092</v>
      </c>
      <c r="F3178" s="265">
        <v>1250</v>
      </c>
      <c r="G3178" s="265"/>
      <c r="H3178" s="265">
        <f t="shared" si="130"/>
        <v>1250</v>
      </c>
    </row>
    <row r="3179" spans="2:8" x14ac:dyDescent="0.2">
      <c r="B3179" s="262" t="s">
        <v>1862</v>
      </c>
      <c r="C3179" s="263">
        <v>43165</v>
      </c>
      <c r="D3179" s="264" t="s">
        <v>5013</v>
      </c>
      <c r="E3179" s="264" t="s">
        <v>5093</v>
      </c>
      <c r="F3179" s="265">
        <v>100</v>
      </c>
      <c r="G3179" s="265"/>
      <c r="H3179" s="265">
        <f t="shared" si="130"/>
        <v>100</v>
      </c>
    </row>
    <row r="3180" spans="2:8" x14ac:dyDescent="0.2">
      <c r="B3180" s="262" t="s">
        <v>1862</v>
      </c>
      <c r="C3180" s="263">
        <v>43165</v>
      </c>
      <c r="D3180" s="264" t="s">
        <v>5013</v>
      </c>
      <c r="E3180" s="264" t="s">
        <v>5094</v>
      </c>
      <c r="F3180" s="265">
        <v>1200</v>
      </c>
      <c r="G3180" s="265"/>
      <c r="H3180" s="265">
        <f t="shared" si="130"/>
        <v>1200</v>
      </c>
    </row>
    <row r="3181" spans="2:8" x14ac:dyDescent="0.2">
      <c r="B3181" s="262" t="s">
        <v>1870</v>
      </c>
      <c r="C3181" s="263">
        <v>43165</v>
      </c>
      <c r="D3181" s="264" t="s">
        <v>5013</v>
      </c>
      <c r="E3181" s="264" t="s">
        <v>5095</v>
      </c>
      <c r="F3181" s="265">
        <v>300</v>
      </c>
      <c r="G3181" s="265"/>
      <c r="H3181" s="265">
        <f t="shared" si="130"/>
        <v>300</v>
      </c>
    </row>
    <row r="3182" spans="2:8" x14ac:dyDescent="0.2">
      <c r="B3182" s="262" t="s">
        <v>1884</v>
      </c>
      <c r="C3182" s="263">
        <v>43167</v>
      </c>
      <c r="D3182" s="264" t="s">
        <v>5005</v>
      </c>
      <c r="E3182" s="264" t="s">
        <v>5096</v>
      </c>
      <c r="F3182" s="265">
        <v>300</v>
      </c>
      <c r="G3182" s="265"/>
      <c r="H3182" s="265">
        <f t="shared" si="130"/>
        <v>300</v>
      </c>
    </row>
    <row r="3183" spans="2:8" x14ac:dyDescent="0.2">
      <c r="B3183" s="262" t="s">
        <v>1863</v>
      </c>
      <c r="C3183" s="263">
        <v>43167</v>
      </c>
      <c r="D3183" s="264" t="s">
        <v>4750</v>
      </c>
      <c r="E3183" s="264" t="s">
        <v>5097</v>
      </c>
      <c r="F3183" s="265">
        <v>520</v>
      </c>
      <c r="G3183" s="265"/>
      <c r="H3183" s="265">
        <f t="shared" si="130"/>
        <v>520</v>
      </c>
    </row>
    <row r="3184" spans="2:8" x14ac:dyDescent="0.2">
      <c r="B3184" s="262" t="s">
        <v>1879</v>
      </c>
      <c r="C3184" s="263">
        <v>43169</v>
      </c>
      <c r="D3184" s="264" t="s">
        <v>3330</v>
      </c>
      <c r="E3184" s="264" t="s">
        <v>5098</v>
      </c>
      <c r="F3184" s="265">
        <v>500</v>
      </c>
      <c r="G3184" s="265"/>
      <c r="H3184" s="265">
        <f t="shared" si="130"/>
        <v>500</v>
      </c>
    </row>
    <row r="3185" spans="2:9" x14ac:dyDescent="0.2">
      <c r="B3185" s="262" t="s">
        <v>1879</v>
      </c>
      <c r="C3185" s="263">
        <v>43169</v>
      </c>
      <c r="D3185" s="264" t="s">
        <v>3330</v>
      </c>
      <c r="E3185" s="264" t="s">
        <v>5099</v>
      </c>
      <c r="F3185" s="265">
        <v>300</v>
      </c>
      <c r="G3185" s="265"/>
      <c r="H3185" s="265">
        <f t="shared" ref="H3185:H3253" si="131">SUM(F3185:G3185)</f>
        <v>300</v>
      </c>
    </row>
    <row r="3186" spans="2:9" x14ac:dyDescent="0.2">
      <c r="B3186" s="262" t="s">
        <v>1881</v>
      </c>
      <c r="C3186" s="263">
        <v>43170</v>
      </c>
      <c r="D3186" s="264" t="s">
        <v>2250</v>
      </c>
      <c r="E3186" s="264" t="s">
        <v>4693</v>
      </c>
      <c r="F3186" s="265">
        <v>120</v>
      </c>
      <c r="G3186" s="265"/>
      <c r="H3186" s="265">
        <f t="shared" si="131"/>
        <v>120</v>
      </c>
    </row>
    <row r="3187" spans="2:9" x14ac:dyDescent="0.2">
      <c r="B3187" s="262" t="s">
        <v>1863</v>
      </c>
      <c r="C3187" s="263">
        <v>43170</v>
      </c>
      <c r="D3187" s="264" t="s">
        <v>2250</v>
      </c>
      <c r="E3187" s="264" t="s">
        <v>3498</v>
      </c>
      <c r="F3187" s="265">
        <v>150</v>
      </c>
      <c r="G3187" s="265"/>
      <c r="H3187" s="265">
        <f t="shared" si="131"/>
        <v>150</v>
      </c>
    </row>
    <row r="3188" spans="2:9" x14ac:dyDescent="0.2">
      <c r="B3188" s="262" t="s">
        <v>1864</v>
      </c>
      <c r="C3188" s="263">
        <v>43170</v>
      </c>
      <c r="D3188" s="264" t="s">
        <v>2535</v>
      </c>
      <c r="E3188" s="264" t="s">
        <v>2536</v>
      </c>
      <c r="F3188" s="265">
        <v>35</v>
      </c>
      <c r="G3188" s="265"/>
      <c r="H3188" s="265">
        <f t="shared" si="131"/>
        <v>35</v>
      </c>
    </row>
    <row r="3189" spans="2:9" x14ac:dyDescent="0.2">
      <c r="B3189" s="262" t="s">
        <v>1864</v>
      </c>
      <c r="C3189" s="263">
        <v>43170</v>
      </c>
      <c r="D3189" s="264" t="s">
        <v>2535</v>
      </c>
      <c r="E3189" s="264" t="s">
        <v>3023</v>
      </c>
      <c r="F3189" s="265">
        <v>75</v>
      </c>
      <c r="G3189" s="265"/>
      <c r="H3189" s="265">
        <f t="shared" si="131"/>
        <v>75</v>
      </c>
    </row>
    <row r="3190" spans="2:9" x14ac:dyDescent="0.2">
      <c r="B3190" s="262" t="s">
        <v>1866</v>
      </c>
      <c r="C3190" s="263">
        <v>43171</v>
      </c>
      <c r="D3190" s="264" t="s">
        <v>1890</v>
      </c>
      <c r="E3190" s="264" t="s">
        <v>5100</v>
      </c>
      <c r="F3190" s="265">
        <v>175</v>
      </c>
      <c r="G3190" s="265"/>
      <c r="H3190" s="265">
        <f t="shared" si="131"/>
        <v>175</v>
      </c>
    </row>
    <row r="3191" spans="2:9" x14ac:dyDescent="0.2">
      <c r="B3191" s="262" t="s">
        <v>1863</v>
      </c>
      <c r="C3191" s="263">
        <v>43171</v>
      </c>
      <c r="D3191" s="264" t="s">
        <v>4750</v>
      </c>
      <c r="E3191" s="264" t="s">
        <v>5101</v>
      </c>
      <c r="F3191" s="265">
        <v>520</v>
      </c>
      <c r="G3191" s="265"/>
      <c r="H3191" s="265">
        <f>SUM(F3191:G3191)</f>
        <v>520</v>
      </c>
      <c r="I3191" s="175">
        <f>SUM(H3158:H3191)</f>
        <v>17217.419999999998</v>
      </c>
    </row>
    <row r="3192" spans="2:9" x14ac:dyDescent="0.2">
      <c r="B3192" s="262" t="s">
        <v>1862</v>
      </c>
      <c r="C3192" s="263">
        <v>43172</v>
      </c>
      <c r="D3192" s="264" t="s">
        <v>5102</v>
      </c>
      <c r="E3192" s="264" t="s">
        <v>5103</v>
      </c>
      <c r="F3192" s="265">
        <v>6000</v>
      </c>
      <c r="G3192" s="265">
        <v>1450</v>
      </c>
      <c r="H3192" s="265">
        <f t="shared" si="131"/>
        <v>7450</v>
      </c>
    </row>
    <row r="3193" spans="2:9" x14ac:dyDescent="0.2">
      <c r="B3193" s="262" t="s">
        <v>1879</v>
      </c>
      <c r="C3193" s="263">
        <v>43144</v>
      </c>
      <c r="D3193" s="264" t="s">
        <v>3330</v>
      </c>
      <c r="E3193" s="264" t="s">
        <v>5131</v>
      </c>
      <c r="F3193" s="265">
        <v>900</v>
      </c>
      <c r="G3193" s="265"/>
      <c r="H3193" s="265">
        <f t="shared" ref="H3193" si="132">SUM(F3193:G3193)</f>
        <v>900</v>
      </c>
    </row>
    <row r="3194" spans="2:9" x14ac:dyDescent="0.2">
      <c r="B3194" s="262" t="s">
        <v>1870</v>
      </c>
      <c r="C3194" s="263">
        <v>43172</v>
      </c>
      <c r="D3194" s="264" t="s">
        <v>5102</v>
      </c>
      <c r="E3194" s="264" t="s">
        <v>5104</v>
      </c>
      <c r="F3194" s="265">
        <v>3800</v>
      </c>
      <c r="G3194" s="265"/>
      <c r="H3194" s="265">
        <f t="shared" si="131"/>
        <v>3800</v>
      </c>
    </row>
    <row r="3195" spans="2:9" x14ac:dyDescent="0.2">
      <c r="B3195" s="262" t="s">
        <v>1884</v>
      </c>
      <c r="C3195" s="263">
        <v>43172</v>
      </c>
      <c r="D3195" s="264" t="s">
        <v>5005</v>
      </c>
      <c r="E3195" s="264" t="s">
        <v>5105</v>
      </c>
      <c r="F3195" s="265">
        <v>300</v>
      </c>
      <c r="G3195" s="265"/>
      <c r="H3195" s="265">
        <f t="shared" si="131"/>
        <v>300</v>
      </c>
    </row>
    <row r="3196" spans="2:9" x14ac:dyDescent="0.2">
      <c r="B3196" s="262" t="s">
        <v>1870</v>
      </c>
      <c r="C3196" s="263">
        <v>43172</v>
      </c>
      <c r="D3196" s="264" t="s">
        <v>5013</v>
      </c>
      <c r="E3196" s="264" t="s">
        <v>5106</v>
      </c>
      <c r="F3196" s="265">
        <v>900</v>
      </c>
      <c r="G3196" s="265"/>
      <c r="H3196" s="265">
        <f t="shared" si="131"/>
        <v>900</v>
      </c>
    </row>
    <row r="3197" spans="2:9" x14ac:dyDescent="0.2">
      <c r="B3197" s="262" t="s">
        <v>1870</v>
      </c>
      <c r="C3197" s="263">
        <v>43172</v>
      </c>
      <c r="D3197" s="264" t="s">
        <v>5013</v>
      </c>
      <c r="E3197" s="264" t="s">
        <v>5107</v>
      </c>
      <c r="F3197" s="265">
        <v>300</v>
      </c>
      <c r="G3197" s="265"/>
      <c r="H3197" s="265">
        <f t="shared" si="131"/>
        <v>300</v>
      </c>
    </row>
    <row r="3198" spans="2:9" x14ac:dyDescent="0.2">
      <c r="B3198" s="262" t="s">
        <v>1860</v>
      </c>
      <c r="C3198" s="263">
        <v>43172</v>
      </c>
      <c r="D3198" s="264" t="s">
        <v>4511</v>
      </c>
      <c r="E3198" s="264" t="s">
        <v>5108</v>
      </c>
      <c r="F3198" s="265">
        <v>14</v>
      </c>
      <c r="G3198" s="265"/>
      <c r="H3198" s="265">
        <f t="shared" si="131"/>
        <v>14</v>
      </c>
    </row>
    <row r="3199" spans="2:9" x14ac:dyDescent="0.2">
      <c r="B3199" s="262" t="s">
        <v>1867</v>
      </c>
      <c r="C3199" s="263">
        <v>43172</v>
      </c>
      <c r="D3199" s="264" t="s">
        <v>1894</v>
      </c>
      <c r="E3199" s="264" t="s">
        <v>5109</v>
      </c>
      <c r="F3199" s="265">
        <v>793</v>
      </c>
      <c r="G3199" s="265"/>
      <c r="H3199" s="265">
        <f t="shared" si="131"/>
        <v>793</v>
      </c>
    </row>
    <row r="3200" spans="2:9" x14ac:dyDescent="0.2">
      <c r="B3200" s="262" t="s">
        <v>1881</v>
      </c>
      <c r="C3200" s="263">
        <v>43174</v>
      </c>
      <c r="D3200" s="264" t="s">
        <v>2250</v>
      </c>
      <c r="E3200" s="264" t="s">
        <v>5110</v>
      </c>
      <c r="F3200" s="265">
        <v>350</v>
      </c>
      <c r="G3200" s="265"/>
      <c r="H3200" s="265">
        <f t="shared" si="131"/>
        <v>350</v>
      </c>
    </row>
    <row r="3201" spans="2:8" x14ac:dyDescent="0.2">
      <c r="B3201" s="262" t="s">
        <v>1881</v>
      </c>
      <c r="C3201" s="263">
        <v>43174</v>
      </c>
      <c r="D3201" s="264" t="s">
        <v>1873</v>
      </c>
      <c r="E3201" s="264" t="s">
        <v>5111</v>
      </c>
      <c r="F3201" s="265">
        <v>550</v>
      </c>
      <c r="G3201" s="265"/>
      <c r="H3201" s="265">
        <f t="shared" si="131"/>
        <v>550</v>
      </c>
    </row>
    <row r="3202" spans="2:8" x14ac:dyDescent="0.2">
      <c r="B3202" s="262" t="s">
        <v>1884</v>
      </c>
      <c r="C3202" s="263">
        <v>43174</v>
      </c>
      <c r="D3202" s="264" t="s">
        <v>4597</v>
      </c>
      <c r="E3202" s="264" t="s">
        <v>2993</v>
      </c>
      <c r="F3202" s="265">
        <v>2000</v>
      </c>
      <c r="G3202" s="265"/>
      <c r="H3202" s="265">
        <f t="shared" si="131"/>
        <v>2000</v>
      </c>
    </row>
    <row r="3203" spans="2:8" x14ac:dyDescent="0.2">
      <c r="B3203" s="262" t="s">
        <v>1859</v>
      </c>
      <c r="C3203" s="263">
        <v>43174</v>
      </c>
      <c r="D3203" s="264" t="s">
        <v>4482</v>
      </c>
      <c r="E3203" s="264" t="s">
        <v>5112</v>
      </c>
      <c r="F3203" s="265">
        <v>4000</v>
      </c>
      <c r="G3203" s="265"/>
      <c r="H3203" s="265">
        <f t="shared" si="131"/>
        <v>4000</v>
      </c>
    </row>
    <row r="3204" spans="2:8" x14ac:dyDescent="0.2">
      <c r="B3204" s="262" t="s">
        <v>1577</v>
      </c>
      <c r="C3204" s="263">
        <v>43174</v>
      </c>
      <c r="D3204" s="264" t="s">
        <v>5030</v>
      </c>
      <c r="E3204" s="264" t="s">
        <v>5113</v>
      </c>
      <c r="F3204" s="265">
        <v>40000</v>
      </c>
      <c r="G3204" s="265"/>
      <c r="H3204" s="265">
        <f t="shared" si="131"/>
        <v>40000</v>
      </c>
    </row>
    <row r="3205" spans="2:8" x14ac:dyDescent="0.2">
      <c r="B3205" s="262" t="s">
        <v>1863</v>
      </c>
      <c r="C3205" s="263">
        <v>43174</v>
      </c>
      <c r="D3205" s="264" t="s">
        <v>4750</v>
      </c>
      <c r="E3205" s="264" t="s">
        <v>5091</v>
      </c>
      <c r="F3205" s="265">
        <v>520</v>
      </c>
      <c r="G3205" s="265"/>
      <c r="H3205" s="265">
        <f t="shared" si="131"/>
        <v>520</v>
      </c>
    </row>
    <row r="3206" spans="2:8" x14ac:dyDescent="0.2">
      <c r="B3206" s="262" t="s">
        <v>1864</v>
      </c>
      <c r="C3206" s="263">
        <v>43174</v>
      </c>
      <c r="D3206" s="264" t="s">
        <v>3125</v>
      </c>
      <c r="E3206" s="264" t="s">
        <v>5114</v>
      </c>
      <c r="F3206" s="265">
        <v>151</v>
      </c>
      <c r="G3206" s="265"/>
      <c r="H3206" s="265">
        <f t="shared" si="131"/>
        <v>151</v>
      </c>
    </row>
    <row r="3207" spans="2:8" x14ac:dyDescent="0.2">
      <c r="B3207" s="262" t="s">
        <v>1790</v>
      </c>
      <c r="C3207" s="263">
        <v>43175</v>
      </c>
      <c r="D3207" s="264" t="s">
        <v>1909</v>
      </c>
      <c r="E3207" s="264" t="s">
        <v>5163</v>
      </c>
      <c r="F3207" s="265"/>
      <c r="G3207" s="265">
        <v>1760</v>
      </c>
      <c r="H3207" s="265">
        <f t="shared" si="131"/>
        <v>1760</v>
      </c>
    </row>
    <row r="3208" spans="2:8" x14ac:dyDescent="0.2">
      <c r="B3208" s="341" t="s">
        <v>1805</v>
      </c>
      <c r="C3208" s="263">
        <v>43175</v>
      </c>
      <c r="D3208" s="264" t="s">
        <v>1888</v>
      </c>
      <c r="E3208" s="264" t="s">
        <v>5162</v>
      </c>
      <c r="F3208" s="265">
        <v>1400</v>
      </c>
      <c r="G3208" s="265"/>
      <c r="H3208" s="265">
        <f t="shared" si="131"/>
        <v>1400</v>
      </c>
    </row>
    <row r="3209" spans="2:8" x14ac:dyDescent="0.2">
      <c r="B3209" s="262" t="s">
        <v>1871</v>
      </c>
      <c r="C3209" s="263">
        <v>43175</v>
      </c>
      <c r="D3209" s="264" t="s">
        <v>4502</v>
      </c>
      <c r="E3209" s="264" t="s">
        <v>2971</v>
      </c>
      <c r="F3209" s="265">
        <v>70</v>
      </c>
      <c r="G3209" s="265"/>
      <c r="H3209" s="265">
        <f t="shared" si="131"/>
        <v>70</v>
      </c>
    </row>
    <row r="3210" spans="2:8" x14ac:dyDescent="0.2">
      <c r="B3210" s="262" t="s">
        <v>1870</v>
      </c>
      <c r="C3210" s="263">
        <v>43175</v>
      </c>
      <c r="D3210" s="264" t="s">
        <v>4877</v>
      </c>
      <c r="E3210" s="264" t="s">
        <v>5115</v>
      </c>
      <c r="F3210" s="265">
        <v>200</v>
      </c>
      <c r="G3210" s="265"/>
      <c r="H3210" s="265">
        <f t="shared" si="131"/>
        <v>200</v>
      </c>
    </row>
    <row r="3211" spans="2:8" x14ac:dyDescent="0.2">
      <c r="B3211" s="262" t="s">
        <v>1864</v>
      </c>
      <c r="C3211" s="263">
        <v>43175</v>
      </c>
      <c r="D3211" s="264" t="s">
        <v>3565</v>
      </c>
      <c r="E3211" s="264" t="s">
        <v>5116</v>
      </c>
      <c r="F3211" s="265">
        <v>1250</v>
      </c>
      <c r="G3211" s="265"/>
      <c r="H3211" s="265">
        <f t="shared" si="131"/>
        <v>1250</v>
      </c>
    </row>
    <row r="3212" spans="2:8" x14ac:dyDescent="0.2">
      <c r="B3212" s="262" t="s">
        <v>1860</v>
      </c>
      <c r="C3212" s="263">
        <v>43176</v>
      </c>
      <c r="D3212" s="264" t="s">
        <v>5117</v>
      </c>
      <c r="E3212" s="264" t="s">
        <v>5118</v>
      </c>
      <c r="F3212" s="265">
        <v>344</v>
      </c>
      <c r="G3212" s="265"/>
      <c r="H3212" s="265">
        <f t="shared" si="131"/>
        <v>344</v>
      </c>
    </row>
    <row r="3213" spans="2:8" x14ac:dyDescent="0.2">
      <c r="B3213" s="262" t="s">
        <v>1884</v>
      </c>
      <c r="C3213" s="263">
        <v>43176</v>
      </c>
      <c r="D3213" s="264" t="s">
        <v>2535</v>
      </c>
      <c r="E3213" s="264" t="s">
        <v>5132</v>
      </c>
      <c r="F3213" s="265">
        <v>80</v>
      </c>
      <c r="G3213" s="265"/>
      <c r="H3213" s="265">
        <f t="shared" ref="H3213" si="133">SUM(F3213:G3213)</f>
        <v>80</v>
      </c>
    </row>
    <row r="3214" spans="2:8" x14ac:dyDescent="0.2">
      <c r="B3214" s="262" t="s">
        <v>1881</v>
      </c>
      <c r="C3214" s="263">
        <v>43177</v>
      </c>
      <c r="D3214" s="264" t="s">
        <v>2250</v>
      </c>
      <c r="E3214" s="264" t="s">
        <v>5120</v>
      </c>
      <c r="F3214" s="265">
        <v>120</v>
      </c>
      <c r="G3214" s="265"/>
      <c r="H3214" s="265">
        <f t="shared" si="131"/>
        <v>120</v>
      </c>
    </row>
    <row r="3215" spans="2:8" x14ac:dyDescent="0.2">
      <c r="B3215" s="262" t="s">
        <v>1863</v>
      </c>
      <c r="C3215" s="263">
        <v>43177</v>
      </c>
      <c r="D3215" s="264" t="s">
        <v>2250</v>
      </c>
      <c r="E3215" s="264" t="s">
        <v>3381</v>
      </c>
      <c r="F3215" s="265">
        <v>150</v>
      </c>
      <c r="G3215" s="265"/>
      <c r="H3215" s="265">
        <f t="shared" si="131"/>
        <v>150</v>
      </c>
    </row>
    <row r="3216" spans="2:8" x14ac:dyDescent="0.2">
      <c r="B3216" s="262" t="s">
        <v>1864</v>
      </c>
      <c r="C3216" s="263">
        <v>43177</v>
      </c>
      <c r="D3216" s="264" t="s">
        <v>2535</v>
      </c>
      <c r="E3216" s="264" t="s">
        <v>5121</v>
      </c>
      <c r="F3216" s="265">
        <v>28.5</v>
      </c>
      <c r="G3216" s="265"/>
      <c r="H3216" s="265">
        <f t="shared" si="131"/>
        <v>28.5</v>
      </c>
    </row>
    <row r="3217" spans="2:9" x14ac:dyDescent="0.2">
      <c r="B3217" s="262" t="s">
        <v>1864</v>
      </c>
      <c r="C3217" s="263">
        <v>43177</v>
      </c>
      <c r="D3217" s="264" t="s">
        <v>2535</v>
      </c>
      <c r="E3217" s="264" t="s">
        <v>3023</v>
      </c>
      <c r="F3217" s="265">
        <v>43</v>
      </c>
      <c r="G3217" s="265"/>
      <c r="H3217" s="265">
        <f t="shared" si="131"/>
        <v>43</v>
      </c>
    </row>
    <row r="3218" spans="2:9" x14ac:dyDescent="0.2">
      <c r="B3218" s="262" t="s">
        <v>1866</v>
      </c>
      <c r="C3218" s="263">
        <v>43178</v>
      </c>
      <c r="D3218" s="264" t="s">
        <v>1890</v>
      </c>
      <c r="E3218" s="264" t="s">
        <v>5090</v>
      </c>
      <c r="F3218" s="265">
        <v>210</v>
      </c>
      <c r="G3218" s="265"/>
      <c r="H3218" s="265">
        <f t="shared" si="131"/>
        <v>210</v>
      </c>
    </row>
    <row r="3219" spans="2:9" x14ac:dyDescent="0.2">
      <c r="B3219" s="262" t="s">
        <v>1871</v>
      </c>
      <c r="C3219" s="263">
        <v>43178</v>
      </c>
      <c r="D3219" s="264" t="s">
        <v>5122</v>
      </c>
      <c r="E3219" s="264" t="s">
        <v>2971</v>
      </c>
      <c r="F3219" s="265">
        <v>700</v>
      </c>
      <c r="G3219" s="265"/>
      <c r="H3219" s="265">
        <f t="shared" si="131"/>
        <v>700</v>
      </c>
    </row>
    <row r="3220" spans="2:9" x14ac:dyDescent="0.2">
      <c r="B3220" s="262" t="s">
        <v>1879</v>
      </c>
      <c r="C3220" s="263">
        <v>43179</v>
      </c>
      <c r="D3220" s="264" t="s">
        <v>3330</v>
      </c>
      <c r="E3220" s="264" t="s">
        <v>5119</v>
      </c>
      <c r="F3220" s="265">
        <v>500</v>
      </c>
      <c r="G3220" s="265"/>
      <c r="H3220" s="265">
        <f t="shared" si="131"/>
        <v>500</v>
      </c>
      <c r="I3220" s="175">
        <f>SUM(H3158:H3220)</f>
        <v>86100.92</v>
      </c>
    </row>
    <row r="3221" spans="2:9" x14ac:dyDescent="0.2">
      <c r="B3221" s="262" t="s">
        <v>1871</v>
      </c>
      <c r="C3221" s="263">
        <v>43179</v>
      </c>
      <c r="D3221" s="264" t="s">
        <v>3077</v>
      </c>
      <c r="E3221" s="264" t="s">
        <v>5133</v>
      </c>
      <c r="F3221" s="265">
        <v>80</v>
      </c>
      <c r="G3221" s="265"/>
      <c r="H3221" s="265">
        <f t="shared" si="131"/>
        <v>80</v>
      </c>
    </row>
    <row r="3222" spans="2:9" x14ac:dyDescent="0.2">
      <c r="B3222" s="262" t="s">
        <v>1884</v>
      </c>
      <c r="C3222" s="263">
        <v>43179</v>
      </c>
      <c r="D3222" s="264" t="s">
        <v>5134</v>
      </c>
      <c r="E3222" s="264" t="s">
        <v>5135</v>
      </c>
      <c r="F3222" s="265">
        <v>300</v>
      </c>
      <c r="G3222" s="265"/>
      <c r="H3222" s="265">
        <f t="shared" si="131"/>
        <v>300</v>
      </c>
    </row>
    <row r="3223" spans="2:9" x14ac:dyDescent="0.2">
      <c r="B3223" s="262" t="s">
        <v>1860</v>
      </c>
      <c r="C3223" s="263">
        <v>43180</v>
      </c>
      <c r="D3223" s="264" t="s">
        <v>5136</v>
      </c>
      <c r="E3223" s="264" t="s">
        <v>5137</v>
      </c>
      <c r="F3223" s="265">
        <v>56</v>
      </c>
      <c r="G3223" s="265"/>
      <c r="H3223" s="265">
        <f t="shared" si="131"/>
        <v>56</v>
      </c>
    </row>
    <row r="3224" spans="2:9" x14ac:dyDescent="0.2">
      <c r="B3224" s="262" t="s">
        <v>1862</v>
      </c>
      <c r="C3224" s="263">
        <v>43180</v>
      </c>
      <c r="D3224" s="264" t="s">
        <v>5013</v>
      </c>
      <c r="E3224" s="264" t="s">
        <v>5138</v>
      </c>
      <c r="F3224" s="265">
        <v>4160</v>
      </c>
      <c r="G3224" s="265"/>
      <c r="H3224" s="265">
        <f t="shared" si="131"/>
        <v>4160</v>
      </c>
    </row>
    <row r="3225" spans="2:9" x14ac:dyDescent="0.2">
      <c r="B3225" s="262" t="s">
        <v>1870</v>
      </c>
      <c r="C3225" s="263">
        <v>43180</v>
      </c>
      <c r="D3225" s="264" t="s">
        <v>5013</v>
      </c>
      <c r="E3225" s="264" t="s">
        <v>5139</v>
      </c>
      <c r="F3225" s="265">
        <v>300</v>
      </c>
      <c r="G3225" s="265"/>
      <c r="H3225" s="265">
        <f t="shared" si="131"/>
        <v>300</v>
      </c>
    </row>
    <row r="3226" spans="2:9" x14ac:dyDescent="0.2">
      <c r="B3226" s="262" t="s">
        <v>1860</v>
      </c>
      <c r="C3226" s="263">
        <v>43180</v>
      </c>
      <c r="D3226" s="264" t="s">
        <v>1891</v>
      </c>
      <c r="E3226" s="264" t="s">
        <v>2526</v>
      </c>
      <c r="F3226" s="265">
        <v>1256.5</v>
      </c>
      <c r="G3226" s="265"/>
      <c r="H3226" s="265">
        <f t="shared" si="131"/>
        <v>1256.5</v>
      </c>
    </row>
    <row r="3227" spans="2:9" x14ac:dyDescent="0.2">
      <c r="B3227" s="262" t="s">
        <v>1860</v>
      </c>
      <c r="C3227" s="263">
        <v>43180</v>
      </c>
      <c r="D3227" s="264" t="s">
        <v>1925</v>
      </c>
      <c r="E3227" s="264" t="s">
        <v>4736</v>
      </c>
      <c r="F3227" s="265">
        <v>5</v>
      </c>
      <c r="G3227" s="265"/>
      <c r="H3227" s="265">
        <f t="shared" si="131"/>
        <v>5</v>
      </c>
    </row>
    <row r="3228" spans="2:9" x14ac:dyDescent="0.2">
      <c r="B3228" s="262" t="s">
        <v>1863</v>
      </c>
      <c r="C3228" s="263">
        <v>43181</v>
      </c>
      <c r="D3228" s="264" t="s">
        <v>4750</v>
      </c>
      <c r="E3228" s="264" t="s">
        <v>5140</v>
      </c>
      <c r="F3228" s="265">
        <v>520</v>
      </c>
      <c r="G3228" s="265"/>
      <c r="H3228" s="265">
        <f t="shared" si="131"/>
        <v>520</v>
      </c>
    </row>
    <row r="3229" spans="2:9" x14ac:dyDescent="0.2">
      <c r="B3229" s="262" t="s">
        <v>1805</v>
      </c>
      <c r="C3229" s="263">
        <v>43181</v>
      </c>
      <c r="D3229" s="264" t="s">
        <v>3565</v>
      </c>
      <c r="E3229" s="264" t="s">
        <v>5141</v>
      </c>
      <c r="F3229" s="265">
        <v>1250</v>
      </c>
      <c r="G3229" s="265"/>
      <c r="H3229" s="265">
        <f t="shared" si="131"/>
        <v>1250</v>
      </c>
    </row>
    <row r="3230" spans="2:9" x14ac:dyDescent="0.2">
      <c r="B3230" s="262" t="s">
        <v>1884</v>
      </c>
      <c r="C3230" s="263">
        <v>43182</v>
      </c>
      <c r="D3230" s="264" t="s">
        <v>5142</v>
      </c>
      <c r="E3230" s="264" t="s">
        <v>4806</v>
      </c>
      <c r="F3230" s="265">
        <v>300</v>
      </c>
      <c r="G3230" s="265"/>
      <c r="H3230" s="265">
        <f t="shared" si="131"/>
        <v>300</v>
      </c>
    </row>
    <row r="3231" spans="2:9" x14ac:dyDescent="0.2">
      <c r="B3231" s="262" t="s">
        <v>1860</v>
      </c>
      <c r="C3231" s="263">
        <v>43182</v>
      </c>
      <c r="D3231" s="264" t="s">
        <v>3939</v>
      </c>
      <c r="E3231" s="264" t="s">
        <v>5143</v>
      </c>
      <c r="F3231" s="265">
        <v>128</v>
      </c>
      <c r="G3231" s="265"/>
      <c r="H3231" s="265">
        <f t="shared" si="131"/>
        <v>128</v>
      </c>
    </row>
    <row r="3232" spans="2:9" x14ac:dyDescent="0.2">
      <c r="B3232" s="262" t="s">
        <v>1870</v>
      </c>
      <c r="C3232" s="263">
        <v>43183</v>
      </c>
      <c r="D3232" s="264" t="s">
        <v>2535</v>
      </c>
      <c r="E3232" s="264" t="s">
        <v>5144</v>
      </c>
      <c r="F3232" s="265">
        <v>140</v>
      </c>
      <c r="G3232" s="265"/>
      <c r="H3232" s="265">
        <f t="shared" si="131"/>
        <v>140</v>
      </c>
    </row>
    <row r="3233" spans="2:9" x14ac:dyDescent="0.2">
      <c r="B3233" s="262" t="s">
        <v>1867</v>
      </c>
      <c r="C3233" s="263">
        <v>43184</v>
      </c>
      <c r="D3233" s="264" t="s">
        <v>2535</v>
      </c>
      <c r="E3233" s="264" t="s">
        <v>5145</v>
      </c>
      <c r="F3233" s="265">
        <v>100</v>
      </c>
      <c r="G3233" s="265"/>
      <c r="H3233" s="265">
        <f t="shared" si="131"/>
        <v>100</v>
      </c>
    </row>
    <row r="3234" spans="2:9" x14ac:dyDescent="0.2">
      <c r="B3234" s="262" t="s">
        <v>1864</v>
      </c>
      <c r="C3234" s="263">
        <v>43184</v>
      </c>
      <c r="D3234" s="264" t="s">
        <v>4954</v>
      </c>
      <c r="E3234" s="264" t="s">
        <v>4838</v>
      </c>
      <c r="F3234" s="265">
        <v>78</v>
      </c>
      <c r="G3234" s="265"/>
      <c r="H3234" s="265">
        <f t="shared" si="131"/>
        <v>78</v>
      </c>
    </row>
    <row r="3235" spans="2:9" x14ac:dyDescent="0.2">
      <c r="B3235" s="262" t="s">
        <v>1864</v>
      </c>
      <c r="C3235" s="263">
        <v>43184</v>
      </c>
      <c r="D3235" s="264" t="s">
        <v>2535</v>
      </c>
      <c r="E3235" s="264" t="s">
        <v>5146</v>
      </c>
      <c r="F3235" s="265">
        <v>56</v>
      </c>
      <c r="G3235" s="265"/>
      <c r="H3235" s="265">
        <f t="shared" si="131"/>
        <v>56</v>
      </c>
    </row>
    <row r="3236" spans="2:9" x14ac:dyDescent="0.2">
      <c r="B3236" s="262" t="s">
        <v>1884</v>
      </c>
      <c r="C3236" s="263">
        <v>43184</v>
      </c>
      <c r="D3236" s="264" t="s">
        <v>5147</v>
      </c>
      <c r="E3236" s="264" t="s">
        <v>5148</v>
      </c>
      <c r="F3236" s="265">
        <v>69</v>
      </c>
      <c r="G3236" s="265"/>
      <c r="H3236" s="265">
        <f t="shared" si="131"/>
        <v>69</v>
      </c>
    </row>
    <row r="3237" spans="2:9" x14ac:dyDescent="0.2">
      <c r="B3237" s="262" t="s">
        <v>1881</v>
      </c>
      <c r="C3237" s="263">
        <v>43184</v>
      </c>
      <c r="D3237" s="264" t="s">
        <v>2250</v>
      </c>
      <c r="E3237" s="264" t="s">
        <v>5149</v>
      </c>
      <c r="F3237" s="265">
        <v>120</v>
      </c>
      <c r="G3237" s="265"/>
      <c r="H3237" s="265">
        <f t="shared" si="131"/>
        <v>120</v>
      </c>
    </row>
    <row r="3238" spans="2:9" x14ac:dyDescent="0.2">
      <c r="B3238" s="262" t="s">
        <v>1863</v>
      </c>
      <c r="C3238" s="263">
        <v>43184</v>
      </c>
      <c r="D3238" s="264" t="s">
        <v>2250</v>
      </c>
      <c r="E3238" s="264" t="s">
        <v>4997</v>
      </c>
      <c r="F3238" s="265">
        <v>150</v>
      </c>
      <c r="G3238" s="265"/>
      <c r="H3238" s="265">
        <f t="shared" si="131"/>
        <v>150</v>
      </c>
    </row>
    <row r="3239" spans="2:9" x14ac:dyDescent="0.2">
      <c r="B3239" s="262" t="s">
        <v>1866</v>
      </c>
      <c r="C3239" s="263">
        <v>43185</v>
      </c>
      <c r="D3239" s="264" t="s">
        <v>1890</v>
      </c>
      <c r="E3239" s="264" t="s">
        <v>5150</v>
      </c>
      <c r="F3239" s="265">
        <v>210</v>
      </c>
      <c r="G3239" s="265"/>
      <c r="H3239" s="265">
        <f t="shared" si="131"/>
        <v>210</v>
      </c>
    </row>
    <row r="3240" spans="2:9" x14ac:dyDescent="0.2">
      <c r="B3240" s="262" t="s">
        <v>1860</v>
      </c>
      <c r="C3240" s="263">
        <v>43186</v>
      </c>
      <c r="D3240" s="264" t="s">
        <v>3939</v>
      </c>
      <c r="E3240" s="264" t="s">
        <v>3940</v>
      </c>
      <c r="F3240" s="265">
        <v>167</v>
      </c>
      <c r="G3240" s="265"/>
      <c r="H3240" s="265">
        <f t="shared" si="131"/>
        <v>167</v>
      </c>
    </row>
    <row r="3241" spans="2:9" x14ac:dyDescent="0.2">
      <c r="B3241" s="262" t="s">
        <v>1863</v>
      </c>
      <c r="C3241" s="263">
        <v>43186</v>
      </c>
      <c r="D3241" s="264" t="s">
        <v>1967</v>
      </c>
      <c r="E3241" s="264" t="s">
        <v>5151</v>
      </c>
      <c r="F3241" s="265">
        <v>39</v>
      </c>
      <c r="G3241" s="265"/>
      <c r="H3241" s="265">
        <f t="shared" si="131"/>
        <v>39</v>
      </c>
    </row>
    <row r="3242" spans="2:9" x14ac:dyDescent="0.2">
      <c r="B3242" s="262" t="s">
        <v>1884</v>
      </c>
      <c r="C3242" s="263">
        <v>43186</v>
      </c>
      <c r="D3242" s="264" t="s">
        <v>2535</v>
      </c>
      <c r="E3242" s="264" t="s">
        <v>5152</v>
      </c>
      <c r="F3242" s="265">
        <v>40</v>
      </c>
      <c r="G3242" s="265"/>
      <c r="H3242" s="265">
        <f t="shared" si="131"/>
        <v>40</v>
      </c>
    </row>
    <row r="3243" spans="2:9" x14ac:dyDescent="0.2">
      <c r="B3243" s="262" t="s">
        <v>1805</v>
      </c>
      <c r="C3243" s="263">
        <v>43189</v>
      </c>
      <c r="D3243" s="264" t="s">
        <v>3565</v>
      </c>
      <c r="E3243" s="264" t="s">
        <v>5153</v>
      </c>
      <c r="F3243" s="265">
        <v>1250</v>
      </c>
      <c r="G3243" s="265"/>
      <c r="H3243" s="265">
        <f t="shared" si="131"/>
        <v>1250</v>
      </c>
    </row>
    <row r="3244" spans="2:9" x14ac:dyDescent="0.2">
      <c r="B3244" s="262" t="s">
        <v>1881</v>
      </c>
      <c r="C3244" s="263">
        <v>43190</v>
      </c>
      <c r="D3244" s="264" t="s">
        <v>2250</v>
      </c>
      <c r="E3244" s="264" t="s">
        <v>5155</v>
      </c>
      <c r="F3244" s="265">
        <v>300</v>
      </c>
      <c r="G3244" s="265"/>
      <c r="H3244" s="265">
        <f t="shared" si="131"/>
        <v>300</v>
      </c>
    </row>
    <row r="3245" spans="2:9" x14ac:dyDescent="0.2">
      <c r="B3245" s="262" t="s">
        <v>1881</v>
      </c>
      <c r="C3245" s="263">
        <v>43190</v>
      </c>
      <c r="D3245" s="264" t="s">
        <v>1873</v>
      </c>
      <c r="E3245" s="264" t="s">
        <v>5154</v>
      </c>
      <c r="F3245" s="265">
        <v>550</v>
      </c>
      <c r="G3245" s="265"/>
      <c r="H3245" s="265">
        <f t="shared" si="131"/>
        <v>550</v>
      </c>
    </row>
    <row r="3246" spans="2:9" x14ac:dyDescent="0.2">
      <c r="B3246" s="262" t="s">
        <v>1884</v>
      </c>
      <c r="C3246" s="263">
        <v>43190</v>
      </c>
      <c r="D3246" s="264" t="s">
        <v>4493</v>
      </c>
      <c r="E3246" s="264" t="s">
        <v>5156</v>
      </c>
      <c r="F3246" s="265">
        <v>2000</v>
      </c>
      <c r="G3246" s="265"/>
      <c r="H3246" s="265">
        <f t="shared" si="131"/>
        <v>2000</v>
      </c>
    </row>
    <row r="3247" spans="2:9" x14ac:dyDescent="0.2">
      <c r="B3247" s="262" t="s">
        <v>1859</v>
      </c>
      <c r="C3247" s="263">
        <v>43190</v>
      </c>
      <c r="D3247" s="264" t="s">
        <v>4482</v>
      </c>
      <c r="E3247" s="264" t="s">
        <v>5157</v>
      </c>
      <c r="F3247" s="265">
        <v>4000</v>
      </c>
      <c r="G3247" s="265"/>
      <c r="H3247" s="265">
        <f t="shared" si="131"/>
        <v>4000</v>
      </c>
    </row>
    <row r="3248" spans="2:9" x14ac:dyDescent="0.2">
      <c r="B3248" s="262" t="s">
        <v>1577</v>
      </c>
      <c r="C3248" s="263">
        <v>43190</v>
      </c>
      <c r="D3248" s="264" t="s">
        <v>5030</v>
      </c>
      <c r="E3248" s="264" t="s">
        <v>5158</v>
      </c>
      <c r="F3248" s="265">
        <v>40000</v>
      </c>
      <c r="G3248" s="265"/>
      <c r="H3248" s="265">
        <f t="shared" si="131"/>
        <v>40000</v>
      </c>
      <c r="I3248" s="175">
        <f>SUM(H3158:H3248)</f>
        <v>143725.41999999998</v>
      </c>
    </row>
    <row r="3249" spans="2:8" x14ac:dyDescent="0.2">
      <c r="B3249" s="262" t="s">
        <v>1887</v>
      </c>
      <c r="C3249" s="263">
        <v>43165</v>
      </c>
      <c r="D3249" s="264" t="s">
        <v>1534</v>
      </c>
      <c r="E3249" s="264" t="s">
        <v>1536</v>
      </c>
      <c r="F3249" s="265">
        <v>-0.46</v>
      </c>
      <c r="G3249" s="265"/>
      <c r="H3249" s="265">
        <f t="shared" ref="H3249" si="134">SUM(F3249:G3249)</f>
        <v>-0.46</v>
      </c>
    </row>
    <row r="3250" spans="2:8" x14ac:dyDescent="0.2">
      <c r="B3250" s="262" t="s">
        <v>1790</v>
      </c>
      <c r="C3250" s="263">
        <v>43181</v>
      </c>
      <c r="D3250" s="361" t="s">
        <v>1909</v>
      </c>
      <c r="E3250" s="361" t="s">
        <v>5159</v>
      </c>
      <c r="F3250" s="362"/>
      <c r="G3250" s="362">
        <v>-1760</v>
      </c>
      <c r="H3250" s="265"/>
    </row>
    <row r="3251" spans="2:8" x14ac:dyDescent="0.2">
      <c r="B3251" s="262" t="s">
        <v>1887</v>
      </c>
      <c r="C3251" s="263">
        <v>43182</v>
      </c>
      <c r="D3251" s="264" t="s">
        <v>4863</v>
      </c>
      <c r="E3251" s="264" t="s">
        <v>1536</v>
      </c>
      <c r="F3251" s="265">
        <v>-0.15</v>
      </c>
      <c r="G3251" s="265"/>
      <c r="H3251" s="265">
        <f t="shared" si="131"/>
        <v>-0.15</v>
      </c>
    </row>
    <row r="3252" spans="2:8" x14ac:dyDescent="0.2">
      <c r="B3252" s="262" t="s">
        <v>1887</v>
      </c>
      <c r="C3252" s="263">
        <v>43190</v>
      </c>
      <c r="D3252" s="361" t="s">
        <v>1597</v>
      </c>
      <c r="E3252" s="361" t="s">
        <v>2229</v>
      </c>
      <c r="F3252" s="265">
        <v>18</v>
      </c>
      <c r="G3252" s="265"/>
      <c r="H3252" s="265">
        <f t="shared" si="131"/>
        <v>18</v>
      </c>
    </row>
    <row r="3253" spans="2:8" x14ac:dyDescent="0.2">
      <c r="B3253" s="262" t="s">
        <v>1790</v>
      </c>
      <c r="C3253" s="263">
        <v>43190</v>
      </c>
      <c r="D3253" s="361" t="s">
        <v>1597</v>
      </c>
      <c r="E3253" s="361" t="s">
        <v>2230</v>
      </c>
      <c r="F3253" s="265"/>
      <c r="G3253" s="265">
        <v>2.88</v>
      </c>
      <c r="H3253" s="265">
        <f t="shared" si="131"/>
        <v>2.88</v>
      </c>
    </row>
    <row r="3254" spans="2:8" x14ac:dyDescent="0.2">
      <c r="B3254" s="262"/>
      <c r="C3254" s="263"/>
      <c r="D3254" s="264"/>
      <c r="E3254" s="264"/>
      <c r="F3254" s="265"/>
      <c r="G3254" s="265"/>
      <c r="H3254" s="265">
        <f t="shared" ref="H3254:H3264" si="135">SUM(F3254:G3254)</f>
        <v>0</v>
      </c>
    </row>
    <row r="3255" spans="2:8" x14ac:dyDescent="0.2">
      <c r="B3255" s="262"/>
      <c r="C3255" s="263"/>
      <c r="D3255" s="264"/>
      <c r="E3255" s="264"/>
      <c r="F3255" s="265"/>
      <c r="G3255" s="265"/>
      <c r="H3255" s="265">
        <f t="shared" si="135"/>
        <v>0</v>
      </c>
    </row>
    <row r="3256" spans="2:8" ht="18" customHeight="1" x14ac:dyDescent="0.2">
      <c r="B3256" s="255" t="s">
        <v>1850</v>
      </c>
      <c r="C3256" s="255" t="s">
        <v>1851</v>
      </c>
      <c r="D3256" s="256" t="s">
        <v>1852</v>
      </c>
      <c r="E3256" s="256" t="s">
        <v>1853</v>
      </c>
      <c r="F3256" s="257" t="s">
        <v>1854</v>
      </c>
      <c r="G3256" s="257" t="s">
        <v>1855</v>
      </c>
      <c r="H3256" s="257" t="s">
        <v>1856</v>
      </c>
    </row>
    <row r="3257" spans="2:8" x14ac:dyDescent="0.2">
      <c r="B3257" s="262" t="s">
        <v>1870</v>
      </c>
      <c r="C3257" s="263">
        <v>43191</v>
      </c>
      <c r="D3257" s="264" t="s">
        <v>2535</v>
      </c>
      <c r="E3257" s="264" t="s">
        <v>5170</v>
      </c>
      <c r="F3257" s="265">
        <v>36</v>
      </c>
      <c r="G3257" s="265"/>
      <c r="H3257" s="265">
        <f t="shared" si="135"/>
        <v>36</v>
      </c>
    </row>
    <row r="3258" spans="2:8" x14ac:dyDescent="0.2">
      <c r="B3258" s="262" t="s">
        <v>1870</v>
      </c>
      <c r="C3258" s="263">
        <v>43191</v>
      </c>
      <c r="D3258" s="264" t="s">
        <v>2535</v>
      </c>
      <c r="E3258" s="264" t="s">
        <v>5170</v>
      </c>
      <c r="F3258" s="265">
        <v>59.9</v>
      </c>
      <c r="G3258" s="265"/>
      <c r="H3258" s="265">
        <f t="shared" si="135"/>
        <v>59.9</v>
      </c>
    </row>
    <row r="3259" spans="2:8" x14ac:dyDescent="0.2">
      <c r="B3259" s="262" t="s">
        <v>1860</v>
      </c>
      <c r="C3259" s="263">
        <v>43191</v>
      </c>
      <c r="D3259" s="264" t="s">
        <v>1893</v>
      </c>
      <c r="E3259" s="264" t="s">
        <v>5171</v>
      </c>
      <c r="F3259" s="265">
        <v>43</v>
      </c>
      <c r="G3259" s="265"/>
      <c r="H3259" s="265">
        <f t="shared" si="135"/>
        <v>43</v>
      </c>
    </row>
    <row r="3260" spans="2:8" x14ac:dyDescent="0.2">
      <c r="B3260" s="262" t="s">
        <v>1881</v>
      </c>
      <c r="C3260" s="263">
        <v>39539</v>
      </c>
      <c r="D3260" s="264" t="s">
        <v>2250</v>
      </c>
      <c r="E3260" s="264" t="s">
        <v>2026</v>
      </c>
      <c r="F3260" s="265">
        <v>120</v>
      </c>
      <c r="G3260" s="265"/>
      <c r="H3260" s="265">
        <f t="shared" si="135"/>
        <v>120</v>
      </c>
    </row>
    <row r="3261" spans="2:8" x14ac:dyDescent="0.2">
      <c r="B3261" s="262" t="s">
        <v>1864</v>
      </c>
      <c r="C3261" s="263">
        <v>43191</v>
      </c>
      <c r="D3261" s="264" t="s">
        <v>4954</v>
      </c>
      <c r="E3261" s="264" t="s">
        <v>2536</v>
      </c>
      <c r="F3261" s="265">
        <v>76</v>
      </c>
      <c r="G3261" s="265"/>
      <c r="H3261" s="265">
        <f t="shared" si="135"/>
        <v>76</v>
      </c>
    </row>
    <row r="3262" spans="2:8" x14ac:dyDescent="0.2">
      <c r="B3262" s="345" t="s">
        <v>1857</v>
      </c>
      <c r="C3262" s="263">
        <v>43191</v>
      </c>
      <c r="D3262" s="264" t="s">
        <v>5172</v>
      </c>
      <c r="E3262" s="264" t="s">
        <v>5173</v>
      </c>
      <c r="F3262" s="265">
        <v>100</v>
      </c>
      <c r="G3262" s="265"/>
      <c r="H3262" s="265">
        <f t="shared" si="135"/>
        <v>100</v>
      </c>
    </row>
    <row r="3263" spans="2:8" x14ac:dyDescent="0.2">
      <c r="B3263" s="262" t="s">
        <v>1884</v>
      </c>
      <c r="C3263" s="263">
        <v>43191</v>
      </c>
      <c r="D3263" s="264" t="s">
        <v>5005</v>
      </c>
      <c r="E3263" s="264" t="s">
        <v>5105</v>
      </c>
      <c r="F3263" s="265">
        <v>300</v>
      </c>
      <c r="G3263" s="265"/>
      <c r="H3263" s="265">
        <f t="shared" si="135"/>
        <v>300</v>
      </c>
    </row>
    <row r="3264" spans="2:8" x14ac:dyDescent="0.2">
      <c r="B3264" s="262" t="s">
        <v>1870</v>
      </c>
      <c r="C3264" s="263">
        <v>43191</v>
      </c>
      <c r="D3264" s="264" t="s">
        <v>5174</v>
      </c>
      <c r="E3264" s="264" t="s">
        <v>5175</v>
      </c>
      <c r="F3264" s="265">
        <v>100</v>
      </c>
      <c r="G3264" s="265"/>
      <c r="H3264" s="265">
        <f t="shared" si="135"/>
        <v>100</v>
      </c>
    </row>
    <row r="3265" spans="2:8" x14ac:dyDescent="0.2">
      <c r="B3265" s="262" t="s">
        <v>1866</v>
      </c>
      <c r="C3265" s="263">
        <v>43192</v>
      </c>
      <c r="D3265" s="264" t="s">
        <v>1890</v>
      </c>
      <c r="E3265" s="264" t="s">
        <v>5150</v>
      </c>
      <c r="F3265" s="265">
        <v>210</v>
      </c>
      <c r="G3265" s="265"/>
      <c r="H3265" s="265">
        <f t="shared" ref="H3265:H3291" si="136">SUM(F3265:G3265)</f>
        <v>210</v>
      </c>
    </row>
    <row r="3266" spans="2:8" x14ac:dyDescent="0.2">
      <c r="B3266" s="262" t="s">
        <v>1871</v>
      </c>
      <c r="C3266" s="263">
        <v>43192</v>
      </c>
      <c r="D3266" s="264" t="s">
        <v>3077</v>
      </c>
      <c r="E3266" s="264" t="s">
        <v>5176</v>
      </c>
      <c r="F3266" s="265">
        <v>25</v>
      </c>
      <c r="G3266" s="265"/>
      <c r="H3266" s="265">
        <f t="shared" si="136"/>
        <v>25</v>
      </c>
    </row>
    <row r="3267" spans="2:8" x14ac:dyDescent="0.2">
      <c r="B3267" s="262" t="s">
        <v>1884</v>
      </c>
      <c r="C3267" s="263">
        <v>43192</v>
      </c>
      <c r="D3267" s="264" t="s">
        <v>4487</v>
      </c>
      <c r="E3267" s="264" t="s">
        <v>5177</v>
      </c>
      <c r="F3267" s="265">
        <v>290.7</v>
      </c>
      <c r="G3267" s="265"/>
      <c r="H3267" s="265">
        <f t="shared" si="136"/>
        <v>290.7</v>
      </c>
    </row>
    <row r="3268" spans="2:8" x14ac:dyDescent="0.2">
      <c r="B3268" s="262" t="s">
        <v>1860</v>
      </c>
      <c r="C3268" s="263">
        <v>43192</v>
      </c>
      <c r="D3268" s="264" t="s">
        <v>1893</v>
      </c>
      <c r="E3268" s="264" t="s">
        <v>5171</v>
      </c>
      <c r="F3268" s="265">
        <v>107.5</v>
      </c>
      <c r="G3268" s="265"/>
      <c r="H3268" s="265">
        <f t="shared" si="136"/>
        <v>107.5</v>
      </c>
    </row>
    <row r="3269" spans="2:8" x14ac:dyDescent="0.2">
      <c r="B3269" s="262" t="s">
        <v>1860</v>
      </c>
      <c r="C3269" s="263">
        <v>43192</v>
      </c>
      <c r="D3269" s="264" t="s">
        <v>4639</v>
      </c>
      <c r="E3269" s="264" t="s">
        <v>5178</v>
      </c>
      <c r="F3269" s="265">
        <v>23</v>
      </c>
      <c r="G3269" s="265"/>
      <c r="H3269" s="265">
        <f t="shared" si="136"/>
        <v>23</v>
      </c>
    </row>
    <row r="3270" spans="2:8" x14ac:dyDescent="0.2">
      <c r="B3270" s="262" t="s">
        <v>1870</v>
      </c>
      <c r="C3270" s="263">
        <v>43193</v>
      </c>
      <c r="D3270" s="264" t="s">
        <v>2401</v>
      </c>
      <c r="E3270" s="264" t="s">
        <v>5179</v>
      </c>
      <c r="F3270" s="265">
        <v>525.20000000000005</v>
      </c>
      <c r="G3270" s="265"/>
      <c r="H3270" s="265">
        <f t="shared" si="136"/>
        <v>525.20000000000005</v>
      </c>
    </row>
    <row r="3271" spans="2:8" x14ac:dyDescent="0.2">
      <c r="B3271" s="262" t="s">
        <v>1870</v>
      </c>
      <c r="C3271" s="263">
        <v>43193</v>
      </c>
      <c r="D3271" s="264" t="s">
        <v>2401</v>
      </c>
      <c r="E3271" s="264" t="s">
        <v>5180</v>
      </c>
      <c r="F3271" s="265">
        <v>56.7</v>
      </c>
      <c r="G3271" s="265"/>
      <c r="H3271" s="265">
        <f t="shared" si="136"/>
        <v>56.7</v>
      </c>
    </row>
    <row r="3272" spans="2:8" x14ac:dyDescent="0.2">
      <c r="B3272" s="262" t="s">
        <v>1863</v>
      </c>
      <c r="C3272" s="263">
        <v>43193</v>
      </c>
      <c r="D3272" s="264" t="s">
        <v>1906</v>
      </c>
      <c r="E3272" s="264" t="s">
        <v>5181</v>
      </c>
      <c r="F3272" s="265">
        <v>150</v>
      </c>
      <c r="G3272" s="265"/>
      <c r="H3272" s="265">
        <f t="shared" si="136"/>
        <v>150</v>
      </c>
    </row>
    <row r="3273" spans="2:8" x14ac:dyDescent="0.2">
      <c r="B3273" s="262" t="s">
        <v>1870</v>
      </c>
      <c r="C3273" s="263">
        <v>43194</v>
      </c>
      <c r="D3273" s="264" t="s">
        <v>5102</v>
      </c>
      <c r="E3273" s="264" t="s">
        <v>5182</v>
      </c>
      <c r="F3273" s="265">
        <v>14500</v>
      </c>
      <c r="G3273" s="265"/>
      <c r="H3273" s="265">
        <f t="shared" si="136"/>
        <v>14500</v>
      </c>
    </row>
    <row r="3274" spans="2:8" x14ac:dyDescent="0.2">
      <c r="B3274" s="262" t="s">
        <v>1821</v>
      </c>
      <c r="C3274" s="263">
        <v>43194</v>
      </c>
      <c r="D3274" s="264" t="s">
        <v>5102</v>
      </c>
      <c r="E3274" s="264" t="s">
        <v>5183</v>
      </c>
      <c r="F3274" s="265">
        <v>1462.5</v>
      </c>
      <c r="G3274" s="265"/>
      <c r="H3274" s="265">
        <f t="shared" si="136"/>
        <v>1462.5</v>
      </c>
    </row>
    <row r="3275" spans="2:8" x14ac:dyDescent="0.2">
      <c r="B3275" s="262" t="s">
        <v>1875</v>
      </c>
      <c r="C3275" s="263">
        <v>43194</v>
      </c>
      <c r="D3275" s="264" t="s">
        <v>2535</v>
      </c>
      <c r="E3275" s="264" t="s">
        <v>4847</v>
      </c>
      <c r="F3275" s="265">
        <v>53.8</v>
      </c>
      <c r="G3275" s="265"/>
      <c r="H3275" s="265">
        <f t="shared" si="136"/>
        <v>53.8</v>
      </c>
    </row>
    <row r="3276" spans="2:8" x14ac:dyDescent="0.2">
      <c r="B3276" s="262" t="s">
        <v>1861</v>
      </c>
      <c r="C3276" s="263">
        <v>43194</v>
      </c>
      <c r="D3276" s="264" t="s">
        <v>4637</v>
      </c>
      <c r="E3276" s="264" t="s">
        <v>5184</v>
      </c>
      <c r="F3276" s="265">
        <v>200</v>
      </c>
      <c r="G3276" s="265"/>
      <c r="H3276" s="265">
        <f t="shared" si="136"/>
        <v>200</v>
      </c>
    </row>
    <row r="3277" spans="2:8" x14ac:dyDescent="0.2">
      <c r="B3277" s="262" t="s">
        <v>1870</v>
      </c>
      <c r="C3277" s="263">
        <v>43195</v>
      </c>
      <c r="D3277" s="264" t="s">
        <v>5013</v>
      </c>
      <c r="E3277" s="264" t="s">
        <v>5185</v>
      </c>
      <c r="F3277" s="265">
        <v>200</v>
      </c>
      <c r="G3277" s="265"/>
      <c r="H3277" s="265">
        <f t="shared" si="136"/>
        <v>200</v>
      </c>
    </row>
    <row r="3278" spans="2:8" x14ac:dyDescent="0.2">
      <c r="B3278" s="262" t="s">
        <v>1870</v>
      </c>
      <c r="C3278" s="263">
        <v>43195</v>
      </c>
      <c r="D3278" s="264" t="s">
        <v>5013</v>
      </c>
      <c r="E3278" s="264" t="s">
        <v>5186</v>
      </c>
      <c r="F3278" s="265">
        <v>300</v>
      </c>
      <c r="G3278" s="265"/>
      <c r="H3278" s="265">
        <f t="shared" si="136"/>
        <v>300</v>
      </c>
    </row>
    <row r="3279" spans="2:8" x14ac:dyDescent="0.2">
      <c r="B3279" s="262" t="s">
        <v>1857</v>
      </c>
      <c r="C3279" s="263">
        <v>43195</v>
      </c>
      <c r="D3279" s="264" t="s">
        <v>4578</v>
      </c>
      <c r="E3279" s="264" t="s">
        <v>5187</v>
      </c>
      <c r="F3279" s="265">
        <v>1043.03</v>
      </c>
      <c r="G3279" s="265"/>
      <c r="H3279" s="265">
        <f t="shared" si="136"/>
        <v>1043.03</v>
      </c>
    </row>
    <row r="3280" spans="2:8" x14ac:dyDescent="0.2">
      <c r="B3280" s="262" t="s">
        <v>1857</v>
      </c>
      <c r="C3280" s="263">
        <v>43195</v>
      </c>
      <c r="D3280" s="264" t="s">
        <v>5172</v>
      </c>
      <c r="E3280" s="264" t="s">
        <v>5188</v>
      </c>
      <c r="F3280" s="265">
        <v>150</v>
      </c>
      <c r="G3280" s="265"/>
      <c r="H3280" s="265">
        <f t="shared" si="136"/>
        <v>150</v>
      </c>
    </row>
    <row r="3281" spans="2:8" x14ac:dyDescent="0.2">
      <c r="B3281" s="262" t="s">
        <v>1884</v>
      </c>
      <c r="C3281" s="263">
        <v>43195</v>
      </c>
      <c r="D3281" s="264" t="s">
        <v>5005</v>
      </c>
      <c r="E3281" s="264" t="s">
        <v>5189</v>
      </c>
      <c r="F3281" s="265">
        <v>300</v>
      </c>
      <c r="G3281" s="265"/>
      <c r="H3281" s="265">
        <f t="shared" si="136"/>
        <v>300</v>
      </c>
    </row>
    <row r="3282" spans="2:8" x14ac:dyDescent="0.2">
      <c r="B3282" s="262" t="s">
        <v>1805</v>
      </c>
      <c r="C3282" s="263">
        <v>43196</v>
      </c>
      <c r="D3282" s="264" t="s">
        <v>3565</v>
      </c>
      <c r="E3282" s="264" t="s">
        <v>5190</v>
      </c>
      <c r="F3282" s="265">
        <v>1250</v>
      </c>
      <c r="G3282" s="265"/>
      <c r="H3282" s="265">
        <f t="shared" si="136"/>
        <v>1250</v>
      </c>
    </row>
    <row r="3283" spans="2:8" x14ac:dyDescent="0.2">
      <c r="B3283" s="262" t="s">
        <v>1871</v>
      </c>
      <c r="C3283" s="263">
        <v>43196</v>
      </c>
      <c r="D3283" s="264" t="s">
        <v>3077</v>
      </c>
      <c r="E3283" s="264" t="s">
        <v>2971</v>
      </c>
      <c r="F3283" s="265">
        <v>100</v>
      </c>
      <c r="G3283" s="265"/>
      <c r="H3283" s="265">
        <f t="shared" si="136"/>
        <v>100</v>
      </c>
    </row>
    <row r="3284" spans="2:8" x14ac:dyDescent="0.2">
      <c r="B3284" s="262" t="s">
        <v>1881</v>
      </c>
      <c r="C3284" s="263">
        <v>43198</v>
      </c>
      <c r="D3284" s="264" t="s">
        <v>2250</v>
      </c>
      <c r="E3284" s="264" t="s">
        <v>2026</v>
      </c>
      <c r="F3284" s="265">
        <v>120</v>
      </c>
      <c r="G3284" s="265"/>
      <c r="H3284" s="265">
        <f t="shared" si="136"/>
        <v>120</v>
      </c>
    </row>
    <row r="3285" spans="2:8" x14ac:dyDescent="0.2">
      <c r="B3285" s="262" t="s">
        <v>1863</v>
      </c>
      <c r="C3285" s="263">
        <v>43198</v>
      </c>
      <c r="D3285" s="264" t="s">
        <v>2250</v>
      </c>
      <c r="E3285" s="264" t="s">
        <v>3498</v>
      </c>
      <c r="F3285" s="265">
        <v>150</v>
      </c>
      <c r="G3285" s="265"/>
      <c r="H3285" s="265">
        <f t="shared" si="136"/>
        <v>150</v>
      </c>
    </row>
    <row r="3286" spans="2:8" x14ac:dyDescent="0.2">
      <c r="B3286" s="262" t="s">
        <v>1870</v>
      </c>
      <c r="C3286" s="263">
        <v>43198</v>
      </c>
      <c r="D3286" s="264" t="s">
        <v>2401</v>
      </c>
      <c r="E3286" s="264" t="s">
        <v>5191</v>
      </c>
      <c r="F3286" s="265">
        <v>54.5</v>
      </c>
      <c r="G3286" s="265"/>
      <c r="H3286" s="265">
        <f t="shared" si="136"/>
        <v>54.5</v>
      </c>
    </row>
    <row r="3287" spans="2:8" x14ac:dyDescent="0.2">
      <c r="B3287" s="262" t="s">
        <v>1884</v>
      </c>
      <c r="C3287" s="263">
        <v>43198</v>
      </c>
      <c r="D3287" s="264" t="s">
        <v>2535</v>
      </c>
      <c r="E3287" s="264" t="s">
        <v>5192</v>
      </c>
      <c r="F3287" s="265">
        <v>129</v>
      </c>
      <c r="G3287" s="265"/>
      <c r="H3287" s="265">
        <f t="shared" si="136"/>
        <v>129</v>
      </c>
    </row>
    <row r="3288" spans="2:8" x14ac:dyDescent="0.2">
      <c r="B3288" s="262" t="s">
        <v>1884</v>
      </c>
      <c r="C3288" s="263">
        <v>43198</v>
      </c>
      <c r="D3288" s="264" t="s">
        <v>3711</v>
      </c>
      <c r="E3288" s="264" t="s">
        <v>5193</v>
      </c>
      <c r="F3288" s="265">
        <v>760</v>
      </c>
      <c r="G3288" s="265"/>
      <c r="H3288" s="265">
        <f t="shared" si="136"/>
        <v>760</v>
      </c>
    </row>
    <row r="3289" spans="2:8" x14ac:dyDescent="0.2">
      <c r="B3289" s="262" t="s">
        <v>1863</v>
      </c>
      <c r="C3289" s="263">
        <v>43199</v>
      </c>
      <c r="D3289" s="264" t="s">
        <v>1906</v>
      </c>
      <c r="E3289" s="264" t="s">
        <v>5194</v>
      </c>
      <c r="F3289" s="265">
        <v>200</v>
      </c>
      <c r="G3289" s="265"/>
      <c r="H3289" s="265">
        <f t="shared" si="136"/>
        <v>200</v>
      </c>
    </row>
    <row r="3290" spans="2:8" x14ac:dyDescent="0.2">
      <c r="B3290" s="262" t="s">
        <v>1884</v>
      </c>
      <c r="C3290" s="263">
        <v>43199</v>
      </c>
      <c r="D3290" s="264" t="s">
        <v>3125</v>
      </c>
      <c r="E3290" s="264" t="s">
        <v>5195</v>
      </c>
      <c r="F3290" s="265">
        <v>24</v>
      </c>
      <c r="G3290" s="265"/>
      <c r="H3290" s="265">
        <f t="shared" si="136"/>
        <v>24</v>
      </c>
    </row>
    <row r="3291" spans="2:8" x14ac:dyDescent="0.2">
      <c r="B3291" s="262" t="s">
        <v>1866</v>
      </c>
      <c r="C3291" s="263">
        <v>43199</v>
      </c>
      <c r="D3291" s="264" t="s">
        <v>1890</v>
      </c>
      <c r="E3291" s="264" t="s">
        <v>5090</v>
      </c>
      <c r="F3291" s="265">
        <v>210</v>
      </c>
      <c r="G3291" s="265"/>
      <c r="H3291" s="265">
        <f t="shared" si="136"/>
        <v>210</v>
      </c>
    </row>
    <row r="3292" spans="2:8" x14ac:dyDescent="0.2">
      <c r="B3292" s="262" t="s">
        <v>1860</v>
      </c>
      <c r="C3292" s="263">
        <v>43199</v>
      </c>
      <c r="D3292" s="264" t="s">
        <v>1891</v>
      </c>
      <c r="E3292" s="264" t="s">
        <v>5196</v>
      </c>
      <c r="F3292" s="265">
        <v>260</v>
      </c>
      <c r="G3292" s="265"/>
      <c r="H3292" s="265">
        <f t="shared" ref="H3292:H3299" si="137">SUM(F3292:G3292)</f>
        <v>260</v>
      </c>
    </row>
    <row r="3293" spans="2:8" x14ac:dyDescent="0.2">
      <c r="B3293" s="262" t="s">
        <v>1860</v>
      </c>
      <c r="C3293" s="263">
        <v>43199</v>
      </c>
      <c r="D3293" s="264" t="s">
        <v>1925</v>
      </c>
      <c r="E3293" s="264" t="s">
        <v>5197</v>
      </c>
      <c r="F3293" s="265">
        <v>5</v>
      </c>
      <c r="G3293" s="265"/>
      <c r="H3293" s="265">
        <f t="shared" si="137"/>
        <v>5</v>
      </c>
    </row>
    <row r="3294" spans="2:8" x14ac:dyDescent="0.2">
      <c r="B3294" s="262" t="s">
        <v>1861</v>
      </c>
      <c r="C3294" s="263">
        <v>43199</v>
      </c>
      <c r="D3294" s="264" t="s">
        <v>5198</v>
      </c>
      <c r="E3294" s="264" t="s">
        <v>5199</v>
      </c>
      <c r="F3294" s="265">
        <v>69.5</v>
      </c>
      <c r="G3294" s="265"/>
      <c r="H3294" s="265">
        <f t="shared" si="137"/>
        <v>69.5</v>
      </c>
    </row>
    <row r="3295" spans="2:8" x14ac:dyDescent="0.2">
      <c r="B3295" s="262" t="s">
        <v>1884</v>
      </c>
      <c r="C3295" s="263">
        <v>43199</v>
      </c>
      <c r="D3295" s="264" t="s">
        <v>2535</v>
      </c>
      <c r="E3295" s="264" t="s">
        <v>5200</v>
      </c>
      <c r="F3295" s="265">
        <v>26.5</v>
      </c>
      <c r="G3295" s="265"/>
      <c r="H3295" s="265">
        <f t="shared" si="137"/>
        <v>26.5</v>
      </c>
    </row>
    <row r="3296" spans="2:8" x14ac:dyDescent="0.2">
      <c r="B3296" s="262" t="s">
        <v>1860</v>
      </c>
      <c r="C3296" s="263">
        <v>43199</v>
      </c>
      <c r="D3296" s="264" t="s">
        <v>4639</v>
      </c>
      <c r="E3296" s="264" t="s">
        <v>5201</v>
      </c>
      <c r="F3296" s="265">
        <v>50</v>
      </c>
      <c r="G3296" s="265"/>
      <c r="H3296" s="265">
        <f t="shared" si="137"/>
        <v>50</v>
      </c>
    </row>
    <row r="3297" spans="2:8" x14ac:dyDescent="0.2">
      <c r="B3297" s="262" t="s">
        <v>1870</v>
      </c>
      <c r="C3297" s="263">
        <v>43200</v>
      </c>
      <c r="D3297" s="264" t="s">
        <v>5013</v>
      </c>
      <c r="E3297" s="264" t="s">
        <v>5202</v>
      </c>
      <c r="F3297" s="265">
        <v>3100</v>
      </c>
      <c r="G3297" s="265"/>
      <c r="H3297" s="265">
        <f t="shared" si="137"/>
        <v>3100</v>
      </c>
    </row>
    <row r="3298" spans="2:8" x14ac:dyDescent="0.2">
      <c r="B3298" s="262" t="s">
        <v>1870</v>
      </c>
      <c r="C3298" s="263">
        <v>43200</v>
      </c>
      <c r="D3298" s="264" t="s">
        <v>5013</v>
      </c>
      <c r="E3298" s="264" t="s">
        <v>5203</v>
      </c>
      <c r="F3298" s="265">
        <v>300</v>
      </c>
      <c r="G3298" s="265"/>
      <c r="H3298" s="265">
        <f t="shared" si="137"/>
        <v>300</v>
      </c>
    </row>
    <row r="3299" spans="2:8" x14ac:dyDescent="0.2">
      <c r="B3299" s="262" t="s">
        <v>1863</v>
      </c>
      <c r="C3299" s="263">
        <v>43200</v>
      </c>
      <c r="D3299" s="264" t="s">
        <v>5204</v>
      </c>
      <c r="E3299" s="264" t="s">
        <v>5205</v>
      </c>
      <c r="F3299" s="265">
        <v>4250</v>
      </c>
      <c r="G3299" s="265"/>
      <c r="H3299" s="265">
        <f t="shared" si="137"/>
        <v>4250</v>
      </c>
    </row>
    <row r="3300" spans="2:8" x14ac:dyDescent="0.2">
      <c r="B3300" s="262" t="s">
        <v>1860</v>
      </c>
      <c r="C3300" s="263">
        <v>43200</v>
      </c>
      <c r="D3300" s="264" t="s">
        <v>3939</v>
      </c>
      <c r="E3300" s="264" t="s">
        <v>5207</v>
      </c>
      <c r="F3300" s="265">
        <v>180</v>
      </c>
      <c r="G3300" s="265"/>
      <c r="H3300" s="265">
        <f t="shared" ref="H3300:H3315" si="138">SUM(F3300:G3300)</f>
        <v>180</v>
      </c>
    </row>
    <row r="3301" spans="2:8" x14ac:dyDescent="0.2">
      <c r="B3301" s="262" t="s">
        <v>1790</v>
      </c>
      <c r="C3301" s="263">
        <v>43200</v>
      </c>
      <c r="D3301" s="264" t="s">
        <v>1909</v>
      </c>
      <c r="E3301" s="264" t="s">
        <v>5214</v>
      </c>
      <c r="F3301" s="265"/>
      <c r="G3301" s="265">
        <v>1760</v>
      </c>
      <c r="H3301" s="265">
        <f t="shared" si="138"/>
        <v>1760</v>
      </c>
    </row>
    <row r="3302" spans="2:8" x14ac:dyDescent="0.2">
      <c r="B3302" s="341" t="s">
        <v>1805</v>
      </c>
      <c r="C3302" s="263">
        <v>43200</v>
      </c>
      <c r="D3302" s="264" t="s">
        <v>1888</v>
      </c>
      <c r="E3302" s="264" t="s">
        <v>5213</v>
      </c>
      <c r="F3302" s="265">
        <v>1400</v>
      </c>
      <c r="G3302" s="265"/>
      <c r="H3302" s="265">
        <f t="shared" si="138"/>
        <v>1400</v>
      </c>
    </row>
    <row r="3303" spans="2:8" x14ac:dyDescent="0.2">
      <c r="B3303" s="262" t="s">
        <v>1861</v>
      </c>
      <c r="C3303" s="263">
        <v>43202</v>
      </c>
      <c r="D3303" s="264" t="s">
        <v>2535</v>
      </c>
      <c r="E3303" s="264" t="s">
        <v>5206</v>
      </c>
      <c r="F3303" s="265">
        <v>120</v>
      </c>
      <c r="G3303" s="265"/>
      <c r="H3303" s="265">
        <f t="shared" si="138"/>
        <v>120</v>
      </c>
    </row>
    <row r="3304" spans="2:8" x14ac:dyDescent="0.2">
      <c r="B3304" s="262" t="s">
        <v>1879</v>
      </c>
      <c r="C3304" s="263">
        <v>43202</v>
      </c>
      <c r="D3304" s="264" t="s">
        <v>3565</v>
      </c>
      <c r="E3304" s="264" t="s">
        <v>5208</v>
      </c>
      <c r="F3304" s="265">
        <v>400</v>
      </c>
      <c r="G3304" s="265"/>
      <c r="H3304" s="265">
        <f t="shared" si="138"/>
        <v>400</v>
      </c>
    </row>
    <row r="3305" spans="2:8" x14ac:dyDescent="0.2">
      <c r="B3305" s="262" t="s">
        <v>1805</v>
      </c>
      <c r="C3305" s="263">
        <v>43203</v>
      </c>
      <c r="D3305" s="264" t="s">
        <v>3565</v>
      </c>
      <c r="E3305" s="264" t="s">
        <v>5209</v>
      </c>
      <c r="F3305" s="265">
        <v>1250</v>
      </c>
      <c r="G3305" s="265"/>
      <c r="H3305" s="265">
        <f t="shared" si="138"/>
        <v>1250</v>
      </c>
    </row>
    <row r="3306" spans="2:8" x14ac:dyDescent="0.2">
      <c r="B3306" s="262" t="s">
        <v>1881</v>
      </c>
      <c r="C3306" s="263">
        <v>43203</v>
      </c>
      <c r="D3306" s="264" t="s">
        <v>1873</v>
      </c>
      <c r="E3306" s="264" t="s">
        <v>5210</v>
      </c>
      <c r="F3306" s="265">
        <v>100</v>
      </c>
      <c r="G3306" s="265"/>
      <c r="H3306" s="265">
        <f t="shared" si="138"/>
        <v>100</v>
      </c>
    </row>
    <row r="3307" spans="2:8" x14ac:dyDescent="0.2">
      <c r="B3307" s="262" t="s">
        <v>1870</v>
      </c>
      <c r="C3307" s="263">
        <v>43203</v>
      </c>
      <c r="D3307" s="264" t="s">
        <v>5013</v>
      </c>
      <c r="E3307" s="264" t="s">
        <v>5211</v>
      </c>
      <c r="F3307" s="265">
        <v>900</v>
      </c>
      <c r="G3307" s="265"/>
      <c r="H3307" s="265">
        <f t="shared" si="138"/>
        <v>900</v>
      </c>
    </row>
    <row r="3308" spans="2:8" x14ac:dyDescent="0.2">
      <c r="B3308" s="262" t="s">
        <v>1867</v>
      </c>
      <c r="C3308" s="263">
        <v>43203</v>
      </c>
      <c r="D3308" s="264" t="s">
        <v>1894</v>
      </c>
      <c r="E3308" s="264" t="s">
        <v>5212</v>
      </c>
      <c r="F3308" s="265">
        <v>813</v>
      </c>
      <c r="G3308" s="265"/>
      <c r="H3308" s="265">
        <f>SUM(F3308:G3308)</f>
        <v>813</v>
      </c>
    </row>
    <row r="3309" spans="2:8" x14ac:dyDescent="0.2">
      <c r="B3309" s="262" t="s">
        <v>1884</v>
      </c>
      <c r="C3309" s="263">
        <v>43204</v>
      </c>
      <c r="D3309" s="264" t="s">
        <v>5005</v>
      </c>
      <c r="E3309" s="264" t="s">
        <v>5105</v>
      </c>
      <c r="F3309" s="265">
        <v>300</v>
      </c>
      <c r="G3309" s="265"/>
      <c r="H3309" s="265">
        <f>SUM(F3309:G3309)</f>
        <v>300</v>
      </c>
    </row>
    <row r="3310" spans="2:8" x14ac:dyDescent="0.2">
      <c r="B3310" s="262" t="s">
        <v>1881</v>
      </c>
      <c r="C3310" s="263">
        <v>43205</v>
      </c>
      <c r="D3310" s="264" t="s">
        <v>2250</v>
      </c>
      <c r="E3310" s="264" t="s">
        <v>3087</v>
      </c>
      <c r="F3310" s="265">
        <v>350</v>
      </c>
      <c r="G3310" s="265"/>
      <c r="H3310" s="265">
        <f t="shared" si="138"/>
        <v>350</v>
      </c>
    </row>
    <row r="3311" spans="2:8" x14ac:dyDescent="0.2">
      <c r="B3311" s="262" t="s">
        <v>1881</v>
      </c>
      <c r="C3311" s="263">
        <v>43205</v>
      </c>
      <c r="D3311" s="264" t="s">
        <v>1873</v>
      </c>
      <c r="E3311" s="264" t="s">
        <v>5215</v>
      </c>
      <c r="F3311" s="265">
        <v>550</v>
      </c>
      <c r="G3311" s="265"/>
      <c r="H3311" s="265">
        <f t="shared" si="138"/>
        <v>550</v>
      </c>
    </row>
    <row r="3312" spans="2:8" x14ac:dyDescent="0.2">
      <c r="B3312" s="262" t="s">
        <v>1884</v>
      </c>
      <c r="C3312" s="263">
        <v>43205</v>
      </c>
      <c r="D3312" s="264" t="s">
        <v>4493</v>
      </c>
      <c r="E3312" s="264" t="s">
        <v>5216</v>
      </c>
      <c r="F3312" s="265">
        <v>2000</v>
      </c>
      <c r="G3312" s="265"/>
      <c r="H3312" s="265">
        <f t="shared" si="138"/>
        <v>2000</v>
      </c>
    </row>
    <row r="3313" spans="2:9" x14ac:dyDescent="0.2">
      <c r="B3313" s="262" t="s">
        <v>1859</v>
      </c>
      <c r="C3313" s="263">
        <v>43205</v>
      </c>
      <c r="D3313" s="264" t="s">
        <v>4482</v>
      </c>
      <c r="E3313" s="264" t="s">
        <v>5217</v>
      </c>
      <c r="F3313" s="265">
        <v>4000</v>
      </c>
      <c r="G3313" s="265"/>
      <c r="H3313" s="265">
        <f t="shared" si="138"/>
        <v>4000</v>
      </c>
    </row>
    <row r="3314" spans="2:9" x14ac:dyDescent="0.2">
      <c r="B3314" s="262" t="s">
        <v>1577</v>
      </c>
      <c r="C3314" s="263">
        <v>43205</v>
      </c>
      <c r="D3314" s="264" t="s">
        <v>5030</v>
      </c>
      <c r="E3314" s="264" t="s">
        <v>5218</v>
      </c>
      <c r="F3314" s="265">
        <v>40000</v>
      </c>
      <c r="G3314" s="265"/>
      <c r="H3314" s="265">
        <f t="shared" si="138"/>
        <v>40000</v>
      </c>
    </row>
    <row r="3315" spans="2:9" x14ac:dyDescent="0.2">
      <c r="B3315" s="262" t="s">
        <v>1884</v>
      </c>
      <c r="C3315" s="263">
        <v>43205</v>
      </c>
      <c r="D3315" s="264" t="s">
        <v>2535</v>
      </c>
      <c r="E3315" s="264" t="s">
        <v>5219</v>
      </c>
      <c r="F3315" s="265">
        <v>61</v>
      </c>
      <c r="G3315" s="265"/>
      <c r="H3315" s="265">
        <f t="shared" si="138"/>
        <v>61</v>
      </c>
    </row>
    <row r="3316" spans="2:9" x14ac:dyDescent="0.2">
      <c r="B3316" s="262" t="s">
        <v>1881</v>
      </c>
      <c r="C3316" s="263">
        <v>43205</v>
      </c>
      <c r="D3316" s="264" t="s">
        <v>2250</v>
      </c>
      <c r="E3316" s="264" t="s">
        <v>2026</v>
      </c>
      <c r="F3316" s="265">
        <v>120</v>
      </c>
      <c r="G3316" s="265"/>
      <c r="H3316" s="265">
        <f t="shared" ref="H3316:H3329" si="139">SUM(F3316:G3316)</f>
        <v>120</v>
      </c>
    </row>
    <row r="3317" spans="2:9" x14ac:dyDescent="0.2">
      <c r="B3317" s="262" t="s">
        <v>1863</v>
      </c>
      <c r="C3317" s="263">
        <v>43205</v>
      </c>
      <c r="D3317" s="264" t="s">
        <v>2250</v>
      </c>
      <c r="E3317" s="264" t="s">
        <v>3498</v>
      </c>
      <c r="F3317" s="265">
        <v>150</v>
      </c>
      <c r="G3317" s="265"/>
      <c r="H3317" s="265">
        <f t="shared" si="139"/>
        <v>150</v>
      </c>
    </row>
    <row r="3318" spans="2:9" x14ac:dyDescent="0.2">
      <c r="B3318" s="262" t="s">
        <v>1866</v>
      </c>
      <c r="C3318" s="263">
        <v>43206</v>
      </c>
      <c r="D3318" s="264" t="s">
        <v>1890</v>
      </c>
      <c r="E3318" s="264" t="s">
        <v>5100</v>
      </c>
      <c r="F3318" s="265">
        <v>175</v>
      </c>
      <c r="G3318" s="265"/>
      <c r="H3318" s="265">
        <f t="shared" si="139"/>
        <v>175</v>
      </c>
    </row>
    <row r="3319" spans="2:9" x14ac:dyDescent="0.2">
      <c r="B3319" s="262" t="s">
        <v>1867</v>
      </c>
      <c r="C3319" s="263">
        <v>43206</v>
      </c>
      <c r="D3319" s="264" t="s">
        <v>2535</v>
      </c>
      <c r="E3319" s="264" t="s">
        <v>5145</v>
      </c>
      <c r="F3319" s="265">
        <v>300</v>
      </c>
      <c r="G3319" s="265"/>
      <c r="H3319" s="265">
        <f t="shared" si="139"/>
        <v>300</v>
      </c>
      <c r="I3319" s="175">
        <f>SUM(H3257:H3321)</f>
        <v>87119.83</v>
      </c>
    </row>
    <row r="3320" spans="2:9" x14ac:dyDescent="0.2">
      <c r="B3320" s="262" t="s">
        <v>1879</v>
      </c>
      <c r="C3320" s="263">
        <v>43208</v>
      </c>
      <c r="D3320" s="264" t="s">
        <v>5222</v>
      </c>
      <c r="E3320" s="264" t="s">
        <v>5208</v>
      </c>
      <c r="F3320" s="265">
        <v>300</v>
      </c>
      <c r="G3320" s="265"/>
      <c r="H3320" s="265">
        <f t="shared" si="139"/>
        <v>300</v>
      </c>
    </row>
    <row r="3321" spans="2:9" x14ac:dyDescent="0.2">
      <c r="B3321" s="262" t="s">
        <v>1879</v>
      </c>
      <c r="C3321" s="263">
        <v>43209</v>
      </c>
      <c r="D3321" s="264" t="s">
        <v>3565</v>
      </c>
      <c r="E3321" s="264" t="s">
        <v>5208</v>
      </c>
      <c r="F3321" s="265">
        <v>400</v>
      </c>
      <c r="G3321" s="265"/>
      <c r="H3321" s="265">
        <f t="shared" si="139"/>
        <v>400</v>
      </c>
    </row>
    <row r="3322" spans="2:9" x14ac:dyDescent="0.2">
      <c r="B3322" s="262" t="s">
        <v>1884</v>
      </c>
      <c r="C3322" s="263">
        <v>43209</v>
      </c>
      <c r="D3322" s="264" t="s">
        <v>5033</v>
      </c>
      <c r="E3322" s="264" t="s">
        <v>5105</v>
      </c>
      <c r="F3322" s="265">
        <v>300</v>
      </c>
      <c r="G3322" s="265"/>
      <c r="H3322" s="265">
        <f t="shared" si="139"/>
        <v>300</v>
      </c>
    </row>
    <row r="3323" spans="2:9" x14ac:dyDescent="0.2">
      <c r="B3323" s="262" t="s">
        <v>1805</v>
      </c>
      <c r="C3323" s="263">
        <v>43210</v>
      </c>
      <c r="D3323" s="264" t="s">
        <v>3565</v>
      </c>
      <c r="E3323" s="264" t="s">
        <v>5223</v>
      </c>
      <c r="F3323" s="265">
        <v>1250</v>
      </c>
      <c r="G3323" s="265"/>
      <c r="H3323" s="265">
        <f t="shared" si="139"/>
        <v>1250</v>
      </c>
    </row>
    <row r="3324" spans="2:9" x14ac:dyDescent="0.2">
      <c r="B3324" s="262" t="s">
        <v>1864</v>
      </c>
      <c r="C3324" s="263">
        <v>43212</v>
      </c>
      <c r="D3324" s="264" t="s">
        <v>2535</v>
      </c>
      <c r="E3324" s="264" t="s">
        <v>3023</v>
      </c>
      <c r="F3324" s="265">
        <v>46.5</v>
      </c>
      <c r="G3324" s="265"/>
      <c r="H3324" s="265">
        <f t="shared" si="139"/>
        <v>46.5</v>
      </c>
    </row>
    <row r="3325" spans="2:9" x14ac:dyDescent="0.2">
      <c r="B3325" s="262" t="s">
        <v>1864</v>
      </c>
      <c r="C3325" s="263">
        <v>43212</v>
      </c>
      <c r="D3325" s="264" t="s">
        <v>2535</v>
      </c>
      <c r="E3325" s="264" t="s">
        <v>3023</v>
      </c>
      <c r="F3325" s="265">
        <v>56.5</v>
      </c>
      <c r="G3325" s="265"/>
      <c r="H3325" s="265">
        <f t="shared" si="139"/>
        <v>56.5</v>
      </c>
    </row>
    <row r="3326" spans="2:9" x14ac:dyDescent="0.2">
      <c r="B3326" s="262" t="s">
        <v>1881</v>
      </c>
      <c r="C3326" s="263">
        <v>43212</v>
      </c>
      <c r="D3326" s="264" t="s">
        <v>2250</v>
      </c>
      <c r="E3326" s="264" t="s">
        <v>2026</v>
      </c>
      <c r="F3326" s="265">
        <v>120</v>
      </c>
      <c r="G3326" s="265"/>
      <c r="H3326" s="265">
        <f t="shared" si="139"/>
        <v>120</v>
      </c>
    </row>
    <row r="3327" spans="2:9" x14ac:dyDescent="0.2">
      <c r="B3327" s="262" t="s">
        <v>1863</v>
      </c>
      <c r="C3327" s="263">
        <v>43212</v>
      </c>
      <c r="D3327" s="264" t="s">
        <v>4750</v>
      </c>
      <c r="E3327" s="264" t="s">
        <v>5000</v>
      </c>
      <c r="F3327" s="265">
        <v>520</v>
      </c>
      <c r="G3327" s="265"/>
      <c r="H3327" s="265">
        <f t="shared" si="139"/>
        <v>520</v>
      </c>
    </row>
    <row r="3328" spans="2:9" x14ac:dyDescent="0.2">
      <c r="B3328" s="262" t="s">
        <v>1864</v>
      </c>
      <c r="C3328" s="263">
        <v>43213</v>
      </c>
      <c r="D3328" s="264" t="s">
        <v>3565</v>
      </c>
      <c r="E3328" s="264" t="s">
        <v>5224</v>
      </c>
      <c r="F3328" s="265">
        <v>400</v>
      </c>
      <c r="G3328" s="265"/>
      <c r="H3328" s="265">
        <f t="shared" si="139"/>
        <v>400</v>
      </c>
    </row>
    <row r="3329" spans="2:8" x14ac:dyDescent="0.2">
      <c r="B3329" s="262" t="s">
        <v>1866</v>
      </c>
      <c r="C3329" s="263">
        <v>43213</v>
      </c>
      <c r="D3329" s="264" t="s">
        <v>1890</v>
      </c>
      <c r="E3329" s="264" t="s">
        <v>5100</v>
      </c>
      <c r="F3329" s="265">
        <v>175</v>
      </c>
      <c r="G3329" s="265"/>
      <c r="H3329" s="265">
        <f t="shared" si="139"/>
        <v>175</v>
      </c>
    </row>
    <row r="3330" spans="2:8" x14ac:dyDescent="0.2">
      <c r="B3330" s="262" t="s">
        <v>1860</v>
      </c>
      <c r="C3330" s="263">
        <v>43214</v>
      </c>
      <c r="D3330" s="264" t="s">
        <v>5225</v>
      </c>
      <c r="E3330" s="264" t="s">
        <v>5226</v>
      </c>
      <c r="F3330" s="265">
        <v>516</v>
      </c>
      <c r="G3330" s="265"/>
      <c r="H3330" s="265">
        <f t="shared" ref="H3330:H3358" si="140">SUM(F3330:G3330)</f>
        <v>516</v>
      </c>
    </row>
    <row r="3331" spans="2:8" x14ac:dyDescent="0.2">
      <c r="B3331" s="262" t="s">
        <v>1884</v>
      </c>
      <c r="C3331" s="263">
        <v>43215</v>
      </c>
      <c r="D3331" s="264" t="s">
        <v>5227</v>
      </c>
      <c r="E3331" s="264" t="s">
        <v>5228</v>
      </c>
      <c r="F3331" s="265">
        <v>300</v>
      </c>
      <c r="G3331" s="265"/>
      <c r="H3331" s="265">
        <f t="shared" si="140"/>
        <v>300</v>
      </c>
    </row>
    <row r="3332" spans="2:8" x14ac:dyDescent="0.2">
      <c r="B3332" s="262" t="s">
        <v>1863</v>
      </c>
      <c r="C3332" s="263">
        <v>43216</v>
      </c>
      <c r="D3332" s="264" t="s">
        <v>5229</v>
      </c>
      <c r="E3332" s="264" t="s">
        <v>5230</v>
      </c>
      <c r="F3332" s="265">
        <v>100</v>
      </c>
      <c r="G3332" s="265"/>
      <c r="H3332" s="265">
        <f t="shared" si="140"/>
        <v>100</v>
      </c>
    </row>
    <row r="3333" spans="2:8" x14ac:dyDescent="0.2">
      <c r="B3333" s="262" t="s">
        <v>1863</v>
      </c>
      <c r="C3333" s="263">
        <v>43216</v>
      </c>
      <c r="D3333" s="264" t="s">
        <v>4487</v>
      </c>
      <c r="E3333" s="264" t="s">
        <v>4807</v>
      </c>
      <c r="F3333" s="265">
        <v>90.06</v>
      </c>
      <c r="G3333" s="265"/>
      <c r="H3333" s="265">
        <f t="shared" si="140"/>
        <v>90.06</v>
      </c>
    </row>
    <row r="3334" spans="2:8" x14ac:dyDescent="0.2">
      <c r="B3334" s="262" t="s">
        <v>1805</v>
      </c>
      <c r="C3334" s="263">
        <v>43217</v>
      </c>
      <c r="D3334" s="264" t="s">
        <v>3565</v>
      </c>
      <c r="E3334" s="264" t="s">
        <v>5231</v>
      </c>
      <c r="F3334" s="265">
        <v>1250</v>
      </c>
      <c r="G3334" s="265"/>
      <c r="H3334" s="265">
        <f t="shared" si="140"/>
        <v>1250</v>
      </c>
    </row>
    <row r="3335" spans="2:8" x14ac:dyDescent="0.2">
      <c r="B3335" s="262" t="s">
        <v>1881</v>
      </c>
      <c r="C3335" s="263">
        <v>43219</v>
      </c>
      <c r="D3335" s="264" t="s">
        <v>2250</v>
      </c>
      <c r="E3335" s="264" t="s">
        <v>2026</v>
      </c>
      <c r="F3335" s="265">
        <v>120</v>
      </c>
      <c r="G3335" s="265"/>
      <c r="H3335" s="265">
        <f t="shared" si="140"/>
        <v>120</v>
      </c>
    </row>
    <row r="3336" spans="2:8" x14ac:dyDescent="0.2">
      <c r="B3336" s="262" t="s">
        <v>1863</v>
      </c>
      <c r="C3336" s="263">
        <v>43219</v>
      </c>
      <c r="D3336" s="264" t="s">
        <v>2250</v>
      </c>
      <c r="E3336" s="264" t="s">
        <v>3498</v>
      </c>
      <c r="F3336" s="265">
        <v>150</v>
      </c>
      <c r="G3336" s="265"/>
      <c r="H3336" s="265">
        <f t="shared" si="140"/>
        <v>150</v>
      </c>
    </row>
    <row r="3337" spans="2:8" x14ac:dyDescent="0.2">
      <c r="B3337" s="262" t="s">
        <v>1864</v>
      </c>
      <c r="C3337" s="263">
        <v>43219</v>
      </c>
      <c r="D3337" s="264" t="s">
        <v>2535</v>
      </c>
      <c r="E3337" s="264" t="s">
        <v>3023</v>
      </c>
      <c r="F3337" s="265">
        <v>45</v>
      </c>
      <c r="G3337" s="265"/>
      <c r="H3337" s="265">
        <f t="shared" si="140"/>
        <v>45</v>
      </c>
    </row>
    <row r="3338" spans="2:8" x14ac:dyDescent="0.2">
      <c r="B3338" s="262" t="s">
        <v>1864</v>
      </c>
      <c r="C3338" s="263">
        <v>43219</v>
      </c>
      <c r="D3338" s="264" t="s">
        <v>3125</v>
      </c>
      <c r="E3338" s="264" t="s">
        <v>5114</v>
      </c>
      <c r="F3338" s="265">
        <v>34.5</v>
      </c>
      <c r="G3338" s="265"/>
      <c r="H3338" s="265">
        <f t="shared" si="140"/>
        <v>34.5</v>
      </c>
    </row>
    <row r="3339" spans="2:8" x14ac:dyDescent="0.2">
      <c r="B3339" s="345" t="s">
        <v>1857</v>
      </c>
      <c r="C3339" s="263">
        <v>43219</v>
      </c>
      <c r="D3339" s="264" t="s">
        <v>5232</v>
      </c>
      <c r="E3339" s="264" t="s">
        <v>5233</v>
      </c>
      <c r="F3339" s="265">
        <v>450</v>
      </c>
      <c r="G3339" s="265"/>
      <c r="H3339" s="265">
        <f t="shared" si="140"/>
        <v>450</v>
      </c>
    </row>
    <row r="3340" spans="2:8" x14ac:dyDescent="0.2">
      <c r="B3340" s="262" t="s">
        <v>1864</v>
      </c>
      <c r="C3340" s="263">
        <v>43220</v>
      </c>
      <c r="D3340" s="264" t="s">
        <v>3565</v>
      </c>
      <c r="E3340" s="264" t="s">
        <v>5234</v>
      </c>
      <c r="F3340" s="265">
        <v>400</v>
      </c>
      <c r="G3340" s="265"/>
      <c r="H3340" s="265">
        <f t="shared" si="140"/>
        <v>400</v>
      </c>
    </row>
    <row r="3341" spans="2:8" x14ac:dyDescent="0.2">
      <c r="B3341" s="262" t="s">
        <v>1866</v>
      </c>
      <c r="C3341" s="263">
        <v>43220</v>
      </c>
      <c r="D3341" s="264" t="s">
        <v>1890</v>
      </c>
      <c r="E3341" s="264" t="s">
        <v>5150</v>
      </c>
      <c r="F3341" s="265">
        <v>210</v>
      </c>
      <c r="G3341" s="265"/>
      <c r="H3341" s="265">
        <f t="shared" si="140"/>
        <v>210</v>
      </c>
    </row>
    <row r="3342" spans="2:8" x14ac:dyDescent="0.2">
      <c r="B3342" s="262" t="s">
        <v>1881</v>
      </c>
      <c r="C3342" s="263">
        <v>43220</v>
      </c>
      <c r="D3342" s="264" t="s">
        <v>2250</v>
      </c>
      <c r="E3342" s="264" t="s">
        <v>5235</v>
      </c>
      <c r="F3342" s="265">
        <v>300</v>
      </c>
      <c r="G3342" s="265"/>
      <c r="H3342" s="265">
        <f t="shared" si="140"/>
        <v>300</v>
      </c>
    </row>
    <row r="3343" spans="2:8" x14ac:dyDescent="0.2">
      <c r="B3343" s="262" t="s">
        <v>1881</v>
      </c>
      <c r="C3343" s="263">
        <v>43220</v>
      </c>
      <c r="D3343" s="264" t="s">
        <v>1873</v>
      </c>
      <c r="E3343" s="264" t="s">
        <v>5236</v>
      </c>
      <c r="F3343" s="265">
        <v>550</v>
      </c>
      <c r="G3343" s="265"/>
      <c r="H3343" s="265">
        <f t="shared" si="140"/>
        <v>550</v>
      </c>
    </row>
    <row r="3344" spans="2:8" x14ac:dyDescent="0.2">
      <c r="B3344" s="262" t="s">
        <v>1884</v>
      </c>
      <c r="C3344" s="263">
        <v>43220</v>
      </c>
      <c r="D3344" s="264" t="s">
        <v>4493</v>
      </c>
      <c r="E3344" s="264" t="s">
        <v>5237</v>
      </c>
      <c r="F3344" s="265">
        <v>2000</v>
      </c>
      <c r="G3344" s="265"/>
      <c r="H3344" s="265">
        <f t="shared" si="140"/>
        <v>2000</v>
      </c>
    </row>
    <row r="3345" spans="2:9" x14ac:dyDescent="0.2">
      <c r="B3345" s="262" t="s">
        <v>1859</v>
      </c>
      <c r="C3345" s="263">
        <v>43220</v>
      </c>
      <c r="D3345" s="264" t="s">
        <v>4482</v>
      </c>
      <c r="E3345" s="264" t="s">
        <v>5238</v>
      </c>
      <c r="F3345" s="265">
        <v>4000</v>
      </c>
      <c r="G3345" s="265"/>
      <c r="H3345" s="265">
        <f t="shared" si="140"/>
        <v>4000</v>
      </c>
    </row>
    <row r="3346" spans="2:9" x14ac:dyDescent="0.2">
      <c r="B3346" s="262" t="s">
        <v>1577</v>
      </c>
      <c r="C3346" s="263">
        <v>43220</v>
      </c>
      <c r="D3346" s="264" t="s">
        <v>5030</v>
      </c>
      <c r="E3346" s="264" t="s">
        <v>5239</v>
      </c>
      <c r="F3346" s="265">
        <v>40000</v>
      </c>
      <c r="G3346" s="265"/>
      <c r="H3346" s="265">
        <f t="shared" si="140"/>
        <v>40000</v>
      </c>
      <c r="I3346" s="175">
        <f>SUM(H3257:H3346)</f>
        <v>140503.39000000001</v>
      </c>
    </row>
    <row r="3347" spans="2:9" x14ac:dyDescent="0.2">
      <c r="B3347" s="262" t="s">
        <v>1887</v>
      </c>
      <c r="C3347" s="263">
        <v>43196</v>
      </c>
      <c r="D3347" s="264" t="s">
        <v>1534</v>
      </c>
      <c r="E3347" s="264" t="s">
        <v>1536</v>
      </c>
      <c r="F3347" s="265">
        <v>-0.46</v>
      </c>
      <c r="G3347" s="265"/>
      <c r="H3347" s="265">
        <f t="shared" si="140"/>
        <v>-0.46</v>
      </c>
    </row>
    <row r="3348" spans="2:9" x14ac:dyDescent="0.2">
      <c r="B3348" s="262" t="s">
        <v>1790</v>
      </c>
      <c r="C3348" s="263">
        <v>43210</v>
      </c>
      <c r="D3348" s="361" t="s">
        <v>1909</v>
      </c>
      <c r="E3348" s="361" t="s">
        <v>5240</v>
      </c>
      <c r="F3348" s="362"/>
      <c r="G3348" s="362">
        <v>-1760</v>
      </c>
      <c r="H3348" s="265"/>
    </row>
    <row r="3349" spans="2:9" x14ac:dyDescent="0.2">
      <c r="B3349" s="262" t="s">
        <v>1887</v>
      </c>
      <c r="C3349" s="263">
        <v>43220</v>
      </c>
      <c r="D3349" s="361" t="s">
        <v>1597</v>
      </c>
      <c r="E3349" s="361" t="s">
        <v>2229</v>
      </c>
      <c r="F3349" s="265">
        <v>18</v>
      </c>
      <c r="G3349" s="265"/>
      <c r="H3349" s="265">
        <f t="shared" ref="H3349:H3350" si="141">SUM(F3349:G3349)</f>
        <v>18</v>
      </c>
    </row>
    <row r="3350" spans="2:9" x14ac:dyDescent="0.2">
      <c r="B3350" s="262" t="s">
        <v>1790</v>
      </c>
      <c r="C3350" s="263">
        <v>43220</v>
      </c>
      <c r="D3350" s="361" t="s">
        <v>1597</v>
      </c>
      <c r="E3350" s="361" t="s">
        <v>2230</v>
      </c>
      <c r="F3350" s="265"/>
      <c r="G3350" s="265">
        <v>2.88</v>
      </c>
      <c r="H3350" s="265">
        <f t="shared" si="141"/>
        <v>2.88</v>
      </c>
    </row>
    <row r="3351" spans="2:9" x14ac:dyDescent="0.2">
      <c r="B3351" s="262"/>
      <c r="C3351" s="263"/>
      <c r="D3351" s="264"/>
      <c r="E3351" s="264"/>
      <c r="F3351" s="265"/>
      <c r="G3351" s="265"/>
      <c r="H3351" s="265">
        <f t="shared" si="140"/>
        <v>0</v>
      </c>
    </row>
    <row r="3352" spans="2:9" x14ac:dyDescent="0.2">
      <c r="B3352" s="262"/>
      <c r="C3352" s="263"/>
      <c r="D3352" s="264"/>
      <c r="E3352" s="264"/>
      <c r="F3352" s="265"/>
      <c r="G3352" s="265"/>
      <c r="H3352" s="265">
        <f t="shared" si="140"/>
        <v>0</v>
      </c>
    </row>
    <row r="3353" spans="2:9" ht="18" customHeight="1" x14ac:dyDescent="0.2">
      <c r="B3353" s="255" t="s">
        <v>1850</v>
      </c>
      <c r="C3353" s="255" t="s">
        <v>1851</v>
      </c>
      <c r="D3353" s="256" t="s">
        <v>1852</v>
      </c>
      <c r="E3353" s="256" t="s">
        <v>1853</v>
      </c>
      <c r="F3353" s="257" t="s">
        <v>1854</v>
      </c>
      <c r="G3353" s="257" t="s">
        <v>1855</v>
      </c>
      <c r="H3353" s="257" t="s">
        <v>1856</v>
      </c>
    </row>
    <row r="3354" spans="2:9" x14ac:dyDescent="0.2">
      <c r="B3354" s="341" t="s">
        <v>1884</v>
      </c>
      <c r="C3354" s="263">
        <v>43221</v>
      </c>
      <c r="D3354" s="264" t="s">
        <v>5033</v>
      </c>
      <c r="E3354" s="264" t="s">
        <v>5264</v>
      </c>
      <c r="F3354" s="265">
        <v>300</v>
      </c>
      <c r="G3354" s="265"/>
      <c r="H3354" s="265">
        <f t="shared" si="140"/>
        <v>300</v>
      </c>
    </row>
    <row r="3355" spans="2:9" x14ac:dyDescent="0.2">
      <c r="B3355" s="262" t="s">
        <v>1863</v>
      </c>
      <c r="C3355" s="263">
        <v>43222</v>
      </c>
      <c r="D3355" s="264" t="s">
        <v>4750</v>
      </c>
      <c r="E3355" s="264" t="s">
        <v>4991</v>
      </c>
      <c r="F3355" s="265">
        <v>350</v>
      </c>
      <c r="G3355" s="265"/>
      <c r="H3355" s="265">
        <f t="shared" si="140"/>
        <v>350</v>
      </c>
    </row>
    <row r="3356" spans="2:9" x14ac:dyDescent="0.2">
      <c r="B3356" s="262" t="s">
        <v>1863</v>
      </c>
      <c r="C3356" s="263">
        <v>43222</v>
      </c>
      <c r="D3356" s="264" t="s">
        <v>5265</v>
      </c>
      <c r="E3356" s="264" t="s">
        <v>5230</v>
      </c>
      <c r="F3356" s="265">
        <v>150</v>
      </c>
      <c r="G3356" s="265"/>
      <c r="H3356" s="265">
        <f t="shared" si="140"/>
        <v>150</v>
      </c>
    </row>
    <row r="3357" spans="2:9" x14ac:dyDescent="0.2">
      <c r="B3357" s="345" t="s">
        <v>1870</v>
      </c>
      <c r="C3357" s="263">
        <v>43223</v>
      </c>
      <c r="D3357" s="264" t="s">
        <v>5013</v>
      </c>
      <c r="E3357" s="264" t="s">
        <v>5266</v>
      </c>
      <c r="F3357" s="265">
        <v>3000</v>
      </c>
      <c r="G3357" s="265"/>
      <c r="H3357" s="265">
        <f t="shared" si="140"/>
        <v>3000</v>
      </c>
    </row>
    <row r="3358" spans="2:9" x14ac:dyDescent="0.2">
      <c r="B3358" s="262" t="s">
        <v>1870</v>
      </c>
      <c r="C3358" s="263">
        <v>43223</v>
      </c>
      <c r="D3358" s="264" t="s">
        <v>5013</v>
      </c>
      <c r="E3358" s="264" t="s">
        <v>5267</v>
      </c>
      <c r="F3358" s="265">
        <v>300</v>
      </c>
      <c r="G3358" s="265"/>
      <c r="H3358" s="265">
        <f t="shared" si="140"/>
        <v>300</v>
      </c>
    </row>
    <row r="3359" spans="2:9" x14ac:dyDescent="0.2">
      <c r="B3359" s="262" t="s">
        <v>1884</v>
      </c>
      <c r="C3359" s="263">
        <v>43224</v>
      </c>
      <c r="D3359" s="264" t="s">
        <v>5005</v>
      </c>
      <c r="E3359" s="264" t="s">
        <v>5264</v>
      </c>
      <c r="F3359" s="265">
        <v>300</v>
      </c>
      <c r="G3359" s="265"/>
      <c r="H3359" s="265">
        <f t="shared" ref="H3359:H3422" si="142">SUM(F3359:G3359)</f>
        <v>300</v>
      </c>
    </row>
    <row r="3360" spans="2:9" x14ac:dyDescent="0.2">
      <c r="B3360" s="262" t="s">
        <v>1863</v>
      </c>
      <c r="C3360" s="263">
        <v>43224</v>
      </c>
      <c r="D3360" s="264" t="s">
        <v>4750</v>
      </c>
      <c r="E3360" s="264" t="s">
        <v>4991</v>
      </c>
      <c r="F3360" s="265">
        <v>520</v>
      </c>
      <c r="G3360" s="265"/>
      <c r="H3360" s="265">
        <f t="shared" si="142"/>
        <v>520</v>
      </c>
    </row>
    <row r="3361" spans="2:8" x14ac:dyDescent="0.2">
      <c r="B3361" s="262" t="s">
        <v>1884</v>
      </c>
      <c r="C3361" s="263">
        <v>43224</v>
      </c>
      <c r="D3361" s="264" t="s">
        <v>5268</v>
      </c>
      <c r="E3361" s="264" t="s">
        <v>4403</v>
      </c>
      <c r="F3361" s="265">
        <v>250</v>
      </c>
      <c r="G3361" s="265"/>
      <c r="H3361" s="265">
        <f t="shared" si="142"/>
        <v>250</v>
      </c>
    </row>
    <row r="3362" spans="2:8" x14ac:dyDescent="0.2">
      <c r="B3362" s="262" t="s">
        <v>1805</v>
      </c>
      <c r="C3362" s="263">
        <v>43224</v>
      </c>
      <c r="D3362" s="264" t="s">
        <v>3565</v>
      </c>
      <c r="E3362" s="264" t="s">
        <v>5269</v>
      </c>
      <c r="F3362" s="265">
        <v>1250</v>
      </c>
      <c r="G3362" s="265"/>
      <c r="H3362" s="265">
        <f t="shared" si="142"/>
        <v>1250</v>
      </c>
    </row>
    <row r="3363" spans="2:8" x14ac:dyDescent="0.2">
      <c r="B3363" s="262" t="s">
        <v>1862</v>
      </c>
      <c r="C3363" s="263">
        <v>43224</v>
      </c>
      <c r="D3363" s="264" t="s">
        <v>5013</v>
      </c>
      <c r="E3363" s="264" t="s">
        <v>5270</v>
      </c>
      <c r="F3363" s="265">
        <v>2550</v>
      </c>
      <c r="G3363" s="265"/>
      <c r="H3363" s="265">
        <f t="shared" si="142"/>
        <v>2550</v>
      </c>
    </row>
    <row r="3364" spans="2:8" x14ac:dyDescent="0.2">
      <c r="B3364" s="262" t="s">
        <v>1870</v>
      </c>
      <c r="C3364" s="263">
        <v>43224</v>
      </c>
      <c r="D3364" s="264" t="s">
        <v>5013</v>
      </c>
      <c r="E3364" s="264" t="s">
        <v>5271</v>
      </c>
      <c r="F3364" s="265">
        <v>300</v>
      </c>
      <c r="G3364" s="265"/>
      <c r="H3364" s="265">
        <f t="shared" si="142"/>
        <v>300</v>
      </c>
    </row>
    <row r="3365" spans="2:8" x14ac:dyDescent="0.2">
      <c r="B3365" s="262" t="s">
        <v>1862</v>
      </c>
      <c r="C3365" s="263">
        <v>43225</v>
      </c>
      <c r="D3365" s="264" t="s">
        <v>5013</v>
      </c>
      <c r="E3365" s="264" t="s">
        <v>5272</v>
      </c>
      <c r="F3365" s="265">
        <v>200</v>
      </c>
      <c r="G3365" s="265"/>
      <c r="H3365" s="265">
        <f t="shared" si="142"/>
        <v>200</v>
      </c>
    </row>
    <row r="3366" spans="2:8" x14ac:dyDescent="0.2">
      <c r="B3366" s="262" t="s">
        <v>1870</v>
      </c>
      <c r="C3366" s="263">
        <v>43225</v>
      </c>
      <c r="D3366" s="264" t="s">
        <v>5013</v>
      </c>
      <c r="E3366" s="264" t="s">
        <v>5273</v>
      </c>
      <c r="F3366" s="265">
        <v>300</v>
      </c>
      <c r="G3366" s="265"/>
      <c r="H3366" s="265">
        <f t="shared" si="142"/>
        <v>300</v>
      </c>
    </row>
    <row r="3367" spans="2:8" x14ac:dyDescent="0.2">
      <c r="B3367" s="262" t="s">
        <v>1884</v>
      </c>
      <c r="C3367" s="263">
        <v>43226</v>
      </c>
      <c r="D3367" s="264" t="s">
        <v>5005</v>
      </c>
      <c r="E3367" s="264" t="s">
        <v>5189</v>
      </c>
      <c r="F3367" s="265">
        <v>300</v>
      </c>
      <c r="G3367" s="265"/>
      <c r="H3367" s="265">
        <f t="shared" si="142"/>
        <v>300</v>
      </c>
    </row>
    <row r="3368" spans="2:8" x14ac:dyDescent="0.2">
      <c r="B3368" s="262" t="s">
        <v>1864</v>
      </c>
      <c r="C3368" s="263">
        <v>43226</v>
      </c>
      <c r="D3368" s="264" t="s">
        <v>2535</v>
      </c>
      <c r="E3368" s="264" t="s">
        <v>3023</v>
      </c>
      <c r="F3368" s="265">
        <v>86.5</v>
      </c>
      <c r="G3368" s="265"/>
      <c r="H3368" s="265">
        <f t="shared" si="142"/>
        <v>86.5</v>
      </c>
    </row>
    <row r="3369" spans="2:8" x14ac:dyDescent="0.2">
      <c r="B3369" s="262" t="s">
        <v>1864</v>
      </c>
      <c r="C3369" s="263">
        <v>43226</v>
      </c>
      <c r="D3369" s="264" t="s">
        <v>2535</v>
      </c>
      <c r="E3369" s="264" t="s">
        <v>3023</v>
      </c>
      <c r="F3369" s="265">
        <v>41</v>
      </c>
      <c r="G3369" s="265"/>
      <c r="H3369" s="265">
        <f t="shared" si="142"/>
        <v>41</v>
      </c>
    </row>
    <row r="3370" spans="2:8" x14ac:dyDescent="0.2">
      <c r="B3370" s="377" t="s">
        <v>1881</v>
      </c>
      <c r="C3370" s="263">
        <v>43226</v>
      </c>
      <c r="D3370" s="264" t="s">
        <v>2250</v>
      </c>
      <c r="E3370" s="264" t="s">
        <v>4693</v>
      </c>
      <c r="F3370" s="265">
        <v>120</v>
      </c>
      <c r="G3370" s="265"/>
      <c r="H3370" s="265">
        <f t="shared" si="142"/>
        <v>120</v>
      </c>
    </row>
    <row r="3371" spans="2:8" x14ac:dyDescent="0.2">
      <c r="B3371" s="262" t="s">
        <v>1863</v>
      </c>
      <c r="C3371" s="263">
        <v>43226</v>
      </c>
      <c r="D3371" s="264" t="s">
        <v>2250</v>
      </c>
      <c r="E3371" s="264" t="s">
        <v>3498</v>
      </c>
      <c r="F3371" s="265">
        <v>150</v>
      </c>
      <c r="G3371" s="265"/>
      <c r="H3371" s="265">
        <f t="shared" si="142"/>
        <v>150</v>
      </c>
    </row>
    <row r="3372" spans="2:8" x14ac:dyDescent="0.2">
      <c r="B3372" s="262" t="s">
        <v>1864</v>
      </c>
      <c r="C3372" s="263">
        <v>43227</v>
      </c>
      <c r="D3372" s="264" t="s">
        <v>3565</v>
      </c>
      <c r="E3372" s="264" t="s">
        <v>5274</v>
      </c>
      <c r="F3372" s="265">
        <v>400</v>
      </c>
      <c r="G3372" s="265"/>
      <c r="H3372" s="265">
        <f t="shared" si="142"/>
        <v>400</v>
      </c>
    </row>
    <row r="3373" spans="2:8" x14ac:dyDescent="0.2">
      <c r="B3373" s="262" t="s">
        <v>1866</v>
      </c>
      <c r="C3373" s="263">
        <v>43227</v>
      </c>
      <c r="D3373" s="264" t="s">
        <v>1890</v>
      </c>
      <c r="E3373" s="264" t="s">
        <v>5100</v>
      </c>
      <c r="F3373" s="265">
        <v>175</v>
      </c>
      <c r="G3373" s="265"/>
      <c r="H3373" s="265">
        <f t="shared" si="142"/>
        <v>175</v>
      </c>
    </row>
    <row r="3374" spans="2:8" x14ac:dyDescent="0.2">
      <c r="B3374" s="262" t="s">
        <v>1860</v>
      </c>
      <c r="C3374" s="263">
        <v>43228</v>
      </c>
      <c r="D3374" s="264" t="s">
        <v>1891</v>
      </c>
      <c r="E3374" s="264" t="s">
        <v>5275</v>
      </c>
      <c r="F3374" s="265">
        <v>1085.4000000000001</v>
      </c>
      <c r="G3374" s="265"/>
      <c r="H3374" s="265">
        <f t="shared" si="142"/>
        <v>1085.4000000000001</v>
      </c>
    </row>
    <row r="3375" spans="2:8" x14ac:dyDescent="0.2">
      <c r="B3375" s="262" t="s">
        <v>1860</v>
      </c>
      <c r="C3375" s="263">
        <v>43228</v>
      </c>
      <c r="D3375" s="264" t="s">
        <v>1925</v>
      </c>
      <c r="E3375" s="264" t="s">
        <v>4736</v>
      </c>
      <c r="F3375" s="265">
        <v>5</v>
      </c>
      <c r="G3375" s="265"/>
      <c r="H3375" s="265">
        <f t="shared" si="142"/>
        <v>5</v>
      </c>
    </row>
    <row r="3376" spans="2:8" x14ac:dyDescent="0.2">
      <c r="B3376" s="262" t="s">
        <v>1863</v>
      </c>
      <c r="C3376" s="263">
        <v>43229</v>
      </c>
      <c r="D3376" s="264" t="s">
        <v>5198</v>
      </c>
      <c r="E3376" s="264" t="s">
        <v>5276</v>
      </c>
      <c r="F3376" s="265">
        <v>211.55</v>
      </c>
      <c r="G3376" s="265"/>
      <c r="H3376" s="265">
        <f t="shared" si="142"/>
        <v>211.55</v>
      </c>
    </row>
    <row r="3377" spans="2:8" x14ac:dyDescent="0.2">
      <c r="B3377" s="262" t="s">
        <v>1863</v>
      </c>
      <c r="C3377" s="263">
        <v>43229</v>
      </c>
      <c r="D3377" s="264" t="s">
        <v>3125</v>
      </c>
      <c r="E3377" s="264" t="s">
        <v>5277</v>
      </c>
      <c r="F3377" s="265">
        <v>114</v>
      </c>
      <c r="G3377" s="265"/>
      <c r="H3377" s="265">
        <f t="shared" si="142"/>
        <v>114</v>
      </c>
    </row>
    <row r="3378" spans="2:8" x14ac:dyDescent="0.2">
      <c r="B3378" s="262" t="s">
        <v>1821</v>
      </c>
      <c r="C3378" s="263">
        <v>43229</v>
      </c>
      <c r="D3378" s="264" t="s">
        <v>5102</v>
      </c>
      <c r="E3378" s="264" t="s">
        <v>5278</v>
      </c>
      <c r="F3378" s="265">
        <v>3118.5</v>
      </c>
      <c r="G3378" s="265"/>
      <c r="H3378" s="265">
        <f t="shared" si="142"/>
        <v>3118.5</v>
      </c>
    </row>
    <row r="3379" spans="2:8" x14ac:dyDescent="0.2">
      <c r="B3379" s="345" t="s">
        <v>1875</v>
      </c>
      <c r="C3379" s="263">
        <v>43230</v>
      </c>
      <c r="D3379" s="264" t="s">
        <v>1893</v>
      </c>
      <c r="E3379" s="264" t="s">
        <v>1942</v>
      </c>
      <c r="F3379" s="265">
        <v>470.69</v>
      </c>
      <c r="G3379" s="265"/>
      <c r="H3379" s="265">
        <f t="shared" si="142"/>
        <v>470.69</v>
      </c>
    </row>
    <row r="3380" spans="2:8" x14ac:dyDescent="0.2">
      <c r="B3380" s="262" t="s">
        <v>1860</v>
      </c>
      <c r="C3380" s="263">
        <v>43230</v>
      </c>
      <c r="D3380" s="264" t="s">
        <v>1893</v>
      </c>
      <c r="E3380" s="264" t="s">
        <v>2991</v>
      </c>
      <c r="F3380" s="265">
        <v>296.01</v>
      </c>
      <c r="G3380" s="265"/>
      <c r="H3380" s="265">
        <f t="shared" si="142"/>
        <v>296.01</v>
      </c>
    </row>
    <row r="3381" spans="2:8" x14ac:dyDescent="0.2">
      <c r="B3381" s="262" t="s">
        <v>1863</v>
      </c>
      <c r="C3381" s="263">
        <v>43230</v>
      </c>
      <c r="D3381" s="264" t="s">
        <v>1893</v>
      </c>
      <c r="E3381" s="264" t="s">
        <v>5279</v>
      </c>
      <c r="F3381" s="265">
        <v>474.5</v>
      </c>
      <c r="G3381" s="265"/>
      <c r="H3381" s="265">
        <f t="shared" si="142"/>
        <v>474.5</v>
      </c>
    </row>
    <row r="3382" spans="2:8" x14ac:dyDescent="0.2">
      <c r="B3382" s="262" t="s">
        <v>1863</v>
      </c>
      <c r="C3382" s="263">
        <v>43230</v>
      </c>
      <c r="D3382" s="264" t="s">
        <v>1893</v>
      </c>
      <c r="E3382" s="264" t="s">
        <v>5280</v>
      </c>
      <c r="F3382" s="265">
        <v>367</v>
      </c>
      <c r="G3382" s="265"/>
      <c r="H3382" s="265">
        <f t="shared" si="142"/>
        <v>367</v>
      </c>
    </row>
    <row r="3383" spans="2:8" x14ac:dyDescent="0.2">
      <c r="B3383" s="262" t="s">
        <v>1805</v>
      </c>
      <c r="C3383" s="263">
        <v>43231</v>
      </c>
      <c r="D3383" s="264" t="s">
        <v>3565</v>
      </c>
      <c r="E3383" s="264" t="s">
        <v>5281</v>
      </c>
      <c r="F3383" s="265">
        <v>1250</v>
      </c>
      <c r="G3383" s="265"/>
      <c r="H3383" s="265">
        <f t="shared" si="142"/>
        <v>1250</v>
      </c>
    </row>
    <row r="3384" spans="2:8" x14ac:dyDescent="0.2">
      <c r="B3384" s="262" t="s">
        <v>1884</v>
      </c>
      <c r="C3384" s="263">
        <v>43231</v>
      </c>
      <c r="D3384" s="264" t="s">
        <v>5005</v>
      </c>
      <c r="E3384" s="264" t="s">
        <v>5228</v>
      </c>
      <c r="F3384" s="265">
        <v>300</v>
      </c>
      <c r="G3384" s="265"/>
      <c r="H3384" s="265">
        <f t="shared" si="142"/>
        <v>300</v>
      </c>
    </row>
    <row r="3385" spans="2:8" x14ac:dyDescent="0.2">
      <c r="B3385" s="262" t="s">
        <v>1862</v>
      </c>
      <c r="C3385" s="263">
        <v>43232</v>
      </c>
      <c r="D3385" s="264" t="s">
        <v>5282</v>
      </c>
      <c r="E3385" s="264" t="s">
        <v>5283</v>
      </c>
      <c r="F3385" s="265">
        <v>1360</v>
      </c>
      <c r="G3385" s="265"/>
      <c r="H3385" s="265">
        <f t="shared" si="142"/>
        <v>1360</v>
      </c>
    </row>
    <row r="3386" spans="2:8" x14ac:dyDescent="0.2">
      <c r="B3386" s="262" t="s">
        <v>1881</v>
      </c>
      <c r="C3386" s="263">
        <v>43233</v>
      </c>
      <c r="D3386" s="264" t="s">
        <v>2250</v>
      </c>
      <c r="E3386" s="264" t="s">
        <v>2026</v>
      </c>
      <c r="F3386" s="265">
        <v>120</v>
      </c>
      <c r="G3386" s="265"/>
      <c r="H3386" s="265">
        <f t="shared" si="142"/>
        <v>120</v>
      </c>
    </row>
    <row r="3387" spans="2:8" x14ac:dyDescent="0.2">
      <c r="B3387" s="262" t="s">
        <v>1863</v>
      </c>
      <c r="C3387" s="263">
        <v>43233</v>
      </c>
      <c r="D3387" s="264" t="s">
        <v>2250</v>
      </c>
      <c r="E3387" s="264" t="s">
        <v>3498</v>
      </c>
      <c r="F3387" s="265">
        <v>150</v>
      </c>
      <c r="G3387" s="265"/>
      <c r="H3387" s="265">
        <f t="shared" si="142"/>
        <v>150</v>
      </c>
    </row>
    <row r="3388" spans="2:8" x14ac:dyDescent="0.2">
      <c r="B3388" s="262" t="s">
        <v>1864</v>
      </c>
      <c r="C3388" s="263">
        <v>43233</v>
      </c>
      <c r="D3388" s="264" t="s">
        <v>2535</v>
      </c>
      <c r="E3388" s="264" t="s">
        <v>3023</v>
      </c>
      <c r="F3388" s="265">
        <v>51</v>
      </c>
      <c r="G3388" s="265"/>
      <c r="H3388" s="265">
        <f t="shared" si="142"/>
        <v>51</v>
      </c>
    </row>
    <row r="3389" spans="2:8" x14ac:dyDescent="0.2">
      <c r="B3389" s="262" t="s">
        <v>1864</v>
      </c>
      <c r="C3389" s="263">
        <v>43233</v>
      </c>
      <c r="D3389" s="264" t="s">
        <v>2535</v>
      </c>
      <c r="E3389" s="264" t="s">
        <v>3023</v>
      </c>
      <c r="F3389" s="265">
        <v>20</v>
      </c>
      <c r="G3389" s="265"/>
      <c r="H3389" s="265">
        <f t="shared" si="142"/>
        <v>20</v>
      </c>
    </row>
    <row r="3390" spans="2:8" x14ac:dyDescent="0.2">
      <c r="B3390" s="262" t="s">
        <v>1864</v>
      </c>
      <c r="C3390" s="263">
        <v>43233</v>
      </c>
      <c r="D3390" s="264" t="s">
        <v>4954</v>
      </c>
      <c r="E3390" s="264" t="s">
        <v>2536</v>
      </c>
      <c r="F3390" s="265">
        <v>114</v>
      </c>
      <c r="G3390" s="265"/>
      <c r="H3390" s="265">
        <f t="shared" si="142"/>
        <v>114</v>
      </c>
    </row>
    <row r="3391" spans="2:8" x14ac:dyDescent="0.2">
      <c r="B3391" s="262" t="s">
        <v>1867</v>
      </c>
      <c r="C3391" s="263">
        <v>43234</v>
      </c>
      <c r="D3391" s="264" t="s">
        <v>1894</v>
      </c>
      <c r="E3391" s="264" t="s">
        <v>5284</v>
      </c>
      <c r="F3391" s="265">
        <v>804</v>
      </c>
      <c r="G3391" s="265"/>
      <c r="H3391" s="265">
        <f t="shared" si="142"/>
        <v>804</v>
      </c>
    </row>
    <row r="3392" spans="2:8" x14ac:dyDescent="0.2">
      <c r="B3392" s="262" t="s">
        <v>1866</v>
      </c>
      <c r="C3392" s="263">
        <v>43234</v>
      </c>
      <c r="D3392" s="264" t="s">
        <v>1890</v>
      </c>
      <c r="E3392" s="264" t="s">
        <v>4375</v>
      </c>
      <c r="F3392" s="265">
        <v>175</v>
      </c>
      <c r="G3392" s="265"/>
      <c r="H3392" s="265">
        <f t="shared" si="142"/>
        <v>175</v>
      </c>
    </row>
    <row r="3393" spans="2:8" x14ac:dyDescent="0.2">
      <c r="B3393" s="262" t="s">
        <v>1884</v>
      </c>
      <c r="C3393" s="263">
        <v>43234</v>
      </c>
      <c r="D3393" s="264" t="s">
        <v>5033</v>
      </c>
      <c r="E3393" s="264" t="s">
        <v>5285</v>
      </c>
      <c r="F3393" s="265">
        <v>300</v>
      </c>
      <c r="G3393" s="265"/>
      <c r="H3393" s="265">
        <f t="shared" si="142"/>
        <v>300</v>
      </c>
    </row>
    <row r="3394" spans="2:8" x14ac:dyDescent="0.2">
      <c r="B3394" s="262" t="s">
        <v>1862</v>
      </c>
      <c r="C3394" s="263">
        <v>43234</v>
      </c>
      <c r="D3394" s="264" t="s">
        <v>1893</v>
      </c>
      <c r="E3394" s="264" t="s">
        <v>5286</v>
      </c>
      <c r="F3394" s="265">
        <v>192</v>
      </c>
      <c r="G3394" s="265"/>
      <c r="H3394" s="265">
        <f t="shared" si="142"/>
        <v>192</v>
      </c>
    </row>
    <row r="3395" spans="2:8" x14ac:dyDescent="0.2">
      <c r="B3395" s="262" t="s">
        <v>1862</v>
      </c>
      <c r="C3395" s="263">
        <v>43234</v>
      </c>
      <c r="D3395" s="264" t="s">
        <v>1925</v>
      </c>
      <c r="E3395" s="264" t="s">
        <v>5287</v>
      </c>
      <c r="F3395" s="265">
        <v>5</v>
      </c>
      <c r="G3395" s="265"/>
      <c r="H3395" s="265">
        <f t="shared" si="142"/>
        <v>5</v>
      </c>
    </row>
    <row r="3396" spans="2:8" x14ac:dyDescent="0.2">
      <c r="B3396" s="262" t="s">
        <v>1884</v>
      </c>
      <c r="C3396" s="263">
        <v>43234</v>
      </c>
      <c r="D3396" s="264" t="s">
        <v>1921</v>
      </c>
      <c r="E3396" s="264" t="s">
        <v>5288</v>
      </c>
      <c r="F3396" s="265">
        <v>28</v>
      </c>
      <c r="G3396" s="265"/>
      <c r="H3396" s="265">
        <f t="shared" si="142"/>
        <v>28</v>
      </c>
    </row>
    <row r="3397" spans="2:8" x14ac:dyDescent="0.2">
      <c r="B3397" s="262" t="s">
        <v>1884</v>
      </c>
      <c r="C3397" s="263">
        <v>43234</v>
      </c>
      <c r="D3397" s="264" t="s">
        <v>2535</v>
      </c>
      <c r="E3397" s="264" t="s">
        <v>5289</v>
      </c>
      <c r="F3397" s="265">
        <v>20</v>
      </c>
      <c r="G3397" s="265"/>
      <c r="H3397" s="265">
        <f t="shared" si="142"/>
        <v>20</v>
      </c>
    </row>
    <row r="3398" spans="2:8" x14ac:dyDescent="0.2">
      <c r="B3398" s="262" t="s">
        <v>1881</v>
      </c>
      <c r="C3398" s="263">
        <v>43235</v>
      </c>
      <c r="D3398" s="264" t="s">
        <v>2250</v>
      </c>
      <c r="E3398" s="264" t="s">
        <v>5290</v>
      </c>
      <c r="F3398" s="265">
        <v>350</v>
      </c>
      <c r="G3398" s="265"/>
      <c r="H3398" s="265">
        <f t="shared" si="142"/>
        <v>350</v>
      </c>
    </row>
    <row r="3399" spans="2:8" x14ac:dyDescent="0.2">
      <c r="B3399" s="262" t="s">
        <v>1881</v>
      </c>
      <c r="C3399" s="263">
        <v>43235</v>
      </c>
      <c r="D3399" s="264" t="s">
        <v>1873</v>
      </c>
      <c r="E3399" s="264" t="s">
        <v>5291</v>
      </c>
      <c r="F3399" s="265">
        <v>550</v>
      </c>
      <c r="G3399" s="265"/>
      <c r="H3399" s="265">
        <f t="shared" si="142"/>
        <v>550</v>
      </c>
    </row>
    <row r="3400" spans="2:8" x14ac:dyDescent="0.2">
      <c r="B3400" s="262" t="s">
        <v>1884</v>
      </c>
      <c r="C3400" s="263">
        <v>43235</v>
      </c>
      <c r="D3400" s="264" t="s">
        <v>4493</v>
      </c>
      <c r="E3400" s="264" t="s">
        <v>5292</v>
      </c>
      <c r="F3400" s="265">
        <v>2000</v>
      </c>
      <c r="G3400" s="265"/>
      <c r="H3400" s="265">
        <f t="shared" si="142"/>
        <v>2000</v>
      </c>
    </row>
    <row r="3401" spans="2:8" x14ac:dyDescent="0.2">
      <c r="B3401" s="262" t="s">
        <v>1859</v>
      </c>
      <c r="C3401" s="263">
        <v>43235</v>
      </c>
      <c r="D3401" s="264" t="s">
        <v>4482</v>
      </c>
      <c r="E3401" s="264" t="s">
        <v>5293</v>
      </c>
      <c r="F3401" s="265">
        <v>4000</v>
      </c>
      <c r="G3401" s="265"/>
      <c r="H3401" s="265">
        <f t="shared" si="142"/>
        <v>4000</v>
      </c>
    </row>
    <row r="3402" spans="2:8" x14ac:dyDescent="0.2">
      <c r="B3402" s="262" t="s">
        <v>1577</v>
      </c>
      <c r="C3402" s="263">
        <v>43235</v>
      </c>
      <c r="D3402" s="264" t="s">
        <v>5030</v>
      </c>
      <c r="E3402" s="264" t="s">
        <v>5294</v>
      </c>
      <c r="F3402" s="265">
        <v>40000</v>
      </c>
      <c r="G3402" s="265"/>
      <c r="H3402" s="265">
        <f t="shared" si="142"/>
        <v>40000</v>
      </c>
    </row>
    <row r="3403" spans="2:8" x14ac:dyDescent="0.2">
      <c r="B3403" s="262" t="s">
        <v>1884</v>
      </c>
      <c r="C3403" s="263">
        <v>43236</v>
      </c>
      <c r="D3403" s="264" t="s">
        <v>4623</v>
      </c>
      <c r="E3403" s="264" t="s">
        <v>5034</v>
      </c>
      <c r="F3403" s="265">
        <v>314</v>
      </c>
      <c r="G3403" s="265"/>
      <c r="H3403" s="265">
        <f t="shared" si="142"/>
        <v>314</v>
      </c>
    </row>
    <row r="3404" spans="2:8" x14ac:dyDescent="0.2">
      <c r="B3404" s="262" t="s">
        <v>1884</v>
      </c>
      <c r="C3404" s="263">
        <v>43236</v>
      </c>
      <c r="D3404" s="264" t="s">
        <v>4487</v>
      </c>
      <c r="E3404" s="264" t="s">
        <v>4366</v>
      </c>
      <c r="F3404" s="265">
        <v>200</v>
      </c>
      <c r="G3404" s="265"/>
      <c r="H3404" s="265">
        <f t="shared" si="142"/>
        <v>200</v>
      </c>
    </row>
    <row r="3405" spans="2:8" x14ac:dyDescent="0.2">
      <c r="B3405" s="262" t="s">
        <v>1884</v>
      </c>
      <c r="C3405" s="263">
        <v>43236</v>
      </c>
      <c r="D3405" s="264" t="s">
        <v>5295</v>
      </c>
      <c r="E3405" s="264" t="s">
        <v>5296</v>
      </c>
      <c r="F3405" s="265">
        <v>20</v>
      </c>
      <c r="G3405" s="265"/>
      <c r="H3405" s="265">
        <f t="shared" si="142"/>
        <v>20</v>
      </c>
    </row>
    <row r="3406" spans="2:8" x14ac:dyDescent="0.2">
      <c r="B3406" s="262" t="s">
        <v>1805</v>
      </c>
      <c r="C3406" s="263">
        <v>43238</v>
      </c>
      <c r="D3406" s="264" t="s">
        <v>3565</v>
      </c>
      <c r="E3406" s="264" t="s">
        <v>5297</v>
      </c>
      <c r="F3406" s="265">
        <v>1250</v>
      </c>
      <c r="G3406" s="265"/>
      <c r="H3406" s="265">
        <f t="shared" si="142"/>
        <v>1250</v>
      </c>
    </row>
    <row r="3407" spans="2:8" x14ac:dyDescent="0.2">
      <c r="B3407" s="262" t="s">
        <v>1863</v>
      </c>
      <c r="C3407" s="263">
        <v>43238</v>
      </c>
      <c r="D3407" s="264" t="s">
        <v>4750</v>
      </c>
      <c r="E3407" s="264" t="s">
        <v>5298</v>
      </c>
      <c r="F3407" s="265">
        <v>150</v>
      </c>
      <c r="G3407" s="265"/>
      <c r="H3407" s="265">
        <f t="shared" si="142"/>
        <v>150</v>
      </c>
    </row>
    <row r="3408" spans="2:8" x14ac:dyDescent="0.2">
      <c r="B3408" s="262" t="s">
        <v>1863</v>
      </c>
      <c r="C3408" s="263">
        <v>43238</v>
      </c>
      <c r="D3408" s="264" t="s">
        <v>5265</v>
      </c>
      <c r="E3408" s="264" t="s">
        <v>5299</v>
      </c>
      <c r="F3408" s="265">
        <v>150</v>
      </c>
      <c r="G3408" s="265"/>
      <c r="H3408" s="265">
        <f t="shared" si="142"/>
        <v>150</v>
      </c>
    </row>
    <row r="3409" spans="2:9" x14ac:dyDescent="0.2">
      <c r="B3409" s="262" t="s">
        <v>1862</v>
      </c>
      <c r="C3409" s="263">
        <v>43238</v>
      </c>
      <c r="D3409" s="264" t="s">
        <v>5013</v>
      </c>
      <c r="E3409" s="264" t="s">
        <v>5300</v>
      </c>
      <c r="F3409" s="265">
        <v>700</v>
      </c>
      <c r="G3409" s="265"/>
      <c r="H3409" s="265">
        <f t="shared" si="142"/>
        <v>700</v>
      </c>
    </row>
    <row r="3410" spans="2:9" x14ac:dyDescent="0.2">
      <c r="B3410" s="262" t="s">
        <v>1870</v>
      </c>
      <c r="C3410" s="263">
        <v>43238</v>
      </c>
      <c r="D3410" s="264" t="s">
        <v>5013</v>
      </c>
      <c r="E3410" s="264" t="s">
        <v>5301</v>
      </c>
      <c r="F3410" s="265">
        <v>300</v>
      </c>
      <c r="G3410" s="265"/>
      <c r="H3410" s="265">
        <f t="shared" si="142"/>
        <v>300</v>
      </c>
    </row>
    <row r="3411" spans="2:9" x14ac:dyDescent="0.2">
      <c r="B3411" s="262" t="s">
        <v>1821</v>
      </c>
      <c r="C3411" s="263">
        <v>43238</v>
      </c>
      <c r="D3411" s="264" t="s">
        <v>5013</v>
      </c>
      <c r="E3411" s="264" t="s">
        <v>5302</v>
      </c>
      <c r="F3411" s="265">
        <v>8000</v>
      </c>
      <c r="G3411" s="265"/>
      <c r="H3411" s="265">
        <f t="shared" si="142"/>
        <v>8000</v>
      </c>
    </row>
    <row r="3412" spans="2:9" x14ac:dyDescent="0.2">
      <c r="B3412" s="262" t="s">
        <v>1884</v>
      </c>
      <c r="C3412" s="263">
        <v>43239</v>
      </c>
      <c r="D3412" s="264" t="s">
        <v>5033</v>
      </c>
      <c r="E3412" s="264" t="s">
        <v>5285</v>
      </c>
      <c r="F3412" s="265">
        <v>300</v>
      </c>
      <c r="G3412" s="265"/>
      <c r="H3412" s="265">
        <f t="shared" si="142"/>
        <v>300</v>
      </c>
    </row>
    <row r="3413" spans="2:9" x14ac:dyDescent="0.2">
      <c r="B3413" s="262" t="s">
        <v>1870</v>
      </c>
      <c r="C3413" s="263">
        <v>43239</v>
      </c>
      <c r="D3413" s="264" t="s">
        <v>5303</v>
      </c>
      <c r="E3413" s="264" t="s">
        <v>5304</v>
      </c>
      <c r="F3413" s="265">
        <v>250</v>
      </c>
      <c r="G3413" s="265"/>
      <c r="H3413" s="265">
        <f t="shared" si="142"/>
        <v>250</v>
      </c>
    </row>
    <row r="3414" spans="2:9" x14ac:dyDescent="0.2">
      <c r="B3414" s="262" t="s">
        <v>1864</v>
      </c>
      <c r="C3414" s="263">
        <v>43240</v>
      </c>
      <c r="D3414" s="264" t="s">
        <v>2535</v>
      </c>
      <c r="E3414" s="264" t="s">
        <v>5305</v>
      </c>
      <c r="F3414" s="265">
        <v>150</v>
      </c>
      <c r="G3414" s="265"/>
      <c r="H3414" s="265">
        <f t="shared" si="142"/>
        <v>150</v>
      </c>
    </row>
    <row r="3415" spans="2:9" x14ac:dyDescent="0.2">
      <c r="B3415" s="262" t="s">
        <v>1881</v>
      </c>
      <c r="C3415" s="263">
        <v>43240</v>
      </c>
      <c r="D3415" s="264" t="s">
        <v>2250</v>
      </c>
      <c r="E3415" s="264" t="s">
        <v>2026</v>
      </c>
      <c r="F3415" s="265">
        <v>120</v>
      </c>
      <c r="G3415" s="265"/>
      <c r="H3415" s="265">
        <f t="shared" si="142"/>
        <v>120</v>
      </c>
    </row>
    <row r="3416" spans="2:9" x14ac:dyDescent="0.2">
      <c r="B3416" s="262" t="s">
        <v>1863</v>
      </c>
      <c r="C3416" s="263">
        <v>43240</v>
      </c>
      <c r="D3416" s="264" t="s">
        <v>2535</v>
      </c>
      <c r="E3416" s="264" t="s">
        <v>5306</v>
      </c>
      <c r="F3416" s="265">
        <v>200</v>
      </c>
      <c r="G3416" s="265"/>
      <c r="H3416" s="265">
        <f t="shared" si="142"/>
        <v>200</v>
      </c>
    </row>
    <row r="3417" spans="2:9" x14ac:dyDescent="0.2">
      <c r="B3417" s="262" t="s">
        <v>1864</v>
      </c>
      <c r="C3417" s="263">
        <v>43240</v>
      </c>
      <c r="D3417" s="264" t="s">
        <v>4655</v>
      </c>
      <c r="E3417" s="264" t="s">
        <v>5307</v>
      </c>
      <c r="F3417" s="265">
        <v>74</v>
      </c>
      <c r="G3417" s="265"/>
      <c r="H3417" s="265">
        <f t="shared" si="142"/>
        <v>74</v>
      </c>
    </row>
    <row r="3418" spans="2:9" x14ac:dyDescent="0.2">
      <c r="B3418" s="262" t="s">
        <v>1866</v>
      </c>
      <c r="C3418" s="263">
        <v>43241</v>
      </c>
      <c r="D3418" s="264" t="s">
        <v>1890</v>
      </c>
      <c r="E3418" s="264" t="s">
        <v>5090</v>
      </c>
      <c r="F3418" s="265">
        <v>210</v>
      </c>
      <c r="G3418" s="265"/>
      <c r="H3418" s="265">
        <f t="shared" si="142"/>
        <v>210</v>
      </c>
      <c r="I3418" s="175">
        <f>SUM(H3354:H3418)</f>
        <v>81362.149999999994</v>
      </c>
    </row>
    <row r="3419" spans="2:9" x14ac:dyDescent="0.2">
      <c r="B3419" s="262" t="s">
        <v>1790</v>
      </c>
      <c r="C3419" s="263">
        <v>43244</v>
      </c>
      <c r="D3419" s="264" t="s">
        <v>1909</v>
      </c>
      <c r="E3419" s="264" t="s">
        <v>5262</v>
      </c>
      <c r="F3419" s="265"/>
      <c r="G3419" s="265">
        <v>1760</v>
      </c>
      <c r="H3419" s="265">
        <f t="shared" si="142"/>
        <v>1760</v>
      </c>
    </row>
    <row r="3420" spans="2:9" x14ac:dyDescent="0.2">
      <c r="B3420" s="341" t="s">
        <v>1805</v>
      </c>
      <c r="C3420" s="263">
        <v>43244</v>
      </c>
      <c r="D3420" s="264" t="s">
        <v>1888</v>
      </c>
      <c r="E3420" s="264" t="s">
        <v>5263</v>
      </c>
      <c r="F3420" s="265">
        <v>1400</v>
      </c>
      <c r="G3420" s="265"/>
      <c r="H3420" s="265">
        <f t="shared" si="142"/>
        <v>1400</v>
      </c>
    </row>
    <row r="3421" spans="2:9" x14ac:dyDescent="0.2">
      <c r="B3421" s="262" t="s">
        <v>1805</v>
      </c>
      <c r="C3421" s="263">
        <v>43245</v>
      </c>
      <c r="D3421" s="264" t="s">
        <v>3565</v>
      </c>
      <c r="E3421" s="264" t="s">
        <v>5308</v>
      </c>
      <c r="F3421" s="265">
        <v>1250</v>
      </c>
      <c r="G3421" s="265"/>
      <c r="H3421" s="265">
        <f t="shared" si="142"/>
        <v>1250</v>
      </c>
    </row>
    <row r="3422" spans="2:9" x14ac:dyDescent="0.2">
      <c r="B3422" s="262" t="s">
        <v>1864</v>
      </c>
      <c r="C3422" s="263">
        <v>43246</v>
      </c>
      <c r="D3422" s="264" t="s">
        <v>2535</v>
      </c>
      <c r="E3422" s="264" t="s">
        <v>3023</v>
      </c>
      <c r="F3422" s="265">
        <v>87</v>
      </c>
      <c r="G3422" s="265"/>
      <c r="H3422" s="265">
        <f t="shared" si="142"/>
        <v>87</v>
      </c>
    </row>
    <row r="3423" spans="2:9" x14ac:dyDescent="0.2">
      <c r="B3423" s="262" t="s">
        <v>1884</v>
      </c>
      <c r="C3423" s="263">
        <v>43246</v>
      </c>
      <c r="D3423" s="264" t="s">
        <v>5033</v>
      </c>
      <c r="E3423" s="264" t="s">
        <v>5285</v>
      </c>
      <c r="F3423" s="265">
        <v>300</v>
      </c>
      <c r="G3423" s="265"/>
      <c r="H3423" s="265">
        <f t="shared" ref="H3423:H3491" si="143">SUM(F3423:G3423)</f>
        <v>300</v>
      </c>
    </row>
    <row r="3424" spans="2:9" x14ac:dyDescent="0.2">
      <c r="B3424" s="262" t="s">
        <v>1881</v>
      </c>
      <c r="C3424" s="263">
        <v>43247</v>
      </c>
      <c r="D3424" s="264" t="s">
        <v>2250</v>
      </c>
      <c r="E3424" s="264" t="s">
        <v>2026</v>
      </c>
      <c r="F3424" s="265">
        <v>120</v>
      </c>
      <c r="G3424" s="265"/>
      <c r="H3424" s="265">
        <f t="shared" si="143"/>
        <v>120</v>
      </c>
    </row>
    <row r="3425" spans="2:8" x14ac:dyDescent="0.2">
      <c r="B3425" s="262" t="s">
        <v>1863</v>
      </c>
      <c r="C3425" s="263">
        <v>43247</v>
      </c>
      <c r="D3425" s="264" t="s">
        <v>2250</v>
      </c>
      <c r="E3425" s="264" t="s">
        <v>3498</v>
      </c>
      <c r="F3425" s="265">
        <v>150</v>
      </c>
      <c r="G3425" s="265"/>
      <c r="H3425" s="265">
        <f t="shared" si="143"/>
        <v>150</v>
      </c>
    </row>
    <row r="3426" spans="2:8" x14ac:dyDescent="0.2">
      <c r="B3426" s="262" t="s">
        <v>1863</v>
      </c>
      <c r="C3426" s="263">
        <v>43248</v>
      </c>
      <c r="D3426" s="264" t="s">
        <v>4750</v>
      </c>
      <c r="E3426" s="264" t="s">
        <v>5309</v>
      </c>
      <c r="F3426" s="265">
        <v>350</v>
      </c>
      <c r="G3426" s="265"/>
      <c r="H3426" s="265">
        <f t="shared" si="143"/>
        <v>350</v>
      </c>
    </row>
    <row r="3427" spans="2:8" x14ac:dyDescent="0.2">
      <c r="B3427" s="262" t="s">
        <v>1864</v>
      </c>
      <c r="C3427" s="263">
        <v>43248</v>
      </c>
      <c r="D3427" s="264" t="s">
        <v>2535</v>
      </c>
      <c r="E3427" s="264" t="s">
        <v>3023</v>
      </c>
      <c r="F3427" s="265">
        <v>126.2</v>
      </c>
      <c r="G3427" s="265"/>
      <c r="H3427" s="265">
        <f t="shared" si="143"/>
        <v>126.2</v>
      </c>
    </row>
    <row r="3428" spans="2:8" x14ac:dyDescent="0.2">
      <c r="B3428" s="262" t="s">
        <v>1863</v>
      </c>
      <c r="C3428" s="263">
        <v>43248</v>
      </c>
      <c r="D3428" s="264" t="s">
        <v>5265</v>
      </c>
      <c r="E3428" s="264" t="s">
        <v>5310</v>
      </c>
      <c r="F3428" s="265">
        <v>150</v>
      </c>
      <c r="G3428" s="265"/>
      <c r="H3428" s="265">
        <f t="shared" si="143"/>
        <v>150</v>
      </c>
    </row>
    <row r="3429" spans="2:8" x14ac:dyDescent="0.2">
      <c r="B3429" s="262" t="s">
        <v>1866</v>
      </c>
      <c r="C3429" s="263">
        <v>43248</v>
      </c>
      <c r="D3429" s="264" t="s">
        <v>1890</v>
      </c>
      <c r="E3429" s="264" t="s">
        <v>5090</v>
      </c>
      <c r="F3429" s="265">
        <v>210</v>
      </c>
      <c r="G3429" s="265"/>
      <c r="H3429" s="265">
        <f t="shared" si="143"/>
        <v>210</v>
      </c>
    </row>
    <row r="3430" spans="2:8" x14ac:dyDescent="0.2">
      <c r="B3430" s="262" t="s">
        <v>1863</v>
      </c>
      <c r="C3430" s="263">
        <v>43248</v>
      </c>
      <c r="D3430" s="264" t="s">
        <v>4487</v>
      </c>
      <c r="E3430" s="264" t="s">
        <v>4807</v>
      </c>
      <c r="F3430" s="265">
        <v>95.01</v>
      </c>
      <c r="G3430" s="265"/>
      <c r="H3430" s="265">
        <f t="shared" si="143"/>
        <v>95.01</v>
      </c>
    </row>
    <row r="3431" spans="2:8" x14ac:dyDescent="0.2">
      <c r="B3431" s="262" t="s">
        <v>1884</v>
      </c>
      <c r="C3431" s="263">
        <v>43248</v>
      </c>
      <c r="D3431" s="264" t="s">
        <v>4487</v>
      </c>
      <c r="E3431" s="264" t="s">
        <v>4366</v>
      </c>
      <c r="F3431" s="265">
        <v>300.01</v>
      </c>
      <c r="G3431" s="265"/>
      <c r="H3431" s="265">
        <f t="shared" si="143"/>
        <v>300.01</v>
      </c>
    </row>
    <row r="3432" spans="2:8" x14ac:dyDescent="0.2">
      <c r="B3432" s="262" t="s">
        <v>1863</v>
      </c>
      <c r="C3432" s="263">
        <v>43248</v>
      </c>
      <c r="D3432" s="264" t="s">
        <v>4578</v>
      </c>
      <c r="E3432" s="264" t="s">
        <v>5311</v>
      </c>
      <c r="F3432" s="265">
        <v>217.9</v>
      </c>
      <c r="G3432" s="265"/>
      <c r="H3432" s="265">
        <f t="shared" si="143"/>
        <v>217.9</v>
      </c>
    </row>
    <row r="3433" spans="2:8" x14ac:dyDescent="0.2">
      <c r="B3433" s="262" t="s">
        <v>1884</v>
      </c>
      <c r="C3433" s="263">
        <v>43248</v>
      </c>
      <c r="D3433" s="264" t="s">
        <v>4954</v>
      </c>
      <c r="E3433" s="264" t="s">
        <v>4601</v>
      </c>
      <c r="F3433" s="265">
        <v>459</v>
      </c>
      <c r="G3433" s="265"/>
      <c r="H3433" s="265">
        <f t="shared" si="143"/>
        <v>459</v>
      </c>
    </row>
    <row r="3434" spans="2:8" x14ac:dyDescent="0.2">
      <c r="B3434" s="262" t="s">
        <v>1884</v>
      </c>
      <c r="C3434" s="263">
        <v>43250</v>
      </c>
      <c r="D3434" s="264" t="s">
        <v>2535</v>
      </c>
      <c r="E3434" s="264" t="s">
        <v>5312</v>
      </c>
      <c r="F3434" s="265">
        <v>26.5</v>
      </c>
      <c r="G3434" s="265"/>
      <c r="H3434" s="265">
        <f t="shared" si="143"/>
        <v>26.5</v>
      </c>
    </row>
    <row r="3435" spans="2:8" x14ac:dyDescent="0.2">
      <c r="B3435" s="262" t="s">
        <v>1884</v>
      </c>
      <c r="C3435" s="263">
        <v>43250</v>
      </c>
      <c r="D3435" s="264" t="s">
        <v>2535</v>
      </c>
      <c r="E3435" s="264" t="s">
        <v>5312</v>
      </c>
      <c r="F3435" s="265">
        <v>40</v>
      </c>
      <c r="G3435" s="265"/>
      <c r="H3435" s="265">
        <f t="shared" si="143"/>
        <v>40</v>
      </c>
    </row>
    <row r="3436" spans="2:8" x14ac:dyDescent="0.2">
      <c r="B3436" s="262" t="s">
        <v>1881</v>
      </c>
      <c r="C3436" s="263">
        <v>43251</v>
      </c>
      <c r="D3436" s="264" t="s">
        <v>2250</v>
      </c>
      <c r="E3436" s="264" t="s">
        <v>5313</v>
      </c>
      <c r="F3436" s="265">
        <v>300</v>
      </c>
      <c r="G3436" s="265"/>
      <c r="H3436" s="265">
        <f t="shared" ref="H3436:H3439" si="144">SUM(F3436:G3436)</f>
        <v>300</v>
      </c>
    </row>
    <row r="3437" spans="2:8" x14ac:dyDescent="0.2">
      <c r="B3437" s="262" t="s">
        <v>1863</v>
      </c>
      <c r="C3437" s="263">
        <v>43251</v>
      </c>
      <c r="D3437" s="264" t="s">
        <v>1873</v>
      </c>
      <c r="E3437" s="264" t="s">
        <v>5314</v>
      </c>
      <c r="F3437" s="265">
        <v>550</v>
      </c>
      <c r="G3437" s="265"/>
      <c r="H3437" s="265">
        <f t="shared" si="144"/>
        <v>550</v>
      </c>
    </row>
    <row r="3438" spans="2:8" x14ac:dyDescent="0.2">
      <c r="B3438" s="262" t="s">
        <v>1884</v>
      </c>
      <c r="C3438" s="263">
        <v>43251</v>
      </c>
      <c r="D3438" s="264" t="s">
        <v>4493</v>
      </c>
      <c r="E3438" s="264" t="s">
        <v>5315</v>
      </c>
      <c r="F3438" s="265">
        <v>2000</v>
      </c>
      <c r="G3438" s="265"/>
      <c r="H3438" s="265">
        <f t="shared" si="144"/>
        <v>2000</v>
      </c>
    </row>
    <row r="3439" spans="2:8" x14ac:dyDescent="0.2">
      <c r="B3439" s="262" t="s">
        <v>1859</v>
      </c>
      <c r="C3439" s="263">
        <v>43251</v>
      </c>
      <c r="D3439" s="264" t="s">
        <v>4482</v>
      </c>
      <c r="E3439" s="264" t="s">
        <v>5238</v>
      </c>
      <c r="F3439" s="265">
        <v>4000</v>
      </c>
      <c r="G3439" s="265"/>
      <c r="H3439" s="265">
        <f t="shared" si="144"/>
        <v>4000</v>
      </c>
    </row>
    <row r="3440" spans="2:8" x14ac:dyDescent="0.2">
      <c r="B3440" s="262" t="s">
        <v>1577</v>
      </c>
      <c r="C3440" s="263">
        <v>43251</v>
      </c>
      <c r="D3440" s="264" t="s">
        <v>5030</v>
      </c>
      <c r="E3440" s="264" t="s">
        <v>5372</v>
      </c>
      <c r="F3440" s="265">
        <v>40000</v>
      </c>
      <c r="G3440" s="265"/>
      <c r="H3440" s="265">
        <f t="shared" si="143"/>
        <v>40000</v>
      </c>
    </row>
    <row r="3441" spans="2:8" x14ac:dyDescent="0.2">
      <c r="B3441" s="262" t="s">
        <v>1887</v>
      </c>
      <c r="C3441" s="263">
        <v>43223</v>
      </c>
      <c r="D3441" s="264" t="s">
        <v>1534</v>
      </c>
      <c r="E3441" s="264" t="s">
        <v>1536</v>
      </c>
      <c r="F3441" s="265">
        <v>-0.46</v>
      </c>
      <c r="G3441" s="265"/>
      <c r="H3441" s="265">
        <f t="shared" si="143"/>
        <v>-0.46</v>
      </c>
    </row>
    <row r="3442" spans="2:8" x14ac:dyDescent="0.2">
      <c r="B3442" s="262" t="s">
        <v>1887</v>
      </c>
      <c r="C3442" s="263">
        <v>43227</v>
      </c>
      <c r="D3442" s="264" t="s">
        <v>5317</v>
      </c>
      <c r="E3442" s="264" t="s">
        <v>1536</v>
      </c>
      <c r="F3442" s="265">
        <v>-0.15</v>
      </c>
      <c r="G3442" s="265"/>
      <c r="H3442" s="265">
        <f t="shared" ref="H3442:H3443" si="145">SUM(F3442:G3442)</f>
        <v>-0.15</v>
      </c>
    </row>
    <row r="3443" spans="2:8" x14ac:dyDescent="0.2">
      <c r="B3443" s="262" t="s">
        <v>1887</v>
      </c>
      <c r="C3443" s="263">
        <v>43238</v>
      </c>
      <c r="D3443" s="264" t="s">
        <v>5316</v>
      </c>
      <c r="E3443" s="264" t="s">
        <v>1536</v>
      </c>
      <c r="F3443" s="265">
        <v>-0.28999999999999998</v>
      </c>
      <c r="G3443" s="265"/>
      <c r="H3443" s="265">
        <f t="shared" si="145"/>
        <v>-0.28999999999999998</v>
      </c>
    </row>
    <row r="3444" spans="2:8" x14ac:dyDescent="0.2">
      <c r="B3444" s="262" t="s">
        <v>1790</v>
      </c>
      <c r="C3444" s="263">
        <v>43240</v>
      </c>
      <c r="D3444" s="361" t="s">
        <v>1909</v>
      </c>
      <c r="E3444" s="361" t="s">
        <v>5240</v>
      </c>
      <c r="F3444" s="362"/>
      <c r="G3444" s="362">
        <v>-1760</v>
      </c>
      <c r="H3444" s="265"/>
    </row>
    <row r="3445" spans="2:8" x14ac:dyDescent="0.2">
      <c r="B3445" s="262" t="s">
        <v>1887</v>
      </c>
      <c r="C3445" s="263">
        <v>43251</v>
      </c>
      <c r="D3445" s="361" t="s">
        <v>1597</v>
      </c>
      <c r="E3445" s="361" t="s">
        <v>2229</v>
      </c>
      <c r="F3445" s="265">
        <v>54</v>
      </c>
      <c r="G3445" s="265"/>
      <c r="H3445" s="265">
        <f t="shared" ref="H3445:H3446" si="146">SUM(F3445:G3445)</f>
        <v>54</v>
      </c>
    </row>
    <row r="3446" spans="2:8" x14ac:dyDescent="0.2">
      <c r="B3446" s="262" t="s">
        <v>1790</v>
      </c>
      <c r="C3446" s="263">
        <v>43251</v>
      </c>
      <c r="D3446" s="361" t="s">
        <v>1597</v>
      </c>
      <c r="E3446" s="361" t="s">
        <v>2230</v>
      </c>
      <c r="F3446" s="265"/>
      <c r="G3446" s="265">
        <v>8.64</v>
      </c>
      <c r="H3446" s="265">
        <f t="shared" si="146"/>
        <v>8.64</v>
      </c>
    </row>
    <row r="3447" spans="2:8" x14ac:dyDescent="0.2">
      <c r="B3447" s="262"/>
      <c r="C3447" s="263"/>
      <c r="D3447" s="264"/>
      <c r="E3447" s="264"/>
      <c r="F3447" s="265"/>
      <c r="G3447" s="265"/>
      <c r="H3447" s="265">
        <f t="shared" si="143"/>
        <v>0</v>
      </c>
    </row>
    <row r="3448" spans="2:8" x14ac:dyDescent="0.2">
      <c r="B3448" s="262"/>
      <c r="C3448" s="263"/>
      <c r="D3448" s="264"/>
      <c r="E3448" s="264"/>
      <c r="F3448" s="265"/>
      <c r="G3448" s="265"/>
      <c r="H3448" s="265">
        <f t="shared" si="143"/>
        <v>0</v>
      </c>
    </row>
    <row r="3449" spans="2:8" ht="18" customHeight="1" x14ac:dyDescent="0.2">
      <c r="B3449" s="255" t="s">
        <v>1850</v>
      </c>
      <c r="C3449" s="255" t="s">
        <v>1851</v>
      </c>
      <c r="D3449" s="256" t="s">
        <v>1852</v>
      </c>
      <c r="E3449" s="256" t="s">
        <v>1853</v>
      </c>
      <c r="F3449" s="257" t="s">
        <v>1854</v>
      </c>
      <c r="G3449" s="257" t="s">
        <v>1855</v>
      </c>
      <c r="H3449" s="257" t="s">
        <v>1856</v>
      </c>
    </row>
    <row r="3450" spans="2:8" x14ac:dyDescent="0.2">
      <c r="B3450" s="345" t="s">
        <v>1857</v>
      </c>
      <c r="C3450" s="263">
        <v>43252</v>
      </c>
      <c r="D3450" s="264" t="s">
        <v>3053</v>
      </c>
      <c r="E3450" s="264" t="s">
        <v>5332</v>
      </c>
      <c r="F3450" s="265">
        <v>300</v>
      </c>
      <c r="G3450" s="265"/>
      <c r="H3450" s="265">
        <f t="shared" si="143"/>
        <v>300</v>
      </c>
    </row>
    <row r="3451" spans="2:8" x14ac:dyDescent="0.2">
      <c r="B3451" s="341" t="s">
        <v>1805</v>
      </c>
      <c r="C3451" s="263">
        <v>43252</v>
      </c>
      <c r="D3451" s="264" t="s">
        <v>3565</v>
      </c>
      <c r="E3451" s="264" t="s">
        <v>5333</v>
      </c>
      <c r="F3451" s="265">
        <v>1250</v>
      </c>
      <c r="G3451" s="265"/>
      <c r="H3451" s="265">
        <f t="shared" si="143"/>
        <v>1250</v>
      </c>
    </row>
    <row r="3452" spans="2:8" x14ac:dyDescent="0.2">
      <c r="B3452" s="341" t="s">
        <v>1879</v>
      </c>
      <c r="C3452" s="263">
        <v>43252</v>
      </c>
      <c r="D3452" s="264" t="s">
        <v>3330</v>
      </c>
      <c r="E3452" s="264" t="s">
        <v>5334</v>
      </c>
      <c r="F3452" s="265">
        <v>1600</v>
      </c>
      <c r="G3452" s="265"/>
      <c r="H3452" s="265">
        <f t="shared" si="143"/>
        <v>1600</v>
      </c>
    </row>
    <row r="3453" spans="2:8" x14ac:dyDescent="0.2">
      <c r="B3453" s="341" t="s">
        <v>1862</v>
      </c>
      <c r="C3453" s="263">
        <v>43252</v>
      </c>
      <c r="D3453" s="264" t="s">
        <v>5335</v>
      </c>
      <c r="E3453" s="264" t="s">
        <v>5336</v>
      </c>
      <c r="F3453" s="265">
        <v>1200</v>
      </c>
      <c r="G3453" s="265"/>
      <c r="H3453" s="265">
        <f t="shared" si="143"/>
        <v>1200</v>
      </c>
    </row>
    <row r="3454" spans="2:8" x14ac:dyDescent="0.2">
      <c r="B3454" s="345" t="s">
        <v>1870</v>
      </c>
      <c r="C3454" s="263">
        <v>43253</v>
      </c>
      <c r="D3454" s="264" t="s">
        <v>5337</v>
      </c>
      <c r="E3454" s="264" t="s">
        <v>5338</v>
      </c>
      <c r="F3454" s="265">
        <v>400</v>
      </c>
      <c r="G3454" s="265"/>
      <c r="H3454" s="265">
        <f t="shared" si="143"/>
        <v>400</v>
      </c>
    </row>
    <row r="3455" spans="2:8" x14ac:dyDescent="0.2">
      <c r="B3455" s="262" t="s">
        <v>1884</v>
      </c>
      <c r="C3455" s="263">
        <v>43254</v>
      </c>
      <c r="D3455" s="264" t="s">
        <v>3125</v>
      </c>
      <c r="E3455" s="264" t="s">
        <v>5339</v>
      </c>
      <c r="F3455" s="265">
        <v>43.5</v>
      </c>
      <c r="G3455" s="265"/>
      <c r="H3455" s="265">
        <f t="shared" si="143"/>
        <v>43.5</v>
      </c>
    </row>
    <row r="3456" spans="2:8" x14ac:dyDescent="0.2">
      <c r="B3456" s="262" t="s">
        <v>1884</v>
      </c>
      <c r="C3456" s="263">
        <v>43254</v>
      </c>
      <c r="D3456" s="264" t="s">
        <v>3125</v>
      </c>
      <c r="E3456" s="264" t="s">
        <v>5339</v>
      </c>
      <c r="F3456" s="265">
        <v>23.5</v>
      </c>
      <c r="G3456" s="265"/>
      <c r="H3456" s="265">
        <f t="shared" si="143"/>
        <v>23.5</v>
      </c>
    </row>
    <row r="3457" spans="2:8" x14ac:dyDescent="0.2">
      <c r="B3457" s="262" t="s">
        <v>1864</v>
      </c>
      <c r="C3457" s="263">
        <v>43254</v>
      </c>
      <c r="D3457" s="264" t="s">
        <v>2535</v>
      </c>
      <c r="E3457" s="264" t="s">
        <v>3023</v>
      </c>
      <c r="F3457" s="265">
        <v>26.5</v>
      </c>
      <c r="G3457" s="265"/>
      <c r="H3457" s="265">
        <f t="shared" si="143"/>
        <v>26.5</v>
      </c>
    </row>
    <row r="3458" spans="2:8" x14ac:dyDescent="0.2">
      <c r="B3458" s="262" t="s">
        <v>1864</v>
      </c>
      <c r="C3458" s="263">
        <v>43254</v>
      </c>
      <c r="D3458" s="264" t="s">
        <v>2535</v>
      </c>
      <c r="E3458" s="264" t="s">
        <v>3023</v>
      </c>
      <c r="F3458" s="265">
        <v>52.5</v>
      </c>
      <c r="G3458" s="265"/>
      <c r="H3458" s="265">
        <f t="shared" si="143"/>
        <v>52.5</v>
      </c>
    </row>
    <row r="3459" spans="2:8" x14ac:dyDescent="0.2">
      <c r="B3459" s="262" t="s">
        <v>1881</v>
      </c>
      <c r="C3459" s="263">
        <v>43254</v>
      </c>
      <c r="D3459" s="264" t="s">
        <v>2250</v>
      </c>
      <c r="E3459" s="264" t="s">
        <v>2026</v>
      </c>
      <c r="F3459" s="265">
        <v>120</v>
      </c>
      <c r="G3459" s="265"/>
      <c r="H3459" s="265">
        <f t="shared" si="143"/>
        <v>120</v>
      </c>
    </row>
    <row r="3460" spans="2:8" x14ac:dyDescent="0.2">
      <c r="B3460" s="262" t="s">
        <v>1884</v>
      </c>
      <c r="C3460" s="263">
        <v>43254</v>
      </c>
      <c r="D3460" s="264" t="s">
        <v>5005</v>
      </c>
      <c r="E3460" s="264" t="s">
        <v>4381</v>
      </c>
      <c r="F3460" s="265">
        <v>300</v>
      </c>
      <c r="G3460" s="265"/>
      <c r="H3460" s="265">
        <f t="shared" si="143"/>
        <v>300</v>
      </c>
    </row>
    <row r="3461" spans="2:8" x14ac:dyDescent="0.2">
      <c r="B3461" s="262" t="s">
        <v>1871</v>
      </c>
      <c r="C3461" s="263">
        <v>43255</v>
      </c>
      <c r="D3461" s="264" t="s">
        <v>5340</v>
      </c>
      <c r="E3461" s="264" t="s">
        <v>2971</v>
      </c>
      <c r="F3461" s="265">
        <v>820</v>
      </c>
      <c r="G3461" s="265"/>
      <c r="H3461" s="265">
        <f t="shared" si="143"/>
        <v>820</v>
      </c>
    </row>
    <row r="3462" spans="2:8" x14ac:dyDescent="0.2">
      <c r="B3462" s="262" t="s">
        <v>1871</v>
      </c>
      <c r="C3462" s="263">
        <v>43255</v>
      </c>
      <c r="D3462" s="264" t="s">
        <v>5340</v>
      </c>
      <c r="E3462" s="264" t="s">
        <v>3137</v>
      </c>
      <c r="F3462" s="265">
        <v>150</v>
      </c>
      <c r="G3462" s="265"/>
      <c r="H3462" s="265">
        <f t="shared" si="143"/>
        <v>150</v>
      </c>
    </row>
    <row r="3463" spans="2:8" x14ac:dyDescent="0.2">
      <c r="B3463" s="262" t="s">
        <v>1871</v>
      </c>
      <c r="C3463" s="263">
        <v>43255</v>
      </c>
      <c r="D3463" s="264" t="s">
        <v>5340</v>
      </c>
      <c r="E3463" s="264" t="s">
        <v>4503</v>
      </c>
      <c r="F3463" s="265">
        <v>55</v>
      </c>
      <c r="G3463" s="265"/>
      <c r="H3463" s="265">
        <f t="shared" si="143"/>
        <v>55</v>
      </c>
    </row>
    <row r="3464" spans="2:8" x14ac:dyDescent="0.2">
      <c r="B3464" s="262" t="s">
        <v>1871</v>
      </c>
      <c r="C3464" s="263">
        <v>43255</v>
      </c>
      <c r="D3464" s="264" t="s">
        <v>5340</v>
      </c>
      <c r="E3464" s="264" t="s">
        <v>5342</v>
      </c>
      <c r="F3464" s="265">
        <v>300</v>
      </c>
      <c r="G3464" s="265"/>
      <c r="H3464" s="265">
        <f t="shared" si="143"/>
        <v>300</v>
      </c>
    </row>
    <row r="3465" spans="2:8" x14ac:dyDescent="0.2">
      <c r="B3465" s="262" t="s">
        <v>1871</v>
      </c>
      <c r="C3465" s="263">
        <v>43255</v>
      </c>
      <c r="D3465" s="264" t="s">
        <v>5340</v>
      </c>
      <c r="E3465" s="264" t="s">
        <v>5341</v>
      </c>
      <c r="F3465" s="265">
        <v>300</v>
      </c>
      <c r="G3465" s="265"/>
      <c r="H3465" s="265">
        <f t="shared" si="143"/>
        <v>300</v>
      </c>
    </row>
    <row r="3466" spans="2:8" x14ac:dyDescent="0.2">
      <c r="B3466" s="262" t="s">
        <v>1863</v>
      </c>
      <c r="C3466" s="263">
        <v>43255</v>
      </c>
      <c r="D3466" s="264" t="s">
        <v>4750</v>
      </c>
      <c r="E3466" s="264" t="s">
        <v>4888</v>
      </c>
      <c r="F3466" s="265">
        <v>360</v>
      </c>
      <c r="G3466" s="265"/>
      <c r="H3466" s="265">
        <f t="shared" si="143"/>
        <v>360</v>
      </c>
    </row>
    <row r="3467" spans="2:8" x14ac:dyDescent="0.2">
      <c r="B3467" s="262" t="s">
        <v>1866</v>
      </c>
      <c r="C3467" s="263">
        <v>43255</v>
      </c>
      <c r="D3467" s="264" t="s">
        <v>1890</v>
      </c>
      <c r="E3467" s="264" t="s">
        <v>5343</v>
      </c>
      <c r="F3467" s="265">
        <v>210</v>
      </c>
      <c r="G3467" s="265"/>
      <c r="H3467" s="265">
        <f t="shared" si="143"/>
        <v>210</v>
      </c>
    </row>
    <row r="3468" spans="2:8" x14ac:dyDescent="0.2">
      <c r="B3468" s="262" t="s">
        <v>1860</v>
      </c>
      <c r="C3468" s="263">
        <v>43255</v>
      </c>
      <c r="D3468" s="264" t="s">
        <v>5344</v>
      </c>
      <c r="E3468" s="264" t="s">
        <v>5345</v>
      </c>
      <c r="F3468" s="265">
        <v>490</v>
      </c>
      <c r="G3468" s="265"/>
      <c r="H3468" s="265">
        <f t="shared" si="143"/>
        <v>490</v>
      </c>
    </row>
    <row r="3469" spans="2:8" x14ac:dyDescent="0.2">
      <c r="B3469" s="262" t="s">
        <v>1863</v>
      </c>
      <c r="C3469" s="263">
        <v>43256</v>
      </c>
      <c r="D3469" s="264" t="s">
        <v>5265</v>
      </c>
      <c r="E3469" s="264" t="s">
        <v>4688</v>
      </c>
      <c r="F3469" s="265">
        <v>150</v>
      </c>
      <c r="G3469" s="265"/>
      <c r="H3469" s="265">
        <f t="shared" si="143"/>
        <v>150</v>
      </c>
    </row>
    <row r="3470" spans="2:8" x14ac:dyDescent="0.2">
      <c r="B3470" s="262" t="s">
        <v>1863</v>
      </c>
      <c r="C3470" s="263">
        <v>43258</v>
      </c>
      <c r="D3470" s="264" t="s">
        <v>4750</v>
      </c>
      <c r="E3470" s="264" t="s">
        <v>4686</v>
      </c>
      <c r="F3470" s="265">
        <v>360</v>
      </c>
      <c r="G3470" s="265"/>
      <c r="H3470" s="265">
        <f t="shared" si="143"/>
        <v>360</v>
      </c>
    </row>
    <row r="3471" spans="2:8" x14ac:dyDescent="0.2">
      <c r="B3471" s="262" t="s">
        <v>1863</v>
      </c>
      <c r="C3471" s="263">
        <v>43258</v>
      </c>
      <c r="D3471" s="264" t="s">
        <v>5265</v>
      </c>
      <c r="E3471" s="264" t="s">
        <v>4688</v>
      </c>
      <c r="F3471" s="265">
        <v>150</v>
      </c>
      <c r="G3471" s="265"/>
      <c r="H3471" s="265">
        <f t="shared" si="143"/>
        <v>150</v>
      </c>
    </row>
    <row r="3472" spans="2:8" x14ac:dyDescent="0.2">
      <c r="B3472" s="262" t="s">
        <v>1805</v>
      </c>
      <c r="C3472" s="263">
        <v>43259</v>
      </c>
      <c r="D3472" s="264" t="s">
        <v>3565</v>
      </c>
      <c r="E3472" s="264" t="s">
        <v>5346</v>
      </c>
      <c r="F3472" s="265">
        <v>1250</v>
      </c>
      <c r="G3472" s="265"/>
      <c r="H3472" s="265">
        <f t="shared" si="143"/>
        <v>1250</v>
      </c>
    </row>
    <row r="3473" spans="2:8" x14ac:dyDescent="0.2">
      <c r="B3473" s="262" t="s">
        <v>1884</v>
      </c>
      <c r="C3473" s="263">
        <v>43259</v>
      </c>
      <c r="D3473" s="264" t="s">
        <v>5295</v>
      </c>
      <c r="E3473" s="264" t="s">
        <v>5347</v>
      </c>
      <c r="F3473" s="265">
        <v>20</v>
      </c>
      <c r="G3473" s="265"/>
      <c r="H3473" s="265">
        <f t="shared" si="143"/>
        <v>20</v>
      </c>
    </row>
    <row r="3474" spans="2:8" x14ac:dyDescent="0.2">
      <c r="B3474" s="262" t="s">
        <v>1546</v>
      </c>
      <c r="C3474" s="263">
        <v>37050</v>
      </c>
      <c r="D3474" s="264" t="s">
        <v>4748</v>
      </c>
      <c r="E3474" s="264" t="s">
        <v>5034</v>
      </c>
      <c r="F3474" s="265">
        <v>195</v>
      </c>
      <c r="G3474" s="265"/>
      <c r="H3474" s="265">
        <f t="shared" si="143"/>
        <v>195</v>
      </c>
    </row>
    <row r="3475" spans="2:8" x14ac:dyDescent="0.2">
      <c r="B3475" s="262" t="s">
        <v>1546</v>
      </c>
      <c r="C3475" s="263">
        <v>43259</v>
      </c>
      <c r="D3475" s="264" t="s">
        <v>1921</v>
      </c>
      <c r="E3475" s="264" t="s">
        <v>5348</v>
      </c>
      <c r="F3475" s="265">
        <v>35</v>
      </c>
      <c r="G3475" s="265"/>
      <c r="H3475" s="265">
        <f t="shared" si="143"/>
        <v>35</v>
      </c>
    </row>
    <row r="3476" spans="2:8" x14ac:dyDescent="0.2">
      <c r="B3476" s="262" t="s">
        <v>1860</v>
      </c>
      <c r="C3476" s="263">
        <v>43259</v>
      </c>
      <c r="D3476" s="264" t="s">
        <v>5349</v>
      </c>
      <c r="E3476" s="264" t="s">
        <v>5350</v>
      </c>
      <c r="F3476" s="265">
        <v>179</v>
      </c>
      <c r="G3476" s="265"/>
      <c r="H3476" s="265">
        <f t="shared" si="143"/>
        <v>179</v>
      </c>
    </row>
    <row r="3477" spans="2:8" x14ac:dyDescent="0.2">
      <c r="B3477" s="262" t="s">
        <v>1863</v>
      </c>
      <c r="C3477" s="263">
        <v>43260</v>
      </c>
      <c r="D3477" s="264" t="s">
        <v>5265</v>
      </c>
      <c r="E3477" s="264" t="s">
        <v>5351</v>
      </c>
      <c r="F3477" s="265">
        <v>250</v>
      </c>
      <c r="G3477" s="265"/>
      <c r="H3477" s="265">
        <f t="shared" si="143"/>
        <v>250</v>
      </c>
    </row>
    <row r="3478" spans="2:8" x14ac:dyDescent="0.2">
      <c r="B3478" s="262" t="s">
        <v>1881</v>
      </c>
      <c r="C3478" s="263">
        <v>43261</v>
      </c>
      <c r="D3478" s="264" t="s">
        <v>2250</v>
      </c>
      <c r="E3478" s="264" t="s">
        <v>2026</v>
      </c>
      <c r="F3478" s="265">
        <v>120</v>
      </c>
      <c r="G3478" s="265"/>
      <c r="H3478" s="265">
        <f t="shared" si="143"/>
        <v>120</v>
      </c>
    </row>
    <row r="3479" spans="2:8" x14ac:dyDescent="0.2">
      <c r="B3479" s="262" t="s">
        <v>1863</v>
      </c>
      <c r="C3479" s="263">
        <v>43261</v>
      </c>
      <c r="D3479" s="264" t="s">
        <v>2250</v>
      </c>
      <c r="E3479" s="264" t="s">
        <v>5352</v>
      </c>
      <c r="F3479" s="265">
        <v>150</v>
      </c>
      <c r="G3479" s="265"/>
      <c r="H3479" s="265">
        <f t="shared" si="143"/>
        <v>150</v>
      </c>
    </row>
    <row r="3480" spans="2:8" x14ac:dyDescent="0.2">
      <c r="B3480" s="262" t="s">
        <v>1864</v>
      </c>
      <c r="C3480" s="263">
        <v>43261</v>
      </c>
      <c r="D3480" s="264" t="s">
        <v>2535</v>
      </c>
      <c r="E3480" s="264" t="s">
        <v>2536</v>
      </c>
      <c r="F3480" s="265">
        <v>27</v>
      </c>
      <c r="G3480" s="265"/>
      <c r="H3480" s="265">
        <f t="shared" si="143"/>
        <v>27</v>
      </c>
    </row>
    <row r="3481" spans="2:8" x14ac:dyDescent="0.2">
      <c r="B3481" s="262" t="s">
        <v>1864</v>
      </c>
      <c r="C3481" s="263">
        <v>43261</v>
      </c>
      <c r="D3481" s="264" t="s">
        <v>2535</v>
      </c>
      <c r="E3481" s="264" t="s">
        <v>3023</v>
      </c>
      <c r="F3481" s="265">
        <v>60</v>
      </c>
      <c r="G3481" s="265"/>
      <c r="H3481" s="265">
        <f t="shared" si="143"/>
        <v>60</v>
      </c>
    </row>
    <row r="3482" spans="2:8" x14ac:dyDescent="0.2">
      <c r="B3482" s="262" t="s">
        <v>1879</v>
      </c>
      <c r="C3482" s="263">
        <v>43261</v>
      </c>
      <c r="D3482" s="264" t="s">
        <v>3330</v>
      </c>
      <c r="E3482" s="264" t="s">
        <v>5353</v>
      </c>
      <c r="F3482" s="265">
        <v>500</v>
      </c>
      <c r="G3482" s="265"/>
      <c r="H3482" s="265">
        <f t="shared" si="143"/>
        <v>500</v>
      </c>
    </row>
    <row r="3483" spans="2:8" x14ac:dyDescent="0.2">
      <c r="B3483" s="262" t="s">
        <v>1861</v>
      </c>
      <c r="C3483" s="263">
        <v>43261</v>
      </c>
      <c r="D3483" s="264" t="s">
        <v>3125</v>
      </c>
      <c r="E3483" s="264" t="s">
        <v>5355</v>
      </c>
      <c r="F3483" s="265">
        <v>54.5</v>
      </c>
      <c r="G3483" s="265"/>
      <c r="H3483" s="265">
        <f t="shared" si="143"/>
        <v>54.5</v>
      </c>
    </row>
    <row r="3484" spans="2:8" x14ac:dyDescent="0.2">
      <c r="B3484" s="262" t="s">
        <v>1861</v>
      </c>
      <c r="C3484" s="263">
        <v>43261</v>
      </c>
      <c r="D3484" s="264" t="s">
        <v>3125</v>
      </c>
      <c r="E3484" s="264" t="s">
        <v>5354</v>
      </c>
      <c r="F3484" s="265">
        <v>48</v>
      </c>
      <c r="G3484" s="265"/>
      <c r="H3484" s="265">
        <f t="shared" si="143"/>
        <v>48</v>
      </c>
    </row>
    <row r="3485" spans="2:8" x14ac:dyDescent="0.2">
      <c r="B3485" s="262" t="s">
        <v>1863</v>
      </c>
      <c r="C3485" s="263">
        <v>43262</v>
      </c>
      <c r="D3485" s="264" t="s">
        <v>4750</v>
      </c>
      <c r="E3485" s="264" t="s">
        <v>4686</v>
      </c>
      <c r="F3485" s="265">
        <v>360</v>
      </c>
      <c r="G3485" s="265"/>
      <c r="H3485" s="265">
        <f t="shared" si="143"/>
        <v>360</v>
      </c>
    </row>
    <row r="3486" spans="2:8" x14ac:dyDescent="0.2">
      <c r="B3486" s="262" t="s">
        <v>1863</v>
      </c>
      <c r="C3486" s="263">
        <v>43262</v>
      </c>
      <c r="D3486" s="264" t="s">
        <v>5265</v>
      </c>
      <c r="E3486" s="264" t="s">
        <v>4688</v>
      </c>
      <c r="F3486" s="265">
        <v>230</v>
      </c>
      <c r="G3486" s="265"/>
      <c r="H3486" s="265">
        <f t="shared" si="143"/>
        <v>230</v>
      </c>
    </row>
    <row r="3487" spans="2:8" x14ac:dyDescent="0.2">
      <c r="B3487" s="262" t="s">
        <v>1879</v>
      </c>
      <c r="C3487" s="263">
        <v>43262</v>
      </c>
      <c r="D3487" s="264" t="s">
        <v>3330</v>
      </c>
      <c r="E3487" s="264" t="s">
        <v>5356</v>
      </c>
      <c r="F3487" s="265">
        <v>300</v>
      </c>
      <c r="G3487" s="265"/>
      <c r="H3487" s="265">
        <f t="shared" si="143"/>
        <v>300</v>
      </c>
    </row>
    <row r="3488" spans="2:8" x14ac:dyDescent="0.2">
      <c r="B3488" s="262" t="s">
        <v>1861</v>
      </c>
      <c r="C3488" s="263">
        <v>43262</v>
      </c>
      <c r="D3488" s="264" t="s">
        <v>2535</v>
      </c>
      <c r="E3488" s="264" t="s">
        <v>5357</v>
      </c>
      <c r="F3488" s="265">
        <v>57.3</v>
      </c>
      <c r="G3488" s="265"/>
      <c r="H3488" s="265">
        <f t="shared" si="143"/>
        <v>57.3</v>
      </c>
    </row>
    <row r="3489" spans="2:8" x14ac:dyDescent="0.2">
      <c r="B3489" s="262" t="s">
        <v>1866</v>
      </c>
      <c r="C3489" s="263">
        <v>43262</v>
      </c>
      <c r="D3489" s="264" t="s">
        <v>1890</v>
      </c>
      <c r="E3489" s="264" t="s">
        <v>5090</v>
      </c>
      <c r="F3489" s="265">
        <v>210</v>
      </c>
      <c r="G3489" s="265"/>
      <c r="H3489" s="265">
        <f t="shared" si="143"/>
        <v>210</v>
      </c>
    </row>
    <row r="3490" spans="2:8" x14ac:dyDescent="0.2">
      <c r="B3490" s="262" t="s">
        <v>1884</v>
      </c>
      <c r="C3490" s="263">
        <v>43262</v>
      </c>
      <c r="D3490" s="264" t="s">
        <v>2535</v>
      </c>
      <c r="E3490" s="264" t="s">
        <v>5358</v>
      </c>
      <c r="F3490" s="265">
        <v>44</v>
      </c>
      <c r="G3490" s="265"/>
      <c r="H3490" s="265">
        <f t="shared" si="143"/>
        <v>44</v>
      </c>
    </row>
    <row r="3491" spans="2:8" x14ac:dyDescent="0.2">
      <c r="B3491" s="345" t="s">
        <v>1870</v>
      </c>
      <c r="C3491" s="263">
        <v>43262</v>
      </c>
      <c r="D3491" s="264" t="s">
        <v>5013</v>
      </c>
      <c r="E3491" s="264" t="s">
        <v>5359</v>
      </c>
      <c r="F3491" s="265">
        <v>2000</v>
      </c>
      <c r="G3491" s="265"/>
      <c r="H3491" s="265">
        <f t="shared" si="143"/>
        <v>2000</v>
      </c>
    </row>
    <row r="3492" spans="2:8" x14ac:dyDescent="0.2">
      <c r="B3492" s="262" t="s">
        <v>1870</v>
      </c>
      <c r="C3492" s="263">
        <v>43262</v>
      </c>
      <c r="D3492" s="264" t="s">
        <v>5013</v>
      </c>
      <c r="E3492" s="264" t="s">
        <v>5360</v>
      </c>
      <c r="F3492" s="265">
        <v>300</v>
      </c>
      <c r="G3492" s="265"/>
      <c r="H3492" s="265">
        <f t="shared" ref="H3492:H3552" si="147">SUM(F3492:G3492)</f>
        <v>300</v>
      </c>
    </row>
    <row r="3493" spans="2:8" x14ac:dyDescent="0.2">
      <c r="B3493" s="262" t="s">
        <v>1870</v>
      </c>
      <c r="C3493" s="263">
        <v>43262</v>
      </c>
      <c r="D3493" s="264" t="s">
        <v>5013</v>
      </c>
      <c r="E3493" s="264" t="s">
        <v>5361</v>
      </c>
      <c r="F3493" s="265">
        <v>700</v>
      </c>
      <c r="G3493" s="265"/>
      <c r="H3493" s="265">
        <f t="shared" si="147"/>
        <v>700</v>
      </c>
    </row>
    <row r="3494" spans="2:8" x14ac:dyDescent="0.2">
      <c r="B3494" s="262" t="s">
        <v>1864</v>
      </c>
      <c r="C3494" s="263">
        <v>43262</v>
      </c>
      <c r="D3494" s="264" t="s">
        <v>1910</v>
      </c>
      <c r="E3494" s="264" t="s">
        <v>5362</v>
      </c>
      <c r="F3494" s="265">
        <v>400</v>
      </c>
      <c r="G3494" s="265"/>
      <c r="H3494" s="265">
        <f t="shared" si="147"/>
        <v>400</v>
      </c>
    </row>
    <row r="3495" spans="2:8" x14ac:dyDescent="0.2">
      <c r="B3495" s="262" t="s">
        <v>1884</v>
      </c>
      <c r="C3495" s="263">
        <v>43263</v>
      </c>
      <c r="D3495" s="264" t="s">
        <v>5033</v>
      </c>
      <c r="E3495" s="264" t="s">
        <v>5105</v>
      </c>
      <c r="F3495" s="265">
        <v>300</v>
      </c>
      <c r="G3495" s="265"/>
      <c r="H3495" s="265">
        <f t="shared" si="147"/>
        <v>300</v>
      </c>
    </row>
    <row r="3496" spans="2:8" x14ac:dyDescent="0.2">
      <c r="B3496" s="262" t="s">
        <v>1863</v>
      </c>
      <c r="C3496" s="263">
        <v>43264</v>
      </c>
      <c r="D3496" s="264" t="s">
        <v>4487</v>
      </c>
      <c r="E3496" s="264" t="s">
        <v>4807</v>
      </c>
      <c r="F3496" s="265">
        <v>94.18</v>
      </c>
      <c r="G3496" s="265"/>
      <c r="H3496" s="265">
        <f t="shared" si="147"/>
        <v>94.18</v>
      </c>
    </row>
    <row r="3497" spans="2:8" x14ac:dyDescent="0.2">
      <c r="B3497" s="262" t="s">
        <v>1863</v>
      </c>
      <c r="C3497" s="263">
        <v>43264</v>
      </c>
      <c r="D3497" s="264" t="s">
        <v>4750</v>
      </c>
      <c r="E3497" s="264" t="s">
        <v>5363</v>
      </c>
      <c r="F3497" s="265">
        <v>360</v>
      </c>
      <c r="G3497" s="265"/>
      <c r="H3497" s="265">
        <f t="shared" si="147"/>
        <v>360</v>
      </c>
    </row>
    <row r="3498" spans="2:8" x14ac:dyDescent="0.2">
      <c r="B3498" s="262" t="s">
        <v>1863</v>
      </c>
      <c r="C3498" s="263">
        <v>43264</v>
      </c>
      <c r="D3498" s="264" t="s">
        <v>5265</v>
      </c>
      <c r="E3498" s="264" t="s">
        <v>5364</v>
      </c>
      <c r="F3498" s="265">
        <v>200</v>
      </c>
      <c r="G3498" s="265"/>
      <c r="H3498" s="265">
        <f t="shared" si="147"/>
        <v>200</v>
      </c>
    </row>
    <row r="3499" spans="2:8" x14ac:dyDescent="0.2">
      <c r="B3499" s="262" t="s">
        <v>1863</v>
      </c>
      <c r="C3499" s="263">
        <v>43264</v>
      </c>
      <c r="D3499" s="264" t="s">
        <v>2274</v>
      </c>
      <c r="E3499" s="264" t="s">
        <v>5206</v>
      </c>
      <c r="F3499" s="265">
        <v>90</v>
      </c>
      <c r="G3499" s="265"/>
      <c r="H3499" s="265">
        <f t="shared" si="147"/>
        <v>90</v>
      </c>
    </row>
    <row r="3500" spans="2:8" x14ac:dyDescent="0.2">
      <c r="B3500" s="262" t="s">
        <v>1879</v>
      </c>
      <c r="C3500" s="263">
        <v>43264</v>
      </c>
      <c r="D3500" s="264" t="s">
        <v>3330</v>
      </c>
      <c r="E3500" s="264" t="s">
        <v>5365</v>
      </c>
      <c r="F3500" s="265">
        <v>250</v>
      </c>
      <c r="G3500" s="265"/>
      <c r="H3500" s="265">
        <f t="shared" si="147"/>
        <v>250</v>
      </c>
    </row>
    <row r="3501" spans="2:8" x14ac:dyDescent="0.2">
      <c r="B3501" s="262" t="s">
        <v>1867</v>
      </c>
      <c r="C3501" s="263">
        <v>43264</v>
      </c>
      <c r="D3501" s="264" t="s">
        <v>1894</v>
      </c>
      <c r="E3501" s="264" t="s">
        <v>5366</v>
      </c>
      <c r="F3501" s="265">
        <v>778</v>
      </c>
      <c r="G3501" s="265"/>
      <c r="H3501" s="265">
        <f t="shared" si="147"/>
        <v>778</v>
      </c>
    </row>
    <row r="3502" spans="2:8" x14ac:dyDescent="0.2">
      <c r="B3502" s="262" t="s">
        <v>1821</v>
      </c>
      <c r="C3502" s="263">
        <v>43265</v>
      </c>
      <c r="D3502" s="264" t="s">
        <v>5388</v>
      </c>
      <c r="E3502" s="264" t="s">
        <v>5389</v>
      </c>
      <c r="F3502" s="265">
        <v>190</v>
      </c>
      <c r="G3502" s="265"/>
      <c r="H3502" s="265">
        <f t="shared" si="147"/>
        <v>190</v>
      </c>
    </row>
    <row r="3503" spans="2:8" x14ac:dyDescent="0.2">
      <c r="B3503" s="262" t="s">
        <v>1821</v>
      </c>
      <c r="C3503" s="263">
        <v>43265</v>
      </c>
      <c r="D3503" s="264" t="s">
        <v>5390</v>
      </c>
      <c r="E3503" s="264" t="s">
        <v>5391</v>
      </c>
      <c r="F3503" s="265">
        <v>5</v>
      </c>
      <c r="G3503" s="265"/>
      <c r="H3503" s="265">
        <f t="shared" si="147"/>
        <v>5</v>
      </c>
    </row>
    <row r="3504" spans="2:8" x14ac:dyDescent="0.2">
      <c r="B3504" s="262" t="s">
        <v>1821</v>
      </c>
      <c r="C3504" s="263">
        <v>43265</v>
      </c>
      <c r="D3504" s="264" t="s">
        <v>5392</v>
      </c>
      <c r="E3504" s="264" t="s">
        <v>5393</v>
      </c>
      <c r="F3504" s="265">
        <v>150</v>
      </c>
      <c r="G3504" s="265"/>
      <c r="H3504" s="265">
        <f t="shared" si="147"/>
        <v>150</v>
      </c>
    </row>
    <row r="3505" spans="2:8" x14ac:dyDescent="0.2">
      <c r="B3505" s="262" t="s">
        <v>1881</v>
      </c>
      <c r="C3505" s="263">
        <v>43266</v>
      </c>
      <c r="D3505" s="264" t="s">
        <v>2250</v>
      </c>
      <c r="E3505" s="264" t="s">
        <v>5394</v>
      </c>
      <c r="F3505" s="265">
        <v>300</v>
      </c>
      <c r="G3505" s="265"/>
      <c r="H3505" s="265">
        <f t="shared" si="147"/>
        <v>300</v>
      </c>
    </row>
    <row r="3506" spans="2:8" x14ac:dyDescent="0.2">
      <c r="B3506" s="262" t="s">
        <v>1881</v>
      </c>
      <c r="C3506" s="263">
        <v>43266</v>
      </c>
      <c r="D3506" s="264" t="s">
        <v>1873</v>
      </c>
      <c r="E3506" s="264" t="s">
        <v>5395</v>
      </c>
      <c r="F3506" s="265">
        <v>550</v>
      </c>
      <c r="G3506" s="265"/>
      <c r="H3506" s="265">
        <f t="shared" si="147"/>
        <v>550</v>
      </c>
    </row>
    <row r="3507" spans="2:8" x14ac:dyDescent="0.2">
      <c r="B3507" s="295" t="s">
        <v>1884</v>
      </c>
      <c r="C3507" s="263">
        <v>43266</v>
      </c>
      <c r="D3507" s="264" t="s">
        <v>5367</v>
      </c>
      <c r="E3507" s="264" t="s">
        <v>5368</v>
      </c>
      <c r="F3507" s="265">
        <v>2000</v>
      </c>
      <c r="G3507" s="265"/>
      <c r="H3507" s="265">
        <f t="shared" si="147"/>
        <v>2000</v>
      </c>
    </row>
    <row r="3508" spans="2:8" x14ac:dyDescent="0.2">
      <c r="B3508" s="262" t="s">
        <v>1859</v>
      </c>
      <c r="C3508" s="263">
        <v>43266</v>
      </c>
      <c r="D3508" s="264" t="s">
        <v>4482</v>
      </c>
      <c r="E3508" s="264" t="s">
        <v>5369</v>
      </c>
      <c r="F3508" s="265">
        <v>4000</v>
      </c>
      <c r="G3508" s="265"/>
      <c r="H3508" s="265">
        <f t="shared" si="147"/>
        <v>4000</v>
      </c>
    </row>
    <row r="3509" spans="2:8" x14ac:dyDescent="0.2">
      <c r="B3509" s="262" t="s">
        <v>1805</v>
      </c>
      <c r="C3509" s="263">
        <v>43266</v>
      </c>
      <c r="D3509" s="264" t="s">
        <v>1910</v>
      </c>
      <c r="E3509" s="264" t="s">
        <v>5370</v>
      </c>
      <c r="F3509" s="265">
        <v>1250</v>
      </c>
      <c r="G3509" s="265"/>
      <c r="H3509" s="265">
        <f t="shared" si="147"/>
        <v>1250</v>
      </c>
    </row>
    <row r="3510" spans="2:8" x14ac:dyDescent="0.2">
      <c r="B3510" s="262" t="s">
        <v>1577</v>
      </c>
      <c r="C3510" s="263">
        <v>43266</v>
      </c>
      <c r="D3510" s="264" t="s">
        <v>5030</v>
      </c>
      <c r="E3510" s="264" t="s">
        <v>5371</v>
      </c>
      <c r="F3510" s="265">
        <v>40000</v>
      </c>
      <c r="G3510" s="265"/>
      <c r="H3510" s="265">
        <f t="shared" si="147"/>
        <v>40000</v>
      </c>
    </row>
    <row r="3511" spans="2:8" x14ac:dyDescent="0.2">
      <c r="B3511" s="262" t="s">
        <v>1861</v>
      </c>
      <c r="C3511" s="263">
        <v>43267</v>
      </c>
      <c r="D3511" s="264" t="s">
        <v>2535</v>
      </c>
      <c r="E3511" s="264" t="s">
        <v>5373</v>
      </c>
      <c r="F3511" s="265">
        <v>77.5</v>
      </c>
      <c r="G3511" s="265"/>
      <c r="H3511" s="265">
        <f t="shared" si="147"/>
        <v>77.5</v>
      </c>
    </row>
    <row r="3512" spans="2:8" x14ac:dyDescent="0.2">
      <c r="B3512" s="262" t="s">
        <v>1861</v>
      </c>
      <c r="C3512" s="263">
        <v>43267</v>
      </c>
      <c r="D3512" s="264" t="s">
        <v>3125</v>
      </c>
      <c r="E3512" s="264" t="s">
        <v>5374</v>
      </c>
      <c r="F3512" s="265">
        <v>113.5</v>
      </c>
      <c r="G3512" s="265"/>
      <c r="H3512" s="265">
        <f t="shared" si="147"/>
        <v>113.5</v>
      </c>
    </row>
    <row r="3513" spans="2:8" x14ac:dyDescent="0.2">
      <c r="B3513" s="262" t="s">
        <v>1875</v>
      </c>
      <c r="C3513" s="263">
        <v>43267</v>
      </c>
      <c r="D3513" s="264" t="s">
        <v>2741</v>
      </c>
      <c r="E3513" s="264" t="s">
        <v>1942</v>
      </c>
      <c r="F3513" s="265">
        <v>544.92999999999995</v>
      </c>
      <c r="G3513" s="265"/>
      <c r="H3513" s="265">
        <f t="shared" si="147"/>
        <v>544.92999999999995</v>
      </c>
    </row>
    <row r="3514" spans="2:8" x14ac:dyDescent="0.2">
      <c r="B3514" s="262" t="s">
        <v>1881</v>
      </c>
      <c r="C3514" s="263">
        <v>43268</v>
      </c>
      <c r="D3514" s="264" t="s">
        <v>2250</v>
      </c>
      <c r="E3514" s="264" t="s">
        <v>2026</v>
      </c>
      <c r="F3514" s="265">
        <v>120</v>
      </c>
      <c r="G3514" s="265"/>
      <c r="H3514" s="265">
        <f t="shared" si="147"/>
        <v>120</v>
      </c>
    </row>
    <row r="3515" spans="2:8" x14ac:dyDescent="0.2">
      <c r="B3515" s="262" t="s">
        <v>1863</v>
      </c>
      <c r="C3515" s="263">
        <v>43268</v>
      </c>
      <c r="D3515" s="264" t="s">
        <v>2250</v>
      </c>
      <c r="E3515" s="264" t="s">
        <v>5310</v>
      </c>
      <c r="F3515" s="265">
        <v>150</v>
      </c>
      <c r="G3515" s="265"/>
      <c r="H3515" s="265">
        <f t="shared" si="147"/>
        <v>150</v>
      </c>
    </row>
    <row r="3516" spans="2:8" x14ac:dyDescent="0.2">
      <c r="B3516" s="262" t="s">
        <v>1864</v>
      </c>
      <c r="C3516" s="263">
        <v>43268</v>
      </c>
      <c r="D3516" s="264" t="s">
        <v>2535</v>
      </c>
      <c r="E3516" s="264" t="s">
        <v>5375</v>
      </c>
      <c r="F3516" s="265">
        <v>134.5</v>
      </c>
      <c r="G3516" s="265"/>
      <c r="H3516" s="265">
        <f t="shared" si="147"/>
        <v>134.5</v>
      </c>
    </row>
    <row r="3517" spans="2:8" x14ac:dyDescent="0.2">
      <c r="B3517" s="262" t="s">
        <v>1884</v>
      </c>
      <c r="C3517" s="263">
        <v>43268</v>
      </c>
      <c r="D3517" s="264" t="s">
        <v>5033</v>
      </c>
      <c r="E3517" s="264" t="s">
        <v>5105</v>
      </c>
      <c r="F3517" s="265">
        <v>300</v>
      </c>
      <c r="G3517" s="265"/>
      <c r="H3517" s="265">
        <f t="shared" si="147"/>
        <v>300</v>
      </c>
    </row>
    <row r="3518" spans="2:8" x14ac:dyDescent="0.2">
      <c r="B3518" s="262" t="s">
        <v>1866</v>
      </c>
      <c r="C3518" s="263">
        <v>43269</v>
      </c>
      <c r="D3518" s="264" t="s">
        <v>1890</v>
      </c>
      <c r="E3518" s="264" t="s">
        <v>5150</v>
      </c>
      <c r="F3518" s="265">
        <v>210</v>
      </c>
      <c r="G3518" s="265"/>
      <c r="H3518" s="265">
        <f t="shared" si="147"/>
        <v>210</v>
      </c>
    </row>
    <row r="3519" spans="2:8" x14ac:dyDescent="0.2">
      <c r="B3519" s="262" t="s">
        <v>1864</v>
      </c>
      <c r="C3519" s="263">
        <v>43269</v>
      </c>
      <c r="D3519" s="264" t="s">
        <v>1910</v>
      </c>
      <c r="E3519" s="264" t="s">
        <v>5376</v>
      </c>
      <c r="F3519" s="265">
        <v>400</v>
      </c>
      <c r="G3519" s="265"/>
      <c r="H3519" s="265">
        <f t="shared" si="147"/>
        <v>400</v>
      </c>
    </row>
    <row r="3520" spans="2:8" x14ac:dyDescent="0.2">
      <c r="B3520" s="262" t="s">
        <v>1863</v>
      </c>
      <c r="C3520" s="263">
        <v>43270</v>
      </c>
      <c r="D3520" s="264" t="s">
        <v>4750</v>
      </c>
      <c r="E3520" s="264" t="s">
        <v>4686</v>
      </c>
      <c r="F3520" s="265">
        <v>650</v>
      </c>
      <c r="G3520" s="265"/>
      <c r="H3520" s="265">
        <f t="shared" si="147"/>
        <v>650</v>
      </c>
    </row>
    <row r="3521" spans="2:9" x14ac:dyDescent="0.2">
      <c r="B3521" s="262" t="s">
        <v>1863</v>
      </c>
      <c r="C3521" s="263">
        <v>43270</v>
      </c>
      <c r="D3521" s="264" t="s">
        <v>5265</v>
      </c>
      <c r="E3521" s="264" t="s">
        <v>5310</v>
      </c>
      <c r="F3521" s="265">
        <v>250</v>
      </c>
      <c r="G3521" s="265"/>
      <c r="H3521" s="265">
        <f t="shared" si="147"/>
        <v>250</v>
      </c>
    </row>
    <row r="3522" spans="2:9" x14ac:dyDescent="0.2">
      <c r="B3522" s="262" t="s">
        <v>1860</v>
      </c>
      <c r="C3522" s="263">
        <v>43270</v>
      </c>
      <c r="D3522" s="264" t="s">
        <v>5377</v>
      </c>
      <c r="E3522" s="264" t="s">
        <v>5378</v>
      </c>
      <c r="F3522" s="265">
        <v>1100</v>
      </c>
      <c r="G3522" s="265"/>
      <c r="H3522" s="265">
        <f t="shared" si="147"/>
        <v>1100</v>
      </c>
    </row>
    <row r="3523" spans="2:9" x14ac:dyDescent="0.2">
      <c r="B3523" s="262" t="s">
        <v>1860</v>
      </c>
      <c r="C3523" s="263">
        <v>43270</v>
      </c>
      <c r="D3523" s="264" t="s">
        <v>5377</v>
      </c>
      <c r="E3523" s="264" t="s">
        <v>5379</v>
      </c>
      <c r="F3523" s="265">
        <v>290</v>
      </c>
      <c r="G3523" s="265"/>
      <c r="H3523" s="265">
        <f t="shared" si="147"/>
        <v>290</v>
      </c>
    </row>
    <row r="3524" spans="2:9" x14ac:dyDescent="0.2">
      <c r="B3524" s="262" t="s">
        <v>1790</v>
      </c>
      <c r="C3524" s="263">
        <v>43270</v>
      </c>
      <c r="D3524" s="264" t="s">
        <v>1909</v>
      </c>
      <c r="E3524" s="264" t="s">
        <v>5414</v>
      </c>
      <c r="F3524" s="265"/>
      <c r="G3524" s="265">
        <v>1760</v>
      </c>
      <c r="H3524" s="265">
        <f t="shared" si="147"/>
        <v>1760</v>
      </c>
    </row>
    <row r="3525" spans="2:9" x14ac:dyDescent="0.2">
      <c r="B3525" s="341" t="s">
        <v>1805</v>
      </c>
      <c r="C3525" s="263">
        <v>43270</v>
      </c>
      <c r="D3525" s="264" t="s">
        <v>1888</v>
      </c>
      <c r="E3525" s="264" t="s">
        <v>5415</v>
      </c>
      <c r="F3525" s="265">
        <v>1400</v>
      </c>
      <c r="G3525" s="265"/>
      <c r="H3525" s="265"/>
    </row>
    <row r="3526" spans="2:9" x14ac:dyDescent="0.2">
      <c r="B3526" s="262" t="s">
        <v>1863</v>
      </c>
      <c r="C3526" s="263">
        <v>43270</v>
      </c>
      <c r="D3526" s="264" t="s">
        <v>3705</v>
      </c>
      <c r="E3526" s="264" t="s">
        <v>5380</v>
      </c>
      <c r="F3526" s="265">
        <v>100</v>
      </c>
      <c r="G3526" s="265"/>
      <c r="H3526" s="265">
        <f t="shared" si="147"/>
        <v>100</v>
      </c>
    </row>
    <row r="3527" spans="2:9" x14ac:dyDescent="0.2">
      <c r="B3527" s="262" t="s">
        <v>1863</v>
      </c>
      <c r="C3527" s="263">
        <v>43271</v>
      </c>
      <c r="D3527" s="264" t="s">
        <v>3705</v>
      </c>
      <c r="E3527" s="264" t="s">
        <v>4564</v>
      </c>
      <c r="F3527" s="265">
        <v>500</v>
      </c>
      <c r="G3527" s="265"/>
      <c r="H3527" s="265">
        <f t="shared" si="147"/>
        <v>500</v>
      </c>
    </row>
    <row r="3528" spans="2:9" x14ac:dyDescent="0.2">
      <c r="B3528" s="262" t="s">
        <v>1875</v>
      </c>
      <c r="C3528" s="263">
        <v>43271</v>
      </c>
      <c r="D3528" s="264" t="s">
        <v>5381</v>
      </c>
      <c r="E3528" s="264" t="s">
        <v>2109</v>
      </c>
      <c r="F3528" s="265">
        <v>172</v>
      </c>
      <c r="G3528" s="265"/>
      <c r="H3528" s="265">
        <f t="shared" si="147"/>
        <v>172</v>
      </c>
    </row>
    <row r="3529" spans="2:9" x14ac:dyDescent="0.2">
      <c r="B3529" s="262" t="s">
        <v>1884</v>
      </c>
      <c r="C3529" s="263">
        <v>43271</v>
      </c>
      <c r="D3529" s="264" t="s">
        <v>5382</v>
      </c>
      <c r="E3529" s="264" t="s">
        <v>4381</v>
      </c>
      <c r="F3529" s="265">
        <v>300</v>
      </c>
      <c r="G3529" s="265"/>
      <c r="H3529" s="265">
        <f t="shared" si="147"/>
        <v>300</v>
      </c>
      <c r="I3529" s="175">
        <f>SUM(H3450:H3529)</f>
        <v>73840.409999999989</v>
      </c>
    </row>
    <row r="3530" spans="2:9" x14ac:dyDescent="0.2">
      <c r="B3530" s="262" t="s">
        <v>1863</v>
      </c>
      <c r="C3530" s="263">
        <v>43272</v>
      </c>
      <c r="D3530" s="264" t="s">
        <v>2238</v>
      </c>
      <c r="E3530" s="264" t="s">
        <v>5396</v>
      </c>
      <c r="F3530" s="265">
        <v>79.5</v>
      </c>
      <c r="G3530" s="265"/>
      <c r="H3530" s="265">
        <f t="shared" si="147"/>
        <v>79.5</v>
      </c>
    </row>
    <row r="3531" spans="2:9" x14ac:dyDescent="0.2">
      <c r="B3531" s="262" t="s">
        <v>1863</v>
      </c>
      <c r="C3531" s="263">
        <v>43272</v>
      </c>
      <c r="D3531" s="264" t="s">
        <v>3705</v>
      </c>
      <c r="E3531" s="264" t="s">
        <v>4483</v>
      </c>
      <c r="F3531" s="265">
        <v>200</v>
      </c>
      <c r="G3531" s="265"/>
      <c r="H3531" s="265">
        <f t="shared" si="147"/>
        <v>200</v>
      </c>
    </row>
    <row r="3532" spans="2:9" x14ac:dyDescent="0.2">
      <c r="B3532" s="262" t="s">
        <v>1882</v>
      </c>
      <c r="C3532" s="263">
        <v>43273</v>
      </c>
      <c r="D3532" s="264" t="s">
        <v>2401</v>
      </c>
      <c r="E3532" s="264" t="s">
        <v>5397</v>
      </c>
      <c r="F3532" s="265">
        <v>270</v>
      </c>
      <c r="G3532" s="265"/>
      <c r="H3532" s="265">
        <f t="shared" si="147"/>
        <v>270</v>
      </c>
    </row>
    <row r="3533" spans="2:9" x14ac:dyDescent="0.2">
      <c r="B3533" s="262" t="s">
        <v>1882</v>
      </c>
      <c r="C3533" s="263">
        <v>43273</v>
      </c>
      <c r="D3533" s="264" t="s">
        <v>2535</v>
      </c>
      <c r="E3533" s="264" t="s">
        <v>5152</v>
      </c>
      <c r="F3533" s="265">
        <v>35</v>
      </c>
      <c r="G3533" s="265"/>
      <c r="H3533" s="265">
        <f t="shared" si="147"/>
        <v>35</v>
      </c>
    </row>
    <row r="3534" spans="2:9" x14ac:dyDescent="0.2">
      <c r="B3534" s="262" t="s">
        <v>1805</v>
      </c>
      <c r="C3534" s="263">
        <v>43273</v>
      </c>
      <c r="D3534" s="264" t="s">
        <v>1910</v>
      </c>
      <c r="E3534" s="264" t="s">
        <v>5398</v>
      </c>
      <c r="F3534" s="265">
        <v>1250</v>
      </c>
      <c r="G3534" s="265"/>
      <c r="H3534" s="265">
        <f t="shared" si="147"/>
        <v>1250</v>
      </c>
    </row>
    <row r="3535" spans="2:9" x14ac:dyDescent="0.2">
      <c r="B3535" s="262" t="s">
        <v>1882</v>
      </c>
      <c r="C3535" s="263">
        <v>43275</v>
      </c>
      <c r="D3535" s="264" t="s">
        <v>2535</v>
      </c>
      <c r="E3535" s="264" t="s">
        <v>5152</v>
      </c>
      <c r="F3535" s="265">
        <v>43</v>
      </c>
      <c r="G3535" s="265"/>
      <c r="H3535" s="265">
        <f t="shared" si="147"/>
        <v>43</v>
      </c>
    </row>
    <row r="3536" spans="2:9" x14ac:dyDescent="0.2">
      <c r="B3536" s="262" t="s">
        <v>1867</v>
      </c>
      <c r="C3536" s="263">
        <v>43275</v>
      </c>
      <c r="D3536" s="264" t="s">
        <v>2535</v>
      </c>
      <c r="E3536" s="264" t="s">
        <v>5399</v>
      </c>
      <c r="F3536" s="265">
        <v>200</v>
      </c>
      <c r="G3536" s="265"/>
      <c r="H3536" s="265">
        <f t="shared" si="147"/>
        <v>200</v>
      </c>
    </row>
    <row r="3537" spans="2:8" x14ac:dyDescent="0.2">
      <c r="B3537" s="262" t="s">
        <v>1864</v>
      </c>
      <c r="C3537" s="263">
        <v>43275</v>
      </c>
      <c r="D3537" s="264" t="s">
        <v>4954</v>
      </c>
      <c r="E3537" s="264" t="s">
        <v>2536</v>
      </c>
      <c r="F3537" s="265">
        <v>29</v>
      </c>
      <c r="G3537" s="265"/>
      <c r="H3537" s="265">
        <f t="shared" si="147"/>
        <v>29</v>
      </c>
    </row>
    <row r="3538" spans="2:8" x14ac:dyDescent="0.2">
      <c r="B3538" s="262" t="s">
        <v>1864</v>
      </c>
      <c r="C3538" s="263">
        <v>43275</v>
      </c>
      <c r="D3538" s="264" t="s">
        <v>4954</v>
      </c>
      <c r="E3538" s="264" t="s">
        <v>2536</v>
      </c>
      <c r="F3538" s="265">
        <v>59</v>
      </c>
      <c r="G3538" s="265"/>
      <c r="H3538" s="265">
        <f t="shared" si="147"/>
        <v>59</v>
      </c>
    </row>
    <row r="3539" spans="2:8" x14ac:dyDescent="0.2">
      <c r="B3539" s="262" t="s">
        <v>1881</v>
      </c>
      <c r="C3539" s="263">
        <v>43275</v>
      </c>
      <c r="D3539" s="264" t="s">
        <v>2250</v>
      </c>
      <c r="E3539" s="264" t="s">
        <v>2026</v>
      </c>
      <c r="F3539" s="265">
        <v>120</v>
      </c>
      <c r="G3539" s="265"/>
      <c r="H3539" s="265">
        <f t="shared" si="147"/>
        <v>120</v>
      </c>
    </row>
    <row r="3540" spans="2:8" x14ac:dyDescent="0.2">
      <c r="B3540" s="262" t="s">
        <v>1863</v>
      </c>
      <c r="C3540" s="263">
        <v>43275</v>
      </c>
      <c r="D3540" s="264" t="s">
        <v>2250</v>
      </c>
      <c r="E3540" s="264" t="s">
        <v>5310</v>
      </c>
      <c r="F3540" s="265">
        <v>150</v>
      </c>
      <c r="G3540" s="265"/>
      <c r="H3540" s="265">
        <f t="shared" si="147"/>
        <v>150</v>
      </c>
    </row>
    <row r="3541" spans="2:8" x14ac:dyDescent="0.2">
      <c r="B3541" s="262" t="s">
        <v>1863</v>
      </c>
      <c r="C3541" s="263">
        <v>43276</v>
      </c>
      <c r="D3541" s="264" t="s">
        <v>3705</v>
      </c>
      <c r="E3541" s="264" t="s">
        <v>4514</v>
      </c>
      <c r="F3541" s="265">
        <v>300</v>
      </c>
      <c r="G3541" s="265"/>
      <c r="H3541" s="265">
        <f t="shared" si="147"/>
        <v>300</v>
      </c>
    </row>
    <row r="3542" spans="2:8" x14ac:dyDescent="0.2">
      <c r="B3542" s="262" t="s">
        <v>1863</v>
      </c>
      <c r="C3542" s="263">
        <v>43276</v>
      </c>
      <c r="D3542" s="264" t="s">
        <v>2238</v>
      </c>
      <c r="E3542" s="264" t="s">
        <v>5400</v>
      </c>
      <c r="F3542" s="265">
        <v>74.5</v>
      </c>
      <c r="G3542" s="265"/>
      <c r="H3542" s="265">
        <f t="shared" si="147"/>
        <v>74.5</v>
      </c>
    </row>
    <row r="3543" spans="2:8" x14ac:dyDescent="0.2">
      <c r="B3543" s="262" t="s">
        <v>1870</v>
      </c>
      <c r="C3543" s="263">
        <v>43276</v>
      </c>
      <c r="D3543" s="264" t="s">
        <v>2535</v>
      </c>
      <c r="E3543" s="264" t="s">
        <v>5401</v>
      </c>
      <c r="F3543" s="265">
        <v>24</v>
      </c>
      <c r="G3543" s="265"/>
      <c r="H3543" s="265">
        <f t="shared" si="147"/>
        <v>24</v>
      </c>
    </row>
    <row r="3544" spans="2:8" x14ac:dyDescent="0.2">
      <c r="B3544" s="262" t="s">
        <v>1870</v>
      </c>
      <c r="C3544" s="263">
        <v>43276</v>
      </c>
      <c r="D3544" s="264" t="s">
        <v>5013</v>
      </c>
      <c r="E3544" s="264" t="s">
        <v>5402</v>
      </c>
      <c r="F3544" s="265">
        <v>300</v>
      </c>
      <c r="G3544" s="265"/>
      <c r="H3544" s="265">
        <f t="shared" si="147"/>
        <v>300</v>
      </c>
    </row>
    <row r="3545" spans="2:8" x14ac:dyDescent="0.2">
      <c r="B3545" s="262" t="s">
        <v>1866</v>
      </c>
      <c r="C3545" s="263">
        <v>43276</v>
      </c>
      <c r="D3545" s="264" t="s">
        <v>1890</v>
      </c>
      <c r="E3545" s="264" t="s">
        <v>5090</v>
      </c>
      <c r="F3545" s="265">
        <v>210</v>
      </c>
      <c r="G3545" s="265"/>
      <c r="H3545" s="265">
        <f t="shared" si="147"/>
        <v>210</v>
      </c>
    </row>
    <row r="3546" spans="2:8" x14ac:dyDescent="0.2">
      <c r="B3546" s="262" t="s">
        <v>1882</v>
      </c>
      <c r="C3546" s="263">
        <v>43277</v>
      </c>
      <c r="D3546" s="264" t="s">
        <v>2401</v>
      </c>
      <c r="E3546" s="264" t="s">
        <v>5397</v>
      </c>
      <c r="F3546" s="265">
        <v>426</v>
      </c>
      <c r="G3546" s="265"/>
      <c r="H3546" s="265">
        <f t="shared" si="147"/>
        <v>426</v>
      </c>
    </row>
    <row r="3547" spans="2:8" x14ac:dyDescent="0.2">
      <c r="B3547" s="262" t="s">
        <v>1863</v>
      </c>
      <c r="C3547" s="263">
        <v>43279</v>
      </c>
      <c r="D3547" s="264" t="s">
        <v>3705</v>
      </c>
      <c r="E3547" s="264" t="s">
        <v>5404</v>
      </c>
      <c r="F3547" s="265">
        <v>350</v>
      </c>
      <c r="G3547" s="265"/>
      <c r="H3547" s="265">
        <f t="shared" si="147"/>
        <v>350</v>
      </c>
    </row>
    <row r="3548" spans="2:8" x14ac:dyDescent="0.2">
      <c r="B3548" s="262" t="s">
        <v>1863</v>
      </c>
      <c r="C3548" s="263">
        <v>43279</v>
      </c>
      <c r="D3548" s="264" t="s">
        <v>2238</v>
      </c>
      <c r="E3548" s="264" t="s">
        <v>5403</v>
      </c>
      <c r="F3548" s="265">
        <v>99.5</v>
      </c>
      <c r="G3548" s="265"/>
      <c r="H3548" s="265">
        <f t="shared" si="147"/>
        <v>99.5</v>
      </c>
    </row>
    <row r="3549" spans="2:8" x14ac:dyDescent="0.2">
      <c r="B3549" s="262" t="s">
        <v>1884</v>
      </c>
      <c r="C3549" s="263">
        <v>43280</v>
      </c>
      <c r="D3549" s="264" t="s">
        <v>1921</v>
      </c>
      <c r="E3549" s="264" t="s">
        <v>5405</v>
      </c>
      <c r="F3549" s="265">
        <v>42</v>
      </c>
      <c r="G3549" s="265"/>
      <c r="H3549" s="265">
        <f t="shared" si="147"/>
        <v>42</v>
      </c>
    </row>
    <row r="3550" spans="2:8" x14ac:dyDescent="0.2">
      <c r="B3550" s="262" t="s">
        <v>1805</v>
      </c>
      <c r="C3550" s="263">
        <v>43280</v>
      </c>
      <c r="D3550" s="264" t="s">
        <v>1910</v>
      </c>
      <c r="E3550" s="264" t="s">
        <v>5406</v>
      </c>
      <c r="F3550" s="265">
        <v>1250</v>
      </c>
      <c r="G3550" s="265"/>
      <c r="H3550" s="265">
        <f t="shared" si="147"/>
        <v>1250</v>
      </c>
    </row>
    <row r="3551" spans="2:8" x14ac:dyDescent="0.2">
      <c r="B3551" s="262" t="s">
        <v>1863</v>
      </c>
      <c r="C3551" s="263">
        <v>43280</v>
      </c>
      <c r="D3551" s="264" t="s">
        <v>2238</v>
      </c>
      <c r="E3551" s="264" t="s">
        <v>5206</v>
      </c>
      <c r="F3551" s="265">
        <v>37</v>
      </c>
      <c r="G3551" s="265"/>
      <c r="H3551" s="265">
        <f t="shared" si="147"/>
        <v>37</v>
      </c>
    </row>
    <row r="3552" spans="2:8" x14ac:dyDescent="0.2">
      <c r="B3552" s="262" t="s">
        <v>1881</v>
      </c>
      <c r="C3552" s="263">
        <v>43281</v>
      </c>
      <c r="D3552" s="264" t="s">
        <v>2250</v>
      </c>
      <c r="E3552" s="264" t="s">
        <v>5407</v>
      </c>
      <c r="F3552" s="265">
        <v>350</v>
      </c>
      <c r="G3552" s="265"/>
      <c r="H3552" s="265">
        <f t="shared" si="147"/>
        <v>350</v>
      </c>
    </row>
    <row r="3553" spans="2:9" x14ac:dyDescent="0.2">
      <c r="B3553" s="262" t="s">
        <v>1881</v>
      </c>
      <c r="C3553" s="263">
        <v>43281</v>
      </c>
      <c r="D3553" s="264" t="s">
        <v>1873</v>
      </c>
      <c r="E3553" s="264" t="s">
        <v>5408</v>
      </c>
      <c r="F3553" s="265">
        <v>550</v>
      </c>
      <c r="G3553" s="265"/>
      <c r="H3553" s="265">
        <f t="shared" ref="H3553:H3562" si="148">SUM(F3553:G3553)</f>
        <v>550</v>
      </c>
    </row>
    <row r="3554" spans="2:9" x14ac:dyDescent="0.2">
      <c r="B3554" s="262" t="s">
        <v>1884</v>
      </c>
      <c r="C3554" s="263">
        <v>43281</v>
      </c>
      <c r="D3554" s="264" t="s">
        <v>5367</v>
      </c>
      <c r="E3554" s="264" t="s">
        <v>5368</v>
      </c>
      <c r="F3554" s="265">
        <v>2000</v>
      </c>
      <c r="G3554" s="265"/>
      <c r="H3554" s="265">
        <f t="shared" si="148"/>
        <v>2000</v>
      </c>
    </row>
    <row r="3555" spans="2:9" x14ac:dyDescent="0.2">
      <c r="B3555" s="262" t="s">
        <v>1859</v>
      </c>
      <c r="C3555" s="263">
        <v>43281</v>
      </c>
      <c r="D3555" s="264" t="s">
        <v>4482</v>
      </c>
      <c r="E3555" s="264" t="s">
        <v>5409</v>
      </c>
      <c r="F3555" s="265">
        <v>4000</v>
      </c>
      <c r="G3555" s="265"/>
      <c r="H3555" s="265">
        <f t="shared" si="148"/>
        <v>4000</v>
      </c>
    </row>
    <row r="3556" spans="2:9" x14ac:dyDescent="0.2">
      <c r="B3556" s="262" t="s">
        <v>1577</v>
      </c>
      <c r="C3556" s="263">
        <v>43281</v>
      </c>
      <c r="D3556" s="264" t="s">
        <v>5030</v>
      </c>
      <c r="E3556" s="264" t="s">
        <v>5410</v>
      </c>
      <c r="F3556" s="265">
        <v>20000</v>
      </c>
      <c r="G3556" s="265"/>
      <c r="H3556" s="265">
        <f t="shared" si="148"/>
        <v>20000</v>
      </c>
    </row>
    <row r="3557" spans="2:9" x14ac:dyDescent="0.2">
      <c r="B3557" s="262" t="s">
        <v>1577</v>
      </c>
      <c r="C3557" s="263">
        <v>43281</v>
      </c>
      <c r="D3557" s="264" t="s">
        <v>5030</v>
      </c>
      <c r="E3557" s="264" t="s">
        <v>5412</v>
      </c>
      <c r="F3557" s="265">
        <v>20000</v>
      </c>
      <c r="G3557" s="265"/>
      <c r="H3557" s="265">
        <f t="shared" si="148"/>
        <v>20000</v>
      </c>
      <c r="I3557" s="175">
        <f>SUM(H3450:H3564)</f>
        <v>124569.62</v>
      </c>
    </row>
    <row r="3558" spans="2:9" x14ac:dyDescent="0.2">
      <c r="B3558" s="262" t="s">
        <v>1887</v>
      </c>
      <c r="C3558" s="263">
        <v>43252</v>
      </c>
      <c r="D3558" s="264" t="s">
        <v>5317</v>
      </c>
      <c r="E3558" s="264" t="s">
        <v>1536</v>
      </c>
      <c r="F3558" s="265">
        <v>-0.15</v>
      </c>
      <c r="G3558" s="265"/>
      <c r="H3558" s="265">
        <f t="shared" si="148"/>
        <v>-0.15</v>
      </c>
    </row>
    <row r="3559" spans="2:9" x14ac:dyDescent="0.2">
      <c r="B3559" s="262" t="s">
        <v>1887</v>
      </c>
      <c r="C3559" s="263">
        <v>43253</v>
      </c>
      <c r="D3559" s="264" t="s">
        <v>1534</v>
      </c>
      <c r="E3559" s="264" t="s">
        <v>1536</v>
      </c>
      <c r="F3559" s="265">
        <v>-0.46</v>
      </c>
      <c r="G3559" s="265"/>
      <c r="H3559" s="265">
        <f t="shared" si="148"/>
        <v>-0.46</v>
      </c>
    </row>
    <row r="3560" spans="2:9" x14ac:dyDescent="0.2">
      <c r="B3560" s="262" t="s">
        <v>1887</v>
      </c>
      <c r="C3560" s="263">
        <v>43257</v>
      </c>
      <c r="D3560" s="264" t="s">
        <v>5316</v>
      </c>
      <c r="E3560" s="264" t="s">
        <v>1536</v>
      </c>
      <c r="F3560" s="265">
        <v>-0.28999999999999998</v>
      </c>
      <c r="G3560" s="265"/>
      <c r="H3560" s="265">
        <f t="shared" si="148"/>
        <v>-0.28999999999999998</v>
      </c>
    </row>
    <row r="3561" spans="2:9" x14ac:dyDescent="0.2">
      <c r="B3561" s="262" t="s">
        <v>1790</v>
      </c>
      <c r="C3561" s="263">
        <v>43270</v>
      </c>
      <c r="D3561" s="264" t="s">
        <v>1909</v>
      </c>
      <c r="E3561" s="264" t="s">
        <v>5411</v>
      </c>
      <c r="F3561" s="265"/>
      <c r="G3561" s="265">
        <v>-1760</v>
      </c>
      <c r="H3561" s="265">
        <f t="shared" si="148"/>
        <v>-1760</v>
      </c>
    </row>
    <row r="3562" spans="2:9" x14ac:dyDescent="0.2">
      <c r="B3562" s="262" t="s">
        <v>1887</v>
      </c>
      <c r="C3562" s="263">
        <v>43280</v>
      </c>
      <c r="D3562" s="361" t="s">
        <v>5317</v>
      </c>
      <c r="E3562" s="361" t="s">
        <v>1536</v>
      </c>
      <c r="F3562" s="265">
        <v>-0.15</v>
      </c>
      <c r="G3562" s="265"/>
      <c r="H3562" s="265">
        <f t="shared" si="148"/>
        <v>-0.15</v>
      </c>
    </row>
    <row r="3563" spans="2:9" x14ac:dyDescent="0.2">
      <c r="B3563" s="262" t="s">
        <v>1887</v>
      </c>
      <c r="C3563" s="263" t="s">
        <v>5422</v>
      </c>
      <c r="D3563" s="361" t="s">
        <v>1597</v>
      </c>
      <c r="E3563" s="361" t="s">
        <v>2229</v>
      </c>
      <c r="F3563" s="265">
        <v>36</v>
      </c>
      <c r="G3563" s="265"/>
      <c r="H3563" s="265">
        <f t="shared" ref="H3563:H3565" si="149">SUM(F3563:G3563)</f>
        <v>36</v>
      </c>
    </row>
    <row r="3564" spans="2:9" x14ac:dyDescent="0.2">
      <c r="B3564" s="262" t="s">
        <v>1790</v>
      </c>
      <c r="C3564" s="263" t="s">
        <v>5422</v>
      </c>
      <c r="D3564" s="361" t="s">
        <v>1597</v>
      </c>
      <c r="E3564" s="361" t="s">
        <v>2230</v>
      </c>
      <c r="F3564" s="265"/>
      <c r="G3564" s="265">
        <v>5.76</v>
      </c>
      <c r="H3564" s="265">
        <f t="shared" si="149"/>
        <v>5.76</v>
      </c>
    </row>
    <row r="3565" spans="2:9" x14ac:dyDescent="0.2">
      <c r="B3565" s="262"/>
      <c r="C3565" s="263"/>
      <c r="D3565" s="264"/>
      <c r="E3565" s="264"/>
      <c r="F3565" s="265"/>
      <c r="G3565" s="265"/>
      <c r="H3565" s="265">
        <f t="shared" si="149"/>
        <v>0</v>
      </c>
    </row>
    <row r="3566" spans="2:9" x14ac:dyDescent="0.2">
      <c r="B3566" s="262"/>
      <c r="C3566" s="263"/>
      <c r="D3566" s="264"/>
      <c r="E3566" s="264"/>
      <c r="F3566" s="265"/>
      <c r="G3566" s="265"/>
      <c r="H3566" s="265">
        <f t="shared" ref="H3566:H3574" si="150">SUM(F3566:G3566)</f>
        <v>0</v>
      </c>
    </row>
    <row r="3567" spans="2:9" ht="18" customHeight="1" x14ac:dyDescent="0.2">
      <c r="B3567" s="255" t="s">
        <v>1850</v>
      </c>
      <c r="C3567" s="255" t="s">
        <v>1851</v>
      </c>
      <c r="D3567" s="256" t="s">
        <v>1852</v>
      </c>
      <c r="E3567" s="256" t="s">
        <v>1853</v>
      </c>
      <c r="F3567" s="257" t="s">
        <v>1854</v>
      </c>
      <c r="G3567" s="257" t="s">
        <v>1855</v>
      </c>
      <c r="H3567" s="257" t="s">
        <v>1856</v>
      </c>
    </row>
    <row r="3568" spans="2:9" x14ac:dyDescent="0.2">
      <c r="B3568" s="341" t="s">
        <v>1821</v>
      </c>
      <c r="C3568" s="263">
        <v>43282</v>
      </c>
      <c r="D3568" s="264" t="s">
        <v>3053</v>
      </c>
      <c r="E3568" s="264" t="s">
        <v>5423</v>
      </c>
      <c r="F3568" s="265">
        <v>7200</v>
      </c>
      <c r="G3568" s="265"/>
      <c r="H3568" s="265">
        <f t="shared" si="150"/>
        <v>7200</v>
      </c>
    </row>
    <row r="3569" spans="2:8" x14ac:dyDescent="0.2">
      <c r="B3569" s="262" t="s">
        <v>1863</v>
      </c>
      <c r="C3569" s="263">
        <v>43282</v>
      </c>
      <c r="D3569" s="264" t="s">
        <v>2238</v>
      </c>
      <c r="E3569" s="264" t="s">
        <v>5403</v>
      </c>
      <c r="F3569" s="265">
        <v>51.5</v>
      </c>
      <c r="G3569" s="265"/>
      <c r="H3569" s="265">
        <f t="shared" si="150"/>
        <v>51.5</v>
      </c>
    </row>
    <row r="3570" spans="2:8" x14ac:dyDescent="0.2">
      <c r="B3570" s="262" t="s">
        <v>1884</v>
      </c>
      <c r="C3570" s="263">
        <v>43282</v>
      </c>
      <c r="D3570" s="264" t="s">
        <v>5424</v>
      </c>
      <c r="E3570" s="264" t="s">
        <v>5425</v>
      </c>
      <c r="F3570" s="265">
        <v>60</v>
      </c>
      <c r="G3570" s="265"/>
      <c r="H3570" s="265">
        <f t="shared" si="150"/>
        <v>60</v>
      </c>
    </row>
    <row r="3571" spans="2:8" x14ac:dyDescent="0.2">
      <c r="B3571" s="262" t="s">
        <v>1881</v>
      </c>
      <c r="C3571" s="263">
        <v>43282</v>
      </c>
      <c r="D3571" s="264" t="s">
        <v>2250</v>
      </c>
      <c r="E3571" s="264" t="s">
        <v>2026</v>
      </c>
      <c r="F3571" s="265">
        <v>120</v>
      </c>
      <c r="G3571" s="265"/>
      <c r="H3571" s="265">
        <f t="shared" si="150"/>
        <v>120</v>
      </c>
    </row>
    <row r="3572" spans="2:8" x14ac:dyDescent="0.2">
      <c r="B3572" s="262" t="s">
        <v>1864</v>
      </c>
      <c r="C3572" s="263">
        <v>43282</v>
      </c>
      <c r="D3572" s="264" t="s">
        <v>3125</v>
      </c>
      <c r="E3572" s="264" t="s">
        <v>5114</v>
      </c>
      <c r="F3572" s="265">
        <v>35.5</v>
      </c>
      <c r="G3572" s="265"/>
      <c r="H3572" s="265">
        <f t="shared" si="150"/>
        <v>35.5</v>
      </c>
    </row>
    <row r="3573" spans="2:8" x14ac:dyDescent="0.2">
      <c r="B3573" s="262" t="s">
        <v>1864</v>
      </c>
      <c r="C3573" s="263">
        <v>43282</v>
      </c>
      <c r="D3573" s="264" t="s">
        <v>2535</v>
      </c>
      <c r="E3573" s="264" t="s">
        <v>5426</v>
      </c>
      <c r="F3573" s="265">
        <v>95</v>
      </c>
      <c r="G3573" s="265"/>
      <c r="H3573" s="265">
        <f t="shared" si="150"/>
        <v>95</v>
      </c>
    </row>
    <row r="3574" spans="2:8" x14ac:dyDescent="0.2">
      <c r="B3574" s="262" t="s">
        <v>1882</v>
      </c>
      <c r="C3574" s="263">
        <v>43282</v>
      </c>
      <c r="D3574" s="264" t="s">
        <v>5303</v>
      </c>
      <c r="E3574" s="264" t="s">
        <v>5427</v>
      </c>
      <c r="F3574" s="265">
        <v>250</v>
      </c>
      <c r="G3574" s="265"/>
      <c r="H3574" s="265">
        <f t="shared" si="150"/>
        <v>250</v>
      </c>
    </row>
    <row r="3575" spans="2:8" x14ac:dyDescent="0.2">
      <c r="B3575" s="262" t="s">
        <v>1882</v>
      </c>
      <c r="C3575" s="263">
        <v>43282</v>
      </c>
      <c r="D3575" s="264" t="s">
        <v>5428</v>
      </c>
      <c r="E3575" s="264" t="s">
        <v>5427</v>
      </c>
      <c r="F3575" s="265">
        <v>250</v>
      </c>
      <c r="G3575" s="265"/>
      <c r="H3575" s="265">
        <f t="shared" ref="H3575:H3638" si="151">SUM(F3575:G3575)</f>
        <v>250</v>
      </c>
    </row>
    <row r="3576" spans="2:8" x14ac:dyDescent="0.2">
      <c r="B3576" s="262" t="s">
        <v>1882</v>
      </c>
      <c r="C3576" s="263">
        <v>43282</v>
      </c>
      <c r="D3576" s="264" t="s">
        <v>5429</v>
      </c>
      <c r="E3576" s="264" t="s">
        <v>5427</v>
      </c>
      <c r="F3576" s="265">
        <v>250</v>
      </c>
      <c r="G3576" s="265"/>
      <c r="H3576" s="265">
        <f t="shared" si="151"/>
        <v>250</v>
      </c>
    </row>
    <row r="3577" spans="2:8" x14ac:dyDescent="0.2">
      <c r="B3577" s="262" t="s">
        <v>1882</v>
      </c>
      <c r="C3577" s="263">
        <v>43282</v>
      </c>
      <c r="D3577" s="264" t="s">
        <v>2535</v>
      </c>
      <c r="E3577" s="264" t="s">
        <v>5430</v>
      </c>
      <c r="F3577" s="265">
        <v>54</v>
      </c>
      <c r="G3577" s="265"/>
      <c r="H3577" s="265">
        <f t="shared" si="151"/>
        <v>54</v>
      </c>
    </row>
    <row r="3578" spans="2:8" x14ac:dyDescent="0.2">
      <c r="B3578" s="262" t="s">
        <v>1866</v>
      </c>
      <c r="C3578" s="263">
        <v>43283</v>
      </c>
      <c r="D3578" s="264" t="s">
        <v>1890</v>
      </c>
      <c r="E3578" s="264" t="s">
        <v>5090</v>
      </c>
      <c r="F3578" s="265">
        <v>210</v>
      </c>
      <c r="G3578" s="265"/>
      <c r="H3578" s="265">
        <f t="shared" si="151"/>
        <v>210</v>
      </c>
    </row>
    <row r="3579" spans="2:8" x14ac:dyDescent="0.2">
      <c r="B3579" s="262" t="s">
        <v>1863</v>
      </c>
      <c r="C3579" s="263">
        <v>43283</v>
      </c>
      <c r="D3579" s="264" t="s">
        <v>3705</v>
      </c>
      <c r="E3579" s="264" t="s">
        <v>4483</v>
      </c>
      <c r="F3579" s="265">
        <v>300</v>
      </c>
      <c r="G3579" s="265"/>
      <c r="H3579" s="265">
        <f t="shared" si="151"/>
        <v>300</v>
      </c>
    </row>
    <row r="3580" spans="2:8" x14ac:dyDescent="0.2">
      <c r="B3580" s="262" t="s">
        <v>1881</v>
      </c>
      <c r="C3580" s="263">
        <v>43284</v>
      </c>
      <c r="D3580" s="264" t="s">
        <v>1873</v>
      </c>
      <c r="E3580" s="264" t="s">
        <v>5431</v>
      </c>
      <c r="F3580" s="265">
        <v>200</v>
      </c>
      <c r="G3580" s="265"/>
      <c r="H3580" s="265">
        <f t="shared" si="151"/>
        <v>200</v>
      </c>
    </row>
    <row r="3581" spans="2:8" x14ac:dyDescent="0.2">
      <c r="B3581" s="262" t="s">
        <v>1863</v>
      </c>
      <c r="C3581" s="263">
        <v>43284</v>
      </c>
      <c r="D3581" s="264" t="s">
        <v>4750</v>
      </c>
      <c r="E3581" s="264" t="s">
        <v>5432</v>
      </c>
      <c r="F3581" s="265">
        <v>250</v>
      </c>
      <c r="G3581" s="265"/>
      <c r="H3581" s="265">
        <f t="shared" si="151"/>
        <v>250</v>
      </c>
    </row>
    <row r="3582" spans="2:8" x14ac:dyDescent="0.2">
      <c r="B3582" s="262" t="s">
        <v>1863</v>
      </c>
      <c r="C3582" s="263">
        <v>43284</v>
      </c>
      <c r="D3582" s="264" t="s">
        <v>5229</v>
      </c>
      <c r="E3582" s="264" t="s">
        <v>5310</v>
      </c>
      <c r="F3582" s="265">
        <v>150</v>
      </c>
      <c r="G3582" s="265"/>
      <c r="H3582" s="265">
        <f t="shared" si="151"/>
        <v>150</v>
      </c>
    </row>
    <row r="3583" spans="2:8" x14ac:dyDescent="0.2">
      <c r="B3583" s="262" t="s">
        <v>1884</v>
      </c>
      <c r="C3583" s="263">
        <v>43285</v>
      </c>
      <c r="D3583" s="264" t="s">
        <v>3125</v>
      </c>
      <c r="E3583" s="264" t="s">
        <v>5374</v>
      </c>
      <c r="F3583" s="265">
        <v>37.5</v>
      </c>
      <c r="G3583" s="265"/>
      <c r="H3583" s="265">
        <f t="shared" si="151"/>
        <v>37.5</v>
      </c>
    </row>
    <row r="3584" spans="2:8" x14ac:dyDescent="0.2">
      <c r="B3584" s="262" t="s">
        <v>1863</v>
      </c>
      <c r="C3584" s="263">
        <v>43285</v>
      </c>
      <c r="D3584" s="264" t="s">
        <v>5265</v>
      </c>
      <c r="E3584" s="264" t="s">
        <v>5310</v>
      </c>
      <c r="F3584" s="265">
        <v>150</v>
      </c>
      <c r="G3584" s="265"/>
      <c r="H3584" s="265">
        <f t="shared" si="151"/>
        <v>150</v>
      </c>
    </row>
    <row r="3585" spans="2:8" x14ac:dyDescent="0.2">
      <c r="B3585" s="262" t="s">
        <v>1863</v>
      </c>
      <c r="C3585" s="263">
        <v>43286</v>
      </c>
      <c r="D3585" s="264" t="s">
        <v>3705</v>
      </c>
      <c r="E3585" s="264" t="s">
        <v>4483</v>
      </c>
      <c r="F3585" s="265">
        <v>280</v>
      </c>
      <c r="G3585" s="265"/>
      <c r="H3585" s="265">
        <f t="shared" si="151"/>
        <v>280</v>
      </c>
    </row>
    <row r="3586" spans="2:8" x14ac:dyDescent="0.2">
      <c r="B3586" s="262" t="s">
        <v>1884</v>
      </c>
      <c r="C3586" s="263">
        <v>43286</v>
      </c>
      <c r="D3586" s="264" t="s">
        <v>2535</v>
      </c>
      <c r="E3586" s="264" t="s">
        <v>5433</v>
      </c>
      <c r="F3586" s="265">
        <v>35</v>
      </c>
      <c r="G3586" s="265"/>
      <c r="H3586" s="265">
        <f t="shared" si="151"/>
        <v>35</v>
      </c>
    </row>
    <row r="3587" spans="2:8" x14ac:dyDescent="0.2">
      <c r="B3587" s="262" t="s">
        <v>1863</v>
      </c>
      <c r="C3587" s="263">
        <v>43286</v>
      </c>
      <c r="D3587" s="264" t="s">
        <v>4487</v>
      </c>
      <c r="E3587" s="264" t="s">
        <v>4807</v>
      </c>
      <c r="F3587" s="265">
        <v>75.16</v>
      </c>
      <c r="G3587" s="265"/>
      <c r="H3587" s="265">
        <f t="shared" si="151"/>
        <v>75.16</v>
      </c>
    </row>
    <row r="3588" spans="2:8" x14ac:dyDescent="0.2">
      <c r="B3588" s="262" t="s">
        <v>1862</v>
      </c>
      <c r="C3588" s="263">
        <v>43286</v>
      </c>
      <c r="D3588" s="264" t="s">
        <v>5013</v>
      </c>
      <c r="E3588" s="264" t="s">
        <v>5434</v>
      </c>
      <c r="F3588" s="265">
        <v>150</v>
      </c>
      <c r="G3588" s="265"/>
      <c r="H3588" s="265">
        <f t="shared" si="151"/>
        <v>150</v>
      </c>
    </row>
    <row r="3589" spans="2:8" x14ac:dyDescent="0.2">
      <c r="B3589" s="345" t="s">
        <v>1870</v>
      </c>
      <c r="C3589" s="263">
        <v>43286</v>
      </c>
      <c r="D3589" s="264" t="s">
        <v>5013</v>
      </c>
      <c r="E3589" s="264" t="s">
        <v>5435</v>
      </c>
      <c r="F3589" s="265">
        <v>300</v>
      </c>
      <c r="G3589" s="265"/>
      <c r="H3589" s="265">
        <f t="shared" si="151"/>
        <v>300</v>
      </c>
    </row>
    <row r="3590" spans="2:8" x14ac:dyDescent="0.2">
      <c r="B3590" s="262" t="s">
        <v>1863</v>
      </c>
      <c r="C3590" s="263">
        <v>43287</v>
      </c>
      <c r="D3590" s="264" t="s">
        <v>3705</v>
      </c>
      <c r="E3590" s="264" t="s">
        <v>4554</v>
      </c>
      <c r="F3590" s="265">
        <v>300</v>
      </c>
      <c r="G3590" s="265"/>
      <c r="H3590" s="265">
        <f t="shared" si="151"/>
        <v>300</v>
      </c>
    </row>
    <row r="3591" spans="2:8" x14ac:dyDescent="0.2">
      <c r="B3591" s="262" t="s">
        <v>1863</v>
      </c>
      <c r="C3591" s="263">
        <v>43287</v>
      </c>
      <c r="D3591" s="264" t="s">
        <v>2238</v>
      </c>
      <c r="E3591" s="264" t="s">
        <v>5400</v>
      </c>
      <c r="F3591" s="265">
        <v>39</v>
      </c>
      <c r="G3591" s="265"/>
      <c r="H3591" s="265">
        <f t="shared" si="151"/>
        <v>39</v>
      </c>
    </row>
    <row r="3592" spans="2:8" x14ac:dyDescent="0.2">
      <c r="B3592" s="262" t="s">
        <v>1884</v>
      </c>
      <c r="C3592" s="263">
        <v>43287</v>
      </c>
      <c r="D3592" s="264" t="s">
        <v>5436</v>
      </c>
      <c r="E3592" s="264" t="s">
        <v>5105</v>
      </c>
      <c r="F3592" s="265">
        <v>300</v>
      </c>
      <c r="G3592" s="265"/>
      <c r="H3592" s="265">
        <f t="shared" si="151"/>
        <v>300</v>
      </c>
    </row>
    <row r="3593" spans="2:8" x14ac:dyDescent="0.2">
      <c r="B3593" s="262" t="s">
        <v>1805</v>
      </c>
      <c r="C3593" s="263">
        <v>43287</v>
      </c>
      <c r="D3593" s="264" t="s">
        <v>1910</v>
      </c>
      <c r="E3593" s="264" t="s">
        <v>5437</v>
      </c>
      <c r="F3593" s="265">
        <v>1250</v>
      </c>
      <c r="G3593" s="265"/>
      <c r="H3593" s="265">
        <f t="shared" si="151"/>
        <v>1250</v>
      </c>
    </row>
    <row r="3594" spans="2:8" x14ac:dyDescent="0.2">
      <c r="B3594" s="262" t="s">
        <v>1884</v>
      </c>
      <c r="C3594" s="263">
        <v>43288</v>
      </c>
      <c r="D3594" s="264" t="s">
        <v>2535</v>
      </c>
      <c r="E3594" s="264" t="s">
        <v>5438</v>
      </c>
      <c r="F3594" s="265">
        <v>39.5</v>
      </c>
      <c r="G3594" s="265"/>
      <c r="H3594" s="265">
        <f t="shared" si="151"/>
        <v>39.5</v>
      </c>
    </row>
    <row r="3595" spans="2:8" x14ac:dyDescent="0.2">
      <c r="B3595" s="262" t="s">
        <v>1881</v>
      </c>
      <c r="C3595" s="263">
        <v>43289</v>
      </c>
      <c r="D3595" s="264" t="s">
        <v>2250</v>
      </c>
      <c r="E3595" s="264" t="s">
        <v>5439</v>
      </c>
      <c r="F3595" s="265">
        <v>120</v>
      </c>
      <c r="G3595" s="265"/>
      <c r="H3595" s="265">
        <f t="shared" si="151"/>
        <v>120</v>
      </c>
    </row>
    <row r="3596" spans="2:8" x14ac:dyDescent="0.2">
      <c r="B3596" s="262" t="s">
        <v>1864</v>
      </c>
      <c r="C3596" s="263">
        <v>43289</v>
      </c>
      <c r="D3596" s="264" t="s">
        <v>2535</v>
      </c>
      <c r="E3596" s="264" t="s">
        <v>4998</v>
      </c>
      <c r="F3596" s="265">
        <v>72</v>
      </c>
      <c r="G3596" s="265"/>
      <c r="H3596" s="265">
        <f t="shared" si="151"/>
        <v>72</v>
      </c>
    </row>
    <row r="3597" spans="2:8" x14ac:dyDescent="0.2">
      <c r="B3597" s="262" t="s">
        <v>1864</v>
      </c>
      <c r="C3597" s="263">
        <v>43289</v>
      </c>
      <c r="D3597" s="264" t="s">
        <v>5440</v>
      </c>
      <c r="E3597" s="264" t="s">
        <v>2536</v>
      </c>
      <c r="F3597" s="265">
        <v>72</v>
      </c>
      <c r="G3597" s="265"/>
      <c r="H3597" s="265">
        <f t="shared" si="151"/>
        <v>72</v>
      </c>
    </row>
    <row r="3598" spans="2:8" x14ac:dyDescent="0.2">
      <c r="B3598" s="262" t="s">
        <v>1864</v>
      </c>
      <c r="C3598" s="263">
        <v>43289</v>
      </c>
      <c r="D3598" s="264" t="s">
        <v>2067</v>
      </c>
      <c r="E3598" s="264" t="s">
        <v>5441</v>
      </c>
      <c r="F3598" s="265">
        <v>58</v>
      </c>
      <c r="G3598" s="265"/>
      <c r="H3598" s="265">
        <f t="shared" si="151"/>
        <v>58</v>
      </c>
    </row>
    <row r="3599" spans="2:8" x14ac:dyDescent="0.2">
      <c r="B3599" s="262" t="s">
        <v>1866</v>
      </c>
      <c r="C3599" s="263">
        <v>43290</v>
      </c>
      <c r="D3599" s="264" t="s">
        <v>1890</v>
      </c>
      <c r="E3599" s="264" t="s">
        <v>5090</v>
      </c>
      <c r="F3599" s="265">
        <v>210</v>
      </c>
      <c r="G3599" s="265"/>
      <c r="H3599" s="265">
        <f t="shared" si="151"/>
        <v>210</v>
      </c>
    </row>
    <row r="3600" spans="2:8" x14ac:dyDescent="0.2">
      <c r="B3600" s="262" t="s">
        <v>1884</v>
      </c>
      <c r="C3600" s="263">
        <v>43290</v>
      </c>
      <c r="D3600" s="264" t="s">
        <v>2535</v>
      </c>
      <c r="E3600" s="264" t="s">
        <v>5442</v>
      </c>
      <c r="F3600" s="265">
        <v>88</v>
      </c>
      <c r="G3600" s="265"/>
      <c r="H3600" s="265">
        <f t="shared" si="151"/>
        <v>88</v>
      </c>
    </row>
    <row r="3601" spans="2:8" x14ac:dyDescent="0.2">
      <c r="B3601" s="262" t="s">
        <v>1862</v>
      </c>
      <c r="C3601" s="263">
        <v>43291</v>
      </c>
      <c r="D3601" s="264" t="s">
        <v>5013</v>
      </c>
      <c r="E3601" s="264" t="s">
        <v>5443</v>
      </c>
      <c r="F3601" s="265">
        <v>1700</v>
      </c>
      <c r="G3601" s="265"/>
      <c r="H3601" s="265">
        <f t="shared" si="151"/>
        <v>1700</v>
      </c>
    </row>
    <row r="3602" spans="2:8" x14ac:dyDescent="0.2">
      <c r="B3602" s="262" t="s">
        <v>1870</v>
      </c>
      <c r="C3602" s="263">
        <v>43291</v>
      </c>
      <c r="D3602" s="264" t="s">
        <v>5013</v>
      </c>
      <c r="E3602" s="264" t="s">
        <v>5444</v>
      </c>
      <c r="F3602" s="265">
        <v>300</v>
      </c>
      <c r="G3602" s="265"/>
      <c r="H3602" s="265">
        <f t="shared" si="151"/>
        <v>300</v>
      </c>
    </row>
    <row r="3603" spans="2:8" x14ac:dyDescent="0.2">
      <c r="B3603" s="262" t="s">
        <v>1863</v>
      </c>
      <c r="C3603" s="263">
        <v>43291</v>
      </c>
      <c r="D3603" s="264" t="s">
        <v>4487</v>
      </c>
      <c r="E3603" s="264" t="s">
        <v>5483</v>
      </c>
      <c r="F3603" s="265">
        <v>94</v>
      </c>
      <c r="G3603" s="265"/>
      <c r="H3603" s="265">
        <f t="shared" si="151"/>
        <v>94</v>
      </c>
    </row>
    <row r="3604" spans="2:8" x14ac:dyDescent="0.2">
      <c r="B3604" s="262" t="s">
        <v>1884</v>
      </c>
      <c r="C3604" s="263">
        <v>43291</v>
      </c>
      <c r="D3604" s="264" t="s">
        <v>4487</v>
      </c>
      <c r="E3604" s="264" t="s">
        <v>4366</v>
      </c>
      <c r="F3604" s="265">
        <v>200</v>
      </c>
      <c r="G3604" s="265"/>
      <c r="H3604" s="265">
        <f t="shared" si="151"/>
        <v>200</v>
      </c>
    </row>
    <row r="3605" spans="2:8" x14ac:dyDescent="0.2">
      <c r="B3605" s="262" t="s">
        <v>1863</v>
      </c>
      <c r="C3605" s="263">
        <v>43291</v>
      </c>
      <c r="D3605" s="264" t="s">
        <v>4750</v>
      </c>
      <c r="E3605" s="264" t="s">
        <v>5445</v>
      </c>
      <c r="F3605" s="265">
        <v>560</v>
      </c>
      <c r="G3605" s="265"/>
      <c r="H3605" s="265">
        <f t="shared" si="151"/>
        <v>560</v>
      </c>
    </row>
    <row r="3606" spans="2:8" x14ac:dyDescent="0.2">
      <c r="B3606" s="345" t="s">
        <v>1857</v>
      </c>
      <c r="C3606" s="263">
        <v>43291</v>
      </c>
      <c r="D3606" s="264" t="s">
        <v>3053</v>
      </c>
      <c r="E3606" s="264" t="s">
        <v>5446</v>
      </c>
      <c r="F3606" s="265">
        <v>400</v>
      </c>
      <c r="G3606" s="265"/>
      <c r="H3606" s="265">
        <f t="shared" si="151"/>
        <v>400</v>
      </c>
    </row>
    <row r="3607" spans="2:8" x14ac:dyDescent="0.2">
      <c r="B3607" s="262" t="s">
        <v>1862</v>
      </c>
      <c r="C3607" s="263">
        <v>43291</v>
      </c>
      <c r="D3607" s="264" t="s">
        <v>4578</v>
      </c>
      <c r="E3607" s="264" t="s">
        <v>5447</v>
      </c>
      <c r="F3607" s="265">
        <v>75</v>
      </c>
      <c r="G3607" s="265"/>
      <c r="H3607" s="265">
        <f t="shared" si="151"/>
        <v>75</v>
      </c>
    </row>
    <row r="3608" spans="2:8" x14ac:dyDescent="0.2">
      <c r="B3608" s="262" t="s">
        <v>1884</v>
      </c>
      <c r="C3608" s="263">
        <v>43292</v>
      </c>
      <c r="D3608" s="264" t="s">
        <v>2535</v>
      </c>
      <c r="E3608" s="264" t="s">
        <v>5448</v>
      </c>
      <c r="F3608" s="265">
        <v>22.5</v>
      </c>
      <c r="G3608" s="265"/>
      <c r="H3608" s="265">
        <f t="shared" si="151"/>
        <v>22.5</v>
      </c>
    </row>
    <row r="3609" spans="2:8" x14ac:dyDescent="0.2">
      <c r="B3609" s="262" t="s">
        <v>1884</v>
      </c>
      <c r="C3609" s="263">
        <v>43292</v>
      </c>
      <c r="D3609" s="264" t="s">
        <v>5449</v>
      </c>
      <c r="E3609" s="264" t="s">
        <v>5450</v>
      </c>
      <c r="F3609" s="265">
        <v>120</v>
      </c>
      <c r="G3609" s="265"/>
      <c r="H3609" s="265">
        <f t="shared" si="151"/>
        <v>120</v>
      </c>
    </row>
    <row r="3610" spans="2:8" x14ac:dyDescent="0.2">
      <c r="B3610" s="262" t="s">
        <v>1884</v>
      </c>
      <c r="C3610" s="263">
        <v>43292</v>
      </c>
      <c r="D3610" s="264" t="s">
        <v>5033</v>
      </c>
      <c r="E3610" s="264" t="s">
        <v>5105</v>
      </c>
      <c r="F3610" s="265">
        <v>300</v>
      </c>
      <c r="G3610" s="265"/>
      <c r="H3610" s="265">
        <f t="shared" si="151"/>
        <v>300</v>
      </c>
    </row>
    <row r="3611" spans="2:8" x14ac:dyDescent="0.2">
      <c r="B3611" s="262" t="s">
        <v>1863</v>
      </c>
      <c r="C3611" s="263">
        <v>43292</v>
      </c>
      <c r="D3611" s="264" t="s">
        <v>5265</v>
      </c>
      <c r="E3611" s="264" t="s">
        <v>4688</v>
      </c>
      <c r="F3611" s="265">
        <v>150</v>
      </c>
      <c r="G3611" s="265"/>
      <c r="H3611" s="265">
        <f t="shared" si="151"/>
        <v>150</v>
      </c>
    </row>
    <row r="3612" spans="2:8" x14ac:dyDescent="0.2">
      <c r="B3612" s="345" t="s">
        <v>1858</v>
      </c>
      <c r="C3612" s="263">
        <v>43293</v>
      </c>
      <c r="D3612" s="264" t="s">
        <v>5429</v>
      </c>
      <c r="E3612" s="264" t="s">
        <v>5451</v>
      </c>
      <c r="F3612" s="265">
        <v>250</v>
      </c>
      <c r="G3612" s="265"/>
      <c r="H3612" s="265">
        <f t="shared" si="151"/>
        <v>250</v>
      </c>
    </row>
    <row r="3613" spans="2:8" x14ac:dyDescent="0.2">
      <c r="B3613" s="262" t="s">
        <v>1805</v>
      </c>
      <c r="C3613" s="263">
        <v>43294</v>
      </c>
      <c r="D3613" s="264" t="s">
        <v>1910</v>
      </c>
      <c r="E3613" s="264" t="s">
        <v>5452</v>
      </c>
      <c r="F3613" s="265">
        <v>1250</v>
      </c>
      <c r="G3613" s="265"/>
      <c r="H3613" s="265">
        <f t="shared" si="151"/>
        <v>1250</v>
      </c>
    </row>
    <row r="3614" spans="2:8" x14ac:dyDescent="0.2">
      <c r="B3614" s="262" t="s">
        <v>1867</v>
      </c>
      <c r="C3614" s="263">
        <v>43294</v>
      </c>
      <c r="D3614" s="264" t="s">
        <v>1894</v>
      </c>
      <c r="E3614" s="264" t="s">
        <v>5453</v>
      </c>
      <c r="F3614" s="265">
        <v>778</v>
      </c>
      <c r="G3614" s="265"/>
      <c r="H3614" s="265">
        <f t="shared" si="151"/>
        <v>778</v>
      </c>
    </row>
    <row r="3615" spans="2:8" x14ac:dyDescent="0.2">
      <c r="B3615" s="262" t="s">
        <v>1871</v>
      </c>
      <c r="C3615" s="263">
        <v>43294</v>
      </c>
      <c r="D3615" s="264" t="s">
        <v>5454</v>
      </c>
      <c r="E3615" s="264" t="s">
        <v>2971</v>
      </c>
      <c r="F3615" s="265">
        <v>168.03</v>
      </c>
      <c r="G3615" s="265"/>
      <c r="H3615" s="265">
        <f t="shared" si="151"/>
        <v>168.03</v>
      </c>
    </row>
    <row r="3616" spans="2:8" x14ac:dyDescent="0.2">
      <c r="B3616" s="262" t="s">
        <v>1861</v>
      </c>
      <c r="C3616" s="263">
        <v>43296</v>
      </c>
      <c r="D3616" s="264" t="s">
        <v>2535</v>
      </c>
      <c r="E3616" s="264" t="s">
        <v>5433</v>
      </c>
      <c r="F3616" s="265">
        <v>33.5</v>
      </c>
      <c r="G3616" s="265"/>
      <c r="H3616" s="265">
        <f t="shared" si="151"/>
        <v>33.5</v>
      </c>
    </row>
    <row r="3617" spans="2:8" x14ac:dyDescent="0.2">
      <c r="B3617" s="262" t="s">
        <v>1861</v>
      </c>
      <c r="C3617" s="263">
        <v>43296</v>
      </c>
      <c r="D3617" s="264" t="s">
        <v>2322</v>
      </c>
      <c r="E3617" s="264" t="s">
        <v>5455</v>
      </c>
      <c r="F3617" s="265">
        <v>52</v>
      </c>
      <c r="G3617" s="265"/>
      <c r="H3617" s="265">
        <f t="shared" si="151"/>
        <v>52</v>
      </c>
    </row>
    <row r="3618" spans="2:8" x14ac:dyDescent="0.2">
      <c r="B3618" s="262" t="s">
        <v>1864</v>
      </c>
      <c r="C3618" s="263">
        <v>43296</v>
      </c>
      <c r="D3618" s="264" t="s">
        <v>4954</v>
      </c>
      <c r="E3618" s="264" t="s">
        <v>5089</v>
      </c>
      <c r="F3618" s="265">
        <v>94.42</v>
      </c>
      <c r="G3618" s="265"/>
      <c r="H3618" s="265">
        <f t="shared" si="151"/>
        <v>94.42</v>
      </c>
    </row>
    <row r="3619" spans="2:8" x14ac:dyDescent="0.2">
      <c r="B3619" s="262" t="s">
        <v>1881</v>
      </c>
      <c r="C3619" s="263">
        <v>43296</v>
      </c>
      <c r="D3619" s="264" t="s">
        <v>2250</v>
      </c>
      <c r="E3619" s="264" t="s">
        <v>5439</v>
      </c>
      <c r="F3619" s="265">
        <v>120</v>
      </c>
      <c r="G3619" s="265"/>
      <c r="H3619" s="265">
        <f t="shared" si="151"/>
        <v>120</v>
      </c>
    </row>
    <row r="3620" spans="2:8" x14ac:dyDescent="0.2">
      <c r="B3620" s="262" t="s">
        <v>1863</v>
      </c>
      <c r="C3620" s="263">
        <v>43296</v>
      </c>
      <c r="D3620" s="264" t="s">
        <v>2250</v>
      </c>
      <c r="E3620" s="264" t="s">
        <v>5456</v>
      </c>
      <c r="F3620" s="265">
        <v>150</v>
      </c>
      <c r="G3620" s="265"/>
      <c r="H3620" s="265">
        <f t="shared" si="151"/>
        <v>150</v>
      </c>
    </row>
    <row r="3621" spans="2:8" x14ac:dyDescent="0.2">
      <c r="B3621" s="262" t="s">
        <v>1881</v>
      </c>
      <c r="C3621" s="263">
        <v>43296</v>
      </c>
      <c r="D3621" s="264" t="s">
        <v>2250</v>
      </c>
      <c r="E3621" s="264" t="s">
        <v>3087</v>
      </c>
      <c r="F3621" s="265">
        <v>350</v>
      </c>
      <c r="G3621" s="265"/>
      <c r="H3621" s="265">
        <f t="shared" si="151"/>
        <v>350</v>
      </c>
    </row>
    <row r="3622" spans="2:8" x14ac:dyDescent="0.2">
      <c r="B3622" s="262" t="s">
        <v>1881</v>
      </c>
      <c r="C3622" s="263">
        <v>43296</v>
      </c>
      <c r="D3622" s="264" t="s">
        <v>1873</v>
      </c>
      <c r="E3622" s="264" t="s">
        <v>5457</v>
      </c>
      <c r="F3622" s="265">
        <v>550</v>
      </c>
      <c r="G3622" s="265"/>
      <c r="H3622" s="265">
        <f t="shared" si="151"/>
        <v>550</v>
      </c>
    </row>
    <row r="3623" spans="2:8" x14ac:dyDescent="0.2">
      <c r="B3623" s="262" t="s">
        <v>1884</v>
      </c>
      <c r="C3623" s="263">
        <v>43296</v>
      </c>
      <c r="D3623" s="264" t="s">
        <v>5367</v>
      </c>
      <c r="E3623" s="264" t="s">
        <v>5368</v>
      </c>
      <c r="F3623" s="265">
        <v>2000</v>
      </c>
      <c r="G3623" s="265"/>
      <c r="H3623" s="265">
        <f t="shared" si="151"/>
        <v>2000</v>
      </c>
    </row>
    <row r="3624" spans="2:8" x14ac:dyDescent="0.2">
      <c r="B3624" s="262" t="s">
        <v>1859</v>
      </c>
      <c r="C3624" s="263">
        <v>43296</v>
      </c>
      <c r="D3624" s="264" t="s">
        <v>4482</v>
      </c>
      <c r="E3624" s="264" t="s">
        <v>5458</v>
      </c>
      <c r="F3624" s="265">
        <v>4000</v>
      </c>
      <c r="G3624" s="265"/>
      <c r="H3624" s="265">
        <f t="shared" si="151"/>
        <v>4000</v>
      </c>
    </row>
    <row r="3625" spans="2:8" x14ac:dyDescent="0.2">
      <c r="B3625" s="262" t="s">
        <v>1577</v>
      </c>
      <c r="C3625" s="263">
        <v>43296</v>
      </c>
      <c r="D3625" s="264" t="s">
        <v>5030</v>
      </c>
      <c r="E3625" s="264" t="s">
        <v>5459</v>
      </c>
      <c r="F3625" s="265">
        <v>40000</v>
      </c>
      <c r="G3625" s="265"/>
      <c r="H3625" s="265">
        <f t="shared" si="151"/>
        <v>40000</v>
      </c>
    </row>
    <row r="3626" spans="2:8" x14ac:dyDescent="0.2">
      <c r="B3626" s="262" t="s">
        <v>1881</v>
      </c>
      <c r="C3626" s="263">
        <v>43297</v>
      </c>
      <c r="D3626" s="264" t="s">
        <v>1873</v>
      </c>
      <c r="E3626" s="264" t="s">
        <v>5431</v>
      </c>
      <c r="F3626" s="265">
        <v>200</v>
      </c>
      <c r="G3626" s="265"/>
      <c r="H3626" s="265">
        <f t="shared" si="151"/>
        <v>200</v>
      </c>
    </row>
    <row r="3627" spans="2:8" x14ac:dyDescent="0.2">
      <c r="B3627" s="262" t="s">
        <v>1858</v>
      </c>
      <c r="C3627" s="263">
        <v>43297</v>
      </c>
      <c r="D3627" s="264" t="s">
        <v>5428</v>
      </c>
      <c r="E3627" s="264" t="s">
        <v>5451</v>
      </c>
      <c r="F3627" s="265">
        <v>250</v>
      </c>
      <c r="G3627" s="265"/>
      <c r="H3627" s="265">
        <f t="shared" si="151"/>
        <v>250</v>
      </c>
    </row>
    <row r="3628" spans="2:8" x14ac:dyDescent="0.2">
      <c r="B3628" s="262" t="s">
        <v>1866</v>
      </c>
      <c r="C3628" s="263">
        <v>43297</v>
      </c>
      <c r="D3628" s="264" t="s">
        <v>1890</v>
      </c>
      <c r="E3628" s="264" t="s">
        <v>4375</v>
      </c>
      <c r="F3628" s="265">
        <v>180</v>
      </c>
      <c r="G3628" s="265"/>
      <c r="H3628" s="265">
        <f t="shared" si="151"/>
        <v>180</v>
      </c>
    </row>
    <row r="3629" spans="2:8" x14ac:dyDescent="0.2">
      <c r="B3629" s="262" t="s">
        <v>1863</v>
      </c>
      <c r="C3629" s="263">
        <v>43298</v>
      </c>
      <c r="D3629" s="264" t="s">
        <v>4750</v>
      </c>
      <c r="E3629" s="264" t="s">
        <v>4937</v>
      </c>
      <c r="F3629" s="265">
        <v>700</v>
      </c>
      <c r="G3629" s="265"/>
      <c r="H3629" s="265">
        <f t="shared" si="151"/>
        <v>700</v>
      </c>
    </row>
    <row r="3630" spans="2:8" x14ac:dyDescent="0.2">
      <c r="B3630" s="262" t="s">
        <v>1863</v>
      </c>
      <c r="C3630" s="263">
        <v>43298</v>
      </c>
      <c r="D3630" s="264" t="s">
        <v>5265</v>
      </c>
      <c r="E3630" s="264" t="s">
        <v>4688</v>
      </c>
      <c r="F3630" s="265">
        <v>200</v>
      </c>
      <c r="G3630" s="265"/>
      <c r="H3630" s="265">
        <f t="shared" si="151"/>
        <v>200</v>
      </c>
    </row>
    <row r="3631" spans="2:8" x14ac:dyDescent="0.2">
      <c r="B3631" s="262" t="s">
        <v>1884</v>
      </c>
      <c r="C3631" s="263">
        <v>43298</v>
      </c>
      <c r="D3631" s="264" t="s">
        <v>2274</v>
      </c>
      <c r="E3631" s="264" t="s">
        <v>3234</v>
      </c>
      <c r="F3631" s="265">
        <v>179.85</v>
      </c>
      <c r="G3631" s="265"/>
      <c r="H3631" s="265">
        <f t="shared" si="151"/>
        <v>179.85</v>
      </c>
    </row>
    <row r="3632" spans="2:8" x14ac:dyDescent="0.2">
      <c r="B3632" s="262" t="s">
        <v>1884</v>
      </c>
      <c r="C3632" s="263">
        <v>43298</v>
      </c>
      <c r="D3632" s="264" t="s">
        <v>2067</v>
      </c>
      <c r="E3632" s="264" t="s">
        <v>5460</v>
      </c>
      <c r="F3632" s="265">
        <v>105</v>
      </c>
      <c r="G3632" s="265"/>
      <c r="H3632" s="265">
        <f t="shared" si="151"/>
        <v>105</v>
      </c>
    </row>
    <row r="3633" spans="2:8" x14ac:dyDescent="0.2">
      <c r="B3633" s="262" t="s">
        <v>1863</v>
      </c>
      <c r="C3633" s="263">
        <v>43299</v>
      </c>
      <c r="D3633" s="264" t="s">
        <v>1893</v>
      </c>
      <c r="E3633" s="264" t="s">
        <v>4723</v>
      </c>
      <c r="F3633" s="265">
        <v>229</v>
      </c>
      <c r="G3633" s="265"/>
      <c r="H3633" s="265">
        <f t="shared" si="151"/>
        <v>229</v>
      </c>
    </row>
    <row r="3634" spans="2:8" x14ac:dyDescent="0.2">
      <c r="B3634" s="262" t="s">
        <v>1863</v>
      </c>
      <c r="C3634" s="263">
        <v>43299</v>
      </c>
      <c r="D3634" s="264" t="s">
        <v>1893</v>
      </c>
      <c r="E3634" s="264" t="s">
        <v>5462</v>
      </c>
      <c r="F3634" s="265">
        <v>45</v>
      </c>
      <c r="G3634" s="265"/>
      <c r="H3634" s="265">
        <f t="shared" si="151"/>
        <v>45</v>
      </c>
    </row>
    <row r="3635" spans="2:8" x14ac:dyDescent="0.2">
      <c r="B3635" s="262" t="s">
        <v>1863</v>
      </c>
      <c r="C3635" s="263">
        <v>43299</v>
      </c>
      <c r="D3635" s="264" t="s">
        <v>1893</v>
      </c>
      <c r="E3635" s="264" t="s">
        <v>5461</v>
      </c>
      <c r="F3635" s="265">
        <v>60</v>
      </c>
      <c r="G3635" s="265"/>
      <c r="H3635" s="265">
        <f t="shared" si="151"/>
        <v>60</v>
      </c>
    </row>
    <row r="3636" spans="2:8" x14ac:dyDescent="0.2">
      <c r="B3636" s="262" t="s">
        <v>1790</v>
      </c>
      <c r="C3636" s="263">
        <v>43299</v>
      </c>
      <c r="D3636" s="264" t="s">
        <v>1909</v>
      </c>
      <c r="E3636" s="264" t="s">
        <v>5463</v>
      </c>
      <c r="F3636" s="265"/>
      <c r="G3636" s="265">
        <v>1760</v>
      </c>
      <c r="H3636" s="265">
        <f t="shared" si="151"/>
        <v>1760</v>
      </c>
    </row>
    <row r="3637" spans="2:8" x14ac:dyDescent="0.2">
      <c r="B3637" s="341" t="s">
        <v>1805</v>
      </c>
      <c r="C3637" s="263">
        <v>43299</v>
      </c>
      <c r="D3637" s="264" t="s">
        <v>1888</v>
      </c>
      <c r="E3637" s="264" t="s">
        <v>5464</v>
      </c>
      <c r="F3637" s="265">
        <v>1400</v>
      </c>
      <c r="G3637" s="265"/>
      <c r="H3637" s="265">
        <f t="shared" si="151"/>
        <v>1400</v>
      </c>
    </row>
    <row r="3638" spans="2:8" x14ac:dyDescent="0.2">
      <c r="B3638" s="262" t="s">
        <v>1860</v>
      </c>
      <c r="C3638" s="263">
        <v>43299</v>
      </c>
      <c r="D3638" s="264" t="s">
        <v>1891</v>
      </c>
      <c r="E3638" s="264" t="s">
        <v>5465</v>
      </c>
      <c r="F3638" s="265">
        <v>958.2</v>
      </c>
      <c r="G3638" s="265"/>
      <c r="H3638" s="265">
        <f t="shared" si="151"/>
        <v>958.2</v>
      </c>
    </row>
    <row r="3639" spans="2:8" x14ac:dyDescent="0.2">
      <c r="B3639" s="262" t="s">
        <v>1861</v>
      </c>
      <c r="C3639" s="263">
        <v>43300</v>
      </c>
      <c r="D3639" s="264" t="s">
        <v>2535</v>
      </c>
      <c r="E3639" s="264" t="s">
        <v>5433</v>
      </c>
      <c r="F3639" s="265">
        <v>84</v>
      </c>
      <c r="G3639" s="265"/>
      <c r="H3639" s="265">
        <f t="shared" ref="H3639:H3701" si="152">SUM(F3639:G3639)</f>
        <v>84</v>
      </c>
    </row>
    <row r="3640" spans="2:8" x14ac:dyDescent="0.2">
      <c r="B3640" s="262" t="s">
        <v>1805</v>
      </c>
      <c r="C3640" s="263">
        <v>43301</v>
      </c>
      <c r="D3640" s="264" t="s">
        <v>1910</v>
      </c>
      <c r="E3640" s="264" t="s">
        <v>5466</v>
      </c>
      <c r="F3640" s="265">
        <v>1250</v>
      </c>
      <c r="G3640" s="265"/>
      <c r="H3640" s="265">
        <f t="shared" si="152"/>
        <v>1250</v>
      </c>
    </row>
    <row r="3641" spans="2:8" x14ac:dyDescent="0.2">
      <c r="B3641" s="262" t="s">
        <v>1860</v>
      </c>
      <c r="C3641" s="263">
        <v>43301</v>
      </c>
      <c r="D3641" s="264" t="s">
        <v>4910</v>
      </c>
      <c r="E3641" s="264" t="s">
        <v>5226</v>
      </c>
      <c r="F3641" s="265">
        <v>516</v>
      </c>
      <c r="G3641" s="265"/>
      <c r="H3641" s="265">
        <f t="shared" si="152"/>
        <v>516</v>
      </c>
    </row>
    <row r="3642" spans="2:8" x14ac:dyDescent="0.2">
      <c r="B3642" s="262" t="s">
        <v>1860</v>
      </c>
      <c r="C3642" s="263">
        <v>43301</v>
      </c>
      <c r="D3642" s="264" t="s">
        <v>5265</v>
      </c>
      <c r="E3642" s="264" t="s">
        <v>5467</v>
      </c>
      <c r="F3642" s="265">
        <v>200</v>
      </c>
      <c r="G3642" s="265"/>
      <c r="H3642" s="265">
        <f t="shared" si="152"/>
        <v>200</v>
      </c>
    </row>
    <row r="3643" spans="2:8" x14ac:dyDescent="0.2">
      <c r="B3643" s="262" t="s">
        <v>1863</v>
      </c>
      <c r="C3643" s="263">
        <v>43303</v>
      </c>
      <c r="D3643" s="264" t="s">
        <v>2250</v>
      </c>
      <c r="E3643" s="264" t="s">
        <v>5456</v>
      </c>
      <c r="F3643" s="265">
        <v>150</v>
      </c>
      <c r="G3643" s="265"/>
      <c r="H3643" s="265">
        <f t="shared" si="152"/>
        <v>150</v>
      </c>
    </row>
    <row r="3644" spans="2:8" x14ac:dyDescent="0.2">
      <c r="B3644" s="262" t="s">
        <v>1881</v>
      </c>
      <c r="C3644" s="263">
        <v>43303</v>
      </c>
      <c r="D3644" s="264" t="s">
        <v>2250</v>
      </c>
      <c r="E3644" s="264" t="s">
        <v>5468</v>
      </c>
      <c r="F3644" s="265">
        <v>120</v>
      </c>
      <c r="G3644" s="265"/>
      <c r="H3644" s="265">
        <f t="shared" si="152"/>
        <v>120</v>
      </c>
    </row>
    <row r="3645" spans="2:8" x14ac:dyDescent="0.2">
      <c r="B3645" s="262" t="s">
        <v>1864</v>
      </c>
      <c r="C3645" s="263">
        <v>43303</v>
      </c>
      <c r="D3645" s="264" t="s">
        <v>2535</v>
      </c>
      <c r="E3645" s="264" t="s">
        <v>5469</v>
      </c>
      <c r="F3645" s="265">
        <v>87.4</v>
      </c>
      <c r="G3645" s="265"/>
      <c r="H3645" s="265">
        <f t="shared" si="152"/>
        <v>87.4</v>
      </c>
    </row>
    <row r="3646" spans="2:8" x14ac:dyDescent="0.2">
      <c r="B3646" s="262" t="s">
        <v>1871</v>
      </c>
      <c r="C3646" s="263">
        <v>43304</v>
      </c>
      <c r="D3646" s="264" t="s">
        <v>5470</v>
      </c>
      <c r="E3646" s="264" t="s">
        <v>5471</v>
      </c>
      <c r="F3646" s="265">
        <v>200</v>
      </c>
      <c r="G3646" s="265"/>
      <c r="H3646" s="265">
        <f t="shared" si="152"/>
        <v>200</v>
      </c>
    </row>
    <row r="3647" spans="2:8" x14ac:dyDescent="0.2">
      <c r="B3647" s="262" t="s">
        <v>1866</v>
      </c>
      <c r="C3647" s="263">
        <v>43304</v>
      </c>
      <c r="D3647" s="264" t="s">
        <v>1890</v>
      </c>
      <c r="E3647" s="264" t="s">
        <v>5090</v>
      </c>
      <c r="F3647" s="265">
        <v>210</v>
      </c>
      <c r="G3647" s="265"/>
      <c r="H3647" s="265">
        <f t="shared" si="152"/>
        <v>210</v>
      </c>
    </row>
    <row r="3648" spans="2:8" x14ac:dyDescent="0.2">
      <c r="B3648" s="262" t="s">
        <v>1863</v>
      </c>
      <c r="C3648" s="263">
        <v>43304</v>
      </c>
      <c r="D3648" s="264" t="s">
        <v>4750</v>
      </c>
      <c r="E3648" s="264" t="s">
        <v>5472</v>
      </c>
      <c r="F3648" s="265">
        <v>750</v>
      </c>
      <c r="G3648" s="265"/>
      <c r="H3648" s="265">
        <f t="shared" si="152"/>
        <v>750</v>
      </c>
    </row>
    <row r="3649" spans="2:8" x14ac:dyDescent="0.2">
      <c r="B3649" s="262" t="s">
        <v>1863</v>
      </c>
      <c r="C3649" s="263">
        <v>43304</v>
      </c>
      <c r="D3649" s="264" t="s">
        <v>5265</v>
      </c>
      <c r="E3649" s="264" t="s">
        <v>5473</v>
      </c>
      <c r="F3649" s="265">
        <v>250</v>
      </c>
      <c r="G3649" s="265"/>
      <c r="H3649" s="265">
        <f t="shared" si="152"/>
        <v>250</v>
      </c>
    </row>
    <row r="3650" spans="2:8" x14ac:dyDescent="0.2">
      <c r="B3650" s="262" t="s">
        <v>1863</v>
      </c>
      <c r="C3650" s="263">
        <v>43304</v>
      </c>
      <c r="D3650" s="264" t="s">
        <v>4578</v>
      </c>
      <c r="E3650" s="264" t="s">
        <v>5474</v>
      </c>
      <c r="F3650" s="265">
        <v>222</v>
      </c>
      <c r="G3650" s="265"/>
      <c r="H3650" s="265">
        <f t="shared" si="152"/>
        <v>222</v>
      </c>
    </row>
    <row r="3651" spans="2:8" x14ac:dyDescent="0.2">
      <c r="B3651" s="262" t="s">
        <v>1863</v>
      </c>
      <c r="C3651" s="263">
        <v>43304</v>
      </c>
      <c r="D3651" s="264" t="s">
        <v>4487</v>
      </c>
      <c r="E3651" s="264" t="s">
        <v>5475</v>
      </c>
      <c r="F3651" s="265">
        <v>94.11</v>
      </c>
      <c r="G3651" s="265"/>
      <c r="H3651" s="265">
        <f t="shared" si="152"/>
        <v>94.11</v>
      </c>
    </row>
    <row r="3652" spans="2:8" x14ac:dyDescent="0.2">
      <c r="B3652" s="262" t="s">
        <v>1875</v>
      </c>
      <c r="C3652" s="263">
        <v>43305</v>
      </c>
      <c r="D3652" s="264" t="s">
        <v>2535</v>
      </c>
      <c r="E3652" s="264" t="s">
        <v>4847</v>
      </c>
      <c r="F3652" s="265">
        <v>36</v>
      </c>
      <c r="G3652" s="265"/>
      <c r="H3652" s="265">
        <f t="shared" si="152"/>
        <v>36</v>
      </c>
    </row>
    <row r="3653" spans="2:8" x14ac:dyDescent="0.2">
      <c r="B3653" s="262" t="s">
        <v>1860</v>
      </c>
      <c r="C3653" s="263">
        <v>43305</v>
      </c>
      <c r="D3653" s="264" t="s">
        <v>5229</v>
      </c>
      <c r="E3653" s="264" t="s">
        <v>5467</v>
      </c>
      <c r="F3653" s="265">
        <v>200</v>
      </c>
      <c r="G3653" s="265"/>
      <c r="H3653" s="265">
        <f t="shared" si="152"/>
        <v>200</v>
      </c>
    </row>
    <row r="3654" spans="2:8" x14ac:dyDescent="0.2">
      <c r="B3654" s="262" t="s">
        <v>1863</v>
      </c>
      <c r="C3654" s="263">
        <v>43305</v>
      </c>
      <c r="D3654" s="264" t="s">
        <v>5265</v>
      </c>
      <c r="E3654" s="264" t="s">
        <v>5476</v>
      </c>
      <c r="F3654" s="265">
        <v>200</v>
      </c>
      <c r="G3654" s="265"/>
      <c r="H3654" s="265">
        <f t="shared" si="152"/>
        <v>200</v>
      </c>
    </row>
    <row r="3655" spans="2:8" x14ac:dyDescent="0.2">
      <c r="B3655" s="262" t="s">
        <v>1881</v>
      </c>
      <c r="C3655" s="263">
        <v>43306</v>
      </c>
      <c r="D3655" s="264" t="s">
        <v>5265</v>
      </c>
      <c r="E3655" s="264" t="s">
        <v>5477</v>
      </c>
      <c r="F3655" s="265">
        <v>150</v>
      </c>
      <c r="G3655" s="265"/>
      <c r="H3655" s="265">
        <f t="shared" si="152"/>
        <v>150</v>
      </c>
    </row>
    <row r="3656" spans="2:8" x14ac:dyDescent="0.2">
      <c r="B3656" s="262" t="s">
        <v>1884</v>
      </c>
      <c r="C3656" s="263">
        <v>43308</v>
      </c>
      <c r="D3656" s="264" t="s">
        <v>5033</v>
      </c>
      <c r="E3656" s="264" t="s">
        <v>5105</v>
      </c>
      <c r="F3656" s="265">
        <v>300</v>
      </c>
      <c r="G3656" s="265"/>
      <c r="H3656" s="265">
        <f t="shared" si="152"/>
        <v>300</v>
      </c>
    </row>
    <row r="3657" spans="2:8" x14ac:dyDescent="0.2">
      <c r="B3657" s="345" t="s">
        <v>1857</v>
      </c>
      <c r="C3657" s="263">
        <v>43308</v>
      </c>
      <c r="D3657" s="264" t="s">
        <v>4578</v>
      </c>
      <c r="E3657" s="264" t="s">
        <v>5478</v>
      </c>
      <c r="F3657" s="265">
        <v>1161.1099999999999</v>
      </c>
      <c r="G3657" s="265"/>
      <c r="H3657" s="265">
        <f t="shared" si="152"/>
        <v>1161.1099999999999</v>
      </c>
    </row>
    <row r="3658" spans="2:8" x14ac:dyDescent="0.2">
      <c r="B3658" s="262" t="s">
        <v>1805</v>
      </c>
      <c r="C3658" s="263">
        <v>43309</v>
      </c>
      <c r="D3658" s="264" t="s">
        <v>1910</v>
      </c>
      <c r="E3658" s="264" t="s">
        <v>5479</v>
      </c>
      <c r="F3658" s="265">
        <v>1250</v>
      </c>
      <c r="G3658" s="265"/>
      <c r="H3658" s="265">
        <f t="shared" si="152"/>
        <v>1250</v>
      </c>
    </row>
    <row r="3659" spans="2:8" x14ac:dyDescent="0.2">
      <c r="B3659" s="262" t="s">
        <v>1864</v>
      </c>
      <c r="C3659" s="263">
        <v>43309</v>
      </c>
      <c r="D3659" s="264" t="s">
        <v>2535</v>
      </c>
      <c r="E3659" s="264" t="s">
        <v>5148</v>
      </c>
      <c r="F3659" s="265">
        <v>81.5</v>
      </c>
      <c r="G3659" s="265"/>
      <c r="H3659" s="265">
        <f t="shared" si="152"/>
        <v>81.5</v>
      </c>
    </row>
    <row r="3660" spans="2:8" x14ac:dyDescent="0.2">
      <c r="B3660" s="262" t="s">
        <v>1867</v>
      </c>
      <c r="C3660" s="263">
        <v>43309</v>
      </c>
      <c r="D3660" s="264" t="s">
        <v>2535</v>
      </c>
      <c r="E3660" s="264" t="s">
        <v>5399</v>
      </c>
      <c r="F3660" s="265">
        <v>200</v>
      </c>
      <c r="G3660" s="265"/>
      <c r="H3660" s="265">
        <f t="shared" si="152"/>
        <v>200</v>
      </c>
    </row>
    <row r="3661" spans="2:8" x14ac:dyDescent="0.2">
      <c r="B3661" s="262" t="s">
        <v>1861</v>
      </c>
      <c r="C3661" s="263">
        <v>43309</v>
      </c>
      <c r="D3661" s="264" t="s">
        <v>2322</v>
      </c>
      <c r="E3661" s="264" t="s">
        <v>5480</v>
      </c>
      <c r="F3661" s="265">
        <v>95</v>
      </c>
      <c r="G3661" s="265"/>
      <c r="H3661" s="265">
        <f t="shared" si="152"/>
        <v>95</v>
      </c>
    </row>
    <row r="3662" spans="2:8" x14ac:dyDescent="0.2">
      <c r="B3662" s="262" t="s">
        <v>1881</v>
      </c>
      <c r="C3662" s="263">
        <v>43310</v>
      </c>
      <c r="D3662" s="264" t="s">
        <v>2250</v>
      </c>
      <c r="E3662" s="264" t="s">
        <v>5481</v>
      </c>
      <c r="F3662" s="265">
        <v>120</v>
      </c>
      <c r="G3662" s="265"/>
      <c r="H3662" s="265">
        <f t="shared" si="152"/>
        <v>120</v>
      </c>
    </row>
    <row r="3663" spans="2:8" x14ac:dyDescent="0.2">
      <c r="B3663" s="262" t="s">
        <v>1863</v>
      </c>
      <c r="C3663" s="263">
        <v>43310</v>
      </c>
      <c r="D3663" s="264" t="s">
        <v>2250</v>
      </c>
      <c r="E3663" s="264" t="s">
        <v>5456</v>
      </c>
      <c r="F3663" s="265">
        <v>150</v>
      </c>
      <c r="G3663" s="265"/>
      <c r="H3663" s="265">
        <f t="shared" si="152"/>
        <v>150</v>
      </c>
    </row>
    <row r="3664" spans="2:8" x14ac:dyDescent="0.2">
      <c r="B3664" s="262" t="s">
        <v>1864</v>
      </c>
      <c r="C3664" s="263">
        <v>43310</v>
      </c>
      <c r="D3664" s="264" t="s">
        <v>4954</v>
      </c>
      <c r="E3664" s="264" t="s">
        <v>5482</v>
      </c>
      <c r="F3664" s="265">
        <v>78</v>
      </c>
      <c r="G3664" s="265"/>
      <c r="H3664" s="265">
        <f t="shared" si="152"/>
        <v>78</v>
      </c>
    </row>
    <row r="3665" spans="2:9" x14ac:dyDescent="0.2">
      <c r="B3665" s="262" t="s">
        <v>1864</v>
      </c>
      <c r="C3665" s="263">
        <v>43310</v>
      </c>
      <c r="D3665" s="264" t="s">
        <v>2535</v>
      </c>
      <c r="E3665" s="264" t="s">
        <v>5433</v>
      </c>
      <c r="F3665" s="265">
        <v>56</v>
      </c>
      <c r="G3665" s="265"/>
      <c r="H3665" s="265">
        <f t="shared" si="152"/>
        <v>56</v>
      </c>
    </row>
    <row r="3666" spans="2:9" x14ac:dyDescent="0.2">
      <c r="B3666" s="262" t="s">
        <v>1863</v>
      </c>
      <c r="C3666" s="263">
        <v>43311</v>
      </c>
      <c r="D3666" s="264" t="s">
        <v>4634</v>
      </c>
      <c r="E3666" s="264" t="s">
        <v>5484</v>
      </c>
      <c r="F3666" s="265">
        <v>90.29</v>
      </c>
      <c r="G3666" s="265"/>
      <c r="H3666" s="265">
        <f t="shared" si="152"/>
        <v>90.29</v>
      </c>
    </row>
    <row r="3667" spans="2:9" x14ac:dyDescent="0.2">
      <c r="B3667" s="262" t="s">
        <v>1864</v>
      </c>
      <c r="C3667" s="263">
        <v>43312</v>
      </c>
      <c r="D3667" s="264" t="s">
        <v>1910</v>
      </c>
      <c r="E3667" s="264" t="s">
        <v>5485</v>
      </c>
      <c r="F3667" s="265">
        <v>400</v>
      </c>
      <c r="G3667" s="265"/>
      <c r="H3667" s="265">
        <f t="shared" si="152"/>
        <v>400</v>
      </c>
    </row>
    <row r="3668" spans="2:9" x14ac:dyDescent="0.2">
      <c r="B3668" s="262" t="s">
        <v>1863</v>
      </c>
      <c r="C3668" s="263">
        <v>43312</v>
      </c>
      <c r="D3668" s="264" t="s">
        <v>4750</v>
      </c>
      <c r="E3668" s="264" t="s">
        <v>5472</v>
      </c>
      <c r="F3668" s="265">
        <v>360</v>
      </c>
      <c r="G3668" s="265"/>
      <c r="H3668" s="265">
        <f t="shared" si="152"/>
        <v>360</v>
      </c>
    </row>
    <row r="3669" spans="2:9" x14ac:dyDescent="0.2">
      <c r="B3669" s="262" t="s">
        <v>1863</v>
      </c>
      <c r="C3669" s="263">
        <v>43312</v>
      </c>
      <c r="D3669" s="264" t="s">
        <v>5265</v>
      </c>
      <c r="E3669" s="264" t="s">
        <v>4707</v>
      </c>
      <c r="F3669" s="265">
        <v>200</v>
      </c>
      <c r="G3669" s="265"/>
      <c r="H3669" s="265">
        <f t="shared" si="152"/>
        <v>200</v>
      </c>
    </row>
    <row r="3670" spans="2:9" x14ac:dyDescent="0.2">
      <c r="B3670" s="262" t="s">
        <v>1881</v>
      </c>
      <c r="C3670" s="263">
        <v>43312</v>
      </c>
      <c r="D3670" s="264" t="s">
        <v>2250</v>
      </c>
      <c r="E3670" s="264" t="s">
        <v>3028</v>
      </c>
      <c r="F3670" s="265">
        <v>300</v>
      </c>
      <c r="G3670" s="265"/>
      <c r="H3670" s="265">
        <f t="shared" si="152"/>
        <v>300</v>
      </c>
    </row>
    <row r="3671" spans="2:9" x14ac:dyDescent="0.2">
      <c r="B3671" s="262" t="s">
        <v>1881</v>
      </c>
      <c r="C3671" s="263">
        <v>43312</v>
      </c>
      <c r="D3671" s="264" t="s">
        <v>1873</v>
      </c>
      <c r="E3671" s="264" t="s">
        <v>5486</v>
      </c>
      <c r="F3671" s="265">
        <v>550</v>
      </c>
      <c r="G3671" s="265"/>
      <c r="H3671" s="265">
        <f t="shared" si="152"/>
        <v>550</v>
      </c>
    </row>
    <row r="3672" spans="2:9" x14ac:dyDescent="0.2">
      <c r="B3672" s="262" t="s">
        <v>1884</v>
      </c>
      <c r="C3672" s="263">
        <v>43312</v>
      </c>
      <c r="D3672" s="264" t="s">
        <v>5367</v>
      </c>
      <c r="E3672" s="264" t="s">
        <v>5488</v>
      </c>
      <c r="F3672" s="265">
        <v>2000</v>
      </c>
      <c r="G3672" s="265"/>
      <c r="H3672" s="265">
        <f t="shared" si="152"/>
        <v>2000</v>
      </c>
    </row>
    <row r="3673" spans="2:9" x14ac:dyDescent="0.2">
      <c r="B3673" s="262" t="s">
        <v>1859</v>
      </c>
      <c r="C3673" s="263">
        <v>43312</v>
      </c>
      <c r="D3673" s="264" t="s">
        <v>4482</v>
      </c>
      <c r="E3673" s="264" t="s">
        <v>5489</v>
      </c>
      <c r="F3673" s="265">
        <v>4000</v>
      </c>
      <c r="G3673" s="265"/>
      <c r="H3673" s="265">
        <f t="shared" si="152"/>
        <v>4000</v>
      </c>
    </row>
    <row r="3674" spans="2:9" x14ac:dyDescent="0.2">
      <c r="B3674" s="262" t="s">
        <v>1577</v>
      </c>
      <c r="C3674" s="263">
        <v>43312</v>
      </c>
      <c r="D3674" s="264" t="s">
        <v>5030</v>
      </c>
      <c r="E3674" s="264" t="s">
        <v>5487</v>
      </c>
      <c r="F3674" s="265">
        <v>15000</v>
      </c>
      <c r="G3674" s="265"/>
      <c r="H3674" s="265">
        <f t="shared" si="152"/>
        <v>15000</v>
      </c>
    </row>
    <row r="3675" spans="2:9" x14ac:dyDescent="0.2">
      <c r="B3675" s="262" t="s">
        <v>1577</v>
      </c>
      <c r="C3675" s="263">
        <v>43312</v>
      </c>
      <c r="D3675" s="264" t="s">
        <v>5030</v>
      </c>
      <c r="E3675" s="264" t="s">
        <v>5490</v>
      </c>
      <c r="F3675" s="265">
        <v>25000</v>
      </c>
      <c r="G3675" s="265"/>
      <c r="H3675" s="265">
        <f t="shared" si="152"/>
        <v>25000</v>
      </c>
      <c r="I3675" s="175">
        <f>SUM(H3568:H3675)</f>
        <v>129148.06999999999</v>
      </c>
    </row>
    <row r="3676" spans="2:9" x14ac:dyDescent="0.2">
      <c r="B3676" s="262" t="s">
        <v>1887</v>
      </c>
      <c r="C3676" s="263">
        <v>43253</v>
      </c>
      <c r="D3676" s="264" t="s">
        <v>1534</v>
      </c>
      <c r="E3676" s="264" t="s">
        <v>1536</v>
      </c>
      <c r="F3676" s="265">
        <v>-0.46</v>
      </c>
      <c r="G3676" s="265"/>
      <c r="H3676" s="265">
        <f t="shared" si="152"/>
        <v>-0.46</v>
      </c>
    </row>
    <row r="3677" spans="2:9" x14ac:dyDescent="0.2">
      <c r="B3677" s="262" t="s">
        <v>1790</v>
      </c>
      <c r="C3677" s="263">
        <v>43300</v>
      </c>
      <c r="D3677" s="264" t="s">
        <v>1909</v>
      </c>
      <c r="E3677" s="264" t="s">
        <v>5492</v>
      </c>
      <c r="F3677" s="265"/>
      <c r="G3677" s="265">
        <v>-1760</v>
      </c>
      <c r="H3677" s="265">
        <f t="shared" si="152"/>
        <v>-1760</v>
      </c>
    </row>
    <row r="3678" spans="2:9" x14ac:dyDescent="0.2">
      <c r="B3678" s="262" t="s">
        <v>1887</v>
      </c>
      <c r="C3678" s="263">
        <v>43312</v>
      </c>
      <c r="D3678" s="361" t="s">
        <v>1597</v>
      </c>
      <c r="E3678" s="361" t="s">
        <v>2229</v>
      </c>
      <c r="F3678" s="265">
        <v>36</v>
      </c>
      <c r="G3678" s="265"/>
      <c r="H3678" s="265">
        <f t="shared" si="152"/>
        <v>36</v>
      </c>
    </row>
    <row r="3679" spans="2:9" x14ac:dyDescent="0.2">
      <c r="B3679" s="262" t="s">
        <v>1790</v>
      </c>
      <c r="C3679" s="263">
        <v>43312</v>
      </c>
      <c r="D3679" s="361" t="s">
        <v>1597</v>
      </c>
      <c r="E3679" s="361" t="s">
        <v>2230</v>
      </c>
      <c r="F3679" s="265"/>
      <c r="G3679" s="265">
        <v>5.76</v>
      </c>
      <c r="H3679" s="265">
        <f t="shared" si="152"/>
        <v>5.76</v>
      </c>
    </row>
    <row r="3680" spans="2:9" x14ac:dyDescent="0.2">
      <c r="B3680" s="262"/>
      <c r="C3680" s="263"/>
      <c r="D3680" s="264"/>
      <c r="E3680" s="264"/>
      <c r="F3680" s="265"/>
      <c r="G3680" s="265"/>
      <c r="H3680" s="265">
        <f t="shared" si="152"/>
        <v>0</v>
      </c>
    </row>
    <row r="3681" spans="2:8" ht="18" customHeight="1" x14ac:dyDescent="0.2">
      <c r="B3681" s="255" t="s">
        <v>1850</v>
      </c>
      <c r="C3681" s="255" t="s">
        <v>1851</v>
      </c>
      <c r="D3681" s="256" t="s">
        <v>1852</v>
      </c>
      <c r="E3681" s="256" t="s">
        <v>1853</v>
      </c>
      <c r="F3681" s="257" t="s">
        <v>1854</v>
      </c>
      <c r="G3681" s="257" t="s">
        <v>1855</v>
      </c>
      <c r="H3681" s="257" t="s">
        <v>1856</v>
      </c>
    </row>
    <row r="3682" spans="2:8" x14ac:dyDescent="0.2">
      <c r="B3682" s="262" t="s">
        <v>1866</v>
      </c>
      <c r="C3682" s="263">
        <v>43313</v>
      </c>
      <c r="D3682" s="264" t="s">
        <v>1890</v>
      </c>
      <c r="E3682" s="264" t="s">
        <v>4375</v>
      </c>
      <c r="F3682" s="265">
        <v>180</v>
      </c>
      <c r="G3682" s="265"/>
      <c r="H3682" s="265">
        <f t="shared" si="152"/>
        <v>180</v>
      </c>
    </row>
    <row r="3683" spans="2:8" x14ac:dyDescent="0.2">
      <c r="B3683" s="262" t="s">
        <v>1862</v>
      </c>
      <c r="C3683" s="263">
        <v>43313</v>
      </c>
      <c r="D3683" s="264" t="s">
        <v>5013</v>
      </c>
      <c r="E3683" s="264" t="s">
        <v>5501</v>
      </c>
      <c r="F3683" s="265">
        <v>1550</v>
      </c>
      <c r="G3683" s="265"/>
      <c r="H3683" s="265">
        <f t="shared" si="152"/>
        <v>1550</v>
      </c>
    </row>
    <row r="3684" spans="2:8" x14ac:dyDescent="0.2">
      <c r="B3684" s="262" t="s">
        <v>1870</v>
      </c>
      <c r="C3684" s="263">
        <v>43313</v>
      </c>
      <c r="D3684" s="264" t="s">
        <v>5013</v>
      </c>
      <c r="E3684" s="264" t="s">
        <v>5502</v>
      </c>
      <c r="F3684" s="265">
        <v>300</v>
      </c>
      <c r="G3684" s="265"/>
      <c r="H3684" s="265">
        <f t="shared" si="152"/>
        <v>300</v>
      </c>
    </row>
    <row r="3685" spans="2:8" x14ac:dyDescent="0.2">
      <c r="B3685" s="262" t="s">
        <v>1860</v>
      </c>
      <c r="C3685" s="263">
        <v>43313</v>
      </c>
      <c r="D3685" s="264" t="s">
        <v>3955</v>
      </c>
      <c r="E3685" s="264" t="s">
        <v>5503</v>
      </c>
      <c r="F3685" s="265">
        <v>12</v>
      </c>
      <c r="G3685" s="265"/>
      <c r="H3685" s="265">
        <f t="shared" si="152"/>
        <v>12</v>
      </c>
    </row>
    <row r="3686" spans="2:8" x14ac:dyDescent="0.2">
      <c r="B3686" s="262" t="s">
        <v>1860</v>
      </c>
      <c r="C3686" s="263">
        <v>43313</v>
      </c>
      <c r="D3686" s="264" t="s">
        <v>3955</v>
      </c>
      <c r="E3686" s="264" t="s">
        <v>5504</v>
      </c>
      <c r="F3686" s="265">
        <v>30</v>
      </c>
      <c r="G3686" s="265"/>
      <c r="H3686" s="265">
        <f t="shared" si="152"/>
        <v>30</v>
      </c>
    </row>
    <row r="3687" spans="2:8" x14ac:dyDescent="0.2">
      <c r="B3687" s="262" t="s">
        <v>1881</v>
      </c>
      <c r="C3687" s="263">
        <v>43314</v>
      </c>
      <c r="D3687" s="264" t="s">
        <v>1906</v>
      </c>
      <c r="E3687" s="264" t="s">
        <v>5505</v>
      </c>
      <c r="F3687" s="265">
        <v>80</v>
      </c>
      <c r="G3687" s="265"/>
      <c r="H3687" s="265">
        <f t="shared" si="152"/>
        <v>80</v>
      </c>
    </row>
    <row r="3688" spans="2:8" x14ac:dyDescent="0.2">
      <c r="B3688" s="262" t="s">
        <v>1805</v>
      </c>
      <c r="C3688" s="263">
        <v>43315</v>
      </c>
      <c r="D3688" s="264" t="s">
        <v>1910</v>
      </c>
      <c r="E3688" s="264" t="s">
        <v>5506</v>
      </c>
      <c r="F3688" s="265">
        <v>1250</v>
      </c>
      <c r="G3688" s="265"/>
      <c r="H3688" s="265">
        <f t="shared" si="152"/>
        <v>1250</v>
      </c>
    </row>
    <row r="3689" spans="2:8" x14ac:dyDescent="0.2">
      <c r="B3689" s="262" t="s">
        <v>1884</v>
      </c>
      <c r="C3689" s="263">
        <v>43315</v>
      </c>
      <c r="D3689" s="264" t="s">
        <v>5033</v>
      </c>
      <c r="E3689" s="264" t="s">
        <v>5105</v>
      </c>
      <c r="F3689" s="265">
        <v>300</v>
      </c>
      <c r="G3689" s="265"/>
      <c r="H3689" s="265">
        <f t="shared" si="152"/>
        <v>300</v>
      </c>
    </row>
    <row r="3690" spans="2:8" x14ac:dyDescent="0.2">
      <c r="B3690" s="262" t="s">
        <v>1881</v>
      </c>
      <c r="C3690" s="263">
        <v>43315</v>
      </c>
      <c r="D3690" s="264" t="s">
        <v>5265</v>
      </c>
      <c r="E3690" s="264" t="s">
        <v>5507</v>
      </c>
      <c r="F3690" s="265">
        <v>200</v>
      </c>
      <c r="G3690" s="265"/>
      <c r="H3690" s="265">
        <f t="shared" si="152"/>
        <v>200</v>
      </c>
    </row>
    <row r="3691" spans="2:8" x14ac:dyDescent="0.2">
      <c r="B3691" s="262" t="s">
        <v>1884</v>
      </c>
      <c r="C3691" s="263">
        <v>43316</v>
      </c>
      <c r="D3691" s="264" t="s">
        <v>2535</v>
      </c>
      <c r="E3691" s="264" t="s">
        <v>5508</v>
      </c>
      <c r="F3691" s="265">
        <v>61.5</v>
      </c>
      <c r="G3691" s="265"/>
      <c r="H3691" s="265">
        <f t="shared" si="152"/>
        <v>61.5</v>
      </c>
    </row>
    <row r="3692" spans="2:8" x14ac:dyDescent="0.2">
      <c r="B3692" s="262" t="s">
        <v>1884</v>
      </c>
      <c r="C3692" s="263">
        <v>43317</v>
      </c>
      <c r="D3692" s="264" t="s">
        <v>2535</v>
      </c>
      <c r="E3692" s="264" t="s">
        <v>5509</v>
      </c>
      <c r="F3692" s="265">
        <v>33.5</v>
      </c>
      <c r="G3692" s="265"/>
      <c r="H3692" s="265">
        <f t="shared" si="152"/>
        <v>33.5</v>
      </c>
    </row>
    <row r="3693" spans="2:8" x14ac:dyDescent="0.2">
      <c r="B3693" s="262" t="s">
        <v>1881</v>
      </c>
      <c r="C3693" s="263">
        <v>43317</v>
      </c>
      <c r="D3693" s="264" t="s">
        <v>2250</v>
      </c>
      <c r="E3693" s="264" t="s">
        <v>5439</v>
      </c>
      <c r="F3693" s="265">
        <v>120</v>
      </c>
      <c r="G3693" s="265"/>
      <c r="H3693" s="265">
        <f t="shared" si="152"/>
        <v>120</v>
      </c>
    </row>
    <row r="3694" spans="2:8" x14ac:dyDescent="0.2">
      <c r="B3694" s="262" t="s">
        <v>1863</v>
      </c>
      <c r="C3694" s="263">
        <v>43317</v>
      </c>
      <c r="D3694" s="264" t="s">
        <v>2250</v>
      </c>
      <c r="E3694" s="264" t="s">
        <v>5456</v>
      </c>
      <c r="F3694" s="265">
        <v>150</v>
      </c>
      <c r="G3694" s="265"/>
      <c r="H3694" s="265">
        <f t="shared" si="152"/>
        <v>150</v>
      </c>
    </row>
    <row r="3695" spans="2:8" x14ac:dyDescent="0.2">
      <c r="B3695" s="262" t="s">
        <v>1864</v>
      </c>
      <c r="C3695" s="263">
        <v>43317</v>
      </c>
      <c r="D3695" s="264" t="s">
        <v>4954</v>
      </c>
      <c r="E3695" s="264" t="s">
        <v>5510</v>
      </c>
      <c r="F3695" s="265">
        <v>81</v>
      </c>
      <c r="G3695" s="265"/>
      <c r="H3695" s="265">
        <f t="shared" si="152"/>
        <v>81</v>
      </c>
    </row>
    <row r="3696" spans="2:8" x14ac:dyDescent="0.2">
      <c r="B3696" s="262" t="s">
        <v>1866</v>
      </c>
      <c r="C3696" s="263">
        <v>43318</v>
      </c>
      <c r="D3696" s="264" t="s">
        <v>1890</v>
      </c>
      <c r="E3696" s="264" t="s">
        <v>5090</v>
      </c>
      <c r="F3696" s="265">
        <v>210</v>
      </c>
      <c r="G3696" s="265"/>
      <c r="H3696" s="265">
        <f t="shared" si="152"/>
        <v>210</v>
      </c>
    </row>
    <row r="3697" spans="2:8" x14ac:dyDescent="0.2">
      <c r="B3697" s="262" t="s">
        <v>1858</v>
      </c>
      <c r="C3697" s="263">
        <v>43318</v>
      </c>
      <c r="D3697" s="264" t="s">
        <v>2401</v>
      </c>
      <c r="E3697" s="264" t="s">
        <v>5511</v>
      </c>
      <c r="F3697" s="265">
        <v>70</v>
      </c>
      <c r="G3697" s="265"/>
      <c r="H3697" s="265">
        <f t="shared" si="152"/>
        <v>70</v>
      </c>
    </row>
    <row r="3698" spans="2:8" x14ac:dyDescent="0.2">
      <c r="B3698" s="262" t="s">
        <v>1870</v>
      </c>
      <c r="C3698" s="263">
        <v>43318</v>
      </c>
      <c r="D3698" s="264" t="s">
        <v>5013</v>
      </c>
      <c r="E3698" s="264" t="s">
        <v>5512</v>
      </c>
      <c r="F3698" s="265">
        <v>300</v>
      </c>
      <c r="G3698" s="265"/>
      <c r="H3698" s="265">
        <f t="shared" si="152"/>
        <v>300</v>
      </c>
    </row>
    <row r="3699" spans="2:8" x14ac:dyDescent="0.2">
      <c r="B3699" s="262" t="s">
        <v>1879</v>
      </c>
      <c r="C3699" s="263">
        <v>43319</v>
      </c>
      <c r="D3699" s="264" t="s">
        <v>3330</v>
      </c>
      <c r="E3699" s="264" t="s">
        <v>5513</v>
      </c>
      <c r="F3699" s="265">
        <v>400</v>
      </c>
      <c r="G3699" s="265"/>
      <c r="H3699" s="265">
        <f t="shared" si="152"/>
        <v>400</v>
      </c>
    </row>
    <row r="3700" spans="2:8" x14ac:dyDescent="0.2">
      <c r="B3700" s="262" t="s">
        <v>1884</v>
      </c>
      <c r="C3700" s="263">
        <v>43320</v>
      </c>
      <c r="D3700" s="264" t="s">
        <v>5449</v>
      </c>
      <c r="E3700" s="264" t="s">
        <v>5514</v>
      </c>
      <c r="F3700" s="265">
        <v>120</v>
      </c>
      <c r="G3700" s="265"/>
      <c r="H3700" s="265">
        <f t="shared" si="152"/>
        <v>120</v>
      </c>
    </row>
    <row r="3701" spans="2:8" x14ac:dyDescent="0.2">
      <c r="B3701" s="262" t="s">
        <v>1865</v>
      </c>
      <c r="C3701" s="263">
        <v>43320</v>
      </c>
      <c r="D3701" s="264" t="s">
        <v>2535</v>
      </c>
      <c r="E3701" s="264" t="s">
        <v>5515</v>
      </c>
      <c r="F3701" s="265">
        <v>90</v>
      </c>
      <c r="G3701" s="265"/>
      <c r="H3701" s="265">
        <f t="shared" si="152"/>
        <v>90</v>
      </c>
    </row>
    <row r="3702" spans="2:8" x14ac:dyDescent="0.2">
      <c r="B3702" s="262" t="s">
        <v>1884</v>
      </c>
      <c r="C3702" s="263">
        <v>43320</v>
      </c>
      <c r="D3702" s="264" t="s">
        <v>5033</v>
      </c>
      <c r="E3702" s="264" t="s">
        <v>5105</v>
      </c>
      <c r="F3702" s="265">
        <v>300</v>
      </c>
      <c r="G3702" s="265"/>
      <c r="H3702" s="265">
        <f t="shared" ref="H3702:H3764" si="153">SUM(F3702:G3702)</f>
        <v>300</v>
      </c>
    </row>
    <row r="3703" spans="2:8" x14ac:dyDescent="0.2">
      <c r="B3703" s="262" t="s">
        <v>1875</v>
      </c>
      <c r="C3703" s="263">
        <v>43320</v>
      </c>
      <c r="D3703" s="264" t="s">
        <v>2535</v>
      </c>
      <c r="E3703" s="264" t="s">
        <v>5516</v>
      </c>
      <c r="F3703" s="265">
        <v>86.9</v>
      </c>
      <c r="G3703" s="265"/>
      <c r="H3703" s="265">
        <f t="shared" si="153"/>
        <v>86.9</v>
      </c>
    </row>
    <row r="3704" spans="2:8" x14ac:dyDescent="0.2">
      <c r="B3704" s="262" t="s">
        <v>1884</v>
      </c>
      <c r="C3704" s="263">
        <v>43321</v>
      </c>
      <c r="D3704" s="264" t="s">
        <v>5517</v>
      </c>
      <c r="E3704" s="264" t="s">
        <v>5518</v>
      </c>
      <c r="F3704" s="265">
        <v>54</v>
      </c>
      <c r="G3704" s="265"/>
      <c r="H3704" s="265">
        <f t="shared" si="153"/>
        <v>54</v>
      </c>
    </row>
    <row r="3705" spans="2:8" x14ac:dyDescent="0.2">
      <c r="B3705" s="262" t="s">
        <v>1790</v>
      </c>
      <c r="C3705" s="263">
        <v>43321</v>
      </c>
      <c r="D3705" s="264" t="s">
        <v>1909</v>
      </c>
      <c r="E3705" s="264" t="s">
        <v>5519</v>
      </c>
      <c r="F3705" s="265"/>
      <c r="G3705" s="265">
        <v>1760</v>
      </c>
      <c r="H3705" s="265">
        <f t="shared" si="153"/>
        <v>1760</v>
      </c>
    </row>
    <row r="3706" spans="2:8" x14ac:dyDescent="0.2">
      <c r="B3706" s="341" t="s">
        <v>1805</v>
      </c>
      <c r="C3706" s="263">
        <v>43321</v>
      </c>
      <c r="D3706" s="264" t="s">
        <v>1888</v>
      </c>
      <c r="E3706" s="264" t="s">
        <v>5520</v>
      </c>
      <c r="F3706" s="265">
        <v>1400</v>
      </c>
      <c r="G3706" s="265"/>
      <c r="H3706" s="265">
        <f t="shared" si="153"/>
        <v>1400</v>
      </c>
    </row>
    <row r="3707" spans="2:8" x14ac:dyDescent="0.2">
      <c r="B3707" s="262" t="s">
        <v>1881</v>
      </c>
      <c r="C3707" s="263">
        <v>43321</v>
      </c>
      <c r="D3707" s="264" t="s">
        <v>1873</v>
      </c>
      <c r="E3707" s="264" t="s">
        <v>5521</v>
      </c>
      <c r="F3707" s="265">
        <v>200</v>
      </c>
      <c r="G3707" s="265"/>
      <c r="H3707" s="265">
        <f t="shared" si="153"/>
        <v>200</v>
      </c>
    </row>
    <row r="3708" spans="2:8" x14ac:dyDescent="0.2">
      <c r="B3708" s="262" t="s">
        <v>1865</v>
      </c>
      <c r="C3708" s="263">
        <v>43322</v>
      </c>
      <c r="D3708" s="264" t="s">
        <v>2535</v>
      </c>
      <c r="E3708" s="264" t="s">
        <v>5522</v>
      </c>
      <c r="F3708" s="265">
        <v>26.5</v>
      </c>
      <c r="G3708" s="265"/>
      <c r="H3708" s="265">
        <f t="shared" si="153"/>
        <v>26.5</v>
      </c>
    </row>
    <row r="3709" spans="2:8" x14ac:dyDescent="0.2">
      <c r="B3709" s="262" t="s">
        <v>1879</v>
      </c>
      <c r="C3709" s="263">
        <v>43322</v>
      </c>
      <c r="D3709" s="264" t="s">
        <v>3330</v>
      </c>
      <c r="E3709" s="264" t="s">
        <v>5523</v>
      </c>
      <c r="F3709" s="265">
        <v>350</v>
      </c>
      <c r="G3709" s="265"/>
      <c r="H3709" s="265">
        <f t="shared" si="153"/>
        <v>350</v>
      </c>
    </row>
    <row r="3710" spans="2:8" x14ac:dyDescent="0.2">
      <c r="B3710" s="262" t="s">
        <v>1805</v>
      </c>
      <c r="C3710" s="263">
        <v>43322</v>
      </c>
      <c r="D3710" s="264" t="s">
        <v>1910</v>
      </c>
      <c r="E3710" s="264" t="s">
        <v>5543</v>
      </c>
      <c r="F3710" s="265">
        <v>1250</v>
      </c>
      <c r="G3710" s="265"/>
      <c r="H3710" s="265">
        <f t="shared" si="153"/>
        <v>1250</v>
      </c>
    </row>
    <row r="3711" spans="2:8" x14ac:dyDescent="0.2">
      <c r="B3711" s="262" t="s">
        <v>1864</v>
      </c>
      <c r="C3711" s="263">
        <v>43324</v>
      </c>
      <c r="D3711" s="264" t="s">
        <v>2535</v>
      </c>
      <c r="E3711" s="264" t="s">
        <v>5524</v>
      </c>
      <c r="F3711" s="265">
        <v>41</v>
      </c>
      <c r="G3711" s="265"/>
      <c r="H3711" s="265">
        <f t="shared" si="153"/>
        <v>41</v>
      </c>
    </row>
    <row r="3712" spans="2:8" x14ac:dyDescent="0.2">
      <c r="B3712" s="262" t="s">
        <v>1864</v>
      </c>
      <c r="C3712" s="263">
        <v>43324</v>
      </c>
      <c r="D3712" s="264" t="s">
        <v>2535</v>
      </c>
      <c r="E3712" s="264" t="s">
        <v>5525</v>
      </c>
      <c r="F3712" s="265">
        <v>53.5</v>
      </c>
      <c r="G3712" s="265"/>
      <c r="H3712" s="265">
        <f t="shared" si="153"/>
        <v>53.5</v>
      </c>
    </row>
    <row r="3713" spans="2:8" x14ac:dyDescent="0.2">
      <c r="B3713" s="262" t="s">
        <v>1864</v>
      </c>
      <c r="C3713" s="263">
        <v>43324</v>
      </c>
      <c r="D3713" s="264" t="s">
        <v>4954</v>
      </c>
      <c r="E3713" s="264" t="s">
        <v>5510</v>
      </c>
      <c r="F3713" s="265">
        <v>127</v>
      </c>
      <c r="G3713" s="265"/>
      <c r="H3713" s="265">
        <f t="shared" si="153"/>
        <v>127</v>
      </c>
    </row>
    <row r="3714" spans="2:8" x14ac:dyDescent="0.2">
      <c r="B3714" s="262" t="s">
        <v>1881</v>
      </c>
      <c r="C3714" s="263">
        <v>43324</v>
      </c>
      <c r="D3714" s="264" t="s">
        <v>2250</v>
      </c>
      <c r="E3714" s="264" t="s">
        <v>5468</v>
      </c>
      <c r="F3714" s="265">
        <v>120</v>
      </c>
      <c r="G3714" s="265"/>
      <c r="H3714" s="265">
        <f t="shared" si="153"/>
        <v>120</v>
      </c>
    </row>
    <row r="3715" spans="2:8" x14ac:dyDescent="0.2">
      <c r="B3715" s="262" t="s">
        <v>1863</v>
      </c>
      <c r="C3715" s="263">
        <v>43324</v>
      </c>
      <c r="D3715" s="264" t="s">
        <v>2250</v>
      </c>
      <c r="E3715" s="264" t="s">
        <v>5456</v>
      </c>
      <c r="F3715" s="265">
        <v>150</v>
      </c>
      <c r="G3715" s="265"/>
      <c r="H3715" s="265">
        <f t="shared" si="153"/>
        <v>150</v>
      </c>
    </row>
    <row r="3716" spans="2:8" x14ac:dyDescent="0.2">
      <c r="B3716" s="262" t="s">
        <v>1879</v>
      </c>
      <c r="C3716" s="263">
        <v>43324</v>
      </c>
      <c r="D3716" s="264" t="s">
        <v>3330</v>
      </c>
      <c r="E3716" s="264" t="s">
        <v>5526</v>
      </c>
      <c r="F3716" s="265">
        <v>350</v>
      </c>
      <c r="G3716" s="265"/>
      <c r="H3716" s="265">
        <f t="shared" si="153"/>
        <v>350</v>
      </c>
    </row>
    <row r="3717" spans="2:8" x14ac:dyDescent="0.2">
      <c r="B3717" s="262" t="s">
        <v>1865</v>
      </c>
      <c r="C3717" s="263">
        <v>43325</v>
      </c>
      <c r="D3717" s="264" t="s">
        <v>2535</v>
      </c>
      <c r="E3717" s="264" t="s">
        <v>5527</v>
      </c>
      <c r="F3717" s="265">
        <v>35</v>
      </c>
      <c r="G3717" s="265"/>
      <c r="H3717" s="265">
        <f t="shared" si="153"/>
        <v>35</v>
      </c>
    </row>
    <row r="3718" spans="2:8" x14ac:dyDescent="0.2">
      <c r="B3718" s="262" t="s">
        <v>1866</v>
      </c>
      <c r="C3718" s="263">
        <v>43325</v>
      </c>
      <c r="D3718" s="264" t="s">
        <v>5013</v>
      </c>
      <c r="E3718" s="264" t="s">
        <v>5529</v>
      </c>
      <c r="F3718" s="265">
        <v>300</v>
      </c>
      <c r="G3718" s="265"/>
      <c r="H3718" s="265">
        <f t="shared" si="153"/>
        <v>300</v>
      </c>
    </row>
    <row r="3719" spans="2:8" x14ac:dyDescent="0.2">
      <c r="B3719" s="262" t="s">
        <v>1866</v>
      </c>
      <c r="C3719" s="263">
        <v>43325</v>
      </c>
      <c r="D3719" s="264" t="s">
        <v>1890</v>
      </c>
      <c r="E3719" s="264" t="s">
        <v>5528</v>
      </c>
      <c r="F3719" s="265">
        <v>180</v>
      </c>
      <c r="G3719" s="265"/>
      <c r="H3719" s="265">
        <f t="shared" si="153"/>
        <v>180</v>
      </c>
    </row>
    <row r="3720" spans="2:8" x14ac:dyDescent="0.2">
      <c r="B3720" s="262" t="s">
        <v>1867</v>
      </c>
      <c r="C3720" s="263">
        <v>43325</v>
      </c>
      <c r="D3720" s="264" t="s">
        <v>1894</v>
      </c>
      <c r="E3720" s="264" t="s">
        <v>5530</v>
      </c>
      <c r="F3720" s="265">
        <v>778</v>
      </c>
      <c r="G3720" s="265"/>
      <c r="H3720" s="265">
        <f t="shared" si="153"/>
        <v>778</v>
      </c>
    </row>
    <row r="3721" spans="2:8" x14ac:dyDescent="0.2">
      <c r="B3721" s="262" t="s">
        <v>1857</v>
      </c>
      <c r="C3721" s="263">
        <v>43326</v>
      </c>
      <c r="D3721" s="264" t="s">
        <v>3607</v>
      </c>
      <c r="E3721" s="264" t="s">
        <v>5531</v>
      </c>
      <c r="F3721" s="265">
        <v>30</v>
      </c>
      <c r="G3721" s="265"/>
      <c r="H3721" s="265">
        <f t="shared" si="153"/>
        <v>30</v>
      </c>
    </row>
    <row r="3722" spans="2:8" x14ac:dyDescent="0.2">
      <c r="B3722" s="262" t="s">
        <v>1857</v>
      </c>
      <c r="C3722" s="263">
        <v>43326</v>
      </c>
      <c r="D3722" s="264" t="s">
        <v>3607</v>
      </c>
      <c r="E3722" s="264" t="s">
        <v>5532</v>
      </c>
      <c r="F3722" s="265">
        <v>30</v>
      </c>
      <c r="G3722" s="265"/>
      <c r="H3722" s="265">
        <f t="shared" si="153"/>
        <v>30</v>
      </c>
    </row>
    <row r="3723" spans="2:8" x14ac:dyDescent="0.2">
      <c r="B3723" s="262" t="s">
        <v>1857</v>
      </c>
      <c r="C3723" s="263">
        <v>43327</v>
      </c>
      <c r="D3723" s="264" t="s">
        <v>5533</v>
      </c>
      <c r="E3723" s="264" t="s">
        <v>5534</v>
      </c>
      <c r="F3723" s="265">
        <v>300</v>
      </c>
      <c r="G3723" s="265"/>
      <c r="H3723" s="265">
        <f t="shared" si="153"/>
        <v>300</v>
      </c>
    </row>
    <row r="3724" spans="2:8" x14ac:dyDescent="0.2">
      <c r="B3724" s="262" t="s">
        <v>1884</v>
      </c>
      <c r="C3724" s="263">
        <v>43327</v>
      </c>
      <c r="D3724" s="264" t="s">
        <v>5033</v>
      </c>
      <c r="E3724" s="264" t="s">
        <v>5105</v>
      </c>
      <c r="F3724" s="265">
        <v>300</v>
      </c>
      <c r="G3724" s="265"/>
      <c r="H3724" s="265">
        <f t="shared" si="153"/>
        <v>300</v>
      </c>
    </row>
    <row r="3725" spans="2:8" x14ac:dyDescent="0.2">
      <c r="B3725" s="262" t="s">
        <v>1857</v>
      </c>
      <c r="C3725" s="263">
        <v>43327</v>
      </c>
      <c r="D3725" s="264" t="s">
        <v>4877</v>
      </c>
      <c r="E3725" s="264" t="s">
        <v>5535</v>
      </c>
      <c r="F3725" s="265">
        <v>350</v>
      </c>
      <c r="G3725" s="265"/>
      <c r="H3725" s="265">
        <f t="shared" si="153"/>
        <v>350</v>
      </c>
    </row>
    <row r="3726" spans="2:8" x14ac:dyDescent="0.2">
      <c r="B3726" s="262" t="s">
        <v>1881</v>
      </c>
      <c r="C3726" s="263">
        <v>43327</v>
      </c>
      <c r="D3726" s="264" t="s">
        <v>2250</v>
      </c>
      <c r="E3726" s="264" t="s">
        <v>3087</v>
      </c>
      <c r="F3726" s="265">
        <v>350</v>
      </c>
      <c r="G3726" s="265"/>
      <c r="H3726" s="265">
        <f t="shared" si="153"/>
        <v>350</v>
      </c>
    </row>
    <row r="3727" spans="2:8" x14ac:dyDescent="0.2">
      <c r="B3727" s="262" t="s">
        <v>1881</v>
      </c>
      <c r="C3727" s="263">
        <v>43327</v>
      </c>
      <c r="D3727" s="264" t="s">
        <v>1873</v>
      </c>
      <c r="E3727" s="264" t="s">
        <v>5536</v>
      </c>
      <c r="F3727" s="265">
        <v>550</v>
      </c>
      <c r="G3727" s="265"/>
      <c r="H3727" s="265">
        <f t="shared" si="153"/>
        <v>550</v>
      </c>
    </row>
    <row r="3728" spans="2:8" x14ac:dyDescent="0.2">
      <c r="B3728" s="262" t="s">
        <v>1884</v>
      </c>
      <c r="C3728" s="263">
        <v>43327</v>
      </c>
      <c r="D3728" s="264" t="s">
        <v>5367</v>
      </c>
      <c r="E3728" s="264" t="s">
        <v>5156</v>
      </c>
      <c r="F3728" s="265">
        <v>2000</v>
      </c>
      <c r="G3728" s="265"/>
      <c r="H3728" s="265">
        <f t="shared" si="153"/>
        <v>2000</v>
      </c>
    </row>
    <row r="3729" spans="2:9" x14ac:dyDescent="0.2">
      <c r="B3729" s="262" t="s">
        <v>1859</v>
      </c>
      <c r="C3729" s="263">
        <v>43327</v>
      </c>
      <c r="D3729" s="264" t="s">
        <v>4482</v>
      </c>
      <c r="E3729" s="264" t="s">
        <v>5293</v>
      </c>
      <c r="F3729" s="265">
        <v>4000</v>
      </c>
      <c r="G3729" s="265"/>
      <c r="H3729" s="265">
        <f t="shared" si="153"/>
        <v>4000</v>
      </c>
    </row>
    <row r="3730" spans="2:9" x14ac:dyDescent="0.2">
      <c r="B3730" s="262" t="s">
        <v>1577</v>
      </c>
      <c r="C3730" s="263">
        <v>43327</v>
      </c>
      <c r="D3730" s="264" t="s">
        <v>5030</v>
      </c>
      <c r="E3730" s="264" t="s">
        <v>5537</v>
      </c>
      <c r="F3730" s="265">
        <v>40000</v>
      </c>
      <c r="G3730" s="265"/>
      <c r="H3730" s="265">
        <f t="shared" si="153"/>
        <v>40000</v>
      </c>
    </row>
    <row r="3731" spans="2:9" x14ac:dyDescent="0.2">
      <c r="B3731" s="262" t="s">
        <v>1860</v>
      </c>
      <c r="C3731" s="263">
        <v>43328</v>
      </c>
      <c r="D3731" s="264" t="s">
        <v>3955</v>
      </c>
      <c r="E3731" s="264" t="s">
        <v>5538</v>
      </c>
      <c r="F3731" s="265">
        <v>180</v>
      </c>
      <c r="G3731" s="265"/>
      <c r="H3731" s="265">
        <f t="shared" si="153"/>
        <v>180</v>
      </c>
    </row>
    <row r="3732" spans="2:9" x14ac:dyDescent="0.2">
      <c r="B3732" s="262" t="s">
        <v>1860</v>
      </c>
      <c r="C3732" s="263">
        <v>43328</v>
      </c>
      <c r="D3732" s="264" t="s">
        <v>5265</v>
      </c>
      <c r="E3732" s="264" t="s">
        <v>5539</v>
      </c>
      <c r="F3732" s="265">
        <v>250</v>
      </c>
      <c r="G3732" s="265"/>
      <c r="H3732" s="265">
        <f t="shared" si="153"/>
        <v>250</v>
      </c>
    </row>
    <row r="3733" spans="2:9" x14ac:dyDescent="0.2">
      <c r="B3733" s="262" t="s">
        <v>1884</v>
      </c>
      <c r="C3733" s="263">
        <v>43329</v>
      </c>
      <c r="D3733" s="264" t="s">
        <v>5540</v>
      </c>
      <c r="E3733" s="264" t="s">
        <v>5541</v>
      </c>
      <c r="F3733" s="265">
        <v>300</v>
      </c>
      <c r="G3733" s="265"/>
      <c r="H3733" s="265">
        <f t="shared" si="153"/>
        <v>300</v>
      </c>
    </row>
    <row r="3734" spans="2:9" x14ac:dyDescent="0.2">
      <c r="B3734" s="262" t="s">
        <v>1805</v>
      </c>
      <c r="C3734" s="263">
        <v>43329</v>
      </c>
      <c r="D3734" s="264" t="s">
        <v>1910</v>
      </c>
      <c r="E3734" s="264" t="s">
        <v>5542</v>
      </c>
      <c r="F3734" s="265">
        <v>1250</v>
      </c>
      <c r="G3734" s="265"/>
      <c r="H3734" s="265">
        <f t="shared" si="153"/>
        <v>1250</v>
      </c>
    </row>
    <row r="3735" spans="2:9" x14ac:dyDescent="0.2">
      <c r="B3735" s="262" t="s">
        <v>1861</v>
      </c>
      <c r="C3735" s="263">
        <v>43330</v>
      </c>
      <c r="D3735" s="264" t="s">
        <v>3125</v>
      </c>
      <c r="E3735" s="264" t="s">
        <v>5355</v>
      </c>
      <c r="F3735" s="265">
        <v>37.5</v>
      </c>
      <c r="G3735" s="265"/>
      <c r="H3735" s="265">
        <f t="shared" si="153"/>
        <v>37.5</v>
      </c>
    </row>
    <row r="3736" spans="2:9" x14ac:dyDescent="0.2">
      <c r="B3736" s="262" t="s">
        <v>1861</v>
      </c>
      <c r="C3736" s="263">
        <v>43330</v>
      </c>
      <c r="D3736" s="264" t="s">
        <v>3125</v>
      </c>
      <c r="E3736" s="264" t="s">
        <v>5544</v>
      </c>
      <c r="F3736" s="265">
        <v>40.5</v>
      </c>
      <c r="G3736" s="265"/>
      <c r="H3736" s="265">
        <f t="shared" si="153"/>
        <v>40.5</v>
      </c>
    </row>
    <row r="3737" spans="2:9" x14ac:dyDescent="0.2">
      <c r="B3737" s="262" t="s">
        <v>1861</v>
      </c>
      <c r="C3737" s="263">
        <v>42965</v>
      </c>
      <c r="D3737" s="264" t="s">
        <v>1893</v>
      </c>
      <c r="E3737" s="264" t="s">
        <v>5433</v>
      </c>
      <c r="F3737" s="265">
        <v>164.01</v>
      </c>
      <c r="G3737" s="265"/>
      <c r="H3737" s="265">
        <f t="shared" si="153"/>
        <v>164.01</v>
      </c>
    </row>
    <row r="3738" spans="2:9" x14ac:dyDescent="0.2">
      <c r="B3738" s="262" t="s">
        <v>1881</v>
      </c>
      <c r="C3738" s="263">
        <v>43331</v>
      </c>
      <c r="D3738" s="264" t="s">
        <v>2250</v>
      </c>
      <c r="E3738" s="264" t="s">
        <v>5468</v>
      </c>
      <c r="F3738" s="265">
        <v>120</v>
      </c>
      <c r="G3738" s="265"/>
      <c r="H3738" s="265">
        <f t="shared" si="153"/>
        <v>120</v>
      </c>
    </row>
    <row r="3739" spans="2:9" x14ac:dyDescent="0.2">
      <c r="B3739" s="262" t="s">
        <v>1864</v>
      </c>
      <c r="C3739" s="263">
        <v>43331</v>
      </c>
      <c r="D3739" s="264" t="s">
        <v>2535</v>
      </c>
      <c r="E3739" s="264" t="s">
        <v>5545</v>
      </c>
      <c r="F3739" s="265">
        <v>76</v>
      </c>
      <c r="G3739" s="265"/>
      <c r="H3739" s="265">
        <f t="shared" si="153"/>
        <v>76</v>
      </c>
    </row>
    <row r="3740" spans="2:9" x14ac:dyDescent="0.2">
      <c r="B3740" s="262" t="s">
        <v>1864</v>
      </c>
      <c r="C3740" s="263">
        <v>43331</v>
      </c>
      <c r="D3740" s="264" t="s">
        <v>2535</v>
      </c>
      <c r="E3740" s="264" t="s">
        <v>5509</v>
      </c>
      <c r="F3740" s="265">
        <v>59</v>
      </c>
      <c r="G3740" s="265"/>
      <c r="H3740" s="265">
        <f t="shared" si="153"/>
        <v>59</v>
      </c>
    </row>
    <row r="3741" spans="2:9" x14ac:dyDescent="0.2">
      <c r="B3741" s="262" t="s">
        <v>1864</v>
      </c>
      <c r="C3741" s="263">
        <v>43332</v>
      </c>
      <c r="D3741" s="264" t="s">
        <v>1910</v>
      </c>
      <c r="E3741" s="264" t="s">
        <v>5546</v>
      </c>
      <c r="F3741" s="265">
        <v>400</v>
      </c>
      <c r="G3741" s="265"/>
      <c r="H3741" s="265">
        <f t="shared" si="153"/>
        <v>400</v>
      </c>
    </row>
    <row r="3742" spans="2:9" x14ac:dyDescent="0.2">
      <c r="B3742" s="262" t="s">
        <v>1866</v>
      </c>
      <c r="C3742" s="263">
        <v>43332</v>
      </c>
      <c r="D3742" s="264" t="s">
        <v>1890</v>
      </c>
      <c r="E3742" s="264" t="s">
        <v>5090</v>
      </c>
      <c r="F3742" s="265">
        <v>216</v>
      </c>
      <c r="G3742" s="265"/>
      <c r="H3742" s="265">
        <f t="shared" si="153"/>
        <v>216</v>
      </c>
    </row>
    <row r="3743" spans="2:9" x14ac:dyDescent="0.2">
      <c r="B3743" s="262" t="s">
        <v>1881</v>
      </c>
      <c r="C3743" s="263">
        <v>43332</v>
      </c>
      <c r="D3743" s="264" t="s">
        <v>3705</v>
      </c>
      <c r="E3743" s="264" t="s">
        <v>5547</v>
      </c>
      <c r="F3743" s="265">
        <v>100</v>
      </c>
      <c r="G3743" s="265"/>
      <c r="H3743" s="265">
        <f t="shared" si="153"/>
        <v>100</v>
      </c>
      <c r="I3743" s="175">
        <f>SUM(H3682:H3743)</f>
        <v>64202.91</v>
      </c>
    </row>
    <row r="3744" spans="2:9" x14ac:dyDescent="0.2">
      <c r="B3744" s="262" t="s">
        <v>1863</v>
      </c>
      <c r="C3744" s="263">
        <v>43335</v>
      </c>
      <c r="D3744" s="264" t="s">
        <v>2238</v>
      </c>
      <c r="E3744" s="264" t="s">
        <v>5400</v>
      </c>
      <c r="F3744" s="265">
        <v>105</v>
      </c>
      <c r="G3744" s="265"/>
      <c r="H3744" s="265">
        <f t="shared" si="153"/>
        <v>105</v>
      </c>
    </row>
    <row r="3745" spans="2:8" x14ac:dyDescent="0.2">
      <c r="B3745" s="262" t="s">
        <v>1863</v>
      </c>
      <c r="C3745" s="263">
        <v>43335</v>
      </c>
      <c r="D3745" s="264" t="s">
        <v>2741</v>
      </c>
      <c r="E3745" s="264" t="s">
        <v>5276</v>
      </c>
      <c r="F3745" s="265">
        <v>297.89999999999998</v>
      </c>
      <c r="G3745" s="265"/>
      <c r="H3745" s="265">
        <f t="shared" si="153"/>
        <v>297.89999999999998</v>
      </c>
    </row>
    <row r="3746" spans="2:8" x14ac:dyDescent="0.2">
      <c r="B3746" s="262" t="s">
        <v>1863</v>
      </c>
      <c r="C3746" s="263">
        <v>43335</v>
      </c>
      <c r="D3746" s="264" t="s">
        <v>5551</v>
      </c>
      <c r="E3746" s="264" t="s">
        <v>5552</v>
      </c>
      <c r="F3746" s="265">
        <v>30</v>
      </c>
      <c r="G3746" s="265"/>
      <c r="H3746" s="265">
        <f t="shared" si="153"/>
        <v>30</v>
      </c>
    </row>
    <row r="3747" spans="2:8" x14ac:dyDescent="0.2">
      <c r="B3747" s="262" t="s">
        <v>1863</v>
      </c>
      <c r="C3747" s="263">
        <v>43335</v>
      </c>
      <c r="D3747" s="264" t="s">
        <v>3705</v>
      </c>
      <c r="E3747" s="264" t="s">
        <v>4483</v>
      </c>
      <c r="F3747" s="265">
        <v>100</v>
      </c>
      <c r="G3747" s="265"/>
      <c r="H3747" s="265">
        <f t="shared" si="153"/>
        <v>100</v>
      </c>
    </row>
    <row r="3748" spans="2:8" x14ac:dyDescent="0.2">
      <c r="B3748" s="262" t="s">
        <v>1863</v>
      </c>
      <c r="C3748" s="263">
        <v>43336</v>
      </c>
      <c r="D3748" s="264" t="s">
        <v>3705</v>
      </c>
      <c r="E3748" s="264" t="s">
        <v>5553</v>
      </c>
      <c r="F3748" s="265">
        <v>280</v>
      </c>
      <c r="G3748" s="265"/>
      <c r="H3748" s="265">
        <f t="shared" si="153"/>
        <v>280</v>
      </c>
    </row>
    <row r="3749" spans="2:8" x14ac:dyDescent="0.2">
      <c r="B3749" s="262" t="s">
        <v>1863</v>
      </c>
      <c r="C3749" s="263">
        <v>43336</v>
      </c>
      <c r="D3749" s="264" t="s">
        <v>5551</v>
      </c>
      <c r="E3749" s="264" t="s">
        <v>5554</v>
      </c>
      <c r="F3749" s="265">
        <v>37.5</v>
      </c>
      <c r="G3749" s="265"/>
      <c r="H3749" s="265">
        <f t="shared" si="153"/>
        <v>37.5</v>
      </c>
    </row>
    <row r="3750" spans="2:8" x14ac:dyDescent="0.2">
      <c r="B3750" s="262" t="s">
        <v>1884</v>
      </c>
      <c r="C3750" s="263">
        <v>43336</v>
      </c>
      <c r="D3750" s="264" t="s">
        <v>4487</v>
      </c>
      <c r="E3750" s="264" t="s">
        <v>5541</v>
      </c>
      <c r="F3750" s="265">
        <v>200.04</v>
      </c>
      <c r="G3750" s="265"/>
      <c r="H3750" s="265">
        <f t="shared" si="153"/>
        <v>200.04</v>
      </c>
    </row>
    <row r="3751" spans="2:8" x14ac:dyDescent="0.2">
      <c r="B3751" s="262" t="s">
        <v>1805</v>
      </c>
      <c r="C3751" s="263">
        <v>43336</v>
      </c>
      <c r="D3751" s="264" t="s">
        <v>1910</v>
      </c>
      <c r="E3751" s="264" t="s">
        <v>5555</v>
      </c>
      <c r="F3751" s="265">
        <v>1250</v>
      </c>
      <c r="G3751" s="265"/>
      <c r="H3751" s="265">
        <f t="shared" si="153"/>
        <v>1250</v>
      </c>
    </row>
    <row r="3752" spans="2:8" x14ac:dyDescent="0.2">
      <c r="B3752" s="262" t="s">
        <v>1881</v>
      </c>
      <c r="C3752" s="263">
        <v>43337</v>
      </c>
      <c r="D3752" s="264" t="s">
        <v>3607</v>
      </c>
      <c r="E3752" s="264" t="s">
        <v>5556</v>
      </c>
      <c r="F3752" s="265">
        <v>68</v>
      </c>
      <c r="G3752" s="265"/>
      <c r="H3752" s="265">
        <f t="shared" si="153"/>
        <v>68</v>
      </c>
    </row>
    <row r="3753" spans="2:8" x14ac:dyDescent="0.2">
      <c r="B3753" s="262" t="s">
        <v>1861</v>
      </c>
      <c r="C3753" s="263">
        <v>43337</v>
      </c>
      <c r="D3753" s="264" t="s">
        <v>2535</v>
      </c>
      <c r="E3753" s="264" t="s">
        <v>5508</v>
      </c>
      <c r="F3753" s="265">
        <v>35</v>
      </c>
      <c r="G3753" s="265"/>
      <c r="H3753" s="265">
        <f t="shared" si="153"/>
        <v>35</v>
      </c>
    </row>
    <row r="3754" spans="2:8" x14ac:dyDescent="0.2">
      <c r="B3754" s="262" t="s">
        <v>1864</v>
      </c>
      <c r="C3754" s="263">
        <v>43338</v>
      </c>
      <c r="D3754" s="264" t="s">
        <v>2250</v>
      </c>
      <c r="E3754" s="264" t="s">
        <v>5557</v>
      </c>
      <c r="F3754" s="265">
        <v>120</v>
      </c>
      <c r="G3754" s="265"/>
      <c r="H3754" s="265">
        <f t="shared" si="153"/>
        <v>120</v>
      </c>
    </row>
    <row r="3755" spans="2:8" x14ac:dyDescent="0.2">
      <c r="B3755" s="262" t="s">
        <v>1864</v>
      </c>
      <c r="C3755" s="263">
        <v>43338</v>
      </c>
      <c r="D3755" s="264" t="s">
        <v>3795</v>
      </c>
      <c r="E3755" s="264" t="s">
        <v>2536</v>
      </c>
      <c r="F3755" s="265">
        <v>41</v>
      </c>
      <c r="G3755" s="265"/>
      <c r="H3755" s="265">
        <f t="shared" si="153"/>
        <v>41</v>
      </c>
    </row>
    <row r="3756" spans="2:8" x14ac:dyDescent="0.2">
      <c r="B3756" s="262" t="s">
        <v>1864</v>
      </c>
      <c r="C3756" s="263">
        <v>43338</v>
      </c>
      <c r="D3756" s="264" t="s">
        <v>2535</v>
      </c>
      <c r="E3756" s="264" t="s">
        <v>2828</v>
      </c>
      <c r="F3756" s="265">
        <v>91.5</v>
      </c>
      <c r="G3756" s="265"/>
      <c r="H3756" s="265">
        <f t="shared" si="153"/>
        <v>91.5</v>
      </c>
    </row>
    <row r="3757" spans="2:8" x14ac:dyDescent="0.2">
      <c r="B3757" s="262" t="s">
        <v>1866</v>
      </c>
      <c r="C3757" s="263">
        <v>43339</v>
      </c>
      <c r="D3757" s="264" t="s">
        <v>1890</v>
      </c>
      <c r="E3757" s="264" t="s">
        <v>5090</v>
      </c>
      <c r="F3757" s="265">
        <v>216</v>
      </c>
      <c r="G3757" s="265"/>
      <c r="H3757" s="265">
        <f t="shared" si="153"/>
        <v>216</v>
      </c>
    </row>
    <row r="3758" spans="2:8" x14ac:dyDescent="0.2">
      <c r="B3758" s="262" t="s">
        <v>1863</v>
      </c>
      <c r="C3758" s="263">
        <v>43339</v>
      </c>
      <c r="D3758" s="264" t="s">
        <v>3705</v>
      </c>
      <c r="E3758" s="264" t="s">
        <v>5558</v>
      </c>
      <c r="F3758" s="265">
        <v>650</v>
      </c>
      <c r="G3758" s="265"/>
      <c r="H3758" s="265">
        <f t="shared" si="153"/>
        <v>650</v>
      </c>
    </row>
    <row r="3759" spans="2:8" x14ac:dyDescent="0.2">
      <c r="B3759" s="262" t="s">
        <v>1863</v>
      </c>
      <c r="C3759" s="263">
        <v>43339</v>
      </c>
      <c r="D3759" s="264" t="s">
        <v>2535</v>
      </c>
      <c r="E3759" s="264" t="s">
        <v>5559</v>
      </c>
      <c r="F3759" s="265">
        <v>185.5</v>
      </c>
      <c r="G3759" s="265"/>
      <c r="H3759" s="265">
        <f t="shared" si="153"/>
        <v>185.5</v>
      </c>
    </row>
    <row r="3760" spans="2:8" x14ac:dyDescent="0.2">
      <c r="B3760" s="262" t="s">
        <v>1863</v>
      </c>
      <c r="C3760" s="263">
        <v>43340</v>
      </c>
      <c r="D3760" s="264" t="s">
        <v>5560</v>
      </c>
      <c r="E3760" s="264" t="s">
        <v>5561</v>
      </c>
      <c r="F3760" s="265">
        <v>400</v>
      </c>
      <c r="G3760" s="265"/>
      <c r="H3760" s="265">
        <f t="shared" si="153"/>
        <v>400</v>
      </c>
    </row>
    <row r="3761" spans="2:8" x14ac:dyDescent="0.2">
      <c r="B3761" s="262" t="s">
        <v>1863</v>
      </c>
      <c r="C3761" s="263">
        <v>43341</v>
      </c>
      <c r="D3761" s="264" t="s">
        <v>3705</v>
      </c>
      <c r="E3761" s="264" t="s">
        <v>5562</v>
      </c>
      <c r="F3761" s="265">
        <v>396</v>
      </c>
      <c r="G3761" s="265"/>
      <c r="H3761" s="265">
        <f t="shared" si="153"/>
        <v>396</v>
      </c>
    </row>
    <row r="3762" spans="2:8" x14ac:dyDescent="0.2">
      <c r="B3762" s="262" t="s">
        <v>1863</v>
      </c>
      <c r="C3762" s="263">
        <v>43341</v>
      </c>
      <c r="D3762" s="264" t="s">
        <v>5551</v>
      </c>
      <c r="E3762" s="264" t="s">
        <v>5554</v>
      </c>
      <c r="F3762" s="265">
        <v>45</v>
      </c>
      <c r="G3762" s="265"/>
      <c r="H3762" s="265">
        <f t="shared" si="153"/>
        <v>45</v>
      </c>
    </row>
    <row r="3763" spans="2:8" x14ac:dyDescent="0.2">
      <c r="B3763" s="262" t="s">
        <v>1863</v>
      </c>
      <c r="C3763" s="263">
        <v>43341</v>
      </c>
      <c r="D3763" s="264" t="s">
        <v>1893</v>
      </c>
      <c r="E3763" s="264" t="s">
        <v>5563</v>
      </c>
      <c r="F3763" s="265">
        <v>78</v>
      </c>
      <c r="G3763" s="265"/>
      <c r="H3763" s="265">
        <f t="shared" si="153"/>
        <v>78</v>
      </c>
    </row>
    <row r="3764" spans="2:8" x14ac:dyDescent="0.2">
      <c r="B3764" s="262" t="s">
        <v>1863</v>
      </c>
      <c r="C3764" s="263">
        <v>43341</v>
      </c>
      <c r="D3764" s="264" t="s">
        <v>1893</v>
      </c>
      <c r="E3764" s="264" t="s">
        <v>5276</v>
      </c>
      <c r="F3764" s="265">
        <v>137.69999999999999</v>
      </c>
      <c r="G3764" s="265"/>
      <c r="H3764" s="265">
        <f t="shared" si="153"/>
        <v>137.69999999999999</v>
      </c>
    </row>
    <row r="3765" spans="2:8" x14ac:dyDescent="0.2">
      <c r="B3765" s="262" t="s">
        <v>1863</v>
      </c>
      <c r="C3765" s="263">
        <v>43341</v>
      </c>
      <c r="D3765" s="264" t="s">
        <v>5198</v>
      </c>
      <c r="E3765" s="264" t="s">
        <v>5564</v>
      </c>
      <c r="F3765" s="265">
        <v>63.61</v>
      </c>
      <c r="G3765" s="265"/>
      <c r="H3765" s="265">
        <f t="shared" ref="H3765:H3828" si="154">SUM(F3765:G3765)</f>
        <v>63.61</v>
      </c>
    </row>
    <row r="3766" spans="2:8" x14ac:dyDescent="0.2">
      <c r="B3766" s="262" t="s">
        <v>1805</v>
      </c>
      <c r="C3766" s="263">
        <v>43343</v>
      </c>
      <c r="D3766" s="264" t="s">
        <v>1910</v>
      </c>
      <c r="E3766" s="264" t="s">
        <v>5565</v>
      </c>
      <c r="F3766" s="265">
        <v>1250</v>
      </c>
      <c r="G3766" s="265"/>
      <c r="H3766" s="265">
        <f t="shared" si="154"/>
        <v>1250</v>
      </c>
    </row>
    <row r="3767" spans="2:8" x14ac:dyDescent="0.2">
      <c r="B3767" s="262" t="s">
        <v>1881</v>
      </c>
      <c r="C3767" s="263">
        <v>43343</v>
      </c>
      <c r="D3767" s="264" t="s">
        <v>2250</v>
      </c>
      <c r="E3767" s="264" t="s">
        <v>5566</v>
      </c>
      <c r="F3767" s="265">
        <v>300</v>
      </c>
      <c r="G3767" s="265"/>
      <c r="H3767" s="265">
        <f t="shared" si="154"/>
        <v>300</v>
      </c>
    </row>
    <row r="3768" spans="2:8" x14ac:dyDescent="0.2">
      <c r="B3768" s="262" t="s">
        <v>1881</v>
      </c>
      <c r="C3768" s="263">
        <v>43343</v>
      </c>
      <c r="D3768" s="264" t="s">
        <v>1873</v>
      </c>
      <c r="E3768" s="264" t="s">
        <v>5567</v>
      </c>
      <c r="F3768" s="265">
        <v>550</v>
      </c>
      <c r="G3768" s="265"/>
      <c r="H3768" s="265">
        <f t="shared" si="154"/>
        <v>550</v>
      </c>
    </row>
    <row r="3769" spans="2:8" x14ac:dyDescent="0.2">
      <c r="B3769" s="262" t="s">
        <v>1884</v>
      </c>
      <c r="C3769" s="263">
        <v>43343</v>
      </c>
      <c r="D3769" s="264" t="s">
        <v>5367</v>
      </c>
      <c r="E3769" s="264" t="s">
        <v>5569</v>
      </c>
      <c r="F3769" s="265">
        <v>2000</v>
      </c>
      <c r="G3769" s="265"/>
      <c r="H3769" s="265">
        <f t="shared" si="154"/>
        <v>2000</v>
      </c>
    </row>
    <row r="3770" spans="2:8" x14ac:dyDescent="0.2">
      <c r="B3770" s="262" t="s">
        <v>1859</v>
      </c>
      <c r="C3770" s="263">
        <v>43343</v>
      </c>
      <c r="D3770" s="264" t="s">
        <v>4482</v>
      </c>
      <c r="E3770" s="264" t="s">
        <v>5568</v>
      </c>
      <c r="F3770" s="265">
        <v>4000</v>
      </c>
      <c r="G3770" s="265"/>
      <c r="H3770" s="265">
        <f t="shared" si="154"/>
        <v>4000</v>
      </c>
    </row>
    <row r="3771" spans="2:8" x14ac:dyDescent="0.2">
      <c r="B3771" s="262" t="s">
        <v>1577</v>
      </c>
      <c r="C3771" s="263">
        <v>43343</v>
      </c>
      <c r="D3771" s="264" t="s">
        <v>5030</v>
      </c>
      <c r="E3771" s="264" t="s">
        <v>5570</v>
      </c>
      <c r="F3771" s="265">
        <v>20000</v>
      </c>
      <c r="G3771" s="265"/>
      <c r="H3771" s="265">
        <f t="shared" si="154"/>
        <v>20000</v>
      </c>
    </row>
    <row r="3772" spans="2:8" x14ac:dyDescent="0.2">
      <c r="B3772" s="262" t="s">
        <v>1577</v>
      </c>
      <c r="C3772" s="263">
        <v>43343</v>
      </c>
      <c r="D3772" s="264" t="s">
        <v>5030</v>
      </c>
      <c r="E3772" s="264" t="s">
        <v>5571</v>
      </c>
      <c r="F3772" s="265">
        <v>20000</v>
      </c>
      <c r="G3772" s="265"/>
      <c r="H3772" s="265">
        <f t="shared" si="154"/>
        <v>20000</v>
      </c>
    </row>
    <row r="3773" spans="2:8" x14ac:dyDescent="0.2">
      <c r="B3773" s="262" t="s">
        <v>1887</v>
      </c>
      <c r="C3773" s="263">
        <v>43315</v>
      </c>
      <c r="D3773" s="264" t="s">
        <v>1534</v>
      </c>
      <c r="E3773" s="264" t="s">
        <v>1536</v>
      </c>
      <c r="F3773" s="265">
        <v>-0.46</v>
      </c>
      <c r="G3773" s="265"/>
      <c r="H3773" s="265">
        <f t="shared" si="154"/>
        <v>-0.46</v>
      </c>
    </row>
    <row r="3774" spans="2:8" x14ac:dyDescent="0.2">
      <c r="B3774" s="262" t="s">
        <v>1887</v>
      </c>
      <c r="C3774" s="263">
        <v>43320</v>
      </c>
      <c r="D3774" s="264" t="s">
        <v>1534</v>
      </c>
      <c r="E3774" s="264" t="s">
        <v>1536</v>
      </c>
      <c r="F3774" s="265">
        <v>-0.28999999999999998</v>
      </c>
      <c r="G3774" s="265"/>
      <c r="H3774" s="265">
        <f t="shared" si="154"/>
        <v>-0.28999999999999998</v>
      </c>
    </row>
    <row r="3775" spans="2:8" x14ac:dyDescent="0.2">
      <c r="B3775" s="262" t="s">
        <v>1887</v>
      </c>
      <c r="C3775" s="263">
        <v>43333</v>
      </c>
      <c r="D3775" s="264" t="s">
        <v>1534</v>
      </c>
      <c r="E3775" s="264" t="s">
        <v>1536</v>
      </c>
      <c r="F3775" s="265">
        <v>-0.15</v>
      </c>
      <c r="G3775" s="265"/>
      <c r="H3775" s="265">
        <f t="shared" si="154"/>
        <v>-0.15</v>
      </c>
    </row>
    <row r="3776" spans="2:8" x14ac:dyDescent="0.2">
      <c r="B3776" s="262" t="s">
        <v>1790</v>
      </c>
      <c r="C3776" s="263">
        <v>43331</v>
      </c>
      <c r="D3776" s="264" t="s">
        <v>1909</v>
      </c>
      <c r="E3776" s="264" t="s">
        <v>5572</v>
      </c>
      <c r="F3776" s="265"/>
      <c r="G3776" s="265">
        <v>-1760</v>
      </c>
      <c r="H3776" s="265">
        <f t="shared" si="154"/>
        <v>-1760</v>
      </c>
    </row>
    <row r="3777" spans="2:8" x14ac:dyDescent="0.2">
      <c r="B3777" s="262" t="s">
        <v>1887</v>
      </c>
      <c r="C3777" s="263">
        <v>43343</v>
      </c>
      <c r="D3777" s="361" t="s">
        <v>1597</v>
      </c>
      <c r="E3777" s="361" t="s">
        <v>2229</v>
      </c>
      <c r="F3777" s="265">
        <v>36</v>
      </c>
      <c r="G3777" s="265"/>
      <c r="H3777" s="265">
        <f t="shared" si="154"/>
        <v>36</v>
      </c>
    </row>
    <row r="3778" spans="2:8" x14ac:dyDescent="0.2">
      <c r="B3778" s="262" t="s">
        <v>1790</v>
      </c>
      <c r="C3778" s="263">
        <v>43343</v>
      </c>
      <c r="D3778" s="361" t="s">
        <v>1597</v>
      </c>
      <c r="E3778" s="361" t="s">
        <v>2230</v>
      </c>
      <c r="F3778" s="265"/>
      <c r="G3778" s="265">
        <v>5.76</v>
      </c>
      <c r="H3778" s="265">
        <f t="shared" si="154"/>
        <v>5.76</v>
      </c>
    </row>
    <row r="3779" spans="2:8" x14ac:dyDescent="0.2">
      <c r="B3779" s="262"/>
      <c r="C3779" s="263"/>
      <c r="D3779" s="264"/>
      <c r="E3779" s="264"/>
      <c r="F3779" s="265"/>
      <c r="G3779" s="265"/>
      <c r="H3779" s="265">
        <f t="shared" si="154"/>
        <v>0</v>
      </c>
    </row>
    <row r="3780" spans="2:8" x14ac:dyDescent="0.2">
      <c r="B3780" s="262"/>
      <c r="C3780" s="263"/>
      <c r="D3780" s="264"/>
      <c r="E3780" s="264"/>
      <c r="F3780" s="265"/>
      <c r="G3780" s="265"/>
      <c r="H3780" s="265">
        <f t="shared" si="154"/>
        <v>0</v>
      </c>
    </row>
    <row r="3781" spans="2:8" ht="18" customHeight="1" x14ac:dyDescent="0.2">
      <c r="B3781" s="255" t="s">
        <v>1850</v>
      </c>
      <c r="C3781" s="255" t="s">
        <v>1851</v>
      </c>
      <c r="D3781" s="256" t="s">
        <v>1852</v>
      </c>
      <c r="E3781" s="256" t="s">
        <v>1853</v>
      </c>
      <c r="F3781" s="257" t="s">
        <v>1854</v>
      </c>
      <c r="G3781" s="257" t="s">
        <v>1855</v>
      </c>
      <c r="H3781" s="257" t="s">
        <v>1856</v>
      </c>
    </row>
    <row r="3782" spans="2:8" x14ac:dyDescent="0.2">
      <c r="B3782" s="262" t="s">
        <v>1863</v>
      </c>
      <c r="C3782" s="263">
        <v>43344</v>
      </c>
      <c r="D3782" s="264" t="s">
        <v>3125</v>
      </c>
      <c r="E3782" s="264" t="s">
        <v>5277</v>
      </c>
      <c r="F3782" s="265">
        <v>28</v>
      </c>
      <c r="G3782" s="265"/>
      <c r="H3782" s="265">
        <f t="shared" si="154"/>
        <v>28</v>
      </c>
    </row>
    <row r="3783" spans="2:8" x14ac:dyDescent="0.2">
      <c r="B3783" s="262" t="s">
        <v>1863</v>
      </c>
      <c r="C3783" s="263">
        <v>43344</v>
      </c>
      <c r="D3783" s="264" t="s">
        <v>2535</v>
      </c>
      <c r="E3783" s="264" t="s">
        <v>5206</v>
      </c>
      <c r="F3783" s="265">
        <v>35</v>
      </c>
      <c r="G3783" s="265"/>
      <c r="H3783" s="265">
        <f t="shared" si="154"/>
        <v>35</v>
      </c>
    </row>
    <row r="3784" spans="2:8" x14ac:dyDescent="0.2">
      <c r="B3784" s="262" t="s">
        <v>1863</v>
      </c>
      <c r="C3784" s="263">
        <v>43344</v>
      </c>
      <c r="D3784" s="264" t="s">
        <v>3705</v>
      </c>
      <c r="E3784" s="264" t="s">
        <v>4564</v>
      </c>
      <c r="F3784" s="265">
        <v>200</v>
      </c>
      <c r="G3784" s="265"/>
      <c r="H3784" s="265">
        <f t="shared" si="154"/>
        <v>200</v>
      </c>
    </row>
    <row r="3785" spans="2:8" x14ac:dyDescent="0.2">
      <c r="B3785" s="262" t="s">
        <v>1881</v>
      </c>
      <c r="C3785" s="263">
        <v>43345</v>
      </c>
      <c r="D3785" s="264" t="s">
        <v>2250</v>
      </c>
      <c r="E3785" s="264" t="s">
        <v>5600</v>
      </c>
      <c r="F3785" s="265">
        <v>120</v>
      </c>
      <c r="G3785" s="265"/>
      <c r="H3785" s="265">
        <f t="shared" si="154"/>
        <v>120</v>
      </c>
    </row>
    <row r="3786" spans="2:8" x14ac:dyDescent="0.2">
      <c r="B3786" s="262" t="s">
        <v>1864</v>
      </c>
      <c r="C3786" s="263">
        <v>43345</v>
      </c>
      <c r="D3786" s="264" t="s">
        <v>2535</v>
      </c>
      <c r="E3786" s="264" t="s">
        <v>5601</v>
      </c>
      <c r="F3786" s="265">
        <v>71.5</v>
      </c>
      <c r="G3786" s="265"/>
      <c r="H3786" s="265">
        <f t="shared" si="154"/>
        <v>71.5</v>
      </c>
    </row>
    <row r="3787" spans="2:8" x14ac:dyDescent="0.2">
      <c r="B3787" s="262" t="s">
        <v>1866</v>
      </c>
      <c r="C3787" s="263">
        <v>43346</v>
      </c>
      <c r="D3787" s="264" t="s">
        <v>1890</v>
      </c>
      <c r="E3787" s="264" t="s">
        <v>4375</v>
      </c>
      <c r="F3787" s="265">
        <v>180</v>
      </c>
      <c r="G3787" s="265"/>
      <c r="H3787" s="265">
        <f t="shared" si="154"/>
        <v>180</v>
      </c>
    </row>
    <row r="3788" spans="2:8" x14ac:dyDescent="0.2">
      <c r="B3788" s="262" t="s">
        <v>1863</v>
      </c>
      <c r="C3788" s="263">
        <v>43346</v>
      </c>
      <c r="D3788" s="264" t="s">
        <v>5602</v>
      </c>
      <c r="E3788" s="264" t="s">
        <v>5603</v>
      </c>
      <c r="F3788" s="265">
        <v>22.5</v>
      </c>
      <c r="G3788" s="265"/>
      <c r="H3788" s="265">
        <f t="shared" si="154"/>
        <v>22.5</v>
      </c>
    </row>
    <row r="3789" spans="2:8" x14ac:dyDescent="0.2">
      <c r="B3789" s="262" t="s">
        <v>1863</v>
      </c>
      <c r="C3789" s="263">
        <v>43346</v>
      </c>
      <c r="D3789" s="264" t="s">
        <v>3705</v>
      </c>
      <c r="E3789" s="264" t="s">
        <v>5604</v>
      </c>
      <c r="F3789" s="265">
        <v>160</v>
      </c>
      <c r="G3789" s="265"/>
      <c r="H3789" s="265">
        <f t="shared" si="154"/>
        <v>160</v>
      </c>
    </row>
    <row r="3790" spans="2:8" x14ac:dyDescent="0.2">
      <c r="B3790" s="262" t="s">
        <v>1863</v>
      </c>
      <c r="C3790" s="263">
        <v>43346</v>
      </c>
      <c r="D3790" s="264" t="s">
        <v>2238</v>
      </c>
      <c r="E3790" s="264" t="s">
        <v>5400</v>
      </c>
      <c r="F3790" s="265">
        <v>19.5</v>
      </c>
      <c r="G3790" s="265"/>
      <c r="H3790" s="265">
        <f t="shared" si="154"/>
        <v>19.5</v>
      </c>
    </row>
    <row r="3791" spans="2:8" x14ac:dyDescent="0.2">
      <c r="B3791" s="262" t="s">
        <v>1884</v>
      </c>
      <c r="C3791" s="263">
        <v>43346</v>
      </c>
      <c r="D3791" s="264" t="s">
        <v>5449</v>
      </c>
      <c r="E3791" s="264" t="s">
        <v>5606</v>
      </c>
      <c r="F3791" s="265">
        <v>80</v>
      </c>
      <c r="G3791" s="265"/>
      <c r="H3791" s="265">
        <f t="shared" si="154"/>
        <v>80</v>
      </c>
    </row>
    <row r="3792" spans="2:8" x14ac:dyDescent="0.2">
      <c r="B3792" s="262" t="s">
        <v>1863</v>
      </c>
      <c r="C3792" s="263">
        <v>43346</v>
      </c>
      <c r="D3792" s="264" t="s">
        <v>5449</v>
      </c>
      <c r="E3792" s="264" t="s">
        <v>5195</v>
      </c>
      <c r="F3792" s="265">
        <v>45</v>
      </c>
      <c r="G3792" s="265"/>
      <c r="H3792" s="265">
        <f t="shared" si="154"/>
        <v>45</v>
      </c>
    </row>
    <row r="3793" spans="2:8" x14ac:dyDescent="0.2">
      <c r="B3793" s="262" t="s">
        <v>1863</v>
      </c>
      <c r="C3793" s="263">
        <v>43346</v>
      </c>
      <c r="D3793" s="264" t="s">
        <v>4750</v>
      </c>
      <c r="E3793" s="264" t="s">
        <v>5605</v>
      </c>
      <c r="F3793" s="265">
        <v>150</v>
      </c>
      <c r="G3793" s="265"/>
      <c r="H3793" s="265">
        <f t="shared" si="154"/>
        <v>150</v>
      </c>
    </row>
    <row r="3794" spans="2:8" x14ac:dyDescent="0.2">
      <c r="B3794" s="262" t="s">
        <v>1863</v>
      </c>
      <c r="C3794" s="263">
        <v>43347</v>
      </c>
      <c r="D3794" s="264" t="s">
        <v>5607</v>
      </c>
      <c r="E3794" s="264" t="s">
        <v>5608</v>
      </c>
      <c r="F3794" s="265">
        <v>250</v>
      </c>
      <c r="G3794" s="265"/>
      <c r="H3794" s="265">
        <f t="shared" si="154"/>
        <v>250</v>
      </c>
    </row>
    <row r="3795" spans="2:8" x14ac:dyDescent="0.2">
      <c r="B3795" s="262" t="s">
        <v>1884</v>
      </c>
      <c r="C3795" s="263">
        <v>43347</v>
      </c>
      <c r="D3795" s="264" t="s">
        <v>5227</v>
      </c>
      <c r="E3795" s="264" t="s">
        <v>5609</v>
      </c>
      <c r="F3795" s="265">
        <v>250</v>
      </c>
      <c r="G3795" s="265"/>
      <c r="H3795" s="265">
        <f t="shared" si="154"/>
        <v>250</v>
      </c>
    </row>
    <row r="3796" spans="2:8" x14ac:dyDescent="0.2">
      <c r="B3796" s="262" t="s">
        <v>1884</v>
      </c>
      <c r="C3796" s="263">
        <v>43347</v>
      </c>
      <c r="D3796" s="264" t="s">
        <v>5033</v>
      </c>
      <c r="E3796" s="264" t="s">
        <v>5609</v>
      </c>
      <c r="F3796" s="265">
        <v>300</v>
      </c>
      <c r="G3796" s="265"/>
      <c r="H3796" s="265">
        <f t="shared" si="154"/>
        <v>300</v>
      </c>
    </row>
    <row r="3797" spans="2:8" x14ac:dyDescent="0.2">
      <c r="B3797" s="262" t="s">
        <v>1862</v>
      </c>
      <c r="C3797" s="263">
        <v>43347</v>
      </c>
      <c r="D3797" s="264" t="s">
        <v>5013</v>
      </c>
      <c r="E3797" s="264" t="s">
        <v>5611</v>
      </c>
      <c r="F3797" s="265">
        <v>1950</v>
      </c>
      <c r="G3797" s="265"/>
      <c r="H3797" s="265">
        <f t="shared" si="154"/>
        <v>1950</v>
      </c>
    </row>
    <row r="3798" spans="2:8" x14ac:dyDescent="0.2">
      <c r="B3798" s="262" t="s">
        <v>1870</v>
      </c>
      <c r="C3798" s="263">
        <v>43347</v>
      </c>
      <c r="D3798" s="264" t="s">
        <v>5013</v>
      </c>
      <c r="E3798" s="264" t="s">
        <v>5610</v>
      </c>
      <c r="F3798" s="265">
        <v>500</v>
      </c>
      <c r="G3798" s="265"/>
      <c r="H3798" s="265">
        <f t="shared" si="154"/>
        <v>500</v>
      </c>
    </row>
    <row r="3799" spans="2:8" x14ac:dyDescent="0.2">
      <c r="B3799" s="262" t="s">
        <v>1863</v>
      </c>
      <c r="C3799" s="263">
        <v>43347</v>
      </c>
      <c r="D3799" s="264" t="s">
        <v>4750</v>
      </c>
      <c r="E3799" s="264" t="s">
        <v>5612</v>
      </c>
      <c r="F3799" s="265">
        <v>250</v>
      </c>
      <c r="G3799" s="265"/>
      <c r="H3799" s="265">
        <f t="shared" si="154"/>
        <v>250</v>
      </c>
    </row>
    <row r="3800" spans="2:8" x14ac:dyDescent="0.2">
      <c r="B3800" s="262" t="s">
        <v>1862</v>
      </c>
      <c r="C3800" s="263">
        <v>43348</v>
      </c>
      <c r="D3800" s="264" t="s">
        <v>5013</v>
      </c>
      <c r="E3800" s="264" t="s">
        <v>5613</v>
      </c>
      <c r="F3800" s="265">
        <v>1600</v>
      </c>
      <c r="G3800" s="265"/>
      <c r="H3800" s="265">
        <f t="shared" si="154"/>
        <v>1600</v>
      </c>
    </row>
    <row r="3801" spans="2:8" x14ac:dyDescent="0.2">
      <c r="B3801" s="262" t="s">
        <v>1881</v>
      </c>
      <c r="C3801" s="263">
        <v>43348</v>
      </c>
      <c r="D3801" s="264" t="s">
        <v>5013</v>
      </c>
      <c r="E3801" s="264" t="s">
        <v>5614</v>
      </c>
      <c r="F3801" s="265">
        <v>300</v>
      </c>
      <c r="G3801" s="265"/>
      <c r="H3801" s="265">
        <f t="shared" si="154"/>
        <v>300</v>
      </c>
    </row>
    <row r="3802" spans="2:8" x14ac:dyDescent="0.2">
      <c r="B3802" s="262" t="s">
        <v>1870</v>
      </c>
      <c r="C3802" s="263">
        <v>43348</v>
      </c>
      <c r="D3802" s="264" t="s">
        <v>4877</v>
      </c>
      <c r="E3802" s="264" t="s">
        <v>5615</v>
      </c>
      <c r="F3802" s="265">
        <v>600</v>
      </c>
      <c r="G3802" s="265"/>
      <c r="H3802" s="265">
        <f t="shared" si="154"/>
        <v>600</v>
      </c>
    </row>
    <row r="3803" spans="2:8" x14ac:dyDescent="0.2">
      <c r="B3803" s="262" t="s">
        <v>1861</v>
      </c>
      <c r="C3803" s="263">
        <v>43348</v>
      </c>
      <c r="D3803" s="264" t="s">
        <v>3125</v>
      </c>
      <c r="E3803" s="264" t="s">
        <v>5616</v>
      </c>
      <c r="F3803" s="265">
        <v>86.5</v>
      </c>
      <c r="G3803" s="265"/>
      <c r="H3803" s="265">
        <f t="shared" si="154"/>
        <v>86.5</v>
      </c>
    </row>
    <row r="3804" spans="2:8" x14ac:dyDescent="0.2">
      <c r="B3804" s="262" t="s">
        <v>1861</v>
      </c>
      <c r="C3804" s="263">
        <v>43348</v>
      </c>
      <c r="D3804" s="264" t="s">
        <v>1893</v>
      </c>
      <c r="E3804" s="264" t="s">
        <v>5617</v>
      </c>
      <c r="F3804" s="265">
        <v>110</v>
      </c>
      <c r="G3804" s="265"/>
      <c r="H3804" s="265">
        <f t="shared" si="154"/>
        <v>110</v>
      </c>
    </row>
    <row r="3805" spans="2:8" x14ac:dyDescent="0.2">
      <c r="B3805" s="262" t="s">
        <v>1860</v>
      </c>
      <c r="C3805" s="263">
        <v>43348</v>
      </c>
      <c r="D3805" s="264" t="s">
        <v>1891</v>
      </c>
      <c r="E3805" s="264" t="s">
        <v>5618</v>
      </c>
      <c r="F3805" s="265">
        <v>765</v>
      </c>
      <c r="G3805" s="265"/>
      <c r="H3805" s="265">
        <f t="shared" si="154"/>
        <v>765</v>
      </c>
    </row>
    <row r="3806" spans="2:8" x14ac:dyDescent="0.2">
      <c r="B3806" s="262" t="s">
        <v>1871</v>
      </c>
      <c r="C3806" s="263">
        <v>43349</v>
      </c>
      <c r="D3806" s="264" t="s">
        <v>3607</v>
      </c>
      <c r="E3806" s="264" t="s">
        <v>5619</v>
      </c>
      <c r="F3806" s="265">
        <v>58.5</v>
      </c>
      <c r="G3806" s="265"/>
      <c r="H3806" s="265">
        <f t="shared" si="154"/>
        <v>58.5</v>
      </c>
    </row>
    <row r="3807" spans="2:8" x14ac:dyDescent="0.2">
      <c r="B3807" s="262" t="s">
        <v>1863</v>
      </c>
      <c r="C3807" s="263">
        <v>43349</v>
      </c>
      <c r="D3807" s="264" t="s">
        <v>4459</v>
      </c>
      <c r="E3807" s="264" t="s">
        <v>5620</v>
      </c>
      <c r="F3807" s="265">
        <v>305</v>
      </c>
      <c r="G3807" s="265"/>
      <c r="H3807" s="265">
        <f t="shared" si="154"/>
        <v>305</v>
      </c>
    </row>
    <row r="3808" spans="2:8" x14ac:dyDescent="0.2">
      <c r="B3808" s="262" t="s">
        <v>1863</v>
      </c>
      <c r="C3808" s="263">
        <v>43349</v>
      </c>
      <c r="D3808" s="264" t="s">
        <v>4459</v>
      </c>
      <c r="E3808" s="264" t="s">
        <v>5620</v>
      </c>
      <c r="F3808" s="265">
        <v>550</v>
      </c>
      <c r="G3808" s="265"/>
      <c r="H3808" s="265">
        <f t="shared" si="154"/>
        <v>550</v>
      </c>
    </row>
    <row r="3809" spans="2:8" x14ac:dyDescent="0.2">
      <c r="B3809" s="262" t="s">
        <v>1881</v>
      </c>
      <c r="C3809" s="263">
        <v>43349</v>
      </c>
      <c r="D3809" s="264" t="s">
        <v>5229</v>
      </c>
      <c r="E3809" s="264" t="s">
        <v>5477</v>
      </c>
      <c r="F3809" s="265">
        <v>200</v>
      </c>
      <c r="G3809" s="265"/>
      <c r="H3809" s="265">
        <f t="shared" si="154"/>
        <v>200</v>
      </c>
    </row>
    <row r="3810" spans="2:8" x14ac:dyDescent="0.2">
      <c r="B3810" s="262" t="s">
        <v>1805</v>
      </c>
      <c r="C3810" s="263">
        <v>43350</v>
      </c>
      <c r="D3810" s="264" t="s">
        <v>1910</v>
      </c>
      <c r="E3810" s="264" t="s">
        <v>5621</v>
      </c>
      <c r="F3810" s="265">
        <v>1250</v>
      </c>
      <c r="G3810" s="265"/>
      <c r="H3810" s="265">
        <f t="shared" si="154"/>
        <v>1250</v>
      </c>
    </row>
    <row r="3811" spans="2:8" x14ac:dyDescent="0.2">
      <c r="B3811" s="262" t="s">
        <v>1884</v>
      </c>
      <c r="C3811" s="263">
        <v>43350</v>
      </c>
      <c r="D3811" s="264" t="s">
        <v>4487</v>
      </c>
      <c r="E3811" s="264" t="s">
        <v>4403</v>
      </c>
      <c r="F3811" s="265">
        <v>300</v>
      </c>
      <c r="G3811" s="265"/>
      <c r="H3811" s="265">
        <f t="shared" si="154"/>
        <v>300</v>
      </c>
    </row>
    <row r="3812" spans="2:8" x14ac:dyDescent="0.2">
      <c r="B3812" s="262" t="s">
        <v>1881</v>
      </c>
      <c r="C3812" s="263">
        <v>43351</v>
      </c>
      <c r="D3812" s="264" t="s">
        <v>2250</v>
      </c>
      <c r="E3812" s="264" t="s">
        <v>5439</v>
      </c>
      <c r="F3812" s="265">
        <v>120</v>
      </c>
      <c r="G3812" s="265"/>
      <c r="H3812" s="265">
        <f t="shared" si="154"/>
        <v>120</v>
      </c>
    </row>
    <row r="3813" spans="2:8" x14ac:dyDescent="0.2">
      <c r="B3813" s="262" t="s">
        <v>1864</v>
      </c>
      <c r="C3813" s="263">
        <v>43352</v>
      </c>
      <c r="D3813" s="264" t="s">
        <v>2535</v>
      </c>
      <c r="E3813" s="264" t="s">
        <v>5545</v>
      </c>
      <c r="F3813" s="265">
        <v>99</v>
      </c>
      <c r="G3813" s="265"/>
      <c r="H3813" s="265">
        <f t="shared" si="154"/>
        <v>99</v>
      </c>
    </row>
    <row r="3814" spans="2:8" x14ac:dyDescent="0.2">
      <c r="B3814" s="262" t="s">
        <v>1866</v>
      </c>
      <c r="C3814" s="263">
        <v>43353</v>
      </c>
      <c r="D3814" s="264" t="s">
        <v>1890</v>
      </c>
      <c r="E3814" s="264" t="s">
        <v>5528</v>
      </c>
      <c r="F3814" s="265">
        <v>180</v>
      </c>
      <c r="G3814" s="265"/>
      <c r="H3814" s="265">
        <f t="shared" si="154"/>
        <v>180</v>
      </c>
    </row>
    <row r="3815" spans="2:8" x14ac:dyDescent="0.2">
      <c r="B3815" s="262" t="s">
        <v>1884</v>
      </c>
      <c r="C3815" s="263">
        <v>43353</v>
      </c>
      <c r="D3815" s="264" t="s">
        <v>5033</v>
      </c>
      <c r="E3815" s="264" t="s">
        <v>5105</v>
      </c>
      <c r="F3815" s="265">
        <v>300</v>
      </c>
      <c r="G3815" s="265"/>
      <c r="H3815" s="265">
        <f t="shared" si="154"/>
        <v>300</v>
      </c>
    </row>
    <row r="3816" spans="2:8" x14ac:dyDescent="0.2">
      <c r="B3816" s="262" t="s">
        <v>1871</v>
      </c>
      <c r="C3816" s="263">
        <v>43354</v>
      </c>
      <c r="D3816" s="264" t="s">
        <v>2704</v>
      </c>
      <c r="E3816" s="264" t="s">
        <v>2971</v>
      </c>
      <c r="F3816" s="265">
        <v>140</v>
      </c>
      <c r="G3816" s="265"/>
      <c r="H3816" s="265">
        <f t="shared" si="154"/>
        <v>140</v>
      </c>
    </row>
    <row r="3817" spans="2:8" x14ac:dyDescent="0.2">
      <c r="B3817" s="262" t="s">
        <v>1860</v>
      </c>
      <c r="C3817" s="263">
        <v>43355</v>
      </c>
      <c r="D3817" s="264" t="s">
        <v>3955</v>
      </c>
      <c r="E3817" s="264" t="s">
        <v>5622</v>
      </c>
      <c r="F3817" s="265">
        <v>28</v>
      </c>
      <c r="G3817" s="265"/>
      <c r="H3817" s="265">
        <f t="shared" si="154"/>
        <v>28</v>
      </c>
    </row>
    <row r="3818" spans="2:8" x14ac:dyDescent="0.2">
      <c r="B3818" s="262" t="s">
        <v>1863</v>
      </c>
      <c r="C3818" s="263">
        <v>43355</v>
      </c>
      <c r="D3818" s="264" t="s">
        <v>2535</v>
      </c>
      <c r="E3818" s="264" t="s">
        <v>5623</v>
      </c>
      <c r="F3818" s="265">
        <v>50.5</v>
      </c>
      <c r="G3818" s="265"/>
      <c r="H3818" s="265">
        <f t="shared" si="154"/>
        <v>50.5</v>
      </c>
    </row>
    <row r="3819" spans="2:8" x14ac:dyDescent="0.2">
      <c r="B3819" s="262" t="s">
        <v>1860</v>
      </c>
      <c r="C3819" s="263">
        <v>43355</v>
      </c>
      <c r="D3819" s="264" t="s">
        <v>3955</v>
      </c>
      <c r="E3819" s="264" t="s">
        <v>5624</v>
      </c>
      <c r="F3819" s="265">
        <v>6.5</v>
      </c>
      <c r="G3819" s="265"/>
      <c r="H3819" s="265">
        <f t="shared" si="154"/>
        <v>6.5</v>
      </c>
    </row>
    <row r="3820" spans="2:8" x14ac:dyDescent="0.2">
      <c r="B3820" s="262" t="s">
        <v>1861</v>
      </c>
      <c r="C3820" s="263">
        <v>43356</v>
      </c>
      <c r="D3820" s="264" t="s">
        <v>2535</v>
      </c>
      <c r="E3820" s="264" t="s">
        <v>5625</v>
      </c>
      <c r="F3820" s="265">
        <v>62</v>
      </c>
      <c r="G3820" s="265"/>
      <c r="H3820" s="265">
        <f t="shared" si="154"/>
        <v>62</v>
      </c>
    </row>
    <row r="3821" spans="2:8" x14ac:dyDescent="0.2">
      <c r="B3821" s="262" t="s">
        <v>1867</v>
      </c>
      <c r="C3821" s="263">
        <v>43356</v>
      </c>
      <c r="D3821" s="264" t="s">
        <v>1894</v>
      </c>
      <c r="E3821" s="264" t="s">
        <v>5626</v>
      </c>
      <c r="F3821" s="265">
        <v>777.96</v>
      </c>
      <c r="G3821" s="265"/>
      <c r="H3821" s="265">
        <f t="shared" si="154"/>
        <v>777.96</v>
      </c>
    </row>
    <row r="3822" spans="2:8" x14ac:dyDescent="0.2">
      <c r="B3822" s="262" t="s">
        <v>1805</v>
      </c>
      <c r="C3822" s="263">
        <v>43357</v>
      </c>
      <c r="D3822" s="264" t="s">
        <v>1910</v>
      </c>
      <c r="E3822" s="264" t="s">
        <v>5627</v>
      </c>
      <c r="F3822" s="265">
        <v>1250</v>
      </c>
      <c r="G3822" s="265"/>
      <c r="H3822" s="265">
        <f t="shared" si="154"/>
        <v>1250</v>
      </c>
    </row>
    <row r="3823" spans="2:8" x14ac:dyDescent="0.2">
      <c r="B3823" s="262" t="s">
        <v>1577</v>
      </c>
      <c r="C3823" s="263">
        <v>43357</v>
      </c>
      <c r="D3823" s="264" t="s">
        <v>5030</v>
      </c>
      <c r="E3823" s="264" t="s">
        <v>5628</v>
      </c>
      <c r="F3823" s="265">
        <v>30000</v>
      </c>
      <c r="G3823" s="265"/>
      <c r="H3823" s="265">
        <f t="shared" si="154"/>
        <v>30000</v>
      </c>
    </row>
    <row r="3824" spans="2:8" x14ac:dyDescent="0.2">
      <c r="B3824" s="262" t="s">
        <v>1881</v>
      </c>
      <c r="C3824" s="263">
        <v>43358</v>
      </c>
      <c r="D3824" s="264" t="s">
        <v>2250</v>
      </c>
      <c r="E3824" s="264" t="s">
        <v>5629</v>
      </c>
      <c r="F3824" s="265">
        <v>350</v>
      </c>
      <c r="G3824" s="265"/>
      <c r="H3824" s="265">
        <f t="shared" si="154"/>
        <v>350</v>
      </c>
    </row>
    <row r="3825" spans="2:8" x14ac:dyDescent="0.2">
      <c r="B3825" s="262" t="s">
        <v>1881</v>
      </c>
      <c r="C3825" s="263">
        <v>43358</v>
      </c>
      <c r="D3825" s="264" t="s">
        <v>1873</v>
      </c>
      <c r="E3825" s="264" t="s">
        <v>5630</v>
      </c>
      <c r="F3825" s="265">
        <v>550</v>
      </c>
      <c r="G3825" s="265"/>
      <c r="H3825" s="265">
        <f t="shared" si="154"/>
        <v>550</v>
      </c>
    </row>
    <row r="3826" spans="2:8" x14ac:dyDescent="0.2">
      <c r="B3826" s="341" t="s">
        <v>1884</v>
      </c>
      <c r="C3826" s="263">
        <v>43358</v>
      </c>
      <c r="D3826" s="264" t="s">
        <v>5367</v>
      </c>
      <c r="E3826" s="264" t="s">
        <v>5631</v>
      </c>
      <c r="F3826" s="265">
        <v>2000</v>
      </c>
      <c r="G3826" s="265"/>
      <c r="H3826" s="265">
        <f t="shared" si="154"/>
        <v>2000</v>
      </c>
    </row>
    <row r="3827" spans="2:8" x14ac:dyDescent="0.2">
      <c r="B3827" s="262" t="s">
        <v>1859</v>
      </c>
      <c r="C3827" s="263">
        <v>43358</v>
      </c>
      <c r="D3827" s="264" t="s">
        <v>4482</v>
      </c>
      <c r="E3827" s="264" t="s">
        <v>5632</v>
      </c>
      <c r="F3827" s="265">
        <v>4000</v>
      </c>
      <c r="G3827" s="265"/>
      <c r="H3827" s="265">
        <f t="shared" si="154"/>
        <v>4000</v>
      </c>
    </row>
    <row r="3828" spans="2:8" x14ac:dyDescent="0.2">
      <c r="B3828" s="262" t="s">
        <v>1577</v>
      </c>
      <c r="C3828" s="263">
        <v>43358</v>
      </c>
      <c r="D3828" s="264" t="s">
        <v>5030</v>
      </c>
      <c r="E3828" s="264" t="s">
        <v>5633</v>
      </c>
      <c r="F3828" s="265">
        <v>10000</v>
      </c>
      <c r="G3828" s="265"/>
      <c r="H3828" s="265">
        <f t="shared" si="154"/>
        <v>10000</v>
      </c>
    </row>
    <row r="3829" spans="2:8" x14ac:dyDescent="0.2">
      <c r="B3829" s="262" t="s">
        <v>1861</v>
      </c>
      <c r="C3829" s="263">
        <v>43358</v>
      </c>
      <c r="D3829" s="264" t="s">
        <v>5634</v>
      </c>
      <c r="E3829" s="264" t="s">
        <v>5635</v>
      </c>
      <c r="F3829" s="265">
        <v>385</v>
      </c>
      <c r="G3829" s="265"/>
      <c r="H3829" s="265">
        <f t="shared" ref="H3829:H3859" si="155">SUM(F3829:G3829)</f>
        <v>385</v>
      </c>
    </row>
    <row r="3830" spans="2:8" x14ac:dyDescent="0.2">
      <c r="B3830" s="262" t="s">
        <v>1861</v>
      </c>
      <c r="C3830" s="263">
        <v>43358</v>
      </c>
      <c r="D3830" s="264" t="s">
        <v>2535</v>
      </c>
      <c r="E3830" s="264" t="s">
        <v>5636</v>
      </c>
      <c r="F3830" s="265">
        <v>70</v>
      </c>
      <c r="G3830" s="265"/>
      <c r="H3830" s="265">
        <f t="shared" si="155"/>
        <v>70</v>
      </c>
    </row>
    <row r="3831" spans="2:8" x14ac:dyDescent="0.2">
      <c r="B3831" s="262" t="s">
        <v>1861</v>
      </c>
      <c r="C3831" s="263">
        <v>43358</v>
      </c>
      <c r="D3831" s="264" t="s">
        <v>5637</v>
      </c>
      <c r="E3831" s="264" t="s">
        <v>5638</v>
      </c>
      <c r="F3831" s="265">
        <v>25</v>
      </c>
      <c r="G3831" s="265"/>
      <c r="H3831" s="265">
        <f t="shared" si="155"/>
        <v>25</v>
      </c>
    </row>
    <row r="3832" spans="2:8" x14ac:dyDescent="0.2">
      <c r="B3832" s="262" t="s">
        <v>1884</v>
      </c>
      <c r="C3832" s="263">
        <v>43358</v>
      </c>
      <c r="D3832" s="264" t="s">
        <v>5033</v>
      </c>
      <c r="E3832" s="264" t="s">
        <v>5105</v>
      </c>
      <c r="F3832" s="265">
        <v>300</v>
      </c>
      <c r="G3832" s="265"/>
      <c r="H3832" s="265">
        <f t="shared" si="155"/>
        <v>300</v>
      </c>
    </row>
    <row r="3833" spans="2:8" x14ac:dyDescent="0.2">
      <c r="B3833" s="262" t="s">
        <v>1861</v>
      </c>
      <c r="C3833" s="263">
        <v>43359</v>
      </c>
      <c r="D3833" s="264" t="s">
        <v>3125</v>
      </c>
      <c r="E3833" s="264" t="s">
        <v>3132</v>
      </c>
      <c r="F3833" s="265">
        <v>15</v>
      </c>
      <c r="G3833" s="265"/>
      <c r="H3833" s="265">
        <f t="shared" si="155"/>
        <v>15</v>
      </c>
    </row>
    <row r="3834" spans="2:8" x14ac:dyDescent="0.2">
      <c r="B3834" s="262" t="s">
        <v>1881</v>
      </c>
      <c r="C3834" s="263">
        <v>43359</v>
      </c>
      <c r="D3834" s="264" t="s">
        <v>2250</v>
      </c>
      <c r="E3834" s="264" t="s">
        <v>5600</v>
      </c>
      <c r="F3834" s="265">
        <v>120</v>
      </c>
      <c r="G3834" s="265"/>
      <c r="H3834" s="265">
        <f t="shared" si="155"/>
        <v>120</v>
      </c>
    </row>
    <row r="3835" spans="2:8" x14ac:dyDescent="0.2">
      <c r="B3835" s="262" t="s">
        <v>1864</v>
      </c>
      <c r="C3835" s="263">
        <v>43359</v>
      </c>
      <c r="D3835" s="264" t="s">
        <v>4954</v>
      </c>
      <c r="E3835" s="264" t="s">
        <v>5545</v>
      </c>
      <c r="F3835" s="265">
        <v>118</v>
      </c>
      <c r="G3835" s="265"/>
      <c r="H3835" s="265">
        <f t="shared" si="155"/>
        <v>118</v>
      </c>
    </row>
    <row r="3836" spans="2:8" x14ac:dyDescent="0.2">
      <c r="B3836" s="262" t="s">
        <v>1864</v>
      </c>
      <c r="C3836" s="263">
        <v>43359</v>
      </c>
      <c r="D3836" s="264" t="s">
        <v>2535</v>
      </c>
      <c r="E3836" s="264" t="s">
        <v>5639</v>
      </c>
      <c r="F3836" s="265">
        <v>18</v>
      </c>
      <c r="G3836" s="265"/>
      <c r="H3836" s="265">
        <f t="shared" si="155"/>
        <v>18</v>
      </c>
    </row>
    <row r="3837" spans="2:8" x14ac:dyDescent="0.2">
      <c r="B3837" s="262" t="s">
        <v>1864</v>
      </c>
      <c r="C3837" s="263">
        <v>43359</v>
      </c>
      <c r="D3837" s="264" t="s">
        <v>2535</v>
      </c>
      <c r="E3837" s="264" t="s">
        <v>5640</v>
      </c>
      <c r="F3837" s="265">
        <v>8</v>
      </c>
      <c r="G3837" s="265"/>
      <c r="H3837" s="265">
        <f t="shared" si="155"/>
        <v>8</v>
      </c>
    </row>
    <row r="3838" spans="2:8" x14ac:dyDescent="0.2">
      <c r="B3838" s="262" t="s">
        <v>1790</v>
      </c>
      <c r="C3838" s="263">
        <v>43359</v>
      </c>
      <c r="D3838" s="264" t="s">
        <v>1909</v>
      </c>
      <c r="E3838" s="264" t="s">
        <v>5666</v>
      </c>
      <c r="F3838" s="265"/>
      <c r="G3838" s="265">
        <v>1760</v>
      </c>
      <c r="H3838" s="265">
        <f t="shared" si="155"/>
        <v>1760</v>
      </c>
    </row>
    <row r="3839" spans="2:8" x14ac:dyDescent="0.2">
      <c r="B3839" s="341" t="s">
        <v>1805</v>
      </c>
      <c r="C3839" s="263">
        <v>43359</v>
      </c>
      <c r="D3839" s="264" t="s">
        <v>1888</v>
      </c>
      <c r="E3839" s="264" t="s">
        <v>5667</v>
      </c>
      <c r="F3839" s="265">
        <v>1400</v>
      </c>
      <c r="G3839" s="265"/>
      <c r="H3839" s="265">
        <f t="shared" si="155"/>
        <v>1400</v>
      </c>
    </row>
    <row r="3840" spans="2:8" x14ac:dyDescent="0.2">
      <c r="B3840" s="262" t="s">
        <v>1864</v>
      </c>
      <c r="C3840" s="263">
        <v>43360</v>
      </c>
      <c r="D3840" s="264" t="s">
        <v>1910</v>
      </c>
      <c r="E3840" s="264" t="s">
        <v>5641</v>
      </c>
      <c r="F3840" s="265">
        <v>400</v>
      </c>
      <c r="G3840" s="265"/>
      <c r="H3840" s="265">
        <f t="shared" si="155"/>
        <v>400</v>
      </c>
    </row>
    <row r="3841" spans="2:8" x14ac:dyDescent="0.2">
      <c r="B3841" s="262" t="s">
        <v>1884</v>
      </c>
      <c r="C3841" s="263">
        <v>43361</v>
      </c>
      <c r="D3841" s="264" t="s">
        <v>4748</v>
      </c>
      <c r="E3841" s="264" t="s">
        <v>5642</v>
      </c>
      <c r="F3841" s="265">
        <v>250</v>
      </c>
      <c r="G3841" s="265"/>
      <c r="H3841" s="265">
        <f t="shared" si="155"/>
        <v>250</v>
      </c>
    </row>
    <row r="3842" spans="2:8" x14ac:dyDescent="0.2">
      <c r="B3842" s="262" t="s">
        <v>1884</v>
      </c>
      <c r="C3842" s="263">
        <v>43361</v>
      </c>
      <c r="D3842" s="264" t="s">
        <v>5643</v>
      </c>
      <c r="E3842" s="264" t="s">
        <v>5644</v>
      </c>
      <c r="F3842" s="265">
        <v>60</v>
      </c>
      <c r="G3842" s="265"/>
      <c r="H3842" s="265">
        <f t="shared" si="155"/>
        <v>60</v>
      </c>
    </row>
    <row r="3843" spans="2:8" x14ac:dyDescent="0.2">
      <c r="B3843" s="262" t="s">
        <v>1884</v>
      </c>
      <c r="C3843" s="263">
        <v>43361</v>
      </c>
      <c r="D3843" s="264" t="s">
        <v>1893</v>
      </c>
      <c r="E3843" s="264" t="s">
        <v>4604</v>
      </c>
      <c r="F3843" s="265">
        <v>35.799999999999997</v>
      </c>
      <c r="G3843" s="265"/>
      <c r="H3843" s="265">
        <f t="shared" si="155"/>
        <v>35.799999999999997</v>
      </c>
    </row>
    <row r="3844" spans="2:8" x14ac:dyDescent="0.2">
      <c r="B3844" s="262" t="s">
        <v>1866</v>
      </c>
      <c r="C3844" s="263">
        <v>43362</v>
      </c>
      <c r="D3844" s="264" t="s">
        <v>1890</v>
      </c>
      <c r="E3844" s="264" t="s">
        <v>4375</v>
      </c>
      <c r="F3844" s="265">
        <v>180</v>
      </c>
      <c r="G3844" s="265"/>
      <c r="H3844" s="265">
        <f t="shared" si="155"/>
        <v>180</v>
      </c>
    </row>
    <row r="3845" spans="2:8" x14ac:dyDescent="0.2">
      <c r="B3845" s="262" t="s">
        <v>1821</v>
      </c>
      <c r="C3845" s="263">
        <v>43363</v>
      </c>
      <c r="D3845" s="264" t="s">
        <v>3330</v>
      </c>
      <c r="E3845" s="264" t="s">
        <v>5513</v>
      </c>
      <c r="F3845" s="265">
        <v>400</v>
      </c>
      <c r="G3845" s="265"/>
      <c r="H3845" s="265">
        <f t="shared" si="155"/>
        <v>400</v>
      </c>
    </row>
    <row r="3846" spans="2:8" x14ac:dyDescent="0.2">
      <c r="B3846" s="262" t="s">
        <v>1884</v>
      </c>
      <c r="C3846" s="263">
        <v>43363</v>
      </c>
      <c r="D3846" s="264" t="s">
        <v>5033</v>
      </c>
      <c r="E3846" s="264" t="s">
        <v>5105</v>
      </c>
      <c r="F3846" s="265">
        <v>300</v>
      </c>
      <c r="G3846" s="265"/>
      <c r="H3846" s="265">
        <f t="shared" si="155"/>
        <v>300</v>
      </c>
    </row>
    <row r="3847" spans="2:8" x14ac:dyDescent="0.2">
      <c r="B3847" s="262" t="s">
        <v>1805</v>
      </c>
      <c r="C3847" s="263">
        <v>43364</v>
      </c>
      <c r="D3847" s="264" t="s">
        <v>1910</v>
      </c>
      <c r="E3847" s="264" t="s">
        <v>5645</v>
      </c>
      <c r="F3847" s="265">
        <v>1250</v>
      </c>
      <c r="G3847" s="265"/>
      <c r="H3847" s="265">
        <f t="shared" si="155"/>
        <v>1250</v>
      </c>
    </row>
    <row r="3848" spans="2:8" x14ac:dyDescent="0.2">
      <c r="B3848" s="262" t="s">
        <v>1860</v>
      </c>
      <c r="C3848" s="263">
        <v>43364</v>
      </c>
      <c r="D3848" s="264" t="s">
        <v>5646</v>
      </c>
      <c r="E3848" s="264" t="s">
        <v>2991</v>
      </c>
      <c r="F3848" s="265">
        <v>76</v>
      </c>
      <c r="G3848" s="265"/>
      <c r="H3848" s="265">
        <f t="shared" si="155"/>
        <v>76</v>
      </c>
    </row>
    <row r="3849" spans="2:8" x14ac:dyDescent="0.2">
      <c r="B3849" s="262" t="s">
        <v>1861</v>
      </c>
      <c r="C3849" s="263">
        <v>43365</v>
      </c>
      <c r="D3849" s="264" t="s">
        <v>3125</v>
      </c>
      <c r="E3849" s="264" t="s">
        <v>5647</v>
      </c>
      <c r="F3849" s="265">
        <v>28</v>
      </c>
      <c r="G3849" s="265"/>
      <c r="H3849" s="265">
        <f t="shared" si="155"/>
        <v>28</v>
      </c>
    </row>
    <row r="3850" spans="2:8" x14ac:dyDescent="0.2">
      <c r="B3850" s="262" t="s">
        <v>1861</v>
      </c>
      <c r="C3850" s="263">
        <v>43365</v>
      </c>
      <c r="D3850" s="264" t="s">
        <v>3125</v>
      </c>
      <c r="E3850" s="264" t="s">
        <v>5647</v>
      </c>
      <c r="F3850" s="265">
        <v>19.5</v>
      </c>
      <c r="G3850" s="265"/>
      <c r="H3850" s="265">
        <f t="shared" si="155"/>
        <v>19.5</v>
      </c>
    </row>
    <row r="3851" spans="2:8" x14ac:dyDescent="0.2">
      <c r="B3851" s="262" t="s">
        <v>1881</v>
      </c>
      <c r="C3851" s="263">
        <v>43366</v>
      </c>
      <c r="D3851" s="264" t="s">
        <v>2250</v>
      </c>
      <c r="E3851" s="264" t="s">
        <v>5481</v>
      </c>
      <c r="F3851" s="265">
        <v>120</v>
      </c>
      <c r="G3851" s="265"/>
      <c r="H3851" s="265">
        <f t="shared" si="155"/>
        <v>120</v>
      </c>
    </row>
    <row r="3852" spans="2:8" x14ac:dyDescent="0.2">
      <c r="B3852" s="262" t="s">
        <v>1864</v>
      </c>
      <c r="C3852" s="263">
        <v>43366</v>
      </c>
      <c r="D3852" s="264" t="s">
        <v>4954</v>
      </c>
      <c r="E3852" s="264" t="s">
        <v>5545</v>
      </c>
      <c r="F3852" s="265">
        <v>98</v>
      </c>
      <c r="G3852" s="265"/>
      <c r="H3852" s="265">
        <f t="shared" si="155"/>
        <v>98</v>
      </c>
    </row>
    <row r="3853" spans="2:8" x14ac:dyDescent="0.2">
      <c r="B3853" s="262" t="s">
        <v>1864</v>
      </c>
      <c r="C3853" s="263">
        <v>43366</v>
      </c>
      <c r="D3853" s="264" t="s">
        <v>2535</v>
      </c>
      <c r="E3853" s="264" t="s">
        <v>3981</v>
      </c>
      <c r="F3853" s="265">
        <v>42</v>
      </c>
      <c r="G3853" s="265"/>
      <c r="H3853" s="265">
        <f t="shared" si="155"/>
        <v>42</v>
      </c>
    </row>
    <row r="3854" spans="2:8" x14ac:dyDescent="0.2">
      <c r="B3854" s="262" t="s">
        <v>1866</v>
      </c>
      <c r="C3854" s="263">
        <v>43367</v>
      </c>
      <c r="D3854" s="264" t="s">
        <v>1890</v>
      </c>
      <c r="E3854" s="264" t="s">
        <v>4375</v>
      </c>
      <c r="F3854" s="265">
        <v>180</v>
      </c>
      <c r="G3854" s="265"/>
      <c r="H3854" s="265">
        <f t="shared" si="155"/>
        <v>180</v>
      </c>
    </row>
    <row r="3855" spans="2:8" x14ac:dyDescent="0.2">
      <c r="B3855" s="262" t="s">
        <v>1861</v>
      </c>
      <c r="C3855" s="263">
        <v>43368</v>
      </c>
      <c r="D3855" s="264" t="s">
        <v>2535</v>
      </c>
      <c r="E3855" s="264" t="s">
        <v>5357</v>
      </c>
      <c r="F3855" s="265">
        <v>36</v>
      </c>
      <c r="G3855" s="265"/>
      <c r="H3855" s="265">
        <f t="shared" si="155"/>
        <v>36</v>
      </c>
    </row>
    <row r="3856" spans="2:8" x14ac:dyDescent="0.2">
      <c r="B3856" s="262" t="s">
        <v>1805</v>
      </c>
      <c r="C3856" s="263">
        <v>43371</v>
      </c>
      <c r="D3856" s="264" t="s">
        <v>1910</v>
      </c>
      <c r="E3856" s="264" t="s">
        <v>5648</v>
      </c>
      <c r="F3856" s="265">
        <v>1250</v>
      </c>
      <c r="G3856" s="265"/>
      <c r="H3856" s="265">
        <f t="shared" si="155"/>
        <v>1250</v>
      </c>
    </row>
    <row r="3857" spans="2:8" x14ac:dyDescent="0.2">
      <c r="B3857" s="262" t="s">
        <v>1577</v>
      </c>
      <c r="C3857" s="263">
        <v>43371</v>
      </c>
      <c r="D3857" s="264" t="s">
        <v>5030</v>
      </c>
      <c r="E3857" s="264" t="s">
        <v>5649</v>
      </c>
      <c r="F3857" s="265">
        <v>25000</v>
      </c>
      <c r="G3857" s="265"/>
      <c r="H3857" s="265">
        <f t="shared" si="155"/>
        <v>25000</v>
      </c>
    </row>
    <row r="3858" spans="2:8" x14ac:dyDescent="0.2">
      <c r="B3858" s="262" t="s">
        <v>1884</v>
      </c>
      <c r="C3858" s="263">
        <v>43371</v>
      </c>
      <c r="D3858" s="264" t="s">
        <v>5033</v>
      </c>
      <c r="E3858" s="264" t="s">
        <v>5105</v>
      </c>
      <c r="F3858" s="265">
        <v>300</v>
      </c>
      <c r="G3858" s="265"/>
      <c r="H3858" s="265">
        <f t="shared" si="155"/>
        <v>300</v>
      </c>
    </row>
    <row r="3859" spans="2:8" x14ac:dyDescent="0.2">
      <c r="B3859" s="262" t="s">
        <v>1884</v>
      </c>
      <c r="C3859" s="263">
        <v>43371</v>
      </c>
      <c r="D3859" s="264" t="s">
        <v>4748</v>
      </c>
      <c r="E3859" s="264" t="s">
        <v>5650</v>
      </c>
      <c r="F3859" s="265">
        <v>175</v>
      </c>
      <c r="G3859" s="265"/>
      <c r="H3859" s="265">
        <f t="shared" si="155"/>
        <v>175</v>
      </c>
    </row>
    <row r="3860" spans="2:8" x14ac:dyDescent="0.2">
      <c r="B3860" s="262" t="s">
        <v>1884</v>
      </c>
      <c r="C3860" s="263">
        <v>43371</v>
      </c>
      <c r="D3860" s="264" t="s">
        <v>1921</v>
      </c>
      <c r="E3860" s="264" t="s">
        <v>5651</v>
      </c>
      <c r="F3860" s="265">
        <v>63</v>
      </c>
      <c r="G3860" s="265"/>
      <c r="H3860" s="265">
        <f t="shared" ref="H3860:H3878" si="156">SUM(F3860:G3860)</f>
        <v>63</v>
      </c>
    </row>
    <row r="3861" spans="2:8" x14ac:dyDescent="0.2">
      <c r="B3861" s="262" t="s">
        <v>1871</v>
      </c>
      <c r="C3861" s="263">
        <v>43372</v>
      </c>
      <c r="D3861" s="264" t="s">
        <v>2704</v>
      </c>
      <c r="E3861" s="264" t="s">
        <v>2971</v>
      </c>
      <c r="F3861" s="265">
        <v>185</v>
      </c>
      <c r="G3861" s="265"/>
      <c r="H3861" s="265">
        <f t="shared" si="156"/>
        <v>185</v>
      </c>
    </row>
    <row r="3862" spans="2:8" x14ac:dyDescent="0.2">
      <c r="B3862" s="262" t="s">
        <v>1881</v>
      </c>
      <c r="C3862" s="263">
        <v>43372</v>
      </c>
      <c r="D3862" s="264" t="s">
        <v>1873</v>
      </c>
      <c r="E3862" s="264" t="s">
        <v>5652</v>
      </c>
      <c r="F3862" s="265">
        <v>200</v>
      </c>
      <c r="G3862" s="265"/>
      <c r="H3862" s="265">
        <f t="shared" si="156"/>
        <v>200</v>
      </c>
    </row>
    <row r="3863" spans="2:8" x14ac:dyDescent="0.2">
      <c r="B3863" s="262" t="s">
        <v>1864</v>
      </c>
      <c r="C3863" s="263">
        <v>43373</v>
      </c>
      <c r="D3863" s="264" t="s">
        <v>4954</v>
      </c>
      <c r="E3863" s="264" t="s">
        <v>5653</v>
      </c>
      <c r="F3863" s="265">
        <v>70</v>
      </c>
      <c r="G3863" s="265"/>
      <c r="H3863" s="265">
        <f t="shared" si="156"/>
        <v>70</v>
      </c>
    </row>
    <row r="3864" spans="2:8" x14ac:dyDescent="0.2">
      <c r="B3864" s="262" t="s">
        <v>1864</v>
      </c>
      <c r="C3864" s="263">
        <v>43373</v>
      </c>
      <c r="D3864" s="264" t="s">
        <v>3125</v>
      </c>
      <c r="E3864" s="264" t="s">
        <v>5087</v>
      </c>
      <c r="F3864" s="265">
        <v>43.5</v>
      </c>
      <c r="G3864" s="265"/>
      <c r="H3864" s="265">
        <f t="shared" si="156"/>
        <v>43.5</v>
      </c>
    </row>
    <row r="3865" spans="2:8" x14ac:dyDescent="0.2">
      <c r="B3865" s="262" t="s">
        <v>1864</v>
      </c>
      <c r="C3865" s="263">
        <v>43373</v>
      </c>
      <c r="D3865" s="264" t="s">
        <v>2535</v>
      </c>
      <c r="E3865" s="264" t="s">
        <v>3981</v>
      </c>
      <c r="F3865" s="265">
        <v>56</v>
      </c>
      <c r="G3865" s="265"/>
      <c r="H3865" s="265">
        <f t="shared" si="156"/>
        <v>56</v>
      </c>
    </row>
    <row r="3866" spans="2:8" x14ac:dyDescent="0.2">
      <c r="B3866" s="262" t="s">
        <v>1881</v>
      </c>
      <c r="C3866" s="263">
        <v>43373</v>
      </c>
      <c r="D3866" s="264" t="s">
        <v>2250</v>
      </c>
      <c r="E3866" s="264" t="s">
        <v>5481</v>
      </c>
      <c r="F3866" s="265">
        <v>120</v>
      </c>
      <c r="G3866" s="265"/>
      <c r="H3866" s="265">
        <f t="shared" si="156"/>
        <v>120</v>
      </c>
    </row>
    <row r="3867" spans="2:8" x14ac:dyDescent="0.2">
      <c r="B3867" s="262" t="s">
        <v>1881</v>
      </c>
      <c r="C3867" s="263">
        <v>43373</v>
      </c>
      <c r="D3867" s="264" t="s">
        <v>2250</v>
      </c>
      <c r="E3867" s="264" t="s">
        <v>5654</v>
      </c>
      <c r="F3867" s="265">
        <v>300</v>
      </c>
      <c r="G3867" s="265"/>
      <c r="H3867" s="265">
        <f t="shared" si="156"/>
        <v>300</v>
      </c>
    </row>
    <row r="3868" spans="2:8" x14ac:dyDescent="0.2">
      <c r="B3868" s="262" t="s">
        <v>1881</v>
      </c>
      <c r="C3868" s="263">
        <v>43373</v>
      </c>
      <c r="D3868" s="264" t="s">
        <v>1873</v>
      </c>
      <c r="E3868" s="264" t="s">
        <v>5655</v>
      </c>
      <c r="F3868" s="265">
        <v>550</v>
      </c>
      <c r="G3868" s="265"/>
      <c r="H3868" s="265">
        <f t="shared" si="156"/>
        <v>550</v>
      </c>
    </row>
    <row r="3869" spans="2:8" x14ac:dyDescent="0.2">
      <c r="B3869" s="262" t="s">
        <v>1884</v>
      </c>
      <c r="C3869" s="263">
        <v>43373</v>
      </c>
      <c r="D3869" s="264" t="s">
        <v>5367</v>
      </c>
      <c r="E3869" s="264" t="s">
        <v>5656</v>
      </c>
      <c r="F3869" s="265">
        <v>2000</v>
      </c>
      <c r="G3869" s="265"/>
      <c r="H3869" s="265">
        <f t="shared" si="156"/>
        <v>2000</v>
      </c>
    </row>
    <row r="3870" spans="2:8" x14ac:dyDescent="0.2">
      <c r="B3870" s="262" t="s">
        <v>1859</v>
      </c>
      <c r="C3870" s="263">
        <v>43373</v>
      </c>
      <c r="D3870" s="264" t="s">
        <v>4482</v>
      </c>
      <c r="E3870" s="264" t="s">
        <v>5657</v>
      </c>
      <c r="F3870" s="265">
        <v>4000</v>
      </c>
      <c r="G3870" s="265"/>
      <c r="H3870" s="265">
        <f t="shared" si="156"/>
        <v>4000</v>
      </c>
    </row>
    <row r="3871" spans="2:8" x14ac:dyDescent="0.2">
      <c r="B3871" s="262" t="s">
        <v>1577</v>
      </c>
      <c r="C3871" s="263">
        <v>43373</v>
      </c>
      <c r="D3871" s="264" t="s">
        <v>5030</v>
      </c>
      <c r="E3871" s="264" t="s">
        <v>5658</v>
      </c>
      <c r="F3871" s="265">
        <v>10000</v>
      </c>
      <c r="G3871" s="265"/>
      <c r="H3871" s="265">
        <f t="shared" si="156"/>
        <v>10000</v>
      </c>
    </row>
    <row r="3872" spans="2:8" x14ac:dyDescent="0.2">
      <c r="B3872" s="262" t="s">
        <v>1887</v>
      </c>
      <c r="C3872" s="263">
        <v>43347</v>
      </c>
      <c r="D3872" s="264" t="s">
        <v>1534</v>
      </c>
      <c r="E3872" s="264" t="s">
        <v>1536</v>
      </c>
      <c r="F3872" s="265">
        <v>-0.46</v>
      </c>
      <c r="G3872" s="265"/>
      <c r="H3872" s="265">
        <f t="shared" si="156"/>
        <v>-0.46</v>
      </c>
    </row>
    <row r="3873" spans="2:10" x14ac:dyDescent="0.2">
      <c r="B3873" s="262" t="s">
        <v>1790</v>
      </c>
      <c r="C3873" s="263">
        <v>43331</v>
      </c>
      <c r="D3873" s="264" t="s">
        <v>1909</v>
      </c>
      <c r="E3873" s="264" t="s">
        <v>5572</v>
      </c>
      <c r="F3873" s="265"/>
      <c r="G3873" s="265">
        <v>-1760</v>
      </c>
      <c r="H3873" s="265">
        <f t="shared" si="156"/>
        <v>-1760</v>
      </c>
      <c r="J3873">
        <v>59.52</v>
      </c>
    </row>
    <row r="3874" spans="2:10" x14ac:dyDescent="0.2">
      <c r="B3874" s="262" t="s">
        <v>1887</v>
      </c>
      <c r="C3874" s="263">
        <v>43371</v>
      </c>
      <c r="D3874" s="264" t="s">
        <v>1597</v>
      </c>
      <c r="E3874" s="264" t="s">
        <v>5664</v>
      </c>
      <c r="F3874" s="265">
        <v>390</v>
      </c>
      <c r="G3874" s="265"/>
      <c r="H3874" s="265"/>
    </row>
    <row r="3875" spans="2:10" x14ac:dyDescent="0.2">
      <c r="B3875" s="262" t="s">
        <v>1790</v>
      </c>
      <c r="C3875" s="263">
        <v>43371</v>
      </c>
      <c r="D3875" s="361" t="s">
        <v>1597</v>
      </c>
      <c r="E3875" s="361" t="s">
        <v>5665</v>
      </c>
      <c r="F3875" s="265"/>
      <c r="G3875" s="265">
        <v>62.4</v>
      </c>
      <c r="H3875" s="265">
        <f t="shared" ref="H3875" si="157">SUM(F3875:G3875)</f>
        <v>62.4</v>
      </c>
    </row>
    <row r="3876" spans="2:10" x14ac:dyDescent="0.2">
      <c r="B3876" s="262" t="s">
        <v>1887</v>
      </c>
      <c r="C3876" s="263">
        <v>43371</v>
      </c>
      <c r="D3876" s="361" t="s">
        <v>1597</v>
      </c>
      <c r="E3876" s="361" t="s">
        <v>2229</v>
      </c>
      <c r="F3876" s="265">
        <v>18</v>
      </c>
      <c r="G3876" s="265"/>
      <c r="H3876" s="265">
        <f t="shared" si="156"/>
        <v>18</v>
      </c>
    </row>
    <row r="3877" spans="2:10" x14ac:dyDescent="0.2">
      <c r="B3877" s="262" t="s">
        <v>1790</v>
      </c>
      <c r="C3877" s="263">
        <v>43371</v>
      </c>
      <c r="D3877" s="361" t="s">
        <v>1597</v>
      </c>
      <c r="E3877" s="361" t="s">
        <v>2230</v>
      </c>
      <c r="F3877" s="265"/>
      <c r="G3877" s="265">
        <v>2.88</v>
      </c>
      <c r="H3877" s="265">
        <f t="shared" si="156"/>
        <v>2.88</v>
      </c>
      <c r="J3877" s="175">
        <f>SUM(H3782:H3878)</f>
        <v>110980.07999999999</v>
      </c>
    </row>
    <row r="3878" spans="2:10" x14ac:dyDescent="0.2">
      <c r="B3878" s="262"/>
      <c r="C3878" s="263"/>
      <c r="D3878" s="264"/>
      <c r="E3878" s="264"/>
      <c r="F3878" s="265"/>
      <c r="G3878" s="265"/>
      <c r="H3878" s="265">
        <f t="shared" si="156"/>
        <v>0</v>
      </c>
    </row>
    <row r="3879" spans="2:10" ht="18" customHeight="1" x14ac:dyDescent="0.2">
      <c r="B3879" s="255" t="s">
        <v>1850</v>
      </c>
      <c r="C3879" s="255" t="s">
        <v>1851</v>
      </c>
      <c r="D3879" s="256" t="s">
        <v>1852</v>
      </c>
      <c r="E3879" s="256" t="s">
        <v>1853</v>
      </c>
      <c r="F3879" s="257" t="s">
        <v>1854</v>
      </c>
      <c r="G3879" s="257" t="s">
        <v>1855</v>
      </c>
      <c r="H3879" s="257" t="s">
        <v>1856</v>
      </c>
    </row>
    <row r="3880" spans="2:10" ht="12.75" customHeight="1" x14ac:dyDescent="0.2">
      <c r="B3880" s="262" t="s">
        <v>1577</v>
      </c>
      <c r="C3880" s="263">
        <v>43374</v>
      </c>
      <c r="D3880" s="264" t="s">
        <v>5030</v>
      </c>
      <c r="E3880" s="264" t="s">
        <v>5699</v>
      </c>
      <c r="F3880" s="265">
        <v>5000</v>
      </c>
      <c r="G3880" s="265"/>
      <c r="H3880" s="265">
        <f t="shared" ref="H3880" si="158">SUM(F3880:G3880)</f>
        <v>5000</v>
      </c>
    </row>
    <row r="3881" spans="2:10" x14ac:dyDescent="0.2">
      <c r="B3881" s="262" t="s">
        <v>1865</v>
      </c>
      <c r="C3881" s="263">
        <v>43374</v>
      </c>
      <c r="D3881" s="264" t="s">
        <v>3705</v>
      </c>
      <c r="E3881" s="264" t="s">
        <v>5700</v>
      </c>
      <c r="F3881" s="265">
        <v>1500</v>
      </c>
      <c r="G3881" s="265"/>
      <c r="H3881" s="265">
        <f t="shared" ref="H3881:H3888" si="159">SUM(F3881:G3881)</f>
        <v>1500</v>
      </c>
    </row>
    <row r="3882" spans="2:10" x14ac:dyDescent="0.2">
      <c r="B3882" s="262" t="s">
        <v>1861</v>
      </c>
      <c r="C3882" s="263">
        <v>43374</v>
      </c>
      <c r="D3882" s="264" t="s">
        <v>2535</v>
      </c>
      <c r="E3882" s="264" t="s">
        <v>5701</v>
      </c>
      <c r="F3882" s="265">
        <v>46.5</v>
      </c>
      <c r="G3882" s="265"/>
      <c r="H3882" s="265">
        <f t="shared" si="159"/>
        <v>46.5</v>
      </c>
    </row>
    <row r="3883" spans="2:10" x14ac:dyDescent="0.2">
      <c r="B3883" s="262" t="s">
        <v>1870</v>
      </c>
      <c r="C3883" s="263">
        <v>43374</v>
      </c>
      <c r="D3883" s="264" t="s">
        <v>3777</v>
      </c>
      <c r="E3883" s="264" t="s">
        <v>5702</v>
      </c>
      <c r="F3883" s="265">
        <v>500</v>
      </c>
      <c r="G3883" s="265"/>
      <c r="H3883" s="265">
        <f t="shared" si="159"/>
        <v>500</v>
      </c>
    </row>
    <row r="3884" spans="2:10" x14ac:dyDescent="0.2">
      <c r="B3884" s="262" t="s">
        <v>1870</v>
      </c>
      <c r="C3884" s="263">
        <v>43374</v>
      </c>
      <c r="D3884" s="264" t="s">
        <v>5703</v>
      </c>
      <c r="E3884" s="264" t="s">
        <v>5704</v>
      </c>
      <c r="F3884" s="265">
        <v>150</v>
      </c>
      <c r="G3884" s="265"/>
      <c r="H3884" s="265">
        <f t="shared" si="159"/>
        <v>150</v>
      </c>
    </row>
    <row r="3885" spans="2:10" x14ac:dyDescent="0.2">
      <c r="B3885" s="262" t="s">
        <v>1866</v>
      </c>
      <c r="C3885" s="263">
        <v>43374</v>
      </c>
      <c r="D3885" s="264" t="s">
        <v>1890</v>
      </c>
      <c r="E3885" s="264" t="s">
        <v>4747</v>
      </c>
      <c r="F3885" s="265">
        <v>144</v>
      </c>
      <c r="G3885" s="265"/>
      <c r="H3885" s="265">
        <f t="shared" si="159"/>
        <v>144</v>
      </c>
    </row>
    <row r="3886" spans="2:10" x14ac:dyDescent="0.2">
      <c r="B3886" s="262" t="s">
        <v>1870</v>
      </c>
      <c r="C3886" s="263">
        <v>43374</v>
      </c>
      <c r="D3886" s="264" t="s">
        <v>5013</v>
      </c>
      <c r="E3886" s="264" t="s">
        <v>5705</v>
      </c>
      <c r="F3886" s="265">
        <v>300</v>
      </c>
      <c r="G3886" s="265"/>
      <c r="H3886" s="265">
        <f t="shared" si="159"/>
        <v>300</v>
      </c>
    </row>
    <row r="3887" spans="2:10" x14ac:dyDescent="0.2">
      <c r="B3887" s="262" t="s">
        <v>1863</v>
      </c>
      <c r="C3887" s="263">
        <v>43375</v>
      </c>
      <c r="D3887" s="264" t="s">
        <v>5265</v>
      </c>
      <c r="E3887" s="264" t="s">
        <v>5706</v>
      </c>
      <c r="F3887" s="265">
        <v>300</v>
      </c>
      <c r="G3887" s="265"/>
      <c r="H3887" s="265">
        <f t="shared" si="159"/>
        <v>300</v>
      </c>
    </row>
    <row r="3888" spans="2:10" x14ac:dyDescent="0.2">
      <c r="B3888" s="262" t="s">
        <v>1870</v>
      </c>
      <c r="C3888" s="263">
        <v>43375</v>
      </c>
      <c r="D3888" s="264" t="s">
        <v>3330</v>
      </c>
      <c r="E3888" s="264" t="s">
        <v>5513</v>
      </c>
      <c r="F3888" s="265">
        <v>500</v>
      </c>
      <c r="G3888" s="265"/>
      <c r="H3888" s="265">
        <f t="shared" si="159"/>
        <v>500</v>
      </c>
    </row>
    <row r="3889" spans="2:8" x14ac:dyDescent="0.2">
      <c r="B3889" s="262" t="s">
        <v>1884</v>
      </c>
      <c r="C3889" s="263">
        <v>43376</v>
      </c>
      <c r="D3889" s="264" t="s">
        <v>5033</v>
      </c>
      <c r="E3889" s="264" t="s">
        <v>5228</v>
      </c>
      <c r="F3889" s="265">
        <v>300</v>
      </c>
      <c r="G3889" s="265"/>
      <c r="H3889" s="265">
        <f t="shared" ref="H3889:H3953" si="160">SUM(F3889:G3889)</f>
        <v>300</v>
      </c>
    </row>
    <row r="3890" spans="2:8" x14ac:dyDescent="0.2">
      <c r="B3890" s="262" t="s">
        <v>1861</v>
      </c>
      <c r="C3890" s="263">
        <v>43376</v>
      </c>
      <c r="D3890" s="264" t="s">
        <v>2535</v>
      </c>
      <c r="E3890" s="264" t="s">
        <v>5357</v>
      </c>
      <c r="F3890" s="265">
        <v>36</v>
      </c>
      <c r="G3890" s="265"/>
      <c r="H3890" s="265">
        <f t="shared" si="160"/>
        <v>36</v>
      </c>
    </row>
    <row r="3891" spans="2:8" x14ac:dyDescent="0.2">
      <c r="B3891" s="262" t="s">
        <v>1871</v>
      </c>
      <c r="C3891" s="263">
        <v>43377</v>
      </c>
      <c r="D3891" s="264" t="s">
        <v>5707</v>
      </c>
      <c r="E3891" s="264" t="s">
        <v>5710</v>
      </c>
      <c r="F3891" s="265">
        <v>820</v>
      </c>
      <c r="G3891" s="265"/>
      <c r="H3891" s="265">
        <f t="shared" si="160"/>
        <v>820</v>
      </c>
    </row>
    <row r="3892" spans="2:8" x14ac:dyDescent="0.2">
      <c r="B3892" s="262" t="s">
        <v>1871</v>
      </c>
      <c r="C3892" s="263">
        <v>43377</v>
      </c>
      <c r="D3892" s="264" t="s">
        <v>5707</v>
      </c>
      <c r="E3892" s="264" t="s">
        <v>5708</v>
      </c>
      <c r="F3892" s="265">
        <v>360</v>
      </c>
      <c r="G3892" s="265"/>
      <c r="H3892" s="265">
        <f t="shared" si="160"/>
        <v>360</v>
      </c>
    </row>
    <row r="3893" spans="2:8" x14ac:dyDescent="0.2">
      <c r="B3893" s="262" t="s">
        <v>1871</v>
      </c>
      <c r="C3893" s="263">
        <v>43377</v>
      </c>
      <c r="D3893" s="264" t="s">
        <v>5707</v>
      </c>
      <c r="E3893" s="264" t="s">
        <v>5709</v>
      </c>
      <c r="F3893" s="265">
        <v>810</v>
      </c>
      <c r="G3893" s="265"/>
      <c r="H3893" s="265">
        <f t="shared" si="160"/>
        <v>810</v>
      </c>
    </row>
    <row r="3894" spans="2:8" x14ac:dyDescent="0.2">
      <c r="B3894" s="262" t="s">
        <v>1805</v>
      </c>
      <c r="C3894" s="263">
        <v>43378</v>
      </c>
      <c r="D3894" s="264" t="s">
        <v>1910</v>
      </c>
      <c r="E3894" s="264" t="s">
        <v>5711</v>
      </c>
      <c r="F3894" s="265">
        <v>1250</v>
      </c>
      <c r="G3894" s="265"/>
      <c r="H3894" s="265">
        <f t="shared" si="160"/>
        <v>1250</v>
      </c>
    </row>
    <row r="3895" spans="2:8" x14ac:dyDescent="0.2">
      <c r="B3895" s="262" t="s">
        <v>1861</v>
      </c>
      <c r="C3895" s="263">
        <v>43379</v>
      </c>
      <c r="D3895" s="264" t="s">
        <v>5712</v>
      </c>
      <c r="E3895" s="264" t="s">
        <v>5647</v>
      </c>
      <c r="F3895" s="265">
        <v>52.5</v>
      </c>
      <c r="G3895" s="265"/>
      <c r="H3895" s="265">
        <f t="shared" si="160"/>
        <v>52.5</v>
      </c>
    </row>
    <row r="3896" spans="2:8" x14ac:dyDescent="0.2">
      <c r="B3896" s="262" t="s">
        <v>1861</v>
      </c>
      <c r="C3896" s="263">
        <v>43379</v>
      </c>
      <c r="D3896" s="264" t="s">
        <v>3125</v>
      </c>
      <c r="E3896" s="264" t="s">
        <v>5647</v>
      </c>
      <c r="F3896" s="265">
        <v>3</v>
      </c>
      <c r="G3896" s="265"/>
      <c r="H3896" s="265">
        <f t="shared" si="160"/>
        <v>3</v>
      </c>
    </row>
    <row r="3897" spans="2:8" x14ac:dyDescent="0.2">
      <c r="B3897" s="262" t="s">
        <v>1870</v>
      </c>
      <c r="C3897" s="263">
        <v>43379</v>
      </c>
      <c r="D3897" s="264" t="s">
        <v>2274</v>
      </c>
      <c r="E3897" s="264" t="s">
        <v>5713</v>
      </c>
      <c r="F3897" s="265">
        <v>42.8</v>
      </c>
      <c r="G3897" s="265"/>
      <c r="H3897" s="265">
        <f t="shared" si="160"/>
        <v>42.8</v>
      </c>
    </row>
    <row r="3898" spans="2:8" x14ac:dyDescent="0.2">
      <c r="B3898" s="262" t="s">
        <v>1881</v>
      </c>
      <c r="C3898" s="263">
        <v>43380</v>
      </c>
      <c r="D3898" s="264" t="s">
        <v>2250</v>
      </c>
      <c r="E3898" s="264" t="s">
        <v>2026</v>
      </c>
      <c r="F3898" s="265">
        <v>120</v>
      </c>
      <c r="G3898" s="265"/>
      <c r="H3898" s="265">
        <f t="shared" si="160"/>
        <v>120</v>
      </c>
    </row>
    <row r="3899" spans="2:8" x14ac:dyDescent="0.2">
      <c r="B3899" s="262" t="s">
        <v>1863</v>
      </c>
      <c r="C3899" s="263">
        <v>43380</v>
      </c>
      <c r="D3899" s="264" t="s">
        <v>2250</v>
      </c>
      <c r="E3899" s="264" t="s">
        <v>5714</v>
      </c>
      <c r="F3899" s="265">
        <v>150</v>
      </c>
      <c r="G3899" s="265"/>
      <c r="H3899" s="265">
        <f t="shared" si="160"/>
        <v>150</v>
      </c>
    </row>
    <row r="3900" spans="2:8" x14ac:dyDescent="0.2">
      <c r="B3900" s="262" t="s">
        <v>1864</v>
      </c>
      <c r="C3900" s="263">
        <v>43380</v>
      </c>
      <c r="D3900" s="264" t="s">
        <v>2535</v>
      </c>
      <c r="E3900" s="264" t="s">
        <v>5715</v>
      </c>
      <c r="F3900" s="265">
        <v>100</v>
      </c>
      <c r="G3900" s="265"/>
      <c r="H3900" s="265">
        <f t="shared" si="160"/>
        <v>100</v>
      </c>
    </row>
    <row r="3901" spans="2:8" x14ac:dyDescent="0.2">
      <c r="B3901" s="262" t="s">
        <v>1879</v>
      </c>
      <c r="C3901" s="263">
        <v>43380</v>
      </c>
      <c r="D3901" s="264" t="s">
        <v>3330</v>
      </c>
      <c r="E3901" s="264" t="s">
        <v>5513</v>
      </c>
      <c r="F3901" s="265">
        <v>300</v>
      </c>
      <c r="G3901" s="265"/>
      <c r="H3901" s="265">
        <f t="shared" si="160"/>
        <v>300</v>
      </c>
    </row>
    <row r="3902" spans="2:8" x14ac:dyDescent="0.2">
      <c r="B3902" s="262" t="s">
        <v>1870</v>
      </c>
      <c r="C3902" s="263">
        <v>43381</v>
      </c>
      <c r="D3902" s="264" t="s">
        <v>5013</v>
      </c>
      <c r="E3902" s="264" t="s">
        <v>5716</v>
      </c>
      <c r="F3902" s="265">
        <v>800</v>
      </c>
      <c r="G3902" s="265"/>
      <c r="H3902" s="265">
        <f t="shared" si="160"/>
        <v>800</v>
      </c>
    </row>
    <row r="3903" spans="2:8" x14ac:dyDescent="0.2">
      <c r="B3903" s="262" t="s">
        <v>1862</v>
      </c>
      <c r="C3903" s="263">
        <v>43381</v>
      </c>
      <c r="D3903" s="264" t="s">
        <v>5013</v>
      </c>
      <c r="E3903" s="264" t="s">
        <v>5717</v>
      </c>
      <c r="F3903" s="265">
        <v>10400</v>
      </c>
      <c r="G3903" s="265"/>
      <c r="H3903" s="265">
        <f t="shared" si="160"/>
        <v>10400</v>
      </c>
    </row>
    <row r="3904" spans="2:8" x14ac:dyDescent="0.2">
      <c r="B3904" s="262" t="s">
        <v>1870</v>
      </c>
      <c r="C3904" s="263">
        <v>43381</v>
      </c>
      <c r="D3904" s="264" t="s">
        <v>2535</v>
      </c>
      <c r="E3904" s="264" t="s">
        <v>5718</v>
      </c>
      <c r="F3904" s="265">
        <v>54</v>
      </c>
      <c r="G3904" s="265"/>
      <c r="H3904" s="265">
        <f t="shared" si="160"/>
        <v>54</v>
      </c>
    </row>
    <row r="3905" spans="2:8" x14ac:dyDescent="0.2">
      <c r="B3905" s="262" t="s">
        <v>1870</v>
      </c>
      <c r="C3905" s="263">
        <v>43381</v>
      </c>
      <c r="D3905" s="264" t="s">
        <v>3607</v>
      </c>
      <c r="E3905" s="264" t="s">
        <v>5719</v>
      </c>
      <c r="F3905" s="265">
        <v>75</v>
      </c>
      <c r="G3905" s="265"/>
      <c r="H3905" s="265">
        <f t="shared" si="160"/>
        <v>75</v>
      </c>
    </row>
    <row r="3906" spans="2:8" x14ac:dyDescent="0.2">
      <c r="B3906" s="262" t="s">
        <v>1866</v>
      </c>
      <c r="C3906" s="263">
        <v>43381</v>
      </c>
      <c r="D3906" s="264" t="s">
        <v>1890</v>
      </c>
      <c r="E3906" s="264" t="s">
        <v>4375</v>
      </c>
      <c r="F3906" s="265">
        <v>180</v>
      </c>
      <c r="G3906" s="265"/>
      <c r="H3906" s="265">
        <f t="shared" si="160"/>
        <v>180</v>
      </c>
    </row>
    <row r="3907" spans="2:8" x14ac:dyDescent="0.2">
      <c r="B3907" s="262" t="s">
        <v>1884</v>
      </c>
      <c r="C3907" s="263">
        <v>43382</v>
      </c>
      <c r="D3907" s="264" t="s">
        <v>5449</v>
      </c>
      <c r="E3907" s="264" t="s">
        <v>5720</v>
      </c>
      <c r="F3907" s="265">
        <v>120</v>
      </c>
      <c r="G3907" s="265"/>
      <c r="H3907" s="265">
        <f t="shared" si="160"/>
        <v>120</v>
      </c>
    </row>
    <row r="3908" spans="2:8" x14ac:dyDescent="0.2">
      <c r="B3908" s="262" t="s">
        <v>1861</v>
      </c>
      <c r="C3908" s="263">
        <v>43383</v>
      </c>
      <c r="D3908" s="264" t="s">
        <v>1893</v>
      </c>
      <c r="E3908" s="264" t="s">
        <v>5721</v>
      </c>
      <c r="F3908" s="265">
        <v>35.299999999999997</v>
      </c>
      <c r="G3908" s="265"/>
      <c r="H3908" s="265">
        <f t="shared" si="160"/>
        <v>35.299999999999997</v>
      </c>
    </row>
    <row r="3909" spans="2:8" x14ac:dyDescent="0.2">
      <c r="B3909" s="262" t="s">
        <v>1875</v>
      </c>
      <c r="C3909" s="263">
        <v>43384</v>
      </c>
      <c r="D3909" s="264" t="s">
        <v>2535</v>
      </c>
      <c r="E3909" s="264" t="s">
        <v>2109</v>
      </c>
      <c r="F3909" s="265">
        <v>77.5</v>
      </c>
      <c r="G3909" s="265"/>
      <c r="H3909" s="265">
        <f t="shared" si="160"/>
        <v>77.5</v>
      </c>
    </row>
    <row r="3910" spans="2:8" x14ac:dyDescent="0.2">
      <c r="B3910" s="262" t="s">
        <v>1863</v>
      </c>
      <c r="C3910" s="263">
        <v>43384</v>
      </c>
      <c r="D3910" s="264" t="s">
        <v>4750</v>
      </c>
      <c r="E3910" s="264" t="s">
        <v>5722</v>
      </c>
      <c r="F3910" s="265">
        <v>450</v>
      </c>
      <c r="G3910" s="265"/>
      <c r="H3910" s="265">
        <f t="shared" si="160"/>
        <v>450</v>
      </c>
    </row>
    <row r="3911" spans="2:8" x14ac:dyDescent="0.2">
      <c r="B3911" s="262" t="s">
        <v>1863</v>
      </c>
      <c r="C3911" s="263">
        <v>43384</v>
      </c>
      <c r="D3911" s="264" t="s">
        <v>5265</v>
      </c>
      <c r="E3911" s="264" t="s">
        <v>4707</v>
      </c>
      <c r="F3911" s="265">
        <v>200</v>
      </c>
      <c r="G3911" s="265"/>
      <c r="H3911" s="265">
        <f t="shared" si="160"/>
        <v>200</v>
      </c>
    </row>
    <row r="3912" spans="2:8" x14ac:dyDescent="0.2">
      <c r="B3912" s="262" t="s">
        <v>1884</v>
      </c>
      <c r="C3912" s="263">
        <v>43385</v>
      </c>
      <c r="D3912" s="264" t="s">
        <v>5033</v>
      </c>
      <c r="E3912" s="264" t="s">
        <v>5189</v>
      </c>
      <c r="F3912" s="265">
        <v>300</v>
      </c>
      <c r="G3912" s="265"/>
      <c r="H3912" s="265">
        <f t="shared" si="160"/>
        <v>300</v>
      </c>
    </row>
    <row r="3913" spans="2:8" x14ac:dyDescent="0.2">
      <c r="B3913" s="262" t="s">
        <v>1863</v>
      </c>
      <c r="C3913" s="263">
        <v>43385</v>
      </c>
      <c r="D3913" s="264" t="s">
        <v>3705</v>
      </c>
      <c r="E3913" s="264" t="s">
        <v>5723</v>
      </c>
      <c r="F3913" s="265">
        <v>350</v>
      </c>
      <c r="G3913" s="265"/>
      <c r="H3913" s="265">
        <f t="shared" si="160"/>
        <v>350</v>
      </c>
    </row>
    <row r="3914" spans="2:8" x14ac:dyDescent="0.2">
      <c r="B3914" s="262" t="s">
        <v>1867</v>
      </c>
      <c r="C3914" s="263">
        <v>43385</v>
      </c>
      <c r="D3914" s="264" t="s">
        <v>1894</v>
      </c>
      <c r="E3914" s="264" t="s">
        <v>5724</v>
      </c>
      <c r="F3914" s="265">
        <v>778</v>
      </c>
      <c r="G3914" s="265"/>
      <c r="H3914" s="265">
        <f t="shared" si="160"/>
        <v>778</v>
      </c>
    </row>
    <row r="3915" spans="2:8" x14ac:dyDescent="0.2">
      <c r="B3915" s="262" t="s">
        <v>1805</v>
      </c>
      <c r="C3915" s="263">
        <v>43385</v>
      </c>
      <c r="D3915" s="264" t="s">
        <v>1910</v>
      </c>
      <c r="E3915" s="264" t="s">
        <v>5725</v>
      </c>
      <c r="F3915" s="265">
        <v>1250</v>
      </c>
      <c r="G3915" s="265"/>
      <c r="H3915" s="265">
        <f t="shared" si="160"/>
        <v>1250</v>
      </c>
    </row>
    <row r="3916" spans="2:8" x14ac:dyDescent="0.2">
      <c r="B3916" s="262" t="s">
        <v>1860</v>
      </c>
      <c r="C3916" s="263">
        <v>43385</v>
      </c>
      <c r="D3916" s="264" t="s">
        <v>3955</v>
      </c>
      <c r="E3916" s="264" t="s">
        <v>5726</v>
      </c>
      <c r="F3916" s="265">
        <v>26</v>
      </c>
      <c r="G3916" s="265"/>
      <c r="H3916" s="265">
        <f t="shared" si="160"/>
        <v>26</v>
      </c>
    </row>
    <row r="3917" spans="2:8" x14ac:dyDescent="0.2">
      <c r="B3917" s="262" t="s">
        <v>1881</v>
      </c>
      <c r="C3917" s="263">
        <v>43387</v>
      </c>
      <c r="D3917" s="264" t="s">
        <v>2250</v>
      </c>
      <c r="E3917" s="264" t="s">
        <v>5727</v>
      </c>
      <c r="F3917" s="265">
        <v>120</v>
      </c>
      <c r="G3917" s="265"/>
      <c r="H3917" s="265">
        <f t="shared" si="160"/>
        <v>120</v>
      </c>
    </row>
    <row r="3918" spans="2:8" x14ac:dyDescent="0.2">
      <c r="B3918" s="262" t="s">
        <v>1863</v>
      </c>
      <c r="C3918" s="263">
        <v>43387</v>
      </c>
      <c r="D3918" s="264" t="s">
        <v>2250</v>
      </c>
      <c r="E3918" s="264" t="s">
        <v>5456</v>
      </c>
      <c r="F3918" s="265">
        <v>150</v>
      </c>
      <c r="G3918" s="265"/>
      <c r="H3918" s="265">
        <f t="shared" si="160"/>
        <v>150</v>
      </c>
    </row>
    <row r="3919" spans="2:8" x14ac:dyDescent="0.2">
      <c r="B3919" s="262" t="s">
        <v>1884</v>
      </c>
      <c r="C3919" s="263">
        <v>43387</v>
      </c>
      <c r="D3919" s="264" t="s">
        <v>5033</v>
      </c>
      <c r="E3919" s="264" t="s">
        <v>5189</v>
      </c>
      <c r="F3919" s="265">
        <v>300</v>
      </c>
      <c r="G3919" s="265"/>
      <c r="H3919" s="265">
        <f t="shared" si="160"/>
        <v>300</v>
      </c>
    </row>
    <row r="3920" spans="2:8" x14ac:dyDescent="0.2">
      <c r="B3920" s="262" t="s">
        <v>1864</v>
      </c>
      <c r="C3920" s="263">
        <v>43387</v>
      </c>
      <c r="D3920" s="264" t="s">
        <v>2535</v>
      </c>
      <c r="E3920" s="264" t="s">
        <v>3023</v>
      </c>
      <c r="F3920" s="265">
        <v>108.5</v>
      </c>
      <c r="G3920" s="265"/>
      <c r="H3920" s="265">
        <f t="shared" si="160"/>
        <v>108.5</v>
      </c>
    </row>
    <row r="3921" spans="2:8" x14ac:dyDescent="0.2">
      <c r="B3921" s="262" t="s">
        <v>1864</v>
      </c>
      <c r="C3921" s="263">
        <v>43387</v>
      </c>
      <c r="D3921" s="264" t="s">
        <v>2535</v>
      </c>
      <c r="E3921" s="264" t="s">
        <v>5639</v>
      </c>
      <c r="F3921" s="265">
        <v>67</v>
      </c>
      <c r="G3921" s="265"/>
      <c r="H3921" s="265">
        <f t="shared" si="160"/>
        <v>67</v>
      </c>
    </row>
    <row r="3922" spans="2:8" x14ac:dyDescent="0.2">
      <c r="B3922" s="262" t="s">
        <v>1866</v>
      </c>
      <c r="C3922" s="263">
        <v>43388</v>
      </c>
      <c r="D3922" s="264" t="s">
        <v>1890</v>
      </c>
      <c r="E3922" s="264" t="s">
        <v>4747</v>
      </c>
      <c r="F3922" s="265">
        <v>144</v>
      </c>
      <c r="G3922" s="265"/>
      <c r="H3922" s="265">
        <f t="shared" si="160"/>
        <v>144</v>
      </c>
    </row>
    <row r="3923" spans="2:8" x14ac:dyDescent="0.2">
      <c r="B3923" s="262" t="s">
        <v>1870</v>
      </c>
      <c r="C3923" s="263">
        <v>43388</v>
      </c>
      <c r="D3923" s="264" t="s">
        <v>3607</v>
      </c>
      <c r="E3923" s="264" t="s">
        <v>5728</v>
      </c>
      <c r="F3923" s="265">
        <v>92</v>
      </c>
      <c r="G3923" s="265"/>
      <c r="H3923" s="265">
        <f t="shared" si="160"/>
        <v>92</v>
      </c>
    </row>
    <row r="3924" spans="2:8" x14ac:dyDescent="0.2">
      <c r="B3924" s="262" t="s">
        <v>1870</v>
      </c>
      <c r="C3924" s="263">
        <v>43388</v>
      </c>
      <c r="D3924" s="264" t="s">
        <v>5013</v>
      </c>
      <c r="E3924" s="264" t="s">
        <v>5729</v>
      </c>
      <c r="F3924" s="265">
        <v>300</v>
      </c>
      <c r="G3924" s="265"/>
      <c r="H3924" s="265">
        <f t="shared" si="160"/>
        <v>300</v>
      </c>
    </row>
    <row r="3925" spans="2:8" x14ac:dyDescent="0.2">
      <c r="B3925" s="262" t="s">
        <v>1863</v>
      </c>
      <c r="C3925" s="263">
        <v>43388</v>
      </c>
      <c r="D3925" s="264" t="s">
        <v>2535</v>
      </c>
      <c r="E3925" s="264" t="s">
        <v>5730</v>
      </c>
      <c r="F3925" s="265">
        <v>57.5</v>
      </c>
      <c r="G3925" s="265"/>
      <c r="H3925" s="265">
        <f t="shared" si="160"/>
        <v>57.5</v>
      </c>
    </row>
    <row r="3926" spans="2:8" x14ac:dyDescent="0.2">
      <c r="B3926" s="262" t="s">
        <v>1863</v>
      </c>
      <c r="C3926" s="263">
        <v>43388</v>
      </c>
      <c r="D3926" s="264" t="s">
        <v>3705</v>
      </c>
      <c r="E3926" s="264" t="s">
        <v>5604</v>
      </c>
      <c r="F3926" s="265">
        <v>160</v>
      </c>
      <c r="G3926" s="265"/>
      <c r="H3926" s="265">
        <f t="shared" si="160"/>
        <v>160</v>
      </c>
    </row>
    <row r="3927" spans="2:8" x14ac:dyDescent="0.2">
      <c r="B3927" s="262" t="s">
        <v>1863</v>
      </c>
      <c r="C3927" s="263">
        <v>43388</v>
      </c>
      <c r="D3927" s="264" t="s">
        <v>5731</v>
      </c>
      <c r="E3927" s="264" t="s">
        <v>5603</v>
      </c>
      <c r="F3927" s="265">
        <v>13.5</v>
      </c>
      <c r="G3927" s="265"/>
      <c r="H3927" s="265">
        <f t="shared" si="160"/>
        <v>13.5</v>
      </c>
    </row>
    <row r="3928" spans="2:8" x14ac:dyDescent="0.2">
      <c r="B3928" s="262" t="s">
        <v>1881</v>
      </c>
      <c r="C3928" s="263">
        <v>43388</v>
      </c>
      <c r="D3928" s="264" t="s">
        <v>2250</v>
      </c>
      <c r="E3928" s="264" t="s">
        <v>5732</v>
      </c>
      <c r="F3928" s="265">
        <v>350</v>
      </c>
      <c r="G3928" s="265"/>
      <c r="H3928" s="265">
        <f t="shared" si="160"/>
        <v>350</v>
      </c>
    </row>
    <row r="3929" spans="2:8" x14ac:dyDescent="0.2">
      <c r="B3929" s="262" t="s">
        <v>1881</v>
      </c>
      <c r="C3929" s="263">
        <v>43388</v>
      </c>
      <c r="D3929" s="264" t="s">
        <v>1873</v>
      </c>
      <c r="E3929" s="264" t="s">
        <v>5733</v>
      </c>
      <c r="F3929" s="265">
        <v>550</v>
      </c>
      <c r="G3929" s="265"/>
      <c r="H3929" s="265">
        <f t="shared" si="160"/>
        <v>550</v>
      </c>
    </row>
    <row r="3930" spans="2:8" x14ac:dyDescent="0.2">
      <c r="B3930" s="262" t="s">
        <v>1884</v>
      </c>
      <c r="C3930" s="263">
        <v>43388</v>
      </c>
      <c r="D3930" s="264" t="s">
        <v>5367</v>
      </c>
      <c r="E3930" s="264" t="s">
        <v>5734</v>
      </c>
      <c r="F3930" s="265">
        <v>2000</v>
      </c>
      <c r="G3930" s="265"/>
      <c r="H3930" s="265">
        <f t="shared" si="160"/>
        <v>2000</v>
      </c>
    </row>
    <row r="3931" spans="2:8" x14ac:dyDescent="0.2">
      <c r="B3931" s="262" t="s">
        <v>1859</v>
      </c>
      <c r="C3931" s="263">
        <v>43388</v>
      </c>
      <c r="D3931" s="264" t="s">
        <v>4482</v>
      </c>
      <c r="E3931" s="264" t="s">
        <v>5735</v>
      </c>
      <c r="F3931" s="265">
        <v>4000</v>
      </c>
      <c r="G3931" s="265"/>
      <c r="H3931" s="265">
        <f t="shared" si="160"/>
        <v>4000</v>
      </c>
    </row>
    <row r="3932" spans="2:8" x14ac:dyDescent="0.2">
      <c r="B3932" s="262" t="s">
        <v>1577</v>
      </c>
      <c r="C3932" s="263">
        <v>43388</v>
      </c>
      <c r="D3932" s="264" t="s">
        <v>5030</v>
      </c>
      <c r="E3932" s="264" t="s">
        <v>5736</v>
      </c>
      <c r="F3932" s="265">
        <v>30000</v>
      </c>
      <c r="G3932" s="265"/>
      <c r="H3932" s="265">
        <f t="shared" si="160"/>
        <v>30000</v>
      </c>
    </row>
    <row r="3933" spans="2:8" x14ac:dyDescent="0.2">
      <c r="B3933" s="262" t="s">
        <v>1863</v>
      </c>
      <c r="C3933" s="263">
        <v>43389</v>
      </c>
      <c r="D3933" s="264" t="s">
        <v>3705</v>
      </c>
      <c r="E3933" s="264" t="s">
        <v>5723</v>
      </c>
      <c r="F3933" s="265">
        <v>600</v>
      </c>
      <c r="G3933" s="265"/>
      <c r="H3933" s="265">
        <f t="shared" si="160"/>
        <v>600</v>
      </c>
    </row>
    <row r="3934" spans="2:8" x14ac:dyDescent="0.2">
      <c r="B3934" s="262" t="s">
        <v>1863</v>
      </c>
      <c r="C3934" s="263">
        <v>43390</v>
      </c>
      <c r="D3934" s="264" t="s">
        <v>3705</v>
      </c>
      <c r="E3934" s="264" t="s">
        <v>5737</v>
      </c>
      <c r="F3934" s="265">
        <v>60</v>
      </c>
      <c r="G3934" s="265"/>
      <c r="H3934" s="265">
        <f t="shared" si="160"/>
        <v>60</v>
      </c>
    </row>
    <row r="3935" spans="2:8" x14ac:dyDescent="0.2">
      <c r="B3935" s="262" t="s">
        <v>1863</v>
      </c>
      <c r="C3935" s="263">
        <v>43390</v>
      </c>
      <c r="D3935" s="264" t="s">
        <v>3705</v>
      </c>
      <c r="E3935" s="264" t="s">
        <v>5738</v>
      </c>
      <c r="F3935" s="265">
        <v>170.3</v>
      </c>
      <c r="G3935" s="265"/>
      <c r="H3935" s="265">
        <f t="shared" si="160"/>
        <v>170.3</v>
      </c>
    </row>
    <row r="3936" spans="2:8" x14ac:dyDescent="0.2">
      <c r="B3936" s="262" t="s">
        <v>1863</v>
      </c>
      <c r="C3936" s="263">
        <v>43390</v>
      </c>
      <c r="D3936" s="264" t="s">
        <v>3705</v>
      </c>
      <c r="E3936" s="264" t="s">
        <v>5739</v>
      </c>
      <c r="F3936" s="265">
        <v>173.3</v>
      </c>
      <c r="G3936" s="265"/>
      <c r="H3936" s="265">
        <f t="shared" si="160"/>
        <v>173.3</v>
      </c>
    </row>
    <row r="3937" spans="2:8" x14ac:dyDescent="0.2">
      <c r="B3937" s="262" t="s">
        <v>1863</v>
      </c>
      <c r="C3937" s="263">
        <v>43390</v>
      </c>
      <c r="D3937" s="264" t="s">
        <v>3705</v>
      </c>
      <c r="E3937" s="264" t="s">
        <v>5740</v>
      </c>
      <c r="F3937" s="265">
        <v>142.76</v>
      </c>
      <c r="G3937" s="265"/>
      <c r="H3937" s="265">
        <f t="shared" si="160"/>
        <v>142.76</v>
      </c>
    </row>
    <row r="3938" spans="2:8" x14ac:dyDescent="0.2">
      <c r="B3938" s="262" t="s">
        <v>1863</v>
      </c>
      <c r="C3938" s="263">
        <v>43390</v>
      </c>
      <c r="D3938" s="264" t="s">
        <v>3705</v>
      </c>
      <c r="E3938" s="264" t="s">
        <v>5741</v>
      </c>
      <c r="F3938" s="265">
        <v>68.7</v>
      </c>
      <c r="G3938" s="265"/>
      <c r="H3938" s="265">
        <f t="shared" si="160"/>
        <v>68.7</v>
      </c>
    </row>
    <row r="3939" spans="2:8" x14ac:dyDescent="0.2">
      <c r="B3939" s="262" t="s">
        <v>1790</v>
      </c>
      <c r="C3939" s="263">
        <v>43392</v>
      </c>
      <c r="D3939" s="264" t="s">
        <v>1909</v>
      </c>
      <c r="E3939" s="264" t="s">
        <v>5743</v>
      </c>
      <c r="F3939" s="265"/>
      <c r="G3939" s="265">
        <v>1760</v>
      </c>
      <c r="H3939" s="265">
        <f t="shared" si="160"/>
        <v>1760</v>
      </c>
    </row>
    <row r="3940" spans="2:8" x14ac:dyDescent="0.2">
      <c r="B3940" s="341" t="s">
        <v>1805</v>
      </c>
      <c r="C3940" s="263">
        <v>43389</v>
      </c>
      <c r="D3940" s="264" t="s">
        <v>1888</v>
      </c>
      <c r="E3940" s="264" t="s">
        <v>5742</v>
      </c>
      <c r="F3940" s="265">
        <v>1400</v>
      </c>
      <c r="G3940" s="265"/>
      <c r="H3940" s="265">
        <f t="shared" si="160"/>
        <v>1400</v>
      </c>
    </row>
    <row r="3941" spans="2:8" x14ac:dyDescent="0.2">
      <c r="B3941" s="262" t="s">
        <v>1805</v>
      </c>
      <c r="C3941" s="263">
        <v>43392</v>
      </c>
      <c r="D3941" s="264" t="s">
        <v>1910</v>
      </c>
      <c r="E3941" s="264" t="s">
        <v>5744</v>
      </c>
      <c r="F3941" s="265">
        <v>1250</v>
      </c>
      <c r="G3941" s="265"/>
      <c r="H3941" s="265">
        <f t="shared" si="160"/>
        <v>1250</v>
      </c>
    </row>
    <row r="3942" spans="2:8" x14ac:dyDescent="0.2">
      <c r="B3942" s="262" t="s">
        <v>1884</v>
      </c>
      <c r="C3942" s="263">
        <v>43392</v>
      </c>
      <c r="D3942" s="264" t="s">
        <v>5033</v>
      </c>
      <c r="E3942" s="264" t="s">
        <v>5189</v>
      </c>
      <c r="F3942" s="265">
        <v>300</v>
      </c>
      <c r="G3942" s="265"/>
      <c r="H3942" s="265">
        <f t="shared" si="160"/>
        <v>300</v>
      </c>
    </row>
    <row r="3943" spans="2:8" x14ac:dyDescent="0.2">
      <c r="B3943" s="262" t="s">
        <v>1867</v>
      </c>
      <c r="C3943" s="263">
        <v>43392</v>
      </c>
      <c r="D3943" s="264" t="s">
        <v>2535</v>
      </c>
      <c r="E3943" s="264" t="s">
        <v>5745</v>
      </c>
      <c r="F3943" s="265">
        <v>150</v>
      </c>
      <c r="G3943" s="265"/>
      <c r="H3943" s="265">
        <f t="shared" si="160"/>
        <v>150</v>
      </c>
    </row>
    <row r="3944" spans="2:8" x14ac:dyDescent="0.2">
      <c r="B3944" s="262" t="s">
        <v>1881</v>
      </c>
      <c r="C3944" s="263">
        <v>43394</v>
      </c>
      <c r="D3944" s="264" t="s">
        <v>2250</v>
      </c>
      <c r="E3944" s="264" t="s">
        <v>4693</v>
      </c>
      <c r="F3944" s="265">
        <v>120</v>
      </c>
      <c r="G3944" s="265"/>
      <c r="H3944" s="265">
        <f t="shared" si="160"/>
        <v>120</v>
      </c>
    </row>
    <row r="3945" spans="2:8" x14ac:dyDescent="0.2">
      <c r="B3945" s="262" t="s">
        <v>1864</v>
      </c>
      <c r="C3945" s="263">
        <v>43394</v>
      </c>
      <c r="D3945" s="264" t="s">
        <v>2535</v>
      </c>
      <c r="E3945" s="264" t="s">
        <v>3023</v>
      </c>
      <c r="F3945" s="265">
        <v>72</v>
      </c>
      <c r="G3945" s="265"/>
      <c r="H3945" s="265">
        <f t="shared" si="160"/>
        <v>72</v>
      </c>
    </row>
    <row r="3946" spans="2:8" x14ac:dyDescent="0.2">
      <c r="B3946" s="262" t="s">
        <v>1577</v>
      </c>
      <c r="C3946" s="263">
        <v>43395</v>
      </c>
      <c r="D3946" s="264" t="s">
        <v>5030</v>
      </c>
      <c r="E3946" s="264" t="s">
        <v>5746</v>
      </c>
      <c r="F3946" s="265">
        <v>10000</v>
      </c>
      <c r="G3946" s="265"/>
      <c r="H3946" s="265">
        <f t="shared" si="160"/>
        <v>10000</v>
      </c>
    </row>
    <row r="3947" spans="2:8" x14ac:dyDescent="0.2">
      <c r="B3947" s="262" t="s">
        <v>1864</v>
      </c>
      <c r="C3947" s="263">
        <v>43395</v>
      </c>
      <c r="D3947" s="264" t="s">
        <v>1910</v>
      </c>
      <c r="E3947" s="264" t="s">
        <v>5748</v>
      </c>
      <c r="F3947" s="265">
        <v>400</v>
      </c>
      <c r="G3947" s="265"/>
      <c r="H3947" s="265">
        <f t="shared" si="160"/>
        <v>400</v>
      </c>
    </row>
    <row r="3948" spans="2:8" x14ac:dyDescent="0.2">
      <c r="B3948" s="262" t="s">
        <v>1863</v>
      </c>
      <c r="C3948" s="263">
        <v>43395</v>
      </c>
      <c r="D3948" s="264" t="s">
        <v>3705</v>
      </c>
      <c r="E3948" s="264" t="s">
        <v>5747</v>
      </c>
      <c r="F3948" s="265">
        <v>250</v>
      </c>
      <c r="G3948" s="265"/>
      <c r="H3948" s="265">
        <f t="shared" si="160"/>
        <v>250</v>
      </c>
    </row>
    <row r="3949" spans="2:8" x14ac:dyDescent="0.2">
      <c r="B3949" s="262" t="s">
        <v>1866</v>
      </c>
      <c r="C3949" s="263">
        <v>43395</v>
      </c>
      <c r="D3949" s="264" t="s">
        <v>1890</v>
      </c>
      <c r="E3949" s="264" t="s">
        <v>4375</v>
      </c>
      <c r="F3949" s="265">
        <v>180</v>
      </c>
      <c r="G3949" s="265"/>
      <c r="H3949" s="265">
        <f t="shared" si="160"/>
        <v>180</v>
      </c>
    </row>
    <row r="3950" spans="2:8" x14ac:dyDescent="0.2">
      <c r="B3950" s="262" t="s">
        <v>1863</v>
      </c>
      <c r="C3950" s="263">
        <v>43396</v>
      </c>
      <c r="D3950" s="264" t="s">
        <v>4487</v>
      </c>
      <c r="E3950" s="264" t="s">
        <v>5749</v>
      </c>
      <c r="F3950" s="265">
        <v>398.8</v>
      </c>
      <c r="G3950" s="265"/>
      <c r="H3950" s="265">
        <f t="shared" si="160"/>
        <v>398.8</v>
      </c>
    </row>
    <row r="3951" spans="2:8" x14ac:dyDescent="0.2">
      <c r="B3951" s="262" t="s">
        <v>1884</v>
      </c>
      <c r="C3951" s="263">
        <v>43396</v>
      </c>
      <c r="D3951" s="264" t="s">
        <v>5750</v>
      </c>
      <c r="E3951" s="264" t="s">
        <v>5751</v>
      </c>
      <c r="F3951" s="265">
        <v>400</v>
      </c>
      <c r="G3951" s="265"/>
      <c r="H3951" s="265">
        <f t="shared" si="160"/>
        <v>400</v>
      </c>
    </row>
    <row r="3952" spans="2:8" x14ac:dyDescent="0.2">
      <c r="B3952" s="262" t="s">
        <v>1863</v>
      </c>
      <c r="C3952" s="263">
        <v>43397</v>
      </c>
      <c r="D3952" s="264" t="s">
        <v>3705</v>
      </c>
      <c r="E3952" s="264" t="s">
        <v>5558</v>
      </c>
      <c r="F3952" s="265">
        <v>150</v>
      </c>
      <c r="G3952" s="265"/>
      <c r="H3952" s="265">
        <f t="shared" si="160"/>
        <v>150</v>
      </c>
    </row>
    <row r="3953" spans="2:8" x14ac:dyDescent="0.2">
      <c r="B3953" s="262" t="s">
        <v>1863</v>
      </c>
      <c r="C3953" s="263">
        <v>43397</v>
      </c>
      <c r="D3953" s="264" t="s">
        <v>2741</v>
      </c>
      <c r="E3953" s="264" t="s">
        <v>5206</v>
      </c>
      <c r="F3953" s="265">
        <v>32.9</v>
      </c>
      <c r="G3953" s="265"/>
      <c r="H3953" s="265">
        <f t="shared" si="160"/>
        <v>32.9</v>
      </c>
    </row>
    <row r="3954" spans="2:8" x14ac:dyDescent="0.2">
      <c r="B3954" s="262" t="s">
        <v>1863</v>
      </c>
      <c r="C3954" s="263">
        <v>43399</v>
      </c>
      <c r="D3954" s="264" t="s">
        <v>3705</v>
      </c>
      <c r="E3954" s="264" t="s">
        <v>5604</v>
      </c>
      <c r="F3954" s="265">
        <v>150</v>
      </c>
      <c r="G3954" s="265"/>
      <c r="H3954" s="265">
        <f t="shared" ref="H3954:H4017" si="161">SUM(F3954:G3954)</f>
        <v>150</v>
      </c>
    </row>
    <row r="3955" spans="2:8" x14ac:dyDescent="0.2">
      <c r="B3955" s="262" t="s">
        <v>1805</v>
      </c>
      <c r="C3955" s="263">
        <v>43399</v>
      </c>
      <c r="D3955" s="264" t="s">
        <v>1910</v>
      </c>
      <c r="E3955" s="264" t="s">
        <v>5752</v>
      </c>
      <c r="F3955" s="265">
        <v>1250</v>
      </c>
      <c r="G3955" s="265"/>
      <c r="H3955" s="265">
        <f t="shared" si="161"/>
        <v>1250</v>
      </c>
    </row>
    <row r="3956" spans="2:8" x14ac:dyDescent="0.2">
      <c r="B3956" s="262" t="s">
        <v>1881</v>
      </c>
      <c r="C3956" s="263">
        <v>43401</v>
      </c>
      <c r="D3956" s="264" t="s">
        <v>2250</v>
      </c>
      <c r="E3956" s="264" t="s">
        <v>5481</v>
      </c>
      <c r="F3956" s="265">
        <v>120</v>
      </c>
      <c r="G3956" s="265"/>
      <c r="H3956" s="265">
        <f t="shared" si="161"/>
        <v>120</v>
      </c>
    </row>
    <row r="3957" spans="2:8" x14ac:dyDescent="0.2">
      <c r="B3957" s="262" t="s">
        <v>1864</v>
      </c>
      <c r="C3957" s="263">
        <v>43401</v>
      </c>
      <c r="D3957" s="264" t="s">
        <v>2535</v>
      </c>
      <c r="E3957" s="264" t="s">
        <v>3023</v>
      </c>
      <c r="F3957" s="265">
        <v>58</v>
      </c>
      <c r="G3957" s="265"/>
      <c r="H3957" s="265">
        <f t="shared" si="161"/>
        <v>58</v>
      </c>
    </row>
    <row r="3958" spans="2:8" x14ac:dyDescent="0.2">
      <c r="B3958" s="262" t="s">
        <v>1884</v>
      </c>
      <c r="C3958" s="263">
        <v>43401</v>
      </c>
      <c r="D3958" s="264" t="s">
        <v>5033</v>
      </c>
      <c r="E3958" s="264" t="s">
        <v>4914</v>
      </c>
      <c r="F3958" s="265">
        <v>300</v>
      </c>
      <c r="G3958" s="265"/>
      <c r="H3958" s="265">
        <f t="shared" si="161"/>
        <v>300</v>
      </c>
    </row>
    <row r="3959" spans="2:8" x14ac:dyDescent="0.2">
      <c r="B3959" s="262" t="s">
        <v>1860</v>
      </c>
      <c r="C3959" s="263">
        <v>43402</v>
      </c>
      <c r="D3959" s="264" t="s">
        <v>5646</v>
      </c>
      <c r="E3959" s="264" t="s">
        <v>5753</v>
      </c>
      <c r="F3959" s="265">
        <v>308</v>
      </c>
      <c r="G3959" s="265"/>
      <c r="H3959" s="265">
        <f t="shared" si="161"/>
        <v>308</v>
      </c>
    </row>
    <row r="3960" spans="2:8" x14ac:dyDescent="0.2">
      <c r="B3960" s="262" t="s">
        <v>1866</v>
      </c>
      <c r="C3960" s="263">
        <v>43402</v>
      </c>
      <c r="D3960" s="264" t="s">
        <v>1890</v>
      </c>
      <c r="E3960" s="264" t="s">
        <v>5528</v>
      </c>
      <c r="F3960" s="265">
        <v>180</v>
      </c>
      <c r="G3960" s="265"/>
      <c r="H3960" s="265">
        <f t="shared" si="161"/>
        <v>180</v>
      </c>
    </row>
    <row r="3961" spans="2:8" x14ac:dyDescent="0.2">
      <c r="B3961" s="262" t="s">
        <v>1863</v>
      </c>
      <c r="C3961" s="263">
        <v>43402</v>
      </c>
      <c r="D3961" s="264" t="s">
        <v>5703</v>
      </c>
      <c r="E3961" s="264" t="s">
        <v>5754</v>
      </c>
      <c r="F3961" s="265">
        <v>150</v>
      </c>
      <c r="G3961" s="265"/>
      <c r="H3961" s="265">
        <f t="shared" si="161"/>
        <v>150</v>
      </c>
    </row>
    <row r="3962" spans="2:8" x14ac:dyDescent="0.2">
      <c r="B3962" s="262" t="s">
        <v>1877</v>
      </c>
      <c r="C3962" s="263">
        <v>43402</v>
      </c>
      <c r="D3962" s="264" t="s">
        <v>5229</v>
      </c>
      <c r="E3962" s="264" t="s">
        <v>5755</v>
      </c>
      <c r="F3962" s="265">
        <v>250</v>
      </c>
      <c r="G3962" s="265"/>
      <c r="H3962" s="265">
        <f t="shared" si="161"/>
        <v>250</v>
      </c>
    </row>
    <row r="3963" spans="2:8" x14ac:dyDescent="0.2">
      <c r="B3963" s="262" t="s">
        <v>1863</v>
      </c>
      <c r="C3963" s="263">
        <v>43402</v>
      </c>
      <c r="D3963" s="264" t="s">
        <v>5229</v>
      </c>
      <c r="E3963" s="264" t="s">
        <v>5756</v>
      </c>
      <c r="F3963" s="265">
        <v>200</v>
      </c>
      <c r="G3963" s="265"/>
      <c r="H3963" s="265">
        <f t="shared" si="161"/>
        <v>200</v>
      </c>
    </row>
    <row r="3964" spans="2:8" x14ac:dyDescent="0.2">
      <c r="B3964" s="262" t="s">
        <v>1879</v>
      </c>
      <c r="C3964" s="263">
        <v>43402</v>
      </c>
      <c r="D3964" s="264" t="s">
        <v>3330</v>
      </c>
      <c r="E3964" s="264" t="s">
        <v>5757</v>
      </c>
      <c r="F3964" s="265">
        <v>400</v>
      </c>
      <c r="G3964" s="265"/>
      <c r="H3964" s="265">
        <f t="shared" si="161"/>
        <v>400</v>
      </c>
    </row>
    <row r="3965" spans="2:8" x14ac:dyDescent="0.2">
      <c r="B3965" s="262" t="s">
        <v>1870</v>
      </c>
      <c r="C3965" s="263">
        <v>43403</v>
      </c>
      <c r="D3965" s="264" t="s">
        <v>5013</v>
      </c>
      <c r="E3965" s="264" t="s">
        <v>5758</v>
      </c>
      <c r="F3965" s="265">
        <v>600</v>
      </c>
      <c r="G3965" s="265"/>
      <c r="H3965" s="265">
        <f t="shared" si="161"/>
        <v>600</v>
      </c>
    </row>
    <row r="3966" spans="2:8" x14ac:dyDescent="0.2">
      <c r="B3966" s="262" t="s">
        <v>1860</v>
      </c>
      <c r="C3966" s="263">
        <v>43403</v>
      </c>
      <c r="D3966" s="264" t="s">
        <v>5013</v>
      </c>
      <c r="E3966" s="264" t="s">
        <v>5759</v>
      </c>
      <c r="F3966" s="265">
        <v>160</v>
      </c>
      <c r="G3966" s="265"/>
      <c r="H3966" s="265">
        <f t="shared" si="161"/>
        <v>160</v>
      </c>
    </row>
    <row r="3967" spans="2:8" x14ac:dyDescent="0.2">
      <c r="B3967" s="262" t="s">
        <v>1877</v>
      </c>
      <c r="C3967" s="263">
        <v>43403</v>
      </c>
      <c r="D3967" s="264" t="s">
        <v>5229</v>
      </c>
      <c r="E3967" s="264" t="s">
        <v>5760</v>
      </c>
      <c r="F3967" s="265">
        <v>250</v>
      </c>
      <c r="G3967" s="265"/>
      <c r="H3967" s="265">
        <f t="shared" si="161"/>
        <v>250</v>
      </c>
    </row>
    <row r="3968" spans="2:8" x14ac:dyDescent="0.2">
      <c r="B3968" s="262" t="s">
        <v>1884</v>
      </c>
      <c r="C3968" s="263">
        <v>43403</v>
      </c>
      <c r="D3968" s="264" t="s">
        <v>3235</v>
      </c>
      <c r="E3968" s="264" t="s">
        <v>5761</v>
      </c>
      <c r="F3968" s="265">
        <v>164</v>
      </c>
      <c r="G3968" s="265"/>
      <c r="H3968" s="265">
        <f t="shared" si="161"/>
        <v>164</v>
      </c>
    </row>
    <row r="3969" spans="2:9" x14ac:dyDescent="0.2">
      <c r="B3969" s="262" t="s">
        <v>1860</v>
      </c>
      <c r="C3969" s="263">
        <v>43403</v>
      </c>
      <c r="D3969" s="264" t="s">
        <v>5762</v>
      </c>
      <c r="E3969" s="264" t="s">
        <v>5763</v>
      </c>
      <c r="F3969" s="265">
        <v>100</v>
      </c>
      <c r="G3969" s="265"/>
      <c r="H3969" s="265">
        <f t="shared" si="161"/>
        <v>100</v>
      </c>
    </row>
    <row r="3970" spans="2:9" x14ac:dyDescent="0.2">
      <c r="B3970" s="262" t="s">
        <v>1863</v>
      </c>
      <c r="C3970" s="263">
        <v>43403</v>
      </c>
      <c r="D3970" s="264" t="s">
        <v>4459</v>
      </c>
      <c r="E3970" s="264" t="s">
        <v>5764</v>
      </c>
      <c r="F3970" s="265">
        <v>50</v>
      </c>
      <c r="G3970" s="265"/>
      <c r="H3970" s="265">
        <f t="shared" si="161"/>
        <v>50</v>
      </c>
    </row>
    <row r="3971" spans="2:9" x14ac:dyDescent="0.2">
      <c r="B3971" s="262" t="s">
        <v>1863</v>
      </c>
      <c r="C3971" s="263">
        <v>43403</v>
      </c>
      <c r="D3971" s="264" t="s">
        <v>5765</v>
      </c>
      <c r="E3971" s="264" t="s">
        <v>5766</v>
      </c>
      <c r="F3971" s="265">
        <v>133</v>
      </c>
      <c r="G3971" s="265"/>
      <c r="H3971" s="265">
        <f t="shared" si="161"/>
        <v>133</v>
      </c>
    </row>
    <row r="3972" spans="2:9" x14ac:dyDescent="0.2">
      <c r="B3972" s="262" t="s">
        <v>1881</v>
      </c>
      <c r="C3972" s="263">
        <v>43404</v>
      </c>
      <c r="D3972" s="264" t="s">
        <v>2250</v>
      </c>
      <c r="E3972" s="264" t="s">
        <v>5767</v>
      </c>
      <c r="F3972" s="265">
        <v>100</v>
      </c>
      <c r="G3972" s="265"/>
      <c r="H3972" s="265">
        <f t="shared" si="161"/>
        <v>100</v>
      </c>
    </row>
    <row r="3973" spans="2:9" x14ac:dyDescent="0.2">
      <c r="B3973" s="262" t="s">
        <v>1884</v>
      </c>
      <c r="C3973" s="263">
        <v>43404</v>
      </c>
      <c r="D3973" s="264" t="s">
        <v>5768</v>
      </c>
      <c r="E3973" s="264" t="s">
        <v>5769</v>
      </c>
      <c r="F3973" s="265">
        <v>38.58</v>
      </c>
      <c r="G3973" s="265"/>
      <c r="H3973" s="265">
        <f t="shared" si="161"/>
        <v>38.58</v>
      </c>
    </row>
    <row r="3974" spans="2:9" x14ac:dyDescent="0.2">
      <c r="B3974" s="262" t="s">
        <v>1863</v>
      </c>
      <c r="C3974" s="263">
        <v>43404</v>
      </c>
      <c r="D3974" s="264" t="s">
        <v>3125</v>
      </c>
      <c r="E3974" s="264" t="s">
        <v>5770</v>
      </c>
      <c r="F3974" s="265">
        <v>132</v>
      </c>
      <c r="G3974" s="265"/>
      <c r="H3974" s="265">
        <f t="shared" si="161"/>
        <v>132</v>
      </c>
    </row>
    <row r="3975" spans="2:9" x14ac:dyDescent="0.2">
      <c r="B3975" s="262" t="s">
        <v>1863</v>
      </c>
      <c r="C3975" s="263">
        <v>43404</v>
      </c>
      <c r="D3975" s="264" t="s">
        <v>5771</v>
      </c>
      <c r="E3975" s="264" t="s">
        <v>4656</v>
      </c>
      <c r="F3975" s="265">
        <v>22</v>
      </c>
      <c r="G3975" s="265"/>
      <c r="H3975" s="265">
        <f t="shared" si="161"/>
        <v>22</v>
      </c>
    </row>
    <row r="3976" spans="2:9" x14ac:dyDescent="0.2">
      <c r="B3976" s="262" t="s">
        <v>1881</v>
      </c>
      <c r="C3976" s="263">
        <v>43404</v>
      </c>
      <c r="D3976" s="264" t="s">
        <v>2250</v>
      </c>
      <c r="E3976" s="264" t="s">
        <v>5772</v>
      </c>
      <c r="F3976" s="265">
        <v>300</v>
      </c>
      <c r="G3976" s="265"/>
      <c r="H3976" s="265">
        <f t="shared" si="161"/>
        <v>300</v>
      </c>
    </row>
    <row r="3977" spans="2:9" x14ac:dyDescent="0.2">
      <c r="B3977" s="262" t="s">
        <v>1881</v>
      </c>
      <c r="C3977" s="263">
        <v>43404</v>
      </c>
      <c r="D3977" s="264" t="s">
        <v>1873</v>
      </c>
      <c r="E3977" s="264" t="s">
        <v>5773</v>
      </c>
      <c r="F3977" s="265">
        <v>550</v>
      </c>
      <c r="G3977" s="265"/>
      <c r="H3977" s="265">
        <f t="shared" si="161"/>
        <v>550</v>
      </c>
    </row>
    <row r="3978" spans="2:9" x14ac:dyDescent="0.2">
      <c r="B3978" s="262" t="s">
        <v>1884</v>
      </c>
      <c r="C3978" s="263">
        <v>43404</v>
      </c>
      <c r="D3978" s="264" t="s">
        <v>5367</v>
      </c>
      <c r="E3978" s="264" t="s">
        <v>5774</v>
      </c>
      <c r="F3978" s="265">
        <v>2000</v>
      </c>
      <c r="G3978" s="265"/>
      <c r="H3978" s="265">
        <f t="shared" si="161"/>
        <v>2000</v>
      </c>
    </row>
    <row r="3979" spans="2:9" x14ac:dyDescent="0.2">
      <c r="B3979" s="262" t="s">
        <v>1859</v>
      </c>
      <c r="C3979" s="263">
        <v>43404</v>
      </c>
      <c r="D3979" s="264" t="s">
        <v>4482</v>
      </c>
      <c r="E3979" s="264" t="s">
        <v>5775</v>
      </c>
      <c r="F3979" s="265">
        <v>4000</v>
      </c>
      <c r="G3979" s="265"/>
      <c r="H3979" s="265">
        <f t="shared" si="161"/>
        <v>4000</v>
      </c>
    </row>
    <row r="3980" spans="2:9" x14ac:dyDescent="0.2">
      <c r="B3980" s="262" t="s">
        <v>1577</v>
      </c>
      <c r="C3980" s="263">
        <v>43404</v>
      </c>
      <c r="D3980" s="264" t="s">
        <v>5030</v>
      </c>
      <c r="E3980" s="264" t="s">
        <v>5776</v>
      </c>
      <c r="F3980" s="265">
        <v>20000</v>
      </c>
      <c r="G3980" s="265"/>
      <c r="H3980" s="265">
        <f t="shared" si="161"/>
        <v>20000</v>
      </c>
      <c r="I3980" s="175">
        <f>SUM(H3881:H3980)</f>
        <v>111337.44</v>
      </c>
    </row>
    <row r="3981" spans="2:9" x14ac:dyDescent="0.2">
      <c r="B3981" s="262" t="s">
        <v>1887</v>
      </c>
      <c r="C3981" s="263">
        <v>43347</v>
      </c>
      <c r="D3981" s="264" t="s">
        <v>1534</v>
      </c>
      <c r="E3981" s="264" t="s">
        <v>1536</v>
      </c>
      <c r="F3981" s="265">
        <v>-0.46</v>
      </c>
      <c r="G3981" s="265"/>
      <c r="H3981" s="265">
        <f t="shared" si="161"/>
        <v>-0.46</v>
      </c>
    </row>
    <row r="3982" spans="2:9" x14ac:dyDescent="0.2">
      <c r="B3982" s="262" t="s">
        <v>1790</v>
      </c>
      <c r="C3982" s="263">
        <v>43331</v>
      </c>
      <c r="D3982" s="264" t="s">
        <v>1909</v>
      </c>
      <c r="E3982" s="264" t="s">
        <v>5572</v>
      </c>
      <c r="F3982" s="265"/>
      <c r="G3982" s="265">
        <v>-1760</v>
      </c>
      <c r="H3982" s="265">
        <f t="shared" si="161"/>
        <v>-1760</v>
      </c>
    </row>
    <row r="3983" spans="2:9" x14ac:dyDescent="0.2">
      <c r="B3983" s="262" t="s">
        <v>1887</v>
      </c>
      <c r="C3983" s="263">
        <v>43371</v>
      </c>
      <c r="D3983" s="264" t="s">
        <v>1597</v>
      </c>
      <c r="E3983" s="264" t="s">
        <v>5664</v>
      </c>
      <c r="F3983" s="265">
        <v>390</v>
      </c>
      <c r="G3983" s="265"/>
      <c r="H3983" s="265"/>
    </row>
    <row r="3984" spans="2:9" x14ac:dyDescent="0.2">
      <c r="B3984" s="262" t="s">
        <v>1790</v>
      </c>
      <c r="C3984" s="263">
        <v>43371</v>
      </c>
      <c r="D3984" s="361" t="s">
        <v>1597</v>
      </c>
      <c r="E3984" s="361" t="s">
        <v>5665</v>
      </c>
      <c r="F3984" s="265"/>
      <c r="G3984" s="265">
        <v>62.4</v>
      </c>
      <c r="H3984" s="265">
        <f t="shared" ref="H3984:H3987" si="162">SUM(F3984:G3984)</f>
        <v>62.4</v>
      </c>
    </row>
    <row r="3985" spans="2:8" x14ac:dyDescent="0.2">
      <c r="B3985" s="262" t="s">
        <v>1887</v>
      </c>
      <c r="C3985" s="263">
        <v>43371</v>
      </c>
      <c r="D3985" s="361" t="s">
        <v>1597</v>
      </c>
      <c r="E3985" s="361" t="s">
        <v>2229</v>
      </c>
      <c r="F3985" s="265">
        <v>18</v>
      </c>
      <c r="G3985" s="265"/>
      <c r="H3985" s="265">
        <f t="shared" si="162"/>
        <v>18</v>
      </c>
    </row>
    <row r="3986" spans="2:8" x14ac:dyDescent="0.2">
      <c r="B3986" s="262" t="s">
        <v>1790</v>
      </c>
      <c r="C3986" s="263">
        <v>43371</v>
      </c>
      <c r="D3986" s="361" t="s">
        <v>1597</v>
      </c>
      <c r="E3986" s="361" t="s">
        <v>2230</v>
      </c>
      <c r="F3986" s="265"/>
      <c r="G3986" s="265">
        <v>2.88</v>
      </c>
      <c r="H3986" s="265">
        <f t="shared" si="162"/>
        <v>2.88</v>
      </c>
    </row>
    <row r="3987" spans="2:8" x14ac:dyDescent="0.2">
      <c r="B3987" s="262"/>
      <c r="C3987" s="263"/>
      <c r="D3987" s="264"/>
      <c r="E3987" s="264"/>
      <c r="F3987" s="265"/>
      <c r="G3987" s="265"/>
      <c r="H3987" s="265">
        <f t="shared" si="162"/>
        <v>0</v>
      </c>
    </row>
    <row r="3988" spans="2:8" ht="18" customHeight="1" x14ac:dyDescent="0.2">
      <c r="B3988" s="255" t="s">
        <v>1850</v>
      </c>
      <c r="C3988" s="255" t="s">
        <v>1851</v>
      </c>
      <c r="D3988" s="256" t="s">
        <v>1852</v>
      </c>
      <c r="E3988" s="256" t="s">
        <v>1853</v>
      </c>
      <c r="F3988" s="257" t="s">
        <v>1854</v>
      </c>
      <c r="G3988" s="257" t="s">
        <v>1855</v>
      </c>
      <c r="H3988" s="257" t="s">
        <v>1856</v>
      </c>
    </row>
    <row r="3989" spans="2:8" x14ac:dyDescent="0.2">
      <c r="B3989" s="262"/>
      <c r="C3989" s="263"/>
      <c r="D3989" s="264"/>
      <c r="E3989" s="264"/>
      <c r="F3989" s="265"/>
      <c r="G3989" s="265"/>
      <c r="H3989" s="265">
        <f t="shared" si="161"/>
        <v>0</v>
      </c>
    </row>
    <row r="3990" spans="2:8" x14ac:dyDescent="0.2">
      <c r="B3990" s="262"/>
      <c r="C3990" s="263"/>
      <c r="D3990" s="264"/>
      <c r="E3990" s="264"/>
      <c r="F3990" s="265"/>
      <c r="G3990" s="265"/>
      <c r="H3990" s="265">
        <f t="shared" si="161"/>
        <v>0</v>
      </c>
    </row>
    <row r="3991" spans="2:8" x14ac:dyDescent="0.2">
      <c r="B3991" s="262"/>
      <c r="C3991" s="263"/>
      <c r="D3991" s="264"/>
      <c r="E3991" s="264"/>
      <c r="F3991" s="265"/>
      <c r="G3991" s="265"/>
      <c r="H3991" s="265">
        <f t="shared" si="161"/>
        <v>0</v>
      </c>
    </row>
    <row r="3992" spans="2:8" x14ac:dyDescent="0.2">
      <c r="B3992" s="262"/>
      <c r="C3992" s="263"/>
      <c r="D3992" s="264"/>
      <c r="E3992" s="264"/>
      <c r="F3992" s="265"/>
      <c r="G3992" s="265"/>
      <c r="H3992" s="265">
        <f t="shared" si="161"/>
        <v>0</v>
      </c>
    </row>
    <row r="3993" spans="2:8" x14ac:dyDescent="0.2">
      <c r="B3993" s="262"/>
      <c r="C3993" s="263"/>
      <c r="D3993" s="264"/>
      <c r="E3993" s="264"/>
      <c r="F3993" s="265"/>
      <c r="G3993" s="265"/>
      <c r="H3993" s="265">
        <f t="shared" si="161"/>
        <v>0</v>
      </c>
    </row>
    <row r="3994" spans="2:8" x14ac:dyDescent="0.2">
      <c r="B3994" s="262"/>
      <c r="C3994" s="263"/>
      <c r="D3994" s="264"/>
      <c r="E3994" s="264"/>
      <c r="F3994" s="265"/>
      <c r="G3994" s="265"/>
      <c r="H3994" s="265">
        <f t="shared" si="161"/>
        <v>0</v>
      </c>
    </row>
    <row r="3995" spans="2:8" x14ac:dyDescent="0.2">
      <c r="B3995" s="262"/>
      <c r="C3995" s="263"/>
      <c r="D3995" s="264"/>
      <c r="E3995" s="264"/>
      <c r="F3995" s="265"/>
      <c r="G3995" s="265"/>
      <c r="H3995" s="265">
        <f t="shared" si="161"/>
        <v>0</v>
      </c>
    </row>
    <row r="3996" spans="2:8" x14ac:dyDescent="0.2">
      <c r="B3996" s="262"/>
      <c r="C3996" s="263"/>
      <c r="D3996" s="264"/>
      <c r="E3996" s="264"/>
      <c r="F3996" s="265"/>
      <c r="G3996" s="265"/>
      <c r="H3996" s="265">
        <f t="shared" si="161"/>
        <v>0</v>
      </c>
    </row>
    <row r="3997" spans="2:8" x14ac:dyDescent="0.2">
      <c r="B3997" s="262"/>
      <c r="C3997" s="263"/>
      <c r="D3997" s="264"/>
      <c r="E3997" s="264"/>
      <c r="F3997" s="265"/>
      <c r="G3997" s="265"/>
      <c r="H3997" s="265">
        <f t="shared" si="161"/>
        <v>0</v>
      </c>
    </row>
    <row r="3998" spans="2:8" x14ac:dyDescent="0.2">
      <c r="B3998" s="262"/>
      <c r="C3998" s="263"/>
      <c r="D3998" s="264"/>
      <c r="E3998" s="264"/>
      <c r="F3998" s="265"/>
      <c r="G3998" s="265"/>
      <c r="H3998" s="265">
        <f t="shared" si="161"/>
        <v>0</v>
      </c>
    </row>
    <row r="3999" spans="2:8" x14ac:dyDescent="0.2">
      <c r="B3999" s="262"/>
      <c r="C3999" s="263"/>
      <c r="D3999" s="264"/>
      <c r="E3999" s="264"/>
      <c r="F3999" s="265"/>
      <c r="G3999" s="265"/>
      <c r="H3999" s="265">
        <f t="shared" si="161"/>
        <v>0</v>
      </c>
    </row>
    <row r="4000" spans="2:8" x14ac:dyDescent="0.2">
      <c r="B4000" s="262"/>
      <c r="C4000" s="263"/>
      <c r="D4000" s="264"/>
      <c r="E4000" s="264"/>
      <c r="F4000" s="265"/>
      <c r="G4000" s="265"/>
      <c r="H4000" s="265">
        <f t="shared" si="161"/>
        <v>0</v>
      </c>
    </row>
    <row r="4001" spans="2:8" x14ac:dyDescent="0.2">
      <c r="B4001" s="262"/>
      <c r="C4001" s="263"/>
      <c r="D4001" s="264"/>
      <c r="E4001" s="264"/>
      <c r="F4001" s="265"/>
      <c r="G4001" s="265"/>
      <c r="H4001" s="265">
        <f t="shared" si="161"/>
        <v>0</v>
      </c>
    </row>
    <row r="4002" spans="2:8" x14ac:dyDescent="0.2">
      <c r="B4002" s="262"/>
      <c r="C4002" s="263"/>
      <c r="D4002" s="264"/>
      <c r="E4002" s="264"/>
      <c r="F4002" s="265"/>
      <c r="G4002" s="265"/>
      <c r="H4002" s="265">
        <f t="shared" si="161"/>
        <v>0</v>
      </c>
    </row>
    <row r="4003" spans="2:8" x14ac:dyDescent="0.2">
      <c r="B4003" s="262"/>
      <c r="C4003" s="263"/>
      <c r="D4003" s="264"/>
      <c r="E4003" s="264"/>
      <c r="F4003" s="265"/>
      <c r="G4003" s="265"/>
      <c r="H4003" s="265">
        <f t="shared" si="161"/>
        <v>0</v>
      </c>
    </row>
    <row r="4004" spans="2:8" x14ac:dyDescent="0.2">
      <c r="B4004" s="262"/>
      <c r="C4004" s="263"/>
      <c r="D4004" s="264"/>
      <c r="E4004" s="264"/>
      <c r="F4004" s="265"/>
      <c r="G4004" s="265"/>
      <c r="H4004" s="265">
        <f t="shared" si="161"/>
        <v>0</v>
      </c>
    </row>
    <row r="4005" spans="2:8" x14ac:dyDescent="0.2">
      <c r="B4005" s="262"/>
      <c r="C4005" s="263"/>
      <c r="D4005" s="264"/>
      <c r="E4005" s="264"/>
      <c r="F4005" s="265"/>
      <c r="G4005" s="265"/>
      <c r="H4005" s="265">
        <f t="shared" si="161"/>
        <v>0</v>
      </c>
    </row>
    <row r="4006" spans="2:8" x14ac:dyDescent="0.2">
      <c r="B4006" s="262"/>
      <c r="C4006" s="263"/>
      <c r="D4006" s="264"/>
      <c r="E4006" s="264"/>
      <c r="F4006" s="265"/>
      <c r="G4006" s="265"/>
      <c r="H4006" s="265">
        <f t="shared" si="161"/>
        <v>0</v>
      </c>
    </row>
    <row r="4007" spans="2:8" x14ac:dyDescent="0.2">
      <c r="B4007" s="262"/>
      <c r="C4007" s="263"/>
      <c r="D4007" s="264"/>
      <c r="E4007" s="264"/>
      <c r="F4007" s="265"/>
      <c r="G4007" s="265"/>
      <c r="H4007" s="265">
        <f t="shared" si="161"/>
        <v>0</v>
      </c>
    </row>
    <row r="4008" spans="2:8" x14ac:dyDescent="0.2">
      <c r="B4008" s="262"/>
      <c r="C4008" s="263"/>
      <c r="D4008" s="264"/>
      <c r="E4008" s="264"/>
      <c r="F4008" s="265"/>
      <c r="G4008" s="265"/>
      <c r="H4008" s="265">
        <f t="shared" si="161"/>
        <v>0</v>
      </c>
    </row>
    <row r="4009" spans="2:8" x14ac:dyDescent="0.2">
      <c r="B4009" s="262"/>
      <c r="C4009" s="263"/>
      <c r="D4009" s="264"/>
      <c r="E4009" s="264"/>
      <c r="F4009" s="265"/>
      <c r="G4009" s="265"/>
      <c r="H4009" s="265">
        <f t="shared" si="161"/>
        <v>0</v>
      </c>
    </row>
    <row r="4010" spans="2:8" x14ac:dyDescent="0.2">
      <c r="B4010" s="262"/>
      <c r="C4010" s="263"/>
      <c r="D4010" s="264"/>
      <c r="E4010" s="264"/>
      <c r="F4010" s="265"/>
      <c r="G4010" s="265"/>
      <c r="H4010" s="265">
        <f t="shared" si="161"/>
        <v>0</v>
      </c>
    </row>
    <row r="4011" spans="2:8" x14ac:dyDescent="0.2">
      <c r="B4011" s="262"/>
      <c r="C4011" s="263"/>
      <c r="D4011" s="264"/>
      <c r="E4011" s="264"/>
      <c r="F4011" s="265"/>
      <c r="G4011" s="265"/>
      <c r="H4011" s="265">
        <f t="shared" si="161"/>
        <v>0</v>
      </c>
    </row>
    <row r="4012" spans="2:8" x14ac:dyDescent="0.2">
      <c r="B4012" s="262"/>
      <c r="C4012" s="263"/>
      <c r="D4012" s="264"/>
      <c r="E4012" s="264"/>
      <c r="F4012" s="265"/>
      <c r="G4012" s="265"/>
      <c r="H4012" s="265">
        <f t="shared" si="161"/>
        <v>0</v>
      </c>
    </row>
    <row r="4013" spans="2:8" x14ac:dyDescent="0.2">
      <c r="B4013" s="262"/>
      <c r="C4013" s="263"/>
      <c r="D4013" s="264"/>
      <c r="E4013" s="264"/>
      <c r="F4013" s="265"/>
      <c r="G4013" s="265"/>
      <c r="H4013" s="265">
        <f t="shared" si="161"/>
        <v>0</v>
      </c>
    </row>
    <row r="4014" spans="2:8" x14ac:dyDescent="0.2">
      <c r="B4014" s="262"/>
      <c r="C4014" s="263"/>
      <c r="D4014" s="264"/>
      <c r="E4014" s="264"/>
      <c r="F4014" s="265"/>
      <c r="G4014" s="265"/>
      <c r="H4014" s="265">
        <f t="shared" si="161"/>
        <v>0</v>
      </c>
    </row>
    <row r="4015" spans="2:8" x14ac:dyDescent="0.2">
      <c r="B4015" s="262"/>
      <c r="C4015" s="263"/>
      <c r="D4015" s="264"/>
      <c r="E4015" s="264"/>
      <c r="F4015" s="265"/>
      <c r="G4015" s="265"/>
      <c r="H4015" s="265">
        <f t="shared" si="161"/>
        <v>0</v>
      </c>
    </row>
    <row r="4016" spans="2:8" x14ac:dyDescent="0.2">
      <c r="B4016" s="262"/>
      <c r="C4016" s="263"/>
      <c r="D4016" s="264"/>
      <c r="E4016" s="264"/>
      <c r="F4016" s="265"/>
      <c r="G4016" s="265"/>
      <c r="H4016" s="265">
        <f t="shared" si="161"/>
        <v>0</v>
      </c>
    </row>
    <row r="4017" spans="2:8" x14ac:dyDescent="0.2">
      <c r="B4017" s="262"/>
      <c r="C4017" s="263"/>
      <c r="D4017" s="264"/>
      <c r="E4017" s="264"/>
      <c r="F4017" s="265"/>
      <c r="G4017" s="265"/>
      <c r="H4017" s="265">
        <f t="shared" si="161"/>
        <v>0</v>
      </c>
    </row>
    <row r="4018" spans="2:8" x14ac:dyDescent="0.2">
      <c r="B4018" s="262"/>
      <c r="C4018" s="263"/>
      <c r="D4018" s="264"/>
      <c r="E4018" s="264"/>
      <c r="F4018" s="265"/>
      <c r="G4018" s="265"/>
      <c r="H4018" s="265">
        <f t="shared" ref="H4018:H4081" si="163">SUM(F4018:G4018)</f>
        <v>0</v>
      </c>
    </row>
    <row r="4019" spans="2:8" x14ac:dyDescent="0.2">
      <c r="B4019" s="262"/>
      <c r="C4019" s="263"/>
      <c r="D4019" s="264"/>
      <c r="E4019" s="264"/>
      <c r="F4019" s="265"/>
      <c r="G4019" s="265"/>
      <c r="H4019" s="265">
        <f t="shared" si="163"/>
        <v>0</v>
      </c>
    </row>
    <row r="4020" spans="2:8" x14ac:dyDescent="0.2">
      <c r="B4020" s="262"/>
      <c r="C4020" s="263"/>
      <c r="D4020" s="264"/>
      <c r="E4020" s="264"/>
      <c r="F4020" s="265"/>
      <c r="G4020" s="265"/>
      <c r="H4020" s="265">
        <f t="shared" si="163"/>
        <v>0</v>
      </c>
    </row>
    <row r="4021" spans="2:8" x14ac:dyDescent="0.2">
      <c r="B4021" s="262"/>
      <c r="C4021" s="263"/>
      <c r="D4021" s="264"/>
      <c r="E4021" s="264"/>
      <c r="F4021" s="265"/>
      <c r="G4021" s="265"/>
      <c r="H4021" s="265">
        <f t="shared" si="163"/>
        <v>0</v>
      </c>
    </row>
    <row r="4022" spans="2:8" x14ac:dyDescent="0.2">
      <c r="B4022" s="262"/>
      <c r="C4022" s="263"/>
      <c r="D4022" s="264"/>
      <c r="E4022" s="264"/>
      <c r="F4022" s="265"/>
      <c r="G4022" s="265"/>
      <c r="H4022" s="265">
        <f t="shared" si="163"/>
        <v>0</v>
      </c>
    </row>
    <row r="4023" spans="2:8" x14ac:dyDescent="0.2">
      <c r="B4023" s="262"/>
      <c r="C4023" s="263"/>
      <c r="D4023" s="264"/>
      <c r="E4023" s="264"/>
      <c r="F4023" s="265"/>
      <c r="G4023" s="265"/>
      <c r="H4023" s="265">
        <f t="shared" si="163"/>
        <v>0</v>
      </c>
    </row>
    <row r="4024" spans="2:8" x14ac:dyDescent="0.2">
      <c r="B4024" s="262"/>
      <c r="C4024" s="263"/>
      <c r="D4024" s="264"/>
      <c r="E4024" s="264"/>
      <c r="F4024" s="265"/>
      <c r="G4024" s="265"/>
      <c r="H4024" s="265">
        <f t="shared" si="163"/>
        <v>0</v>
      </c>
    </row>
    <row r="4025" spans="2:8" x14ac:dyDescent="0.2">
      <c r="B4025" s="262"/>
      <c r="C4025" s="263"/>
      <c r="D4025" s="264"/>
      <c r="E4025" s="264"/>
      <c r="F4025" s="265"/>
      <c r="G4025" s="265"/>
      <c r="H4025" s="265">
        <f t="shared" si="163"/>
        <v>0</v>
      </c>
    </row>
    <row r="4026" spans="2:8" x14ac:dyDescent="0.2">
      <c r="B4026" s="262"/>
      <c r="C4026" s="263"/>
      <c r="D4026" s="264"/>
      <c r="E4026" s="264"/>
      <c r="F4026" s="265"/>
      <c r="G4026" s="265"/>
      <c r="H4026" s="265">
        <f t="shared" si="163"/>
        <v>0</v>
      </c>
    </row>
    <row r="4027" spans="2:8" x14ac:dyDescent="0.2">
      <c r="B4027" s="262"/>
      <c r="C4027" s="263"/>
      <c r="D4027" s="264"/>
      <c r="E4027" s="264"/>
      <c r="F4027" s="265"/>
      <c r="G4027" s="265"/>
      <c r="H4027" s="265">
        <f t="shared" si="163"/>
        <v>0</v>
      </c>
    </row>
    <row r="4028" spans="2:8" x14ac:dyDescent="0.2">
      <c r="B4028" s="262"/>
      <c r="C4028" s="263"/>
      <c r="D4028" s="264"/>
      <c r="E4028" s="264"/>
      <c r="F4028" s="265"/>
      <c r="G4028" s="265"/>
      <c r="H4028" s="265">
        <f t="shared" si="163"/>
        <v>0</v>
      </c>
    </row>
    <row r="4029" spans="2:8" x14ac:dyDescent="0.2">
      <c r="B4029" s="262"/>
      <c r="C4029" s="263"/>
      <c r="D4029" s="264"/>
      <c r="E4029" s="264"/>
      <c r="F4029" s="265"/>
      <c r="G4029" s="265"/>
      <c r="H4029" s="265">
        <f t="shared" si="163"/>
        <v>0</v>
      </c>
    </row>
    <row r="4030" spans="2:8" x14ac:dyDescent="0.2">
      <c r="B4030" s="262"/>
      <c r="C4030" s="263"/>
      <c r="D4030" s="264"/>
      <c r="E4030" s="264"/>
      <c r="F4030" s="265"/>
      <c r="G4030" s="265"/>
      <c r="H4030" s="265">
        <f t="shared" si="163"/>
        <v>0</v>
      </c>
    </row>
    <row r="4031" spans="2:8" x14ac:dyDescent="0.2">
      <c r="B4031" s="262"/>
      <c r="C4031" s="263"/>
      <c r="D4031" s="264"/>
      <c r="E4031" s="264"/>
      <c r="F4031" s="265"/>
      <c r="G4031" s="265"/>
      <c r="H4031" s="265">
        <f t="shared" si="163"/>
        <v>0</v>
      </c>
    </row>
    <row r="4032" spans="2:8" x14ac:dyDescent="0.2">
      <c r="B4032" s="262"/>
      <c r="C4032" s="263"/>
      <c r="D4032" s="264"/>
      <c r="E4032" s="264"/>
      <c r="F4032" s="265"/>
      <c r="G4032" s="265"/>
      <c r="H4032" s="265">
        <f t="shared" si="163"/>
        <v>0</v>
      </c>
    </row>
    <row r="4033" spans="2:8" x14ac:dyDescent="0.2">
      <c r="B4033" s="262"/>
      <c r="C4033" s="263"/>
      <c r="D4033" s="264"/>
      <c r="E4033" s="264"/>
      <c r="F4033" s="265"/>
      <c r="G4033" s="265"/>
      <c r="H4033" s="265">
        <f t="shared" si="163"/>
        <v>0</v>
      </c>
    </row>
    <row r="4034" spans="2:8" x14ac:dyDescent="0.2">
      <c r="B4034" s="262"/>
      <c r="C4034" s="263"/>
      <c r="D4034" s="264"/>
      <c r="E4034" s="264"/>
      <c r="F4034" s="265"/>
      <c r="G4034" s="265"/>
      <c r="H4034" s="265">
        <f t="shared" si="163"/>
        <v>0</v>
      </c>
    </row>
    <row r="4035" spans="2:8" x14ac:dyDescent="0.2">
      <c r="B4035" s="262"/>
      <c r="C4035" s="263"/>
      <c r="D4035" s="264"/>
      <c r="E4035" s="264"/>
      <c r="F4035" s="265"/>
      <c r="G4035" s="265"/>
      <c r="H4035" s="265">
        <f t="shared" si="163"/>
        <v>0</v>
      </c>
    </row>
    <row r="4036" spans="2:8" x14ac:dyDescent="0.2">
      <c r="B4036" s="262"/>
      <c r="C4036" s="263"/>
      <c r="D4036" s="264"/>
      <c r="E4036" s="264"/>
      <c r="F4036" s="265"/>
      <c r="G4036" s="265"/>
      <c r="H4036" s="265">
        <f t="shared" si="163"/>
        <v>0</v>
      </c>
    </row>
    <row r="4037" spans="2:8" x14ac:dyDescent="0.2">
      <c r="B4037" s="262"/>
      <c r="C4037" s="263"/>
      <c r="D4037" s="264"/>
      <c r="E4037" s="264"/>
      <c r="F4037" s="265"/>
      <c r="G4037" s="265"/>
      <c r="H4037" s="265">
        <f t="shared" si="163"/>
        <v>0</v>
      </c>
    </row>
    <row r="4038" spans="2:8" x14ac:dyDescent="0.2">
      <c r="B4038" s="262"/>
      <c r="C4038" s="263"/>
      <c r="D4038" s="264"/>
      <c r="E4038" s="264"/>
      <c r="F4038" s="265"/>
      <c r="G4038" s="265"/>
      <c r="H4038" s="265">
        <f t="shared" si="163"/>
        <v>0</v>
      </c>
    </row>
    <row r="4039" spans="2:8" x14ac:dyDescent="0.2">
      <c r="B4039" s="262"/>
      <c r="C4039" s="263"/>
      <c r="D4039" s="264"/>
      <c r="E4039" s="264"/>
      <c r="F4039" s="265"/>
      <c r="G4039" s="265"/>
      <c r="H4039" s="265">
        <f t="shared" si="163"/>
        <v>0</v>
      </c>
    </row>
    <row r="4040" spans="2:8" x14ac:dyDescent="0.2">
      <c r="B4040" s="262"/>
      <c r="C4040" s="263"/>
      <c r="D4040" s="264"/>
      <c r="E4040" s="264"/>
      <c r="F4040" s="265"/>
      <c r="G4040" s="265"/>
      <c r="H4040" s="265">
        <f t="shared" si="163"/>
        <v>0</v>
      </c>
    </row>
    <row r="4041" spans="2:8" x14ac:dyDescent="0.2">
      <c r="B4041" s="262"/>
      <c r="C4041" s="263"/>
      <c r="D4041" s="264"/>
      <c r="E4041" s="264"/>
      <c r="F4041" s="265"/>
      <c r="G4041" s="265"/>
      <c r="H4041" s="265">
        <f t="shared" si="163"/>
        <v>0</v>
      </c>
    </row>
    <row r="4042" spans="2:8" x14ac:dyDescent="0.2">
      <c r="B4042" s="262"/>
      <c r="C4042" s="263"/>
      <c r="D4042" s="264"/>
      <c r="E4042" s="264"/>
      <c r="F4042" s="265"/>
      <c r="G4042" s="265"/>
      <c r="H4042" s="265">
        <f t="shared" si="163"/>
        <v>0</v>
      </c>
    </row>
    <row r="4043" spans="2:8" x14ac:dyDescent="0.2">
      <c r="B4043" s="262"/>
      <c r="C4043" s="263"/>
      <c r="D4043" s="264"/>
      <c r="E4043" s="264"/>
      <c r="F4043" s="265"/>
      <c r="G4043" s="265"/>
      <c r="H4043" s="265">
        <f t="shared" si="163"/>
        <v>0</v>
      </c>
    </row>
    <row r="4044" spans="2:8" x14ac:dyDescent="0.2">
      <c r="B4044" s="262"/>
      <c r="C4044" s="263"/>
      <c r="D4044" s="264"/>
      <c r="E4044" s="264"/>
      <c r="F4044" s="265"/>
      <c r="G4044" s="265"/>
      <c r="H4044" s="265">
        <f t="shared" si="163"/>
        <v>0</v>
      </c>
    </row>
    <row r="4045" spans="2:8" x14ac:dyDescent="0.2">
      <c r="B4045" s="262"/>
      <c r="C4045" s="263"/>
      <c r="D4045" s="264"/>
      <c r="E4045" s="264"/>
      <c r="F4045" s="265"/>
      <c r="G4045" s="265"/>
      <c r="H4045" s="265">
        <f t="shared" si="163"/>
        <v>0</v>
      </c>
    </row>
    <row r="4046" spans="2:8" x14ac:dyDescent="0.2">
      <c r="B4046" s="262"/>
      <c r="C4046" s="263"/>
      <c r="D4046" s="264"/>
      <c r="E4046" s="264"/>
      <c r="F4046" s="265"/>
      <c r="G4046" s="265"/>
      <c r="H4046" s="265">
        <f t="shared" si="163"/>
        <v>0</v>
      </c>
    </row>
    <row r="4047" spans="2:8" x14ac:dyDescent="0.2">
      <c r="B4047" s="262"/>
      <c r="C4047" s="263"/>
      <c r="D4047" s="264"/>
      <c r="E4047" s="264"/>
      <c r="F4047" s="265"/>
      <c r="G4047" s="265"/>
      <c r="H4047" s="265">
        <f t="shared" si="163"/>
        <v>0</v>
      </c>
    </row>
    <row r="4048" spans="2:8" x14ac:dyDescent="0.2">
      <c r="B4048" s="262"/>
      <c r="C4048" s="263"/>
      <c r="D4048" s="264"/>
      <c r="E4048" s="264"/>
      <c r="F4048" s="265"/>
      <c r="G4048" s="265"/>
      <c r="H4048" s="265">
        <f t="shared" si="163"/>
        <v>0</v>
      </c>
    </row>
    <row r="4049" spans="2:8" x14ac:dyDescent="0.2">
      <c r="B4049" s="262"/>
      <c r="C4049" s="263"/>
      <c r="D4049" s="264"/>
      <c r="E4049" s="264"/>
      <c r="F4049" s="265"/>
      <c r="G4049" s="265"/>
      <c r="H4049" s="265">
        <f t="shared" si="163"/>
        <v>0</v>
      </c>
    </row>
    <row r="4050" spans="2:8" x14ac:dyDescent="0.2">
      <c r="B4050" s="262"/>
      <c r="C4050" s="263"/>
      <c r="D4050" s="264"/>
      <c r="E4050" s="264"/>
      <c r="F4050" s="265"/>
      <c r="G4050" s="265"/>
      <c r="H4050" s="265">
        <f t="shared" si="163"/>
        <v>0</v>
      </c>
    </row>
    <row r="4051" spans="2:8" x14ac:dyDescent="0.2">
      <c r="B4051" s="262"/>
      <c r="C4051" s="263"/>
      <c r="D4051" s="264"/>
      <c r="E4051" s="264"/>
      <c r="F4051" s="265"/>
      <c r="G4051" s="265"/>
      <c r="H4051" s="265">
        <f t="shared" si="163"/>
        <v>0</v>
      </c>
    </row>
    <row r="4052" spans="2:8" x14ac:dyDescent="0.2">
      <c r="B4052" s="262"/>
      <c r="C4052" s="263"/>
      <c r="D4052" s="264"/>
      <c r="E4052" s="264"/>
      <c r="F4052" s="265"/>
      <c r="G4052" s="265"/>
      <c r="H4052" s="265">
        <f t="shared" si="163"/>
        <v>0</v>
      </c>
    </row>
    <row r="4053" spans="2:8" x14ac:dyDescent="0.2">
      <c r="B4053" s="262"/>
      <c r="C4053" s="263"/>
      <c r="D4053" s="264"/>
      <c r="E4053" s="264"/>
      <c r="F4053" s="265"/>
      <c r="G4053" s="265"/>
      <c r="H4053" s="265">
        <f t="shared" si="163"/>
        <v>0</v>
      </c>
    </row>
    <row r="4054" spans="2:8" x14ac:dyDescent="0.2">
      <c r="B4054" s="262"/>
      <c r="C4054" s="263"/>
      <c r="D4054" s="264"/>
      <c r="E4054" s="264"/>
      <c r="F4054" s="265"/>
      <c r="G4054" s="265"/>
      <c r="H4054" s="265">
        <f t="shared" si="163"/>
        <v>0</v>
      </c>
    </row>
    <row r="4055" spans="2:8" x14ac:dyDescent="0.2">
      <c r="B4055" s="262"/>
      <c r="C4055" s="263"/>
      <c r="D4055" s="264"/>
      <c r="E4055" s="264"/>
      <c r="F4055" s="265"/>
      <c r="G4055" s="265"/>
      <c r="H4055" s="265">
        <f t="shared" si="163"/>
        <v>0</v>
      </c>
    </row>
    <row r="4056" spans="2:8" x14ac:dyDescent="0.2">
      <c r="B4056" s="262"/>
      <c r="C4056" s="263"/>
      <c r="D4056" s="264"/>
      <c r="E4056" s="264"/>
      <c r="F4056" s="265"/>
      <c r="G4056" s="265"/>
      <c r="H4056" s="265">
        <f t="shared" si="163"/>
        <v>0</v>
      </c>
    </row>
    <row r="4057" spans="2:8" x14ac:dyDescent="0.2">
      <c r="B4057" s="262"/>
      <c r="C4057" s="263"/>
      <c r="D4057" s="264"/>
      <c r="E4057" s="264"/>
      <c r="F4057" s="265"/>
      <c r="G4057" s="265"/>
      <c r="H4057" s="265">
        <f t="shared" si="163"/>
        <v>0</v>
      </c>
    </row>
    <row r="4058" spans="2:8" x14ac:dyDescent="0.2">
      <c r="B4058" s="262"/>
      <c r="C4058" s="263"/>
      <c r="D4058" s="264"/>
      <c r="E4058" s="264"/>
      <c r="F4058" s="265"/>
      <c r="G4058" s="265"/>
      <c r="H4058" s="265">
        <f t="shared" si="163"/>
        <v>0</v>
      </c>
    </row>
    <row r="4059" spans="2:8" x14ac:dyDescent="0.2">
      <c r="B4059" s="262"/>
      <c r="C4059" s="263"/>
      <c r="D4059" s="264"/>
      <c r="E4059" s="264"/>
      <c r="F4059" s="265"/>
      <c r="G4059" s="265"/>
      <c r="H4059" s="265">
        <f t="shared" si="163"/>
        <v>0</v>
      </c>
    </row>
    <row r="4060" spans="2:8" x14ac:dyDescent="0.2">
      <c r="B4060" s="262"/>
      <c r="C4060" s="263"/>
      <c r="D4060" s="264"/>
      <c r="E4060" s="264"/>
      <c r="F4060" s="265"/>
      <c r="G4060" s="265"/>
      <c r="H4060" s="265">
        <f t="shared" si="163"/>
        <v>0</v>
      </c>
    </row>
    <row r="4061" spans="2:8" x14ac:dyDescent="0.2">
      <c r="B4061" s="262"/>
      <c r="C4061" s="263"/>
      <c r="D4061" s="264"/>
      <c r="E4061" s="264"/>
      <c r="F4061" s="265"/>
      <c r="G4061" s="265"/>
      <c r="H4061" s="265">
        <f t="shared" si="163"/>
        <v>0</v>
      </c>
    </row>
    <row r="4062" spans="2:8" x14ac:dyDescent="0.2">
      <c r="B4062" s="262"/>
      <c r="C4062" s="263"/>
      <c r="D4062" s="264"/>
      <c r="E4062" s="264"/>
      <c r="F4062" s="265"/>
      <c r="G4062" s="265"/>
      <c r="H4062" s="265">
        <f t="shared" si="163"/>
        <v>0</v>
      </c>
    </row>
    <row r="4063" spans="2:8" x14ac:dyDescent="0.2">
      <c r="B4063" s="262"/>
      <c r="C4063" s="263"/>
      <c r="D4063" s="264"/>
      <c r="E4063" s="264"/>
      <c r="F4063" s="265"/>
      <c r="G4063" s="265"/>
      <c r="H4063" s="265">
        <f t="shared" si="163"/>
        <v>0</v>
      </c>
    </row>
    <row r="4064" spans="2:8" x14ac:dyDescent="0.2">
      <c r="B4064" s="262"/>
      <c r="C4064" s="263"/>
      <c r="D4064" s="264"/>
      <c r="E4064" s="264"/>
      <c r="F4064" s="265"/>
      <c r="G4064" s="265"/>
      <c r="H4064" s="265">
        <f t="shared" si="163"/>
        <v>0</v>
      </c>
    </row>
    <row r="4065" spans="2:8" x14ac:dyDescent="0.2">
      <c r="B4065" s="262"/>
      <c r="C4065" s="263"/>
      <c r="D4065" s="264"/>
      <c r="E4065" s="264"/>
      <c r="F4065" s="265"/>
      <c r="G4065" s="265"/>
      <c r="H4065" s="265">
        <f t="shared" si="163"/>
        <v>0</v>
      </c>
    </row>
    <row r="4066" spans="2:8" x14ac:dyDescent="0.2">
      <c r="B4066" s="262"/>
      <c r="C4066" s="263"/>
      <c r="D4066" s="264"/>
      <c r="E4066" s="264"/>
      <c r="F4066" s="265"/>
      <c r="G4066" s="265"/>
      <c r="H4066" s="265">
        <f t="shared" si="163"/>
        <v>0</v>
      </c>
    </row>
    <row r="4067" spans="2:8" x14ac:dyDescent="0.2">
      <c r="B4067" s="262"/>
      <c r="C4067" s="263"/>
      <c r="D4067" s="264"/>
      <c r="E4067" s="264"/>
      <c r="F4067" s="265"/>
      <c r="G4067" s="265"/>
      <c r="H4067" s="265">
        <f t="shared" si="163"/>
        <v>0</v>
      </c>
    </row>
    <row r="4068" spans="2:8" x14ac:dyDescent="0.2">
      <c r="B4068" s="262"/>
      <c r="C4068" s="263"/>
      <c r="D4068" s="264"/>
      <c r="E4068" s="264"/>
      <c r="F4068" s="265"/>
      <c r="G4068" s="265"/>
      <c r="H4068" s="265">
        <f t="shared" si="163"/>
        <v>0</v>
      </c>
    </row>
    <row r="4069" spans="2:8" x14ac:dyDescent="0.2">
      <c r="B4069" s="262"/>
      <c r="C4069" s="263"/>
      <c r="D4069" s="264"/>
      <c r="E4069" s="264"/>
      <c r="F4069" s="265"/>
      <c r="G4069" s="265"/>
      <c r="H4069" s="265">
        <f t="shared" si="163"/>
        <v>0</v>
      </c>
    </row>
    <row r="4070" spans="2:8" x14ac:dyDescent="0.2">
      <c r="B4070" s="262"/>
      <c r="C4070" s="263"/>
      <c r="D4070" s="264"/>
      <c r="E4070" s="264"/>
      <c r="F4070" s="265"/>
      <c r="G4070" s="265"/>
      <c r="H4070" s="265">
        <f t="shared" si="163"/>
        <v>0</v>
      </c>
    </row>
    <row r="4071" spans="2:8" x14ac:dyDescent="0.2">
      <c r="B4071" s="262"/>
      <c r="C4071" s="263"/>
      <c r="D4071" s="264"/>
      <c r="E4071" s="264"/>
      <c r="F4071" s="265"/>
      <c r="G4071" s="265"/>
      <c r="H4071" s="265">
        <f t="shared" si="163"/>
        <v>0</v>
      </c>
    </row>
    <row r="4072" spans="2:8" x14ac:dyDescent="0.2">
      <c r="B4072" s="262"/>
      <c r="C4072" s="263"/>
      <c r="D4072" s="264"/>
      <c r="E4072" s="264"/>
      <c r="F4072" s="265"/>
      <c r="G4072" s="265"/>
      <c r="H4072" s="265">
        <f t="shared" si="163"/>
        <v>0</v>
      </c>
    </row>
    <row r="4073" spans="2:8" x14ac:dyDescent="0.2">
      <c r="B4073" s="262"/>
      <c r="C4073" s="263"/>
      <c r="D4073" s="264"/>
      <c r="E4073" s="264"/>
      <c r="F4073" s="265"/>
      <c r="G4073" s="265"/>
      <c r="H4073" s="265">
        <f t="shared" si="163"/>
        <v>0</v>
      </c>
    </row>
    <row r="4074" spans="2:8" x14ac:dyDescent="0.2">
      <c r="B4074" s="262"/>
      <c r="C4074" s="263"/>
      <c r="D4074" s="264"/>
      <c r="E4074" s="264"/>
      <c r="F4074" s="265"/>
      <c r="G4074" s="265"/>
      <c r="H4074" s="265">
        <f t="shared" si="163"/>
        <v>0</v>
      </c>
    </row>
    <row r="4075" spans="2:8" x14ac:dyDescent="0.2">
      <c r="B4075" s="262"/>
      <c r="C4075" s="263"/>
      <c r="D4075" s="264"/>
      <c r="E4075" s="264"/>
      <c r="F4075" s="265"/>
      <c r="G4075" s="265"/>
      <c r="H4075" s="265">
        <f t="shared" si="163"/>
        <v>0</v>
      </c>
    </row>
    <row r="4076" spans="2:8" x14ac:dyDescent="0.2">
      <c r="B4076" s="262"/>
      <c r="C4076" s="263"/>
      <c r="D4076" s="264"/>
      <c r="E4076" s="264"/>
      <c r="F4076" s="265"/>
      <c r="G4076" s="265"/>
      <c r="H4076" s="265">
        <f t="shared" si="163"/>
        <v>0</v>
      </c>
    </row>
    <row r="4077" spans="2:8" x14ac:dyDescent="0.2">
      <c r="B4077" s="262"/>
      <c r="C4077" s="263"/>
      <c r="D4077" s="264"/>
      <c r="E4077" s="264"/>
      <c r="F4077" s="265"/>
      <c r="G4077" s="265"/>
      <c r="H4077" s="265">
        <f t="shared" si="163"/>
        <v>0</v>
      </c>
    </row>
    <row r="4078" spans="2:8" x14ac:dyDescent="0.2">
      <c r="B4078" s="262"/>
      <c r="C4078" s="263"/>
      <c r="D4078" s="264"/>
      <c r="E4078" s="264"/>
      <c r="F4078" s="265"/>
      <c r="G4078" s="265"/>
      <c r="H4078" s="265">
        <f t="shared" si="163"/>
        <v>0</v>
      </c>
    </row>
    <row r="4079" spans="2:8" x14ac:dyDescent="0.2">
      <c r="B4079" s="262"/>
      <c r="C4079" s="263"/>
      <c r="D4079" s="264"/>
      <c r="E4079" s="264"/>
      <c r="F4079" s="265"/>
      <c r="G4079" s="265"/>
      <c r="H4079" s="265">
        <f t="shared" si="163"/>
        <v>0</v>
      </c>
    </row>
    <row r="4080" spans="2:8" x14ac:dyDescent="0.2">
      <c r="B4080" s="262"/>
      <c r="C4080" s="263"/>
      <c r="D4080" s="264"/>
      <c r="E4080" s="264"/>
      <c r="F4080" s="265"/>
      <c r="G4080" s="265"/>
      <c r="H4080" s="265">
        <f t="shared" si="163"/>
        <v>0</v>
      </c>
    </row>
    <row r="4081" spans="2:8" x14ac:dyDescent="0.2">
      <c r="B4081" s="262"/>
      <c r="C4081" s="263"/>
      <c r="D4081" s="264"/>
      <c r="E4081" s="264"/>
      <c r="F4081" s="265"/>
      <c r="G4081" s="265"/>
      <c r="H4081" s="265">
        <f t="shared" si="163"/>
        <v>0</v>
      </c>
    </row>
    <row r="4082" spans="2:8" x14ac:dyDescent="0.2">
      <c r="B4082" s="262"/>
      <c r="C4082" s="263"/>
      <c r="D4082" s="264"/>
      <c r="E4082" s="264"/>
      <c r="F4082" s="265"/>
      <c r="G4082" s="265"/>
      <c r="H4082" s="265">
        <f t="shared" ref="H4082:H4136" si="164">SUM(F4082:G4082)</f>
        <v>0</v>
      </c>
    </row>
    <row r="4083" spans="2:8" x14ac:dyDescent="0.2">
      <c r="B4083" s="262"/>
      <c r="C4083" s="263"/>
      <c r="D4083" s="264"/>
      <c r="E4083" s="264"/>
      <c r="F4083" s="265"/>
      <c r="G4083" s="265"/>
      <c r="H4083" s="265">
        <f t="shared" si="164"/>
        <v>0</v>
      </c>
    </row>
    <row r="4084" spans="2:8" x14ac:dyDescent="0.2">
      <c r="B4084" s="262"/>
      <c r="C4084" s="263"/>
      <c r="D4084" s="264"/>
      <c r="E4084" s="264"/>
      <c r="F4084" s="265"/>
      <c r="G4084" s="265"/>
      <c r="H4084" s="265">
        <f t="shared" si="164"/>
        <v>0</v>
      </c>
    </row>
    <row r="4085" spans="2:8" x14ac:dyDescent="0.2">
      <c r="B4085" s="262"/>
      <c r="C4085" s="263"/>
      <c r="D4085" s="264"/>
      <c r="E4085" s="264"/>
      <c r="F4085" s="265"/>
      <c r="G4085" s="265"/>
      <c r="H4085" s="265">
        <f t="shared" si="164"/>
        <v>0</v>
      </c>
    </row>
    <row r="4086" spans="2:8" x14ac:dyDescent="0.2">
      <c r="B4086" s="262"/>
      <c r="C4086" s="263"/>
      <c r="D4086" s="264"/>
      <c r="E4086" s="264"/>
      <c r="F4086" s="265"/>
      <c r="G4086" s="265"/>
      <c r="H4086" s="265">
        <f t="shared" si="164"/>
        <v>0</v>
      </c>
    </row>
    <row r="4087" spans="2:8" x14ac:dyDescent="0.2">
      <c r="B4087" s="262"/>
      <c r="C4087" s="263"/>
      <c r="D4087" s="264"/>
      <c r="E4087" s="264"/>
      <c r="F4087" s="265"/>
      <c r="G4087" s="265"/>
      <c r="H4087" s="265">
        <f t="shared" si="164"/>
        <v>0</v>
      </c>
    </row>
    <row r="4088" spans="2:8" x14ac:dyDescent="0.2">
      <c r="B4088" s="262"/>
      <c r="C4088" s="263"/>
      <c r="D4088" s="264"/>
      <c r="E4088" s="264"/>
      <c r="F4088" s="265"/>
      <c r="G4088" s="265"/>
      <c r="H4088" s="265">
        <f t="shared" si="164"/>
        <v>0</v>
      </c>
    </row>
    <row r="4089" spans="2:8" x14ac:dyDescent="0.2">
      <c r="B4089" s="262"/>
      <c r="C4089" s="263"/>
      <c r="D4089" s="264"/>
      <c r="E4089" s="264"/>
      <c r="F4089" s="265"/>
      <c r="G4089" s="265"/>
      <c r="H4089" s="265">
        <f t="shared" si="164"/>
        <v>0</v>
      </c>
    </row>
    <row r="4090" spans="2:8" x14ac:dyDescent="0.2">
      <c r="B4090" s="262"/>
      <c r="C4090" s="263"/>
      <c r="D4090" s="264"/>
      <c r="E4090" s="264"/>
      <c r="F4090" s="265"/>
      <c r="G4090" s="265"/>
      <c r="H4090" s="265">
        <f t="shared" si="164"/>
        <v>0</v>
      </c>
    </row>
    <row r="4091" spans="2:8" x14ac:dyDescent="0.2">
      <c r="B4091" s="262"/>
      <c r="C4091" s="263"/>
      <c r="D4091" s="264"/>
      <c r="E4091" s="264"/>
      <c r="F4091" s="265"/>
      <c r="G4091" s="265"/>
      <c r="H4091" s="265">
        <f t="shared" si="164"/>
        <v>0</v>
      </c>
    </row>
    <row r="4092" spans="2:8" x14ac:dyDescent="0.2">
      <c r="B4092" s="262"/>
      <c r="C4092" s="263"/>
      <c r="D4092" s="264"/>
      <c r="E4092" s="264"/>
      <c r="F4092" s="265"/>
      <c r="G4092" s="265"/>
      <c r="H4092" s="265">
        <f t="shared" si="164"/>
        <v>0</v>
      </c>
    </row>
    <row r="4093" spans="2:8" x14ac:dyDescent="0.2">
      <c r="B4093" s="262"/>
      <c r="C4093" s="263"/>
      <c r="D4093" s="264"/>
      <c r="E4093" s="264"/>
      <c r="F4093" s="265"/>
      <c r="G4093" s="265"/>
      <c r="H4093" s="265">
        <f t="shared" si="164"/>
        <v>0</v>
      </c>
    </row>
    <row r="4094" spans="2:8" x14ac:dyDescent="0.2">
      <c r="B4094" s="262"/>
      <c r="C4094" s="263"/>
      <c r="D4094" s="264"/>
      <c r="E4094" s="264"/>
      <c r="F4094" s="265"/>
      <c r="G4094" s="265"/>
      <c r="H4094" s="265">
        <f t="shared" si="164"/>
        <v>0</v>
      </c>
    </row>
    <row r="4095" spans="2:8" x14ac:dyDescent="0.2">
      <c r="B4095" s="262"/>
      <c r="C4095" s="263"/>
      <c r="D4095" s="264"/>
      <c r="E4095" s="264"/>
      <c r="F4095" s="265"/>
      <c r="G4095" s="265"/>
      <c r="H4095" s="265">
        <f t="shared" si="164"/>
        <v>0</v>
      </c>
    </row>
    <row r="4096" spans="2:8" x14ac:dyDescent="0.2">
      <c r="B4096" s="262"/>
      <c r="C4096" s="263"/>
      <c r="D4096" s="264"/>
      <c r="E4096" s="264"/>
      <c r="F4096" s="265"/>
      <c r="G4096" s="265"/>
      <c r="H4096" s="265">
        <f t="shared" si="164"/>
        <v>0</v>
      </c>
    </row>
    <row r="4097" spans="2:8" x14ac:dyDescent="0.2">
      <c r="B4097" s="262"/>
      <c r="C4097" s="263"/>
      <c r="D4097" s="264"/>
      <c r="E4097" s="264"/>
      <c r="F4097" s="265"/>
      <c r="G4097" s="265"/>
      <c r="H4097" s="265">
        <f t="shared" si="164"/>
        <v>0</v>
      </c>
    </row>
    <row r="4098" spans="2:8" x14ac:dyDescent="0.2">
      <c r="B4098" s="262"/>
      <c r="C4098" s="263"/>
      <c r="D4098" s="264"/>
      <c r="E4098" s="264"/>
      <c r="F4098" s="265"/>
      <c r="G4098" s="265"/>
      <c r="H4098" s="265">
        <f t="shared" si="164"/>
        <v>0</v>
      </c>
    </row>
    <row r="4099" spans="2:8" x14ac:dyDescent="0.2">
      <c r="B4099" s="262"/>
      <c r="C4099" s="263"/>
      <c r="D4099" s="264"/>
      <c r="E4099" s="264"/>
      <c r="F4099" s="265"/>
      <c r="G4099" s="265"/>
      <c r="H4099" s="265">
        <f t="shared" si="164"/>
        <v>0</v>
      </c>
    </row>
    <row r="4100" spans="2:8" x14ac:dyDescent="0.2">
      <c r="B4100" s="262"/>
      <c r="C4100" s="263"/>
      <c r="D4100" s="264"/>
      <c r="E4100" s="264"/>
      <c r="F4100" s="265"/>
      <c r="G4100" s="265"/>
      <c r="H4100" s="265">
        <f t="shared" si="164"/>
        <v>0</v>
      </c>
    </row>
    <row r="4101" spans="2:8" x14ac:dyDescent="0.2">
      <c r="B4101" s="262"/>
      <c r="C4101" s="263"/>
      <c r="D4101" s="264"/>
      <c r="E4101" s="264"/>
      <c r="F4101" s="265"/>
      <c r="G4101" s="265"/>
      <c r="H4101" s="265">
        <f t="shared" si="164"/>
        <v>0</v>
      </c>
    </row>
    <row r="4102" spans="2:8" x14ac:dyDescent="0.2">
      <c r="B4102" s="262"/>
      <c r="C4102" s="263"/>
      <c r="D4102" s="264"/>
      <c r="E4102" s="264"/>
      <c r="F4102" s="265"/>
      <c r="G4102" s="265"/>
      <c r="H4102" s="265">
        <f t="shared" si="164"/>
        <v>0</v>
      </c>
    </row>
    <row r="4103" spans="2:8" x14ac:dyDescent="0.2">
      <c r="B4103" s="262"/>
      <c r="C4103" s="263"/>
      <c r="D4103" s="264"/>
      <c r="E4103" s="264"/>
      <c r="F4103" s="265"/>
      <c r="G4103" s="265"/>
      <c r="H4103" s="265">
        <f t="shared" si="164"/>
        <v>0</v>
      </c>
    </row>
    <row r="4104" spans="2:8" x14ac:dyDescent="0.2">
      <c r="B4104" s="262"/>
      <c r="C4104" s="263"/>
      <c r="D4104" s="264"/>
      <c r="E4104" s="264"/>
      <c r="F4104" s="265"/>
      <c r="G4104" s="265"/>
      <c r="H4104" s="265">
        <f t="shared" si="164"/>
        <v>0</v>
      </c>
    </row>
    <row r="4105" spans="2:8" x14ac:dyDescent="0.2">
      <c r="B4105" s="262"/>
      <c r="C4105" s="263"/>
      <c r="D4105" s="264"/>
      <c r="E4105" s="264"/>
      <c r="F4105" s="265"/>
      <c r="G4105" s="265"/>
      <c r="H4105" s="265">
        <f t="shared" si="164"/>
        <v>0</v>
      </c>
    </row>
    <row r="4106" spans="2:8" x14ac:dyDescent="0.2">
      <c r="B4106" s="262"/>
      <c r="C4106" s="263"/>
      <c r="D4106" s="264"/>
      <c r="E4106" s="264"/>
      <c r="F4106" s="265"/>
      <c r="G4106" s="265"/>
      <c r="H4106" s="265">
        <f t="shared" si="164"/>
        <v>0</v>
      </c>
    </row>
    <row r="4107" spans="2:8" x14ac:dyDescent="0.2">
      <c r="B4107" s="262"/>
      <c r="C4107" s="263"/>
      <c r="D4107" s="264"/>
      <c r="E4107" s="264"/>
      <c r="F4107" s="265"/>
      <c r="G4107" s="265"/>
      <c r="H4107" s="265">
        <f t="shared" si="164"/>
        <v>0</v>
      </c>
    </row>
    <row r="4108" spans="2:8" x14ac:dyDescent="0.2">
      <c r="B4108" s="262"/>
      <c r="C4108" s="263"/>
      <c r="D4108" s="264"/>
      <c r="E4108" s="264"/>
      <c r="F4108" s="265"/>
      <c r="G4108" s="265"/>
      <c r="H4108" s="265">
        <f t="shared" si="164"/>
        <v>0</v>
      </c>
    </row>
    <row r="4109" spans="2:8" x14ac:dyDescent="0.2">
      <c r="B4109" s="262"/>
      <c r="C4109" s="263"/>
      <c r="D4109" s="264"/>
      <c r="E4109" s="264"/>
      <c r="F4109" s="265"/>
      <c r="G4109" s="265"/>
      <c r="H4109" s="265">
        <f t="shared" si="164"/>
        <v>0</v>
      </c>
    </row>
    <row r="4110" spans="2:8" x14ac:dyDescent="0.2">
      <c r="B4110" s="262"/>
      <c r="C4110" s="263"/>
      <c r="D4110" s="264"/>
      <c r="E4110" s="264"/>
      <c r="F4110" s="265"/>
      <c r="G4110" s="265"/>
      <c r="H4110" s="265">
        <f t="shared" si="164"/>
        <v>0</v>
      </c>
    </row>
    <row r="4111" spans="2:8" x14ac:dyDescent="0.2">
      <c r="B4111" s="262"/>
      <c r="C4111" s="263"/>
      <c r="D4111" s="264"/>
      <c r="E4111" s="264"/>
      <c r="F4111" s="265"/>
      <c r="G4111" s="265"/>
      <c r="H4111" s="265">
        <f t="shared" si="164"/>
        <v>0</v>
      </c>
    </row>
    <row r="4112" spans="2:8" x14ac:dyDescent="0.2">
      <c r="B4112" s="262"/>
      <c r="C4112" s="263"/>
      <c r="D4112" s="264"/>
      <c r="E4112" s="264"/>
      <c r="F4112" s="265"/>
      <c r="G4112" s="265"/>
      <c r="H4112" s="265">
        <f t="shared" si="164"/>
        <v>0</v>
      </c>
    </row>
    <row r="4113" spans="2:8" x14ac:dyDescent="0.2">
      <c r="B4113" s="262"/>
      <c r="C4113" s="263"/>
      <c r="D4113" s="264"/>
      <c r="E4113" s="264"/>
      <c r="F4113" s="265"/>
      <c r="G4113" s="265"/>
      <c r="H4113" s="265">
        <f t="shared" si="164"/>
        <v>0</v>
      </c>
    </row>
    <row r="4114" spans="2:8" x14ac:dyDescent="0.2">
      <c r="B4114" s="262"/>
      <c r="C4114" s="263"/>
      <c r="D4114" s="264"/>
      <c r="E4114" s="264"/>
      <c r="F4114" s="265"/>
      <c r="G4114" s="265"/>
      <c r="H4114" s="265">
        <f t="shared" si="164"/>
        <v>0</v>
      </c>
    </row>
    <row r="4115" spans="2:8" x14ac:dyDescent="0.2">
      <c r="B4115" s="262"/>
      <c r="C4115" s="263"/>
      <c r="D4115" s="264"/>
      <c r="E4115" s="264"/>
      <c r="F4115" s="265"/>
      <c r="G4115" s="265"/>
      <c r="H4115" s="265">
        <f t="shared" si="164"/>
        <v>0</v>
      </c>
    </row>
    <row r="4116" spans="2:8" x14ac:dyDescent="0.2">
      <c r="B4116" s="262"/>
      <c r="C4116" s="263"/>
      <c r="D4116" s="264"/>
      <c r="E4116" s="264"/>
      <c r="F4116" s="265"/>
      <c r="G4116" s="265"/>
      <c r="H4116" s="265">
        <f t="shared" si="164"/>
        <v>0</v>
      </c>
    </row>
    <row r="4117" spans="2:8" x14ac:dyDescent="0.2">
      <c r="B4117" s="262"/>
      <c r="C4117" s="263"/>
      <c r="D4117" s="264"/>
      <c r="E4117" s="264"/>
      <c r="F4117" s="265"/>
      <c r="G4117" s="265"/>
      <c r="H4117" s="265">
        <f t="shared" si="164"/>
        <v>0</v>
      </c>
    </row>
    <row r="4118" spans="2:8" x14ac:dyDescent="0.2">
      <c r="B4118" s="262"/>
      <c r="C4118" s="263"/>
      <c r="D4118" s="264"/>
      <c r="E4118" s="264"/>
      <c r="F4118" s="265"/>
      <c r="G4118" s="265"/>
      <c r="H4118" s="265">
        <f t="shared" si="164"/>
        <v>0</v>
      </c>
    </row>
    <row r="4119" spans="2:8" x14ac:dyDescent="0.2">
      <c r="B4119" s="262"/>
      <c r="C4119" s="263"/>
      <c r="D4119" s="264"/>
      <c r="E4119" s="264"/>
      <c r="F4119" s="265"/>
      <c r="G4119" s="265"/>
      <c r="H4119" s="265">
        <f t="shared" si="164"/>
        <v>0</v>
      </c>
    </row>
    <row r="4120" spans="2:8" x14ac:dyDescent="0.2">
      <c r="B4120" s="262"/>
      <c r="C4120" s="263"/>
      <c r="D4120" s="264"/>
      <c r="E4120" s="264"/>
      <c r="F4120" s="265"/>
      <c r="G4120" s="265"/>
      <c r="H4120" s="265">
        <f t="shared" si="164"/>
        <v>0</v>
      </c>
    </row>
    <row r="4121" spans="2:8" x14ac:dyDescent="0.2">
      <c r="B4121" s="262"/>
      <c r="C4121" s="263"/>
      <c r="D4121" s="264"/>
      <c r="E4121" s="264"/>
      <c r="F4121" s="265"/>
      <c r="G4121" s="265"/>
      <c r="H4121" s="265">
        <f t="shared" si="164"/>
        <v>0</v>
      </c>
    </row>
    <row r="4122" spans="2:8" x14ac:dyDescent="0.2">
      <c r="B4122" s="262"/>
      <c r="C4122" s="263"/>
      <c r="D4122" s="264"/>
      <c r="E4122" s="264"/>
      <c r="F4122" s="265"/>
      <c r="G4122" s="265"/>
      <c r="H4122" s="265">
        <f t="shared" si="164"/>
        <v>0</v>
      </c>
    </row>
    <row r="4123" spans="2:8" x14ac:dyDescent="0.2">
      <c r="B4123" s="262"/>
      <c r="C4123" s="263"/>
      <c r="D4123" s="264"/>
      <c r="E4123" s="264"/>
      <c r="F4123" s="265"/>
      <c r="G4123" s="265"/>
      <c r="H4123" s="265">
        <f t="shared" si="164"/>
        <v>0</v>
      </c>
    </row>
    <row r="4124" spans="2:8" x14ac:dyDescent="0.2">
      <c r="B4124" s="262"/>
      <c r="C4124" s="263"/>
      <c r="D4124" s="264"/>
      <c r="E4124" s="264"/>
      <c r="F4124" s="265"/>
      <c r="G4124" s="265"/>
      <c r="H4124" s="265">
        <f t="shared" si="164"/>
        <v>0</v>
      </c>
    </row>
    <row r="4125" spans="2:8" x14ac:dyDescent="0.2">
      <c r="B4125" s="262"/>
      <c r="C4125" s="263"/>
      <c r="D4125" s="264"/>
      <c r="E4125" s="264"/>
      <c r="F4125" s="265"/>
      <c r="G4125" s="265"/>
      <c r="H4125" s="265">
        <f t="shared" si="164"/>
        <v>0</v>
      </c>
    </row>
    <row r="4126" spans="2:8" x14ac:dyDescent="0.2">
      <c r="B4126" s="262"/>
      <c r="C4126" s="263"/>
      <c r="D4126" s="264"/>
      <c r="E4126" s="264"/>
      <c r="F4126" s="265"/>
      <c r="G4126" s="265"/>
      <c r="H4126" s="265">
        <f t="shared" si="164"/>
        <v>0</v>
      </c>
    </row>
    <row r="4127" spans="2:8" x14ac:dyDescent="0.2">
      <c r="B4127" s="262"/>
      <c r="C4127" s="263"/>
      <c r="D4127" s="264"/>
      <c r="E4127" s="264"/>
      <c r="F4127" s="265"/>
      <c r="G4127" s="265"/>
      <c r="H4127" s="265">
        <f t="shared" si="164"/>
        <v>0</v>
      </c>
    </row>
    <row r="4128" spans="2:8" x14ac:dyDescent="0.2">
      <c r="B4128" s="262"/>
      <c r="C4128" s="263"/>
      <c r="D4128" s="264"/>
      <c r="E4128" s="264"/>
      <c r="F4128" s="265"/>
      <c r="G4128" s="265"/>
      <c r="H4128" s="265">
        <f t="shared" si="164"/>
        <v>0</v>
      </c>
    </row>
    <row r="4129" spans="2:8" x14ac:dyDescent="0.2">
      <c r="B4129" s="262"/>
      <c r="C4129" s="263"/>
      <c r="D4129" s="264"/>
      <c r="E4129" s="264"/>
      <c r="F4129" s="265"/>
      <c r="G4129" s="265"/>
      <c r="H4129" s="265">
        <f t="shared" si="164"/>
        <v>0</v>
      </c>
    </row>
    <row r="4130" spans="2:8" x14ac:dyDescent="0.2">
      <c r="B4130" s="262"/>
      <c r="C4130" s="263"/>
      <c r="D4130" s="264"/>
      <c r="E4130" s="264"/>
      <c r="F4130" s="265"/>
      <c r="G4130" s="265"/>
      <c r="H4130" s="265">
        <f t="shared" si="164"/>
        <v>0</v>
      </c>
    </row>
    <row r="4131" spans="2:8" x14ac:dyDescent="0.2">
      <c r="B4131" s="262"/>
      <c r="C4131" s="263"/>
      <c r="D4131" s="264"/>
      <c r="E4131" s="264"/>
      <c r="F4131" s="265"/>
      <c r="G4131" s="265"/>
      <c r="H4131" s="265">
        <f t="shared" si="164"/>
        <v>0</v>
      </c>
    </row>
    <row r="4132" spans="2:8" x14ac:dyDescent="0.2">
      <c r="B4132" s="262"/>
      <c r="C4132" s="263"/>
      <c r="D4132" s="264"/>
      <c r="E4132" s="264"/>
      <c r="F4132" s="265"/>
      <c r="G4132" s="265"/>
      <c r="H4132" s="265">
        <f t="shared" si="164"/>
        <v>0</v>
      </c>
    </row>
    <row r="4133" spans="2:8" x14ac:dyDescent="0.2">
      <c r="B4133" s="262"/>
      <c r="C4133" s="263"/>
      <c r="D4133" s="264"/>
      <c r="E4133" s="264"/>
      <c r="F4133" s="265"/>
      <c r="G4133" s="265"/>
      <c r="H4133" s="265">
        <f t="shared" si="164"/>
        <v>0</v>
      </c>
    </row>
    <row r="4134" spans="2:8" x14ac:dyDescent="0.2">
      <c r="B4134" s="262"/>
      <c r="C4134" s="263"/>
      <c r="D4134" s="264"/>
      <c r="E4134" s="264"/>
      <c r="F4134" s="265"/>
      <c r="G4134" s="265"/>
      <c r="H4134" s="265">
        <f t="shared" si="164"/>
        <v>0</v>
      </c>
    </row>
    <row r="4135" spans="2:8" x14ac:dyDescent="0.2">
      <c r="B4135" s="262"/>
      <c r="C4135" s="263"/>
      <c r="D4135" s="264"/>
      <c r="E4135" s="264"/>
      <c r="F4135" s="265"/>
      <c r="G4135" s="265"/>
      <c r="H4135" s="265">
        <f t="shared" si="164"/>
        <v>0</v>
      </c>
    </row>
    <row r="4136" spans="2:8" x14ac:dyDescent="0.2">
      <c r="B4136" s="262"/>
      <c r="C4136" s="263"/>
      <c r="D4136" s="264"/>
      <c r="E4136" s="264"/>
      <c r="F4136" s="265"/>
      <c r="G4136" s="265"/>
      <c r="H4136" s="265">
        <f t="shared" si="164"/>
        <v>0</v>
      </c>
    </row>
  </sheetData>
  <pageMargins left="0.23622047244094491" right="0.23622047244094491" top="0" bottom="0" header="0.31496062992125984" footer="0.31496062992125984"/>
  <pageSetup scale="82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54"/>
  <sheetViews>
    <sheetView showGridLines="0" zoomScale="90" zoomScaleNormal="90" workbookViewId="0">
      <pane ySplit="3" topLeftCell="A835" activePane="bottomLeft" state="frozen"/>
      <selection pane="bottomLeft" activeCell="J854" sqref="J854"/>
    </sheetView>
  </sheetViews>
  <sheetFormatPr baseColWidth="10" defaultRowHeight="12.75" x14ac:dyDescent="0.2"/>
  <cols>
    <col min="1" max="1" width="11" customWidth="1"/>
    <col min="2" max="3" width="11.5703125" customWidth="1"/>
    <col min="4" max="4" width="10.140625" bestFit="1" customWidth="1"/>
    <col min="5" max="5" width="36.28515625" hidden="1" customWidth="1"/>
    <col min="6" max="6" width="68.28515625" customWidth="1"/>
    <col min="7" max="7" width="9.85546875" bestFit="1" customWidth="1"/>
    <col min="8" max="10" width="12.7109375" customWidth="1"/>
  </cols>
  <sheetData>
    <row r="1" spans="2:10" ht="18" x14ac:dyDescent="0.25">
      <c r="H1" s="416">
        <v>813034795</v>
      </c>
      <c r="I1" s="416"/>
      <c r="J1" s="416"/>
    </row>
    <row r="2" spans="2:10" x14ac:dyDescent="0.2">
      <c r="H2" s="93"/>
    </row>
    <row r="3" spans="2:10" ht="25.5" x14ac:dyDescent="0.2">
      <c r="B3" s="94" t="s">
        <v>1525</v>
      </c>
      <c r="C3" s="94" t="s">
        <v>1526</v>
      </c>
      <c r="D3" s="95" t="s">
        <v>1527</v>
      </c>
      <c r="E3" s="52" t="s">
        <v>1528</v>
      </c>
      <c r="F3" s="52" t="s">
        <v>1529</v>
      </c>
      <c r="G3" s="3" t="s">
        <v>3</v>
      </c>
      <c r="H3" s="96" t="s">
        <v>1530</v>
      </c>
      <c r="I3" s="96" t="s">
        <v>1531</v>
      </c>
      <c r="J3" s="96" t="s">
        <v>1532</v>
      </c>
    </row>
    <row r="4" spans="2:10" x14ac:dyDescent="0.2">
      <c r="B4" s="97"/>
      <c r="C4" s="97"/>
      <c r="D4" s="98"/>
      <c r="E4" s="98"/>
      <c r="F4" s="99"/>
      <c r="G4" s="100"/>
      <c r="H4" s="101"/>
      <c r="I4" s="101"/>
      <c r="J4" s="101">
        <v>1280.1699999999994</v>
      </c>
    </row>
    <row r="5" spans="2:10" x14ac:dyDescent="0.2">
      <c r="B5" s="103"/>
      <c r="C5" s="103">
        <v>41281</v>
      </c>
      <c r="D5" s="104"/>
      <c r="E5" s="104"/>
      <c r="F5" s="105" t="s">
        <v>1533</v>
      </c>
      <c r="G5" s="106"/>
      <c r="H5" s="93">
        <v>6000</v>
      </c>
      <c r="I5" s="93"/>
      <c r="J5" s="93">
        <f>J4+H5-I5</f>
        <v>7280.1699999999992</v>
      </c>
    </row>
    <row r="6" spans="2:10" x14ac:dyDescent="0.2">
      <c r="B6" s="103"/>
      <c r="C6" s="107">
        <v>41284</v>
      </c>
      <c r="D6" s="104"/>
      <c r="E6" s="108" t="s">
        <v>1534</v>
      </c>
      <c r="F6" s="105" t="s">
        <v>1535</v>
      </c>
      <c r="G6" s="106" t="s">
        <v>211</v>
      </c>
      <c r="H6" s="93">
        <v>300</v>
      </c>
      <c r="I6" s="93"/>
      <c r="J6" s="93">
        <f t="shared" ref="J6:J22" si="0">J5+H6-I6</f>
        <v>7580.1699999999992</v>
      </c>
    </row>
    <row r="7" spans="2:10" x14ac:dyDescent="0.2">
      <c r="B7" s="103"/>
      <c r="C7" s="103">
        <v>41284</v>
      </c>
      <c r="D7" s="104"/>
      <c r="E7" s="108" t="s">
        <v>1534</v>
      </c>
      <c r="F7" s="105" t="s">
        <v>1536</v>
      </c>
      <c r="G7" s="106" t="s">
        <v>1537</v>
      </c>
      <c r="H7" s="93">
        <v>0.46</v>
      </c>
      <c r="I7" s="93"/>
      <c r="J7" s="93">
        <f t="shared" si="0"/>
        <v>7580.6299999999992</v>
      </c>
    </row>
    <row r="8" spans="2:10" x14ac:dyDescent="0.2">
      <c r="B8" s="103"/>
      <c r="C8" s="103">
        <v>41284</v>
      </c>
      <c r="D8" s="104"/>
      <c r="E8" s="108" t="s">
        <v>1538</v>
      </c>
      <c r="F8" s="105" t="s">
        <v>1535</v>
      </c>
      <c r="G8" s="106" t="s">
        <v>208</v>
      </c>
      <c r="H8" s="93">
        <v>300</v>
      </c>
      <c r="I8" s="93"/>
      <c r="J8" s="93">
        <f t="shared" si="0"/>
        <v>7880.6299999999992</v>
      </c>
    </row>
    <row r="9" spans="2:10" x14ac:dyDescent="0.2">
      <c r="B9" s="103"/>
      <c r="C9" s="103">
        <v>41284</v>
      </c>
      <c r="D9" s="104"/>
      <c r="E9" s="108" t="s">
        <v>1538</v>
      </c>
      <c r="F9" s="105" t="s">
        <v>1536</v>
      </c>
      <c r="G9" s="106" t="s">
        <v>1537</v>
      </c>
      <c r="H9" s="93">
        <v>0.28999999999999998</v>
      </c>
      <c r="I9" s="93"/>
      <c r="J9" s="93">
        <f t="shared" si="0"/>
        <v>7880.9199999999992</v>
      </c>
    </row>
    <row r="10" spans="2:10" x14ac:dyDescent="0.2">
      <c r="B10" s="103"/>
      <c r="C10" s="103">
        <v>41288</v>
      </c>
      <c r="D10" s="104"/>
      <c r="E10" s="104"/>
      <c r="F10" s="105"/>
      <c r="G10" s="110"/>
      <c r="H10" s="93">
        <v>13000</v>
      </c>
      <c r="I10" s="93"/>
      <c r="J10" s="93">
        <f t="shared" si="0"/>
        <v>20880.919999999998</v>
      </c>
    </row>
    <row r="11" spans="2:10" x14ac:dyDescent="0.2">
      <c r="B11" s="103"/>
      <c r="C11" s="103">
        <v>41288</v>
      </c>
      <c r="D11" s="104"/>
      <c r="E11" s="104"/>
      <c r="F11" s="105"/>
      <c r="G11" s="110"/>
      <c r="H11" s="93">
        <v>3600</v>
      </c>
      <c r="I11" s="93"/>
      <c r="J11" s="93">
        <f t="shared" si="0"/>
        <v>24480.92</v>
      </c>
    </row>
    <row r="12" spans="2:10" x14ac:dyDescent="0.2">
      <c r="B12" s="103"/>
      <c r="C12" s="103">
        <v>41288</v>
      </c>
      <c r="D12" s="104"/>
      <c r="E12" s="104"/>
      <c r="F12" s="105"/>
      <c r="G12" s="110"/>
      <c r="H12" s="93">
        <v>2000</v>
      </c>
      <c r="I12" s="93"/>
      <c r="J12" s="93">
        <f t="shared" si="0"/>
        <v>26480.92</v>
      </c>
    </row>
    <row r="13" spans="2:10" x14ac:dyDescent="0.2">
      <c r="B13" s="103"/>
      <c r="C13" s="103">
        <v>41288</v>
      </c>
      <c r="D13" s="104"/>
      <c r="E13" s="104"/>
      <c r="F13" s="105"/>
      <c r="G13" s="110"/>
      <c r="H13" s="93">
        <v>2000</v>
      </c>
      <c r="I13" s="93"/>
      <c r="J13" s="93">
        <f t="shared" si="0"/>
        <v>28480.92</v>
      </c>
    </row>
    <row r="14" spans="2:10" x14ac:dyDescent="0.2">
      <c r="B14" s="103"/>
      <c r="C14" s="103">
        <v>41291</v>
      </c>
      <c r="D14" s="104">
        <v>40</v>
      </c>
      <c r="E14" s="108" t="s">
        <v>1539</v>
      </c>
      <c r="F14" s="105" t="s">
        <v>1540</v>
      </c>
      <c r="G14" s="110"/>
      <c r="H14" s="93"/>
      <c r="I14" s="93">
        <v>20000</v>
      </c>
      <c r="J14" s="93">
        <f t="shared" si="0"/>
        <v>8480.9199999999983</v>
      </c>
    </row>
    <row r="15" spans="2:10" x14ac:dyDescent="0.2">
      <c r="B15" s="103"/>
      <c r="C15" s="103">
        <v>41291</v>
      </c>
      <c r="D15" s="104"/>
      <c r="E15" s="104"/>
      <c r="F15" s="105"/>
      <c r="G15" s="110"/>
      <c r="H15" s="93">
        <v>1500</v>
      </c>
      <c r="I15" s="93"/>
      <c r="J15" s="93">
        <f t="shared" si="0"/>
        <v>9980.9199999999983</v>
      </c>
    </row>
    <row r="16" spans="2:10" x14ac:dyDescent="0.2">
      <c r="B16" s="103"/>
      <c r="C16" s="103">
        <v>41291</v>
      </c>
      <c r="D16" s="104"/>
      <c r="E16" s="104"/>
      <c r="F16" s="105"/>
      <c r="G16" s="110"/>
      <c r="H16" s="93">
        <v>3300</v>
      </c>
      <c r="I16" s="93"/>
      <c r="J16" s="93">
        <f t="shared" si="0"/>
        <v>13280.919999999998</v>
      </c>
    </row>
    <row r="17" spans="2:12" x14ac:dyDescent="0.2">
      <c r="B17" s="103"/>
      <c r="C17" s="103">
        <v>41291</v>
      </c>
      <c r="D17" s="111"/>
      <c r="E17" s="108" t="s">
        <v>805</v>
      </c>
      <c r="F17" s="105"/>
      <c r="G17" s="106" t="s">
        <v>806</v>
      </c>
      <c r="H17" s="93">
        <v>10000</v>
      </c>
      <c r="I17" s="93"/>
      <c r="J17" s="93">
        <f t="shared" si="0"/>
        <v>23280.92</v>
      </c>
    </row>
    <row r="18" spans="2:12" x14ac:dyDescent="0.2">
      <c r="B18" s="103"/>
      <c r="C18" s="103">
        <v>41302</v>
      </c>
      <c r="D18" s="104"/>
      <c r="E18" s="104"/>
      <c r="F18" s="105"/>
      <c r="G18" s="110"/>
      <c r="H18" s="93">
        <v>15000</v>
      </c>
      <c r="I18" s="93"/>
      <c r="J18" s="93">
        <f t="shared" si="0"/>
        <v>38280.92</v>
      </c>
    </row>
    <row r="19" spans="2:12" x14ac:dyDescent="0.2">
      <c r="B19" s="103"/>
      <c r="C19" s="103">
        <v>41302</v>
      </c>
      <c r="D19" s="104"/>
      <c r="E19" s="104"/>
      <c r="F19" s="105"/>
      <c r="G19" s="110"/>
      <c r="H19" s="93">
        <v>600</v>
      </c>
      <c r="I19" s="93"/>
      <c r="J19" s="93">
        <f t="shared" si="0"/>
        <v>38880.92</v>
      </c>
    </row>
    <row r="20" spans="2:12" x14ac:dyDescent="0.2">
      <c r="B20" s="103"/>
      <c r="C20" s="103">
        <v>41303</v>
      </c>
      <c r="D20" s="104">
        <v>41</v>
      </c>
      <c r="E20" s="108" t="s">
        <v>1539</v>
      </c>
      <c r="F20" s="105" t="s">
        <v>1540</v>
      </c>
      <c r="G20" s="110"/>
      <c r="H20" s="93"/>
      <c r="I20" s="93">
        <v>13000</v>
      </c>
      <c r="J20" s="93">
        <f t="shared" si="0"/>
        <v>25880.92</v>
      </c>
    </row>
    <row r="21" spans="2:12" x14ac:dyDescent="0.2">
      <c r="B21" s="103"/>
      <c r="C21" s="103">
        <v>41305</v>
      </c>
      <c r="D21" s="104"/>
      <c r="E21" s="104"/>
      <c r="F21" s="105" t="s">
        <v>1541</v>
      </c>
      <c r="G21" s="106" t="s">
        <v>1537</v>
      </c>
      <c r="H21" s="93"/>
      <c r="I21" s="93">
        <v>12</v>
      </c>
      <c r="J21" s="93">
        <f t="shared" si="0"/>
        <v>25868.92</v>
      </c>
    </row>
    <row r="22" spans="2:12" x14ac:dyDescent="0.2">
      <c r="B22" s="103"/>
      <c r="C22" s="103">
        <v>41305</v>
      </c>
      <c r="D22" s="104"/>
      <c r="E22" s="104"/>
      <c r="F22" s="105" t="s">
        <v>1542</v>
      </c>
      <c r="G22" s="106" t="s">
        <v>1543</v>
      </c>
      <c r="H22" s="93"/>
      <c r="I22" s="93">
        <v>1.92</v>
      </c>
      <c r="J22" s="93">
        <f t="shared" si="0"/>
        <v>25867</v>
      </c>
      <c r="L22" s="112"/>
    </row>
    <row r="23" spans="2:12" ht="25.5" x14ac:dyDescent="0.2">
      <c r="B23" s="94" t="s">
        <v>1525</v>
      </c>
      <c r="C23" s="94" t="s">
        <v>1526</v>
      </c>
      <c r="D23" s="95" t="s">
        <v>1527</v>
      </c>
      <c r="E23" s="95"/>
      <c r="F23" s="52" t="s">
        <v>1529</v>
      </c>
      <c r="G23" s="3" t="s">
        <v>3</v>
      </c>
      <c r="H23" s="96" t="s">
        <v>1530</v>
      </c>
      <c r="I23" s="96" t="s">
        <v>1531</v>
      </c>
      <c r="J23" s="96" t="s">
        <v>1532</v>
      </c>
    </row>
    <row r="24" spans="2:12" x14ac:dyDescent="0.2">
      <c r="B24" s="103"/>
      <c r="C24" s="103">
        <v>41310</v>
      </c>
      <c r="D24" s="104"/>
      <c r="E24" s="104"/>
      <c r="F24" s="105"/>
      <c r="G24" s="110"/>
      <c r="H24" s="93">
        <v>4000</v>
      </c>
      <c r="I24" s="93"/>
      <c r="J24" s="93">
        <f>J22+H24-I24</f>
        <v>29867</v>
      </c>
    </row>
    <row r="25" spans="2:12" x14ac:dyDescent="0.2">
      <c r="B25" s="103"/>
      <c r="C25" s="103">
        <v>41310</v>
      </c>
      <c r="D25" s="104"/>
      <c r="E25" s="104"/>
      <c r="F25" s="105"/>
      <c r="G25" s="110"/>
      <c r="H25" s="93">
        <v>1200</v>
      </c>
      <c r="I25" s="93"/>
      <c r="J25" s="93">
        <f t="shared" ref="J25:J39" si="1">J24+H25-I25</f>
        <v>31067</v>
      </c>
    </row>
    <row r="26" spans="2:12" x14ac:dyDescent="0.2">
      <c r="B26" s="103"/>
      <c r="C26" s="103">
        <v>41310</v>
      </c>
      <c r="D26" s="104"/>
      <c r="E26" s="104"/>
      <c r="F26" s="105"/>
      <c r="G26" s="110"/>
      <c r="H26" s="93">
        <v>600</v>
      </c>
      <c r="I26" s="93"/>
      <c r="J26" s="93">
        <f t="shared" si="1"/>
        <v>31667</v>
      </c>
    </row>
    <row r="27" spans="2:12" x14ac:dyDescent="0.2">
      <c r="B27" s="103"/>
      <c r="C27" s="103">
        <v>41313</v>
      </c>
      <c r="D27" s="104">
        <v>42</v>
      </c>
      <c r="E27" s="108" t="s">
        <v>1539</v>
      </c>
      <c r="F27" s="105" t="s">
        <v>1540</v>
      </c>
      <c r="G27" s="110"/>
      <c r="H27" s="93"/>
      <c r="I27" s="93">
        <v>15000</v>
      </c>
      <c r="J27" s="93">
        <f t="shared" si="1"/>
        <v>16667</v>
      </c>
    </row>
    <row r="28" spans="2:12" x14ac:dyDescent="0.2">
      <c r="B28" s="103"/>
      <c r="C28" s="103">
        <v>41313</v>
      </c>
      <c r="D28" s="104"/>
      <c r="E28" s="108" t="s">
        <v>430</v>
      </c>
      <c r="F28" s="105" t="s">
        <v>1535</v>
      </c>
      <c r="G28" s="106" t="s">
        <v>428</v>
      </c>
      <c r="H28" s="93">
        <v>600</v>
      </c>
      <c r="I28" s="93"/>
      <c r="J28" s="93">
        <f t="shared" si="1"/>
        <v>17267</v>
      </c>
    </row>
    <row r="29" spans="2:12" x14ac:dyDescent="0.2">
      <c r="B29" s="103"/>
      <c r="C29" s="103">
        <v>41313</v>
      </c>
      <c r="D29" s="104"/>
      <c r="E29" s="108" t="s">
        <v>430</v>
      </c>
      <c r="F29" s="105" t="s">
        <v>1536</v>
      </c>
      <c r="G29" s="106" t="s">
        <v>1537</v>
      </c>
      <c r="H29" s="93">
        <v>0.2</v>
      </c>
      <c r="I29" s="93"/>
      <c r="J29" s="93">
        <f t="shared" si="1"/>
        <v>17267.2</v>
      </c>
    </row>
    <row r="30" spans="2:12" x14ac:dyDescent="0.2">
      <c r="B30" s="103"/>
      <c r="C30" s="103">
        <v>41313</v>
      </c>
      <c r="D30" s="104"/>
      <c r="E30" s="108" t="s">
        <v>1538</v>
      </c>
      <c r="F30" s="105" t="s">
        <v>1535</v>
      </c>
      <c r="G30" s="106" t="s">
        <v>208</v>
      </c>
      <c r="H30" s="93">
        <v>300</v>
      </c>
      <c r="I30" s="93"/>
      <c r="J30" s="93">
        <f t="shared" si="1"/>
        <v>17567.2</v>
      </c>
    </row>
    <row r="31" spans="2:12" x14ac:dyDescent="0.2">
      <c r="B31" s="103"/>
      <c r="C31" s="103">
        <v>41313</v>
      </c>
      <c r="D31" s="104"/>
      <c r="E31" s="108" t="s">
        <v>1538</v>
      </c>
      <c r="F31" s="105" t="s">
        <v>1536</v>
      </c>
      <c r="G31" s="106" t="s">
        <v>1537</v>
      </c>
      <c r="H31" s="93">
        <v>0.28999999999999998</v>
      </c>
      <c r="I31" s="93"/>
      <c r="J31" s="93">
        <f t="shared" si="1"/>
        <v>17567.490000000002</v>
      </c>
    </row>
    <row r="32" spans="2:12" x14ac:dyDescent="0.2">
      <c r="B32" s="103"/>
      <c r="C32" s="107">
        <v>41318</v>
      </c>
      <c r="D32" s="104"/>
      <c r="E32" s="108" t="s">
        <v>1534</v>
      </c>
      <c r="F32" s="105" t="s">
        <v>1535</v>
      </c>
      <c r="G32" s="106" t="s">
        <v>211</v>
      </c>
      <c r="H32" s="93">
        <v>300</v>
      </c>
      <c r="I32" s="93"/>
      <c r="J32" s="93">
        <f t="shared" si="1"/>
        <v>17867.490000000002</v>
      </c>
    </row>
    <row r="33" spans="2:12" x14ac:dyDescent="0.2">
      <c r="B33" s="103"/>
      <c r="C33" s="103">
        <v>41318</v>
      </c>
      <c r="D33" s="104"/>
      <c r="E33" s="108" t="s">
        <v>1534</v>
      </c>
      <c r="F33" s="105" t="s">
        <v>1536</v>
      </c>
      <c r="G33" s="106" t="s">
        <v>1537</v>
      </c>
      <c r="H33" s="93">
        <v>0.46</v>
      </c>
      <c r="I33" s="93"/>
      <c r="J33" s="93">
        <f t="shared" si="1"/>
        <v>17867.95</v>
      </c>
    </row>
    <row r="34" spans="2:12" x14ac:dyDescent="0.2">
      <c r="B34" s="103"/>
      <c r="C34" s="103">
        <v>41319</v>
      </c>
      <c r="D34" s="104"/>
      <c r="E34" s="104"/>
      <c r="F34" s="105"/>
      <c r="G34" s="110"/>
      <c r="H34" s="93">
        <v>3300.28</v>
      </c>
      <c r="I34" s="93"/>
      <c r="J34" s="93">
        <f t="shared" si="1"/>
        <v>21168.23</v>
      </c>
    </row>
    <row r="35" spans="2:12" x14ac:dyDescent="0.2">
      <c r="B35" s="103"/>
      <c r="C35" s="103">
        <v>41320</v>
      </c>
      <c r="D35" s="111"/>
      <c r="E35" s="108" t="s">
        <v>805</v>
      </c>
      <c r="F35" s="105"/>
      <c r="G35" s="106" t="s">
        <v>806</v>
      </c>
      <c r="H35" s="93">
        <v>10000</v>
      </c>
      <c r="I35" s="93"/>
      <c r="J35" s="93">
        <f t="shared" si="1"/>
        <v>31168.23</v>
      </c>
    </row>
    <row r="36" spans="2:12" x14ac:dyDescent="0.2">
      <c r="B36" s="103"/>
      <c r="C36" s="103">
        <v>41331</v>
      </c>
      <c r="D36" s="104">
        <v>43</v>
      </c>
      <c r="E36" s="108" t="s">
        <v>1539</v>
      </c>
      <c r="F36" s="105" t="s">
        <v>1540</v>
      </c>
      <c r="G36" s="110"/>
      <c r="H36" s="93"/>
      <c r="I36" s="93">
        <v>6000</v>
      </c>
      <c r="J36" s="93">
        <f t="shared" si="1"/>
        <v>25168.23</v>
      </c>
    </row>
    <row r="37" spans="2:12" x14ac:dyDescent="0.2">
      <c r="B37" s="103"/>
      <c r="C37" s="103">
        <v>41332</v>
      </c>
      <c r="D37" s="104">
        <v>44</v>
      </c>
      <c r="E37" s="108" t="s">
        <v>1544</v>
      </c>
      <c r="F37" s="105" t="s">
        <v>1545</v>
      </c>
      <c r="G37" s="106" t="s">
        <v>1546</v>
      </c>
      <c r="H37" s="93"/>
      <c r="I37" s="93">
        <v>4000</v>
      </c>
      <c r="J37" s="93">
        <f t="shared" si="1"/>
        <v>21168.23</v>
      </c>
    </row>
    <row r="38" spans="2:12" x14ac:dyDescent="0.2">
      <c r="B38" s="103"/>
      <c r="C38" s="103">
        <v>41333</v>
      </c>
      <c r="D38" s="104"/>
      <c r="E38" s="104"/>
      <c r="F38" s="105" t="s">
        <v>1541</v>
      </c>
      <c r="G38" s="106" t="s">
        <v>1537</v>
      </c>
      <c r="H38" s="93"/>
      <c r="I38" s="93">
        <v>24</v>
      </c>
      <c r="J38" s="93">
        <f t="shared" si="1"/>
        <v>21144.23</v>
      </c>
    </row>
    <row r="39" spans="2:12" x14ac:dyDescent="0.2">
      <c r="B39" s="103"/>
      <c r="C39" s="103">
        <v>41333</v>
      </c>
      <c r="D39" s="104"/>
      <c r="E39" s="104"/>
      <c r="F39" s="105" t="s">
        <v>1542</v>
      </c>
      <c r="G39" s="106" t="s">
        <v>1543</v>
      </c>
      <c r="H39" s="93"/>
      <c r="I39" s="93">
        <v>3.84</v>
      </c>
      <c r="J39" s="93">
        <f t="shared" si="1"/>
        <v>21140.39</v>
      </c>
      <c r="L39" s="112"/>
    </row>
    <row r="40" spans="2:12" ht="25.5" x14ac:dyDescent="0.2">
      <c r="B40" s="94" t="s">
        <v>1525</v>
      </c>
      <c r="C40" s="94" t="s">
        <v>1526</v>
      </c>
      <c r="D40" s="95" t="s">
        <v>1527</v>
      </c>
      <c r="E40" s="95"/>
      <c r="F40" s="52" t="s">
        <v>1529</v>
      </c>
      <c r="G40" s="3" t="s">
        <v>3</v>
      </c>
      <c r="H40" s="96" t="s">
        <v>1530</v>
      </c>
      <c r="I40" s="96" t="s">
        <v>1531</v>
      </c>
      <c r="J40" s="96" t="s">
        <v>1532</v>
      </c>
    </row>
    <row r="41" spans="2:12" x14ac:dyDescent="0.2">
      <c r="B41" s="103"/>
      <c r="C41" s="107">
        <v>41334</v>
      </c>
      <c r="D41" s="104"/>
      <c r="E41" s="108" t="s">
        <v>1547</v>
      </c>
      <c r="F41" s="105" t="s">
        <v>1535</v>
      </c>
      <c r="G41" s="106" t="s">
        <v>571</v>
      </c>
      <c r="H41" s="93">
        <v>300</v>
      </c>
      <c r="I41" s="93"/>
      <c r="J41" s="93">
        <f>J39+H41-I41</f>
        <v>21440.39</v>
      </c>
    </row>
    <row r="42" spans="2:12" x14ac:dyDescent="0.2">
      <c r="B42" s="103"/>
      <c r="C42" s="103">
        <v>41334</v>
      </c>
      <c r="D42" s="104"/>
      <c r="E42" s="108" t="s">
        <v>1547</v>
      </c>
      <c r="F42" s="105" t="s">
        <v>1536</v>
      </c>
      <c r="G42" s="106" t="s">
        <v>1537</v>
      </c>
      <c r="H42" s="93">
        <v>0.15</v>
      </c>
      <c r="I42" s="93"/>
      <c r="J42" s="93">
        <f t="shared" ref="J42:J51" si="2">J41+H42-I42</f>
        <v>21440.54</v>
      </c>
    </row>
    <row r="43" spans="2:12" x14ac:dyDescent="0.2">
      <c r="B43" s="103"/>
      <c r="C43" s="103">
        <v>41338</v>
      </c>
      <c r="D43" s="104"/>
      <c r="E43" s="108" t="s">
        <v>430</v>
      </c>
      <c r="F43" s="105" t="s">
        <v>1535</v>
      </c>
      <c r="G43" s="106" t="s">
        <v>428</v>
      </c>
      <c r="H43" s="93">
        <v>300</v>
      </c>
      <c r="I43" s="93"/>
      <c r="J43" s="93">
        <f t="shared" si="2"/>
        <v>21740.54</v>
      </c>
    </row>
    <row r="44" spans="2:12" x14ac:dyDescent="0.2">
      <c r="B44" s="103"/>
      <c r="C44" s="103">
        <v>41338</v>
      </c>
      <c r="D44" s="104"/>
      <c r="E44" s="108" t="s">
        <v>430</v>
      </c>
      <c r="F44" s="105" t="s">
        <v>1536</v>
      </c>
      <c r="G44" s="106" t="s">
        <v>1537</v>
      </c>
      <c r="H44" s="93">
        <v>0.1</v>
      </c>
      <c r="I44" s="93"/>
      <c r="J44" s="93">
        <f t="shared" si="2"/>
        <v>21740.639999999999</v>
      </c>
    </row>
    <row r="45" spans="2:12" x14ac:dyDescent="0.2">
      <c r="B45" s="103"/>
      <c r="C45" s="103">
        <v>41340</v>
      </c>
      <c r="D45" s="104"/>
      <c r="E45" s="104"/>
      <c r="F45" s="105" t="s">
        <v>1548</v>
      </c>
      <c r="G45" s="106" t="s">
        <v>1537</v>
      </c>
      <c r="H45" s="93"/>
      <c r="I45" s="93">
        <v>30</v>
      </c>
      <c r="J45" s="93">
        <f t="shared" si="2"/>
        <v>21710.639999999999</v>
      </c>
    </row>
    <row r="46" spans="2:12" x14ac:dyDescent="0.2">
      <c r="B46" s="103"/>
      <c r="C46" s="103">
        <v>41340</v>
      </c>
      <c r="D46" s="104"/>
      <c r="E46" s="104"/>
      <c r="F46" s="105" t="s">
        <v>1542</v>
      </c>
      <c r="G46" s="106" t="s">
        <v>1543</v>
      </c>
      <c r="H46" s="93"/>
      <c r="I46" s="93">
        <v>4.8</v>
      </c>
      <c r="J46" s="93">
        <f t="shared" si="2"/>
        <v>21705.84</v>
      </c>
    </row>
    <row r="47" spans="2:12" x14ac:dyDescent="0.2">
      <c r="B47" s="103"/>
      <c r="C47" s="103">
        <v>41344</v>
      </c>
      <c r="D47" s="104"/>
      <c r="E47" s="108" t="s">
        <v>1538</v>
      </c>
      <c r="F47" s="105" t="s">
        <v>1535</v>
      </c>
      <c r="G47" s="106" t="s">
        <v>208</v>
      </c>
      <c r="H47" s="93">
        <v>300</v>
      </c>
      <c r="I47" s="93"/>
      <c r="J47" s="93">
        <f t="shared" si="2"/>
        <v>22005.84</v>
      </c>
    </row>
    <row r="48" spans="2:12" x14ac:dyDescent="0.2">
      <c r="B48" s="103"/>
      <c r="C48" s="103">
        <v>41344</v>
      </c>
      <c r="D48" s="104"/>
      <c r="E48" s="108" t="s">
        <v>1538</v>
      </c>
      <c r="F48" s="105" t="s">
        <v>1536</v>
      </c>
      <c r="G48" s="106" t="s">
        <v>1537</v>
      </c>
      <c r="H48" s="93">
        <v>0.28999999999999998</v>
      </c>
      <c r="I48" s="93"/>
      <c r="J48" s="93">
        <f t="shared" si="2"/>
        <v>22006.13</v>
      </c>
    </row>
    <row r="49" spans="2:12" x14ac:dyDescent="0.2">
      <c r="B49" s="103"/>
      <c r="C49" s="107">
        <v>41349</v>
      </c>
      <c r="D49" s="104"/>
      <c r="E49" s="108" t="s">
        <v>1534</v>
      </c>
      <c r="F49" s="105" t="s">
        <v>1535</v>
      </c>
      <c r="G49" s="106" t="s">
        <v>211</v>
      </c>
      <c r="H49" s="93">
        <v>300</v>
      </c>
      <c r="I49" s="93"/>
      <c r="J49" s="93">
        <f t="shared" si="2"/>
        <v>22306.13</v>
      </c>
    </row>
    <row r="50" spans="2:12" x14ac:dyDescent="0.2">
      <c r="B50" s="103"/>
      <c r="C50" s="103">
        <v>41349</v>
      </c>
      <c r="D50" s="104"/>
      <c r="E50" s="108" t="s">
        <v>1534</v>
      </c>
      <c r="F50" s="105" t="s">
        <v>1536</v>
      </c>
      <c r="G50" s="106" t="s">
        <v>1537</v>
      </c>
      <c r="H50" s="93">
        <v>0.46</v>
      </c>
      <c r="I50" s="93"/>
      <c r="J50" s="93">
        <f t="shared" si="2"/>
        <v>22306.59</v>
      </c>
    </row>
    <row r="51" spans="2:12" x14ac:dyDescent="0.2">
      <c r="B51" s="103"/>
      <c r="C51" s="103">
        <v>41354</v>
      </c>
      <c r="D51" s="111"/>
      <c r="E51" s="108" t="s">
        <v>805</v>
      </c>
      <c r="F51" s="105"/>
      <c r="G51" s="106" t="s">
        <v>806</v>
      </c>
      <c r="H51" s="93">
        <v>10000</v>
      </c>
      <c r="I51" s="93"/>
      <c r="J51" s="93">
        <f t="shared" si="2"/>
        <v>32306.59</v>
      </c>
      <c r="L51" s="112"/>
    </row>
    <row r="52" spans="2:12" ht="25.5" x14ac:dyDescent="0.2">
      <c r="B52" s="94" t="s">
        <v>1525</v>
      </c>
      <c r="C52" s="94" t="s">
        <v>1526</v>
      </c>
      <c r="D52" s="95" t="s">
        <v>1527</v>
      </c>
      <c r="E52" s="95"/>
      <c r="F52" s="52" t="s">
        <v>1529</v>
      </c>
      <c r="G52" s="3" t="s">
        <v>3</v>
      </c>
      <c r="H52" s="96" t="s">
        <v>1530</v>
      </c>
      <c r="I52" s="96" t="s">
        <v>1531</v>
      </c>
      <c r="J52" s="96" t="s">
        <v>1532</v>
      </c>
    </row>
    <row r="53" spans="2:12" x14ac:dyDescent="0.2">
      <c r="B53" s="103"/>
      <c r="C53" s="103">
        <v>41372</v>
      </c>
      <c r="D53" s="104"/>
      <c r="E53" s="108" t="s">
        <v>430</v>
      </c>
      <c r="F53" s="105" t="s">
        <v>1535</v>
      </c>
      <c r="G53" s="106" t="s">
        <v>428</v>
      </c>
      <c r="H53" s="93">
        <v>300</v>
      </c>
      <c r="I53" s="93"/>
      <c r="J53" s="93">
        <f>J51+H53-I53</f>
        <v>32606.59</v>
      </c>
    </row>
    <row r="54" spans="2:12" x14ac:dyDescent="0.2">
      <c r="B54" s="103"/>
      <c r="C54" s="103">
        <v>41372</v>
      </c>
      <c r="D54" s="104"/>
      <c r="E54" s="108" t="s">
        <v>430</v>
      </c>
      <c r="F54" s="105" t="s">
        <v>1536</v>
      </c>
      <c r="G54" s="106" t="s">
        <v>1537</v>
      </c>
      <c r="H54" s="93">
        <v>0.1</v>
      </c>
      <c r="I54" s="93"/>
      <c r="J54" s="93">
        <f t="shared" ref="J54:J60" si="3">J53+H54-I54</f>
        <v>32606.69</v>
      </c>
    </row>
    <row r="55" spans="2:12" x14ac:dyDescent="0.2">
      <c r="B55" s="103"/>
      <c r="C55" s="103">
        <v>41373</v>
      </c>
      <c r="D55" s="104"/>
      <c r="E55" s="108" t="s">
        <v>1538</v>
      </c>
      <c r="F55" s="105" t="s">
        <v>1535</v>
      </c>
      <c r="G55" s="106" t="s">
        <v>208</v>
      </c>
      <c r="H55" s="93">
        <v>300</v>
      </c>
      <c r="I55" s="93"/>
      <c r="J55" s="93">
        <f t="shared" si="3"/>
        <v>32906.69</v>
      </c>
    </row>
    <row r="56" spans="2:12" x14ac:dyDescent="0.2">
      <c r="B56" s="103"/>
      <c r="C56" s="103">
        <v>41373</v>
      </c>
      <c r="D56" s="104"/>
      <c r="E56" s="108" t="s">
        <v>1538</v>
      </c>
      <c r="F56" s="105" t="s">
        <v>1536</v>
      </c>
      <c r="G56" s="106" t="s">
        <v>1537</v>
      </c>
      <c r="H56" s="93">
        <v>0.28999999999999998</v>
      </c>
      <c r="I56" s="93"/>
      <c r="J56" s="93">
        <f t="shared" si="3"/>
        <v>32906.980000000003</v>
      </c>
    </row>
    <row r="57" spans="2:12" x14ac:dyDescent="0.2">
      <c r="B57" s="103"/>
      <c r="C57" s="107">
        <v>41390</v>
      </c>
      <c r="D57" s="104"/>
      <c r="E57" s="108" t="s">
        <v>1547</v>
      </c>
      <c r="F57" s="105" t="s">
        <v>1535</v>
      </c>
      <c r="G57" s="106" t="s">
        <v>571</v>
      </c>
      <c r="H57" s="93">
        <v>300</v>
      </c>
      <c r="I57" s="93"/>
      <c r="J57" s="93">
        <f t="shared" si="3"/>
        <v>33206.980000000003</v>
      </c>
    </row>
    <row r="58" spans="2:12" x14ac:dyDescent="0.2">
      <c r="B58" s="103"/>
      <c r="C58" s="103">
        <v>41390</v>
      </c>
      <c r="D58" s="104"/>
      <c r="E58" s="108" t="s">
        <v>1547</v>
      </c>
      <c r="F58" s="105" t="s">
        <v>1536</v>
      </c>
      <c r="G58" s="106" t="s">
        <v>1537</v>
      </c>
      <c r="H58" s="93">
        <v>0.15</v>
      </c>
      <c r="I58" s="93"/>
      <c r="J58" s="93">
        <f t="shared" si="3"/>
        <v>33207.130000000005</v>
      </c>
    </row>
    <row r="59" spans="2:12" x14ac:dyDescent="0.2">
      <c r="B59" s="103"/>
      <c r="C59" s="107">
        <v>41390</v>
      </c>
      <c r="D59" s="104"/>
      <c r="E59" s="108" t="s">
        <v>1534</v>
      </c>
      <c r="F59" s="105" t="s">
        <v>1535</v>
      </c>
      <c r="G59" s="106" t="s">
        <v>211</v>
      </c>
      <c r="H59" s="93">
        <v>300</v>
      </c>
      <c r="I59" s="93"/>
      <c r="J59" s="93">
        <f t="shared" si="3"/>
        <v>33507.130000000005</v>
      </c>
    </row>
    <row r="60" spans="2:12" x14ac:dyDescent="0.2">
      <c r="B60" s="113"/>
      <c r="C60" s="103">
        <v>41390</v>
      </c>
      <c r="D60" s="114"/>
      <c r="E60" s="108" t="s">
        <v>1534</v>
      </c>
      <c r="F60" s="105" t="s">
        <v>1536</v>
      </c>
      <c r="G60" s="106" t="s">
        <v>1537</v>
      </c>
      <c r="H60" s="115">
        <v>0.46</v>
      </c>
      <c r="I60" s="115"/>
      <c r="J60" s="115">
        <f t="shared" si="3"/>
        <v>33507.590000000004</v>
      </c>
      <c r="L60" s="112"/>
    </row>
    <row r="61" spans="2:12" ht="25.5" x14ac:dyDescent="0.2">
      <c r="B61" s="94" t="s">
        <v>1525</v>
      </c>
      <c r="C61" s="94" t="s">
        <v>1526</v>
      </c>
      <c r="D61" s="95" t="s">
        <v>1527</v>
      </c>
      <c r="E61" s="95"/>
      <c r="F61" s="52" t="s">
        <v>1529</v>
      </c>
      <c r="G61" s="3" t="s">
        <v>3</v>
      </c>
      <c r="H61" s="96" t="s">
        <v>1530</v>
      </c>
      <c r="I61" s="96" t="s">
        <v>1531</v>
      </c>
      <c r="J61" s="96" t="s">
        <v>1532</v>
      </c>
    </row>
    <row r="62" spans="2:12" x14ac:dyDescent="0.2">
      <c r="B62" s="103"/>
      <c r="C62" s="107">
        <v>41401</v>
      </c>
      <c r="D62" s="104"/>
      <c r="E62" s="108" t="s">
        <v>1534</v>
      </c>
      <c r="F62" s="105" t="s">
        <v>1535</v>
      </c>
      <c r="G62" s="106" t="s">
        <v>211</v>
      </c>
      <c r="H62" s="93">
        <v>300</v>
      </c>
      <c r="I62" s="93"/>
      <c r="J62" s="93">
        <f>J60+H62-I62</f>
        <v>33807.590000000004</v>
      </c>
    </row>
    <row r="63" spans="2:12" x14ac:dyDescent="0.2">
      <c r="B63" s="103"/>
      <c r="C63" s="103">
        <v>41401</v>
      </c>
      <c r="D63" s="104"/>
      <c r="E63" s="108" t="s">
        <v>1534</v>
      </c>
      <c r="F63" s="105" t="s">
        <v>1536</v>
      </c>
      <c r="G63" s="106" t="s">
        <v>1537</v>
      </c>
      <c r="H63" s="93">
        <v>0.46</v>
      </c>
      <c r="I63" s="93"/>
      <c r="J63" s="93">
        <f t="shared" ref="J63:J73" si="4">J62+H63-I63</f>
        <v>33808.050000000003</v>
      </c>
    </row>
    <row r="64" spans="2:12" x14ac:dyDescent="0.2">
      <c r="B64" s="103"/>
      <c r="C64" s="103">
        <v>41403</v>
      </c>
      <c r="D64" s="111"/>
      <c r="E64" s="108" t="s">
        <v>805</v>
      </c>
      <c r="F64" s="105"/>
      <c r="G64" s="106" t="s">
        <v>806</v>
      </c>
      <c r="H64" s="93">
        <v>10000</v>
      </c>
      <c r="I64" s="93"/>
      <c r="J64" s="93">
        <f t="shared" si="4"/>
        <v>43808.05</v>
      </c>
    </row>
    <row r="65" spans="2:12" x14ac:dyDescent="0.2">
      <c r="B65" s="103"/>
      <c r="C65" s="103">
        <v>41403</v>
      </c>
      <c r="D65" s="104"/>
      <c r="E65" s="108" t="s">
        <v>430</v>
      </c>
      <c r="F65" s="105" t="s">
        <v>1535</v>
      </c>
      <c r="G65" s="106" t="s">
        <v>428</v>
      </c>
      <c r="H65" s="93">
        <v>300</v>
      </c>
      <c r="I65" s="93"/>
      <c r="J65" s="93">
        <f t="shared" si="4"/>
        <v>44108.05</v>
      </c>
    </row>
    <row r="66" spans="2:12" x14ac:dyDescent="0.2">
      <c r="B66" s="103"/>
      <c r="C66" s="103">
        <v>41403</v>
      </c>
      <c r="D66" s="104"/>
      <c r="E66" s="108" t="s">
        <v>430</v>
      </c>
      <c r="F66" s="105" t="s">
        <v>1536</v>
      </c>
      <c r="G66" s="106" t="s">
        <v>1537</v>
      </c>
      <c r="H66" s="93">
        <v>0.1</v>
      </c>
      <c r="I66" s="93"/>
      <c r="J66" s="93">
        <f t="shared" si="4"/>
        <v>44108.15</v>
      </c>
    </row>
    <row r="67" spans="2:12" x14ac:dyDescent="0.2">
      <c r="B67" s="103"/>
      <c r="C67" s="103">
        <v>41409</v>
      </c>
      <c r="D67" s="104"/>
      <c r="E67" s="108" t="s">
        <v>1538</v>
      </c>
      <c r="F67" s="105" t="s">
        <v>1535</v>
      </c>
      <c r="G67" s="106" t="s">
        <v>208</v>
      </c>
      <c r="H67" s="93">
        <v>300</v>
      </c>
      <c r="I67" s="93"/>
      <c r="J67" s="93">
        <f t="shared" si="4"/>
        <v>44408.15</v>
      </c>
    </row>
    <row r="68" spans="2:12" x14ac:dyDescent="0.2">
      <c r="B68" s="103"/>
      <c r="C68" s="103">
        <v>41409</v>
      </c>
      <c r="D68" s="104"/>
      <c r="E68" s="108" t="s">
        <v>1538</v>
      </c>
      <c r="F68" s="105" t="s">
        <v>1536</v>
      </c>
      <c r="G68" s="106" t="s">
        <v>1537</v>
      </c>
      <c r="H68" s="93">
        <v>0.28999999999999998</v>
      </c>
      <c r="I68" s="93"/>
      <c r="J68" s="93">
        <f t="shared" si="4"/>
        <v>44408.44</v>
      </c>
    </row>
    <row r="69" spans="2:12" x14ac:dyDescent="0.2">
      <c r="B69" s="103"/>
      <c r="C69" s="103">
        <v>41418</v>
      </c>
      <c r="D69" s="104">
        <v>46</v>
      </c>
      <c r="E69" s="108" t="s">
        <v>1549</v>
      </c>
      <c r="F69" s="105" t="s">
        <v>1550</v>
      </c>
      <c r="G69" s="110"/>
      <c r="H69" s="93"/>
      <c r="I69" s="93">
        <v>10000</v>
      </c>
      <c r="J69" s="116">
        <f t="shared" si="4"/>
        <v>34408.44</v>
      </c>
    </row>
    <row r="70" spans="2:12" x14ac:dyDescent="0.2">
      <c r="B70" s="103"/>
      <c r="C70" s="103">
        <v>41422</v>
      </c>
      <c r="D70" s="104">
        <v>45</v>
      </c>
      <c r="E70" s="108" t="s">
        <v>1539</v>
      </c>
      <c r="F70" s="105" t="s">
        <v>1540</v>
      </c>
      <c r="G70" s="110" t="s">
        <v>1551</v>
      </c>
      <c r="H70" s="93"/>
      <c r="I70" s="93">
        <v>20000</v>
      </c>
      <c r="J70" s="93">
        <f t="shared" si="4"/>
        <v>14408.440000000002</v>
      </c>
    </row>
    <row r="71" spans="2:12" x14ac:dyDescent="0.2">
      <c r="B71" s="103"/>
      <c r="C71" s="103">
        <v>41423</v>
      </c>
      <c r="D71" s="111"/>
      <c r="E71" s="108" t="s">
        <v>805</v>
      </c>
      <c r="F71" s="105"/>
      <c r="G71" s="106" t="s">
        <v>806</v>
      </c>
      <c r="H71" s="93">
        <v>10000</v>
      </c>
      <c r="I71" s="93"/>
      <c r="J71" s="93">
        <f t="shared" si="4"/>
        <v>24408.440000000002</v>
      </c>
    </row>
    <row r="72" spans="2:12" x14ac:dyDescent="0.2">
      <c r="B72" s="103"/>
      <c r="C72" s="103">
        <v>41425</v>
      </c>
      <c r="D72" s="104"/>
      <c r="E72" s="104"/>
      <c r="F72" s="105" t="s">
        <v>1541</v>
      </c>
      <c r="G72" s="106" t="s">
        <v>1537</v>
      </c>
      <c r="H72" s="93"/>
      <c r="I72" s="93">
        <v>16</v>
      </c>
      <c r="J72" s="93">
        <f t="shared" si="4"/>
        <v>24392.440000000002</v>
      </c>
    </row>
    <row r="73" spans="2:12" x14ac:dyDescent="0.2">
      <c r="B73" s="103"/>
      <c r="C73" s="103">
        <v>41425</v>
      </c>
      <c r="D73" s="104"/>
      <c r="E73" s="104"/>
      <c r="F73" s="105" t="s">
        <v>1542</v>
      </c>
      <c r="G73" s="106" t="s">
        <v>1543</v>
      </c>
      <c r="H73" s="93"/>
      <c r="I73" s="93">
        <v>2.56</v>
      </c>
      <c r="J73" s="93">
        <f t="shared" si="4"/>
        <v>24389.88</v>
      </c>
      <c r="L73" s="112"/>
    </row>
    <row r="74" spans="2:12" ht="25.5" x14ac:dyDescent="0.2">
      <c r="B74" s="94" t="s">
        <v>1525</v>
      </c>
      <c r="C74" s="94" t="s">
        <v>1526</v>
      </c>
      <c r="D74" s="95" t="s">
        <v>1527</v>
      </c>
      <c r="E74" s="95"/>
      <c r="F74" s="52" t="s">
        <v>1529</v>
      </c>
      <c r="G74" s="3" t="s">
        <v>3</v>
      </c>
      <c r="H74" s="96" t="s">
        <v>1530</v>
      </c>
      <c r="I74" s="96" t="s">
        <v>1531</v>
      </c>
      <c r="J74" s="96" t="s">
        <v>1532</v>
      </c>
    </row>
    <row r="75" spans="2:12" ht="14.25" x14ac:dyDescent="0.2">
      <c r="B75" s="103"/>
      <c r="C75" s="103">
        <v>41428</v>
      </c>
      <c r="D75" s="104">
        <v>47</v>
      </c>
      <c r="E75" s="108" t="s">
        <v>1539</v>
      </c>
      <c r="F75" s="105" t="s">
        <v>1552</v>
      </c>
      <c r="G75" s="110" t="s">
        <v>1551</v>
      </c>
      <c r="H75" s="93"/>
      <c r="I75" s="93">
        <v>12000</v>
      </c>
      <c r="J75" s="93">
        <f>J73+H75-I75</f>
        <v>12389.880000000001</v>
      </c>
    </row>
    <row r="76" spans="2:12" x14ac:dyDescent="0.2">
      <c r="B76" s="103"/>
      <c r="C76" s="103">
        <v>41432</v>
      </c>
      <c r="D76" s="104"/>
      <c r="E76" s="108" t="s">
        <v>1538</v>
      </c>
      <c r="F76" s="105" t="s">
        <v>1535</v>
      </c>
      <c r="G76" s="106" t="s">
        <v>208</v>
      </c>
      <c r="H76" s="93">
        <v>300</v>
      </c>
      <c r="I76" s="93"/>
      <c r="J76" s="93">
        <f t="shared" ref="J76:J82" si="5">J75+H76-I76</f>
        <v>12689.880000000001</v>
      </c>
    </row>
    <row r="77" spans="2:12" x14ac:dyDescent="0.2">
      <c r="B77" s="103"/>
      <c r="C77" s="103">
        <v>41432</v>
      </c>
      <c r="D77" s="104"/>
      <c r="E77" s="108" t="s">
        <v>1538</v>
      </c>
      <c r="F77" s="105" t="s">
        <v>1536</v>
      </c>
      <c r="G77" s="106" t="s">
        <v>1537</v>
      </c>
      <c r="H77" s="93">
        <v>0.28999999999999998</v>
      </c>
      <c r="I77" s="93"/>
      <c r="J77" s="93">
        <f t="shared" si="5"/>
        <v>12690.170000000002</v>
      </c>
    </row>
    <row r="78" spans="2:12" x14ac:dyDescent="0.2">
      <c r="B78" s="103"/>
      <c r="C78" s="107">
        <v>41439</v>
      </c>
      <c r="D78" s="104"/>
      <c r="E78" s="108" t="s">
        <v>1534</v>
      </c>
      <c r="F78" s="105" t="s">
        <v>1535</v>
      </c>
      <c r="G78" s="106" t="s">
        <v>211</v>
      </c>
      <c r="H78" s="93">
        <v>300</v>
      </c>
      <c r="I78" s="93"/>
      <c r="J78" s="93">
        <f t="shared" si="5"/>
        <v>12990.170000000002</v>
      </c>
    </row>
    <row r="79" spans="2:12" x14ac:dyDescent="0.2">
      <c r="B79" s="103"/>
      <c r="C79" s="103">
        <v>41439</v>
      </c>
      <c r="D79" s="104"/>
      <c r="E79" s="108" t="s">
        <v>1534</v>
      </c>
      <c r="F79" s="105" t="s">
        <v>1536</v>
      </c>
      <c r="G79" s="106" t="s">
        <v>1537</v>
      </c>
      <c r="H79" s="93">
        <v>0.46</v>
      </c>
      <c r="I79" s="93"/>
      <c r="J79" s="93">
        <f t="shared" si="5"/>
        <v>12990.630000000001</v>
      </c>
    </row>
    <row r="80" spans="2:12" x14ac:dyDescent="0.2">
      <c r="B80" s="103"/>
      <c r="C80" s="103">
        <v>41449</v>
      </c>
      <c r="D80" s="111"/>
      <c r="E80" s="108" t="s">
        <v>805</v>
      </c>
      <c r="F80" s="105"/>
      <c r="G80" s="106" t="s">
        <v>806</v>
      </c>
      <c r="H80" s="93">
        <v>10000</v>
      </c>
      <c r="I80" s="93"/>
      <c r="J80" s="93">
        <f t="shared" si="5"/>
        <v>22990.63</v>
      </c>
    </row>
    <row r="81" spans="2:12" x14ac:dyDescent="0.2">
      <c r="B81" s="103"/>
      <c r="C81" s="103">
        <v>41453</v>
      </c>
      <c r="D81" s="104"/>
      <c r="E81" s="104"/>
      <c r="F81" s="105" t="s">
        <v>1541</v>
      </c>
      <c r="G81" s="106" t="s">
        <v>1537</v>
      </c>
      <c r="H81" s="93"/>
      <c r="I81" s="93">
        <v>8</v>
      </c>
      <c r="J81" s="93">
        <f t="shared" si="5"/>
        <v>22982.63</v>
      </c>
    </row>
    <row r="82" spans="2:12" x14ac:dyDescent="0.2">
      <c r="B82" s="103"/>
      <c r="C82" s="103">
        <v>41453</v>
      </c>
      <c r="D82" s="104"/>
      <c r="E82" s="104"/>
      <c r="F82" s="105" t="s">
        <v>1542</v>
      </c>
      <c r="G82" s="106" t="s">
        <v>1543</v>
      </c>
      <c r="H82" s="93"/>
      <c r="I82" s="93">
        <v>1.28</v>
      </c>
      <c r="J82" s="93">
        <f t="shared" si="5"/>
        <v>22981.350000000002</v>
      </c>
      <c r="L82" s="112"/>
    </row>
    <row r="83" spans="2:12" ht="25.5" x14ac:dyDescent="0.2">
      <c r="B83" s="94" t="s">
        <v>1525</v>
      </c>
      <c r="C83" s="94" t="s">
        <v>1526</v>
      </c>
      <c r="D83" s="95" t="s">
        <v>1527</v>
      </c>
      <c r="E83" s="95"/>
      <c r="F83" s="52" t="s">
        <v>1529</v>
      </c>
      <c r="G83" s="3" t="s">
        <v>3</v>
      </c>
      <c r="H83" s="96" t="s">
        <v>1530</v>
      </c>
      <c r="I83" s="96" t="s">
        <v>1531</v>
      </c>
      <c r="J83" s="96" t="s">
        <v>1532</v>
      </c>
    </row>
    <row r="84" spans="2:12" x14ac:dyDescent="0.2">
      <c r="B84" s="103"/>
      <c r="C84" s="103"/>
      <c r="D84" s="104"/>
      <c r="E84" s="104"/>
      <c r="F84" s="105"/>
      <c r="G84" s="110"/>
      <c r="H84" s="93"/>
      <c r="I84" s="93"/>
      <c r="J84" s="93">
        <f>J82+H84-I84</f>
        <v>22981.350000000002</v>
      </c>
    </row>
    <row r="85" spans="2:12" x14ac:dyDescent="0.2">
      <c r="B85" s="103"/>
      <c r="C85" s="107">
        <v>41458</v>
      </c>
      <c r="D85" s="104"/>
      <c r="E85" s="108" t="s">
        <v>1534</v>
      </c>
      <c r="F85" s="105" t="s">
        <v>1553</v>
      </c>
      <c r="G85" s="106" t="s">
        <v>211</v>
      </c>
      <c r="H85" s="93">
        <v>300</v>
      </c>
      <c r="I85" s="93"/>
      <c r="J85" s="93">
        <f t="shared" ref="J85:J90" si="6">J84+H85-I85</f>
        <v>23281.350000000002</v>
      </c>
    </row>
    <row r="86" spans="2:12" x14ac:dyDescent="0.2">
      <c r="B86" s="103"/>
      <c r="C86" s="103">
        <v>41458</v>
      </c>
      <c r="D86" s="104"/>
      <c r="E86" s="108" t="s">
        <v>1534</v>
      </c>
      <c r="F86" s="105" t="s">
        <v>1536</v>
      </c>
      <c r="G86" s="106" t="s">
        <v>1537</v>
      </c>
      <c r="H86" s="93">
        <v>0.46</v>
      </c>
      <c r="I86" s="93"/>
      <c r="J86" s="93">
        <f t="shared" si="6"/>
        <v>23281.81</v>
      </c>
    </row>
    <row r="87" spans="2:12" x14ac:dyDescent="0.2">
      <c r="B87" s="103"/>
      <c r="C87" s="103">
        <v>41472</v>
      </c>
      <c r="D87" s="104"/>
      <c r="E87" s="108"/>
      <c r="F87" s="105" t="s">
        <v>1554</v>
      </c>
      <c r="G87" s="110"/>
      <c r="H87" s="93">
        <v>1200</v>
      </c>
      <c r="I87" s="93"/>
      <c r="J87" s="93">
        <f t="shared" si="6"/>
        <v>24481.81</v>
      </c>
    </row>
    <row r="88" spans="2:12" x14ac:dyDescent="0.2">
      <c r="B88" s="103">
        <v>41474</v>
      </c>
      <c r="C88" s="103">
        <v>41474</v>
      </c>
      <c r="D88" s="111"/>
      <c r="E88" s="108" t="s">
        <v>805</v>
      </c>
      <c r="F88" s="105" t="s">
        <v>1555</v>
      </c>
      <c r="G88" s="106" t="s">
        <v>806</v>
      </c>
      <c r="H88" s="93">
        <v>10000</v>
      </c>
      <c r="I88" s="93"/>
      <c r="J88" s="93">
        <f t="shared" si="6"/>
        <v>34481.81</v>
      </c>
    </row>
    <row r="89" spans="2:12" x14ac:dyDescent="0.2">
      <c r="B89" s="103">
        <v>41474</v>
      </c>
      <c r="C89" s="107">
        <v>41474</v>
      </c>
      <c r="D89" s="104"/>
      <c r="E89" s="108" t="s">
        <v>1547</v>
      </c>
      <c r="F89" s="105" t="s">
        <v>1556</v>
      </c>
      <c r="G89" s="106" t="s">
        <v>571</v>
      </c>
      <c r="H89" s="93">
        <v>600</v>
      </c>
      <c r="I89" s="93"/>
      <c r="J89" s="93">
        <f t="shared" si="6"/>
        <v>35081.81</v>
      </c>
    </row>
    <row r="90" spans="2:12" x14ac:dyDescent="0.2">
      <c r="B90" s="103"/>
      <c r="C90" s="103">
        <v>41474</v>
      </c>
      <c r="D90" s="104"/>
      <c r="E90" s="108" t="s">
        <v>1547</v>
      </c>
      <c r="F90" s="105" t="s">
        <v>1536</v>
      </c>
      <c r="G90" s="106" t="s">
        <v>1537</v>
      </c>
      <c r="H90" s="93">
        <v>0.15</v>
      </c>
      <c r="I90" s="93"/>
      <c r="J90" s="93">
        <f t="shared" si="6"/>
        <v>35081.96</v>
      </c>
      <c r="L90" s="112"/>
    </row>
    <row r="91" spans="2:12" ht="25.5" x14ac:dyDescent="0.2">
      <c r="B91" s="94" t="s">
        <v>1525</v>
      </c>
      <c r="C91" s="94" t="s">
        <v>1526</v>
      </c>
      <c r="D91" s="95" t="s">
        <v>1527</v>
      </c>
      <c r="E91" s="95"/>
      <c r="F91" s="52" t="s">
        <v>1529</v>
      </c>
      <c r="G91" s="3" t="s">
        <v>3</v>
      </c>
      <c r="H91" s="96" t="s">
        <v>1530</v>
      </c>
      <c r="I91" s="96" t="s">
        <v>1531</v>
      </c>
      <c r="J91" s="96" t="s">
        <v>1532</v>
      </c>
    </row>
    <row r="92" spans="2:12" x14ac:dyDescent="0.2">
      <c r="B92" s="103"/>
      <c r="C92" s="107">
        <v>41492</v>
      </c>
      <c r="D92" s="104"/>
      <c r="E92" s="108" t="s">
        <v>1534</v>
      </c>
      <c r="F92" s="105" t="s">
        <v>1557</v>
      </c>
      <c r="G92" s="106" t="s">
        <v>211</v>
      </c>
      <c r="H92" s="93">
        <v>300</v>
      </c>
      <c r="I92" s="93"/>
      <c r="J92" s="93">
        <f>J90+H92-I92</f>
        <v>35381.96</v>
      </c>
    </row>
    <row r="93" spans="2:12" x14ac:dyDescent="0.2">
      <c r="B93" s="103"/>
      <c r="C93" s="103">
        <v>41492</v>
      </c>
      <c r="D93" s="104"/>
      <c r="E93" s="108" t="s">
        <v>1534</v>
      </c>
      <c r="F93" s="105" t="s">
        <v>1536</v>
      </c>
      <c r="G93" s="106" t="s">
        <v>1537</v>
      </c>
      <c r="H93" s="93">
        <v>0.46</v>
      </c>
      <c r="I93" s="93"/>
      <c r="J93" s="93">
        <f>J92+H93-I93</f>
        <v>35382.42</v>
      </c>
    </row>
    <row r="94" spans="2:12" x14ac:dyDescent="0.2">
      <c r="B94" s="103"/>
      <c r="C94" s="103">
        <v>41494</v>
      </c>
      <c r="D94" s="104"/>
      <c r="E94" s="108" t="s">
        <v>1538</v>
      </c>
      <c r="F94" s="105" t="s">
        <v>1557</v>
      </c>
      <c r="G94" s="106" t="s">
        <v>208</v>
      </c>
      <c r="H94" s="93">
        <v>300</v>
      </c>
      <c r="I94" s="93"/>
      <c r="J94" s="93">
        <f>J93+H94-I94</f>
        <v>35682.42</v>
      </c>
    </row>
    <row r="95" spans="2:12" x14ac:dyDescent="0.2">
      <c r="B95" s="103"/>
      <c r="C95" s="103">
        <v>41494</v>
      </c>
      <c r="D95" s="104"/>
      <c r="E95" s="108" t="s">
        <v>1538</v>
      </c>
      <c r="F95" s="105" t="s">
        <v>1536</v>
      </c>
      <c r="G95" s="106" t="s">
        <v>1537</v>
      </c>
      <c r="H95" s="93">
        <v>0.28999999999999998</v>
      </c>
      <c r="I95" s="93"/>
      <c r="J95" s="93">
        <f>J94+H95-I95</f>
        <v>35682.71</v>
      </c>
    </row>
    <row r="96" spans="2:12" x14ac:dyDescent="0.2">
      <c r="B96" s="103"/>
      <c r="C96" s="103">
        <v>41509</v>
      </c>
      <c r="D96" s="111"/>
      <c r="E96" s="108" t="s">
        <v>805</v>
      </c>
      <c r="F96" s="105" t="s">
        <v>1558</v>
      </c>
      <c r="G96" s="106" t="s">
        <v>806</v>
      </c>
      <c r="H96" s="93">
        <v>10000</v>
      </c>
      <c r="I96" s="93"/>
      <c r="J96" s="93">
        <f>J95+H96-I96</f>
        <v>45682.71</v>
      </c>
      <c r="L96" s="112"/>
    </row>
    <row r="97" spans="2:12" ht="25.5" x14ac:dyDescent="0.2">
      <c r="B97" s="94" t="s">
        <v>1525</v>
      </c>
      <c r="C97" s="94" t="s">
        <v>1526</v>
      </c>
      <c r="D97" s="95" t="s">
        <v>1527</v>
      </c>
      <c r="E97" s="95"/>
      <c r="F97" s="52" t="s">
        <v>1529</v>
      </c>
      <c r="G97" s="3" t="s">
        <v>3</v>
      </c>
      <c r="H97" s="96" t="s">
        <v>1530</v>
      </c>
      <c r="I97" s="96" t="s">
        <v>1531</v>
      </c>
      <c r="J97" s="96" t="s">
        <v>1532</v>
      </c>
    </row>
    <row r="98" spans="2:12" x14ac:dyDescent="0.2">
      <c r="B98" s="103"/>
      <c r="C98" s="103">
        <v>41519</v>
      </c>
      <c r="D98" s="104"/>
      <c r="E98" s="108"/>
      <c r="F98" s="105" t="s">
        <v>1541</v>
      </c>
      <c r="G98" s="106" t="s">
        <v>1537</v>
      </c>
      <c r="H98" s="93"/>
      <c r="I98" s="93">
        <v>30</v>
      </c>
      <c r="J98" s="93">
        <f>J96+H98-I98</f>
        <v>45652.71</v>
      </c>
    </row>
    <row r="99" spans="2:12" x14ac:dyDescent="0.2">
      <c r="B99" s="103"/>
      <c r="C99" s="103">
        <v>41519</v>
      </c>
      <c r="D99" s="104"/>
      <c r="E99" s="108"/>
      <c r="F99" s="105" t="s">
        <v>1542</v>
      </c>
      <c r="G99" s="106" t="s">
        <v>1543</v>
      </c>
      <c r="H99" s="93"/>
      <c r="I99" s="93">
        <v>4.8</v>
      </c>
      <c r="J99" s="93">
        <f t="shared" ref="J99:J106" si="7">J98+H99-I99</f>
        <v>45647.909999999996</v>
      </c>
    </row>
    <row r="100" spans="2:12" x14ac:dyDescent="0.2">
      <c r="B100" s="103"/>
      <c r="C100" s="107">
        <v>41522</v>
      </c>
      <c r="D100" s="104"/>
      <c r="E100" s="108" t="s">
        <v>1534</v>
      </c>
      <c r="F100" s="105" t="s">
        <v>1559</v>
      </c>
      <c r="G100" s="106" t="s">
        <v>211</v>
      </c>
      <c r="H100" s="93">
        <v>300</v>
      </c>
      <c r="I100" s="93"/>
      <c r="J100" s="93">
        <f t="shared" si="7"/>
        <v>45947.909999999996</v>
      </c>
    </row>
    <row r="101" spans="2:12" x14ac:dyDescent="0.2">
      <c r="B101" s="103"/>
      <c r="C101" s="103">
        <v>41522</v>
      </c>
      <c r="D101" s="104"/>
      <c r="E101" s="108" t="s">
        <v>1534</v>
      </c>
      <c r="F101" s="105" t="s">
        <v>1536</v>
      </c>
      <c r="G101" s="106" t="s">
        <v>1537</v>
      </c>
      <c r="H101" s="93">
        <v>0.46</v>
      </c>
      <c r="I101" s="93"/>
      <c r="J101" s="93">
        <f t="shared" si="7"/>
        <v>45948.369999999995</v>
      </c>
    </row>
    <row r="102" spans="2:12" x14ac:dyDescent="0.2">
      <c r="B102" s="103"/>
      <c r="C102" s="103">
        <v>41526</v>
      </c>
      <c r="D102" s="104"/>
      <c r="E102" s="108" t="s">
        <v>1538</v>
      </c>
      <c r="F102" s="105" t="s">
        <v>1560</v>
      </c>
      <c r="G102" s="106" t="s">
        <v>208</v>
      </c>
      <c r="H102" s="93">
        <v>300</v>
      </c>
      <c r="I102" s="93"/>
      <c r="J102" s="93">
        <f t="shared" si="7"/>
        <v>46248.369999999995</v>
      </c>
    </row>
    <row r="103" spans="2:12" x14ac:dyDescent="0.2">
      <c r="B103" s="103"/>
      <c r="C103" s="103">
        <v>41526</v>
      </c>
      <c r="D103" s="104"/>
      <c r="E103" s="108" t="s">
        <v>1538</v>
      </c>
      <c r="F103" s="105" t="s">
        <v>1536</v>
      </c>
      <c r="G103" s="106" t="s">
        <v>1537</v>
      </c>
      <c r="H103" s="93">
        <v>0.28999999999999998</v>
      </c>
      <c r="I103" s="93"/>
      <c r="J103" s="93">
        <f t="shared" si="7"/>
        <v>46248.659999999996</v>
      </c>
    </row>
    <row r="104" spans="2:12" x14ac:dyDescent="0.2">
      <c r="B104" s="103"/>
      <c r="C104" s="103">
        <v>41540</v>
      </c>
      <c r="D104" s="111"/>
      <c r="E104" s="108" t="s">
        <v>805</v>
      </c>
      <c r="F104" s="105" t="s">
        <v>1561</v>
      </c>
      <c r="G104" s="106" t="s">
        <v>806</v>
      </c>
      <c r="H104" s="93">
        <v>10000</v>
      </c>
      <c r="I104" s="93"/>
      <c r="J104" s="93">
        <f t="shared" si="7"/>
        <v>56248.659999999996</v>
      </c>
    </row>
    <row r="105" spans="2:12" x14ac:dyDescent="0.2">
      <c r="B105" s="103"/>
      <c r="C105" s="107">
        <v>41544</v>
      </c>
      <c r="D105" s="104"/>
      <c r="E105" s="108" t="s">
        <v>1547</v>
      </c>
      <c r="F105" s="105" t="s">
        <v>1562</v>
      </c>
      <c r="G105" s="106" t="s">
        <v>571</v>
      </c>
      <c r="H105" s="93">
        <v>150</v>
      </c>
      <c r="I105" s="93"/>
      <c r="J105" s="93">
        <f t="shared" si="7"/>
        <v>56398.659999999996</v>
      </c>
    </row>
    <row r="106" spans="2:12" x14ac:dyDescent="0.2">
      <c r="B106" s="103"/>
      <c r="C106" s="103">
        <v>41544</v>
      </c>
      <c r="D106" s="104"/>
      <c r="E106" s="108" t="s">
        <v>1547</v>
      </c>
      <c r="F106" s="105" t="s">
        <v>1536</v>
      </c>
      <c r="G106" s="106" t="s">
        <v>1537</v>
      </c>
      <c r="H106" s="93">
        <v>0.15</v>
      </c>
      <c r="I106" s="93"/>
      <c r="J106" s="93">
        <f t="shared" si="7"/>
        <v>56398.81</v>
      </c>
      <c r="L106" s="112"/>
    </row>
    <row r="107" spans="2:12" ht="25.5" x14ac:dyDescent="0.2">
      <c r="B107" s="94" t="s">
        <v>1525</v>
      </c>
      <c r="C107" s="94" t="s">
        <v>1526</v>
      </c>
      <c r="D107" s="95" t="s">
        <v>1527</v>
      </c>
      <c r="E107" s="95"/>
      <c r="F107" s="52" t="s">
        <v>1529</v>
      </c>
      <c r="G107" s="3" t="s">
        <v>3</v>
      </c>
      <c r="H107" s="96" t="s">
        <v>1530</v>
      </c>
      <c r="I107" s="96" t="s">
        <v>1531</v>
      </c>
      <c r="J107" s="96" t="s">
        <v>1532</v>
      </c>
    </row>
    <row r="108" spans="2:12" x14ac:dyDescent="0.2">
      <c r="B108" s="103"/>
      <c r="C108" s="103">
        <v>41551</v>
      </c>
      <c r="D108" s="104"/>
      <c r="E108" s="108" t="s">
        <v>1538</v>
      </c>
      <c r="F108" s="105" t="s">
        <v>1563</v>
      </c>
      <c r="G108" s="106" t="s">
        <v>208</v>
      </c>
      <c r="H108" s="93">
        <v>300</v>
      </c>
      <c r="I108" s="93"/>
      <c r="J108" s="93">
        <f>J106+H108-I108</f>
        <v>56698.81</v>
      </c>
    </row>
    <row r="109" spans="2:12" x14ac:dyDescent="0.2">
      <c r="B109" s="103"/>
      <c r="C109" s="103">
        <v>41551</v>
      </c>
      <c r="D109" s="104"/>
      <c r="E109" s="108" t="s">
        <v>1538</v>
      </c>
      <c r="F109" s="105" t="s">
        <v>1536</v>
      </c>
      <c r="G109" s="106" t="s">
        <v>1537</v>
      </c>
      <c r="H109" s="93">
        <v>0.28999999999999998</v>
      </c>
      <c r="I109" s="93"/>
      <c r="J109" s="93">
        <f>J108+H109-I109</f>
        <v>56699.1</v>
      </c>
    </row>
    <row r="110" spans="2:12" x14ac:dyDescent="0.2">
      <c r="B110" s="103"/>
      <c r="C110" s="103">
        <v>41563</v>
      </c>
      <c r="D110" s="111"/>
      <c r="E110" s="108" t="s">
        <v>805</v>
      </c>
      <c r="F110" s="105" t="s">
        <v>1564</v>
      </c>
      <c r="G110" s="106" t="s">
        <v>806</v>
      </c>
      <c r="H110" s="93">
        <v>10000</v>
      </c>
      <c r="I110" s="93"/>
      <c r="J110" s="93">
        <f>J109+H110-I110</f>
        <v>66699.100000000006</v>
      </c>
      <c r="K110" s="109">
        <v>60</v>
      </c>
    </row>
    <row r="111" spans="2:12" x14ac:dyDescent="0.2">
      <c r="B111" s="103"/>
      <c r="C111" s="107">
        <v>41569</v>
      </c>
      <c r="D111" s="104"/>
      <c r="E111" s="108" t="s">
        <v>1534</v>
      </c>
      <c r="F111" s="105" t="s">
        <v>1565</v>
      </c>
      <c r="G111" s="106" t="s">
        <v>211</v>
      </c>
      <c r="H111" s="93">
        <v>300</v>
      </c>
      <c r="I111" s="93"/>
      <c r="J111" s="93">
        <f>J110+H111-I111</f>
        <v>66999.100000000006</v>
      </c>
    </row>
    <row r="112" spans="2:12" x14ac:dyDescent="0.2">
      <c r="B112" s="103"/>
      <c r="C112" s="103">
        <v>41569</v>
      </c>
      <c r="D112" s="104"/>
      <c r="E112" s="108" t="s">
        <v>1534</v>
      </c>
      <c r="F112" s="105" t="s">
        <v>1536</v>
      </c>
      <c r="G112" s="106" t="s">
        <v>1537</v>
      </c>
      <c r="H112" s="93">
        <v>0.46</v>
      </c>
      <c r="I112" s="93"/>
      <c r="J112" s="93">
        <f>J111+H112-I112</f>
        <v>66999.560000000012</v>
      </c>
      <c r="L112" s="112"/>
    </row>
    <row r="113" spans="2:12" ht="25.5" x14ac:dyDescent="0.2">
      <c r="B113" s="94" t="s">
        <v>1525</v>
      </c>
      <c r="C113" s="94" t="s">
        <v>1526</v>
      </c>
      <c r="D113" s="95" t="s">
        <v>1527</v>
      </c>
      <c r="E113" s="95"/>
      <c r="F113" s="52" t="s">
        <v>1529</v>
      </c>
      <c r="G113" s="3" t="s">
        <v>3</v>
      </c>
      <c r="H113" s="96" t="s">
        <v>1530</v>
      </c>
      <c r="I113" s="96" t="s">
        <v>1531</v>
      </c>
      <c r="J113" s="96" t="s">
        <v>1532</v>
      </c>
    </row>
    <row r="114" spans="2:12" x14ac:dyDescent="0.2">
      <c r="B114" s="103"/>
      <c r="C114" s="107">
        <v>41584</v>
      </c>
      <c r="D114" s="104"/>
      <c r="E114" s="108" t="s">
        <v>1534</v>
      </c>
      <c r="F114" s="105" t="s">
        <v>1566</v>
      </c>
      <c r="G114" s="106" t="s">
        <v>211</v>
      </c>
      <c r="H114" s="93">
        <v>300</v>
      </c>
      <c r="I114" s="93"/>
      <c r="J114" s="93">
        <f>J112+H114-I114</f>
        <v>67299.560000000012</v>
      </c>
    </row>
    <row r="115" spans="2:12" x14ac:dyDescent="0.2">
      <c r="B115" s="103"/>
      <c r="C115" s="103">
        <v>41584</v>
      </c>
      <c r="D115" s="104"/>
      <c r="E115" s="108" t="s">
        <v>1534</v>
      </c>
      <c r="F115" s="105" t="s">
        <v>1536</v>
      </c>
      <c r="G115" s="106" t="s">
        <v>1537</v>
      </c>
      <c r="H115" s="93">
        <v>0.46</v>
      </c>
      <c r="I115" s="93"/>
      <c r="J115" s="93">
        <f>J114+H115-I115</f>
        <v>67300.020000000019</v>
      </c>
    </row>
    <row r="116" spans="2:12" x14ac:dyDescent="0.2">
      <c r="B116" s="103"/>
      <c r="C116" s="103">
        <v>41600</v>
      </c>
      <c r="D116" s="111"/>
      <c r="E116" s="108" t="s">
        <v>805</v>
      </c>
      <c r="F116" s="105" t="s">
        <v>1567</v>
      </c>
      <c r="G116" s="117" t="s">
        <v>806</v>
      </c>
      <c r="H116" s="93">
        <v>10000</v>
      </c>
      <c r="I116" s="93"/>
      <c r="J116" s="93">
        <f>J115+H116-I116</f>
        <v>77300.020000000019</v>
      </c>
      <c r="K116" s="109">
        <v>62</v>
      </c>
    </row>
    <row r="117" spans="2:12" ht="25.5" x14ac:dyDescent="0.2">
      <c r="B117" s="94" t="s">
        <v>1525</v>
      </c>
      <c r="C117" s="94" t="s">
        <v>1526</v>
      </c>
      <c r="D117" s="95" t="s">
        <v>1527</v>
      </c>
      <c r="E117" s="95"/>
      <c r="F117" s="52" t="s">
        <v>1529</v>
      </c>
      <c r="G117" s="3" t="s">
        <v>3</v>
      </c>
      <c r="H117" s="96" t="s">
        <v>1530</v>
      </c>
      <c r="I117" s="96" t="s">
        <v>1531</v>
      </c>
      <c r="J117" s="96" t="s">
        <v>1532</v>
      </c>
    </row>
    <row r="118" spans="2:12" x14ac:dyDescent="0.2">
      <c r="B118" s="103"/>
      <c r="C118" s="103">
        <v>41611</v>
      </c>
      <c r="D118" s="104"/>
      <c r="E118" s="108" t="s">
        <v>1568</v>
      </c>
      <c r="F118" s="105" t="s">
        <v>1569</v>
      </c>
      <c r="G118" s="110"/>
      <c r="H118" s="93">
        <v>1200</v>
      </c>
      <c r="I118" s="93"/>
      <c r="J118" s="93">
        <f>+J116+H118</f>
        <v>78500.020000000019</v>
      </c>
      <c r="K118" t="s">
        <v>1570</v>
      </c>
    </row>
    <row r="119" spans="2:12" x14ac:dyDescent="0.2">
      <c r="B119" s="103"/>
      <c r="C119" s="107">
        <v>41612</v>
      </c>
      <c r="D119" s="104"/>
      <c r="E119" s="108" t="s">
        <v>1534</v>
      </c>
      <c r="F119" s="105" t="s">
        <v>1571</v>
      </c>
      <c r="G119" s="106" t="s">
        <v>211</v>
      </c>
      <c r="H119" s="93">
        <v>300</v>
      </c>
      <c r="I119" s="93"/>
      <c r="J119" s="93">
        <f>+J118+H119</f>
        <v>78800.020000000019</v>
      </c>
    </row>
    <row r="120" spans="2:12" x14ac:dyDescent="0.2">
      <c r="B120" s="103"/>
      <c r="C120" s="103">
        <v>41612</v>
      </c>
      <c r="D120" s="104"/>
      <c r="E120" s="108" t="s">
        <v>1534</v>
      </c>
      <c r="F120" s="105" t="s">
        <v>1536</v>
      </c>
      <c r="G120" s="106" t="s">
        <v>1537</v>
      </c>
      <c r="H120" s="93">
        <v>0.46</v>
      </c>
      <c r="I120" s="93"/>
      <c r="J120" s="93">
        <f>+J119+H120</f>
        <v>78800.480000000025</v>
      </c>
    </row>
    <row r="121" spans="2:12" x14ac:dyDescent="0.2">
      <c r="B121" s="103"/>
      <c r="C121" s="103">
        <v>41617</v>
      </c>
      <c r="D121" s="104"/>
      <c r="E121" s="108" t="s">
        <v>1538</v>
      </c>
      <c r="F121" s="105" t="s">
        <v>1571</v>
      </c>
      <c r="G121" s="106" t="s">
        <v>208</v>
      </c>
      <c r="H121" s="93">
        <v>300</v>
      </c>
      <c r="I121" s="93"/>
      <c r="J121" s="93">
        <f>+J120+H121</f>
        <v>79100.480000000025</v>
      </c>
    </row>
    <row r="122" spans="2:12" x14ac:dyDescent="0.2">
      <c r="B122" s="103"/>
      <c r="C122" s="103">
        <v>41617</v>
      </c>
      <c r="D122" s="104"/>
      <c r="E122" s="108" t="s">
        <v>1538</v>
      </c>
      <c r="F122" s="105" t="s">
        <v>1536</v>
      </c>
      <c r="G122" s="106" t="s">
        <v>1537</v>
      </c>
      <c r="H122" s="93">
        <v>0.28999999999999998</v>
      </c>
      <c r="I122" s="93"/>
      <c r="J122" s="93">
        <f>+J121+H122</f>
        <v>79100.770000000019</v>
      </c>
    </row>
    <row r="123" spans="2:12" x14ac:dyDescent="0.2">
      <c r="B123" s="103"/>
      <c r="C123" s="107">
        <v>41621</v>
      </c>
      <c r="D123" s="104"/>
      <c r="E123" s="108" t="s">
        <v>805</v>
      </c>
      <c r="F123" s="105" t="s">
        <v>1572</v>
      </c>
      <c r="G123" s="106" t="s">
        <v>806</v>
      </c>
      <c r="H123" s="93">
        <v>10000</v>
      </c>
      <c r="I123" s="93"/>
      <c r="J123" s="93">
        <f>+J122+H123</f>
        <v>89100.770000000019</v>
      </c>
    </row>
    <row r="124" spans="2:12" x14ac:dyDescent="0.2">
      <c r="B124" s="103"/>
      <c r="C124" s="103">
        <v>41632</v>
      </c>
      <c r="D124" s="104">
        <v>48</v>
      </c>
      <c r="E124" s="108" t="s">
        <v>1573</v>
      </c>
      <c r="F124" s="105" t="s">
        <v>1574</v>
      </c>
      <c r="G124" s="110"/>
      <c r="H124" s="93"/>
      <c r="I124" s="118">
        <v>10000</v>
      </c>
      <c r="J124" s="93">
        <f>+J123-I124</f>
        <v>79100.770000000019</v>
      </c>
    </row>
    <row r="125" spans="2:12" x14ac:dyDescent="0.2">
      <c r="B125" s="103"/>
      <c r="C125" s="103">
        <v>41639</v>
      </c>
      <c r="D125" s="104">
        <v>49</v>
      </c>
      <c r="E125" s="108" t="s">
        <v>1575</v>
      </c>
      <c r="F125" s="105" t="s">
        <v>1576</v>
      </c>
      <c r="G125" s="110" t="s">
        <v>1577</v>
      </c>
      <c r="H125" s="93"/>
      <c r="I125" s="119">
        <v>3500</v>
      </c>
      <c r="J125" s="93">
        <f>+J124-I125</f>
        <v>75600.770000000019</v>
      </c>
    </row>
    <row r="126" spans="2:12" x14ac:dyDescent="0.2">
      <c r="B126" s="103"/>
      <c r="C126" s="103">
        <v>41639</v>
      </c>
      <c r="D126" s="104">
        <v>50</v>
      </c>
      <c r="E126" s="108" t="s">
        <v>1578</v>
      </c>
      <c r="F126" s="105" t="s">
        <v>1576</v>
      </c>
      <c r="G126" s="110" t="s">
        <v>1577</v>
      </c>
      <c r="H126" s="93"/>
      <c r="I126" s="119">
        <v>3500</v>
      </c>
      <c r="J126" s="93">
        <f>+J125-I126</f>
        <v>72100.770000000019</v>
      </c>
    </row>
    <row r="127" spans="2:12" x14ac:dyDescent="0.2">
      <c r="B127" s="103"/>
      <c r="C127" s="103">
        <v>41639</v>
      </c>
      <c r="D127" s="104"/>
      <c r="E127" s="108"/>
      <c r="F127" s="105" t="s">
        <v>1579</v>
      </c>
      <c r="G127" s="106" t="s">
        <v>1537</v>
      </c>
      <c r="H127" s="93"/>
      <c r="I127" s="93">
        <v>24</v>
      </c>
      <c r="J127" s="93">
        <f>+J126-I127</f>
        <v>72076.770000000019</v>
      </c>
    </row>
    <row r="128" spans="2:12" x14ac:dyDescent="0.2">
      <c r="B128" s="120"/>
      <c r="C128" s="120">
        <v>41639</v>
      </c>
      <c r="D128" s="121"/>
      <c r="E128" s="122"/>
      <c r="F128" s="123" t="s">
        <v>1580</v>
      </c>
      <c r="G128" s="106" t="s">
        <v>1543</v>
      </c>
      <c r="H128" s="124"/>
      <c r="I128" s="124">
        <v>3.84</v>
      </c>
      <c r="J128" s="125">
        <f>+J127-I128</f>
        <v>72072.930000000022</v>
      </c>
      <c r="L128" s="112"/>
    </row>
    <row r="129" spans="1:10" ht="25.5" x14ac:dyDescent="0.2">
      <c r="B129" s="94" t="s">
        <v>1525</v>
      </c>
      <c r="C129" s="94" t="s">
        <v>1526</v>
      </c>
      <c r="D129" s="95" t="s">
        <v>1527</v>
      </c>
      <c r="E129" s="95"/>
      <c r="F129" s="52" t="s">
        <v>1529</v>
      </c>
      <c r="G129" s="3" t="s">
        <v>3</v>
      </c>
      <c r="H129" s="96" t="s">
        <v>1530</v>
      </c>
      <c r="I129" s="96" t="s">
        <v>1531</v>
      </c>
      <c r="J129" s="96" t="s">
        <v>1532</v>
      </c>
    </row>
    <row r="130" spans="1:10" x14ac:dyDescent="0.2">
      <c r="B130" s="126"/>
      <c r="C130" s="126">
        <v>41642</v>
      </c>
      <c r="D130" s="127">
        <v>51</v>
      </c>
      <c r="E130" s="128" t="s">
        <v>1581</v>
      </c>
      <c r="F130" s="129" t="s">
        <v>1576</v>
      </c>
      <c r="G130" s="130" t="s">
        <v>1577</v>
      </c>
      <c r="H130" s="131"/>
      <c r="I130" s="131">
        <v>5000</v>
      </c>
      <c r="J130" s="131">
        <f>+J128-I130</f>
        <v>67072.930000000022</v>
      </c>
    </row>
    <row r="131" spans="1:10" x14ac:dyDescent="0.2">
      <c r="B131" s="103"/>
      <c r="C131" s="103">
        <v>41646</v>
      </c>
      <c r="D131" s="104">
        <v>52</v>
      </c>
      <c r="E131" s="108"/>
      <c r="F131" s="105"/>
      <c r="G131" s="110"/>
      <c r="H131" s="93"/>
      <c r="I131" s="93">
        <v>3000</v>
      </c>
      <c r="J131" s="131">
        <f>+J130+H131-I131</f>
        <v>64072.930000000022</v>
      </c>
    </row>
    <row r="132" spans="1:10" x14ac:dyDescent="0.2">
      <c r="B132" s="103"/>
      <c r="C132" s="107">
        <v>41647</v>
      </c>
      <c r="D132" s="104"/>
      <c r="E132" s="108" t="s">
        <v>1534</v>
      </c>
      <c r="F132" s="105" t="s">
        <v>1582</v>
      </c>
      <c r="G132" s="106" t="s">
        <v>211</v>
      </c>
      <c r="H132" s="93">
        <v>300</v>
      </c>
      <c r="I132" s="93"/>
      <c r="J132" s="93">
        <f>+J131+H132-I132</f>
        <v>64372.930000000022</v>
      </c>
    </row>
    <row r="133" spans="1:10" x14ac:dyDescent="0.2">
      <c r="B133" s="103"/>
      <c r="C133" s="103">
        <v>41647</v>
      </c>
      <c r="D133" s="104"/>
      <c r="E133" s="108" t="s">
        <v>1534</v>
      </c>
      <c r="F133" s="105" t="s">
        <v>1536</v>
      </c>
      <c r="G133" s="106" t="s">
        <v>1537</v>
      </c>
      <c r="H133" s="93">
        <v>0.46</v>
      </c>
      <c r="I133" s="93"/>
      <c r="J133" s="93">
        <f t="shared" ref="J133:J138" si="8">+J132+H133</f>
        <v>64373.390000000021</v>
      </c>
    </row>
    <row r="134" spans="1:10" x14ac:dyDescent="0.2">
      <c r="B134" s="103"/>
      <c r="C134" s="103">
        <v>41648</v>
      </c>
      <c r="D134" s="104"/>
      <c r="E134" s="108" t="s">
        <v>1538</v>
      </c>
      <c r="F134" s="105" t="s">
        <v>1582</v>
      </c>
      <c r="G134" s="106" t="s">
        <v>208</v>
      </c>
      <c r="H134" s="93">
        <v>300</v>
      </c>
      <c r="I134" s="93"/>
      <c r="J134" s="93">
        <f t="shared" si="8"/>
        <v>64673.390000000021</v>
      </c>
    </row>
    <row r="135" spans="1:10" x14ac:dyDescent="0.2">
      <c r="A135" s="132"/>
      <c r="B135" s="103"/>
      <c r="C135" s="103">
        <v>41653</v>
      </c>
      <c r="D135" s="104"/>
      <c r="E135" s="108" t="s">
        <v>1538</v>
      </c>
      <c r="F135" s="105" t="s">
        <v>1536</v>
      </c>
      <c r="G135" s="106" t="s">
        <v>1537</v>
      </c>
      <c r="H135" s="93">
        <v>0.28999999999999998</v>
      </c>
      <c r="I135" s="93"/>
      <c r="J135" s="93">
        <f t="shared" si="8"/>
        <v>64673.680000000022</v>
      </c>
    </row>
    <row r="136" spans="1:10" x14ac:dyDescent="0.2">
      <c r="B136" s="103"/>
      <c r="C136" s="103">
        <v>41653</v>
      </c>
      <c r="D136" s="104"/>
      <c r="E136" s="108"/>
      <c r="F136" s="105" t="s">
        <v>1583</v>
      </c>
      <c r="G136" s="110"/>
      <c r="H136" s="93">
        <v>56500</v>
      </c>
      <c r="I136" s="93"/>
      <c r="J136" s="93">
        <f t="shared" si="8"/>
        <v>121173.68000000002</v>
      </c>
    </row>
    <row r="137" spans="1:10" x14ac:dyDescent="0.2">
      <c r="B137" s="113"/>
      <c r="C137" s="113">
        <v>41654</v>
      </c>
      <c r="D137" s="114"/>
      <c r="E137" s="133"/>
      <c r="F137" s="134" t="s">
        <v>1584</v>
      </c>
      <c r="G137" s="135"/>
      <c r="H137" s="136">
        <v>4400</v>
      </c>
      <c r="I137" s="115"/>
      <c r="J137" s="93">
        <f t="shared" si="8"/>
        <v>125573.68000000002</v>
      </c>
    </row>
    <row r="138" spans="1:10" x14ac:dyDescent="0.2">
      <c r="B138" s="103"/>
      <c r="C138" s="103">
        <v>41654</v>
      </c>
      <c r="D138" s="104">
        <v>995</v>
      </c>
      <c r="E138" s="137"/>
      <c r="F138" s="105" t="s">
        <v>1585</v>
      </c>
      <c r="G138" s="110"/>
      <c r="H138" s="119">
        <v>4400</v>
      </c>
      <c r="I138" s="93"/>
      <c r="J138" s="93">
        <f t="shared" si="8"/>
        <v>129973.68000000002</v>
      </c>
    </row>
    <row r="139" spans="1:10" x14ac:dyDescent="0.2">
      <c r="B139" s="113"/>
      <c r="C139" s="113">
        <v>41659</v>
      </c>
      <c r="D139" s="114">
        <v>55</v>
      </c>
      <c r="E139" s="138"/>
      <c r="F139" s="134" t="s">
        <v>1586</v>
      </c>
      <c r="G139" s="135"/>
      <c r="H139" s="115"/>
      <c r="I139" s="115">
        <v>27900</v>
      </c>
      <c r="J139" s="93">
        <f>+J138-I139</f>
        <v>102073.68000000002</v>
      </c>
    </row>
    <row r="140" spans="1:10" x14ac:dyDescent="0.2">
      <c r="B140" s="103"/>
      <c r="C140" s="103">
        <v>41660</v>
      </c>
      <c r="D140" s="104"/>
      <c r="E140" s="108"/>
      <c r="F140" s="105" t="s">
        <v>1583</v>
      </c>
      <c r="G140" s="110"/>
      <c r="H140" s="93">
        <v>19200</v>
      </c>
      <c r="I140" s="93"/>
      <c r="J140" s="93">
        <f t="shared" ref="J140:J146" si="9">+J139+H140</f>
        <v>121273.68000000002</v>
      </c>
    </row>
    <row r="141" spans="1:10" x14ac:dyDescent="0.2">
      <c r="B141" s="113"/>
      <c r="C141" s="113">
        <v>41660</v>
      </c>
      <c r="D141" s="114">
        <v>598</v>
      </c>
      <c r="E141" s="138" t="s">
        <v>1587</v>
      </c>
      <c r="F141" s="134" t="s">
        <v>1588</v>
      </c>
      <c r="G141" s="135"/>
      <c r="H141" s="115">
        <v>800</v>
      </c>
      <c r="I141" s="115"/>
      <c r="J141" s="93">
        <f t="shared" si="9"/>
        <v>122073.68000000002</v>
      </c>
    </row>
    <row r="142" spans="1:10" x14ac:dyDescent="0.2">
      <c r="B142" s="103"/>
      <c r="C142" s="103">
        <v>41666</v>
      </c>
      <c r="D142" s="104"/>
      <c r="E142" s="108"/>
      <c r="F142" s="105"/>
      <c r="G142" s="110"/>
      <c r="H142" s="93">
        <v>19790</v>
      </c>
      <c r="I142" s="93"/>
      <c r="J142" s="93">
        <f t="shared" si="9"/>
        <v>141863.68000000002</v>
      </c>
    </row>
    <row r="143" spans="1:10" x14ac:dyDescent="0.2">
      <c r="B143" s="120"/>
      <c r="C143" s="103">
        <v>41666</v>
      </c>
      <c r="D143" s="121">
        <v>389</v>
      </c>
      <c r="E143" s="139"/>
      <c r="F143" s="123"/>
      <c r="G143" s="140"/>
      <c r="H143" s="124">
        <v>1200</v>
      </c>
      <c r="I143" s="124"/>
      <c r="J143" s="93">
        <f t="shared" si="9"/>
        <v>143063.68000000002</v>
      </c>
    </row>
    <row r="144" spans="1:10" x14ac:dyDescent="0.2">
      <c r="B144" s="103"/>
      <c r="C144" s="103">
        <v>41666</v>
      </c>
      <c r="D144" s="121">
        <v>2603</v>
      </c>
      <c r="E144" s="108" t="s">
        <v>1589</v>
      </c>
      <c r="F144" s="123" t="s">
        <v>1590</v>
      </c>
      <c r="G144" s="141" t="s">
        <v>517</v>
      </c>
      <c r="H144" s="124">
        <v>4400</v>
      </c>
      <c r="I144" s="124"/>
      <c r="J144" s="93">
        <f t="shared" si="9"/>
        <v>147463.68000000002</v>
      </c>
    </row>
    <row r="145" spans="2:11" x14ac:dyDescent="0.2">
      <c r="B145" s="113"/>
      <c r="C145" s="103">
        <v>41666</v>
      </c>
      <c r="D145" s="104">
        <v>839</v>
      </c>
      <c r="E145" s="108" t="s">
        <v>1591</v>
      </c>
      <c r="F145" s="105" t="s">
        <v>1583</v>
      </c>
      <c r="G145" s="106" t="s">
        <v>559</v>
      </c>
      <c r="H145" s="93">
        <v>4000</v>
      </c>
      <c r="I145" s="93"/>
      <c r="J145" s="93">
        <f t="shared" si="9"/>
        <v>151463.68000000002</v>
      </c>
    </row>
    <row r="146" spans="2:11" x14ac:dyDescent="0.2">
      <c r="B146" s="103"/>
      <c r="C146" s="103">
        <v>41670</v>
      </c>
      <c r="D146" s="104">
        <v>203</v>
      </c>
      <c r="E146" s="137"/>
      <c r="F146" s="105"/>
      <c r="G146" s="110"/>
      <c r="H146" s="93">
        <v>4400</v>
      </c>
      <c r="I146" s="93"/>
      <c r="J146" s="93">
        <f t="shared" si="9"/>
        <v>155863.68000000002</v>
      </c>
    </row>
    <row r="147" spans="2:11" x14ac:dyDescent="0.2">
      <c r="B147" s="103"/>
      <c r="C147" s="103">
        <v>41670</v>
      </c>
      <c r="D147" s="104"/>
      <c r="E147" s="108"/>
      <c r="F147" s="105"/>
      <c r="G147" s="106" t="s">
        <v>1537</v>
      </c>
      <c r="H147" s="93"/>
      <c r="I147" s="93">
        <v>24</v>
      </c>
      <c r="J147" s="93">
        <f>+J146+H147-I147</f>
        <v>155839.68000000002</v>
      </c>
    </row>
    <row r="148" spans="2:11" x14ac:dyDescent="0.2">
      <c r="B148" s="120"/>
      <c r="C148" s="120">
        <v>41670</v>
      </c>
      <c r="D148" s="121"/>
      <c r="E148" s="142"/>
      <c r="F148" s="123"/>
      <c r="G148" s="106" t="s">
        <v>1543</v>
      </c>
      <c r="H148" s="124"/>
      <c r="I148" s="124">
        <v>3.84</v>
      </c>
      <c r="J148" s="124">
        <f>+J147+H148-I148</f>
        <v>155835.84000000003</v>
      </c>
      <c r="K148" s="112">
        <f>SUM(I130:I148)</f>
        <v>35927.839999999997</v>
      </c>
    </row>
    <row r="149" spans="2:11" ht="25.5" x14ac:dyDescent="0.2">
      <c r="B149" s="94" t="s">
        <v>1525</v>
      </c>
      <c r="C149" s="94" t="s">
        <v>1526</v>
      </c>
      <c r="D149" s="95" t="s">
        <v>1527</v>
      </c>
      <c r="E149" s="143"/>
      <c r="F149" s="52" t="s">
        <v>1529</v>
      </c>
      <c r="G149" s="3" t="s">
        <v>3</v>
      </c>
      <c r="H149" s="96" t="s">
        <v>1530</v>
      </c>
      <c r="I149" s="96" t="s">
        <v>1531</v>
      </c>
      <c r="J149" s="96" t="s">
        <v>1532</v>
      </c>
    </row>
    <row r="150" spans="2:11" x14ac:dyDescent="0.2">
      <c r="B150" s="126"/>
      <c r="C150" s="126">
        <v>41674</v>
      </c>
      <c r="D150" s="127">
        <v>56</v>
      </c>
      <c r="E150" s="128" t="s">
        <v>1592</v>
      </c>
      <c r="F150" s="129" t="s">
        <v>1593</v>
      </c>
      <c r="G150" s="130"/>
      <c r="H150" s="131"/>
      <c r="I150" s="131">
        <v>27900</v>
      </c>
      <c r="J150" s="131">
        <f>+J148-I150</f>
        <v>127935.84000000003</v>
      </c>
    </row>
    <row r="151" spans="2:11" x14ac:dyDescent="0.2">
      <c r="B151" s="103"/>
      <c r="C151" s="107">
        <v>41675</v>
      </c>
      <c r="D151" s="104"/>
      <c r="E151" s="108" t="s">
        <v>1534</v>
      </c>
      <c r="F151" s="105" t="s">
        <v>1594</v>
      </c>
      <c r="G151" s="106" t="s">
        <v>211</v>
      </c>
      <c r="H151" s="93">
        <v>300</v>
      </c>
      <c r="I151" s="93"/>
      <c r="J151" s="131">
        <f>+J150+H151-I151</f>
        <v>128235.84000000003</v>
      </c>
    </row>
    <row r="152" spans="2:11" x14ac:dyDescent="0.2">
      <c r="B152" s="103"/>
      <c r="C152" s="103">
        <v>41675</v>
      </c>
      <c r="D152" s="104"/>
      <c r="E152" s="108" t="s">
        <v>1534</v>
      </c>
      <c r="F152" s="105" t="s">
        <v>1536</v>
      </c>
      <c r="G152" s="106" t="s">
        <v>1537</v>
      </c>
      <c r="H152" s="93">
        <v>0.46</v>
      </c>
      <c r="I152" s="93"/>
      <c r="J152" s="131">
        <f t="shared" ref="J152:J171" si="10">+J151+H152-I152</f>
        <v>128236.30000000003</v>
      </c>
    </row>
    <row r="153" spans="2:11" x14ac:dyDescent="0.2">
      <c r="B153" s="103"/>
      <c r="C153" s="103">
        <v>41680</v>
      </c>
      <c r="D153" s="104"/>
      <c r="E153" s="108"/>
      <c r="F153" s="105" t="s">
        <v>1583</v>
      </c>
      <c r="G153" s="110"/>
      <c r="H153" s="93">
        <v>33200</v>
      </c>
      <c r="I153" s="93"/>
      <c r="J153" s="131">
        <f t="shared" si="10"/>
        <v>161436.30000000005</v>
      </c>
    </row>
    <row r="154" spans="2:11" x14ac:dyDescent="0.2">
      <c r="B154" s="103"/>
      <c r="C154" s="107">
        <v>41680</v>
      </c>
      <c r="D154" s="104">
        <v>427</v>
      </c>
      <c r="E154" s="108" t="s">
        <v>805</v>
      </c>
      <c r="F154" s="144" t="s">
        <v>1595</v>
      </c>
      <c r="G154" s="106" t="s">
        <v>806</v>
      </c>
      <c r="H154" s="145">
        <v>10000</v>
      </c>
      <c r="I154" s="93"/>
      <c r="J154" s="131">
        <f t="shared" si="10"/>
        <v>171436.30000000005</v>
      </c>
    </row>
    <row r="155" spans="2:11" x14ac:dyDescent="0.2">
      <c r="B155" s="103"/>
      <c r="C155" s="107">
        <v>41680</v>
      </c>
      <c r="D155" s="104"/>
      <c r="E155" s="108" t="s">
        <v>805</v>
      </c>
      <c r="F155" s="144" t="s">
        <v>1596</v>
      </c>
      <c r="G155" s="106" t="s">
        <v>1543</v>
      </c>
      <c r="H155" s="145">
        <v>1600</v>
      </c>
      <c r="I155" s="93"/>
      <c r="J155" s="131">
        <f t="shared" si="10"/>
        <v>173036.30000000005</v>
      </c>
    </row>
    <row r="156" spans="2:11" x14ac:dyDescent="0.2">
      <c r="B156" s="103"/>
      <c r="C156" s="103">
        <v>41680</v>
      </c>
      <c r="D156" s="104"/>
      <c r="E156" s="108" t="s">
        <v>1597</v>
      </c>
      <c r="F156" s="105" t="s">
        <v>1598</v>
      </c>
      <c r="G156" s="106" t="s">
        <v>1537</v>
      </c>
      <c r="H156" s="93"/>
      <c r="I156" s="93">
        <v>30</v>
      </c>
      <c r="J156" s="131">
        <f t="shared" si="10"/>
        <v>173006.30000000005</v>
      </c>
    </row>
    <row r="157" spans="2:11" x14ac:dyDescent="0.2">
      <c r="B157" s="103"/>
      <c r="C157" s="103">
        <v>41680</v>
      </c>
      <c r="D157" s="104"/>
      <c r="E157" s="108" t="s">
        <v>1597</v>
      </c>
      <c r="F157" s="105" t="s">
        <v>1599</v>
      </c>
      <c r="G157" s="106" t="s">
        <v>1543</v>
      </c>
      <c r="H157" s="93"/>
      <c r="I157" s="93">
        <v>4.8</v>
      </c>
      <c r="J157" s="131">
        <f t="shared" si="10"/>
        <v>173001.50000000006</v>
      </c>
    </row>
    <row r="158" spans="2:11" x14ac:dyDescent="0.2">
      <c r="B158" s="113"/>
      <c r="C158" s="113">
        <v>41690</v>
      </c>
      <c r="D158" s="114">
        <v>58</v>
      </c>
      <c r="E158" s="108" t="s">
        <v>1592</v>
      </c>
      <c r="F158" s="134" t="s">
        <v>1600</v>
      </c>
      <c r="G158" s="135"/>
      <c r="H158" s="115"/>
      <c r="I158" s="115">
        <v>27900</v>
      </c>
      <c r="J158" s="131">
        <f t="shared" si="10"/>
        <v>145101.50000000006</v>
      </c>
    </row>
    <row r="159" spans="2:11" x14ac:dyDescent="0.2">
      <c r="B159" s="103"/>
      <c r="C159" s="103">
        <v>41695</v>
      </c>
      <c r="D159" s="104"/>
      <c r="E159" s="138"/>
      <c r="F159" s="105" t="s">
        <v>1583</v>
      </c>
      <c r="G159" s="110"/>
      <c r="H159" s="93">
        <v>35700</v>
      </c>
      <c r="I159" s="93"/>
      <c r="J159" s="131">
        <f t="shared" si="10"/>
        <v>180801.50000000006</v>
      </c>
    </row>
    <row r="160" spans="2:11" x14ac:dyDescent="0.2">
      <c r="B160" s="113"/>
      <c r="C160" s="146">
        <v>41695</v>
      </c>
      <c r="D160" s="114">
        <v>442</v>
      </c>
      <c r="E160" s="108" t="s">
        <v>805</v>
      </c>
      <c r="F160" s="144" t="s">
        <v>1601</v>
      </c>
      <c r="G160" s="106" t="s">
        <v>806</v>
      </c>
      <c r="H160" s="145">
        <v>10000</v>
      </c>
      <c r="I160" s="115"/>
      <c r="J160" s="131">
        <f t="shared" si="10"/>
        <v>190801.50000000006</v>
      </c>
    </row>
    <row r="161" spans="1:10" x14ac:dyDescent="0.2">
      <c r="B161" s="113"/>
      <c r="C161" s="146">
        <v>41695</v>
      </c>
      <c r="D161" s="114"/>
      <c r="E161" s="108" t="s">
        <v>805</v>
      </c>
      <c r="F161" s="144" t="s">
        <v>1596</v>
      </c>
      <c r="G161" s="106" t="s">
        <v>1543</v>
      </c>
      <c r="H161" s="145">
        <v>1600</v>
      </c>
      <c r="I161" s="115"/>
      <c r="J161" s="131">
        <f t="shared" si="10"/>
        <v>192401.50000000006</v>
      </c>
    </row>
    <row r="162" spans="1:10" x14ac:dyDescent="0.2">
      <c r="B162" s="103"/>
      <c r="C162" s="103">
        <v>41695</v>
      </c>
      <c r="D162" s="104">
        <v>2361</v>
      </c>
      <c r="E162" s="138" t="s">
        <v>1602</v>
      </c>
      <c r="F162" s="105" t="s">
        <v>1603</v>
      </c>
      <c r="G162" s="110"/>
      <c r="H162" s="147">
        <v>4400</v>
      </c>
      <c r="I162" s="93"/>
      <c r="J162" s="131">
        <f t="shared" si="10"/>
        <v>196801.50000000006</v>
      </c>
    </row>
    <row r="163" spans="1:10" x14ac:dyDescent="0.2">
      <c r="B163" s="113"/>
      <c r="C163" s="113">
        <v>41695</v>
      </c>
      <c r="D163" s="114">
        <v>2361</v>
      </c>
      <c r="E163" s="108" t="s">
        <v>1602</v>
      </c>
      <c r="F163" s="134" t="s">
        <v>1604</v>
      </c>
      <c r="G163" s="135"/>
      <c r="H163" s="115">
        <v>150</v>
      </c>
      <c r="I163" s="115"/>
      <c r="J163" s="131">
        <f t="shared" si="10"/>
        <v>196951.50000000006</v>
      </c>
    </row>
    <row r="164" spans="1:10" x14ac:dyDescent="0.2">
      <c r="B164" s="103"/>
      <c r="C164" s="103">
        <v>41695</v>
      </c>
      <c r="D164" s="104">
        <v>2932</v>
      </c>
      <c r="E164" s="122" t="s">
        <v>1605</v>
      </c>
      <c r="F164" s="105" t="s">
        <v>1606</v>
      </c>
      <c r="G164" s="110"/>
      <c r="H164" s="93">
        <v>1200</v>
      </c>
      <c r="I164" s="93"/>
      <c r="J164" s="131">
        <f t="shared" si="10"/>
        <v>198151.50000000006</v>
      </c>
    </row>
    <row r="165" spans="1:10" x14ac:dyDescent="0.2">
      <c r="B165" s="120"/>
      <c r="C165" s="103">
        <v>41695</v>
      </c>
      <c r="D165" s="121"/>
      <c r="E165" s="108" t="s">
        <v>1597</v>
      </c>
      <c r="F165" s="123" t="s">
        <v>1598</v>
      </c>
      <c r="G165" s="106" t="s">
        <v>1537</v>
      </c>
      <c r="H165" s="124"/>
      <c r="I165" s="124">
        <v>30</v>
      </c>
      <c r="J165" s="131">
        <f t="shared" si="10"/>
        <v>198121.50000000006</v>
      </c>
    </row>
    <row r="166" spans="1:10" x14ac:dyDescent="0.2">
      <c r="B166" s="120"/>
      <c r="C166" s="103">
        <v>41695</v>
      </c>
      <c r="D166" s="121"/>
      <c r="E166" s="108" t="s">
        <v>1597</v>
      </c>
      <c r="F166" s="123" t="s">
        <v>1607</v>
      </c>
      <c r="G166" s="106" t="s">
        <v>1543</v>
      </c>
      <c r="H166" s="124"/>
      <c r="I166" s="124">
        <v>4.8</v>
      </c>
      <c r="J166" s="131">
        <f t="shared" si="10"/>
        <v>198116.70000000007</v>
      </c>
    </row>
    <row r="167" spans="1:10" x14ac:dyDescent="0.2">
      <c r="B167" s="120"/>
      <c r="C167" s="103">
        <v>41696</v>
      </c>
      <c r="D167" s="121">
        <v>60</v>
      </c>
      <c r="E167" s="122" t="s">
        <v>1592</v>
      </c>
      <c r="F167" s="123" t="s">
        <v>1608</v>
      </c>
      <c r="G167" s="140"/>
      <c r="H167" s="124"/>
      <c r="I167" s="124">
        <v>27900</v>
      </c>
      <c r="J167" s="131">
        <f t="shared" si="10"/>
        <v>170216.70000000007</v>
      </c>
    </row>
    <row r="168" spans="1:10" x14ac:dyDescent="0.2">
      <c r="B168" s="120"/>
      <c r="C168" s="103">
        <v>41697</v>
      </c>
      <c r="D168" s="121"/>
      <c r="E168" s="122"/>
      <c r="F168" s="123" t="s">
        <v>1609</v>
      </c>
      <c r="G168" s="140"/>
      <c r="H168" s="124">
        <v>16000</v>
      </c>
      <c r="I168" s="124"/>
      <c r="J168" s="131">
        <f t="shared" si="10"/>
        <v>186216.70000000007</v>
      </c>
    </row>
    <row r="169" spans="1:10" x14ac:dyDescent="0.2">
      <c r="B169" s="120"/>
      <c r="C169" s="103">
        <v>41697</v>
      </c>
      <c r="D169" s="121">
        <v>126</v>
      </c>
      <c r="E169" s="122" t="s">
        <v>1610</v>
      </c>
      <c r="F169" s="123" t="s">
        <v>1603</v>
      </c>
      <c r="G169" s="140"/>
      <c r="H169" s="148">
        <v>4400</v>
      </c>
      <c r="I169" s="124"/>
      <c r="J169" s="131">
        <f t="shared" si="10"/>
        <v>190616.70000000007</v>
      </c>
    </row>
    <row r="170" spans="1:10" x14ac:dyDescent="0.2">
      <c r="B170" s="103"/>
      <c r="C170" s="103">
        <v>41698</v>
      </c>
      <c r="D170" s="121"/>
      <c r="E170" s="108" t="s">
        <v>1597</v>
      </c>
      <c r="F170" s="123" t="s">
        <v>1611</v>
      </c>
      <c r="G170" s="106" t="s">
        <v>1537</v>
      </c>
      <c r="H170" s="124"/>
      <c r="I170" s="124">
        <v>24</v>
      </c>
      <c r="J170" s="131">
        <f t="shared" si="10"/>
        <v>190592.70000000007</v>
      </c>
    </row>
    <row r="171" spans="1:10" x14ac:dyDescent="0.2">
      <c r="B171" s="113"/>
      <c r="C171" s="103">
        <v>41698</v>
      </c>
      <c r="D171" s="104"/>
      <c r="E171" s="108" t="s">
        <v>1597</v>
      </c>
      <c r="F171" s="105" t="s">
        <v>1580</v>
      </c>
      <c r="G171" s="106" t="s">
        <v>1543</v>
      </c>
      <c r="H171" s="93"/>
      <c r="I171" s="93">
        <v>3.84</v>
      </c>
      <c r="J171" s="131">
        <f t="shared" si="10"/>
        <v>190588.86000000007</v>
      </c>
    </row>
    <row r="172" spans="1:10" ht="25.5" x14ac:dyDescent="0.2">
      <c r="B172" s="94" t="s">
        <v>1525</v>
      </c>
      <c r="C172" s="94" t="s">
        <v>1526</v>
      </c>
      <c r="D172" s="95" t="s">
        <v>1527</v>
      </c>
      <c r="E172" s="149"/>
      <c r="F172" s="52" t="s">
        <v>1529</v>
      </c>
      <c r="G172" s="3" t="s">
        <v>3</v>
      </c>
      <c r="H172" s="96" t="s">
        <v>1530</v>
      </c>
      <c r="I172" s="96" t="s">
        <v>1531</v>
      </c>
      <c r="J172" s="96" t="s">
        <v>1532</v>
      </c>
    </row>
    <row r="173" spans="1:10" x14ac:dyDescent="0.2">
      <c r="B173" s="126"/>
      <c r="C173" s="150">
        <v>41701</v>
      </c>
      <c r="D173" s="151">
        <v>59</v>
      </c>
      <c r="E173" s="152" t="s">
        <v>1573</v>
      </c>
      <c r="F173" s="153" t="s">
        <v>1612</v>
      </c>
      <c r="G173" s="154"/>
      <c r="H173" s="155"/>
      <c r="I173" s="155">
        <v>9443</v>
      </c>
      <c r="J173" s="131">
        <f>+J171+H173-I173</f>
        <v>181145.86000000007</v>
      </c>
    </row>
    <row r="174" spans="1:10" x14ac:dyDescent="0.2">
      <c r="A174" s="102"/>
      <c r="B174" s="103"/>
      <c r="C174" s="156">
        <v>41701</v>
      </c>
      <c r="D174" s="104"/>
      <c r="E174" s="108"/>
      <c r="F174" s="105" t="s">
        <v>1583</v>
      </c>
      <c r="G174" s="110"/>
      <c r="H174" s="93">
        <v>32000</v>
      </c>
      <c r="I174" s="93"/>
      <c r="J174" s="131">
        <f>+J173+H174-I174</f>
        <v>213145.86000000007</v>
      </c>
    </row>
    <row r="175" spans="1:10" x14ac:dyDescent="0.2">
      <c r="B175" s="103"/>
      <c r="C175" s="157">
        <v>41712</v>
      </c>
      <c r="D175" s="158"/>
      <c r="E175" s="152" t="s">
        <v>1597</v>
      </c>
      <c r="F175" s="153" t="s">
        <v>1598</v>
      </c>
      <c r="G175" s="106" t="s">
        <v>1537</v>
      </c>
      <c r="H175" s="159"/>
      <c r="I175" s="159">
        <v>30</v>
      </c>
      <c r="J175" s="131">
        <f t="shared" ref="J175:J187" si="11">+J174+H175-I175</f>
        <v>213115.86000000007</v>
      </c>
    </row>
    <row r="176" spans="1:10" x14ac:dyDescent="0.2">
      <c r="B176" s="103"/>
      <c r="C176" s="157">
        <v>41712</v>
      </c>
      <c r="D176" s="158"/>
      <c r="E176" s="152" t="s">
        <v>1597</v>
      </c>
      <c r="F176" s="153" t="s">
        <v>1613</v>
      </c>
      <c r="G176" s="106" t="s">
        <v>1543</v>
      </c>
      <c r="H176" s="159"/>
      <c r="I176" s="159">
        <v>4.8</v>
      </c>
      <c r="J176" s="131">
        <f t="shared" si="11"/>
        <v>213111.06000000008</v>
      </c>
    </row>
    <row r="177" spans="2:10" x14ac:dyDescent="0.2">
      <c r="B177" s="103"/>
      <c r="C177" s="157">
        <v>41712</v>
      </c>
      <c r="D177" s="158"/>
      <c r="E177" s="152" t="s">
        <v>1597</v>
      </c>
      <c r="F177" s="153" t="s">
        <v>1614</v>
      </c>
      <c r="G177" s="106" t="s">
        <v>1537</v>
      </c>
      <c r="H177" s="159"/>
      <c r="I177" s="159">
        <v>21.74</v>
      </c>
      <c r="J177" s="131">
        <f t="shared" si="11"/>
        <v>213089.32000000009</v>
      </c>
    </row>
    <row r="178" spans="2:10" x14ac:dyDescent="0.2">
      <c r="B178" s="103"/>
      <c r="C178" s="157">
        <v>41712</v>
      </c>
      <c r="D178" s="158"/>
      <c r="E178" s="152" t="s">
        <v>1597</v>
      </c>
      <c r="F178" s="153" t="s">
        <v>1615</v>
      </c>
      <c r="G178" s="106" t="s">
        <v>1543</v>
      </c>
      <c r="H178" s="159"/>
      <c r="I178" s="159">
        <v>3.47</v>
      </c>
      <c r="J178" s="131">
        <f t="shared" si="11"/>
        <v>213085.85000000009</v>
      </c>
    </row>
    <row r="179" spans="2:10" x14ac:dyDescent="0.2">
      <c r="B179" s="103"/>
      <c r="C179" s="157">
        <v>41712</v>
      </c>
      <c r="D179" s="158"/>
      <c r="E179" s="152" t="s">
        <v>1597</v>
      </c>
      <c r="F179" s="153" t="s">
        <v>1614</v>
      </c>
      <c r="G179" s="106" t="s">
        <v>1537</v>
      </c>
      <c r="H179" s="159"/>
      <c r="I179" s="159">
        <v>21.74</v>
      </c>
      <c r="J179" s="131">
        <f t="shared" si="11"/>
        <v>213064.1100000001</v>
      </c>
    </row>
    <row r="180" spans="2:10" x14ac:dyDescent="0.2">
      <c r="B180" s="113"/>
      <c r="C180" s="160">
        <v>41712</v>
      </c>
      <c r="D180" s="161"/>
      <c r="E180" s="152" t="s">
        <v>1597</v>
      </c>
      <c r="F180" s="162" t="s">
        <v>1616</v>
      </c>
      <c r="G180" s="106" t="s">
        <v>1543</v>
      </c>
      <c r="H180" s="163"/>
      <c r="I180" s="163">
        <v>3.47</v>
      </c>
      <c r="J180" s="131">
        <f t="shared" si="11"/>
        <v>213060.6400000001</v>
      </c>
    </row>
    <row r="181" spans="2:10" x14ac:dyDescent="0.2">
      <c r="B181" s="103"/>
      <c r="C181" s="103">
        <v>41716</v>
      </c>
      <c r="D181" s="104"/>
      <c r="E181" s="138" t="s">
        <v>1592</v>
      </c>
      <c r="F181" s="105" t="s">
        <v>1617</v>
      </c>
      <c r="G181" s="110"/>
      <c r="H181" s="93"/>
      <c r="I181" s="93">
        <v>27900</v>
      </c>
      <c r="J181" s="131">
        <f t="shared" si="11"/>
        <v>185160.6400000001</v>
      </c>
    </row>
    <row r="182" spans="2:10" x14ac:dyDescent="0.2">
      <c r="B182" s="113"/>
      <c r="C182" s="113">
        <v>41722</v>
      </c>
      <c r="D182" s="114"/>
      <c r="E182" s="108"/>
      <c r="F182" s="134" t="s">
        <v>1583</v>
      </c>
      <c r="G182" s="135"/>
      <c r="H182" s="115">
        <v>40000</v>
      </c>
      <c r="I182" s="115"/>
      <c r="J182" s="131">
        <f t="shared" si="11"/>
        <v>225160.6400000001</v>
      </c>
    </row>
    <row r="183" spans="2:10" x14ac:dyDescent="0.2">
      <c r="B183" s="103"/>
      <c r="C183" s="103">
        <v>41722</v>
      </c>
      <c r="D183" s="104">
        <v>603</v>
      </c>
      <c r="E183" s="138"/>
      <c r="F183" s="105" t="s">
        <v>1618</v>
      </c>
      <c r="G183" s="110"/>
      <c r="H183" s="93">
        <v>800</v>
      </c>
      <c r="I183" s="93"/>
      <c r="J183" s="131">
        <f t="shared" si="11"/>
        <v>225960.6400000001</v>
      </c>
    </row>
    <row r="184" spans="2:10" x14ac:dyDescent="0.2">
      <c r="B184" s="113"/>
      <c r="C184" s="146">
        <v>41722</v>
      </c>
      <c r="D184" s="114">
        <v>462</v>
      </c>
      <c r="E184" s="108" t="s">
        <v>805</v>
      </c>
      <c r="F184" s="144" t="s">
        <v>1619</v>
      </c>
      <c r="G184" s="106" t="s">
        <v>806</v>
      </c>
      <c r="H184" s="115">
        <v>10000</v>
      </c>
      <c r="I184" s="115"/>
      <c r="J184" s="131">
        <f t="shared" si="11"/>
        <v>235960.6400000001</v>
      </c>
    </row>
    <row r="185" spans="2:10" x14ac:dyDescent="0.2">
      <c r="B185" s="113"/>
      <c r="C185" s="146">
        <v>41722</v>
      </c>
      <c r="D185" s="114"/>
      <c r="E185" s="108" t="s">
        <v>805</v>
      </c>
      <c r="F185" s="144" t="s">
        <v>1596</v>
      </c>
      <c r="G185" s="106" t="s">
        <v>1543</v>
      </c>
      <c r="H185" s="115">
        <v>1600</v>
      </c>
      <c r="I185" s="115"/>
      <c r="J185" s="131">
        <f t="shared" si="11"/>
        <v>237560.6400000001</v>
      </c>
    </row>
    <row r="186" spans="2:10" x14ac:dyDescent="0.2">
      <c r="B186" s="103"/>
      <c r="C186" s="157">
        <v>41729</v>
      </c>
      <c r="D186" s="158"/>
      <c r="E186" s="164" t="s">
        <v>1597</v>
      </c>
      <c r="F186" s="153" t="s">
        <v>1579</v>
      </c>
      <c r="G186" s="106" t="s">
        <v>1537</v>
      </c>
      <c r="H186" s="159"/>
      <c r="I186" s="159">
        <v>16</v>
      </c>
      <c r="J186" s="131">
        <f t="shared" si="11"/>
        <v>237544.6400000001</v>
      </c>
    </row>
    <row r="187" spans="2:10" x14ac:dyDescent="0.2">
      <c r="B187" s="120"/>
      <c r="C187" s="157">
        <v>41729</v>
      </c>
      <c r="D187" s="165"/>
      <c r="E187" s="164" t="s">
        <v>1597</v>
      </c>
      <c r="F187" s="166" t="s">
        <v>1620</v>
      </c>
      <c r="G187" s="106" t="s">
        <v>1543</v>
      </c>
      <c r="H187" s="167"/>
      <c r="I187" s="167">
        <v>2.56</v>
      </c>
      <c r="J187" s="131">
        <f t="shared" si="11"/>
        <v>237542.0800000001</v>
      </c>
    </row>
    <row r="188" spans="2:10" ht="25.5" x14ac:dyDescent="0.2">
      <c r="B188" s="94" t="s">
        <v>1525</v>
      </c>
      <c r="C188" s="94" t="s">
        <v>1526</v>
      </c>
      <c r="D188" s="95" t="s">
        <v>1527</v>
      </c>
      <c r="E188" s="149"/>
      <c r="F188" s="52" t="s">
        <v>1529</v>
      </c>
      <c r="G188" s="3" t="s">
        <v>3</v>
      </c>
      <c r="H188" s="96" t="s">
        <v>1530</v>
      </c>
      <c r="I188" s="96" t="s">
        <v>1531</v>
      </c>
      <c r="J188" s="96" t="s">
        <v>1532</v>
      </c>
    </row>
    <row r="189" spans="2:10" x14ac:dyDescent="0.2">
      <c r="B189" s="126"/>
      <c r="C189" s="126">
        <v>41731</v>
      </c>
      <c r="D189" s="127">
        <v>62</v>
      </c>
      <c r="E189" s="108" t="s">
        <v>1592</v>
      </c>
      <c r="F189" s="105" t="s">
        <v>1621</v>
      </c>
      <c r="G189" s="110"/>
      <c r="H189" s="131"/>
      <c r="I189" s="131">
        <v>27900</v>
      </c>
      <c r="J189" s="131">
        <f>+J187+H189-I189</f>
        <v>209642.0800000001</v>
      </c>
    </row>
    <row r="190" spans="2:10" x14ac:dyDescent="0.2">
      <c r="B190" s="103"/>
      <c r="C190" s="103">
        <v>41736</v>
      </c>
      <c r="D190" s="104"/>
      <c r="E190" s="108"/>
      <c r="F190" s="105" t="s">
        <v>1583</v>
      </c>
      <c r="G190" s="110"/>
      <c r="H190" s="93">
        <v>19500</v>
      </c>
      <c r="I190" s="93"/>
      <c r="J190" s="131">
        <f>+J189+H190-I190</f>
        <v>229142.0800000001</v>
      </c>
    </row>
    <row r="191" spans="2:10" x14ac:dyDescent="0.2">
      <c r="B191" s="103"/>
      <c r="C191" s="103">
        <v>41736</v>
      </c>
      <c r="D191" s="104">
        <v>140</v>
      </c>
      <c r="E191" s="108"/>
      <c r="F191" s="168" t="s">
        <v>1622</v>
      </c>
      <c r="G191" s="110"/>
      <c r="H191" s="93">
        <v>1200</v>
      </c>
      <c r="I191" s="93"/>
      <c r="J191" s="131">
        <f>+J190+H191-I191</f>
        <v>230342.0800000001</v>
      </c>
    </row>
    <row r="192" spans="2:10" x14ac:dyDescent="0.2">
      <c r="B192" s="103"/>
      <c r="C192" s="103">
        <v>41736</v>
      </c>
      <c r="D192" s="104"/>
      <c r="E192" s="108" t="s">
        <v>1597</v>
      </c>
      <c r="F192" s="105" t="s">
        <v>1598</v>
      </c>
      <c r="G192" s="106" t="s">
        <v>1537</v>
      </c>
      <c r="H192" s="93"/>
      <c r="I192" s="93">
        <v>30</v>
      </c>
      <c r="J192" s="131">
        <f t="shared" ref="J192:J244" si="12">+J191+H192-I192</f>
        <v>230312.0800000001</v>
      </c>
    </row>
    <row r="193" spans="2:10" x14ac:dyDescent="0.2">
      <c r="B193" s="103"/>
      <c r="C193" s="103">
        <v>41736</v>
      </c>
      <c r="D193" s="104"/>
      <c r="E193" s="108" t="s">
        <v>1597</v>
      </c>
      <c r="F193" s="105" t="s">
        <v>1613</v>
      </c>
      <c r="G193" s="106" t="s">
        <v>1543</v>
      </c>
      <c r="H193" s="93"/>
      <c r="I193" s="93">
        <v>4.8</v>
      </c>
      <c r="J193" s="131">
        <f t="shared" si="12"/>
        <v>230307.28000000012</v>
      </c>
    </row>
    <row r="194" spans="2:10" x14ac:dyDescent="0.2">
      <c r="B194" s="103"/>
      <c r="C194" s="107">
        <v>41736</v>
      </c>
      <c r="D194" s="104"/>
      <c r="E194" s="108" t="s">
        <v>1534</v>
      </c>
      <c r="F194" s="105" t="s">
        <v>1623</v>
      </c>
      <c r="G194" s="106" t="s">
        <v>211</v>
      </c>
      <c r="H194" s="93">
        <v>300</v>
      </c>
      <c r="I194" s="93"/>
      <c r="J194" s="131">
        <f t="shared" si="12"/>
        <v>230607.28000000012</v>
      </c>
    </row>
    <row r="195" spans="2:10" x14ac:dyDescent="0.2">
      <c r="B195" s="103"/>
      <c r="C195" s="103">
        <v>41736</v>
      </c>
      <c r="D195" s="104"/>
      <c r="E195" s="108" t="s">
        <v>1534</v>
      </c>
      <c r="F195" s="105" t="s">
        <v>1536</v>
      </c>
      <c r="G195" s="106" t="s">
        <v>1537</v>
      </c>
      <c r="H195" s="93">
        <v>0.46</v>
      </c>
      <c r="I195" s="93"/>
      <c r="J195" s="131">
        <f t="shared" si="12"/>
        <v>230607.74000000011</v>
      </c>
    </row>
    <row r="196" spans="2:10" x14ac:dyDescent="0.2">
      <c r="B196" s="113"/>
      <c r="C196" s="146">
        <v>41737</v>
      </c>
      <c r="D196" s="114"/>
      <c r="E196" s="108" t="s">
        <v>1534</v>
      </c>
      <c r="F196" s="134" t="s">
        <v>1624</v>
      </c>
      <c r="G196" s="169" t="s">
        <v>211</v>
      </c>
      <c r="H196" s="115">
        <v>300</v>
      </c>
      <c r="I196" s="115"/>
      <c r="J196" s="131">
        <f t="shared" si="12"/>
        <v>230907.74000000011</v>
      </c>
    </row>
    <row r="197" spans="2:10" x14ac:dyDescent="0.2">
      <c r="B197" s="103"/>
      <c r="C197" s="103">
        <v>41737</v>
      </c>
      <c r="D197" s="104"/>
      <c r="E197" s="108" t="s">
        <v>1534</v>
      </c>
      <c r="F197" s="105" t="s">
        <v>1536</v>
      </c>
      <c r="G197" s="106" t="s">
        <v>1537</v>
      </c>
      <c r="H197" s="93">
        <v>0.46</v>
      </c>
      <c r="I197" s="93"/>
      <c r="J197" s="131">
        <f>+J196+H197-I197</f>
        <v>230908.2000000001</v>
      </c>
    </row>
    <row r="198" spans="2:10" x14ac:dyDescent="0.2">
      <c r="B198" s="113"/>
      <c r="C198" s="113">
        <v>41745</v>
      </c>
      <c r="D198" s="114">
        <v>64</v>
      </c>
      <c r="E198" s="108" t="s">
        <v>1592</v>
      </c>
      <c r="F198" s="170" t="s">
        <v>1625</v>
      </c>
      <c r="G198" s="171"/>
      <c r="H198" s="115"/>
      <c r="I198" s="115">
        <v>27900</v>
      </c>
      <c r="J198" s="131">
        <f t="shared" si="12"/>
        <v>203008.2000000001</v>
      </c>
    </row>
    <row r="199" spans="2:10" x14ac:dyDescent="0.2">
      <c r="B199" s="103"/>
      <c r="C199" s="103">
        <v>41745</v>
      </c>
      <c r="D199" s="104"/>
      <c r="E199" s="138"/>
      <c r="F199" s="129" t="s">
        <v>1583</v>
      </c>
      <c r="G199" s="110"/>
      <c r="H199" s="93">
        <v>11000</v>
      </c>
      <c r="I199" s="93"/>
      <c r="J199" s="131">
        <f>+J198+H199-I199</f>
        <v>214008.2000000001</v>
      </c>
    </row>
    <row r="200" spans="2:10" x14ac:dyDescent="0.2">
      <c r="B200" s="113"/>
      <c r="C200" s="113">
        <v>41752</v>
      </c>
      <c r="D200" s="114">
        <v>3079</v>
      </c>
      <c r="E200" s="108" t="s">
        <v>1626</v>
      </c>
      <c r="F200" s="134"/>
      <c r="G200" s="135"/>
      <c r="H200" s="115">
        <v>800</v>
      </c>
      <c r="I200" s="115"/>
      <c r="J200" s="131">
        <f t="shared" si="12"/>
        <v>214808.2000000001</v>
      </c>
    </row>
    <row r="201" spans="2:10" x14ac:dyDescent="0.2">
      <c r="B201" s="103"/>
      <c r="C201" s="103">
        <v>41758</v>
      </c>
      <c r="D201" s="104">
        <v>66</v>
      </c>
      <c r="E201" s="122" t="s">
        <v>1592</v>
      </c>
      <c r="F201" s="105" t="s">
        <v>1627</v>
      </c>
      <c r="G201" s="110"/>
      <c r="H201" s="93"/>
      <c r="I201" s="93">
        <v>27900</v>
      </c>
      <c r="J201" s="131">
        <f t="shared" si="12"/>
        <v>186908.2000000001</v>
      </c>
    </row>
    <row r="202" spans="2:10" x14ac:dyDescent="0.2">
      <c r="B202" s="103"/>
      <c r="C202" s="107">
        <v>41759</v>
      </c>
      <c r="D202" s="104"/>
      <c r="E202" s="108" t="s">
        <v>1547</v>
      </c>
      <c r="F202" s="105" t="s">
        <v>1628</v>
      </c>
      <c r="G202" s="106" t="s">
        <v>571</v>
      </c>
      <c r="H202" s="93">
        <v>800</v>
      </c>
      <c r="I202" s="93"/>
      <c r="J202" s="131">
        <f t="shared" si="12"/>
        <v>187708.2000000001</v>
      </c>
    </row>
    <row r="203" spans="2:10" x14ac:dyDescent="0.2">
      <c r="B203" s="103"/>
      <c r="C203" s="103">
        <v>41759</v>
      </c>
      <c r="D203" s="104"/>
      <c r="E203" s="108" t="s">
        <v>1547</v>
      </c>
      <c r="F203" s="105" t="s">
        <v>1536</v>
      </c>
      <c r="G203" s="106" t="s">
        <v>1537</v>
      </c>
      <c r="H203" s="93">
        <v>0.15</v>
      </c>
      <c r="I203" s="93"/>
      <c r="J203" s="131">
        <f t="shared" si="12"/>
        <v>187708.35000000009</v>
      </c>
    </row>
    <row r="204" spans="2:10" x14ac:dyDescent="0.2">
      <c r="B204" s="103"/>
      <c r="C204" s="103">
        <v>41759</v>
      </c>
      <c r="D204" s="104"/>
      <c r="E204" s="122" t="s">
        <v>1597</v>
      </c>
      <c r="F204" s="105" t="s">
        <v>1579</v>
      </c>
      <c r="G204" s="106" t="s">
        <v>1537</v>
      </c>
      <c r="H204" s="93"/>
      <c r="I204" s="93">
        <v>36</v>
      </c>
      <c r="J204" s="131">
        <f t="shared" si="12"/>
        <v>187672.35000000009</v>
      </c>
    </row>
    <row r="205" spans="2:10" x14ac:dyDescent="0.2">
      <c r="B205" s="103"/>
      <c r="C205" s="103">
        <v>41759</v>
      </c>
      <c r="D205" s="104"/>
      <c r="E205" s="122" t="s">
        <v>1597</v>
      </c>
      <c r="F205" s="105" t="s">
        <v>1620</v>
      </c>
      <c r="G205" s="106" t="s">
        <v>1543</v>
      </c>
      <c r="H205" s="93"/>
      <c r="I205" s="93">
        <v>5.76</v>
      </c>
      <c r="J205" s="131">
        <f t="shared" si="12"/>
        <v>187666.59000000008</v>
      </c>
    </row>
    <row r="206" spans="2:10" ht="25.5" x14ac:dyDescent="0.2">
      <c r="B206" s="94" t="s">
        <v>1525</v>
      </c>
      <c r="C206" s="94" t="s">
        <v>1526</v>
      </c>
      <c r="D206" s="95" t="s">
        <v>1527</v>
      </c>
      <c r="E206" s="149"/>
      <c r="F206" s="52" t="s">
        <v>1529</v>
      </c>
      <c r="G206" s="3" t="s">
        <v>3</v>
      </c>
      <c r="H206" s="96" t="s">
        <v>1530</v>
      </c>
      <c r="I206" s="96" t="s">
        <v>1531</v>
      </c>
      <c r="J206" s="96" t="s">
        <v>1532</v>
      </c>
    </row>
    <row r="207" spans="2:10" x14ac:dyDescent="0.2">
      <c r="B207" s="103"/>
      <c r="C207" s="107">
        <v>41765</v>
      </c>
      <c r="D207" s="104"/>
      <c r="E207" s="122" t="s">
        <v>1534</v>
      </c>
      <c r="F207" s="105" t="s">
        <v>1629</v>
      </c>
      <c r="G207" s="106" t="s">
        <v>211</v>
      </c>
      <c r="H207" s="93">
        <v>300</v>
      </c>
      <c r="I207" s="93"/>
      <c r="J207" s="131">
        <f>+J205+H207-I207</f>
        <v>187966.59000000008</v>
      </c>
    </row>
    <row r="208" spans="2:10" x14ac:dyDescent="0.2">
      <c r="B208" s="103"/>
      <c r="C208" s="103">
        <v>41765</v>
      </c>
      <c r="D208" s="104"/>
      <c r="E208" s="108" t="s">
        <v>1534</v>
      </c>
      <c r="F208" s="105" t="s">
        <v>1536</v>
      </c>
      <c r="G208" s="106" t="s">
        <v>1537</v>
      </c>
      <c r="H208" s="93">
        <v>0.46</v>
      </c>
      <c r="I208" s="93"/>
      <c r="J208" s="131">
        <f t="shared" si="12"/>
        <v>187967.05000000008</v>
      </c>
    </row>
    <row r="209" spans="2:10" x14ac:dyDescent="0.2">
      <c r="B209" s="103"/>
      <c r="C209" s="103">
        <v>41766</v>
      </c>
      <c r="D209" s="104"/>
      <c r="E209" s="122"/>
      <c r="F209" s="105" t="s">
        <v>1583</v>
      </c>
      <c r="G209" s="110"/>
      <c r="H209" s="93">
        <v>17000</v>
      </c>
      <c r="I209" s="93"/>
      <c r="J209" s="131">
        <f t="shared" si="12"/>
        <v>204967.05000000008</v>
      </c>
    </row>
    <row r="210" spans="2:10" x14ac:dyDescent="0.2">
      <c r="B210" s="103"/>
      <c r="C210" s="103">
        <v>41766</v>
      </c>
      <c r="D210" s="104"/>
      <c r="E210" s="122"/>
      <c r="F210" s="105" t="s">
        <v>1630</v>
      </c>
      <c r="G210" s="110"/>
      <c r="H210" s="93">
        <v>1200</v>
      </c>
      <c r="I210" s="93"/>
      <c r="J210" s="131">
        <f t="shared" si="12"/>
        <v>206167.05000000008</v>
      </c>
    </row>
    <row r="211" spans="2:10" x14ac:dyDescent="0.2">
      <c r="B211" s="103"/>
      <c r="C211" s="103">
        <v>41774</v>
      </c>
      <c r="D211" s="104">
        <v>67</v>
      </c>
      <c r="E211" s="122" t="s">
        <v>1592</v>
      </c>
      <c r="F211" s="105" t="s">
        <v>1631</v>
      </c>
      <c r="G211" s="110"/>
      <c r="H211" s="93"/>
      <c r="I211" s="93">
        <v>27900</v>
      </c>
      <c r="J211" s="131">
        <f t="shared" si="12"/>
        <v>178267.05000000008</v>
      </c>
    </row>
    <row r="212" spans="2:10" x14ac:dyDescent="0.2">
      <c r="B212" s="103"/>
      <c r="C212" s="107">
        <v>41785</v>
      </c>
      <c r="D212" s="104">
        <v>7527</v>
      </c>
      <c r="E212" s="108" t="s">
        <v>805</v>
      </c>
      <c r="F212" s="144" t="s">
        <v>1632</v>
      </c>
      <c r="G212" s="106" t="s">
        <v>806</v>
      </c>
      <c r="H212" s="93">
        <v>10000</v>
      </c>
      <c r="I212" s="93"/>
      <c r="J212" s="131">
        <f t="shared" si="12"/>
        <v>188267.05000000008</v>
      </c>
    </row>
    <row r="213" spans="2:10" x14ac:dyDescent="0.2">
      <c r="B213" s="103"/>
      <c r="C213" s="107">
        <v>41785</v>
      </c>
      <c r="D213" s="104"/>
      <c r="E213" s="108" t="s">
        <v>805</v>
      </c>
      <c r="F213" s="144" t="s">
        <v>1596</v>
      </c>
      <c r="G213" s="106" t="s">
        <v>1543</v>
      </c>
      <c r="H213" s="93">
        <v>1600</v>
      </c>
      <c r="I213" s="93"/>
      <c r="J213" s="131">
        <f t="shared" si="12"/>
        <v>189867.05000000008</v>
      </c>
    </row>
    <row r="214" spans="2:10" x14ac:dyDescent="0.2">
      <c r="B214" s="103"/>
      <c r="C214" s="107">
        <v>41785</v>
      </c>
      <c r="D214" s="104">
        <v>7528</v>
      </c>
      <c r="E214" s="108" t="s">
        <v>805</v>
      </c>
      <c r="F214" s="144" t="s">
        <v>1633</v>
      </c>
      <c r="G214" s="106" t="s">
        <v>806</v>
      </c>
      <c r="H214" s="93">
        <v>10000</v>
      </c>
      <c r="I214" s="93"/>
      <c r="J214" s="131">
        <f t="shared" si="12"/>
        <v>199867.05000000008</v>
      </c>
    </row>
    <row r="215" spans="2:10" x14ac:dyDescent="0.2">
      <c r="B215" s="103"/>
      <c r="C215" s="107">
        <v>41785</v>
      </c>
      <c r="D215" s="104"/>
      <c r="E215" s="108" t="s">
        <v>805</v>
      </c>
      <c r="F215" s="144" t="s">
        <v>1596</v>
      </c>
      <c r="G215" s="106" t="s">
        <v>1543</v>
      </c>
      <c r="H215" s="93">
        <v>1600</v>
      </c>
      <c r="I215" s="93"/>
      <c r="J215" s="131">
        <f t="shared" si="12"/>
        <v>201467.05000000008</v>
      </c>
    </row>
    <row r="216" spans="2:10" x14ac:dyDescent="0.2">
      <c r="B216" s="103"/>
      <c r="C216" s="103">
        <v>41785</v>
      </c>
      <c r="D216" s="104"/>
      <c r="E216" s="122"/>
      <c r="F216" s="105" t="s">
        <v>1630</v>
      </c>
      <c r="G216" s="110"/>
      <c r="H216" s="93">
        <v>800</v>
      </c>
      <c r="I216" s="93"/>
      <c r="J216" s="131">
        <f t="shared" si="12"/>
        <v>202267.05000000008</v>
      </c>
    </row>
    <row r="217" spans="2:10" x14ac:dyDescent="0.2">
      <c r="B217" s="103"/>
      <c r="C217" s="103">
        <v>41787</v>
      </c>
      <c r="D217" s="104"/>
      <c r="E217" s="122" t="s">
        <v>1592</v>
      </c>
      <c r="F217" s="105" t="s">
        <v>1634</v>
      </c>
      <c r="G217" s="110"/>
      <c r="H217" s="93"/>
      <c r="I217" s="93">
        <v>27900</v>
      </c>
      <c r="J217" s="131">
        <f t="shared" si="12"/>
        <v>174367.05000000008</v>
      </c>
    </row>
    <row r="218" spans="2:10" x14ac:dyDescent="0.2">
      <c r="B218" s="103"/>
      <c r="C218" s="103">
        <v>41789</v>
      </c>
      <c r="D218" s="104"/>
      <c r="E218" s="122" t="s">
        <v>1597</v>
      </c>
      <c r="F218" s="105" t="s">
        <v>1579</v>
      </c>
      <c r="G218" s="106" t="s">
        <v>1537</v>
      </c>
      <c r="H218" s="93"/>
      <c r="I218" s="93">
        <v>24</v>
      </c>
      <c r="J218" s="131">
        <f t="shared" si="12"/>
        <v>174343.05000000008</v>
      </c>
    </row>
    <row r="219" spans="2:10" x14ac:dyDescent="0.2">
      <c r="B219" s="103"/>
      <c r="C219" s="103">
        <v>41789</v>
      </c>
      <c r="D219" s="104"/>
      <c r="E219" s="122" t="s">
        <v>1597</v>
      </c>
      <c r="F219" s="105" t="s">
        <v>1620</v>
      </c>
      <c r="G219" s="106" t="s">
        <v>1543</v>
      </c>
      <c r="H219" s="93"/>
      <c r="I219" s="93">
        <v>3.84</v>
      </c>
      <c r="J219" s="131">
        <f t="shared" si="12"/>
        <v>174339.21000000008</v>
      </c>
    </row>
    <row r="220" spans="2:10" ht="25.5" x14ac:dyDescent="0.2">
      <c r="B220" s="94" t="s">
        <v>1525</v>
      </c>
      <c r="C220" s="94" t="s">
        <v>1526</v>
      </c>
      <c r="D220" s="95" t="s">
        <v>1527</v>
      </c>
      <c r="E220" s="149"/>
      <c r="F220" s="52" t="s">
        <v>1529</v>
      </c>
      <c r="G220" s="3" t="s">
        <v>3</v>
      </c>
      <c r="H220" s="96" t="s">
        <v>1530</v>
      </c>
      <c r="I220" s="96" t="s">
        <v>1531</v>
      </c>
      <c r="J220" s="96" t="s">
        <v>1532</v>
      </c>
    </row>
    <row r="221" spans="2:10" x14ac:dyDescent="0.2">
      <c r="B221" s="103"/>
      <c r="C221" s="103">
        <v>41799</v>
      </c>
      <c r="D221" s="104"/>
      <c r="E221" s="122" t="s">
        <v>1597</v>
      </c>
      <c r="F221" s="105" t="s">
        <v>1635</v>
      </c>
      <c r="G221" s="106" t="s">
        <v>1537</v>
      </c>
      <c r="H221" s="93"/>
      <c r="I221" s="93">
        <v>30</v>
      </c>
      <c r="J221" s="131">
        <f>+J219+H221-I221</f>
        <v>174309.21000000008</v>
      </c>
    </row>
    <row r="222" spans="2:10" x14ac:dyDescent="0.2">
      <c r="B222" s="103"/>
      <c r="C222" s="103">
        <v>41799</v>
      </c>
      <c r="D222" s="104"/>
      <c r="E222" s="122" t="s">
        <v>1597</v>
      </c>
      <c r="F222" s="105" t="s">
        <v>1636</v>
      </c>
      <c r="G222" s="106" t="s">
        <v>1543</v>
      </c>
      <c r="H222" s="93"/>
      <c r="I222" s="93">
        <v>4.8</v>
      </c>
      <c r="J222" s="131">
        <f t="shared" si="12"/>
        <v>174304.41000000009</v>
      </c>
    </row>
    <row r="223" spans="2:10" x14ac:dyDescent="0.2">
      <c r="B223" s="103"/>
      <c r="C223" s="107">
        <v>41800</v>
      </c>
      <c r="D223" s="104"/>
      <c r="E223" s="122" t="s">
        <v>1534</v>
      </c>
      <c r="F223" s="105" t="s">
        <v>1637</v>
      </c>
      <c r="G223" s="106" t="s">
        <v>211</v>
      </c>
      <c r="H223" s="93">
        <v>300</v>
      </c>
      <c r="I223" s="93"/>
      <c r="J223" s="131">
        <f t="shared" si="12"/>
        <v>174604.41000000009</v>
      </c>
    </row>
    <row r="224" spans="2:10" x14ac:dyDescent="0.2">
      <c r="B224" s="103"/>
      <c r="C224" s="103">
        <v>41800</v>
      </c>
      <c r="D224" s="104"/>
      <c r="E224" s="108" t="s">
        <v>1534</v>
      </c>
      <c r="F224" s="105" t="s">
        <v>1536</v>
      </c>
      <c r="G224" s="106" t="s">
        <v>1537</v>
      </c>
      <c r="H224" s="93">
        <v>0.46</v>
      </c>
      <c r="I224" s="93"/>
      <c r="J224" s="131">
        <f t="shared" si="12"/>
        <v>174604.87000000008</v>
      </c>
    </row>
    <row r="225" spans="2:10" x14ac:dyDescent="0.2">
      <c r="B225" s="103"/>
      <c r="C225" s="103">
        <v>41810</v>
      </c>
      <c r="D225" s="104"/>
      <c r="E225" s="122" t="s">
        <v>1547</v>
      </c>
      <c r="F225" s="105" t="s">
        <v>1638</v>
      </c>
      <c r="G225" s="106" t="s">
        <v>571</v>
      </c>
      <c r="H225" s="93">
        <v>400</v>
      </c>
      <c r="I225" s="93"/>
      <c r="J225" s="131">
        <f t="shared" si="12"/>
        <v>175004.87000000008</v>
      </c>
    </row>
    <row r="226" spans="2:10" x14ac:dyDescent="0.2">
      <c r="B226" s="103"/>
      <c r="C226" s="103">
        <v>41810</v>
      </c>
      <c r="D226" s="104"/>
      <c r="E226" s="108" t="s">
        <v>1547</v>
      </c>
      <c r="F226" s="105" t="s">
        <v>1536</v>
      </c>
      <c r="G226" s="106" t="s">
        <v>1537</v>
      </c>
      <c r="H226" s="93">
        <v>0.15</v>
      </c>
      <c r="I226" s="93"/>
      <c r="J226" s="131">
        <f t="shared" si="12"/>
        <v>175005.02000000008</v>
      </c>
    </row>
    <row r="227" spans="2:10" x14ac:dyDescent="0.2">
      <c r="B227" s="103"/>
      <c r="C227" s="103">
        <v>41810</v>
      </c>
      <c r="D227" s="104">
        <v>70</v>
      </c>
      <c r="E227" s="122"/>
      <c r="F227" s="105" t="s">
        <v>1639</v>
      </c>
      <c r="G227" s="110"/>
      <c r="H227" s="93"/>
      <c r="I227" s="93">
        <v>30000</v>
      </c>
      <c r="J227" s="131">
        <f t="shared" si="12"/>
        <v>145005.02000000008</v>
      </c>
    </row>
    <row r="228" spans="2:10" x14ac:dyDescent="0.2">
      <c r="B228" s="103"/>
      <c r="C228" s="107">
        <v>41820</v>
      </c>
      <c r="D228" s="104">
        <v>7545</v>
      </c>
      <c r="E228" s="108" t="s">
        <v>805</v>
      </c>
      <c r="F228" s="144" t="s">
        <v>1640</v>
      </c>
      <c r="G228" s="106" t="s">
        <v>806</v>
      </c>
      <c r="H228" s="93">
        <v>10000</v>
      </c>
      <c r="I228" s="93"/>
      <c r="J228" s="131">
        <f t="shared" si="12"/>
        <v>155005.02000000008</v>
      </c>
    </row>
    <row r="229" spans="2:10" x14ac:dyDescent="0.2">
      <c r="B229" s="103"/>
      <c r="C229" s="107">
        <v>41820</v>
      </c>
      <c r="D229" s="104"/>
      <c r="E229" s="108" t="s">
        <v>805</v>
      </c>
      <c r="F229" s="144" t="s">
        <v>1596</v>
      </c>
      <c r="G229" s="106" t="s">
        <v>1543</v>
      </c>
      <c r="H229" s="93">
        <v>1600</v>
      </c>
      <c r="I229" s="93"/>
      <c r="J229" s="131">
        <f t="shared" si="12"/>
        <v>156605.02000000008</v>
      </c>
    </row>
    <row r="230" spans="2:10" x14ac:dyDescent="0.2">
      <c r="B230" s="103"/>
      <c r="C230" s="103">
        <v>41820</v>
      </c>
      <c r="D230" s="104">
        <v>221</v>
      </c>
      <c r="E230" s="122"/>
      <c r="F230" s="105" t="s">
        <v>1641</v>
      </c>
      <c r="G230" s="110"/>
      <c r="H230" s="93"/>
      <c r="I230" s="93">
        <v>25000</v>
      </c>
      <c r="J230" s="131">
        <f t="shared" si="12"/>
        <v>131605.02000000008</v>
      </c>
    </row>
    <row r="231" spans="2:10" x14ac:dyDescent="0.2">
      <c r="B231" s="103"/>
      <c r="C231" s="103">
        <v>41820</v>
      </c>
      <c r="D231" s="104"/>
      <c r="E231" s="122" t="s">
        <v>1597</v>
      </c>
      <c r="F231" s="105" t="s">
        <v>1642</v>
      </c>
      <c r="G231" s="106" t="s">
        <v>1537</v>
      </c>
      <c r="H231" s="93"/>
      <c r="I231" s="93">
        <v>24</v>
      </c>
      <c r="J231" s="131">
        <f t="shared" si="12"/>
        <v>131581.02000000008</v>
      </c>
    </row>
    <row r="232" spans="2:10" x14ac:dyDescent="0.2">
      <c r="B232" s="103"/>
      <c r="C232" s="103">
        <v>41820</v>
      </c>
      <c r="D232" s="104"/>
      <c r="E232" s="122" t="s">
        <v>1597</v>
      </c>
      <c r="F232" s="105" t="s">
        <v>1620</v>
      </c>
      <c r="G232" s="106" t="s">
        <v>1543</v>
      </c>
      <c r="H232" s="93"/>
      <c r="I232" s="93">
        <v>3.84</v>
      </c>
      <c r="J232" s="131">
        <f t="shared" si="12"/>
        <v>131577.18000000008</v>
      </c>
    </row>
    <row r="233" spans="2:10" ht="25.5" x14ac:dyDescent="0.2">
      <c r="B233" s="94" t="s">
        <v>1525</v>
      </c>
      <c r="C233" s="94" t="s">
        <v>1526</v>
      </c>
      <c r="D233" s="95" t="s">
        <v>1527</v>
      </c>
      <c r="E233" s="149"/>
      <c r="F233" s="52" t="s">
        <v>1529</v>
      </c>
      <c r="G233" s="3" t="s">
        <v>3</v>
      </c>
      <c r="H233" s="96" t="s">
        <v>1530</v>
      </c>
      <c r="I233" s="96" t="s">
        <v>1531</v>
      </c>
      <c r="J233" s="96" t="s">
        <v>1532</v>
      </c>
    </row>
    <row r="234" spans="2:10" x14ac:dyDescent="0.2">
      <c r="B234" s="103"/>
      <c r="C234" s="107">
        <v>41825</v>
      </c>
      <c r="D234" s="104"/>
      <c r="E234" s="122" t="s">
        <v>1534</v>
      </c>
      <c r="F234" s="105" t="s">
        <v>1643</v>
      </c>
      <c r="G234" s="106" t="s">
        <v>211</v>
      </c>
      <c r="H234" s="93">
        <v>300</v>
      </c>
      <c r="I234" s="93"/>
      <c r="J234" s="131">
        <f>+J232+H234-I234</f>
        <v>131877.18000000008</v>
      </c>
    </row>
    <row r="235" spans="2:10" x14ac:dyDescent="0.2">
      <c r="B235" s="103"/>
      <c r="C235" s="103">
        <v>41825</v>
      </c>
      <c r="D235" s="104"/>
      <c r="E235" s="108" t="s">
        <v>1534</v>
      </c>
      <c r="F235" s="105" t="s">
        <v>1536</v>
      </c>
      <c r="G235" s="106" t="s">
        <v>1537</v>
      </c>
      <c r="H235" s="93">
        <v>0.46</v>
      </c>
      <c r="I235" s="93"/>
      <c r="J235" s="131">
        <f t="shared" si="12"/>
        <v>131877.64000000007</v>
      </c>
    </row>
    <row r="236" spans="2:10" x14ac:dyDescent="0.2">
      <c r="B236" s="103"/>
      <c r="C236" s="103">
        <v>41827</v>
      </c>
      <c r="D236" s="104"/>
      <c r="E236" s="122" t="s">
        <v>1597</v>
      </c>
      <c r="F236" s="105" t="s">
        <v>1598</v>
      </c>
      <c r="G236" s="106" t="s">
        <v>1537</v>
      </c>
      <c r="H236" s="93"/>
      <c r="I236" s="93">
        <v>30</v>
      </c>
      <c r="J236" s="131">
        <f>+J235+H236-I236</f>
        <v>131847.64000000007</v>
      </c>
    </row>
    <row r="237" spans="2:10" x14ac:dyDescent="0.2">
      <c r="B237" s="103"/>
      <c r="C237" s="103">
        <v>41827</v>
      </c>
      <c r="D237" s="104"/>
      <c r="E237" s="122" t="s">
        <v>1597</v>
      </c>
      <c r="F237" s="105" t="s">
        <v>1613</v>
      </c>
      <c r="G237" s="106" t="s">
        <v>1543</v>
      </c>
      <c r="H237" s="93"/>
      <c r="I237" s="93">
        <v>4.8</v>
      </c>
      <c r="J237" s="131">
        <f t="shared" si="12"/>
        <v>131842.84000000008</v>
      </c>
    </row>
    <row r="238" spans="2:10" ht="25.5" x14ac:dyDescent="0.2">
      <c r="B238" s="94" t="s">
        <v>1525</v>
      </c>
      <c r="C238" s="94" t="s">
        <v>1526</v>
      </c>
      <c r="D238" s="95" t="s">
        <v>1527</v>
      </c>
      <c r="E238" s="149"/>
      <c r="F238" s="52" t="s">
        <v>1529</v>
      </c>
      <c r="G238" s="3" t="s">
        <v>3</v>
      </c>
      <c r="H238" s="96" t="s">
        <v>1530</v>
      </c>
      <c r="I238" s="96" t="s">
        <v>1531</v>
      </c>
      <c r="J238" s="96" t="s">
        <v>1532</v>
      </c>
    </row>
    <row r="239" spans="2:10" x14ac:dyDescent="0.2">
      <c r="B239" s="103"/>
      <c r="C239" s="107">
        <v>41856</v>
      </c>
      <c r="D239" s="104"/>
      <c r="E239" s="122" t="s">
        <v>1534</v>
      </c>
      <c r="F239" s="105" t="s">
        <v>1644</v>
      </c>
      <c r="G239" s="106" t="s">
        <v>211</v>
      </c>
      <c r="H239" s="93">
        <v>300</v>
      </c>
      <c r="I239" s="93"/>
      <c r="J239" s="131">
        <f>+J237+H239-I239</f>
        <v>132142.84000000008</v>
      </c>
    </row>
    <row r="240" spans="2:10" x14ac:dyDescent="0.2">
      <c r="B240" s="103"/>
      <c r="C240" s="103">
        <v>41856</v>
      </c>
      <c r="D240" s="104"/>
      <c r="E240" s="108" t="s">
        <v>1534</v>
      </c>
      <c r="F240" s="105" t="s">
        <v>1536</v>
      </c>
      <c r="G240" s="106" t="s">
        <v>1537</v>
      </c>
      <c r="H240" s="93">
        <v>0.46</v>
      </c>
      <c r="I240" s="93"/>
      <c r="J240" s="131">
        <f t="shared" si="12"/>
        <v>132143.30000000008</v>
      </c>
    </row>
    <row r="241" spans="1:10" x14ac:dyDescent="0.2">
      <c r="B241" s="103"/>
      <c r="C241" s="103">
        <v>41856</v>
      </c>
      <c r="D241" s="104"/>
      <c r="E241" s="122"/>
      <c r="F241" s="105" t="s">
        <v>1645</v>
      </c>
      <c r="G241" s="110"/>
      <c r="H241" s="93">
        <v>800</v>
      </c>
      <c r="I241" s="93"/>
      <c r="J241" s="131">
        <f t="shared" si="12"/>
        <v>132943.30000000008</v>
      </c>
    </row>
    <row r="242" spans="1:10" x14ac:dyDescent="0.2">
      <c r="B242" s="103"/>
      <c r="C242" s="103">
        <v>41856</v>
      </c>
      <c r="D242" s="104"/>
      <c r="E242" s="122"/>
      <c r="F242" s="105" t="s">
        <v>1645</v>
      </c>
      <c r="G242" s="110"/>
      <c r="H242" s="93">
        <v>1200</v>
      </c>
      <c r="I242" s="93"/>
      <c r="J242" s="131">
        <f t="shared" si="12"/>
        <v>134143.30000000008</v>
      </c>
    </row>
    <row r="243" spans="1:10" x14ac:dyDescent="0.2">
      <c r="B243" s="103"/>
      <c r="C243" s="107">
        <v>41856</v>
      </c>
      <c r="D243" s="104">
        <v>7570</v>
      </c>
      <c r="E243" s="108" t="s">
        <v>805</v>
      </c>
      <c r="F243" s="144" t="s">
        <v>1646</v>
      </c>
      <c r="G243" s="106" t="s">
        <v>806</v>
      </c>
      <c r="H243" s="93">
        <v>10000</v>
      </c>
      <c r="I243" s="93"/>
      <c r="J243" s="131">
        <f t="shared" si="12"/>
        <v>144143.30000000008</v>
      </c>
    </row>
    <row r="244" spans="1:10" x14ac:dyDescent="0.2">
      <c r="B244" s="113"/>
      <c r="C244" s="107">
        <v>41856</v>
      </c>
      <c r="D244" s="114"/>
      <c r="E244" s="108" t="s">
        <v>805</v>
      </c>
      <c r="F244" s="144" t="s">
        <v>1596</v>
      </c>
      <c r="G244" s="106" t="s">
        <v>1543</v>
      </c>
      <c r="H244" s="115">
        <v>1600</v>
      </c>
      <c r="I244" s="115"/>
      <c r="J244" s="131">
        <f t="shared" si="12"/>
        <v>145743.30000000008</v>
      </c>
    </row>
    <row r="245" spans="1:10" ht="25.5" x14ac:dyDescent="0.2">
      <c r="B245" s="94" t="s">
        <v>1525</v>
      </c>
      <c r="C245" s="94" t="s">
        <v>1526</v>
      </c>
      <c r="D245" s="95" t="s">
        <v>1527</v>
      </c>
      <c r="E245" s="149"/>
      <c r="F245" s="52" t="s">
        <v>1647</v>
      </c>
      <c r="G245" s="3" t="s">
        <v>3</v>
      </c>
      <c r="H245" s="96" t="s">
        <v>1530</v>
      </c>
      <c r="I245" s="96" t="s">
        <v>1531</v>
      </c>
      <c r="J245" s="96" t="s">
        <v>1532</v>
      </c>
    </row>
    <row r="246" spans="1:10" x14ac:dyDescent="0.2">
      <c r="B246" s="103"/>
      <c r="C246" s="103">
        <v>41883</v>
      </c>
      <c r="D246" s="104">
        <v>4795</v>
      </c>
      <c r="E246" s="122" t="s">
        <v>1538</v>
      </c>
      <c r="F246" s="105" t="s">
        <v>1648</v>
      </c>
      <c r="G246" s="106" t="s">
        <v>208</v>
      </c>
      <c r="H246" s="93">
        <v>2400</v>
      </c>
      <c r="I246" s="93"/>
      <c r="J246" s="131">
        <f>+J244+H246-I246</f>
        <v>148143.30000000008</v>
      </c>
    </row>
    <row r="247" spans="1:10" x14ac:dyDescent="0.2">
      <c r="A247" s="102"/>
      <c r="B247" s="103"/>
      <c r="C247" s="103">
        <v>41883</v>
      </c>
      <c r="D247" s="104"/>
      <c r="E247" s="122" t="s">
        <v>1538</v>
      </c>
      <c r="F247" s="105" t="s">
        <v>1536</v>
      </c>
      <c r="G247" s="106" t="s">
        <v>1537</v>
      </c>
      <c r="H247" s="93">
        <v>2.3199999999999998</v>
      </c>
      <c r="I247" s="93"/>
      <c r="J247" s="131">
        <f>+J246+H247-I247</f>
        <v>148145.62000000008</v>
      </c>
    </row>
    <row r="248" spans="1:10" x14ac:dyDescent="0.2">
      <c r="B248" s="103"/>
      <c r="C248" s="103">
        <v>41884</v>
      </c>
      <c r="D248" s="104">
        <v>3095</v>
      </c>
      <c r="E248" s="122"/>
      <c r="F248" s="105" t="s">
        <v>1645</v>
      </c>
      <c r="G248" s="110"/>
      <c r="H248" s="93">
        <v>800</v>
      </c>
      <c r="I248" s="93"/>
      <c r="J248" s="131">
        <f t="shared" ref="J248:J264" si="13">+J247+H248-I248</f>
        <v>148945.62000000008</v>
      </c>
    </row>
    <row r="249" spans="1:10" x14ac:dyDescent="0.2">
      <c r="B249" s="103"/>
      <c r="C249" s="103">
        <v>41884</v>
      </c>
      <c r="D249" s="104">
        <v>493</v>
      </c>
      <c r="E249" s="122"/>
      <c r="F249" s="105" t="s">
        <v>1645</v>
      </c>
      <c r="G249" s="110"/>
      <c r="H249" s="93">
        <v>1200</v>
      </c>
      <c r="I249" s="93"/>
      <c r="J249" s="131">
        <f t="shared" si="13"/>
        <v>150145.62000000008</v>
      </c>
    </row>
    <row r="250" spans="1:10" x14ac:dyDescent="0.2">
      <c r="B250" s="103"/>
      <c r="C250" s="103">
        <v>41884</v>
      </c>
      <c r="D250" s="104">
        <v>3390</v>
      </c>
      <c r="E250" s="122"/>
      <c r="F250" s="105" t="s">
        <v>1645</v>
      </c>
      <c r="G250" s="110"/>
      <c r="H250" s="93">
        <v>2400</v>
      </c>
      <c r="I250" s="93"/>
      <c r="J250" s="131">
        <f t="shared" si="13"/>
        <v>152545.62000000008</v>
      </c>
    </row>
    <row r="251" spans="1:10" x14ac:dyDescent="0.2">
      <c r="B251" s="103"/>
      <c r="C251" s="107">
        <v>41884</v>
      </c>
      <c r="D251" s="104">
        <v>7636</v>
      </c>
      <c r="E251" s="108" t="s">
        <v>805</v>
      </c>
      <c r="F251" s="144" t="s">
        <v>1649</v>
      </c>
      <c r="G251" s="106" t="s">
        <v>806</v>
      </c>
      <c r="H251" s="93">
        <v>10000</v>
      </c>
      <c r="I251" s="93"/>
      <c r="J251" s="131">
        <f t="shared" si="13"/>
        <v>162545.62000000008</v>
      </c>
    </row>
    <row r="252" spans="1:10" x14ac:dyDescent="0.2">
      <c r="B252" s="103"/>
      <c r="C252" s="107">
        <v>41884</v>
      </c>
      <c r="D252" s="104"/>
      <c r="E252" s="108" t="s">
        <v>805</v>
      </c>
      <c r="F252" s="144" t="s">
        <v>1596</v>
      </c>
      <c r="G252" s="106" t="s">
        <v>1543</v>
      </c>
      <c r="H252" s="93">
        <v>1600</v>
      </c>
      <c r="I252" s="93"/>
      <c r="J252" s="131">
        <f t="shared" si="13"/>
        <v>164145.62000000008</v>
      </c>
    </row>
    <row r="253" spans="1:10" x14ac:dyDescent="0.2">
      <c r="B253" s="103"/>
      <c r="C253" s="107">
        <v>41891</v>
      </c>
      <c r="D253" s="104">
        <v>914</v>
      </c>
      <c r="E253" s="122" t="s">
        <v>1534</v>
      </c>
      <c r="F253" s="105" t="s">
        <v>1650</v>
      </c>
      <c r="G253" s="106" t="s">
        <v>211</v>
      </c>
      <c r="H253" s="93">
        <v>300</v>
      </c>
      <c r="I253" s="93"/>
      <c r="J253" s="131">
        <f t="shared" si="13"/>
        <v>164445.62000000008</v>
      </c>
    </row>
    <row r="254" spans="1:10" x14ac:dyDescent="0.2">
      <c r="B254" s="103"/>
      <c r="C254" s="103">
        <v>41891</v>
      </c>
      <c r="D254" s="104"/>
      <c r="E254" s="108" t="s">
        <v>1534</v>
      </c>
      <c r="F254" s="105" t="s">
        <v>1536</v>
      </c>
      <c r="G254" s="106" t="s">
        <v>1537</v>
      </c>
      <c r="H254" s="93">
        <v>0.46</v>
      </c>
      <c r="I254" s="93"/>
      <c r="J254" s="131">
        <f t="shared" si="13"/>
        <v>164446.08000000007</v>
      </c>
    </row>
    <row r="255" spans="1:10" x14ac:dyDescent="0.2">
      <c r="B255" s="103"/>
      <c r="C255" s="103">
        <v>41900</v>
      </c>
      <c r="D255" s="104"/>
      <c r="E255" s="122"/>
      <c r="F255" s="105" t="s">
        <v>1639</v>
      </c>
      <c r="G255" s="110"/>
      <c r="H255" s="93"/>
      <c r="I255" s="93">
        <v>15000</v>
      </c>
      <c r="J255" s="131">
        <f t="shared" si="13"/>
        <v>149446.08000000007</v>
      </c>
    </row>
    <row r="256" spans="1:10" x14ac:dyDescent="0.2">
      <c r="B256" s="103"/>
      <c r="C256" s="103">
        <v>41908</v>
      </c>
      <c r="D256" s="104"/>
      <c r="E256" s="122" t="s">
        <v>1547</v>
      </c>
      <c r="F256" s="105" t="s">
        <v>1651</v>
      </c>
      <c r="G256" s="106" t="s">
        <v>571</v>
      </c>
      <c r="H256" s="93">
        <v>600</v>
      </c>
      <c r="I256" s="93"/>
      <c r="J256" s="131">
        <f t="shared" si="13"/>
        <v>150046.08000000007</v>
      </c>
    </row>
    <row r="257" spans="1:10" x14ac:dyDescent="0.2">
      <c r="B257" s="103"/>
      <c r="C257" s="103">
        <v>41908</v>
      </c>
      <c r="D257" s="104"/>
      <c r="E257" s="108" t="s">
        <v>1547</v>
      </c>
      <c r="F257" s="105" t="s">
        <v>1536</v>
      </c>
      <c r="G257" s="106" t="s">
        <v>1537</v>
      </c>
      <c r="H257" s="93">
        <v>0.15</v>
      </c>
      <c r="I257" s="93"/>
      <c r="J257" s="131">
        <f>+J256+H257-I257</f>
        <v>150046.23000000007</v>
      </c>
    </row>
    <row r="258" spans="1:10" x14ac:dyDescent="0.2">
      <c r="B258" s="103"/>
      <c r="C258" s="103">
        <v>41912</v>
      </c>
      <c r="D258" s="104">
        <v>3284</v>
      </c>
      <c r="E258" s="122"/>
      <c r="F258" s="105" t="s">
        <v>1645</v>
      </c>
      <c r="G258" s="110"/>
      <c r="H258" s="93">
        <v>1710</v>
      </c>
      <c r="I258" s="93"/>
      <c r="J258" s="131">
        <f t="shared" si="13"/>
        <v>151756.23000000007</v>
      </c>
    </row>
    <row r="259" spans="1:10" x14ac:dyDescent="0.2">
      <c r="B259" s="103"/>
      <c r="C259" s="103">
        <v>41912</v>
      </c>
      <c r="D259" s="104">
        <v>239</v>
      </c>
      <c r="E259" s="122"/>
      <c r="F259" s="105" t="s">
        <v>1645</v>
      </c>
      <c r="G259" s="110"/>
      <c r="H259" s="93">
        <v>1000</v>
      </c>
      <c r="I259" s="93"/>
      <c r="J259" s="131">
        <f t="shared" si="13"/>
        <v>152756.23000000007</v>
      </c>
    </row>
    <row r="260" spans="1:10" x14ac:dyDescent="0.2">
      <c r="B260" s="103"/>
      <c r="C260" s="103">
        <v>41912</v>
      </c>
      <c r="D260" s="104">
        <v>607</v>
      </c>
      <c r="E260" s="122"/>
      <c r="F260" s="105" t="s">
        <v>1645</v>
      </c>
      <c r="G260" s="110"/>
      <c r="H260" s="93">
        <v>800</v>
      </c>
      <c r="I260" s="93"/>
      <c r="J260" s="131">
        <f t="shared" si="13"/>
        <v>153556.23000000007</v>
      </c>
    </row>
    <row r="261" spans="1:10" x14ac:dyDescent="0.2">
      <c r="B261" s="103"/>
      <c r="C261" s="107">
        <v>41912</v>
      </c>
      <c r="D261" s="104">
        <v>7656</v>
      </c>
      <c r="E261" s="108" t="s">
        <v>805</v>
      </c>
      <c r="F261" s="144" t="s">
        <v>1652</v>
      </c>
      <c r="G261" s="106" t="s">
        <v>806</v>
      </c>
      <c r="H261" s="93">
        <v>10000</v>
      </c>
      <c r="I261" s="93"/>
      <c r="J261" s="131">
        <f t="shared" si="13"/>
        <v>163556.23000000007</v>
      </c>
    </row>
    <row r="262" spans="1:10" x14ac:dyDescent="0.2">
      <c r="A262" s="109"/>
      <c r="B262" s="103"/>
      <c r="C262" s="107">
        <v>41912</v>
      </c>
      <c r="D262" s="104"/>
      <c r="E262" s="108" t="s">
        <v>805</v>
      </c>
      <c r="F262" s="144" t="s">
        <v>1596</v>
      </c>
      <c r="G262" s="106" t="s">
        <v>1543</v>
      </c>
      <c r="H262" s="93">
        <v>1600</v>
      </c>
      <c r="I262" s="93"/>
      <c r="J262" s="131">
        <f t="shared" si="13"/>
        <v>165156.23000000007</v>
      </c>
    </row>
    <row r="263" spans="1:10" x14ac:dyDescent="0.2">
      <c r="B263" s="103"/>
      <c r="C263" s="103">
        <v>41912</v>
      </c>
      <c r="D263" s="104"/>
      <c r="E263" s="122" t="s">
        <v>1597</v>
      </c>
      <c r="F263" s="105" t="s">
        <v>1579</v>
      </c>
      <c r="G263" s="106" t="s">
        <v>1537</v>
      </c>
      <c r="H263" s="93"/>
      <c r="I263" s="93">
        <v>12</v>
      </c>
      <c r="J263" s="131">
        <f t="shared" si="13"/>
        <v>165144.23000000007</v>
      </c>
    </row>
    <row r="264" spans="1:10" x14ac:dyDescent="0.2">
      <c r="B264" s="103"/>
      <c r="C264" s="103">
        <v>41912</v>
      </c>
      <c r="D264" s="104"/>
      <c r="E264" s="122" t="s">
        <v>1597</v>
      </c>
      <c r="F264" s="105" t="s">
        <v>1613</v>
      </c>
      <c r="G264" s="106" t="s">
        <v>1543</v>
      </c>
      <c r="H264" s="93"/>
      <c r="I264" s="93">
        <v>1.92</v>
      </c>
      <c r="J264" s="131">
        <f t="shared" si="13"/>
        <v>165142.31000000006</v>
      </c>
    </row>
    <row r="265" spans="1:10" ht="25.5" x14ac:dyDescent="0.2">
      <c r="B265" s="94" t="s">
        <v>1525</v>
      </c>
      <c r="C265" s="94" t="s">
        <v>1526</v>
      </c>
      <c r="D265" s="95" t="s">
        <v>1527</v>
      </c>
      <c r="E265" s="149"/>
      <c r="F265" s="52" t="s">
        <v>1529</v>
      </c>
      <c r="G265" s="3" t="s">
        <v>3</v>
      </c>
      <c r="H265" s="96" t="s">
        <v>1530</v>
      </c>
      <c r="I265" s="96" t="s">
        <v>1531</v>
      </c>
      <c r="J265" s="96" t="s">
        <v>1532</v>
      </c>
    </row>
    <row r="266" spans="1:10" x14ac:dyDescent="0.2">
      <c r="B266" s="103"/>
      <c r="C266" s="103">
        <v>41919</v>
      </c>
      <c r="D266" s="104">
        <v>12</v>
      </c>
      <c r="E266" s="122" t="s">
        <v>1534</v>
      </c>
      <c r="F266" s="105" t="s">
        <v>1653</v>
      </c>
      <c r="G266" s="110" t="s">
        <v>211</v>
      </c>
      <c r="H266" s="93">
        <v>300</v>
      </c>
      <c r="I266" s="93"/>
      <c r="J266" s="131">
        <f>+J264+H266-I266</f>
        <v>165442.31000000006</v>
      </c>
    </row>
    <row r="267" spans="1:10" x14ac:dyDescent="0.2">
      <c r="B267" s="103"/>
      <c r="C267" s="103">
        <v>41919</v>
      </c>
      <c r="D267" s="104"/>
      <c r="E267" s="122" t="s">
        <v>1534</v>
      </c>
      <c r="F267" s="105" t="s">
        <v>1536</v>
      </c>
      <c r="G267" s="110" t="s">
        <v>1537</v>
      </c>
      <c r="H267" s="93">
        <v>0.46</v>
      </c>
      <c r="I267" s="93"/>
      <c r="J267" s="131">
        <f>+J266+H267-I267</f>
        <v>165442.77000000005</v>
      </c>
    </row>
    <row r="268" spans="1:10" x14ac:dyDescent="0.2">
      <c r="B268" s="103"/>
      <c r="C268" s="103">
        <v>41922</v>
      </c>
      <c r="D268" s="104">
        <v>4795</v>
      </c>
      <c r="E268" s="122" t="s">
        <v>1538</v>
      </c>
      <c r="F268" s="105" t="s">
        <v>1654</v>
      </c>
      <c r="G268" s="110" t="s">
        <v>208</v>
      </c>
      <c r="H268" s="93">
        <v>300</v>
      </c>
      <c r="I268" s="93"/>
      <c r="J268" s="131">
        <f>+J267+H268-I268</f>
        <v>165742.77000000005</v>
      </c>
    </row>
    <row r="269" spans="1:10" x14ac:dyDescent="0.2">
      <c r="B269" s="103"/>
      <c r="C269" s="103">
        <v>41922</v>
      </c>
      <c r="D269" s="104"/>
      <c r="E269" s="122" t="s">
        <v>1538</v>
      </c>
      <c r="F269" s="105" t="s">
        <v>1536</v>
      </c>
      <c r="G269" s="110" t="s">
        <v>1537</v>
      </c>
      <c r="H269" s="93">
        <v>0.28999999999999998</v>
      </c>
      <c r="I269" s="93"/>
      <c r="J269" s="131">
        <f>+J268+H269-I269</f>
        <v>165743.06000000006</v>
      </c>
    </row>
    <row r="270" spans="1:10" x14ac:dyDescent="0.2">
      <c r="B270" s="113"/>
      <c r="C270" s="113"/>
      <c r="D270" s="114"/>
      <c r="E270" s="138"/>
      <c r="F270" s="134"/>
      <c r="G270" s="135"/>
      <c r="H270" s="115"/>
      <c r="I270" s="115"/>
      <c r="J270" s="115"/>
    </row>
    <row r="271" spans="1:10" ht="25.5" x14ac:dyDescent="0.2">
      <c r="B271" s="94" t="s">
        <v>1525</v>
      </c>
      <c r="C271" s="94" t="s">
        <v>1526</v>
      </c>
      <c r="D271" s="95" t="s">
        <v>1527</v>
      </c>
      <c r="E271" s="149"/>
      <c r="F271" s="52" t="s">
        <v>1529</v>
      </c>
      <c r="G271" s="3" t="s">
        <v>3</v>
      </c>
      <c r="H271" s="96" t="s">
        <v>1530</v>
      </c>
      <c r="I271" s="96" t="s">
        <v>1531</v>
      </c>
      <c r="J271" s="96" t="s">
        <v>1532</v>
      </c>
    </row>
    <row r="272" spans="1:10" x14ac:dyDescent="0.2">
      <c r="B272" s="103"/>
      <c r="C272" s="103">
        <v>41948</v>
      </c>
      <c r="D272" s="104">
        <v>7396</v>
      </c>
      <c r="E272" s="122" t="s">
        <v>805</v>
      </c>
      <c r="F272" s="105" t="s">
        <v>1655</v>
      </c>
      <c r="G272" s="110" t="s">
        <v>806</v>
      </c>
      <c r="H272" s="93">
        <v>10000</v>
      </c>
      <c r="I272" s="93"/>
      <c r="J272" s="131">
        <f>+J269+H272-I272</f>
        <v>175743.06000000006</v>
      </c>
    </row>
    <row r="273" spans="2:10" x14ac:dyDescent="0.2">
      <c r="B273" s="103"/>
      <c r="C273" s="103">
        <v>41948</v>
      </c>
      <c r="D273" s="104"/>
      <c r="E273" s="122" t="s">
        <v>805</v>
      </c>
      <c r="F273" s="105" t="s">
        <v>1596</v>
      </c>
      <c r="G273" s="110" t="s">
        <v>1543</v>
      </c>
      <c r="H273" s="93">
        <v>1600</v>
      </c>
      <c r="I273" s="93"/>
      <c r="J273" s="131">
        <f t="shared" ref="J273:J304" si="14">+J272+H273-I273</f>
        <v>177343.06000000006</v>
      </c>
    </row>
    <row r="274" spans="2:10" x14ac:dyDescent="0.2">
      <c r="B274" s="103"/>
      <c r="C274" s="103">
        <v>41951</v>
      </c>
      <c r="D274" s="104">
        <v>114</v>
      </c>
      <c r="E274" s="122" t="s">
        <v>1534</v>
      </c>
      <c r="F274" s="105" t="s">
        <v>1656</v>
      </c>
      <c r="G274" s="110" t="s">
        <v>211</v>
      </c>
      <c r="H274" s="93">
        <v>300</v>
      </c>
      <c r="I274" s="93"/>
      <c r="J274" s="131">
        <f t="shared" si="14"/>
        <v>177643.06000000006</v>
      </c>
    </row>
    <row r="275" spans="2:10" x14ac:dyDescent="0.2">
      <c r="B275" s="103"/>
      <c r="C275" s="103">
        <v>41951</v>
      </c>
      <c r="D275" s="104"/>
      <c r="E275" s="122" t="s">
        <v>1534</v>
      </c>
      <c r="F275" s="105" t="s">
        <v>1536</v>
      </c>
      <c r="G275" s="110" t="s">
        <v>1537</v>
      </c>
      <c r="H275" s="93">
        <v>0.46</v>
      </c>
      <c r="I275" s="93"/>
      <c r="J275" s="131">
        <f t="shared" si="14"/>
        <v>177643.52000000005</v>
      </c>
    </row>
    <row r="276" spans="2:10" x14ac:dyDescent="0.2">
      <c r="B276" s="103"/>
      <c r="C276" s="103">
        <v>41957</v>
      </c>
      <c r="D276" s="104">
        <v>4795</v>
      </c>
      <c r="E276" s="122" t="s">
        <v>1538</v>
      </c>
      <c r="F276" s="105" t="s">
        <v>1656</v>
      </c>
      <c r="G276" s="110" t="s">
        <v>208</v>
      </c>
      <c r="H276" s="93">
        <v>400</v>
      </c>
      <c r="I276" s="93"/>
      <c r="J276" s="131">
        <f t="shared" si="14"/>
        <v>178043.52000000005</v>
      </c>
    </row>
    <row r="277" spans="2:10" x14ac:dyDescent="0.2">
      <c r="B277" s="103"/>
      <c r="C277" s="103">
        <v>41957</v>
      </c>
      <c r="D277" s="104"/>
      <c r="E277" s="122" t="s">
        <v>1538</v>
      </c>
      <c r="F277" s="105" t="s">
        <v>1536</v>
      </c>
      <c r="G277" s="110" t="s">
        <v>208</v>
      </c>
      <c r="H277" s="93">
        <v>0.28999999999999998</v>
      </c>
      <c r="I277" s="93"/>
      <c r="J277" s="131">
        <f>+J276+H277-I277</f>
        <v>178043.81000000006</v>
      </c>
    </row>
    <row r="278" spans="2:10" ht="26.25" customHeight="1" x14ac:dyDescent="0.2">
      <c r="B278" s="94" t="s">
        <v>1525</v>
      </c>
      <c r="C278" s="94" t="s">
        <v>1526</v>
      </c>
      <c r="D278" s="95" t="s">
        <v>1527</v>
      </c>
      <c r="E278" s="149"/>
      <c r="F278" s="52" t="s">
        <v>1529</v>
      </c>
      <c r="G278" s="3" t="s">
        <v>3</v>
      </c>
      <c r="H278" s="96" t="s">
        <v>1530</v>
      </c>
      <c r="I278" s="96" t="s">
        <v>1531</v>
      </c>
      <c r="J278" s="96" t="s">
        <v>1532</v>
      </c>
    </row>
    <row r="279" spans="2:10" x14ac:dyDescent="0.2">
      <c r="B279" s="103"/>
      <c r="C279" s="103">
        <v>41976</v>
      </c>
      <c r="D279" s="104"/>
      <c r="E279" s="122"/>
      <c r="F279" s="105"/>
      <c r="G279" s="110"/>
      <c r="H279" s="93">
        <v>800</v>
      </c>
      <c r="I279" s="93"/>
      <c r="J279" s="131">
        <f>+J277+H279-I279</f>
        <v>178843.81000000006</v>
      </c>
    </row>
    <row r="280" spans="2:10" x14ac:dyDescent="0.2">
      <c r="B280" s="103"/>
      <c r="C280" s="103">
        <v>41976</v>
      </c>
      <c r="D280" s="104">
        <v>608</v>
      </c>
      <c r="E280" s="122" t="s">
        <v>805</v>
      </c>
      <c r="F280" s="105" t="s">
        <v>1656</v>
      </c>
      <c r="G280" s="110" t="s">
        <v>806</v>
      </c>
      <c r="H280" s="93">
        <v>10000</v>
      </c>
      <c r="I280" s="93"/>
      <c r="J280" s="131">
        <f>+J279+H280-I280</f>
        <v>188843.81000000006</v>
      </c>
    </row>
    <row r="281" spans="2:10" x14ac:dyDescent="0.2">
      <c r="B281" s="103"/>
      <c r="C281" s="103">
        <v>41976</v>
      </c>
      <c r="D281" s="104"/>
      <c r="E281" s="122" t="s">
        <v>805</v>
      </c>
      <c r="F281" s="105" t="s">
        <v>1596</v>
      </c>
      <c r="G281" s="110" t="s">
        <v>1537</v>
      </c>
      <c r="H281" s="93">
        <v>1600</v>
      </c>
      <c r="I281" s="93"/>
      <c r="J281" s="131">
        <f t="shared" si="14"/>
        <v>190443.81000000006</v>
      </c>
    </row>
    <row r="282" spans="2:10" x14ac:dyDescent="0.2">
      <c r="B282" s="103"/>
      <c r="C282" s="103">
        <v>41976</v>
      </c>
      <c r="D282" s="104"/>
      <c r="E282" s="122"/>
      <c r="F282" s="105"/>
      <c r="G282" s="110"/>
      <c r="H282" s="93">
        <v>1200</v>
      </c>
      <c r="I282" s="93"/>
      <c r="J282" s="131">
        <f t="shared" si="14"/>
        <v>191643.81000000006</v>
      </c>
    </row>
    <row r="283" spans="2:10" x14ac:dyDescent="0.2">
      <c r="B283" s="103"/>
      <c r="C283" s="103">
        <v>41983</v>
      </c>
      <c r="D283" s="104">
        <v>4795</v>
      </c>
      <c r="E283" s="122" t="s">
        <v>1538</v>
      </c>
      <c r="F283" s="105" t="s">
        <v>1657</v>
      </c>
      <c r="G283" s="110" t="s">
        <v>208</v>
      </c>
      <c r="H283" s="93">
        <v>400</v>
      </c>
      <c r="I283" s="93"/>
      <c r="J283" s="131">
        <f t="shared" si="14"/>
        <v>192043.81000000006</v>
      </c>
    </row>
    <row r="284" spans="2:10" x14ac:dyDescent="0.2">
      <c r="B284" s="103"/>
      <c r="C284" s="103">
        <v>41983</v>
      </c>
      <c r="D284" s="104"/>
      <c r="E284" s="122" t="s">
        <v>1538</v>
      </c>
      <c r="F284" s="105" t="s">
        <v>1536</v>
      </c>
      <c r="G284" s="110" t="s">
        <v>1537</v>
      </c>
      <c r="H284" s="93">
        <v>0.28999999999999998</v>
      </c>
      <c r="I284" s="93"/>
      <c r="J284" s="131">
        <f t="shared" si="14"/>
        <v>192044.10000000006</v>
      </c>
    </row>
    <row r="285" spans="2:10" x14ac:dyDescent="0.2">
      <c r="B285" s="103"/>
      <c r="C285" s="103">
        <v>41990</v>
      </c>
      <c r="D285" s="104">
        <v>9754</v>
      </c>
      <c r="E285" s="122" t="s">
        <v>1534</v>
      </c>
      <c r="F285" s="105" t="s">
        <v>1657</v>
      </c>
      <c r="G285" s="110" t="s">
        <v>211</v>
      </c>
      <c r="H285" s="93">
        <v>300</v>
      </c>
      <c r="I285" s="93"/>
      <c r="J285" s="131">
        <f t="shared" si="14"/>
        <v>192344.10000000006</v>
      </c>
    </row>
    <row r="286" spans="2:10" x14ac:dyDescent="0.2">
      <c r="B286" s="103"/>
      <c r="C286" s="103">
        <v>41990</v>
      </c>
      <c r="D286" s="104"/>
      <c r="E286" s="122" t="s">
        <v>1534</v>
      </c>
      <c r="F286" s="105" t="s">
        <v>1536</v>
      </c>
      <c r="G286" s="110" t="s">
        <v>1537</v>
      </c>
      <c r="H286" s="93">
        <v>0.46</v>
      </c>
      <c r="I286" s="93"/>
      <c r="J286" s="131">
        <f t="shared" si="14"/>
        <v>192344.56000000006</v>
      </c>
    </row>
    <row r="287" spans="2:10" x14ac:dyDescent="0.2">
      <c r="B287" s="103"/>
      <c r="C287" s="103">
        <v>41992</v>
      </c>
      <c r="D287" s="104"/>
      <c r="E287" s="122"/>
      <c r="F287" s="105"/>
      <c r="G287" s="110"/>
      <c r="H287" s="93"/>
      <c r="I287" s="93">
        <v>45000</v>
      </c>
      <c r="J287" s="131">
        <f t="shared" si="14"/>
        <v>147344.56000000006</v>
      </c>
    </row>
    <row r="288" spans="2:10" x14ac:dyDescent="0.2">
      <c r="B288" s="103"/>
      <c r="C288" s="103">
        <v>42002</v>
      </c>
      <c r="D288" s="104"/>
      <c r="E288" s="122"/>
      <c r="F288" s="105"/>
      <c r="G288" s="110"/>
      <c r="H288" s="93"/>
      <c r="I288" s="93">
        <v>25000</v>
      </c>
      <c r="J288" s="131">
        <f t="shared" si="14"/>
        <v>122344.56000000006</v>
      </c>
    </row>
    <row r="289" spans="2:10" x14ac:dyDescent="0.2">
      <c r="B289" s="103"/>
      <c r="C289" s="103">
        <v>42004</v>
      </c>
      <c r="D289" s="104"/>
      <c r="E289" s="122" t="s">
        <v>1597</v>
      </c>
      <c r="F289" s="105" t="s">
        <v>1658</v>
      </c>
      <c r="G289" s="110" t="s">
        <v>1537</v>
      </c>
      <c r="H289" s="93"/>
      <c r="I289" s="93">
        <v>24</v>
      </c>
      <c r="J289" s="131">
        <f t="shared" si="14"/>
        <v>122320.56000000006</v>
      </c>
    </row>
    <row r="290" spans="2:10" x14ac:dyDescent="0.2">
      <c r="B290" s="103"/>
      <c r="C290" s="103">
        <v>42004</v>
      </c>
      <c r="D290" s="104"/>
      <c r="E290" s="122" t="s">
        <v>1597</v>
      </c>
      <c r="F290" s="105" t="s">
        <v>1659</v>
      </c>
      <c r="G290" s="110" t="s">
        <v>1543</v>
      </c>
      <c r="H290" s="93"/>
      <c r="I290" s="93">
        <v>3.84</v>
      </c>
      <c r="J290" s="131">
        <f>+J289+H290-I290</f>
        <v>122316.72000000006</v>
      </c>
    </row>
    <row r="291" spans="2:10" ht="26.25" customHeight="1" x14ac:dyDescent="0.2">
      <c r="B291" s="94" t="s">
        <v>1525</v>
      </c>
      <c r="C291" s="94" t="s">
        <v>1526</v>
      </c>
      <c r="D291" s="95" t="s">
        <v>1527</v>
      </c>
      <c r="E291" s="149"/>
      <c r="F291" s="52" t="s">
        <v>1529</v>
      </c>
      <c r="G291" s="3" t="s">
        <v>3</v>
      </c>
      <c r="H291" s="96" t="s">
        <v>1530</v>
      </c>
      <c r="I291" s="96" t="s">
        <v>1531</v>
      </c>
      <c r="J291" s="96" t="s">
        <v>1532</v>
      </c>
    </row>
    <row r="292" spans="2:10" x14ac:dyDescent="0.2">
      <c r="B292" s="103"/>
      <c r="C292" s="103">
        <v>42007</v>
      </c>
      <c r="D292" s="104">
        <v>5014</v>
      </c>
      <c r="E292" s="122" t="s">
        <v>1534</v>
      </c>
      <c r="F292" s="105" t="s">
        <v>1660</v>
      </c>
      <c r="G292" s="110" t="s">
        <v>211</v>
      </c>
      <c r="H292" s="93">
        <v>300</v>
      </c>
      <c r="I292" s="93"/>
      <c r="J292" s="131">
        <f>+J290+H292-I292</f>
        <v>122616.72000000006</v>
      </c>
    </row>
    <row r="293" spans="2:10" x14ac:dyDescent="0.2">
      <c r="B293" s="103"/>
      <c r="C293" s="103">
        <v>42007</v>
      </c>
      <c r="D293" s="104"/>
      <c r="E293" s="122" t="s">
        <v>1534</v>
      </c>
      <c r="F293" s="105" t="s">
        <v>1536</v>
      </c>
      <c r="G293" s="110" t="s">
        <v>1537</v>
      </c>
      <c r="H293" s="93">
        <v>0.46</v>
      </c>
      <c r="I293" s="93"/>
      <c r="J293" s="131">
        <f t="shared" si="14"/>
        <v>122617.18000000007</v>
      </c>
    </row>
    <row r="294" spans="2:10" x14ac:dyDescent="0.2">
      <c r="B294" s="103"/>
      <c r="C294" s="103">
        <v>42031</v>
      </c>
      <c r="D294" s="104">
        <v>3110</v>
      </c>
      <c r="E294" s="122" t="s">
        <v>1661</v>
      </c>
      <c r="F294" s="105" t="s">
        <v>1662</v>
      </c>
      <c r="G294" s="110" t="s">
        <v>932</v>
      </c>
      <c r="H294" s="93">
        <v>820</v>
      </c>
      <c r="I294" s="93"/>
      <c r="J294" s="131">
        <f t="shared" si="14"/>
        <v>123437.18000000007</v>
      </c>
    </row>
    <row r="295" spans="2:10" x14ac:dyDescent="0.2">
      <c r="B295" s="103"/>
      <c r="C295" s="103">
        <v>42031</v>
      </c>
      <c r="D295" s="104">
        <v>146</v>
      </c>
      <c r="E295" s="122" t="s">
        <v>1663</v>
      </c>
      <c r="F295" s="105" t="s">
        <v>1664</v>
      </c>
      <c r="G295" s="110" t="s">
        <v>380</v>
      </c>
      <c r="H295" s="93">
        <v>1200</v>
      </c>
      <c r="I295" s="93"/>
      <c r="J295" s="131">
        <f t="shared" si="14"/>
        <v>124637.18000000007</v>
      </c>
    </row>
    <row r="296" spans="2:10" x14ac:dyDescent="0.2">
      <c r="B296" s="103"/>
      <c r="C296" s="103">
        <v>42031</v>
      </c>
      <c r="D296" s="104">
        <v>1040</v>
      </c>
      <c r="E296" s="122" t="s">
        <v>1665</v>
      </c>
      <c r="F296" s="105" t="s">
        <v>1666</v>
      </c>
      <c r="G296" s="110" t="s">
        <v>54</v>
      </c>
      <c r="H296" s="93">
        <v>4400</v>
      </c>
      <c r="I296" s="93"/>
      <c r="J296" s="131">
        <f t="shared" si="14"/>
        <v>129037.18000000007</v>
      </c>
    </row>
    <row r="297" spans="2:10" x14ac:dyDescent="0.2">
      <c r="B297" s="103"/>
      <c r="C297" s="103">
        <v>42031</v>
      </c>
      <c r="D297" s="104">
        <v>2170</v>
      </c>
      <c r="E297" s="122" t="s">
        <v>1667</v>
      </c>
      <c r="F297" s="105" t="s">
        <v>1668</v>
      </c>
      <c r="G297" s="110" t="s">
        <v>65</v>
      </c>
      <c r="H297" s="93">
        <v>4400</v>
      </c>
      <c r="I297" s="93"/>
      <c r="J297" s="131">
        <f t="shared" si="14"/>
        <v>133437.18000000005</v>
      </c>
    </row>
    <row r="298" spans="2:10" x14ac:dyDescent="0.2">
      <c r="B298" s="103"/>
      <c r="C298" s="103">
        <v>42031</v>
      </c>
      <c r="D298" s="104">
        <v>7762</v>
      </c>
      <c r="E298" s="122" t="s">
        <v>805</v>
      </c>
      <c r="F298" s="105" t="s">
        <v>1669</v>
      </c>
      <c r="G298" s="110" t="s">
        <v>806</v>
      </c>
      <c r="H298" s="93">
        <v>11000</v>
      </c>
      <c r="I298" s="93"/>
      <c r="J298" s="131">
        <f t="shared" si="14"/>
        <v>144437.18000000005</v>
      </c>
    </row>
    <row r="299" spans="2:10" x14ac:dyDescent="0.2">
      <c r="B299" s="103"/>
      <c r="C299" s="103">
        <v>42031</v>
      </c>
      <c r="D299" s="104"/>
      <c r="E299" s="122" t="s">
        <v>805</v>
      </c>
      <c r="F299" s="105" t="s">
        <v>1596</v>
      </c>
      <c r="G299" s="110" t="s">
        <v>1537</v>
      </c>
      <c r="H299" s="93">
        <v>1760</v>
      </c>
      <c r="I299" s="93"/>
      <c r="J299" s="131">
        <f t="shared" si="14"/>
        <v>146197.18000000005</v>
      </c>
    </row>
    <row r="300" spans="2:10" ht="12.75" customHeight="1" x14ac:dyDescent="0.2">
      <c r="B300" s="103"/>
      <c r="C300" s="103">
        <v>42031</v>
      </c>
      <c r="D300" s="104">
        <v>7747</v>
      </c>
      <c r="E300" s="122" t="s">
        <v>805</v>
      </c>
      <c r="F300" s="105" t="s">
        <v>1657</v>
      </c>
      <c r="G300" s="110" t="s">
        <v>806</v>
      </c>
      <c r="H300" s="93">
        <v>10000</v>
      </c>
      <c r="I300" s="93"/>
      <c r="J300" s="131">
        <f t="shared" si="14"/>
        <v>156197.18000000005</v>
      </c>
    </row>
    <row r="301" spans="2:10" x14ac:dyDescent="0.2">
      <c r="B301" s="103"/>
      <c r="C301" s="103">
        <v>42031</v>
      </c>
      <c r="D301" s="104"/>
      <c r="E301" s="122" t="s">
        <v>805</v>
      </c>
      <c r="F301" s="105" t="s">
        <v>1596</v>
      </c>
      <c r="G301" s="110" t="s">
        <v>1670</v>
      </c>
      <c r="H301" s="93">
        <v>1600</v>
      </c>
      <c r="I301" s="93"/>
      <c r="J301" s="131">
        <f t="shared" si="14"/>
        <v>157797.18000000005</v>
      </c>
    </row>
    <row r="302" spans="2:10" ht="25.5" x14ac:dyDescent="0.2">
      <c r="B302" s="94" t="s">
        <v>1525</v>
      </c>
      <c r="C302" s="94" t="s">
        <v>1526</v>
      </c>
      <c r="D302" s="95" t="s">
        <v>1527</v>
      </c>
      <c r="E302" s="149"/>
      <c r="F302" s="52" t="s">
        <v>1529</v>
      </c>
      <c r="G302" s="3" t="s">
        <v>3</v>
      </c>
      <c r="H302" s="96" t="s">
        <v>1530</v>
      </c>
      <c r="I302" s="96" t="s">
        <v>1531</v>
      </c>
      <c r="J302" s="96" t="s">
        <v>1532</v>
      </c>
    </row>
    <row r="303" spans="2:10" x14ac:dyDescent="0.2">
      <c r="B303" s="103"/>
      <c r="C303" s="103">
        <v>42039</v>
      </c>
      <c r="D303" s="104">
        <v>8944</v>
      </c>
      <c r="E303" s="122" t="s">
        <v>1534</v>
      </c>
      <c r="F303" s="105" t="s">
        <v>1671</v>
      </c>
      <c r="G303" s="110" t="s">
        <v>211</v>
      </c>
      <c r="H303" s="93">
        <v>300</v>
      </c>
      <c r="I303" s="93"/>
      <c r="J303" s="131">
        <f>+J301+H303-I303</f>
        <v>158097.18000000005</v>
      </c>
    </row>
    <row r="304" spans="2:10" x14ac:dyDescent="0.2">
      <c r="B304" s="103"/>
      <c r="C304" s="103"/>
      <c r="D304" s="104"/>
      <c r="E304" s="122" t="s">
        <v>1534</v>
      </c>
      <c r="F304" s="105" t="s">
        <v>1536</v>
      </c>
      <c r="G304" s="110" t="s">
        <v>1537</v>
      </c>
      <c r="H304" s="93">
        <v>0.46</v>
      </c>
      <c r="I304" s="93"/>
      <c r="J304" s="131">
        <f t="shared" si="14"/>
        <v>158097.64000000004</v>
      </c>
    </row>
    <row r="305" spans="2:10" x14ac:dyDescent="0.2">
      <c r="B305" s="103"/>
      <c r="C305" s="103">
        <v>42044</v>
      </c>
      <c r="D305" s="104">
        <v>4795</v>
      </c>
      <c r="E305" s="122" t="s">
        <v>1538</v>
      </c>
      <c r="F305" s="105" t="s">
        <v>1660</v>
      </c>
      <c r="G305" s="110" t="s">
        <v>208</v>
      </c>
      <c r="H305" s="93">
        <v>400</v>
      </c>
      <c r="I305" s="93"/>
      <c r="J305" s="131">
        <f>+J304+H305-I305</f>
        <v>158497.64000000004</v>
      </c>
    </row>
    <row r="306" spans="2:10" x14ac:dyDescent="0.2">
      <c r="B306" s="103"/>
      <c r="C306" s="103"/>
      <c r="D306" s="104"/>
      <c r="E306" s="122" t="s">
        <v>1538</v>
      </c>
      <c r="F306" s="105" t="s">
        <v>1536</v>
      </c>
      <c r="G306" s="110" t="s">
        <v>1537</v>
      </c>
      <c r="H306" s="93">
        <v>0.28999999999999998</v>
      </c>
      <c r="I306" s="93"/>
      <c r="J306" s="131">
        <f>+J305+H306-I306</f>
        <v>158497.93000000005</v>
      </c>
    </row>
    <row r="307" spans="2:10" ht="25.5" x14ac:dyDescent="0.2">
      <c r="B307" s="94" t="s">
        <v>1525</v>
      </c>
      <c r="C307" s="94" t="s">
        <v>1526</v>
      </c>
      <c r="D307" s="95" t="s">
        <v>1527</v>
      </c>
      <c r="E307" s="149"/>
      <c r="F307" s="52" t="s">
        <v>1529</v>
      </c>
      <c r="G307" s="3" t="s">
        <v>3</v>
      </c>
      <c r="H307" s="96" t="s">
        <v>1530</v>
      </c>
      <c r="I307" s="96" t="s">
        <v>1531</v>
      </c>
      <c r="J307" s="96" t="s">
        <v>1532</v>
      </c>
    </row>
    <row r="308" spans="2:10" x14ac:dyDescent="0.2">
      <c r="B308" s="103"/>
      <c r="C308" s="103">
        <v>42067</v>
      </c>
      <c r="D308" s="104">
        <v>30315</v>
      </c>
      <c r="E308" s="122" t="s">
        <v>1534</v>
      </c>
      <c r="F308" s="105" t="s">
        <v>1672</v>
      </c>
      <c r="G308" s="110" t="s">
        <v>211</v>
      </c>
      <c r="H308" s="93">
        <v>300</v>
      </c>
      <c r="I308" s="93"/>
      <c r="J308" s="131">
        <f>+J306+H308-I308</f>
        <v>158797.93000000005</v>
      </c>
    </row>
    <row r="309" spans="2:10" x14ac:dyDescent="0.2">
      <c r="B309" s="103"/>
      <c r="C309" s="103">
        <v>42067</v>
      </c>
      <c r="D309" s="104"/>
      <c r="E309" s="122" t="s">
        <v>1534</v>
      </c>
      <c r="F309" s="105" t="s">
        <v>1536</v>
      </c>
      <c r="G309" s="110" t="s">
        <v>1537</v>
      </c>
      <c r="H309" s="93">
        <v>0.46</v>
      </c>
      <c r="I309" s="93"/>
      <c r="J309" s="131">
        <f>+J308+H309-I309</f>
        <v>158798.39000000004</v>
      </c>
    </row>
    <row r="310" spans="2:10" x14ac:dyDescent="0.2">
      <c r="B310" s="103"/>
      <c r="C310" s="103">
        <v>42069</v>
      </c>
      <c r="D310" s="104" t="s">
        <v>1673</v>
      </c>
      <c r="E310" s="122" t="s">
        <v>1674</v>
      </c>
      <c r="F310" s="105" t="s">
        <v>1675</v>
      </c>
      <c r="G310" s="110"/>
      <c r="H310" s="93">
        <v>30000</v>
      </c>
      <c r="I310" s="172"/>
      <c r="J310" s="131">
        <f t="shared" ref="J310:J317" si="15">+J309+H310-I310</f>
        <v>188798.39000000004</v>
      </c>
    </row>
    <row r="311" spans="2:10" x14ac:dyDescent="0.2">
      <c r="B311" s="103"/>
      <c r="C311" s="103">
        <v>42069</v>
      </c>
      <c r="D311" s="104">
        <v>3397</v>
      </c>
      <c r="E311" s="122" t="s">
        <v>197</v>
      </c>
      <c r="F311" s="105" t="s">
        <v>1676</v>
      </c>
      <c r="G311" s="110" t="s">
        <v>1677</v>
      </c>
      <c r="H311" s="93">
        <v>1200</v>
      </c>
      <c r="I311" s="93"/>
      <c r="J311" s="131">
        <f t="shared" si="15"/>
        <v>189998.39000000004</v>
      </c>
    </row>
    <row r="312" spans="2:10" x14ac:dyDescent="0.2">
      <c r="B312" s="103"/>
      <c r="C312" s="103">
        <v>42069</v>
      </c>
      <c r="D312" s="104">
        <v>7787</v>
      </c>
      <c r="E312" s="122" t="s">
        <v>805</v>
      </c>
      <c r="F312" s="105" t="s">
        <v>1678</v>
      </c>
      <c r="G312" s="110" t="s">
        <v>806</v>
      </c>
      <c r="H312" s="93">
        <v>11000</v>
      </c>
      <c r="I312" s="93"/>
      <c r="J312" s="131">
        <f t="shared" si="15"/>
        <v>200998.39000000004</v>
      </c>
    </row>
    <row r="313" spans="2:10" x14ac:dyDescent="0.2">
      <c r="B313" s="103"/>
      <c r="C313" s="103">
        <v>42069</v>
      </c>
      <c r="D313" s="104"/>
      <c r="E313" s="122" t="s">
        <v>805</v>
      </c>
      <c r="F313" s="105" t="s">
        <v>1596</v>
      </c>
      <c r="G313" s="110" t="s">
        <v>1537</v>
      </c>
      <c r="H313" s="93">
        <v>1760</v>
      </c>
      <c r="I313" s="93"/>
      <c r="J313" s="131">
        <f t="shared" si="15"/>
        <v>202758.39000000004</v>
      </c>
    </row>
    <row r="314" spans="2:10" x14ac:dyDescent="0.2">
      <c r="B314" s="103"/>
      <c r="C314" s="103">
        <v>42069</v>
      </c>
      <c r="D314" s="104">
        <v>2267</v>
      </c>
      <c r="E314" s="122" t="s">
        <v>1679</v>
      </c>
      <c r="F314" s="105" t="s">
        <v>1680</v>
      </c>
      <c r="G314" s="110" t="s">
        <v>517</v>
      </c>
      <c r="H314" s="93">
        <v>4400</v>
      </c>
      <c r="I314" s="93"/>
      <c r="J314" s="131">
        <f t="shared" si="15"/>
        <v>207158.39000000004</v>
      </c>
    </row>
    <row r="315" spans="2:10" x14ac:dyDescent="0.2">
      <c r="B315" s="103"/>
      <c r="C315" s="103">
        <v>42069</v>
      </c>
      <c r="D315" s="104"/>
      <c r="E315" s="122" t="s">
        <v>1538</v>
      </c>
      <c r="F315" s="105" t="s">
        <v>1671</v>
      </c>
      <c r="G315" s="110" t="s">
        <v>208</v>
      </c>
      <c r="H315" s="93">
        <v>400</v>
      </c>
      <c r="I315" s="93"/>
      <c r="J315" s="131">
        <f t="shared" si="15"/>
        <v>207558.39000000004</v>
      </c>
    </row>
    <row r="316" spans="2:10" x14ac:dyDescent="0.2">
      <c r="B316" s="103"/>
      <c r="C316" s="103">
        <v>42069</v>
      </c>
      <c r="D316" s="104"/>
      <c r="E316" s="122" t="s">
        <v>1538</v>
      </c>
      <c r="F316" s="105" t="s">
        <v>1536</v>
      </c>
      <c r="G316" s="110" t="s">
        <v>1537</v>
      </c>
      <c r="H316" s="93">
        <v>0.28999999999999998</v>
      </c>
      <c r="I316" s="93"/>
      <c r="J316" s="131">
        <f t="shared" si="15"/>
        <v>207558.68000000005</v>
      </c>
    </row>
    <row r="317" spans="2:10" x14ac:dyDescent="0.2">
      <c r="B317" s="103"/>
      <c r="C317" s="103">
        <v>42080</v>
      </c>
      <c r="D317" s="104">
        <v>4603</v>
      </c>
      <c r="E317" s="122" t="s">
        <v>1681</v>
      </c>
      <c r="F317" s="105" t="s">
        <v>1682</v>
      </c>
      <c r="G317" s="110" t="s">
        <v>971</v>
      </c>
      <c r="H317" s="93">
        <v>3200</v>
      </c>
      <c r="I317" s="93"/>
      <c r="J317" s="131">
        <f t="shared" si="15"/>
        <v>210758.68000000005</v>
      </c>
    </row>
    <row r="318" spans="2:10" ht="25.5" x14ac:dyDescent="0.2">
      <c r="B318" s="94" t="s">
        <v>1525</v>
      </c>
      <c r="C318" s="94" t="s">
        <v>1526</v>
      </c>
      <c r="D318" s="95" t="s">
        <v>1527</v>
      </c>
      <c r="E318" s="149"/>
      <c r="F318" s="52" t="s">
        <v>1529</v>
      </c>
      <c r="G318" s="3" t="s">
        <v>3</v>
      </c>
      <c r="H318" s="96" t="s">
        <v>1530</v>
      </c>
      <c r="I318" s="96" t="s">
        <v>1531</v>
      </c>
      <c r="J318" s="96" t="s">
        <v>1532</v>
      </c>
    </row>
    <row r="319" spans="2:10" x14ac:dyDescent="0.2">
      <c r="B319" s="103"/>
      <c r="C319" s="103">
        <v>42100</v>
      </c>
      <c r="D319" s="104">
        <v>155</v>
      </c>
      <c r="E319" s="122" t="s">
        <v>531</v>
      </c>
      <c r="F319" s="105" t="s">
        <v>1683</v>
      </c>
      <c r="G319" s="110" t="s">
        <v>529</v>
      </c>
      <c r="H319" s="93">
        <v>2400</v>
      </c>
      <c r="I319" s="93"/>
      <c r="J319" s="131">
        <f>+J317+H319-I319</f>
        <v>213158.68000000005</v>
      </c>
    </row>
    <row r="320" spans="2:10" x14ac:dyDescent="0.2">
      <c r="B320" s="103"/>
      <c r="C320" s="103">
        <v>42100</v>
      </c>
      <c r="D320" s="104">
        <v>614</v>
      </c>
      <c r="E320" s="122" t="s">
        <v>403</v>
      </c>
      <c r="F320" s="105" t="s">
        <v>1684</v>
      </c>
      <c r="G320" s="110" t="s">
        <v>401</v>
      </c>
      <c r="H320" s="93">
        <v>800</v>
      </c>
      <c r="I320" s="93"/>
      <c r="J320" s="131">
        <f t="shared" ref="J320:J327" si="16">+J319+H320-I320</f>
        <v>213958.68000000005</v>
      </c>
    </row>
    <row r="321" spans="2:10" x14ac:dyDescent="0.2">
      <c r="B321" s="103"/>
      <c r="C321" s="103">
        <v>42100</v>
      </c>
      <c r="D321" s="104">
        <v>3352</v>
      </c>
      <c r="E321" s="122" t="s">
        <v>1685</v>
      </c>
      <c r="F321" s="105" t="s">
        <v>1686</v>
      </c>
      <c r="G321" s="110" t="s">
        <v>380</v>
      </c>
      <c r="H321" s="93">
        <v>1200</v>
      </c>
      <c r="I321" s="93"/>
      <c r="J321" s="131">
        <f t="shared" si="16"/>
        <v>215158.68000000005</v>
      </c>
    </row>
    <row r="322" spans="2:10" x14ac:dyDescent="0.2">
      <c r="B322" s="103"/>
      <c r="C322" s="103">
        <v>42100</v>
      </c>
      <c r="D322" s="104">
        <v>7810</v>
      </c>
      <c r="E322" s="122" t="s">
        <v>805</v>
      </c>
      <c r="F322" s="105" t="s">
        <v>1687</v>
      </c>
      <c r="G322" s="110" t="s">
        <v>806</v>
      </c>
      <c r="H322" s="93">
        <v>11000</v>
      </c>
      <c r="I322" s="93"/>
      <c r="J322" s="131">
        <f t="shared" si="16"/>
        <v>226158.68000000005</v>
      </c>
    </row>
    <row r="323" spans="2:10" x14ac:dyDescent="0.2">
      <c r="B323" s="103"/>
      <c r="C323" s="103">
        <v>42100</v>
      </c>
      <c r="D323" s="104"/>
      <c r="E323" s="122" t="s">
        <v>805</v>
      </c>
      <c r="F323" s="105" t="s">
        <v>1596</v>
      </c>
      <c r="G323" s="110" t="s">
        <v>1537</v>
      </c>
      <c r="H323" s="93">
        <v>1760</v>
      </c>
      <c r="I323" s="93"/>
      <c r="J323" s="131">
        <f t="shared" si="16"/>
        <v>227918.68000000005</v>
      </c>
    </row>
    <row r="324" spans="2:10" x14ac:dyDescent="0.2">
      <c r="B324" s="103"/>
      <c r="C324" s="103">
        <v>42103</v>
      </c>
      <c r="D324" s="104">
        <v>9670</v>
      </c>
      <c r="E324" s="122" t="s">
        <v>1534</v>
      </c>
      <c r="F324" s="105" t="s">
        <v>1688</v>
      </c>
      <c r="G324" s="110" t="s">
        <v>211</v>
      </c>
      <c r="H324" s="93">
        <v>300</v>
      </c>
      <c r="I324" s="93"/>
      <c r="J324" s="131">
        <f t="shared" si="16"/>
        <v>228218.68000000005</v>
      </c>
    </row>
    <row r="325" spans="2:10" x14ac:dyDescent="0.2">
      <c r="B325" s="103"/>
      <c r="C325" s="103">
        <v>42103</v>
      </c>
      <c r="D325" s="104"/>
      <c r="E325" s="122" t="s">
        <v>1534</v>
      </c>
      <c r="F325" s="105" t="s">
        <v>1536</v>
      </c>
      <c r="G325" s="110" t="s">
        <v>1537</v>
      </c>
      <c r="H325" s="93">
        <v>0.46</v>
      </c>
      <c r="I325" s="93"/>
      <c r="J325" s="131">
        <f t="shared" si="16"/>
        <v>228219.14000000004</v>
      </c>
    </row>
    <row r="326" spans="2:10" x14ac:dyDescent="0.2">
      <c r="B326" s="103"/>
      <c r="C326" s="103">
        <v>42103</v>
      </c>
      <c r="D326" s="104">
        <v>4795</v>
      </c>
      <c r="E326" s="122" t="s">
        <v>1689</v>
      </c>
      <c r="F326" s="105" t="s">
        <v>1690</v>
      </c>
      <c r="G326" s="110" t="s">
        <v>208</v>
      </c>
      <c r="H326" s="93">
        <v>400</v>
      </c>
      <c r="I326" s="93"/>
      <c r="J326" s="131">
        <f t="shared" si="16"/>
        <v>228619.14000000004</v>
      </c>
    </row>
    <row r="327" spans="2:10" x14ac:dyDescent="0.2">
      <c r="B327" s="103"/>
      <c r="C327" s="103">
        <v>42103</v>
      </c>
      <c r="D327" s="104"/>
      <c r="E327" s="122" t="s">
        <v>1538</v>
      </c>
      <c r="F327" s="105" t="s">
        <v>1536</v>
      </c>
      <c r="G327" s="110" t="s">
        <v>1537</v>
      </c>
      <c r="H327" s="93">
        <v>0.28999999999999998</v>
      </c>
      <c r="I327" s="93"/>
      <c r="J327" s="131">
        <f t="shared" si="16"/>
        <v>228619.43000000005</v>
      </c>
    </row>
    <row r="328" spans="2:10" ht="25.5" x14ac:dyDescent="0.2">
      <c r="B328" s="94" t="s">
        <v>1525</v>
      </c>
      <c r="C328" s="94" t="s">
        <v>1526</v>
      </c>
      <c r="D328" s="95" t="s">
        <v>1527</v>
      </c>
      <c r="E328" s="149"/>
      <c r="F328" s="52" t="s">
        <v>1529</v>
      </c>
      <c r="G328" s="3" t="s">
        <v>3</v>
      </c>
      <c r="H328" s="96" t="s">
        <v>1530</v>
      </c>
      <c r="I328" s="96" t="s">
        <v>1531</v>
      </c>
      <c r="J328" s="96" t="s">
        <v>1532</v>
      </c>
    </row>
    <row r="329" spans="2:10" x14ac:dyDescent="0.2">
      <c r="B329" s="103"/>
      <c r="C329" s="103">
        <v>42129</v>
      </c>
      <c r="D329" s="104">
        <v>6470</v>
      </c>
      <c r="E329" s="122" t="s">
        <v>1691</v>
      </c>
      <c r="F329" s="105" t="s">
        <v>1692</v>
      </c>
      <c r="G329" s="110" t="s">
        <v>1693</v>
      </c>
      <c r="H329" s="93">
        <v>1600</v>
      </c>
      <c r="I329" s="93"/>
      <c r="J329" s="131">
        <f>+J327+H329-I329</f>
        <v>230219.43000000005</v>
      </c>
    </row>
    <row r="330" spans="2:10" x14ac:dyDescent="0.2">
      <c r="B330" s="103"/>
      <c r="C330" s="103">
        <v>42129</v>
      </c>
      <c r="D330" s="104">
        <v>7823</v>
      </c>
      <c r="E330" s="122" t="s">
        <v>805</v>
      </c>
      <c r="F330" s="105" t="s">
        <v>1694</v>
      </c>
      <c r="G330" s="110" t="s">
        <v>806</v>
      </c>
      <c r="H330" s="93">
        <v>11000</v>
      </c>
      <c r="I330" s="93"/>
      <c r="J330" s="131">
        <f>+J329+H330-I330</f>
        <v>241219.43000000005</v>
      </c>
    </row>
    <row r="331" spans="2:10" x14ac:dyDescent="0.2">
      <c r="B331" s="103"/>
      <c r="C331" s="103">
        <v>42129</v>
      </c>
      <c r="D331" s="104"/>
      <c r="E331" s="122" t="s">
        <v>805</v>
      </c>
      <c r="F331" s="105" t="s">
        <v>1596</v>
      </c>
      <c r="G331" s="110" t="s">
        <v>1537</v>
      </c>
      <c r="H331" s="93">
        <v>1760</v>
      </c>
      <c r="I331" s="93"/>
      <c r="J331" s="131">
        <f>+J330+H331-I331</f>
        <v>242979.43000000005</v>
      </c>
    </row>
    <row r="332" spans="2:10" x14ac:dyDescent="0.2">
      <c r="B332" s="103"/>
      <c r="C332" s="103">
        <v>42131</v>
      </c>
      <c r="D332" s="104">
        <v>9555</v>
      </c>
      <c r="E332" s="122" t="s">
        <v>1534</v>
      </c>
      <c r="F332" s="105" t="s">
        <v>1695</v>
      </c>
      <c r="G332" s="110" t="s">
        <v>211</v>
      </c>
      <c r="H332" s="93">
        <v>300</v>
      </c>
      <c r="I332" s="93"/>
      <c r="J332" s="131">
        <f t="shared" ref="J332:J340" si="17">+J331+H332-I332</f>
        <v>243279.43000000005</v>
      </c>
    </row>
    <row r="333" spans="2:10" x14ac:dyDescent="0.2">
      <c r="B333" s="103"/>
      <c r="C333" s="103">
        <v>42131</v>
      </c>
      <c r="D333" s="104"/>
      <c r="E333" s="122" t="s">
        <v>1534</v>
      </c>
      <c r="F333" s="105" t="s">
        <v>1536</v>
      </c>
      <c r="G333" s="110" t="s">
        <v>1537</v>
      </c>
      <c r="H333" s="93">
        <v>0.46</v>
      </c>
      <c r="I333" s="93"/>
      <c r="J333" s="131">
        <f t="shared" si="17"/>
        <v>243279.89000000004</v>
      </c>
    </row>
    <row r="334" spans="2:10" x14ac:dyDescent="0.2">
      <c r="B334" s="103"/>
      <c r="C334" s="103">
        <v>42132</v>
      </c>
      <c r="D334" s="104">
        <v>4795</v>
      </c>
      <c r="E334" s="122" t="s">
        <v>1538</v>
      </c>
      <c r="F334" s="105" t="s">
        <v>1695</v>
      </c>
      <c r="G334" s="110" t="s">
        <v>208</v>
      </c>
      <c r="H334" s="93">
        <v>400</v>
      </c>
      <c r="I334" s="93"/>
      <c r="J334" s="131">
        <f t="shared" si="17"/>
        <v>243679.89000000004</v>
      </c>
    </row>
    <row r="335" spans="2:10" x14ac:dyDescent="0.2">
      <c r="B335" s="103"/>
      <c r="C335" s="103">
        <v>42132</v>
      </c>
      <c r="D335" s="104"/>
      <c r="E335" s="122" t="s">
        <v>1538</v>
      </c>
      <c r="F335" s="105" t="s">
        <v>1536</v>
      </c>
      <c r="G335" s="110" t="s">
        <v>1537</v>
      </c>
      <c r="H335" s="93">
        <v>0.28999999999999998</v>
      </c>
      <c r="I335" s="93"/>
      <c r="J335" s="131">
        <f t="shared" si="17"/>
        <v>243680.18000000005</v>
      </c>
    </row>
    <row r="336" spans="2:10" x14ac:dyDescent="0.2">
      <c r="B336" s="103"/>
      <c r="C336" s="103">
        <v>42142</v>
      </c>
      <c r="D336" s="104">
        <v>226</v>
      </c>
      <c r="E336" s="173" t="s">
        <v>1696</v>
      </c>
      <c r="F336" s="174" t="s">
        <v>1697</v>
      </c>
      <c r="G336" s="110"/>
      <c r="H336" s="93"/>
      <c r="I336" s="93">
        <v>33000</v>
      </c>
      <c r="J336" s="131">
        <f t="shared" si="17"/>
        <v>210680.18000000005</v>
      </c>
    </row>
    <row r="337" spans="2:10" x14ac:dyDescent="0.2">
      <c r="B337" s="103"/>
      <c r="C337" s="103">
        <v>42150</v>
      </c>
      <c r="D337" s="104">
        <v>4186</v>
      </c>
      <c r="E337" s="122" t="s">
        <v>1698</v>
      </c>
      <c r="F337" s="105" t="s">
        <v>1699</v>
      </c>
      <c r="G337" s="110" t="s">
        <v>119</v>
      </c>
      <c r="H337" s="93">
        <v>400</v>
      </c>
      <c r="I337" s="93"/>
      <c r="J337" s="131">
        <f t="shared" si="17"/>
        <v>211080.18000000005</v>
      </c>
    </row>
    <row r="338" spans="2:10" x14ac:dyDescent="0.2">
      <c r="B338" s="103"/>
      <c r="C338" s="103">
        <v>42150</v>
      </c>
      <c r="D338" s="104"/>
      <c r="E338" s="122" t="s">
        <v>1698</v>
      </c>
      <c r="F338" s="105" t="s">
        <v>1536</v>
      </c>
      <c r="G338" s="110" t="s">
        <v>1537</v>
      </c>
      <c r="H338" s="93">
        <v>0.25</v>
      </c>
      <c r="I338" s="93"/>
      <c r="J338" s="131">
        <f t="shared" si="17"/>
        <v>211080.43000000005</v>
      </c>
    </row>
    <row r="339" spans="2:10" x14ac:dyDescent="0.2">
      <c r="B339" s="103"/>
      <c r="C339" s="103">
        <v>42153</v>
      </c>
      <c r="D339" s="104"/>
      <c r="E339" s="122" t="s">
        <v>1597</v>
      </c>
      <c r="F339" s="105" t="s">
        <v>1700</v>
      </c>
      <c r="G339" s="110" t="s">
        <v>1537</v>
      </c>
      <c r="H339" s="93"/>
      <c r="I339" s="93">
        <v>14</v>
      </c>
      <c r="J339" s="131">
        <f t="shared" si="17"/>
        <v>211066.43000000005</v>
      </c>
    </row>
    <row r="340" spans="2:10" x14ac:dyDescent="0.2">
      <c r="B340" s="103"/>
      <c r="C340" s="103">
        <v>42153</v>
      </c>
      <c r="D340" s="104"/>
      <c r="E340" s="122" t="s">
        <v>1597</v>
      </c>
      <c r="F340" s="105" t="s">
        <v>1701</v>
      </c>
      <c r="G340" s="110" t="s">
        <v>1543</v>
      </c>
      <c r="H340" s="93"/>
      <c r="I340" s="93">
        <v>2.2400000000000002</v>
      </c>
      <c r="J340" s="131">
        <f t="shared" si="17"/>
        <v>211064.19000000006</v>
      </c>
    </row>
    <row r="341" spans="2:10" ht="25.5" x14ac:dyDescent="0.2">
      <c r="B341" s="94" t="s">
        <v>1525</v>
      </c>
      <c r="C341" s="94" t="s">
        <v>1526</v>
      </c>
      <c r="D341" s="95" t="s">
        <v>1527</v>
      </c>
      <c r="E341" s="149"/>
      <c r="F341" s="52" t="s">
        <v>1529</v>
      </c>
      <c r="G341" s="3" t="s">
        <v>3</v>
      </c>
      <c r="H341" s="96" t="s">
        <v>1530</v>
      </c>
      <c r="I341" s="96" t="s">
        <v>1531</v>
      </c>
      <c r="J341" s="96" t="s">
        <v>1532</v>
      </c>
    </row>
    <row r="342" spans="2:10" x14ac:dyDescent="0.2">
      <c r="B342" s="103"/>
      <c r="C342" s="103">
        <v>42160</v>
      </c>
      <c r="D342" s="104">
        <v>15</v>
      </c>
      <c r="E342" s="122" t="s">
        <v>1547</v>
      </c>
      <c r="F342" s="105" t="s">
        <v>1702</v>
      </c>
      <c r="G342" s="110" t="s">
        <v>571</v>
      </c>
      <c r="H342" s="93">
        <v>600</v>
      </c>
      <c r="I342" s="93"/>
      <c r="J342" s="131">
        <f>+J340+H342-I342</f>
        <v>211664.19000000006</v>
      </c>
    </row>
    <row r="343" spans="2:10" x14ac:dyDescent="0.2">
      <c r="B343" s="103"/>
      <c r="C343" s="103">
        <v>42160</v>
      </c>
      <c r="D343" s="104"/>
      <c r="E343" s="122" t="s">
        <v>1547</v>
      </c>
      <c r="F343" s="105" t="s">
        <v>1536</v>
      </c>
      <c r="G343" s="110" t="s">
        <v>1537</v>
      </c>
      <c r="H343" s="93">
        <v>0.15</v>
      </c>
      <c r="I343" s="93"/>
      <c r="J343" s="131">
        <f t="shared" ref="J343:J358" si="18">+J342+H343-I343</f>
        <v>211664.34000000005</v>
      </c>
    </row>
    <row r="344" spans="2:10" x14ac:dyDescent="0.2">
      <c r="B344" s="103"/>
      <c r="C344" s="103">
        <v>42165</v>
      </c>
      <c r="D344" s="104">
        <v>4795</v>
      </c>
      <c r="E344" s="122" t="s">
        <v>1538</v>
      </c>
      <c r="F344" s="105" t="s">
        <v>1703</v>
      </c>
      <c r="G344" s="110" t="s">
        <v>1704</v>
      </c>
      <c r="H344" s="93">
        <v>400</v>
      </c>
      <c r="I344" s="93"/>
      <c r="J344" s="131">
        <f t="shared" si="18"/>
        <v>212064.34000000005</v>
      </c>
    </row>
    <row r="345" spans="2:10" x14ac:dyDescent="0.2">
      <c r="B345" s="103"/>
      <c r="C345" s="103">
        <v>42165</v>
      </c>
      <c r="D345" s="104"/>
      <c r="E345" s="122" t="s">
        <v>1538</v>
      </c>
      <c r="F345" s="105" t="s">
        <v>1536</v>
      </c>
      <c r="G345" s="110" t="s">
        <v>1537</v>
      </c>
      <c r="H345" s="93">
        <v>0.28999999999999998</v>
      </c>
      <c r="I345" s="93"/>
      <c r="J345" s="131">
        <f t="shared" si="18"/>
        <v>212064.63000000006</v>
      </c>
    </row>
    <row r="346" spans="2:10" x14ac:dyDescent="0.2">
      <c r="B346" s="103"/>
      <c r="C346" s="103">
        <v>42165</v>
      </c>
      <c r="D346" s="104">
        <v>7851</v>
      </c>
      <c r="E346" s="122" t="s">
        <v>805</v>
      </c>
      <c r="F346" s="105" t="s">
        <v>1695</v>
      </c>
      <c r="G346" s="110" t="s">
        <v>806</v>
      </c>
      <c r="H346" s="93">
        <v>11000</v>
      </c>
      <c r="I346" s="93"/>
      <c r="J346" s="131">
        <f t="shared" si="18"/>
        <v>223064.63000000006</v>
      </c>
    </row>
    <row r="347" spans="2:10" x14ac:dyDescent="0.2">
      <c r="B347" s="103"/>
      <c r="C347" s="103">
        <v>42165</v>
      </c>
      <c r="D347" s="104"/>
      <c r="E347" s="122" t="s">
        <v>805</v>
      </c>
      <c r="F347" s="105" t="s">
        <v>1596</v>
      </c>
      <c r="G347" s="110" t="s">
        <v>1537</v>
      </c>
      <c r="H347" s="93">
        <v>1760</v>
      </c>
      <c r="I347" s="93"/>
      <c r="J347" s="131">
        <f t="shared" si="18"/>
        <v>224824.63000000006</v>
      </c>
    </row>
    <row r="348" spans="2:10" x14ac:dyDescent="0.2">
      <c r="B348" s="103"/>
      <c r="C348" s="103">
        <v>42165</v>
      </c>
      <c r="D348" s="104">
        <v>3385</v>
      </c>
      <c r="E348" s="122" t="s">
        <v>1705</v>
      </c>
      <c r="F348" s="105" t="s">
        <v>1706</v>
      </c>
      <c r="G348" s="110" t="s">
        <v>195</v>
      </c>
      <c r="H348" s="93">
        <v>1200</v>
      </c>
      <c r="I348" s="93"/>
      <c r="J348" s="131">
        <f t="shared" si="18"/>
        <v>226024.63000000006</v>
      </c>
    </row>
    <row r="349" spans="2:10" x14ac:dyDescent="0.2">
      <c r="B349" s="103"/>
      <c r="C349" s="103">
        <v>42165</v>
      </c>
      <c r="D349" s="104">
        <v>618</v>
      </c>
      <c r="E349" s="122" t="s">
        <v>1707</v>
      </c>
      <c r="F349" s="105" t="s">
        <v>1708</v>
      </c>
      <c r="G349" s="110" t="s">
        <v>401</v>
      </c>
      <c r="H349" s="93">
        <v>800</v>
      </c>
      <c r="I349" s="93"/>
      <c r="J349" s="131">
        <f t="shared" si="18"/>
        <v>226824.63000000006</v>
      </c>
    </row>
    <row r="350" spans="2:10" x14ac:dyDescent="0.2">
      <c r="B350" s="103"/>
      <c r="C350" s="103">
        <v>42165</v>
      </c>
      <c r="D350" s="104">
        <v>3398</v>
      </c>
      <c r="E350" s="122" t="s">
        <v>1709</v>
      </c>
      <c r="F350" s="105" t="s">
        <v>1710</v>
      </c>
      <c r="G350" s="110" t="s">
        <v>380</v>
      </c>
      <c r="H350" s="93">
        <v>1600</v>
      </c>
      <c r="I350" s="93"/>
      <c r="J350" s="131">
        <f t="shared" si="18"/>
        <v>228424.63000000006</v>
      </c>
    </row>
    <row r="351" spans="2:10" x14ac:dyDescent="0.2">
      <c r="B351" s="103"/>
      <c r="C351" s="103">
        <v>42166</v>
      </c>
      <c r="D351" s="104">
        <v>228</v>
      </c>
      <c r="E351" s="122"/>
      <c r="F351" s="105" t="s">
        <v>1711</v>
      </c>
      <c r="G351" s="110"/>
      <c r="H351" s="93"/>
      <c r="I351" s="93">
        <v>30000</v>
      </c>
      <c r="J351" s="131">
        <f t="shared" si="18"/>
        <v>198424.63000000006</v>
      </c>
    </row>
    <row r="352" spans="2:10" x14ac:dyDescent="0.2">
      <c r="B352" s="103"/>
      <c r="C352" s="103">
        <v>42168</v>
      </c>
      <c r="D352" s="104">
        <v>2015</v>
      </c>
      <c r="E352" s="122" t="s">
        <v>1534</v>
      </c>
      <c r="F352" s="105" t="s">
        <v>1712</v>
      </c>
      <c r="G352" s="110" t="s">
        <v>211</v>
      </c>
      <c r="H352" s="93">
        <v>300</v>
      </c>
      <c r="I352" s="93"/>
      <c r="J352" s="131">
        <f t="shared" si="18"/>
        <v>198724.63000000006</v>
      </c>
    </row>
    <row r="353" spans="2:10" x14ac:dyDescent="0.2">
      <c r="B353" s="103"/>
      <c r="C353" s="103">
        <v>42168</v>
      </c>
      <c r="D353" s="104"/>
      <c r="E353" s="122" t="s">
        <v>1534</v>
      </c>
      <c r="F353" s="105" t="s">
        <v>1536</v>
      </c>
      <c r="G353" s="110" t="s">
        <v>1537</v>
      </c>
      <c r="H353" s="93">
        <v>0.46</v>
      </c>
      <c r="I353" s="93"/>
      <c r="J353" s="131">
        <f t="shared" si="18"/>
        <v>198725.09000000005</v>
      </c>
    </row>
    <row r="354" spans="2:10" x14ac:dyDescent="0.2">
      <c r="B354" s="103"/>
      <c r="C354" s="103">
        <v>42168</v>
      </c>
      <c r="D354" s="104">
        <v>229</v>
      </c>
      <c r="E354" s="122" t="s">
        <v>1696</v>
      </c>
      <c r="F354" s="105" t="s">
        <v>1713</v>
      </c>
      <c r="G354" s="110"/>
      <c r="H354" s="93"/>
      <c r="I354" s="93">
        <v>22000</v>
      </c>
      <c r="J354" s="131">
        <f t="shared" si="18"/>
        <v>176725.09000000005</v>
      </c>
    </row>
    <row r="355" spans="2:10" x14ac:dyDescent="0.2">
      <c r="B355" s="103"/>
      <c r="C355" s="103">
        <v>42173</v>
      </c>
      <c r="D355" s="104">
        <v>230</v>
      </c>
      <c r="E355" s="122" t="s">
        <v>1714</v>
      </c>
      <c r="F355" s="174" t="s">
        <v>1715</v>
      </c>
      <c r="G355" s="110"/>
      <c r="H355" s="93"/>
      <c r="I355" s="93">
        <v>16000</v>
      </c>
      <c r="J355" s="131">
        <f t="shared" si="18"/>
        <v>160725.09000000005</v>
      </c>
    </row>
    <row r="356" spans="2:10" x14ac:dyDescent="0.2">
      <c r="B356" s="103"/>
      <c r="C356" s="103">
        <v>42173</v>
      </c>
      <c r="D356" s="104">
        <v>231</v>
      </c>
      <c r="E356" s="122"/>
      <c r="F356" s="105" t="s">
        <v>1711</v>
      </c>
      <c r="G356" s="110"/>
      <c r="H356" s="93"/>
      <c r="I356" s="93">
        <v>15000</v>
      </c>
      <c r="J356" s="131">
        <f t="shared" si="18"/>
        <v>145725.09000000005</v>
      </c>
    </row>
    <row r="357" spans="2:10" x14ac:dyDescent="0.2">
      <c r="B357" s="103"/>
      <c r="C357" s="103">
        <v>42173</v>
      </c>
      <c r="D357" s="104">
        <v>315</v>
      </c>
      <c r="E357" s="122" t="s">
        <v>1716</v>
      </c>
      <c r="F357" s="105" t="s">
        <v>1717</v>
      </c>
      <c r="G357" s="110" t="s">
        <v>535</v>
      </c>
      <c r="H357" s="93">
        <v>3600</v>
      </c>
      <c r="I357" s="93"/>
      <c r="J357" s="131">
        <f t="shared" si="18"/>
        <v>149325.09000000005</v>
      </c>
    </row>
    <row r="358" spans="2:10" x14ac:dyDescent="0.2">
      <c r="B358" s="103"/>
      <c r="C358" s="103">
        <v>42173</v>
      </c>
      <c r="D358" s="104">
        <v>7870</v>
      </c>
      <c r="E358" s="122" t="s">
        <v>805</v>
      </c>
      <c r="F358" s="105" t="s">
        <v>1712</v>
      </c>
      <c r="G358" s="110" t="s">
        <v>806</v>
      </c>
      <c r="H358" s="93">
        <v>11000</v>
      </c>
      <c r="I358" s="93"/>
      <c r="J358" s="131">
        <f t="shared" si="18"/>
        <v>160325.09000000005</v>
      </c>
    </row>
    <row r="359" spans="2:10" x14ac:dyDescent="0.2">
      <c r="B359" s="103"/>
      <c r="C359" s="103">
        <v>42173</v>
      </c>
      <c r="D359" s="104"/>
      <c r="E359" s="122" t="s">
        <v>805</v>
      </c>
      <c r="F359" s="105" t="s">
        <v>1596</v>
      </c>
      <c r="G359" s="110" t="s">
        <v>1537</v>
      </c>
      <c r="H359" s="93">
        <v>1760</v>
      </c>
      <c r="I359" s="93"/>
      <c r="J359" s="131">
        <f>+J358+H359-I359</f>
        <v>162085.09000000005</v>
      </c>
    </row>
    <row r="360" spans="2:10" x14ac:dyDescent="0.2">
      <c r="B360" s="103"/>
      <c r="C360" s="103">
        <v>42185</v>
      </c>
      <c r="D360" s="104">
        <v>234</v>
      </c>
      <c r="E360" s="122"/>
      <c r="F360" s="105" t="s">
        <v>1711</v>
      </c>
      <c r="G360" s="110"/>
      <c r="H360" s="93"/>
      <c r="I360" s="93">
        <v>20000</v>
      </c>
      <c r="J360" s="131">
        <f>+J359+H360-I360</f>
        <v>142085.09000000005</v>
      </c>
    </row>
    <row r="361" spans="2:10" x14ac:dyDescent="0.2">
      <c r="B361" s="103"/>
      <c r="C361" s="103">
        <v>42185</v>
      </c>
      <c r="D361" s="104">
        <v>235</v>
      </c>
      <c r="E361" s="122"/>
      <c r="F361" s="105" t="s">
        <v>1711</v>
      </c>
      <c r="G361" s="110"/>
      <c r="H361" s="93"/>
      <c r="I361" s="93">
        <v>30000</v>
      </c>
      <c r="J361" s="131">
        <f>+J360+H361-I361</f>
        <v>112085.09000000005</v>
      </c>
    </row>
    <row r="362" spans="2:10" x14ac:dyDescent="0.2">
      <c r="B362" s="103"/>
      <c r="C362" s="103">
        <v>42185</v>
      </c>
      <c r="D362" s="104"/>
      <c r="E362" s="122" t="s">
        <v>1597</v>
      </c>
      <c r="F362" s="105" t="s">
        <v>1718</v>
      </c>
      <c r="G362" s="110" t="s">
        <v>1537</v>
      </c>
      <c r="H362" s="93"/>
      <c r="I362" s="93">
        <v>84</v>
      </c>
      <c r="J362" s="131">
        <f>+J361+H362-I362</f>
        <v>112001.09000000005</v>
      </c>
    </row>
    <row r="363" spans="2:10" x14ac:dyDescent="0.2">
      <c r="B363" s="103"/>
      <c r="C363" s="103">
        <v>42185</v>
      </c>
      <c r="D363" s="104"/>
      <c r="E363" s="122" t="s">
        <v>1597</v>
      </c>
      <c r="F363" s="105" t="s">
        <v>1719</v>
      </c>
      <c r="G363" s="110" t="s">
        <v>1543</v>
      </c>
      <c r="H363" s="93"/>
      <c r="I363" s="93">
        <v>13.44</v>
      </c>
      <c r="J363" s="131">
        <f>+J362+H363-I363</f>
        <v>111987.65000000005</v>
      </c>
    </row>
    <row r="364" spans="2:10" ht="25.5" x14ac:dyDescent="0.2">
      <c r="B364" s="94" t="s">
        <v>1525</v>
      </c>
      <c r="C364" s="94" t="s">
        <v>1526</v>
      </c>
      <c r="D364" s="95" t="s">
        <v>1527</v>
      </c>
      <c r="E364" s="149"/>
      <c r="F364" s="52" t="s">
        <v>1529</v>
      </c>
      <c r="G364" s="3" t="s">
        <v>3</v>
      </c>
      <c r="H364" s="96" t="s">
        <v>1530</v>
      </c>
      <c r="I364" s="96" t="s">
        <v>1531</v>
      </c>
      <c r="J364" s="96" t="s">
        <v>1532</v>
      </c>
    </row>
    <row r="365" spans="2:10" x14ac:dyDescent="0.2">
      <c r="B365" s="103"/>
      <c r="C365" s="103">
        <v>42187</v>
      </c>
      <c r="D365" s="104">
        <v>236</v>
      </c>
      <c r="E365" s="122" t="s">
        <v>1720</v>
      </c>
      <c r="F365" s="105" t="s">
        <v>1721</v>
      </c>
      <c r="G365" s="110"/>
      <c r="H365" s="93"/>
      <c r="I365" s="93">
        <v>30000</v>
      </c>
      <c r="J365" s="131">
        <f>+J363+H365-I365</f>
        <v>81987.650000000052</v>
      </c>
    </row>
    <row r="366" spans="2:10" x14ac:dyDescent="0.2">
      <c r="B366" s="103"/>
      <c r="C366" s="103">
        <v>42192</v>
      </c>
      <c r="D366" s="104">
        <v>5920</v>
      </c>
      <c r="E366" s="122" t="s">
        <v>1534</v>
      </c>
      <c r="F366" s="105" t="s">
        <v>1722</v>
      </c>
      <c r="G366" s="110" t="s">
        <v>211</v>
      </c>
      <c r="H366" s="93">
        <v>300</v>
      </c>
      <c r="I366" s="93"/>
      <c r="J366" s="131">
        <f>+J365+H366-I366</f>
        <v>82287.650000000052</v>
      </c>
    </row>
    <row r="367" spans="2:10" x14ac:dyDescent="0.2">
      <c r="B367" s="103"/>
      <c r="C367" s="103">
        <v>42192</v>
      </c>
      <c r="D367" s="104"/>
      <c r="E367" s="122" t="s">
        <v>1534</v>
      </c>
      <c r="F367" s="105" t="s">
        <v>1536</v>
      </c>
      <c r="G367" s="110" t="s">
        <v>1537</v>
      </c>
      <c r="H367" s="93">
        <v>0.46</v>
      </c>
      <c r="I367" s="93"/>
      <c r="J367" s="131">
        <f t="shared" ref="J367:J377" si="19">+J366+H367-I367</f>
        <v>82288.110000000059</v>
      </c>
    </row>
    <row r="368" spans="2:10" x14ac:dyDescent="0.2">
      <c r="B368" s="103"/>
      <c r="C368" s="103">
        <v>42194</v>
      </c>
      <c r="D368" s="104">
        <v>4795</v>
      </c>
      <c r="E368" s="122" t="s">
        <v>1538</v>
      </c>
      <c r="F368" s="105" t="s">
        <v>1723</v>
      </c>
      <c r="G368" s="110" t="s">
        <v>208</v>
      </c>
      <c r="H368" s="93">
        <v>400</v>
      </c>
      <c r="I368" s="93"/>
      <c r="J368" s="131">
        <f t="shared" si="19"/>
        <v>82688.110000000059</v>
      </c>
    </row>
    <row r="369" spans="2:10" x14ac:dyDescent="0.2">
      <c r="B369" s="103"/>
      <c r="C369" s="103">
        <v>42194</v>
      </c>
      <c r="D369" s="104"/>
      <c r="E369" s="122" t="s">
        <v>1538</v>
      </c>
      <c r="F369" s="105" t="s">
        <v>1536</v>
      </c>
      <c r="G369" s="110" t="s">
        <v>1537</v>
      </c>
      <c r="H369" s="93">
        <v>0.28999999999999998</v>
      </c>
      <c r="I369" s="93"/>
      <c r="J369" s="131">
        <f t="shared" si="19"/>
        <v>82688.400000000052</v>
      </c>
    </row>
    <row r="370" spans="2:10" x14ac:dyDescent="0.2">
      <c r="B370" s="103"/>
      <c r="C370" s="103">
        <v>42201</v>
      </c>
      <c r="D370" s="104">
        <v>237</v>
      </c>
      <c r="E370" s="122" t="s">
        <v>1720</v>
      </c>
      <c r="F370" s="105" t="s">
        <v>1721</v>
      </c>
      <c r="G370" s="110"/>
      <c r="H370" s="93"/>
      <c r="I370" s="93">
        <v>20000</v>
      </c>
      <c r="J370" s="131">
        <f t="shared" si="19"/>
        <v>62688.400000000052</v>
      </c>
    </row>
    <row r="371" spans="2:10" x14ac:dyDescent="0.2">
      <c r="B371" s="103"/>
      <c r="C371" s="103">
        <v>42202</v>
      </c>
      <c r="D371" s="104">
        <v>7346</v>
      </c>
      <c r="E371" s="122" t="s">
        <v>1698</v>
      </c>
      <c r="F371" s="105" t="s">
        <v>1724</v>
      </c>
      <c r="G371" s="110" t="s">
        <v>119</v>
      </c>
      <c r="H371" s="93">
        <v>1200</v>
      </c>
      <c r="I371" s="93"/>
      <c r="J371" s="131">
        <f t="shared" si="19"/>
        <v>63888.400000000052</v>
      </c>
    </row>
    <row r="372" spans="2:10" x14ac:dyDescent="0.2">
      <c r="B372" s="103"/>
      <c r="C372" s="103">
        <v>42202</v>
      </c>
      <c r="D372" s="104"/>
      <c r="E372" s="122" t="s">
        <v>1698</v>
      </c>
      <c r="F372" s="105" t="s">
        <v>1536</v>
      </c>
      <c r="G372" s="110" t="s">
        <v>1537</v>
      </c>
      <c r="H372" s="93">
        <v>0.25</v>
      </c>
      <c r="I372" s="93"/>
      <c r="J372" s="131">
        <f t="shared" si="19"/>
        <v>63888.650000000052</v>
      </c>
    </row>
    <row r="373" spans="2:10" x14ac:dyDescent="0.2">
      <c r="B373" s="103"/>
      <c r="C373" s="103">
        <v>42209</v>
      </c>
      <c r="D373" s="104">
        <v>238</v>
      </c>
      <c r="E373" s="122" t="s">
        <v>1720</v>
      </c>
      <c r="F373" s="105" t="s">
        <v>1721</v>
      </c>
      <c r="G373" s="110"/>
      <c r="H373" s="93"/>
      <c r="I373" s="93">
        <v>20000</v>
      </c>
      <c r="J373" s="131">
        <f t="shared" si="19"/>
        <v>43888.650000000052</v>
      </c>
    </row>
    <row r="374" spans="2:10" x14ac:dyDescent="0.2">
      <c r="B374" s="103"/>
      <c r="C374" s="103">
        <v>42216</v>
      </c>
      <c r="D374" s="104">
        <v>239</v>
      </c>
      <c r="E374" s="122" t="s">
        <v>1720</v>
      </c>
      <c r="F374" s="105" t="s">
        <v>1721</v>
      </c>
      <c r="G374" s="110"/>
      <c r="H374" s="93"/>
      <c r="I374" s="93">
        <v>20000</v>
      </c>
      <c r="J374" s="131">
        <f t="shared" si="19"/>
        <v>23888.650000000052</v>
      </c>
    </row>
    <row r="375" spans="2:10" x14ac:dyDescent="0.2">
      <c r="B375" s="103"/>
      <c r="C375" s="103">
        <v>42216</v>
      </c>
      <c r="D375" s="104">
        <v>621</v>
      </c>
      <c r="E375" s="122" t="s">
        <v>1707</v>
      </c>
      <c r="F375" s="105" t="s">
        <v>1725</v>
      </c>
      <c r="G375" s="110" t="s">
        <v>401</v>
      </c>
      <c r="H375" s="93">
        <v>800</v>
      </c>
      <c r="I375" s="93"/>
      <c r="J375" s="131">
        <f t="shared" si="19"/>
        <v>24688.650000000052</v>
      </c>
    </row>
    <row r="376" spans="2:10" x14ac:dyDescent="0.2">
      <c r="B376" s="103"/>
      <c r="C376" s="103">
        <v>42216</v>
      </c>
      <c r="D376" s="104"/>
      <c r="E376" s="122" t="s">
        <v>1597</v>
      </c>
      <c r="F376" s="105" t="s">
        <v>1718</v>
      </c>
      <c r="G376" s="110" t="s">
        <v>1537</v>
      </c>
      <c r="H376" s="93"/>
      <c r="I376" s="93">
        <v>56</v>
      </c>
      <c r="J376" s="131">
        <f t="shared" si="19"/>
        <v>24632.650000000052</v>
      </c>
    </row>
    <row r="377" spans="2:10" x14ac:dyDescent="0.2">
      <c r="B377" s="103"/>
      <c r="C377" s="103">
        <v>42216</v>
      </c>
      <c r="D377" s="104"/>
      <c r="E377" s="122" t="s">
        <v>1597</v>
      </c>
      <c r="F377" s="105" t="s">
        <v>1726</v>
      </c>
      <c r="G377" s="110" t="s">
        <v>1543</v>
      </c>
      <c r="H377" s="93"/>
      <c r="I377" s="93">
        <v>8.9600000000000009</v>
      </c>
      <c r="J377" s="131">
        <f t="shared" si="19"/>
        <v>24623.690000000053</v>
      </c>
    </row>
    <row r="378" spans="2:10" ht="25.5" x14ac:dyDescent="0.2">
      <c r="B378" s="94" t="s">
        <v>1525</v>
      </c>
      <c r="C378" s="94" t="s">
        <v>1526</v>
      </c>
      <c r="D378" s="95" t="s">
        <v>1527</v>
      </c>
      <c r="E378" s="149"/>
      <c r="F378" s="52" t="s">
        <v>1529</v>
      </c>
      <c r="G378" s="3" t="s">
        <v>3</v>
      </c>
      <c r="H378" s="96" t="s">
        <v>1530</v>
      </c>
      <c r="I378" s="96" t="s">
        <v>1531</v>
      </c>
      <c r="J378" s="96" t="s">
        <v>1532</v>
      </c>
    </row>
    <row r="379" spans="2:10" x14ac:dyDescent="0.2">
      <c r="B379" s="103"/>
      <c r="C379" s="103">
        <v>42223</v>
      </c>
      <c r="D379" s="104">
        <v>4795</v>
      </c>
      <c r="E379" s="122" t="s">
        <v>1538</v>
      </c>
      <c r="F379" s="105" t="s">
        <v>1727</v>
      </c>
      <c r="G379" s="110" t="s">
        <v>208</v>
      </c>
      <c r="H379" s="93">
        <v>400</v>
      </c>
      <c r="I379" s="93"/>
      <c r="J379" s="131">
        <f>+J377+H379-I379</f>
        <v>25023.690000000053</v>
      </c>
    </row>
    <row r="380" spans="2:10" x14ac:dyDescent="0.2">
      <c r="B380" s="103"/>
      <c r="C380" s="103">
        <v>42223</v>
      </c>
      <c r="D380" s="104"/>
      <c r="E380" s="122" t="s">
        <v>1538</v>
      </c>
      <c r="F380" s="105" t="s">
        <v>1536</v>
      </c>
      <c r="G380" s="110" t="s">
        <v>1537</v>
      </c>
      <c r="H380" s="93">
        <v>0.28999999999999998</v>
      </c>
      <c r="I380" s="93"/>
      <c r="J380" s="131">
        <f t="shared" ref="J380:J432" si="20">+J379+H380-I380</f>
        <v>25023.980000000054</v>
      </c>
    </row>
    <row r="381" spans="2:10" x14ac:dyDescent="0.2">
      <c r="B381" s="103"/>
      <c r="C381" s="103">
        <v>42235</v>
      </c>
      <c r="D381" s="104">
        <v>9585</v>
      </c>
      <c r="E381" s="122" t="s">
        <v>1534</v>
      </c>
      <c r="F381" s="105" t="s">
        <v>1727</v>
      </c>
      <c r="G381" s="110" t="s">
        <v>211</v>
      </c>
      <c r="H381" s="93">
        <v>300</v>
      </c>
      <c r="I381" s="93"/>
      <c r="J381" s="131">
        <f t="shared" si="20"/>
        <v>25323.980000000054</v>
      </c>
    </row>
    <row r="382" spans="2:10" x14ac:dyDescent="0.2">
      <c r="B382" s="103"/>
      <c r="C382" s="103">
        <v>42235</v>
      </c>
      <c r="D382" s="104"/>
      <c r="E382" s="122" t="s">
        <v>1534</v>
      </c>
      <c r="F382" s="105" t="s">
        <v>1536</v>
      </c>
      <c r="G382" s="110" t="s">
        <v>1537</v>
      </c>
      <c r="H382" s="93">
        <v>0.46</v>
      </c>
      <c r="I382" s="93"/>
      <c r="J382" s="131">
        <f t="shared" si="20"/>
        <v>25324.440000000053</v>
      </c>
    </row>
    <row r="383" spans="2:10" x14ac:dyDescent="0.2">
      <c r="B383" s="103"/>
      <c r="C383" s="103">
        <v>42235</v>
      </c>
      <c r="D383" s="104">
        <v>3409</v>
      </c>
      <c r="E383" s="122" t="s">
        <v>197</v>
      </c>
      <c r="F383" s="105" t="s">
        <v>1728</v>
      </c>
      <c r="G383" s="110" t="s">
        <v>195</v>
      </c>
      <c r="H383" s="93">
        <v>1200</v>
      </c>
      <c r="I383" s="93"/>
      <c r="J383" s="131">
        <f t="shared" si="20"/>
        <v>26524.440000000053</v>
      </c>
    </row>
    <row r="384" spans="2:10" x14ac:dyDescent="0.2">
      <c r="B384" s="103"/>
      <c r="C384" s="103">
        <v>42235</v>
      </c>
      <c r="D384" s="104">
        <v>7898</v>
      </c>
      <c r="E384" s="122" t="s">
        <v>805</v>
      </c>
      <c r="F384" s="105" t="s">
        <v>1729</v>
      </c>
      <c r="G384" s="110" t="s">
        <v>806</v>
      </c>
      <c r="H384" s="93">
        <v>11000</v>
      </c>
      <c r="I384" s="93"/>
      <c r="J384" s="131">
        <f t="shared" si="20"/>
        <v>37524.440000000053</v>
      </c>
    </row>
    <row r="385" spans="2:10" x14ac:dyDescent="0.2">
      <c r="B385" s="103"/>
      <c r="C385" s="103">
        <v>42235</v>
      </c>
      <c r="D385" s="104"/>
      <c r="E385" s="122" t="s">
        <v>805</v>
      </c>
      <c r="F385" s="105" t="s">
        <v>1596</v>
      </c>
      <c r="G385" s="110" t="s">
        <v>1537</v>
      </c>
      <c r="H385" s="93">
        <v>1760</v>
      </c>
      <c r="I385" s="93"/>
      <c r="J385" s="131">
        <f t="shared" si="20"/>
        <v>39284.440000000053</v>
      </c>
    </row>
    <row r="386" spans="2:10" x14ac:dyDescent="0.2">
      <c r="B386" s="103"/>
      <c r="C386" s="103">
        <v>42245</v>
      </c>
      <c r="D386" s="104">
        <v>4052</v>
      </c>
      <c r="E386" s="122" t="s">
        <v>1547</v>
      </c>
      <c r="F386" s="105" t="s">
        <v>1730</v>
      </c>
      <c r="G386" s="110" t="s">
        <v>571</v>
      </c>
      <c r="H386" s="93">
        <v>600</v>
      </c>
      <c r="I386" s="93"/>
      <c r="J386" s="131">
        <f t="shared" si="20"/>
        <v>39884.440000000053</v>
      </c>
    </row>
    <row r="387" spans="2:10" x14ac:dyDescent="0.2">
      <c r="B387" s="103"/>
      <c r="C387" s="103">
        <v>42245</v>
      </c>
      <c r="D387" s="104"/>
      <c r="E387" s="122" t="s">
        <v>1547</v>
      </c>
      <c r="F387" s="105" t="s">
        <v>1536</v>
      </c>
      <c r="G387" s="110" t="s">
        <v>1537</v>
      </c>
      <c r="H387" s="93">
        <v>0.15</v>
      </c>
      <c r="I387" s="93"/>
      <c r="J387" s="131">
        <f t="shared" si="20"/>
        <v>39884.590000000055</v>
      </c>
    </row>
    <row r="388" spans="2:10" x14ac:dyDescent="0.2">
      <c r="B388" s="103"/>
      <c r="C388" s="103">
        <v>42247</v>
      </c>
      <c r="D388" s="104">
        <v>1247</v>
      </c>
      <c r="E388" s="139"/>
      <c r="F388" s="168"/>
      <c r="G388" s="117"/>
      <c r="H388" s="93">
        <v>400</v>
      </c>
      <c r="I388" s="93"/>
      <c r="J388" s="131">
        <f t="shared" si="20"/>
        <v>40284.590000000055</v>
      </c>
    </row>
    <row r="389" spans="2:10" ht="26.25" customHeight="1" x14ac:dyDescent="0.2">
      <c r="B389" s="94" t="s">
        <v>1525</v>
      </c>
      <c r="C389" s="94" t="s">
        <v>1526</v>
      </c>
      <c r="D389" s="95" t="s">
        <v>1527</v>
      </c>
      <c r="E389" s="149"/>
      <c r="F389" s="52" t="s">
        <v>1529</v>
      </c>
      <c r="G389" s="3" t="s">
        <v>3</v>
      </c>
      <c r="H389" s="96" t="s">
        <v>1530</v>
      </c>
      <c r="I389" s="96" t="s">
        <v>1531</v>
      </c>
      <c r="J389" s="96" t="s">
        <v>1532</v>
      </c>
    </row>
    <row r="390" spans="2:10" x14ac:dyDescent="0.2">
      <c r="B390" s="103"/>
      <c r="C390" s="103">
        <v>42251</v>
      </c>
      <c r="D390" s="104">
        <v>3521</v>
      </c>
      <c r="E390" s="122" t="s">
        <v>1698</v>
      </c>
      <c r="F390" s="105" t="s">
        <v>1731</v>
      </c>
      <c r="G390" s="110" t="s">
        <v>119</v>
      </c>
      <c r="H390" s="93">
        <v>800</v>
      </c>
      <c r="I390" s="93"/>
      <c r="J390" s="131">
        <f>+J388+H390-I390</f>
        <v>41084.590000000055</v>
      </c>
    </row>
    <row r="391" spans="2:10" x14ac:dyDescent="0.2">
      <c r="B391" s="103"/>
      <c r="C391" s="103">
        <v>42251</v>
      </c>
      <c r="D391" s="104"/>
      <c r="E391" s="122" t="s">
        <v>1698</v>
      </c>
      <c r="F391" s="105" t="s">
        <v>1536</v>
      </c>
      <c r="G391" s="110" t="s">
        <v>1537</v>
      </c>
      <c r="H391" s="93">
        <v>0.25</v>
      </c>
      <c r="I391" s="93"/>
      <c r="J391" s="131">
        <f t="shared" si="20"/>
        <v>41084.840000000055</v>
      </c>
    </row>
    <row r="392" spans="2:10" x14ac:dyDescent="0.2">
      <c r="B392" s="103"/>
      <c r="C392" s="103">
        <v>42256</v>
      </c>
      <c r="D392" s="104">
        <v>5359</v>
      </c>
      <c r="E392" s="122" t="s">
        <v>1534</v>
      </c>
      <c r="F392" s="105" t="s">
        <v>1732</v>
      </c>
      <c r="G392" s="110" t="s">
        <v>211</v>
      </c>
      <c r="H392" s="93">
        <v>300</v>
      </c>
      <c r="I392" s="93"/>
      <c r="J392" s="131">
        <f t="shared" si="20"/>
        <v>41384.840000000055</v>
      </c>
    </row>
    <row r="393" spans="2:10" x14ac:dyDescent="0.2">
      <c r="B393" s="103"/>
      <c r="C393" s="103">
        <v>42256</v>
      </c>
      <c r="D393" s="104"/>
      <c r="E393" s="122" t="s">
        <v>1534</v>
      </c>
      <c r="F393" s="105" t="s">
        <v>1536</v>
      </c>
      <c r="G393" s="110" t="s">
        <v>1537</v>
      </c>
      <c r="H393" s="93">
        <v>0.46</v>
      </c>
      <c r="I393" s="93"/>
      <c r="J393" s="131">
        <f t="shared" si="20"/>
        <v>41385.300000000054</v>
      </c>
    </row>
    <row r="394" spans="2:10" x14ac:dyDescent="0.2">
      <c r="B394" s="103"/>
      <c r="C394" s="103">
        <v>42256</v>
      </c>
      <c r="D394" s="104">
        <v>4795</v>
      </c>
      <c r="E394" s="139" t="s">
        <v>1538</v>
      </c>
      <c r="F394" s="168" t="s">
        <v>1733</v>
      </c>
      <c r="G394" s="117" t="s">
        <v>208</v>
      </c>
      <c r="H394" s="93">
        <v>400</v>
      </c>
      <c r="I394" s="93"/>
      <c r="J394" s="131">
        <f t="shared" si="20"/>
        <v>41785.300000000054</v>
      </c>
    </row>
    <row r="395" spans="2:10" x14ac:dyDescent="0.2">
      <c r="B395" s="103"/>
      <c r="C395" s="103">
        <v>42261</v>
      </c>
      <c r="D395" s="104">
        <v>7914</v>
      </c>
      <c r="E395" s="122" t="s">
        <v>805</v>
      </c>
      <c r="F395" s="105" t="s">
        <v>1734</v>
      </c>
      <c r="G395" s="110" t="s">
        <v>806</v>
      </c>
      <c r="H395" s="93">
        <v>11000</v>
      </c>
      <c r="I395" s="93"/>
      <c r="J395" s="131">
        <f t="shared" si="20"/>
        <v>52785.300000000054</v>
      </c>
    </row>
    <row r="396" spans="2:10" x14ac:dyDescent="0.2">
      <c r="B396" s="103"/>
      <c r="C396" s="103">
        <v>42261</v>
      </c>
      <c r="D396" s="104"/>
      <c r="E396" s="122" t="s">
        <v>805</v>
      </c>
      <c r="F396" s="105" t="s">
        <v>1596</v>
      </c>
      <c r="G396" s="110" t="s">
        <v>1537</v>
      </c>
      <c r="H396" s="93">
        <v>1760</v>
      </c>
      <c r="I396" s="93"/>
      <c r="J396" s="131">
        <f t="shared" si="20"/>
        <v>54545.300000000054</v>
      </c>
    </row>
    <row r="397" spans="2:10" x14ac:dyDescent="0.2">
      <c r="B397" s="103"/>
      <c r="C397" s="103">
        <v>42262</v>
      </c>
      <c r="D397" s="104">
        <v>240</v>
      </c>
      <c r="E397" s="122"/>
      <c r="F397" s="105"/>
      <c r="G397" s="110"/>
      <c r="H397" s="93"/>
      <c r="I397" s="93">
        <v>10000</v>
      </c>
      <c r="J397" s="131">
        <f t="shared" si="20"/>
        <v>44545.300000000054</v>
      </c>
    </row>
    <row r="398" spans="2:10" x14ac:dyDescent="0.2">
      <c r="B398" s="103"/>
      <c r="C398" s="103">
        <v>42275</v>
      </c>
      <c r="D398" s="104">
        <v>2</v>
      </c>
      <c r="E398" s="122" t="s">
        <v>1547</v>
      </c>
      <c r="F398" s="105" t="s">
        <v>1735</v>
      </c>
      <c r="G398" s="110" t="s">
        <v>571</v>
      </c>
      <c r="H398" s="93">
        <v>600</v>
      </c>
      <c r="I398" s="93"/>
      <c r="J398" s="131">
        <f t="shared" si="20"/>
        <v>45145.300000000054</v>
      </c>
    </row>
    <row r="399" spans="2:10" x14ac:dyDescent="0.2">
      <c r="B399" s="103"/>
      <c r="C399" s="103">
        <v>42275</v>
      </c>
      <c r="D399" s="104">
        <v>7154</v>
      </c>
      <c r="E399" s="122" t="s">
        <v>1547</v>
      </c>
      <c r="F399" s="105" t="s">
        <v>1536</v>
      </c>
      <c r="G399" s="110" t="s">
        <v>1537</v>
      </c>
      <c r="H399" s="93">
        <v>0.15</v>
      </c>
      <c r="I399" s="93"/>
      <c r="J399" s="131">
        <f t="shared" si="20"/>
        <v>45145.450000000055</v>
      </c>
    </row>
    <row r="400" spans="2:10" x14ac:dyDescent="0.2">
      <c r="B400" s="103"/>
      <c r="C400" s="103">
        <v>42276</v>
      </c>
      <c r="D400" s="104">
        <v>3399</v>
      </c>
      <c r="E400" s="122" t="s">
        <v>1685</v>
      </c>
      <c r="F400" s="105" t="s">
        <v>1736</v>
      </c>
      <c r="G400" s="110" t="s">
        <v>380</v>
      </c>
      <c r="H400" s="93">
        <v>1200</v>
      </c>
      <c r="I400" s="93"/>
      <c r="J400" s="131">
        <f t="shared" si="20"/>
        <v>46345.450000000055</v>
      </c>
    </row>
    <row r="401" spans="2:10" x14ac:dyDescent="0.2">
      <c r="B401" s="103"/>
      <c r="C401" s="103">
        <v>42276</v>
      </c>
      <c r="D401" s="104">
        <v>7931</v>
      </c>
      <c r="E401" s="122" t="s">
        <v>805</v>
      </c>
      <c r="F401" s="105" t="s">
        <v>1737</v>
      </c>
      <c r="G401" s="110" t="s">
        <v>806</v>
      </c>
      <c r="H401" s="93">
        <v>11000</v>
      </c>
      <c r="I401" s="93"/>
      <c r="J401" s="131">
        <f t="shared" si="20"/>
        <v>57345.450000000055</v>
      </c>
    </row>
    <row r="402" spans="2:10" x14ac:dyDescent="0.2">
      <c r="B402" s="103"/>
      <c r="C402" s="103">
        <v>42276</v>
      </c>
      <c r="D402" s="104"/>
      <c r="E402" s="122" t="s">
        <v>805</v>
      </c>
      <c r="F402" s="105" t="s">
        <v>1596</v>
      </c>
      <c r="G402" s="110" t="s">
        <v>1537</v>
      </c>
      <c r="H402" s="93">
        <v>1760</v>
      </c>
      <c r="I402" s="93"/>
      <c r="J402" s="131">
        <f t="shared" si="20"/>
        <v>59105.450000000055</v>
      </c>
    </row>
    <row r="403" spans="2:10" x14ac:dyDescent="0.2">
      <c r="B403" s="103"/>
      <c r="C403" s="103">
        <v>42276</v>
      </c>
      <c r="D403" s="104"/>
      <c r="E403" s="105" t="s">
        <v>1738</v>
      </c>
      <c r="F403" s="105" t="s">
        <v>1739</v>
      </c>
      <c r="G403" s="110"/>
      <c r="H403" s="93"/>
      <c r="I403" s="93">
        <v>10000</v>
      </c>
      <c r="J403" s="131">
        <f t="shared" si="20"/>
        <v>49105.450000000055</v>
      </c>
    </row>
    <row r="404" spans="2:10" x14ac:dyDescent="0.2">
      <c r="B404" s="103"/>
      <c r="C404" s="103">
        <v>42277</v>
      </c>
      <c r="D404" s="104"/>
      <c r="E404" s="105" t="s">
        <v>1597</v>
      </c>
      <c r="F404" s="105" t="s">
        <v>1740</v>
      </c>
      <c r="G404" s="110" t="s">
        <v>1537</v>
      </c>
      <c r="H404" s="93"/>
      <c r="I404" s="93">
        <v>28</v>
      </c>
      <c r="J404" s="131">
        <f t="shared" si="20"/>
        <v>49077.450000000055</v>
      </c>
    </row>
    <row r="405" spans="2:10" x14ac:dyDescent="0.2">
      <c r="B405" s="103"/>
      <c r="C405" s="103">
        <v>42277</v>
      </c>
      <c r="D405" s="104"/>
      <c r="E405" s="105" t="s">
        <v>1597</v>
      </c>
      <c r="F405" s="105" t="s">
        <v>1726</v>
      </c>
      <c r="G405" s="110" t="s">
        <v>1543</v>
      </c>
      <c r="H405" s="93"/>
      <c r="I405" s="93">
        <v>4.4800000000000004</v>
      </c>
      <c r="J405" s="131">
        <f t="shared" si="20"/>
        <v>49072.970000000052</v>
      </c>
    </row>
    <row r="406" spans="2:10" ht="27" customHeight="1" x14ac:dyDescent="0.2">
      <c r="B406" s="94" t="s">
        <v>1525</v>
      </c>
      <c r="C406" s="94" t="s">
        <v>1526</v>
      </c>
      <c r="D406" s="95" t="s">
        <v>1527</v>
      </c>
      <c r="E406" s="149"/>
      <c r="F406" s="52" t="s">
        <v>1529</v>
      </c>
      <c r="G406" s="3" t="s">
        <v>3</v>
      </c>
      <c r="H406" s="96" t="s">
        <v>1530</v>
      </c>
      <c r="I406" s="96" t="s">
        <v>1531</v>
      </c>
      <c r="J406" s="96" t="s">
        <v>1532</v>
      </c>
    </row>
    <row r="407" spans="2:10" x14ac:dyDescent="0.2">
      <c r="B407" s="103"/>
      <c r="C407" s="103">
        <v>42282</v>
      </c>
      <c r="D407" s="104">
        <v>4795</v>
      </c>
      <c r="E407" s="105" t="s">
        <v>1538</v>
      </c>
      <c r="F407" s="105" t="s">
        <v>1737</v>
      </c>
      <c r="G407" s="110" t="s">
        <v>208</v>
      </c>
      <c r="H407" s="93">
        <v>400</v>
      </c>
      <c r="I407" s="93"/>
      <c r="J407" s="131">
        <f>+J405+H407-I407</f>
        <v>49472.970000000052</v>
      </c>
    </row>
    <row r="408" spans="2:10" x14ac:dyDescent="0.2">
      <c r="B408" s="103"/>
      <c r="C408" s="103">
        <v>42282</v>
      </c>
      <c r="D408" s="104"/>
      <c r="E408" s="105" t="s">
        <v>1538</v>
      </c>
      <c r="F408" s="105" t="s">
        <v>1536</v>
      </c>
      <c r="G408" s="110" t="s">
        <v>1537</v>
      </c>
      <c r="H408" s="93">
        <v>0.28999999999999998</v>
      </c>
      <c r="I408" s="93"/>
      <c r="J408" s="131">
        <f t="shared" si="20"/>
        <v>49473.260000000053</v>
      </c>
    </row>
    <row r="409" spans="2:10" x14ac:dyDescent="0.2">
      <c r="B409" s="103"/>
      <c r="C409" s="103">
        <v>42283</v>
      </c>
      <c r="D409" s="104">
        <v>5582</v>
      </c>
      <c r="E409" s="105" t="s">
        <v>1534</v>
      </c>
      <c r="F409" s="105" t="s">
        <v>1741</v>
      </c>
      <c r="G409" s="110" t="s">
        <v>211</v>
      </c>
      <c r="H409" s="93">
        <v>300</v>
      </c>
      <c r="I409" s="93"/>
      <c r="J409" s="131">
        <f t="shared" si="20"/>
        <v>49773.260000000053</v>
      </c>
    </row>
    <row r="410" spans="2:10" x14ac:dyDescent="0.2">
      <c r="B410" s="103"/>
      <c r="C410" s="103">
        <v>42283</v>
      </c>
      <c r="D410" s="104"/>
      <c r="E410" s="105" t="s">
        <v>1534</v>
      </c>
      <c r="F410" s="105" t="s">
        <v>1536</v>
      </c>
      <c r="G410" s="110" t="s">
        <v>1537</v>
      </c>
      <c r="H410" s="93">
        <v>0.46</v>
      </c>
      <c r="I410" s="93"/>
      <c r="J410" s="131">
        <f t="shared" si="20"/>
        <v>49773.720000000052</v>
      </c>
    </row>
    <row r="411" spans="2:10" x14ac:dyDescent="0.2">
      <c r="B411" s="103"/>
      <c r="C411" s="103">
        <v>42286</v>
      </c>
      <c r="D411" s="104">
        <v>4795</v>
      </c>
      <c r="E411" s="105" t="s">
        <v>1538</v>
      </c>
      <c r="F411" s="105" t="s">
        <v>1742</v>
      </c>
      <c r="G411" s="110" t="s">
        <v>208</v>
      </c>
      <c r="H411" s="93">
        <v>400</v>
      </c>
      <c r="I411" s="93"/>
      <c r="J411" s="131">
        <f t="shared" si="20"/>
        <v>50173.720000000052</v>
      </c>
    </row>
    <row r="412" spans="2:10" x14ac:dyDescent="0.2">
      <c r="B412" s="103"/>
      <c r="C412" s="103">
        <v>42286</v>
      </c>
      <c r="D412" s="104"/>
      <c r="E412" s="105" t="s">
        <v>1538</v>
      </c>
      <c r="F412" s="105" t="s">
        <v>1536</v>
      </c>
      <c r="G412" s="110" t="s">
        <v>1537</v>
      </c>
      <c r="H412" s="93">
        <v>0.28999999999999998</v>
      </c>
      <c r="I412" s="93"/>
      <c r="J412" s="131">
        <f t="shared" si="20"/>
        <v>50174.010000000053</v>
      </c>
    </row>
    <row r="413" spans="2:10" x14ac:dyDescent="0.2">
      <c r="B413" s="103"/>
      <c r="C413" s="103">
        <v>42290</v>
      </c>
      <c r="D413" s="104">
        <v>6481</v>
      </c>
      <c r="E413" s="105" t="s">
        <v>1707</v>
      </c>
      <c r="F413" s="105" t="s">
        <v>1743</v>
      </c>
      <c r="G413" s="110" t="s">
        <v>1744</v>
      </c>
      <c r="H413" s="93">
        <v>1200</v>
      </c>
      <c r="I413" s="93"/>
      <c r="J413" s="131">
        <f t="shared" si="20"/>
        <v>51374.010000000053</v>
      </c>
    </row>
    <row r="414" spans="2:10" x14ac:dyDescent="0.2">
      <c r="B414" s="103"/>
      <c r="C414" s="103">
        <v>42291</v>
      </c>
      <c r="D414" s="104">
        <v>7957</v>
      </c>
      <c r="E414" s="105" t="s">
        <v>805</v>
      </c>
      <c r="F414" s="105" t="s">
        <v>1745</v>
      </c>
      <c r="G414" s="110" t="s">
        <v>806</v>
      </c>
      <c r="H414" s="93">
        <v>11000</v>
      </c>
      <c r="I414" s="93"/>
      <c r="J414" s="131">
        <f t="shared" si="20"/>
        <v>62374.010000000053</v>
      </c>
    </row>
    <row r="415" spans="2:10" x14ac:dyDescent="0.2">
      <c r="B415" s="103"/>
      <c r="C415" s="103">
        <v>42296</v>
      </c>
      <c r="D415" s="104"/>
      <c r="E415" s="105" t="s">
        <v>805</v>
      </c>
      <c r="F415" s="105" t="s">
        <v>1596</v>
      </c>
      <c r="G415" s="110" t="s">
        <v>1537</v>
      </c>
      <c r="H415" s="93">
        <v>1760</v>
      </c>
      <c r="I415" s="93"/>
      <c r="J415" s="131">
        <f t="shared" si="20"/>
        <v>64134.010000000053</v>
      </c>
    </row>
    <row r="416" spans="2:10" x14ac:dyDescent="0.2">
      <c r="B416" s="103"/>
      <c r="C416" s="103">
        <v>42296</v>
      </c>
      <c r="D416" s="104">
        <v>242</v>
      </c>
      <c r="E416" s="105" t="s">
        <v>1738</v>
      </c>
      <c r="F416" s="105" t="s">
        <v>1746</v>
      </c>
      <c r="G416" s="110"/>
      <c r="H416" s="93"/>
      <c r="I416" s="93">
        <v>20000</v>
      </c>
      <c r="J416" s="131">
        <f t="shared" si="20"/>
        <v>44134.010000000053</v>
      </c>
    </row>
    <row r="417" spans="2:10" x14ac:dyDescent="0.2">
      <c r="B417" s="103"/>
      <c r="C417" s="103">
        <v>42307</v>
      </c>
      <c r="D417" s="104"/>
      <c r="E417" s="105" t="s">
        <v>1597</v>
      </c>
      <c r="F417" s="105" t="s">
        <v>1740</v>
      </c>
      <c r="G417" s="110" t="s">
        <v>1537</v>
      </c>
      <c r="H417" s="93"/>
      <c r="I417" s="93">
        <v>14</v>
      </c>
      <c r="J417" s="131">
        <f t="shared" si="20"/>
        <v>44120.010000000053</v>
      </c>
    </row>
    <row r="418" spans="2:10" x14ac:dyDescent="0.2">
      <c r="B418" s="103"/>
      <c r="C418" s="103">
        <v>42307</v>
      </c>
      <c r="D418" s="104"/>
      <c r="E418" s="105" t="s">
        <v>1597</v>
      </c>
      <c r="F418" s="105" t="s">
        <v>1726</v>
      </c>
      <c r="G418" s="110" t="s">
        <v>1543</v>
      </c>
      <c r="H418" s="93"/>
      <c r="I418" s="93">
        <v>2.2400000000000002</v>
      </c>
      <c r="J418" s="131">
        <f t="shared" si="20"/>
        <v>44117.770000000055</v>
      </c>
    </row>
    <row r="419" spans="2:10" ht="25.5" x14ac:dyDescent="0.2">
      <c r="B419" s="94" t="s">
        <v>1525</v>
      </c>
      <c r="C419" s="94" t="s">
        <v>1526</v>
      </c>
      <c r="D419" s="95" t="s">
        <v>1527</v>
      </c>
      <c r="E419" s="149"/>
      <c r="F419" s="52" t="s">
        <v>1529</v>
      </c>
      <c r="G419" s="3" t="s">
        <v>3</v>
      </c>
      <c r="H419" s="96" t="s">
        <v>1530</v>
      </c>
      <c r="I419" s="96" t="s">
        <v>1531</v>
      </c>
      <c r="J419" s="96" t="s">
        <v>1532</v>
      </c>
    </row>
    <row r="420" spans="2:10" x14ac:dyDescent="0.2">
      <c r="B420" s="103"/>
      <c r="C420" s="103">
        <v>42312</v>
      </c>
      <c r="D420" s="104">
        <v>330</v>
      </c>
      <c r="E420" s="105" t="s">
        <v>1547</v>
      </c>
      <c r="F420" s="105" t="s">
        <v>1747</v>
      </c>
      <c r="G420" s="110" t="s">
        <v>571</v>
      </c>
      <c r="H420" s="93">
        <v>200</v>
      </c>
      <c r="I420" s="93"/>
      <c r="J420" s="131">
        <f>+J418+H420-I420</f>
        <v>44317.770000000055</v>
      </c>
    </row>
    <row r="421" spans="2:10" x14ac:dyDescent="0.2">
      <c r="B421" s="103"/>
      <c r="C421" s="103">
        <v>42312</v>
      </c>
      <c r="D421" s="104"/>
      <c r="E421" s="105" t="s">
        <v>1547</v>
      </c>
      <c r="F421" s="105" t="s">
        <v>1536</v>
      </c>
      <c r="G421" s="110" t="s">
        <v>1537</v>
      </c>
      <c r="H421" s="93">
        <v>0.15</v>
      </c>
      <c r="I421" s="93"/>
      <c r="J421" s="131">
        <f t="shared" si="20"/>
        <v>44317.920000000056</v>
      </c>
    </row>
    <row r="422" spans="2:10" x14ac:dyDescent="0.2">
      <c r="B422" s="103"/>
      <c r="C422" s="103">
        <v>42314</v>
      </c>
      <c r="D422" s="104">
        <v>7196</v>
      </c>
      <c r="E422" s="105" t="s">
        <v>1748</v>
      </c>
      <c r="F422" s="105" t="s">
        <v>1749</v>
      </c>
      <c r="G422" s="110" t="s">
        <v>734</v>
      </c>
      <c r="H422" s="93">
        <v>4560</v>
      </c>
      <c r="I422" s="93"/>
      <c r="J422" s="131">
        <f t="shared" si="20"/>
        <v>48877.920000000056</v>
      </c>
    </row>
    <row r="423" spans="2:10" x14ac:dyDescent="0.2">
      <c r="B423" s="103"/>
      <c r="C423" s="103">
        <v>42317</v>
      </c>
      <c r="D423" s="104"/>
      <c r="E423" s="105" t="s">
        <v>1750</v>
      </c>
      <c r="F423" s="105" t="s">
        <v>1751</v>
      </c>
      <c r="G423" s="110" t="s">
        <v>208</v>
      </c>
      <c r="H423" s="93">
        <v>400</v>
      </c>
      <c r="I423" s="93"/>
      <c r="J423" s="131">
        <f t="shared" si="20"/>
        <v>49277.920000000056</v>
      </c>
    </row>
    <row r="424" spans="2:10" x14ac:dyDescent="0.2">
      <c r="B424" s="103"/>
      <c r="C424" s="103">
        <v>42317</v>
      </c>
      <c r="D424" s="104"/>
      <c r="E424" s="105" t="s">
        <v>1750</v>
      </c>
      <c r="F424" s="105" t="s">
        <v>1536</v>
      </c>
      <c r="G424" s="110" t="s">
        <v>1537</v>
      </c>
      <c r="H424" s="93">
        <v>0.28999999999999998</v>
      </c>
      <c r="I424" s="93"/>
      <c r="J424" s="131">
        <f t="shared" si="20"/>
        <v>49278.210000000057</v>
      </c>
    </row>
    <row r="425" spans="2:10" x14ac:dyDescent="0.2">
      <c r="B425" s="103"/>
      <c r="C425" s="103">
        <v>42328</v>
      </c>
      <c r="D425" s="104">
        <v>1115</v>
      </c>
      <c r="E425" s="105" t="s">
        <v>1534</v>
      </c>
      <c r="F425" s="105" t="s">
        <v>1751</v>
      </c>
      <c r="G425" s="110" t="s">
        <v>211</v>
      </c>
      <c r="H425" s="93">
        <v>300</v>
      </c>
      <c r="I425" s="93"/>
      <c r="J425" s="131">
        <f t="shared" si="20"/>
        <v>49578.210000000057</v>
      </c>
    </row>
    <row r="426" spans="2:10" x14ac:dyDescent="0.2">
      <c r="B426" s="103"/>
      <c r="C426" s="103">
        <v>42328</v>
      </c>
      <c r="D426" s="104"/>
      <c r="E426" s="105" t="s">
        <v>1534</v>
      </c>
      <c r="F426" s="105" t="s">
        <v>1536</v>
      </c>
      <c r="G426" s="110" t="s">
        <v>1537</v>
      </c>
      <c r="H426" s="93">
        <v>0.46</v>
      </c>
      <c r="I426" s="93"/>
      <c r="J426" s="131">
        <f t="shared" si="20"/>
        <v>49578.670000000056</v>
      </c>
    </row>
    <row r="427" spans="2:10" x14ac:dyDescent="0.2">
      <c r="B427" s="103"/>
      <c r="C427" s="103">
        <v>42332</v>
      </c>
      <c r="D427" s="104">
        <v>7979</v>
      </c>
      <c r="E427" s="105" t="s">
        <v>805</v>
      </c>
      <c r="F427" s="105" t="s">
        <v>1752</v>
      </c>
      <c r="G427" s="110" t="s">
        <v>806</v>
      </c>
      <c r="H427" s="93">
        <v>11000</v>
      </c>
      <c r="I427" s="93"/>
      <c r="J427" s="131">
        <f t="shared" si="20"/>
        <v>60578.670000000056</v>
      </c>
    </row>
    <row r="428" spans="2:10" x14ac:dyDescent="0.2">
      <c r="B428" s="103"/>
      <c r="C428" s="103">
        <v>42332</v>
      </c>
      <c r="D428" s="104"/>
      <c r="E428" s="105" t="s">
        <v>805</v>
      </c>
      <c r="F428" s="105" t="s">
        <v>1596</v>
      </c>
      <c r="G428" s="110" t="s">
        <v>1537</v>
      </c>
      <c r="H428" s="93">
        <v>1760</v>
      </c>
      <c r="I428" s="93"/>
      <c r="J428" s="131">
        <f t="shared" si="20"/>
        <v>62338.670000000056</v>
      </c>
    </row>
    <row r="429" spans="2:10" x14ac:dyDescent="0.2">
      <c r="B429" s="103"/>
      <c r="C429" s="103">
        <v>42332</v>
      </c>
      <c r="D429" s="104">
        <v>466</v>
      </c>
      <c r="E429" s="105" t="s">
        <v>1707</v>
      </c>
      <c r="F429" s="105" t="s">
        <v>1753</v>
      </c>
      <c r="G429" s="110" t="s">
        <v>401</v>
      </c>
      <c r="H429" s="93">
        <v>800</v>
      </c>
      <c r="I429" s="93"/>
      <c r="J429" s="131">
        <f t="shared" si="20"/>
        <v>63138.670000000056</v>
      </c>
    </row>
    <row r="430" spans="2:10" x14ac:dyDescent="0.2">
      <c r="B430" s="103"/>
      <c r="C430" s="103">
        <v>42338</v>
      </c>
      <c r="D430" s="104">
        <v>244</v>
      </c>
      <c r="E430" s="105" t="s">
        <v>1738</v>
      </c>
      <c r="F430" s="105" t="s">
        <v>1739</v>
      </c>
      <c r="G430" s="110"/>
      <c r="H430" s="93"/>
      <c r="I430" s="93">
        <v>20000</v>
      </c>
      <c r="J430" s="131">
        <f t="shared" si="20"/>
        <v>43138.670000000056</v>
      </c>
    </row>
    <row r="431" spans="2:10" x14ac:dyDescent="0.2">
      <c r="B431" s="103"/>
      <c r="C431" s="103">
        <v>42338</v>
      </c>
      <c r="D431" s="104"/>
      <c r="E431" s="105" t="s">
        <v>1597</v>
      </c>
      <c r="F431" s="105" t="s">
        <v>1740</v>
      </c>
      <c r="G431" s="110" t="s">
        <v>1537</v>
      </c>
      <c r="H431" s="93"/>
      <c r="I431" s="93">
        <v>14</v>
      </c>
      <c r="J431" s="131">
        <f t="shared" si="20"/>
        <v>43124.670000000056</v>
      </c>
    </row>
    <row r="432" spans="2:10" x14ac:dyDescent="0.2">
      <c r="B432" s="103"/>
      <c r="C432" s="103">
        <v>42338</v>
      </c>
      <c r="D432" s="104"/>
      <c r="E432" s="105" t="s">
        <v>1597</v>
      </c>
      <c r="F432" s="105" t="s">
        <v>1726</v>
      </c>
      <c r="G432" s="110" t="s">
        <v>1543</v>
      </c>
      <c r="H432" s="93"/>
      <c r="I432" s="93">
        <v>2.2400000000000002</v>
      </c>
      <c r="J432" s="131">
        <f t="shared" si="20"/>
        <v>43122.430000000058</v>
      </c>
    </row>
    <row r="433" spans="2:10" ht="25.5" x14ac:dyDescent="0.2">
      <c r="B433" s="94" t="s">
        <v>1525</v>
      </c>
      <c r="C433" s="94" t="s">
        <v>1526</v>
      </c>
      <c r="D433" s="95" t="s">
        <v>1527</v>
      </c>
      <c r="E433" s="149"/>
      <c r="F433" s="52" t="s">
        <v>1529</v>
      </c>
      <c r="G433" s="3" t="s">
        <v>3</v>
      </c>
      <c r="H433" s="96" t="s">
        <v>1530</v>
      </c>
      <c r="I433" s="96" t="s">
        <v>1531</v>
      </c>
      <c r="J433" s="96" t="s">
        <v>1532</v>
      </c>
    </row>
    <row r="434" spans="2:10" x14ac:dyDescent="0.2">
      <c r="B434" s="103"/>
      <c r="C434" s="103">
        <v>42341</v>
      </c>
      <c r="D434" s="104">
        <v>245</v>
      </c>
      <c r="E434" s="105" t="s">
        <v>1738</v>
      </c>
      <c r="F434" s="105" t="s">
        <v>1754</v>
      </c>
      <c r="G434" s="110"/>
      <c r="H434" s="93"/>
      <c r="I434" s="93">
        <v>5000</v>
      </c>
      <c r="J434" s="131">
        <f>+J432+H434-I434</f>
        <v>38122.430000000058</v>
      </c>
    </row>
    <row r="435" spans="2:10" x14ac:dyDescent="0.2">
      <c r="B435" s="103"/>
      <c r="C435" s="103">
        <v>42347</v>
      </c>
      <c r="D435" s="104">
        <v>5339</v>
      </c>
      <c r="E435" s="105" t="s">
        <v>1534</v>
      </c>
      <c r="F435" s="105" t="s">
        <v>1755</v>
      </c>
      <c r="G435" s="110" t="s">
        <v>211</v>
      </c>
      <c r="H435" s="93">
        <v>300</v>
      </c>
      <c r="I435" s="93"/>
      <c r="J435" s="131">
        <f t="shared" ref="J435:J444" si="21">+J434+H435-I435</f>
        <v>38422.430000000058</v>
      </c>
    </row>
    <row r="436" spans="2:10" x14ac:dyDescent="0.2">
      <c r="B436" s="103"/>
      <c r="C436" s="103">
        <v>42347</v>
      </c>
      <c r="D436" s="104"/>
      <c r="E436" s="105" t="s">
        <v>1534</v>
      </c>
      <c r="F436" s="105" t="s">
        <v>1536</v>
      </c>
      <c r="G436" s="110" t="s">
        <v>1537</v>
      </c>
      <c r="H436" s="93">
        <v>0.46</v>
      </c>
      <c r="I436" s="93"/>
      <c r="J436" s="131">
        <f t="shared" si="21"/>
        <v>38422.890000000058</v>
      </c>
    </row>
    <row r="437" spans="2:10" x14ac:dyDescent="0.2">
      <c r="B437" s="103"/>
      <c r="C437" s="103">
        <v>42347</v>
      </c>
      <c r="D437" s="104">
        <v>4795</v>
      </c>
      <c r="E437" s="105" t="s">
        <v>1750</v>
      </c>
      <c r="F437" s="105" t="s">
        <v>1755</v>
      </c>
      <c r="G437" s="110" t="s">
        <v>208</v>
      </c>
      <c r="H437" s="93">
        <v>400</v>
      </c>
      <c r="I437" s="93"/>
      <c r="J437" s="131">
        <f t="shared" si="21"/>
        <v>38822.890000000058</v>
      </c>
    </row>
    <row r="438" spans="2:10" x14ac:dyDescent="0.2">
      <c r="B438" s="103"/>
      <c r="C438" s="103">
        <v>42347</v>
      </c>
      <c r="D438" s="104"/>
      <c r="E438" s="105" t="s">
        <v>1750</v>
      </c>
      <c r="F438" s="105" t="s">
        <v>1536</v>
      </c>
      <c r="G438" s="110" t="s">
        <v>1537</v>
      </c>
      <c r="H438" s="93">
        <v>0.28999999999999998</v>
      </c>
      <c r="I438" s="93"/>
      <c r="J438" s="131">
        <f t="shared" si="21"/>
        <v>38823.180000000058</v>
      </c>
    </row>
    <row r="439" spans="2:10" x14ac:dyDescent="0.2">
      <c r="B439" s="103"/>
      <c r="C439" s="103">
        <v>42349</v>
      </c>
      <c r="D439" s="104">
        <v>247</v>
      </c>
      <c r="E439" s="105" t="s">
        <v>1738</v>
      </c>
      <c r="F439" s="105" t="s">
        <v>1756</v>
      </c>
      <c r="G439" s="110"/>
      <c r="H439" s="93"/>
      <c r="I439" s="93">
        <v>26000</v>
      </c>
      <c r="J439" s="131">
        <f t="shared" si="21"/>
        <v>12823.180000000058</v>
      </c>
    </row>
    <row r="440" spans="2:10" x14ac:dyDescent="0.2">
      <c r="B440" s="103"/>
      <c r="C440" s="103">
        <v>42353</v>
      </c>
      <c r="D440" s="104">
        <v>8007</v>
      </c>
      <c r="E440" s="105" t="s">
        <v>805</v>
      </c>
      <c r="F440" s="105" t="s">
        <v>1755</v>
      </c>
      <c r="G440" s="110" t="s">
        <v>806</v>
      </c>
      <c r="H440" s="93">
        <v>11000</v>
      </c>
      <c r="I440" s="93"/>
      <c r="J440" s="131">
        <f t="shared" si="21"/>
        <v>23823.180000000058</v>
      </c>
    </row>
    <row r="441" spans="2:10" x14ac:dyDescent="0.2">
      <c r="B441" s="103"/>
      <c r="C441" s="103">
        <v>42353</v>
      </c>
      <c r="D441" s="104"/>
      <c r="E441" s="105" t="s">
        <v>805</v>
      </c>
      <c r="F441" s="105" t="s">
        <v>1596</v>
      </c>
      <c r="G441" s="110" t="s">
        <v>1537</v>
      </c>
      <c r="H441" s="93">
        <v>1760</v>
      </c>
      <c r="I441" s="93"/>
      <c r="J441" s="131">
        <f t="shared" si="21"/>
        <v>25583.180000000058</v>
      </c>
    </row>
    <row r="442" spans="2:10" x14ac:dyDescent="0.2">
      <c r="B442" s="103"/>
      <c r="C442" s="103">
        <v>42353</v>
      </c>
      <c r="D442" s="104"/>
      <c r="E442" s="105" t="s">
        <v>1757</v>
      </c>
      <c r="F442" s="105" t="s">
        <v>1758</v>
      </c>
      <c r="G442" s="110"/>
      <c r="H442" s="93"/>
      <c r="I442" s="93"/>
      <c r="J442" s="131">
        <f t="shared" si="21"/>
        <v>25583.180000000058</v>
      </c>
    </row>
    <row r="443" spans="2:10" x14ac:dyDescent="0.2">
      <c r="B443" s="103"/>
      <c r="C443" s="103">
        <v>42356</v>
      </c>
      <c r="D443" s="104">
        <v>249</v>
      </c>
      <c r="E443" s="105" t="s">
        <v>1738</v>
      </c>
      <c r="F443" s="105" t="s">
        <v>1759</v>
      </c>
      <c r="G443" s="110"/>
      <c r="H443" s="93"/>
      <c r="I443" s="93">
        <v>15000</v>
      </c>
      <c r="J443" s="131">
        <f t="shared" si="21"/>
        <v>10583.180000000058</v>
      </c>
    </row>
    <row r="444" spans="2:10" x14ac:dyDescent="0.2">
      <c r="B444" s="103"/>
      <c r="C444" s="103">
        <v>42360</v>
      </c>
      <c r="D444" s="104">
        <v>250</v>
      </c>
      <c r="E444" s="105" t="s">
        <v>1757</v>
      </c>
      <c r="F444" s="105" t="s">
        <v>1760</v>
      </c>
      <c r="G444" s="110"/>
      <c r="H444" s="93"/>
      <c r="I444" s="93">
        <v>10583.18</v>
      </c>
      <c r="J444" s="131">
        <f t="shared" si="21"/>
        <v>5.8207660913467407E-11</v>
      </c>
    </row>
    <row r="445" spans="2:10" ht="25.5" x14ac:dyDescent="0.2">
      <c r="B445" s="94" t="s">
        <v>1525</v>
      </c>
      <c r="C445" s="94" t="s">
        <v>1526</v>
      </c>
      <c r="D445" s="95" t="s">
        <v>1527</v>
      </c>
      <c r="E445" s="149"/>
      <c r="F445" s="52" t="s">
        <v>1529</v>
      </c>
      <c r="G445" s="3" t="s">
        <v>3</v>
      </c>
      <c r="H445" s="96" t="s">
        <v>1530</v>
      </c>
      <c r="I445" s="96" t="s">
        <v>1531</v>
      </c>
      <c r="J445" s="96" t="s">
        <v>1532</v>
      </c>
    </row>
    <row r="446" spans="2:10" x14ac:dyDescent="0.2">
      <c r="B446" s="103"/>
      <c r="C446" s="103"/>
      <c r="D446" s="104"/>
      <c r="E446" s="105"/>
      <c r="F446" s="105"/>
      <c r="G446" s="110"/>
      <c r="H446" s="93"/>
      <c r="I446" s="93"/>
      <c r="J446" s="131">
        <v>0</v>
      </c>
    </row>
    <row r="447" spans="2:10" ht="25.5" x14ac:dyDescent="0.2">
      <c r="B447" s="94" t="s">
        <v>1525</v>
      </c>
      <c r="C447" s="94" t="s">
        <v>1526</v>
      </c>
      <c r="D447" s="95" t="s">
        <v>1527</v>
      </c>
      <c r="E447" s="149"/>
      <c r="F447" s="52" t="s">
        <v>1529</v>
      </c>
      <c r="G447" s="3" t="s">
        <v>3</v>
      </c>
      <c r="H447" s="96" t="s">
        <v>1530</v>
      </c>
      <c r="I447" s="96" t="s">
        <v>1531</v>
      </c>
      <c r="J447" s="96" t="s">
        <v>1532</v>
      </c>
    </row>
    <row r="448" spans="2:10" x14ac:dyDescent="0.2">
      <c r="B448" s="103"/>
      <c r="C448" s="103">
        <v>42411</v>
      </c>
      <c r="D448" s="104"/>
      <c r="E448" s="105" t="s">
        <v>1757</v>
      </c>
      <c r="F448" s="105" t="s">
        <v>1761</v>
      </c>
      <c r="G448" s="110"/>
      <c r="H448" s="93">
        <v>41500</v>
      </c>
      <c r="I448" s="93"/>
      <c r="J448" s="131">
        <f>+J446+H448-I448</f>
        <v>41500</v>
      </c>
    </row>
    <row r="449" spans="2:10" x14ac:dyDescent="0.2">
      <c r="B449" s="103"/>
      <c r="C449" s="103">
        <v>42411</v>
      </c>
      <c r="D449" s="104">
        <v>7785</v>
      </c>
      <c r="E449" s="105" t="s">
        <v>1762</v>
      </c>
      <c r="F449" s="105" t="s">
        <v>1763</v>
      </c>
      <c r="G449" s="110" t="s">
        <v>422</v>
      </c>
      <c r="H449" s="119">
        <v>1200</v>
      </c>
      <c r="I449" s="93"/>
      <c r="J449" s="131">
        <f t="shared" ref="J449:J456" si="22">+J448+H449-I449</f>
        <v>42700</v>
      </c>
    </row>
    <row r="450" spans="2:10" x14ac:dyDescent="0.2">
      <c r="B450" s="103"/>
      <c r="C450" s="103">
        <v>42411</v>
      </c>
      <c r="D450" s="104">
        <v>630</v>
      </c>
      <c r="E450" s="105" t="s">
        <v>403</v>
      </c>
      <c r="F450" s="105" t="s">
        <v>1764</v>
      </c>
      <c r="G450" s="110" t="s">
        <v>401</v>
      </c>
      <c r="H450" s="119">
        <v>800</v>
      </c>
      <c r="I450" s="93"/>
      <c r="J450" s="131">
        <f t="shared" si="22"/>
        <v>43500</v>
      </c>
    </row>
    <row r="451" spans="2:10" x14ac:dyDescent="0.2">
      <c r="B451" s="103"/>
      <c r="C451" s="103">
        <v>42411</v>
      </c>
      <c r="D451" s="104"/>
      <c r="E451" s="105" t="s">
        <v>805</v>
      </c>
      <c r="F451" s="105" t="s">
        <v>1765</v>
      </c>
      <c r="G451" s="110" t="s">
        <v>806</v>
      </c>
      <c r="H451" s="93">
        <v>11000</v>
      </c>
      <c r="I451" s="93"/>
      <c r="J451" s="131">
        <f t="shared" si="22"/>
        <v>54500</v>
      </c>
    </row>
    <row r="452" spans="2:10" x14ac:dyDescent="0.2">
      <c r="B452" s="103"/>
      <c r="C452" s="103">
        <v>42411</v>
      </c>
      <c r="D452" s="104"/>
      <c r="E452" s="105" t="s">
        <v>805</v>
      </c>
      <c r="F452" s="105" t="s">
        <v>1766</v>
      </c>
      <c r="G452" s="110" t="s">
        <v>1537</v>
      </c>
      <c r="H452" s="93">
        <v>1760</v>
      </c>
      <c r="I452" s="93"/>
      <c r="J452" s="131">
        <f t="shared" si="22"/>
        <v>56260</v>
      </c>
    </row>
    <row r="453" spans="2:10" x14ac:dyDescent="0.2">
      <c r="B453" s="103"/>
      <c r="C453" s="103">
        <v>42415</v>
      </c>
      <c r="D453" s="104">
        <v>467</v>
      </c>
      <c r="E453" s="105" t="s">
        <v>378</v>
      </c>
      <c r="F453" s="105" t="s">
        <v>1767</v>
      </c>
      <c r="G453" s="110" t="s">
        <v>376</v>
      </c>
      <c r="H453" s="119">
        <v>4400</v>
      </c>
      <c r="I453" s="93"/>
      <c r="J453" s="131">
        <f t="shared" si="22"/>
        <v>60660</v>
      </c>
    </row>
    <row r="454" spans="2:10" x14ac:dyDescent="0.2">
      <c r="B454" s="103"/>
      <c r="C454" s="103">
        <v>42419</v>
      </c>
      <c r="D454" s="104">
        <v>3842</v>
      </c>
      <c r="E454" s="105" t="s">
        <v>1750</v>
      </c>
      <c r="F454" s="105" t="s">
        <v>1768</v>
      </c>
      <c r="G454" s="110" t="s">
        <v>208</v>
      </c>
      <c r="H454" s="93">
        <v>400</v>
      </c>
      <c r="I454" s="93"/>
      <c r="J454" s="131">
        <f t="shared" si="22"/>
        <v>61060</v>
      </c>
    </row>
    <row r="455" spans="2:10" x14ac:dyDescent="0.2">
      <c r="B455" s="103"/>
      <c r="C455" s="103">
        <v>42419</v>
      </c>
      <c r="D455" s="104"/>
      <c r="E455" s="105" t="s">
        <v>1750</v>
      </c>
      <c r="F455" s="105" t="s">
        <v>1536</v>
      </c>
      <c r="G455" s="110" t="s">
        <v>1537</v>
      </c>
      <c r="H455" s="93">
        <v>0.28999999999999998</v>
      </c>
      <c r="I455" s="93"/>
      <c r="J455" s="131">
        <f t="shared" si="22"/>
        <v>61060.29</v>
      </c>
    </row>
    <row r="456" spans="2:10" x14ac:dyDescent="0.2">
      <c r="B456" s="103"/>
      <c r="C456" s="103"/>
      <c r="D456" s="104"/>
      <c r="E456" s="105"/>
      <c r="F456" s="105"/>
      <c r="G456" s="110"/>
      <c r="H456" s="93"/>
      <c r="I456" s="93"/>
      <c r="J456" s="131">
        <f t="shared" si="22"/>
        <v>61060.29</v>
      </c>
    </row>
    <row r="457" spans="2:10" ht="25.5" x14ac:dyDescent="0.2">
      <c r="B457" s="94" t="s">
        <v>1525</v>
      </c>
      <c r="C457" s="94" t="s">
        <v>1526</v>
      </c>
      <c r="D457" s="95" t="s">
        <v>1527</v>
      </c>
      <c r="E457" s="149"/>
      <c r="F457" s="52" t="s">
        <v>1529</v>
      </c>
      <c r="G457" s="3" t="s">
        <v>3</v>
      </c>
      <c r="H457" s="96" t="s">
        <v>1530</v>
      </c>
      <c r="I457" s="96" t="s">
        <v>1531</v>
      </c>
      <c r="J457" s="96" t="s">
        <v>1532</v>
      </c>
    </row>
    <row r="458" spans="2:10" x14ac:dyDescent="0.2">
      <c r="B458" s="103"/>
      <c r="C458" s="103">
        <v>42430</v>
      </c>
      <c r="D458" s="104">
        <v>8041</v>
      </c>
      <c r="E458" s="105" t="s">
        <v>805</v>
      </c>
      <c r="F458" s="105" t="s">
        <v>1768</v>
      </c>
      <c r="G458" s="110" t="s">
        <v>806</v>
      </c>
      <c r="H458" s="93">
        <v>11000</v>
      </c>
      <c r="I458" s="93"/>
      <c r="J458" s="131">
        <f>+J456+H458-I458</f>
        <v>72060.290000000008</v>
      </c>
    </row>
    <row r="459" spans="2:10" x14ac:dyDescent="0.2">
      <c r="B459" s="103"/>
      <c r="C459" s="103">
        <v>42430</v>
      </c>
      <c r="D459" s="104"/>
      <c r="E459" s="105" t="s">
        <v>805</v>
      </c>
      <c r="F459" s="105" t="s">
        <v>1769</v>
      </c>
      <c r="G459" s="110" t="s">
        <v>1537</v>
      </c>
      <c r="H459" s="93">
        <v>1760</v>
      </c>
      <c r="I459" s="93"/>
      <c r="J459" s="131">
        <f t="shared" ref="J459:J490" si="23">+J458+H459-I459</f>
        <v>73820.290000000008</v>
      </c>
    </row>
    <row r="460" spans="2:10" x14ac:dyDescent="0.2">
      <c r="B460" s="103"/>
      <c r="C460" s="103">
        <v>42431</v>
      </c>
      <c r="D460" s="104">
        <v>523</v>
      </c>
      <c r="E460" s="105" t="s">
        <v>1534</v>
      </c>
      <c r="F460" s="105" t="s">
        <v>1770</v>
      </c>
      <c r="G460" s="110" t="s">
        <v>211</v>
      </c>
      <c r="H460" s="93">
        <v>300</v>
      </c>
      <c r="I460" s="93"/>
      <c r="J460" s="131">
        <f t="shared" si="23"/>
        <v>74120.290000000008</v>
      </c>
    </row>
    <row r="461" spans="2:10" x14ac:dyDescent="0.2">
      <c r="B461" s="103"/>
      <c r="C461" s="103">
        <v>42431</v>
      </c>
      <c r="D461" s="104"/>
      <c r="E461" s="105" t="s">
        <v>1534</v>
      </c>
      <c r="F461" s="105" t="s">
        <v>1536</v>
      </c>
      <c r="G461" s="110" t="s">
        <v>1537</v>
      </c>
      <c r="H461" s="93">
        <v>0.36</v>
      </c>
      <c r="I461" s="93"/>
      <c r="J461" s="131">
        <f t="shared" si="23"/>
        <v>74120.650000000009</v>
      </c>
    </row>
    <row r="462" spans="2:10" x14ac:dyDescent="0.2">
      <c r="B462" s="103"/>
      <c r="C462" s="103">
        <v>42431</v>
      </c>
      <c r="D462" s="104">
        <v>15</v>
      </c>
      <c r="E462" s="105" t="s">
        <v>1771</v>
      </c>
      <c r="F462" s="105" t="s">
        <v>1772</v>
      </c>
      <c r="G462" s="110" t="s">
        <v>1773</v>
      </c>
      <c r="H462" s="93">
        <v>1600</v>
      </c>
      <c r="I462" s="93"/>
      <c r="J462" s="131">
        <f t="shared" si="23"/>
        <v>75720.650000000009</v>
      </c>
    </row>
    <row r="463" spans="2:10" x14ac:dyDescent="0.2">
      <c r="B463" s="103"/>
      <c r="C463" s="103">
        <v>42432</v>
      </c>
      <c r="D463" s="104">
        <v>15</v>
      </c>
      <c r="E463" s="105" t="s">
        <v>1771</v>
      </c>
      <c r="F463" s="105" t="s">
        <v>1774</v>
      </c>
      <c r="G463" s="110"/>
      <c r="H463" s="93"/>
      <c r="I463" s="93">
        <v>1600</v>
      </c>
      <c r="J463" s="131">
        <f t="shared" si="23"/>
        <v>74120.650000000009</v>
      </c>
    </row>
    <row r="464" spans="2:10" x14ac:dyDescent="0.2">
      <c r="B464" s="103"/>
      <c r="C464" s="103">
        <v>42437</v>
      </c>
      <c r="D464" s="104">
        <v>4352</v>
      </c>
      <c r="E464" s="105" t="s">
        <v>1534</v>
      </c>
      <c r="F464" s="105" t="s">
        <v>1775</v>
      </c>
      <c r="G464" s="110" t="s">
        <v>211</v>
      </c>
      <c r="H464" s="93">
        <v>300</v>
      </c>
      <c r="I464" s="93"/>
      <c r="J464" s="131">
        <f t="shared" si="23"/>
        <v>74420.650000000009</v>
      </c>
    </row>
    <row r="465" spans="2:10" x14ac:dyDescent="0.2">
      <c r="B465" s="103"/>
      <c r="C465" s="103">
        <v>42437</v>
      </c>
      <c r="D465" s="104"/>
      <c r="E465" s="105" t="s">
        <v>1534</v>
      </c>
      <c r="F465" s="105" t="s">
        <v>1536</v>
      </c>
      <c r="G465" s="110" t="s">
        <v>1537</v>
      </c>
      <c r="H465" s="93">
        <v>0.46</v>
      </c>
      <c r="I465" s="93"/>
      <c r="J465" s="131">
        <f t="shared" si="23"/>
        <v>74421.110000000015</v>
      </c>
    </row>
    <row r="466" spans="2:10" x14ac:dyDescent="0.2">
      <c r="B466" s="103"/>
      <c r="C466" s="103">
        <v>42438</v>
      </c>
      <c r="D466" s="104">
        <v>3935</v>
      </c>
      <c r="E466" s="105" t="s">
        <v>1750</v>
      </c>
      <c r="F466" s="105" t="s">
        <v>1775</v>
      </c>
      <c r="G466" s="110" t="s">
        <v>208</v>
      </c>
      <c r="H466" s="93">
        <v>400</v>
      </c>
      <c r="I466" s="93"/>
      <c r="J466" s="131">
        <f t="shared" si="23"/>
        <v>74821.110000000015</v>
      </c>
    </row>
    <row r="467" spans="2:10" x14ac:dyDescent="0.2">
      <c r="B467" s="103"/>
      <c r="C467" s="103">
        <v>42438</v>
      </c>
      <c r="D467" s="104"/>
      <c r="E467" s="105" t="s">
        <v>1750</v>
      </c>
      <c r="F467" s="105" t="s">
        <v>1536</v>
      </c>
      <c r="G467" s="110" t="s">
        <v>1537</v>
      </c>
      <c r="H467" s="93">
        <v>0.28999999999999998</v>
      </c>
      <c r="I467" s="93"/>
      <c r="J467" s="131">
        <f t="shared" si="23"/>
        <v>74821.400000000009</v>
      </c>
    </row>
    <row r="468" spans="2:10" x14ac:dyDescent="0.2">
      <c r="B468" s="103"/>
      <c r="C468" s="103">
        <v>42447</v>
      </c>
      <c r="D468" s="104">
        <v>2475</v>
      </c>
      <c r="E468" s="105" t="s">
        <v>1776</v>
      </c>
      <c r="F468" s="168" t="s">
        <v>1777</v>
      </c>
      <c r="G468" s="110" t="s">
        <v>119</v>
      </c>
      <c r="H468" s="93">
        <v>400</v>
      </c>
      <c r="I468" s="93"/>
      <c r="J468" s="131">
        <f t="shared" si="23"/>
        <v>75221.400000000009</v>
      </c>
    </row>
    <row r="469" spans="2:10" x14ac:dyDescent="0.2">
      <c r="B469" s="103"/>
      <c r="C469" s="103">
        <v>42452</v>
      </c>
      <c r="D469" s="104">
        <v>3497</v>
      </c>
      <c r="E469" s="105" t="s">
        <v>1778</v>
      </c>
      <c r="F469" s="105" t="s">
        <v>1779</v>
      </c>
      <c r="G469" s="110"/>
      <c r="H469" s="93">
        <v>800</v>
      </c>
      <c r="I469" s="93"/>
      <c r="J469" s="131">
        <f>+J468+H469-I469</f>
        <v>76021.400000000009</v>
      </c>
    </row>
    <row r="470" spans="2:10" x14ac:dyDescent="0.2">
      <c r="B470" s="103"/>
      <c r="C470" s="103">
        <v>42460</v>
      </c>
      <c r="D470" s="104">
        <v>4</v>
      </c>
      <c r="E470" s="105" t="s">
        <v>1780</v>
      </c>
      <c r="F470" s="105" t="s">
        <v>1781</v>
      </c>
      <c r="G470" s="110"/>
      <c r="H470" s="93"/>
      <c r="I470" s="93">
        <v>2800</v>
      </c>
      <c r="J470" s="131">
        <f t="shared" si="23"/>
        <v>73221.400000000009</v>
      </c>
    </row>
    <row r="471" spans="2:10" x14ac:dyDescent="0.2">
      <c r="B471" s="103"/>
      <c r="C471" s="103">
        <v>42460</v>
      </c>
      <c r="D471" s="104"/>
      <c r="E471" s="105" t="s">
        <v>1597</v>
      </c>
      <c r="F471" s="105" t="s">
        <v>1782</v>
      </c>
      <c r="G471" s="110" t="s">
        <v>1537</v>
      </c>
      <c r="H471" s="93"/>
      <c r="I471" s="93">
        <v>14</v>
      </c>
      <c r="J471" s="131">
        <f t="shared" si="23"/>
        <v>73207.400000000009</v>
      </c>
    </row>
    <row r="472" spans="2:10" x14ac:dyDescent="0.2">
      <c r="B472" s="103"/>
      <c r="C472" s="103">
        <v>42460</v>
      </c>
      <c r="D472" s="104"/>
      <c r="E472" s="105" t="s">
        <v>1597</v>
      </c>
      <c r="F472" s="105" t="s">
        <v>1783</v>
      </c>
      <c r="G472" s="110" t="s">
        <v>1543</v>
      </c>
      <c r="H472" s="93"/>
      <c r="I472" s="93">
        <v>2.2400000000000002</v>
      </c>
      <c r="J472" s="131">
        <f t="shared" si="23"/>
        <v>73205.16</v>
      </c>
    </row>
    <row r="473" spans="2:10" ht="25.5" x14ac:dyDescent="0.2">
      <c r="B473" s="94" t="s">
        <v>1525</v>
      </c>
      <c r="C473" s="94" t="s">
        <v>1526</v>
      </c>
      <c r="D473" s="95" t="s">
        <v>1527</v>
      </c>
      <c r="E473" s="149"/>
      <c r="F473" s="52" t="s">
        <v>1529</v>
      </c>
      <c r="G473" s="3" t="s">
        <v>3</v>
      </c>
      <c r="H473" s="96" t="s">
        <v>1530</v>
      </c>
      <c r="I473" s="96" t="s">
        <v>1531</v>
      </c>
      <c r="J473" s="96" t="s">
        <v>1532</v>
      </c>
    </row>
    <row r="474" spans="2:10" x14ac:dyDescent="0.2">
      <c r="B474" s="103"/>
      <c r="C474" s="103">
        <v>42461</v>
      </c>
      <c r="D474" s="104">
        <v>9</v>
      </c>
      <c r="E474" s="105" t="s">
        <v>1597</v>
      </c>
      <c r="F474" s="105" t="s">
        <v>1784</v>
      </c>
      <c r="G474" s="110"/>
      <c r="H474" s="93"/>
      <c r="I474" s="93">
        <v>5000</v>
      </c>
      <c r="J474" s="131">
        <f>+J472+H474-I474</f>
        <v>68205.16</v>
      </c>
    </row>
    <row r="475" spans="2:10" x14ac:dyDescent="0.2">
      <c r="B475" s="103"/>
      <c r="C475" s="103">
        <v>42461</v>
      </c>
      <c r="D475" s="104">
        <v>7</v>
      </c>
      <c r="E475" s="105" t="s">
        <v>1785</v>
      </c>
      <c r="F475" s="105" t="s">
        <v>1786</v>
      </c>
      <c r="G475" s="110"/>
      <c r="H475" s="93"/>
      <c r="I475" s="93">
        <v>28000</v>
      </c>
      <c r="J475" s="131">
        <f t="shared" si="23"/>
        <v>40205.160000000003</v>
      </c>
    </row>
    <row r="476" spans="2:10" x14ac:dyDescent="0.2">
      <c r="B476" s="103"/>
      <c r="C476" s="103">
        <v>42465</v>
      </c>
      <c r="D476" s="104">
        <v>8071</v>
      </c>
      <c r="E476" s="105" t="s">
        <v>805</v>
      </c>
      <c r="F476" s="105" t="s">
        <v>1787</v>
      </c>
      <c r="G476" s="110" t="s">
        <v>806</v>
      </c>
      <c r="H476" s="93">
        <v>11000</v>
      </c>
      <c r="I476" s="93"/>
      <c r="J476" s="131">
        <f t="shared" si="23"/>
        <v>51205.16</v>
      </c>
    </row>
    <row r="477" spans="2:10" x14ac:dyDescent="0.2">
      <c r="B477" s="103"/>
      <c r="C477" s="103">
        <v>42465</v>
      </c>
      <c r="D477" s="104"/>
      <c r="E477" s="105" t="s">
        <v>805</v>
      </c>
      <c r="F477" s="105" t="s">
        <v>1596</v>
      </c>
      <c r="G477" s="110" t="s">
        <v>1537</v>
      </c>
      <c r="H477" s="93">
        <v>1760</v>
      </c>
      <c r="I477" s="93"/>
      <c r="J477" s="131">
        <f t="shared" si="23"/>
        <v>52965.16</v>
      </c>
    </row>
    <row r="478" spans="2:10" x14ac:dyDescent="0.2">
      <c r="B478" s="103"/>
      <c r="C478" s="103">
        <v>42480</v>
      </c>
      <c r="D478" s="104">
        <v>10</v>
      </c>
      <c r="E478" s="105" t="s">
        <v>1788</v>
      </c>
      <c r="F478" s="105" t="s">
        <v>1789</v>
      </c>
      <c r="G478" s="110" t="s">
        <v>1790</v>
      </c>
      <c r="H478" s="93"/>
      <c r="I478" s="93">
        <v>2984</v>
      </c>
      <c r="J478" s="131">
        <f t="shared" si="23"/>
        <v>49981.16</v>
      </c>
    </row>
    <row r="479" spans="2:10" x14ac:dyDescent="0.2">
      <c r="B479" s="103"/>
      <c r="C479" s="103">
        <v>42480</v>
      </c>
      <c r="D479" s="104">
        <v>1904</v>
      </c>
      <c r="E479" s="105" t="s">
        <v>1534</v>
      </c>
      <c r="F479" s="105" t="s">
        <v>1775</v>
      </c>
      <c r="G479" s="110" t="s">
        <v>211</v>
      </c>
      <c r="H479" s="93">
        <v>300</v>
      </c>
      <c r="I479" s="93"/>
      <c r="J479" s="131">
        <f t="shared" si="23"/>
        <v>50281.16</v>
      </c>
    </row>
    <row r="480" spans="2:10" x14ac:dyDescent="0.2">
      <c r="B480" s="103"/>
      <c r="C480" s="103">
        <v>42480</v>
      </c>
      <c r="D480" s="104"/>
      <c r="E480" s="105" t="s">
        <v>1534</v>
      </c>
      <c r="F480" s="105" t="s">
        <v>1536</v>
      </c>
      <c r="G480" s="110" t="s">
        <v>1537</v>
      </c>
      <c r="H480" s="93">
        <v>0.46</v>
      </c>
      <c r="I480" s="93"/>
      <c r="J480" s="131">
        <f t="shared" si="23"/>
        <v>50281.62</v>
      </c>
    </row>
    <row r="481" spans="2:10" x14ac:dyDescent="0.2">
      <c r="B481" s="103"/>
      <c r="C481" s="103">
        <v>42481</v>
      </c>
      <c r="D481" s="104">
        <v>11</v>
      </c>
      <c r="E481" s="105" t="s">
        <v>1780</v>
      </c>
      <c r="F481" s="105" t="s">
        <v>1791</v>
      </c>
      <c r="G481" s="110"/>
      <c r="H481" s="93"/>
      <c r="I481" s="93">
        <v>1400</v>
      </c>
      <c r="J481" s="131">
        <f t="shared" si="23"/>
        <v>48881.62</v>
      </c>
    </row>
    <row r="482" spans="2:10" x14ac:dyDescent="0.2">
      <c r="B482" s="103"/>
      <c r="C482" s="103">
        <v>42486</v>
      </c>
      <c r="D482" s="104">
        <v>8084</v>
      </c>
      <c r="E482" s="105" t="s">
        <v>805</v>
      </c>
      <c r="F482" s="105" t="s">
        <v>1792</v>
      </c>
      <c r="G482" s="110" t="s">
        <v>806</v>
      </c>
      <c r="H482" s="93">
        <v>11000</v>
      </c>
      <c r="I482" s="93"/>
      <c r="J482" s="131">
        <f t="shared" si="23"/>
        <v>59881.62</v>
      </c>
    </row>
    <row r="483" spans="2:10" x14ac:dyDescent="0.2">
      <c r="B483" s="103"/>
      <c r="C483" s="103">
        <v>42486</v>
      </c>
      <c r="D483" s="104"/>
      <c r="E483" s="105" t="s">
        <v>805</v>
      </c>
      <c r="F483" s="105" t="s">
        <v>1793</v>
      </c>
      <c r="G483" s="110" t="s">
        <v>1537</v>
      </c>
      <c r="H483" s="93">
        <v>1760</v>
      </c>
      <c r="I483" s="93"/>
      <c r="J483" s="131">
        <f t="shared" si="23"/>
        <v>61641.62</v>
      </c>
    </row>
    <row r="484" spans="2:10" x14ac:dyDescent="0.2">
      <c r="B484" s="103"/>
      <c r="C484" s="103">
        <v>42486</v>
      </c>
      <c r="D484" s="104">
        <v>7791</v>
      </c>
      <c r="E484" s="105" t="s">
        <v>1794</v>
      </c>
      <c r="F484" s="105" t="s">
        <v>1795</v>
      </c>
      <c r="G484" s="110" t="s">
        <v>422</v>
      </c>
      <c r="H484" s="93">
        <v>1200</v>
      </c>
      <c r="I484" s="93"/>
      <c r="J484" s="131">
        <f t="shared" si="23"/>
        <v>62841.62</v>
      </c>
    </row>
    <row r="485" spans="2:10" x14ac:dyDescent="0.2">
      <c r="B485" s="103"/>
      <c r="C485" s="103">
        <v>42486</v>
      </c>
      <c r="D485" s="104">
        <v>635</v>
      </c>
      <c r="E485" s="105" t="s">
        <v>1691</v>
      </c>
      <c r="F485" s="105" t="s">
        <v>1796</v>
      </c>
      <c r="G485" s="110" t="s">
        <v>401</v>
      </c>
      <c r="H485" s="93">
        <v>1600</v>
      </c>
      <c r="I485" s="93"/>
      <c r="J485" s="131">
        <f t="shared" si="23"/>
        <v>64441.62</v>
      </c>
    </row>
    <row r="486" spans="2:10" x14ac:dyDescent="0.2">
      <c r="B486" s="103"/>
      <c r="C486" s="103">
        <v>42486</v>
      </c>
      <c r="D486" s="104">
        <v>13</v>
      </c>
      <c r="E486" s="105" t="s">
        <v>1780</v>
      </c>
      <c r="F486" s="105" t="s">
        <v>1797</v>
      </c>
      <c r="G486" s="110"/>
      <c r="H486" s="93"/>
      <c r="I486" s="93">
        <v>600</v>
      </c>
      <c r="J486" s="131">
        <f t="shared" si="23"/>
        <v>63841.62</v>
      </c>
    </row>
    <row r="487" spans="2:10" x14ac:dyDescent="0.2">
      <c r="B487" s="103"/>
      <c r="C487" s="103">
        <v>42486</v>
      </c>
      <c r="D487" s="104">
        <v>12</v>
      </c>
      <c r="E487" s="105" t="s">
        <v>1780</v>
      </c>
      <c r="F487" s="105" t="s">
        <v>1798</v>
      </c>
      <c r="G487" s="110"/>
      <c r="H487" s="93"/>
      <c r="I487" s="93">
        <v>1468</v>
      </c>
      <c r="J487" s="131">
        <f t="shared" si="23"/>
        <v>62373.62</v>
      </c>
    </row>
    <row r="488" spans="2:10" x14ac:dyDescent="0.2">
      <c r="B488" s="103"/>
      <c r="C488" s="103">
        <v>42489</v>
      </c>
      <c r="D488" s="104" t="s">
        <v>1673</v>
      </c>
      <c r="E488" s="105" t="s">
        <v>1799</v>
      </c>
      <c r="F488" s="105" t="s">
        <v>1800</v>
      </c>
      <c r="G488" s="110" t="s">
        <v>620</v>
      </c>
      <c r="H488" s="93">
        <v>400</v>
      </c>
      <c r="I488" s="93"/>
      <c r="J488" s="131">
        <f t="shared" si="23"/>
        <v>62773.62</v>
      </c>
    </row>
    <row r="489" spans="2:10" x14ac:dyDescent="0.2">
      <c r="B489" s="103"/>
      <c r="C489" s="103">
        <v>42489</v>
      </c>
      <c r="D489" s="104"/>
      <c r="E489" s="105" t="s">
        <v>1597</v>
      </c>
      <c r="F489" s="105" t="s">
        <v>1782</v>
      </c>
      <c r="G489" s="110" t="s">
        <v>1537</v>
      </c>
      <c r="H489" s="93"/>
      <c r="I489" s="93">
        <v>84</v>
      </c>
      <c r="J489" s="131">
        <f t="shared" si="23"/>
        <v>62689.62</v>
      </c>
    </row>
    <row r="490" spans="2:10" x14ac:dyDescent="0.2">
      <c r="B490" s="103"/>
      <c r="C490" s="103">
        <v>42489</v>
      </c>
      <c r="D490" s="104"/>
      <c r="E490" s="105" t="s">
        <v>1597</v>
      </c>
      <c r="F490" s="105" t="s">
        <v>1783</v>
      </c>
      <c r="G490" s="110" t="s">
        <v>1543</v>
      </c>
      <c r="H490" s="93"/>
      <c r="I490" s="93">
        <v>13.44</v>
      </c>
      <c r="J490" s="131">
        <f t="shared" si="23"/>
        <v>62676.18</v>
      </c>
    </row>
    <row r="491" spans="2:10" ht="25.5" x14ac:dyDescent="0.2">
      <c r="B491" s="94" t="s">
        <v>1525</v>
      </c>
      <c r="C491" s="94" t="s">
        <v>1526</v>
      </c>
      <c r="D491" s="95" t="s">
        <v>1527</v>
      </c>
      <c r="E491" s="149"/>
      <c r="F491" s="52" t="s">
        <v>1529</v>
      </c>
      <c r="G491" s="3" t="s">
        <v>3</v>
      </c>
      <c r="H491" s="96" t="s">
        <v>1530</v>
      </c>
      <c r="I491" s="96" t="s">
        <v>1531</v>
      </c>
      <c r="J491" s="96" t="s">
        <v>1532</v>
      </c>
    </row>
    <row r="492" spans="2:10" x14ac:dyDescent="0.2">
      <c r="B492" s="103"/>
      <c r="C492" s="103">
        <v>42492</v>
      </c>
      <c r="D492" s="104">
        <v>15</v>
      </c>
      <c r="E492" s="105" t="s">
        <v>1785</v>
      </c>
      <c r="F492" s="105" t="s">
        <v>1801</v>
      </c>
      <c r="G492" s="110"/>
      <c r="H492" s="93"/>
      <c r="I492" s="93">
        <v>9000</v>
      </c>
      <c r="J492" s="131">
        <f>+J490+H492-I492</f>
        <v>53676.18</v>
      </c>
    </row>
    <row r="493" spans="2:10" x14ac:dyDescent="0.2">
      <c r="B493" s="103"/>
      <c r="C493" s="103">
        <v>42493</v>
      </c>
      <c r="D493" s="104">
        <v>516</v>
      </c>
      <c r="E493" s="105" t="s">
        <v>1534</v>
      </c>
      <c r="F493" s="105" t="s">
        <v>1802</v>
      </c>
      <c r="G493" s="110" t="s">
        <v>211</v>
      </c>
      <c r="H493" s="93">
        <v>300</v>
      </c>
      <c r="I493" s="93"/>
      <c r="J493" s="131">
        <f>+J492+H493-I493</f>
        <v>53976.18</v>
      </c>
    </row>
    <row r="494" spans="2:10" x14ac:dyDescent="0.2">
      <c r="B494" s="103"/>
      <c r="C494" s="103">
        <v>42493</v>
      </c>
      <c r="D494" s="104"/>
      <c r="E494" s="105" t="s">
        <v>1534</v>
      </c>
      <c r="F494" s="105" t="s">
        <v>1536</v>
      </c>
      <c r="G494" s="110" t="s">
        <v>1537</v>
      </c>
      <c r="H494" s="93">
        <v>0.46</v>
      </c>
      <c r="I494" s="93"/>
      <c r="J494" s="131">
        <f>+J493+H494-I494</f>
        <v>53976.639999999999</v>
      </c>
    </row>
    <row r="495" spans="2:10" x14ac:dyDescent="0.2">
      <c r="B495" s="103"/>
      <c r="C495" s="103">
        <v>42506</v>
      </c>
      <c r="D495" s="104">
        <v>17</v>
      </c>
      <c r="E495" s="105"/>
      <c r="F495" s="105" t="s">
        <v>1803</v>
      </c>
      <c r="G495" s="110" t="s">
        <v>1790</v>
      </c>
      <c r="H495" s="93"/>
      <c r="I495" s="93">
        <v>1760</v>
      </c>
      <c r="J495" s="131">
        <f>+J494+H495-I495</f>
        <v>52216.639999999999</v>
      </c>
    </row>
    <row r="496" spans="2:10" x14ac:dyDescent="0.2">
      <c r="B496" s="103"/>
      <c r="C496" s="103">
        <v>42506</v>
      </c>
      <c r="D496" s="104">
        <v>16</v>
      </c>
      <c r="E496" s="105"/>
      <c r="F496" s="105" t="s">
        <v>1804</v>
      </c>
      <c r="G496" s="110" t="s">
        <v>1805</v>
      </c>
      <c r="H496" s="93"/>
      <c r="I496" s="93">
        <v>1224</v>
      </c>
      <c r="J496" s="131">
        <f>+J495+H496-I496</f>
        <v>50992.639999999999</v>
      </c>
    </row>
    <row r="497" spans="2:10" x14ac:dyDescent="0.2">
      <c r="B497" s="103"/>
      <c r="C497" s="103">
        <v>42507</v>
      </c>
      <c r="D497" s="104">
        <v>18</v>
      </c>
      <c r="E497" s="105"/>
      <c r="F497" s="105" t="s">
        <v>1806</v>
      </c>
      <c r="G497" s="110"/>
      <c r="H497" s="93"/>
      <c r="I497" s="93">
        <v>3450</v>
      </c>
      <c r="J497" s="131">
        <f>+J496+H497-I497</f>
        <v>47542.64</v>
      </c>
    </row>
    <row r="498" spans="2:10" x14ac:dyDescent="0.2">
      <c r="B498" s="103"/>
      <c r="C498" s="103">
        <v>42508</v>
      </c>
      <c r="D498" s="104">
        <v>3403</v>
      </c>
      <c r="E498" s="105"/>
      <c r="F498" s="105"/>
      <c r="G498" s="110"/>
      <c r="H498" s="93">
        <v>1200</v>
      </c>
      <c r="I498" s="93"/>
      <c r="J498" s="131">
        <f t="shared" ref="J498:J504" si="24">+J497+H498-I498</f>
        <v>48742.64</v>
      </c>
    </row>
    <row r="499" spans="2:10" x14ac:dyDescent="0.2">
      <c r="B499" s="103"/>
      <c r="C499" s="103">
        <v>42508</v>
      </c>
      <c r="D499" s="104">
        <v>8112</v>
      </c>
      <c r="E499" s="105"/>
      <c r="F499" s="105" t="s">
        <v>1807</v>
      </c>
      <c r="G499" s="110" t="s">
        <v>806</v>
      </c>
      <c r="H499" s="93">
        <v>11000</v>
      </c>
      <c r="I499" s="93"/>
      <c r="J499" s="131">
        <f t="shared" si="24"/>
        <v>59742.64</v>
      </c>
    </row>
    <row r="500" spans="2:10" x14ac:dyDescent="0.2">
      <c r="B500" s="103"/>
      <c r="C500" s="103">
        <v>42508</v>
      </c>
      <c r="D500" s="104"/>
      <c r="E500" s="105"/>
      <c r="F500" s="105" t="s">
        <v>1808</v>
      </c>
      <c r="G500" s="110" t="s">
        <v>1537</v>
      </c>
      <c r="H500" s="93">
        <v>1760</v>
      </c>
      <c r="I500" s="93"/>
      <c r="J500" s="131">
        <f t="shared" si="24"/>
        <v>61502.64</v>
      </c>
    </row>
    <row r="501" spans="2:10" x14ac:dyDescent="0.2">
      <c r="B501" s="103"/>
      <c r="C501" s="103">
        <v>42510</v>
      </c>
      <c r="D501" s="104">
        <v>19</v>
      </c>
      <c r="E501" s="105"/>
      <c r="F501" s="105" t="s">
        <v>1809</v>
      </c>
      <c r="G501" s="110"/>
      <c r="H501" s="93"/>
      <c r="I501" s="93">
        <v>3000</v>
      </c>
      <c r="J501" s="131">
        <f t="shared" si="24"/>
        <v>58502.64</v>
      </c>
    </row>
    <row r="502" spans="2:10" x14ac:dyDescent="0.2">
      <c r="B502" s="103"/>
      <c r="C502" s="103">
        <v>42520</v>
      </c>
      <c r="D502" s="104">
        <v>9270</v>
      </c>
      <c r="E502" s="105" t="s">
        <v>1776</v>
      </c>
      <c r="F502" s="168" t="s">
        <v>1810</v>
      </c>
      <c r="G502" s="110" t="s">
        <v>119</v>
      </c>
      <c r="H502" s="93">
        <v>800</v>
      </c>
      <c r="I502" s="93"/>
      <c r="J502" s="131">
        <f t="shared" si="24"/>
        <v>59302.64</v>
      </c>
    </row>
    <row r="503" spans="2:10" x14ac:dyDescent="0.2">
      <c r="B503" s="103"/>
      <c r="C503" s="103">
        <v>42521</v>
      </c>
      <c r="D503" s="104"/>
      <c r="E503" s="105"/>
      <c r="F503" s="105" t="s">
        <v>1811</v>
      </c>
      <c r="G503" s="110" t="s">
        <v>1537</v>
      </c>
      <c r="H503" s="93"/>
      <c r="I503" s="93">
        <v>70</v>
      </c>
      <c r="J503" s="131">
        <f t="shared" si="24"/>
        <v>59232.639999999999</v>
      </c>
    </row>
    <row r="504" spans="2:10" x14ac:dyDescent="0.2">
      <c r="B504" s="103"/>
      <c r="C504" s="103">
        <v>42521</v>
      </c>
      <c r="D504" s="104"/>
      <c r="E504" s="105"/>
      <c r="F504" s="105" t="s">
        <v>1812</v>
      </c>
      <c r="G504" s="110" t="s">
        <v>1543</v>
      </c>
      <c r="H504" s="93"/>
      <c r="I504" s="93">
        <v>11.2</v>
      </c>
      <c r="J504" s="131">
        <f t="shared" si="24"/>
        <v>59221.440000000002</v>
      </c>
    </row>
    <row r="505" spans="2:10" ht="25.5" x14ac:dyDescent="0.2">
      <c r="B505" s="94" t="s">
        <v>1525</v>
      </c>
      <c r="C505" s="94" t="s">
        <v>1526</v>
      </c>
      <c r="D505" s="95" t="s">
        <v>1527</v>
      </c>
      <c r="E505" s="149"/>
      <c r="F505" s="52" t="s">
        <v>1529</v>
      </c>
      <c r="G505" s="3" t="s">
        <v>3</v>
      </c>
      <c r="H505" s="96" t="s">
        <v>1530</v>
      </c>
      <c r="I505" s="96" t="s">
        <v>1531</v>
      </c>
      <c r="J505" s="96" t="s">
        <v>1532</v>
      </c>
    </row>
    <row r="506" spans="2:10" x14ac:dyDescent="0.2">
      <c r="B506" s="103"/>
      <c r="C506" s="103">
        <v>42522</v>
      </c>
      <c r="D506" s="104">
        <v>20</v>
      </c>
      <c r="E506" s="105"/>
      <c r="F506" s="105" t="s">
        <v>1813</v>
      </c>
      <c r="G506" s="110"/>
      <c r="H506" s="93"/>
      <c r="I506" s="93">
        <v>3665</v>
      </c>
      <c r="J506" s="131">
        <f>+J504+H506-I506</f>
        <v>55556.44</v>
      </c>
    </row>
    <row r="507" spans="2:10" x14ac:dyDescent="0.2">
      <c r="B507" s="103"/>
      <c r="C507" s="103">
        <v>42528</v>
      </c>
      <c r="D507" s="104"/>
      <c r="E507" s="105"/>
      <c r="F507" s="105" t="s">
        <v>1814</v>
      </c>
      <c r="G507" s="110" t="s">
        <v>1815</v>
      </c>
      <c r="H507" s="93">
        <v>300</v>
      </c>
      <c r="I507" s="93"/>
      <c r="J507" s="131">
        <f t="shared" ref="J507:J518" si="25">+J506+H507-I507</f>
        <v>55856.44</v>
      </c>
    </row>
    <row r="508" spans="2:10" x14ac:dyDescent="0.2">
      <c r="B508" s="103"/>
      <c r="C508" s="103">
        <v>42528</v>
      </c>
      <c r="D508" s="104"/>
      <c r="E508" s="105"/>
      <c r="F508" s="105" t="s">
        <v>1536</v>
      </c>
      <c r="G508" s="110" t="s">
        <v>1537</v>
      </c>
      <c r="H508" s="93">
        <v>0.46</v>
      </c>
      <c r="I508" s="93"/>
      <c r="J508" s="131">
        <f t="shared" si="25"/>
        <v>55856.9</v>
      </c>
    </row>
    <row r="509" spans="2:10" x14ac:dyDescent="0.2">
      <c r="B509" s="103"/>
      <c r="C509" s="103">
        <v>42529</v>
      </c>
      <c r="D509" s="104">
        <v>21</v>
      </c>
      <c r="E509" s="105"/>
      <c r="F509" s="105" t="s">
        <v>1816</v>
      </c>
      <c r="G509" s="110"/>
      <c r="H509" s="93"/>
      <c r="I509" s="93">
        <v>2900</v>
      </c>
      <c r="J509" s="131">
        <f t="shared" si="25"/>
        <v>52956.9</v>
      </c>
    </row>
    <row r="510" spans="2:10" x14ac:dyDescent="0.2">
      <c r="B510" s="103"/>
      <c r="C510" s="103">
        <v>42538</v>
      </c>
      <c r="D510" s="104">
        <v>22</v>
      </c>
      <c r="E510" s="105"/>
      <c r="F510" s="105" t="s">
        <v>1817</v>
      </c>
      <c r="G510" s="110" t="s">
        <v>1790</v>
      </c>
      <c r="H510" s="93"/>
      <c r="I510" s="93">
        <v>1760</v>
      </c>
      <c r="J510" s="131">
        <f t="shared" si="25"/>
        <v>51196.9</v>
      </c>
    </row>
    <row r="511" spans="2:10" x14ac:dyDescent="0.2">
      <c r="B511" s="103"/>
      <c r="C511" s="103"/>
      <c r="D511" s="104"/>
      <c r="E511" s="105"/>
      <c r="F511" s="105"/>
      <c r="G511" s="110" t="s">
        <v>1805</v>
      </c>
      <c r="H511" s="93"/>
      <c r="I511" s="93">
        <v>1224</v>
      </c>
      <c r="J511" s="131">
        <f t="shared" si="25"/>
        <v>49972.9</v>
      </c>
    </row>
    <row r="512" spans="2:10" x14ac:dyDescent="0.2">
      <c r="B512" s="103"/>
      <c r="C512" s="103">
        <v>42545</v>
      </c>
      <c r="D512" s="104">
        <v>27</v>
      </c>
      <c r="E512" s="105"/>
      <c r="F512" s="105" t="s">
        <v>1818</v>
      </c>
      <c r="G512" s="110" t="s">
        <v>1819</v>
      </c>
      <c r="H512" s="93"/>
      <c r="I512" s="93">
        <v>4000</v>
      </c>
      <c r="J512" s="131">
        <f t="shared" si="25"/>
        <v>45972.9</v>
      </c>
    </row>
    <row r="513" spans="2:10" x14ac:dyDescent="0.2">
      <c r="B513" s="103"/>
      <c r="C513" s="103">
        <v>42545</v>
      </c>
      <c r="D513" s="104">
        <v>25</v>
      </c>
      <c r="E513" s="105"/>
      <c r="F513" s="105" t="s">
        <v>1820</v>
      </c>
      <c r="G513" s="110" t="s">
        <v>1821</v>
      </c>
      <c r="H513" s="93"/>
      <c r="I513" s="93">
        <v>3000</v>
      </c>
      <c r="J513" s="131">
        <f t="shared" si="25"/>
        <v>42972.9</v>
      </c>
    </row>
    <row r="514" spans="2:10" x14ac:dyDescent="0.2">
      <c r="B514" s="103"/>
      <c r="C514" s="103">
        <v>42548</v>
      </c>
      <c r="D514" s="104">
        <v>28</v>
      </c>
      <c r="E514" s="105"/>
      <c r="F514" s="105" t="s">
        <v>1822</v>
      </c>
      <c r="G514" s="110" t="s">
        <v>1577</v>
      </c>
      <c r="H514" s="93"/>
      <c r="I514" s="93">
        <v>2700</v>
      </c>
      <c r="J514" s="131">
        <f t="shared" si="25"/>
        <v>40272.9</v>
      </c>
    </row>
    <row r="515" spans="2:10" x14ac:dyDescent="0.2">
      <c r="B515" s="103"/>
      <c r="C515" s="103">
        <v>42549</v>
      </c>
      <c r="D515" s="104">
        <v>8130</v>
      </c>
      <c r="E515" s="105"/>
      <c r="F515" s="105" t="s">
        <v>1823</v>
      </c>
      <c r="G515" s="110" t="s">
        <v>806</v>
      </c>
      <c r="H515" s="93">
        <v>11000</v>
      </c>
      <c r="I515" s="93"/>
      <c r="J515" s="131">
        <f t="shared" si="25"/>
        <v>51272.9</v>
      </c>
    </row>
    <row r="516" spans="2:10" x14ac:dyDescent="0.2">
      <c r="B516" s="103"/>
      <c r="C516" s="103">
        <v>42549</v>
      </c>
      <c r="D516" s="104"/>
      <c r="E516" s="105"/>
      <c r="F516" s="105" t="s">
        <v>1596</v>
      </c>
      <c r="G516" s="110" t="s">
        <v>1537</v>
      </c>
      <c r="H516" s="93">
        <v>1760</v>
      </c>
      <c r="I516" s="93"/>
      <c r="J516" s="131">
        <f t="shared" si="25"/>
        <v>53032.9</v>
      </c>
    </row>
    <row r="517" spans="2:10" x14ac:dyDescent="0.2">
      <c r="B517" s="103"/>
      <c r="C517" s="103">
        <v>42551</v>
      </c>
      <c r="D517" s="104"/>
      <c r="E517" s="105"/>
      <c r="F517" s="105" t="s">
        <v>1824</v>
      </c>
      <c r="G517" s="110" t="s">
        <v>1537</v>
      </c>
      <c r="H517" s="93"/>
      <c r="I517" s="93">
        <v>84</v>
      </c>
      <c r="J517" s="131">
        <f t="shared" si="25"/>
        <v>52948.9</v>
      </c>
    </row>
    <row r="518" spans="2:10" x14ac:dyDescent="0.2">
      <c r="B518" s="103"/>
      <c r="C518" s="103">
        <v>42551</v>
      </c>
      <c r="D518" s="104"/>
      <c r="E518" s="105"/>
      <c r="F518" s="105" t="s">
        <v>1825</v>
      </c>
      <c r="G518" s="110" t="s">
        <v>1543</v>
      </c>
      <c r="H518" s="93"/>
      <c r="I518" s="93">
        <v>13.44</v>
      </c>
      <c r="J518" s="131">
        <f t="shared" si="25"/>
        <v>52935.46</v>
      </c>
    </row>
    <row r="519" spans="2:10" ht="25.5" x14ac:dyDescent="0.2">
      <c r="B519" s="94" t="s">
        <v>1525</v>
      </c>
      <c r="C519" s="94" t="s">
        <v>1526</v>
      </c>
      <c r="D519" s="95" t="s">
        <v>1527</v>
      </c>
      <c r="E519" s="149"/>
      <c r="F519" s="52" t="s">
        <v>1529</v>
      </c>
      <c r="G519" s="3" t="s">
        <v>3</v>
      </c>
      <c r="H519" s="96" t="s">
        <v>1530</v>
      </c>
      <c r="I519" s="96" t="s">
        <v>1531</v>
      </c>
      <c r="J519" s="96" t="s">
        <v>1532</v>
      </c>
    </row>
    <row r="520" spans="2:10" x14ac:dyDescent="0.2">
      <c r="B520" s="103"/>
      <c r="C520" s="103">
        <v>42557</v>
      </c>
      <c r="D520" s="104"/>
      <c r="E520" s="105"/>
      <c r="F520" s="105" t="s">
        <v>1826</v>
      </c>
      <c r="G520" s="110" t="s">
        <v>1537</v>
      </c>
      <c r="H520" s="93"/>
      <c r="I520" s="93">
        <v>30</v>
      </c>
      <c r="J520" s="131">
        <f>+J518+H520-I520</f>
        <v>52905.46</v>
      </c>
    </row>
    <row r="521" spans="2:10" x14ac:dyDescent="0.2">
      <c r="B521" s="103"/>
      <c r="C521" s="103">
        <v>42557</v>
      </c>
      <c r="D521" s="104"/>
      <c r="E521" s="105"/>
      <c r="F521" s="105" t="s">
        <v>1827</v>
      </c>
      <c r="G521" s="110" t="s">
        <v>1543</v>
      </c>
      <c r="H521" s="93"/>
      <c r="I521" s="93">
        <v>4.8</v>
      </c>
      <c r="J521" s="131">
        <f>+J520+H521-I521</f>
        <v>52900.659999999996</v>
      </c>
    </row>
    <row r="522" spans="2:10" x14ac:dyDescent="0.2">
      <c r="B522" s="103"/>
      <c r="C522" s="103">
        <v>42559</v>
      </c>
      <c r="D522" s="104">
        <v>716</v>
      </c>
      <c r="E522" s="105"/>
      <c r="F522" s="105" t="s">
        <v>1828</v>
      </c>
      <c r="G522" s="110" t="s">
        <v>211</v>
      </c>
      <c r="H522" s="93">
        <v>300</v>
      </c>
      <c r="I522" s="93"/>
      <c r="J522" s="131">
        <f>+J521+H522-I522</f>
        <v>53200.659999999996</v>
      </c>
    </row>
    <row r="523" spans="2:10" x14ac:dyDescent="0.2">
      <c r="B523" s="103"/>
      <c r="C523" s="103">
        <v>42559</v>
      </c>
      <c r="D523" s="104"/>
      <c r="E523" s="105"/>
      <c r="F523" s="105" t="s">
        <v>1536</v>
      </c>
      <c r="G523" s="110" t="s">
        <v>1537</v>
      </c>
      <c r="H523" s="93">
        <v>0.46</v>
      </c>
      <c r="I523" s="93"/>
      <c r="J523" s="131">
        <f t="shared" ref="J523:J528" si="26">+J522+H523-I523</f>
        <v>53201.119999999995</v>
      </c>
    </row>
    <row r="524" spans="2:10" x14ac:dyDescent="0.2">
      <c r="B524" s="103"/>
      <c r="C524" s="103">
        <v>42573</v>
      </c>
      <c r="D524" s="104">
        <v>31</v>
      </c>
      <c r="E524" s="105"/>
      <c r="F524" s="105" t="s">
        <v>1829</v>
      </c>
      <c r="G524" s="110" t="s">
        <v>1805</v>
      </c>
      <c r="H524" s="93"/>
      <c r="I524" s="93">
        <v>1224</v>
      </c>
      <c r="J524" s="131">
        <f t="shared" si="26"/>
        <v>51977.119999999995</v>
      </c>
    </row>
    <row r="525" spans="2:10" x14ac:dyDescent="0.2">
      <c r="B525" s="103"/>
      <c r="C525" s="103">
        <v>42573</v>
      </c>
      <c r="D525" s="104">
        <v>32</v>
      </c>
      <c r="E525" s="105"/>
      <c r="F525" s="105" t="s">
        <v>1830</v>
      </c>
      <c r="G525" s="110" t="s">
        <v>1790</v>
      </c>
      <c r="H525" s="93"/>
      <c r="I525" s="93">
        <v>1760</v>
      </c>
      <c r="J525" s="131">
        <f t="shared" si="26"/>
        <v>50217.119999999995</v>
      </c>
    </row>
    <row r="526" spans="2:10" x14ac:dyDescent="0.2">
      <c r="B526" s="103"/>
      <c r="C526" s="103">
        <v>42576</v>
      </c>
      <c r="D526" s="104">
        <v>30</v>
      </c>
      <c r="E526" s="105"/>
      <c r="F526" s="105" t="s">
        <v>1831</v>
      </c>
      <c r="G526" s="110"/>
      <c r="H526" s="93"/>
      <c r="I526" s="93">
        <v>3600</v>
      </c>
      <c r="J526" s="131">
        <f t="shared" si="26"/>
        <v>46617.119999999995</v>
      </c>
    </row>
    <row r="527" spans="2:10" x14ac:dyDescent="0.2">
      <c r="B527" s="103"/>
      <c r="C527" s="103">
        <v>42580</v>
      </c>
      <c r="D527" s="104"/>
      <c r="E527" s="105"/>
      <c r="F527" s="105" t="s">
        <v>1811</v>
      </c>
      <c r="G527" s="110" t="s">
        <v>1537</v>
      </c>
      <c r="H527" s="93"/>
      <c r="I527" s="93">
        <v>42</v>
      </c>
      <c r="J527" s="131">
        <f t="shared" si="26"/>
        <v>46575.119999999995</v>
      </c>
    </row>
    <row r="528" spans="2:10" x14ac:dyDescent="0.2">
      <c r="B528" s="103"/>
      <c r="C528" s="103">
        <v>42580</v>
      </c>
      <c r="D528" s="104"/>
      <c r="E528" s="105"/>
      <c r="F528" s="105" t="s">
        <v>1832</v>
      </c>
      <c r="G528" s="110" t="s">
        <v>1543</v>
      </c>
      <c r="H528" s="93"/>
      <c r="I528" s="93">
        <v>6.72</v>
      </c>
      <c r="J528" s="131">
        <f t="shared" si="26"/>
        <v>46568.399999999994</v>
      </c>
    </row>
    <row r="529" spans="2:10" ht="25.5" x14ac:dyDescent="0.2">
      <c r="B529" s="94" t="s">
        <v>1525</v>
      </c>
      <c r="C529" s="94" t="s">
        <v>1526</v>
      </c>
      <c r="D529" s="95" t="s">
        <v>1527</v>
      </c>
      <c r="E529" s="149"/>
      <c r="F529" s="52" t="s">
        <v>1529</v>
      </c>
      <c r="G529" s="3" t="s">
        <v>3</v>
      </c>
      <c r="H529" s="96" t="s">
        <v>1530</v>
      </c>
      <c r="I529" s="96" t="s">
        <v>1531</v>
      </c>
      <c r="J529" s="96" t="s">
        <v>1532</v>
      </c>
    </row>
    <row r="530" spans="2:10" x14ac:dyDescent="0.2">
      <c r="B530" s="103"/>
      <c r="C530" s="103">
        <v>42588</v>
      </c>
      <c r="D530" s="104">
        <v>4017</v>
      </c>
      <c r="E530" s="105"/>
      <c r="F530" s="105" t="s">
        <v>1833</v>
      </c>
      <c r="G530" s="110" t="s">
        <v>211</v>
      </c>
      <c r="H530" s="93">
        <v>300</v>
      </c>
      <c r="I530" s="93"/>
      <c r="J530" s="131">
        <f>+J528+H530-I530</f>
        <v>46868.399999999994</v>
      </c>
    </row>
    <row r="531" spans="2:10" x14ac:dyDescent="0.2">
      <c r="B531" s="103"/>
      <c r="C531" s="103">
        <v>42588</v>
      </c>
      <c r="D531" s="104"/>
      <c r="E531" s="105"/>
      <c r="F531" s="105" t="s">
        <v>1536</v>
      </c>
      <c r="G531" s="110" t="s">
        <v>1537</v>
      </c>
      <c r="H531" s="93">
        <v>0.46</v>
      </c>
      <c r="I531" s="93"/>
      <c r="J531" s="131">
        <f>+J530+H531-I531</f>
        <v>46868.859999999993</v>
      </c>
    </row>
    <row r="532" spans="2:10" x14ac:dyDescent="0.2">
      <c r="B532" s="103"/>
      <c r="C532" s="103">
        <v>42592</v>
      </c>
      <c r="D532" s="104">
        <v>8156</v>
      </c>
      <c r="E532" s="105"/>
      <c r="F532" s="105" t="s">
        <v>1834</v>
      </c>
      <c r="G532" s="110" t="s">
        <v>806</v>
      </c>
      <c r="H532" s="93">
        <v>11000</v>
      </c>
      <c r="I532" s="93"/>
      <c r="J532" s="131">
        <f>+J531+H532-I532</f>
        <v>57868.859999999993</v>
      </c>
    </row>
    <row r="533" spans="2:10" x14ac:dyDescent="0.2">
      <c r="B533" s="103"/>
      <c r="C533" s="103">
        <v>42592</v>
      </c>
      <c r="D533" s="104"/>
      <c r="E533" s="105"/>
      <c r="F533" s="105" t="s">
        <v>1596</v>
      </c>
      <c r="G533" s="110" t="s">
        <v>1537</v>
      </c>
      <c r="H533" s="93">
        <v>1760</v>
      </c>
      <c r="I533" s="93"/>
      <c r="J533" s="131">
        <f>+J532+H533-I533</f>
        <v>59628.859999999993</v>
      </c>
    </row>
    <row r="534" spans="2:10" x14ac:dyDescent="0.2">
      <c r="B534" s="103"/>
      <c r="C534" s="103">
        <v>42600</v>
      </c>
      <c r="D534" s="104">
        <v>35</v>
      </c>
      <c r="E534" s="105"/>
      <c r="F534" s="105" t="s">
        <v>1835</v>
      </c>
      <c r="G534" s="110" t="s">
        <v>1790</v>
      </c>
      <c r="H534" s="93"/>
      <c r="I534" s="93">
        <v>1760</v>
      </c>
      <c r="J534" s="131">
        <f>+J533+H534-I534</f>
        <v>57868.859999999993</v>
      </c>
    </row>
    <row r="535" spans="2:10" x14ac:dyDescent="0.2">
      <c r="B535" s="103"/>
      <c r="C535" s="103">
        <v>42600</v>
      </c>
      <c r="D535" s="104">
        <v>36</v>
      </c>
      <c r="E535" s="105"/>
      <c r="F535" s="105" t="s">
        <v>1836</v>
      </c>
      <c r="G535" s="110" t="s">
        <v>1805</v>
      </c>
      <c r="H535" s="93"/>
      <c r="I535" s="93">
        <v>1224</v>
      </c>
      <c r="J535" s="131">
        <f>+J534+H535-I535</f>
        <v>56644.859999999993</v>
      </c>
    </row>
    <row r="536" spans="2:10" x14ac:dyDescent="0.2">
      <c r="B536" s="103"/>
      <c r="C536" s="103">
        <v>42604</v>
      </c>
      <c r="D536" s="104">
        <v>8180</v>
      </c>
      <c r="E536" s="105"/>
      <c r="F536" s="105" t="s">
        <v>1837</v>
      </c>
      <c r="G536" s="110" t="s">
        <v>806</v>
      </c>
      <c r="H536" s="93">
        <v>11000</v>
      </c>
      <c r="I536" s="93"/>
      <c r="J536" s="131">
        <f t="shared" ref="J536:J556" si="27">+J535+H536-I536</f>
        <v>67644.859999999986</v>
      </c>
    </row>
    <row r="537" spans="2:10" x14ac:dyDescent="0.2">
      <c r="B537" s="103"/>
      <c r="C537" s="103">
        <v>42604</v>
      </c>
      <c r="D537" s="104"/>
      <c r="E537" s="105"/>
      <c r="F537" s="105" t="s">
        <v>1596</v>
      </c>
      <c r="G537" s="110" t="s">
        <v>1537</v>
      </c>
      <c r="H537" s="93">
        <v>1760</v>
      </c>
      <c r="I537" s="93"/>
      <c r="J537" s="131">
        <f t="shared" si="27"/>
        <v>69404.859999999986</v>
      </c>
    </row>
    <row r="538" spans="2:10" x14ac:dyDescent="0.2">
      <c r="B538" s="103"/>
      <c r="C538" s="103">
        <v>42605</v>
      </c>
      <c r="D538" s="104">
        <v>37</v>
      </c>
      <c r="E538" s="105"/>
      <c r="F538" s="105" t="s">
        <v>1838</v>
      </c>
      <c r="G538" s="110"/>
      <c r="H538" s="93"/>
      <c r="I538" s="93">
        <v>950</v>
      </c>
      <c r="J538" s="131">
        <f t="shared" si="27"/>
        <v>68454.859999999986</v>
      </c>
    </row>
    <row r="539" spans="2:10" x14ac:dyDescent="0.2">
      <c r="B539" s="103"/>
      <c r="C539" s="103">
        <v>42608</v>
      </c>
      <c r="D539" s="104">
        <v>40</v>
      </c>
      <c r="E539" s="105"/>
      <c r="F539" s="105" t="s">
        <v>1820</v>
      </c>
      <c r="G539" s="110"/>
      <c r="H539" s="93"/>
      <c r="I539" s="93">
        <v>3000</v>
      </c>
      <c r="J539" s="131">
        <f t="shared" si="27"/>
        <v>65454.859999999986</v>
      </c>
    </row>
    <row r="540" spans="2:10" x14ac:dyDescent="0.2">
      <c r="B540" s="103"/>
      <c r="C540" s="103">
        <v>42612</v>
      </c>
      <c r="D540" s="104">
        <v>39</v>
      </c>
      <c r="E540" s="105"/>
      <c r="F540" s="105" t="s">
        <v>1839</v>
      </c>
      <c r="G540" s="110"/>
      <c r="H540" s="93"/>
      <c r="I540" s="93">
        <v>2000</v>
      </c>
      <c r="J540" s="131">
        <f t="shared" si="27"/>
        <v>63454.859999999986</v>
      </c>
    </row>
    <row r="541" spans="2:10" x14ac:dyDescent="0.2">
      <c r="B541" s="103"/>
      <c r="C541" s="103">
        <v>42613</v>
      </c>
      <c r="D541" s="104"/>
      <c r="E541" s="105"/>
      <c r="F541" s="105" t="s">
        <v>1840</v>
      </c>
      <c r="G541" s="110" t="s">
        <v>1537</v>
      </c>
      <c r="H541" s="93"/>
      <c r="I541" s="93">
        <v>70</v>
      </c>
      <c r="J541" s="131">
        <f t="shared" si="27"/>
        <v>63384.859999999986</v>
      </c>
    </row>
    <row r="542" spans="2:10" x14ac:dyDescent="0.2">
      <c r="B542" s="103"/>
      <c r="C542" s="103">
        <v>42613</v>
      </c>
      <c r="D542" s="104"/>
      <c r="E542" s="105"/>
      <c r="F542" s="105" t="s">
        <v>1841</v>
      </c>
      <c r="G542" s="110" t="s">
        <v>1543</v>
      </c>
      <c r="H542" s="93"/>
      <c r="I542" s="93">
        <v>11.2</v>
      </c>
      <c r="J542" s="131">
        <f t="shared" si="27"/>
        <v>63373.659999999989</v>
      </c>
    </row>
    <row r="543" spans="2:10" ht="25.5" x14ac:dyDescent="0.2">
      <c r="B543" s="94" t="s">
        <v>1525</v>
      </c>
      <c r="C543" s="94" t="s">
        <v>1526</v>
      </c>
      <c r="D543" s="95" t="s">
        <v>1527</v>
      </c>
      <c r="E543" s="149"/>
      <c r="F543" s="52" t="s">
        <v>1529</v>
      </c>
      <c r="G543" s="3" t="s">
        <v>3</v>
      </c>
      <c r="H543" s="96" t="s">
        <v>1530</v>
      </c>
      <c r="I543" s="96" t="s">
        <v>1531</v>
      </c>
      <c r="J543" s="96" t="s">
        <v>1532</v>
      </c>
    </row>
    <row r="544" spans="2:10" x14ac:dyDescent="0.2">
      <c r="B544" s="103"/>
      <c r="C544" s="103">
        <v>42616</v>
      </c>
      <c r="D544" s="104">
        <v>916</v>
      </c>
      <c r="E544" s="105"/>
      <c r="F544" s="105" t="s">
        <v>1842</v>
      </c>
      <c r="G544" s="110" t="s">
        <v>211</v>
      </c>
      <c r="H544" s="93">
        <v>300</v>
      </c>
      <c r="I544" s="93"/>
      <c r="J544" s="131">
        <f>+J542+H544-I544</f>
        <v>63673.659999999989</v>
      </c>
    </row>
    <row r="545" spans="2:10" x14ac:dyDescent="0.2">
      <c r="B545" s="103"/>
      <c r="C545" s="103">
        <v>42616</v>
      </c>
      <c r="D545" s="104"/>
      <c r="E545" s="105"/>
      <c r="F545" s="105" t="s">
        <v>1536</v>
      </c>
      <c r="G545" s="110" t="s">
        <v>1537</v>
      </c>
      <c r="H545" s="93">
        <v>0.46</v>
      </c>
      <c r="I545" s="93"/>
      <c r="J545" s="131">
        <f t="shared" si="27"/>
        <v>63674.119999999988</v>
      </c>
    </row>
    <row r="546" spans="2:10" x14ac:dyDescent="0.2">
      <c r="B546" s="103"/>
      <c r="C546" s="103">
        <v>42633</v>
      </c>
      <c r="D546" s="104">
        <v>41</v>
      </c>
      <c r="E546" s="105"/>
      <c r="F546" s="105" t="s">
        <v>1843</v>
      </c>
      <c r="G546" s="110"/>
      <c r="H546" s="93"/>
      <c r="I546" s="93">
        <v>2880</v>
      </c>
      <c r="J546" s="131">
        <f t="shared" si="27"/>
        <v>60794.119999999988</v>
      </c>
    </row>
    <row r="547" spans="2:10" x14ac:dyDescent="0.2">
      <c r="B547" s="103"/>
      <c r="C547" s="103">
        <v>42633</v>
      </c>
      <c r="D547" s="104">
        <v>43</v>
      </c>
      <c r="E547" s="105"/>
      <c r="F547" s="105" t="s">
        <v>1831</v>
      </c>
      <c r="G547" s="110"/>
      <c r="H547" s="93"/>
      <c r="I547" s="93">
        <v>3600</v>
      </c>
      <c r="J547" s="131">
        <f t="shared" si="27"/>
        <v>57194.119999999988</v>
      </c>
    </row>
    <row r="548" spans="2:10" x14ac:dyDescent="0.2">
      <c r="B548" s="103"/>
      <c r="C548" s="103">
        <v>42634</v>
      </c>
      <c r="D548" s="104">
        <v>44</v>
      </c>
      <c r="E548" s="105"/>
      <c r="F548" s="105" t="s">
        <v>1844</v>
      </c>
      <c r="G548" s="110" t="s">
        <v>1805</v>
      </c>
      <c r="H548" s="93"/>
      <c r="I548" s="93">
        <v>1224</v>
      </c>
      <c r="J548" s="131">
        <f t="shared" si="27"/>
        <v>55970.119999999988</v>
      </c>
    </row>
    <row r="549" spans="2:10" x14ac:dyDescent="0.2">
      <c r="B549" s="103"/>
      <c r="C549" s="103">
        <v>42634</v>
      </c>
      <c r="D549" s="104">
        <v>45</v>
      </c>
      <c r="E549" s="105"/>
      <c r="F549" s="105" t="s">
        <v>1845</v>
      </c>
      <c r="G549" s="110" t="s">
        <v>1790</v>
      </c>
      <c r="H549" s="93"/>
      <c r="I549" s="93">
        <v>1760</v>
      </c>
      <c r="J549" s="131">
        <f t="shared" si="27"/>
        <v>54210.119999999988</v>
      </c>
    </row>
    <row r="550" spans="2:10" x14ac:dyDescent="0.2">
      <c r="B550" s="103"/>
      <c r="C550" s="103">
        <v>42634</v>
      </c>
      <c r="D550" s="104">
        <v>8194</v>
      </c>
      <c r="E550" s="105"/>
      <c r="F550" s="105" t="s">
        <v>1846</v>
      </c>
      <c r="G550" s="110" t="s">
        <v>806</v>
      </c>
      <c r="H550" s="93">
        <v>11000</v>
      </c>
      <c r="I550" s="93"/>
      <c r="J550" s="131">
        <f t="shared" si="27"/>
        <v>65210.119999999988</v>
      </c>
    </row>
    <row r="551" spans="2:10" x14ac:dyDescent="0.2">
      <c r="B551" s="103"/>
      <c r="C551" s="103">
        <v>42634</v>
      </c>
      <c r="D551" s="104"/>
      <c r="E551" s="105"/>
      <c r="F551" s="105" t="s">
        <v>1596</v>
      </c>
      <c r="G551" s="110" t="s">
        <v>1537</v>
      </c>
      <c r="H551" s="93">
        <v>1760</v>
      </c>
      <c r="I551" s="93"/>
      <c r="J551" s="131">
        <f t="shared" si="27"/>
        <v>66970.12</v>
      </c>
    </row>
    <row r="552" spans="2:10" x14ac:dyDescent="0.2">
      <c r="B552" s="103"/>
      <c r="C552" s="103">
        <v>42636</v>
      </c>
      <c r="D552" s="104">
        <v>48</v>
      </c>
      <c r="E552" s="105"/>
      <c r="F552" s="105" t="s">
        <v>1847</v>
      </c>
      <c r="G552" s="110"/>
      <c r="H552" s="93"/>
      <c r="I552" s="93">
        <v>5622</v>
      </c>
      <c r="J552" s="131">
        <f t="shared" si="27"/>
        <v>61348.119999999995</v>
      </c>
    </row>
    <row r="553" spans="2:10" x14ac:dyDescent="0.2">
      <c r="B553" s="103"/>
      <c r="C553" s="103">
        <v>42609</v>
      </c>
      <c r="D553" s="104">
        <v>49</v>
      </c>
      <c r="E553" s="105"/>
      <c r="F553" s="105" t="s">
        <v>1848</v>
      </c>
      <c r="G553" s="110"/>
      <c r="H553" s="93"/>
      <c r="I553" s="93">
        <v>3750</v>
      </c>
      <c r="J553" s="131">
        <f t="shared" si="27"/>
        <v>57598.119999999995</v>
      </c>
    </row>
    <row r="554" spans="2:10" x14ac:dyDescent="0.2">
      <c r="B554" s="103"/>
      <c r="C554" s="103">
        <v>42640</v>
      </c>
      <c r="D554" s="104">
        <v>47</v>
      </c>
      <c r="E554" s="105"/>
      <c r="F554" s="105" t="s">
        <v>1849</v>
      </c>
      <c r="G554" s="110"/>
      <c r="H554" s="93"/>
      <c r="I554" s="93">
        <v>3080</v>
      </c>
      <c r="J554" s="131">
        <f t="shared" si="27"/>
        <v>54518.119999999995</v>
      </c>
    </row>
    <row r="555" spans="2:10" x14ac:dyDescent="0.2">
      <c r="B555" s="103"/>
      <c r="C555" s="103">
        <v>42643</v>
      </c>
      <c r="D555" s="104"/>
      <c r="E555" s="105"/>
      <c r="F555" s="105" t="s">
        <v>1840</v>
      </c>
      <c r="G555" s="110" t="s">
        <v>1537</v>
      </c>
      <c r="H555" s="93"/>
      <c r="I555" s="93">
        <v>98</v>
      </c>
      <c r="J555" s="131">
        <f t="shared" si="27"/>
        <v>54420.119999999995</v>
      </c>
    </row>
    <row r="556" spans="2:10" x14ac:dyDescent="0.2">
      <c r="B556" s="103"/>
      <c r="C556" s="103">
        <v>42643</v>
      </c>
      <c r="D556" s="104"/>
      <c r="E556" s="105"/>
      <c r="F556" s="105" t="s">
        <v>1841</v>
      </c>
      <c r="G556" s="110" t="s">
        <v>1543</v>
      </c>
      <c r="H556" s="93"/>
      <c r="I556" s="93">
        <v>15.68</v>
      </c>
      <c r="J556" s="131">
        <f t="shared" si="27"/>
        <v>54404.439999999995</v>
      </c>
    </row>
    <row r="557" spans="2:10" ht="25.5" x14ac:dyDescent="0.2">
      <c r="B557" s="94" t="s">
        <v>1525</v>
      </c>
      <c r="C557" s="94" t="s">
        <v>1526</v>
      </c>
      <c r="D557" s="95" t="s">
        <v>1527</v>
      </c>
      <c r="E557" s="149"/>
      <c r="F557" s="52" t="s">
        <v>1529</v>
      </c>
      <c r="G557" s="3" t="s">
        <v>3</v>
      </c>
      <c r="H557" s="96" t="s">
        <v>1530</v>
      </c>
      <c r="I557" s="96" t="s">
        <v>1531</v>
      </c>
      <c r="J557" s="96" t="s">
        <v>1532</v>
      </c>
    </row>
    <row r="558" spans="2:10" x14ac:dyDescent="0.2">
      <c r="B558" s="103"/>
      <c r="C558" s="103">
        <v>42648</v>
      </c>
      <c r="D558" s="104">
        <v>8185</v>
      </c>
      <c r="E558" s="105"/>
      <c r="F558" s="333" t="s">
        <v>3182</v>
      </c>
      <c r="G558" s="334" t="s">
        <v>211</v>
      </c>
      <c r="H558" s="93">
        <v>300</v>
      </c>
      <c r="I558" s="93"/>
      <c r="J558" s="131">
        <f>+J556+H558-I558</f>
        <v>54704.439999999995</v>
      </c>
    </row>
    <row r="559" spans="2:10" x14ac:dyDescent="0.2">
      <c r="B559" s="103"/>
      <c r="C559" s="103">
        <v>42648</v>
      </c>
      <c r="D559" s="104"/>
      <c r="E559" s="105"/>
      <c r="F559" s="333" t="s">
        <v>1536</v>
      </c>
      <c r="G559" s="334" t="s">
        <v>1537</v>
      </c>
      <c r="H559" s="93">
        <v>0.46</v>
      </c>
      <c r="I559" s="93"/>
      <c r="J559" s="131">
        <f t="shared" ref="J559:J579" si="28">+J558+H559-I559</f>
        <v>54704.899999999994</v>
      </c>
    </row>
    <row r="560" spans="2:10" x14ac:dyDescent="0.2">
      <c r="B560" s="103"/>
      <c r="C560" s="103">
        <v>42656</v>
      </c>
      <c r="D560" s="104">
        <v>51</v>
      </c>
      <c r="E560" s="105"/>
      <c r="F560" s="333" t="s">
        <v>1899</v>
      </c>
      <c r="G560" s="334"/>
      <c r="H560" s="93"/>
      <c r="I560" s="93">
        <v>12000</v>
      </c>
      <c r="J560" s="131">
        <f t="shared" si="28"/>
        <v>42704.899999999994</v>
      </c>
    </row>
    <row r="561" spans="2:10" x14ac:dyDescent="0.2">
      <c r="B561" s="103"/>
      <c r="C561" s="103">
        <v>42663</v>
      </c>
      <c r="D561" s="104">
        <v>8209</v>
      </c>
      <c r="E561" s="105"/>
      <c r="F561" s="333" t="s">
        <v>3183</v>
      </c>
      <c r="G561" s="334" t="s">
        <v>806</v>
      </c>
      <c r="H561" s="93">
        <v>11000</v>
      </c>
      <c r="I561" s="93"/>
      <c r="J561" s="131">
        <f t="shared" si="28"/>
        <v>53704.899999999994</v>
      </c>
    </row>
    <row r="562" spans="2:10" x14ac:dyDescent="0.2">
      <c r="B562" s="103"/>
      <c r="C562" s="103">
        <v>42663</v>
      </c>
      <c r="D562" s="104"/>
      <c r="E562" s="105"/>
      <c r="F562" s="333" t="s">
        <v>1596</v>
      </c>
      <c r="G562" s="334" t="s">
        <v>1537</v>
      </c>
      <c r="H562" s="93">
        <v>1760</v>
      </c>
      <c r="I562" s="93"/>
      <c r="J562" s="131">
        <f t="shared" si="28"/>
        <v>55464.899999999994</v>
      </c>
    </row>
    <row r="563" spans="2:10" x14ac:dyDescent="0.2">
      <c r="B563" s="103"/>
      <c r="C563" s="103">
        <v>42667</v>
      </c>
      <c r="D563" s="104">
        <v>54</v>
      </c>
      <c r="E563" s="105"/>
      <c r="F563" s="333" t="s">
        <v>3184</v>
      </c>
      <c r="G563" s="334" t="s">
        <v>1790</v>
      </c>
      <c r="H563" s="93"/>
      <c r="I563" s="93">
        <v>1760</v>
      </c>
      <c r="J563" s="131">
        <f t="shared" si="28"/>
        <v>53704.899999999994</v>
      </c>
    </row>
    <row r="564" spans="2:10" x14ac:dyDescent="0.2">
      <c r="B564" s="103"/>
      <c r="C564" s="103">
        <v>42667</v>
      </c>
      <c r="D564" s="104">
        <v>53</v>
      </c>
      <c r="E564" s="105"/>
      <c r="F564" s="333" t="s">
        <v>3185</v>
      </c>
      <c r="G564" s="334" t="s">
        <v>1805</v>
      </c>
      <c r="H564" s="93"/>
      <c r="I564" s="93">
        <v>1224</v>
      </c>
      <c r="J564" s="131">
        <f t="shared" si="28"/>
        <v>52480.899999999994</v>
      </c>
    </row>
    <row r="565" spans="2:10" x14ac:dyDescent="0.2">
      <c r="B565" s="103"/>
      <c r="C565" s="103">
        <v>42674</v>
      </c>
      <c r="D565" s="104"/>
      <c r="E565" s="105"/>
      <c r="F565" s="333" t="s">
        <v>1811</v>
      </c>
      <c r="G565" s="334" t="s">
        <v>1537</v>
      </c>
      <c r="H565" s="93"/>
      <c r="I565" s="93">
        <v>42</v>
      </c>
      <c r="J565" s="131">
        <f t="shared" si="28"/>
        <v>52438.899999999994</v>
      </c>
    </row>
    <row r="566" spans="2:10" x14ac:dyDescent="0.2">
      <c r="B566" s="103"/>
      <c r="C566" s="103">
        <v>42674</v>
      </c>
      <c r="D566" s="104"/>
      <c r="E566" s="105"/>
      <c r="F566" s="333" t="s">
        <v>3186</v>
      </c>
      <c r="G566" s="334" t="s">
        <v>1543</v>
      </c>
      <c r="H566" s="93"/>
      <c r="I566" s="93">
        <v>6.72</v>
      </c>
      <c r="J566" s="131">
        <f t="shared" si="28"/>
        <v>52432.179999999993</v>
      </c>
    </row>
    <row r="567" spans="2:10" ht="25.5" x14ac:dyDescent="0.2">
      <c r="B567" s="94" t="s">
        <v>1525</v>
      </c>
      <c r="C567" s="94" t="s">
        <v>1526</v>
      </c>
      <c r="D567" s="95" t="s">
        <v>1527</v>
      </c>
      <c r="E567" s="149"/>
      <c r="F567" s="321" t="s">
        <v>1529</v>
      </c>
      <c r="G567" s="3" t="s">
        <v>3</v>
      </c>
      <c r="H567" s="96" t="s">
        <v>1530</v>
      </c>
      <c r="I567" s="96" t="s">
        <v>1531</v>
      </c>
      <c r="J567" s="96" t="s">
        <v>1532</v>
      </c>
    </row>
    <row r="568" spans="2:10" x14ac:dyDescent="0.2">
      <c r="B568" s="103"/>
      <c r="C568" s="103">
        <v>42677</v>
      </c>
      <c r="D568" s="104">
        <v>55</v>
      </c>
      <c r="E568" s="105"/>
      <c r="F568" s="333" t="s">
        <v>3187</v>
      </c>
      <c r="G568" s="334"/>
      <c r="H568" s="93"/>
      <c r="I568" s="93">
        <v>10000</v>
      </c>
      <c r="J568" s="131">
        <f>+J566+H568-I568</f>
        <v>42432.179999999993</v>
      </c>
    </row>
    <row r="569" spans="2:10" x14ac:dyDescent="0.2">
      <c r="B569" s="103"/>
      <c r="C569" s="103">
        <v>42678</v>
      </c>
      <c r="D569" s="104">
        <v>1116</v>
      </c>
      <c r="E569" s="105"/>
      <c r="F569" s="333" t="s">
        <v>3188</v>
      </c>
      <c r="G569" s="334" t="s">
        <v>211</v>
      </c>
      <c r="H569" s="93">
        <v>300</v>
      </c>
      <c r="I569" s="93"/>
      <c r="J569" s="131">
        <f t="shared" si="28"/>
        <v>42732.179999999993</v>
      </c>
    </row>
    <row r="570" spans="2:10" x14ac:dyDescent="0.2">
      <c r="B570" s="103"/>
      <c r="C570" s="103">
        <v>42678</v>
      </c>
      <c r="D570" s="104"/>
      <c r="E570" s="105"/>
      <c r="F570" s="333" t="s">
        <v>1536</v>
      </c>
      <c r="G570" s="334" t="s">
        <v>1537</v>
      </c>
      <c r="H570" s="93">
        <v>0.46</v>
      </c>
      <c r="I570" s="93"/>
      <c r="J570" s="131">
        <f t="shared" si="28"/>
        <v>42732.639999999992</v>
      </c>
    </row>
    <row r="571" spans="2:10" x14ac:dyDescent="0.2">
      <c r="B571" s="103"/>
      <c r="C571" s="103">
        <v>42682</v>
      </c>
      <c r="D571" s="104">
        <v>56</v>
      </c>
      <c r="E571" s="105"/>
      <c r="F571" s="333" t="s">
        <v>3189</v>
      </c>
      <c r="G571" s="334"/>
      <c r="H571" s="93"/>
      <c r="I571" s="93">
        <v>3000</v>
      </c>
      <c r="J571" s="131">
        <f t="shared" si="28"/>
        <v>39732.639999999992</v>
      </c>
    </row>
    <row r="572" spans="2:10" x14ac:dyDescent="0.2">
      <c r="B572" s="103"/>
      <c r="C572" s="103">
        <v>42691</v>
      </c>
      <c r="D572" s="104">
        <v>57</v>
      </c>
      <c r="E572" s="105"/>
      <c r="F572" s="333" t="s">
        <v>3190</v>
      </c>
      <c r="G572" s="334" t="s">
        <v>1805</v>
      </c>
      <c r="H572" s="93"/>
      <c r="I572" s="93">
        <v>1224</v>
      </c>
      <c r="J572" s="131">
        <f t="shared" si="28"/>
        <v>38508.639999999992</v>
      </c>
    </row>
    <row r="573" spans="2:10" x14ac:dyDescent="0.2">
      <c r="B573" s="103"/>
      <c r="C573" s="103">
        <v>42691</v>
      </c>
      <c r="D573" s="104">
        <v>58</v>
      </c>
      <c r="E573" s="105"/>
      <c r="F573" s="333" t="s">
        <v>3191</v>
      </c>
      <c r="G573" s="334" t="s">
        <v>1790</v>
      </c>
      <c r="H573" s="93"/>
      <c r="I573" s="93">
        <v>1760</v>
      </c>
      <c r="J573" s="131">
        <f t="shared" si="28"/>
        <v>36748.639999999992</v>
      </c>
    </row>
    <row r="574" spans="2:10" x14ac:dyDescent="0.2">
      <c r="B574" s="103"/>
      <c r="C574" s="103">
        <v>42698</v>
      </c>
      <c r="D574" s="104">
        <v>8283</v>
      </c>
      <c r="E574" s="105"/>
      <c r="F574" s="333" t="s">
        <v>3192</v>
      </c>
      <c r="G574" s="334" t="s">
        <v>806</v>
      </c>
      <c r="H574" s="93">
        <v>11000</v>
      </c>
      <c r="I574" s="93"/>
      <c r="J574" s="131">
        <f t="shared" si="28"/>
        <v>47748.639999999992</v>
      </c>
    </row>
    <row r="575" spans="2:10" x14ac:dyDescent="0.2">
      <c r="B575" s="103"/>
      <c r="C575" s="103">
        <v>42698</v>
      </c>
      <c r="D575" s="104"/>
      <c r="E575" s="105"/>
      <c r="F575" s="333" t="s">
        <v>1596</v>
      </c>
      <c r="G575" s="334" t="s">
        <v>1537</v>
      </c>
      <c r="H575" s="93">
        <v>1760</v>
      </c>
      <c r="I575" s="93"/>
      <c r="J575" s="131">
        <f t="shared" si="28"/>
        <v>49508.639999999992</v>
      </c>
    </row>
    <row r="576" spans="2:10" x14ac:dyDescent="0.2">
      <c r="B576" s="103"/>
      <c r="C576" s="103">
        <v>42698</v>
      </c>
      <c r="D576" s="104">
        <v>59</v>
      </c>
      <c r="E576" s="105"/>
      <c r="F576" s="333" t="s">
        <v>3193</v>
      </c>
      <c r="G576" s="334"/>
      <c r="H576" s="93"/>
      <c r="I576" s="93">
        <v>14500</v>
      </c>
      <c r="J576" s="131">
        <f t="shared" si="28"/>
        <v>35008.639999999992</v>
      </c>
    </row>
    <row r="577" spans="2:10" x14ac:dyDescent="0.2">
      <c r="B577" s="103"/>
      <c r="C577" s="103">
        <v>42704</v>
      </c>
      <c r="D577" s="104">
        <v>60</v>
      </c>
      <c r="E577" s="105"/>
      <c r="F577" s="333" t="s">
        <v>3194</v>
      </c>
      <c r="G577" s="334"/>
      <c r="H577" s="93"/>
      <c r="I577" s="93">
        <v>14500</v>
      </c>
      <c r="J577" s="131">
        <f t="shared" si="28"/>
        <v>20508.639999999992</v>
      </c>
    </row>
    <row r="578" spans="2:10" x14ac:dyDescent="0.2">
      <c r="B578" s="103"/>
      <c r="C578" s="103">
        <v>42704</v>
      </c>
      <c r="D578" s="104"/>
      <c r="E578" s="105"/>
      <c r="F578" s="333" t="s">
        <v>3195</v>
      </c>
      <c r="G578" s="334" t="s">
        <v>1537</v>
      </c>
      <c r="H578" s="93"/>
      <c r="I578" s="93">
        <v>84</v>
      </c>
      <c r="J578" s="131">
        <f t="shared" si="28"/>
        <v>20424.639999999992</v>
      </c>
    </row>
    <row r="579" spans="2:10" x14ac:dyDescent="0.2">
      <c r="B579" s="103"/>
      <c r="C579" s="103">
        <v>42704</v>
      </c>
      <c r="D579" s="104"/>
      <c r="E579" s="105"/>
      <c r="F579" s="333" t="s">
        <v>1825</v>
      </c>
      <c r="G579" s="334" t="s">
        <v>1543</v>
      </c>
      <c r="H579" s="93"/>
      <c r="I579" s="93">
        <v>13.44</v>
      </c>
      <c r="J579" s="131">
        <f t="shared" si="28"/>
        <v>20411.199999999993</v>
      </c>
    </row>
    <row r="580" spans="2:10" ht="25.5" x14ac:dyDescent="0.2">
      <c r="B580" s="94" t="s">
        <v>1525</v>
      </c>
      <c r="C580" s="94" t="s">
        <v>1526</v>
      </c>
      <c r="D580" s="95" t="s">
        <v>1527</v>
      </c>
      <c r="E580" s="149"/>
      <c r="F580" s="321" t="s">
        <v>1529</v>
      </c>
      <c r="G580" s="3" t="s">
        <v>3</v>
      </c>
      <c r="H580" s="96" t="s">
        <v>1530</v>
      </c>
      <c r="I580" s="96" t="s">
        <v>1531</v>
      </c>
      <c r="J580" s="96" t="s">
        <v>1532</v>
      </c>
    </row>
    <row r="581" spans="2:10" x14ac:dyDescent="0.2">
      <c r="B581" s="103"/>
      <c r="C581" s="103">
        <v>42706</v>
      </c>
      <c r="D581" s="104">
        <v>3768</v>
      </c>
      <c r="E581" s="105"/>
      <c r="F581" s="105" t="s">
        <v>3373</v>
      </c>
      <c r="G581" s="110" t="s">
        <v>571</v>
      </c>
      <c r="H581" s="93">
        <v>200</v>
      </c>
      <c r="I581" s="93"/>
      <c r="J581" s="131">
        <f>+J579+H581-I581</f>
        <v>20611.199999999993</v>
      </c>
    </row>
    <row r="582" spans="2:10" x14ac:dyDescent="0.2">
      <c r="B582" s="103"/>
      <c r="C582" s="103">
        <v>42706</v>
      </c>
      <c r="D582" s="104"/>
      <c r="E582" s="105"/>
      <c r="F582" s="105" t="s">
        <v>1536</v>
      </c>
      <c r="G582" s="110" t="s">
        <v>1537</v>
      </c>
      <c r="H582" s="93">
        <v>0.15</v>
      </c>
      <c r="I582" s="93"/>
      <c r="J582" s="131">
        <f>+J581+H582-I582</f>
        <v>20611.349999999995</v>
      </c>
    </row>
    <row r="583" spans="2:10" x14ac:dyDescent="0.2">
      <c r="B583" s="103"/>
      <c r="C583" s="103">
        <v>42710</v>
      </c>
      <c r="D583" s="104">
        <v>61</v>
      </c>
      <c r="E583" s="105"/>
      <c r="F583" s="105" t="s">
        <v>3370</v>
      </c>
      <c r="G583" s="110"/>
      <c r="H583" s="93"/>
      <c r="I583" s="93">
        <v>735</v>
      </c>
      <c r="J583" s="131">
        <f t="shared" ref="J583:J595" si="29">+J582+H583-I583</f>
        <v>19876.349999999995</v>
      </c>
    </row>
    <row r="584" spans="2:10" x14ac:dyDescent="0.2">
      <c r="B584" s="103"/>
      <c r="C584" s="103">
        <v>42711</v>
      </c>
      <c r="D584" s="104">
        <v>3026</v>
      </c>
      <c r="E584" s="105"/>
      <c r="F584" s="105" t="s">
        <v>3371</v>
      </c>
      <c r="G584" s="110" t="s">
        <v>211</v>
      </c>
      <c r="H584" s="93">
        <v>300</v>
      </c>
      <c r="I584" s="93"/>
      <c r="J584" s="131">
        <f t="shared" si="29"/>
        <v>20176.349999999995</v>
      </c>
    </row>
    <row r="585" spans="2:10" x14ac:dyDescent="0.2">
      <c r="B585" s="103"/>
      <c r="C585" s="103">
        <v>42711</v>
      </c>
      <c r="D585" s="104"/>
      <c r="E585" s="105"/>
      <c r="F585" s="105" t="s">
        <v>1536</v>
      </c>
      <c r="G585" s="110" t="s">
        <v>1537</v>
      </c>
      <c r="H585" s="93">
        <v>0.46</v>
      </c>
      <c r="I585" s="93"/>
      <c r="J585" s="131">
        <f t="shared" si="29"/>
        <v>20176.809999999994</v>
      </c>
    </row>
    <row r="586" spans="2:10" x14ac:dyDescent="0.2">
      <c r="B586" s="103"/>
      <c r="C586" s="103">
        <v>42711</v>
      </c>
      <c r="D586" s="104">
        <v>3842</v>
      </c>
      <c r="E586" s="105"/>
      <c r="F586" s="105" t="s">
        <v>3372</v>
      </c>
      <c r="G586" s="110" t="s">
        <v>208</v>
      </c>
      <c r="H586" s="93">
        <v>1200</v>
      </c>
      <c r="I586" s="93"/>
      <c r="J586" s="131">
        <f t="shared" si="29"/>
        <v>21376.809999999994</v>
      </c>
    </row>
    <row r="587" spans="2:10" x14ac:dyDescent="0.2">
      <c r="B587" s="103"/>
      <c r="C587" s="103">
        <v>42711</v>
      </c>
      <c r="D587" s="104"/>
      <c r="E587" s="105"/>
      <c r="F587" s="105" t="s">
        <v>1536</v>
      </c>
      <c r="G587" s="110" t="s">
        <v>1537</v>
      </c>
      <c r="H587" s="93">
        <v>0.28999999999999998</v>
      </c>
      <c r="I587" s="93"/>
      <c r="J587" s="131">
        <f t="shared" si="29"/>
        <v>21377.099999999995</v>
      </c>
    </row>
    <row r="588" spans="2:10" x14ac:dyDescent="0.2">
      <c r="B588" s="103"/>
      <c r="C588" s="103">
        <v>42718</v>
      </c>
      <c r="D588" s="104">
        <v>62</v>
      </c>
      <c r="E588" s="105"/>
      <c r="F588" s="105" t="s">
        <v>3374</v>
      </c>
      <c r="G588" s="110" t="s">
        <v>1790</v>
      </c>
      <c r="H588" s="93"/>
      <c r="I588" s="93">
        <v>1760</v>
      </c>
      <c r="J588" s="131">
        <f t="shared" si="29"/>
        <v>19617.099999999995</v>
      </c>
    </row>
    <row r="589" spans="2:10" x14ac:dyDescent="0.2">
      <c r="B589" s="103"/>
      <c r="C589" s="103">
        <v>42718</v>
      </c>
      <c r="D589" s="104">
        <v>63</v>
      </c>
      <c r="E589" s="105"/>
      <c r="F589" s="105" t="s">
        <v>3375</v>
      </c>
      <c r="G589" s="110" t="s">
        <v>1805</v>
      </c>
      <c r="H589" s="93"/>
      <c r="I589" s="93">
        <v>2448</v>
      </c>
      <c r="J589" s="131">
        <f t="shared" si="29"/>
        <v>17169.099999999995</v>
      </c>
    </row>
    <row r="590" spans="2:10" x14ac:dyDescent="0.2">
      <c r="B590" s="103"/>
      <c r="C590" s="103">
        <v>42720</v>
      </c>
      <c r="D590" s="104">
        <v>8317</v>
      </c>
      <c r="E590" s="105"/>
      <c r="F590" s="105" t="s">
        <v>3376</v>
      </c>
      <c r="G590" s="110" t="s">
        <v>806</v>
      </c>
      <c r="H590" s="93">
        <v>11000</v>
      </c>
      <c r="I590" s="93"/>
      <c r="J590" s="131">
        <f t="shared" si="29"/>
        <v>28169.099999999995</v>
      </c>
    </row>
    <row r="591" spans="2:10" x14ac:dyDescent="0.2">
      <c r="B591" s="103"/>
      <c r="C591" s="103">
        <v>42720</v>
      </c>
      <c r="D591" s="104"/>
      <c r="E591" s="105"/>
      <c r="F591" s="105" t="s">
        <v>1596</v>
      </c>
      <c r="G591" s="110" t="s">
        <v>1537</v>
      </c>
      <c r="H591" s="93">
        <v>1760</v>
      </c>
      <c r="I591" s="93"/>
      <c r="J591" s="131">
        <f t="shared" si="29"/>
        <v>29929.099999999995</v>
      </c>
    </row>
    <row r="592" spans="2:10" x14ac:dyDescent="0.2">
      <c r="B592" s="103"/>
      <c r="C592" s="103">
        <v>42720</v>
      </c>
      <c r="D592" s="104">
        <v>65</v>
      </c>
      <c r="E592" s="105"/>
      <c r="F592" s="105" t="s">
        <v>3377</v>
      </c>
      <c r="G592" s="110"/>
      <c r="H592" s="93"/>
      <c r="I592" s="93">
        <v>14500</v>
      </c>
      <c r="J592" s="131">
        <f t="shared" si="29"/>
        <v>15429.099999999995</v>
      </c>
    </row>
    <row r="593" spans="2:10" x14ac:dyDescent="0.2">
      <c r="B593" s="103"/>
      <c r="C593" s="103">
        <v>42733</v>
      </c>
      <c r="D593" s="104">
        <v>66</v>
      </c>
      <c r="E593" s="105"/>
      <c r="F593" s="105" t="s">
        <v>3378</v>
      </c>
      <c r="G593" s="110"/>
      <c r="H593" s="93"/>
      <c r="I593" s="93">
        <v>3900</v>
      </c>
      <c r="J593" s="131">
        <f t="shared" si="29"/>
        <v>11529.099999999995</v>
      </c>
    </row>
    <row r="594" spans="2:10" x14ac:dyDescent="0.2">
      <c r="B594" s="103"/>
      <c r="C594" s="103">
        <v>42734</v>
      </c>
      <c r="D594" s="104"/>
      <c r="E594" s="105"/>
      <c r="F594" s="105" t="s">
        <v>3195</v>
      </c>
      <c r="G594" s="110" t="s">
        <v>1537</v>
      </c>
      <c r="H594" s="93"/>
      <c r="I594" s="93">
        <v>70</v>
      </c>
      <c r="J594" s="131">
        <f t="shared" si="29"/>
        <v>11459.099999999995</v>
      </c>
    </row>
    <row r="595" spans="2:10" x14ac:dyDescent="0.2">
      <c r="B595" s="103"/>
      <c r="C595" s="103">
        <v>42734</v>
      </c>
      <c r="D595" s="104"/>
      <c r="E595" s="105"/>
      <c r="F595" s="105" t="s">
        <v>3519</v>
      </c>
      <c r="G595" s="110" t="s">
        <v>1790</v>
      </c>
      <c r="H595" s="93"/>
      <c r="I595" s="93">
        <v>11.2</v>
      </c>
      <c r="J595" s="131">
        <f t="shared" si="29"/>
        <v>11447.899999999994</v>
      </c>
    </row>
    <row r="596" spans="2:10" ht="25.5" x14ac:dyDescent="0.2">
      <c r="B596" s="94" t="s">
        <v>1525</v>
      </c>
      <c r="C596" s="94" t="s">
        <v>1526</v>
      </c>
      <c r="D596" s="95" t="s">
        <v>1527</v>
      </c>
      <c r="E596" s="149"/>
      <c r="F596" s="353"/>
      <c r="G596" s="3" t="s">
        <v>3</v>
      </c>
      <c r="H596" s="96" t="s">
        <v>1530</v>
      </c>
      <c r="I596" s="96" t="s">
        <v>1531</v>
      </c>
      <c r="J596" s="96" t="s">
        <v>1532</v>
      </c>
    </row>
    <row r="597" spans="2:10" x14ac:dyDescent="0.2">
      <c r="B597" s="103"/>
      <c r="C597" s="103">
        <v>42739</v>
      </c>
      <c r="D597" s="104">
        <v>5339</v>
      </c>
      <c r="E597" s="105"/>
      <c r="F597" s="105" t="s">
        <v>3514</v>
      </c>
      <c r="G597" s="110" t="s">
        <v>3515</v>
      </c>
      <c r="H597" s="93">
        <v>300</v>
      </c>
      <c r="I597" s="93"/>
      <c r="J597" s="131">
        <f>+J595+H597-I597</f>
        <v>11747.899999999994</v>
      </c>
    </row>
    <row r="598" spans="2:10" x14ac:dyDescent="0.2">
      <c r="B598" s="103"/>
      <c r="C598" s="103">
        <v>42739</v>
      </c>
      <c r="D598" s="104"/>
      <c r="E598" s="105"/>
      <c r="F598" s="105" t="s">
        <v>1536</v>
      </c>
      <c r="G598" s="110" t="s">
        <v>1537</v>
      </c>
      <c r="H598" s="93">
        <v>0.46</v>
      </c>
      <c r="I598" s="93"/>
      <c r="J598" s="131">
        <f>+J597+H598-I598</f>
        <v>11748.359999999993</v>
      </c>
    </row>
    <row r="599" spans="2:10" x14ac:dyDescent="0.2">
      <c r="B599" s="103"/>
      <c r="C599" s="103">
        <v>42744</v>
      </c>
      <c r="D599" s="104">
        <v>3935</v>
      </c>
      <c r="E599" s="105"/>
      <c r="F599" s="105" t="s">
        <v>3520</v>
      </c>
      <c r="G599" s="110" t="s">
        <v>208</v>
      </c>
      <c r="H599" s="93">
        <v>1200</v>
      </c>
      <c r="I599" s="93"/>
      <c r="J599" s="131">
        <f>+J598+H599-I599</f>
        <v>12948.359999999993</v>
      </c>
    </row>
    <row r="600" spans="2:10" x14ac:dyDescent="0.2">
      <c r="B600" s="103"/>
      <c r="C600" s="103">
        <v>42744</v>
      </c>
      <c r="D600" s="104"/>
      <c r="E600" s="105"/>
      <c r="F600" s="105" t="s">
        <v>1536</v>
      </c>
      <c r="G600" s="110" t="s">
        <v>1537</v>
      </c>
      <c r="H600" s="93">
        <v>0.28999999999999998</v>
      </c>
      <c r="I600" s="93"/>
      <c r="J600" s="131">
        <f>+J599+H600-I600</f>
        <v>12948.649999999994</v>
      </c>
    </row>
    <row r="601" spans="2:10" x14ac:dyDescent="0.2">
      <c r="B601" s="103"/>
      <c r="C601" s="103">
        <v>42754</v>
      </c>
      <c r="D601" s="104">
        <v>68</v>
      </c>
      <c r="E601" s="105"/>
      <c r="F601" s="105" t="s">
        <v>3516</v>
      </c>
      <c r="G601" s="110" t="s">
        <v>1805</v>
      </c>
      <c r="H601" s="93"/>
      <c r="I601" s="93">
        <v>1224</v>
      </c>
      <c r="J601" s="131">
        <f>+J600+H601-I601</f>
        <v>11724.649999999994</v>
      </c>
    </row>
    <row r="602" spans="2:10" x14ac:dyDescent="0.2">
      <c r="B602" s="103"/>
      <c r="C602" s="103">
        <v>42754</v>
      </c>
      <c r="D602" s="104">
        <v>69</v>
      </c>
      <c r="E602" s="105"/>
      <c r="F602" s="105" t="s">
        <v>3521</v>
      </c>
      <c r="G602" s="110" t="s">
        <v>1790</v>
      </c>
      <c r="H602" s="93"/>
      <c r="I602" s="93">
        <v>1760</v>
      </c>
      <c r="J602" s="131">
        <f t="shared" ref="J602:J609" si="30">+J601+H602-I602</f>
        <v>9964.6499999999942</v>
      </c>
    </row>
    <row r="603" spans="2:10" x14ac:dyDescent="0.2">
      <c r="B603" s="103"/>
      <c r="C603" s="103">
        <v>42755</v>
      </c>
      <c r="D603" s="104"/>
      <c r="E603" s="105"/>
      <c r="F603" s="105" t="s">
        <v>3517</v>
      </c>
      <c r="G603" s="110" t="s">
        <v>806</v>
      </c>
      <c r="H603" s="93">
        <v>11000</v>
      </c>
      <c r="I603" s="93"/>
      <c r="J603" s="131">
        <f t="shared" si="30"/>
        <v>20964.649999999994</v>
      </c>
    </row>
    <row r="604" spans="2:10" x14ac:dyDescent="0.2">
      <c r="B604" s="103"/>
      <c r="C604" s="103">
        <v>42755</v>
      </c>
      <c r="D604" s="104"/>
      <c r="E604" s="105"/>
      <c r="F604" s="105" t="s">
        <v>3518</v>
      </c>
      <c r="G604" s="110" t="s">
        <v>1537</v>
      </c>
      <c r="H604" s="93">
        <v>1760</v>
      </c>
      <c r="I604" s="93"/>
      <c r="J604" s="131">
        <f t="shared" si="30"/>
        <v>22724.649999999994</v>
      </c>
    </row>
    <row r="605" spans="2:10" x14ac:dyDescent="0.2">
      <c r="B605" s="103"/>
      <c r="C605" s="103">
        <v>42760</v>
      </c>
      <c r="D605" s="104">
        <v>67</v>
      </c>
      <c r="E605" s="105"/>
      <c r="F605" s="105" t="s">
        <v>3189</v>
      </c>
      <c r="G605" s="110" t="s">
        <v>1821</v>
      </c>
      <c r="H605" s="93"/>
      <c r="I605" s="93">
        <v>3300</v>
      </c>
      <c r="J605" s="131">
        <f t="shared" si="30"/>
        <v>19424.649999999994</v>
      </c>
    </row>
    <row r="606" spans="2:10" x14ac:dyDescent="0.2">
      <c r="B606" s="103"/>
      <c r="C606" s="103">
        <v>42765</v>
      </c>
      <c r="D606" s="104">
        <v>3077</v>
      </c>
      <c r="E606" s="105"/>
      <c r="F606" s="105" t="s">
        <v>3522</v>
      </c>
      <c r="G606" s="110" t="s">
        <v>571</v>
      </c>
      <c r="H606" s="93">
        <v>400</v>
      </c>
      <c r="I606" s="93"/>
      <c r="J606" s="131">
        <f t="shared" si="30"/>
        <v>19824.649999999994</v>
      </c>
    </row>
    <row r="607" spans="2:10" x14ac:dyDescent="0.2">
      <c r="B607" s="103"/>
      <c r="C607" s="103">
        <v>42765</v>
      </c>
      <c r="D607" s="104"/>
      <c r="E607" s="105"/>
      <c r="F607" s="105" t="s">
        <v>1536</v>
      </c>
      <c r="G607" s="110" t="s">
        <v>1537</v>
      </c>
      <c r="H607" s="93">
        <v>0.15</v>
      </c>
      <c r="I607" s="93"/>
      <c r="J607" s="131">
        <f t="shared" si="30"/>
        <v>19824.799999999996</v>
      </c>
    </row>
    <row r="608" spans="2:10" x14ac:dyDescent="0.2">
      <c r="B608" s="103"/>
      <c r="C608" s="103">
        <v>42766</v>
      </c>
      <c r="D608" s="104"/>
      <c r="E608" s="105"/>
      <c r="F608" s="105" t="s">
        <v>3195</v>
      </c>
      <c r="G608" s="110" t="s">
        <v>1537</v>
      </c>
      <c r="H608" s="93"/>
      <c r="I608" s="93">
        <v>42</v>
      </c>
      <c r="J608" s="131">
        <f t="shared" si="30"/>
        <v>19782.799999999996</v>
      </c>
    </row>
    <row r="609" spans="2:10" x14ac:dyDescent="0.2">
      <c r="B609" s="103"/>
      <c r="C609" s="103">
        <v>42766</v>
      </c>
      <c r="D609" s="104"/>
      <c r="E609" s="105"/>
      <c r="F609" s="105" t="s">
        <v>3519</v>
      </c>
      <c r="G609" s="110" t="s">
        <v>1790</v>
      </c>
      <c r="H609" s="93"/>
      <c r="I609" s="93">
        <v>6.72</v>
      </c>
      <c r="J609" s="131">
        <f t="shared" si="30"/>
        <v>19776.079999999994</v>
      </c>
    </row>
    <row r="610" spans="2:10" ht="25.5" x14ac:dyDescent="0.2">
      <c r="B610" s="94" t="s">
        <v>1525</v>
      </c>
      <c r="C610" s="94" t="s">
        <v>1526</v>
      </c>
      <c r="D610" s="95" t="s">
        <v>1527</v>
      </c>
      <c r="E610" s="149"/>
      <c r="F610" s="363" t="s">
        <v>1529</v>
      </c>
      <c r="G610" s="3" t="s">
        <v>3</v>
      </c>
      <c r="H610" s="96" t="s">
        <v>1530</v>
      </c>
      <c r="I610" s="96" t="s">
        <v>1531</v>
      </c>
      <c r="J610" s="96" t="s">
        <v>1532</v>
      </c>
    </row>
    <row r="611" spans="2:10" x14ac:dyDescent="0.2">
      <c r="B611" s="103"/>
      <c r="C611" s="103">
        <v>42770</v>
      </c>
      <c r="D611" s="104">
        <v>5339</v>
      </c>
      <c r="E611" s="105"/>
      <c r="F611" s="105" t="s">
        <v>3823</v>
      </c>
      <c r="G611" s="110" t="s">
        <v>3515</v>
      </c>
      <c r="H611" s="93">
        <v>300</v>
      </c>
      <c r="I611" s="93"/>
      <c r="J611" s="131">
        <f>+J609+H611-I611</f>
        <v>20076.079999999994</v>
      </c>
    </row>
    <row r="612" spans="2:10" x14ac:dyDescent="0.2">
      <c r="B612" s="103"/>
      <c r="C612" s="103">
        <v>42770</v>
      </c>
      <c r="D612" s="104"/>
      <c r="E612" s="105"/>
      <c r="F612" s="105" t="s">
        <v>1536</v>
      </c>
      <c r="G612" s="110" t="s">
        <v>1537</v>
      </c>
      <c r="H612" s="93">
        <v>0.46</v>
      </c>
      <c r="I612" s="93"/>
      <c r="J612" s="131">
        <f>+J611+H612-I612</f>
        <v>20076.539999999994</v>
      </c>
    </row>
    <row r="613" spans="2:10" x14ac:dyDescent="0.2">
      <c r="B613" s="103"/>
      <c r="C613" s="103">
        <v>42775</v>
      </c>
      <c r="D613" s="104">
        <v>3539</v>
      </c>
      <c r="E613" s="105"/>
      <c r="F613" s="105" t="s">
        <v>3745</v>
      </c>
      <c r="G613" s="110" t="s">
        <v>208</v>
      </c>
      <c r="H613" s="93">
        <v>1200</v>
      </c>
      <c r="I613" s="93"/>
      <c r="J613" s="131">
        <f>+J612+H613-I613</f>
        <v>21276.539999999994</v>
      </c>
    </row>
    <row r="614" spans="2:10" x14ac:dyDescent="0.2">
      <c r="B614" s="103"/>
      <c r="C614" s="103">
        <v>42775</v>
      </c>
      <c r="D614" s="104"/>
      <c r="E614" s="105"/>
      <c r="F614" s="105" t="s">
        <v>1536</v>
      </c>
      <c r="G614" s="110" t="s">
        <v>1537</v>
      </c>
      <c r="H614" s="93">
        <v>0.28999999999999998</v>
      </c>
      <c r="I614" s="93"/>
      <c r="J614" s="131">
        <f t="shared" ref="J614:J628" si="31">+J613+H614-I614</f>
        <v>21276.829999999994</v>
      </c>
    </row>
    <row r="615" spans="2:10" x14ac:dyDescent="0.2">
      <c r="B615" s="103"/>
      <c r="C615" s="103">
        <v>42787</v>
      </c>
      <c r="D615" s="104">
        <v>70</v>
      </c>
      <c r="E615" s="105"/>
      <c r="F615" s="105" t="s">
        <v>3746</v>
      </c>
      <c r="G615" s="110" t="s">
        <v>1805</v>
      </c>
      <c r="H615" s="93"/>
      <c r="I615" s="93">
        <v>1300</v>
      </c>
      <c r="J615" s="131">
        <f t="shared" si="31"/>
        <v>19976.829999999994</v>
      </c>
    </row>
    <row r="616" spans="2:10" x14ac:dyDescent="0.2">
      <c r="B616" s="103"/>
      <c r="C616" s="103">
        <v>42787</v>
      </c>
      <c r="D616" s="104">
        <v>71</v>
      </c>
      <c r="E616" s="105"/>
      <c r="F616" s="105" t="s">
        <v>3827</v>
      </c>
      <c r="G616" s="110" t="s">
        <v>1790</v>
      </c>
      <c r="H616" s="93"/>
      <c r="I616" s="93">
        <v>1760</v>
      </c>
      <c r="J616" s="131">
        <f t="shared" si="31"/>
        <v>18216.829999999994</v>
      </c>
    </row>
    <row r="617" spans="2:10" x14ac:dyDescent="0.2">
      <c r="B617" s="103"/>
      <c r="C617" s="103">
        <v>42793</v>
      </c>
      <c r="D617" s="104">
        <v>8368</v>
      </c>
      <c r="E617" s="105"/>
      <c r="F617" s="105" t="s">
        <v>3747</v>
      </c>
      <c r="G617" s="110" t="s">
        <v>806</v>
      </c>
      <c r="H617" s="93">
        <v>11000</v>
      </c>
      <c r="I617" s="93"/>
      <c r="J617" s="131">
        <f t="shared" si="31"/>
        <v>29216.829999999994</v>
      </c>
    </row>
    <row r="618" spans="2:10" x14ac:dyDescent="0.2">
      <c r="B618" s="103"/>
      <c r="C618" s="103">
        <v>42793</v>
      </c>
      <c r="D618" s="104"/>
      <c r="E618" s="105"/>
      <c r="F618" s="105" t="s">
        <v>1596</v>
      </c>
      <c r="G618" s="110" t="s">
        <v>1537</v>
      </c>
      <c r="H618" s="93">
        <v>1760</v>
      </c>
      <c r="I618" s="93"/>
      <c r="J618" s="131">
        <f t="shared" si="31"/>
        <v>30976.829999999994</v>
      </c>
    </row>
    <row r="619" spans="2:10" x14ac:dyDescent="0.2">
      <c r="B619" s="103"/>
      <c r="C619" s="103">
        <v>42794</v>
      </c>
      <c r="D619" s="104"/>
      <c r="E619" s="105"/>
      <c r="F619" s="105" t="s">
        <v>3195</v>
      </c>
      <c r="G619" s="110" t="s">
        <v>1537</v>
      </c>
      <c r="H619" s="93"/>
      <c r="I619" s="93">
        <v>28</v>
      </c>
      <c r="J619" s="131">
        <f t="shared" si="31"/>
        <v>30948.829999999994</v>
      </c>
    </row>
    <row r="620" spans="2:10" x14ac:dyDescent="0.2">
      <c r="B620" s="103"/>
      <c r="C620" s="103">
        <v>42794</v>
      </c>
      <c r="D620" s="104"/>
      <c r="E620" s="105"/>
      <c r="F620" s="105" t="s">
        <v>3519</v>
      </c>
      <c r="G620" s="110" t="s">
        <v>1790</v>
      </c>
      <c r="H620" s="93"/>
      <c r="I620" s="93">
        <v>4.4800000000000004</v>
      </c>
      <c r="J620" s="131">
        <f t="shared" si="31"/>
        <v>30944.349999999995</v>
      </c>
    </row>
    <row r="621" spans="2:10" ht="25.5" x14ac:dyDescent="0.2">
      <c r="B621" s="94" t="s">
        <v>1525</v>
      </c>
      <c r="C621" s="94" t="s">
        <v>1526</v>
      </c>
      <c r="D621" s="95" t="s">
        <v>1527</v>
      </c>
      <c r="E621" s="149"/>
      <c r="F621" s="370" t="s">
        <v>1529</v>
      </c>
      <c r="G621" s="3" t="s">
        <v>3</v>
      </c>
      <c r="H621" s="96" t="s">
        <v>1530</v>
      </c>
      <c r="I621" s="96" t="s">
        <v>1531</v>
      </c>
      <c r="J621" s="96" t="s">
        <v>1532</v>
      </c>
    </row>
    <row r="622" spans="2:10" x14ac:dyDescent="0.2">
      <c r="B622" s="103"/>
      <c r="C622" s="103">
        <v>42801</v>
      </c>
      <c r="D622" s="104">
        <v>317</v>
      </c>
      <c r="E622" s="105"/>
      <c r="F622" s="105" t="s">
        <v>3822</v>
      </c>
      <c r="G622" s="110" t="s">
        <v>211</v>
      </c>
      <c r="H622" s="93">
        <v>300</v>
      </c>
      <c r="I622" s="93"/>
      <c r="J622" s="131">
        <f>+J620+H622-I622</f>
        <v>31244.349999999995</v>
      </c>
    </row>
    <row r="623" spans="2:10" x14ac:dyDescent="0.2">
      <c r="B623" s="103"/>
      <c r="C623" s="103">
        <v>42801</v>
      </c>
      <c r="D623" s="104"/>
      <c r="E623" s="105"/>
      <c r="F623" s="105" t="s">
        <v>1536</v>
      </c>
      <c r="G623" s="110" t="s">
        <v>1537</v>
      </c>
      <c r="H623" s="93">
        <v>0.46</v>
      </c>
      <c r="I623" s="93"/>
      <c r="J623" s="131">
        <f t="shared" si="31"/>
        <v>31244.809999999994</v>
      </c>
    </row>
    <row r="624" spans="2:10" x14ac:dyDescent="0.2">
      <c r="B624" s="103"/>
      <c r="C624" s="103">
        <v>42803</v>
      </c>
      <c r="D624" s="104">
        <v>3935</v>
      </c>
      <c r="E624" s="105"/>
      <c r="F624" s="105" t="s">
        <v>3824</v>
      </c>
      <c r="G624" s="110" t="s">
        <v>208</v>
      </c>
      <c r="H624" s="93">
        <v>1200</v>
      </c>
      <c r="I624" s="93"/>
      <c r="J624" s="131">
        <f t="shared" si="31"/>
        <v>32444.809999999994</v>
      </c>
    </row>
    <row r="625" spans="2:10" x14ac:dyDescent="0.2">
      <c r="B625" s="103"/>
      <c r="C625" s="103">
        <v>42803</v>
      </c>
      <c r="D625" s="104"/>
      <c r="E625" s="105"/>
      <c r="F625" s="105" t="s">
        <v>1536</v>
      </c>
      <c r="G625" s="110" t="s">
        <v>1537</v>
      </c>
      <c r="H625" s="93">
        <v>0.28999999999999998</v>
      </c>
      <c r="I625" s="93"/>
      <c r="J625" s="131">
        <f t="shared" si="31"/>
        <v>32445.099999999995</v>
      </c>
    </row>
    <row r="626" spans="2:10" x14ac:dyDescent="0.2">
      <c r="B626" s="103"/>
      <c r="C626" s="103">
        <v>42804</v>
      </c>
      <c r="D626" s="104">
        <v>6971</v>
      </c>
      <c r="E626" s="105"/>
      <c r="F626" s="105" t="s">
        <v>3825</v>
      </c>
      <c r="G626" s="110" t="s">
        <v>571</v>
      </c>
      <c r="H626" s="93">
        <v>200</v>
      </c>
      <c r="I626" s="93"/>
      <c r="J626" s="131">
        <f t="shared" si="31"/>
        <v>32645.099999999995</v>
      </c>
    </row>
    <row r="627" spans="2:10" x14ac:dyDescent="0.2">
      <c r="B627" s="103"/>
      <c r="C627" s="103">
        <v>42804</v>
      </c>
      <c r="D627" s="104"/>
      <c r="E627" s="105"/>
      <c r="F627" s="105" t="s">
        <v>1536</v>
      </c>
      <c r="G627" s="110" t="s">
        <v>1537</v>
      </c>
      <c r="H627" s="93">
        <v>0.15</v>
      </c>
      <c r="I627" s="93"/>
      <c r="J627" s="131">
        <f t="shared" si="31"/>
        <v>32645.249999999996</v>
      </c>
    </row>
    <row r="628" spans="2:10" x14ac:dyDescent="0.2">
      <c r="B628" s="103"/>
      <c r="C628" s="103">
        <v>42816</v>
      </c>
      <c r="D628" s="104">
        <v>71</v>
      </c>
      <c r="E628" s="105"/>
      <c r="F628" s="105" t="s">
        <v>1848</v>
      </c>
      <c r="G628" s="110" t="s">
        <v>1863</v>
      </c>
      <c r="H628" s="93"/>
      <c r="I628" s="93">
        <v>4125</v>
      </c>
      <c r="J628" s="131">
        <f t="shared" si="31"/>
        <v>28520.249999999996</v>
      </c>
    </row>
    <row r="629" spans="2:10" x14ac:dyDescent="0.2">
      <c r="B629" s="103"/>
      <c r="C629" s="103">
        <v>42817</v>
      </c>
      <c r="D629" s="104">
        <v>73</v>
      </c>
      <c r="E629" s="105"/>
      <c r="F629" s="105" t="s">
        <v>3828</v>
      </c>
      <c r="G629" s="110" t="s">
        <v>1805</v>
      </c>
      <c r="H629" s="93"/>
      <c r="I629" s="93">
        <v>1300</v>
      </c>
      <c r="J629" s="131">
        <f t="shared" ref="J629:J640" si="32">+J628+H629-I629</f>
        <v>27220.249999999996</v>
      </c>
    </row>
    <row r="630" spans="2:10" x14ac:dyDescent="0.2">
      <c r="B630" s="103"/>
      <c r="C630" s="103">
        <v>42817</v>
      </c>
      <c r="D630" s="104">
        <v>72</v>
      </c>
      <c r="E630" s="105"/>
      <c r="F630" s="105" t="s">
        <v>3826</v>
      </c>
      <c r="G630" s="110" t="s">
        <v>1790</v>
      </c>
      <c r="H630" s="93"/>
      <c r="I630" s="93">
        <v>1760</v>
      </c>
      <c r="J630" s="131">
        <f t="shared" si="32"/>
        <v>25460.249999999996</v>
      </c>
    </row>
    <row r="631" spans="2:10" x14ac:dyDescent="0.2">
      <c r="B631" s="103"/>
      <c r="C631" s="103">
        <v>42817</v>
      </c>
      <c r="D631" s="104">
        <v>8386</v>
      </c>
      <c r="E631" s="105"/>
      <c r="F631" s="105" t="s">
        <v>3987</v>
      </c>
      <c r="G631" s="110" t="s">
        <v>806</v>
      </c>
      <c r="H631" s="93">
        <v>11000</v>
      </c>
      <c r="I631" s="93"/>
      <c r="J631" s="131">
        <f t="shared" si="32"/>
        <v>36460.25</v>
      </c>
    </row>
    <row r="632" spans="2:10" x14ac:dyDescent="0.2">
      <c r="B632" s="103"/>
      <c r="C632" s="103">
        <v>42817</v>
      </c>
      <c r="D632" s="104"/>
      <c r="E632" s="105"/>
      <c r="F632" s="105" t="s">
        <v>1596</v>
      </c>
      <c r="G632" s="110" t="s">
        <v>1537</v>
      </c>
      <c r="H632" s="93">
        <v>1760</v>
      </c>
      <c r="I632" s="93"/>
      <c r="J632" s="131">
        <f t="shared" si="32"/>
        <v>38220.25</v>
      </c>
    </row>
    <row r="633" spans="2:10" x14ac:dyDescent="0.2">
      <c r="B633" s="103"/>
      <c r="C633" s="103">
        <v>42825</v>
      </c>
      <c r="D633" s="104"/>
      <c r="E633" s="105"/>
      <c r="F633" s="105" t="s">
        <v>3195</v>
      </c>
      <c r="G633" s="110" t="s">
        <v>1537</v>
      </c>
      <c r="H633" s="93"/>
      <c r="I633" s="93">
        <v>42</v>
      </c>
      <c r="J633" s="131">
        <f t="shared" si="32"/>
        <v>38178.25</v>
      </c>
    </row>
    <row r="634" spans="2:10" x14ac:dyDescent="0.2">
      <c r="B634" s="103"/>
      <c r="C634" s="103">
        <v>42825</v>
      </c>
      <c r="D634" s="104"/>
      <c r="E634" s="105"/>
      <c r="F634" s="105" t="s">
        <v>1841</v>
      </c>
      <c r="G634" s="110" t="s">
        <v>1790</v>
      </c>
      <c r="H634" s="93"/>
      <c r="I634" s="93">
        <v>6.72</v>
      </c>
      <c r="J634" s="131">
        <f t="shared" si="32"/>
        <v>38171.53</v>
      </c>
    </row>
    <row r="635" spans="2:10" ht="25.5" x14ac:dyDescent="0.2">
      <c r="B635" s="94" t="s">
        <v>1525</v>
      </c>
      <c r="C635" s="94" t="s">
        <v>1526</v>
      </c>
      <c r="D635" s="95" t="s">
        <v>1527</v>
      </c>
      <c r="E635" s="149"/>
      <c r="F635" s="372" t="s">
        <v>1529</v>
      </c>
      <c r="G635" s="3" t="s">
        <v>3</v>
      </c>
      <c r="H635" s="96" t="s">
        <v>1530</v>
      </c>
      <c r="I635" s="96" t="s">
        <v>1531</v>
      </c>
      <c r="J635" s="96" t="s">
        <v>1532</v>
      </c>
    </row>
    <row r="636" spans="2:10" x14ac:dyDescent="0.2">
      <c r="B636" s="103"/>
      <c r="C636" s="103">
        <v>42832</v>
      </c>
      <c r="D636" s="104">
        <v>5033</v>
      </c>
      <c r="E636" s="105"/>
      <c r="F636" s="105" t="s">
        <v>3983</v>
      </c>
      <c r="G636" s="110" t="s">
        <v>3515</v>
      </c>
      <c r="H636" s="93">
        <v>300</v>
      </c>
      <c r="I636" s="93"/>
      <c r="J636" s="131">
        <f>+J634+H636-I636</f>
        <v>38471.53</v>
      </c>
    </row>
    <row r="637" spans="2:10" x14ac:dyDescent="0.2">
      <c r="B637" s="103"/>
      <c r="C637" s="103">
        <v>42832</v>
      </c>
      <c r="D637" s="104"/>
      <c r="E637" s="105"/>
      <c r="F637" s="105" t="s">
        <v>1536</v>
      </c>
      <c r="G637" s="110" t="s">
        <v>1537</v>
      </c>
      <c r="H637" s="93">
        <v>0.46</v>
      </c>
      <c r="I637" s="93"/>
      <c r="J637" s="131">
        <f t="shared" si="32"/>
        <v>38471.99</v>
      </c>
    </row>
    <row r="638" spans="2:10" x14ac:dyDescent="0.2">
      <c r="B638" s="103"/>
      <c r="C638" s="103">
        <v>42832</v>
      </c>
      <c r="D638" s="104">
        <v>3595</v>
      </c>
      <c r="E638" s="105"/>
      <c r="F638" s="105" t="s">
        <v>3984</v>
      </c>
      <c r="G638" s="110" t="s">
        <v>208</v>
      </c>
      <c r="H638" s="93">
        <v>400</v>
      </c>
      <c r="I638" s="93"/>
      <c r="J638" s="131">
        <f t="shared" si="32"/>
        <v>38871.99</v>
      </c>
    </row>
    <row r="639" spans="2:10" x14ac:dyDescent="0.2">
      <c r="B639" s="103"/>
      <c r="C639" s="103">
        <v>42832</v>
      </c>
      <c r="D639" s="104"/>
      <c r="E639" s="105"/>
      <c r="F639" s="105" t="s">
        <v>1536</v>
      </c>
      <c r="G639" s="110" t="s">
        <v>1537</v>
      </c>
      <c r="H639" s="93">
        <v>0.28999999999999998</v>
      </c>
      <c r="I639" s="93"/>
      <c r="J639" s="131">
        <f t="shared" si="32"/>
        <v>38872.28</v>
      </c>
    </row>
    <row r="640" spans="2:10" x14ac:dyDescent="0.2">
      <c r="B640" s="103"/>
      <c r="C640" s="103">
        <v>42832</v>
      </c>
      <c r="D640" s="104">
        <v>74</v>
      </c>
      <c r="E640" s="105"/>
      <c r="F640" s="105" t="s">
        <v>3189</v>
      </c>
      <c r="G640" s="110" t="s">
        <v>1821</v>
      </c>
      <c r="H640" s="93"/>
      <c r="I640" s="93">
        <v>3300</v>
      </c>
      <c r="J640" s="131">
        <f t="shared" si="32"/>
        <v>35572.28</v>
      </c>
    </row>
    <row r="641" spans="2:10" x14ac:dyDescent="0.2">
      <c r="B641" s="103"/>
      <c r="C641" s="103">
        <v>42836</v>
      </c>
      <c r="D641" s="104">
        <v>80</v>
      </c>
      <c r="E641" s="105"/>
      <c r="F641" s="105" t="s">
        <v>3985</v>
      </c>
      <c r="G641" s="110" t="s">
        <v>1790</v>
      </c>
      <c r="H641" s="93"/>
      <c r="I641" s="93">
        <v>1760</v>
      </c>
      <c r="J641" s="131">
        <f t="shared" ref="J641:J647" si="33">+J640+H641-I641</f>
        <v>33812.28</v>
      </c>
    </row>
    <row r="642" spans="2:10" x14ac:dyDescent="0.2">
      <c r="B642" s="103"/>
      <c r="C642" s="103">
        <v>42836</v>
      </c>
      <c r="D642" s="104">
        <v>81</v>
      </c>
      <c r="E642" s="105"/>
      <c r="F642" s="105" t="s">
        <v>3986</v>
      </c>
      <c r="G642" s="110" t="s">
        <v>1805</v>
      </c>
      <c r="H642" s="93"/>
      <c r="I642" s="93">
        <v>1300</v>
      </c>
      <c r="J642" s="131">
        <f t="shared" si="33"/>
        <v>32512.28</v>
      </c>
    </row>
    <row r="643" spans="2:10" x14ac:dyDescent="0.2">
      <c r="B643" s="103"/>
      <c r="C643" s="103">
        <v>42849</v>
      </c>
      <c r="D643" s="104">
        <v>8413</v>
      </c>
      <c r="E643" s="105"/>
      <c r="F643" s="105" t="s">
        <v>3988</v>
      </c>
      <c r="G643" s="110" t="s">
        <v>806</v>
      </c>
      <c r="H643" s="93">
        <v>11000</v>
      </c>
      <c r="I643" s="93"/>
      <c r="J643" s="131">
        <f t="shared" si="33"/>
        <v>43512.28</v>
      </c>
    </row>
    <row r="644" spans="2:10" x14ac:dyDescent="0.2">
      <c r="B644" s="103"/>
      <c r="C644" s="103">
        <v>42849</v>
      </c>
      <c r="D644" s="104"/>
      <c r="E644" s="105"/>
      <c r="F644" s="105" t="s">
        <v>1596</v>
      </c>
      <c r="G644" s="110" t="s">
        <v>1537</v>
      </c>
      <c r="H644" s="93">
        <v>1760</v>
      </c>
      <c r="I644" s="93"/>
      <c r="J644" s="131">
        <f t="shared" si="33"/>
        <v>45272.28</v>
      </c>
    </row>
    <row r="645" spans="2:10" x14ac:dyDescent="0.2">
      <c r="B645" s="103"/>
      <c r="C645" s="103">
        <v>42852</v>
      </c>
      <c r="D645" s="104">
        <v>75</v>
      </c>
      <c r="E645" s="105"/>
      <c r="F645" s="105" t="s">
        <v>3990</v>
      </c>
      <c r="G645" s="110" t="s">
        <v>1577</v>
      </c>
      <c r="H645" s="93"/>
      <c r="I645" s="93">
        <v>10000</v>
      </c>
      <c r="J645" s="131">
        <f t="shared" si="33"/>
        <v>35272.28</v>
      </c>
    </row>
    <row r="646" spans="2:10" x14ac:dyDescent="0.2">
      <c r="B646" s="103"/>
      <c r="C646" s="103">
        <v>42853</v>
      </c>
      <c r="D646" s="104"/>
      <c r="E646" s="105"/>
      <c r="F646" s="105" t="s">
        <v>3989</v>
      </c>
      <c r="G646" s="110" t="s">
        <v>1537</v>
      </c>
      <c r="H646" s="93"/>
      <c r="I646" s="93">
        <v>56</v>
      </c>
      <c r="J646" s="131">
        <f t="shared" si="33"/>
        <v>35216.28</v>
      </c>
    </row>
    <row r="647" spans="2:10" x14ac:dyDescent="0.2">
      <c r="B647" s="103"/>
      <c r="C647" s="103">
        <v>42853</v>
      </c>
      <c r="D647" s="104"/>
      <c r="E647" s="105"/>
      <c r="F647" s="105" t="s">
        <v>3519</v>
      </c>
      <c r="G647" s="110" t="s">
        <v>1790</v>
      </c>
      <c r="H647" s="93"/>
      <c r="I647" s="93">
        <v>8.9600000000000009</v>
      </c>
      <c r="J647" s="131">
        <f t="shared" si="33"/>
        <v>35207.32</v>
      </c>
    </row>
    <row r="648" spans="2:10" ht="25.5" x14ac:dyDescent="0.2">
      <c r="B648" s="94" t="s">
        <v>1525</v>
      </c>
      <c r="C648" s="94" t="s">
        <v>1526</v>
      </c>
      <c r="D648" s="95" t="s">
        <v>1527</v>
      </c>
      <c r="E648" s="149"/>
      <c r="F648" s="376" t="s">
        <v>1529</v>
      </c>
      <c r="G648" s="3" t="s">
        <v>3</v>
      </c>
      <c r="H648" s="96" t="s">
        <v>1530</v>
      </c>
      <c r="I648" s="96" t="s">
        <v>1531</v>
      </c>
      <c r="J648" s="96" t="s">
        <v>1532</v>
      </c>
    </row>
    <row r="649" spans="2:10" x14ac:dyDescent="0.2">
      <c r="B649" s="103"/>
      <c r="C649" s="103">
        <v>42860</v>
      </c>
      <c r="D649" s="104">
        <v>305</v>
      </c>
      <c r="E649" s="105"/>
      <c r="F649" s="105" t="s">
        <v>4298</v>
      </c>
      <c r="G649" s="110" t="s">
        <v>3515</v>
      </c>
      <c r="H649" s="93">
        <v>300</v>
      </c>
      <c r="I649" s="93"/>
      <c r="J649" s="131">
        <f>+J647+H649-I649</f>
        <v>35507.32</v>
      </c>
    </row>
    <row r="650" spans="2:10" x14ac:dyDescent="0.2">
      <c r="B650" s="103"/>
      <c r="C650" s="103">
        <v>42860</v>
      </c>
      <c r="D650" s="104"/>
      <c r="E650" s="105"/>
      <c r="F650" s="105" t="s">
        <v>1536</v>
      </c>
      <c r="G650" s="110" t="s">
        <v>1537</v>
      </c>
      <c r="H650" s="93">
        <v>0.46</v>
      </c>
      <c r="I650" s="93"/>
      <c r="J650" s="131">
        <f>+J649+H650-I650</f>
        <v>35507.78</v>
      </c>
    </row>
    <row r="651" spans="2:10" x14ac:dyDescent="0.2">
      <c r="B651" s="103"/>
      <c r="C651" s="103">
        <v>42864</v>
      </c>
      <c r="D651" s="104">
        <v>3842</v>
      </c>
      <c r="E651" s="105"/>
      <c r="F651" s="105" t="s">
        <v>4298</v>
      </c>
      <c r="G651" s="110" t="s">
        <v>208</v>
      </c>
      <c r="H651" s="93">
        <v>400</v>
      </c>
      <c r="I651" s="93"/>
      <c r="J651" s="131">
        <f>+J650+H651-I651</f>
        <v>35907.78</v>
      </c>
    </row>
    <row r="652" spans="2:10" x14ac:dyDescent="0.2">
      <c r="B652" s="103"/>
      <c r="C652" s="103">
        <v>42864</v>
      </c>
      <c r="D652" s="104"/>
      <c r="E652" s="105"/>
      <c r="F652" s="105" t="s">
        <v>1536</v>
      </c>
      <c r="G652" s="110" t="s">
        <v>1537</v>
      </c>
      <c r="H652" s="93">
        <v>0.28999999999999998</v>
      </c>
      <c r="I652" s="93"/>
      <c r="J652" s="131">
        <f>+J651+H652-I652</f>
        <v>35908.07</v>
      </c>
    </row>
    <row r="653" spans="2:10" x14ac:dyDescent="0.2">
      <c r="B653" s="103"/>
      <c r="C653" s="103">
        <v>42866</v>
      </c>
      <c r="D653" s="104">
        <v>76</v>
      </c>
      <c r="E653" s="105"/>
      <c r="F653" s="105" t="s">
        <v>4316</v>
      </c>
      <c r="G653" s="110" t="s">
        <v>1805</v>
      </c>
      <c r="H653" s="93"/>
      <c r="I653" s="93">
        <v>3060</v>
      </c>
      <c r="J653" s="131">
        <f>+J652+H653-I653</f>
        <v>32848.07</v>
      </c>
    </row>
    <row r="654" spans="2:10" x14ac:dyDescent="0.2">
      <c r="B654" s="103"/>
      <c r="C654" s="103">
        <v>42867</v>
      </c>
      <c r="D654" s="104">
        <v>8429</v>
      </c>
      <c r="E654" s="105"/>
      <c r="F654" s="105" t="s">
        <v>4299</v>
      </c>
      <c r="G654" s="110" t="s">
        <v>806</v>
      </c>
      <c r="H654" s="93">
        <v>11000</v>
      </c>
      <c r="I654" s="93"/>
      <c r="J654" s="131">
        <f>+J653+H654-I654</f>
        <v>43848.07</v>
      </c>
    </row>
    <row r="655" spans="2:10" x14ac:dyDescent="0.2">
      <c r="B655" s="103"/>
      <c r="C655" s="103">
        <v>42867</v>
      </c>
      <c r="D655" s="104"/>
      <c r="E655" s="105"/>
      <c r="F655" s="105" t="s">
        <v>1596</v>
      </c>
      <c r="G655" s="110" t="s">
        <v>1537</v>
      </c>
      <c r="H655" s="93">
        <v>1760</v>
      </c>
      <c r="I655" s="93"/>
      <c r="J655" s="131">
        <f t="shared" ref="J655:J666" si="34">+J654+H655-I655</f>
        <v>45608.07</v>
      </c>
    </row>
    <row r="656" spans="2:10" x14ac:dyDescent="0.2">
      <c r="B656" s="103"/>
      <c r="C656" s="103">
        <v>42886</v>
      </c>
      <c r="D656" s="104"/>
      <c r="E656" s="105"/>
      <c r="F656" s="105" t="s">
        <v>3989</v>
      </c>
      <c r="G656" s="110" t="s">
        <v>1537</v>
      </c>
      <c r="H656" s="93"/>
      <c r="I656" s="93">
        <v>14</v>
      </c>
      <c r="J656" s="131">
        <f t="shared" si="34"/>
        <v>45594.07</v>
      </c>
    </row>
    <row r="657" spans="2:10" x14ac:dyDescent="0.2">
      <c r="B657" s="103"/>
      <c r="C657" s="103">
        <v>42886</v>
      </c>
      <c r="D657" s="104"/>
      <c r="E657" s="105"/>
      <c r="F657" s="105" t="s">
        <v>3519</v>
      </c>
      <c r="G657" s="110" t="s">
        <v>1790</v>
      </c>
      <c r="H657" s="93"/>
      <c r="I657" s="93">
        <v>2.2400000000000002</v>
      </c>
      <c r="J657" s="131">
        <f t="shared" si="34"/>
        <v>45591.83</v>
      </c>
    </row>
    <row r="658" spans="2:10" ht="25.5" x14ac:dyDescent="0.2">
      <c r="B658" s="94" t="s">
        <v>1525</v>
      </c>
      <c r="C658" s="94" t="s">
        <v>1526</v>
      </c>
      <c r="D658" s="95" t="s">
        <v>1527</v>
      </c>
      <c r="E658" s="149"/>
      <c r="F658" s="381" t="s">
        <v>1529</v>
      </c>
      <c r="G658" s="3" t="s">
        <v>3</v>
      </c>
      <c r="H658" s="96" t="s">
        <v>1530</v>
      </c>
      <c r="I658" s="96" t="s">
        <v>1531</v>
      </c>
      <c r="J658" s="96" t="s">
        <v>1532</v>
      </c>
    </row>
    <row r="659" spans="2:10" x14ac:dyDescent="0.2">
      <c r="B659" s="103"/>
      <c r="C659" s="103">
        <v>42892</v>
      </c>
      <c r="D659" s="104">
        <v>617</v>
      </c>
      <c r="E659" s="105"/>
      <c r="F659" s="105" t="s">
        <v>4300</v>
      </c>
      <c r="G659" s="110" t="s">
        <v>3515</v>
      </c>
      <c r="H659" s="93">
        <v>300</v>
      </c>
      <c r="I659" s="93"/>
      <c r="J659" s="131">
        <f>+J657+H659-I659</f>
        <v>45891.83</v>
      </c>
    </row>
    <row r="660" spans="2:10" x14ac:dyDescent="0.2">
      <c r="B660" s="103"/>
      <c r="C660" s="103">
        <v>42892</v>
      </c>
      <c r="D660" s="104"/>
      <c r="E660" s="105"/>
      <c r="F660" s="105" t="s">
        <v>1536</v>
      </c>
      <c r="G660" s="110" t="s">
        <v>1537</v>
      </c>
      <c r="H660" s="93">
        <v>0.46</v>
      </c>
      <c r="I660" s="93"/>
      <c r="J660" s="131">
        <f t="shared" si="34"/>
        <v>45892.29</v>
      </c>
    </row>
    <row r="661" spans="2:10" x14ac:dyDescent="0.2">
      <c r="B661" s="103"/>
      <c r="C661" s="103">
        <v>42893</v>
      </c>
      <c r="D661" s="104">
        <v>77</v>
      </c>
      <c r="E661" s="105"/>
      <c r="F661" s="105" t="s">
        <v>4309</v>
      </c>
      <c r="G661" s="110" t="s">
        <v>1805</v>
      </c>
      <c r="H661" s="93"/>
      <c r="I661" s="93">
        <v>3060</v>
      </c>
      <c r="J661" s="131">
        <f t="shared" si="34"/>
        <v>42832.29</v>
      </c>
    </row>
    <row r="662" spans="2:10" x14ac:dyDescent="0.2">
      <c r="B662" s="103"/>
      <c r="C662" s="103">
        <v>42895</v>
      </c>
      <c r="D662" s="104"/>
      <c r="E662" s="105"/>
      <c r="F662" s="105" t="s">
        <v>4300</v>
      </c>
      <c r="G662" s="110" t="s">
        <v>208</v>
      </c>
      <c r="H662" s="93">
        <v>400</v>
      </c>
      <c r="I662" s="93"/>
      <c r="J662" s="131">
        <f t="shared" si="34"/>
        <v>43232.29</v>
      </c>
    </row>
    <row r="663" spans="2:10" x14ac:dyDescent="0.2">
      <c r="B663" s="103"/>
      <c r="C663" s="103">
        <v>42895</v>
      </c>
      <c r="D663" s="104"/>
      <c r="E663" s="105"/>
      <c r="F663" s="105" t="s">
        <v>1536</v>
      </c>
      <c r="G663" s="110" t="s">
        <v>1537</v>
      </c>
      <c r="H663" s="93">
        <v>0.28999999999999998</v>
      </c>
      <c r="I663" s="93"/>
      <c r="J663" s="131">
        <f t="shared" si="34"/>
        <v>43232.58</v>
      </c>
    </row>
    <row r="664" spans="2:10" x14ac:dyDescent="0.2">
      <c r="B664" s="103"/>
      <c r="C664" s="103">
        <v>42901</v>
      </c>
      <c r="D664" s="104">
        <v>78</v>
      </c>
      <c r="E664" s="105"/>
      <c r="F664" s="105" t="s">
        <v>4313</v>
      </c>
      <c r="G664" s="110" t="s">
        <v>1577</v>
      </c>
      <c r="H664" s="93"/>
      <c r="I664" s="93">
        <v>10000</v>
      </c>
      <c r="J664" s="131">
        <f t="shared" si="34"/>
        <v>33232.58</v>
      </c>
    </row>
    <row r="665" spans="2:10" x14ac:dyDescent="0.2">
      <c r="B665" s="103"/>
      <c r="C665" s="103">
        <v>42906</v>
      </c>
      <c r="D665" s="104">
        <v>8457</v>
      </c>
      <c r="E665" s="105"/>
      <c r="F665" s="105" t="s">
        <v>4301</v>
      </c>
      <c r="G665" s="110" t="s">
        <v>806</v>
      </c>
      <c r="H665" s="93">
        <v>11000</v>
      </c>
      <c r="I665" s="93"/>
      <c r="J665" s="131">
        <f t="shared" si="34"/>
        <v>44232.58</v>
      </c>
    </row>
    <row r="666" spans="2:10" x14ac:dyDescent="0.2">
      <c r="B666" s="103"/>
      <c r="C666" s="103">
        <v>42906</v>
      </c>
      <c r="D666" s="104"/>
      <c r="E666" s="105"/>
      <c r="F666" s="105" t="s">
        <v>1596</v>
      </c>
      <c r="G666" s="110" t="s">
        <v>1537</v>
      </c>
      <c r="H666" s="93">
        <v>1760</v>
      </c>
      <c r="I666" s="93"/>
      <c r="J666" s="131">
        <f t="shared" si="34"/>
        <v>45992.58</v>
      </c>
    </row>
    <row r="667" spans="2:10" x14ac:dyDescent="0.2">
      <c r="B667" s="103"/>
      <c r="C667" s="103">
        <v>42908</v>
      </c>
      <c r="D667" s="104">
        <v>82</v>
      </c>
      <c r="E667" s="105"/>
      <c r="F667" s="105" t="s">
        <v>4315</v>
      </c>
      <c r="G667" s="110" t="s">
        <v>1870</v>
      </c>
      <c r="H667" s="93"/>
      <c r="I667" s="93">
        <v>3000</v>
      </c>
      <c r="J667" s="131">
        <f t="shared" ref="J667:J669" si="35">+J666+H667-I667</f>
        <v>42992.58</v>
      </c>
    </row>
    <row r="668" spans="2:10" x14ac:dyDescent="0.2">
      <c r="B668" s="103"/>
      <c r="C668" s="103">
        <v>42916</v>
      </c>
      <c r="D668" s="104"/>
      <c r="E668" s="105"/>
      <c r="F668" s="105" t="s">
        <v>3989</v>
      </c>
      <c r="G668" s="110" t="s">
        <v>1537</v>
      </c>
      <c r="H668" s="93"/>
      <c r="I668" s="93">
        <v>42</v>
      </c>
      <c r="J668" s="131">
        <f t="shared" si="35"/>
        <v>42950.58</v>
      </c>
    </row>
    <row r="669" spans="2:10" x14ac:dyDescent="0.2">
      <c r="B669" s="103"/>
      <c r="C669" s="103">
        <v>42916</v>
      </c>
      <c r="D669" s="104"/>
      <c r="E669" s="105"/>
      <c r="F669" s="105" t="s">
        <v>3519</v>
      </c>
      <c r="G669" s="110" t="s">
        <v>1790</v>
      </c>
      <c r="H669" s="93"/>
      <c r="I669" s="93">
        <v>6.72</v>
      </c>
      <c r="J669" s="131">
        <f t="shared" si="35"/>
        <v>42943.86</v>
      </c>
    </row>
    <row r="670" spans="2:10" ht="25.5" x14ac:dyDescent="0.2">
      <c r="B670" s="94" t="s">
        <v>1525</v>
      </c>
      <c r="C670" s="94" t="s">
        <v>1526</v>
      </c>
      <c r="D670" s="95" t="s">
        <v>1527</v>
      </c>
      <c r="E670" s="149"/>
      <c r="F670" s="381" t="s">
        <v>1529</v>
      </c>
      <c r="G670" s="3" t="s">
        <v>3</v>
      </c>
      <c r="H670" s="96" t="s">
        <v>1530</v>
      </c>
      <c r="I670" s="96" t="s">
        <v>1531</v>
      </c>
      <c r="J670" s="96" t="s">
        <v>1532</v>
      </c>
    </row>
    <row r="671" spans="2:10" x14ac:dyDescent="0.2">
      <c r="B671" s="103"/>
      <c r="C671" s="103">
        <v>42921</v>
      </c>
      <c r="D671" s="104">
        <v>84</v>
      </c>
      <c r="E671" s="105"/>
      <c r="F671" s="105" t="s">
        <v>4306</v>
      </c>
      <c r="G671" s="110" t="s">
        <v>1577</v>
      </c>
      <c r="H671" s="93"/>
      <c r="I671" s="93">
        <v>10050</v>
      </c>
      <c r="J671" s="131">
        <f>+J669+H671-I671</f>
        <v>32893.86</v>
      </c>
    </row>
    <row r="672" spans="2:10" x14ac:dyDescent="0.2">
      <c r="B672" s="103"/>
      <c r="C672" s="103">
        <v>42923</v>
      </c>
      <c r="D672" s="104">
        <v>3842</v>
      </c>
      <c r="E672" s="105"/>
      <c r="F672" s="105" t="s">
        <v>4302</v>
      </c>
      <c r="G672" s="110" t="s">
        <v>208</v>
      </c>
      <c r="H672" s="93">
        <v>400</v>
      </c>
      <c r="I672" s="93"/>
      <c r="J672" s="131">
        <f t="shared" ref="J672:J673" si="36">+J671+H672-I672</f>
        <v>33293.86</v>
      </c>
    </row>
    <row r="673" spans="2:10" x14ac:dyDescent="0.2">
      <c r="B673" s="103"/>
      <c r="C673" s="103">
        <v>42923</v>
      </c>
      <c r="D673" s="104"/>
      <c r="E673" s="105"/>
      <c r="F673" s="105" t="s">
        <v>1536</v>
      </c>
      <c r="G673" s="110" t="s">
        <v>1537</v>
      </c>
      <c r="H673" s="93">
        <v>0.28999999999999998</v>
      </c>
      <c r="I673" s="93"/>
      <c r="J673" s="131">
        <f t="shared" si="36"/>
        <v>33294.15</v>
      </c>
    </row>
    <row r="674" spans="2:10" x14ac:dyDescent="0.2">
      <c r="B674" s="103"/>
      <c r="C674" s="103">
        <v>42923</v>
      </c>
      <c r="D674" s="104">
        <v>85</v>
      </c>
      <c r="E674" s="105"/>
      <c r="F674" s="105" t="s">
        <v>1838</v>
      </c>
      <c r="G674" s="110" t="s">
        <v>1860</v>
      </c>
      <c r="H674" s="93"/>
      <c r="I674" s="93">
        <v>900</v>
      </c>
      <c r="J674" s="131">
        <f t="shared" ref="J674:J678" si="37">+J673+H674-I674</f>
        <v>32394.15</v>
      </c>
    </row>
    <row r="675" spans="2:10" x14ac:dyDescent="0.2">
      <c r="B675" s="103"/>
      <c r="C675" s="103">
        <v>42923</v>
      </c>
      <c r="D675" s="104">
        <v>87</v>
      </c>
      <c r="E675" s="105"/>
      <c r="F675" s="105" t="s">
        <v>4307</v>
      </c>
      <c r="G675" s="110" t="s">
        <v>4308</v>
      </c>
      <c r="H675" s="93"/>
      <c r="I675" s="93">
        <v>2350</v>
      </c>
      <c r="J675" s="131">
        <f t="shared" si="37"/>
        <v>30044.15</v>
      </c>
    </row>
    <row r="676" spans="2:10" x14ac:dyDescent="0.2">
      <c r="B676" s="103"/>
      <c r="C676" s="103">
        <v>42927</v>
      </c>
      <c r="D676" s="104">
        <v>5339</v>
      </c>
      <c r="E676" s="105"/>
      <c r="F676" s="105" t="s">
        <v>4302</v>
      </c>
      <c r="G676" s="110" t="s">
        <v>3515</v>
      </c>
      <c r="H676" s="93">
        <v>300</v>
      </c>
      <c r="I676" s="93"/>
      <c r="J676" s="131">
        <f t="shared" si="37"/>
        <v>30344.15</v>
      </c>
    </row>
    <row r="677" spans="2:10" x14ac:dyDescent="0.2">
      <c r="B677" s="103"/>
      <c r="C677" s="103">
        <v>42927</v>
      </c>
      <c r="D677" s="104"/>
      <c r="E677" s="105"/>
      <c r="F677" s="105" t="s">
        <v>1536</v>
      </c>
      <c r="G677" s="110" t="s">
        <v>1537</v>
      </c>
      <c r="H677" s="93">
        <v>0.46</v>
      </c>
      <c r="I677" s="93"/>
      <c r="J677" s="131">
        <f t="shared" si="37"/>
        <v>30344.61</v>
      </c>
    </row>
    <row r="678" spans="2:10" x14ac:dyDescent="0.2">
      <c r="B678" s="103"/>
      <c r="C678" s="103">
        <v>42928</v>
      </c>
      <c r="D678" s="104">
        <v>86</v>
      </c>
      <c r="E678" s="105"/>
      <c r="F678" s="105" t="s">
        <v>4309</v>
      </c>
      <c r="G678" s="110" t="s">
        <v>1805</v>
      </c>
      <c r="H678" s="93"/>
      <c r="I678" s="93">
        <v>3060</v>
      </c>
      <c r="J678" s="131">
        <f t="shared" si="37"/>
        <v>27284.61</v>
      </c>
    </row>
    <row r="679" spans="2:10" x14ac:dyDescent="0.2">
      <c r="B679" s="103"/>
      <c r="C679" s="103">
        <v>42930</v>
      </c>
      <c r="D679" s="104">
        <v>88</v>
      </c>
      <c r="E679" s="105"/>
      <c r="F679" s="105" t="s">
        <v>4310</v>
      </c>
      <c r="G679" s="110" t="s">
        <v>1577</v>
      </c>
      <c r="H679" s="93"/>
      <c r="I679" s="93">
        <v>5000</v>
      </c>
      <c r="J679" s="131">
        <f t="shared" ref="J679:J681" si="38">+J678+H679-I679</f>
        <v>22284.61</v>
      </c>
    </row>
    <row r="680" spans="2:10" x14ac:dyDescent="0.2">
      <c r="B680" s="103"/>
      <c r="C680" s="103">
        <v>42936</v>
      </c>
      <c r="D680" s="104">
        <v>89</v>
      </c>
      <c r="E680" s="105"/>
      <c r="F680" s="105" t="s">
        <v>4311</v>
      </c>
      <c r="G680" s="110" t="s">
        <v>1862</v>
      </c>
      <c r="H680" s="93"/>
      <c r="I680" s="93">
        <v>2390</v>
      </c>
      <c r="J680" s="131">
        <f t="shared" si="38"/>
        <v>19894.61</v>
      </c>
    </row>
    <row r="681" spans="2:10" x14ac:dyDescent="0.2">
      <c r="B681" s="103"/>
      <c r="C681" s="103">
        <v>42937</v>
      </c>
      <c r="D681" s="104">
        <v>8480</v>
      </c>
      <c r="E681" s="105"/>
      <c r="F681" s="105" t="s">
        <v>4303</v>
      </c>
      <c r="G681" s="110" t="s">
        <v>806</v>
      </c>
      <c r="H681" s="93">
        <v>11000</v>
      </c>
      <c r="I681" s="93"/>
      <c r="J681" s="131">
        <f t="shared" si="38"/>
        <v>30894.61</v>
      </c>
    </row>
    <row r="682" spans="2:10" x14ac:dyDescent="0.2">
      <c r="B682" s="103"/>
      <c r="C682" s="103">
        <v>42937</v>
      </c>
      <c r="D682" s="104"/>
      <c r="E682" s="105"/>
      <c r="F682" s="105" t="s">
        <v>1596</v>
      </c>
      <c r="G682" s="110" t="s">
        <v>1537</v>
      </c>
      <c r="H682" s="93">
        <v>1760</v>
      </c>
      <c r="I682" s="93"/>
      <c r="J682" s="131">
        <f t="shared" ref="J682:J685" si="39">+J681+H682-I682</f>
        <v>32654.61</v>
      </c>
    </row>
    <row r="683" spans="2:10" x14ac:dyDescent="0.2">
      <c r="B683" s="103"/>
      <c r="C683" s="103">
        <v>42943</v>
      </c>
      <c r="D683" s="104">
        <v>90</v>
      </c>
      <c r="E683" s="105"/>
      <c r="F683" s="105" t="s">
        <v>4312</v>
      </c>
      <c r="G683" s="110" t="s">
        <v>1577</v>
      </c>
      <c r="H683" s="93"/>
      <c r="I683" s="93">
        <v>10000</v>
      </c>
      <c r="J683" s="131">
        <f t="shared" si="39"/>
        <v>22654.61</v>
      </c>
    </row>
    <row r="684" spans="2:10" x14ac:dyDescent="0.2">
      <c r="B684" s="103"/>
      <c r="C684" s="103">
        <v>42947</v>
      </c>
      <c r="D684" s="104"/>
      <c r="E684" s="105"/>
      <c r="F684" s="105" t="s">
        <v>3989</v>
      </c>
      <c r="G684" s="110" t="s">
        <v>1537</v>
      </c>
      <c r="H684" s="93"/>
      <c r="I684" s="93">
        <v>98</v>
      </c>
      <c r="J684" s="131">
        <f t="shared" si="39"/>
        <v>22556.61</v>
      </c>
    </row>
    <row r="685" spans="2:10" x14ac:dyDescent="0.2">
      <c r="B685" s="103"/>
      <c r="C685" s="103">
        <v>42947</v>
      </c>
      <c r="D685" s="104"/>
      <c r="E685" s="105"/>
      <c r="F685" s="105" t="s">
        <v>3519</v>
      </c>
      <c r="G685" s="110" t="s">
        <v>1790</v>
      </c>
      <c r="H685" s="93"/>
      <c r="I685" s="93">
        <v>15.68</v>
      </c>
      <c r="J685" s="131">
        <f t="shared" si="39"/>
        <v>22540.93</v>
      </c>
    </row>
    <row r="686" spans="2:10" ht="25.5" x14ac:dyDescent="0.2">
      <c r="B686" s="94" t="s">
        <v>1525</v>
      </c>
      <c r="C686" s="94" t="s">
        <v>1526</v>
      </c>
      <c r="D686" s="95" t="s">
        <v>1527</v>
      </c>
      <c r="E686" s="382" t="s">
        <v>1528</v>
      </c>
      <c r="F686" s="382" t="s">
        <v>1529</v>
      </c>
      <c r="G686" s="3" t="s">
        <v>3</v>
      </c>
      <c r="H686" s="96" t="s">
        <v>1530</v>
      </c>
      <c r="I686" s="96" t="s">
        <v>1531</v>
      </c>
      <c r="J686" s="96" t="s">
        <v>1532</v>
      </c>
    </row>
    <row r="687" spans="2:10" x14ac:dyDescent="0.2">
      <c r="B687" s="103"/>
      <c r="C687" s="103">
        <v>42955</v>
      </c>
      <c r="D687" s="104">
        <v>817</v>
      </c>
      <c r="E687" s="105"/>
      <c r="F687" s="105" t="s">
        <v>4533</v>
      </c>
      <c r="G687" s="110" t="s">
        <v>3515</v>
      </c>
      <c r="H687" s="93">
        <v>300</v>
      </c>
      <c r="I687" s="93"/>
      <c r="J687" s="131">
        <f>+J685+H687-I687</f>
        <v>22840.93</v>
      </c>
    </row>
    <row r="688" spans="2:10" x14ac:dyDescent="0.2">
      <c r="B688" s="103"/>
      <c r="C688" s="103">
        <v>42955</v>
      </c>
      <c r="D688" s="104"/>
      <c r="E688" s="105"/>
      <c r="F688" s="105" t="s">
        <v>1536</v>
      </c>
      <c r="G688" s="110" t="s">
        <v>1537</v>
      </c>
      <c r="H688" s="93">
        <v>0.46</v>
      </c>
      <c r="I688" s="93"/>
      <c r="J688" s="131">
        <f t="shared" ref="J688:J693" si="40">+J687+H688-I688</f>
        <v>22841.39</v>
      </c>
    </row>
    <row r="689" spans="2:10" x14ac:dyDescent="0.2">
      <c r="B689" s="103"/>
      <c r="C689" s="103">
        <v>42955</v>
      </c>
      <c r="D689" s="104">
        <v>92</v>
      </c>
      <c r="E689" s="105"/>
      <c r="F689" s="105" t="s">
        <v>4534</v>
      </c>
      <c r="G689" s="110" t="s">
        <v>1821</v>
      </c>
      <c r="H689" s="93"/>
      <c r="I689" s="93">
        <v>1800</v>
      </c>
      <c r="J689" s="131">
        <f t="shared" si="40"/>
        <v>21041.39</v>
      </c>
    </row>
    <row r="690" spans="2:10" x14ac:dyDescent="0.2">
      <c r="B690" s="103"/>
      <c r="C690" s="103">
        <v>42956</v>
      </c>
      <c r="D690" s="104">
        <v>3935</v>
      </c>
      <c r="E690" s="105"/>
      <c r="F690" s="105" t="s">
        <v>4535</v>
      </c>
      <c r="G690" s="110" t="s">
        <v>208</v>
      </c>
      <c r="H690" s="93">
        <v>400</v>
      </c>
      <c r="I690" s="93"/>
      <c r="J690" s="131">
        <f t="shared" si="40"/>
        <v>21441.39</v>
      </c>
    </row>
    <row r="691" spans="2:10" x14ac:dyDescent="0.2">
      <c r="B691" s="103"/>
      <c r="C691" s="103">
        <v>42956</v>
      </c>
      <c r="D691" s="104"/>
      <c r="E691" s="105"/>
      <c r="F691" s="105" t="s">
        <v>1536</v>
      </c>
      <c r="G691" s="110" t="s">
        <v>1537</v>
      </c>
      <c r="H691" s="93">
        <v>0.28999999999999998</v>
      </c>
      <c r="I691" s="93"/>
      <c r="J691" s="131">
        <f t="shared" si="40"/>
        <v>21441.68</v>
      </c>
    </row>
    <row r="692" spans="2:10" x14ac:dyDescent="0.2">
      <c r="B692" s="103"/>
      <c r="C692" s="103">
        <v>42958</v>
      </c>
      <c r="D692" s="104">
        <v>93</v>
      </c>
      <c r="E692" s="105"/>
      <c r="F692" s="105" t="s">
        <v>4309</v>
      </c>
      <c r="G692" s="110" t="s">
        <v>1805</v>
      </c>
      <c r="H692" s="93"/>
      <c r="I692" s="93">
        <v>3060</v>
      </c>
      <c r="J692" s="131">
        <f t="shared" si="40"/>
        <v>18381.68</v>
      </c>
    </row>
    <row r="693" spans="2:10" x14ac:dyDescent="0.2">
      <c r="B693" s="103"/>
      <c r="C693" s="103">
        <v>42958</v>
      </c>
      <c r="D693" s="104">
        <v>94</v>
      </c>
      <c r="E693" s="105"/>
      <c r="F693" s="105" t="s">
        <v>4538</v>
      </c>
      <c r="G693" s="110" t="s">
        <v>1862</v>
      </c>
      <c r="H693" s="93"/>
      <c r="I693" s="93">
        <v>3600</v>
      </c>
      <c r="J693" s="131">
        <f t="shared" si="40"/>
        <v>14781.68</v>
      </c>
    </row>
    <row r="694" spans="2:10" x14ac:dyDescent="0.2">
      <c r="B694" s="103"/>
      <c r="C694" s="103">
        <v>42963</v>
      </c>
      <c r="D694" s="104">
        <v>96</v>
      </c>
      <c r="E694" s="105"/>
      <c r="F694" s="105" t="s">
        <v>4539</v>
      </c>
      <c r="G694" s="110" t="s">
        <v>1577</v>
      </c>
      <c r="H694" s="93"/>
      <c r="I694" s="93">
        <v>4000</v>
      </c>
      <c r="J694" s="131">
        <f t="shared" ref="J694:J715" si="41">+J693+H694-I694</f>
        <v>10781.68</v>
      </c>
    </row>
    <row r="695" spans="2:10" x14ac:dyDescent="0.2">
      <c r="B695" s="103"/>
      <c r="C695" s="103">
        <v>42963</v>
      </c>
      <c r="D695" s="104">
        <v>8500</v>
      </c>
      <c r="E695" s="105"/>
      <c r="F695" s="105" t="s">
        <v>4536</v>
      </c>
      <c r="G695" s="110" t="s">
        <v>806</v>
      </c>
      <c r="H695" s="93">
        <v>11000</v>
      </c>
      <c r="I695" s="93"/>
      <c r="J695" s="131">
        <f t="shared" si="41"/>
        <v>21781.68</v>
      </c>
    </row>
    <row r="696" spans="2:10" x14ac:dyDescent="0.2">
      <c r="B696" s="103"/>
      <c r="C696" s="103">
        <v>42963</v>
      </c>
      <c r="D696" s="104"/>
      <c r="E696" s="105"/>
      <c r="F696" s="105" t="s">
        <v>4537</v>
      </c>
      <c r="G696" s="110" t="s">
        <v>1537</v>
      </c>
      <c r="H696" s="93">
        <v>1760</v>
      </c>
      <c r="I696" s="93"/>
      <c r="J696" s="131">
        <f t="shared" si="41"/>
        <v>23541.68</v>
      </c>
    </row>
    <row r="697" spans="2:10" x14ac:dyDescent="0.2">
      <c r="B697" s="103"/>
      <c r="C697" s="103">
        <v>42965</v>
      </c>
      <c r="D697" s="104">
        <v>95</v>
      </c>
      <c r="E697" s="105"/>
      <c r="F697" s="105" t="s">
        <v>4543</v>
      </c>
      <c r="G697" s="110" t="s">
        <v>1862</v>
      </c>
      <c r="H697" s="93"/>
      <c r="I697" s="93">
        <v>1800</v>
      </c>
      <c r="J697" s="131">
        <f t="shared" si="41"/>
        <v>21741.68</v>
      </c>
    </row>
    <row r="698" spans="2:10" x14ac:dyDescent="0.2">
      <c r="B698" s="103"/>
      <c r="C698" s="103">
        <v>42976</v>
      </c>
      <c r="D698" s="104"/>
      <c r="E698" s="105"/>
      <c r="F698" s="105" t="s">
        <v>4544</v>
      </c>
      <c r="G698" s="110" t="s">
        <v>571</v>
      </c>
      <c r="H698" s="93">
        <v>600</v>
      </c>
      <c r="I698" s="93"/>
      <c r="J698" s="131">
        <f t="shared" si="41"/>
        <v>22341.68</v>
      </c>
    </row>
    <row r="699" spans="2:10" x14ac:dyDescent="0.2">
      <c r="B699" s="103"/>
      <c r="C699" s="103">
        <v>42976</v>
      </c>
      <c r="D699" s="104"/>
      <c r="E699" s="105"/>
      <c r="F699" s="105" t="s">
        <v>1536</v>
      </c>
      <c r="G699" s="110" t="s">
        <v>1537</v>
      </c>
      <c r="H699" s="93">
        <v>0.15</v>
      </c>
      <c r="I699" s="93"/>
      <c r="J699" s="131">
        <f t="shared" si="41"/>
        <v>22341.83</v>
      </c>
    </row>
    <row r="700" spans="2:10" x14ac:dyDescent="0.2">
      <c r="B700" s="103"/>
      <c r="C700" s="103">
        <v>42978</v>
      </c>
      <c r="D700" s="104"/>
      <c r="E700" s="105"/>
      <c r="F700" s="105" t="s">
        <v>3989</v>
      </c>
      <c r="G700" s="110" t="s">
        <v>1537</v>
      </c>
      <c r="H700" s="93"/>
      <c r="I700" s="93">
        <v>70</v>
      </c>
      <c r="J700" s="131">
        <f t="shared" si="41"/>
        <v>22271.83</v>
      </c>
    </row>
    <row r="701" spans="2:10" x14ac:dyDescent="0.2">
      <c r="B701" s="103"/>
      <c r="C701" s="103">
        <v>42978</v>
      </c>
      <c r="D701" s="104"/>
      <c r="E701" s="105"/>
      <c r="F701" s="105" t="s">
        <v>3519</v>
      </c>
      <c r="G701" s="110" t="s">
        <v>1790</v>
      </c>
      <c r="H701" s="93"/>
      <c r="I701" s="93">
        <v>11.2</v>
      </c>
      <c r="J701" s="131">
        <f t="shared" si="41"/>
        <v>22260.63</v>
      </c>
    </row>
    <row r="702" spans="2:10" ht="25.5" x14ac:dyDescent="0.2">
      <c r="B702" s="94" t="s">
        <v>1525</v>
      </c>
      <c r="C702" s="94" t="s">
        <v>1526</v>
      </c>
      <c r="D702" s="95" t="s">
        <v>1527</v>
      </c>
      <c r="E702" s="384" t="s">
        <v>1528</v>
      </c>
      <c r="F702" s="384" t="s">
        <v>1529</v>
      </c>
      <c r="G702" s="3" t="s">
        <v>3</v>
      </c>
      <c r="H702" s="96" t="s">
        <v>1530</v>
      </c>
      <c r="I702" s="96" t="s">
        <v>1531</v>
      </c>
      <c r="J702" s="96" t="s">
        <v>1532</v>
      </c>
    </row>
    <row r="703" spans="2:10" x14ac:dyDescent="0.2">
      <c r="B703" s="103"/>
      <c r="C703" s="103">
        <v>42979</v>
      </c>
      <c r="D703" s="104">
        <v>97</v>
      </c>
      <c r="E703" s="105"/>
      <c r="F703" s="105" t="s">
        <v>4545</v>
      </c>
      <c r="G703" s="110" t="s">
        <v>1577</v>
      </c>
      <c r="H703" s="93"/>
      <c r="I703" s="93">
        <v>12000</v>
      </c>
      <c r="J703" s="131">
        <f>+J701+H703-I703</f>
        <v>10260.630000000001</v>
      </c>
    </row>
    <row r="704" spans="2:10" x14ac:dyDescent="0.2">
      <c r="B704" s="103"/>
      <c r="C704" s="103">
        <v>42979</v>
      </c>
      <c r="D704" s="104"/>
      <c r="E704" s="105"/>
      <c r="F704" s="105" t="s">
        <v>4546</v>
      </c>
      <c r="G704" s="110" t="s">
        <v>1537</v>
      </c>
      <c r="H704" s="93"/>
      <c r="I704" s="93">
        <v>30</v>
      </c>
      <c r="J704" s="131">
        <f t="shared" si="41"/>
        <v>10230.630000000001</v>
      </c>
    </row>
    <row r="705" spans="2:10" x14ac:dyDescent="0.2">
      <c r="B705" s="103"/>
      <c r="C705" s="103">
        <v>42979</v>
      </c>
      <c r="D705" s="104"/>
      <c r="E705" s="105"/>
      <c r="F705" s="105" t="s">
        <v>1827</v>
      </c>
      <c r="G705" s="110" t="s">
        <v>1790</v>
      </c>
      <c r="H705" s="93"/>
      <c r="I705" s="93">
        <v>4.8</v>
      </c>
      <c r="J705" s="131">
        <f t="shared" si="41"/>
        <v>10225.830000000002</v>
      </c>
    </row>
    <row r="706" spans="2:10" x14ac:dyDescent="0.2">
      <c r="B706" s="103"/>
      <c r="C706" s="103">
        <v>42983</v>
      </c>
      <c r="D706" s="104">
        <v>917</v>
      </c>
      <c r="E706" s="105"/>
      <c r="F706" s="105" t="s">
        <v>4547</v>
      </c>
      <c r="G706" s="110" t="s">
        <v>3515</v>
      </c>
      <c r="H706" s="93">
        <v>300</v>
      </c>
      <c r="I706" s="93"/>
      <c r="J706" s="131">
        <f t="shared" si="41"/>
        <v>10525.830000000002</v>
      </c>
    </row>
    <row r="707" spans="2:10" x14ac:dyDescent="0.2">
      <c r="B707" s="103"/>
      <c r="C707" s="103">
        <v>42983</v>
      </c>
      <c r="D707" s="104"/>
      <c r="E707" s="105"/>
      <c r="F707" s="105" t="s">
        <v>1536</v>
      </c>
      <c r="G707" s="110" t="s">
        <v>1537</v>
      </c>
      <c r="H707" s="93">
        <v>0.46</v>
      </c>
      <c r="I707" s="93"/>
      <c r="J707" s="131">
        <f t="shared" si="41"/>
        <v>10526.29</v>
      </c>
    </row>
    <row r="708" spans="2:10" x14ac:dyDescent="0.2">
      <c r="B708" s="103"/>
      <c r="C708" s="103">
        <v>42991</v>
      </c>
      <c r="D708" s="104">
        <v>98</v>
      </c>
      <c r="E708" s="105"/>
      <c r="F708" s="105" t="s">
        <v>4661</v>
      </c>
      <c r="G708" s="110" t="s">
        <v>1805</v>
      </c>
      <c r="H708" s="93"/>
      <c r="I708" s="93">
        <v>3060</v>
      </c>
      <c r="J708" s="131">
        <f t="shared" si="41"/>
        <v>7466.2900000000009</v>
      </c>
    </row>
    <row r="709" spans="2:10" x14ac:dyDescent="0.2">
      <c r="B709" s="103"/>
      <c r="C709" s="103">
        <v>43004</v>
      </c>
      <c r="D709" s="104">
        <v>8515</v>
      </c>
      <c r="E709" s="105"/>
      <c r="F709" s="105" t="s">
        <v>4548</v>
      </c>
      <c r="G709" s="110" t="s">
        <v>806</v>
      </c>
      <c r="H709" s="93">
        <v>11000</v>
      </c>
      <c r="I709" s="93"/>
      <c r="J709" s="131">
        <f t="shared" si="41"/>
        <v>18466.29</v>
      </c>
    </row>
    <row r="710" spans="2:10" x14ac:dyDescent="0.2">
      <c r="B710" s="103"/>
      <c r="C710" s="103">
        <v>43004</v>
      </c>
      <c r="D710" s="104"/>
      <c r="E710" s="105"/>
      <c r="F710" s="105" t="s">
        <v>4549</v>
      </c>
      <c r="G710" s="110" t="s">
        <v>1537</v>
      </c>
      <c r="H710" s="93">
        <v>1760</v>
      </c>
      <c r="I710" s="93"/>
      <c r="J710" s="131">
        <f t="shared" si="41"/>
        <v>20226.29</v>
      </c>
    </row>
    <row r="711" spans="2:10" x14ac:dyDescent="0.2">
      <c r="B711" s="103"/>
      <c r="C711" s="103">
        <v>43006</v>
      </c>
      <c r="D711" s="104"/>
      <c r="E711" s="105"/>
      <c r="F711" s="105" t="s">
        <v>4546</v>
      </c>
      <c r="G711" s="110" t="s">
        <v>1537</v>
      </c>
      <c r="H711" s="93"/>
      <c r="I711" s="93">
        <v>30</v>
      </c>
      <c r="J711" s="131">
        <f t="shared" si="41"/>
        <v>20196.29</v>
      </c>
    </row>
    <row r="712" spans="2:10" x14ac:dyDescent="0.2">
      <c r="B712" s="103"/>
      <c r="C712" s="103">
        <v>43006</v>
      </c>
      <c r="D712" s="104"/>
      <c r="E712" s="105"/>
      <c r="F712" s="105" t="s">
        <v>1827</v>
      </c>
      <c r="G712" s="110" t="s">
        <v>1790</v>
      </c>
      <c r="H712" s="93"/>
      <c r="I712" s="93">
        <v>4.8</v>
      </c>
      <c r="J712" s="131">
        <f t="shared" si="41"/>
        <v>20191.490000000002</v>
      </c>
    </row>
    <row r="713" spans="2:10" x14ac:dyDescent="0.2">
      <c r="B713" s="103"/>
      <c r="C713" s="103">
        <v>43007</v>
      </c>
      <c r="D713" s="104"/>
      <c r="E713" s="105"/>
      <c r="F713" s="105" t="s">
        <v>4662</v>
      </c>
      <c r="G713" s="110" t="s">
        <v>119</v>
      </c>
      <c r="H713" s="93">
        <v>800</v>
      </c>
      <c r="I713" s="93"/>
      <c r="J713" s="131">
        <f t="shared" si="41"/>
        <v>20991.49</v>
      </c>
    </row>
    <row r="714" spans="2:10" x14ac:dyDescent="0.2">
      <c r="B714" s="103"/>
      <c r="C714" s="103">
        <v>43007</v>
      </c>
      <c r="D714" s="104"/>
      <c r="E714" s="105"/>
      <c r="F714" s="105" t="s">
        <v>4550</v>
      </c>
      <c r="G714" s="110" t="s">
        <v>1537</v>
      </c>
      <c r="H714" s="93"/>
      <c r="I714" s="93">
        <v>28</v>
      </c>
      <c r="J714" s="131">
        <f t="shared" si="41"/>
        <v>20963.490000000002</v>
      </c>
    </row>
    <row r="715" spans="2:10" x14ac:dyDescent="0.2">
      <c r="B715" s="103"/>
      <c r="C715" s="103">
        <v>43007</v>
      </c>
      <c r="D715" s="104"/>
      <c r="E715" s="105"/>
      <c r="F715" s="105" t="s">
        <v>3519</v>
      </c>
      <c r="G715" s="110" t="s">
        <v>1790</v>
      </c>
      <c r="H715" s="93"/>
      <c r="I715" s="93">
        <v>4.4800000000000004</v>
      </c>
      <c r="J715" s="131">
        <f t="shared" si="41"/>
        <v>20959.010000000002</v>
      </c>
    </row>
    <row r="716" spans="2:10" ht="25.5" x14ac:dyDescent="0.2">
      <c r="B716" s="94" t="s">
        <v>1525</v>
      </c>
      <c r="C716" s="94" t="s">
        <v>1526</v>
      </c>
      <c r="D716" s="95" t="s">
        <v>1527</v>
      </c>
      <c r="E716" s="384" t="s">
        <v>1528</v>
      </c>
      <c r="F716" s="384" t="s">
        <v>1529</v>
      </c>
      <c r="G716" s="3" t="s">
        <v>3</v>
      </c>
      <c r="H716" s="96" t="s">
        <v>1530</v>
      </c>
      <c r="I716" s="96" t="s">
        <v>1531</v>
      </c>
      <c r="J716" s="96" t="s">
        <v>1532</v>
      </c>
    </row>
    <row r="717" spans="2:10" x14ac:dyDescent="0.2">
      <c r="B717" s="103"/>
      <c r="C717" s="103">
        <v>43012</v>
      </c>
      <c r="D717" s="104">
        <v>99</v>
      </c>
      <c r="E717" s="105"/>
      <c r="F717" s="105" t="s">
        <v>4664</v>
      </c>
      <c r="G717" s="110" t="s">
        <v>1577</v>
      </c>
      <c r="H717" s="93"/>
      <c r="I717" s="93">
        <v>15000</v>
      </c>
      <c r="J717" s="131">
        <f>+J715+H717-I717</f>
        <v>5959.010000000002</v>
      </c>
    </row>
    <row r="718" spans="2:10" x14ac:dyDescent="0.2">
      <c r="B718" s="103"/>
      <c r="C718" s="103">
        <v>43014</v>
      </c>
      <c r="D718" s="104">
        <v>60</v>
      </c>
      <c r="E718" s="105"/>
      <c r="F718" s="105" t="s">
        <v>4663</v>
      </c>
      <c r="G718" s="110" t="s">
        <v>119</v>
      </c>
      <c r="H718" s="93">
        <v>800</v>
      </c>
      <c r="I718" s="93"/>
      <c r="J718" s="131">
        <f t="shared" ref="J718:J720" si="42">+J717+H718-I718</f>
        <v>6759.010000000002</v>
      </c>
    </row>
    <row r="719" spans="2:10" x14ac:dyDescent="0.2">
      <c r="B719" s="103"/>
      <c r="C719" s="103">
        <v>43018</v>
      </c>
      <c r="D719" s="104"/>
      <c r="E719" s="105"/>
      <c r="F719" s="105" t="s">
        <v>4665</v>
      </c>
      <c r="G719" s="110" t="s">
        <v>208</v>
      </c>
      <c r="H719" s="93">
        <v>400</v>
      </c>
      <c r="I719" s="93"/>
      <c r="J719" s="131">
        <f t="shared" si="42"/>
        <v>7159.010000000002</v>
      </c>
    </row>
    <row r="720" spans="2:10" x14ac:dyDescent="0.2">
      <c r="B720" s="103"/>
      <c r="C720" s="103">
        <v>43025</v>
      </c>
      <c r="D720" s="104"/>
      <c r="E720" s="105"/>
      <c r="F720" s="105" t="s">
        <v>1536</v>
      </c>
      <c r="G720" s="110" t="s">
        <v>1537</v>
      </c>
      <c r="H720" s="93">
        <v>0.28999999999999998</v>
      </c>
      <c r="I720" s="93"/>
      <c r="J720" s="131">
        <f t="shared" si="42"/>
        <v>7159.300000000002</v>
      </c>
    </row>
    <row r="721" spans="2:10" x14ac:dyDescent="0.2">
      <c r="B721" s="103"/>
      <c r="C721" s="103">
        <v>43026</v>
      </c>
      <c r="D721" s="104">
        <v>8523</v>
      </c>
      <c r="E721" s="105"/>
      <c r="F721" s="105" t="s">
        <v>4666</v>
      </c>
      <c r="G721" s="110" t="s">
        <v>806</v>
      </c>
      <c r="H721" s="93">
        <v>11000</v>
      </c>
      <c r="I721" s="93"/>
      <c r="J721" s="131">
        <f>+J720+H721-I721</f>
        <v>18159.300000000003</v>
      </c>
    </row>
    <row r="722" spans="2:10" x14ac:dyDescent="0.2">
      <c r="B722" s="103"/>
      <c r="C722" s="103">
        <v>43026</v>
      </c>
      <c r="D722" s="104"/>
      <c r="E722" s="105"/>
      <c r="F722" s="105" t="s">
        <v>4667</v>
      </c>
      <c r="G722" s="110" t="s">
        <v>1537</v>
      </c>
      <c r="H722" s="93">
        <v>1760</v>
      </c>
      <c r="I722" s="93"/>
      <c r="J722" s="131">
        <f t="shared" ref="J722:J725" si="43">+J721+H722-I722</f>
        <v>19919.300000000003</v>
      </c>
    </row>
    <row r="723" spans="2:10" x14ac:dyDescent="0.2">
      <c r="B723" s="103"/>
      <c r="C723" s="103">
        <v>43028</v>
      </c>
      <c r="D723" s="104">
        <v>100</v>
      </c>
      <c r="E723" s="105"/>
      <c r="F723" s="105" t="s">
        <v>4759</v>
      </c>
      <c r="G723" s="110" t="s">
        <v>1805</v>
      </c>
      <c r="H723" s="93"/>
      <c r="I723" s="93">
        <v>3060</v>
      </c>
      <c r="J723" s="131">
        <f t="shared" si="43"/>
        <v>16859.300000000003</v>
      </c>
    </row>
    <row r="724" spans="2:10" x14ac:dyDescent="0.2">
      <c r="B724" s="103"/>
      <c r="C724" s="103">
        <v>43039</v>
      </c>
      <c r="D724" s="104"/>
      <c r="E724" s="105"/>
      <c r="F724" s="105" t="s">
        <v>4550</v>
      </c>
      <c r="G724" s="110" t="s">
        <v>1537</v>
      </c>
      <c r="H724" s="93"/>
      <c r="I724" s="93">
        <v>28</v>
      </c>
      <c r="J724" s="131">
        <f t="shared" si="43"/>
        <v>16831.300000000003</v>
      </c>
    </row>
    <row r="725" spans="2:10" x14ac:dyDescent="0.2">
      <c r="B725" s="103"/>
      <c r="C725" s="103">
        <v>43039</v>
      </c>
      <c r="D725" s="104"/>
      <c r="E725" s="105"/>
      <c r="F725" s="105" t="s">
        <v>3519</v>
      </c>
      <c r="G725" s="110" t="s">
        <v>1790</v>
      </c>
      <c r="H725" s="93"/>
      <c r="I725" s="93">
        <v>4.4800000000000004</v>
      </c>
      <c r="J725" s="131">
        <f t="shared" si="43"/>
        <v>16826.820000000003</v>
      </c>
    </row>
    <row r="726" spans="2:10" ht="25.5" x14ac:dyDescent="0.2">
      <c r="B726" s="94" t="s">
        <v>1525</v>
      </c>
      <c r="C726" s="94" t="s">
        <v>1526</v>
      </c>
      <c r="D726" s="95" t="s">
        <v>1527</v>
      </c>
      <c r="E726" s="387" t="s">
        <v>1528</v>
      </c>
      <c r="F726" s="387" t="s">
        <v>1529</v>
      </c>
      <c r="G726" s="3" t="s">
        <v>3</v>
      </c>
      <c r="H726" s="96" t="s">
        <v>1530</v>
      </c>
      <c r="I726" s="96" t="s">
        <v>1531</v>
      </c>
      <c r="J726" s="96" t="s">
        <v>1532</v>
      </c>
    </row>
    <row r="727" spans="2:10" x14ac:dyDescent="0.2">
      <c r="B727" s="103"/>
      <c r="C727" s="103">
        <v>43040</v>
      </c>
      <c r="D727" s="104"/>
      <c r="E727" s="105"/>
      <c r="F727" s="105" t="s">
        <v>1826</v>
      </c>
      <c r="G727" s="110" t="s">
        <v>1537</v>
      </c>
      <c r="H727" s="93"/>
      <c r="I727" s="93">
        <v>30</v>
      </c>
      <c r="J727" s="131">
        <f>+J725+H727-I727</f>
        <v>16796.820000000003</v>
      </c>
    </row>
    <row r="728" spans="2:10" x14ac:dyDescent="0.2">
      <c r="B728" s="103"/>
      <c r="C728" s="103">
        <v>43040</v>
      </c>
      <c r="D728" s="104"/>
      <c r="E728" s="105"/>
      <c r="F728" s="105" t="s">
        <v>4760</v>
      </c>
      <c r="G728" s="110" t="s">
        <v>1790</v>
      </c>
      <c r="H728" s="93"/>
      <c r="I728" s="93">
        <v>4.8</v>
      </c>
      <c r="J728" s="131">
        <f t="shared" ref="J728:J730" si="44">+J727+H728-I728</f>
        <v>16792.020000000004</v>
      </c>
    </row>
    <row r="729" spans="2:10" x14ac:dyDescent="0.2">
      <c r="B729" s="103"/>
      <c r="C729" s="103">
        <v>43042</v>
      </c>
      <c r="D729" s="104">
        <v>101</v>
      </c>
      <c r="E729" s="105"/>
      <c r="F729" s="105" t="s">
        <v>4761</v>
      </c>
      <c r="G729" s="110" t="s">
        <v>1577</v>
      </c>
      <c r="H729" s="93"/>
      <c r="I729" s="93">
        <v>10000</v>
      </c>
      <c r="J729" s="131">
        <f t="shared" si="44"/>
        <v>6792.0200000000041</v>
      </c>
    </row>
    <row r="730" spans="2:10" x14ac:dyDescent="0.2">
      <c r="B730" s="103"/>
      <c r="C730" s="103">
        <v>37199</v>
      </c>
      <c r="D730" s="104"/>
      <c r="E730" s="105"/>
      <c r="F730" s="105" t="s">
        <v>4762</v>
      </c>
      <c r="G730" s="110" t="s">
        <v>211</v>
      </c>
      <c r="H730" s="93">
        <v>300</v>
      </c>
      <c r="I730" s="93"/>
      <c r="J730" s="131">
        <f t="shared" si="44"/>
        <v>7092.0200000000041</v>
      </c>
    </row>
    <row r="731" spans="2:10" x14ac:dyDescent="0.2">
      <c r="B731" s="103"/>
      <c r="C731" s="103">
        <v>43043</v>
      </c>
      <c r="D731" s="104"/>
      <c r="E731" s="105"/>
      <c r="F731" s="105" t="s">
        <v>1536</v>
      </c>
      <c r="G731" s="110" t="s">
        <v>1537</v>
      </c>
      <c r="H731" s="93">
        <v>0.46</v>
      </c>
      <c r="I731" s="93"/>
      <c r="J731" s="131">
        <f t="shared" ref="J731:J735" si="45">+J730+H731-I731</f>
        <v>7092.4800000000041</v>
      </c>
    </row>
    <row r="732" spans="2:10" x14ac:dyDescent="0.2">
      <c r="B732" s="103"/>
      <c r="C732" s="103">
        <v>43043</v>
      </c>
      <c r="D732" s="104"/>
      <c r="E732" s="105"/>
      <c r="F732" s="105" t="s">
        <v>4763</v>
      </c>
      <c r="G732" s="110" t="s">
        <v>211</v>
      </c>
      <c r="H732" s="93">
        <v>300</v>
      </c>
      <c r="I732" s="93"/>
      <c r="J732" s="131">
        <f t="shared" si="45"/>
        <v>7392.4800000000041</v>
      </c>
    </row>
    <row r="733" spans="2:10" x14ac:dyDescent="0.2">
      <c r="B733" s="103"/>
      <c r="C733" s="103">
        <v>43043</v>
      </c>
      <c r="D733" s="104"/>
      <c r="E733" s="105"/>
      <c r="F733" s="105" t="s">
        <v>1536</v>
      </c>
      <c r="G733" s="110" t="s">
        <v>1537</v>
      </c>
      <c r="H733" s="93">
        <v>0.46</v>
      </c>
      <c r="I733" s="93"/>
      <c r="J733" s="131">
        <f t="shared" si="45"/>
        <v>7392.9400000000041</v>
      </c>
    </row>
    <row r="734" spans="2:10" x14ac:dyDescent="0.2">
      <c r="B734" s="103"/>
      <c r="C734" s="103">
        <v>43048</v>
      </c>
      <c r="D734" s="104">
        <v>102</v>
      </c>
      <c r="E734" s="105"/>
      <c r="F734" s="105" t="s">
        <v>4764</v>
      </c>
      <c r="G734" s="110" t="s">
        <v>1805</v>
      </c>
      <c r="H734" s="93"/>
      <c r="I734" s="93">
        <v>3060</v>
      </c>
      <c r="J734" s="131">
        <f t="shared" si="45"/>
        <v>4332.9400000000041</v>
      </c>
    </row>
    <row r="735" spans="2:10" x14ac:dyDescent="0.2">
      <c r="B735" s="103"/>
      <c r="C735" s="103">
        <v>43056</v>
      </c>
      <c r="D735" s="104">
        <v>8541</v>
      </c>
      <c r="E735" s="105"/>
      <c r="F735" s="105" t="s">
        <v>4866</v>
      </c>
      <c r="G735" s="110" t="s">
        <v>806</v>
      </c>
      <c r="H735" s="93">
        <v>11000</v>
      </c>
      <c r="I735" s="93"/>
      <c r="J735" s="131">
        <f t="shared" si="45"/>
        <v>15332.940000000004</v>
      </c>
    </row>
    <row r="736" spans="2:10" x14ac:dyDescent="0.2">
      <c r="B736" s="103"/>
      <c r="C736" s="103">
        <v>43056</v>
      </c>
      <c r="D736" s="104"/>
      <c r="E736" s="105"/>
      <c r="F736" s="105" t="s">
        <v>1596</v>
      </c>
      <c r="G736" s="110" t="s">
        <v>1537</v>
      </c>
      <c r="H736" s="93">
        <v>1760</v>
      </c>
      <c r="I736" s="93"/>
      <c r="J736" s="131">
        <f t="shared" ref="J736:J737" si="46">+J735+H736-I736</f>
        <v>17092.940000000002</v>
      </c>
    </row>
    <row r="737" spans="2:10" x14ac:dyDescent="0.2">
      <c r="B737" s="103"/>
      <c r="C737" s="103">
        <v>43069</v>
      </c>
      <c r="D737" s="104"/>
      <c r="E737" s="105"/>
      <c r="F737" s="105" t="s">
        <v>4766</v>
      </c>
      <c r="G737" s="110" t="s">
        <v>1537</v>
      </c>
      <c r="H737" s="93"/>
      <c r="I737" s="93">
        <v>31.21</v>
      </c>
      <c r="J737" s="131">
        <f t="shared" si="46"/>
        <v>17061.730000000003</v>
      </c>
    </row>
    <row r="738" spans="2:10" x14ac:dyDescent="0.2">
      <c r="B738" s="103"/>
      <c r="C738" s="103">
        <v>43069</v>
      </c>
      <c r="D738" s="104"/>
      <c r="E738" s="105"/>
      <c r="F738" s="105" t="s">
        <v>4765</v>
      </c>
      <c r="G738" s="110" t="s">
        <v>1790</v>
      </c>
      <c r="H738" s="93"/>
      <c r="I738" s="93">
        <v>4.99</v>
      </c>
      <c r="J738" s="131">
        <f t="shared" ref="J738:J744" si="47">+J737+H738-I738</f>
        <v>17056.740000000002</v>
      </c>
    </row>
    <row r="739" spans="2:10" x14ac:dyDescent="0.2">
      <c r="B739" s="103"/>
      <c r="C739" s="103">
        <v>43069</v>
      </c>
      <c r="D739" s="104"/>
      <c r="E739" s="105"/>
      <c r="F739" s="105" t="s">
        <v>4768</v>
      </c>
      <c r="G739" s="110" t="s">
        <v>1537</v>
      </c>
      <c r="H739" s="93"/>
      <c r="I739" s="93">
        <v>36</v>
      </c>
      <c r="J739" s="131">
        <f t="shared" si="47"/>
        <v>17020.740000000002</v>
      </c>
    </row>
    <row r="740" spans="2:10" x14ac:dyDescent="0.2">
      <c r="B740" s="103"/>
      <c r="C740" s="103">
        <v>43069</v>
      </c>
      <c r="D740" s="104"/>
      <c r="E740" s="105"/>
      <c r="F740" s="105" t="s">
        <v>4767</v>
      </c>
      <c r="G740" s="110" t="s">
        <v>1790</v>
      </c>
      <c r="H740" s="93"/>
      <c r="I740" s="93">
        <v>5.76</v>
      </c>
      <c r="J740" s="131">
        <f t="shared" si="47"/>
        <v>17014.980000000003</v>
      </c>
    </row>
    <row r="741" spans="2:10" ht="25.5" x14ac:dyDescent="0.2">
      <c r="B741" s="94" t="s">
        <v>1525</v>
      </c>
      <c r="C741" s="94" t="s">
        <v>1526</v>
      </c>
      <c r="D741" s="95" t="s">
        <v>1527</v>
      </c>
      <c r="E741" s="388" t="s">
        <v>1528</v>
      </c>
      <c r="F741" s="388" t="s">
        <v>1529</v>
      </c>
      <c r="G741" s="3" t="s">
        <v>3</v>
      </c>
      <c r="H741" s="96" t="s">
        <v>1530</v>
      </c>
      <c r="I741" s="96" t="s">
        <v>1531</v>
      </c>
      <c r="J741" s="96" t="s">
        <v>1532</v>
      </c>
    </row>
    <row r="742" spans="2:10" x14ac:dyDescent="0.2">
      <c r="B742" s="103"/>
      <c r="C742" s="103">
        <v>43071</v>
      </c>
      <c r="D742" s="104"/>
      <c r="E742" s="105"/>
      <c r="F742" s="105" t="s">
        <v>4864</v>
      </c>
      <c r="G742" s="110" t="s">
        <v>571</v>
      </c>
      <c r="H742" s="93">
        <v>800</v>
      </c>
      <c r="I742" s="93"/>
      <c r="J742" s="131">
        <f>+J740+H742-I742</f>
        <v>17814.980000000003</v>
      </c>
    </row>
    <row r="743" spans="2:10" x14ac:dyDescent="0.2">
      <c r="B743" s="103"/>
      <c r="C743" s="103">
        <v>43071</v>
      </c>
      <c r="D743" s="104"/>
      <c r="E743" s="105"/>
      <c r="F743" s="105" t="s">
        <v>1536</v>
      </c>
      <c r="G743" s="110" t="s">
        <v>1537</v>
      </c>
      <c r="H743" s="93">
        <v>0.15</v>
      </c>
      <c r="I743" s="93"/>
      <c r="J743" s="131">
        <f t="shared" si="47"/>
        <v>17815.130000000005</v>
      </c>
    </row>
    <row r="744" spans="2:10" x14ac:dyDescent="0.2">
      <c r="B744" s="103"/>
      <c r="C744" s="103">
        <v>43074</v>
      </c>
      <c r="D744" s="104"/>
      <c r="E744" s="105"/>
      <c r="F744" s="105" t="s">
        <v>5126</v>
      </c>
      <c r="G744" s="110" t="s">
        <v>211</v>
      </c>
      <c r="H744" s="93">
        <v>300</v>
      </c>
      <c r="I744" s="93"/>
      <c r="J744" s="131">
        <f t="shared" si="47"/>
        <v>18115.130000000005</v>
      </c>
    </row>
    <row r="745" spans="2:10" x14ac:dyDescent="0.2">
      <c r="B745" s="103"/>
      <c r="C745" s="103">
        <v>43074</v>
      </c>
      <c r="D745" s="104"/>
      <c r="E745" s="105"/>
      <c r="F745" s="105" t="s">
        <v>1536</v>
      </c>
      <c r="G745" s="110" t="s">
        <v>1537</v>
      </c>
      <c r="H745" s="93">
        <v>0.46</v>
      </c>
      <c r="I745" s="93"/>
      <c r="J745" s="131">
        <f t="shared" ref="J745:J753" si="48">+J744+H745-I745</f>
        <v>18115.590000000004</v>
      </c>
    </row>
    <row r="746" spans="2:10" x14ac:dyDescent="0.2">
      <c r="B746" s="103"/>
      <c r="C746" s="103">
        <v>43074</v>
      </c>
      <c r="D746" s="104"/>
      <c r="E746" s="105"/>
      <c r="F746" s="105" t="s">
        <v>1826</v>
      </c>
      <c r="G746" s="110" t="s">
        <v>1537</v>
      </c>
      <c r="H746" s="93"/>
      <c r="I746" s="93">
        <v>30</v>
      </c>
      <c r="J746" s="131">
        <f t="shared" si="48"/>
        <v>18085.590000000004</v>
      </c>
    </row>
    <row r="747" spans="2:10" x14ac:dyDescent="0.2">
      <c r="B747" s="103"/>
      <c r="C747" s="103">
        <v>43074</v>
      </c>
      <c r="D747" s="104"/>
      <c r="E747" s="105"/>
      <c r="F747" s="105" t="s">
        <v>4760</v>
      </c>
      <c r="G747" s="110" t="s">
        <v>1790</v>
      </c>
      <c r="H747" s="93"/>
      <c r="I747" s="93">
        <v>4.8</v>
      </c>
      <c r="J747" s="131">
        <f t="shared" si="48"/>
        <v>18080.790000000005</v>
      </c>
    </row>
    <row r="748" spans="2:10" x14ac:dyDescent="0.2">
      <c r="B748" s="103"/>
      <c r="C748" s="103">
        <v>43083</v>
      </c>
      <c r="D748" s="104">
        <v>103</v>
      </c>
      <c r="E748" s="105"/>
      <c r="F748" s="105" t="s">
        <v>4865</v>
      </c>
      <c r="G748" s="110" t="s">
        <v>1805</v>
      </c>
      <c r="H748" s="93"/>
      <c r="I748" s="93">
        <v>4360.72</v>
      </c>
      <c r="J748" s="131">
        <f t="shared" si="48"/>
        <v>13720.070000000003</v>
      </c>
    </row>
    <row r="749" spans="2:10" x14ac:dyDescent="0.2">
      <c r="B749" s="103"/>
      <c r="C749" s="103">
        <v>43089</v>
      </c>
      <c r="D749" s="104">
        <v>8570</v>
      </c>
      <c r="E749" s="105"/>
      <c r="F749" s="105" t="s">
        <v>5128</v>
      </c>
      <c r="G749" s="110" t="s">
        <v>806</v>
      </c>
      <c r="H749" s="93">
        <v>11000</v>
      </c>
      <c r="I749" s="93"/>
      <c r="J749" s="131">
        <f t="shared" si="48"/>
        <v>24720.070000000003</v>
      </c>
    </row>
    <row r="750" spans="2:10" x14ac:dyDescent="0.2">
      <c r="B750" s="103"/>
      <c r="C750" s="103">
        <v>43089</v>
      </c>
      <c r="D750" s="104"/>
      <c r="E750" s="105"/>
      <c r="F750" s="105" t="s">
        <v>4867</v>
      </c>
      <c r="G750" s="110" t="s">
        <v>1537</v>
      </c>
      <c r="H750" s="93">
        <v>1760</v>
      </c>
      <c r="I750" s="93"/>
      <c r="J750" s="131">
        <f t="shared" si="48"/>
        <v>26480.070000000003</v>
      </c>
    </row>
    <row r="751" spans="2:10" x14ac:dyDescent="0.2">
      <c r="B751" s="103"/>
      <c r="C751" s="103">
        <v>43098</v>
      </c>
      <c r="D751" s="104"/>
      <c r="E751" s="105"/>
      <c r="F751" s="105" t="s">
        <v>4768</v>
      </c>
      <c r="G751" s="110" t="s">
        <v>1537</v>
      </c>
      <c r="H751" s="93"/>
      <c r="I751" s="93">
        <v>18</v>
      </c>
      <c r="J751" s="131">
        <f t="shared" si="48"/>
        <v>26462.070000000003</v>
      </c>
    </row>
    <row r="752" spans="2:10" x14ac:dyDescent="0.2">
      <c r="B752" s="103"/>
      <c r="C752" s="103">
        <v>43098</v>
      </c>
      <c r="D752" s="104"/>
      <c r="E752" s="105"/>
      <c r="F752" s="105" t="s">
        <v>4767</v>
      </c>
      <c r="G752" s="110" t="s">
        <v>1790</v>
      </c>
      <c r="H752" s="93"/>
      <c r="I752" s="93">
        <v>2.88</v>
      </c>
      <c r="J752" s="131">
        <f t="shared" si="48"/>
        <v>26459.190000000002</v>
      </c>
    </row>
    <row r="753" spans="2:10" x14ac:dyDescent="0.2">
      <c r="B753" s="103"/>
      <c r="C753" s="103">
        <v>43100</v>
      </c>
      <c r="D753" s="104"/>
      <c r="E753" s="105"/>
      <c r="F753" s="105" t="s">
        <v>4868</v>
      </c>
      <c r="G753" s="110" t="s">
        <v>1441</v>
      </c>
      <c r="H753" s="93">
        <v>3300</v>
      </c>
      <c r="I753" s="93"/>
      <c r="J753" s="131">
        <f t="shared" si="48"/>
        <v>29759.190000000002</v>
      </c>
    </row>
    <row r="754" spans="2:10" ht="25.5" x14ac:dyDescent="0.2">
      <c r="B754" s="94" t="s">
        <v>1525</v>
      </c>
      <c r="C754" s="94" t="s">
        <v>1526</v>
      </c>
      <c r="D754" s="95" t="s">
        <v>1527</v>
      </c>
      <c r="E754" s="389" t="s">
        <v>1528</v>
      </c>
      <c r="F754" s="389" t="s">
        <v>1529</v>
      </c>
      <c r="G754" s="3" t="s">
        <v>3</v>
      </c>
      <c r="H754" s="96" t="s">
        <v>1530</v>
      </c>
      <c r="I754" s="96" t="s">
        <v>1531</v>
      </c>
      <c r="J754" s="96" t="s">
        <v>1532</v>
      </c>
    </row>
    <row r="755" spans="2:10" x14ac:dyDescent="0.2">
      <c r="B755" s="103"/>
      <c r="C755" s="103">
        <v>43103</v>
      </c>
      <c r="D755" s="104"/>
      <c r="E755" s="105"/>
      <c r="F755" s="105" t="s">
        <v>5125</v>
      </c>
      <c r="G755" s="110" t="s">
        <v>3515</v>
      </c>
      <c r="H755" s="93">
        <v>300</v>
      </c>
      <c r="I755" s="93"/>
      <c r="J755" s="131">
        <f>+J753+H755-I755</f>
        <v>30059.190000000002</v>
      </c>
    </row>
    <row r="756" spans="2:10" x14ac:dyDescent="0.2">
      <c r="B756" s="103"/>
      <c r="C756" s="103">
        <v>43103</v>
      </c>
      <c r="D756" s="104"/>
      <c r="E756" s="105"/>
      <c r="F756" s="105" t="s">
        <v>1536</v>
      </c>
      <c r="G756" s="110" t="s">
        <v>1537</v>
      </c>
      <c r="H756" s="93">
        <v>0.46</v>
      </c>
      <c r="I756" s="93"/>
      <c r="J756" s="131">
        <f>+J755+H756-I756</f>
        <v>30059.65</v>
      </c>
    </row>
    <row r="757" spans="2:10" x14ac:dyDescent="0.2">
      <c r="B757" s="103"/>
      <c r="C757" s="103">
        <v>43129</v>
      </c>
      <c r="D757" s="104"/>
      <c r="E757" s="105"/>
      <c r="F757" s="105" t="s">
        <v>5127</v>
      </c>
      <c r="G757" s="110" t="s">
        <v>806</v>
      </c>
      <c r="H757" s="93">
        <v>11000</v>
      </c>
      <c r="I757" s="93"/>
      <c r="J757" s="131">
        <f t="shared" ref="J757:J761" si="49">+J756+H757-I757</f>
        <v>41059.65</v>
      </c>
    </row>
    <row r="758" spans="2:10" x14ac:dyDescent="0.2">
      <c r="B758" s="103"/>
      <c r="C758" s="103">
        <v>43129</v>
      </c>
      <c r="D758" s="104"/>
      <c r="E758" s="105"/>
      <c r="F758" s="105" t="s">
        <v>1596</v>
      </c>
      <c r="G758" s="110" t="s">
        <v>1537</v>
      </c>
      <c r="H758" s="93">
        <v>1760</v>
      </c>
      <c r="I758" s="93"/>
      <c r="J758" s="131">
        <f t="shared" si="49"/>
        <v>42819.65</v>
      </c>
    </row>
    <row r="759" spans="2:10" x14ac:dyDescent="0.2">
      <c r="B759" s="103"/>
      <c r="C759" s="103">
        <v>43130</v>
      </c>
      <c r="D759" s="104">
        <v>104</v>
      </c>
      <c r="E759" s="105"/>
      <c r="F759" s="105" t="s">
        <v>5130</v>
      </c>
      <c r="G759" s="110" t="s">
        <v>1805</v>
      </c>
      <c r="H759" s="93"/>
      <c r="I759" s="93">
        <v>3160</v>
      </c>
      <c r="J759" s="131">
        <f t="shared" si="49"/>
        <v>39659.65</v>
      </c>
    </row>
    <row r="760" spans="2:10" x14ac:dyDescent="0.2">
      <c r="B760" s="103"/>
      <c r="C760" s="103">
        <v>43131</v>
      </c>
      <c r="D760" s="104"/>
      <c r="E760" s="105"/>
      <c r="F760" s="105" t="s">
        <v>4768</v>
      </c>
      <c r="G760" s="110" t="s">
        <v>1537</v>
      </c>
      <c r="H760" s="93"/>
      <c r="I760" s="93">
        <v>18</v>
      </c>
      <c r="J760" s="131">
        <f t="shared" si="49"/>
        <v>39641.65</v>
      </c>
    </row>
    <row r="761" spans="2:10" x14ac:dyDescent="0.2">
      <c r="B761" s="103"/>
      <c r="C761" s="103">
        <v>43131</v>
      </c>
      <c r="D761" s="104"/>
      <c r="E761" s="105"/>
      <c r="F761" s="105" t="s">
        <v>4767</v>
      </c>
      <c r="G761" s="110" t="s">
        <v>1790</v>
      </c>
      <c r="H761" s="93"/>
      <c r="I761" s="93">
        <v>2.88</v>
      </c>
      <c r="J761" s="131">
        <f t="shared" si="49"/>
        <v>39638.770000000004</v>
      </c>
    </row>
    <row r="762" spans="2:10" ht="25.5" x14ac:dyDescent="0.2">
      <c r="B762" s="94" t="s">
        <v>1525</v>
      </c>
      <c r="C762" s="94" t="s">
        <v>1526</v>
      </c>
      <c r="D762" s="95" t="s">
        <v>1527</v>
      </c>
      <c r="E762" s="391" t="s">
        <v>1528</v>
      </c>
      <c r="F762" s="391" t="s">
        <v>1529</v>
      </c>
      <c r="G762" s="3" t="s">
        <v>3</v>
      </c>
      <c r="H762" s="96" t="s">
        <v>1530</v>
      </c>
      <c r="I762" s="96" t="s">
        <v>1531</v>
      </c>
      <c r="J762" s="96" t="s">
        <v>1532</v>
      </c>
    </row>
    <row r="763" spans="2:10" x14ac:dyDescent="0.2">
      <c r="B763" s="103"/>
      <c r="C763" s="103">
        <v>43138</v>
      </c>
      <c r="D763" s="104"/>
      <c r="E763" s="105"/>
      <c r="F763" s="105" t="s">
        <v>5129</v>
      </c>
      <c r="G763" s="110" t="s">
        <v>3515</v>
      </c>
      <c r="H763" s="93">
        <v>300</v>
      </c>
      <c r="I763" s="93"/>
      <c r="J763" s="131">
        <f>+J761+H763-I763</f>
        <v>39938.770000000004</v>
      </c>
    </row>
    <row r="764" spans="2:10" x14ac:dyDescent="0.2">
      <c r="B764" s="103"/>
      <c r="C764" s="103">
        <v>43138</v>
      </c>
      <c r="D764" s="104"/>
      <c r="E764" s="105"/>
      <c r="F764" s="105" t="s">
        <v>1536</v>
      </c>
      <c r="G764" s="110" t="s">
        <v>1537</v>
      </c>
      <c r="H764" s="93">
        <v>0.46</v>
      </c>
      <c r="I764" s="93"/>
      <c r="J764" s="131">
        <f t="shared" ref="J764:J765" si="50">+J763+H764-I764</f>
        <v>39939.230000000003</v>
      </c>
    </row>
    <row r="765" spans="2:10" x14ac:dyDescent="0.2">
      <c r="B765" s="103"/>
      <c r="C765" s="103">
        <v>43150</v>
      </c>
      <c r="D765" s="104"/>
      <c r="E765" s="105"/>
      <c r="F765" s="105" t="s">
        <v>5129</v>
      </c>
      <c r="G765" s="110" t="s">
        <v>806</v>
      </c>
      <c r="H765" s="93">
        <v>11000</v>
      </c>
      <c r="I765" s="93"/>
      <c r="J765" s="131">
        <f t="shared" si="50"/>
        <v>50939.23</v>
      </c>
    </row>
    <row r="766" spans="2:10" x14ac:dyDescent="0.2">
      <c r="B766" s="103"/>
      <c r="C766" s="103">
        <v>43150</v>
      </c>
      <c r="D766" s="104"/>
      <c r="E766" s="105"/>
      <c r="F766" s="105" t="s">
        <v>1596</v>
      </c>
      <c r="G766" s="110" t="s">
        <v>1537</v>
      </c>
      <c r="H766" s="93">
        <v>1760</v>
      </c>
      <c r="I766" s="93"/>
      <c r="J766" s="131">
        <f t="shared" ref="J766:J772" si="51">+J765+H766-I766</f>
        <v>52699.23</v>
      </c>
    </row>
    <row r="767" spans="2:10" x14ac:dyDescent="0.2">
      <c r="B767" s="103"/>
      <c r="C767" s="103">
        <v>43157</v>
      </c>
      <c r="D767" s="104">
        <v>105</v>
      </c>
      <c r="E767" s="105"/>
      <c r="F767" s="105" t="s">
        <v>5244</v>
      </c>
      <c r="G767" s="110" t="s">
        <v>1805</v>
      </c>
      <c r="H767" s="93"/>
      <c r="I767" s="93">
        <v>3160</v>
      </c>
      <c r="J767" s="131">
        <f t="shared" si="51"/>
        <v>49539.23</v>
      </c>
    </row>
    <row r="768" spans="2:10" x14ac:dyDescent="0.2">
      <c r="B768" s="103"/>
      <c r="C768" s="103">
        <v>43159</v>
      </c>
      <c r="D768" s="104"/>
      <c r="E768" s="105"/>
      <c r="F768" s="105" t="s">
        <v>4768</v>
      </c>
      <c r="G768" s="110" t="s">
        <v>1537</v>
      </c>
      <c r="H768" s="93"/>
      <c r="I768" s="93">
        <v>18</v>
      </c>
      <c r="J768" s="131">
        <f t="shared" si="51"/>
        <v>49521.23</v>
      </c>
    </row>
    <row r="769" spans="2:10" x14ac:dyDescent="0.2">
      <c r="B769" s="103"/>
      <c r="C769" s="103">
        <v>43159</v>
      </c>
      <c r="D769" s="104"/>
      <c r="E769" s="105"/>
      <c r="F769" s="105" t="s">
        <v>4767</v>
      </c>
      <c r="G769" s="110" t="s">
        <v>1790</v>
      </c>
      <c r="H769" s="93"/>
      <c r="I769" s="93">
        <v>2.88</v>
      </c>
      <c r="J769" s="131">
        <f t="shared" si="51"/>
        <v>49518.350000000006</v>
      </c>
    </row>
    <row r="770" spans="2:10" ht="25.5" x14ac:dyDescent="0.2">
      <c r="B770" s="94" t="s">
        <v>1525</v>
      </c>
      <c r="C770" s="94" t="s">
        <v>1526</v>
      </c>
      <c r="D770" s="95" t="s">
        <v>1527</v>
      </c>
      <c r="E770" s="391" t="s">
        <v>1528</v>
      </c>
      <c r="F770" s="391" t="s">
        <v>1529</v>
      </c>
      <c r="G770" s="3" t="s">
        <v>3</v>
      </c>
      <c r="H770" s="96" t="s">
        <v>1530</v>
      </c>
      <c r="I770" s="96" t="s">
        <v>1531</v>
      </c>
      <c r="J770" s="96" t="s">
        <v>1532</v>
      </c>
    </row>
    <row r="771" spans="2:10" x14ac:dyDescent="0.2">
      <c r="B771" s="103"/>
      <c r="C771" s="103">
        <v>43165</v>
      </c>
      <c r="D771" s="104"/>
      <c r="E771" s="105"/>
      <c r="F771" s="105" t="s">
        <v>5241</v>
      </c>
      <c r="G771" s="110" t="s">
        <v>3515</v>
      </c>
      <c r="H771" s="93">
        <v>300</v>
      </c>
      <c r="I771" s="93"/>
      <c r="J771" s="131">
        <f>+J769+H771-I771</f>
        <v>49818.350000000006</v>
      </c>
    </row>
    <row r="772" spans="2:10" x14ac:dyDescent="0.2">
      <c r="B772" s="103"/>
      <c r="C772" s="103">
        <v>43165</v>
      </c>
      <c r="D772" s="104"/>
      <c r="E772" s="105"/>
      <c r="F772" s="105" t="s">
        <v>1536</v>
      </c>
      <c r="G772" s="110" t="s">
        <v>1537</v>
      </c>
      <c r="H772" s="93">
        <v>0.46</v>
      </c>
      <c r="I772" s="93"/>
      <c r="J772" s="131">
        <f t="shared" si="51"/>
        <v>49818.810000000005</v>
      </c>
    </row>
    <row r="773" spans="2:10" x14ac:dyDescent="0.2">
      <c r="B773" s="103"/>
      <c r="C773" s="103">
        <v>43169</v>
      </c>
      <c r="D773" s="104"/>
      <c r="E773" s="105"/>
      <c r="F773" s="105" t="s">
        <v>5246</v>
      </c>
      <c r="G773" s="110" t="s">
        <v>119</v>
      </c>
      <c r="H773" s="93">
        <v>800</v>
      </c>
      <c r="I773" s="93"/>
      <c r="J773" s="131">
        <f t="shared" ref="J773:J779" si="52">+J772+H773-I773</f>
        <v>50618.810000000005</v>
      </c>
    </row>
    <row r="774" spans="2:10" x14ac:dyDescent="0.2">
      <c r="B774" s="103"/>
      <c r="C774" s="103">
        <v>43175</v>
      </c>
      <c r="D774" s="104">
        <v>106</v>
      </c>
      <c r="E774" s="105"/>
      <c r="F774" s="105" t="s">
        <v>5243</v>
      </c>
      <c r="G774" s="110" t="s">
        <v>1805</v>
      </c>
      <c r="H774" s="93"/>
      <c r="I774" s="93">
        <v>3160</v>
      </c>
      <c r="J774" s="131">
        <f t="shared" si="52"/>
        <v>47458.810000000005</v>
      </c>
    </row>
    <row r="775" spans="2:10" x14ac:dyDescent="0.2">
      <c r="B775" s="103"/>
      <c r="C775" s="103">
        <v>43181</v>
      </c>
      <c r="D775" s="104"/>
      <c r="E775" s="105"/>
      <c r="F775" s="105" t="s">
        <v>5245</v>
      </c>
      <c r="G775" s="110" t="s">
        <v>806</v>
      </c>
      <c r="H775" s="93">
        <v>11000</v>
      </c>
      <c r="I775" s="93"/>
      <c r="J775" s="131">
        <f t="shared" si="52"/>
        <v>58458.810000000005</v>
      </c>
    </row>
    <row r="776" spans="2:10" x14ac:dyDescent="0.2">
      <c r="B776" s="103"/>
      <c r="C776" s="103">
        <v>43181</v>
      </c>
      <c r="D776" s="104"/>
      <c r="E776" s="105"/>
      <c r="F776" s="105" t="s">
        <v>1596</v>
      </c>
      <c r="G776" s="110" t="s">
        <v>1537</v>
      </c>
      <c r="H776" s="93">
        <v>1760</v>
      </c>
      <c r="I776" s="93"/>
      <c r="J776" s="131">
        <f t="shared" si="52"/>
        <v>60218.810000000005</v>
      </c>
    </row>
    <row r="777" spans="2:10" x14ac:dyDescent="0.2">
      <c r="B777" s="103"/>
      <c r="C777" s="103">
        <v>43182</v>
      </c>
      <c r="D777" s="104"/>
      <c r="E777" s="105"/>
      <c r="F777" s="105" t="s">
        <v>5242</v>
      </c>
      <c r="G777" s="110" t="s">
        <v>571</v>
      </c>
      <c r="H777" s="93">
        <v>400</v>
      </c>
      <c r="I777" s="93"/>
      <c r="J777" s="131">
        <f t="shared" si="52"/>
        <v>60618.810000000005</v>
      </c>
    </row>
    <row r="778" spans="2:10" x14ac:dyDescent="0.2">
      <c r="B778" s="103"/>
      <c r="C778" s="103">
        <v>43182</v>
      </c>
      <c r="D778" s="104"/>
      <c r="E778" s="105"/>
      <c r="F778" s="105" t="s">
        <v>1536</v>
      </c>
      <c r="G778" s="110" t="s">
        <v>1537</v>
      </c>
      <c r="H778" s="93">
        <v>0.15</v>
      </c>
      <c r="I778" s="93"/>
      <c r="J778" s="131">
        <f t="shared" si="52"/>
        <v>60618.960000000006</v>
      </c>
    </row>
    <row r="779" spans="2:10" x14ac:dyDescent="0.2">
      <c r="B779" s="103"/>
      <c r="C779" s="103">
        <v>43187</v>
      </c>
      <c r="D779" s="104"/>
      <c r="E779" s="105"/>
      <c r="F779" s="105" t="s">
        <v>5247</v>
      </c>
      <c r="G779" s="110" t="s">
        <v>119</v>
      </c>
      <c r="H779" s="93">
        <v>1200</v>
      </c>
      <c r="I779" s="93"/>
      <c r="J779" s="131">
        <f t="shared" si="52"/>
        <v>61818.960000000006</v>
      </c>
    </row>
    <row r="780" spans="2:10" x14ac:dyDescent="0.2">
      <c r="B780" s="103"/>
      <c r="C780" s="103">
        <v>43187</v>
      </c>
      <c r="D780" s="104"/>
      <c r="E780" s="105"/>
      <c r="F780" s="105" t="s">
        <v>5248</v>
      </c>
      <c r="G780" s="110" t="s">
        <v>1537</v>
      </c>
      <c r="H780" s="93"/>
      <c r="I780" s="93">
        <v>18</v>
      </c>
      <c r="J780" s="131">
        <f t="shared" ref="J780:J786" si="53">+J779+H780-I780</f>
        <v>61800.960000000006</v>
      </c>
    </row>
    <row r="781" spans="2:10" x14ac:dyDescent="0.2">
      <c r="B781" s="103"/>
      <c r="C781" s="103">
        <v>43218</v>
      </c>
      <c r="D781" s="104"/>
      <c r="E781" s="105"/>
      <c r="F781" s="105" t="s">
        <v>4767</v>
      </c>
      <c r="G781" s="110" t="s">
        <v>1790</v>
      </c>
      <c r="H781" s="93"/>
      <c r="I781" s="93">
        <v>2.88</v>
      </c>
      <c r="J781" s="131">
        <f t="shared" si="53"/>
        <v>61798.080000000009</v>
      </c>
    </row>
    <row r="782" spans="2:10" ht="25.5" x14ac:dyDescent="0.2">
      <c r="B782" s="94" t="s">
        <v>1525</v>
      </c>
      <c r="C782" s="94" t="s">
        <v>1526</v>
      </c>
      <c r="D782" s="95" t="s">
        <v>1527</v>
      </c>
      <c r="E782" s="392" t="s">
        <v>1528</v>
      </c>
      <c r="F782" s="392" t="s">
        <v>1529</v>
      </c>
      <c r="G782" s="3" t="s">
        <v>3</v>
      </c>
      <c r="H782" s="96" t="s">
        <v>1530</v>
      </c>
      <c r="I782" s="96" t="s">
        <v>1531</v>
      </c>
      <c r="J782" s="96" t="s">
        <v>1532</v>
      </c>
    </row>
    <row r="783" spans="2:10" x14ac:dyDescent="0.2">
      <c r="B783" s="103"/>
      <c r="C783" s="103">
        <v>43193</v>
      </c>
      <c r="D783" s="104"/>
      <c r="E783" s="105"/>
      <c r="F783" s="105" t="s">
        <v>5249</v>
      </c>
      <c r="G783" s="110" t="s">
        <v>3515</v>
      </c>
      <c r="H783" s="93">
        <v>300</v>
      </c>
      <c r="I783" s="93"/>
      <c r="J783" s="131">
        <f>+J781+H783-I783</f>
        <v>62098.080000000009</v>
      </c>
    </row>
    <row r="784" spans="2:10" x14ac:dyDescent="0.2">
      <c r="B784" s="103"/>
      <c r="C784" s="103">
        <v>43193</v>
      </c>
      <c r="D784" s="104"/>
      <c r="E784" s="105"/>
      <c r="F784" s="105" t="s">
        <v>1536</v>
      </c>
      <c r="G784" s="110" t="s">
        <v>1537</v>
      </c>
      <c r="H784" s="93">
        <v>0.46</v>
      </c>
      <c r="I784" s="93"/>
      <c r="J784" s="131">
        <f t="shared" si="53"/>
        <v>62098.540000000008</v>
      </c>
    </row>
    <row r="785" spans="2:10" x14ac:dyDescent="0.2">
      <c r="B785" s="103"/>
      <c r="C785" s="103">
        <v>43197</v>
      </c>
      <c r="D785" s="104"/>
      <c r="E785" s="105"/>
      <c r="F785" s="105" t="s">
        <v>5250</v>
      </c>
      <c r="G785" s="110" t="s">
        <v>119</v>
      </c>
      <c r="H785" s="93">
        <v>800</v>
      </c>
      <c r="I785" s="93"/>
      <c r="J785" s="131">
        <f t="shared" si="53"/>
        <v>62898.540000000008</v>
      </c>
    </row>
    <row r="786" spans="2:10" x14ac:dyDescent="0.2">
      <c r="B786" s="103"/>
      <c r="C786" s="103">
        <v>43210</v>
      </c>
      <c r="D786" s="104"/>
      <c r="E786" s="105"/>
      <c r="F786" s="105" t="s">
        <v>5251</v>
      </c>
      <c r="G786" s="110" t="s">
        <v>806</v>
      </c>
      <c r="H786" s="93">
        <v>11000</v>
      </c>
      <c r="I786" s="93"/>
      <c r="J786" s="131">
        <f t="shared" si="53"/>
        <v>73898.540000000008</v>
      </c>
    </row>
    <row r="787" spans="2:10" x14ac:dyDescent="0.2">
      <c r="B787" s="103"/>
      <c r="C787" s="103">
        <v>43210</v>
      </c>
      <c r="D787" s="104"/>
      <c r="E787" s="105"/>
      <c r="F787" s="105" t="s">
        <v>1596</v>
      </c>
      <c r="G787" s="110" t="s">
        <v>1537</v>
      </c>
      <c r="H787" s="93">
        <v>1760</v>
      </c>
      <c r="I787" s="93"/>
      <c r="J787" s="131">
        <f t="shared" ref="J787:J794" si="54">+J786+H787-I787</f>
        <v>75658.540000000008</v>
      </c>
    </row>
    <row r="788" spans="2:10" x14ac:dyDescent="0.2">
      <c r="B788" s="103"/>
      <c r="C788" s="103">
        <v>43210</v>
      </c>
      <c r="D788" s="104"/>
      <c r="E788" s="105"/>
      <c r="F788" s="105" t="s">
        <v>5252</v>
      </c>
      <c r="G788" s="110" t="s">
        <v>1805</v>
      </c>
      <c r="H788" s="93"/>
      <c r="I788" s="93">
        <v>3160</v>
      </c>
      <c r="J788" s="131">
        <f t="shared" si="54"/>
        <v>72498.540000000008</v>
      </c>
    </row>
    <row r="789" spans="2:10" x14ac:dyDescent="0.2">
      <c r="B789" s="103"/>
      <c r="C789" s="103">
        <v>43220</v>
      </c>
      <c r="D789" s="104"/>
      <c r="E789" s="105"/>
      <c r="F789" s="105" t="s">
        <v>5248</v>
      </c>
      <c r="G789" s="110" t="s">
        <v>1537</v>
      </c>
      <c r="H789" s="93"/>
      <c r="I789" s="93">
        <v>18</v>
      </c>
      <c r="J789" s="131">
        <f t="shared" si="54"/>
        <v>72480.540000000008</v>
      </c>
    </row>
    <row r="790" spans="2:10" x14ac:dyDescent="0.2">
      <c r="B790" s="103"/>
      <c r="C790" s="103">
        <v>43220</v>
      </c>
      <c r="D790" s="104"/>
      <c r="E790" s="105"/>
      <c r="F790" s="105" t="s">
        <v>4767</v>
      </c>
      <c r="G790" s="110" t="s">
        <v>1790</v>
      </c>
      <c r="H790" s="93"/>
      <c r="I790" s="93">
        <v>2.88</v>
      </c>
      <c r="J790" s="131">
        <f t="shared" si="54"/>
        <v>72477.66</v>
      </c>
    </row>
    <row r="791" spans="2:10" ht="25.5" x14ac:dyDescent="0.2">
      <c r="B791" s="94" t="s">
        <v>1525</v>
      </c>
      <c r="C791" s="94" t="s">
        <v>1526</v>
      </c>
      <c r="D791" s="95" t="s">
        <v>1527</v>
      </c>
      <c r="E791" s="392" t="s">
        <v>1528</v>
      </c>
      <c r="F791" s="392" t="s">
        <v>1529</v>
      </c>
      <c r="G791" s="3" t="s">
        <v>3</v>
      </c>
      <c r="H791" s="96" t="s">
        <v>1530</v>
      </c>
      <c r="I791" s="96" t="s">
        <v>1531</v>
      </c>
      <c r="J791" s="96" t="s">
        <v>1532</v>
      </c>
    </row>
    <row r="792" spans="2:10" x14ac:dyDescent="0.2">
      <c r="B792" s="103"/>
      <c r="C792" s="103">
        <v>43223</v>
      </c>
      <c r="D792" s="104"/>
      <c r="E792" s="105"/>
      <c r="F792" s="105" t="s">
        <v>5318</v>
      </c>
      <c r="G792" s="110" t="s">
        <v>3515</v>
      </c>
      <c r="H792" s="93">
        <v>300</v>
      </c>
      <c r="I792" s="93"/>
      <c r="J792" s="131">
        <f>+J790+H792-I792</f>
        <v>72777.66</v>
      </c>
    </row>
    <row r="793" spans="2:10" x14ac:dyDescent="0.2">
      <c r="B793" s="103"/>
      <c r="C793" s="103">
        <v>43223</v>
      </c>
      <c r="D793" s="104"/>
      <c r="E793" s="105"/>
      <c r="F793" s="105" t="s">
        <v>1536</v>
      </c>
      <c r="G793" s="110" t="s">
        <v>1537</v>
      </c>
      <c r="H793" s="93">
        <v>0.46</v>
      </c>
      <c r="I793" s="93"/>
      <c r="J793" s="131">
        <f t="shared" si="54"/>
        <v>72778.12000000001</v>
      </c>
    </row>
    <row r="794" spans="2:10" x14ac:dyDescent="0.2">
      <c r="B794" s="103"/>
      <c r="C794" s="103">
        <v>43227</v>
      </c>
      <c r="D794" s="104"/>
      <c r="E794" s="105"/>
      <c r="F794" s="105" t="s">
        <v>5319</v>
      </c>
      <c r="G794" s="110" t="s">
        <v>571</v>
      </c>
      <c r="H794" s="93">
        <v>200</v>
      </c>
      <c r="I794" s="93"/>
      <c r="J794" s="131">
        <f t="shared" si="54"/>
        <v>72978.12000000001</v>
      </c>
    </row>
    <row r="795" spans="2:10" x14ac:dyDescent="0.2">
      <c r="B795" s="103"/>
      <c r="C795" s="103">
        <v>43227</v>
      </c>
      <c r="D795" s="104"/>
      <c r="E795" s="105"/>
      <c r="F795" s="105" t="s">
        <v>1536</v>
      </c>
      <c r="G795" s="110" t="s">
        <v>1537</v>
      </c>
      <c r="H795" s="93">
        <v>0.15</v>
      </c>
      <c r="I795" s="93"/>
      <c r="J795" s="131">
        <f t="shared" ref="J795:J802" si="55">+J794+H795-I795</f>
        <v>72978.27</v>
      </c>
    </row>
    <row r="796" spans="2:10" x14ac:dyDescent="0.2">
      <c r="B796" s="103"/>
      <c r="C796" s="103">
        <v>43238</v>
      </c>
      <c r="D796" s="104"/>
      <c r="E796" s="105"/>
      <c r="F796" s="105" t="s">
        <v>5585</v>
      </c>
      <c r="G796" s="110" t="s">
        <v>1805</v>
      </c>
      <c r="H796" s="93"/>
      <c r="I796" s="93">
        <v>3160</v>
      </c>
      <c r="J796" s="131">
        <f t="shared" si="55"/>
        <v>69818.27</v>
      </c>
    </row>
    <row r="797" spans="2:10" x14ac:dyDescent="0.2">
      <c r="B797" s="103"/>
      <c r="C797" s="103">
        <v>43238</v>
      </c>
      <c r="D797" s="104"/>
      <c r="E797" s="105"/>
      <c r="F797" s="105" t="s">
        <v>5320</v>
      </c>
      <c r="G797" s="110" t="s">
        <v>208</v>
      </c>
      <c r="H797" s="93">
        <v>1200</v>
      </c>
      <c r="I797" s="93"/>
      <c r="J797" s="131">
        <f t="shared" si="55"/>
        <v>71018.27</v>
      </c>
    </row>
    <row r="798" spans="2:10" x14ac:dyDescent="0.2">
      <c r="B798" s="103"/>
      <c r="C798" s="103">
        <v>43238</v>
      </c>
      <c r="D798" s="104"/>
      <c r="E798" s="105"/>
      <c r="F798" s="105" t="s">
        <v>1536</v>
      </c>
      <c r="G798" s="110" t="s">
        <v>1537</v>
      </c>
      <c r="H798" s="93">
        <v>0.28999999999999998</v>
      </c>
      <c r="I798" s="93"/>
      <c r="J798" s="131">
        <f t="shared" si="55"/>
        <v>71018.559999999998</v>
      </c>
    </row>
    <row r="799" spans="2:10" x14ac:dyDescent="0.2">
      <c r="B799" s="103"/>
      <c r="C799" s="103">
        <v>43243</v>
      </c>
      <c r="D799" s="104"/>
      <c r="E799" s="105"/>
      <c r="F799" s="105" t="s">
        <v>5318</v>
      </c>
      <c r="G799" s="110" t="s">
        <v>806</v>
      </c>
      <c r="H799" s="93">
        <v>11000</v>
      </c>
      <c r="I799" s="93"/>
      <c r="J799" s="131">
        <f t="shared" si="55"/>
        <v>82018.559999999998</v>
      </c>
    </row>
    <row r="800" spans="2:10" x14ac:dyDescent="0.2">
      <c r="B800" s="103"/>
      <c r="C800" s="103">
        <v>43243</v>
      </c>
      <c r="D800" s="104"/>
      <c r="E800" s="105"/>
      <c r="F800" s="105" t="s">
        <v>1596</v>
      </c>
      <c r="G800" s="110" t="s">
        <v>1537</v>
      </c>
      <c r="H800" s="93">
        <v>1760</v>
      </c>
      <c r="I800" s="93"/>
      <c r="J800" s="131">
        <f t="shared" si="55"/>
        <v>83778.559999999998</v>
      </c>
    </row>
    <row r="801" spans="2:10" x14ac:dyDescent="0.2">
      <c r="B801" s="103"/>
      <c r="C801" s="103">
        <v>43245</v>
      </c>
      <c r="D801" s="104">
        <v>225</v>
      </c>
      <c r="E801" s="105"/>
      <c r="F801" s="264" t="s">
        <v>5321</v>
      </c>
      <c r="G801" s="110" t="s">
        <v>1821</v>
      </c>
      <c r="H801" s="93"/>
      <c r="I801" s="93">
        <v>8000</v>
      </c>
      <c r="J801" s="131">
        <f t="shared" si="55"/>
        <v>75778.559999999998</v>
      </c>
    </row>
    <row r="802" spans="2:10" x14ac:dyDescent="0.2">
      <c r="B802" s="103"/>
      <c r="C802" s="103">
        <v>43251</v>
      </c>
      <c r="D802" s="104">
        <v>227</v>
      </c>
      <c r="E802" s="105"/>
      <c r="F802" s="264" t="s">
        <v>5322</v>
      </c>
      <c r="G802" s="110" t="s">
        <v>1577</v>
      </c>
      <c r="H802" s="93"/>
      <c r="I802" s="93">
        <v>40000</v>
      </c>
      <c r="J802" s="131">
        <f t="shared" si="55"/>
        <v>35778.559999999998</v>
      </c>
    </row>
    <row r="803" spans="2:10" x14ac:dyDescent="0.2">
      <c r="B803" s="103"/>
      <c r="C803" s="103">
        <v>43251</v>
      </c>
      <c r="D803" s="104"/>
      <c r="E803" s="105"/>
      <c r="F803" s="105" t="s">
        <v>5248</v>
      </c>
      <c r="G803" s="110" t="s">
        <v>1537</v>
      </c>
      <c r="H803" s="93"/>
      <c r="I803" s="93">
        <v>54</v>
      </c>
      <c r="J803" s="131">
        <f t="shared" ref="J803:J804" si="56">+J802+H803-I803</f>
        <v>35724.559999999998</v>
      </c>
    </row>
    <row r="804" spans="2:10" x14ac:dyDescent="0.2">
      <c r="B804" s="103"/>
      <c r="C804" s="103">
        <v>43251</v>
      </c>
      <c r="D804" s="104"/>
      <c r="E804" s="105"/>
      <c r="F804" s="105" t="s">
        <v>4767</v>
      </c>
      <c r="G804" s="110" t="s">
        <v>1790</v>
      </c>
      <c r="H804" s="93"/>
      <c r="I804" s="93">
        <v>8.64</v>
      </c>
      <c r="J804" s="131">
        <f t="shared" si="56"/>
        <v>35715.919999999998</v>
      </c>
    </row>
    <row r="805" spans="2:10" ht="25.5" x14ac:dyDescent="0.2">
      <c r="B805" s="94" t="s">
        <v>1525</v>
      </c>
      <c r="C805" s="94" t="s">
        <v>1526</v>
      </c>
      <c r="D805" s="95" t="s">
        <v>1527</v>
      </c>
      <c r="E805" s="393" t="s">
        <v>1528</v>
      </c>
      <c r="F805" s="393" t="s">
        <v>1529</v>
      </c>
      <c r="G805" s="3" t="s">
        <v>3</v>
      </c>
      <c r="H805" s="96" t="s">
        <v>1530</v>
      </c>
      <c r="I805" s="96" t="s">
        <v>1531</v>
      </c>
      <c r="J805" s="96" t="s">
        <v>1532</v>
      </c>
    </row>
    <row r="806" spans="2:10" x14ac:dyDescent="0.2">
      <c r="B806" s="103"/>
      <c r="C806" s="103">
        <v>43252</v>
      </c>
      <c r="D806" s="104">
        <v>5285</v>
      </c>
      <c r="E806" s="105"/>
      <c r="F806" s="105" t="s">
        <v>5318</v>
      </c>
      <c r="G806" s="110" t="s">
        <v>571</v>
      </c>
      <c r="H806" s="93">
        <v>200</v>
      </c>
      <c r="I806" s="93"/>
      <c r="J806" s="131">
        <f>+J804+H806-I806</f>
        <v>35915.919999999998</v>
      </c>
    </row>
    <row r="807" spans="2:10" x14ac:dyDescent="0.2">
      <c r="B807" s="103"/>
      <c r="C807" s="103">
        <v>43252</v>
      </c>
      <c r="D807" s="104"/>
      <c r="E807" s="105"/>
      <c r="F807" s="105" t="s">
        <v>1536</v>
      </c>
      <c r="G807" s="110" t="s">
        <v>1537</v>
      </c>
      <c r="H807" s="93">
        <v>0.15</v>
      </c>
      <c r="I807" s="93"/>
      <c r="J807" s="131">
        <f t="shared" ref="J807:J809" si="57">+J806+H807-I807</f>
        <v>35916.07</v>
      </c>
    </row>
    <row r="808" spans="2:10" x14ac:dyDescent="0.2">
      <c r="B808" s="103"/>
      <c r="C808" s="103">
        <v>43253</v>
      </c>
      <c r="D808" s="104">
        <v>618</v>
      </c>
      <c r="E808" s="105"/>
      <c r="F808" s="105" t="s">
        <v>5582</v>
      </c>
      <c r="G808" s="110" t="s">
        <v>3515</v>
      </c>
      <c r="H808" s="93">
        <v>300</v>
      </c>
      <c r="I808" s="93"/>
      <c r="J808" s="131">
        <f t="shared" si="57"/>
        <v>36216.07</v>
      </c>
    </row>
    <row r="809" spans="2:10" x14ac:dyDescent="0.2">
      <c r="B809" s="103"/>
      <c r="C809" s="103">
        <v>43253</v>
      </c>
      <c r="D809" s="104"/>
      <c r="E809" s="105"/>
      <c r="F809" s="105" t="s">
        <v>1536</v>
      </c>
      <c r="G809" s="110" t="s">
        <v>1537</v>
      </c>
      <c r="H809" s="93">
        <v>0.46</v>
      </c>
      <c r="I809" s="93"/>
      <c r="J809" s="131">
        <f t="shared" si="57"/>
        <v>36216.53</v>
      </c>
    </row>
    <row r="810" spans="2:10" x14ac:dyDescent="0.2">
      <c r="B810" s="103"/>
      <c r="C810" s="103">
        <v>43257</v>
      </c>
      <c r="D810" s="104">
        <v>3842</v>
      </c>
      <c r="E810" s="105"/>
      <c r="F810" s="105" t="s">
        <v>5583</v>
      </c>
      <c r="G810" s="110" t="s">
        <v>208</v>
      </c>
      <c r="H810" s="93">
        <v>1200</v>
      </c>
      <c r="I810" s="93"/>
      <c r="J810" s="131">
        <f t="shared" ref="J810:J812" si="58">+J809+H810-I810</f>
        <v>37416.53</v>
      </c>
    </row>
    <row r="811" spans="2:10" x14ac:dyDescent="0.2">
      <c r="B811" s="103"/>
      <c r="C811" s="103">
        <v>43257</v>
      </c>
      <c r="D811" s="104"/>
      <c r="E811" s="105"/>
      <c r="F811" s="105" t="s">
        <v>1536</v>
      </c>
      <c r="G811" s="110" t="s">
        <v>1537</v>
      </c>
      <c r="H811" s="93">
        <v>0.28999999999999998</v>
      </c>
      <c r="I811" s="93"/>
      <c r="J811" s="131">
        <f t="shared" si="58"/>
        <v>37416.82</v>
      </c>
    </row>
    <row r="812" spans="2:10" x14ac:dyDescent="0.2">
      <c r="B812" s="103"/>
      <c r="C812" s="103">
        <v>43270</v>
      </c>
      <c r="D812" s="104">
        <v>228</v>
      </c>
      <c r="E812" s="105"/>
      <c r="F812" s="105" t="s">
        <v>5584</v>
      </c>
      <c r="G812" s="110" t="s">
        <v>1805</v>
      </c>
      <c r="H812" s="93"/>
      <c r="I812" s="93">
        <v>3160</v>
      </c>
      <c r="J812" s="131">
        <f t="shared" si="58"/>
        <v>34256.82</v>
      </c>
    </row>
    <row r="813" spans="2:10" x14ac:dyDescent="0.2">
      <c r="B813" s="103"/>
      <c r="C813" s="103">
        <v>43270</v>
      </c>
      <c r="D813" s="104"/>
      <c r="E813" s="105"/>
      <c r="F813" s="105" t="s">
        <v>5582</v>
      </c>
      <c r="G813" s="110" t="s">
        <v>806</v>
      </c>
      <c r="H813" s="93">
        <v>11000</v>
      </c>
      <c r="I813" s="93"/>
      <c r="J813" s="131">
        <f t="shared" ref="J813:J814" si="59">+J812+H813-I813</f>
        <v>45256.82</v>
      </c>
    </row>
    <row r="814" spans="2:10" x14ac:dyDescent="0.2">
      <c r="B814" s="103"/>
      <c r="C814" s="103">
        <v>43267</v>
      </c>
      <c r="D814" s="104"/>
      <c r="E814" s="105"/>
      <c r="F814" s="105" t="s">
        <v>1596</v>
      </c>
      <c r="G814" s="110" t="s">
        <v>1537</v>
      </c>
      <c r="H814" s="93">
        <v>1760</v>
      </c>
      <c r="I814" s="93"/>
      <c r="J814" s="131">
        <f t="shared" si="59"/>
        <v>47016.82</v>
      </c>
    </row>
    <row r="815" spans="2:10" x14ac:dyDescent="0.2">
      <c r="B815" s="103"/>
      <c r="C815" s="103">
        <v>43280</v>
      </c>
      <c r="D815" s="104">
        <v>8080</v>
      </c>
      <c r="E815" s="105"/>
      <c r="F815" s="105" t="s">
        <v>5582</v>
      </c>
      <c r="G815" s="110" t="s">
        <v>571</v>
      </c>
      <c r="H815" s="93">
        <v>200</v>
      </c>
      <c r="I815" s="93"/>
      <c r="J815" s="131">
        <f>+J814+H815-I815</f>
        <v>47216.82</v>
      </c>
    </row>
    <row r="816" spans="2:10" x14ac:dyDescent="0.2">
      <c r="B816" s="103"/>
      <c r="C816" s="103">
        <v>43280</v>
      </c>
      <c r="D816" s="104"/>
      <c r="E816" s="105"/>
      <c r="F816" s="105" t="s">
        <v>1536</v>
      </c>
      <c r="G816" s="110" t="s">
        <v>1537</v>
      </c>
      <c r="H816" s="93">
        <v>0.15</v>
      </c>
      <c r="I816" s="93"/>
      <c r="J816" s="131">
        <f t="shared" ref="J816:J819" si="60">+J815+H816-I816</f>
        <v>47216.97</v>
      </c>
    </row>
    <row r="817" spans="2:10" x14ac:dyDescent="0.2">
      <c r="B817" s="103"/>
      <c r="C817" s="103">
        <v>43280</v>
      </c>
      <c r="D817" s="104">
        <v>230</v>
      </c>
      <c r="E817" s="105"/>
      <c r="F817" s="105" t="s">
        <v>5586</v>
      </c>
      <c r="G817" s="110" t="s">
        <v>1577</v>
      </c>
      <c r="H817" s="93"/>
      <c r="I817" s="93">
        <v>20000</v>
      </c>
      <c r="J817" s="131">
        <f t="shared" si="60"/>
        <v>27216.97</v>
      </c>
    </row>
    <row r="818" spans="2:10" x14ac:dyDescent="0.2">
      <c r="B818" s="103"/>
      <c r="C818" s="103">
        <v>43280</v>
      </c>
      <c r="D818" s="104"/>
      <c r="E818" s="105"/>
      <c r="F818" s="105" t="s">
        <v>5248</v>
      </c>
      <c r="G818" s="110" t="s">
        <v>1537</v>
      </c>
      <c r="H818" s="93"/>
      <c r="I818" s="93">
        <v>36</v>
      </c>
      <c r="J818" s="131">
        <f t="shared" si="60"/>
        <v>27180.97</v>
      </c>
    </row>
    <row r="819" spans="2:10" x14ac:dyDescent="0.2">
      <c r="B819" s="103"/>
      <c r="C819" s="103">
        <v>43280</v>
      </c>
      <c r="D819" s="104"/>
      <c r="E819" s="105"/>
      <c r="F819" s="105" t="s">
        <v>4767</v>
      </c>
      <c r="G819" s="110" t="s">
        <v>1790</v>
      </c>
      <c r="H819" s="93"/>
      <c r="I819" s="93">
        <v>5.76</v>
      </c>
      <c r="J819" s="131">
        <f t="shared" si="60"/>
        <v>27175.210000000003</v>
      </c>
    </row>
    <row r="820" spans="2:10" ht="25.5" x14ac:dyDescent="0.2">
      <c r="B820" s="94" t="s">
        <v>1525</v>
      </c>
      <c r="C820" s="94" t="s">
        <v>1526</v>
      </c>
      <c r="D820" s="95" t="s">
        <v>1527</v>
      </c>
      <c r="E820" s="394" t="s">
        <v>1528</v>
      </c>
      <c r="F820" s="394" t="s">
        <v>1529</v>
      </c>
      <c r="G820" s="3" t="s">
        <v>3</v>
      </c>
      <c r="H820" s="96" t="s">
        <v>1530</v>
      </c>
      <c r="I820" s="96" t="s">
        <v>1531</v>
      </c>
      <c r="J820" s="96" t="s">
        <v>1532</v>
      </c>
    </row>
    <row r="821" spans="2:10" x14ac:dyDescent="0.2">
      <c r="B821" s="103"/>
      <c r="C821" s="103">
        <v>43287</v>
      </c>
      <c r="D821" s="104">
        <v>718</v>
      </c>
      <c r="E821" s="105"/>
      <c r="F821" s="105" t="s">
        <v>5587</v>
      </c>
      <c r="G821" s="110" t="s">
        <v>3515</v>
      </c>
      <c r="H821" s="93">
        <v>300</v>
      </c>
      <c r="I821" s="93"/>
      <c r="J821" s="131">
        <f>+J819+H821-I821</f>
        <v>27475.210000000003</v>
      </c>
    </row>
    <row r="822" spans="2:10" x14ac:dyDescent="0.2">
      <c r="B822" s="103"/>
      <c r="C822" s="103">
        <v>43287</v>
      </c>
      <c r="D822" s="104"/>
      <c r="E822" s="105"/>
      <c r="F822" s="105" t="s">
        <v>1536</v>
      </c>
      <c r="G822" s="110" t="s">
        <v>1537</v>
      </c>
      <c r="H822" s="93">
        <v>0.46</v>
      </c>
      <c r="I822" s="93"/>
      <c r="J822" s="131">
        <f>+J821+H822-I822</f>
        <v>27475.670000000002</v>
      </c>
    </row>
    <row r="823" spans="2:10" x14ac:dyDescent="0.2">
      <c r="B823" s="103"/>
      <c r="C823" s="103">
        <v>43294</v>
      </c>
      <c r="D823" s="104">
        <v>231</v>
      </c>
      <c r="E823" s="105"/>
      <c r="F823" s="105" t="s">
        <v>5588</v>
      </c>
      <c r="G823" s="110" t="s">
        <v>5594</v>
      </c>
      <c r="H823" s="93"/>
      <c r="I823" s="93">
        <v>3160</v>
      </c>
      <c r="J823" s="131">
        <f>+J822+H823-I823</f>
        <v>24315.670000000002</v>
      </c>
    </row>
    <row r="824" spans="2:10" x14ac:dyDescent="0.2">
      <c r="B824" s="103"/>
      <c r="C824" s="103">
        <v>43294</v>
      </c>
      <c r="D824" s="104">
        <v>8708</v>
      </c>
      <c r="E824" s="105"/>
      <c r="F824" s="105" t="s">
        <v>5587</v>
      </c>
      <c r="G824" s="110" t="s">
        <v>806</v>
      </c>
      <c r="H824" s="93">
        <v>11000</v>
      </c>
      <c r="I824" s="93"/>
      <c r="J824" s="131">
        <f t="shared" ref="J824:J833" si="61">+J823+H824-I824</f>
        <v>35315.67</v>
      </c>
    </row>
    <row r="825" spans="2:10" x14ac:dyDescent="0.2">
      <c r="B825" s="103"/>
      <c r="C825" s="103">
        <v>43294</v>
      </c>
      <c r="D825" s="104"/>
      <c r="E825" s="105"/>
      <c r="F825" s="105" t="s">
        <v>1596</v>
      </c>
      <c r="G825" s="110" t="s">
        <v>1537</v>
      </c>
      <c r="H825" s="93">
        <v>1760</v>
      </c>
      <c r="I825" s="93"/>
      <c r="J825" s="131">
        <f t="shared" si="61"/>
        <v>37075.67</v>
      </c>
    </row>
    <row r="826" spans="2:10" x14ac:dyDescent="0.2">
      <c r="B826" s="103"/>
      <c r="C826" s="103">
        <v>43312</v>
      </c>
      <c r="D826" s="104">
        <v>232</v>
      </c>
      <c r="E826" s="105"/>
      <c r="F826" s="105" t="s">
        <v>5589</v>
      </c>
      <c r="G826" s="110" t="s">
        <v>1577</v>
      </c>
      <c r="H826" s="93"/>
      <c r="I826" s="93">
        <v>25000</v>
      </c>
      <c r="J826" s="131">
        <f t="shared" si="61"/>
        <v>12075.669999999998</v>
      </c>
    </row>
    <row r="827" spans="2:10" x14ac:dyDescent="0.2">
      <c r="B827" s="103"/>
      <c r="C827" s="103">
        <v>43312</v>
      </c>
      <c r="D827" s="104"/>
      <c r="E827" s="105"/>
      <c r="F827" s="105" t="s">
        <v>5248</v>
      </c>
      <c r="G827" s="110" t="s">
        <v>1537</v>
      </c>
      <c r="H827" s="93"/>
      <c r="I827" s="93">
        <v>36</v>
      </c>
      <c r="J827" s="131">
        <f t="shared" si="61"/>
        <v>12039.669999999998</v>
      </c>
    </row>
    <row r="828" spans="2:10" x14ac:dyDescent="0.2">
      <c r="B828" s="103"/>
      <c r="C828" s="103">
        <v>43312</v>
      </c>
      <c r="D828" s="104"/>
      <c r="E828" s="105"/>
      <c r="F828" s="105" t="s">
        <v>4767</v>
      </c>
      <c r="G828" s="110" t="s">
        <v>1790</v>
      </c>
      <c r="H828" s="93"/>
      <c r="I828" s="93">
        <v>5.76</v>
      </c>
      <c r="J828" s="131">
        <f t="shared" si="61"/>
        <v>12033.909999999998</v>
      </c>
    </row>
    <row r="829" spans="2:10" ht="25.5" x14ac:dyDescent="0.2">
      <c r="B829" s="94" t="s">
        <v>1525</v>
      </c>
      <c r="C829" s="94" t="s">
        <v>1526</v>
      </c>
      <c r="D829" s="95" t="s">
        <v>1527</v>
      </c>
      <c r="E829" s="396" t="s">
        <v>1528</v>
      </c>
      <c r="F829" s="396" t="s">
        <v>1529</v>
      </c>
      <c r="G829" s="3" t="s">
        <v>3</v>
      </c>
      <c r="H829" s="96" t="s">
        <v>1530</v>
      </c>
      <c r="I829" s="96" t="s">
        <v>1531</v>
      </c>
      <c r="J829" s="96" t="s">
        <v>1532</v>
      </c>
    </row>
    <row r="830" spans="2:10" x14ac:dyDescent="0.2">
      <c r="B830" s="103"/>
      <c r="C830" s="103">
        <v>43315</v>
      </c>
      <c r="D830" s="104">
        <v>818</v>
      </c>
      <c r="E830" s="105"/>
      <c r="F830" s="105" t="s">
        <v>5590</v>
      </c>
      <c r="G830" s="110" t="s">
        <v>3515</v>
      </c>
      <c r="H830" s="93">
        <v>300</v>
      </c>
      <c r="I830" s="93"/>
      <c r="J830" s="131">
        <f>+J828+H830-I830</f>
        <v>12333.909999999998</v>
      </c>
    </row>
    <row r="831" spans="2:10" x14ac:dyDescent="0.2">
      <c r="B831" s="103"/>
      <c r="C831" s="103">
        <v>43315</v>
      </c>
      <c r="D831" s="104"/>
      <c r="E831" s="105"/>
      <c r="F831" s="105" t="s">
        <v>1536</v>
      </c>
      <c r="G831" s="110" t="s">
        <v>1537</v>
      </c>
      <c r="H831" s="93">
        <v>0.46</v>
      </c>
      <c r="I831" s="93"/>
      <c r="J831" s="131">
        <f t="shared" si="61"/>
        <v>12334.369999999997</v>
      </c>
    </row>
    <row r="832" spans="2:10" x14ac:dyDescent="0.2">
      <c r="B832" s="103"/>
      <c r="C832" s="103">
        <v>43320</v>
      </c>
      <c r="D832" s="104">
        <v>808</v>
      </c>
      <c r="E832" s="105"/>
      <c r="F832" s="105" t="s">
        <v>5591</v>
      </c>
      <c r="G832" s="110" t="s">
        <v>208</v>
      </c>
      <c r="H832" s="93">
        <v>2000</v>
      </c>
      <c r="I832" s="93"/>
      <c r="J832" s="131">
        <f t="shared" si="61"/>
        <v>14334.369999999997</v>
      </c>
    </row>
    <row r="833" spans="2:10" x14ac:dyDescent="0.2">
      <c r="B833" s="103"/>
      <c r="C833" s="103">
        <v>43320</v>
      </c>
      <c r="D833" s="104"/>
      <c r="E833" s="105"/>
      <c r="F833" s="105" t="s">
        <v>1536</v>
      </c>
      <c r="G833" s="110" t="s">
        <v>1537</v>
      </c>
      <c r="H833" s="93">
        <v>0.28999999999999998</v>
      </c>
      <c r="I833" s="93"/>
      <c r="J833" s="131">
        <f t="shared" si="61"/>
        <v>14334.659999999998</v>
      </c>
    </row>
    <row r="834" spans="2:10" x14ac:dyDescent="0.2">
      <c r="B834" s="103"/>
      <c r="C834" s="103">
        <v>43328</v>
      </c>
      <c r="D834" s="104">
        <v>233</v>
      </c>
      <c r="E834" s="105"/>
      <c r="F834" s="105" t="s">
        <v>5592</v>
      </c>
      <c r="G834" s="110" t="s">
        <v>5594</v>
      </c>
      <c r="H834" s="93"/>
      <c r="I834" s="93">
        <v>3160</v>
      </c>
      <c r="J834" s="131">
        <f t="shared" ref="J834:J838" si="62">+J833+H834-I834</f>
        <v>11174.659999999998</v>
      </c>
    </row>
    <row r="835" spans="2:10" x14ac:dyDescent="0.2">
      <c r="B835" s="103"/>
      <c r="C835" s="103">
        <v>43333</v>
      </c>
      <c r="D835" s="104">
        <v>3386</v>
      </c>
      <c r="E835" s="105"/>
      <c r="F835" s="105" t="s">
        <v>5593</v>
      </c>
      <c r="G835" s="110" t="s">
        <v>571</v>
      </c>
      <c r="H835" s="93">
        <v>400</v>
      </c>
      <c r="I835" s="93"/>
      <c r="J835" s="131">
        <f t="shared" si="62"/>
        <v>11574.659999999998</v>
      </c>
    </row>
    <row r="836" spans="2:10" x14ac:dyDescent="0.2">
      <c r="B836" s="103"/>
      <c r="C836" s="103">
        <v>43333</v>
      </c>
      <c r="D836" s="104"/>
      <c r="E836" s="105"/>
      <c r="F836" s="105" t="s">
        <v>1536</v>
      </c>
      <c r="G836" s="110" t="s">
        <v>1537</v>
      </c>
      <c r="H836" s="93">
        <v>0.15</v>
      </c>
      <c r="I836" s="93"/>
      <c r="J836" s="131">
        <f t="shared" si="62"/>
        <v>11574.809999999998</v>
      </c>
    </row>
    <row r="837" spans="2:10" x14ac:dyDescent="0.2">
      <c r="B837" s="103"/>
      <c r="C837" s="103">
        <v>43339</v>
      </c>
      <c r="D837" s="104">
        <v>8720</v>
      </c>
      <c r="E837" s="105"/>
      <c r="F837" s="105" t="s">
        <v>5670</v>
      </c>
      <c r="G837" s="110" t="s">
        <v>806</v>
      </c>
      <c r="H837" s="93">
        <v>11000</v>
      </c>
      <c r="I837" s="93"/>
      <c r="J837" s="131">
        <f t="shared" si="62"/>
        <v>22574.809999999998</v>
      </c>
    </row>
    <row r="838" spans="2:10" x14ac:dyDescent="0.2">
      <c r="B838" s="103"/>
      <c r="C838" s="103">
        <v>43339</v>
      </c>
      <c r="D838" s="104"/>
      <c r="E838" s="105"/>
      <c r="F838" s="105" t="s">
        <v>1596</v>
      </c>
      <c r="G838" s="110" t="s">
        <v>1537</v>
      </c>
      <c r="H838" s="93">
        <v>1760</v>
      </c>
      <c r="I838" s="93"/>
      <c r="J838" s="131">
        <f t="shared" si="62"/>
        <v>24334.809999999998</v>
      </c>
    </row>
    <row r="839" spans="2:10" x14ac:dyDescent="0.2">
      <c r="B839" s="103"/>
      <c r="C839" s="103">
        <v>43343</v>
      </c>
      <c r="D839" s="104">
        <v>234</v>
      </c>
      <c r="E839" s="105"/>
      <c r="F839" s="105" t="s">
        <v>5589</v>
      </c>
      <c r="G839" s="110" t="s">
        <v>1577</v>
      </c>
      <c r="H839" s="93"/>
      <c r="I839" s="93">
        <v>20000</v>
      </c>
      <c r="J839" s="131">
        <f t="shared" ref="J839:J854" si="63">+J838+H839-I839</f>
        <v>4334.8099999999977</v>
      </c>
    </row>
    <row r="840" spans="2:10" x14ac:dyDescent="0.2">
      <c r="B840" s="103"/>
      <c r="C840" s="103">
        <v>43343</v>
      </c>
      <c r="D840" s="104"/>
      <c r="E840" s="105"/>
      <c r="F840" s="105" t="s">
        <v>5248</v>
      </c>
      <c r="G840" s="110" t="s">
        <v>1537</v>
      </c>
      <c r="H840" s="93"/>
      <c r="I840" s="93">
        <v>36</v>
      </c>
      <c r="J840" s="131">
        <f t="shared" si="63"/>
        <v>4298.8099999999977</v>
      </c>
    </row>
    <row r="841" spans="2:10" x14ac:dyDescent="0.2">
      <c r="B841" s="103"/>
      <c r="C841" s="103">
        <v>43343</v>
      </c>
      <c r="D841" s="104"/>
      <c r="E841" s="105"/>
      <c r="F841" s="105" t="s">
        <v>4767</v>
      </c>
      <c r="G841" s="110" t="s">
        <v>1790</v>
      </c>
      <c r="H841" s="93"/>
      <c r="I841" s="93">
        <v>5.76</v>
      </c>
      <c r="J841" s="131">
        <f t="shared" si="63"/>
        <v>4293.0499999999975</v>
      </c>
    </row>
    <row r="842" spans="2:10" ht="25.5" x14ac:dyDescent="0.2">
      <c r="B842" s="94" t="s">
        <v>1525</v>
      </c>
      <c r="C842" s="94" t="s">
        <v>1526</v>
      </c>
      <c r="D842" s="95" t="s">
        <v>1527</v>
      </c>
      <c r="E842" s="396" t="s">
        <v>1528</v>
      </c>
      <c r="F842" s="396" t="s">
        <v>1529</v>
      </c>
      <c r="G842" s="3" t="s">
        <v>3</v>
      </c>
      <c r="H842" s="96" t="s">
        <v>1530</v>
      </c>
      <c r="I842" s="96" t="s">
        <v>1531</v>
      </c>
      <c r="J842" s="96" t="s">
        <v>1532</v>
      </c>
    </row>
    <row r="843" spans="2:10" x14ac:dyDescent="0.2">
      <c r="B843" s="103"/>
      <c r="C843" s="103">
        <v>43347</v>
      </c>
      <c r="D843" s="104">
        <v>918</v>
      </c>
      <c r="E843" s="105"/>
      <c r="F843" s="105" t="s">
        <v>5668</v>
      </c>
      <c r="G843" s="110" t="s">
        <v>3515</v>
      </c>
      <c r="H843" s="93">
        <v>300</v>
      </c>
      <c r="I843" s="93"/>
      <c r="J843" s="131">
        <f>+J841+H843-I843</f>
        <v>4593.0499999999975</v>
      </c>
    </row>
    <row r="844" spans="2:10" x14ac:dyDescent="0.2">
      <c r="B844" s="103"/>
      <c r="C844" s="103">
        <v>43347</v>
      </c>
      <c r="D844" s="104"/>
      <c r="E844" s="105"/>
      <c r="F844" s="105" t="s">
        <v>1536</v>
      </c>
      <c r="G844" s="110" t="s">
        <v>1537</v>
      </c>
      <c r="H844" s="93">
        <v>0.46</v>
      </c>
      <c r="I844" s="93"/>
      <c r="J844" s="131">
        <f t="shared" si="63"/>
        <v>4593.5099999999975</v>
      </c>
    </row>
    <row r="845" spans="2:10" x14ac:dyDescent="0.2">
      <c r="B845" s="103"/>
      <c r="C845" s="103">
        <v>43363</v>
      </c>
      <c r="D845" s="104">
        <v>235</v>
      </c>
      <c r="E845" s="105"/>
      <c r="F845" s="105" t="s">
        <v>5669</v>
      </c>
      <c r="G845" s="110" t="s">
        <v>1805</v>
      </c>
      <c r="H845" s="93"/>
      <c r="I845" s="93">
        <v>3160</v>
      </c>
      <c r="J845" s="131">
        <f t="shared" si="63"/>
        <v>1433.5099999999975</v>
      </c>
    </row>
    <row r="846" spans="2:10" x14ac:dyDescent="0.2">
      <c r="B846" s="103"/>
      <c r="C846" s="103">
        <v>43363</v>
      </c>
      <c r="D846" s="104">
        <v>8725</v>
      </c>
      <c r="E846" s="105"/>
      <c r="F846" s="105" t="s">
        <v>5671</v>
      </c>
      <c r="G846" s="110" t="s">
        <v>806</v>
      </c>
      <c r="H846" s="93">
        <v>11000</v>
      </c>
      <c r="I846" s="93"/>
      <c r="J846" s="131">
        <f t="shared" si="63"/>
        <v>12433.509999999998</v>
      </c>
    </row>
    <row r="847" spans="2:10" x14ac:dyDescent="0.2">
      <c r="B847" s="103"/>
      <c r="C847" s="103">
        <v>43363</v>
      </c>
      <c r="D847" s="104"/>
      <c r="E847" s="105"/>
      <c r="F847" s="105" t="s">
        <v>1596</v>
      </c>
      <c r="G847" s="110" t="s">
        <v>1537</v>
      </c>
      <c r="H847" s="93">
        <v>1760</v>
      </c>
      <c r="I847" s="93"/>
      <c r="J847" s="131">
        <f t="shared" si="63"/>
        <v>14193.509999999998</v>
      </c>
    </row>
    <row r="848" spans="2:10" x14ac:dyDescent="0.2">
      <c r="B848" s="103"/>
      <c r="C848" s="103">
        <v>43371</v>
      </c>
      <c r="D848" s="104"/>
      <c r="E848" s="105"/>
      <c r="F848" s="105" t="s">
        <v>5672</v>
      </c>
      <c r="G848" s="110" t="s">
        <v>1537</v>
      </c>
      <c r="H848" s="93"/>
      <c r="I848" s="93">
        <v>390</v>
      </c>
      <c r="J848" s="131">
        <f t="shared" si="63"/>
        <v>13803.509999999998</v>
      </c>
    </row>
    <row r="849" spans="2:10" x14ac:dyDescent="0.2">
      <c r="B849" s="103"/>
      <c r="C849" s="103">
        <v>43371</v>
      </c>
      <c r="D849" s="104"/>
      <c r="E849" s="105"/>
      <c r="F849" s="105" t="s">
        <v>5673</v>
      </c>
      <c r="G849" s="110" t="s">
        <v>1790</v>
      </c>
      <c r="H849" s="93"/>
      <c r="I849" s="93">
        <v>62.4</v>
      </c>
      <c r="J849" s="131">
        <f t="shared" si="63"/>
        <v>13741.109999999999</v>
      </c>
    </row>
    <row r="850" spans="2:10" x14ac:dyDescent="0.2">
      <c r="B850" s="103"/>
      <c r="C850" s="103">
        <v>43371</v>
      </c>
      <c r="D850" s="104"/>
      <c r="E850" s="105"/>
      <c r="F850" s="105" t="s">
        <v>5248</v>
      </c>
      <c r="G850" s="110" t="s">
        <v>1537</v>
      </c>
      <c r="H850" s="93"/>
      <c r="I850" s="93">
        <v>18</v>
      </c>
      <c r="J850" s="131">
        <f t="shared" si="63"/>
        <v>13723.109999999999</v>
      </c>
    </row>
    <row r="851" spans="2:10" x14ac:dyDescent="0.2">
      <c r="B851" s="103"/>
      <c r="C851" s="103">
        <v>43371</v>
      </c>
      <c r="D851" s="104"/>
      <c r="E851" s="105"/>
      <c r="F851" s="105" t="s">
        <v>5674</v>
      </c>
      <c r="G851" s="110" t="s">
        <v>1790</v>
      </c>
      <c r="H851" s="93"/>
      <c r="I851" s="93">
        <v>2.88</v>
      </c>
      <c r="J851" s="131">
        <f t="shared" si="63"/>
        <v>13720.23</v>
      </c>
    </row>
    <row r="852" spans="2:10" ht="25.5" x14ac:dyDescent="0.2">
      <c r="B852" s="94" t="s">
        <v>1525</v>
      </c>
      <c r="C852" s="94" t="s">
        <v>1526</v>
      </c>
      <c r="D852" s="95" t="s">
        <v>1527</v>
      </c>
      <c r="E852" s="403" t="s">
        <v>1528</v>
      </c>
      <c r="F852" s="403" t="s">
        <v>1529</v>
      </c>
      <c r="G852" s="3" t="s">
        <v>3</v>
      </c>
      <c r="H852" s="96" t="s">
        <v>1530</v>
      </c>
      <c r="I852" s="96" t="s">
        <v>1531</v>
      </c>
      <c r="J852" s="96" t="s">
        <v>1532</v>
      </c>
    </row>
    <row r="853" spans="2:10" x14ac:dyDescent="0.2">
      <c r="B853" s="103"/>
      <c r="C853" s="103"/>
      <c r="D853" s="104"/>
      <c r="E853" s="105"/>
      <c r="F853" s="105"/>
      <c r="G853" s="110"/>
      <c r="H853" s="93"/>
      <c r="I853" s="93"/>
      <c r="J853" s="131">
        <f>+J851+H853-I853</f>
        <v>13720.23</v>
      </c>
    </row>
    <row r="854" spans="2:10" x14ac:dyDescent="0.2">
      <c r="B854" s="103"/>
      <c r="C854" s="103"/>
      <c r="D854" s="104"/>
      <c r="E854" s="105"/>
      <c r="F854" s="105"/>
      <c r="G854" s="110"/>
      <c r="H854" s="93"/>
      <c r="I854" s="93"/>
      <c r="J854" s="131">
        <f t="shared" si="63"/>
        <v>13720.23</v>
      </c>
    </row>
  </sheetData>
  <mergeCells count="1">
    <mergeCell ref="H1:J1"/>
  </mergeCells>
  <pageMargins left="0.39370078740157483" right="0.98425196850393704" top="0.98425196850393704" bottom="0.98425196850393704" header="0.51181102362204722" footer="0.51181102362204722"/>
  <pageSetup scale="1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63"/>
  <sheetViews>
    <sheetView showGridLines="0" showZeros="0" zoomScaleNormal="100" zoomScaleSheetLayoutView="80" workbookViewId="0">
      <selection activeCell="A21" sqref="A21"/>
    </sheetView>
  </sheetViews>
  <sheetFormatPr baseColWidth="10" defaultRowHeight="12.75" x14ac:dyDescent="0.2"/>
  <cols>
    <col min="1" max="1" width="12.85546875" customWidth="1"/>
    <col min="2" max="2" width="4.5703125" customWidth="1"/>
    <col min="3" max="3" width="40.5703125" customWidth="1"/>
    <col min="4" max="5" width="13.7109375" hidden="1" customWidth="1"/>
    <col min="6" max="17" width="11.7109375" hidden="1" customWidth="1"/>
    <col min="18" max="18" width="13.7109375" hidden="1" customWidth="1"/>
    <col min="19" max="28" width="11.7109375" hidden="1" customWidth="1"/>
    <col min="29" max="32" width="12.7109375" hidden="1" customWidth="1"/>
    <col min="33" max="33" width="12.5703125" hidden="1" customWidth="1"/>
    <col min="34" max="35" width="12.7109375" hidden="1" customWidth="1"/>
    <col min="36" max="37" width="12.5703125" hidden="1" customWidth="1"/>
    <col min="38" max="43" width="12.7109375" hidden="1" customWidth="1"/>
    <col min="44" max="44" width="13.28515625" hidden="1" customWidth="1"/>
    <col min="45" max="45" width="11.85546875" hidden="1" customWidth="1"/>
    <col min="46" max="46" width="11.7109375" hidden="1" customWidth="1"/>
    <col min="47" max="53" width="11.85546875" hidden="1" customWidth="1"/>
    <col min="54" max="54" width="13" hidden="1" customWidth="1"/>
    <col min="55" max="56" width="11.85546875" hidden="1" customWidth="1"/>
    <col min="57" max="57" width="13.28515625" hidden="1" customWidth="1"/>
    <col min="58" max="58" width="12.5703125" hidden="1" customWidth="1"/>
    <col min="59" max="59" width="12.7109375" hidden="1" customWidth="1"/>
    <col min="60" max="69" width="11.85546875" customWidth="1"/>
    <col min="70" max="70" width="13.28515625" customWidth="1"/>
    <col min="71" max="79" width="12.5703125" customWidth="1"/>
  </cols>
  <sheetData>
    <row r="1" spans="1:79" ht="28.5" customHeight="1" x14ac:dyDescent="0.2">
      <c r="C1" s="176" t="s">
        <v>2874</v>
      </c>
      <c r="D1" s="177"/>
      <c r="E1" s="177"/>
      <c r="F1" s="177"/>
      <c r="G1" s="177"/>
      <c r="H1" s="177"/>
      <c r="I1" s="177"/>
      <c r="J1" s="177"/>
      <c r="K1" s="177"/>
      <c r="L1" s="178"/>
      <c r="M1" s="178"/>
      <c r="N1" s="178"/>
      <c r="O1" s="178"/>
      <c r="R1" s="177"/>
      <c r="S1" s="177"/>
      <c r="T1" s="177"/>
      <c r="U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7"/>
      <c r="BN1" s="177"/>
      <c r="BO1" s="177"/>
      <c r="BP1" s="177"/>
      <c r="BQ1" s="177"/>
      <c r="BR1" s="177"/>
      <c r="BS1" s="177"/>
      <c r="BT1" s="177"/>
      <c r="BU1" s="177"/>
      <c r="BV1" s="177"/>
      <c r="BW1" s="177"/>
      <c r="BX1" s="177"/>
      <c r="BY1" s="177"/>
      <c r="BZ1" s="177"/>
      <c r="CA1" s="177"/>
    </row>
    <row r="2" spans="1:79" ht="12.75" customHeight="1" x14ac:dyDescent="0.2">
      <c r="C2" s="179" t="s">
        <v>4870</v>
      </c>
      <c r="D2" s="179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R2" s="179"/>
      <c r="S2" s="178"/>
      <c r="T2" s="178"/>
      <c r="U2" s="178"/>
      <c r="AE2" s="179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9"/>
      <c r="AS2" s="178"/>
      <c r="BE2" s="179"/>
      <c r="BR2" s="179"/>
    </row>
    <row r="3" spans="1:79" ht="12.75" customHeight="1" x14ac:dyDescent="0.2">
      <c r="C3" s="179"/>
      <c r="D3" s="179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R3" s="179"/>
      <c r="S3" s="178"/>
      <c r="T3" s="178"/>
      <c r="U3" s="178"/>
      <c r="AE3" s="179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9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9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9"/>
      <c r="BS3" s="178"/>
      <c r="BT3" s="178"/>
      <c r="BU3" s="178"/>
      <c r="BV3" s="178"/>
      <c r="BW3" s="178"/>
      <c r="BX3" s="178"/>
      <c r="BY3" s="178"/>
      <c r="BZ3" s="178"/>
      <c r="CA3" s="178"/>
    </row>
    <row r="4" spans="1:79" ht="25.5" customHeight="1" x14ac:dyDescent="0.2">
      <c r="C4" s="180" t="s">
        <v>2875</v>
      </c>
      <c r="D4" s="181" t="s">
        <v>2876</v>
      </c>
      <c r="E4" s="181" t="s">
        <v>2877</v>
      </c>
      <c r="F4" s="182" t="s">
        <v>2878</v>
      </c>
      <c r="G4" s="182" t="s">
        <v>2879</v>
      </c>
      <c r="H4" s="182" t="s">
        <v>2880</v>
      </c>
      <c r="I4" s="182" t="s">
        <v>2881</v>
      </c>
      <c r="J4" s="182" t="s">
        <v>2882</v>
      </c>
      <c r="K4" s="182" t="s">
        <v>2883</v>
      </c>
      <c r="L4" s="182" t="s">
        <v>2884</v>
      </c>
      <c r="M4" s="182" t="s">
        <v>2885</v>
      </c>
      <c r="N4" s="182" t="s">
        <v>2886</v>
      </c>
      <c r="O4" s="182" t="s">
        <v>2887</v>
      </c>
      <c r="P4" s="182" t="s">
        <v>2888</v>
      </c>
      <c r="Q4" s="182" t="s">
        <v>2889</v>
      </c>
      <c r="R4" s="181" t="s">
        <v>2890</v>
      </c>
      <c r="S4" s="182" t="s">
        <v>2878</v>
      </c>
      <c r="T4" s="182" t="s">
        <v>2879</v>
      </c>
      <c r="U4" s="182" t="s">
        <v>2880</v>
      </c>
      <c r="V4" s="182" t="s">
        <v>2881</v>
      </c>
      <c r="W4" s="182" t="s">
        <v>2882</v>
      </c>
      <c r="X4" s="182" t="s">
        <v>2883</v>
      </c>
      <c r="Y4" s="182" t="s">
        <v>2884</v>
      </c>
      <c r="Z4" s="182" t="s">
        <v>2885</v>
      </c>
      <c r="AA4" s="182" t="s">
        <v>2886</v>
      </c>
      <c r="AB4" s="182" t="s">
        <v>2887</v>
      </c>
      <c r="AC4" s="182" t="s">
        <v>2888</v>
      </c>
      <c r="AD4" s="182" t="s">
        <v>2889</v>
      </c>
      <c r="AE4" s="181" t="s">
        <v>2891</v>
      </c>
      <c r="AF4" s="182" t="s">
        <v>2878</v>
      </c>
      <c r="AG4" s="182" t="s">
        <v>2879</v>
      </c>
      <c r="AH4" s="182" t="s">
        <v>2880</v>
      </c>
      <c r="AI4" s="182" t="s">
        <v>2881</v>
      </c>
      <c r="AJ4" s="182" t="s">
        <v>2882</v>
      </c>
      <c r="AK4" s="182" t="s">
        <v>2883</v>
      </c>
      <c r="AL4" s="182" t="s">
        <v>2884</v>
      </c>
      <c r="AM4" s="182" t="s">
        <v>2885</v>
      </c>
      <c r="AN4" s="182" t="s">
        <v>2886</v>
      </c>
      <c r="AO4" s="182" t="s">
        <v>2887</v>
      </c>
      <c r="AP4" s="182" t="s">
        <v>2888</v>
      </c>
      <c r="AQ4" s="182" t="s">
        <v>2889</v>
      </c>
      <c r="AR4" s="181" t="s">
        <v>2892</v>
      </c>
      <c r="AS4" s="181" t="s">
        <v>10</v>
      </c>
      <c r="AT4" s="181" t="s">
        <v>11</v>
      </c>
      <c r="AU4" s="181" t="s">
        <v>12</v>
      </c>
      <c r="AV4" s="181" t="s">
        <v>13</v>
      </c>
      <c r="AW4" s="181" t="s">
        <v>14</v>
      </c>
      <c r="AX4" s="181" t="s">
        <v>15</v>
      </c>
      <c r="AY4" s="181" t="s">
        <v>16</v>
      </c>
      <c r="AZ4" s="181" t="s">
        <v>17</v>
      </c>
      <c r="BA4" s="181" t="s">
        <v>18</v>
      </c>
      <c r="BB4" s="181" t="s">
        <v>19</v>
      </c>
      <c r="BC4" s="181" t="s">
        <v>20</v>
      </c>
      <c r="BD4" s="181" t="s">
        <v>21</v>
      </c>
      <c r="BE4" s="181" t="s">
        <v>3511</v>
      </c>
      <c r="BF4" s="181" t="s">
        <v>23</v>
      </c>
      <c r="BG4" s="181" t="s">
        <v>24</v>
      </c>
      <c r="BH4" s="181" t="s">
        <v>25</v>
      </c>
      <c r="BI4" s="181" t="s">
        <v>26</v>
      </c>
      <c r="BJ4" s="181" t="s">
        <v>27</v>
      </c>
      <c r="BK4" s="181" t="s">
        <v>28</v>
      </c>
      <c r="BL4" s="181" t="s">
        <v>29</v>
      </c>
      <c r="BM4" s="181" t="s">
        <v>30</v>
      </c>
      <c r="BN4" s="181" t="s">
        <v>31</v>
      </c>
      <c r="BO4" s="181" t="s">
        <v>32</v>
      </c>
      <c r="BP4" s="181" t="s">
        <v>33</v>
      </c>
      <c r="BQ4" s="181" t="s">
        <v>34</v>
      </c>
      <c r="BR4" s="181" t="s">
        <v>3511</v>
      </c>
      <c r="BS4" s="181" t="s">
        <v>4607</v>
      </c>
      <c r="BT4" s="181" t="s">
        <v>4608</v>
      </c>
      <c r="BU4" s="181" t="s">
        <v>4609</v>
      </c>
      <c r="BV4" s="181" t="s">
        <v>4610</v>
      </c>
      <c r="BW4" s="181" t="s">
        <v>4611</v>
      </c>
      <c r="BX4" s="181" t="s">
        <v>4612</v>
      </c>
      <c r="BY4" s="181" t="s">
        <v>4613</v>
      </c>
      <c r="BZ4" s="181" t="s">
        <v>4614</v>
      </c>
      <c r="CA4" s="181" t="s">
        <v>4615</v>
      </c>
    </row>
    <row r="5" spans="1:79" ht="15" customHeight="1" x14ac:dyDescent="0.2">
      <c r="C5" s="183" t="s">
        <v>2893</v>
      </c>
      <c r="D5" s="184"/>
      <c r="E5" s="184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4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4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4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4"/>
      <c r="BS5" s="185"/>
      <c r="BT5" s="185"/>
      <c r="BU5" s="185"/>
      <c r="BV5" s="185"/>
      <c r="BW5" s="185"/>
      <c r="BX5" s="185"/>
      <c r="BY5" s="185"/>
      <c r="BZ5" s="185"/>
      <c r="CA5" s="185"/>
    </row>
    <row r="6" spans="1:79" x14ac:dyDescent="0.2">
      <c r="A6" s="281" t="s">
        <v>2941</v>
      </c>
      <c r="B6" s="281"/>
      <c r="C6" s="186" t="s">
        <v>2894</v>
      </c>
      <c r="D6" s="187">
        <v>81975</v>
      </c>
      <c r="E6" s="187">
        <v>1055765</v>
      </c>
      <c r="F6" s="187">
        <v>137825</v>
      </c>
      <c r="G6" s="187">
        <v>98775</v>
      </c>
      <c r="H6" s="187">
        <v>93175</v>
      </c>
      <c r="I6" s="187">
        <v>59125</v>
      </c>
      <c r="J6" s="188">
        <v>88995</v>
      </c>
      <c r="K6" s="187">
        <v>81375</v>
      </c>
      <c r="L6" s="187">
        <v>79225</v>
      </c>
      <c r="M6" s="187">
        <v>69575</v>
      </c>
      <c r="N6" s="187">
        <v>97975</v>
      </c>
      <c r="O6" s="187">
        <v>75475</v>
      </c>
      <c r="P6" s="187">
        <v>73075</v>
      </c>
      <c r="Q6" s="187">
        <v>101170</v>
      </c>
      <c r="R6" s="187">
        <v>1222640</v>
      </c>
      <c r="S6" s="188">
        <v>132675</v>
      </c>
      <c r="T6" s="188">
        <v>134025</v>
      </c>
      <c r="U6" s="188">
        <v>118825</v>
      </c>
      <c r="V6" s="188">
        <v>79675</v>
      </c>
      <c r="W6" s="188">
        <v>88675</v>
      </c>
      <c r="X6" s="188">
        <v>78375</v>
      </c>
      <c r="Y6" s="188">
        <v>89925</v>
      </c>
      <c r="Z6" s="188">
        <v>118370</v>
      </c>
      <c r="AA6" s="188">
        <v>112720</v>
      </c>
      <c r="AB6" s="188">
        <v>70875</v>
      </c>
      <c r="AC6" s="188">
        <v>117375</v>
      </c>
      <c r="AD6" s="188">
        <v>81125</v>
      </c>
      <c r="AE6" s="187">
        <v>1315050</v>
      </c>
      <c r="AF6" s="188">
        <v>152075</v>
      </c>
      <c r="AG6" s="188">
        <v>105825</v>
      </c>
      <c r="AH6" s="188">
        <v>128075</v>
      </c>
      <c r="AI6" s="188">
        <v>98475</v>
      </c>
      <c r="AJ6" s="188">
        <v>102275</v>
      </c>
      <c r="AK6" s="188">
        <v>90825</v>
      </c>
      <c r="AL6" s="188">
        <v>81650</v>
      </c>
      <c r="AM6" s="188">
        <v>106475</v>
      </c>
      <c r="AN6" s="188">
        <v>110100</v>
      </c>
      <c r="AO6" s="188">
        <v>110575</v>
      </c>
      <c r="AP6" s="188">
        <v>124125</v>
      </c>
      <c r="AQ6" s="188">
        <v>104575</v>
      </c>
      <c r="AR6" s="187">
        <f t="shared" ref="AR6:AR11" si="0">SUM(AS6:BD6)</f>
        <v>1350750</v>
      </c>
      <c r="AS6" s="188">
        <f>DSUM(ENE_2016,importe,ING_CUOTAS)</f>
        <v>213050</v>
      </c>
      <c r="AT6" s="188">
        <f>DSUM(FEB_2016,importe,ING_CUOTAS)</f>
        <v>94750</v>
      </c>
      <c r="AU6" s="188">
        <f>DSUM(MAR_2016,importe,ING_CUOTAS)</f>
        <v>82625</v>
      </c>
      <c r="AV6" s="188">
        <f>DSUM(ABR_2016,importe,ING_CUOTAS)</f>
        <v>102075</v>
      </c>
      <c r="AW6" s="188">
        <f>DSUM(MAY_2016,importe,ING_CUOTAS)</f>
        <v>108875</v>
      </c>
      <c r="AX6" s="188">
        <f>DSUM(JUN_2016,importe,ING_CUOTAS)</f>
        <v>117275</v>
      </c>
      <c r="AY6" s="188">
        <f>DSUM(JUL_2016,importe,ING_CUOTAS)</f>
        <v>104575</v>
      </c>
      <c r="AZ6" s="188">
        <f>DSUM(AGO_2016,importe,ING_CUOTAS)</f>
        <v>106275</v>
      </c>
      <c r="BA6" s="188">
        <f>DSUM(SEP_2016,importe,ING_CUOTAS)</f>
        <v>95625</v>
      </c>
      <c r="BB6" s="188">
        <f>DSUM(OCT_2016,importe,ING_CUOTAS)</f>
        <v>88925</v>
      </c>
      <c r="BC6" s="188">
        <f>DSUM(NOV_2016,importe,ING_CUOTAS)</f>
        <v>106375</v>
      </c>
      <c r="BD6" s="188">
        <f>DSUM(DIC_2016,importe,ING_CUOTAS)</f>
        <v>130325</v>
      </c>
      <c r="BE6" s="187">
        <f t="shared" ref="BE6:BE11" si="1">SUM(BF6:BQ6)</f>
        <v>1368650</v>
      </c>
      <c r="BF6" s="188">
        <f>DSUM(ENE_2017,importe,ING_CUOTAS)</f>
        <v>208975</v>
      </c>
      <c r="BG6" s="188">
        <f>DSUM(FEB_2017,importe,ING_CUOTAS)</f>
        <v>112975</v>
      </c>
      <c r="BH6" s="188">
        <f>DSUM(MAR_2017,importe,ING_CUOTAS)</f>
        <v>99675</v>
      </c>
      <c r="BI6" s="188">
        <f>DSUM(ABR_2017,importe,ING_CUOTAS)</f>
        <v>99525</v>
      </c>
      <c r="BJ6" s="188">
        <f>DSUM(MAY_2017,importe,ING_CUOTAS)</f>
        <v>89675</v>
      </c>
      <c r="BK6" s="188">
        <f>DSUM(JUN_2017,importe,ING_CUOTAS)</f>
        <v>84275</v>
      </c>
      <c r="BL6" s="188">
        <f>DSUM(JUL_2017,importe,ING_CUOTAS)</f>
        <v>95025</v>
      </c>
      <c r="BM6" s="188">
        <f>DSUM(AGO_2017,importe,ING_CUOTAS)</f>
        <v>92475</v>
      </c>
      <c r="BN6" s="188">
        <f>DSUM(SEP_2017,importe,ING_CUOTAS)</f>
        <v>91325</v>
      </c>
      <c r="BO6" s="188">
        <f>DSUM(OCT_2017,importe,ING_CUOTAS)</f>
        <v>110475</v>
      </c>
      <c r="BP6" s="188">
        <f>DSUM(NOV_2017,importe,ING_CUOTAS)</f>
        <v>111175</v>
      </c>
      <c r="BQ6" s="188">
        <f>DSUM(DIC_2017,importe,ING_CUOTAS)</f>
        <v>173075</v>
      </c>
      <c r="BR6" s="187">
        <f t="shared" ref="BR6:BR11" si="2">SUM(BS6:CC6)</f>
        <v>1035505</v>
      </c>
      <c r="BS6" s="188">
        <f>DSUM(ENE_2018,importe,ING_CUOTAS)</f>
        <v>161805</v>
      </c>
      <c r="BT6" s="188">
        <f>DSUM(FEB_2018,importe,ING_CUOTAS)</f>
        <v>139625</v>
      </c>
      <c r="BU6" s="188">
        <f>DSUM(MAR_2018,importe,ING_CUOTAS)</f>
        <v>113075</v>
      </c>
      <c r="BV6" s="188">
        <f>DSUM(ABR_2018,importe,ING_CUOTAS)</f>
        <v>136425</v>
      </c>
      <c r="BW6" s="188">
        <f>DSUM(MAY_2018,importe,ING_CUOTAS)</f>
        <v>77975</v>
      </c>
      <c r="BX6" s="188">
        <f>DSUM(JUN_2018,importe,ING_CUOTAS)</f>
        <v>103775</v>
      </c>
      <c r="BY6" s="188">
        <f>DSUM(JUL_2018,importe,ING_CUOTAS)</f>
        <v>93525</v>
      </c>
      <c r="BZ6" s="188">
        <f>DSUM(AGO_2018,importe,ING_CUOTAS)</f>
        <v>100375</v>
      </c>
      <c r="CA6" s="188">
        <f>DSUM(SEP_2018,importe,ING_CUOTAS)</f>
        <v>108925</v>
      </c>
    </row>
    <row r="7" spans="1:79" x14ac:dyDescent="0.2">
      <c r="A7" s="281" t="s">
        <v>2942</v>
      </c>
      <c r="B7" s="281"/>
      <c r="C7" s="186" t="s">
        <v>2895</v>
      </c>
      <c r="D7" s="187">
        <v>8750</v>
      </c>
      <c r="E7" s="187">
        <v>5960.71</v>
      </c>
      <c r="F7" s="187">
        <v>900</v>
      </c>
      <c r="G7" s="187">
        <v>1100</v>
      </c>
      <c r="H7" s="187">
        <v>300</v>
      </c>
      <c r="I7" s="187">
        <v>0</v>
      </c>
      <c r="J7" s="187">
        <v>0</v>
      </c>
      <c r="K7" s="187">
        <v>0</v>
      </c>
      <c r="L7" s="187">
        <v>0</v>
      </c>
      <c r="M7" s="187">
        <v>3360.71</v>
      </c>
      <c r="N7" s="187">
        <v>0</v>
      </c>
      <c r="O7" s="187">
        <v>0</v>
      </c>
      <c r="P7" s="187">
        <v>0</v>
      </c>
      <c r="Q7" s="187">
        <v>300</v>
      </c>
      <c r="R7" s="187">
        <v>0</v>
      </c>
      <c r="S7" s="188">
        <v>0</v>
      </c>
      <c r="T7" s="188">
        <v>0</v>
      </c>
      <c r="U7" s="188">
        <v>0</v>
      </c>
      <c r="V7" s="188">
        <v>0</v>
      </c>
      <c r="W7" s="188">
        <v>0</v>
      </c>
      <c r="X7" s="188">
        <v>0</v>
      </c>
      <c r="Y7" s="188">
        <v>0</v>
      </c>
      <c r="Z7" s="188">
        <v>0</v>
      </c>
      <c r="AA7" s="188">
        <v>0</v>
      </c>
      <c r="AB7" s="188">
        <v>0</v>
      </c>
      <c r="AC7" s="188">
        <v>0</v>
      </c>
      <c r="AD7" s="188">
        <v>0</v>
      </c>
      <c r="AE7" s="187">
        <v>0</v>
      </c>
      <c r="AF7" s="188">
        <v>0</v>
      </c>
      <c r="AG7" s="188">
        <v>0</v>
      </c>
      <c r="AH7" s="188">
        <v>0</v>
      </c>
      <c r="AI7" s="188">
        <v>0</v>
      </c>
      <c r="AJ7" s="188">
        <v>0</v>
      </c>
      <c r="AK7" s="188">
        <v>0</v>
      </c>
      <c r="AL7" s="188">
        <v>0</v>
      </c>
      <c r="AM7" s="188">
        <v>0</v>
      </c>
      <c r="AN7" s="188">
        <v>0</v>
      </c>
      <c r="AO7" s="188">
        <v>0</v>
      </c>
      <c r="AP7" s="188">
        <v>0</v>
      </c>
      <c r="AQ7" s="188">
        <v>0</v>
      </c>
      <c r="AR7" s="187">
        <f t="shared" si="0"/>
        <v>0</v>
      </c>
      <c r="AS7" s="188">
        <f>DSUM(ENE_2016,importe,ING_EXTRA)</f>
        <v>0</v>
      </c>
      <c r="AT7" s="188">
        <f>DSUM(FEB_2016,importe,ING_EXTRA)</f>
        <v>0</v>
      </c>
      <c r="AU7" s="188">
        <f>DSUM(MAR_2016,importe,ING_EXTRA)</f>
        <v>0</v>
      </c>
      <c r="AV7" s="188">
        <f>DSUM(ABR_2016,importe,ING_EXTRA)</f>
        <v>0</v>
      </c>
      <c r="AW7" s="188">
        <f>DSUM(MAY_2016,importe,ING_EXTRA)</f>
        <v>0</v>
      </c>
      <c r="AX7" s="188">
        <f>DSUM(JUN_2016,importe,ING_EXTRA)</f>
        <v>0</v>
      </c>
      <c r="AY7" s="188">
        <f>DSUM(JUL_2016,importe,ING_EXTRA)</f>
        <v>0</v>
      </c>
      <c r="AZ7" s="188">
        <f>DSUM(AGO_2016,importe,ING_EXTRA)</f>
        <v>0</v>
      </c>
      <c r="BA7" s="188">
        <f>DSUM(SEP_2016,importe,ING_EXTRA)</f>
        <v>0</v>
      </c>
      <c r="BB7" s="188">
        <f>DSUM(OCT_2016,importe,ING_EXTRA)</f>
        <v>0</v>
      </c>
      <c r="BC7" s="188">
        <f>DSUM(NOV_2016,importe,ING_EXTRA)</f>
        <v>0</v>
      </c>
      <c r="BD7" s="188">
        <f>DSUM(DIC_2016,importe,ING_EXTRA)</f>
        <v>0</v>
      </c>
      <c r="BE7" s="187">
        <f t="shared" si="1"/>
        <v>0</v>
      </c>
      <c r="BF7" s="188">
        <f>DSUM(ENE_2017,importe,ING_EXTRA)</f>
        <v>0</v>
      </c>
      <c r="BG7" s="188">
        <f>DSUM(FEB_2017,importe,ING_EXTRA)</f>
        <v>0</v>
      </c>
      <c r="BH7" s="188">
        <f>DSUM(MAR_2017,importe,ING_EXTRA)</f>
        <v>0</v>
      </c>
      <c r="BI7" s="188">
        <f>DSUM(ABR_2017,importe,ING_EXTRA)</f>
        <v>0</v>
      </c>
      <c r="BJ7" s="188">
        <f>DSUM(MAY_2017,importe,ING_EXTRA)</f>
        <v>0</v>
      </c>
      <c r="BK7" s="188">
        <f>DSUM(JUN_2017,importe,ING_EXTRA)</f>
        <v>0</v>
      </c>
      <c r="BL7" s="188">
        <f>DSUM(JUL_2017,importe,ING_EXTRA)</f>
        <v>0</v>
      </c>
      <c r="BM7" s="188">
        <f>DSUM(AGO_2017,importe,ING_EXTRA)</f>
        <v>0</v>
      </c>
      <c r="BN7" s="188">
        <f>DSUM(SEP_2017,importe,ING_EXTRA)</f>
        <v>0</v>
      </c>
      <c r="BO7" s="188">
        <f>DSUM(OCT_2017,importe,ING_EXTRA)</f>
        <v>0</v>
      </c>
      <c r="BP7" s="188">
        <f>DSUM(NOV_2017,importe,ING_EXTRA)</f>
        <v>0</v>
      </c>
      <c r="BQ7" s="188">
        <f>DSUM(DIC_2017,importe,ING_EXTRA)</f>
        <v>0</v>
      </c>
      <c r="BR7" s="187">
        <f t="shared" si="2"/>
        <v>0</v>
      </c>
      <c r="BS7" s="188">
        <f>DSUM(ENE_2018,importe,ING_EXTRA)</f>
        <v>0</v>
      </c>
      <c r="BT7" s="188">
        <f>DSUM(FEB_2018,importe,ING_EXTRA)</f>
        <v>0</v>
      </c>
      <c r="BU7" s="188">
        <f>DSUM(MAR_2018,importe,ING_EXTRA)</f>
        <v>0</v>
      </c>
      <c r="BV7" s="188">
        <f>DSUM(ABR_2018,importe,ING_EXTRA)</f>
        <v>0</v>
      </c>
      <c r="BW7" s="188">
        <f>DSUM(MAY_2018,importe,ING_EXTRA)</f>
        <v>0</v>
      </c>
      <c r="BX7" s="188">
        <f>DSUM(JUN_2018,importe,ING_EXTRA)</f>
        <v>0</v>
      </c>
      <c r="BY7" s="188">
        <f>DSUM(JUL_2018,importe,ING_EXTRA)</f>
        <v>0</v>
      </c>
      <c r="BZ7" s="188">
        <f>DSUM(AGO_2018,importe,ING_EXTRA)</f>
        <v>0</v>
      </c>
      <c r="CA7" s="188">
        <f>DSUM(SEP_2018,importe,ING_EXTRA)</f>
        <v>0</v>
      </c>
    </row>
    <row r="8" spans="1:79" x14ac:dyDescent="0.2">
      <c r="A8" s="281" t="s">
        <v>2943</v>
      </c>
      <c r="B8" s="281"/>
      <c r="C8" s="186" t="s">
        <v>2896</v>
      </c>
      <c r="D8" s="187">
        <v>1500</v>
      </c>
      <c r="E8" s="187">
        <v>21520</v>
      </c>
      <c r="F8" s="187">
        <v>3180</v>
      </c>
      <c r="G8" s="187">
        <v>2280</v>
      </c>
      <c r="H8" s="187">
        <v>1650</v>
      </c>
      <c r="I8" s="187">
        <v>1390</v>
      </c>
      <c r="J8" s="187">
        <v>1650</v>
      </c>
      <c r="K8" s="187">
        <v>1500</v>
      </c>
      <c r="L8" s="187">
        <v>2550</v>
      </c>
      <c r="M8" s="187">
        <v>1080</v>
      </c>
      <c r="N8" s="187">
        <v>2560</v>
      </c>
      <c r="O8" s="187">
        <v>1440</v>
      </c>
      <c r="P8" s="187">
        <v>640</v>
      </c>
      <c r="Q8" s="187">
        <v>1600</v>
      </c>
      <c r="R8" s="187">
        <v>23030</v>
      </c>
      <c r="S8" s="188">
        <v>2560</v>
      </c>
      <c r="T8" s="188">
        <v>2070</v>
      </c>
      <c r="U8" s="188">
        <v>1440</v>
      </c>
      <c r="V8" s="188">
        <v>2080</v>
      </c>
      <c r="W8" s="188">
        <v>1440</v>
      </c>
      <c r="X8" s="188">
        <v>1280</v>
      </c>
      <c r="Y8" s="188">
        <v>1600</v>
      </c>
      <c r="Z8" s="188">
        <v>1600</v>
      </c>
      <c r="AA8" s="188">
        <v>3040</v>
      </c>
      <c r="AB8" s="188">
        <v>2080</v>
      </c>
      <c r="AC8" s="188">
        <v>2240</v>
      </c>
      <c r="AD8" s="188">
        <v>1600</v>
      </c>
      <c r="AE8" s="187">
        <v>24000</v>
      </c>
      <c r="AF8" s="188">
        <v>2080</v>
      </c>
      <c r="AG8" s="188">
        <v>2400</v>
      </c>
      <c r="AH8" s="188">
        <v>2400</v>
      </c>
      <c r="AI8" s="188">
        <v>640</v>
      </c>
      <c r="AJ8" s="188">
        <v>2720</v>
      </c>
      <c r="AK8" s="188">
        <v>1120</v>
      </c>
      <c r="AL8" s="188">
        <v>960</v>
      </c>
      <c r="AM8" s="188">
        <v>2880</v>
      </c>
      <c r="AN8" s="188">
        <v>2400</v>
      </c>
      <c r="AO8" s="188">
        <v>1760</v>
      </c>
      <c r="AP8" s="188">
        <v>2400</v>
      </c>
      <c r="AQ8" s="188">
        <v>2240</v>
      </c>
      <c r="AR8" s="187">
        <f t="shared" si="0"/>
        <v>29530</v>
      </c>
      <c r="AS8" s="188">
        <f>DSUM(ENE_2016,importe,ING_LLAVES)</f>
        <v>2080</v>
      </c>
      <c r="AT8" s="188">
        <f>DSUM(FEB_2016,importe,ING_LLAVES)</f>
        <v>2080</v>
      </c>
      <c r="AU8" s="188">
        <f>DSUM(MAR_2016,importe,ING_LLAVES)</f>
        <v>800</v>
      </c>
      <c r="AV8" s="188">
        <f>DSUM(ABR_2016,importe,ING_LLAVES)</f>
        <v>2400</v>
      </c>
      <c r="AW8" s="188">
        <f>DSUM(MAY_2016,importe,ING_LLAVES)</f>
        <v>4150</v>
      </c>
      <c r="AX8" s="188">
        <f>DSUM(JUN_2016,importe,ING_LLAVES)</f>
        <v>3120</v>
      </c>
      <c r="AY8" s="188">
        <f>DSUM(JUL_2016,importe,ING_LLAVES)</f>
        <v>3200</v>
      </c>
      <c r="AZ8" s="188">
        <f>DSUM(AGO_2016,importe,ING_LLAVES)</f>
        <v>2300</v>
      </c>
      <c r="BA8" s="188">
        <f>DSUM(SEP_2016,importe,ING_LLAVES)</f>
        <v>3000</v>
      </c>
      <c r="BB8" s="188">
        <f>DSUM(OCT_2016,importe,ING_LLAVES)</f>
        <v>2000</v>
      </c>
      <c r="BC8" s="188">
        <f>DSUM(NOV_2016,importe,ING_LLAVES)</f>
        <v>2800</v>
      </c>
      <c r="BD8" s="188">
        <f>DSUM(DIC_2016,importe,ING_LLAVES)</f>
        <v>1600</v>
      </c>
      <c r="BE8" s="187">
        <f t="shared" si="1"/>
        <v>23710</v>
      </c>
      <c r="BF8" s="188">
        <f>DSUM(ENE_2017,importe,ING_LLAVES)</f>
        <v>4000</v>
      </c>
      <c r="BG8" s="188">
        <f>DSUM(FEB_2017,importe,ING_LLAVES)</f>
        <v>1160</v>
      </c>
      <c r="BH8" s="188">
        <f>DSUM(MAR_2017,importe,ING_LLAVES)</f>
        <v>2000</v>
      </c>
      <c r="BI8" s="188">
        <f>DSUM(ABR_2017,importe,ING_LLAVES)</f>
        <v>2000</v>
      </c>
      <c r="BJ8" s="188">
        <f>DSUM(MAY_2017,importe,ING_LLAVES)</f>
        <v>1200</v>
      </c>
      <c r="BK8" s="188">
        <f>DSUM(JUN_2017,importe,ING_LLAVES)</f>
        <v>950</v>
      </c>
      <c r="BL8" s="188">
        <f>DSUM(JUL_2017,importe,ING_LLAVES)</f>
        <v>2400</v>
      </c>
      <c r="BM8" s="188">
        <f>DSUM(AGO_2017,importe,ING_LLAVES)</f>
        <v>1800</v>
      </c>
      <c r="BN8" s="188">
        <f>DSUM(SEP_2017,importe,ING_LLAVES)</f>
        <v>1200</v>
      </c>
      <c r="BO8" s="188">
        <f>DSUM(OCT_2017,importe,ING_LLAVES)</f>
        <v>2600</v>
      </c>
      <c r="BP8" s="188">
        <f>DSUM(NOV_2017,importe,ING_LLAVES)</f>
        <v>2000</v>
      </c>
      <c r="BQ8" s="188">
        <f>DSUM(DIC_2017,importe,ING_LLAVES)</f>
        <v>2400</v>
      </c>
      <c r="BR8" s="187">
        <f t="shared" si="2"/>
        <v>17350</v>
      </c>
      <c r="BS8" s="188">
        <f>DSUM(ENE_2018,importe,ING_LLAVES)</f>
        <v>2800</v>
      </c>
      <c r="BT8" s="188">
        <f>DSUM(FEB_2018,importe,ING_LLAVES)</f>
        <v>1750</v>
      </c>
      <c r="BU8" s="188">
        <f>DSUM(MAR_2018,importe,ING_LLAVES)</f>
        <v>1200</v>
      </c>
      <c r="BV8" s="188">
        <f>DSUM(ABR_2018,importe,ING_LLAVES)</f>
        <v>1200</v>
      </c>
      <c r="BW8" s="188">
        <f>DSUM(MAY_2018,importe,ING_LLAVES)</f>
        <v>2000</v>
      </c>
      <c r="BX8" s="188">
        <f>DSUM(JUN_2018,importe,ING_LLAVES)</f>
        <v>1200</v>
      </c>
      <c r="BY8" s="188">
        <f>DSUM(JUL_2018,importe,ING_LLAVES)</f>
        <v>2200</v>
      </c>
      <c r="BZ8" s="188">
        <f>DSUM(AGO_2018,importe,ING_LLAVES)</f>
        <v>2800</v>
      </c>
      <c r="CA8" s="188">
        <f>DSUM(SEP_2018,importe,ING_LLAVES)</f>
        <v>2200</v>
      </c>
    </row>
    <row r="9" spans="1:79" x14ac:dyDescent="0.2">
      <c r="A9" s="281" t="s">
        <v>2944</v>
      </c>
      <c r="B9" s="281"/>
      <c r="C9" s="186" t="s">
        <v>2897</v>
      </c>
      <c r="D9" s="187">
        <v>2080</v>
      </c>
      <c r="E9" s="187">
        <v>20960</v>
      </c>
      <c r="F9" s="187">
        <v>1920</v>
      </c>
      <c r="G9" s="187">
        <v>800</v>
      </c>
      <c r="H9" s="187">
        <v>2560</v>
      </c>
      <c r="I9" s="187">
        <v>2240</v>
      </c>
      <c r="J9" s="187">
        <v>2880</v>
      </c>
      <c r="K9" s="187">
        <v>2560</v>
      </c>
      <c r="L9" s="187">
        <v>800</v>
      </c>
      <c r="M9" s="187">
        <v>1440</v>
      </c>
      <c r="N9" s="187">
        <v>2080</v>
      </c>
      <c r="O9" s="187">
        <v>1600</v>
      </c>
      <c r="P9" s="187">
        <v>320</v>
      </c>
      <c r="Q9" s="187">
        <v>1760</v>
      </c>
      <c r="R9" s="187">
        <v>22400</v>
      </c>
      <c r="S9" s="187">
        <v>1280</v>
      </c>
      <c r="T9" s="187">
        <v>480</v>
      </c>
      <c r="U9" s="187">
        <v>0</v>
      </c>
      <c r="V9" s="187">
        <v>5120</v>
      </c>
      <c r="W9" s="187">
        <v>2560</v>
      </c>
      <c r="X9" s="187">
        <v>1120</v>
      </c>
      <c r="Y9" s="187">
        <v>960</v>
      </c>
      <c r="Z9" s="187">
        <v>2880</v>
      </c>
      <c r="AA9" s="187">
        <v>1920</v>
      </c>
      <c r="AB9" s="187">
        <v>2880</v>
      </c>
      <c r="AC9" s="187">
        <v>1280</v>
      </c>
      <c r="AD9" s="187">
        <v>1920</v>
      </c>
      <c r="AE9" s="187">
        <v>25600</v>
      </c>
      <c r="AF9" s="187">
        <v>2880</v>
      </c>
      <c r="AG9" s="187">
        <v>1920</v>
      </c>
      <c r="AH9" s="187">
        <v>2080</v>
      </c>
      <c r="AI9" s="187">
        <v>1760</v>
      </c>
      <c r="AJ9" s="187">
        <v>2400</v>
      </c>
      <c r="AK9" s="187">
        <v>1280</v>
      </c>
      <c r="AL9" s="187">
        <v>1600</v>
      </c>
      <c r="AM9" s="187">
        <v>2080</v>
      </c>
      <c r="AN9" s="187">
        <v>2880</v>
      </c>
      <c r="AO9" s="187">
        <v>2400</v>
      </c>
      <c r="AP9" s="187">
        <v>2240</v>
      </c>
      <c r="AQ9" s="187">
        <v>2080</v>
      </c>
      <c r="AR9" s="187">
        <f t="shared" si="0"/>
        <v>23360</v>
      </c>
      <c r="AS9" s="187">
        <f>DSUM(ENE_2016,importe,ING_TELE)</f>
        <v>2560</v>
      </c>
      <c r="AT9" s="187">
        <f>DSUM(FEB_2016,importe,ING_TELE)</f>
        <v>1440</v>
      </c>
      <c r="AU9" s="187">
        <f>DSUM(MAR_2016,importe,ING_TELE)</f>
        <v>1120</v>
      </c>
      <c r="AV9" s="187">
        <f>DSUM(ABR_2016,importe,ING_TELE)</f>
        <v>2080</v>
      </c>
      <c r="AW9" s="187">
        <f>DSUM(MAY_2016,importe,ING_TELE)</f>
        <v>2720</v>
      </c>
      <c r="AX9" s="187">
        <f>DSUM(JUN_2016,importe,ING_TELE)</f>
        <v>2240</v>
      </c>
      <c r="AY9" s="187">
        <f>DSUM(JUL_2016,importe,ING_TELE)</f>
        <v>2800</v>
      </c>
      <c r="AZ9" s="187">
        <f>DSUM(AGO_2016,importe,ING_TELE)</f>
        <v>2600</v>
      </c>
      <c r="BA9" s="187">
        <f>DSUM(SEP_2016,importe,ING_TELE)</f>
        <v>1200</v>
      </c>
      <c r="BB9" s="187">
        <f>DSUM(OCT_2016,importe,ING_TELE)</f>
        <v>1800</v>
      </c>
      <c r="BC9" s="187">
        <f>DSUM(NOV_2016,importe,ING_TELE)</f>
        <v>1200</v>
      </c>
      <c r="BD9" s="187">
        <f>DSUM(DIC_2016,importe,ING_TELE)</f>
        <v>1600</v>
      </c>
      <c r="BE9" s="187">
        <f t="shared" si="1"/>
        <v>16000</v>
      </c>
      <c r="BF9" s="187">
        <f>DSUM(ENE_2017,importe,ING_TELE)</f>
        <v>3000</v>
      </c>
      <c r="BG9" s="187">
        <f>DSUM(FEB_2017,importe,ING_TELE)</f>
        <v>2400</v>
      </c>
      <c r="BH9" s="187">
        <f>DSUM(MAR_2017,importe,ING_TELE)</f>
        <v>1400</v>
      </c>
      <c r="BI9" s="187">
        <f>DSUM(ABR_2017,importe,ING_TELE)</f>
        <v>2800</v>
      </c>
      <c r="BJ9" s="187">
        <f>DSUM(MAY_2017,importe,ING_TELE)</f>
        <v>1600</v>
      </c>
      <c r="BK9" s="187">
        <f>DSUM(JUN_2017,importe,ING_TELE)</f>
        <v>200</v>
      </c>
      <c r="BL9" s="187">
        <f>DSUM(JUL_2017,importe,ING_TELE)</f>
        <v>600</v>
      </c>
      <c r="BM9" s="187">
        <f>DSUM(AGO_2017,importe,ING_TELE)</f>
        <v>600</v>
      </c>
      <c r="BN9" s="187">
        <f>DSUM(SEP_2017,importe,ING_TELE)</f>
        <v>600</v>
      </c>
      <c r="BO9" s="187">
        <f>DSUM(OCT_2017,importe,ING_TELE)</f>
        <v>1000</v>
      </c>
      <c r="BP9" s="187">
        <f>DSUM(NOV_2017,importe,ING_TELE)</f>
        <v>200</v>
      </c>
      <c r="BQ9" s="187">
        <f>DSUM(DIC_2017,importe,ING_TELE)</f>
        <v>1600</v>
      </c>
      <c r="BR9" s="187">
        <f t="shared" si="2"/>
        <v>17200</v>
      </c>
      <c r="BS9" s="187">
        <f>DSUM(ENE_2018,importe,ING_TELE)</f>
        <v>1000</v>
      </c>
      <c r="BT9" s="187">
        <f>DSUM(FEB_2018,importe,ING_TELE)</f>
        <v>2200</v>
      </c>
      <c r="BU9" s="187">
        <f>DSUM(MAR_2018,importe,ING_TELE)</f>
        <v>1800</v>
      </c>
      <c r="BV9" s="187">
        <f>DSUM(ABR_2018,importe,ING_TELE)</f>
        <v>2200</v>
      </c>
      <c r="BW9" s="187">
        <f>DSUM(MAY_2018,importe,ING_TELE)</f>
        <v>1600</v>
      </c>
      <c r="BX9" s="187">
        <f>DSUM(JUN_2018,importe,ING_TELE)</f>
        <v>3000</v>
      </c>
      <c r="BY9" s="187">
        <f>DSUM(JUL_2018,importe,ING_TELE)</f>
        <v>1400</v>
      </c>
      <c r="BZ9" s="187">
        <f>DSUM(AGO_2018,importe,ING_TELE)</f>
        <v>1800</v>
      </c>
      <c r="CA9" s="187">
        <f>DSUM(SEP_2018,importe,ING_TELE)</f>
        <v>2200</v>
      </c>
    </row>
    <row r="10" spans="1:79" x14ac:dyDescent="0.2">
      <c r="A10" s="281" t="s">
        <v>2945</v>
      </c>
      <c r="B10" s="281"/>
      <c r="C10" s="186" t="s">
        <v>2898</v>
      </c>
      <c r="D10" s="187">
        <v>320</v>
      </c>
      <c r="E10" s="187">
        <v>1680</v>
      </c>
      <c r="F10" s="187">
        <v>20</v>
      </c>
      <c r="G10" s="187">
        <v>300</v>
      </c>
      <c r="H10" s="187">
        <v>320</v>
      </c>
      <c r="I10" s="187">
        <v>240</v>
      </c>
      <c r="J10" s="187">
        <v>60</v>
      </c>
      <c r="K10" s="187">
        <v>80</v>
      </c>
      <c r="L10" s="187">
        <v>460</v>
      </c>
      <c r="M10" s="187">
        <v>100</v>
      </c>
      <c r="N10" s="187">
        <v>100</v>
      </c>
      <c r="O10" s="187">
        <v>0</v>
      </c>
      <c r="P10" s="187">
        <v>0</v>
      </c>
      <c r="Q10" s="187">
        <v>0</v>
      </c>
      <c r="R10" s="187">
        <v>23530</v>
      </c>
      <c r="S10" s="187">
        <v>0</v>
      </c>
      <c r="T10" s="187">
        <v>0</v>
      </c>
      <c r="U10" s="187">
        <v>0</v>
      </c>
      <c r="V10" s="187">
        <v>0</v>
      </c>
      <c r="W10" s="187">
        <v>0</v>
      </c>
      <c r="X10" s="187">
        <v>0</v>
      </c>
      <c r="Y10" s="187">
        <v>0</v>
      </c>
      <c r="Z10" s="187">
        <v>0</v>
      </c>
      <c r="AA10" s="187">
        <v>11930</v>
      </c>
      <c r="AB10" s="187">
        <v>6900</v>
      </c>
      <c r="AC10" s="187">
        <v>3660</v>
      </c>
      <c r="AD10" s="187">
        <v>1040</v>
      </c>
      <c r="AE10" s="187">
        <v>1160</v>
      </c>
      <c r="AF10" s="187">
        <v>600</v>
      </c>
      <c r="AG10" s="187">
        <v>160</v>
      </c>
      <c r="AH10" s="187">
        <v>0</v>
      </c>
      <c r="AI10" s="187">
        <v>0</v>
      </c>
      <c r="AJ10" s="187">
        <v>0</v>
      </c>
      <c r="AK10" s="187">
        <v>0</v>
      </c>
      <c r="AL10" s="187">
        <v>0</v>
      </c>
      <c r="AM10" s="187">
        <v>0</v>
      </c>
      <c r="AN10" s="187">
        <v>0</v>
      </c>
      <c r="AO10" s="187">
        <v>400</v>
      </c>
      <c r="AP10" s="187">
        <v>0</v>
      </c>
      <c r="AQ10" s="187">
        <v>0</v>
      </c>
      <c r="AR10" s="187">
        <f t="shared" si="0"/>
        <v>59200</v>
      </c>
      <c r="AS10" s="187">
        <f>DSUM(ENE_2016,importe,ING_TAR)</f>
        <v>0</v>
      </c>
      <c r="AT10" s="187">
        <f>DSUM(FEB_2016,importe,ING_TAR)</f>
        <v>0</v>
      </c>
      <c r="AU10" s="187">
        <f>DSUM(MAR_2016,importe,ING_TAR)</f>
        <v>0</v>
      </c>
      <c r="AV10" s="187">
        <f>DSUM(ABR_2016,importe,ING_TAR)</f>
        <v>0</v>
      </c>
      <c r="AW10" s="187">
        <f>DSUM(MAY_2016,importe,ING_TAR)</f>
        <v>0</v>
      </c>
      <c r="AX10" s="187">
        <f>DSUM(JUN_2016,importe,ING_TAR)</f>
        <v>24100</v>
      </c>
      <c r="AY10" s="187">
        <f>DSUM(JUL_2016,importe,ING_TAR)</f>
        <v>18300</v>
      </c>
      <c r="AZ10" s="187">
        <f>DSUM(AGO_2016,importe,ING_TAR)</f>
        <v>6200</v>
      </c>
      <c r="BA10" s="187">
        <f>DSUM(SEP_2016,importe,ING_TAR)</f>
        <v>5250</v>
      </c>
      <c r="BB10" s="187">
        <f>DSUM(OCT_2016,importe,ING_TAR)</f>
        <v>1700</v>
      </c>
      <c r="BC10" s="187">
        <f>DSUM(NOV_2016,importe,ING_TAR)</f>
        <v>2400</v>
      </c>
      <c r="BD10" s="187">
        <f>DSUM(DIC_2016,importe,ING_TAR)</f>
        <v>1250</v>
      </c>
      <c r="BE10" s="187">
        <f t="shared" si="1"/>
        <v>10100</v>
      </c>
      <c r="BF10" s="187">
        <f>DSUM(ENE_2017,importe,ING_TAR)</f>
        <v>1950</v>
      </c>
      <c r="BG10" s="187">
        <f>DSUM(FEB_2017,importe,ING_TAR)</f>
        <v>950</v>
      </c>
      <c r="BH10" s="187">
        <f>DSUM(MAR_2017,importe,ING_TAR)</f>
        <v>1100</v>
      </c>
      <c r="BI10" s="187">
        <f>DSUM(ABR_2017,importe,ING_TAR)</f>
        <v>1250</v>
      </c>
      <c r="BJ10" s="187">
        <f>DSUM(MAY_2017,importe,ING_TAR)</f>
        <v>900</v>
      </c>
      <c r="BK10" s="187">
        <f>DSUM(JUN_2017,importe,ING_TAR)</f>
        <v>250</v>
      </c>
      <c r="BL10" s="187">
        <f>DSUM(JUL_2017,importe,ING_TAR)</f>
        <v>750</v>
      </c>
      <c r="BM10" s="187">
        <f>DSUM(AGO_2017,importe,ING_TAR)</f>
        <v>300</v>
      </c>
      <c r="BN10" s="187">
        <f>DSUM(SEP_2017,importe,ING_TAR)</f>
        <v>450</v>
      </c>
      <c r="BO10" s="187">
        <f>DSUM(OCT_2017,importe,ING_TAR)</f>
        <v>800</v>
      </c>
      <c r="BP10" s="187">
        <f>DSUM(NOV_2017,importe,ING_TAR)</f>
        <v>500</v>
      </c>
      <c r="BQ10" s="187">
        <f>DSUM(DIC_2017,importe,ING_TAR)</f>
        <v>900</v>
      </c>
      <c r="BR10" s="187">
        <f t="shared" si="2"/>
        <v>8525</v>
      </c>
      <c r="BS10" s="187">
        <f>DSUM(ENE_2018,importe,ING_TAR)</f>
        <v>550</v>
      </c>
      <c r="BT10" s="187">
        <f>DSUM(FEB_2018,importe,ING_TAR)</f>
        <v>1875</v>
      </c>
      <c r="BU10" s="187">
        <f>DSUM(MAR_2018,importe,ING_TAR)</f>
        <v>1650</v>
      </c>
      <c r="BV10" s="187">
        <f>DSUM(ABR_2018,importe,ING_TAR)</f>
        <v>1700</v>
      </c>
      <c r="BW10" s="187">
        <f>DSUM(MAY_2018,importe,ING_TAR)</f>
        <v>300</v>
      </c>
      <c r="BX10" s="187">
        <f>DSUM(JUN_2018,importe,ING_TAR)</f>
        <v>700</v>
      </c>
      <c r="BY10" s="187">
        <f>DSUM(JUL_2018,importe,ING_TAR)</f>
        <v>600</v>
      </c>
      <c r="BZ10" s="187">
        <f>DSUM(AGO_2018,importe,ING_TAR)</f>
        <v>400</v>
      </c>
      <c r="CA10" s="187">
        <f>DSUM(SEP_2018,importe,ING_TAR)</f>
        <v>750</v>
      </c>
    </row>
    <row r="11" spans="1:79" x14ac:dyDescent="0.2">
      <c r="A11" s="281" t="s">
        <v>2946</v>
      </c>
      <c r="B11" s="281"/>
      <c r="C11" s="189" t="s">
        <v>2899</v>
      </c>
      <c r="D11" s="190">
        <v>1000</v>
      </c>
      <c r="E11" s="190">
        <v>10193</v>
      </c>
      <c r="F11" s="190">
        <v>200</v>
      </c>
      <c r="G11" s="190">
        <v>0</v>
      </c>
      <c r="H11" s="190">
        <v>50</v>
      </c>
      <c r="I11" s="190">
        <v>0</v>
      </c>
      <c r="J11" s="190">
        <v>0</v>
      </c>
      <c r="K11" s="190">
        <v>0</v>
      </c>
      <c r="L11" s="190">
        <v>0</v>
      </c>
      <c r="M11" s="190">
        <v>0</v>
      </c>
      <c r="N11" s="190">
        <v>0</v>
      </c>
      <c r="O11" s="190">
        <v>0</v>
      </c>
      <c r="P11" s="190">
        <v>0</v>
      </c>
      <c r="Q11" s="190">
        <v>9943</v>
      </c>
      <c r="R11" s="190">
        <v>0</v>
      </c>
      <c r="S11" s="190">
        <v>0</v>
      </c>
      <c r="T11" s="190">
        <v>0</v>
      </c>
      <c r="U11" s="190">
        <v>0</v>
      </c>
      <c r="V11" s="190">
        <v>0</v>
      </c>
      <c r="W11" s="190">
        <v>0</v>
      </c>
      <c r="X11" s="190">
        <v>0</v>
      </c>
      <c r="Y11" s="190">
        <v>0</v>
      </c>
      <c r="Z11" s="190">
        <v>0</v>
      </c>
      <c r="AA11" s="190">
        <v>0</v>
      </c>
      <c r="AB11" s="190">
        <v>0</v>
      </c>
      <c r="AC11" s="190">
        <v>0</v>
      </c>
      <c r="AD11" s="190">
        <v>0</v>
      </c>
      <c r="AE11" s="190">
        <v>2700</v>
      </c>
      <c r="AF11" s="190">
        <v>0</v>
      </c>
      <c r="AG11" s="190">
        <v>0</v>
      </c>
      <c r="AH11" s="190">
        <v>2700</v>
      </c>
      <c r="AI11" s="190">
        <v>0</v>
      </c>
      <c r="AJ11" s="190">
        <v>0</v>
      </c>
      <c r="AK11" s="190">
        <v>0</v>
      </c>
      <c r="AL11" s="190">
        <v>0</v>
      </c>
      <c r="AM11" s="190">
        <v>0</v>
      </c>
      <c r="AN11" s="190">
        <v>0</v>
      </c>
      <c r="AO11" s="190">
        <v>0</v>
      </c>
      <c r="AP11" s="190">
        <v>0</v>
      </c>
      <c r="AQ11" s="190">
        <v>0</v>
      </c>
      <c r="AR11" s="190">
        <f t="shared" si="0"/>
        <v>4890</v>
      </c>
      <c r="AS11" s="190">
        <f>DSUM(ENE_2016,importe,ING_OTROS)</f>
        <v>0</v>
      </c>
      <c r="AT11" s="190">
        <f>DSUM(FEB_2016,importe,ING_OTROS)</f>
        <v>500</v>
      </c>
      <c r="AU11" s="190">
        <f>DSUM(MAR_2016,importe,ING_OTROS)</f>
        <v>150</v>
      </c>
      <c r="AV11" s="190">
        <f>DSUM(ABR_2016,importe,ING_OTROS)</f>
        <v>0</v>
      </c>
      <c r="AW11" s="190">
        <f>DSUM(MAY_2016,importe,ING_OTROS)</f>
        <v>1300</v>
      </c>
      <c r="AX11" s="190">
        <f>DSUM(JUN_2016,importe,ING_OTROS)</f>
        <v>300</v>
      </c>
      <c r="AY11" s="190">
        <f>DSUM(JUL_2016,importe,ING_OTROS)</f>
        <v>350</v>
      </c>
      <c r="AZ11" s="190">
        <f>DSUM(AGO_2016,importe,ING_OTROS)</f>
        <v>350</v>
      </c>
      <c r="BA11" s="190">
        <f>DSUM(SEP_2016,importe,ING_OTROS)</f>
        <v>1000</v>
      </c>
      <c r="BB11" s="190">
        <f>DSUM(OCT_2016,importe,ING_OTROS)</f>
        <v>0</v>
      </c>
      <c r="BC11" s="190">
        <f>DSUM(NOV_2016,importe,ING_OTROS)</f>
        <v>440</v>
      </c>
      <c r="BD11" s="190">
        <f>DSUM(DIC_2016,importe,ING_OTROS)</f>
        <v>500</v>
      </c>
      <c r="BE11" s="190">
        <f t="shared" si="1"/>
        <v>39577</v>
      </c>
      <c r="BF11" s="190">
        <f>DSUM(ENE_2017,importe,ING_OTROS)</f>
        <v>60</v>
      </c>
      <c r="BG11" s="190">
        <f>DSUM(FEB_2017,importe,ING_OTROS)</f>
        <v>5350</v>
      </c>
      <c r="BH11" s="190">
        <f>DSUM(MAR_2017,importe,ING_OTROS)</f>
        <v>14350</v>
      </c>
      <c r="BI11" s="190">
        <f>DSUM(ABR_2017,importe,ING_OTROS)</f>
        <v>8254</v>
      </c>
      <c r="BJ11" s="190">
        <f>DSUM(MAY_2017,importe,ING_OTROS)</f>
        <v>1150</v>
      </c>
      <c r="BK11" s="190">
        <f>DSUM(JUN_2017,importe,ING_OTROS)</f>
        <v>850</v>
      </c>
      <c r="BL11" s="190">
        <f>DSUM(JUL_2017,importe,ING_OTROS)</f>
        <v>100</v>
      </c>
      <c r="BM11" s="190">
        <f>DSUM(AGO_2017,importe,ING_OTROS)</f>
        <v>9288</v>
      </c>
      <c r="BN11" s="190">
        <f>DSUM(SEP_2017,importe,ING_OTROS)</f>
        <v>0</v>
      </c>
      <c r="BO11" s="190">
        <f>DSUM(OCT_2017,importe,ING_OTROS)</f>
        <v>50</v>
      </c>
      <c r="BP11" s="190">
        <f>DSUM(NOV_2017,importe,ING_OTROS)</f>
        <v>25</v>
      </c>
      <c r="BQ11" s="190">
        <f>DSUM(DIC_2017,importe,ING_OTROS)</f>
        <v>100</v>
      </c>
      <c r="BR11" s="190">
        <f t="shared" si="2"/>
        <v>300</v>
      </c>
      <c r="BS11" s="190">
        <f>DSUM(ENE_2018,importe,ING_OTROS)</f>
        <v>0</v>
      </c>
      <c r="BT11" s="190">
        <f>DSUM(FEB_2018,importe,ING_OTROS)</f>
        <v>50</v>
      </c>
      <c r="BU11" s="190">
        <f>DSUM(MAR_2018,importe,ING_OTROS)</f>
        <v>50</v>
      </c>
      <c r="BV11" s="190">
        <f>DSUM(ABR_2018,importe,ING_OTROS)</f>
        <v>0</v>
      </c>
      <c r="BW11" s="190">
        <f>DSUM(MAY_2018,importe,ING_OTROS)</f>
        <v>0</v>
      </c>
      <c r="BX11" s="190">
        <f>DSUM(JUN_2018,importe,ING_OTROS)</f>
        <v>200</v>
      </c>
      <c r="BY11" s="190">
        <f>DSUM(JUL_2018,importe,ING_OTROS)</f>
        <v>0</v>
      </c>
      <c r="BZ11" s="190">
        <f>DSUM(AGO_2018,importe,ING_OTROS)</f>
        <v>0</v>
      </c>
      <c r="CA11" s="190">
        <f>DSUM(SEP_2018,importe,ING_OTROS)</f>
        <v>0</v>
      </c>
    </row>
    <row r="12" spans="1:79" ht="6" customHeight="1" x14ac:dyDescent="0.2">
      <c r="C12" s="191"/>
      <c r="D12" s="192"/>
      <c r="E12" s="192"/>
      <c r="F12" s="192"/>
      <c r="G12" s="192"/>
      <c r="H12" s="192"/>
      <c r="I12" s="192"/>
      <c r="J12" s="192"/>
      <c r="K12" s="193"/>
      <c r="L12" s="194"/>
      <c r="M12" s="194"/>
      <c r="N12" s="194"/>
      <c r="O12" s="194"/>
      <c r="P12" s="192"/>
      <c r="Q12" s="194"/>
      <c r="R12" s="195"/>
      <c r="S12" s="192"/>
      <c r="T12" s="192"/>
      <c r="U12" s="192"/>
      <c r="V12" s="192"/>
      <c r="W12" s="192"/>
      <c r="X12" s="194"/>
      <c r="Y12" s="194"/>
      <c r="Z12" s="194"/>
      <c r="AA12" s="194"/>
      <c r="AB12" s="194"/>
      <c r="AC12" s="194"/>
      <c r="AD12" s="194"/>
      <c r="AE12" s="195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5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5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5"/>
      <c r="BS12" s="192"/>
      <c r="BT12" s="192"/>
      <c r="BU12" s="192"/>
      <c r="BV12" s="192"/>
      <c r="BW12" s="192"/>
      <c r="BX12" s="192"/>
      <c r="BY12" s="192"/>
      <c r="BZ12" s="192"/>
      <c r="CA12" s="192"/>
    </row>
    <row r="13" spans="1:79" ht="21.95" customHeight="1" thickBot="1" x14ac:dyDescent="0.25">
      <c r="C13" s="196" t="s">
        <v>2900</v>
      </c>
      <c r="D13" s="197">
        <v>95625</v>
      </c>
      <c r="E13" s="197">
        <v>1116078.71</v>
      </c>
      <c r="F13" s="197">
        <v>144045</v>
      </c>
      <c r="G13" s="197">
        <v>103255</v>
      </c>
      <c r="H13" s="197">
        <v>98055</v>
      </c>
      <c r="I13" s="198">
        <v>62995</v>
      </c>
      <c r="J13" s="198">
        <v>93585</v>
      </c>
      <c r="K13" s="197">
        <v>85515</v>
      </c>
      <c r="L13" s="197">
        <v>83035</v>
      </c>
      <c r="M13" s="197">
        <v>75555.710000000006</v>
      </c>
      <c r="N13" s="197">
        <v>102715</v>
      </c>
      <c r="O13" s="197">
        <v>78515</v>
      </c>
      <c r="P13" s="197">
        <v>74035</v>
      </c>
      <c r="Q13" s="197">
        <v>114773</v>
      </c>
      <c r="R13" s="197">
        <v>1291600</v>
      </c>
      <c r="S13" s="197">
        <v>136515</v>
      </c>
      <c r="T13" s="197">
        <v>136575</v>
      </c>
      <c r="U13" s="197">
        <v>120265</v>
      </c>
      <c r="V13" s="197">
        <v>86875</v>
      </c>
      <c r="W13" s="197">
        <v>92675</v>
      </c>
      <c r="X13" s="197">
        <v>80775</v>
      </c>
      <c r="Y13" s="197">
        <v>92485</v>
      </c>
      <c r="Z13" s="197">
        <v>122850</v>
      </c>
      <c r="AA13" s="197">
        <v>129610</v>
      </c>
      <c r="AB13" s="197">
        <v>82735</v>
      </c>
      <c r="AC13" s="197">
        <v>124555</v>
      </c>
      <c r="AD13" s="197">
        <v>85685</v>
      </c>
      <c r="AE13" s="199">
        <v>1368510</v>
      </c>
      <c r="AF13" s="199">
        <v>157635</v>
      </c>
      <c r="AG13" s="199">
        <v>110305</v>
      </c>
      <c r="AH13" s="199">
        <v>135255</v>
      </c>
      <c r="AI13" s="199">
        <v>100875</v>
      </c>
      <c r="AJ13" s="199">
        <v>107395</v>
      </c>
      <c r="AK13" s="199">
        <v>93225</v>
      </c>
      <c r="AL13" s="199">
        <v>84210</v>
      </c>
      <c r="AM13" s="199">
        <v>111435</v>
      </c>
      <c r="AN13" s="199">
        <v>115380</v>
      </c>
      <c r="AO13" s="199">
        <v>115135</v>
      </c>
      <c r="AP13" s="199">
        <v>128765</v>
      </c>
      <c r="AQ13" s="199">
        <v>108895</v>
      </c>
      <c r="AR13" s="199">
        <f t="shared" ref="AR13:BC13" si="3">SUM(AR6:AR11)</f>
        <v>1467730</v>
      </c>
      <c r="AS13" s="199">
        <f t="shared" si="3"/>
        <v>217690</v>
      </c>
      <c r="AT13" s="199">
        <f t="shared" si="3"/>
        <v>98770</v>
      </c>
      <c r="AU13" s="199">
        <f t="shared" si="3"/>
        <v>84695</v>
      </c>
      <c r="AV13" s="199">
        <f>SUM(AV6:AV11)</f>
        <v>106555</v>
      </c>
      <c r="AW13" s="199">
        <f t="shared" si="3"/>
        <v>117045</v>
      </c>
      <c r="AX13" s="199">
        <f t="shared" si="3"/>
        <v>147035</v>
      </c>
      <c r="AY13" s="199">
        <f t="shared" si="3"/>
        <v>129225</v>
      </c>
      <c r="AZ13" s="199">
        <f t="shared" si="3"/>
        <v>117725</v>
      </c>
      <c r="BA13" s="199">
        <f t="shared" si="3"/>
        <v>106075</v>
      </c>
      <c r="BB13" s="199">
        <f t="shared" si="3"/>
        <v>94425</v>
      </c>
      <c r="BC13" s="199">
        <f t="shared" si="3"/>
        <v>113215</v>
      </c>
      <c r="BD13" s="199">
        <f t="shared" ref="BD13:BI13" si="4">SUM(BD6:BD11)</f>
        <v>135275</v>
      </c>
      <c r="BE13" s="199">
        <f t="shared" si="4"/>
        <v>1458037</v>
      </c>
      <c r="BF13" s="199">
        <f t="shared" si="4"/>
        <v>217985</v>
      </c>
      <c r="BG13" s="199">
        <f t="shared" si="4"/>
        <v>122835</v>
      </c>
      <c r="BH13" s="199">
        <f t="shared" si="4"/>
        <v>118525</v>
      </c>
      <c r="BI13" s="199">
        <f t="shared" si="4"/>
        <v>113829</v>
      </c>
      <c r="BJ13" s="199">
        <f t="shared" ref="BJ13:BK13" si="5">SUM(BJ6:BJ11)</f>
        <v>94525</v>
      </c>
      <c r="BK13" s="199">
        <f t="shared" si="5"/>
        <v>86525</v>
      </c>
      <c r="BL13" s="199">
        <f t="shared" ref="BL13" si="6">SUM(BL6:BL11)</f>
        <v>98875</v>
      </c>
      <c r="BM13" s="199">
        <f>SUM(BM6:BM11)</f>
        <v>104463</v>
      </c>
      <c r="BN13" s="199">
        <f>SUM(BN6:BN11)</f>
        <v>93575</v>
      </c>
      <c r="BO13" s="199">
        <f>SUM(BO6:BO11)</f>
        <v>114925</v>
      </c>
      <c r="BP13" s="199">
        <f>SUM(BP6:BP11)</f>
        <v>113900</v>
      </c>
      <c r="BQ13" s="199">
        <f>SUM(BQ6:BQ11)</f>
        <v>178075</v>
      </c>
      <c r="BR13" s="199">
        <f t="shared" ref="BR13:BS13" si="7">SUM(BR6:BR11)</f>
        <v>1078880</v>
      </c>
      <c r="BS13" s="199">
        <f t="shared" si="7"/>
        <v>166155</v>
      </c>
      <c r="BT13" s="199">
        <f t="shared" ref="BT13:BU13" si="8">SUM(BT6:BT11)</f>
        <v>145500</v>
      </c>
      <c r="BU13" s="199">
        <f t="shared" si="8"/>
        <v>117775</v>
      </c>
      <c r="BV13" s="199">
        <f t="shared" ref="BV13:BW13" si="9">SUM(BV6:BV11)</f>
        <v>141525</v>
      </c>
      <c r="BW13" s="199">
        <f t="shared" si="9"/>
        <v>81875</v>
      </c>
      <c r="BX13" s="199">
        <f t="shared" ref="BX13:BY13" si="10">SUM(BX6:BX11)</f>
        <v>108875</v>
      </c>
      <c r="BY13" s="199">
        <f t="shared" si="10"/>
        <v>97725</v>
      </c>
      <c r="BZ13" s="199">
        <f t="shared" ref="BZ13:CA13" si="11">SUM(BZ6:BZ11)</f>
        <v>105375</v>
      </c>
      <c r="CA13" s="199">
        <f t="shared" si="11"/>
        <v>114075</v>
      </c>
    </row>
    <row r="14" spans="1:79" ht="15" customHeight="1" thickTop="1" x14ac:dyDescent="0.2">
      <c r="C14" s="200" t="s">
        <v>2901</v>
      </c>
      <c r="D14" s="201"/>
      <c r="E14" s="201"/>
      <c r="F14" s="202"/>
      <c r="G14" s="202"/>
      <c r="H14" s="202"/>
      <c r="I14" s="202"/>
      <c r="J14" s="203"/>
      <c r="K14" s="204"/>
      <c r="L14" s="202"/>
      <c r="M14" s="202"/>
      <c r="N14" s="202"/>
      <c r="O14" s="202"/>
      <c r="P14" s="205"/>
      <c r="Q14" s="206"/>
      <c r="R14" s="201"/>
      <c r="S14" s="202"/>
      <c r="T14" s="202"/>
      <c r="U14" s="202"/>
      <c r="V14" s="202"/>
      <c r="W14" s="202"/>
      <c r="X14" s="207"/>
      <c r="Y14" s="207"/>
      <c r="Z14" s="207"/>
      <c r="AA14" s="207"/>
      <c r="AB14" s="207"/>
      <c r="AC14" s="207"/>
      <c r="AD14" s="207"/>
      <c r="AE14" s="201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1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1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1"/>
      <c r="BS14" s="202"/>
      <c r="BT14" s="202"/>
      <c r="BU14" s="202"/>
      <c r="BV14" s="202"/>
      <c r="BW14" s="202"/>
      <c r="BX14" s="202"/>
      <c r="BY14" s="202"/>
      <c r="BZ14" s="202"/>
      <c r="CA14" s="202"/>
    </row>
    <row r="15" spans="1:79" x14ac:dyDescent="0.2">
      <c r="C15" s="208" t="s">
        <v>2902</v>
      </c>
      <c r="D15" s="209"/>
      <c r="E15" s="209">
        <v>710950.42</v>
      </c>
      <c r="F15" s="209">
        <v>59769.5</v>
      </c>
      <c r="G15" s="209">
        <v>57058.52</v>
      </c>
      <c r="H15" s="209">
        <v>61345.5</v>
      </c>
      <c r="I15" s="209">
        <v>58909</v>
      </c>
      <c r="J15" s="209">
        <v>55230.92</v>
      </c>
      <c r="K15" s="209">
        <v>48437.84</v>
      </c>
      <c r="L15" s="209">
        <v>51489.570000000007</v>
      </c>
      <c r="M15" s="209">
        <v>54106.619999999995</v>
      </c>
      <c r="N15" s="209">
        <v>55106.86</v>
      </c>
      <c r="O15" s="209">
        <v>54653.859999999993</v>
      </c>
      <c r="P15" s="209">
        <v>57103.34</v>
      </c>
      <c r="Q15" s="210">
        <v>97738.89</v>
      </c>
      <c r="R15" s="211">
        <v>771113.85</v>
      </c>
      <c r="S15" s="212">
        <v>72465.06</v>
      </c>
      <c r="T15" s="212">
        <v>62813.7</v>
      </c>
      <c r="U15" s="212">
        <v>65742.73</v>
      </c>
      <c r="V15" s="212">
        <v>62819.7</v>
      </c>
      <c r="W15" s="212">
        <v>62786.2</v>
      </c>
      <c r="X15" s="210">
        <v>62978.1</v>
      </c>
      <c r="Y15" s="210">
        <v>63028.4</v>
      </c>
      <c r="Z15" s="210">
        <v>63299.23</v>
      </c>
      <c r="AA15" s="210">
        <v>62856.5</v>
      </c>
      <c r="AB15" s="210">
        <v>62794.75</v>
      </c>
      <c r="AC15" s="210">
        <v>63317.08</v>
      </c>
      <c r="AD15" s="210">
        <v>66212.399999999994</v>
      </c>
      <c r="AE15" s="211">
        <v>806226.69000000006</v>
      </c>
      <c r="AF15" s="212">
        <v>63118.6</v>
      </c>
      <c r="AG15" s="212">
        <v>62560</v>
      </c>
      <c r="AH15" s="212">
        <v>63355</v>
      </c>
      <c r="AI15" s="212">
        <v>65030</v>
      </c>
      <c r="AJ15" s="212">
        <v>65463.3</v>
      </c>
      <c r="AK15" s="212">
        <v>65719.7</v>
      </c>
      <c r="AL15" s="212">
        <v>65525.99</v>
      </c>
      <c r="AM15" s="212">
        <v>65871.56</v>
      </c>
      <c r="AN15" s="212">
        <v>66034.78</v>
      </c>
      <c r="AO15" s="212">
        <v>37103.949999999997</v>
      </c>
      <c r="AP15" s="212">
        <v>94672</v>
      </c>
      <c r="AQ15" s="212">
        <v>91771.81</v>
      </c>
      <c r="AR15" s="211">
        <f t="shared" ref="AR15:AZ15" si="12">SUM(AR16:AR22)</f>
        <v>812792.27</v>
      </c>
      <c r="AS15" s="212">
        <f t="shared" si="12"/>
        <v>68136.09</v>
      </c>
      <c r="AT15" s="212">
        <f t="shared" si="12"/>
        <v>66276.930000000008</v>
      </c>
      <c r="AU15" s="212">
        <f t="shared" si="12"/>
        <v>39398.449999999997</v>
      </c>
      <c r="AV15" s="212">
        <f t="shared" si="12"/>
        <v>85127.079999999987</v>
      </c>
      <c r="AW15" s="212">
        <f t="shared" si="12"/>
        <v>75120.3</v>
      </c>
      <c r="AX15" s="212">
        <f t="shared" si="12"/>
        <v>65737.290000000008</v>
      </c>
      <c r="AY15" s="212">
        <f t="shared" si="12"/>
        <v>68116.929999999993</v>
      </c>
      <c r="AZ15" s="212">
        <f t="shared" si="12"/>
        <v>62813.03</v>
      </c>
      <c r="BA15" s="212">
        <f t="shared" ref="BA15:BI15" si="13">SUM(BA16:BA22)</f>
        <v>63486.47</v>
      </c>
      <c r="BB15" s="212">
        <f t="shared" si="13"/>
        <v>51081.9</v>
      </c>
      <c r="BC15" s="212">
        <f t="shared" si="13"/>
        <v>73710</v>
      </c>
      <c r="BD15" s="212">
        <f t="shared" si="13"/>
        <v>93787.8</v>
      </c>
      <c r="BE15" s="211">
        <f t="shared" si="13"/>
        <v>770801.57</v>
      </c>
      <c r="BF15" s="212">
        <f t="shared" si="13"/>
        <v>62554.3</v>
      </c>
      <c r="BG15" s="212">
        <f t="shared" si="13"/>
        <v>63927.199999999997</v>
      </c>
      <c r="BH15" s="212">
        <f t="shared" si="13"/>
        <v>62200.4</v>
      </c>
      <c r="BI15" s="212">
        <f t="shared" si="13"/>
        <v>62854.400000000001</v>
      </c>
      <c r="BJ15" s="212">
        <f t="shared" ref="BJ15:BK15" si="14">SUM(BJ16:BJ22)</f>
        <v>62967</v>
      </c>
      <c r="BK15" s="212">
        <f t="shared" si="14"/>
        <v>46700</v>
      </c>
      <c r="BL15" s="212">
        <f t="shared" ref="BL15:BS15" si="15">SUM(BL16:BL22)</f>
        <v>69880</v>
      </c>
      <c r="BM15" s="212">
        <f t="shared" si="15"/>
        <v>57522.7</v>
      </c>
      <c r="BN15" s="212">
        <f t="shared" si="15"/>
        <v>54786.96</v>
      </c>
      <c r="BO15" s="212">
        <f t="shared" si="15"/>
        <v>71541.31</v>
      </c>
      <c r="BP15" s="212">
        <f t="shared" si="15"/>
        <v>72282.600000000006</v>
      </c>
      <c r="BQ15" s="212">
        <f t="shared" si="15"/>
        <v>83584.7</v>
      </c>
      <c r="BR15" s="211">
        <f t="shared" si="15"/>
        <v>711967.90000000014</v>
      </c>
      <c r="BS15" s="212">
        <f t="shared" si="15"/>
        <v>63654.7</v>
      </c>
      <c r="BT15" s="212">
        <f t="shared" ref="BT15" si="16">SUM(BT16:BT22)</f>
        <v>79686.539999999994</v>
      </c>
      <c r="BU15" s="212">
        <f t="shared" ref="BU15:BZ15" si="17">SUM(BU16:BU22)</f>
        <v>82220</v>
      </c>
      <c r="BV15" s="212">
        <f t="shared" si="17"/>
        <v>81548.3</v>
      </c>
      <c r="BW15" s="212">
        <f t="shared" si="17"/>
        <v>81240.69</v>
      </c>
      <c r="BX15" s="212">
        <f t="shared" si="17"/>
        <v>83532.73</v>
      </c>
      <c r="BY15" s="212">
        <f t="shared" si="17"/>
        <v>81478.53</v>
      </c>
      <c r="BZ15" s="212">
        <f t="shared" si="17"/>
        <v>81665.909999999989</v>
      </c>
      <c r="CA15" s="212">
        <f t="shared" ref="CA15" si="18">SUM(CA16:CA22)</f>
        <v>76940.5</v>
      </c>
    </row>
    <row r="16" spans="1:79" x14ac:dyDescent="0.2">
      <c r="A16" s="280" t="s">
        <v>1577</v>
      </c>
      <c r="B16" s="280"/>
      <c r="C16" s="349" t="s">
        <v>2903</v>
      </c>
      <c r="D16" s="214"/>
      <c r="E16" s="215">
        <v>671009.90999999992</v>
      </c>
      <c r="F16" s="215">
        <v>56500</v>
      </c>
      <c r="G16" s="215">
        <v>54400</v>
      </c>
      <c r="H16" s="215">
        <v>57023</v>
      </c>
      <c r="I16" s="215">
        <v>55120</v>
      </c>
      <c r="J16" s="215">
        <v>51790</v>
      </c>
      <c r="K16" s="215">
        <v>46400</v>
      </c>
      <c r="L16" s="215">
        <v>46150</v>
      </c>
      <c r="M16" s="215">
        <v>51353.34</v>
      </c>
      <c r="N16" s="215">
        <v>51840</v>
      </c>
      <c r="O16" s="215">
        <v>50193.34</v>
      </c>
      <c r="P16" s="215">
        <v>54743.34</v>
      </c>
      <c r="Q16" s="215">
        <v>95496.89</v>
      </c>
      <c r="R16" s="215">
        <v>759100</v>
      </c>
      <c r="S16" s="215">
        <v>71700</v>
      </c>
      <c r="T16" s="215">
        <v>62200</v>
      </c>
      <c r="U16" s="215">
        <v>62200</v>
      </c>
      <c r="V16" s="215">
        <v>62200</v>
      </c>
      <c r="W16" s="215">
        <v>62200</v>
      </c>
      <c r="X16" s="215">
        <v>62200</v>
      </c>
      <c r="Y16" s="215">
        <v>62200</v>
      </c>
      <c r="Z16" s="215">
        <v>62200</v>
      </c>
      <c r="AA16" s="215">
        <v>62200</v>
      </c>
      <c r="AB16" s="215">
        <v>62200</v>
      </c>
      <c r="AC16" s="215">
        <v>62200</v>
      </c>
      <c r="AD16" s="215">
        <v>65400</v>
      </c>
      <c r="AE16" s="215">
        <v>788950</v>
      </c>
      <c r="AF16" s="215">
        <v>62200</v>
      </c>
      <c r="AG16" s="215">
        <v>62200</v>
      </c>
      <c r="AH16" s="215">
        <v>62200</v>
      </c>
      <c r="AI16" s="215">
        <v>64400</v>
      </c>
      <c r="AJ16" s="215">
        <v>64400</v>
      </c>
      <c r="AK16" s="215">
        <v>64400</v>
      </c>
      <c r="AL16" s="215">
        <v>64400</v>
      </c>
      <c r="AM16" s="215">
        <v>64400</v>
      </c>
      <c r="AN16" s="215">
        <v>64400</v>
      </c>
      <c r="AO16" s="216">
        <v>35400</v>
      </c>
      <c r="AP16" s="216">
        <v>93400</v>
      </c>
      <c r="AQ16" s="215">
        <v>87150</v>
      </c>
      <c r="AR16" s="215">
        <f t="shared" ref="AR16:AR22" si="19">SUM(AS16:BD16)</f>
        <v>769220.23</v>
      </c>
      <c r="AS16" s="215">
        <f>DSUM(G_ENE_2016,GASTO,G_NMNVG)</f>
        <v>63900</v>
      </c>
      <c r="AT16" s="215">
        <f>DSUM(G_FEB_2016,GASTO,G_NMNVG)</f>
        <v>63400</v>
      </c>
      <c r="AU16" s="215">
        <f>DSUM(G_MAR_2016,GASTO,G_NMNVG)</f>
        <v>35400</v>
      </c>
      <c r="AV16" s="215">
        <f>DSUM(G_ABR_2016,GASTO,G_NMNVG)</f>
        <v>82400</v>
      </c>
      <c r="AW16" s="215">
        <f>DSUM(G_MAY_2016,GASTO,G_NMNVG)</f>
        <v>72400</v>
      </c>
      <c r="AX16" s="215">
        <f>DSUM(G_JUN_2016,GASTO,G_NMNVG)</f>
        <v>63400</v>
      </c>
      <c r="AY16" s="215">
        <f>DSUM(G_JUL_2016,GASTO,G_NMNVG)</f>
        <v>66400</v>
      </c>
      <c r="AZ16" s="215">
        <f>DSUM(G_AGO_2016,GASTO,G_NMNVG)</f>
        <v>60750</v>
      </c>
      <c r="BA16" s="215">
        <f>DSUM(G_SEP_2016,GASTO,G_NMNVG)</f>
        <v>60700</v>
      </c>
      <c r="BB16" s="215">
        <f>DSUM(G_OCT_2016,GASTO,G_NMNVG)</f>
        <v>48000</v>
      </c>
      <c r="BC16" s="215">
        <f>DSUM(G_NOV_2016,GASTO,G_NMNVG)</f>
        <v>68000</v>
      </c>
      <c r="BD16" s="215">
        <f>DSUM(G_DIC_2016,GASTO,G_NMNVG)</f>
        <v>84470.23</v>
      </c>
      <c r="BE16" s="215">
        <f t="shared" ref="BE16:BE22" si="20">SUM(BF16:BQ16)</f>
        <v>743750</v>
      </c>
      <c r="BF16" s="215">
        <f>DSUM(G_ENE_2017,GASTO,G_NMNVG)</f>
        <v>60200</v>
      </c>
      <c r="BG16" s="215">
        <f>DSUM(G_FEB_2017,GASTO,G_NMNVG)</f>
        <v>60600</v>
      </c>
      <c r="BH16" s="215">
        <f>DSUM(G_MAR_2017,GASTO,G_NMNVG)</f>
        <v>60400</v>
      </c>
      <c r="BI16" s="215">
        <f>DSUM(G_ABR_2017,GASTO,G_NMNVG)</f>
        <v>60200</v>
      </c>
      <c r="BJ16" s="215">
        <f>DSUM(G_MAY_2017,GASTO,G_NMNVG)</f>
        <v>60200</v>
      </c>
      <c r="BK16" s="215">
        <f>DSUM(G_JUN_2017,GASTO,G_NMNVG)</f>
        <v>45150</v>
      </c>
      <c r="BL16" s="215">
        <f>DSUM(G_JUL_2017,GASTO,G_NMNVG)</f>
        <v>68250</v>
      </c>
      <c r="BM16" s="215">
        <f>DSUM(G_AGO_2017,GASTO,G_NMNVG)</f>
        <v>55200</v>
      </c>
      <c r="BN16" s="215">
        <f>DSUM(G_SEP_2017,GASTO,G_NMNVG)</f>
        <v>52200</v>
      </c>
      <c r="BO16" s="215">
        <f>DSUM(G_OCT_2017,GASTO,G_NMNVG)</f>
        <v>70200</v>
      </c>
      <c r="BP16" s="215">
        <f>DSUM(G_NOV_2017,GASTO,G_NMNVG)</f>
        <v>70200</v>
      </c>
      <c r="BQ16" s="215">
        <f>DSUM(G_DIC_2017,GASTO,G_NMNVG)</f>
        <v>80950</v>
      </c>
      <c r="BR16" s="215">
        <f t="shared" ref="BR16:BR22" si="21">SUM(BS16:CC16)</f>
        <v>693267</v>
      </c>
      <c r="BS16" s="215">
        <f>DSUM(G_ENE_2018,GASTO,G_NMNVG)</f>
        <v>60200</v>
      </c>
      <c r="BT16" s="215">
        <f>DSUM(G_FEB_2018,GASTO,G_NMNVG)</f>
        <v>78067</v>
      </c>
      <c r="BU16" s="215">
        <f>DSUM(G_MAR_2018,GASTO,G_NMNVG)</f>
        <v>80000</v>
      </c>
      <c r="BV16" s="215">
        <f>DSUM(G_ABR_2018,GASTO,G_NMNVG)</f>
        <v>80000</v>
      </c>
      <c r="BW16" s="215">
        <f>DSUM(G_MAY_2018,GASTO,G_NMNVG)</f>
        <v>80000</v>
      </c>
      <c r="BX16" s="215">
        <f>DSUM(G_JUN_2018,GASTO,G_NMNVG)</f>
        <v>80000</v>
      </c>
      <c r="BY16" s="215">
        <f>DSUM(G_JUL_2018,GASTO,G_NMNVG)</f>
        <v>80000</v>
      </c>
      <c r="BZ16" s="215">
        <f>DSUM(G_AGO_2018,GASTO,G_NMNVG)</f>
        <v>80000</v>
      </c>
      <c r="CA16" s="215">
        <f>DSUM(G_SEP_2018,GASTO,G_NMNVG)</f>
        <v>75000</v>
      </c>
    </row>
    <row r="17" spans="1:79" x14ac:dyDescent="0.2">
      <c r="A17" s="280" t="s">
        <v>1866</v>
      </c>
      <c r="B17" s="280"/>
      <c r="C17" s="350" t="s">
        <v>1883</v>
      </c>
      <c r="D17" s="218"/>
      <c r="E17" s="188">
        <v>5137.0200000000004</v>
      </c>
      <c r="F17" s="188">
        <v>689.5</v>
      </c>
      <c r="G17" s="188">
        <v>478.52</v>
      </c>
      <c r="H17" s="188">
        <v>420</v>
      </c>
      <c r="I17" s="188">
        <v>501</v>
      </c>
      <c r="J17" s="188">
        <v>678</v>
      </c>
      <c r="K17" s="188">
        <v>300</v>
      </c>
      <c r="L17" s="188">
        <v>390</v>
      </c>
      <c r="M17" s="188">
        <v>270</v>
      </c>
      <c r="N17" s="188">
        <v>270</v>
      </c>
      <c r="O17" s="188">
        <v>390</v>
      </c>
      <c r="P17" s="188">
        <v>360</v>
      </c>
      <c r="Q17" s="188">
        <v>390</v>
      </c>
      <c r="R17" s="188">
        <v>4802</v>
      </c>
      <c r="S17" s="188">
        <v>300</v>
      </c>
      <c r="T17" s="188">
        <v>360</v>
      </c>
      <c r="U17" s="188">
        <v>332</v>
      </c>
      <c r="V17" s="188">
        <v>480</v>
      </c>
      <c r="W17" s="188">
        <v>390</v>
      </c>
      <c r="X17" s="188">
        <v>360</v>
      </c>
      <c r="Y17" s="188">
        <v>390</v>
      </c>
      <c r="Z17" s="188">
        <v>420</v>
      </c>
      <c r="AA17" s="188">
        <v>450</v>
      </c>
      <c r="AB17" s="188">
        <v>450</v>
      </c>
      <c r="AC17" s="188">
        <v>390</v>
      </c>
      <c r="AD17" s="188">
        <v>480</v>
      </c>
      <c r="AE17" s="188">
        <v>8692.5</v>
      </c>
      <c r="AF17" s="188">
        <v>360</v>
      </c>
      <c r="AG17" s="188">
        <v>360</v>
      </c>
      <c r="AH17" s="188">
        <v>390</v>
      </c>
      <c r="AI17" s="188">
        <v>630</v>
      </c>
      <c r="AJ17" s="188">
        <v>568.5</v>
      </c>
      <c r="AK17" s="188">
        <v>630</v>
      </c>
      <c r="AL17" s="188">
        <v>690</v>
      </c>
      <c r="AM17" s="188">
        <v>622</v>
      </c>
      <c r="AN17" s="188">
        <v>727.5</v>
      </c>
      <c r="AO17" s="188">
        <v>1060.5</v>
      </c>
      <c r="AP17" s="188">
        <v>1041</v>
      </c>
      <c r="AQ17" s="188">
        <v>1613</v>
      </c>
      <c r="AR17" s="188">
        <f t="shared" si="19"/>
        <v>19904.010000000002</v>
      </c>
      <c r="AS17" s="188">
        <f>DSUM(G_ENE_2016,GASTO,G_AGUA)</f>
        <v>1273.9100000000001</v>
      </c>
      <c r="AT17" s="188">
        <f>DSUM(G_FEB_2016,GASTO,G_AGUA)</f>
        <v>1577.6000000000001</v>
      </c>
      <c r="AU17" s="188">
        <f>DSUM(G_MAR_2016,GASTO,G_AGUA)</f>
        <v>1485.4</v>
      </c>
      <c r="AV17" s="188">
        <f>DSUM(G_ABR_2016,GASTO,G_AGUA)</f>
        <v>1680.9</v>
      </c>
      <c r="AW17" s="188">
        <f>DSUM(G_MAY_2016,GASTO,G_AGUA)</f>
        <v>2354.3000000000002</v>
      </c>
      <c r="AX17" s="188">
        <f>DSUM(G_JUN_2016,GASTO,G_AGUA)</f>
        <v>2116.9</v>
      </c>
      <c r="AY17" s="188">
        <f>DSUM(G_JUL_2016,GASTO,G_AGUA)</f>
        <v>1263</v>
      </c>
      <c r="AZ17" s="188">
        <f>DSUM(G_AGO_2016,GASTO,G_AGUA)</f>
        <v>1600</v>
      </c>
      <c r="BA17" s="188">
        <f>DSUM(G_SEP_2016,GASTO,G_AGUA)</f>
        <v>1630</v>
      </c>
      <c r="BB17" s="188">
        <f>DSUM(G_OCT_2016,GASTO,G_AGUA)</f>
        <v>1244</v>
      </c>
      <c r="BC17" s="188">
        <f>DSUM(G_NOV_2016,GASTO,G_AGUA)</f>
        <v>2210</v>
      </c>
      <c r="BD17" s="188">
        <f>DSUM(G_DIC_2016,GASTO,G_AGUA)</f>
        <v>1468</v>
      </c>
      <c r="BE17" s="188">
        <f t="shared" si="20"/>
        <v>17297.2</v>
      </c>
      <c r="BF17" s="188">
        <f>DSUM(G_ENE_2017,GASTO,G_AGUA)</f>
        <v>1610</v>
      </c>
      <c r="BG17" s="188">
        <f>DSUM(G_FEB_2017,GASTO,G_AGUA)</f>
        <v>2169.1999999999998</v>
      </c>
      <c r="BH17" s="188">
        <f>DSUM(G_MAR_2017,GASTO,G_AGUA)</f>
        <v>1326</v>
      </c>
      <c r="BI17" s="188">
        <f>DSUM(G_ABR_2017,GASTO,G_AGUA)</f>
        <v>1992</v>
      </c>
      <c r="BJ17" s="188">
        <f>DSUM(G_MAY_2017,GASTO,G_AGUA)</f>
        <v>2438</v>
      </c>
      <c r="BK17" s="188">
        <f>DSUM(G_JUN_2017,GASTO,G_AGUA)</f>
        <v>1550</v>
      </c>
      <c r="BL17" s="188">
        <f>DSUM(G_JUL_2017,GASTO,G_AGUA)</f>
        <v>1360</v>
      </c>
      <c r="BM17" s="188">
        <f>DSUM(G_AGO_2017,GASTO,G_AGUA)</f>
        <v>1946</v>
      </c>
      <c r="BN17" s="188">
        <f>DSUM(G_SEP_2017,GASTO,G_AGUA)</f>
        <v>1240</v>
      </c>
      <c r="BO17" s="188">
        <f>DSUM(G_OCT_2017,GASTO,G_AGUA)</f>
        <v>560</v>
      </c>
      <c r="BP17" s="188">
        <f>DSUM(G_NOV_2017,GASTO,G_AGUA)</f>
        <v>616</v>
      </c>
      <c r="BQ17" s="188">
        <f>DSUM(G_DIC_2017,GASTO,G_AGUA)</f>
        <v>490</v>
      </c>
      <c r="BR17" s="188">
        <f t="shared" si="21"/>
        <v>7477</v>
      </c>
      <c r="BS17" s="188">
        <f>DSUM(G_ENE_2018,GASTO,G_AGUA)</f>
        <v>660</v>
      </c>
      <c r="BT17" s="188">
        <f>DSUM(G_FEB_2018,GASTO,G_AGUA)</f>
        <v>590</v>
      </c>
      <c r="BU17" s="188">
        <f>DSUM(G_MAR_2018,GASTO,G_AGUA)</f>
        <v>805</v>
      </c>
      <c r="BV17" s="188">
        <f>DSUM(G_ABR_2018,GASTO,G_AGUA)</f>
        <v>980</v>
      </c>
      <c r="BW17" s="188">
        <f>DSUM(G_MAY_2018,GASTO,G_AGUA)</f>
        <v>770</v>
      </c>
      <c r="BX17" s="188">
        <f>DSUM(G_JUN_2018,GASTO,G_AGUA)</f>
        <v>840</v>
      </c>
      <c r="BY17" s="188">
        <f>DSUM(G_JUL_2018,GASTO,G_AGUA)</f>
        <v>810</v>
      </c>
      <c r="BZ17" s="188">
        <f>DSUM(G_AGO_2018,GASTO,G_AGUA)</f>
        <v>1302</v>
      </c>
      <c r="CA17" s="188">
        <f>DSUM(G_SEP_2018,GASTO,G_AGUA)</f>
        <v>720</v>
      </c>
    </row>
    <row r="18" spans="1:79" x14ac:dyDescent="0.2">
      <c r="A18" s="280" t="s">
        <v>1861</v>
      </c>
      <c r="B18" s="280"/>
      <c r="C18" s="350" t="s">
        <v>2904</v>
      </c>
      <c r="D18" s="218"/>
      <c r="E18" s="188">
        <v>22680</v>
      </c>
      <c r="F18" s="188">
        <v>2580</v>
      </c>
      <c r="G18" s="188">
        <v>2180</v>
      </c>
      <c r="H18" s="188">
        <v>2320</v>
      </c>
      <c r="I18" s="188">
        <v>2200</v>
      </c>
      <c r="J18" s="188">
        <v>2000</v>
      </c>
      <c r="K18" s="188">
        <v>1600</v>
      </c>
      <c r="L18" s="188">
        <v>1600</v>
      </c>
      <c r="M18" s="188">
        <v>1800</v>
      </c>
      <c r="N18" s="188">
        <v>1600</v>
      </c>
      <c r="O18" s="188">
        <v>1600</v>
      </c>
      <c r="P18" s="188">
        <v>2000</v>
      </c>
      <c r="Q18" s="188">
        <v>1200</v>
      </c>
      <c r="R18" s="188">
        <v>0</v>
      </c>
      <c r="S18" s="188">
        <v>0</v>
      </c>
      <c r="T18" s="188">
        <v>0</v>
      </c>
      <c r="U18" s="188">
        <v>0</v>
      </c>
      <c r="V18" s="188">
        <v>0</v>
      </c>
      <c r="W18" s="188">
        <v>0</v>
      </c>
      <c r="X18" s="188">
        <v>0</v>
      </c>
      <c r="Y18" s="188">
        <v>0</v>
      </c>
      <c r="Z18" s="188">
        <v>0</v>
      </c>
      <c r="AA18" s="188">
        <v>0</v>
      </c>
      <c r="AB18" s="188">
        <v>0</v>
      </c>
      <c r="AC18" s="188">
        <v>0</v>
      </c>
      <c r="AD18" s="188">
        <v>0</v>
      </c>
      <c r="AE18" s="188">
        <v>2851.8</v>
      </c>
      <c r="AF18" s="188">
        <v>0</v>
      </c>
      <c r="AG18" s="188">
        <v>0</v>
      </c>
      <c r="AH18" s="188">
        <v>0</v>
      </c>
      <c r="AI18" s="188">
        <v>0</v>
      </c>
      <c r="AJ18" s="188">
        <v>0</v>
      </c>
      <c r="AK18" s="188">
        <v>0</v>
      </c>
      <c r="AL18" s="188">
        <v>0</v>
      </c>
      <c r="AM18" s="188">
        <v>0</v>
      </c>
      <c r="AN18" s="188">
        <v>390</v>
      </c>
      <c r="AO18" s="188">
        <v>0</v>
      </c>
      <c r="AP18" s="188">
        <v>0</v>
      </c>
      <c r="AQ18" s="188">
        <v>2461.8000000000002</v>
      </c>
      <c r="AR18" s="188">
        <f t="shared" si="19"/>
        <v>12730.49</v>
      </c>
      <c r="AS18" s="188">
        <f>DSUM(G_ENE_2016,GASTO,G_ALMVG)</f>
        <v>1593.7499999999998</v>
      </c>
      <c r="AT18" s="188">
        <f>DSUM(G_FEB_2016,GASTO,G_ALMVG)</f>
        <v>570</v>
      </c>
      <c r="AU18" s="188">
        <f>DSUM(G_MAR_2016,GASTO,G_ALMVG)</f>
        <v>2216.7400000000002</v>
      </c>
      <c r="AV18" s="188">
        <f>DSUM(G_ABR_2016,GASTO,G_ALMVG)</f>
        <v>100</v>
      </c>
      <c r="AW18" s="188">
        <f>DSUM(G_MAY_2016,GASTO,G_ALMVG)</f>
        <v>0</v>
      </c>
      <c r="AX18" s="188">
        <f>DSUM(G_JUN_2016,GASTO,G_ALMVG)</f>
        <v>0</v>
      </c>
      <c r="AY18" s="188">
        <f>DSUM(G_JUL_2016,GASTO,G_ALMVG)</f>
        <v>0</v>
      </c>
      <c r="AZ18" s="188">
        <f>DSUM(G_AGO_2016,GASTO,G_ALMVG)</f>
        <v>0</v>
      </c>
      <c r="BA18" s="188">
        <f>DSUM(G_SEP_2016,GASTO,G_ALMVG)</f>
        <v>580</v>
      </c>
      <c r="BB18" s="188">
        <f>DSUM(G_OCT_2016,GASTO,G_ALMVG)</f>
        <v>857</v>
      </c>
      <c r="BC18" s="188">
        <f>DSUM(G_NOV_2016,GASTO,G_ALMVG)</f>
        <v>0</v>
      </c>
      <c r="BD18" s="188">
        <f>DSUM(G_DIC_2016,GASTO,G_ALMVG)</f>
        <v>6813</v>
      </c>
      <c r="BE18" s="188">
        <f t="shared" si="20"/>
        <v>2588.6</v>
      </c>
      <c r="BF18" s="188">
        <f>DSUM(G_ENE_2017,GASTO,G_ALMVG)</f>
        <v>586.9</v>
      </c>
      <c r="BG18" s="188">
        <f>DSUM(G_FEB_2017,GASTO,G_ALMVG)</f>
        <v>0</v>
      </c>
      <c r="BH18" s="188">
        <f>DSUM(G_MAR_2017,GASTO,G_ALMVG)</f>
        <v>0</v>
      </c>
      <c r="BI18" s="188">
        <f>DSUM(G_ABR_2017,GASTO,G_ALMVG)</f>
        <v>0</v>
      </c>
      <c r="BJ18" s="188">
        <f>DSUM(G_MAY_2017,GASTO,G_ALMVG)</f>
        <v>0</v>
      </c>
      <c r="BK18" s="188">
        <f>DSUM(G_JUN_2017,GASTO,G_ALMVG)</f>
        <v>0</v>
      </c>
      <c r="BL18" s="188">
        <f>DSUM(G_JUL_2017,GASTO,G_ALMVG)</f>
        <v>0</v>
      </c>
      <c r="BM18" s="188">
        <f>DSUM(G_AGO_2017,GASTO,G_ALMVG)</f>
        <v>0</v>
      </c>
      <c r="BN18" s="188">
        <f>DSUM(G_SEP_2017,GASTO,G_ALMVG)</f>
        <v>0</v>
      </c>
      <c r="BO18" s="188">
        <f>DSUM(G_OCT_2017,GASTO,G_ALMVG)</f>
        <v>0</v>
      </c>
      <c r="BP18" s="188">
        <f>DSUM(G_NOV_2017,GASTO,G_ALMVG)</f>
        <v>0</v>
      </c>
      <c r="BQ18" s="188">
        <f>DSUM(G_DIC_2017,GASTO,G_ALMVG)</f>
        <v>2001.7</v>
      </c>
      <c r="BR18" s="188">
        <f t="shared" si="21"/>
        <v>4721.8100000000004</v>
      </c>
      <c r="BS18" s="188">
        <f>DSUM(G_ENE_2018,GASTO,G_ALMVG)</f>
        <v>2323</v>
      </c>
      <c r="BT18" s="188">
        <f>DSUM(G_FEB_2018,GASTO,G_ALMVG)</f>
        <v>280</v>
      </c>
      <c r="BU18" s="188">
        <f>DSUM(G_MAR_2018,GASTO,G_ALMVG)</f>
        <v>0</v>
      </c>
      <c r="BV18" s="188">
        <f>DSUM(G_ABR_2018,GASTO,G_ALMVG)</f>
        <v>389.5</v>
      </c>
      <c r="BW18" s="188">
        <f>DSUM(G_MAY_2018,GASTO,G_ALMVG)</f>
        <v>0</v>
      </c>
      <c r="BX18" s="188">
        <f>DSUM(G_JUN_2018,GASTO,G_ALMVG)</f>
        <v>350.8</v>
      </c>
      <c r="BY18" s="188">
        <f>DSUM(G_JUL_2018,GASTO,G_ALMVG)</f>
        <v>264.5</v>
      </c>
      <c r="BZ18" s="188">
        <f>DSUM(G_AGO_2018,GASTO,G_ALMVG)</f>
        <v>277.01</v>
      </c>
      <c r="CA18" s="188">
        <f>DSUM(G_SEP_2018,GASTO,G_ALMVG)</f>
        <v>837</v>
      </c>
    </row>
    <row r="19" spans="1:79" x14ac:dyDescent="0.2">
      <c r="A19" s="280" t="s">
        <v>1875</v>
      </c>
      <c r="B19" s="280"/>
      <c r="C19" s="350" t="s">
        <v>1876</v>
      </c>
      <c r="D19" s="218"/>
      <c r="E19" s="188">
        <v>502.76</v>
      </c>
      <c r="F19" s="188">
        <v>0</v>
      </c>
      <c r="G19" s="188">
        <v>0</v>
      </c>
      <c r="H19" s="188">
        <v>0</v>
      </c>
      <c r="I19" s="188">
        <v>0</v>
      </c>
      <c r="J19" s="188">
        <v>0</v>
      </c>
      <c r="K19" s="188">
        <v>137.84</v>
      </c>
      <c r="L19" s="188">
        <v>151.63999999999999</v>
      </c>
      <c r="M19" s="188">
        <v>213.28</v>
      </c>
      <c r="N19" s="188">
        <v>0</v>
      </c>
      <c r="O19" s="188">
        <v>0</v>
      </c>
      <c r="P19" s="188">
        <v>0</v>
      </c>
      <c r="Q19" s="188">
        <v>0</v>
      </c>
      <c r="R19" s="188">
        <v>4453.2299999999996</v>
      </c>
      <c r="S19" s="188">
        <v>465.06000000000006</v>
      </c>
      <c r="T19" s="188">
        <v>253.7</v>
      </c>
      <c r="U19" s="188">
        <v>452.11</v>
      </c>
      <c r="V19" s="188">
        <v>139.69999999999999</v>
      </c>
      <c r="W19" s="188">
        <v>196.2</v>
      </c>
      <c r="X19" s="188">
        <v>418.1</v>
      </c>
      <c r="Y19" s="188">
        <v>438.4</v>
      </c>
      <c r="Z19" s="188">
        <v>679.23</v>
      </c>
      <c r="AA19" s="188">
        <v>206.5</v>
      </c>
      <c r="AB19" s="188">
        <v>144.75</v>
      </c>
      <c r="AC19" s="188">
        <v>727.07999999999993</v>
      </c>
      <c r="AD19" s="188">
        <v>332.4</v>
      </c>
      <c r="AE19" s="188">
        <v>3320.3900000000003</v>
      </c>
      <c r="AF19" s="188">
        <v>378.6</v>
      </c>
      <c r="AG19" s="188">
        <v>0</v>
      </c>
      <c r="AH19" s="188">
        <v>0</v>
      </c>
      <c r="AI19" s="188">
        <v>0</v>
      </c>
      <c r="AJ19" s="188">
        <v>494.8</v>
      </c>
      <c r="AK19" s="188">
        <v>409.7</v>
      </c>
      <c r="AL19" s="188">
        <v>435.99</v>
      </c>
      <c r="AM19" s="188">
        <v>449.56</v>
      </c>
      <c r="AN19" s="188">
        <v>517.28</v>
      </c>
      <c r="AO19" s="188">
        <v>163.44999999999999</v>
      </c>
      <c r="AP19" s="188">
        <v>231</v>
      </c>
      <c r="AQ19" s="188">
        <v>240.01</v>
      </c>
      <c r="AR19" s="188">
        <f t="shared" si="19"/>
        <v>4961.5399999999991</v>
      </c>
      <c r="AS19" s="188">
        <f>DSUM(G_ENE_2016,GASTO,G_MTLPZ)</f>
        <v>248.43</v>
      </c>
      <c r="AT19" s="188">
        <f>DSUM(G_FEB_2016,GASTO,G_MTLPZ)</f>
        <v>729.32999999999993</v>
      </c>
      <c r="AU19" s="188">
        <f>DSUM(G_MAR_2016,GASTO,G_MTLPZ)</f>
        <v>296.31</v>
      </c>
      <c r="AV19" s="188">
        <f>DSUM(G_ABR_2016,GASTO,G_MTLPZ)</f>
        <v>435.18</v>
      </c>
      <c r="AW19" s="188">
        <f>DSUM(G_MAY_2016,GASTO,G_MTLPZ)</f>
        <v>366</v>
      </c>
      <c r="AX19" s="188">
        <f>DSUM(G_JUN_2016,GASTO,G_MTLPZ)</f>
        <v>220.39000000000001</v>
      </c>
      <c r="AY19" s="188">
        <f>DSUM(G_JUL_2016,GASTO,G_MTLPZ)</f>
        <v>453.93</v>
      </c>
      <c r="AZ19" s="188">
        <f>DSUM(G_AGO_2016,GASTO,G_MTLPZ)</f>
        <v>363.03</v>
      </c>
      <c r="BA19" s="188">
        <f>DSUM(G_SEP_2016,GASTO,G_MTLPZ)</f>
        <v>301.47000000000003</v>
      </c>
      <c r="BB19" s="188">
        <f>DSUM(G_OCT_2016,GASTO,G_MTLPZ)</f>
        <v>620.9</v>
      </c>
      <c r="BC19" s="188">
        <f>DSUM(G_NOV_2016,GASTO,G_MTLPZ)</f>
        <v>480</v>
      </c>
      <c r="BD19" s="188">
        <f>DSUM(G_DIC_2016,GASTO,G_MTLPZ)</f>
        <v>446.57</v>
      </c>
      <c r="BE19" s="188">
        <f t="shared" si="20"/>
        <v>4816.37</v>
      </c>
      <c r="BF19" s="188">
        <f>DSUM(G_ENE_2017,GASTO,G_MTLPZ)</f>
        <v>122.4</v>
      </c>
      <c r="BG19" s="188">
        <f>DSUM(G_FEB_2017,GASTO,G_MTLPZ)</f>
        <v>568</v>
      </c>
      <c r="BH19" s="188">
        <f>DSUM(G_MAR_2017,GASTO,G_MTLPZ)</f>
        <v>0</v>
      </c>
      <c r="BI19" s="188">
        <f>DSUM(G_ABR_2017,GASTO,G_MTLPZ)</f>
        <v>612.40000000000009</v>
      </c>
      <c r="BJ19" s="188">
        <f>DSUM(G_MAY_2017,GASTO,G_MTLPZ)</f>
        <v>329</v>
      </c>
      <c r="BK19" s="188">
        <f>DSUM(G_JUN_2017,GASTO,G_MTLPZ)</f>
        <v>0</v>
      </c>
      <c r="BL19" s="188">
        <f>DSUM(G_JUL_2017,GASTO,G_MTLPZ)</f>
        <v>270</v>
      </c>
      <c r="BM19" s="188">
        <f>DSUM(G_AGO_2017,GASTO,G_MTLPZ)</f>
        <v>376.7</v>
      </c>
      <c r="BN19" s="188">
        <f>DSUM(G_SEP_2017,GASTO,G_MTLPZ)</f>
        <v>1126.96</v>
      </c>
      <c r="BO19" s="188">
        <f>DSUM(G_OCT_2017,GASTO,G_MTLPZ)</f>
        <v>551.30999999999995</v>
      </c>
      <c r="BP19" s="188">
        <f>DSUM(G_NOV_2017,GASTO,G_MTLPZ)</f>
        <v>806.6</v>
      </c>
      <c r="BQ19" s="188">
        <f>DSUM(G_DIC_2017,GASTO,G_MTLPZ)</f>
        <v>53</v>
      </c>
      <c r="BR19" s="188">
        <f t="shared" si="21"/>
        <v>2385.56</v>
      </c>
      <c r="BS19" s="188">
        <f>DSUM(G_ENE_2018,GASTO,G_MTLPZ)</f>
        <v>471.7</v>
      </c>
      <c r="BT19" s="188">
        <f>DSUM(G_FEB_2018,GASTO,G_MTLPZ)</f>
        <v>549.54</v>
      </c>
      <c r="BU19" s="188">
        <f>DSUM(G_MAR_2018,GASTO,G_MTLPZ)</f>
        <v>0</v>
      </c>
      <c r="BV19" s="188">
        <f>DSUM(G_ABR_2018,GASTO,G_MTLPZ)</f>
        <v>53.8</v>
      </c>
      <c r="BW19" s="188">
        <f>DSUM(G_MAY_2018,GASTO,G_MTLPZ)</f>
        <v>470.69</v>
      </c>
      <c r="BX19" s="188">
        <f>DSUM(G_JUN_2018,GASTO,G_MTLPZ)</f>
        <v>716.93</v>
      </c>
      <c r="BY19" s="188">
        <f>DSUM(G_JUL_2018,GASTO,G_MTLPZ)</f>
        <v>36</v>
      </c>
      <c r="BZ19" s="188">
        <f>DSUM(G_AGO_2018,GASTO,G_MTLPZ)</f>
        <v>86.9</v>
      </c>
      <c r="CA19" s="188">
        <f>DSUM(G_SEP_2018,GASTO,G_MTLPZ)</f>
        <v>0</v>
      </c>
    </row>
    <row r="20" spans="1:79" x14ac:dyDescent="0.2">
      <c r="A20" s="280" t="s">
        <v>1869</v>
      </c>
      <c r="B20" s="280"/>
      <c r="C20" s="350" t="s">
        <v>2905</v>
      </c>
      <c r="D20" s="218"/>
      <c r="E20" s="188">
        <v>3061.55</v>
      </c>
      <c r="F20" s="188">
        <v>0</v>
      </c>
      <c r="G20" s="188">
        <v>0</v>
      </c>
      <c r="H20" s="188">
        <v>0</v>
      </c>
      <c r="I20" s="188">
        <v>1088</v>
      </c>
      <c r="J20" s="188">
        <v>0</v>
      </c>
      <c r="K20" s="188">
        <v>0</v>
      </c>
      <c r="L20" s="188">
        <v>864.55</v>
      </c>
      <c r="M20" s="188">
        <v>0</v>
      </c>
      <c r="N20" s="188">
        <v>171</v>
      </c>
      <c r="O20" s="188">
        <v>286</v>
      </c>
      <c r="P20" s="188">
        <v>0</v>
      </c>
      <c r="Q20" s="188">
        <v>652</v>
      </c>
      <c r="R20" s="188">
        <v>0</v>
      </c>
      <c r="S20" s="188">
        <v>0</v>
      </c>
      <c r="T20" s="188">
        <v>0</v>
      </c>
      <c r="U20" s="188">
        <v>0</v>
      </c>
      <c r="V20" s="188">
        <v>0</v>
      </c>
      <c r="W20" s="188">
        <v>0</v>
      </c>
      <c r="X20" s="188">
        <v>0</v>
      </c>
      <c r="Y20" s="188">
        <v>0</v>
      </c>
      <c r="Z20" s="188">
        <v>0</v>
      </c>
      <c r="AA20" s="188">
        <v>0</v>
      </c>
      <c r="AB20" s="188">
        <v>0</v>
      </c>
      <c r="AC20" s="188">
        <v>0</v>
      </c>
      <c r="AD20" s="188">
        <v>0</v>
      </c>
      <c r="AE20" s="188">
        <v>707</v>
      </c>
      <c r="AF20" s="188">
        <v>0</v>
      </c>
      <c r="AG20" s="188">
        <v>0</v>
      </c>
      <c r="AH20" s="188">
        <v>0</v>
      </c>
      <c r="AI20" s="188">
        <v>0</v>
      </c>
      <c r="AJ20" s="188">
        <v>0</v>
      </c>
      <c r="AK20" s="188">
        <v>0</v>
      </c>
      <c r="AL20" s="188">
        <v>0</v>
      </c>
      <c r="AM20" s="188">
        <v>400</v>
      </c>
      <c r="AN20" s="188">
        <v>0</v>
      </c>
      <c r="AO20" s="188">
        <v>0</v>
      </c>
      <c r="AP20" s="188">
        <v>0</v>
      </c>
      <c r="AQ20" s="188">
        <v>307</v>
      </c>
      <c r="AR20" s="188">
        <f t="shared" si="19"/>
        <v>400</v>
      </c>
      <c r="AS20" s="188">
        <f>DSUM(G_ENE_2016,GASTO,G_MDC)</f>
        <v>0</v>
      </c>
      <c r="AT20" s="188">
        <f>DSUM(G_FEB_2016,GASTO,G_MDC)</f>
        <v>0</v>
      </c>
      <c r="AU20" s="188">
        <f>DSUM(G_MAR_2016,GASTO,G_MDC)</f>
        <v>0</v>
      </c>
      <c r="AV20" s="188">
        <f>DSUM(G_ABR_2016,GASTO,G_MDC)</f>
        <v>0</v>
      </c>
      <c r="AW20" s="188">
        <f>DSUM(G_MAY_2016,GASTO,G_MDC)</f>
        <v>0</v>
      </c>
      <c r="AX20" s="188">
        <f>DSUM(G_JUN_2016,GASTO,G_MDC)</f>
        <v>0</v>
      </c>
      <c r="AY20" s="188">
        <f>DSUM(G_JUL_2016,GASTO,G_MDC)</f>
        <v>0</v>
      </c>
      <c r="AZ20" s="188">
        <f>DSUM(G_AGO_2016,GASTO,G_MDC)</f>
        <v>0</v>
      </c>
      <c r="BA20" s="188">
        <f>DSUM(G_SEP_2016,GASTO,G_MDC)</f>
        <v>0</v>
      </c>
      <c r="BB20" s="188">
        <f>DSUM(G_OCT_2016,GASTO,G_MDC)</f>
        <v>0</v>
      </c>
      <c r="BC20" s="188">
        <f>DSUM(G_NOV_2016,GASTO,G_MDC)</f>
        <v>0</v>
      </c>
      <c r="BD20" s="188">
        <f>DSUM(G_DIC_2016,GASTO,G_MDC)</f>
        <v>400</v>
      </c>
      <c r="BE20" s="188">
        <f t="shared" si="20"/>
        <v>0</v>
      </c>
      <c r="BF20" s="188">
        <f>DSUM(G_ENE_2017,GASTO,G_MDC)</f>
        <v>0</v>
      </c>
      <c r="BG20" s="188">
        <f>DSUM(G_FEB_2017,GASTO,G_MDC)</f>
        <v>0</v>
      </c>
      <c r="BH20" s="188">
        <f>DSUM(G_MAR_2017,GASTO,G_MDC)</f>
        <v>0</v>
      </c>
      <c r="BI20" s="188">
        <f>DSUM(G_ABR_2017,GASTO,G_MDC)</f>
        <v>0</v>
      </c>
      <c r="BJ20" s="188">
        <f>DSUM(G_MAY_2017,GASTO,G_MDC)</f>
        <v>0</v>
      </c>
      <c r="BK20" s="188">
        <f>DSUM(G_JUN_2017,GASTO,G_MDC)</f>
        <v>0</v>
      </c>
      <c r="BL20" s="188">
        <f>DSUM(G_JUL_2017,GASTO,G_MDC)</f>
        <v>0</v>
      </c>
      <c r="BM20" s="188">
        <f>DSUM(G_AGO_2017,GASTO,G_MDC)</f>
        <v>0</v>
      </c>
      <c r="BN20" s="188">
        <f>DSUM(G_SEP_2017,GASTO,G_MDC)</f>
        <v>0</v>
      </c>
      <c r="BO20" s="188">
        <f>DSUM(G_OCT_2017,GASTO,G_MDC)</f>
        <v>0</v>
      </c>
      <c r="BP20" s="188">
        <f>DSUM(G_NOV_2017,GASTO,G_MDC)</f>
        <v>0</v>
      </c>
      <c r="BQ20" s="188">
        <f>DSUM(G_DIC_2017,GASTO,G_MDC)</f>
        <v>0</v>
      </c>
      <c r="BR20" s="188">
        <f t="shared" si="21"/>
        <v>0</v>
      </c>
      <c r="BS20" s="188">
        <f>DSUM(G_ENE_2018,GASTO,G_MDC)</f>
        <v>0</v>
      </c>
      <c r="BT20" s="188">
        <f>DSUM(G_FEB_2018,GASTO,G_MDC)</f>
        <v>0</v>
      </c>
      <c r="BU20" s="188">
        <f>DSUM(G_MAR_2018,GASTO,G_MDC)</f>
        <v>0</v>
      </c>
      <c r="BV20" s="188">
        <f>DSUM(G_ABR_2018,GASTO,G_MDC)</f>
        <v>0</v>
      </c>
      <c r="BW20" s="188">
        <f>DSUM(G_MAY_2018,GASTO,G_MDC)</f>
        <v>0</v>
      </c>
      <c r="BX20" s="188">
        <f>DSUM(G_JUN_2018,GASTO,G_MDC)</f>
        <v>0</v>
      </c>
      <c r="BY20" s="188">
        <f>DSUM(G_JUL_2018,GASTO,G_MDC)</f>
        <v>0</v>
      </c>
      <c r="BZ20" s="188">
        <f>DSUM(G_AGO_2018,GASTO,G_MDC)</f>
        <v>0</v>
      </c>
      <c r="CA20" s="188">
        <f>DSUM(G_SEP_2018,GASTO,G_MDC)</f>
        <v>0</v>
      </c>
    </row>
    <row r="21" spans="1:79" x14ac:dyDescent="0.2">
      <c r="A21" s="280" t="s">
        <v>1871</v>
      </c>
      <c r="B21" s="280"/>
      <c r="C21" s="350" t="s">
        <v>1880</v>
      </c>
      <c r="D21" s="218"/>
      <c r="E21" s="188">
        <v>1574.56</v>
      </c>
      <c r="F21" s="188">
        <v>0</v>
      </c>
      <c r="G21" s="188">
        <v>0</v>
      </c>
      <c r="H21" s="188">
        <v>0</v>
      </c>
      <c r="I21" s="188">
        <v>0</v>
      </c>
      <c r="J21" s="188">
        <v>762.92000000000007</v>
      </c>
      <c r="K21" s="188">
        <v>0</v>
      </c>
      <c r="L21" s="188">
        <v>323.26</v>
      </c>
      <c r="M21" s="188">
        <v>0</v>
      </c>
      <c r="N21" s="188">
        <v>285.86</v>
      </c>
      <c r="O21" s="188">
        <v>202.52</v>
      </c>
      <c r="P21" s="188">
        <v>0</v>
      </c>
      <c r="Q21" s="188">
        <v>0</v>
      </c>
      <c r="R21" s="188">
        <v>2758.62</v>
      </c>
      <c r="S21" s="188">
        <v>0</v>
      </c>
      <c r="T21" s="188">
        <v>0</v>
      </c>
      <c r="U21" s="188">
        <v>2758.62</v>
      </c>
      <c r="V21" s="188">
        <v>0</v>
      </c>
      <c r="W21" s="188">
        <v>0</v>
      </c>
      <c r="X21" s="188">
        <v>0</v>
      </c>
      <c r="Y21" s="188">
        <v>0</v>
      </c>
      <c r="Z21" s="188">
        <v>0</v>
      </c>
      <c r="AA21" s="188">
        <v>0</v>
      </c>
      <c r="AB21" s="188">
        <v>0</v>
      </c>
      <c r="AC21" s="188">
        <v>0</v>
      </c>
      <c r="AD21" s="188">
        <v>0</v>
      </c>
      <c r="AE21" s="188">
        <v>1705</v>
      </c>
      <c r="AF21" s="188">
        <v>180</v>
      </c>
      <c r="AG21" s="188">
        <v>0</v>
      </c>
      <c r="AH21" s="188">
        <v>765</v>
      </c>
      <c r="AI21" s="188">
        <v>0</v>
      </c>
      <c r="AJ21" s="188">
        <v>0</v>
      </c>
      <c r="AK21" s="188">
        <v>280</v>
      </c>
      <c r="AL21" s="188">
        <v>0</v>
      </c>
      <c r="AM21" s="188">
        <v>0</v>
      </c>
      <c r="AN21" s="188">
        <v>0</v>
      </c>
      <c r="AO21" s="188">
        <v>480</v>
      </c>
      <c r="AP21" s="188">
        <v>0</v>
      </c>
      <c r="AQ21" s="188">
        <v>0</v>
      </c>
      <c r="AR21" s="188">
        <f t="shared" si="19"/>
        <v>5576</v>
      </c>
      <c r="AS21" s="188">
        <f>DSUM(G_ENE_2016,GASTO,G_TRSP)</f>
        <v>1120</v>
      </c>
      <c r="AT21" s="188">
        <f>DSUM(G_FEB_2016,GASTO,G_TRSP)</f>
        <v>0</v>
      </c>
      <c r="AU21" s="188">
        <f>DSUM(G_MAR_2016,GASTO,G_TRSP)</f>
        <v>0</v>
      </c>
      <c r="AV21" s="188">
        <f>DSUM(G_ABR_2016,GASTO,G_TRSP)</f>
        <v>511</v>
      </c>
      <c r="AW21" s="188">
        <f>DSUM(G_MAY_2016,GASTO,G_TRSP)</f>
        <v>0</v>
      </c>
      <c r="AX21" s="188">
        <f>DSUM(G_JUN_2016,GASTO,G_TRSP)</f>
        <v>0</v>
      </c>
      <c r="AY21" s="188">
        <f>DSUM(G_JUL_2016,GASTO,G_TRSP)</f>
        <v>0</v>
      </c>
      <c r="AZ21" s="188">
        <f>DSUM(G_AGO_2016,GASTO,G_TRSP)</f>
        <v>100</v>
      </c>
      <c r="BA21" s="188">
        <f>DSUM(G_SEP_2016,GASTO,G_TRSP)</f>
        <v>275</v>
      </c>
      <c r="BB21" s="188">
        <f>DSUM(G_OCT_2016,GASTO,G_TRSP)</f>
        <v>360</v>
      </c>
      <c r="BC21" s="188">
        <f>DSUM(G_NOV_2016,GASTO,G_TRSP)</f>
        <v>3020</v>
      </c>
      <c r="BD21" s="188">
        <f>DSUM(G_DIC_2016,GASTO,G_TRSP)</f>
        <v>190</v>
      </c>
      <c r="BE21" s="188">
        <f t="shared" si="20"/>
        <v>2349.4</v>
      </c>
      <c r="BF21" s="188">
        <f>DSUM(G_ENE_2017,GASTO,G_TRSP)</f>
        <v>35</v>
      </c>
      <c r="BG21" s="188">
        <f>DSUM(G_FEB_2017,GASTO,G_TRSP)</f>
        <v>590</v>
      </c>
      <c r="BH21" s="188">
        <f>DSUM(G_MAR_2017,GASTO,G_TRSP)</f>
        <v>474.4</v>
      </c>
      <c r="BI21" s="188">
        <f>DSUM(G_ABR_2017,GASTO,G_TRSP)</f>
        <v>50</v>
      </c>
      <c r="BJ21" s="188">
        <f>DSUM(G_MAY_2017,GASTO,G_TRSP)</f>
        <v>0</v>
      </c>
      <c r="BK21" s="188">
        <f>DSUM(G_JUN_2017,GASTO,G_TRSP)</f>
        <v>0</v>
      </c>
      <c r="BL21" s="188">
        <f>DSUM(G_JUL_2017,GASTO,G_TRSP)</f>
        <v>0</v>
      </c>
      <c r="BM21" s="188">
        <f>DSUM(G_AGO_2017,GASTO,G_TRSP)</f>
        <v>0</v>
      </c>
      <c r="BN21" s="188">
        <f>DSUM(G_SEP_2017,GASTO,G_TRSP)</f>
        <v>220</v>
      </c>
      <c r="BO21" s="188">
        <f>DSUM(G_OCT_2017,GASTO,G_TRSP)</f>
        <v>230</v>
      </c>
      <c r="BP21" s="188">
        <f>DSUM(G_NOV_2017,GASTO,G_TRSP)</f>
        <v>660</v>
      </c>
      <c r="BQ21" s="188">
        <f>DSUM(G_DIC_2017,GASTO,G_TRSP)</f>
        <v>90</v>
      </c>
      <c r="BR21" s="188">
        <f t="shared" si="21"/>
        <v>4116.53</v>
      </c>
      <c r="BS21" s="188">
        <f>DSUM(G_ENE_2018,GASTO,G_TRSP)</f>
        <v>0</v>
      </c>
      <c r="BT21" s="188">
        <f>DSUM(G_FEB_2018,GASTO,G_TRSP)</f>
        <v>200</v>
      </c>
      <c r="BU21" s="188">
        <f>DSUM(G_MAR_2018,GASTO,G_TRSP)</f>
        <v>1415</v>
      </c>
      <c r="BV21" s="188">
        <f>DSUM(G_ABR_2018,GASTO,G_TRSP)</f>
        <v>125</v>
      </c>
      <c r="BW21" s="188">
        <f>DSUM(G_MAY_2018,GASTO,G_TRSP)</f>
        <v>0</v>
      </c>
      <c r="BX21" s="188">
        <f>DSUM(G_JUN_2018,GASTO,G_TRSP)</f>
        <v>1625</v>
      </c>
      <c r="BY21" s="188">
        <f>DSUM(G_JUL_2018,GASTO,G_TRSP)</f>
        <v>368.03</v>
      </c>
      <c r="BZ21" s="188">
        <f>DSUM(G_AGO_2018,GASTO,G_TRSP)</f>
        <v>0</v>
      </c>
      <c r="CA21" s="188">
        <f>DSUM(G_SEP_2018,GASTO,G_TRSP)</f>
        <v>383.5</v>
      </c>
    </row>
    <row r="22" spans="1:79" x14ac:dyDescent="0.2">
      <c r="A22" s="280" t="s">
        <v>1868</v>
      </c>
      <c r="B22" s="280"/>
      <c r="C22" s="351" t="s">
        <v>2906</v>
      </c>
      <c r="D22" s="219"/>
      <c r="E22" s="220">
        <v>6984.62</v>
      </c>
      <c r="F22" s="220">
        <v>0</v>
      </c>
      <c r="G22" s="220">
        <v>0</v>
      </c>
      <c r="H22" s="220">
        <v>1582.5</v>
      </c>
      <c r="I22" s="220">
        <v>0</v>
      </c>
      <c r="J22" s="220">
        <v>0</v>
      </c>
      <c r="K22" s="220">
        <v>0</v>
      </c>
      <c r="L22" s="220">
        <v>2010.12</v>
      </c>
      <c r="M22" s="220">
        <v>470</v>
      </c>
      <c r="N22" s="220">
        <v>940</v>
      </c>
      <c r="O22" s="220">
        <v>1982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  <c r="U22" s="220">
        <v>0</v>
      </c>
      <c r="V22" s="220">
        <v>0</v>
      </c>
      <c r="W22" s="220">
        <v>0</v>
      </c>
      <c r="X22" s="220">
        <v>0</v>
      </c>
      <c r="Y22" s="220">
        <v>0</v>
      </c>
      <c r="Z22" s="220">
        <v>0</v>
      </c>
      <c r="AA22" s="220">
        <v>0</v>
      </c>
      <c r="AB22" s="220">
        <v>0</v>
      </c>
      <c r="AC22" s="220">
        <v>0</v>
      </c>
      <c r="AD22" s="220">
        <v>0</v>
      </c>
      <c r="AE22" s="220">
        <v>0</v>
      </c>
      <c r="AF22" s="220">
        <v>0</v>
      </c>
      <c r="AG22" s="220">
        <v>0</v>
      </c>
      <c r="AH22" s="220">
        <v>0</v>
      </c>
      <c r="AI22" s="220">
        <v>0</v>
      </c>
      <c r="AJ22" s="220">
        <v>0</v>
      </c>
      <c r="AK22" s="220">
        <v>0</v>
      </c>
      <c r="AL22" s="220">
        <v>0</v>
      </c>
      <c r="AM22" s="220">
        <v>0</v>
      </c>
      <c r="AN22" s="220">
        <v>0</v>
      </c>
      <c r="AO22" s="220">
        <v>0</v>
      </c>
      <c r="AP22" s="220">
        <v>0</v>
      </c>
      <c r="AQ22" s="220">
        <v>0</v>
      </c>
      <c r="AR22" s="220">
        <f t="shared" si="19"/>
        <v>0</v>
      </c>
      <c r="AS22" s="220">
        <f>DSUM(G_ENE_2016,GASTO,G_UNF)</f>
        <v>0</v>
      </c>
      <c r="AT22" s="220">
        <f>DSUM(G_FEB_2016,GASTO,G_UNF)</f>
        <v>0</v>
      </c>
      <c r="AU22" s="220">
        <f>DSUM(G_MAR_2016,GASTO,G_UNF)</f>
        <v>0</v>
      </c>
      <c r="AV22" s="220">
        <f>DSUM(G_ABR_2016,GASTO,G_UNF)</f>
        <v>0</v>
      </c>
      <c r="AW22" s="220">
        <f>DSUM(G_MAY_2016,GASTO,G_UNF)</f>
        <v>0</v>
      </c>
      <c r="AX22" s="220">
        <f>DSUM(G_JUN_2016,GASTO,G_UNF)</f>
        <v>0</v>
      </c>
      <c r="AY22" s="220">
        <f>DSUM(G_JUL_2016,GASTO,G_UNF)</f>
        <v>0</v>
      </c>
      <c r="AZ22" s="220">
        <f>DSUM(G_AGO_2016,GASTO,G_UNF)</f>
        <v>0</v>
      </c>
      <c r="BA22" s="220">
        <f>DSUM(G_SEP_2016,GASTO,G_UNF)</f>
        <v>0</v>
      </c>
      <c r="BB22" s="220">
        <f>DSUM(G_OCT_2016,GASTO,G_UNF)</f>
        <v>0</v>
      </c>
      <c r="BC22" s="220">
        <f>DSUM(G_NOV_2016,GASTO,G_UNF)</f>
        <v>0</v>
      </c>
      <c r="BD22" s="220">
        <f>DSUM(G_DIC_2016,GASTO,G_UNF)</f>
        <v>0</v>
      </c>
      <c r="BE22" s="220">
        <f t="shared" si="20"/>
        <v>0</v>
      </c>
      <c r="BF22" s="220">
        <f>DSUM(G_ENE_2017,GASTO,G_UNF)</f>
        <v>0</v>
      </c>
      <c r="BG22" s="220">
        <f>DSUM(G_FEB_2017,GASTO,G_UNF)</f>
        <v>0</v>
      </c>
      <c r="BH22" s="220">
        <f>DSUM(G_MAR_2017,GASTO,G_UNF)</f>
        <v>0</v>
      </c>
      <c r="BI22" s="220">
        <f>DSUM(G_ABR_2017,GASTO,G_UNF)</f>
        <v>0</v>
      </c>
      <c r="BJ22" s="220">
        <f>DSUM(G_MAY_2017,GASTO,G_UNF)</f>
        <v>0</v>
      </c>
      <c r="BK22" s="220">
        <f>DSUM(G_JUN_2017,GASTO,G_UNF)</f>
        <v>0</v>
      </c>
      <c r="BL22" s="220">
        <f>DSUM(G_JUL_2017,GASTO,G_UNF)</f>
        <v>0</v>
      </c>
      <c r="BM22" s="220">
        <f>DSUM(G_AGO_2017,GASTO,G_UNF)</f>
        <v>0</v>
      </c>
      <c r="BN22" s="220">
        <f>DSUM(G_SEP_2017,GASTO,G_UNF)</f>
        <v>0</v>
      </c>
      <c r="BO22" s="220">
        <f>DSUM(G_OCT_2017,GASTO,G_UNF)</f>
        <v>0</v>
      </c>
      <c r="BP22" s="220">
        <f>DSUM(G_NOV_2017,GASTO,G_UNF)</f>
        <v>0</v>
      </c>
      <c r="BQ22" s="220">
        <f>DSUM(G_DIC_2017,GASTO,G_UNF)</f>
        <v>0</v>
      </c>
      <c r="BR22" s="220">
        <f t="shared" si="21"/>
        <v>0</v>
      </c>
      <c r="BS22" s="220">
        <f>DSUM(G_ENE_2018,GASTO,G_UNF)</f>
        <v>0</v>
      </c>
      <c r="BT22" s="220">
        <f>DSUM(G_FEB_2018,GASTO,G_UNF)</f>
        <v>0</v>
      </c>
      <c r="BU22" s="220">
        <f>DSUM(G_MAR_2018,GASTO,G_UNF)</f>
        <v>0</v>
      </c>
      <c r="BV22" s="220">
        <f>DSUM(G_ABR_2018,GASTO,G_UNF)</f>
        <v>0</v>
      </c>
      <c r="BW22" s="220">
        <f>DSUM(G_MAY_2018,GASTO,G_UNF)</f>
        <v>0</v>
      </c>
      <c r="BX22" s="220">
        <f>DSUM(G_JUN_2018,GASTO,G_UNF)</f>
        <v>0</v>
      </c>
      <c r="BY22" s="220">
        <f>DSUM(G_JUL_2018,GASTO,G_UNF)</f>
        <v>0</v>
      </c>
      <c r="BZ22" s="220">
        <f>DSUM(G_AGO_2018,GASTO,G_UNF)</f>
        <v>0</v>
      </c>
      <c r="CA22" s="220">
        <f>DSUM(G_SEP_2018,GASTO,G_UNF)</f>
        <v>0</v>
      </c>
    </row>
    <row r="23" spans="1:79" x14ac:dyDescent="0.2">
      <c r="A23" s="280"/>
      <c r="B23" s="280"/>
      <c r="C23" s="221" t="s">
        <v>2907</v>
      </c>
      <c r="D23" s="212"/>
      <c r="E23" s="209">
        <v>130579.11</v>
      </c>
      <c r="F23" s="209">
        <v>42712</v>
      </c>
      <c r="G23" s="209">
        <v>21000</v>
      </c>
      <c r="H23" s="209">
        <v>4950</v>
      </c>
      <c r="I23" s="209">
        <v>2400</v>
      </c>
      <c r="J23" s="209">
        <v>22400</v>
      </c>
      <c r="K23" s="209">
        <v>13800</v>
      </c>
      <c r="L23" s="209">
        <v>2540.52</v>
      </c>
      <c r="M23" s="209">
        <v>783.63</v>
      </c>
      <c r="N23" s="209">
        <v>949.96</v>
      </c>
      <c r="O23" s="209">
        <v>6600</v>
      </c>
      <c r="P23" s="209">
        <v>0</v>
      </c>
      <c r="Q23" s="222">
        <v>12443</v>
      </c>
      <c r="R23" s="211">
        <v>97482.49</v>
      </c>
      <c r="S23" s="212">
        <v>6000</v>
      </c>
      <c r="T23" s="212">
        <v>0</v>
      </c>
      <c r="U23" s="212">
        <v>3600</v>
      </c>
      <c r="V23" s="212">
        <v>5830</v>
      </c>
      <c r="W23" s="212">
        <v>1850</v>
      </c>
      <c r="X23" s="210">
        <v>4141.75</v>
      </c>
      <c r="Y23" s="210">
        <v>21993.57</v>
      </c>
      <c r="Z23" s="210">
        <v>7186.11</v>
      </c>
      <c r="AA23" s="210">
        <v>6852.78</v>
      </c>
      <c r="AB23" s="210">
        <v>16613.11</v>
      </c>
      <c r="AC23" s="210">
        <v>7915.17</v>
      </c>
      <c r="AD23" s="210">
        <v>15500</v>
      </c>
      <c r="AE23" s="211">
        <v>95387.939999999988</v>
      </c>
      <c r="AF23" s="212">
        <v>0</v>
      </c>
      <c r="AG23" s="212">
        <v>20700</v>
      </c>
      <c r="AH23" s="212">
        <v>15343.98</v>
      </c>
      <c r="AI23" s="212">
        <v>8100</v>
      </c>
      <c r="AJ23" s="212">
        <v>5500</v>
      </c>
      <c r="AK23" s="212">
        <v>8822.67</v>
      </c>
      <c r="AL23" s="212">
        <v>6697.24</v>
      </c>
      <c r="AM23" s="212">
        <v>3320</v>
      </c>
      <c r="AN23" s="212">
        <v>10393.709999999999</v>
      </c>
      <c r="AO23" s="212">
        <v>7789.92</v>
      </c>
      <c r="AP23" s="212">
        <v>3830.42</v>
      </c>
      <c r="AQ23" s="212">
        <v>4890</v>
      </c>
      <c r="AR23" s="211">
        <f t="shared" ref="AR23:AZ23" si="22">SUM(AR24:AR27)</f>
        <v>101822.571</v>
      </c>
      <c r="AS23" s="212">
        <f t="shared" si="22"/>
        <v>13295</v>
      </c>
      <c r="AT23" s="212">
        <f t="shared" si="22"/>
        <v>7760</v>
      </c>
      <c r="AU23" s="212">
        <f t="shared" si="22"/>
        <v>9611.2099999999991</v>
      </c>
      <c r="AV23" s="212">
        <f t="shared" si="22"/>
        <v>2065.5209999999997</v>
      </c>
      <c r="AW23" s="212">
        <f t="shared" si="22"/>
        <v>9820</v>
      </c>
      <c r="AX23" s="212">
        <f t="shared" si="22"/>
        <v>14371.07</v>
      </c>
      <c r="AY23" s="212">
        <f t="shared" si="22"/>
        <v>13326.97</v>
      </c>
      <c r="AZ23" s="212">
        <f t="shared" si="22"/>
        <v>9992.7999999999993</v>
      </c>
      <c r="BA23" s="212">
        <f t="shared" ref="BA23:BI23" si="23">SUM(BA24:BA27)</f>
        <v>7430</v>
      </c>
      <c r="BB23" s="212">
        <f t="shared" si="23"/>
        <v>0</v>
      </c>
      <c r="BC23" s="212">
        <f t="shared" si="23"/>
        <v>5650</v>
      </c>
      <c r="BD23" s="212">
        <f t="shared" si="23"/>
        <v>8500</v>
      </c>
      <c r="BE23" s="211">
        <f t="shared" si="23"/>
        <v>137806.35999999999</v>
      </c>
      <c r="BF23" s="212">
        <f t="shared" si="23"/>
        <v>15385</v>
      </c>
      <c r="BG23" s="212">
        <f t="shared" si="23"/>
        <v>31827.200000000001</v>
      </c>
      <c r="BH23" s="212">
        <f t="shared" si="23"/>
        <v>20994</v>
      </c>
      <c r="BI23" s="212">
        <f t="shared" si="23"/>
        <v>20546</v>
      </c>
      <c r="BJ23" s="212">
        <f t="shared" ref="BJ23" si="24">SUM(BJ24:BJ27)</f>
        <v>7370</v>
      </c>
      <c r="BK23" s="212">
        <f t="shared" ref="BK23:BP23" si="25">SUM(BK24:BK27)</f>
        <v>3080</v>
      </c>
      <c r="BL23" s="212">
        <f t="shared" si="25"/>
        <v>8580</v>
      </c>
      <c r="BM23" s="212">
        <f t="shared" si="25"/>
        <v>9710</v>
      </c>
      <c r="BN23" s="212">
        <f t="shared" si="25"/>
        <v>8134.16</v>
      </c>
      <c r="BO23" s="212">
        <f t="shared" si="25"/>
        <v>2000</v>
      </c>
      <c r="BP23" s="212">
        <f t="shared" si="25"/>
        <v>4980</v>
      </c>
      <c r="BQ23" s="212">
        <f t="shared" ref="BQ23:BR23" si="26">SUM(BQ24:BQ27)</f>
        <v>5200</v>
      </c>
      <c r="BR23" s="211">
        <f t="shared" si="26"/>
        <v>66299.459999999992</v>
      </c>
      <c r="BS23" s="212">
        <f t="shared" ref="BS23:BX23" si="27">SUM(BS24:BS27)</f>
        <v>7300</v>
      </c>
      <c r="BT23" s="212">
        <f t="shared" si="27"/>
        <v>3553.46</v>
      </c>
      <c r="BU23" s="212">
        <f t="shared" si="27"/>
        <v>15260</v>
      </c>
      <c r="BV23" s="212">
        <f t="shared" si="27"/>
        <v>2562.5</v>
      </c>
      <c r="BW23" s="212">
        <f t="shared" si="27"/>
        <v>16125.5</v>
      </c>
      <c r="BX23" s="212">
        <f t="shared" si="27"/>
        <v>4969</v>
      </c>
      <c r="BY23" s="212">
        <f t="shared" ref="BY23:BZ23" si="28">SUM(BY24:BY27)</f>
        <v>9929</v>
      </c>
      <c r="BZ23" s="212">
        <f t="shared" si="28"/>
        <v>2650</v>
      </c>
      <c r="CA23" s="212">
        <f t="shared" ref="CA23" si="29">SUM(CA24:CA27)</f>
        <v>3950</v>
      </c>
    </row>
    <row r="24" spans="1:79" x14ac:dyDescent="0.2">
      <c r="A24" s="280" t="s">
        <v>1862</v>
      </c>
      <c r="B24" s="280"/>
      <c r="C24" s="352" t="s">
        <v>2908</v>
      </c>
      <c r="D24" s="214"/>
      <c r="E24" s="214">
        <v>102381.75</v>
      </c>
      <c r="F24" s="215">
        <v>35000</v>
      </c>
      <c r="G24" s="215">
        <v>21000</v>
      </c>
      <c r="H24" s="215">
        <v>0</v>
      </c>
      <c r="I24" s="215">
        <v>0</v>
      </c>
      <c r="J24" s="215">
        <v>20000</v>
      </c>
      <c r="K24" s="215">
        <v>12000</v>
      </c>
      <c r="L24" s="215">
        <v>1200</v>
      </c>
      <c r="M24" s="215">
        <v>0</v>
      </c>
      <c r="N24" s="215">
        <v>738.75</v>
      </c>
      <c r="O24" s="215">
        <v>0</v>
      </c>
      <c r="P24" s="215">
        <v>0</v>
      </c>
      <c r="Q24" s="215">
        <v>12443</v>
      </c>
      <c r="R24" s="214">
        <v>55293.67</v>
      </c>
      <c r="S24" s="215">
        <v>0</v>
      </c>
      <c r="T24" s="215">
        <v>0</v>
      </c>
      <c r="U24" s="215">
        <v>0</v>
      </c>
      <c r="V24" s="215">
        <v>0</v>
      </c>
      <c r="W24" s="215">
        <v>1350</v>
      </c>
      <c r="X24" s="215">
        <v>3441.75</v>
      </c>
      <c r="Y24" s="215">
        <v>17064.25</v>
      </c>
      <c r="Z24" s="215">
        <v>7186.11</v>
      </c>
      <c r="AA24" s="215">
        <v>1723.28</v>
      </c>
      <c r="AB24" s="215">
        <v>11613.11</v>
      </c>
      <c r="AC24" s="215">
        <v>7915.17</v>
      </c>
      <c r="AD24" s="215">
        <v>5000</v>
      </c>
      <c r="AE24" s="214">
        <v>59014.039999999994</v>
      </c>
      <c r="AF24" s="215">
        <v>0</v>
      </c>
      <c r="AG24" s="215">
        <v>15200</v>
      </c>
      <c r="AH24" s="215">
        <v>13700</v>
      </c>
      <c r="AI24" s="215">
        <v>2600</v>
      </c>
      <c r="AJ24" s="215">
        <v>0</v>
      </c>
      <c r="AK24" s="215">
        <v>3822.67</v>
      </c>
      <c r="AL24" s="215">
        <v>6697.24</v>
      </c>
      <c r="AM24" s="215">
        <v>3320</v>
      </c>
      <c r="AN24" s="215">
        <v>4893.71</v>
      </c>
      <c r="AO24" s="215">
        <v>1000</v>
      </c>
      <c r="AP24" s="215">
        <v>3830.42</v>
      </c>
      <c r="AQ24" s="215">
        <v>3950</v>
      </c>
      <c r="AR24" s="214">
        <f>SUM(AS24:BD24)</f>
        <v>45428.120999999999</v>
      </c>
      <c r="AS24" s="215">
        <f>DSUM(G_ENE_2016,GASTO,G_INFRA)</f>
        <v>8220</v>
      </c>
      <c r="AT24" s="215">
        <f>DSUM(G_FEB_2016,GASTO,G_INFRA)</f>
        <v>560</v>
      </c>
      <c r="AU24" s="215">
        <f>DSUM(G_MAR_2016,GASTO,G_INFRA)</f>
        <v>8911.2099999999991</v>
      </c>
      <c r="AV24" s="215">
        <f>DSUM(G_ABR_2016,GASTO,G_INFRA)</f>
        <v>1265.521</v>
      </c>
      <c r="AW24" s="215">
        <f>DSUM(G_MAY_2016,GASTO,G_INFRA)</f>
        <v>1100</v>
      </c>
      <c r="AX24" s="215">
        <f>DSUM(G_JUN_2016,GASTO,G_INFRA)</f>
        <v>10761.07</v>
      </c>
      <c r="AY24" s="215">
        <f>DSUM(G_JUL_2016,GASTO,G_INFRA)</f>
        <v>8710.32</v>
      </c>
      <c r="AZ24" s="215">
        <f>DSUM(G_AGO_2016,GASTO,G_INFRA)</f>
        <v>500</v>
      </c>
      <c r="BA24" s="215">
        <f>DSUM(G_SEP_2016,GASTO,G_INFRA)</f>
        <v>800</v>
      </c>
      <c r="BB24" s="215">
        <f>DSUM(G_OCT_2016,GASTO,G_INFRA)</f>
        <v>0</v>
      </c>
      <c r="BC24" s="215">
        <f>DSUM(G_NOV_2016,GASTO,G_INFRA)</f>
        <v>1850</v>
      </c>
      <c r="BD24" s="215">
        <f>DSUM(G_DIC_2016,GASTO,G_INFRA)</f>
        <v>2750</v>
      </c>
      <c r="BE24" s="214">
        <f>SUM(BF24:BQ24)</f>
        <v>98125.36</v>
      </c>
      <c r="BF24" s="215">
        <f>DSUM(G_ENE_2017,GASTO,G_INFRA)</f>
        <v>9445</v>
      </c>
      <c r="BG24" s="215">
        <f>DSUM(G_FEB_2017,GASTO,G_INFRA)</f>
        <v>30077.200000000001</v>
      </c>
      <c r="BH24" s="215">
        <f>DSUM(G_MAR_2017,GASTO,G_INFRA)</f>
        <v>14700</v>
      </c>
      <c r="BI24" s="215">
        <f>DSUM(G_ABR_2017,GASTO,G_INFRA)</f>
        <v>14349</v>
      </c>
      <c r="BJ24" s="215">
        <f>DSUM(G_MAY_2017,GASTO,G_INFRA)</f>
        <v>4600</v>
      </c>
      <c r="BK24" s="215">
        <f>DSUM(G_JUN_2017,GASTO,G_INFRA)</f>
        <v>2380</v>
      </c>
      <c r="BL24" s="215">
        <f>DSUM(G_JUL_2017,GASTO,G_INFRA)</f>
        <v>7480</v>
      </c>
      <c r="BM24" s="215">
        <f>DSUM(G_AGO_2017,GASTO,G_INFRA)</f>
        <v>7320</v>
      </c>
      <c r="BN24" s="215">
        <f>DSUM(G_SEP_2017,GASTO,G_INFRA)</f>
        <v>7294.16</v>
      </c>
      <c r="BO24" s="215">
        <f>DSUM(G_OCT_2017,GASTO,G_INFRA)</f>
        <v>0</v>
      </c>
      <c r="BP24" s="215">
        <f>DSUM(G_NOV_2017,GASTO,G_INFRA)</f>
        <v>480</v>
      </c>
      <c r="BQ24" s="215">
        <f>DSUM(G_DIC_2017,GASTO,G_INFRA)</f>
        <v>0</v>
      </c>
      <c r="BR24" s="214">
        <f>SUM(BS24:CC24)</f>
        <v>29845.46</v>
      </c>
      <c r="BS24" s="215">
        <f>DSUM(G_ENE_2018,GASTO,G_INFRA)</f>
        <v>0</v>
      </c>
      <c r="BT24" s="215">
        <f>DSUM(G_FEB_2018,GASTO,G_INFRA)</f>
        <v>3553.46</v>
      </c>
      <c r="BU24" s="215">
        <f>DSUM(G_MAR_2018,GASTO,G_INFRA)</f>
        <v>13060</v>
      </c>
      <c r="BV24" s="215">
        <f>DSUM(G_ABR_2018,GASTO,G_INFRA)</f>
        <v>0</v>
      </c>
      <c r="BW24" s="215">
        <f>DSUM(G_MAY_2018,GASTO,G_INFRA)</f>
        <v>5007</v>
      </c>
      <c r="BX24" s="215">
        <f>DSUM(G_JUN_2018,GASTO,G_INFRA)</f>
        <v>1200</v>
      </c>
      <c r="BY24" s="215">
        <f>DSUM(G_JUL_2018,GASTO,G_INFRA)</f>
        <v>1925</v>
      </c>
      <c r="BZ24" s="215">
        <f>DSUM(G_AGO_2018,GASTO,G_INFRA)</f>
        <v>1550</v>
      </c>
      <c r="CA24" s="215">
        <f>DSUM(G_SEP_2018,GASTO,G_INFRA)</f>
        <v>3550</v>
      </c>
    </row>
    <row r="25" spans="1:79" x14ac:dyDescent="0.2">
      <c r="A25" s="280" t="s">
        <v>1879</v>
      </c>
      <c r="B25" s="280"/>
      <c r="C25" s="347" t="s">
        <v>2909</v>
      </c>
      <c r="D25" s="218"/>
      <c r="E25" s="218">
        <v>1640.52</v>
      </c>
      <c r="F25" s="188">
        <v>0</v>
      </c>
      <c r="G25" s="188">
        <v>0</v>
      </c>
      <c r="H25" s="188">
        <v>0</v>
      </c>
      <c r="I25" s="188">
        <v>0</v>
      </c>
      <c r="J25" s="188">
        <v>0</v>
      </c>
      <c r="K25" s="188">
        <v>0</v>
      </c>
      <c r="L25" s="188">
        <v>240.51999999999998</v>
      </c>
      <c r="M25" s="188">
        <v>0</v>
      </c>
      <c r="N25" s="188">
        <v>0</v>
      </c>
      <c r="O25" s="188">
        <v>1400</v>
      </c>
      <c r="P25" s="188">
        <v>0</v>
      </c>
      <c r="Q25" s="188">
        <v>0</v>
      </c>
      <c r="R25" s="218">
        <v>1159.5</v>
      </c>
      <c r="S25" s="188">
        <v>0</v>
      </c>
      <c r="T25" s="188">
        <v>0</v>
      </c>
      <c r="U25" s="188">
        <v>0</v>
      </c>
      <c r="V25" s="188">
        <v>330</v>
      </c>
      <c r="W25" s="188">
        <v>0</v>
      </c>
      <c r="X25" s="188">
        <v>700</v>
      </c>
      <c r="Y25" s="188">
        <v>0</v>
      </c>
      <c r="Z25" s="188">
        <v>0</v>
      </c>
      <c r="AA25" s="188">
        <v>129.5</v>
      </c>
      <c r="AB25" s="188">
        <v>0</v>
      </c>
      <c r="AC25" s="188">
        <v>0</v>
      </c>
      <c r="AD25" s="188">
        <v>0</v>
      </c>
      <c r="AE25" s="218">
        <v>940</v>
      </c>
      <c r="AF25" s="188">
        <v>0</v>
      </c>
      <c r="AG25" s="188">
        <v>0</v>
      </c>
      <c r="AH25" s="188">
        <v>0</v>
      </c>
      <c r="AI25" s="188">
        <v>0</v>
      </c>
      <c r="AJ25" s="188">
        <v>0</v>
      </c>
      <c r="AK25" s="188">
        <v>0</v>
      </c>
      <c r="AL25" s="188">
        <v>0</v>
      </c>
      <c r="AM25" s="188">
        <v>0</v>
      </c>
      <c r="AN25" s="188">
        <v>0</v>
      </c>
      <c r="AO25" s="188">
        <v>0</v>
      </c>
      <c r="AP25" s="188">
        <v>0</v>
      </c>
      <c r="AQ25" s="188">
        <v>940</v>
      </c>
      <c r="AR25" s="218">
        <f>SUM(AS25:BD25)</f>
        <v>14350</v>
      </c>
      <c r="AS25" s="188">
        <f>DSUM(G_ENE_2016,GASTO,G_USB)</f>
        <v>1700</v>
      </c>
      <c r="AT25" s="188">
        <f>DSUM(G_FEB_2016,GASTO,G_USB)</f>
        <v>1950</v>
      </c>
      <c r="AU25" s="188">
        <f>DSUM(G_MAR_2016,GASTO,G_USB)</f>
        <v>700</v>
      </c>
      <c r="AV25" s="188">
        <f>DSUM(G_ABR_2016,GASTO,G_USB)</f>
        <v>800</v>
      </c>
      <c r="AW25" s="188">
        <f>DSUM(G_MAY_2016,GASTO,G_USB)</f>
        <v>1850</v>
      </c>
      <c r="AX25" s="188">
        <f>DSUM(G_JUN_2016,GASTO,G_USB)</f>
        <v>0</v>
      </c>
      <c r="AY25" s="188">
        <f>DSUM(G_JUL_2016,GASTO,G_USB)</f>
        <v>350</v>
      </c>
      <c r="AZ25" s="188">
        <f>DSUM(G_AGO_2016,GASTO,G_USB)</f>
        <v>1900</v>
      </c>
      <c r="BA25" s="188">
        <f>DSUM(G_SEP_2016,GASTO,G_USB)</f>
        <v>2900</v>
      </c>
      <c r="BB25" s="328">
        <f>DSUM(G_OCT_2016,GASTO,G_USB)</f>
        <v>0</v>
      </c>
      <c r="BC25" s="328">
        <f>DSUM(G_NOV_2016,GASTO,G_USB)</f>
        <v>350</v>
      </c>
      <c r="BD25" s="328">
        <f>DSUM(G_DIC_2016,GASTO,G_USB)</f>
        <v>1850</v>
      </c>
      <c r="BE25" s="218">
        <f>SUM(BF25:BQ25)</f>
        <v>15754</v>
      </c>
      <c r="BF25" s="188">
        <f>DSUM(G_ENE_2017,GASTO,G_USB)</f>
        <v>1440</v>
      </c>
      <c r="BG25" s="188">
        <f>DSUM(G_FEB_2017,GASTO,G_USB)</f>
        <v>1750</v>
      </c>
      <c r="BH25" s="188">
        <f>DSUM(G_MAR_2017,GASTO,G_USB)</f>
        <v>2394</v>
      </c>
      <c r="BI25" s="188">
        <f>DSUM(G_ABR_2017,GASTO,G_USB)</f>
        <v>1500</v>
      </c>
      <c r="BJ25" s="188">
        <f>DSUM(G_MAY_2017,GASTO,G_USB)</f>
        <v>2170</v>
      </c>
      <c r="BK25" s="188">
        <f>DSUM(G_JUN_2017,GASTO,G_USB)</f>
        <v>700</v>
      </c>
      <c r="BL25" s="188">
        <f>DSUM(G_JUL_2017,GASTO,G_USB)</f>
        <v>0</v>
      </c>
      <c r="BM25" s="188">
        <f>DSUM(G_AGO_2017,GASTO,G_USB)</f>
        <v>0</v>
      </c>
      <c r="BN25" s="188">
        <f>DSUM(G_SEP_2017,GASTO,G_USB)</f>
        <v>0</v>
      </c>
      <c r="BO25" s="188">
        <f>DSUM(G_OCT_2017,GASTO,G_USB)</f>
        <v>200</v>
      </c>
      <c r="BP25" s="188">
        <f>DSUM(G_NOV_2017,GASTO,G_USB)</f>
        <v>400</v>
      </c>
      <c r="BQ25" s="188">
        <f>DSUM(G_DIC_2017,GASTO,G_USB)</f>
        <v>5200</v>
      </c>
      <c r="BR25" s="218">
        <f>SUM(BS25:CC25)</f>
        <v>8350</v>
      </c>
      <c r="BS25" s="188">
        <f>DSUM(G_ENE_2018,GASTO,G_USB)</f>
        <v>1300</v>
      </c>
      <c r="BT25" s="188">
        <f>DSUM(G_FEB_2018,GASTO,G_USB)</f>
        <v>0</v>
      </c>
      <c r="BU25" s="188">
        <f>DSUM(G_MAR_2018,GASTO,G_USB)</f>
        <v>2200</v>
      </c>
      <c r="BV25" s="188">
        <f>DSUM(G_ABR_2018,GASTO,G_USB)</f>
        <v>1100</v>
      </c>
      <c r="BW25" s="188">
        <f>DSUM(G_MAY_2018,GASTO,G_USB)</f>
        <v>0</v>
      </c>
      <c r="BX25" s="188">
        <f>DSUM(G_JUN_2018,GASTO,G_USB)</f>
        <v>2650</v>
      </c>
      <c r="BY25" s="188">
        <f>DSUM(G_JUL_2018,GASTO,G_USB)</f>
        <v>0</v>
      </c>
      <c r="BZ25" s="188">
        <f>DSUM(G_AGO_2018,GASTO,G_USB)</f>
        <v>1100</v>
      </c>
      <c r="CA25" s="188">
        <f>DSUM(G_SEP_2018,GASTO,G_USB)</f>
        <v>0</v>
      </c>
    </row>
    <row r="26" spans="1:79" x14ac:dyDescent="0.2">
      <c r="A26" s="280" t="s">
        <v>1821</v>
      </c>
      <c r="B26" s="280"/>
      <c r="C26" s="347" t="s">
        <v>2910</v>
      </c>
      <c r="D26" s="218"/>
      <c r="E26" s="218">
        <v>25712</v>
      </c>
      <c r="F26" s="188">
        <v>7712</v>
      </c>
      <c r="G26" s="188">
        <v>0</v>
      </c>
      <c r="H26" s="188">
        <v>4950</v>
      </c>
      <c r="I26" s="188">
        <v>2400</v>
      </c>
      <c r="J26" s="188">
        <v>2400</v>
      </c>
      <c r="K26" s="188">
        <v>1800</v>
      </c>
      <c r="L26" s="188">
        <v>1100</v>
      </c>
      <c r="M26" s="188">
        <v>150</v>
      </c>
      <c r="N26" s="188">
        <v>0</v>
      </c>
      <c r="O26" s="188">
        <v>5200</v>
      </c>
      <c r="P26" s="188">
        <v>0</v>
      </c>
      <c r="Q26" s="188">
        <v>0</v>
      </c>
      <c r="R26" s="218">
        <v>40600</v>
      </c>
      <c r="S26" s="188">
        <v>6000</v>
      </c>
      <c r="T26" s="188">
        <v>0</v>
      </c>
      <c r="U26" s="188">
        <v>3600</v>
      </c>
      <c r="V26" s="188">
        <v>5500</v>
      </c>
      <c r="W26" s="188">
        <v>500</v>
      </c>
      <c r="X26" s="188">
        <v>0</v>
      </c>
      <c r="Y26" s="188">
        <v>4500</v>
      </c>
      <c r="Z26" s="188">
        <v>0</v>
      </c>
      <c r="AA26" s="188">
        <v>5000</v>
      </c>
      <c r="AB26" s="188">
        <v>5000</v>
      </c>
      <c r="AC26" s="188">
        <v>0</v>
      </c>
      <c r="AD26" s="188">
        <v>10500</v>
      </c>
      <c r="AE26" s="218">
        <v>33212</v>
      </c>
      <c r="AF26" s="188">
        <v>0</v>
      </c>
      <c r="AG26" s="188">
        <v>5500</v>
      </c>
      <c r="AH26" s="188">
        <v>1000</v>
      </c>
      <c r="AI26" s="188">
        <v>5500</v>
      </c>
      <c r="AJ26" s="188">
        <v>5500</v>
      </c>
      <c r="AK26" s="188">
        <v>5000</v>
      </c>
      <c r="AL26" s="188">
        <v>0</v>
      </c>
      <c r="AM26" s="188">
        <v>0</v>
      </c>
      <c r="AN26" s="188">
        <v>5500</v>
      </c>
      <c r="AO26" s="188">
        <v>5212</v>
      </c>
      <c r="AP26" s="188">
        <v>0</v>
      </c>
      <c r="AQ26" s="188">
        <v>0</v>
      </c>
      <c r="AR26" s="218">
        <f>SUM(AS26:BD26)</f>
        <v>40230.800000000003</v>
      </c>
      <c r="AS26" s="188">
        <f>DSUM(G_ENE_2016,GASTO,G_ADQ)</f>
        <v>3375</v>
      </c>
      <c r="AT26" s="188">
        <f>DSUM(G_FEB_2016,GASTO,G_ADQ)</f>
        <v>5250</v>
      </c>
      <c r="AU26" s="188">
        <f>DSUM(G_MAR_2016,GASTO,G_ADQ)</f>
        <v>0</v>
      </c>
      <c r="AV26" s="188">
        <f>DSUM(G_ABR_2016,GASTO,G_ADQ)</f>
        <v>0</v>
      </c>
      <c r="AW26" s="188">
        <f>DSUM(G_MAY_2016,GASTO,G_ADQ)</f>
        <v>6450</v>
      </c>
      <c r="AX26" s="188">
        <f>DSUM(G_JUN_2016,GASTO,G_ADQ)</f>
        <v>3000</v>
      </c>
      <c r="AY26" s="188">
        <f>DSUM(G_JUL_2016,GASTO,G_ADQ)</f>
        <v>3900</v>
      </c>
      <c r="AZ26" s="188">
        <f>DSUM(G_AGO_2016,GASTO,G_ADQ)</f>
        <v>7475.8</v>
      </c>
      <c r="BA26" s="188">
        <f>DSUM(G_SEP_2016,GASTO,G_ADQ)</f>
        <v>3730</v>
      </c>
      <c r="BB26" s="188">
        <f>DSUM(G_OCT_2016,GASTO,G_ADQ)</f>
        <v>0</v>
      </c>
      <c r="BC26" s="188">
        <f>DSUM(G_NOV_2016,GASTO,G_ADQ)</f>
        <v>3150</v>
      </c>
      <c r="BD26" s="188">
        <f>DSUM(G_DIC_2016,GASTO,G_ADQ)</f>
        <v>3900</v>
      </c>
      <c r="BE26" s="218">
        <f>SUM(BF26:BQ26)</f>
        <v>21930</v>
      </c>
      <c r="BF26" s="188">
        <f>DSUM(G_ENE_2017,GASTO,G_ADQ)</f>
        <v>4500</v>
      </c>
      <c r="BG26" s="188">
        <f>DSUM(G_FEB_2017,GASTO,G_ADQ)</f>
        <v>0</v>
      </c>
      <c r="BH26" s="188">
        <f>DSUM(G_MAR_2017,GASTO,G_ADQ)</f>
        <v>3900</v>
      </c>
      <c r="BI26" s="188">
        <f>DSUM(G_ABR_2017,GASTO,G_ADQ)</f>
        <v>3300</v>
      </c>
      <c r="BJ26" s="188">
        <f>DSUM(G_MAY_2017,GASTO,G_ADQ)</f>
        <v>0</v>
      </c>
      <c r="BK26" s="188">
        <f>DSUM(G_JUN_2017,GASTO,G_ADQ)</f>
        <v>0</v>
      </c>
      <c r="BL26" s="188">
        <f>DSUM(G_JUL_2017,GASTO,G_ADQ)</f>
        <v>1100</v>
      </c>
      <c r="BM26" s="188">
        <f>DSUM(G_AGO_2017,GASTO,G_ADQ)</f>
        <v>2390</v>
      </c>
      <c r="BN26" s="188">
        <f>DSUM(G_SEP_2017,GASTO,G_ADQ)</f>
        <v>840</v>
      </c>
      <c r="BO26" s="188">
        <f>DSUM(G_OCT_2017,GASTO,G_ADQ)</f>
        <v>1800</v>
      </c>
      <c r="BP26" s="188">
        <f>DSUM(G_NOV_2017,GASTO,G_ADQ)</f>
        <v>4100</v>
      </c>
      <c r="BQ26" s="188">
        <f>DSUM(G_DIC_2017,GASTO,G_ADQ)</f>
        <v>0</v>
      </c>
      <c r="BR26" s="218">
        <f>SUM(BS26:CC26)</f>
        <v>26526</v>
      </c>
      <c r="BS26" s="188">
        <f>DSUM(G_ENE_2018,GASTO,G_ADQ)</f>
        <v>6000</v>
      </c>
      <c r="BT26" s="188">
        <f>DSUM(G_FEB_2018,GASTO,G_ADQ)</f>
        <v>0</v>
      </c>
      <c r="BU26" s="188">
        <f>DSUM(G_MAR_2018,GASTO,G_ADQ)</f>
        <v>0</v>
      </c>
      <c r="BV26" s="188">
        <f>DSUM(G_ABR_2018,GASTO,G_ADQ)</f>
        <v>1462.5</v>
      </c>
      <c r="BW26" s="188">
        <f>DSUM(G_MAY_2018,GASTO,G_ADQ)</f>
        <v>11118.5</v>
      </c>
      <c r="BX26" s="188">
        <f>DSUM(G_JUN_2018,GASTO,G_ADQ)</f>
        <v>345</v>
      </c>
      <c r="BY26" s="188">
        <f>DSUM(G_JUL_2018,GASTO,G_ADQ)</f>
        <v>7200</v>
      </c>
      <c r="BZ26" s="188">
        <f>DSUM(G_AGO_2018,GASTO,G_ADQ)</f>
        <v>0</v>
      </c>
      <c r="CA26" s="188">
        <f>DSUM(G_SEP_2018,GASTO,G_ADQ)</f>
        <v>400</v>
      </c>
    </row>
    <row r="27" spans="1:79" x14ac:dyDescent="0.2">
      <c r="A27" s="280" t="s">
        <v>1882</v>
      </c>
      <c r="B27" s="280"/>
      <c r="C27" s="348" t="s">
        <v>2911</v>
      </c>
      <c r="D27" s="219"/>
      <c r="E27" s="219">
        <v>844.84</v>
      </c>
      <c r="F27" s="220">
        <v>0</v>
      </c>
      <c r="G27" s="220">
        <v>0</v>
      </c>
      <c r="H27" s="220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633.63</v>
      </c>
      <c r="N27" s="220">
        <v>211.21</v>
      </c>
      <c r="O27" s="220">
        <v>0</v>
      </c>
      <c r="P27" s="220">
        <v>0</v>
      </c>
      <c r="Q27" s="220">
        <v>0</v>
      </c>
      <c r="R27" s="219">
        <v>429.32</v>
      </c>
      <c r="S27" s="220">
        <v>0</v>
      </c>
      <c r="T27" s="220">
        <v>0</v>
      </c>
      <c r="U27" s="220">
        <v>0</v>
      </c>
      <c r="V27" s="220">
        <v>0</v>
      </c>
      <c r="W27" s="220">
        <v>0</v>
      </c>
      <c r="X27" s="220">
        <v>0</v>
      </c>
      <c r="Y27" s="220">
        <v>429.32</v>
      </c>
      <c r="Z27" s="220">
        <v>0</v>
      </c>
      <c r="AA27" s="220">
        <v>0</v>
      </c>
      <c r="AB27" s="220">
        <v>0</v>
      </c>
      <c r="AC27" s="220">
        <v>0</v>
      </c>
      <c r="AD27" s="220">
        <v>0</v>
      </c>
      <c r="AE27" s="219">
        <v>2221.9</v>
      </c>
      <c r="AF27" s="220">
        <v>0</v>
      </c>
      <c r="AG27" s="220">
        <v>0</v>
      </c>
      <c r="AH27" s="220">
        <v>643.98</v>
      </c>
      <c r="AI27" s="220">
        <v>0</v>
      </c>
      <c r="AJ27" s="220">
        <v>0</v>
      </c>
      <c r="AK27" s="220">
        <v>0</v>
      </c>
      <c r="AL27" s="220">
        <v>0</v>
      </c>
      <c r="AM27" s="220">
        <v>0</v>
      </c>
      <c r="AN27" s="220">
        <v>0</v>
      </c>
      <c r="AO27" s="220">
        <v>1577.92</v>
      </c>
      <c r="AP27" s="220">
        <v>0</v>
      </c>
      <c r="AQ27" s="220">
        <v>0</v>
      </c>
      <c r="AR27" s="219">
        <f>SUM(AS27:BD27)</f>
        <v>1813.65</v>
      </c>
      <c r="AS27" s="220">
        <f>DSUM(G_ENE_2016,GASTO,G_SÑ)</f>
        <v>0</v>
      </c>
      <c r="AT27" s="220">
        <f>DSUM(G_FEB_2016,GASTO,G_SÑ)</f>
        <v>0</v>
      </c>
      <c r="AU27" s="220">
        <f>DSUM(G_MAR_2016,GASTO,G_SÑ)</f>
        <v>0</v>
      </c>
      <c r="AV27" s="220">
        <f>DSUM(G_ABR_2016,GASTO,G_SÑ)</f>
        <v>0</v>
      </c>
      <c r="AW27" s="220">
        <f>DSUM(G_MAY_2016,GASTO,G_SÑ)</f>
        <v>420</v>
      </c>
      <c r="AX27" s="220">
        <f>DSUM(G_JUN_2016,GASTO,G_SÑ)</f>
        <v>610</v>
      </c>
      <c r="AY27" s="220">
        <f>DSUM(G_JUL_2016,GASTO,G_SÑ)</f>
        <v>366.65</v>
      </c>
      <c r="AZ27" s="220">
        <f>DSUM(G_AGO_2016,GASTO,G_SÑ)</f>
        <v>117</v>
      </c>
      <c r="BA27" s="220">
        <f>DSUM(G_SEP_2016,GASTO,G_SÑ)</f>
        <v>0</v>
      </c>
      <c r="BB27" s="220">
        <f>DSUM(G_OCT_2016,GASTO,G_SÑ)</f>
        <v>0</v>
      </c>
      <c r="BC27" s="220">
        <f>DSUM(G_NOV_2016,GASTO,G_SÑ)</f>
        <v>300</v>
      </c>
      <c r="BD27" s="220">
        <f>DSUM(G_DIC_2016,GASTO,G_SÑ)</f>
        <v>0</v>
      </c>
      <c r="BE27" s="219">
        <f>SUM(BF27:BQ27)</f>
        <v>1997</v>
      </c>
      <c r="BF27" s="220">
        <f>DSUM(G_ENE_2017,GASTO,G_SÑ)</f>
        <v>0</v>
      </c>
      <c r="BG27" s="220">
        <f>DSUM(G_FEB_2017,GASTO,G_SÑ)</f>
        <v>0</v>
      </c>
      <c r="BH27" s="220">
        <f>DSUM(G_MAR_2017,GASTO,G_SÑ)</f>
        <v>0</v>
      </c>
      <c r="BI27" s="220">
        <f>DSUM(G_ABR_2017,GASTO,G_SÑ)</f>
        <v>1397</v>
      </c>
      <c r="BJ27" s="220">
        <f>DSUM(G_MAY_2017,GASTO,G_SÑ)</f>
        <v>600</v>
      </c>
      <c r="BK27" s="220">
        <f>DSUM(G_JUN_2017,GASTO,G_SÑ)</f>
        <v>0</v>
      </c>
      <c r="BL27" s="220">
        <f>DSUM(G_JUL_2017,GASTO,G_SÑ)</f>
        <v>0</v>
      </c>
      <c r="BM27" s="220">
        <f>DSUM(G_AGO_2017,GASTO,G_SÑ)</f>
        <v>0</v>
      </c>
      <c r="BN27" s="220">
        <f>DSUM(G_SEP_2017,GASTO,G_SÑ)</f>
        <v>0</v>
      </c>
      <c r="BO27" s="220">
        <f>DSUM(G_OCT_2017,GASTO,G_SÑ)</f>
        <v>0</v>
      </c>
      <c r="BP27" s="220">
        <f>DSUM(G_NOV_2017,GASTO,G_SÑ)</f>
        <v>0</v>
      </c>
      <c r="BQ27" s="220">
        <f>DSUM(G_DIC_2017,GASTO,G_SÑ)</f>
        <v>0</v>
      </c>
      <c r="BR27" s="219">
        <f>SUM(BS27:CC27)</f>
        <v>1578</v>
      </c>
      <c r="BS27" s="220">
        <f>DSUM(G_ENE_2018,GASTO,G_SÑ)</f>
        <v>0</v>
      </c>
      <c r="BT27" s="220">
        <f>DSUM(G_FEB_2018,GASTO,G_SÑ)</f>
        <v>0</v>
      </c>
      <c r="BU27" s="220">
        <f>DSUM(G_MAR_2018,GASTO,G_SÑ)</f>
        <v>0</v>
      </c>
      <c r="BV27" s="220">
        <f>DSUM(G_ABR_2018,GASTO,G_SÑ)</f>
        <v>0</v>
      </c>
      <c r="BW27" s="220">
        <f>DSUM(G_MAY_2018,GASTO,G_SÑ)</f>
        <v>0</v>
      </c>
      <c r="BX27" s="220">
        <f>DSUM(G_JUN_2018,GASTO,G_SÑ)</f>
        <v>774</v>
      </c>
      <c r="BY27" s="220">
        <f>DSUM(G_JUL_2018,GASTO,G_SÑ)</f>
        <v>804</v>
      </c>
      <c r="BZ27" s="220">
        <f>DSUM(G_AGO_2018,GASTO,G_SÑ)</f>
        <v>0</v>
      </c>
      <c r="CA27" s="220">
        <f>DSUM(G_SEP_2018,GASTO,G_SÑ)</f>
        <v>0</v>
      </c>
    </row>
    <row r="28" spans="1:79" x14ac:dyDescent="0.2">
      <c r="A28" s="280"/>
      <c r="B28" s="280"/>
      <c r="C28" s="221" t="s">
        <v>2912</v>
      </c>
      <c r="D28" s="209"/>
      <c r="E28" s="209">
        <v>138908.47</v>
      </c>
      <c r="F28" s="209">
        <v>23851.15</v>
      </c>
      <c r="G28" s="209">
        <v>17379.89</v>
      </c>
      <c r="H28" s="209">
        <v>9092.5</v>
      </c>
      <c r="I28" s="209">
        <v>3550</v>
      </c>
      <c r="J28" s="209">
        <v>3670</v>
      </c>
      <c r="K28" s="209">
        <v>2000</v>
      </c>
      <c r="L28" s="209">
        <v>8562.4700000000012</v>
      </c>
      <c r="M28" s="209">
        <v>10018.4</v>
      </c>
      <c r="N28" s="209">
        <v>17019.11</v>
      </c>
      <c r="O28" s="209">
        <v>18138.769999999997</v>
      </c>
      <c r="P28" s="209">
        <v>13501.039999999999</v>
      </c>
      <c r="Q28" s="222">
        <v>12125.14</v>
      </c>
      <c r="R28" s="223">
        <v>260684.84000000003</v>
      </c>
      <c r="S28" s="209">
        <v>6430.35</v>
      </c>
      <c r="T28" s="209">
        <v>4210</v>
      </c>
      <c r="U28" s="209">
        <v>18985.03</v>
      </c>
      <c r="V28" s="209">
        <v>31351.559999999998</v>
      </c>
      <c r="W28" s="209">
        <v>48187.77</v>
      </c>
      <c r="X28" s="222">
        <v>21425.82</v>
      </c>
      <c r="Y28" s="222">
        <v>23339.489999999998</v>
      </c>
      <c r="Z28" s="222">
        <v>22901.670000000002</v>
      </c>
      <c r="AA28" s="222">
        <v>17777</v>
      </c>
      <c r="AB28" s="222">
        <v>9047</v>
      </c>
      <c r="AC28" s="222">
        <v>13036.5</v>
      </c>
      <c r="AD28" s="222">
        <v>43992.649999999994</v>
      </c>
      <c r="AE28" s="223">
        <v>456723.21</v>
      </c>
      <c r="AF28" s="209">
        <v>19250</v>
      </c>
      <c r="AG28" s="209">
        <v>10485</v>
      </c>
      <c r="AH28" s="209">
        <v>3450</v>
      </c>
      <c r="AI28" s="209">
        <v>14418.53</v>
      </c>
      <c r="AJ28" s="209">
        <v>56094.5</v>
      </c>
      <c r="AK28" s="209">
        <v>134972.09</v>
      </c>
      <c r="AL28" s="209">
        <v>72928.38</v>
      </c>
      <c r="AM28" s="209">
        <v>25698.33</v>
      </c>
      <c r="AN28" s="209">
        <v>17063.54</v>
      </c>
      <c r="AO28" s="209">
        <v>32495.239999999998</v>
      </c>
      <c r="AP28" s="209">
        <v>14989</v>
      </c>
      <c r="AQ28" s="209">
        <v>54878.599999999991</v>
      </c>
      <c r="AR28" s="223">
        <f t="shared" ref="AR28:BA28" si="30">SUM(AR29:AR35)</f>
        <v>302639.35000000003</v>
      </c>
      <c r="AS28" s="209">
        <f t="shared" si="30"/>
        <v>13237</v>
      </c>
      <c r="AT28" s="209">
        <f t="shared" si="30"/>
        <v>29528.82</v>
      </c>
      <c r="AU28" s="209">
        <f t="shared" si="30"/>
        <v>38392.850000000006</v>
      </c>
      <c r="AV28" s="209">
        <f t="shared" si="30"/>
        <v>13660.24</v>
      </c>
      <c r="AW28" s="209">
        <f t="shared" si="30"/>
        <v>15706.41</v>
      </c>
      <c r="AX28" s="209">
        <f t="shared" si="30"/>
        <v>24812.6</v>
      </c>
      <c r="AY28" s="209">
        <f t="shared" si="30"/>
        <v>25610.07</v>
      </c>
      <c r="AZ28" s="209">
        <f t="shared" si="30"/>
        <v>34169.64</v>
      </c>
      <c r="BA28" s="209">
        <f t="shared" si="30"/>
        <v>41612.369999999995</v>
      </c>
      <c r="BB28" s="209">
        <f t="shared" ref="BB28:BI28" si="31">SUM(BB29:BB35)</f>
        <v>10639.05</v>
      </c>
      <c r="BC28" s="209">
        <f t="shared" si="31"/>
        <v>25257.89</v>
      </c>
      <c r="BD28" s="209">
        <f t="shared" si="31"/>
        <v>30012.410000000003</v>
      </c>
      <c r="BE28" s="223">
        <f t="shared" si="31"/>
        <v>261564.16</v>
      </c>
      <c r="BF28" s="209">
        <f t="shared" si="31"/>
        <v>21937.300000000003</v>
      </c>
      <c r="BG28" s="209">
        <f t="shared" si="31"/>
        <v>23433.85</v>
      </c>
      <c r="BH28" s="209">
        <f t="shared" si="31"/>
        <v>33608.9</v>
      </c>
      <c r="BI28" s="209">
        <f t="shared" si="31"/>
        <v>28853.1</v>
      </c>
      <c r="BJ28" s="209">
        <f t="shared" ref="BJ28:BK28" si="32">SUM(BJ29:BJ35)</f>
        <v>29913.71</v>
      </c>
      <c r="BK28" s="209">
        <f t="shared" si="32"/>
        <v>18537.5</v>
      </c>
      <c r="BL28" s="209">
        <f t="shared" ref="BL28:BM28" si="33">SUM(BL29:BL35)</f>
        <v>17223.5</v>
      </c>
      <c r="BM28" s="209">
        <f t="shared" si="33"/>
        <v>20558.479999999996</v>
      </c>
      <c r="BN28" s="209">
        <f t="shared" ref="BN28:BO28" si="34">SUM(BN29:BN35)</f>
        <v>18413.5</v>
      </c>
      <c r="BO28" s="209">
        <f t="shared" si="34"/>
        <v>14119.55</v>
      </c>
      <c r="BP28" s="209">
        <f t="shared" ref="BP28" si="35">SUM(BP29:BP35)</f>
        <v>12086.699999999999</v>
      </c>
      <c r="BQ28" s="209">
        <f>SUM(BQ29:BQ35)</f>
        <v>22878.07</v>
      </c>
      <c r="BR28" s="223">
        <f t="shared" ref="BR28:BS28" si="36">SUM(BR29:BR35)</f>
        <v>184752.5</v>
      </c>
      <c r="BS28" s="209">
        <f t="shared" si="36"/>
        <v>26444.23</v>
      </c>
      <c r="BT28" s="209">
        <f t="shared" ref="BT28" si="37">SUM(BT29:BT35)</f>
        <v>18179.04</v>
      </c>
      <c r="BU28" s="209">
        <f t="shared" ref="BU28:BZ28" si="38">SUM(BU29:BU35)</f>
        <v>23950.92</v>
      </c>
      <c r="BV28" s="209">
        <f t="shared" si="38"/>
        <v>36876.589999999997</v>
      </c>
      <c r="BW28" s="209">
        <f t="shared" si="38"/>
        <v>18387.47</v>
      </c>
      <c r="BX28" s="209">
        <f t="shared" si="38"/>
        <v>17321.68</v>
      </c>
      <c r="BY28" s="209">
        <f t="shared" si="38"/>
        <v>17598.519999999997</v>
      </c>
      <c r="BZ28" s="209">
        <f t="shared" si="38"/>
        <v>13064.75</v>
      </c>
      <c r="CA28" s="209">
        <f t="shared" ref="CA28" si="39">SUM(CA29:CA35)</f>
        <v>12929.3</v>
      </c>
    </row>
    <row r="29" spans="1:79" x14ac:dyDescent="0.2">
      <c r="A29" s="280" t="s">
        <v>1881</v>
      </c>
      <c r="B29" s="280"/>
      <c r="C29" s="352" t="s">
        <v>2913</v>
      </c>
      <c r="D29" s="214"/>
      <c r="E29" s="214">
        <v>2544.6099999999997</v>
      </c>
      <c r="F29" s="215">
        <v>0</v>
      </c>
      <c r="G29" s="215">
        <v>0</v>
      </c>
      <c r="H29" s="215">
        <v>0</v>
      </c>
      <c r="I29" s="215">
        <v>0</v>
      </c>
      <c r="J29" s="215">
        <v>0</v>
      </c>
      <c r="K29" s="215">
        <v>0</v>
      </c>
      <c r="L29" s="215">
        <v>0</v>
      </c>
      <c r="M29" s="215">
        <v>1898.1</v>
      </c>
      <c r="N29" s="215">
        <v>646.51</v>
      </c>
      <c r="O29" s="215">
        <v>0</v>
      </c>
      <c r="P29" s="215">
        <v>0</v>
      </c>
      <c r="Q29" s="215">
        <v>0</v>
      </c>
      <c r="R29" s="214">
        <v>14824.31</v>
      </c>
      <c r="S29" s="215">
        <v>400</v>
      </c>
      <c r="T29" s="215">
        <v>0</v>
      </c>
      <c r="U29" s="215">
        <v>0</v>
      </c>
      <c r="V29" s="215">
        <v>600</v>
      </c>
      <c r="W29" s="215">
        <v>0</v>
      </c>
      <c r="X29" s="215">
        <v>1795.69</v>
      </c>
      <c r="Y29" s="215">
        <v>5408.62</v>
      </c>
      <c r="Z29" s="215">
        <v>0</v>
      </c>
      <c r="AA29" s="215">
        <v>2700</v>
      </c>
      <c r="AB29" s="215">
        <v>3400</v>
      </c>
      <c r="AC29" s="215">
        <v>520</v>
      </c>
      <c r="AD29" s="215">
        <v>0</v>
      </c>
      <c r="AE29" s="214">
        <v>132690.76</v>
      </c>
      <c r="AF29" s="215">
        <v>0</v>
      </c>
      <c r="AG29" s="215">
        <v>485</v>
      </c>
      <c r="AH29" s="215">
        <v>0</v>
      </c>
      <c r="AI29" s="215">
        <v>0</v>
      </c>
      <c r="AJ29" s="215">
        <v>0</v>
      </c>
      <c r="AK29" s="215">
        <v>90330</v>
      </c>
      <c r="AL29" s="215">
        <v>28730</v>
      </c>
      <c r="AM29" s="215">
        <v>8300</v>
      </c>
      <c r="AN29" s="215">
        <v>3415.76</v>
      </c>
      <c r="AO29" s="215">
        <v>250</v>
      </c>
      <c r="AP29" s="215">
        <v>0</v>
      </c>
      <c r="AQ29" s="215">
        <v>1180</v>
      </c>
      <c r="AR29" s="214">
        <f t="shared" ref="AR29:AR35" si="40">SUM(AS29:BD29)</f>
        <v>3486</v>
      </c>
      <c r="AS29" s="215">
        <f>DSUM(G_ENE_2016,GASTO,G_MTCBQ)</f>
        <v>1180</v>
      </c>
      <c r="AT29" s="215">
        <f>DSUM(G_FEB_2016,GASTO,G_MTCBQ)</f>
        <v>0</v>
      </c>
      <c r="AU29" s="215">
        <f>DSUM(G_MAR_2016,GASTO,G_MTCBQ)</f>
        <v>0</v>
      </c>
      <c r="AV29" s="215">
        <f>DSUM(G_ABR_2016,GASTO,G_MTCBQ)</f>
        <v>0</v>
      </c>
      <c r="AW29" s="215">
        <f>DSUM(G_MAY_2016,GASTO,G_MTCBQ)</f>
        <v>0</v>
      </c>
      <c r="AX29" s="215">
        <f>DSUM(G_JUN_2016,GASTO,G_MTCBQ)</f>
        <v>86</v>
      </c>
      <c r="AY29" s="215">
        <f>DSUM(G_JUL_2016,GASTO,G_MTCBQ)</f>
        <v>0</v>
      </c>
      <c r="AZ29" s="215">
        <f>DSUM(G_AGO_2016,GASTO,G_MTCBQ)</f>
        <v>2220</v>
      </c>
      <c r="BA29" s="215">
        <f>DSUM(G_SEP_2016,GASTO,G_MTCBQ)</f>
        <v>0</v>
      </c>
      <c r="BB29" s="215">
        <f>DSUM(G_OCT_2016,GASTO,G_MTCBQ)</f>
        <v>0</v>
      </c>
      <c r="BC29" s="215">
        <f>DSUM(G_NOV_2016,GASTO,G_MTCBQ)</f>
        <v>0</v>
      </c>
      <c r="BD29" s="215">
        <f>DSUM(G_DIC_2016,GASTO,G_MTCBQ)</f>
        <v>0</v>
      </c>
      <c r="BE29" s="214">
        <f t="shared" ref="BE29:BE35" si="41">SUM(BF29:BQ29)</f>
        <v>45917.8</v>
      </c>
      <c r="BF29" s="215">
        <f>DSUM(G_ENE_2017,GASTO,G_MTCBQ)</f>
        <v>950</v>
      </c>
      <c r="BG29" s="215">
        <f>DSUM(G_FEB_2017,GASTO,G_MTCBQ)</f>
        <v>3848</v>
      </c>
      <c r="BH29" s="215">
        <f>DSUM(G_MAR_2017,GASTO,G_MTCBQ)</f>
        <v>2700</v>
      </c>
      <c r="BI29" s="215">
        <f>DSUM(G_ABR_2017,GASTO,G_MTCBQ)</f>
        <v>4000</v>
      </c>
      <c r="BJ29" s="215">
        <f>DSUM(G_MAY_2017,GASTO,G_MTCBQ)</f>
        <v>12244.3</v>
      </c>
      <c r="BK29" s="215">
        <f>DSUM(G_JUN_2017,GASTO,G_MTCBQ)</f>
        <v>5848</v>
      </c>
      <c r="BL29" s="215">
        <f>DSUM(G_JUL_2017,GASTO,G_MTCBQ)</f>
        <v>2650</v>
      </c>
      <c r="BM29" s="215">
        <f>DSUM(G_AGO_2017,GASTO,G_MTCBQ)</f>
        <v>3102.5</v>
      </c>
      <c r="BN29" s="215">
        <f>DSUM(G_SEP_2017,GASTO,G_MTCBQ)</f>
        <v>2010</v>
      </c>
      <c r="BO29" s="215">
        <f>DSUM(G_OCT_2017,GASTO,G_MTCBQ)</f>
        <v>2350</v>
      </c>
      <c r="BP29" s="215">
        <f>DSUM(G_NOV_2017,GASTO,G_MTCBQ)</f>
        <v>2330</v>
      </c>
      <c r="BQ29" s="215">
        <f>DSUM(G_DIC_2017,GASTO,G_MTCBQ)</f>
        <v>3885</v>
      </c>
      <c r="BR29" s="214">
        <f t="shared" ref="BR29:BR35" si="42">SUM(BS29:CC29)</f>
        <v>22368</v>
      </c>
      <c r="BS29" s="215">
        <f>DSUM(G_ENE_2018,GASTO,G_MTCBQ)</f>
        <v>3680</v>
      </c>
      <c r="BT29" s="215">
        <f>DSUM(G_FEB_2018,GASTO,G_MTCBQ)</f>
        <v>1390</v>
      </c>
      <c r="BU29" s="215">
        <f>DSUM(G_MAR_2018,GASTO,G_MTCBQ)</f>
        <v>2230</v>
      </c>
      <c r="BV29" s="215">
        <f>DSUM(G_ABR_2018,GASTO,G_MTCBQ)</f>
        <v>2450</v>
      </c>
      <c r="BW29" s="215">
        <f>DSUM(G_MAY_2018,GASTO,G_MTCBQ)</f>
        <v>1680</v>
      </c>
      <c r="BX29" s="215">
        <f>DSUM(G_JUN_2018,GASTO,G_MTCBQ)</f>
        <v>2230</v>
      </c>
      <c r="BY29" s="215">
        <f>DSUM(G_JUL_2018,GASTO,G_MTCBQ)</f>
        <v>2900</v>
      </c>
      <c r="BZ29" s="215">
        <f>DSUM(G_AGO_2018,GASTO,G_MTCBQ)</f>
        <v>2758</v>
      </c>
      <c r="CA29" s="215">
        <f>DSUM(G_SEP_2018,GASTO,G_MTCBQ)</f>
        <v>3050</v>
      </c>
    </row>
    <row r="30" spans="1:79" x14ac:dyDescent="0.2">
      <c r="A30" s="280" t="s">
        <v>1870</v>
      </c>
      <c r="B30" s="280"/>
      <c r="C30" s="347" t="s">
        <v>2914</v>
      </c>
      <c r="D30" s="218"/>
      <c r="E30" s="218">
        <v>32627.769999999997</v>
      </c>
      <c r="F30" s="188">
        <v>0</v>
      </c>
      <c r="G30" s="188">
        <v>0</v>
      </c>
      <c r="H30" s="188">
        <v>0</v>
      </c>
      <c r="I30" s="188">
        <v>2500</v>
      </c>
      <c r="J30" s="188">
        <v>2500</v>
      </c>
      <c r="K30" s="188">
        <v>0</v>
      </c>
      <c r="L30" s="188">
        <v>1600</v>
      </c>
      <c r="M30" s="188">
        <v>3955</v>
      </c>
      <c r="N30" s="188">
        <v>3938.6</v>
      </c>
      <c r="O30" s="188">
        <v>3188</v>
      </c>
      <c r="P30" s="188">
        <v>7862.5</v>
      </c>
      <c r="Q30" s="188">
        <v>7083.67</v>
      </c>
      <c r="R30" s="218">
        <v>56154.810000000005</v>
      </c>
      <c r="S30" s="188">
        <v>550</v>
      </c>
      <c r="T30" s="188">
        <v>2810</v>
      </c>
      <c r="U30" s="188">
        <v>15060.5</v>
      </c>
      <c r="V30" s="188">
        <v>6951.38</v>
      </c>
      <c r="W30" s="188">
        <v>11567.42</v>
      </c>
      <c r="X30" s="188">
        <v>2906.8900000000003</v>
      </c>
      <c r="Y30" s="188">
        <v>3368.9700000000003</v>
      </c>
      <c r="Z30" s="188">
        <v>11139.65</v>
      </c>
      <c r="AA30" s="188">
        <v>1000</v>
      </c>
      <c r="AB30" s="188">
        <v>0</v>
      </c>
      <c r="AC30" s="188">
        <v>800</v>
      </c>
      <c r="AD30" s="188">
        <v>0</v>
      </c>
      <c r="AE30" s="218">
        <v>53612.679999999993</v>
      </c>
      <c r="AF30" s="188">
        <v>7600</v>
      </c>
      <c r="AG30" s="188">
        <v>0</v>
      </c>
      <c r="AH30" s="188">
        <v>420</v>
      </c>
      <c r="AI30" s="188">
        <v>1500</v>
      </c>
      <c r="AJ30" s="188">
        <v>5660</v>
      </c>
      <c r="AK30" s="188">
        <v>9592.5</v>
      </c>
      <c r="AL30" s="188">
        <v>7754.84</v>
      </c>
      <c r="AM30" s="188">
        <v>3200</v>
      </c>
      <c r="AN30" s="188">
        <v>4155</v>
      </c>
      <c r="AO30" s="188">
        <v>3100</v>
      </c>
      <c r="AP30" s="188">
        <v>5110</v>
      </c>
      <c r="AQ30" s="188">
        <v>5520.34</v>
      </c>
      <c r="AR30" s="218">
        <f t="shared" si="40"/>
        <v>56302</v>
      </c>
      <c r="AS30" s="188">
        <f>DSUM(G_ENE_2016,GASTO,G_MTCYP)</f>
        <v>2450</v>
      </c>
      <c r="AT30" s="188">
        <f>DSUM(G_FEB_2016,GASTO,G_MTCYP)</f>
        <v>3900</v>
      </c>
      <c r="AU30" s="188">
        <f>DSUM(G_MAR_2016,GASTO,G_MTCYP)</f>
        <v>6100</v>
      </c>
      <c r="AV30" s="188">
        <f>DSUM(G_ABR_2016,GASTO,G_MTCYP)</f>
        <v>6100</v>
      </c>
      <c r="AW30" s="188">
        <f>DSUM(G_MAY_2016,GASTO,G_MTCYP)</f>
        <v>4750</v>
      </c>
      <c r="AX30" s="188">
        <f>DSUM(G_JUN_2016,GASTO,G_MTCYP)</f>
        <v>5570</v>
      </c>
      <c r="AY30" s="188">
        <f>DSUM(G_JUL_2016,GASTO,G_MTCYP)</f>
        <v>8690</v>
      </c>
      <c r="AZ30" s="188">
        <f>DSUM(G_AGO_2016,GASTO,G_MTCYP)</f>
        <v>6018</v>
      </c>
      <c r="BA30" s="188">
        <f>DSUM(G_SEP_2016,GASTO,G_MTCYP)</f>
        <v>8210</v>
      </c>
      <c r="BB30" s="188">
        <f>DSUM(G_OCT_2016,GASTO,G_MTCYP)</f>
        <v>444</v>
      </c>
      <c r="BC30" s="188">
        <f>DSUM(G_NOV_2016,GASTO,G_MTCYP)</f>
        <v>3870</v>
      </c>
      <c r="BD30" s="188">
        <f>DSUM(G_DIC_2016,GASTO,G_MTCYP)</f>
        <v>200</v>
      </c>
      <c r="BE30" s="218">
        <f t="shared" si="41"/>
        <v>47598</v>
      </c>
      <c r="BF30" s="188">
        <f>DSUM(G_ENE_2017,GASTO,G_MTCYP)</f>
        <v>3956</v>
      </c>
      <c r="BG30" s="188">
        <f>DSUM(G_FEB_2017,GASTO,G_MTCYP)</f>
        <v>4460</v>
      </c>
      <c r="BH30" s="188">
        <f>DSUM(G_MAR_2017,GASTO,G_MTCYP)</f>
        <v>5150</v>
      </c>
      <c r="BI30" s="188">
        <f>DSUM(G_ABR_2017,GASTO,G_MTCYP)</f>
        <v>5346.5</v>
      </c>
      <c r="BJ30" s="188">
        <f>DSUM(G_MAY_2017,GASTO,G_MTCYP)</f>
        <v>2200</v>
      </c>
      <c r="BK30" s="188">
        <f>DSUM(G_JUN_2017,GASTO,G_MTCYP)</f>
        <v>4253</v>
      </c>
      <c r="BL30" s="188">
        <f>DSUM(G_JUL_2017,GASTO,G_MTCYP)</f>
        <v>4350</v>
      </c>
      <c r="BM30" s="188">
        <f>DSUM(G_AGO_2017,GASTO,G_MTCYP)</f>
        <v>2050</v>
      </c>
      <c r="BN30" s="188">
        <f>DSUM(G_SEP_2017,GASTO,G_MTCYP)</f>
        <v>7176.5</v>
      </c>
      <c r="BO30" s="188">
        <f>DSUM(G_OCT_2017,GASTO,G_MTCYP)</f>
        <v>1680</v>
      </c>
      <c r="BP30" s="188">
        <f>DSUM(G_NOV_2017,GASTO,G_MTCYP)</f>
        <v>876</v>
      </c>
      <c r="BQ30" s="188">
        <f>DSUM(G_DIC_2017,GASTO,G_MTCYP)</f>
        <v>6100</v>
      </c>
      <c r="BR30" s="218">
        <f t="shared" si="42"/>
        <v>51776.979999999996</v>
      </c>
      <c r="BS30" s="188">
        <f>DSUM(G_ENE_2018,GASTO,G_MTCYP)</f>
        <v>7942.68</v>
      </c>
      <c r="BT30" s="188">
        <f>DSUM(G_FEB_2018,GASTO,G_MTCYP)</f>
        <v>3350</v>
      </c>
      <c r="BU30" s="188">
        <f>DSUM(G_MAR_2018,GASTO,G_MTCYP)</f>
        <v>9878</v>
      </c>
      <c r="BV30" s="188">
        <f>DSUM(G_ABR_2018,GASTO,G_MTCYP)</f>
        <v>20132.3</v>
      </c>
      <c r="BW30" s="188">
        <f>DSUM(G_MAY_2018,GASTO,G_MTCYP)</f>
        <v>4450</v>
      </c>
      <c r="BX30" s="188">
        <f>DSUM(G_JUN_2018,GASTO,G_MTCYP)</f>
        <v>3724</v>
      </c>
      <c r="BY30" s="188">
        <f>DSUM(G_JUL_2018,GASTO,G_MTCYP)</f>
        <v>600</v>
      </c>
      <c r="BZ30" s="188">
        <f>DSUM(G_AGO_2018,GASTO,G_MTCYP)</f>
        <v>600</v>
      </c>
      <c r="CA30" s="188">
        <f>DSUM(G_SEP_2018,GASTO,G_MTCYP)</f>
        <v>1100</v>
      </c>
    </row>
    <row r="31" spans="1:79" x14ac:dyDescent="0.2">
      <c r="A31" s="280" t="s">
        <v>1858</v>
      </c>
      <c r="B31" s="280"/>
      <c r="C31" s="347" t="s">
        <v>2915</v>
      </c>
      <c r="D31" s="218"/>
      <c r="E31" s="218">
        <v>26565.120000000003</v>
      </c>
      <c r="F31" s="188">
        <v>8625.15</v>
      </c>
      <c r="G31" s="188">
        <v>7389.89</v>
      </c>
      <c r="H31" s="188">
        <v>8092.5</v>
      </c>
      <c r="I31" s="188">
        <v>300</v>
      </c>
      <c r="J31" s="188">
        <v>0</v>
      </c>
      <c r="K31" s="188">
        <v>0</v>
      </c>
      <c r="L31" s="188">
        <v>0</v>
      </c>
      <c r="M31" s="188">
        <v>1057.58</v>
      </c>
      <c r="N31" s="188">
        <v>1100</v>
      </c>
      <c r="O31" s="188">
        <v>0</v>
      </c>
      <c r="P31" s="188">
        <v>0</v>
      </c>
      <c r="Q31" s="188">
        <v>0</v>
      </c>
      <c r="R31" s="218">
        <v>17976.68</v>
      </c>
      <c r="S31" s="188">
        <v>347.85</v>
      </c>
      <c r="T31" s="188">
        <v>300</v>
      </c>
      <c r="U31" s="188">
        <v>2190.91</v>
      </c>
      <c r="V31" s="188">
        <v>1770.18</v>
      </c>
      <c r="W31" s="188">
        <v>1150</v>
      </c>
      <c r="X31" s="188">
        <v>7805.74</v>
      </c>
      <c r="Y31" s="188">
        <v>3845</v>
      </c>
      <c r="Z31" s="188">
        <v>300</v>
      </c>
      <c r="AA31" s="188">
        <v>267</v>
      </c>
      <c r="AB31" s="188">
        <v>0</v>
      </c>
      <c r="AC31" s="188">
        <v>0</v>
      </c>
      <c r="AD31" s="188">
        <v>0</v>
      </c>
      <c r="AE31" s="218">
        <v>65739.97</v>
      </c>
      <c r="AF31" s="188">
        <v>0</v>
      </c>
      <c r="AG31" s="188">
        <v>0</v>
      </c>
      <c r="AH31" s="188">
        <v>200</v>
      </c>
      <c r="AI31" s="188">
        <v>0</v>
      </c>
      <c r="AJ31" s="188">
        <v>33000</v>
      </c>
      <c r="AK31" s="188">
        <v>22011</v>
      </c>
      <c r="AL31" s="188">
        <v>7150</v>
      </c>
      <c r="AM31" s="188">
        <v>0</v>
      </c>
      <c r="AN31" s="188">
        <v>598.97</v>
      </c>
      <c r="AO31" s="188">
        <v>2500</v>
      </c>
      <c r="AP31" s="188">
        <v>0</v>
      </c>
      <c r="AQ31" s="188">
        <v>280</v>
      </c>
      <c r="AR31" s="218">
        <f t="shared" si="40"/>
        <v>12398.99</v>
      </c>
      <c r="AS31" s="188">
        <f>DSUM(G_ENE_2016,GASTO,G_MTCST)</f>
        <v>0</v>
      </c>
      <c r="AT31" s="188">
        <f>DSUM(G_FEB_2016,GASTO,G_MTCST)</f>
        <v>0</v>
      </c>
      <c r="AU31" s="188">
        <f>DSUM(G_MAR_2016,GASTO,G_MTCST)</f>
        <v>0</v>
      </c>
      <c r="AV31" s="188">
        <f>DSUM(G_ABR_2016,GASTO,G_MTCST)</f>
        <v>0</v>
      </c>
      <c r="AW31" s="188">
        <f>DSUM(G_MAY_2016,GASTO,G_MTCST)</f>
        <v>1250</v>
      </c>
      <c r="AX31" s="188">
        <f>DSUM(G_JUN_2016,GASTO,G_MTCST)</f>
        <v>3543.5</v>
      </c>
      <c r="AY31" s="188">
        <f>DSUM(G_JUL_2016,GASTO,G_MTCST)</f>
        <v>0</v>
      </c>
      <c r="AZ31" s="188">
        <f>DSUM(G_AGO_2016,GASTO,G_MTCST)</f>
        <v>2600</v>
      </c>
      <c r="BA31" s="188">
        <f>DSUM(G_SEP_2016,GASTO,G_MTCST)</f>
        <v>3325.49</v>
      </c>
      <c r="BB31" s="188">
        <f>DSUM(G_OCT_2016,GASTO,G_MTCST)</f>
        <v>1330</v>
      </c>
      <c r="BC31" s="188">
        <f>DSUM(G_NOV_2016,GASTO,G_MTCST)</f>
        <v>0</v>
      </c>
      <c r="BD31" s="188">
        <f>DSUM(G_DIC_2016,GASTO,G_MTCST)</f>
        <v>350</v>
      </c>
      <c r="BE31" s="218">
        <f t="shared" si="41"/>
        <v>3655.61</v>
      </c>
      <c r="BF31" s="188">
        <f>DSUM(G_ENE_2017,GASTO,G_MTCST)</f>
        <v>154</v>
      </c>
      <c r="BG31" s="188">
        <f>DSUM(G_FEB_2017,GASTO,G_MTCST)</f>
        <v>50</v>
      </c>
      <c r="BH31" s="188">
        <f>DSUM(G_MAR_2017,GASTO,G_MTCST)</f>
        <v>600</v>
      </c>
      <c r="BI31" s="188">
        <f>DSUM(G_ABR_2017,GASTO,G_MTCST)</f>
        <v>320</v>
      </c>
      <c r="BJ31" s="188">
        <f>DSUM(G_MAY_2017,GASTO,G_MTCST)</f>
        <v>838</v>
      </c>
      <c r="BK31" s="188">
        <f>DSUM(G_JUN_2017,GASTO,G_MTCST)</f>
        <v>765</v>
      </c>
      <c r="BL31" s="188">
        <f>DSUM(G_JUL_2017,GASTO,G_MTCST)</f>
        <v>600</v>
      </c>
      <c r="BM31" s="188">
        <f>DSUM(G_AGO_2017,GASTO,G_MTCST)</f>
        <v>0</v>
      </c>
      <c r="BN31" s="188">
        <f>DSUM(G_SEP_2017,GASTO,G_MTCST)</f>
        <v>0</v>
      </c>
      <c r="BO31" s="188">
        <f>DSUM(G_OCT_2017,GASTO,G_MTCST)</f>
        <v>328.61</v>
      </c>
      <c r="BP31" s="188">
        <f>DSUM(G_NOV_2017,GASTO,G_MTCST)</f>
        <v>0</v>
      </c>
      <c r="BQ31" s="188">
        <f>DSUM(G_DIC_2017,GASTO,G_MTCST)</f>
        <v>0</v>
      </c>
      <c r="BR31" s="218">
        <f t="shared" si="42"/>
        <v>763.3</v>
      </c>
      <c r="BS31" s="188">
        <f>DSUM(G_ENE_2018,GASTO,G_MTCST)</f>
        <v>193.3</v>
      </c>
      <c r="BT31" s="188">
        <f>DSUM(G_FEB_2018,GASTO,G_MTCST)</f>
        <v>0</v>
      </c>
      <c r="BU31" s="188">
        <f>DSUM(G_MAR_2018,GASTO,G_MTCST)</f>
        <v>0</v>
      </c>
      <c r="BV31" s="188">
        <f>DSUM(G_ABR_2018,GASTO,G_MTCST)</f>
        <v>0</v>
      </c>
      <c r="BW31" s="188">
        <f>DSUM(G_MAY_2018,GASTO,G_MTCST)</f>
        <v>0</v>
      </c>
      <c r="BX31" s="188">
        <f>DSUM(G_JUN_2018,GASTO,G_MTCST)</f>
        <v>0</v>
      </c>
      <c r="BY31" s="188">
        <f>DSUM(G_JUL_2018,GASTO,G_MTCST)</f>
        <v>500</v>
      </c>
      <c r="BZ31" s="188">
        <f>DSUM(G_AGO_2018,GASTO,G_MTCST)</f>
        <v>70</v>
      </c>
      <c r="CA31" s="188">
        <f>DSUM(G_SEP_2018,GASTO,G_MTCST)</f>
        <v>0</v>
      </c>
    </row>
    <row r="32" spans="1:79" x14ac:dyDescent="0.2">
      <c r="A32" s="280" t="s">
        <v>1857</v>
      </c>
      <c r="B32" s="280"/>
      <c r="C32" s="347" t="s">
        <v>2916</v>
      </c>
      <c r="D32" s="218"/>
      <c r="E32" s="218">
        <v>25268.820000000003</v>
      </c>
      <c r="F32" s="188">
        <v>8500</v>
      </c>
      <c r="G32" s="188">
        <v>0</v>
      </c>
      <c r="H32" s="188">
        <v>0</v>
      </c>
      <c r="I32" s="188">
        <v>750</v>
      </c>
      <c r="J32" s="188">
        <v>0</v>
      </c>
      <c r="K32" s="188">
        <v>350</v>
      </c>
      <c r="L32" s="188">
        <v>6087.47</v>
      </c>
      <c r="M32" s="188">
        <v>1607.72</v>
      </c>
      <c r="N32" s="188">
        <v>1520</v>
      </c>
      <c r="O32" s="188">
        <v>4254.99</v>
      </c>
      <c r="P32" s="188">
        <v>505.49</v>
      </c>
      <c r="Q32" s="188">
        <v>1693.15</v>
      </c>
      <c r="R32" s="218">
        <v>38720.85</v>
      </c>
      <c r="S32" s="188">
        <v>2110</v>
      </c>
      <c r="T32" s="188">
        <v>700</v>
      </c>
      <c r="U32" s="188">
        <v>700</v>
      </c>
      <c r="V32" s="188">
        <v>3800</v>
      </c>
      <c r="W32" s="188">
        <v>25560.35</v>
      </c>
      <c r="X32" s="188">
        <v>590.5</v>
      </c>
      <c r="Y32" s="188">
        <v>3360</v>
      </c>
      <c r="Z32" s="188">
        <v>0</v>
      </c>
      <c r="AA32" s="188">
        <v>0</v>
      </c>
      <c r="AB32" s="188">
        <v>250</v>
      </c>
      <c r="AC32" s="188">
        <v>0</v>
      </c>
      <c r="AD32" s="188">
        <v>1650</v>
      </c>
      <c r="AE32" s="218">
        <v>14745.8</v>
      </c>
      <c r="AF32" s="188">
        <v>0</v>
      </c>
      <c r="AG32" s="188">
        <v>0</v>
      </c>
      <c r="AH32" s="188">
        <v>0</v>
      </c>
      <c r="AI32" s="188">
        <v>0</v>
      </c>
      <c r="AJ32" s="188">
        <v>6000</v>
      </c>
      <c r="AK32" s="188">
        <v>881</v>
      </c>
      <c r="AL32" s="188">
        <v>1850</v>
      </c>
      <c r="AM32" s="188">
        <v>1550</v>
      </c>
      <c r="AN32" s="188">
        <v>1761.21</v>
      </c>
      <c r="AO32" s="188">
        <v>1523.59</v>
      </c>
      <c r="AP32" s="188">
        <v>400</v>
      </c>
      <c r="AQ32" s="188">
        <v>780</v>
      </c>
      <c r="AR32" s="218">
        <f t="shared" si="40"/>
        <v>17896.400000000001</v>
      </c>
      <c r="AS32" s="188">
        <f>DSUM(G_ENE_2016,GASTO,G_MTPTA)</f>
        <v>1327</v>
      </c>
      <c r="AT32" s="188">
        <f>DSUM(G_FEB_2016,GASTO,G_MTPTA)</f>
        <v>0</v>
      </c>
      <c r="AU32" s="188">
        <f>DSUM(G_MAR_2016,GASTO,G_MTPTA)</f>
        <v>0</v>
      </c>
      <c r="AV32" s="188">
        <f>DSUM(G_ABR_2016,GASTO,G_MTPTA)</f>
        <v>1300</v>
      </c>
      <c r="AW32" s="188">
        <f>DSUM(G_MAY_2016,GASTO,G_MTPTA)</f>
        <v>1600</v>
      </c>
      <c r="AX32" s="188">
        <f>DSUM(G_JUN_2016,GASTO,G_MTPTA)</f>
        <v>4350</v>
      </c>
      <c r="AY32" s="188">
        <f>DSUM(G_JUL_2016,GASTO,G_MTPTA)</f>
        <v>2950</v>
      </c>
      <c r="AZ32" s="188">
        <f>DSUM(G_AGO_2016,GASTO,G_MTPTA)</f>
        <v>400</v>
      </c>
      <c r="BA32" s="188">
        <f>DSUM(G_SEP_2016,GASTO,G_MTPTA)</f>
        <v>3600</v>
      </c>
      <c r="BB32" s="188">
        <f>DSUM(G_OCT_2016,GASTO,G_MTPTA)</f>
        <v>15.5</v>
      </c>
      <c r="BC32" s="188">
        <f>DSUM(G_NOV_2016,GASTO,G_MTPTA)</f>
        <v>830</v>
      </c>
      <c r="BD32" s="188">
        <f>DSUM(G_DIC_2016,GASTO,G_MTPTA)</f>
        <v>1523.9</v>
      </c>
      <c r="BE32" s="218">
        <f t="shared" si="41"/>
        <v>14310</v>
      </c>
      <c r="BF32" s="188">
        <f>DSUM(G_ENE_2017,GASTO,G_MTPTA)</f>
        <v>1390</v>
      </c>
      <c r="BG32" s="188">
        <f>DSUM(G_FEB_2017,GASTO,G_MTPTA)</f>
        <v>2150</v>
      </c>
      <c r="BH32" s="188">
        <f>DSUM(G_MAR_2017,GASTO,G_MTPTA)</f>
        <v>3440</v>
      </c>
      <c r="BI32" s="188">
        <f>DSUM(G_ABR_2017,GASTO,G_MTPTA)</f>
        <v>1180</v>
      </c>
      <c r="BJ32" s="188">
        <f>DSUM(G_MAY_2017,GASTO,G_MTPTA)</f>
        <v>1450</v>
      </c>
      <c r="BK32" s="188">
        <f>DSUM(G_JUN_2017,GASTO,G_MTPTA)</f>
        <v>0</v>
      </c>
      <c r="BL32" s="188">
        <f>DSUM(G_JUL_2017,GASTO,G_MTPTA)</f>
        <v>700</v>
      </c>
      <c r="BM32" s="188">
        <f>DSUM(G_AGO_2017,GASTO,G_MTPTA)</f>
        <v>0</v>
      </c>
      <c r="BN32" s="188">
        <f>DSUM(G_SEP_2017,GASTO,G_MTPTA)</f>
        <v>500</v>
      </c>
      <c r="BO32" s="188">
        <f>DSUM(G_OCT_2017,GASTO,G_MTPTA)</f>
        <v>2400</v>
      </c>
      <c r="BP32" s="188">
        <f>DSUM(G_NOV_2017,GASTO,G_MTPTA)</f>
        <v>1100</v>
      </c>
      <c r="BQ32" s="188">
        <f>DSUM(G_DIC_2017,GASTO,G_MTPTA)</f>
        <v>0</v>
      </c>
      <c r="BR32" s="218">
        <f t="shared" si="42"/>
        <v>4614.1399999999994</v>
      </c>
      <c r="BS32" s="188">
        <f>DSUM(G_ENE_2018,GASTO,G_MTPTA)</f>
        <v>300</v>
      </c>
      <c r="BT32" s="188">
        <f>DSUM(G_FEB_2018,GASTO,G_MTPTA)</f>
        <v>0</v>
      </c>
      <c r="BU32" s="188">
        <f>DSUM(G_MAR_2018,GASTO,G_MTPTA)</f>
        <v>0</v>
      </c>
      <c r="BV32" s="188">
        <f>DSUM(G_ABR_2018,GASTO,G_MTPTA)</f>
        <v>1743.03</v>
      </c>
      <c r="BW32" s="188">
        <f>DSUM(G_MAY_2018,GASTO,G_MTPTA)</f>
        <v>0</v>
      </c>
      <c r="BX32" s="188">
        <f>DSUM(G_JUN_2018,GASTO,G_MTPTA)</f>
        <v>300</v>
      </c>
      <c r="BY32" s="188">
        <f>DSUM(G_JUL_2018,GASTO,G_MTPTA)</f>
        <v>1561.11</v>
      </c>
      <c r="BZ32" s="188">
        <f>DSUM(G_AGO_2018,GASTO,G_MTPTA)</f>
        <v>710</v>
      </c>
      <c r="CA32" s="188">
        <f>DSUM(G_SEP_2018,GASTO,G_MTPTA)</f>
        <v>0</v>
      </c>
    </row>
    <row r="33" spans="1:79" x14ac:dyDescent="0.2">
      <c r="A33" s="280" t="s">
        <v>1865</v>
      </c>
      <c r="B33" s="280"/>
      <c r="C33" s="347" t="s">
        <v>2917</v>
      </c>
      <c r="D33" s="218"/>
      <c r="E33" s="218">
        <v>34713</v>
      </c>
      <c r="F33" s="188">
        <v>1000</v>
      </c>
      <c r="G33" s="188">
        <v>9500</v>
      </c>
      <c r="H33" s="188">
        <v>1000</v>
      </c>
      <c r="I33" s="188">
        <v>0</v>
      </c>
      <c r="J33" s="188">
        <v>0</v>
      </c>
      <c r="K33" s="188">
        <v>1200</v>
      </c>
      <c r="L33" s="188">
        <v>200</v>
      </c>
      <c r="M33" s="188">
        <v>0</v>
      </c>
      <c r="N33" s="188">
        <v>9550</v>
      </c>
      <c r="O33" s="188">
        <v>7863</v>
      </c>
      <c r="P33" s="188">
        <v>2300</v>
      </c>
      <c r="Q33" s="188">
        <v>2100</v>
      </c>
      <c r="R33" s="218">
        <v>30222.5</v>
      </c>
      <c r="S33" s="188">
        <v>0</v>
      </c>
      <c r="T33" s="188">
        <v>0</v>
      </c>
      <c r="U33" s="188">
        <v>0</v>
      </c>
      <c r="V33" s="188">
        <v>6200</v>
      </c>
      <c r="W33" s="188">
        <v>500</v>
      </c>
      <c r="X33" s="188">
        <v>4000</v>
      </c>
      <c r="Y33" s="188">
        <v>0</v>
      </c>
      <c r="Z33" s="188">
        <v>5000</v>
      </c>
      <c r="AA33" s="188">
        <v>5500</v>
      </c>
      <c r="AB33" s="188">
        <v>0</v>
      </c>
      <c r="AC33" s="188">
        <v>0</v>
      </c>
      <c r="AD33" s="188">
        <v>9022.5</v>
      </c>
      <c r="AE33" s="218">
        <v>17580</v>
      </c>
      <c r="AF33" s="188">
        <v>3500</v>
      </c>
      <c r="AG33" s="188">
        <v>5300</v>
      </c>
      <c r="AH33" s="188">
        <v>0</v>
      </c>
      <c r="AI33" s="188">
        <v>0</v>
      </c>
      <c r="AJ33" s="188">
        <v>0</v>
      </c>
      <c r="AK33" s="188">
        <v>400</v>
      </c>
      <c r="AL33" s="188">
        <v>0</v>
      </c>
      <c r="AM33" s="188">
        <v>0</v>
      </c>
      <c r="AN33" s="188">
        <v>0</v>
      </c>
      <c r="AO33" s="188">
        <v>0</v>
      </c>
      <c r="AP33" s="188">
        <v>880</v>
      </c>
      <c r="AQ33" s="188">
        <v>7500</v>
      </c>
      <c r="AR33" s="218">
        <f t="shared" si="40"/>
        <v>29016.050000000003</v>
      </c>
      <c r="AS33" s="188">
        <f>DSUM(G_ENE_2016,GASTO,G_MTILM)</f>
        <v>3330</v>
      </c>
      <c r="AT33" s="188">
        <f>DSUM(G_FEB_2016,GASTO,G_MTILM)</f>
        <v>10920</v>
      </c>
      <c r="AU33" s="188">
        <f>DSUM(G_MAR_2016,GASTO,G_MTILM)</f>
        <v>4515.6499999999996</v>
      </c>
      <c r="AV33" s="188">
        <f>DSUM(G_ABR_2016,GASTO,G_MTILM)</f>
        <v>600</v>
      </c>
      <c r="AW33" s="188">
        <f>DSUM(G_MAY_2016,GASTO,G_MTILM)</f>
        <v>0</v>
      </c>
      <c r="AX33" s="188">
        <f>DSUM(G_JUN_2016,GASTO,G_MTILM)</f>
        <v>790</v>
      </c>
      <c r="AY33" s="188">
        <f>DSUM(G_JUL_2016,GASTO,G_MTILM)</f>
        <v>294.7</v>
      </c>
      <c r="AZ33" s="188">
        <f>DSUM(G_AGO_2016,GASTO,G_MTILM)</f>
        <v>0</v>
      </c>
      <c r="BA33" s="188">
        <f>DSUM(G_SEP_2016,GASTO,G_MTILM)</f>
        <v>2153.6999999999998</v>
      </c>
      <c r="BB33" s="188">
        <f>DSUM(G_OCT_2016,GASTO,G_MTILM)</f>
        <v>550</v>
      </c>
      <c r="BC33" s="188">
        <f>DSUM(G_NOV_2016,GASTO,G_MTILM)</f>
        <v>4982</v>
      </c>
      <c r="BD33" s="188">
        <f>DSUM(G_DIC_2016,GASTO,G_MTILM)</f>
        <v>880</v>
      </c>
      <c r="BE33" s="218">
        <f t="shared" si="41"/>
        <v>9200</v>
      </c>
      <c r="BF33" s="188">
        <f>DSUM(G_ENE_2017,GASTO,G_MTILM)</f>
        <v>200</v>
      </c>
      <c r="BG33" s="188">
        <f>DSUM(G_FEB_2017,GASTO,G_MTILM)</f>
        <v>1200</v>
      </c>
      <c r="BH33" s="188">
        <f>DSUM(G_MAR_2017,GASTO,G_MTILM)</f>
        <v>1250</v>
      </c>
      <c r="BI33" s="188">
        <f>DSUM(G_ABR_2017,GASTO,G_MTILM)</f>
        <v>3030</v>
      </c>
      <c r="BJ33" s="188">
        <f>DSUM(G_MAY_2017,GASTO,G_MTILM)</f>
        <v>350</v>
      </c>
      <c r="BK33" s="188">
        <f>DSUM(G_JUN_2017,GASTO,G_MTILM)</f>
        <v>900</v>
      </c>
      <c r="BL33" s="188">
        <f>DSUM(G_JUL_2017,GASTO,G_MTILM)</f>
        <v>2120</v>
      </c>
      <c r="BM33" s="188">
        <f>DSUM(G_AGO_2017,GASTO,G_MTILM)</f>
        <v>150</v>
      </c>
      <c r="BN33" s="188">
        <f>DSUM(G_SEP_2017,GASTO,G_MTILM)</f>
        <v>0</v>
      </c>
      <c r="BO33" s="188">
        <f>DSUM(G_OCT_2017,GASTO,G_MTILM)</f>
        <v>0</v>
      </c>
      <c r="BP33" s="188">
        <f>DSUM(G_NOV_2017,GASTO,G_MTILM)</f>
        <v>0</v>
      </c>
      <c r="BQ33" s="188">
        <f>DSUM(G_DIC_2017,GASTO,G_MTILM)</f>
        <v>0</v>
      </c>
      <c r="BR33" s="218">
        <f t="shared" si="42"/>
        <v>3451.5</v>
      </c>
      <c r="BS33" s="188">
        <f>DSUM(G_ENE_2018,GASTO,G_MTILM)</f>
        <v>1650</v>
      </c>
      <c r="BT33" s="188">
        <f>DSUM(G_FEB_2018,GASTO,G_MTILM)</f>
        <v>0</v>
      </c>
      <c r="BU33" s="188">
        <f>DSUM(G_MAR_2018,GASTO,G_MTILM)</f>
        <v>1650</v>
      </c>
      <c r="BV33" s="188">
        <f>DSUM(G_ABR_2018,GASTO,G_MTILM)</f>
        <v>0</v>
      </c>
      <c r="BW33" s="188">
        <f>DSUM(G_MAY_2018,GASTO,G_MTILM)</f>
        <v>0</v>
      </c>
      <c r="BX33" s="188">
        <f>DSUM(G_JUN_2018,GASTO,G_MTILM)</f>
        <v>0</v>
      </c>
      <c r="BY33" s="188">
        <f>DSUM(G_JUL_2018,GASTO,G_MTILM)</f>
        <v>0</v>
      </c>
      <c r="BZ33" s="188">
        <f>DSUM(G_AGO_2018,GASTO,G_MTILM)</f>
        <v>151.5</v>
      </c>
      <c r="CA33" s="188">
        <f>DSUM(G_SEP_2018,GASTO,G_MTILM)</f>
        <v>0</v>
      </c>
    </row>
    <row r="34" spans="1:79" x14ac:dyDescent="0.2">
      <c r="A34" s="280" t="s">
        <v>1863</v>
      </c>
      <c r="B34" s="280"/>
      <c r="C34" s="347" t="s">
        <v>2918</v>
      </c>
      <c r="D34" s="218"/>
      <c r="E34" s="218">
        <v>14356</v>
      </c>
      <c r="F34" s="188">
        <v>5726</v>
      </c>
      <c r="G34" s="188">
        <v>490</v>
      </c>
      <c r="H34" s="188">
        <v>0</v>
      </c>
      <c r="I34" s="188">
        <v>0</v>
      </c>
      <c r="J34" s="188">
        <v>1170</v>
      </c>
      <c r="K34" s="188">
        <v>450</v>
      </c>
      <c r="L34" s="188">
        <v>675</v>
      </c>
      <c r="M34" s="188">
        <v>1500</v>
      </c>
      <c r="N34" s="188">
        <v>220</v>
      </c>
      <c r="O34" s="188">
        <v>1850</v>
      </c>
      <c r="P34" s="188">
        <v>1875</v>
      </c>
      <c r="Q34" s="188">
        <v>400</v>
      </c>
      <c r="R34" s="218">
        <v>42629.4</v>
      </c>
      <c r="S34" s="188">
        <v>2022.5</v>
      </c>
      <c r="T34" s="188">
        <v>400</v>
      </c>
      <c r="U34" s="188">
        <v>200</v>
      </c>
      <c r="V34" s="188">
        <v>11600</v>
      </c>
      <c r="W34" s="188">
        <v>2750</v>
      </c>
      <c r="X34" s="188">
        <v>600</v>
      </c>
      <c r="Y34" s="188">
        <v>5656.9</v>
      </c>
      <c r="Z34" s="188">
        <v>1200</v>
      </c>
      <c r="AA34" s="188">
        <v>4700</v>
      </c>
      <c r="AB34" s="188">
        <v>700</v>
      </c>
      <c r="AC34" s="188">
        <v>8600</v>
      </c>
      <c r="AD34" s="188">
        <v>4200</v>
      </c>
      <c r="AE34" s="218">
        <v>48624.75</v>
      </c>
      <c r="AF34" s="188">
        <v>6700</v>
      </c>
      <c r="AG34" s="188">
        <v>2300</v>
      </c>
      <c r="AH34" s="188">
        <v>600</v>
      </c>
      <c r="AI34" s="188">
        <v>9250</v>
      </c>
      <c r="AJ34" s="188">
        <v>6142.5</v>
      </c>
      <c r="AK34" s="188">
        <v>5600</v>
      </c>
      <c r="AL34" s="188">
        <v>700</v>
      </c>
      <c r="AM34" s="188">
        <v>6880</v>
      </c>
      <c r="AN34" s="188">
        <v>1714.6</v>
      </c>
      <c r="AO34" s="188">
        <v>8037.65</v>
      </c>
      <c r="AP34" s="188">
        <v>0</v>
      </c>
      <c r="AQ34" s="188">
        <v>700</v>
      </c>
      <c r="AR34" s="218">
        <f t="shared" si="40"/>
        <v>56239.060000000005</v>
      </c>
      <c r="AS34" s="188">
        <f>DSUM(G_ENE_2016,GASTO,G_JDN)</f>
        <v>1750</v>
      </c>
      <c r="AT34" s="188">
        <f>DSUM(G_FEB_2016,GASTO,G_JDN)</f>
        <v>6535</v>
      </c>
      <c r="AU34" s="188">
        <f>DSUM(G_MAR_2016,GASTO,G_JDN)</f>
        <v>6010</v>
      </c>
      <c r="AV34" s="188">
        <f>DSUM(G_ABR_2016,GASTO,G_JDN)</f>
        <v>360</v>
      </c>
      <c r="AW34" s="188">
        <f>DSUM(G_MAY_2016,GASTO,G_JDN)</f>
        <v>823</v>
      </c>
      <c r="AX34" s="188">
        <f>DSUM(G_JUN_2016,GASTO,G_JDN)</f>
        <v>0</v>
      </c>
      <c r="AY34" s="188">
        <f>DSUM(G_JUL_2016,GASTO,G_JDN)</f>
        <v>1070</v>
      </c>
      <c r="AZ34" s="188">
        <f>DSUM(G_AGO_2016,GASTO,G_JDN)</f>
        <v>6894.42</v>
      </c>
      <c r="BA34" s="188">
        <f>DSUM(G_SEP_2016,GASTO,G_JDN)</f>
        <v>15012.77</v>
      </c>
      <c r="BB34" s="188">
        <f>DSUM(G_OCT_2016,GASTO,G_JDN)</f>
        <v>5633.87</v>
      </c>
      <c r="BC34" s="188">
        <f>DSUM(G_NOV_2016,GASTO,G_JDN)</f>
        <v>6472</v>
      </c>
      <c r="BD34" s="188">
        <f>DSUM(G_DIC_2016,GASTO,G_JDN)</f>
        <v>5678</v>
      </c>
      <c r="BE34" s="218">
        <f t="shared" si="41"/>
        <v>59424.310000000005</v>
      </c>
      <c r="BF34" s="188">
        <f>DSUM(G_ENE_2017,GASTO,G_JDN)</f>
        <v>4350</v>
      </c>
      <c r="BG34" s="188">
        <f>DSUM(G_FEB_2017,GASTO,G_JDN)</f>
        <v>4560</v>
      </c>
      <c r="BH34" s="188">
        <f>DSUM(G_MAR_2017,GASTO,G_JDN)</f>
        <v>9505</v>
      </c>
      <c r="BI34" s="188">
        <f>DSUM(G_ABR_2017,GASTO,G_JDN)</f>
        <v>7865.1</v>
      </c>
      <c r="BJ34" s="188">
        <f>DSUM(G_MAY_2017,GASTO,G_JDN)</f>
        <v>6022.61</v>
      </c>
      <c r="BK34" s="188">
        <f>DSUM(G_JUN_2017,GASTO,G_JDN)</f>
        <v>4414</v>
      </c>
      <c r="BL34" s="188">
        <f>DSUM(G_JUL_2017,GASTO,G_JDN)</f>
        <v>3430</v>
      </c>
      <c r="BM34" s="188">
        <f>DSUM(G_AGO_2017,GASTO,G_JDN)</f>
        <v>5300</v>
      </c>
      <c r="BN34" s="188">
        <f>DSUM(G_SEP_2017,GASTO,G_JDN)</f>
        <v>2603.5</v>
      </c>
      <c r="BO34" s="188">
        <f>DSUM(G_OCT_2017,GASTO,G_JDN)</f>
        <v>2432.73</v>
      </c>
      <c r="BP34" s="188">
        <f>DSUM(G_NOV_2017,GASTO,G_JDN)</f>
        <v>3936.3</v>
      </c>
      <c r="BQ34" s="188">
        <f>DSUM(G_DIC_2017,GASTO,G_JDN)</f>
        <v>5005.07</v>
      </c>
      <c r="BR34" s="218">
        <f t="shared" si="42"/>
        <v>44094.38</v>
      </c>
      <c r="BS34" s="188">
        <f>DSUM(G_ENE_2018,GASTO,G_JDN)</f>
        <v>6141.75</v>
      </c>
      <c r="BT34" s="188">
        <f>DSUM(G_FEB_2018,GASTO,G_JDN)</f>
        <v>6734.04</v>
      </c>
      <c r="BU34" s="188">
        <f>DSUM(G_MAR_2018,GASTO,G_JDN)</f>
        <v>3842.12</v>
      </c>
      <c r="BV34" s="188">
        <f>DSUM(G_ABR_2018,GASTO,G_JDN)</f>
        <v>5760.06</v>
      </c>
      <c r="BW34" s="188">
        <f>DSUM(G_MAY_2018,GASTO,G_JDN)</f>
        <v>4499.9600000000009</v>
      </c>
      <c r="BX34" s="188">
        <f>DSUM(G_JUN_2018,GASTO,G_JDN)</f>
        <v>5694.68</v>
      </c>
      <c r="BY34" s="188">
        <f>DSUM(G_JUL_2018,GASTO,G_JDN)</f>
        <v>6250.0599999999995</v>
      </c>
      <c r="BZ34" s="188">
        <f>DSUM(G_AGO_2018,GASTO,G_JDN)</f>
        <v>3106.21</v>
      </c>
      <c r="CA34" s="188">
        <f>DSUM(G_SEP_2018,GASTO,G_JDN)</f>
        <v>2065.5</v>
      </c>
    </row>
    <row r="35" spans="1:79" x14ac:dyDescent="0.2">
      <c r="A35" s="280" t="s">
        <v>1884</v>
      </c>
      <c r="B35" s="280"/>
      <c r="C35" s="348" t="s">
        <v>2919</v>
      </c>
      <c r="D35" s="219"/>
      <c r="E35" s="219">
        <v>2833.1499999999996</v>
      </c>
      <c r="F35" s="220">
        <v>0</v>
      </c>
      <c r="G35" s="220">
        <v>0</v>
      </c>
      <c r="H35" s="220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44</v>
      </c>
      <c r="O35" s="220">
        <v>982.78</v>
      </c>
      <c r="P35" s="220">
        <v>958.05</v>
      </c>
      <c r="Q35" s="220">
        <v>848.31999999999994</v>
      </c>
      <c r="R35" s="219">
        <v>60156.289999999994</v>
      </c>
      <c r="S35" s="220">
        <v>1000</v>
      </c>
      <c r="T35" s="220">
        <v>0</v>
      </c>
      <c r="U35" s="220">
        <v>833.62</v>
      </c>
      <c r="V35" s="220">
        <v>430</v>
      </c>
      <c r="W35" s="220">
        <v>6660</v>
      </c>
      <c r="X35" s="220">
        <v>3727</v>
      </c>
      <c r="Y35" s="220">
        <v>1700</v>
      </c>
      <c r="Z35" s="220">
        <v>5262.02</v>
      </c>
      <c r="AA35" s="220">
        <v>3610</v>
      </c>
      <c r="AB35" s="220">
        <v>4697</v>
      </c>
      <c r="AC35" s="220">
        <v>3116.5</v>
      </c>
      <c r="AD35" s="220">
        <v>29120.149999999998</v>
      </c>
      <c r="AE35" s="219">
        <v>123729.25</v>
      </c>
      <c r="AF35" s="220">
        <v>1450</v>
      </c>
      <c r="AG35" s="220">
        <v>2400</v>
      </c>
      <c r="AH35" s="220">
        <v>2230</v>
      </c>
      <c r="AI35" s="220">
        <v>3668.53</v>
      </c>
      <c r="AJ35" s="220">
        <v>5292</v>
      </c>
      <c r="AK35" s="220">
        <v>6157.59</v>
      </c>
      <c r="AL35" s="220">
        <v>26743.54</v>
      </c>
      <c r="AM35" s="220">
        <v>5768.33</v>
      </c>
      <c r="AN35" s="220">
        <v>5418</v>
      </c>
      <c r="AO35" s="220">
        <v>17084</v>
      </c>
      <c r="AP35" s="220">
        <v>8599</v>
      </c>
      <c r="AQ35" s="220">
        <v>38918.259999999995</v>
      </c>
      <c r="AR35" s="219">
        <f t="shared" si="40"/>
        <v>127300.85</v>
      </c>
      <c r="AS35" s="220">
        <f>DSUM(G_ENE_2016,GASTO,G_VRS)</f>
        <v>3200</v>
      </c>
      <c r="AT35" s="220">
        <f>DSUM(G_FEB_2016,GASTO,G_VRS)</f>
        <v>8173.82</v>
      </c>
      <c r="AU35" s="220">
        <f>DSUM(G_MAR_2016,GASTO,G_VRS)</f>
        <v>21767.200000000001</v>
      </c>
      <c r="AV35" s="220">
        <f>DSUM(G_ABR_2016,GASTO,G_VRS)</f>
        <v>5300.24</v>
      </c>
      <c r="AW35" s="220">
        <f>DSUM(G_MAY_2016,GASTO,G_VRS)</f>
        <v>7283.41</v>
      </c>
      <c r="AX35" s="220">
        <f>DSUM(G_JUN_2016,GASTO,G_VRS)</f>
        <v>10473.1</v>
      </c>
      <c r="AY35" s="220">
        <f>DSUM(G_JUL_2016,GASTO,G_VRS)</f>
        <v>12605.369999999999</v>
      </c>
      <c r="AZ35" s="220">
        <f>DSUM(G_AGO_2016,GASTO,G_VRS)</f>
        <v>16037.220000000001</v>
      </c>
      <c r="BA35" s="220">
        <f>DSUM(G_SEP_2016,GASTO,G_VRS)</f>
        <v>9310.41</v>
      </c>
      <c r="BB35" s="220">
        <f>DSUM(G_OCT_2016,GASTO,G_VRS)</f>
        <v>2665.6799999999985</v>
      </c>
      <c r="BC35" s="220">
        <f>DSUM(G_NOV_2016,GASTO,G_VRS)</f>
        <v>9103.8900000000012</v>
      </c>
      <c r="BD35" s="220">
        <f>DSUM(G_DIC_2016,GASTO,G_VRS)</f>
        <v>21380.510000000002</v>
      </c>
      <c r="BE35" s="219">
        <f t="shared" si="41"/>
        <v>81458.44</v>
      </c>
      <c r="BF35" s="220">
        <f>DSUM(G_ENE_2017,GASTO,G_VRS)</f>
        <v>10937.300000000001</v>
      </c>
      <c r="BG35" s="220">
        <f>DSUM(G_FEB_2017,GASTO,G_VRS)</f>
        <v>7165.8499999999995</v>
      </c>
      <c r="BH35" s="220">
        <f>DSUM(G_MAR_2017,GASTO,G_VRS)</f>
        <v>10963.9</v>
      </c>
      <c r="BI35" s="220">
        <f>DSUM(G_ABR_2017,GASTO,G_VRS)</f>
        <v>7111.5</v>
      </c>
      <c r="BJ35" s="220">
        <f>DSUM(G_MAY_2017,GASTO,G_VRS)</f>
        <v>6808.8</v>
      </c>
      <c r="BK35" s="220">
        <f>DSUM(G_JUN_2017,GASTO,G_VRS)</f>
        <v>2357.5</v>
      </c>
      <c r="BL35" s="220">
        <f>DSUM(G_JUL_2017,GASTO,G_VRS)</f>
        <v>3373.5</v>
      </c>
      <c r="BM35" s="220">
        <f>DSUM(G_AGO_2017,GASTO,G_VRS)</f>
        <v>9955.9799999999977</v>
      </c>
      <c r="BN35" s="220">
        <f>DSUM(G_SEP_2017,GASTO,G_VRS)</f>
        <v>6123.5</v>
      </c>
      <c r="BO35" s="220">
        <f>DSUM(G_OCT_2017,GASTO,G_VRS)</f>
        <v>4928.21</v>
      </c>
      <c r="BP35" s="220">
        <f>DSUM(G_NOV_2017,GASTO,G_VRS)</f>
        <v>3844.4</v>
      </c>
      <c r="BQ35" s="220">
        <f>DSUM(G_DIC_2017,GASTO,G_VRS)</f>
        <v>7888</v>
      </c>
      <c r="BR35" s="219">
        <f t="shared" si="42"/>
        <v>57684.200000000004</v>
      </c>
      <c r="BS35" s="220">
        <f>DSUM(G_ENE_2018,GASTO,G_VRS)</f>
        <v>6536.5</v>
      </c>
      <c r="BT35" s="220">
        <f>DSUM(G_FEB_2018,GASTO,G_VRS)</f>
        <v>6705</v>
      </c>
      <c r="BU35" s="220">
        <f>DSUM(G_MAR_2018,GASTO,G_VRS)</f>
        <v>6350.8</v>
      </c>
      <c r="BV35" s="220">
        <f>DSUM(G_ABR_2018,GASTO,G_VRS)</f>
        <v>6791.2</v>
      </c>
      <c r="BW35" s="220">
        <f>DSUM(G_MAY_2018,GASTO,G_VRS)</f>
        <v>7757.51</v>
      </c>
      <c r="BX35" s="220">
        <f>DSUM(G_JUN_2018,GASTO,G_VRS)</f>
        <v>5373</v>
      </c>
      <c r="BY35" s="220">
        <f>DSUM(G_JUL_2018,GASTO,G_VRS)</f>
        <v>5787.35</v>
      </c>
      <c r="BZ35" s="220">
        <f>DSUM(G_AGO_2018,GASTO,G_VRS)</f>
        <v>5669.04</v>
      </c>
      <c r="CA35" s="220">
        <f>DSUM(G_SEP_2018,GASTO,G_VRS)</f>
        <v>6713.8</v>
      </c>
    </row>
    <row r="36" spans="1:79" x14ac:dyDescent="0.2">
      <c r="A36" s="280"/>
      <c r="B36" s="280"/>
      <c r="C36" s="208" t="s">
        <v>2920</v>
      </c>
      <c r="D36" s="209"/>
      <c r="E36" s="209">
        <v>79031.389999999985</v>
      </c>
      <c r="F36" s="209">
        <v>11658.39</v>
      </c>
      <c r="G36" s="209">
        <v>14110.82</v>
      </c>
      <c r="H36" s="209">
        <v>9773.2000000000007</v>
      </c>
      <c r="I36" s="209">
        <v>8809.31</v>
      </c>
      <c r="J36" s="209">
        <v>13242.220000000001</v>
      </c>
      <c r="K36" s="209">
        <v>569.95000000000005</v>
      </c>
      <c r="L36" s="209">
        <v>2280.4500000000003</v>
      </c>
      <c r="M36" s="209">
        <v>342.51</v>
      </c>
      <c r="N36" s="209">
        <v>3716.84</v>
      </c>
      <c r="O36" s="209">
        <v>3880.84</v>
      </c>
      <c r="P36" s="209">
        <v>4879.1099999999997</v>
      </c>
      <c r="Q36" s="222">
        <v>5767.75</v>
      </c>
      <c r="R36" s="223">
        <v>61540.32</v>
      </c>
      <c r="S36" s="209">
        <v>1567.49</v>
      </c>
      <c r="T36" s="209">
        <v>4624.91</v>
      </c>
      <c r="U36" s="209">
        <v>4192.84</v>
      </c>
      <c r="V36" s="209">
        <v>3501.36</v>
      </c>
      <c r="W36" s="209">
        <v>7829.93</v>
      </c>
      <c r="X36" s="222">
        <v>4236.3099999999995</v>
      </c>
      <c r="Y36" s="222">
        <v>5812.71</v>
      </c>
      <c r="Z36" s="222">
        <v>5290.93</v>
      </c>
      <c r="AA36" s="222">
        <v>9318.68</v>
      </c>
      <c r="AB36" s="222">
        <v>7666.48</v>
      </c>
      <c r="AC36" s="222">
        <v>4498.43</v>
      </c>
      <c r="AD36" s="222">
        <v>3000.25</v>
      </c>
      <c r="AE36" s="223">
        <v>160295.902</v>
      </c>
      <c r="AF36" s="209">
        <v>5922.2</v>
      </c>
      <c r="AG36" s="209">
        <v>5804.9619999999995</v>
      </c>
      <c r="AH36" s="209">
        <v>5535.46</v>
      </c>
      <c r="AI36" s="209">
        <v>6990.65</v>
      </c>
      <c r="AJ36" s="209">
        <v>5597.35</v>
      </c>
      <c r="AK36" s="209">
        <v>14670.53</v>
      </c>
      <c r="AL36" s="209">
        <v>10901.01</v>
      </c>
      <c r="AM36" s="209">
        <v>15762.5</v>
      </c>
      <c r="AN36" s="209">
        <v>18856.309999999998</v>
      </c>
      <c r="AO36" s="209">
        <v>25447.820000000003</v>
      </c>
      <c r="AP36" s="209">
        <v>15451.6</v>
      </c>
      <c r="AQ36" s="209">
        <v>29355.510000000002</v>
      </c>
      <c r="AR36" s="223">
        <f t="shared" ref="AR36:BA36" si="43">SUM(AR37:AR45)</f>
        <v>215353.52</v>
      </c>
      <c r="AS36" s="209">
        <f t="shared" si="43"/>
        <v>17505.560000000001</v>
      </c>
      <c r="AT36" s="209">
        <f t="shared" si="43"/>
        <v>18179.59</v>
      </c>
      <c r="AU36" s="209">
        <f t="shared" si="43"/>
        <v>13528.84</v>
      </c>
      <c r="AV36" s="209">
        <f t="shared" si="43"/>
        <v>15503.660000000002</v>
      </c>
      <c r="AW36" s="209">
        <f t="shared" si="43"/>
        <v>19943.52</v>
      </c>
      <c r="AX36" s="209">
        <f t="shared" si="43"/>
        <v>20925.54</v>
      </c>
      <c r="AY36" s="209">
        <f t="shared" si="43"/>
        <v>16606.140000000003</v>
      </c>
      <c r="AZ36" s="209">
        <f t="shared" si="43"/>
        <v>18094.59</v>
      </c>
      <c r="BA36" s="209">
        <f t="shared" si="43"/>
        <v>17356.260000000002</v>
      </c>
      <c r="BB36" s="209">
        <f t="shared" ref="BB36:BI36" si="44">SUM(BB37:BB45)</f>
        <v>18714.740000000002</v>
      </c>
      <c r="BC36" s="209">
        <f t="shared" si="44"/>
        <v>18670.34</v>
      </c>
      <c r="BD36" s="209">
        <f t="shared" si="44"/>
        <v>20324.740000000002</v>
      </c>
      <c r="BE36" s="223">
        <f t="shared" si="44"/>
        <v>236570.77000000002</v>
      </c>
      <c r="BF36" s="209">
        <f t="shared" si="44"/>
        <v>20277</v>
      </c>
      <c r="BG36" s="209">
        <f t="shared" si="44"/>
        <v>17543.27</v>
      </c>
      <c r="BH36" s="209">
        <f t="shared" si="44"/>
        <v>20670.609999999997</v>
      </c>
      <c r="BI36" s="209">
        <f t="shared" si="44"/>
        <v>18614.650000000001</v>
      </c>
      <c r="BJ36" s="209">
        <f t="shared" ref="BJ36:BK36" si="45">SUM(BJ37:BJ45)</f>
        <v>18713.150000000001</v>
      </c>
      <c r="BK36" s="209">
        <f t="shared" si="45"/>
        <v>12439.65</v>
      </c>
      <c r="BL36" s="209">
        <f t="shared" ref="BL36:BM36" si="46">SUM(BL37:BL45)</f>
        <v>19618.45</v>
      </c>
      <c r="BM36" s="209">
        <f t="shared" si="46"/>
        <v>23362</v>
      </c>
      <c r="BN36" s="209">
        <f t="shared" ref="BN36:BO36" si="47">SUM(BN37:BN45)</f>
        <v>21730.910000000003</v>
      </c>
      <c r="BO36" s="209">
        <f t="shared" si="47"/>
        <v>16457.41</v>
      </c>
      <c r="BP36" s="209">
        <f t="shared" ref="BP36:BS36" si="48">SUM(BP37:BP45)</f>
        <v>20416.39</v>
      </c>
      <c r="BQ36" s="209">
        <f t="shared" si="48"/>
        <v>26727.280000000002</v>
      </c>
      <c r="BR36" s="223">
        <f t="shared" si="48"/>
        <v>170255.94999999998</v>
      </c>
      <c r="BS36" s="209">
        <f t="shared" si="48"/>
        <v>21674.14</v>
      </c>
      <c r="BT36" s="209">
        <f t="shared" ref="BT36:BU36" si="49">SUM(BT37:BT45)</f>
        <v>19845.060000000001</v>
      </c>
      <c r="BU36" s="209">
        <f t="shared" si="49"/>
        <v>19101.89</v>
      </c>
      <c r="BV36" s="209">
        <f t="shared" ref="BV36:BW36" si="50">SUM(BV37:BV45)</f>
        <v>17773.54</v>
      </c>
      <c r="BW36" s="209">
        <f t="shared" si="50"/>
        <v>17793.210000000003</v>
      </c>
      <c r="BX36" s="209">
        <f>SUM(BX37:BX45)</f>
        <v>20140.45</v>
      </c>
      <c r="BY36" s="209">
        <f>SUM(BY37:BY45)</f>
        <v>18417.560000000001</v>
      </c>
      <c r="BZ36" s="209">
        <f>SUM(BZ37:BZ45)</f>
        <v>18025.099999999999</v>
      </c>
      <c r="CA36" s="209">
        <f>SUM(CA37:CA45)</f>
        <v>17485</v>
      </c>
    </row>
    <row r="37" spans="1:79" x14ac:dyDescent="0.2">
      <c r="A37" s="280" t="s">
        <v>1864</v>
      </c>
      <c r="B37" s="280"/>
      <c r="C37" s="352" t="s">
        <v>2921</v>
      </c>
      <c r="D37" s="214"/>
      <c r="E37" s="214">
        <v>4762.41</v>
      </c>
      <c r="F37" s="215">
        <v>1700</v>
      </c>
      <c r="G37" s="215">
        <v>1120</v>
      </c>
      <c r="H37" s="215">
        <v>1000</v>
      </c>
      <c r="I37" s="215">
        <v>520</v>
      </c>
      <c r="J37" s="215">
        <v>0</v>
      </c>
      <c r="K37" s="215">
        <v>0</v>
      </c>
      <c r="L37" s="215">
        <v>0</v>
      </c>
      <c r="M37" s="215">
        <v>0</v>
      </c>
      <c r="N37" s="215">
        <v>0</v>
      </c>
      <c r="O37" s="215">
        <v>0</v>
      </c>
      <c r="P37" s="215">
        <v>0</v>
      </c>
      <c r="Q37" s="215">
        <v>422.41</v>
      </c>
      <c r="R37" s="214">
        <v>0</v>
      </c>
      <c r="S37" s="215">
        <v>0</v>
      </c>
      <c r="T37" s="215">
        <v>0</v>
      </c>
      <c r="U37" s="215">
        <v>0</v>
      </c>
      <c r="V37" s="215">
        <v>0</v>
      </c>
      <c r="W37" s="215">
        <v>0</v>
      </c>
      <c r="X37" s="215">
        <v>0</v>
      </c>
      <c r="Y37" s="215">
        <v>0</v>
      </c>
      <c r="Z37" s="215">
        <v>0</v>
      </c>
      <c r="AA37" s="215">
        <v>0</v>
      </c>
      <c r="AB37" s="215">
        <v>0</v>
      </c>
      <c r="AC37" s="215">
        <v>0</v>
      </c>
      <c r="AD37" s="215">
        <v>0</v>
      </c>
      <c r="AE37" s="214">
        <v>0</v>
      </c>
      <c r="AF37" s="215">
        <v>0</v>
      </c>
      <c r="AG37" s="215">
        <v>0</v>
      </c>
      <c r="AH37" s="215">
        <v>0</v>
      </c>
      <c r="AI37" s="215">
        <v>0</v>
      </c>
      <c r="AJ37" s="215">
        <v>0</v>
      </c>
      <c r="AK37" s="215">
        <v>0</v>
      </c>
      <c r="AL37" s="215">
        <v>0</v>
      </c>
      <c r="AM37" s="215">
        <v>0</v>
      </c>
      <c r="AN37" s="215">
        <v>0</v>
      </c>
      <c r="AO37" s="215">
        <v>0</v>
      </c>
      <c r="AP37" s="215">
        <v>0</v>
      </c>
      <c r="AQ37" s="215">
        <v>0</v>
      </c>
      <c r="AR37" s="214">
        <f t="shared" ref="AR37:AR45" si="51">SUM(AS37:BD37)</f>
        <v>5618.8899999999994</v>
      </c>
      <c r="AS37" s="215">
        <f>DSUM(G_ENE_2016,GASTO,G_CBR)</f>
        <v>0</v>
      </c>
      <c r="AT37" s="215">
        <f>DSUM(G_FEB_2016,GASTO,G_CBR)</f>
        <v>0</v>
      </c>
      <c r="AU37" s="215">
        <f>DSUM(G_MAR_2016,GASTO,G_CBR)</f>
        <v>0</v>
      </c>
      <c r="AV37" s="215">
        <f>DSUM(G_ABR_2016,GASTO,G_CBR)</f>
        <v>400</v>
      </c>
      <c r="AW37" s="215">
        <f>DSUM(G_MAY_2016,GASTO,G_CBR)</f>
        <v>0</v>
      </c>
      <c r="AX37" s="215">
        <f>DSUM(G_JUN_2016,GASTO,G_CBR)</f>
        <v>0</v>
      </c>
      <c r="AY37" s="215">
        <f>DSUM(G_JUL_2016,GASTO,G_CBR)</f>
        <v>0</v>
      </c>
      <c r="AZ37" s="215">
        <f>DSUM(G_AGO_2016,GASTO,G_CBR)</f>
        <v>0</v>
      </c>
      <c r="BA37" s="215">
        <f>DSUM(G_SEP_2016,GASTO,G_CBR)</f>
        <v>800</v>
      </c>
      <c r="BB37" s="215">
        <f>DSUM(G_OCT_2016,GASTO,G_CBR)</f>
        <v>1698.5</v>
      </c>
      <c r="BC37" s="215">
        <f>DSUM(G_NOV_2016,GASTO,G_CBR)</f>
        <v>1235.8899999999999</v>
      </c>
      <c r="BD37" s="215">
        <f>DSUM(G_DIC_2016,GASTO,G_CBR)</f>
        <v>1484.5</v>
      </c>
      <c r="BE37" s="214">
        <f t="shared" ref="BE37:BE45" si="52">SUM(BF37:BQ37)</f>
        <v>20327.78</v>
      </c>
      <c r="BF37" s="215">
        <f>DSUM(G_ENE_2017,GASTO,G_CBR)</f>
        <v>1287</v>
      </c>
      <c r="BG37" s="215">
        <f>DSUM(G_FEB_2017,GASTO,G_CBR)</f>
        <v>1116</v>
      </c>
      <c r="BH37" s="215">
        <f>DSUM(G_MAR_2017,GASTO,G_CBR)</f>
        <v>3829</v>
      </c>
      <c r="BI37" s="215">
        <f>DSUM(G_ABR_2017,GASTO,G_CBR)</f>
        <v>2313.9</v>
      </c>
      <c r="BJ37" s="215">
        <f>DSUM(G_MAY_2017,GASTO,G_CBR)</f>
        <v>2198.5</v>
      </c>
      <c r="BK37" s="215">
        <f>DSUM(G_JUN_2017,GASTO,G_CBR)</f>
        <v>1706.5</v>
      </c>
      <c r="BL37" s="215">
        <f>DSUM(G_JUL_2017,GASTO,G_CBR)</f>
        <v>2758.4</v>
      </c>
      <c r="BM37" s="215">
        <f>DSUM(G_AGO_2017,GASTO,G_CBR)</f>
        <v>1353.9</v>
      </c>
      <c r="BN37" s="215">
        <f>DSUM(G_SEP_2017,GASTO,G_CBR)</f>
        <v>659.7</v>
      </c>
      <c r="BO37" s="215">
        <f>DSUM(G_OCT_2017,GASTO,G_CBR)</f>
        <v>1079.6999999999998</v>
      </c>
      <c r="BP37" s="215">
        <f>DSUM(G_NOV_2017,GASTO,G_CBR)</f>
        <v>455.6</v>
      </c>
      <c r="BQ37" s="215">
        <f>DSUM(G_DIC_2017,GASTO,G_CBR)</f>
        <v>1569.58</v>
      </c>
      <c r="BR37" s="214">
        <f t="shared" ref="BR37:BR45" si="53">SUM(BS37:CC37)</f>
        <v>10771.52</v>
      </c>
      <c r="BS37" s="215">
        <f>DSUM(G_ENE_2018,GASTO,G_CBR)</f>
        <v>1086.5999999999999</v>
      </c>
      <c r="BT37" s="215">
        <f>DSUM(G_FEB_2018,GASTO,G_CBR)</f>
        <v>1223.4000000000001</v>
      </c>
      <c r="BU37" s="215">
        <f>DSUM(G_MAR_2018,GASTO,G_CBR)</f>
        <v>1821</v>
      </c>
      <c r="BV37" s="215">
        <f>DSUM(G_ABR_2018,GASTO,G_CBR)</f>
        <v>1058.5</v>
      </c>
      <c r="BW37" s="215">
        <f>DSUM(G_MAY_2018,GASTO,G_CBR)</f>
        <v>1149.7</v>
      </c>
      <c r="BX37" s="215">
        <f>DSUM(G_JUN_2018,GASTO,G_CBR)</f>
        <v>1188.5</v>
      </c>
      <c r="BY37" s="215">
        <f>DSUM(G_JUL_2018,GASTO,G_CBR)</f>
        <v>1129.8200000000002</v>
      </c>
      <c r="BZ37" s="215">
        <f>DSUM(G_AGO_2018,GASTO,G_CBR)</f>
        <v>1090</v>
      </c>
      <c r="CA37" s="215">
        <f>DSUM(G_SEP_2018,GASTO,G_CBR)</f>
        <v>1024</v>
      </c>
    </row>
    <row r="38" spans="1:79" x14ac:dyDescent="0.2">
      <c r="A38" s="280" t="s">
        <v>1859</v>
      </c>
      <c r="B38" s="280"/>
      <c r="C38" s="375" t="s">
        <v>2922</v>
      </c>
      <c r="D38" s="218"/>
      <c r="E38" s="218">
        <v>25828.329999999998</v>
      </c>
      <c r="F38" s="188">
        <v>6481.3899999999994</v>
      </c>
      <c r="G38" s="188">
        <v>6605.32</v>
      </c>
      <c r="H38" s="188">
        <v>4579.51</v>
      </c>
      <c r="I38" s="188">
        <v>5100</v>
      </c>
      <c r="J38" s="188">
        <v>3008.19</v>
      </c>
      <c r="K38" s="188">
        <v>53.92</v>
      </c>
      <c r="L38" s="188">
        <v>0</v>
      </c>
      <c r="M38" s="188">
        <v>0</v>
      </c>
      <c r="N38" s="188">
        <v>0</v>
      </c>
      <c r="O38" s="188">
        <v>0</v>
      </c>
      <c r="P38" s="188">
        <v>0</v>
      </c>
      <c r="Q38" s="188">
        <v>0</v>
      </c>
      <c r="R38" s="218">
        <v>18000</v>
      </c>
      <c r="S38" s="188">
        <v>400</v>
      </c>
      <c r="T38" s="188">
        <v>400</v>
      </c>
      <c r="U38" s="188">
        <v>1000</v>
      </c>
      <c r="V38" s="188">
        <v>1600</v>
      </c>
      <c r="W38" s="188">
        <v>2000</v>
      </c>
      <c r="X38" s="188">
        <v>1600</v>
      </c>
      <c r="Y38" s="188">
        <v>1600</v>
      </c>
      <c r="Z38" s="188">
        <v>2000</v>
      </c>
      <c r="AA38" s="188">
        <v>1800</v>
      </c>
      <c r="AB38" s="188">
        <v>2000</v>
      </c>
      <c r="AC38" s="188">
        <v>1600</v>
      </c>
      <c r="AD38" s="188">
        <v>2000</v>
      </c>
      <c r="AE38" s="218">
        <v>95277.959999999992</v>
      </c>
      <c r="AF38" s="188">
        <v>2500</v>
      </c>
      <c r="AG38" s="188">
        <v>2400</v>
      </c>
      <c r="AH38" s="188">
        <v>2600</v>
      </c>
      <c r="AI38" s="188">
        <v>2400</v>
      </c>
      <c r="AJ38" s="188">
        <v>2520</v>
      </c>
      <c r="AK38" s="188">
        <v>2400</v>
      </c>
      <c r="AL38" s="188">
        <v>6050</v>
      </c>
      <c r="AM38" s="188">
        <v>11791.51</v>
      </c>
      <c r="AN38" s="188">
        <v>14313.4</v>
      </c>
      <c r="AO38" s="188">
        <v>19297.150000000001</v>
      </c>
      <c r="AP38" s="188">
        <v>13181.5</v>
      </c>
      <c r="AQ38" s="188">
        <v>15824.4</v>
      </c>
      <c r="AR38" s="218">
        <f t="shared" si="51"/>
        <v>126361.1</v>
      </c>
      <c r="AS38" s="188">
        <f>DSUM(G_ENE_2016,GASTO,G_ORG)</f>
        <v>13582.220000000001</v>
      </c>
      <c r="AT38" s="188">
        <f>DSUM(G_FEB_2016,GASTO,G_ORG)</f>
        <v>14088.82</v>
      </c>
      <c r="AU38" s="188">
        <f>DSUM(G_MAR_2016,GASTO,G_ORG)</f>
        <v>9400</v>
      </c>
      <c r="AV38" s="188">
        <f>DSUM(G_ABR_2016,GASTO,G_ORG)</f>
        <v>12000</v>
      </c>
      <c r="AW38" s="188">
        <f>DSUM(G_MAY_2016,GASTO,G_ORG)</f>
        <v>13000</v>
      </c>
      <c r="AX38" s="188">
        <f>DSUM(G_JUN_2016,GASTO,G_ORG)</f>
        <v>11000</v>
      </c>
      <c r="AY38" s="188">
        <f>DSUM(G_JUL_2016,GASTO,G_ORG)</f>
        <v>13290.060000000001</v>
      </c>
      <c r="AZ38" s="188">
        <f>DSUM(G_AGO_2016,GASTO,G_ORG)</f>
        <v>8000</v>
      </c>
      <c r="BA38" s="188">
        <f>DSUM(G_SEP_2016,GASTO,G_ORG)</f>
        <v>8000</v>
      </c>
      <c r="BB38" s="188">
        <f>DSUM(G_OCT_2016,GASTO,G_ORG)</f>
        <v>8000</v>
      </c>
      <c r="BC38" s="188">
        <f>DSUM(G_NOV_2016,GASTO,G_ORG)</f>
        <v>8000</v>
      </c>
      <c r="BD38" s="188">
        <f>DSUM(G_DIC_2016,GASTO,G_ORG)</f>
        <v>8000</v>
      </c>
      <c r="BE38" s="218">
        <f t="shared" si="52"/>
        <v>96390.5</v>
      </c>
      <c r="BF38" s="188">
        <f>DSUM(G_ENE_2017,GASTO,G_ORG)</f>
        <v>8299</v>
      </c>
      <c r="BG38" s="188">
        <f>DSUM(G_FEB_2017,GASTO,G_ORG)</f>
        <v>8000</v>
      </c>
      <c r="BH38" s="188">
        <f>DSUM(G_MAR_2017,GASTO,G_ORG)</f>
        <v>8000</v>
      </c>
      <c r="BI38" s="188">
        <f>DSUM(G_ABR_2017,GASTO,G_ORG)</f>
        <v>8091.5</v>
      </c>
      <c r="BJ38" s="188">
        <f>DSUM(G_MAY_2017,GASTO,G_ORG)</f>
        <v>8000</v>
      </c>
      <c r="BK38" s="188">
        <f>DSUM(G_JUN_2017,GASTO,G_ORG)</f>
        <v>4000</v>
      </c>
      <c r="BL38" s="188">
        <f>DSUM(G_JUL_2017,GASTO,G_ORG)</f>
        <v>8000</v>
      </c>
      <c r="BM38" s="188">
        <f>DSUM(G_AGO_2017,GASTO,G_ORG)</f>
        <v>12000</v>
      </c>
      <c r="BN38" s="188">
        <f>DSUM(G_SEP_2017,GASTO,G_ORG)</f>
        <v>8000</v>
      </c>
      <c r="BO38" s="188">
        <f>DSUM(G_OCT_2017,GASTO,G_ORG)</f>
        <v>8000</v>
      </c>
      <c r="BP38" s="188">
        <f>DSUM(G_NOV_2017,GASTO,G_ORG)</f>
        <v>4000</v>
      </c>
      <c r="BQ38" s="188">
        <f>DSUM(G_DIC_2017,GASTO,G_ORG)</f>
        <v>12000</v>
      </c>
      <c r="BR38" s="218">
        <f t="shared" si="53"/>
        <v>72000</v>
      </c>
      <c r="BS38" s="188">
        <f>DSUM(G_ENE_2018,GASTO,G_ORG)</f>
        <v>8000</v>
      </c>
      <c r="BT38" s="188">
        <f>DSUM(G_FEB_2018,GASTO,G_ORG)</f>
        <v>8000</v>
      </c>
      <c r="BU38" s="188">
        <f>DSUM(G_MAR_2018,GASTO,G_ORG)</f>
        <v>8000</v>
      </c>
      <c r="BV38" s="188">
        <f>DSUM(G_ABR_2018,GASTO,G_ORG)</f>
        <v>8000</v>
      </c>
      <c r="BW38" s="188">
        <f>DSUM(G_MAY_2018,GASTO,G_ORG)</f>
        <v>8000</v>
      </c>
      <c r="BX38" s="188">
        <f>DSUM(G_JUN_2018,GASTO,G_ORG)</f>
        <v>8000</v>
      </c>
      <c r="BY38" s="188">
        <f>DSUM(G_JUL_2018,GASTO,G_ORG)</f>
        <v>8000</v>
      </c>
      <c r="BZ38" s="188">
        <f>DSUM(G_AGO_2018,GASTO,G_ORG)</f>
        <v>8000</v>
      </c>
      <c r="CA38" s="188">
        <f>DSUM(G_SEP_2018,GASTO,G_ORG)</f>
        <v>8000</v>
      </c>
    </row>
    <row r="39" spans="1:79" x14ac:dyDescent="0.2">
      <c r="A39" s="280" t="s">
        <v>1537</v>
      </c>
      <c r="B39" s="280"/>
      <c r="C39" s="374" t="s">
        <v>2923</v>
      </c>
      <c r="D39" s="218"/>
      <c r="E39" s="218">
        <v>0</v>
      </c>
      <c r="F39" s="188">
        <v>0</v>
      </c>
      <c r="G39" s="188">
        <v>0</v>
      </c>
      <c r="H39" s="188">
        <v>0</v>
      </c>
      <c r="I39" s="188">
        <v>0</v>
      </c>
      <c r="J39" s="188">
        <v>0</v>
      </c>
      <c r="K39" s="188">
        <v>0</v>
      </c>
      <c r="L39" s="188">
        <v>0</v>
      </c>
      <c r="M39" s="188">
        <v>0</v>
      </c>
      <c r="N39" s="188">
        <v>0</v>
      </c>
      <c r="O39" s="188">
        <v>0</v>
      </c>
      <c r="P39" s="188">
        <v>0</v>
      </c>
      <c r="Q39" s="188">
        <v>0</v>
      </c>
      <c r="R39" s="218">
        <v>444.78000000000009</v>
      </c>
      <c r="S39" s="188">
        <v>23.25</v>
      </c>
      <c r="T39" s="188">
        <v>113.54</v>
      </c>
      <c r="U39" s="188">
        <v>105.47999999999999</v>
      </c>
      <c r="V39" s="188">
        <v>64.930000000000007</v>
      </c>
      <c r="W39" s="188">
        <v>23.54</v>
      </c>
      <c r="X39" s="188">
        <v>53.39</v>
      </c>
      <c r="Y39" s="188">
        <v>29.54</v>
      </c>
      <c r="Z39" s="188">
        <v>-0.46</v>
      </c>
      <c r="AA39" s="188">
        <v>9.07</v>
      </c>
      <c r="AB39" s="188">
        <v>-0.28999999999999998</v>
      </c>
      <c r="AC39" s="188">
        <v>-0.46</v>
      </c>
      <c r="AD39" s="188">
        <v>23.25</v>
      </c>
      <c r="AE39" s="218">
        <v>536.35</v>
      </c>
      <c r="AF39" s="188">
        <v>-0.46</v>
      </c>
      <c r="AG39" s="188">
        <v>-0.55000000000000004</v>
      </c>
      <c r="AH39" s="188">
        <v>335.46</v>
      </c>
      <c r="AI39" s="188">
        <v>-0.75</v>
      </c>
      <c r="AJ39" s="188">
        <v>13</v>
      </c>
      <c r="AK39" s="188">
        <v>83.1</v>
      </c>
      <c r="AL39" s="188">
        <v>55</v>
      </c>
      <c r="AM39" s="188">
        <v>-0.9</v>
      </c>
      <c r="AN39" s="188">
        <v>27.14</v>
      </c>
      <c r="AO39" s="188">
        <v>12.96</v>
      </c>
      <c r="AP39" s="188">
        <v>13.1</v>
      </c>
      <c r="AQ39" s="188">
        <v>-0.75</v>
      </c>
      <c r="AR39" s="218">
        <f t="shared" si="51"/>
        <v>682.02</v>
      </c>
      <c r="AS39" s="188">
        <f>DSUM(G_ENE_2016,GASTO,G_P_FIN)</f>
        <v>0</v>
      </c>
      <c r="AT39" s="188">
        <f>DSUM(G_FEB_2016,GASTO,G_P_FIN)</f>
        <v>-0.28999999999999998</v>
      </c>
      <c r="AU39" s="188">
        <f>DSUM(G_MAR_2016,GASTO,G_P_FIN)</f>
        <v>12.89</v>
      </c>
      <c r="AV39" s="188">
        <f>DSUM(G_ABR_2016,GASTO,G_P_FIN)</f>
        <v>83.54</v>
      </c>
      <c r="AW39" s="188">
        <f>DSUM(G_MAY_2016,GASTO,G_P_FIN)</f>
        <v>69.540000000000006</v>
      </c>
      <c r="AX39" s="188">
        <f>DSUM(G_JUN_2016,GASTO,G_P_FIN)</f>
        <v>83.54</v>
      </c>
      <c r="AY39" s="188">
        <f>DSUM(G_JUL_2016,GASTO,G_P_FIN)</f>
        <v>71.539999999999992</v>
      </c>
      <c r="AZ39" s="188">
        <f>DSUM(G_AGO_2016,GASTO,G_P_FIN)</f>
        <v>69.540000000000006</v>
      </c>
      <c r="BA39" s="188">
        <f>DSUM(G_SEP_2016,GASTO,G_P_FIN)</f>
        <v>97.54</v>
      </c>
      <c r="BB39" s="188">
        <f>DSUM(G_OCT_2016,GASTO,G_P_FIN)</f>
        <v>41.54</v>
      </c>
      <c r="BC39" s="188">
        <f>DSUM(G_NOV_2016,GASTO,G_P_FIN)</f>
        <v>83.54</v>
      </c>
      <c r="BD39" s="188">
        <f>DSUM(G_DIC_2016,GASTO,G_P_FIN)</f>
        <v>69.099999999999994</v>
      </c>
      <c r="BE39" s="218">
        <f t="shared" si="52"/>
        <v>938.48</v>
      </c>
      <c r="BF39" s="188">
        <f>DSUM(G_ENE_2017,GASTO,G_P_FIN)</f>
        <v>41.1</v>
      </c>
      <c r="BG39" s="188">
        <f>DSUM(G_FEB_2017,GASTO,G_P_FIN)</f>
        <v>27.25</v>
      </c>
      <c r="BH39" s="188">
        <f>DSUM(G_MAR_2017,GASTO,G_P_FIN)</f>
        <v>41.1</v>
      </c>
      <c r="BI39" s="188">
        <f>DSUM(G_ABR_2017,GASTO,G_P_FIN)</f>
        <v>55.25</v>
      </c>
      <c r="BJ39" s="188">
        <f>DSUM(G_MAY_2017,GASTO,G_P_FIN)</f>
        <v>13.25</v>
      </c>
      <c r="BK39" s="188">
        <f>DSUM(G_JUN_2017,GASTO,G_P_FIN)</f>
        <v>41.25</v>
      </c>
      <c r="BL39" s="188">
        <f>DSUM(G_JUL_2017,GASTO,G_P_FIN)</f>
        <v>97.25</v>
      </c>
      <c r="BM39" s="188">
        <f>DSUM(G_AGO_2017,GASTO,G_P_FIN)</f>
        <v>69.099999999999994</v>
      </c>
      <c r="BN39" s="188">
        <f>DSUM(G_SEP_2017,GASTO,G_P_FIN)</f>
        <v>87.539999999999992</v>
      </c>
      <c r="BO39" s="188">
        <f>DSUM(G_OCT_2017,GASTO,G_P_FIN)</f>
        <v>27.71</v>
      </c>
      <c r="BP39" s="188">
        <f>DSUM(G_NOV_2017,GASTO,G_P_FIN)</f>
        <v>96.289999999999992</v>
      </c>
      <c r="BQ39" s="188">
        <f>DSUM(G_DIC_2017,GASTO,G_P_FIN)</f>
        <v>341.39000000000004</v>
      </c>
      <c r="BR39" s="218">
        <f t="shared" si="53"/>
        <v>636.24</v>
      </c>
      <c r="BS39" s="188">
        <f>DSUM(G_ENE_2018,GASTO,G_P_FIN)</f>
        <v>17.54</v>
      </c>
      <c r="BT39" s="188">
        <f>DSUM(G_FEB_2018,GASTO,G_P_FIN)</f>
        <v>17.54</v>
      </c>
      <c r="BU39" s="188">
        <f>DSUM(G_MAR_2018,GASTO,G_P_FIN)</f>
        <v>17.39</v>
      </c>
      <c r="BV39" s="188">
        <f>DSUM(G_ABR_2018,GASTO,G_P_FIN)</f>
        <v>17.54</v>
      </c>
      <c r="BW39" s="188">
        <f>DSUM(G_MAY_2018,GASTO,G_P_FIN)</f>
        <v>53.1</v>
      </c>
      <c r="BX39" s="188">
        <f>DSUM(G_JUN_2018,GASTO,G_P_FIN)</f>
        <v>34.950000000000003</v>
      </c>
      <c r="BY39" s="188">
        <f>DSUM(G_JUL_2018,GASTO,G_P_FIN)</f>
        <v>35.54</v>
      </c>
      <c r="BZ39" s="188">
        <f>DSUM(G_AGO_2018,GASTO,G_P_FIN)</f>
        <v>35.1</v>
      </c>
      <c r="CA39" s="188">
        <f>DSUM(G_SEP_2018,GASTO,G_P_FIN)</f>
        <v>407.54</v>
      </c>
    </row>
    <row r="40" spans="1:79" x14ac:dyDescent="0.2">
      <c r="A40" s="280" t="s">
        <v>1805</v>
      </c>
      <c r="B40" s="280"/>
      <c r="C40" s="347" t="s">
        <v>2924</v>
      </c>
      <c r="D40" s="218"/>
      <c r="E40" s="218">
        <v>13800</v>
      </c>
      <c r="F40" s="188">
        <v>1160</v>
      </c>
      <c r="G40" s="188">
        <v>1160</v>
      </c>
      <c r="H40" s="188">
        <v>2320</v>
      </c>
      <c r="I40" s="188">
        <v>1160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2000</v>
      </c>
      <c r="P40" s="188">
        <v>3000</v>
      </c>
      <c r="Q40" s="188">
        <v>3000</v>
      </c>
      <c r="R40" s="218">
        <v>12166.21</v>
      </c>
      <c r="S40" s="188">
        <v>0</v>
      </c>
      <c r="T40" s="188">
        <v>1000</v>
      </c>
      <c r="U40" s="188">
        <v>862.07</v>
      </c>
      <c r="V40" s="188">
        <v>0</v>
      </c>
      <c r="W40" s="188">
        <v>2000</v>
      </c>
      <c r="X40" s="188">
        <v>862.07</v>
      </c>
      <c r="Y40" s="188">
        <v>862.07</v>
      </c>
      <c r="Z40" s="188">
        <v>862</v>
      </c>
      <c r="AA40" s="188">
        <v>3994</v>
      </c>
      <c r="AB40" s="188">
        <v>862</v>
      </c>
      <c r="AC40" s="188">
        <v>862</v>
      </c>
      <c r="AD40" s="188">
        <v>0</v>
      </c>
      <c r="AE40" s="218">
        <v>12085.929999999998</v>
      </c>
      <c r="AF40" s="188">
        <v>1768</v>
      </c>
      <c r="AG40" s="188">
        <v>906</v>
      </c>
      <c r="AH40" s="188">
        <v>962</v>
      </c>
      <c r="AI40" s="188">
        <v>905</v>
      </c>
      <c r="AJ40" s="188">
        <v>905</v>
      </c>
      <c r="AK40" s="188">
        <v>0</v>
      </c>
      <c r="AL40" s="188">
        <v>949</v>
      </c>
      <c r="AM40" s="188">
        <v>949</v>
      </c>
      <c r="AN40" s="188">
        <v>905</v>
      </c>
      <c r="AO40" s="188">
        <v>991.38</v>
      </c>
      <c r="AP40" s="188">
        <v>949</v>
      </c>
      <c r="AQ40" s="188">
        <v>1896.55</v>
      </c>
      <c r="AR40" s="218">
        <f t="shared" si="51"/>
        <v>38248.22</v>
      </c>
      <c r="AS40" s="188">
        <f>DSUM(G_ENE_2016,GASTO,G_HCTB)</f>
        <v>1145.17</v>
      </c>
      <c r="AT40" s="188">
        <f>DSUM(G_FEB_2016,GASTO,G_HCTB)</f>
        <v>1055.17</v>
      </c>
      <c r="AU40" s="188">
        <f>DSUM(G_MAR_2016,GASTO,G_HCTB)</f>
        <v>1155.17</v>
      </c>
      <c r="AV40" s="188">
        <f>DSUM(G_ABR_2016,GASTO,G_HCTB)</f>
        <v>1514.3700000000001</v>
      </c>
      <c r="AW40" s="188">
        <f>DSUM(G_MAY_2016,GASTO,G_HCTB)</f>
        <v>1704</v>
      </c>
      <c r="AX40" s="188">
        <f>DSUM(G_JUN_2016,GASTO,G_HCTB)</f>
        <v>1224</v>
      </c>
      <c r="AY40" s="188">
        <f>DSUM(G_JUL_2016,GASTO,G_HCTB)</f>
        <v>1224</v>
      </c>
      <c r="AZ40" s="188">
        <f>DSUM(G_AGO_2016,GASTO,G_HCTB)</f>
        <v>5224</v>
      </c>
      <c r="BA40" s="188">
        <f>DSUM(G_SEP_2016,GASTO,G_HCTB)</f>
        <v>6224</v>
      </c>
      <c r="BB40" s="188">
        <f>DSUM(G_OCT_2016,GASTO,G_HCTB)</f>
        <v>5344</v>
      </c>
      <c r="BC40" s="188">
        <f>DSUM(G_NOV_2016,GASTO,G_HCTB)</f>
        <v>5324</v>
      </c>
      <c r="BD40" s="188">
        <f>DSUM(G_DIC_2016,GASTO,G_HCTB)</f>
        <v>7110.34</v>
      </c>
      <c r="BE40" s="218">
        <f t="shared" si="52"/>
        <v>72579</v>
      </c>
      <c r="BF40" s="188">
        <f>DSUM(G_ENE_2017,GASTO,G_HCTB)</f>
        <v>5344</v>
      </c>
      <c r="BG40" s="188">
        <f>DSUM(G_FEB_2017,GASTO,G_HCTB)</f>
        <v>5460</v>
      </c>
      <c r="BH40" s="188">
        <f>DSUM(G_MAR_2017,GASTO,G_HCTB)</f>
        <v>5420</v>
      </c>
      <c r="BI40" s="188">
        <f>DSUM(G_ABR_2017,GASTO,G_HCTB)</f>
        <v>5457</v>
      </c>
      <c r="BJ40" s="188">
        <f>DSUM(G_MAY_2017,GASTO,G_HCTB)</f>
        <v>5300</v>
      </c>
      <c r="BK40" s="188">
        <f>DSUM(G_JUN_2017,GASTO,G_HCTB)</f>
        <v>5446</v>
      </c>
      <c r="BL40" s="188">
        <f>DSUM(G_JUL_2017,GASTO,G_HCTB)</f>
        <v>6300</v>
      </c>
      <c r="BM40" s="188">
        <f>DSUM(G_AGO_2017,GASTO,G_HCTB)</f>
        <v>5300</v>
      </c>
      <c r="BN40" s="188">
        <f>DSUM(G_SEP_2017,GASTO,G_HCTB)</f>
        <v>7360</v>
      </c>
      <c r="BO40" s="188">
        <f>DSUM(G_OCT_2017,GASTO,G_HCTB)</f>
        <v>6300</v>
      </c>
      <c r="BP40" s="188">
        <f>DSUM(G_NOV_2017,GASTO,G_HCTB)</f>
        <v>6400</v>
      </c>
      <c r="BQ40" s="188">
        <f>DSUM(G_DIC_2017,GASTO,G_HCTB)</f>
        <v>8492</v>
      </c>
      <c r="BR40" s="218">
        <f t="shared" si="53"/>
        <v>60100</v>
      </c>
      <c r="BS40" s="188">
        <f>DSUM(G_ENE_2018,GASTO,G_HCTB)</f>
        <v>6400</v>
      </c>
      <c r="BT40" s="188">
        <f>DSUM(G_FEB_2018,GASTO,G_HCTB)</f>
        <v>6400</v>
      </c>
      <c r="BU40" s="188">
        <f>DSUM(G_MAR_2018,GASTO,G_HCTB)</f>
        <v>6400</v>
      </c>
      <c r="BV40" s="188">
        <f>DSUM(G_ABR_2018,GASTO,G_HCTB)</f>
        <v>6400</v>
      </c>
      <c r="BW40" s="188">
        <f>DSUM(G_MAY_2018,GASTO,G_HCTB)</f>
        <v>6400</v>
      </c>
      <c r="BX40" s="188">
        <f>DSUM(G_JUN_2018,GASTO,G_HCTB)</f>
        <v>7650</v>
      </c>
      <c r="BY40" s="188">
        <f>DSUM(G_JUL_2018,GASTO,G_HCTB)</f>
        <v>6400</v>
      </c>
      <c r="BZ40" s="188">
        <f>DSUM(G_AGO_2018,GASTO,G_HCTB)</f>
        <v>7650</v>
      </c>
      <c r="CA40" s="188">
        <f>DSUM(G_SEP_2018,GASTO,G_HCTB)</f>
        <v>6400</v>
      </c>
    </row>
    <row r="41" spans="1:79" x14ac:dyDescent="0.2">
      <c r="A41" s="280" t="s">
        <v>1819</v>
      </c>
      <c r="B41" s="280"/>
      <c r="C41" s="347" t="s">
        <v>2925</v>
      </c>
      <c r="D41" s="218"/>
      <c r="E41" s="218">
        <v>8052</v>
      </c>
      <c r="F41" s="188">
        <v>0</v>
      </c>
      <c r="G41" s="188">
        <v>0</v>
      </c>
      <c r="H41" s="188">
        <v>0</v>
      </c>
      <c r="I41" s="188">
        <v>0</v>
      </c>
      <c r="J41" s="188">
        <v>8052</v>
      </c>
      <c r="K41" s="188">
        <v>0</v>
      </c>
      <c r="L41" s="188">
        <v>0</v>
      </c>
      <c r="M41" s="188">
        <v>0</v>
      </c>
      <c r="N41" s="188">
        <v>0</v>
      </c>
      <c r="O41" s="188">
        <v>0</v>
      </c>
      <c r="P41" s="188">
        <v>0</v>
      </c>
      <c r="Q41" s="188">
        <v>0</v>
      </c>
      <c r="R41" s="218">
        <v>500</v>
      </c>
      <c r="S41" s="188">
        <v>0</v>
      </c>
      <c r="T41" s="188">
        <v>0</v>
      </c>
      <c r="U41" s="188">
        <v>0</v>
      </c>
      <c r="V41" s="188">
        <v>0</v>
      </c>
      <c r="W41" s="188">
        <v>0</v>
      </c>
      <c r="X41" s="188">
        <v>500</v>
      </c>
      <c r="Y41" s="188">
        <v>0</v>
      </c>
      <c r="Z41" s="188">
        <v>0</v>
      </c>
      <c r="AA41" s="188">
        <v>0</v>
      </c>
      <c r="AB41" s="188">
        <v>0</v>
      </c>
      <c r="AC41" s="188">
        <v>0</v>
      </c>
      <c r="AD41" s="188">
        <v>0</v>
      </c>
      <c r="AE41" s="218">
        <v>4350.99</v>
      </c>
      <c r="AF41" s="188">
        <v>0</v>
      </c>
      <c r="AG41" s="188">
        <v>0</v>
      </c>
      <c r="AH41" s="188">
        <v>0</v>
      </c>
      <c r="AI41" s="188">
        <v>0</v>
      </c>
      <c r="AJ41" s="188">
        <v>0</v>
      </c>
      <c r="AK41" s="188">
        <v>0</v>
      </c>
      <c r="AL41" s="188">
        <v>0</v>
      </c>
      <c r="AM41" s="188">
        <v>0</v>
      </c>
      <c r="AN41" s="188">
        <v>0</v>
      </c>
      <c r="AO41" s="188">
        <v>0</v>
      </c>
      <c r="AP41" s="188">
        <v>0</v>
      </c>
      <c r="AQ41" s="188">
        <v>4350.99</v>
      </c>
      <c r="AR41" s="218">
        <f t="shared" si="51"/>
        <v>4000</v>
      </c>
      <c r="AS41" s="188">
        <f>DSUM(G_ENE_2016,GASTO,G_HJRD)</f>
        <v>0</v>
      </c>
      <c r="AT41" s="188">
        <f>DSUM(G_FEB_2016,GASTO,G_HJRD)</f>
        <v>0</v>
      </c>
      <c r="AU41" s="188">
        <f>DSUM(G_MAR_2016,GASTO,G_HJRD)</f>
        <v>0</v>
      </c>
      <c r="AV41" s="188">
        <f>DSUM(G_ABR_2016,GASTO,G_HJRD)</f>
        <v>0</v>
      </c>
      <c r="AW41" s="188">
        <f>DSUM(G_MAY_2016,GASTO,G_HJRD)</f>
        <v>0</v>
      </c>
      <c r="AX41" s="188">
        <f>DSUM(G_JUN_2016,GASTO,G_HJRD)</f>
        <v>4000</v>
      </c>
      <c r="AY41" s="188">
        <f>DSUM(G_JUL_2016,GASTO,G_HJRD)</f>
        <v>0</v>
      </c>
      <c r="AZ41" s="188">
        <f>DSUM(G_AGO_2016,GASTO,G_HJRD)</f>
        <v>0</v>
      </c>
      <c r="BA41" s="188">
        <f>DSUM(G_SEP_2016,GASTO,G_HJRD)</f>
        <v>0</v>
      </c>
      <c r="BB41" s="188">
        <f>DSUM(G_OCT_2016,GASTO,G_HJRD)</f>
        <v>0</v>
      </c>
      <c r="BC41" s="188">
        <f>DSUM(G_NOV_2016,GASTO,G_HJRD)</f>
        <v>0</v>
      </c>
      <c r="BD41" s="188">
        <f>DSUM(G_DIC_2016,GASTO,G_HJRD)</f>
        <v>0</v>
      </c>
      <c r="BE41" s="218">
        <f t="shared" si="52"/>
        <v>0</v>
      </c>
      <c r="BF41" s="188">
        <f>DSUM(G_ENE_2017,GASTO,G_HJRD)</f>
        <v>0</v>
      </c>
      <c r="BG41" s="188">
        <f>DSUM(G_FEB_2017,GASTO,G_HJRD)</f>
        <v>0</v>
      </c>
      <c r="BH41" s="188">
        <f>DSUM(G_MAR_2017,GASTO,G_HJRD)</f>
        <v>0</v>
      </c>
      <c r="BI41" s="188">
        <f>DSUM(G_ABR_2017,GASTO,G_HJRD)</f>
        <v>0</v>
      </c>
      <c r="BJ41" s="188">
        <f>DSUM(G_MAY_2017,GASTO,G_HJRD)</f>
        <v>0</v>
      </c>
      <c r="BK41" s="188">
        <f>DSUM(G_JUN_2017,GASTO,G_HJRD)</f>
        <v>0</v>
      </c>
      <c r="BL41" s="188">
        <f>DSUM(G_JUL_2017,GASTO,G_HJRD)</f>
        <v>0</v>
      </c>
      <c r="BM41" s="188">
        <f>DSUM(G_AGO_2017,GASTO,G_HJRD)</f>
        <v>0</v>
      </c>
      <c r="BN41" s="188">
        <f>DSUM(G_SEP_2017,GASTO,G_HJRD)</f>
        <v>0</v>
      </c>
      <c r="BO41" s="188">
        <f>DSUM(G_OCT_2017,GASTO,G_HJRD)</f>
        <v>0</v>
      </c>
      <c r="BP41" s="188">
        <f>DSUM(G_NOV_2017,GASTO,G_HJRD)</f>
        <v>0</v>
      </c>
      <c r="BQ41" s="188">
        <f>DSUM(G_DIC_2017,GASTO,G_HJRD)</f>
        <v>0</v>
      </c>
      <c r="BR41" s="218">
        <f t="shared" si="53"/>
        <v>6095.12</v>
      </c>
      <c r="BS41" s="188">
        <f>DSUM(G_ENE_2018,GASTO,G_HJRD)</f>
        <v>3150</v>
      </c>
      <c r="BT41" s="188">
        <f>DSUM(G_FEB_2018,GASTO,G_HJRD)</f>
        <v>2945.12</v>
      </c>
      <c r="BU41" s="188">
        <f>DSUM(G_MAR_2018,GASTO,G_HJRD)</f>
        <v>0</v>
      </c>
      <c r="BV41" s="188">
        <f>DSUM(G_ABR_2018,GASTO,G_HJRD)</f>
        <v>0</v>
      </c>
      <c r="BW41" s="188">
        <f>DSUM(G_MAY_2018,GASTO,G_HJRD)</f>
        <v>0</v>
      </c>
      <c r="BX41" s="188">
        <f>DSUM(G_JUN_2018,GASTO,G_HJRD)</f>
        <v>0</v>
      </c>
      <c r="BY41" s="188">
        <f>DSUM(G_JUL_2018,GASTO,G_HJRD)</f>
        <v>0</v>
      </c>
      <c r="BZ41" s="188">
        <f>DSUM(G_AGO_2018,GASTO,G_HJRD)</f>
        <v>0</v>
      </c>
      <c r="CA41" s="188">
        <f>DSUM(G_SEP_2018,GASTO,G_HJRD)</f>
        <v>0</v>
      </c>
    </row>
    <row r="42" spans="1:79" x14ac:dyDescent="0.2">
      <c r="A42" s="280" t="s">
        <v>1546</v>
      </c>
      <c r="B42" s="280"/>
      <c r="C42" s="347" t="s">
        <v>2926</v>
      </c>
      <c r="D42" s="218"/>
      <c r="E42" s="218">
        <v>4000</v>
      </c>
      <c r="F42" s="188">
        <v>0</v>
      </c>
      <c r="G42" s="188">
        <v>4000</v>
      </c>
      <c r="H42" s="188">
        <v>0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  <c r="O42" s="188">
        <v>0</v>
      </c>
      <c r="P42" s="188">
        <v>0</v>
      </c>
      <c r="Q42" s="188">
        <v>0</v>
      </c>
      <c r="R42" s="218">
        <v>0</v>
      </c>
      <c r="S42" s="188">
        <v>0</v>
      </c>
      <c r="T42" s="188">
        <v>0</v>
      </c>
      <c r="U42" s="188">
        <v>0</v>
      </c>
      <c r="V42" s="188">
        <v>0</v>
      </c>
      <c r="W42" s="188">
        <v>0</v>
      </c>
      <c r="X42" s="188">
        <v>0</v>
      </c>
      <c r="Y42" s="188">
        <v>0</v>
      </c>
      <c r="Z42" s="188">
        <v>0</v>
      </c>
      <c r="AA42" s="188">
        <v>0</v>
      </c>
      <c r="AB42" s="188">
        <v>0</v>
      </c>
      <c r="AC42" s="188">
        <v>0</v>
      </c>
      <c r="AD42" s="188">
        <v>0</v>
      </c>
      <c r="AE42" s="218">
        <v>400</v>
      </c>
      <c r="AF42" s="188">
        <v>0</v>
      </c>
      <c r="AG42" s="188">
        <v>0</v>
      </c>
      <c r="AH42" s="188">
        <v>0</v>
      </c>
      <c r="AI42" s="188">
        <v>0</v>
      </c>
      <c r="AJ42" s="188">
        <v>0</v>
      </c>
      <c r="AK42" s="188">
        <v>0</v>
      </c>
      <c r="AL42" s="188">
        <v>0</v>
      </c>
      <c r="AM42" s="188">
        <v>0</v>
      </c>
      <c r="AN42" s="188">
        <v>400</v>
      </c>
      <c r="AO42" s="188">
        <v>0</v>
      </c>
      <c r="AP42" s="188">
        <v>0</v>
      </c>
      <c r="AQ42" s="188">
        <v>0</v>
      </c>
      <c r="AR42" s="218">
        <f t="shared" si="51"/>
        <v>0</v>
      </c>
      <c r="AS42" s="188">
        <f>DSUM(G_ENE_2016,GASTO,G_ASLE)</f>
        <v>0</v>
      </c>
      <c r="AT42" s="188">
        <f>DSUM(G_FEB_2016,GASTO,G_ASLE)</f>
        <v>0</v>
      </c>
      <c r="AU42" s="188">
        <f>DSUM(G_MAR_2016,GASTO,G_ASLE)</f>
        <v>0</v>
      </c>
      <c r="AV42" s="188">
        <f>DSUM(G_ABR_2016,GASTO,G_ASLE)</f>
        <v>0</v>
      </c>
      <c r="AW42" s="188">
        <f>DSUM(G_MAY_2016,GASTO,G_ASLE)</f>
        <v>0</v>
      </c>
      <c r="AX42" s="188">
        <f>DSUM(G_JUN_2016,GASTO,G_ASLE)</f>
        <v>0</v>
      </c>
      <c r="AY42" s="188">
        <f>DSUM(G_JUL_2016,GASTO,G_ASLE)</f>
        <v>0</v>
      </c>
      <c r="AZ42" s="188">
        <f>DSUM(G_AGO_2016,GASTO,G_ASLE)</f>
        <v>0</v>
      </c>
      <c r="BA42" s="188">
        <f>DSUM(G_SEP_2016,GASTO,G_ASLE)</f>
        <v>0</v>
      </c>
      <c r="BB42" s="188">
        <f>DSUM(G_SEP_2016,GASTO,G_ASLE)</f>
        <v>0</v>
      </c>
      <c r="BC42" s="188">
        <f>DSUM(G_NOV_2016,GASTO,G_ASLE)</f>
        <v>0</v>
      </c>
      <c r="BD42" s="188">
        <f>DSUM(G_DIC_2016,GASTO,G_ASLE)</f>
        <v>0</v>
      </c>
      <c r="BE42" s="218">
        <f t="shared" si="52"/>
        <v>7708</v>
      </c>
      <c r="BF42" s="188">
        <f>DSUM(G_ENE_2017,GASTO,G_ASLE)</f>
        <v>0</v>
      </c>
      <c r="BG42" s="188">
        <f>DSUM(G_FEB_2017,GASTO,G_ASLE)</f>
        <v>0</v>
      </c>
      <c r="BH42" s="188">
        <f>DSUM(G_MAR_2017,GASTO,G_ASLE)</f>
        <v>0</v>
      </c>
      <c r="BI42" s="188">
        <f>DSUM(G_ABR_2017,GASTO,G_ASLE)</f>
        <v>0</v>
      </c>
      <c r="BJ42" s="188">
        <f>DSUM(G_MAY_2017,GASTO,G_ASLE)</f>
        <v>0</v>
      </c>
      <c r="BK42" s="188">
        <f>DSUM(G_JUN_2017,GASTO,G_ASLE)</f>
        <v>0</v>
      </c>
      <c r="BL42" s="188">
        <f>DSUM(G_JUL_2017,GASTO,G_ASLE)</f>
        <v>0</v>
      </c>
      <c r="BM42" s="188">
        <f>DSUM(G_AGO_2017,GASTO,G_ASLE)</f>
        <v>0</v>
      </c>
      <c r="BN42" s="188">
        <f>DSUM(G_SEP_2017,GASTO,G_ASLE)</f>
        <v>0</v>
      </c>
      <c r="BO42" s="188">
        <f>DSUM(G_OCT_2017,GASTO,G_ASLE)</f>
        <v>0</v>
      </c>
      <c r="BP42" s="188">
        <f>DSUM(G_NOV_2017,GASTO,G_ASLE)</f>
        <v>7708</v>
      </c>
      <c r="BQ42" s="188">
        <f>DSUM(G_DIC_2017,GASTO,G_ASLE)</f>
        <v>0</v>
      </c>
      <c r="BR42" s="218">
        <f t="shared" si="53"/>
        <v>230</v>
      </c>
      <c r="BS42" s="188">
        <f>DSUM(G_ENE_2018,GASTO,G_ASLE)</f>
        <v>0</v>
      </c>
      <c r="BT42" s="188">
        <f>DSUM(G_FEB_2018,GASTO,G_ASLE)</f>
        <v>0</v>
      </c>
      <c r="BU42" s="188">
        <f>DSUM(G_MAR_2018,GASTO,G_ASLE)</f>
        <v>0</v>
      </c>
      <c r="BV42" s="188">
        <f>DSUM(G_ABR_2018,GASTO,G_ASLE)</f>
        <v>0</v>
      </c>
      <c r="BW42" s="188">
        <f>DSUM(G_MAY_2018,GASTO,G_ASLE)</f>
        <v>0</v>
      </c>
      <c r="BX42" s="188">
        <f>DSUM(G_JUN_2018,GASTO,G_ASLE)</f>
        <v>230</v>
      </c>
      <c r="BY42" s="188">
        <f>DSUM(G_JUL_2018,GASTO,G_ASLE)</f>
        <v>0</v>
      </c>
      <c r="BZ42" s="188">
        <f>DSUM(G_AGO_2018,GASTO,G_ASLE)</f>
        <v>0</v>
      </c>
      <c r="CA42" s="188">
        <f>DSUM(G_SEP_2018,GASTO,G_ASLE)</f>
        <v>0</v>
      </c>
    </row>
    <row r="43" spans="1:79" x14ac:dyDescent="0.2">
      <c r="A43" s="280" t="s">
        <v>1860</v>
      </c>
      <c r="B43" s="280"/>
      <c r="C43" s="347" t="s">
        <v>2927</v>
      </c>
      <c r="D43" s="218"/>
      <c r="E43" s="218">
        <v>12273.359999999999</v>
      </c>
      <c r="F43" s="188">
        <v>1438</v>
      </c>
      <c r="G43" s="188">
        <v>287.5</v>
      </c>
      <c r="H43" s="188">
        <v>1002.69</v>
      </c>
      <c r="I43" s="188">
        <v>1217.31</v>
      </c>
      <c r="J43" s="188">
        <v>1497</v>
      </c>
      <c r="K43" s="188">
        <v>124.03</v>
      </c>
      <c r="L43" s="188">
        <v>686.36</v>
      </c>
      <c r="M43" s="188">
        <v>342.51</v>
      </c>
      <c r="N43" s="188">
        <v>2077.14</v>
      </c>
      <c r="O43" s="188">
        <v>1094.8400000000001</v>
      </c>
      <c r="P43" s="188">
        <v>1201.48</v>
      </c>
      <c r="Q43" s="188">
        <v>1304.5</v>
      </c>
      <c r="R43" s="218">
        <v>16619.730000000003</v>
      </c>
      <c r="S43" s="188">
        <v>358.24</v>
      </c>
      <c r="T43" s="188">
        <v>1652.7700000000002</v>
      </c>
      <c r="U43" s="188">
        <v>1439.29</v>
      </c>
      <c r="V43" s="188">
        <v>841.43000000000006</v>
      </c>
      <c r="W43" s="188">
        <v>2234.39</v>
      </c>
      <c r="X43" s="188">
        <v>1070.8499999999999</v>
      </c>
      <c r="Y43" s="188">
        <v>1595.1</v>
      </c>
      <c r="Z43" s="188">
        <v>1791.3899999999999</v>
      </c>
      <c r="AA43" s="188">
        <v>1641.6100000000001</v>
      </c>
      <c r="AB43" s="188">
        <v>2296.77</v>
      </c>
      <c r="AC43" s="188">
        <v>1536.8899999999999</v>
      </c>
      <c r="AD43" s="188">
        <v>161</v>
      </c>
      <c r="AE43" s="218">
        <v>20682.802</v>
      </c>
      <c r="AF43" s="188">
        <v>1460</v>
      </c>
      <c r="AG43" s="188">
        <v>718.63199999999995</v>
      </c>
      <c r="AH43" s="188">
        <v>650</v>
      </c>
      <c r="AI43" s="188">
        <v>2572.4</v>
      </c>
      <c r="AJ43" s="188">
        <v>867.1</v>
      </c>
      <c r="AK43" s="188">
        <v>1256.9099999999999</v>
      </c>
      <c r="AL43" s="188">
        <v>1798.45</v>
      </c>
      <c r="AM43" s="188">
        <v>1997.8899999999999</v>
      </c>
      <c r="AN43" s="188">
        <v>2115.77</v>
      </c>
      <c r="AO43" s="188">
        <v>3959.3300000000004</v>
      </c>
      <c r="AP43" s="188">
        <v>89</v>
      </c>
      <c r="AQ43" s="188">
        <v>3197.3199999999997</v>
      </c>
      <c r="AR43" s="218">
        <f t="shared" si="51"/>
        <v>26505.29</v>
      </c>
      <c r="AS43" s="188">
        <f>DSUM(G_ENE_2016,GASTO,G_PAPE)</f>
        <v>1705.17</v>
      </c>
      <c r="AT43" s="188">
        <f>DSUM(G_FEB_2016,GASTO,G_PAPE)</f>
        <v>1788.89</v>
      </c>
      <c r="AU43" s="188">
        <f>DSUM(G_MAR_2016,GASTO,G_PAPE)</f>
        <v>1826.78</v>
      </c>
      <c r="AV43" s="188">
        <f>DSUM(G_ABR_2016,GASTO,G_PAPE)</f>
        <v>514.75</v>
      </c>
      <c r="AW43" s="188">
        <f>DSUM(G_MAY_2016,GASTO,G_PAPE)</f>
        <v>4065.98</v>
      </c>
      <c r="AX43" s="188">
        <f>DSUM(G_JUN_2016,GASTO,G_PAPE)</f>
        <v>2232</v>
      </c>
      <c r="AY43" s="188">
        <f>DSUM(G_JUL_2016,GASTO,G_PAPE)</f>
        <v>2020.54</v>
      </c>
      <c r="AZ43" s="188">
        <f>DSUM(G_AGO_2016,GASTO,G_PAPE)</f>
        <v>3703.0499999999997</v>
      </c>
      <c r="BA43" s="188">
        <f>DSUM(G_SEP_2016,GASTO,G_PAPE)</f>
        <v>1283.72</v>
      </c>
      <c r="BB43" s="188">
        <f>DSUM(G_OCT_2016,GASTO,G_PAPE)</f>
        <v>2333.6999999999998</v>
      </c>
      <c r="BC43" s="188">
        <f>DSUM(G_NOV_2016,GASTO,G_PAPE)</f>
        <v>3240.91</v>
      </c>
      <c r="BD43" s="188">
        <f>DSUM(G_DIC_2016,GASTO,G_PAPE)</f>
        <v>1789.8</v>
      </c>
      <c r="BE43" s="218">
        <f t="shared" si="52"/>
        <v>25190</v>
      </c>
      <c r="BF43" s="188">
        <f>DSUM(G_ENE_2017,GASTO,G_PAPE)</f>
        <v>3728.9</v>
      </c>
      <c r="BG43" s="188">
        <f>DSUM(G_FEB_2017,GASTO,G_PAPE)</f>
        <v>2640.02</v>
      </c>
      <c r="BH43" s="188">
        <f>DSUM(G_MAR_2017,GASTO,G_PAPE)</f>
        <v>2046.51</v>
      </c>
      <c r="BI43" s="188">
        <f>DSUM(G_ABR_2017,GASTO,G_PAPE)</f>
        <v>1749</v>
      </c>
      <c r="BJ43" s="188">
        <f>DSUM(G_MAY_2017,GASTO,G_PAPE)</f>
        <v>2068.4</v>
      </c>
      <c r="BK43" s="188">
        <f>DSUM(G_JUN_2017,GASTO,G_PAPE)</f>
        <v>442.9</v>
      </c>
      <c r="BL43" s="188">
        <f>DSUM(G_JUL_2017,GASTO,G_PAPE)</f>
        <v>1549.8</v>
      </c>
      <c r="BM43" s="188">
        <f>DSUM(G_AGO_2017,GASTO,G_PAPE)</f>
        <v>3844</v>
      </c>
      <c r="BN43" s="188">
        <f>DSUM(G_SEP_2017,GASTO,G_PAPE)</f>
        <v>2437.66</v>
      </c>
      <c r="BO43" s="188">
        <f>DSUM(G_OCT_2017,GASTO,G_PAPE)</f>
        <v>272</v>
      </c>
      <c r="BP43" s="188">
        <f>DSUM(G_NOV_2017,GASTO,G_PAPE)</f>
        <v>864.5</v>
      </c>
      <c r="BQ43" s="188">
        <f>DSUM(G_DIC_2017,GASTO,G_PAPE)</f>
        <v>3546.31</v>
      </c>
      <c r="BR43" s="218">
        <f t="shared" si="53"/>
        <v>11605.11</v>
      </c>
      <c r="BS43" s="188">
        <f>DSUM(G_ENE_2018,GASTO,G_PAPE)</f>
        <v>1402</v>
      </c>
      <c r="BT43" s="188">
        <f>DSUM(G_FEB_2018,GASTO,G_PAPE)</f>
        <v>381</v>
      </c>
      <c r="BU43" s="188">
        <f>DSUM(G_MAR_2018,GASTO,G_PAPE)</f>
        <v>1970.5</v>
      </c>
      <c r="BV43" s="188">
        <f>DSUM(G_ABR_2018,GASTO,G_PAPE)</f>
        <v>1184.5</v>
      </c>
      <c r="BW43" s="188">
        <f>DSUM(G_MAY_2018,GASTO,G_PAPE)</f>
        <v>1386.41</v>
      </c>
      <c r="BX43" s="188">
        <f>DSUM(G_JUN_2018,GASTO,G_PAPE)</f>
        <v>2059</v>
      </c>
      <c r="BY43" s="188">
        <f>DSUM(G_JUL_2018,GASTO,G_PAPE)</f>
        <v>1874.2</v>
      </c>
      <c r="BZ43" s="188">
        <f>DSUM(G_AGO_2018,GASTO,G_PAPE)</f>
        <v>472</v>
      </c>
      <c r="CA43" s="188">
        <f>DSUM(G_SEP_2018,GASTO,G_PAPE)</f>
        <v>875.5</v>
      </c>
    </row>
    <row r="44" spans="1:79" x14ac:dyDescent="0.2">
      <c r="A44" s="280" t="s">
        <v>1877</v>
      </c>
      <c r="B44" s="280"/>
      <c r="C44" s="347" t="s">
        <v>2928</v>
      </c>
      <c r="D44" s="218"/>
      <c r="E44" s="218">
        <v>1255.3399999999999</v>
      </c>
      <c r="F44" s="188">
        <v>0</v>
      </c>
      <c r="G44" s="188">
        <v>0</v>
      </c>
      <c r="H44" s="188">
        <v>0</v>
      </c>
      <c r="I44" s="188">
        <v>0</v>
      </c>
      <c r="J44" s="188">
        <v>0</v>
      </c>
      <c r="K44" s="188">
        <v>392</v>
      </c>
      <c r="L44" s="188">
        <v>0</v>
      </c>
      <c r="M44" s="188">
        <v>0</v>
      </c>
      <c r="N44" s="188">
        <v>661.5</v>
      </c>
      <c r="O44" s="188">
        <v>0</v>
      </c>
      <c r="P44" s="188">
        <v>0</v>
      </c>
      <c r="Q44" s="188">
        <v>201.84</v>
      </c>
      <c r="R44" s="218">
        <v>3847.6</v>
      </c>
      <c r="S44" s="188">
        <v>0</v>
      </c>
      <c r="T44" s="188">
        <v>660.6</v>
      </c>
      <c r="U44" s="188">
        <v>0</v>
      </c>
      <c r="V44" s="188">
        <v>209</v>
      </c>
      <c r="W44" s="188">
        <v>0</v>
      </c>
      <c r="X44" s="188">
        <v>150</v>
      </c>
      <c r="Y44" s="188">
        <v>45</v>
      </c>
      <c r="Z44" s="188">
        <v>638</v>
      </c>
      <c r="AA44" s="188">
        <v>0</v>
      </c>
      <c r="AB44" s="188">
        <v>1645</v>
      </c>
      <c r="AC44" s="188">
        <v>500</v>
      </c>
      <c r="AD44" s="188">
        <v>0</v>
      </c>
      <c r="AE44" s="218">
        <v>14092.87</v>
      </c>
      <c r="AF44" s="188">
        <v>194.66</v>
      </c>
      <c r="AG44" s="188">
        <v>92.88</v>
      </c>
      <c r="AH44" s="188">
        <v>0</v>
      </c>
      <c r="AI44" s="188">
        <v>0</v>
      </c>
      <c r="AJ44" s="188">
        <v>116.25</v>
      </c>
      <c r="AK44" s="188">
        <v>9690.52</v>
      </c>
      <c r="AL44" s="188">
        <v>948.56</v>
      </c>
      <c r="AM44" s="188">
        <v>0</v>
      </c>
      <c r="AN44" s="188">
        <v>0</v>
      </c>
      <c r="AO44" s="188">
        <v>0</v>
      </c>
      <c r="AP44" s="188">
        <v>0</v>
      </c>
      <c r="AQ44" s="188">
        <v>3050</v>
      </c>
      <c r="AR44" s="218">
        <f t="shared" si="51"/>
        <v>1991</v>
      </c>
      <c r="AS44" s="188">
        <f>DSUM(G_ENE_2016,GASTO,G_DIF)</f>
        <v>0</v>
      </c>
      <c r="AT44" s="188">
        <f>DSUM(G_FEB_2016,GASTO,G_DIF)</f>
        <v>250</v>
      </c>
      <c r="AU44" s="188">
        <f>DSUM(G_MAR_2016,GASTO,G_DIF)</f>
        <v>150</v>
      </c>
      <c r="AV44" s="188">
        <f>DSUM(G_ABR_2016,GASTO,G_DIF)</f>
        <v>0</v>
      </c>
      <c r="AW44" s="188">
        <f>DSUM(G_MAY_2016,GASTO,G_DIF)</f>
        <v>0</v>
      </c>
      <c r="AX44" s="188">
        <f>DSUM(G_JUN_2016,GASTO,G_DIF)</f>
        <v>0</v>
      </c>
      <c r="AY44" s="188">
        <f>DSUM(G_JUL_2016,GASTO,G_DIF)</f>
        <v>0</v>
      </c>
      <c r="AZ44" s="188">
        <f>DSUM(G_AGO_2016,GASTO,G_DIF)</f>
        <v>0</v>
      </c>
      <c r="BA44" s="188">
        <f>DSUM(G_SEP_2016,GASTO,G_DIF)</f>
        <v>0</v>
      </c>
      <c r="BB44" s="188">
        <f>DSUM(G_OCT_2016,GASTO,G_DIF)</f>
        <v>506</v>
      </c>
      <c r="BC44" s="188">
        <f>DSUM(G_NOV_2016,GASTO,G_DIF)</f>
        <v>0</v>
      </c>
      <c r="BD44" s="188">
        <f>DSUM(G_DIC_2016,GASTO,G_DIF)</f>
        <v>1085</v>
      </c>
      <c r="BE44" s="218">
        <f t="shared" si="52"/>
        <v>348</v>
      </c>
      <c r="BF44" s="188">
        <f>DSUM(G_ENE_2017,GASTO,G_DIF)</f>
        <v>0</v>
      </c>
      <c r="BG44" s="188">
        <f>DSUM(G_FEB_2017,GASTO,G_DIF)</f>
        <v>300</v>
      </c>
      <c r="BH44" s="188">
        <f>DSUM(G_MAR_2017,GASTO,G_DIF)</f>
        <v>48</v>
      </c>
      <c r="BI44" s="188">
        <f>DSUM(G_ABR_2017,GASTO,G_DIF)</f>
        <v>0</v>
      </c>
      <c r="BJ44" s="188">
        <f>DSUM(G_MAY_2017,GASTO,G_DIF)</f>
        <v>0</v>
      </c>
      <c r="BK44" s="188">
        <f>DSUM(G_JUN_2017,GASTO,G_DIF)</f>
        <v>0</v>
      </c>
      <c r="BL44" s="188">
        <f>DSUM(G_JUL_2017,GASTO,G_DIF)</f>
        <v>0</v>
      </c>
      <c r="BM44" s="188">
        <f>DSUM(G_AGO_2017,GASTO,G_DIF)</f>
        <v>0</v>
      </c>
      <c r="BN44" s="188">
        <f>DSUM(G_SEP_2017,GASTO,G_DIF)</f>
        <v>0</v>
      </c>
      <c r="BO44" s="188">
        <f>DSUM(G_OCT_2017,GASTO,G_DIF)</f>
        <v>0</v>
      </c>
      <c r="BP44" s="188">
        <f>DSUM(G_NOV_2017,GASTO,G_DIF)</f>
        <v>0</v>
      </c>
      <c r="BQ44" s="188">
        <f>DSUM(G_DIC_2017,GASTO,G_DIF)</f>
        <v>0</v>
      </c>
      <c r="BR44" s="218">
        <f t="shared" si="53"/>
        <v>840</v>
      </c>
      <c r="BS44" s="188">
        <f>DSUM(G_ENE_2018,GASTO,G_DIF)</f>
        <v>840</v>
      </c>
      <c r="BT44" s="188">
        <f>DSUM(G_FEB_2018,GASTO,G_DIF)</f>
        <v>0</v>
      </c>
      <c r="BU44" s="188">
        <f>DSUM(G_MAR_2018,GASTO,G_DIF)</f>
        <v>0</v>
      </c>
      <c r="BV44" s="188">
        <f>DSUM(G_ABR_2018,GASTO,G_DIF)</f>
        <v>0</v>
      </c>
      <c r="BW44" s="188">
        <f>DSUM(G_MAY_2018,GASTO,G_DIF)</f>
        <v>0</v>
      </c>
      <c r="BX44" s="188">
        <f>DSUM(G_JUN_2018,GASTO,G_DIF)</f>
        <v>0</v>
      </c>
      <c r="BY44" s="188">
        <f>DSUM(G_JUL_2018,GASTO,G_DIF)</f>
        <v>0</v>
      </c>
      <c r="BZ44" s="188">
        <f>DSUM(G_AGO_2018,GASTO,G_DIF)</f>
        <v>0</v>
      </c>
      <c r="CA44" s="188">
        <f>DSUM(G_SEP_2018,GASTO,G_DIF)</f>
        <v>0</v>
      </c>
    </row>
    <row r="45" spans="1:79" x14ac:dyDescent="0.2">
      <c r="A45" s="280" t="s">
        <v>1867</v>
      </c>
      <c r="B45" s="280"/>
      <c r="C45" s="348" t="s">
        <v>2929</v>
      </c>
      <c r="D45" s="219"/>
      <c r="E45" s="219">
        <v>9059.9499999999989</v>
      </c>
      <c r="F45" s="220">
        <v>879</v>
      </c>
      <c r="G45" s="220">
        <v>938</v>
      </c>
      <c r="H45" s="220">
        <v>871</v>
      </c>
      <c r="I45" s="220">
        <v>812</v>
      </c>
      <c r="J45" s="220">
        <v>685.03</v>
      </c>
      <c r="K45" s="220">
        <v>0</v>
      </c>
      <c r="L45" s="220">
        <v>1594.0900000000001</v>
      </c>
      <c r="M45" s="220">
        <v>0</v>
      </c>
      <c r="N45" s="220">
        <v>978.2</v>
      </c>
      <c r="O45" s="220">
        <v>786</v>
      </c>
      <c r="P45" s="220">
        <v>677.63</v>
      </c>
      <c r="Q45" s="220">
        <v>839</v>
      </c>
      <c r="R45" s="219">
        <v>9962</v>
      </c>
      <c r="S45" s="220">
        <v>786</v>
      </c>
      <c r="T45" s="220">
        <v>798</v>
      </c>
      <c r="U45" s="220">
        <v>786</v>
      </c>
      <c r="V45" s="220">
        <v>786</v>
      </c>
      <c r="W45" s="220">
        <v>1572</v>
      </c>
      <c r="X45" s="220">
        <v>0</v>
      </c>
      <c r="Y45" s="220">
        <v>1681</v>
      </c>
      <c r="Z45" s="220">
        <v>0</v>
      </c>
      <c r="AA45" s="220">
        <v>1874</v>
      </c>
      <c r="AB45" s="220">
        <v>863</v>
      </c>
      <c r="AC45" s="220">
        <v>0</v>
      </c>
      <c r="AD45" s="220">
        <v>816</v>
      </c>
      <c r="AE45" s="219">
        <v>12869</v>
      </c>
      <c r="AF45" s="220">
        <v>0</v>
      </c>
      <c r="AG45" s="220">
        <v>1688</v>
      </c>
      <c r="AH45" s="220">
        <v>988</v>
      </c>
      <c r="AI45" s="220">
        <v>1114</v>
      </c>
      <c r="AJ45" s="220">
        <v>1176</v>
      </c>
      <c r="AK45" s="220">
        <v>1240</v>
      </c>
      <c r="AL45" s="220">
        <v>1100</v>
      </c>
      <c r="AM45" s="220">
        <v>1025</v>
      </c>
      <c r="AN45" s="220">
        <v>1095</v>
      </c>
      <c r="AO45" s="220">
        <v>1187</v>
      </c>
      <c r="AP45" s="220">
        <v>1219</v>
      </c>
      <c r="AQ45" s="220">
        <v>1037</v>
      </c>
      <c r="AR45" s="219">
        <f t="shared" si="51"/>
        <v>11947</v>
      </c>
      <c r="AS45" s="220">
        <f>DSUM(G_ENE_2016,GASTO,G_TLF)</f>
        <v>1073</v>
      </c>
      <c r="AT45" s="220">
        <f>DSUM(G_FEB_2016,GASTO,G_TLF)</f>
        <v>997</v>
      </c>
      <c r="AU45" s="220">
        <f>DSUM(G_MAR_2016,GASTO,G_TLF)</f>
        <v>984</v>
      </c>
      <c r="AV45" s="220">
        <f>DSUM(G_ABR_2016,GASTO,G_TLF)</f>
        <v>991</v>
      </c>
      <c r="AW45" s="220">
        <f>DSUM(G_MAY_2016,GASTO,G_TLF)</f>
        <v>1104</v>
      </c>
      <c r="AX45" s="220">
        <f>DSUM(G_JUN_2016,GASTO,G_TLF)</f>
        <v>2386</v>
      </c>
      <c r="AY45" s="220">
        <f>DSUM(G_JUL_2016,GASTO,G_TLF)</f>
        <v>0</v>
      </c>
      <c r="AZ45" s="220">
        <f>DSUM(G_AGO_2016,GASTO,G_TLF)</f>
        <v>1098</v>
      </c>
      <c r="BA45" s="220">
        <f>DSUM(G_SEP_2016,GASTO,G_TLF)</f>
        <v>951</v>
      </c>
      <c r="BB45" s="220">
        <f>DSUM(G_OCT_2016,GASTO,G_TLF)</f>
        <v>791</v>
      </c>
      <c r="BC45" s="220">
        <f>DSUM(G_NOV_2016,GASTO,G_TLF)</f>
        <v>786</v>
      </c>
      <c r="BD45" s="220">
        <f>DSUM(G_DIC_2016,GASTO,G_TLF)</f>
        <v>786</v>
      </c>
      <c r="BE45" s="219">
        <f t="shared" si="52"/>
        <v>13089.01</v>
      </c>
      <c r="BF45" s="220">
        <f>DSUM(G_ENE_2017,GASTO,G_TLF)</f>
        <v>1577</v>
      </c>
      <c r="BG45" s="220">
        <f>DSUM(G_FEB_2017,GASTO,G_TLF)</f>
        <v>0</v>
      </c>
      <c r="BH45" s="220">
        <f>DSUM(G_MAR_2017,GASTO,G_TLF)</f>
        <v>1286</v>
      </c>
      <c r="BI45" s="220">
        <f>DSUM(G_ABR_2017,GASTO,G_TLF)</f>
        <v>948</v>
      </c>
      <c r="BJ45" s="220">
        <f>DSUM(G_MAY_2017,GASTO,G_TLF)</f>
        <v>1133</v>
      </c>
      <c r="BK45" s="220">
        <f>DSUM(G_JUN_2017,GASTO,G_TLF)</f>
        <v>803</v>
      </c>
      <c r="BL45" s="220">
        <f>DSUM(G_JUL_2017,GASTO,G_TLF)</f>
        <v>913</v>
      </c>
      <c r="BM45" s="220">
        <f>DSUM(G_AGO_2017,GASTO,G_TLF)</f>
        <v>795</v>
      </c>
      <c r="BN45" s="220">
        <f>DSUM(G_SEP_2017,GASTO,G_TLF)</f>
        <v>3186.01</v>
      </c>
      <c r="BO45" s="220">
        <f>DSUM(G_OCT_2017,GASTO,G_TLF)</f>
        <v>778</v>
      </c>
      <c r="BP45" s="220">
        <f>DSUM(G_NOV_2017,GASTO,G_TLF)</f>
        <v>892</v>
      </c>
      <c r="BQ45" s="220">
        <f>DSUM(G_DIC_2017,GASTO,G_TLF)</f>
        <v>778</v>
      </c>
      <c r="BR45" s="219">
        <f t="shared" si="53"/>
        <v>7977.96</v>
      </c>
      <c r="BS45" s="220">
        <f>DSUM(G_ENE_2018,GASTO,G_TLF)</f>
        <v>778</v>
      </c>
      <c r="BT45" s="220">
        <f>DSUM(G_FEB_2018,GASTO,G_TLF)</f>
        <v>878</v>
      </c>
      <c r="BU45" s="220">
        <f>DSUM(G_MAR_2018,GASTO,G_TLF)</f>
        <v>893</v>
      </c>
      <c r="BV45" s="220">
        <f>DSUM(G_ABR_2018,GASTO,G_TLF)</f>
        <v>1113</v>
      </c>
      <c r="BW45" s="220">
        <f>DSUM(G_MAY_2018,GASTO,G_TLF)</f>
        <v>804</v>
      </c>
      <c r="BX45" s="220">
        <f>DSUM(G_JUN_2018,GASTO,G_TLF)</f>
        <v>978</v>
      </c>
      <c r="BY45" s="220">
        <f>DSUM(G_JUL_2018,GASTO,G_TLF)</f>
        <v>978</v>
      </c>
      <c r="BZ45" s="220">
        <f>DSUM(G_AGO_2018,GASTO,G_TLF)</f>
        <v>778</v>
      </c>
      <c r="CA45" s="220">
        <f>DSUM(G_SEP_2018,GASTO,G_TLF)</f>
        <v>777.96</v>
      </c>
    </row>
    <row r="46" spans="1:79" x14ac:dyDescent="0.2">
      <c r="A46" s="280"/>
      <c r="B46" s="280"/>
      <c r="C46" s="221" t="s">
        <v>2930</v>
      </c>
      <c r="D46" s="209"/>
      <c r="E46" s="209">
        <v>5954.92</v>
      </c>
      <c r="F46" s="209">
        <v>1.92</v>
      </c>
      <c r="G46" s="209">
        <v>3.84</v>
      </c>
      <c r="H46" s="209">
        <v>4.8</v>
      </c>
      <c r="I46" s="209">
        <v>37.33</v>
      </c>
      <c r="J46" s="209">
        <v>232.75</v>
      </c>
      <c r="K46" s="209">
        <v>108.52</v>
      </c>
      <c r="L46" s="209">
        <v>968.88000000000022</v>
      </c>
      <c r="M46" s="209">
        <v>432.42</v>
      </c>
      <c r="N46" s="209">
        <v>768.12999999999988</v>
      </c>
      <c r="O46" s="209">
        <v>786.91999999999985</v>
      </c>
      <c r="P46" s="209">
        <v>1635.1999999999998</v>
      </c>
      <c r="Q46" s="222">
        <v>974.21</v>
      </c>
      <c r="R46" s="223">
        <v>16523.82</v>
      </c>
      <c r="S46" s="209">
        <v>1767.15</v>
      </c>
      <c r="T46" s="209">
        <v>-1338.73</v>
      </c>
      <c r="U46" s="209">
        <v>1149.29</v>
      </c>
      <c r="V46" s="209">
        <v>2045.1100000000001</v>
      </c>
      <c r="W46" s="209">
        <v>-440.40999999999985</v>
      </c>
      <c r="X46" s="222">
        <v>1630.8000000000002</v>
      </c>
      <c r="Y46" s="222">
        <v>5392.84</v>
      </c>
      <c r="Z46" s="222">
        <v>1929.79</v>
      </c>
      <c r="AA46" s="222">
        <v>-1085.0699999999997</v>
      </c>
      <c r="AB46" s="222">
        <v>3712.1799999999994</v>
      </c>
      <c r="AC46" s="222">
        <v>1188.6400000000003</v>
      </c>
      <c r="AD46" s="222">
        <v>572.2299999999999</v>
      </c>
      <c r="AE46" s="223">
        <v>10612.36</v>
      </c>
      <c r="AF46" s="209">
        <v>-1287.8499999999999</v>
      </c>
      <c r="AG46" s="209">
        <v>2019.98</v>
      </c>
      <c r="AH46" s="209">
        <v>310.84000000000015</v>
      </c>
      <c r="AI46" s="209">
        <v>155.97000000000003</v>
      </c>
      <c r="AJ46" s="209">
        <v>147.24</v>
      </c>
      <c r="AK46" s="209">
        <v>573.07000000000016</v>
      </c>
      <c r="AL46" s="209">
        <v>2108.9</v>
      </c>
      <c r="AM46" s="209">
        <v>628.79000000000042</v>
      </c>
      <c r="AN46" s="209">
        <v>1125.2300000000005</v>
      </c>
      <c r="AO46" s="209">
        <v>438.49</v>
      </c>
      <c r="AP46" s="209">
        <v>345.52000000000021</v>
      </c>
      <c r="AQ46" s="209">
        <v>4046.1799999999994</v>
      </c>
      <c r="AR46" s="223">
        <f t="shared" ref="AR46:AY46" si="54">SUM(AR47)</f>
        <v>6166.36</v>
      </c>
      <c r="AS46" s="209">
        <f t="shared" si="54"/>
        <v>392.17999999999984</v>
      </c>
      <c r="AT46" s="209">
        <f t="shared" si="54"/>
        <v>678.7800000000002</v>
      </c>
      <c r="AU46" s="209">
        <f t="shared" si="54"/>
        <v>1664.3099999999993</v>
      </c>
      <c r="AV46" s="209">
        <f t="shared" si="54"/>
        <v>464.84999999999985</v>
      </c>
      <c r="AW46" s="209">
        <f t="shared" si="54"/>
        <v>246.41000000000003</v>
      </c>
      <c r="AX46" s="209">
        <f t="shared" si="54"/>
        <v>43.630000000000052</v>
      </c>
      <c r="AY46" s="209">
        <f t="shared" si="54"/>
        <v>681.02999999999975</v>
      </c>
      <c r="AZ46" s="209">
        <f t="shared" ref="AZ46:BH46" si="55">SUM(AZ47)</f>
        <v>750.15000000000032</v>
      </c>
      <c r="BA46" s="209">
        <f t="shared" si="55"/>
        <v>345.65000000000026</v>
      </c>
      <c r="BB46" s="209">
        <f t="shared" si="55"/>
        <v>105.83000000000013</v>
      </c>
      <c r="BC46" s="209">
        <f t="shared" si="55"/>
        <v>79.150000000000034</v>
      </c>
      <c r="BD46" s="209">
        <f t="shared" si="55"/>
        <v>714.3900000000001</v>
      </c>
      <c r="BE46" s="223">
        <f t="shared" si="55"/>
        <v>3198.8300000000008</v>
      </c>
      <c r="BF46" s="209">
        <f t="shared" si="55"/>
        <v>94.279999999999944</v>
      </c>
      <c r="BG46" s="209">
        <f t="shared" si="55"/>
        <v>1711.2000000000003</v>
      </c>
      <c r="BH46" s="209">
        <f t="shared" si="55"/>
        <v>6.72</v>
      </c>
      <c r="BI46" s="209">
        <f t="shared" ref="BI46:BM46" si="56">SUM(BI47)</f>
        <v>8.9600000000000009</v>
      </c>
      <c r="BJ46" s="209">
        <f t="shared" si="56"/>
        <v>402.24</v>
      </c>
      <c r="BK46" s="209">
        <f t="shared" si="56"/>
        <v>6.72</v>
      </c>
      <c r="BL46" s="209">
        <f t="shared" si="56"/>
        <v>15.68</v>
      </c>
      <c r="BM46" s="209">
        <f t="shared" si="56"/>
        <v>11.2</v>
      </c>
      <c r="BN46" s="209">
        <f>SUM(BN47)</f>
        <v>128.28999999999994</v>
      </c>
      <c r="BO46" s="209">
        <f>SUM(BO47)</f>
        <v>37.380000000000095</v>
      </c>
      <c r="BP46" s="209">
        <f>SUM(BP47)</f>
        <v>15.549999999999999</v>
      </c>
      <c r="BQ46" s="209">
        <f>SUM(BQ47)</f>
        <v>760.61000000000047</v>
      </c>
      <c r="BR46" s="223">
        <f t="shared" ref="BR46" si="57">SUM(BR47)</f>
        <v>1936.0200000000002</v>
      </c>
      <c r="BS46" s="209">
        <f t="shared" ref="BS46:BW46" si="58">SUM(BS47)</f>
        <v>117.5200000000001</v>
      </c>
      <c r="BT46" s="209">
        <f t="shared" si="58"/>
        <v>271.53999999999985</v>
      </c>
      <c r="BU46" s="209">
        <f t="shared" si="58"/>
        <v>1452.88</v>
      </c>
      <c r="BV46" s="209">
        <f t="shared" si="58"/>
        <v>2.88</v>
      </c>
      <c r="BW46" s="209">
        <f t="shared" si="58"/>
        <v>8.64</v>
      </c>
      <c r="BX46" s="209">
        <f>SUM(BX47)</f>
        <v>5.76</v>
      </c>
      <c r="BY46" s="209">
        <f>SUM(BY47)</f>
        <v>5.76</v>
      </c>
      <c r="BZ46" s="209">
        <f>SUM(BZ47)</f>
        <v>5.76</v>
      </c>
      <c r="CA46" s="209">
        <f>SUM(CA47)</f>
        <v>65.28</v>
      </c>
    </row>
    <row r="47" spans="1:79" x14ac:dyDescent="0.2">
      <c r="A47" s="280" t="s">
        <v>2931</v>
      </c>
      <c r="B47" s="280"/>
      <c r="C47" s="224" t="s">
        <v>2932</v>
      </c>
      <c r="D47" s="225"/>
      <c r="E47" s="225">
        <v>5954.92</v>
      </c>
      <c r="F47" s="215">
        <v>1.92</v>
      </c>
      <c r="G47" s="215">
        <v>3.84</v>
      </c>
      <c r="H47" s="215">
        <v>4.8</v>
      </c>
      <c r="I47" s="215">
        <v>37.33</v>
      </c>
      <c r="J47" s="215">
        <v>232.75</v>
      </c>
      <c r="K47" s="215">
        <v>108.52</v>
      </c>
      <c r="L47" s="215">
        <v>968.88000000000022</v>
      </c>
      <c r="M47" s="215">
        <v>432.42</v>
      </c>
      <c r="N47" s="215">
        <v>768.12999999999988</v>
      </c>
      <c r="O47" s="215">
        <v>786.91999999999985</v>
      </c>
      <c r="P47" s="215">
        <v>1635.1999999999998</v>
      </c>
      <c r="Q47" s="215">
        <v>974.21</v>
      </c>
      <c r="R47" s="225">
        <v>16523.82</v>
      </c>
      <c r="S47" s="215">
        <v>1767.15</v>
      </c>
      <c r="T47" s="215">
        <v>-1338.73</v>
      </c>
      <c r="U47" s="215">
        <v>1149.29</v>
      </c>
      <c r="V47" s="215">
        <v>2045.1100000000001</v>
      </c>
      <c r="W47" s="215">
        <v>-440.40999999999985</v>
      </c>
      <c r="X47" s="215">
        <v>1630.8000000000002</v>
      </c>
      <c r="Y47" s="215">
        <v>5392.84</v>
      </c>
      <c r="Z47" s="215">
        <v>1929.79</v>
      </c>
      <c r="AA47" s="215">
        <v>-1085.0699999999997</v>
      </c>
      <c r="AB47" s="215">
        <v>3712.1799999999994</v>
      </c>
      <c r="AC47" s="215">
        <v>1188.6400000000003</v>
      </c>
      <c r="AD47" s="215">
        <v>572.2299999999999</v>
      </c>
      <c r="AE47" s="225">
        <v>10612.36</v>
      </c>
      <c r="AF47" s="215">
        <v>-1287.8499999999999</v>
      </c>
      <c r="AG47" s="215">
        <v>2019.98</v>
      </c>
      <c r="AH47" s="215">
        <v>310.84000000000015</v>
      </c>
      <c r="AI47" s="215">
        <v>155.97000000000003</v>
      </c>
      <c r="AJ47" s="215">
        <v>147.24</v>
      </c>
      <c r="AK47" s="215">
        <v>573.07000000000016</v>
      </c>
      <c r="AL47" s="215">
        <v>2108.9</v>
      </c>
      <c r="AM47" s="215">
        <v>628.79000000000042</v>
      </c>
      <c r="AN47" s="215">
        <v>1125.2300000000005</v>
      </c>
      <c r="AO47" s="215">
        <v>438.49</v>
      </c>
      <c r="AP47" s="215">
        <v>345.52000000000021</v>
      </c>
      <c r="AQ47" s="215">
        <v>4046.1799999999994</v>
      </c>
      <c r="AR47" s="225">
        <f>SUM(AS47:BD47)</f>
        <v>6166.36</v>
      </c>
      <c r="AS47" s="215">
        <f>DSUM(G_ENE_2016,IVA,G_TOTAL)</f>
        <v>392.17999999999984</v>
      </c>
      <c r="AT47" s="215">
        <f>DSUM(G_FEB_2016,IVA,G_TOTAL)</f>
        <v>678.7800000000002</v>
      </c>
      <c r="AU47" s="215">
        <f>DSUM(G_MAR_2016,IVA,G_TOTAL)</f>
        <v>1664.3099999999993</v>
      </c>
      <c r="AV47" s="215">
        <f>DSUM(G_ABR_2016,IVA,G_TOTAL)</f>
        <v>464.84999999999985</v>
      </c>
      <c r="AW47" s="215">
        <f>DSUM(G_MAY_2016,IVA,G_TOTAL)</f>
        <v>246.41000000000003</v>
      </c>
      <c r="AX47" s="215">
        <f>DSUM(G_JUN_2016,IVA,G_TOTAL)</f>
        <v>43.630000000000052</v>
      </c>
      <c r="AY47" s="215">
        <f>DSUM(G_JUL_2016,IVA,G_TOTAL)</f>
        <v>681.02999999999975</v>
      </c>
      <c r="AZ47" s="215">
        <f>DSUM(G_AGO_2016,IVA,G_TOTAL)</f>
        <v>750.15000000000032</v>
      </c>
      <c r="BA47" s="215">
        <f>DSUM(G_SEP_2016,IVA,G_TOTAL)</f>
        <v>345.65000000000026</v>
      </c>
      <c r="BB47" s="215">
        <f>DSUM(G_OCT_2016,IVA,G_TOTAL)</f>
        <v>105.83000000000013</v>
      </c>
      <c r="BC47" s="215">
        <f>DSUM(G_NOV_2016,IVA,G_TOTAL)</f>
        <v>79.150000000000034</v>
      </c>
      <c r="BD47" s="215">
        <f>DSUM(G_DIC_2016,IVA,G_TOTAL)</f>
        <v>714.3900000000001</v>
      </c>
      <c r="BE47" s="225">
        <f>SUM(BF47:BQ47)</f>
        <v>3198.8300000000008</v>
      </c>
      <c r="BF47" s="215">
        <f>DSUM(G_ENE_2017,IVA,G_TOTAL)</f>
        <v>94.279999999999944</v>
      </c>
      <c r="BG47" s="215">
        <f>DSUM(G_FEB_2017,IVA,G_TOTAL)</f>
        <v>1711.2000000000003</v>
      </c>
      <c r="BH47" s="215">
        <f>DSUM(G_MAR_2017,IVA,G_TOTAL)</f>
        <v>6.72</v>
      </c>
      <c r="BI47" s="215">
        <f>DSUM(G_ABR_2017,IVA,G_TOTAL)</f>
        <v>8.9600000000000009</v>
      </c>
      <c r="BJ47" s="215">
        <f>DSUM(G_MAY_2017,IVA,G_TOTAL)</f>
        <v>402.24</v>
      </c>
      <c r="BK47" s="215">
        <f>DSUM(G_JUN_2017,IVA,G_TOTAL)</f>
        <v>6.72</v>
      </c>
      <c r="BL47" s="215">
        <f>DSUM(G_JUL_2017,IVA,G_TOTAL)</f>
        <v>15.68</v>
      </c>
      <c r="BM47" s="215">
        <f>DSUM(G_AGO_2017,IVA,G_TOTAL)</f>
        <v>11.2</v>
      </c>
      <c r="BN47" s="215">
        <f>DSUM(G_SEP_2017,IVA,G_TOTAL)</f>
        <v>128.28999999999994</v>
      </c>
      <c r="BO47" s="215">
        <f>DSUM(G_OCT_2017,IVA,G_TOTAL)</f>
        <v>37.380000000000095</v>
      </c>
      <c r="BP47" s="215">
        <f>DSUM(G_NOV_2017,IVA,G_TOTAL)</f>
        <v>15.549999999999999</v>
      </c>
      <c r="BQ47" s="215">
        <f>DSUM(G_DIC_2017,IVA,G_TOTAL)</f>
        <v>760.61000000000047</v>
      </c>
      <c r="BR47" s="225">
        <f>SUM(BS47:CC47)</f>
        <v>1936.0200000000002</v>
      </c>
      <c r="BS47" s="215">
        <f>DSUM(G_ENE_2018,IVA,G_TOTAL)</f>
        <v>117.5200000000001</v>
      </c>
      <c r="BT47" s="215">
        <f>DSUM(G_FEB_2018,IVA,G_TOTAL)</f>
        <v>271.53999999999985</v>
      </c>
      <c r="BU47" s="215">
        <f>DSUM(G_MAR_2018,IVA,G_TOTAL)</f>
        <v>1452.88</v>
      </c>
      <c r="BV47" s="215">
        <f>DSUM(G_ABR_2018,IVA,G_TOTAL)</f>
        <v>2.88</v>
      </c>
      <c r="BW47" s="215">
        <f>DSUM(G_MAY_2018,IVA,G_TOTAL)</f>
        <v>8.64</v>
      </c>
      <c r="BX47" s="215">
        <f>DSUM(G_JUN_2018,IVA,G_TOTAL)</f>
        <v>5.76</v>
      </c>
      <c r="BY47" s="215">
        <f>DSUM(G_JUL_2018,IVA,G_TOTAL)</f>
        <v>5.76</v>
      </c>
      <c r="BZ47" s="215">
        <f>DSUM(G_AGO_2018,IVA,G_TOTAL)</f>
        <v>5.76</v>
      </c>
      <c r="CA47" s="215">
        <f>DSUM(G_SEP_2018,IVA,G_TOTAL)</f>
        <v>65.28</v>
      </c>
    </row>
    <row r="48" spans="1:79" ht="21.95" customHeight="1" thickBot="1" x14ac:dyDescent="0.25">
      <c r="A48" s="226"/>
      <c r="B48" s="226"/>
      <c r="C48" s="196" t="s">
        <v>2933</v>
      </c>
      <c r="D48" s="197">
        <v>0</v>
      </c>
      <c r="E48" s="197">
        <v>1065424.3099999998</v>
      </c>
      <c r="F48" s="197">
        <v>137992.95999999999</v>
      </c>
      <c r="G48" s="197">
        <v>109553.06999999998</v>
      </c>
      <c r="H48" s="197">
        <v>85166</v>
      </c>
      <c r="I48" s="197">
        <v>73705.64</v>
      </c>
      <c r="J48" s="197">
        <v>94775.89</v>
      </c>
      <c r="K48" s="197">
        <v>64916.30999999999</v>
      </c>
      <c r="L48" s="197">
        <v>65841.89</v>
      </c>
      <c r="M48" s="197">
        <v>65683.58</v>
      </c>
      <c r="N48" s="197">
        <v>77560.899999999994</v>
      </c>
      <c r="O48" s="197">
        <v>84060.389999999985</v>
      </c>
      <c r="P48" s="197">
        <v>77118.689999999988</v>
      </c>
      <c r="Q48" s="197">
        <v>129048.99</v>
      </c>
      <c r="R48" s="227">
        <v>1207345.32</v>
      </c>
      <c r="S48" s="228">
        <v>88230.05</v>
      </c>
      <c r="T48" s="229">
        <v>70309.88</v>
      </c>
      <c r="U48" s="229">
        <v>93669.889999999985</v>
      </c>
      <c r="V48" s="229">
        <v>105547.73</v>
      </c>
      <c r="W48" s="229">
        <v>120213.48999999999</v>
      </c>
      <c r="X48" s="229">
        <v>94412.780000000013</v>
      </c>
      <c r="Y48" s="229">
        <v>119567.01</v>
      </c>
      <c r="Z48" s="229">
        <v>100607.73</v>
      </c>
      <c r="AA48" s="229">
        <v>95719.889999999985</v>
      </c>
      <c r="AB48" s="229">
        <v>99833.51999999999</v>
      </c>
      <c r="AC48" s="229">
        <v>89955.819999999992</v>
      </c>
      <c r="AD48" s="229">
        <v>129277.52999999998</v>
      </c>
      <c r="AE48" s="230">
        <v>1529246.1020000002</v>
      </c>
      <c r="AF48" s="231">
        <v>87002.95</v>
      </c>
      <c r="AG48" s="231">
        <v>101569.942</v>
      </c>
      <c r="AH48" s="231">
        <v>87995.28</v>
      </c>
      <c r="AI48" s="231">
        <v>94695.15</v>
      </c>
      <c r="AJ48" s="231">
        <v>132802.38999999998</v>
      </c>
      <c r="AK48" s="231">
        <v>224758.06</v>
      </c>
      <c r="AL48" s="231">
        <v>158161.51999999999</v>
      </c>
      <c r="AM48" s="231">
        <v>111281.18</v>
      </c>
      <c r="AN48" s="231">
        <v>113473.56999999999</v>
      </c>
      <c r="AO48" s="231">
        <v>103275.42</v>
      </c>
      <c r="AP48" s="231">
        <v>129288.54000000001</v>
      </c>
      <c r="AQ48" s="231">
        <v>184942.09999999998</v>
      </c>
      <c r="AR48" s="230">
        <f>SUM(AR15,AR23,AR28,AR36,AR46)</f>
        <v>1438774.0710000002</v>
      </c>
      <c r="AS48" s="231">
        <f>SUM(AS15,AS23,AS28,AS36,AS46)</f>
        <v>112565.82999999999</v>
      </c>
      <c r="AT48" s="231">
        <f>SUM(AT15,AT23,AT28,AT36,AT46)</f>
        <v>122424.12</v>
      </c>
      <c r="AU48" s="231">
        <f>SUM(AU15,AU23,AU28,AU36,AU46)</f>
        <v>102595.66</v>
      </c>
      <c r="AV48" s="231">
        <f>SUM(AV15,AV23,AV28,AV36,AV46)</f>
        <v>116821.351</v>
      </c>
      <c r="AW48" s="231">
        <f t="shared" ref="AW48:BB48" si="59">SUM(AW15,AW23,AW28,AW36,AW46)</f>
        <v>120836.64000000001</v>
      </c>
      <c r="AX48" s="231">
        <f t="shared" si="59"/>
        <v>125890.13000000003</v>
      </c>
      <c r="AY48" s="231">
        <f t="shared" si="59"/>
        <v>124341.14</v>
      </c>
      <c r="AZ48" s="231">
        <f t="shared" si="59"/>
        <v>125820.20999999999</v>
      </c>
      <c r="BA48" s="231">
        <f t="shared" si="59"/>
        <v>130230.75</v>
      </c>
      <c r="BB48" s="231">
        <f t="shared" si="59"/>
        <v>80541.52</v>
      </c>
      <c r="BC48" s="231">
        <f t="shared" ref="BC48:BI48" si="60">SUM(BC15,BC23,BC28,BC36,BC46)</f>
        <v>123367.37999999999</v>
      </c>
      <c r="BD48" s="231">
        <f t="shared" si="60"/>
        <v>153339.34000000003</v>
      </c>
      <c r="BE48" s="230">
        <f t="shared" si="60"/>
        <v>1409941.69</v>
      </c>
      <c r="BF48" s="231">
        <f t="shared" si="60"/>
        <v>120247.88</v>
      </c>
      <c r="BG48" s="231">
        <f t="shared" si="60"/>
        <v>138442.72</v>
      </c>
      <c r="BH48" s="231">
        <f t="shared" si="60"/>
        <v>137480.62999999998</v>
      </c>
      <c r="BI48" s="231">
        <f t="shared" si="60"/>
        <v>130877.11</v>
      </c>
      <c r="BJ48" s="231">
        <f t="shared" ref="BJ48:BK48" si="61">SUM(BJ15,BJ23,BJ28,BJ36,BJ46)</f>
        <v>119366.09999999999</v>
      </c>
      <c r="BK48" s="231">
        <f t="shared" si="61"/>
        <v>80763.87</v>
      </c>
      <c r="BL48" s="231">
        <f t="shared" ref="BL48:BP48" si="62">SUM(BL15,BL23,BL28,BL36,BL46)</f>
        <v>115317.62999999999</v>
      </c>
      <c r="BM48" s="231">
        <f t="shared" si="62"/>
        <v>111164.37999999999</v>
      </c>
      <c r="BN48" s="231">
        <f t="shared" si="62"/>
        <v>103193.81999999999</v>
      </c>
      <c r="BO48" s="231">
        <f t="shared" si="62"/>
        <v>104155.65000000001</v>
      </c>
      <c r="BP48" s="231">
        <f t="shared" si="62"/>
        <v>109781.24</v>
      </c>
      <c r="BQ48" s="231">
        <f>SUM(BQ15,BQ23,BQ28,BQ36,BQ46)</f>
        <v>139150.65999999997</v>
      </c>
      <c r="BR48" s="230">
        <f t="shared" ref="BR48" si="63">SUM(BR15,BR23,BR28,BR36,BR46)</f>
        <v>1135211.83</v>
      </c>
      <c r="BS48" s="231">
        <f t="shared" ref="BS48:BX48" si="64">SUM(BS15,BS23,BS28,BS36,BS46)</f>
        <v>119190.59</v>
      </c>
      <c r="BT48" s="231">
        <f t="shared" si="64"/>
        <v>121535.64</v>
      </c>
      <c r="BU48" s="231">
        <f t="shared" si="64"/>
        <v>141985.69</v>
      </c>
      <c r="BV48" s="231">
        <f t="shared" si="64"/>
        <v>138763.81</v>
      </c>
      <c r="BW48" s="231">
        <f t="shared" si="64"/>
        <v>133555.51</v>
      </c>
      <c r="BX48" s="231">
        <f t="shared" si="64"/>
        <v>125969.62</v>
      </c>
      <c r="BY48" s="231">
        <f t="shared" ref="BY48:BZ48" si="65">SUM(BY15,BY23,BY28,BY36,BY46)</f>
        <v>127429.36999999998</v>
      </c>
      <c r="BZ48" s="231">
        <f t="shared" si="65"/>
        <v>115411.51999999997</v>
      </c>
      <c r="CA48" s="231">
        <f t="shared" ref="CA48" si="66">SUM(CA15,CA23,CA28,CA36,CA46)</f>
        <v>111370.08</v>
      </c>
    </row>
    <row r="49" spans="1:79" ht="21.95" customHeight="1" thickTop="1" thickBot="1" x14ac:dyDescent="0.25">
      <c r="C49" s="232" t="s">
        <v>2934</v>
      </c>
      <c r="D49" s="197"/>
      <c r="E49" s="197">
        <v>50654.40000000014</v>
      </c>
      <c r="F49" s="197">
        <v>6052.0400000000081</v>
      </c>
      <c r="G49" s="198">
        <v>-6298.0699999999779</v>
      </c>
      <c r="H49" s="197">
        <v>12889</v>
      </c>
      <c r="I49" s="197">
        <v>-10710.64</v>
      </c>
      <c r="J49" s="197">
        <v>-1190.8899999999994</v>
      </c>
      <c r="K49" s="197">
        <v>20598.69000000001</v>
      </c>
      <c r="L49" s="197">
        <v>17193.11</v>
      </c>
      <c r="M49" s="197">
        <v>9872.1300000000047</v>
      </c>
      <c r="N49" s="197">
        <v>25154.100000000006</v>
      </c>
      <c r="O49" s="197">
        <v>-5545.3899999999849</v>
      </c>
      <c r="P49" s="197">
        <v>-3083.6899999999878</v>
      </c>
      <c r="Q49" s="197">
        <v>-14275.990000000005</v>
      </c>
      <c r="R49" s="233">
        <v>84254.679999999935</v>
      </c>
      <c r="S49" s="233">
        <v>48284.95</v>
      </c>
      <c r="T49" s="234">
        <v>66265.119999999995</v>
      </c>
      <c r="U49" s="233">
        <v>26595.110000000015</v>
      </c>
      <c r="V49" s="233">
        <v>-18672.729999999996</v>
      </c>
      <c r="W49" s="233">
        <v>-27538.489999999991</v>
      </c>
      <c r="X49" s="233">
        <v>-13637.780000000013</v>
      </c>
      <c r="Y49" s="233">
        <v>-27082.009999999995</v>
      </c>
      <c r="Z49" s="233">
        <v>22242.270000000004</v>
      </c>
      <c r="AA49" s="233">
        <v>33890.110000000015</v>
      </c>
      <c r="AB49" s="233">
        <v>-17098.51999999999</v>
      </c>
      <c r="AC49" s="233">
        <v>34599.180000000008</v>
      </c>
      <c r="AD49" s="233">
        <v>-43592.529999999984</v>
      </c>
      <c r="AE49" s="235">
        <v>-160736.10200000019</v>
      </c>
      <c r="AF49" s="233">
        <v>70632.05</v>
      </c>
      <c r="AG49" s="233">
        <v>8735.0580000000045</v>
      </c>
      <c r="AH49" s="233">
        <v>47259.72</v>
      </c>
      <c r="AI49" s="233">
        <v>6179.8500000000058</v>
      </c>
      <c r="AJ49" s="235">
        <v>-25407.389999999985</v>
      </c>
      <c r="AK49" s="235">
        <v>-131533.06</v>
      </c>
      <c r="AL49" s="235">
        <v>-73951.51999999999</v>
      </c>
      <c r="AM49" s="233">
        <v>153.82000000000698</v>
      </c>
      <c r="AN49" s="233">
        <v>1906.4300000000076</v>
      </c>
      <c r="AO49" s="233">
        <v>11859.580000000002</v>
      </c>
      <c r="AP49" s="235">
        <v>-523.54000000000815</v>
      </c>
      <c r="AQ49" s="235">
        <v>-76047.099999999977</v>
      </c>
      <c r="AR49" s="235">
        <f t="shared" ref="AR49:AW49" si="67">AR13-AR48</f>
        <v>28955.928999999771</v>
      </c>
      <c r="AS49" s="233">
        <f t="shared" si="67"/>
        <v>105124.17000000001</v>
      </c>
      <c r="AT49" s="233">
        <f t="shared" si="67"/>
        <v>-23654.119999999995</v>
      </c>
      <c r="AU49" s="233">
        <f t="shared" si="67"/>
        <v>-17900.660000000003</v>
      </c>
      <c r="AV49" s="233">
        <f t="shared" si="67"/>
        <v>-10266.350999999995</v>
      </c>
      <c r="AW49" s="233">
        <f t="shared" si="67"/>
        <v>-3791.640000000014</v>
      </c>
      <c r="AX49" s="233">
        <f t="shared" ref="AX49:BC49" si="68">AX13-AX48</f>
        <v>21144.869999999966</v>
      </c>
      <c r="AY49" s="233">
        <f t="shared" si="68"/>
        <v>4883.8600000000006</v>
      </c>
      <c r="AZ49" s="233">
        <f t="shared" si="68"/>
        <v>-8095.2099999999919</v>
      </c>
      <c r="BA49" s="233">
        <f t="shared" si="68"/>
        <v>-24155.75</v>
      </c>
      <c r="BB49" s="233">
        <f t="shared" si="68"/>
        <v>13883.479999999996</v>
      </c>
      <c r="BC49" s="233">
        <f t="shared" si="68"/>
        <v>-10152.37999999999</v>
      </c>
      <c r="BD49" s="233">
        <f t="shared" ref="BD49:BI49" si="69">BD13-BD48</f>
        <v>-18064.340000000026</v>
      </c>
      <c r="BE49" s="235">
        <f t="shared" si="69"/>
        <v>48095.310000000056</v>
      </c>
      <c r="BF49" s="233">
        <f t="shared" si="69"/>
        <v>97737.12</v>
      </c>
      <c r="BG49" s="233">
        <f t="shared" si="69"/>
        <v>-15607.720000000001</v>
      </c>
      <c r="BH49" s="233">
        <f t="shared" si="69"/>
        <v>-18955.629999999976</v>
      </c>
      <c r="BI49" s="233">
        <f t="shared" si="69"/>
        <v>-17048.11</v>
      </c>
      <c r="BJ49" s="233">
        <f t="shared" ref="BJ49:BO49" si="70">BJ13-BJ48</f>
        <v>-24841.099999999991</v>
      </c>
      <c r="BK49" s="233">
        <f t="shared" si="70"/>
        <v>5761.1300000000047</v>
      </c>
      <c r="BL49" s="233">
        <f t="shared" si="70"/>
        <v>-16442.62999999999</v>
      </c>
      <c r="BM49" s="233">
        <f t="shared" si="70"/>
        <v>-6701.3799999999901</v>
      </c>
      <c r="BN49" s="233">
        <f t="shared" si="70"/>
        <v>-9618.8199999999924</v>
      </c>
      <c r="BO49" s="233">
        <f t="shared" si="70"/>
        <v>10769.349999999991</v>
      </c>
      <c r="BP49" s="233">
        <f>BP13-BP48</f>
        <v>4118.7599999999948</v>
      </c>
      <c r="BQ49" s="233">
        <f>BQ13-BQ48</f>
        <v>38924.340000000026</v>
      </c>
      <c r="BR49" s="235">
        <f t="shared" ref="BR49" si="71">BR13-BR48</f>
        <v>-56331.830000000075</v>
      </c>
      <c r="BS49" s="233">
        <f t="shared" ref="BS49:BW49" si="72">BS13-BS48</f>
        <v>46964.41</v>
      </c>
      <c r="BT49" s="233">
        <f t="shared" si="72"/>
        <v>23964.36</v>
      </c>
      <c r="BU49" s="233">
        <f t="shared" si="72"/>
        <v>-24210.690000000002</v>
      </c>
      <c r="BV49" s="233">
        <f t="shared" si="72"/>
        <v>2761.1900000000023</v>
      </c>
      <c r="BW49" s="233">
        <f t="shared" si="72"/>
        <v>-51680.510000000009</v>
      </c>
      <c r="BX49" s="233">
        <f>BX13-BX48</f>
        <v>-17094.619999999995</v>
      </c>
      <c r="BY49" s="233">
        <f>BY13-BY48</f>
        <v>-29704.369999999981</v>
      </c>
      <c r="BZ49" s="233">
        <f>BZ13-BZ48</f>
        <v>-10036.519999999975</v>
      </c>
      <c r="CA49" s="233">
        <f>CA13-CA48</f>
        <v>2704.9199999999983</v>
      </c>
    </row>
    <row r="50" spans="1:79" ht="21.95" customHeight="1" thickTop="1" thickBot="1" x14ac:dyDescent="0.25">
      <c r="C50" s="236" t="s">
        <v>2935</v>
      </c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8"/>
      <c r="S50" s="237"/>
      <c r="T50" s="237"/>
      <c r="U50" s="237"/>
      <c r="V50" s="237"/>
      <c r="W50" s="237"/>
      <c r="X50" s="239"/>
      <c r="Y50" s="239"/>
      <c r="Z50" s="239"/>
      <c r="AA50" s="239"/>
      <c r="AB50" s="239"/>
      <c r="AC50" s="239"/>
      <c r="AD50" s="239"/>
      <c r="AE50" s="238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  <c r="AP50" s="237"/>
      <c r="AQ50" s="237"/>
      <c r="AR50" s="238"/>
      <c r="AS50" s="237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8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  <c r="BR50" s="238"/>
      <c r="BS50" s="237"/>
      <c r="BT50" s="237"/>
      <c r="BU50" s="237"/>
      <c r="BV50" s="237"/>
      <c r="BW50" s="237"/>
      <c r="BX50" s="237"/>
      <c r="BY50" s="237"/>
      <c r="BZ50" s="237"/>
      <c r="CA50" s="237"/>
    </row>
    <row r="51" spans="1:79" ht="13.5" thickTop="1" x14ac:dyDescent="0.2">
      <c r="A51" s="240"/>
      <c r="B51" s="240"/>
      <c r="C51" s="213" t="s">
        <v>2936</v>
      </c>
      <c r="D51" s="188"/>
      <c r="E51" s="188"/>
      <c r="F51" s="188"/>
      <c r="G51" s="188"/>
      <c r="H51" s="188">
        <v>8240.4199999999983</v>
      </c>
      <c r="I51" s="188">
        <v>9963.2199999999975</v>
      </c>
      <c r="J51" s="241">
        <v>-1948.4200000000055</v>
      </c>
      <c r="K51" s="188">
        <v>5978.3999999999978</v>
      </c>
      <c r="L51" s="188">
        <v>27985.620000000006</v>
      </c>
      <c r="M51" s="188">
        <v>33078.120000000017</v>
      </c>
      <c r="N51" s="188">
        <v>32349.500000000022</v>
      </c>
      <c r="O51" s="188">
        <v>46787.500000000029</v>
      </c>
      <c r="P51" s="188">
        <v>30641.36000000003</v>
      </c>
      <c r="Q51" s="242">
        <v>17257.210000000036</v>
      </c>
      <c r="R51" s="188">
        <v>8208.3100000000268</v>
      </c>
      <c r="S51" s="188">
        <v>8208.3100000000268</v>
      </c>
      <c r="T51" s="188">
        <v>-27269.649999999951</v>
      </c>
      <c r="U51" s="188">
        <v>4242.4500000000698</v>
      </c>
      <c r="V51" s="188">
        <v>-16115.659999999916</v>
      </c>
      <c r="W51" s="188">
        <v>15087.100000000064</v>
      </c>
      <c r="X51" s="188">
        <v>875.990000000078</v>
      </c>
      <c r="Y51" s="188">
        <v>30000.240000000049</v>
      </c>
      <c r="Z51" s="188">
        <v>2652.5700000000361</v>
      </c>
      <c r="AA51" s="188">
        <v>10994.380000000063</v>
      </c>
      <c r="AB51" s="188">
        <v>25485.480000000069</v>
      </c>
      <c r="AC51" s="188">
        <v>7786.2100000000792</v>
      </c>
      <c r="AD51" s="188">
        <v>30084.640000000072</v>
      </c>
      <c r="AE51" s="188">
        <v>42219.200000000099</v>
      </c>
      <c r="AF51" s="188">
        <v>42219.200000000099</v>
      </c>
      <c r="AG51" s="188">
        <v>77370.790000000095</v>
      </c>
      <c r="AH51" s="188">
        <v>85405.098000000056</v>
      </c>
      <c r="AI51" s="188">
        <v>80404.068000000145</v>
      </c>
      <c r="AJ51" s="188">
        <v>68723.168000000063</v>
      </c>
      <c r="AK51" s="188">
        <v>60871.01800000004</v>
      </c>
      <c r="AL51" s="188">
        <v>28414.498000000051</v>
      </c>
      <c r="AM51" s="188">
        <v>41826.938000000111</v>
      </c>
      <c r="AN51" s="188">
        <v>26319.858000000124</v>
      </c>
      <c r="AO51" s="188">
        <v>19437.908000000127</v>
      </c>
      <c r="AP51" s="188">
        <v>36252.688000000133</v>
      </c>
      <c r="AQ51" s="188">
        <v>36724.488000000121</v>
      </c>
      <c r="AR51" s="188">
        <f>AQ54</f>
        <v>3799.8180000001448</v>
      </c>
      <c r="AS51" s="188">
        <f>AQ54</f>
        <v>3799.8180000001448</v>
      </c>
      <c r="AT51" s="188">
        <f t="shared" ref="AT51:BD51" si="73">AS54</f>
        <v>108923.98800000016</v>
      </c>
      <c r="AU51" s="188">
        <f t="shared" si="73"/>
        <v>24209.578000000161</v>
      </c>
      <c r="AV51" s="188">
        <f t="shared" si="73"/>
        <v>-5835.9519999998447</v>
      </c>
      <c r="AW51" s="188">
        <f t="shared" si="73"/>
        <v>-5573.3229999998366</v>
      </c>
      <c r="AX51" s="188">
        <f>AW54</f>
        <v>-5910.2229999998526</v>
      </c>
      <c r="AY51" s="188">
        <f t="shared" si="73"/>
        <v>21520.627000000117</v>
      </c>
      <c r="AZ51" s="188">
        <f t="shared" si="73"/>
        <v>32771.547000000115</v>
      </c>
      <c r="BA51" s="188">
        <f>AZ54</f>
        <v>7871.0770000001212</v>
      </c>
      <c r="BB51" s="188">
        <f t="shared" si="73"/>
        <v>-7315.4529999998776</v>
      </c>
      <c r="BC51" s="188">
        <f t="shared" si="73"/>
        <v>8540.2870000001203</v>
      </c>
      <c r="BD51" s="188">
        <f t="shared" si="73"/>
        <v>30408.88700000013</v>
      </c>
      <c r="BE51" s="188">
        <f t="shared" ref="BE51:BK51" si="74">BD54</f>
        <v>21307.847000000103</v>
      </c>
      <c r="BF51" s="188">
        <f t="shared" si="74"/>
        <v>21307.85</v>
      </c>
      <c r="BG51" s="188">
        <f t="shared" si="74"/>
        <v>110716.79</v>
      </c>
      <c r="BH51" s="188">
        <f t="shared" si="74"/>
        <v>83940.799999999988</v>
      </c>
      <c r="BI51" s="188">
        <f t="shared" si="74"/>
        <v>57757.99000000002</v>
      </c>
      <c r="BJ51" s="188">
        <f t="shared" si="74"/>
        <v>43674.090000000018</v>
      </c>
      <c r="BK51" s="188">
        <f t="shared" si="74"/>
        <v>8448.480000000025</v>
      </c>
      <c r="BL51" s="188">
        <f>BK54</f>
        <v>16857.580000000031</v>
      </c>
      <c r="BM51" s="188">
        <f>BL54</f>
        <v>20817.880000000041</v>
      </c>
      <c r="BN51" s="188">
        <f>BM54</f>
        <v>14396.80000000005</v>
      </c>
      <c r="BO51" s="188">
        <v>6079.6</v>
      </c>
      <c r="BP51" s="188">
        <v>20981.14</v>
      </c>
      <c r="BQ51" s="188">
        <v>24911.74</v>
      </c>
      <c r="BR51" s="188">
        <f>BQ54</f>
        <v>51091.870000000024</v>
      </c>
      <c r="BS51" s="188">
        <v>51091.87</v>
      </c>
      <c r="BT51" s="188">
        <v>88176.7</v>
      </c>
      <c r="BU51" s="188">
        <v>102261.48</v>
      </c>
      <c r="BV51" s="188">
        <v>65771.06</v>
      </c>
      <c r="BW51" s="188">
        <v>57852.67</v>
      </c>
      <c r="BX51" s="188">
        <v>42933.9</v>
      </c>
      <c r="BY51" s="188">
        <v>34379.99</v>
      </c>
      <c r="BZ51" s="188">
        <v>19816.919999999998</v>
      </c>
      <c r="CA51" s="188">
        <v>17521.259999999998</v>
      </c>
    </row>
    <row r="52" spans="1:79" ht="13.5" thickBot="1" x14ac:dyDescent="0.25">
      <c r="A52" s="240"/>
      <c r="B52" s="240"/>
      <c r="C52" s="217" t="s">
        <v>2937</v>
      </c>
      <c r="D52" s="188"/>
      <c r="E52" s="188"/>
      <c r="F52" s="188"/>
      <c r="G52" s="188"/>
      <c r="H52" s="188">
        <v>21140.39</v>
      </c>
      <c r="I52" s="188">
        <v>32306.59</v>
      </c>
      <c r="J52" s="188">
        <v>33507.590000000004</v>
      </c>
      <c r="K52" s="188">
        <v>24389.88</v>
      </c>
      <c r="L52" s="188">
        <v>22981.350000000002</v>
      </c>
      <c r="M52" s="188">
        <v>35081.96</v>
      </c>
      <c r="N52" s="188">
        <v>45682.71</v>
      </c>
      <c r="O52" s="188">
        <v>56398.81</v>
      </c>
      <c r="P52" s="188">
        <v>66999.560000000012</v>
      </c>
      <c r="Q52" s="188">
        <v>77300.020000000019</v>
      </c>
      <c r="R52" s="188">
        <v>72072.930000000022</v>
      </c>
      <c r="S52" s="188">
        <v>72072.930000000022</v>
      </c>
      <c r="T52" s="188">
        <v>155835.84</v>
      </c>
      <c r="U52" s="188">
        <v>190588.86</v>
      </c>
      <c r="V52" s="188">
        <v>237542.08</v>
      </c>
      <c r="W52" s="188">
        <v>187666.59</v>
      </c>
      <c r="X52" s="188">
        <v>174339.21</v>
      </c>
      <c r="Y52" s="188">
        <v>131577.18</v>
      </c>
      <c r="Z52" s="188">
        <v>131842.84</v>
      </c>
      <c r="AA52" s="188">
        <v>145743.29999999999</v>
      </c>
      <c r="AB52" s="188">
        <v>165142.31</v>
      </c>
      <c r="AC52" s="188">
        <v>165743.06</v>
      </c>
      <c r="AD52" s="188">
        <v>178043.81</v>
      </c>
      <c r="AE52" s="188">
        <v>122316.72</v>
      </c>
      <c r="AF52" s="188">
        <v>122316.72</v>
      </c>
      <c r="AG52" s="188">
        <v>157797.18</v>
      </c>
      <c r="AH52" s="188">
        <v>158497.93000000005</v>
      </c>
      <c r="AI52" s="188">
        <v>210758.68</v>
      </c>
      <c r="AJ52" s="188">
        <v>228619.43000000005</v>
      </c>
      <c r="AK52" s="188">
        <v>211064.19000000006</v>
      </c>
      <c r="AL52" s="188">
        <v>111987.65000000005</v>
      </c>
      <c r="AM52" s="188">
        <v>24623.69</v>
      </c>
      <c r="AN52" s="188">
        <v>40284.589999999997</v>
      </c>
      <c r="AO52" s="188">
        <v>49072.97</v>
      </c>
      <c r="AP52" s="188">
        <v>44117.77</v>
      </c>
      <c r="AQ52" s="188">
        <v>43122.43</v>
      </c>
      <c r="AR52" s="188">
        <f>AQ56</f>
        <v>0</v>
      </c>
      <c r="AS52" s="188">
        <f>AQ56</f>
        <v>0</v>
      </c>
      <c r="AT52" s="188">
        <f t="shared" ref="AT52:AY52" si="75">AS56</f>
        <v>0</v>
      </c>
      <c r="AU52" s="188">
        <f t="shared" si="75"/>
        <v>61060.29</v>
      </c>
      <c r="AV52" s="188">
        <f t="shared" si="75"/>
        <v>73205.16</v>
      </c>
      <c r="AW52" s="188">
        <f t="shared" si="75"/>
        <v>62676.18</v>
      </c>
      <c r="AX52" s="188">
        <f t="shared" si="75"/>
        <v>59221.440000000002</v>
      </c>
      <c r="AY52" s="188">
        <f t="shared" si="75"/>
        <v>52935.46</v>
      </c>
      <c r="AZ52" s="188">
        <f t="shared" ref="AZ52:BE52" si="76">AY56</f>
        <v>46568.4</v>
      </c>
      <c r="BA52" s="188">
        <f t="shared" si="76"/>
        <v>63373.66</v>
      </c>
      <c r="BB52" s="188">
        <f t="shared" si="76"/>
        <v>54404.44</v>
      </c>
      <c r="BC52" s="188">
        <f t="shared" si="76"/>
        <v>52432.18</v>
      </c>
      <c r="BD52" s="188">
        <f t="shared" si="76"/>
        <v>20411.2</v>
      </c>
      <c r="BE52" s="188">
        <f t="shared" si="76"/>
        <v>11447.9</v>
      </c>
      <c r="BF52" s="188">
        <v>11447.9</v>
      </c>
      <c r="BG52" s="188">
        <v>19776.080000000002</v>
      </c>
      <c r="BH52" s="188">
        <v>30944.35</v>
      </c>
      <c r="BI52" s="188">
        <v>38171.53</v>
      </c>
      <c r="BJ52" s="188">
        <v>35207.32</v>
      </c>
      <c r="BK52" s="188">
        <v>45591.83</v>
      </c>
      <c r="BL52" s="188">
        <v>42943.86</v>
      </c>
      <c r="BM52" s="188">
        <v>22540.93</v>
      </c>
      <c r="BN52" s="188">
        <v>22260.63</v>
      </c>
      <c r="BO52" s="188">
        <v>20959.009999999998</v>
      </c>
      <c r="BP52" s="188">
        <v>16826.82</v>
      </c>
      <c r="BQ52" s="188">
        <v>17014.98</v>
      </c>
      <c r="BR52" s="188">
        <f>BQ56</f>
        <v>29759.19</v>
      </c>
      <c r="BS52" s="188">
        <v>29759.19</v>
      </c>
      <c r="BT52" s="188">
        <v>39638.769999999997</v>
      </c>
      <c r="BU52" s="188">
        <v>49518.35</v>
      </c>
      <c r="BV52" s="188">
        <v>61798.080000000002</v>
      </c>
      <c r="BW52" s="188">
        <v>72477.66</v>
      </c>
      <c r="BX52" s="188">
        <v>35715.919999999998</v>
      </c>
      <c r="BY52" s="188">
        <v>27175.21</v>
      </c>
      <c r="BZ52" s="188">
        <v>12033.91</v>
      </c>
      <c r="CA52" s="188">
        <v>4293.05</v>
      </c>
    </row>
    <row r="53" spans="1:79" ht="21.95" customHeight="1" thickTop="1" thickBot="1" x14ac:dyDescent="0.25">
      <c r="C53" s="236" t="s">
        <v>2938</v>
      </c>
      <c r="D53" s="237"/>
      <c r="E53" s="237"/>
      <c r="F53" s="237"/>
      <c r="G53" s="237"/>
      <c r="H53" s="237"/>
      <c r="I53" s="237"/>
      <c r="J53" s="237"/>
      <c r="K53" s="237"/>
      <c r="L53" s="239"/>
      <c r="M53" s="239"/>
      <c r="N53" s="239"/>
      <c r="O53" s="239"/>
      <c r="P53" s="239"/>
      <c r="Q53" s="233"/>
      <c r="R53" s="238"/>
      <c r="S53" s="237"/>
      <c r="T53" s="237"/>
      <c r="U53" s="237"/>
      <c r="V53" s="237"/>
      <c r="W53" s="237"/>
      <c r="X53" s="239"/>
      <c r="Y53" s="239"/>
      <c r="Z53" s="239"/>
      <c r="AA53" s="239"/>
      <c r="AB53" s="239"/>
      <c r="AC53" s="239"/>
      <c r="AD53" s="239"/>
      <c r="AE53" s="238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8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8"/>
      <c r="BF53" s="237"/>
      <c r="BG53" s="237"/>
      <c r="BH53" s="237"/>
      <c r="BI53" s="237"/>
      <c r="BJ53" s="237"/>
      <c r="BK53" s="237"/>
      <c r="BL53" s="237"/>
      <c r="BM53" s="237"/>
      <c r="BN53" s="237"/>
      <c r="BO53" s="237"/>
      <c r="BP53" s="237"/>
      <c r="BQ53" s="237"/>
      <c r="BR53" s="238"/>
      <c r="BS53" s="237"/>
      <c r="BT53" s="237"/>
      <c r="BU53" s="237"/>
      <c r="BV53" s="237"/>
      <c r="BW53" s="237"/>
      <c r="BX53" s="237"/>
      <c r="BY53" s="237"/>
      <c r="BZ53" s="237"/>
      <c r="CA53" s="237"/>
    </row>
    <row r="54" spans="1:79" ht="13.5" thickTop="1" x14ac:dyDescent="0.2">
      <c r="A54" s="240"/>
      <c r="B54" s="240"/>
      <c r="C54" s="243" t="s">
        <v>2936</v>
      </c>
      <c r="D54" s="242"/>
      <c r="E54" s="242"/>
      <c r="F54" s="242"/>
      <c r="G54" s="242">
        <v>8240.4199999999983</v>
      </c>
      <c r="H54" s="242">
        <v>9963.2199999999975</v>
      </c>
      <c r="I54" s="242">
        <v>-1948.4200000000055</v>
      </c>
      <c r="J54" s="242">
        <v>5978.3999999999978</v>
      </c>
      <c r="K54" s="242">
        <v>27985.620000000006</v>
      </c>
      <c r="L54" s="242">
        <v>33078.120000000017</v>
      </c>
      <c r="M54" s="242">
        <v>32349.500000000022</v>
      </c>
      <c r="N54" s="242">
        <v>46787.500000000029</v>
      </c>
      <c r="O54" s="242">
        <v>30641.36000000003</v>
      </c>
      <c r="P54" s="242">
        <v>17257.210000000036</v>
      </c>
      <c r="Q54" s="242">
        <v>8208.3100000000268</v>
      </c>
      <c r="R54" s="242">
        <v>-606.39000000001397</v>
      </c>
      <c r="S54" s="242">
        <v>-27269.649999999951</v>
      </c>
      <c r="T54" s="242">
        <v>4242.4500000000698</v>
      </c>
      <c r="U54" s="242">
        <v>-16115.659999999916</v>
      </c>
      <c r="V54" s="242">
        <v>15087.100000000064</v>
      </c>
      <c r="W54" s="242">
        <v>875.990000000078</v>
      </c>
      <c r="X54" s="242">
        <v>30000.240000000049</v>
      </c>
      <c r="Y54" s="242">
        <v>2652.5700000000361</v>
      </c>
      <c r="Z54" s="242">
        <v>10994.380000000063</v>
      </c>
      <c r="AA54" s="242">
        <v>25485.480000000069</v>
      </c>
      <c r="AB54" s="242">
        <v>7786.2100000000792</v>
      </c>
      <c r="AC54" s="242">
        <v>30084.640000000072</v>
      </c>
      <c r="AD54" s="242">
        <v>42219.200000000099</v>
      </c>
      <c r="AE54" s="242">
        <v>-45273.152000000089</v>
      </c>
      <c r="AF54" s="242">
        <v>77370.790000000095</v>
      </c>
      <c r="AG54" s="242">
        <v>85405.098000000056</v>
      </c>
      <c r="AH54" s="242">
        <v>80404.068000000145</v>
      </c>
      <c r="AI54" s="242">
        <v>68723.168000000063</v>
      </c>
      <c r="AJ54" s="242">
        <v>60871.01800000004</v>
      </c>
      <c r="AK54" s="242">
        <v>28414.498000000051</v>
      </c>
      <c r="AL54" s="242">
        <v>41826.938000000111</v>
      </c>
      <c r="AM54" s="242">
        <v>26319.858000000124</v>
      </c>
      <c r="AN54" s="242">
        <v>19437.908000000127</v>
      </c>
      <c r="AO54" s="242">
        <v>36252.688000000133</v>
      </c>
      <c r="AP54" s="242">
        <v>36724.488000000121</v>
      </c>
      <c r="AQ54" s="242">
        <v>3799.8180000001448</v>
      </c>
      <c r="AR54" s="242">
        <f t="shared" ref="AR54:AW54" si="77">SUM(AR51:AR52,AR49,-(AR56+AR55))</f>
        <v>-21648.693000000087</v>
      </c>
      <c r="AS54" s="242">
        <f>SUM(AS51:AS52,AS49,-(AS56+AS55))</f>
        <v>108923.98800000016</v>
      </c>
      <c r="AT54" s="242">
        <f t="shared" si="77"/>
        <v>24209.578000000161</v>
      </c>
      <c r="AU54" s="242">
        <f t="shared" si="77"/>
        <v>-5835.9519999998447</v>
      </c>
      <c r="AV54" s="242">
        <f t="shared" si="77"/>
        <v>-5573.3229999998366</v>
      </c>
      <c r="AW54" s="242">
        <f t="shared" si="77"/>
        <v>-5910.2229999998526</v>
      </c>
      <c r="AX54" s="242">
        <f t="shared" ref="AX54:BC54" si="78">SUM(AX51:AX52,AX49,-(AX56+AX55))</f>
        <v>21520.627000000117</v>
      </c>
      <c r="AY54" s="242">
        <f t="shared" si="78"/>
        <v>32771.547000000115</v>
      </c>
      <c r="AZ54" s="242">
        <f t="shared" si="78"/>
        <v>7871.0770000001212</v>
      </c>
      <c r="BA54" s="242">
        <f t="shared" si="78"/>
        <v>-7315.4529999998776</v>
      </c>
      <c r="BB54" s="242">
        <f t="shared" si="78"/>
        <v>8540.2870000001203</v>
      </c>
      <c r="BC54" s="242">
        <f t="shared" si="78"/>
        <v>30408.88700000013</v>
      </c>
      <c r="BD54" s="242">
        <f>SUM(BD51:BD52,BD49,-(BD56+BD55))</f>
        <v>21307.847000000103</v>
      </c>
      <c r="BE54" s="242">
        <v>21307.85</v>
      </c>
      <c r="BF54" s="242">
        <f t="shared" ref="BF54:BK54" si="79">SUM(BF51:BF52,BF49,-(BF56+BF55))</f>
        <v>110716.79</v>
      </c>
      <c r="BG54" s="242">
        <f t="shared" si="79"/>
        <v>83940.799999999988</v>
      </c>
      <c r="BH54" s="242">
        <f t="shared" si="79"/>
        <v>57757.99000000002</v>
      </c>
      <c r="BI54" s="242">
        <f t="shared" si="79"/>
        <v>43674.090000000018</v>
      </c>
      <c r="BJ54" s="242">
        <f t="shared" si="79"/>
        <v>8448.480000000025</v>
      </c>
      <c r="BK54" s="242">
        <f t="shared" si="79"/>
        <v>16857.580000000031</v>
      </c>
      <c r="BL54" s="242">
        <f t="shared" ref="BL54" si="80">SUM(BL51:BL52,BL49,-(BL56+BL55))</f>
        <v>20817.880000000041</v>
      </c>
      <c r="BM54" s="242">
        <f>SUM(BM51:BM52,BM49,-(BM56+BM55))</f>
        <v>14396.80000000005</v>
      </c>
      <c r="BN54" s="242">
        <f>SUM(BN51:BN52,BN49,-(BN56+BN55))</f>
        <v>6079.6000000000604</v>
      </c>
      <c r="BO54" s="242">
        <f>SUM(BO51:BO52,BO49,-(BO56+BO55))</f>
        <v>20981.139999999992</v>
      </c>
      <c r="BP54" s="242">
        <f>SUM(BP51:BP52,BP49,-(BP56+BP55))</f>
        <v>24911.739999999994</v>
      </c>
      <c r="BQ54" s="242">
        <f>SUM(BQ51:BQ52,BQ49,-(BQ56+BQ55))</f>
        <v>51091.870000000024</v>
      </c>
      <c r="BR54" s="242">
        <v>21307.85</v>
      </c>
      <c r="BS54" s="242">
        <f t="shared" ref="BS54" si="81">SUM(BS51:BS52,BS49,-(BS56+BS55))</f>
        <v>88176.700000000012</v>
      </c>
      <c r="BT54" s="242">
        <f t="shared" ref="BT54:BY54" si="82">SUM(BT51:BT52,BT49,-(BT56+BT55))</f>
        <v>102261.48000000001</v>
      </c>
      <c r="BU54" s="242">
        <f t="shared" si="82"/>
        <v>65771.059999999983</v>
      </c>
      <c r="BV54" s="242">
        <f t="shared" si="82"/>
        <v>57852.67</v>
      </c>
      <c r="BW54" s="242">
        <f t="shared" si="82"/>
        <v>42933.899999999994</v>
      </c>
      <c r="BX54" s="242">
        <f t="shared" si="82"/>
        <v>34379.990000000013</v>
      </c>
      <c r="BY54" s="242">
        <f t="shared" si="82"/>
        <v>19816.920000000016</v>
      </c>
      <c r="BZ54" s="242">
        <f t="shared" ref="BZ54:CA54" si="83">SUM(BZ51:BZ52,BZ49,-(BZ56+BZ55))</f>
        <v>17521.260000000024</v>
      </c>
      <c r="CA54" s="242">
        <f t="shared" si="83"/>
        <v>10798.999999999996</v>
      </c>
    </row>
    <row r="55" spans="1:79" x14ac:dyDescent="0.2">
      <c r="A55" s="240"/>
      <c r="B55" s="240"/>
      <c r="C55" s="244" t="s">
        <v>2939</v>
      </c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>
        <v>0</v>
      </c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>
        <v>0</v>
      </c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>
        <f>BA55</f>
        <v>0</v>
      </c>
      <c r="AS55" s="245"/>
      <c r="AT55" s="245"/>
      <c r="AU55" s="245"/>
      <c r="AV55" s="245"/>
      <c r="AW55" s="245"/>
      <c r="AX55" s="245"/>
      <c r="AY55" s="245"/>
      <c r="AZ55" s="245"/>
      <c r="BA55" s="245"/>
      <c r="BB55" s="245"/>
      <c r="BC55" s="245"/>
      <c r="BD55" s="245"/>
      <c r="BE55" s="245">
        <f>BN55</f>
        <v>0</v>
      </c>
      <c r="BF55" s="245"/>
      <c r="BG55" s="245"/>
      <c r="BH55" s="245"/>
      <c r="BI55" s="245"/>
      <c r="BJ55" s="245"/>
      <c r="BK55" s="245"/>
      <c r="BL55" s="245"/>
      <c r="BM55" s="245"/>
      <c r="BN55" s="245"/>
      <c r="BO55" s="245"/>
      <c r="BP55" s="245"/>
      <c r="BQ55" s="245"/>
      <c r="BR55" s="245">
        <f>BZ55</f>
        <v>0</v>
      </c>
      <c r="BS55" s="245"/>
      <c r="BT55" s="245"/>
      <c r="BU55" s="245"/>
      <c r="BV55" s="245"/>
      <c r="BW55" s="245"/>
      <c r="BX55" s="245"/>
      <c r="BY55" s="245"/>
      <c r="BZ55" s="245"/>
      <c r="CA55" s="245"/>
    </row>
    <row r="56" spans="1:79" ht="13.5" thickBot="1" x14ac:dyDescent="0.25">
      <c r="A56" s="240"/>
      <c r="B56" s="240"/>
      <c r="C56" s="246" t="s">
        <v>2937</v>
      </c>
      <c r="D56" s="247"/>
      <c r="E56" s="247"/>
      <c r="F56" s="247"/>
      <c r="G56" s="247">
        <v>21140.39</v>
      </c>
      <c r="H56" s="247">
        <v>32306.59</v>
      </c>
      <c r="I56" s="247">
        <v>33507.590000000004</v>
      </c>
      <c r="J56" s="247">
        <v>24389.88</v>
      </c>
      <c r="K56" s="247">
        <v>22981.350000000002</v>
      </c>
      <c r="L56" s="247">
        <v>35081.96</v>
      </c>
      <c r="M56" s="247">
        <v>45682.71</v>
      </c>
      <c r="N56" s="247">
        <v>56398.81</v>
      </c>
      <c r="O56" s="247">
        <v>66999.560000000012</v>
      </c>
      <c r="P56" s="247">
        <v>77300.020000000019</v>
      </c>
      <c r="Q56" s="248">
        <v>72072.930000000022</v>
      </c>
      <c r="R56" s="247">
        <v>165142.31</v>
      </c>
      <c r="S56" s="247">
        <v>155835.84</v>
      </c>
      <c r="T56" s="247">
        <v>190588.86</v>
      </c>
      <c r="U56" s="247">
        <v>237542.08</v>
      </c>
      <c r="V56" s="247">
        <v>187666.59</v>
      </c>
      <c r="W56" s="247">
        <v>174339.21</v>
      </c>
      <c r="X56" s="247">
        <v>131577.18</v>
      </c>
      <c r="Y56" s="247">
        <v>131842.84</v>
      </c>
      <c r="Z56" s="247">
        <v>145743.29999999999</v>
      </c>
      <c r="AA56" s="247">
        <v>165142.31</v>
      </c>
      <c r="AB56" s="247">
        <v>165743.06</v>
      </c>
      <c r="AC56" s="247">
        <v>178043.81</v>
      </c>
      <c r="AD56" s="247">
        <v>122316.72</v>
      </c>
      <c r="AE56" s="249">
        <v>49072.97</v>
      </c>
      <c r="AF56" s="249">
        <v>157797.18</v>
      </c>
      <c r="AG56" s="249">
        <v>158497.93000000005</v>
      </c>
      <c r="AH56" s="249">
        <v>210758.68</v>
      </c>
      <c r="AI56" s="249">
        <v>228619.43000000005</v>
      </c>
      <c r="AJ56" s="249">
        <v>211064.19000000006</v>
      </c>
      <c r="AK56" s="249">
        <v>111987.65000000005</v>
      </c>
      <c r="AL56" s="250">
        <v>24623.69</v>
      </c>
      <c r="AM56" s="250">
        <v>40284.589999999997</v>
      </c>
      <c r="AN56" s="250">
        <v>49072.97</v>
      </c>
      <c r="AO56" s="250">
        <v>44117.77</v>
      </c>
      <c r="AP56" s="250">
        <v>43122.43</v>
      </c>
      <c r="AQ56" s="250">
        <v>0</v>
      </c>
      <c r="AR56" s="251">
        <f>BA56</f>
        <v>54404.44</v>
      </c>
      <c r="AS56" s="251">
        <v>0</v>
      </c>
      <c r="AT56" s="251">
        <v>61060.29</v>
      </c>
      <c r="AU56" s="251">
        <v>73205.16</v>
      </c>
      <c r="AV56" s="251">
        <v>62676.18</v>
      </c>
      <c r="AW56" s="252">
        <v>59221.440000000002</v>
      </c>
      <c r="AX56" s="252">
        <v>52935.46</v>
      </c>
      <c r="AY56" s="251">
        <v>46568.4</v>
      </c>
      <c r="AZ56" s="251">
        <v>63373.66</v>
      </c>
      <c r="BA56" s="251">
        <v>54404.44</v>
      </c>
      <c r="BB56" s="251">
        <v>52432.18</v>
      </c>
      <c r="BC56" s="253">
        <v>20411.2</v>
      </c>
      <c r="BD56" s="253">
        <v>11447.9</v>
      </c>
      <c r="BE56" s="251">
        <v>11447.9</v>
      </c>
      <c r="BF56" s="253">
        <v>19776.080000000002</v>
      </c>
      <c r="BG56" s="253">
        <v>30944.35</v>
      </c>
      <c r="BH56" s="253">
        <v>38171.53</v>
      </c>
      <c r="BI56" s="253">
        <v>35207.32</v>
      </c>
      <c r="BJ56" s="253">
        <v>45591.83</v>
      </c>
      <c r="BK56" s="253">
        <v>42943.86</v>
      </c>
      <c r="BL56" s="253">
        <v>22540.93</v>
      </c>
      <c r="BM56" s="253">
        <v>22260.63</v>
      </c>
      <c r="BN56" s="253">
        <v>20959.009999999998</v>
      </c>
      <c r="BO56" s="253">
        <v>16826.82</v>
      </c>
      <c r="BP56" s="253">
        <v>17014.98</v>
      </c>
      <c r="BQ56" s="253">
        <v>29759.19</v>
      </c>
      <c r="BR56" s="251">
        <v>11447.9</v>
      </c>
      <c r="BS56" s="253">
        <v>39638.769999999997</v>
      </c>
      <c r="BT56" s="253">
        <v>49518.35</v>
      </c>
      <c r="BU56" s="253">
        <v>61798.080000000002</v>
      </c>
      <c r="BV56" s="253">
        <v>72477.66</v>
      </c>
      <c r="BW56" s="253">
        <v>35715.919999999998</v>
      </c>
      <c r="BX56" s="253">
        <v>27175.21</v>
      </c>
      <c r="BY56" s="253">
        <v>12033.91</v>
      </c>
      <c r="BZ56" s="253">
        <v>4293.05</v>
      </c>
      <c r="CA56" s="253">
        <v>13720.23</v>
      </c>
    </row>
    <row r="57" spans="1:79" ht="13.5" thickTop="1" x14ac:dyDescent="0.2">
      <c r="C57" s="380" t="s">
        <v>2940</v>
      </c>
      <c r="E57" s="112"/>
      <c r="F57" s="112"/>
      <c r="G57" s="112"/>
      <c r="H57" s="112"/>
      <c r="I57" s="112"/>
      <c r="R57" s="112"/>
      <c r="S57" s="112"/>
      <c r="T57" s="112"/>
      <c r="U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254"/>
      <c r="AS57" s="254"/>
      <c r="AT57" s="254">
        <f t="shared" ref="AT57:AY57" si="84">SUM(AT54:AT56)</f>
        <v>85269.868000000162</v>
      </c>
      <c r="AU57" s="254">
        <f t="shared" si="84"/>
        <v>67369.208000000159</v>
      </c>
      <c r="AV57" s="254">
        <f t="shared" si="84"/>
        <v>57102.857000000164</v>
      </c>
      <c r="AW57" s="254">
        <f t="shared" si="84"/>
        <v>53311.21700000015</v>
      </c>
      <c r="AX57" s="254">
        <f t="shared" si="84"/>
        <v>74456.087000000116</v>
      </c>
      <c r="AY57" s="254">
        <f t="shared" si="84"/>
        <v>79339.947000000117</v>
      </c>
      <c r="AZ57" s="254">
        <f>SUM(AZ54:AZ56)</f>
        <v>71244.737000000125</v>
      </c>
      <c r="BA57" s="254">
        <f>SUM(BA54:BA56)</f>
        <v>47088.987000000125</v>
      </c>
      <c r="BB57" s="254">
        <f>SUM(BB54:BB56)</f>
        <v>60972.467000000121</v>
      </c>
      <c r="BC57" s="254">
        <f>SUM(BC54:BC56)</f>
        <v>50820.087000000131</v>
      </c>
      <c r="BD57" s="254">
        <f>SUM(BD54:BD56)</f>
        <v>32755.747000000105</v>
      </c>
      <c r="BE57" s="254"/>
      <c r="BF57" s="379">
        <f t="shared" ref="BF57:BK57" si="85">SUM(BF54:BF56)</f>
        <v>130492.87</v>
      </c>
      <c r="BG57" s="379">
        <f t="shared" si="85"/>
        <v>114885.15</v>
      </c>
      <c r="BH57" s="379">
        <f t="shared" si="85"/>
        <v>95929.520000000019</v>
      </c>
      <c r="BI57" s="379">
        <f t="shared" si="85"/>
        <v>78881.410000000018</v>
      </c>
      <c r="BJ57" s="379">
        <f t="shared" si="85"/>
        <v>54040.310000000027</v>
      </c>
      <c r="BK57" s="379">
        <f t="shared" si="85"/>
        <v>59801.440000000031</v>
      </c>
      <c r="BL57" s="379">
        <f t="shared" ref="BL57:BM57" si="86">SUM(BL54:BL56)</f>
        <v>43358.810000000041</v>
      </c>
      <c r="BM57" s="379">
        <f t="shared" si="86"/>
        <v>36657.430000000051</v>
      </c>
      <c r="BN57" s="379">
        <f t="shared" ref="BN57:BO57" si="87">SUM(BN54:BN56)</f>
        <v>27038.610000000059</v>
      </c>
      <c r="BO57" s="379">
        <f t="shared" si="87"/>
        <v>37807.959999999992</v>
      </c>
      <c r="BP57" s="379">
        <f t="shared" ref="BP57:BQ57" si="88">SUM(BP54:BP56)</f>
        <v>41926.719999999994</v>
      </c>
      <c r="BQ57" s="379">
        <f t="shared" si="88"/>
        <v>80851.060000000027</v>
      </c>
      <c r="BR57" s="254"/>
      <c r="BS57" s="379">
        <f t="shared" ref="BS57:BT57" si="89">SUM(BS54:BS56)</f>
        <v>127815.47</v>
      </c>
      <c r="BT57" s="379">
        <f t="shared" si="89"/>
        <v>151779.83000000002</v>
      </c>
      <c r="BU57" s="379">
        <f t="shared" ref="BU57:BV57" si="90">SUM(BU54:BU56)</f>
        <v>127569.13999999998</v>
      </c>
      <c r="BV57" s="379">
        <f t="shared" si="90"/>
        <v>130330.33</v>
      </c>
      <c r="BW57" s="379">
        <f t="shared" ref="BW57" si="91">SUM(BW54:BW56)</f>
        <v>78649.819999999992</v>
      </c>
      <c r="BX57" s="379">
        <f>SUM(BX54:BX56)</f>
        <v>61555.200000000012</v>
      </c>
      <c r="BY57" s="379">
        <f>SUM(BY54:BY56)</f>
        <v>31850.830000000016</v>
      </c>
      <c r="BZ57" s="379">
        <f>SUM(BZ54:BZ56)</f>
        <v>21814.310000000023</v>
      </c>
      <c r="CA57" s="379">
        <f>SUM(CA54:CA56)</f>
        <v>24519.229999999996</v>
      </c>
    </row>
    <row r="58" spans="1:79" x14ac:dyDescent="0.2">
      <c r="G58" s="64"/>
      <c r="J58" s="1"/>
      <c r="P58" s="64"/>
      <c r="Q58" s="64"/>
      <c r="T58" s="64"/>
      <c r="Z58" s="175"/>
      <c r="AA58" s="1"/>
      <c r="AB58" s="1"/>
      <c r="AC58" s="1"/>
      <c r="AD58" s="1"/>
    </row>
    <row r="60" spans="1:79" x14ac:dyDescent="0.2">
      <c r="BB60" s="188">
        <v>8540.2900000000009</v>
      </c>
    </row>
    <row r="61" spans="1:79" x14ac:dyDescent="0.2">
      <c r="BB61" s="323">
        <f>BB60-BB54</f>
        <v>2.9999998805578798E-3</v>
      </c>
    </row>
    <row r="62" spans="1:79" x14ac:dyDescent="0.2">
      <c r="BB62" s="188"/>
    </row>
    <row r="63" spans="1:79" x14ac:dyDescent="0.2">
      <c r="BB63" s="188"/>
    </row>
  </sheetData>
  <printOptions horizontalCentered="1" verticalCentered="1"/>
  <pageMargins left="0.23622047244094491" right="0.23622047244094491" top="0.15748031496062992" bottom="0.94488188976377963" header="0.31496062992125984" footer="0.31496062992125984"/>
  <pageSetup scale="65"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8" sqref="C18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109</vt:i4>
      </vt:variant>
    </vt:vector>
  </HeadingPairs>
  <TitlesOfParts>
    <vt:vector size="118" baseType="lpstr">
      <vt:lpstr>base</vt:lpstr>
      <vt:lpstr>criterios</vt:lpstr>
      <vt:lpstr>Comprobación</vt:lpstr>
      <vt:lpstr>Cobranza</vt:lpstr>
      <vt:lpstr>Recibos</vt:lpstr>
      <vt:lpstr>Gasto</vt:lpstr>
      <vt:lpstr>chequera</vt:lpstr>
      <vt:lpstr>financiero</vt:lpstr>
      <vt:lpstr>Hoja1</vt:lpstr>
      <vt:lpstr>ABR_2016</vt:lpstr>
      <vt:lpstr>ABR_2017</vt:lpstr>
      <vt:lpstr>ABR_2018</vt:lpstr>
      <vt:lpstr>AGO_2016</vt:lpstr>
      <vt:lpstr>AGO_2017</vt:lpstr>
      <vt:lpstr>AGO_2018</vt:lpstr>
      <vt:lpstr>financiero!Área_de_impresión</vt:lpstr>
      <vt:lpstr>Gasto!Área_de_impresión</vt:lpstr>
      <vt:lpstr>BASE</vt:lpstr>
      <vt:lpstr>DIC_2016</vt:lpstr>
      <vt:lpstr>DIC_2017</vt:lpstr>
      <vt:lpstr>ENE_2016</vt:lpstr>
      <vt:lpstr>ENE_2017</vt:lpstr>
      <vt:lpstr>ENE_2018</vt:lpstr>
      <vt:lpstr>FEB_2016</vt:lpstr>
      <vt:lpstr>FEB_2017</vt:lpstr>
      <vt:lpstr>FEB_2018</vt:lpstr>
      <vt:lpstr>G_ABR_2016</vt:lpstr>
      <vt:lpstr>G_ABR_2017</vt:lpstr>
      <vt:lpstr>G_ABR_2018</vt:lpstr>
      <vt:lpstr>G_ADQ</vt:lpstr>
      <vt:lpstr>G_AGO_2016</vt:lpstr>
      <vt:lpstr>G_AGO_2017</vt:lpstr>
      <vt:lpstr>G_AGO_2018</vt:lpstr>
      <vt:lpstr>G_AGUA</vt:lpstr>
      <vt:lpstr>G_ALMVG</vt:lpstr>
      <vt:lpstr>G_ASLE</vt:lpstr>
      <vt:lpstr>G_CBR</vt:lpstr>
      <vt:lpstr>G_DIC_2016</vt:lpstr>
      <vt:lpstr>G_DIC_2017</vt:lpstr>
      <vt:lpstr>G_DIF</vt:lpstr>
      <vt:lpstr>G_ENE_2016</vt:lpstr>
      <vt:lpstr>G_ENE_2017</vt:lpstr>
      <vt:lpstr>G_ENE_2018</vt:lpstr>
      <vt:lpstr>G_FEB_2016</vt:lpstr>
      <vt:lpstr>G_FEB_2017</vt:lpstr>
      <vt:lpstr>G_FEB_2018</vt:lpstr>
      <vt:lpstr>G_HCTB</vt:lpstr>
      <vt:lpstr>G_HJRD</vt:lpstr>
      <vt:lpstr>G_INFRA</vt:lpstr>
      <vt:lpstr>G_IVA</vt:lpstr>
      <vt:lpstr>G_JDN</vt:lpstr>
      <vt:lpstr>G_JUL_2016</vt:lpstr>
      <vt:lpstr>G_JUL_2017</vt:lpstr>
      <vt:lpstr>G_JUL_2018</vt:lpstr>
      <vt:lpstr>G_JUN_2016</vt:lpstr>
      <vt:lpstr>G_JUN_2017</vt:lpstr>
      <vt:lpstr>G_JUN_2018</vt:lpstr>
      <vt:lpstr>G_MAR_2016</vt:lpstr>
      <vt:lpstr>G_MAR_2017</vt:lpstr>
      <vt:lpstr>G_MAR_2018</vt:lpstr>
      <vt:lpstr>G_MAY_2016</vt:lpstr>
      <vt:lpstr>G_MAY_2017</vt:lpstr>
      <vt:lpstr>G_MAY_2018</vt:lpstr>
      <vt:lpstr>G_MDC</vt:lpstr>
      <vt:lpstr>G_MTCBQ</vt:lpstr>
      <vt:lpstr>G_MTCP</vt:lpstr>
      <vt:lpstr>G_MTCST</vt:lpstr>
      <vt:lpstr>G_MTCYP</vt:lpstr>
      <vt:lpstr>G_MTILM</vt:lpstr>
      <vt:lpstr>G_MTLPZ</vt:lpstr>
      <vt:lpstr>G_MTPTA</vt:lpstr>
      <vt:lpstr>G_NMNVG</vt:lpstr>
      <vt:lpstr>G_NOV_2016</vt:lpstr>
      <vt:lpstr>G_NOV_2017</vt:lpstr>
      <vt:lpstr>G_OCT_2016</vt:lpstr>
      <vt:lpstr>G_OCT_2017</vt:lpstr>
      <vt:lpstr>G_ORG</vt:lpstr>
      <vt:lpstr>G_P_FIN</vt:lpstr>
      <vt:lpstr>G_P_IVA</vt:lpstr>
      <vt:lpstr>G_PAPE</vt:lpstr>
      <vt:lpstr>G_SEP_2016</vt:lpstr>
      <vt:lpstr>G_SEP_2017</vt:lpstr>
      <vt:lpstr>G_SEP_2018</vt:lpstr>
      <vt:lpstr>G_SÑ</vt:lpstr>
      <vt:lpstr>G_TLF</vt:lpstr>
      <vt:lpstr>G_TOTAL</vt:lpstr>
      <vt:lpstr>G_TRSP</vt:lpstr>
      <vt:lpstr>G_UNF</vt:lpstr>
      <vt:lpstr>G_USB</vt:lpstr>
      <vt:lpstr>G_VRS</vt:lpstr>
      <vt:lpstr>GASTO</vt:lpstr>
      <vt:lpstr>importe</vt:lpstr>
      <vt:lpstr>ING_CUOTAS</vt:lpstr>
      <vt:lpstr>ING_EXTRA</vt:lpstr>
      <vt:lpstr>ING_LLAVES</vt:lpstr>
      <vt:lpstr>ING_OTROS</vt:lpstr>
      <vt:lpstr>ING_TAR</vt:lpstr>
      <vt:lpstr>ING_TELE</vt:lpstr>
      <vt:lpstr>IVA</vt:lpstr>
      <vt:lpstr>JUL_2016</vt:lpstr>
      <vt:lpstr>JUL_2017</vt:lpstr>
      <vt:lpstr>JUL_2018</vt:lpstr>
      <vt:lpstr>JUN_2016</vt:lpstr>
      <vt:lpstr>JUN_2017</vt:lpstr>
      <vt:lpstr>JUN_2018</vt:lpstr>
      <vt:lpstr>MAR_2016</vt:lpstr>
      <vt:lpstr>MAR_2017</vt:lpstr>
      <vt:lpstr>MAR_2018</vt:lpstr>
      <vt:lpstr>MAY_2016</vt:lpstr>
      <vt:lpstr>MAY_2017</vt:lpstr>
      <vt:lpstr>MAY_2018</vt:lpstr>
      <vt:lpstr>NOV_2016</vt:lpstr>
      <vt:lpstr>NOV_2017</vt:lpstr>
      <vt:lpstr>OCT_2016</vt:lpstr>
      <vt:lpstr>OCT_2017</vt:lpstr>
      <vt:lpstr>SEP_2016</vt:lpstr>
      <vt:lpstr>SEP_2017</vt:lpstr>
      <vt:lpstr>SEP_2018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Ramírez Lepe</dc:creator>
  <cp:lastModifiedBy>Hacienda de Coyoacan</cp:lastModifiedBy>
  <cp:lastPrinted>2018-10-10T03:45:39Z</cp:lastPrinted>
  <dcterms:created xsi:type="dcterms:W3CDTF">2016-10-21T17:43:06Z</dcterms:created>
  <dcterms:modified xsi:type="dcterms:W3CDTF">2018-11-07T03:58:45Z</dcterms:modified>
</cp:coreProperties>
</file>